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python.xml" ContentType="application/vnd.ms-excel.pyth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DieseArbeitsmappe" defaultThemeVersion="124226"/>
  <mc:AlternateContent xmlns:mc="http://schemas.openxmlformats.org/markup-compatibility/2006">
    <mc:Choice Requires="x15">
      <x15ac:absPath xmlns:x15ac="http://schemas.microsoft.com/office/spreadsheetml/2010/11/ac" url="B:\BM 4.2_Tool\+UBA Tool ALC V5.2 for phase 4.2 - 2026-07-31\Reference\"/>
    </mc:Choice>
  </mc:AlternateContent>
  <xr:revisionPtr revIDLastSave="0" documentId="13_ncr:1_{F591BC07-AEDE-4B12-836C-937BBBBCEDE2}" xr6:coauthVersionLast="47" xr6:coauthVersionMax="47" xr10:uidLastSave="{00000000-0000-0000-0000-000000000000}"/>
  <workbookProtection lockStructure="1"/>
  <bookViews>
    <workbookView xWindow="-110" yWindow="-110" windowWidth="19420" windowHeight="10300" xr2:uid="{00000000-000D-0000-FFFF-FFFF00000000}"/>
  </bookViews>
  <sheets>
    <sheet name="a_Contents" sheetId="9" r:id="rId1"/>
    <sheet name="b_Guidelines &amp; conditions" sheetId="10" r:id="rId2"/>
    <sheet name="c_NIMsSummary" sheetId="66" r:id="rId3"/>
    <sheet name="A_InstallationData" sheetId="43" r:id="rId4"/>
    <sheet name="B+C_SubInstallations" sheetId="62" r:id="rId5"/>
    <sheet name="D_Emissions" sheetId="49" r:id="rId6"/>
    <sheet name="E_EnergyFlows" sheetId="41" r:id="rId7"/>
    <sheet name="F_ProductBM" sheetId="37" r:id="rId8"/>
    <sheet name="G_Fall-back" sheetId="42" r:id="rId9"/>
    <sheet name="H_SpecialBM" sheetId="47" r:id="rId10"/>
    <sheet name="I_MSspecific" sheetId="53" r:id="rId11"/>
    <sheet name="J_Comments" sheetId="51" r:id="rId12"/>
    <sheet name="K_Summary" sheetId="50" r:id="rId13"/>
    <sheet name="EUwideConstants" sheetId="34" state="hidden" r:id="rId14"/>
    <sheet name="MSParameters" sheetId="38" state="hidden" r:id="rId15"/>
    <sheet name="Translations" sheetId="33" state="hidden" r:id="rId16"/>
    <sheet name="VersionDocumentation" sheetId="25" state="hidden" r:id="rId17"/>
  </sheets>
  <externalReferences>
    <externalReference r:id="rId18"/>
  </externalReferences>
  <definedNames>
    <definedName name="_xlnm._FilterDatabase" localSheetId="6" hidden="1">E_EnergyFlows!$C$6:$N$6</definedName>
    <definedName name="_xlnm._FilterDatabase" localSheetId="13" hidden="1">EUwideConstants!$A$1:$AF$328</definedName>
    <definedName name="_xlnm._FilterDatabase" localSheetId="15" hidden="1">Translations!$A$1:$C$1428</definedName>
    <definedName name="CNTR_10BestCond">'B+C_SubInstallations'!$L$83</definedName>
    <definedName name="CNTR_AnnexIActivities">A_InstallationData!$Q$227:$Q$232</definedName>
    <definedName name="CNTR_Cessation">A_InstallationData!$R$21</definedName>
    <definedName name="CNTR_CNPCond">A_InstallationData!$J$286:$N$286</definedName>
    <definedName name="CNTR_ConfirmationOK">K_Summary!$P$52</definedName>
    <definedName name="CNTR_ConnectionEntityList">A_InstallationData!$H$423:$H$432</definedName>
    <definedName name="CNTR_ConnectionEntityListCITL_IDs">A_InstallationData!$J$423:$J$432</definedName>
    <definedName name="CNTR_ConnectionEntityListTypes">A_InstallationData!$K$423:$K$432</definedName>
    <definedName name="CNTR_ConnectionListAndWithinInst">A_InstallationData!$H$422:$H$432</definedName>
    <definedName name="CNTR_DHCond">'B+C_SubInstallations'!$J$76:$N$76</definedName>
    <definedName name="CNTR_Eligible10a">K_Summary!$M$55</definedName>
    <definedName name="CNTR_EnEffCond">A_InstallationData!$J$275:$N$275</definedName>
    <definedName name="CNTR_ExistConnectionEntries">A_InstallationData!$G$435</definedName>
    <definedName name="CNTR_ExistProductSubEntries">'B+C_SubInstallations'!$J$201</definedName>
    <definedName name="CNTR_ExistSubInstEntries">'B+C_SubInstallations'!$G$201</definedName>
    <definedName name="CNTR_FallBackSubInstRelevant">'B+C_SubInstallations'!$T$57:$T$66</definedName>
    <definedName name="CNTR_HasEntries_A_I">A_InstallationData!$G$417</definedName>
    <definedName name="CNTR_Incumbent">A_InstallationData!$R$14</definedName>
    <definedName name="CNTR_NACEInstallation">A_InstallationData!$L$242</definedName>
    <definedName name="CNTR_OnlyCombustion">K_Summary!$R$22</definedName>
    <definedName name="CNTR_ProdElec">E_EnergyFlows!$M$392</definedName>
    <definedName name="CNTR_ReportingYear">A_InstallationData!$V$11</definedName>
    <definedName name="CNTR_SubInstCessationDate">'B+C_SubInstallations'!$K$179:$K$198</definedName>
    <definedName name="CNTR_SubInstListBMnumbers">'B+C_SubInstallations'!$I$179:$I$198</definedName>
    <definedName name="CNTR_SubInstListHALUnit">'B+C_SubInstallations'!$N$179:$N$198</definedName>
    <definedName name="CNTR_SubInstListIsProdBM">'B+C_SubInstallations'!$H$179:$H$198</definedName>
    <definedName name="CNTR_SubInstListNames">'B+C_SubInstallations'!$F$179:$F$198</definedName>
    <definedName name="CNTR_SubInstStartDate">'B+C_SubInstallations'!$J$179:$J$198</definedName>
    <definedName name="CNTR_SubPeriod">A_InstallationData!$R$11</definedName>
    <definedName name="CNTR_TemplateVersion">a_Contents!$G$57</definedName>
    <definedName name="CNTR_UniqueID">A_InstallationData!$J$61</definedName>
    <definedName name="CTRL_InputMethodFuelDistribution">E_EnergyFlows!$Q$25</definedName>
    <definedName name="CTRL_InputMethodHeatSubInstSplit">E_EnergyFlows!$Q$252</definedName>
    <definedName name="CTRL_InputMethodNIMsvalues">A_InstallationData!$Q$31</definedName>
    <definedName name="EUconst_AbsRel">EUwideConstants!$B$9:$C$9</definedName>
    <definedName name="EUconst_AllocInitial">EUwideConstants!$B$108</definedName>
    <definedName name="EUconst_AllocPrelim">EUwideConstants!$B$109</definedName>
    <definedName name="EUconst_Allowances">EUwideConstants!$B$70</definedName>
    <definedName name="EUconst_AllYears">EUwideConstants!$G$5:$L$5</definedName>
    <definedName name="EUconst_AnnexIActivities">EUwideConstants!$B$230:$B$257</definedName>
    <definedName name="EUconst_BaselinePeriods">EUwideConstants!$B$6:$C$6</definedName>
    <definedName name="EUconst_BM">EUwideConstants!$B$16</definedName>
    <definedName name="EUconst_BM_ARR_Range">EUwideConstants!$B$57:$C$57</definedName>
    <definedName name="EUconst_BMlist107">EUwideConstants!$F$319:$F$322</definedName>
    <definedName name="EUconst_BMlistARR">EUwideConstants!$R$261:$R$314</definedName>
    <definedName name="EUconst_BMlistBMARRvaluesMatrix">EUwideConstants!$P$261:$R$314</definedName>
    <definedName name="EUconst_BMlistBMmaxvalues">EUwideConstants!$S$261:$S$314</definedName>
    <definedName name="EUconst_BMlistBMminvalues">EUwideConstants!$T$261:$T$314</definedName>
    <definedName name="EUconst_BMlistBMvalues">EUwideConstants!$U$261:$U$314</definedName>
    <definedName name="EUconst_BMlistBMvaluesMatrix">EUwideConstants!$S$261:$U$314</definedName>
    <definedName name="EUconst_BMlistCBAMstatus">EUwideConstants!$I$261:$I$314</definedName>
    <definedName name="EUconst_BMlistCLstatus">EUwideConstants!$H$261:$H$314</definedName>
    <definedName name="EUconst_BMlistElExchangability">EUwideConstants!$J$261:$J$314</definedName>
    <definedName name="EUconst_BMlistMainNumberOfBM">EUwideConstants!$C$261:$C$314</definedName>
    <definedName name="EUconst_BMlistMatrix">EUwideConstants!$F$261:$J$314</definedName>
    <definedName name="EUconst_BMlistNames">EUwideConstants!$F$261:$F$314</definedName>
    <definedName name="EUconst_BMlistNotCWT">EUwideConstants!$M$261:$M$314</definedName>
    <definedName name="EUconst_BMlistNumberOfActivity">EUwideConstants!$B$261:$B$314</definedName>
    <definedName name="EUconst_BMlistNumberOfBM">EUwideConstants!$D$261:$D$314</definedName>
    <definedName name="EUconst_BMlistPulp">EUwideConstants!$N$261:$N$314</definedName>
    <definedName name="EUconst_BMlistSpecialJumpTable">EUwideConstants!$L$261:$L$314</definedName>
    <definedName name="EUconst_BMlistSpecialReporting">EUwideConstants!$K$261:$K$314</definedName>
    <definedName name="EUconst_BMlistUnits">EUwideConstants!$G$261:$G$314</definedName>
    <definedName name="EUconst_BMSubinst">EUwideConstants!$B$17</definedName>
    <definedName name="EUconst_CBAMFactor">EUwideConstants!$B$196:$K$196</definedName>
    <definedName name="EUconst_CessationReason">EUwideConstants!$B$209:$C$209</definedName>
    <definedName name="EUconst_CLEFDistrict">EUwideConstants!$B$195:$K$195</definedName>
    <definedName name="EUconst_CLEFYears">EUwideConstants!$B$194:$K$194</definedName>
    <definedName name="EUconst_CLnonCL">EUwideConstants!$B$61:$C$61</definedName>
    <definedName name="EUconst_CNTR_100EUA_ActivityLevel">EUwideConstants!$B$199</definedName>
    <definedName name="EUconst_CNTR_100EUA_ElExch">EUwideConstants!$B$200</definedName>
    <definedName name="EUconst_CNTR_100EUA_HEAT">EUwideConstants!$B$201</definedName>
    <definedName name="EUconst_CNTR_100EUA_HVC">EUwideConstants!$B$203</definedName>
    <definedName name="EUconst_CNTR_100EUA_VCM">EUwideConstants!$B$204</definedName>
    <definedName name="EUconst_CNTR_100EUA_WGFlare">EUwideConstants!$B$202</definedName>
    <definedName name="EUconst_CNTR_300EUA">EUwideConstants!$B$206</definedName>
    <definedName name="EUconst_CNTR_AllocPrelimChange">EUwideConstants!$B$205</definedName>
    <definedName name="EUconst_CNTR_AttributedEmissions">EUwideConstants!$B$176</definedName>
    <definedName name="EUconst_CNTR_CARejection">EUwideConstants!$B$207</definedName>
    <definedName name="EUconst_CNTR_CARejectionRelevant">EUwideConstants!$B$208</definedName>
    <definedName name="EUconst_CNTR_CO2Feedstock">EUwideConstants!$B$187</definedName>
    <definedName name="EUconst_CNTR_ElectricityEF">EUwideConstants!$B$153</definedName>
    <definedName name="EUconst_CNTR_ElectricityExported">EUwideConstants!$B$175</definedName>
    <definedName name="EUconst_CNTR_ElectricityInput">EUwideConstants!$B$152</definedName>
    <definedName name="EUconst_CNTR_ELEXCH">EUwideConstants!$B$88</definedName>
    <definedName name="EUconst_CNTR_ELEXCHfinal">EUwideConstants!$B$90</definedName>
    <definedName name="EUconst_CNTR_ELEXCHInitial">EUwideConstants!$B$87</definedName>
    <definedName name="EUconst_CNTR_ELEXCHprelim">EUwideConstants!$B$89</definedName>
    <definedName name="EUconst_CNTR_Emissions">EUwideConstants!$B$177</definedName>
    <definedName name="EUconst_CNTR_EmissionsIntSource1">EUwideConstants!$B$183</definedName>
    <definedName name="EUconst_CNTR_EmissionsIntSource2">EUwideConstants!$B$184</definedName>
    <definedName name="EUconst_CNTR_EnEff">EUwideConstants!$B$105</definedName>
    <definedName name="EUconst_CNTR_EnEffInitial">EUwideConstants!$B$104</definedName>
    <definedName name="EUconst_CNTR_EnEffPct">EUwideConstants!$B$106</definedName>
    <definedName name="EUconst_CNTR_FuelEF">EUwideConstants!$B$151</definedName>
    <definedName name="EUconst_CNTR_FuelInput">EUwideConstants!$B$150</definedName>
    <definedName name="EUconst_CNTR_H2ActualPlusTheoretical">EUwideConstants!$B$190</definedName>
    <definedName name="EUconst_CNTR_H2AdditionalEmissions">EUwideConstants!$B$189</definedName>
    <definedName name="EUconst_CNTR_HAL">EUwideConstants!$B$82</definedName>
    <definedName name="EUconst_CNTR_HALAdjPct">EUwideConstants!$B$86</definedName>
    <definedName name="EUconst_CNTR_HALfinal">EUwideConstants!$B$84</definedName>
    <definedName name="EUconst_CNTR_HALinitial">EUwideConstants!$B$81</definedName>
    <definedName name="EUconst_CNTR_HALprelim">EUwideConstants!$B$83</definedName>
    <definedName name="EUconst_CNTR_HALPulpTotal">EUwideConstants!$B$188</definedName>
    <definedName name="EUconst_CNTR_HALspecial">EUwideConstants!$B$85</definedName>
    <definedName name="EUconst_CNTR_HEAT">EUwideConstants!$B$92</definedName>
    <definedName name="EUconst_CNTR_HeatExport">EUwideConstants!$B$159</definedName>
    <definedName name="EUconst_CNTR_HeatExportEF">EUwideConstants!$B$160</definedName>
    <definedName name="EUconst_CNTR_HEATfinal">EUwideConstants!$B$94</definedName>
    <definedName name="EUconst_CNTR_HeatImport">EUwideConstants!$B$171</definedName>
    <definedName name="EUconst_CNTR_HeatImportEF">EUwideConstants!$B$172</definedName>
    <definedName name="EUconst_CNTR_HeatImportFuel">EUwideConstants!$B$181</definedName>
    <definedName name="EUconst_CNTR_HeatImportFuelEF">EUwideConstants!$B$182</definedName>
    <definedName name="EUconst_CNTR_HeatImportNitric">EUwideConstants!$B$174</definedName>
    <definedName name="EUconst_CNTR_HeatImportProduct">EUwideConstants!$B$178</definedName>
    <definedName name="EUconst_CNTR_HeatImportProductEF">EUwideConstants!$B$179</definedName>
    <definedName name="EUconst_CNTR_HeatImportPulp">EUwideConstants!$B$173</definedName>
    <definedName name="EUconst_CNTR_HeatImportPulpEF">EUwideConstants!$B$180</definedName>
    <definedName name="EUconst_CNTR_HEATInitial">EUwideConstants!$B$91</definedName>
    <definedName name="EUconst_CNTR_HEATprelim">EUwideConstants!$B$93</definedName>
    <definedName name="EUconst_CNTR_HeatProduced">EUwideConstants!$B$157</definedName>
    <definedName name="EUconst_CNTR_HeatProducedElectricity">EUwideConstants!$B$158</definedName>
    <definedName name="EUconst_CNTR_HVC">EUwideConstants!$B$100</definedName>
    <definedName name="EUconst_CNTR_HVCfinal">EUwideConstants!$B$102</definedName>
    <definedName name="EUconst_CNTR_HVCInitial">EUwideConstants!$B$99</definedName>
    <definedName name="EUconst_CNTR_HVCprelim">EUwideConstants!$B$101</definedName>
    <definedName name="EUconst_CNTR_IntermediateExport">EUwideConstants!$B$186</definedName>
    <definedName name="EUconst_CNTR_IntermediateImport">EUwideConstants!$B$185</definedName>
    <definedName name="EUconst_CNTR_NIMsValue">EUwideConstants!$B$80</definedName>
    <definedName name="EUconst_CNTR_nonETSMeasHeat">EUwideConstants!$B$116</definedName>
    <definedName name="EUconst_CNTR_OtherEnergyEF">EUwideConstants!$B$153</definedName>
    <definedName name="EUconst_CNTR_OtherEnergyInput">EUwideConstants!$B$154</definedName>
    <definedName name="EUconst_CNTR_RelThreshold">EUwideConstants!$B$198</definedName>
    <definedName name="EUconst_CNTR_TotalEnergyInput">EUwideConstants!$B$156</definedName>
    <definedName name="EUconst_CNTR_VCM">EUwideConstants!$B$96</definedName>
    <definedName name="EUconst_CNTR_VCMfinal">EUwideConstants!$B$98</definedName>
    <definedName name="EUconst_CNTR_VCMInitial">EUwideConstants!$B$95</definedName>
    <definedName name="EUconst_CNTR_VCMprelim">EUwideConstants!$B$97</definedName>
    <definedName name="EUconst_CNTR_WGConsumed">EUwideConstants!$B$163</definedName>
    <definedName name="EUconst_CNTR_WGConsumedEF">EUwideConstants!$B$164</definedName>
    <definedName name="EUconst_CNTR_WGExport">EUwideConstants!$B$169</definedName>
    <definedName name="EUconst_CNTR_WGExportEF">EUwideConstants!$B$170</definedName>
    <definedName name="EUconst_CNTR_WGFlared">EUwideConstants!$B$165</definedName>
    <definedName name="EUconst_CNTR_WGFlaredEF">EUwideConstants!$B$166</definedName>
    <definedName name="EUconst_CNTR_WGImport">EUwideConstants!$B$167</definedName>
    <definedName name="EUconst_CNTR_WGImportEF">EUwideConstants!$B$168</definedName>
    <definedName name="EUconst_CNTR_WGProduced">EUwideConstants!$B$161</definedName>
    <definedName name="EUconst_CNTR_WGProducedEF">EUwideConstants!$B$162</definedName>
    <definedName name="EUconst_CombustionActivity">EUwideConstants!$B$230</definedName>
    <definedName name="EUconst_ConfirmAllowUseOfData">EUwideConstants!$B$73</definedName>
    <definedName name="EUconst_ConfirmApplicationForAlloc">EUwideConstants!$B$72:$B$72</definedName>
    <definedName name="EUconst_ConfirmationNotEligible">EUwideConstants!$B$71:$B$71</definedName>
    <definedName name="EUconst_ConnectedEntityTypes">EUwideConstants!$B$46:$F$46</definedName>
    <definedName name="EUconst_ConnectionShortTypes">EUwideConstants!$B$48:$E$48</definedName>
    <definedName name="EUconst_ConnectionTransferTypes">EUwideConstants!$B$49:$C$49</definedName>
    <definedName name="EUconst_ConnectionTypes">EUwideConstants!$B$47:$E$47</definedName>
    <definedName name="EUconst_CWTpa">EUwideConstants!$B$69</definedName>
    <definedName name="EUconst_DateMissing">EUwideConstants!$B$114</definedName>
    <definedName name="EUconst_ElBM">EUwideConstants!$B$55</definedName>
    <definedName name="EUconst_ERR_ActivityMissing">EUwideConstants!$B$144</definedName>
    <definedName name="EUconst_ERR_AttrEmBMapplied">EUwideConstants!$B$132</definedName>
    <definedName name="EUconst_ERR_CADecision">EUwideConstants!$B$133</definedName>
    <definedName name="EUconst_ERR_DatesSorting">EUwideConstants!$B$143</definedName>
    <definedName name="EUconst_ERR_DoubleBMentry">EUwideConstants!$B$124</definedName>
    <definedName name="EUconst_ERR_Goto_DI2">EUwideConstants!$B$129</definedName>
    <definedName name="EUconst_ERR_LinkToNIMs">EUwideConstants!$B$134</definedName>
    <definedName name="EUconst_ERR_Mandatory_abd">EUwideConstants!$B$121</definedName>
    <definedName name="EUconst_ERR_Mandatory_Bbc">EUwideConstants!$B$127</definedName>
    <definedName name="EUconst_ERR_Mandatory_ef">EUwideConstants!$B$122</definedName>
    <definedName name="EUconst_ERR_Mandatory_g">EUwideConstants!$B$123</definedName>
    <definedName name="EUconst_ERR_MandatoryDII3a">EUwideConstants!$B$131</definedName>
    <definedName name="EUconst_ERR_MandatoryEII4">EUwideConstants!$B$130</definedName>
    <definedName name="EUconst_ERR_MissingFallBackEntry">EUwideConstants!$B$126</definedName>
    <definedName name="EUconst_ERR_MissingSubInstEntry">EUwideConstants!$B$125</definedName>
    <definedName name="EUconst_ERR_StartWithFuels">EUwideConstants!$B$128</definedName>
    <definedName name="EUconst_Error">EUwideConstants!$B$107</definedName>
    <definedName name="EUconst_EUA">EUwideConstants!$B$12</definedName>
    <definedName name="EUconst_EUApa">EUwideConstants!$B$31</definedName>
    <definedName name="EUconst_EUApt">EUwideConstants!$B$32</definedName>
    <definedName name="EUconst_FallBackARR">EUwideConstants!$R$318:$R$327</definedName>
    <definedName name="EUconst_FallBackListBMARRvaluesMatrix">EUwideConstants!$P$318:$R$327</definedName>
    <definedName name="EUconst_FallBackListBMvalues">EUwideConstants!$U$318:$U$327</definedName>
    <definedName name="EUconst_FallBackListBMvaluesMatrix">EUwideConstants!$S$318:$U$327</definedName>
    <definedName name="EUconst_FallBackListCBAMstatus">EUwideConstants!$I$318:$I$327</definedName>
    <definedName name="EUconst_FallBackListCLstatus">EUwideConstants!$H$318:$H$327</definedName>
    <definedName name="EUconst_FallBackListMatrix">EUwideConstants!$F$318:$J$327</definedName>
    <definedName name="EUconst_FallbackListMissing">EUwideConstants!$K$318:$K$327</definedName>
    <definedName name="EUconst_FallBackListNames">EUwideConstants!$F$318:$F$327</definedName>
    <definedName name="EUconst_FallBackListNumber">EUwideConstants!$D$318:$D$327</definedName>
    <definedName name="EUconst_FallBackListUnits">EUwideConstants!$G$318:$G$327</definedName>
    <definedName name="Euconst_FallBackSub">EUwideConstants!$B$211</definedName>
    <definedName name="EUconst_FBSubinst">EUwideConstants!$B$18</definedName>
    <definedName name="EUconst_Fuel">EUwideConstants!$B$15</definedName>
    <definedName name="EUconst_FuelBMvalue">EUwideConstants!$B$56</definedName>
    <definedName name="EUconst_FuelUseTypes">EUwideConstants!$B$52:$E$52</definedName>
    <definedName name="EUconst_GJ">EUwideConstants!$B$22</definedName>
    <definedName name="EUconst_GJpa">EUwideConstants!$B$34</definedName>
    <definedName name="EUconst_GJperTorKNm3">EUwideConstants!$B$64:$C$64</definedName>
    <definedName name="EUconst_GJperUnit">EUwideConstants!$B$67</definedName>
    <definedName name="EUconst_GJpt">EUwideConstants!$B$33</definedName>
    <definedName name="EUconst_HALsum">EUwideConstants!$B$103</definedName>
    <definedName name="EUconst_HeatBMvalue">EUwideConstants!$B$54</definedName>
    <definedName name="EUconst_HeatUseTypes">EUwideConstants!$B$51:$F$51</definedName>
    <definedName name="EUconst_Incomplete">EUwideConstants!$B$110</definedName>
    <definedName name="EUconst_Inconsistent">EUwideConstants!$B$112</definedName>
    <definedName name="EUconst_kNm3pa">EUwideConstants!$B$62</definedName>
    <definedName name="EUconst_LinkManual">EUwideConstants!$B$10:$C$10</definedName>
    <definedName name="EUconst_MinOrMaxOrActual">EUwideConstants!$B$197:$D$197</definedName>
    <definedName name="EUconst_MNm3pa">EUwideConstants!$B$68</definedName>
    <definedName name="EUconst_Month">EUwideConstants!$B$14</definedName>
    <definedName name="EUconst_MSDHConditionalityList">EUwideConstants!$B$120:$E$120</definedName>
    <definedName name="EUconst_MsgAttrEm">EUwideConstants!$B$136</definedName>
    <definedName name="EUconst_MsgBackToSheetF">EUwideConstants!$B$147</definedName>
    <definedName name="EUconst_MsgEnterThisSection">EUwideConstants!$B$145</definedName>
    <definedName name="EUconst_MsgGoOn">EUwideConstants!$B$139</definedName>
    <definedName name="EUconst_MsgGoOn_cd">EUwideConstants!$B$148</definedName>
    <definedName name="EUconst_MsgGoOn_d">EUwideConstants!$B$141</definedName>
    <definedName name="EUconst_MsgGoOn_e">EUwideConstants!$B$149</definedName>
    <definedName name="EUconst_MsgGoOnIfNotRelevant">EUwideConstants!$B$142</definedName>
    <definedName name="EUconst_MsgGoToNextSubInst">EUwideConstants!$B$146</definedName>
    <definedName name="EUconst_MsgProceedEII2">EUwideConstants!$B$138</definedName>
    <definedName name="EUconst_MsgProceedF">EUwideConstants!$B$137</definedName>
    <definedName name="EUconst_MsgSeeFirst">EUwideConstants!$B$135</definedName>
    <definedName name="EUconst_MsgUseElExchTool">EUwideConstants!$B$140</definedName>
    <definedName name="EUconst_MSlist">EUwideConstants!$B$117:$AF$117</definedName>
    <definedName name="EUconst_MSlistEUTLcodes">EUwideConstants!$B$119:$AF$119</definedName>
    <definedName name="EUconst_MSlistISOcodes">EUwideConstants!$B$118:$AF$118</definedName>
    <definedName name="EUconst_MWh">EUwideConstants!$B$27</definedName>
    <definedName name="EUconst_MWhpa">EUwideConstants!$B$28</definedName>
    <definedName name="EUconst_NA">EUwideConstants!$B$11</definedName>
    <definedName name="EUconst_Negative">EUwideConstants!$B$111</definedName>
    <definedName name="EUconst_NGEFvalue">EUwideConstants!$B$192</definedName>
    <definedName name="EUconst_NotEligible">EUwideConstants!$B$115</definedName>
    <definedName name="EUconst_NotRelevant">EUwideConstants!$B$59</definedName>
    <definedName name="EUconst_OK">EUwideConstants!$B$113</definedName>
    <definedName name="EUconst_Or">EUwideConstants!$B$42</definedName>
    <definedName name="EUconst_ProcessEmissionTypes">EUwideConstants!$B$53:$J$53</definedName>
    <definedName name="Euconst_ProdBMSub">EUwideConstants!$B$210</definedName>
    <definedName name="EUconst_Relevant">EUwideConstants!$B$58</definedName>
    <definedName name="EUconst_RelevantNotRelevant">EUwideConstants!$B$60:$C$60</definedName>
    <definedName name="EUconst_relOrMWhpa">EUwideConstants!$B$44</definedName>
    <definedName name="EUconst_relOrtCO2pa">EUwideConstants!$B$45</definedName>
    <definedName name="EUconst_relOrTJpa">EUwideConstants!$B$43</definedName>
    <definedName name="EUconst_ReportingYears">EUwideConstants!$B$3:$F$3</definedName>
    <definedName name="EUconst_ReportingYears2">EUwideConstants!$B$4:$F$4</definedName>
    <definedName name="EUconst_StatusOfDataCollection">EUwideConstants!$B$2</definedName>
    <definedName name="EUconst_SumBioCO2">EUwideConstants!$B$76</definedName>
    <definedName name="EUconst_SumCO2">EUwideConstants!$B$74</definedName>
    <definedName name="EUconst_SumEnergyIN">EUwideConstants!$B$77</definedName>
    <definedName name="EUconst_SumN2O">EUwideConstants!$B$78</definedName>
    <definedName name="EUconst_SumPFC">EUwideConstants!$B$79</definedName>
    <definedName name="EUconst_SumTransferCO2">EUwideConstants!$B$75</definedName>
    <definedName name="EUconst_t">EUwideConstants!$B$29</definedName>
    <definedName name="EUconst_tCO2">EUwideConstants!$B$24</definedName>
    <definedName name="EUconst_tCO2e">EUwideConstants!$B$23</definedName>
    <definedName name="EUconst_tCO2epa">EUwideConstants!$B$40</definedName>
    <definedName name="EUconst_tCO2ept">EUwideConstants!$B$41</definedName>
    <definedName name="EUconst_tCO2eptN2O">EUwideConstants!$B$39</definedName>
    <definedName name="EUconst_tCO2pa">EUwideConstants!$B$36</definedName>
    <definedName name="EUconst_tCO2pkNm3">EUwideConstants!$B$66</definedName>
    <definedName name="EUconst_tCO2pMWh">EUwideConstants!$B$191</definedName>
    <definedName name="EUconst_tCO2pt">EUwideConstants!$B$37</definedName>
    <definedName name="EUconst_tCO2pTJ">EUwideConstants!$B$35</definedName>
    <definedName name="EUconst_tCO2pTJorT">EUwideConstants!$B$65:$D$65</definedName>
    <definedName name="EUconst_TJ">EUwideConstants!$B$21</definedName>
    <definedName name="EUconst_TJpa">EUwideConstants!$B$26</definedName>
    <definedName name="EUconst_tN2O">EUwideConstants!$B$25</definedName>
    <definedName name="EUconst_tN2Opa">EUwideConstants!$B$38</definedName>
    <definedName name="EUconst_TonnesOrkNm3pa">EUwideConstants!$B$63:$C$63</definedName>
    <definedName name="EUconst_Tons">EUwideConstants!$B$20</definedName>
    <definedName name="EUconst_tpa">EUwideConstants!$B$30</definedName>
    <definedName name="Euconst_TrueFalse">EUwideConstants!$B$7:$C$7</definedName>
    <definedName name="Euconst_TrueFalseNA">EUwideConstants!$B$8:$D$8</definedName>
    <definedName name="EUconst_Unit">EUwideConstants!$B$13</definedName>
    <definedName name="EUconst_WasteGasCorrFactor">EUwideConstants!$B$193</definedName>
    <definedName name="EUconst_WithinInst">EUwideConstants!$B$50</definedName>
    <definedName name="EUconst_Year">EUwideConstants!$B$19</definedName>
    <definedName name="JUMP_A_Bottom">A_InstallationData!$D$404</definedName>
    <definedName name="JUMP_A_I">A_InstallationData!$D$9</definedName>
    <definedName name="JUMP_A_I1">A_InstallationData!$C$49</definedName>
    <definedName name="JUMP_A_I2">A_InstallationData!$C$163</definedName>
    <definedName name="JUMP_A_I3">A_InstallationData!$C$188</definedName>
    <definedName name="JUMP_A_I4">A_InstallationData!$C$209</definedName>
    <definedName name="JUMP_A_II">A_InstallationData!$D$25</definedName>
    <definedName name="JUMP_A_II1">A_InstallationData!$C$266</definedName>
    <definedName name="JUMP_A_II2">A_InstallationData!$C$10</definedName>
    <definedName name="JUMP_A_III">A_InstallationData!$D$47</definedName>
    <definedName name="JUMP_A_IV">A_InstallationData!$D$250</definedName>
    <definedName name="JUMP_A_IV1">A_InstallationData!$C$298</definedName>
    <definedName name="JUMP_A_V">A_InstallationData!$D$296</definedName>
    <definedName name="JUMP_B_Bottom">'B+C_SubInstallations'!$D$173</definedName>
    <definedName name="JUMP_B_I">'B+C_SubInstallations'!$C$8</definedName>
    <definedName name="JUMP_B_I1">'B+C_SubInstallations'!$C$10</definedName>
    <definedName name="JUMP_B_I3">'B+C_SubInstallations'!$C$71</definedName>
    <definedName name="JUMP_B_II" localSheetId="4">'B+C_SubInstallations'!$D$85:$N$85</definedName>
    <definedName name="JUMP_Coverpage_Bottom">a_Contents!$C$71</definedName>
    <definedName name="JUMP_Coverpage_Top">a_Contents!$B$5</definedName>
    <definedName name="JUMP_D_Bottom">D_Emissions!$D$269</definedName>
    <definedName name="JUMP_D_I">D_Emissions!$D$8</definedName>
    <definedName name="JUMP_D_II">D_Emissions!$D$30</definedName>
    <definedName name="JUMP_D_III">D_Emissions!$D$43</definedName>
    <definedName name="JUMP_D_III2">D_Emissions!$C$109</definedName>
    <definedName name="JUMP_D_IV">D_Emissions!$D$154</definedName>
    <definedName name="JUMP_D_IV2">D_Emissions!$C$222</definedName>
    <definedName name="JUMP_D_Top">D_Emissions!$C$6</definedName>
    <definedName name="JUMP_E_Bottom">E_EnergyFlows!$D$419</definedName>
    <definedName name="JUMP_E_HeatFinal">E_EnergyFlows!$E$256</definedName>
    <definedName name="JUMP_E_I">E_EnergyFlows!$D$8</definedName>
    <definedName name="JUMP_E_II">E_EnergyFlows!$D$76</definedName>
    <definedName name="JUMP_E_II_2">E_EnergyFlows!$C$78</definedName>
    <definedName name="JUMP_E_III">E_EnergyFlows!$D$274</definedName>
    <definedName name="JUMP_E_IV">E_EnergyFlows!$D$388</definedName>
    <definedName name="JUMP_E_Top">E_EnergyFlows!$C$6</definedName>
    <definedName name="JUMP_F_Bottom">F_ProductBM!$D$2823</definedName>
    <definedName name="JUMP_F_I">F_ProductBM!$D$11</definedName>
    <definedName name="JUMP_F_Top">F_ProductBM!$C$7</definedName>
    <definedName name="JUMP_F1">F_ProductBM!$C$13</definedName>
    <definedName name="JUMP_G_Bottom">'G_Fall-back'!$D$1832</definedName>
    <definedName name="JUMP_G_I">'G_Fall-back'!$D$11</definedName>
    <definedName name="JUMP_G_Top">'G_Fall-back'!$C$7</definedName>
    <definedName name="JUMP_G1">'G_Fall-back'!$C$13</definedName>
    <definedName name="JUMP_Guidelines_Bottom">'b_Guidelines &amp; conditions'!$B$96</definedName>
    <definedName name="JUMP_Guidelines_Home">'b_Guidelines &amp; conditions'!$B$7</definedName>
    <definedName name="JUMP_H_Bottom">H_SpecialBM!$D$481</definedName>
    <definedName name="JUMP_H_I">H_SpecialBM!$D$9</definedName>
    <definedName name="JUMP_H_II">H_SpecialBM!$D$99</definedName>
    <definedName name="JUMP_H_III">H_SpecialBM!$D$133</definedName>
    <definedName name="JUMP_H_IV">H_SpecialBM!$D$167</definedName>
    <definedName name="JUMP_H_IX">H_SpecialBM!$D$438</definedName>
    <definedName name="JUMP_H_Top">H_SpecialBM!$C$7</definedName>
    <definedName name="JUMP_H_V">H_SpecialBM!$D$234</definedName>
    <definedName name="JUMP_H_VI">H_SpecialBM!$D$274</definedName>
    <definedName name="JUMP_H_VII">H_SpecialBM!$D$376</definedName>
    <definedName name="JUMP_H_VIII">H_SpecialBM!$D$409</definedName>
    <definedName name="JUMP_I_Bottom">I_MSspecific!$C$30</definedName>
    <definedName name="JUMP_I_MSspecific">I_MSspecific!$C$7</definedName>
    <definedName name="JUMP_I_Top">I_MSspecific!$B$5</definedName>
    <definedName name="JUMP_J_I">J_Comments!$C$7</definedName>
    <definedName name="JUMP_J_II">J_Comments!$C$49</definedName>
    <definedName name="JUMP_J_Top">J_Comments!$B$5</definedName>
    <definedName name="JUMP_K_Bottom">K_Summary!$D$2497</definedName>
    <definedName name="JUMP_K_I" localSheetId="2">c_NIMsSummary!$D$18</definedName>
    <definedName name="JUMP_K_I">K_Summary!$D$8</definedName>
    <definedName name="JUMP_K_II">K_Summary!$C$47</definedName>
    <definedName name="JUMP_K_III">K_Summary!$C$57</definedName>
    <definedName name="JUMP_K_III2">K_Summary!$C$76</definedName>
    <definedName name="JUMP_K_IV">K_Summary!$C$475</definedName>
    <definedName name="JUMP_K_Top">K_Summary!$C$6</definedName>
    <definedName name="JUMP_K_V">K_Summary!$C$2397</definedName>
    <definedName name="JUMP_K_V_Disclaimer">K_Summary!$D$2404</definedName>
    <definedName name="JUMP_NIMsSummary" localSheetId="2">c_NIMsSummary!$D$3</definedName>
    <definedName name="JUMP_TOC_Home">a_Contents!$A$5</definedName>
    <definedName name="MSconst_RequireEmissionTotals">MSParameters!$B$3</definedName>
    <definedName name="MSconst_RequireFuelEF">MSParameters!$B$5</definedName>
    <definedName name="MSconst_RequirePermitInfo">MSParameters!$B$2</definedName>
    <definedName name="MSconst_RequireSubAttrEmissions">MSParameters!$B$4</definedName>
    <definedName name="_xlnm.Print_Area" localSheetId="0">a_Contents!$A$4:$K$70</definedName>
    <definedName name="_xlnm.Print_Area" localSheetId="3">A_InstallationData!$C$5:$P$402</definedName>
    <definedName name="_xlnm.Print_Area" localSheetId="1">'b_Guidelines &amp; conditions'!$A$4:$J$95</definedName>
    <definedName name="_xlnm.Print_Area" localSheetId="4">'B+C_SubInstallations'!$C$5:$P$171</definedName>
    <definedName name="_xlnm.Print_Area" localSheetId="2">c_NIMsSummary!$C$2:$N$17</definedName>
    <definedName name="_xlnm.Print_Area" localSheetId="5">D_Emissions!$C$5:$P$268</definedName>
    <definedName name="_xlnm.Print_Area" localSheetId="6">E_EnergyFlows!$B$5:$P$418</definedName>
    <definedName name="_xlnm.Print_Area" localSheetId="7">INDIRECT(F_ProductBM!$S$2)</definedName>
    <definedName name="_xlnm.Print_Area" localSheetId="8">'G_Fall-back'!$B$6:$P$1554</definedName>
    <definedName name="_xlnm.Print_Area" localSheetId="9">H_SpecialBM!$B$6:$P$480</definedName>
    <definedName name="_xlnm.Print_Area" localSheetId="10">I_MSspecific!$A$4:$L$29</definedName>
    <definedName name="_xlnm.Print_Area" localSheetId="11">J_Comments!$A$4:$L$61</definedName>
    <definedName name="_xlnm.Print_Area" localSheetId="12">K_Summary!$C$5:$N$2496</definedName>
    <definedName name="_xlnm.Print_Area" localSheetId="16">VersionDocumentation!$A$1:$C$86</definedName>
  </definedNames>
  <calcPr calcId="191029"/>
</workbook>
</file>

<file path=xl/calcChain.xml><?xml version="1.0" encoding="utf-8"?>
<calcChain xmlns="http://schemas.openxmlformats.org/spreadsheetml/2006/main">
  <c r="U324" i="34" l="1"/>
  <c r="U323" i="34"/>
  <c r="U322" i="34"/>
  <c r="U321" i="34"/>
  <c r="U320" i="34"/>
  <c r="U319" i="34"/>
  <c r="U318" i="34"/>
  <c r="U314" i="34"/>
  <c r="U313" i="34"/>
  <c r="U312" i="34"/>
  <c r="U311" i="34"/>
  <c r="U310" i="34"/>
  <c r="U309" i="34"/>
  <c r="U308" i="34"/>
  <c r="U307" i="34"/>
  <c r="U306" i="34"/>
  <c r="U305" i="34"/>
  <c r="U304" i="34"/>
  <c r="U303" i="34"/>
  <c r="U302" i="34"/>
  <c r="U301" i="34"/>
  <c r="U300" i="34"/>
  <c r="U299" i="34"/>
  <c r="U298" i="34"/>
  <c r="U297" i="34"/>
  <c r="U296" i="34"/>
  <c r="U295" i="34"/>
  <c r="U294" i="34"/>
  <c r="U293" i="34"/>
  <c r="U292" i="34"/>
  <c r="U291" i="34"/>
  <c r="U290" i="34"/>
  <c r="U289" i="34"/>
  <c r="U288" i="34"/>
  <c r="U287" i="34"/>
  <c r="U286" i="34"/>
  <c r="U285" i="34"/>
  <c r="U284" i="34"/>
  <c r="U283" i="34"/>
  <c r="U282" i="34"/>
  <c r="U281" i="34"/>
  <c r="U280" i="34"/>
  <c r="U279" i="34"/>
  <c r="U278" i="34"/>
  <c r="U277" i="34"/>
  <c r="U276" i="34"/>
  <c r="U275" i="34"/>
  <c r="U274" i="34"/>
  <c r="U273" i="34"/>
  <c r="U272" i="34"/>
  <c r="U271" i="34"/>
  <c r="U270" i="34"/>
  <c r="U269" i="34"/>
  <c r="U268" i="34"/>
  <c r="U267" i="34"/>
  <c r="U266" i="34"/>
  <c r="U265" i="34"/>
  <c r="U264" i="34"/>
  <c r="U263" i="34"/>
  <c r="U262" i="34"/>
  <c r="U261" i="34"/>
  <c r="M1713" i="66"/>
  <c r="J1713" i="66"/>
  <c r="H1713" i="66"/>
  <c r="F1713" i="66"/>
  <c r="M1712" i="66"/>
  <c r="J1712" i="66"/>
  <c r="H1712" i="66"/>
  <c r="F1712" i="66"/>
  <c r="M1711" i="66"/>
  <c r="J1711" i="66"/>
  <c r="H1711" i="66"/>
  <c r="F1711" i="66"/>
  <c r="M1710" i="66"/>
  <c r="J1710" i="66"/>
  <c r="H1710" i="66"/>
  <c r="F1710" i="66"/>
  <c r="M1709" i="66"/>
  <c r="J1709" i="66"/>
  <c r="H1709" i="66"/>
  <c r="F1709" i="66"/>
  <c r="M1708" i="66"/>
  <c r="J1708" i="66"/>
  <c r="H1708" i="66"/>
  <c r="F1708" i="66"/>
  <c r="M1707" i="66"/>
  <c r="J1707" i="66"/>
  <c r="H1707" i="66"/>
  <c r="F1707" i="66"/>
  <c r="M1706" i="66"/>
  <c r="J1706" i="66"/>
  <c r="H1706" i="66"/>
  <c r="F1706" i="66"/>
  <c r="M1705" i="66"/>
  <c r="J1705" i="66"/>
  <c r="H1705" i="66"/>
  <c r="F1705" i="66"/>
  <c r="M1704" i="66"/>
  <c r="J1704" i="66"/>
  <c r="H1704" i="66"/>
  <c r="F1704" i="66"/>
  <c r="M1700" i="66"/>
  <c r="K1700" i="66"/>
  <c r="I1700" i="66"/>
  <c r="F1700" i="66"/>
  <c r="M1699" i="66"/>
  <c r="K1699" i="66"/>
  <c r="I1699" i="66"/>
  <c r="F1699" i="66"/>
  <c r="M1698" i="66"/>
  <c r="K1698" i="66"/>
  <c r="I1698" i="66"/>
  <c r="F1698" i="66"/>
  <c r="M1697" i="66"/>
  <c r="K1697" i="66"/>
  <c r="I1697" i="66"/>
  <c r="F1697" i="66"/>
  <c r="M1696" i="66"/>
  <c r="K1696" i="66"/>
  <c r="I1696" i="66"/>
  <c r="F1696" i="66"/>
  <c r="M1695" i="66"/>
  <c r="K1695" i="66"/>
  <c r="I1695" i="66"/>
  <c r="F1695" i="66"/>
  <c r="M1694" i="66"/>
  <c r="K1694" i="66"/>
  <c r="I1694" i="66"/>
  <c r="F1694" i="66"/>
  <c r="M1693" i="66"/>
  <c r="K1693" i="66"/>
  <c r="I1693" i="66"/>
  <c r="F1693" i="66"/>
  <c r="M1692" i="66"/>
  <c r="K1692" i="66"/>
  <c r="I1692" i="66"/>
  <c r="F1692" i="66"/>
  <c r="M1691" i="66"/>
  <c r="K1691" i="66"/>
  <c r="I1691" i="66"/>
  <c r="F1691" i="66"/>
  <c r="J1685" i="66"/>
  <c r="J1684" i="66"/>
  <c r="J1683" i="66"/>
  <c r="J1682" i="66"/>
  <c r="J1679" i="66"/>
  <c r="J1678" i="66"/>
  <c r="J1677" i="66"/>
  <c r="J1676" i="66"/>
  <c r="J1673" i="66"/>
  <c r="J1672" i="66"/>
  <c r="J1671" i="66"/>
  <c r="J1670" i="66"/>
  <c r="J1669" i="66"/>
  <c r="J1668" i="66"/>
  <c r="J1667" i="66"/>
  <c r="J1666" i="66"/>
  <c r="J1665" i="66"/>
  <c r="J1663" i="66"/>
  <c r="J1660" i="66"/>
  <c r="J1658" i="66"/>
  <c r="M1650" i="66"/>
  <c r="L1650" i="66"/>
  <c r="K1650" i="66"/>
  <c r="J1650" i="66"/>
  <c r="I1650" i="66"/>
  <c r="D1650" i="66"/>
  <c r="M1649" i="66"/>
  <c r="L1649" i="66"/>
  <c r="K1649" i="66"/>
  <c r="J1649" i="66"/>
  <c r="I1649" i="66"/>
  <c r="D1649" i="66"/>
  <c r="C1649" i="66"/>
  <c r="M1648" i="66"/>
  <c r="L1648" i="66"/>
  <c r="K1648" i="66"/>
  <c r="J1648" i="66"/>
  <c r="I1648" i="66"/>
  <c r="D1648" i="66"/>
  <c r="C1648" i="66"/>
  <c r="M1647" i="66"/>
  <c r="L1647" i="66"/>
  <c r="K1647" i="66"/>
  <c r="J1647" i="66"/>
  <c r="I1647" i="66"/>
  <c r="D1647" i="66"/>
  <c r="C1647" i="66"/>
  <c r="M1646" i="66"/>
  <c r="L1646" i="66"/>
  <c r="K1646" i="66"/>
  <c r="J1646" i="66"/>
  <c r="I1646" i="66"/>
  <c r="D1646" i="66"/>
  <c r="C1646" i="66"/>
  <c r="M1645" i="66"/>
  <c r="L1645" i="66"/>
  <c r="K1645" i="66"/>
  <c r="J1645" i="66"/>
  <c r="I1645" i="66"/>
  <c r="D1645" i="66"/>
  <c r="C1645" i="66"/>
  <c r="M1644" i="66"/>
  <c r="L1644" i="66"/>
  <c r="K1644" i="66"/>
  <c r="J1644" i="66"/>
  <c r="I1644" i="66"/>
  <c r="D1644" i="66"/>
  <c r="C1644" i="66"/>
  <c r="M1643" i="66"/>
  <c r="L1643" i="66"/>
  <c r="K1643" i="66"/>
  <c r="J1643" i="66"/>
  <c r="I1643" i="66"/>
  <c r="D1643" i="66"/>
  <c r="C1643" i="66"/>
  <c r="M1642" i="66"/>
  <c r="L1642" i="66"/>
  <c r="K1642" i="66"/>
  <c r="J1642" i="66"/>
  <c r="I1642" i="66"/>
  <c r="D1642" i="66"/>
  <c r="C1642" i="66"/>
  <c r="M1641" i="66"/>
  <c r="L1641" i="66"/>
  <c r="K1641" i="66"/>
  <c r="J1641" i="66"/>
  <c r="I1641" i="66"/>
  <c r="D1641" i="66"/>
  <c r="C1641" i="66"/>
  <c r="M1640" i="66"/>
  <c r="L1640" i="66"/>
  <c r="K1640" i="66"/>
  <c r="J1640" i="66"/>
  <c r="I1640" i="66"/>
  <c r="D1640" i="66"/>
  <c r="C1640" i="66"/>
  <c r="M1639" i="66"/>
  <c r="L1639" i="66"/>
  <c r="K1639" i="66"/>
  <c r="J1639" i="66"/>
  <c r="I1639" i="66"/>
  <c r="D1639" i="66"/>
  <c r="C1639" i="66"/>
  <c r="M1638" i="66"/>
  <c r="L1638" i="66"/>
  <c r="K1638" i="66"/>
  <c r="J1638" i="66"/>
  <c r="I1638" i="66"/>
  <c r="D1638" i="66"/>
  <c r="C1638" i="66"/>
  <c r="M1637" i="66"/>
  <c r="L1637" i="66"/>
  <c r="K1637" i="66"/>
  <c r="J1637" i="66"/>
  <c r="I1637" i="66"/>
  <c r="D1637" i="66"/>
  <c r="C1637" i="66"/>
  <c r="M1636" i="66"/>
  <c r="L1636" i="66"/>
  <c r="K1636" i="66"/>
  <c r="J1636" i="66"/>
  <c r="I1636" i="66"/>
  <c r="D1636" i="66"/>
  <c r="C1636" i="66"/>
  <c r="M1635" i="66"/>
  <c r="L1635" i="66"/>
  <c r="K1635" i="66"/>
  <c r="J1635" i="66"/>
  <c r="I1635" i="66"/>
  <c r="D1635" i="66"/>
  <c r="C1635" i="66"/>
  <c r="M1634" i="66"/>
  <c r="L1634" i="66"/>
  <c r="K1634" i="66"/>
  <c r="J1634" i="66"/>
  <c r="I1634" i="66"/>
  <c r="D1634" i="66"/>
  <c r="C1634" i="66"/>
  <c r="M1633" i="66"/>
  <c r="L1633" i="66"/>
  <c r="K1633" i="66"/>
  <c r="J1633" i="66"/>
  <c r="I1633" i="66"/>
  <c r="D1633" i="66"/>
  <c r="C1633" i="66"/>
  <c r="M1632" i="66"/>
  <c r="L1632" i="66"/>
  <c r="K1632" i="66"/>
  <c r="J1632" i="66"/>
  <c r="I1632" i="66"/>
  <c r="D1632" i="66"/>
  <c r="C1632" i="66"/>
  <c r="M1631" i="66"/>
  <c r="L1631" i="66"/>
  <c r="K1631" i="66"/>
  <c r="J1631" i="66"/>
  <c r="I1631" i="66"/>
  <c r="D1631" i="66"/>
  <c r="C1631" i="66"/>
  <c r="M1630" i="66"/>
  <c r="L1630" i="66"/>
  <c r="K1630" i="66"/>
  <c r="J1630" i="66"/>
  <c r="I1630" i="66"/>
  <c r="D1630" i="66"/>
  <c r="C1630" i="66"/>
  <c r="M1629" i="66"/>
  <c r="L1629" i="66"/>
  <c r="K1629" i="66"/>
  <c r="J1629" i="66"/>
  <c r="I1629" i="66"/>
  <c r="D1629" i="66"/>
  <c r="E1627" i="66"/>
  <c r="E1626" i="66"/>
  <c r="D1626" i="66"/>
  <c r="M1624" i="66"/>
  <c r="L1624" i="66"/>
  <c r="K1624" i="66"/>
  <c r="J1624" i="66"/>
  <c r="I1624" i="66"/>
  <c r="E1624" i="66"/>
  <c r="D1624" i="66"/>
  <c r="M1623" i="66"/>
  <c r="L1623" i="66"/>
  <c r="K1623" i="66"/>
  <c r="J1623" i="66"/>
  <c r="I1623" i="66"/>
  <c r="E1623" i="66"/>
  <c r="D1623" i="66"/>
  <c r="M1622" i="66"/>
  <c r="L1622" i="66"/>
  <c r="K1622" i="66"/>
  <c r="J1622" i="66"/>
  <c r="I1622" i="66"/>
  <c r="M1620" i="66"/>
  <c r="E1620" i="66"/>
  <c r="D1620" i="66"/>
  <c r="M1619" i="66"/>
  <c r="E1619" i="66"/>
  <c r="D1619" i="66"/>
  <c r="E1618" i="66"/>
  <c r="E1617" i="66"/>
  <c r="E1616" i="66"/>
  <c r="E1615" i="66"/>
  <c r="D1615" i="66"/>
  <c r="E1613" i="66"/>
  <c r="M1612" i="66"/>
  <c r="E1612" i="66"/>
  <c r="D1612" i="66"/>
  <c r="D1610" i="66"/>
  <c r="C1610" i="66"/>
  <c r="M1608" i="66"/>
  <c r="L1608" i="66"/>
  <c r="K1608" i="66"/>
  <c r="J1608" i="66"/>
  <c r="I1608" i="66"/>
  <c r="D1608" i="66"/>
  <c r="M1607" i="66"/>
  <c r="L1607" i="66"/>
  <c r="K1607" i="66"/>
  <c r="J1607" i="66"/>
  <c r="I1607" i="66"/>
  <c r="D1607" i="66"/>
  <c r="C1607" i="66"/>
  <c r="M1606" i="66"/>
  <c r="L1606" i="66"/>
  <c r="K1606" i="66"/>
  <c r="J1606" i="66"/>
  <c r="I1606" i="66"/>
  <c r="D1606" i="66"/>
  <c r="C1606" i="66"/>
  <c r="M1605" i="66"/>
  <c r="L1605" i="66"/>
  <c r="K1605" i="66"/>
  <c r="J1605" i="66"/>
  <c r="I1605" i="66"/>
  <c r="D1605" i="66"/>
  <c r="C1605" i="66"/>
  <c r="N1604" i="66"/>
  <c r="M1604" i="66"/>
  <c r="L1604" i="66"/>
  <c r="K1604" i="66"/>
  <c r="J1604" i="66"/>
  <c r="I1604" i="66"/>
  <c r="D1604" i="66"/>
  <c r="C1604" i="66"/>
  <c r="N1603" i="66"/>
  <c r="M1603" i="66"/>
  <c r="L1603" i="66"/>
  <c r="K1603" i="66"/>
  <c r="J1603" i="66"/>
  <c r="I1603" i="66"/>
  <c r="D1603" i="66"/>
  <c r="C1603" i="66"/>
  <c r="N1602" i="66"/>
  <c r="M1602" i="66"/>
  <c r="L1602" i="66"/>
  <c r="K1602" i="66"/>
  <c r="J1602" i="66"/>
  <c r="I1602" i="66"/>
  <c r="D1602" i="66"/>
  <c r="C1602" i="66"/>
  <c r="N1601" i="66"/>
  <c r="M1601" i="66"/>
  <c r="L1601" i="66"/>
  <c r="K1601" i="66"/>
  <c r="J1601" i="66"/>
  <c r="I1601" i="66"/>
  <c r="D1601" i="66"/>
  <c r="C1601" i="66"/>
  <c r="N1600" i="66"/>
  <c r="M1600" i="66"/>
  <c r="L1600" i="66"/>
  <c r="K1600" i="66"/>
  <c r="J1600" i="66"/>
  <c r="I1600" i="66"/>
  <c r="D1600" i="66"/>
  <c r="C1600" i="66"/>
  <c r="N1599" i="66"/>
  <c r="M1599" i="66"/>
  <c r="L1599" i="66"/>
  <c r="K1599" i="66"/>
  <c r="J1599" i="66"/>
  <c r="I1599" i="66"/>
  <c r="D1599" i="66"/>
  <c r="C1599" i="66"/>
  <c r="N1598" i="66"/>
  <c r="M1598" i="66"/>
  <c r="L1598" i="66"/>
  <c r="K1598" i="66"/>
  <c r="J1598" i="66"/>
  <c r="I1598" i="66"/>
  <c r="D1598" i="66"/>
  <c r="C1598" i="66"/>
  <c r="N1597" i="66"/>
  <c r="M1597" i="66"/>
  <c r="L1597" i="66"/>
  <c r="K1597" i="66"/>
  <c r="J1597" i="66"/>
  <c r="I1597" i="66"/>
  <c r="D1597" i="66"/>
  <c r="C1597" i="66"/>
  <c r="N1596" i="66"/>
  <c r="M1596" i="66"/>
  <c r="L1596" i="66"/>
  <c r="K1596" i="66"/>
  <c r="J1596" i="66"/>
  <c r="I1596" i="66"/>
  <c r="D1596" i="66"/>
  <c r="C1596" i="66"/>
  <c r="N1595" i="66"/>
  <c r="M1595" i="66"/>
  <c r="L1595" i="66"/>
  <c r="K1595" i="66"/>
  <c r="J1595" i="66"/>
  <c r="I1595" i="66"/>
  <c r="D1595" i="66"/>
  <c r="C1595" i="66"/>
  <c r="N1594" i="66"/>
  <c r="M1594" i="66"/>
  <c r="L1594" i="66"/>
  <c r="K1594" i="66"/>
  <c r="J1594" i="66"/>
  <c r="I1594" i="66"/>
  <c r="D1594" i="66"/>
  <c r="C1594" i="66"/>
  <c r="N1593" i="66"/>
  <c r="M1593" i="66"/>
  <c r="L1593" i="66"/>
  <c r="K1593" i="66"/>
  <c r="J1593" i="66"/>
  <c r="I1593" i="66"/>
  <c r="D1593" i="66"/>
  <c r="C1593" i="66"/>
  <c r="N1592" i="66"/>
  <c r="M1592" i="66"/>
  <c r="L1592" i="66"/>
  <c r="K1592" i="66"/>
  <c r="J1592" i="66"/>
  <c r="I1592" i="66"/>
  <c r="D1592" i="66"/>
  <c r="C1592" i="66"/>
  <c r="N1591" i="66"/>
  <c r="M1591" i="66"/>
  <c r="L1591" i="66"/>
  <c r="K1591" i="66"/>
  <c r="J1591" i="66"/>
  <c r="I1591" i="66"/>
  <c r="D1591" i="66"/>
  <c r="C1591" i="66"/>
  <c r="N1590" i="66"/>
  <c r="M1590" i="66"/>
  <c r="L1590" i="66"/>
  <c r="K1590" i="66"/>
  <c r="J1590" i="66"/>
  <c r="I1590" i="66"/>
  <c r="D1590" i="66"/>
  <c r="C1590" i="66"/>
  <c r="N1589" i="66"/>
  <c r="M1589" i="66"/>
  <c r="L1589" i="66"/>
  <c r="K1589" i="66"/>
  <c r="J1589" i="66"/>
  <c r="I1589" i="66"/>
  <c r="D1589" i="66"/>
  <c r="C1589" i="66"/>
  <c r="N1588" i="66"/>
  <c r="M1588" i="66"/>
  <c r="L1588" i="66"/>
  <c r="K1588" i="66"/>
  <c r="J1588" i="66"/>
  <c r="I1588" i="66"/>
  <c r="D1588" i="66"/>
  <c r="C1588" i="66"/>
  <c r="N1587" i="66"/>
  <c r="M1587" i="66"/>
  <c r="L1587" i="66"/>
  <c r="K1587" i="66"/>
  <c r="J1587" i="66"/>
  <c r="I1587" i="66"/>
  <c r="D1587" i="66"/>
  <c r="E1585" i="66"/>
  <c r="D1585" i="66"/>
  <c r="M1583" i="66"/>
  <c r="L1583" i="66"/>
  <c r="K1583" i="66"/>
  <c r="J1583" i="66"/>
  <c r="I1583" i="66"/>
  <c r="E1583" i="66"/>
  <c r="M1582" i="66"/>
  <c r="L1582" i="66"/>
  <c r="K1582" i="66"/>
  <c r="J1582" i="66"/>
  <c r="I1582" i="66"/>
  <c r="E1581" i="66"/>
  <c r="D1581" i="66"/>
  <c r="M1579" i="66"/>
  <c r="L1579" i="66"/>
  <c r="K1579" i="66"/>
  <c r="J1579" i="66"/>
  <c r="I1579" i="66"/>
  <c r="E1579" i="66"/>
  <c r="E1578" i="66"/>
  <c r="M1577" i="66"/>
  <c r="L1577" i="66"/>
  <c r="K1577" i="66"/>
  <c r="J1577" i="66"/>
  <c r="I1577" i="66"/>
  <c r="E1577" i="66"/>
  <c r="M1576" i="66"/>
  <c r="L1576" i="66"/>
  <c r="K1576" i="66"/>
  <c r="J1576" i="66"/>
  <c r="I1576" i="66"/>
  <c r="E1576" i="66"/>
  <c r="M1575" i="66"/>
  <c r="L1575" i="66"/>
  <c r="K1575" i="66"/>
  <c r="J1575" i="66"/>
  <c r="I1575" i="66"/>
  <c r="E1574" i="66"/>
  <c r="D1574" i="66"/>
  <c r="E1572" i="66"/>
  <c r="E1571" i="66"/>
  <c r="E1570" i="66"/>
  <c r="E1569" i="66"/>
  <c r="D1569" i="66"/>
  <c r="E1567" i="66"/>
  <c r="E1566" i="66"/>
  <c r="D1565" i="66"/>
  <c r="C1565" i="66"/>
  <c r="D1563" i="66"/>
  <c r="F1561" i="66"/>
  <c r="E1561" i="66"/>
  <c r="F1560" i="66"/>
  <c r="E1560" i="66"/>
  <c r="F1559" i="66"/>
  <c r="E1559" i="66"/>
  <c r="F1558" i="66"/>
  <c r="E1558" i="66"/>
  <c r="F1557" i="66"/>
  <c r="E1557" i="66"/>
  <c r="F1556" i="66"/>
  <c r="E1556" i="66"/>
  <c r="F1555" i="66"/>
  <c r="E1555" i="66"/>
  <c r="E1554" i="66"/>
  <c r="F1553" i="66"/>
  <c r="E1553" i="66"/>
  <c r="F1552" i="66"/>
  <c r="E1552" i="66"/>
  <c r="F1551" i="66"/>
  <c r="E1551" i="66"/>
  <c r="E1550" i="66"/>
  <c r="D1548" i="66"/>
  <c r="C1548" i="66"/>
  <c r="E1545" i="66"/>
  <c r="G1541" i="66"/>
  <c r="F1541" i="66"/>
  <c r="F1540" i="66"/>
  <c r="E1538" i="66"/>
  <c r="E1537" i="66"/>
  <c r="E1532" i="66"/>
  <c r="M1545" i="66"/>
  <c r="L1545" i="66"/>
  <c r="K1545" i="66"/>
  <c r="J1545" i="66"/>
  <c r="I1545" i="66"/>
  <c r="H1545" i="66"/>
  <c r="M1544" i="66"/>
  <c r="L1544" i="66"/>
  <c r="K1544" i="66"/>
  <c r="J1544" i="66"/>
  <c r="I1544" i="66"/>
  <c r="H1544" i="66"/>
  <c r="N1541" i="66"/>
  <c r="M1541" i="66"/>
  <c r="L1541" i="66"/>
  <c r="K1541" i="66"/>
  <c r="J1541" i="66"/>
  <c r="I1541" i="66"/>
  <c r="M1540" i="66"/>
  <c r="K1540" i="66"/>
  <c r="I1540" i="66"/>
  <c r="N1538" i="66"/>
  <c r="M1538" i="66"/>
  <c r="L1538" i="66"/>
  <c r="K1538" i="66"/>
  <c r="J1538" i="66"/>
  <c r="I1538" i="66"/>
  <c r="H1538" i="66"/>
  <c r="N1537" i="66"/>
  <c r="M1537" i="66"/>
  <c r="L1537" i="66"/>
  <c r="K1537" i="66"/>
  <c r="J1537" i="66"/>
  <c r="I1537" i="66"/>
  <c r="H1537" i="66"/>
  <c r="M1536" i="66"/>
  <c r="L1536" i="66"/>
  <c r="K1536" i="66"/>
  <c r="J1536" i="66"/>
  <c r="I1536" i="66"/>
  <c r="H1536" i="66"/>
  <c r="N1534" i="66"/>
  <c r="M1534" i="66"/>
  <c r="H1534" i="66"/>
  <c r="N1533" i="66"/>
  <c r="M1533" i="66"/>
  <c r="H1533" i="66"/>
  <c r="N1532" i="66"/>
  <c r="M1532" i="66"/>
  <c r="L1532" i="66"/>
  <c r="J1532" i="66"/>
  <c r="I1532" i="66"/>
  <c r="H1532" i="66"/>
  <c r="M1531" i="66"/>
  <c r="L1531" i="66"/>
  <c r="J1531" i="66"/>
  <c r="I1531" i="66"/>
  <c r="H1531" i="66"/>
  <c r="M1529" i="66"/>
  <c r="I1529" i="66"/>
  <c r="D1529" i="66"/>
  <c r="C1529" i="66"/>
  <c r="E1525" i="66"/>
  <c r="G1521" i="66"/>
  <c r="F1521" i="66"/>
  <c r="F1520" i="66"/>
  <c r="E1518" i="66"/>
  <c r="E1517" i="66"/>
  <c r="E1512" i="66"/>
  <c r="M1525" i="66"/>
  <c r="L1525" i="66"/>
  <c r="K1525" i="66"/>
  <c r="J1525" i="66"/>
  <c r="I1525" i="66"/>
  <c r="H1525" i="66"/>
  <c r="M1524" i="66"/>
  <c r="L1524" i="66"/>
  <c r="K1524" i="66"/>
  <c r="J1524" i="66"/>
  <c r="I1524" i="66"/>
  <c r="H1524" i="66"/>
  <c r="N1521" i="66"/>
  <c r="M1521" i="66"/>
  <c r="L1521" i="66"/>
  <c r="K1521" i="66"/>
  <c r="J1521" i="66"/>
  <c r="I1521" i="66"/>
  <c r="M1520" i="66"/>
  <c r="K1520" i="66"/>
  <c r="I1520" i="66"/>
  <c r="N1518" i="66"/>
  <c r="M1518" i="66"/>
  <c r="L1518" i="66"/>
  <c r="K1518" i="66"/>
  <c r="J1518" i="66"/>
  <c r="I1518" i="66"/>
  <c r="H1518" i="66"/>
  <c r="N1517" i="66"/>
  <c r="M1517" i="66"/>
  <c r="L1517" i="66"/>
  <c r="K1517" i="66"/>
  <c r="J1517" i="66"/>
  <c r="I1517" i="66"/>
  <c r="H1517" i="66"/>
  <c r="M1516" i="66"/>
  <c r="L1516" i="66"/>
  <c r="K1516" i="66"/>
  <c r="J1516" i="66"/>
  <c r="I1516" i="66"/>
  <c r="H1516" i="66"/>
  <c r="N1514" i="66"/>
  <c r="M1514" i="66"/>
  <c r="H1514" i="66"/>
  <c r="N1513" i="66"/>
  <c r="M1513" i="66"/>
  <c r="H1513" i="66"/>
  <c r="N1512" i="66"/>
  <c r="M1512" i="66"/>
  <c r="L1512" i="66"/>
  <c r="J1512" i="66"/>
  <c r="I1512" i="66"/>
  <c r="H1512" i="66"/>
  <c r="M1511" i="66"/>
  <c r="L1511" i="66"/>
  <c r="J1511" i="66"/>
  <c r="I1511" i="66"/>
  <c r="H1511" i="66"/>
  <c r="M1509" i="66"/>
  <c r="I1509" i="66"/>
  <c r="D1509" i="66"/>
  <c r="C1509" i="66"/>
  <c r="E1505" i="66"/>
  <c r="G1501" i="66"/>
  <c r="F1501" i="66"/>
  <c r="F1500" i="66"/>
  <c r="E1498" i="66"/>
  <c r="E1497" i="66"/>
  <c r="E1492" i="66"/>
  <c r="M1505" i="66"/>
  <c r="L1505" i="66"/>
  <c r="K1505" i="66"/>
  <c r="J1505" i="66"/>
  <c r="I1505" i="66"/>
  <c r="H1505" i="66"/>
  <c r="M1504" i="66"/>
  <c r="L1504" i="66"/>
  <c r="K1504" i="66"/>
  <c r="J1504" i="66"/>
  <c r="I1504" i="66"/>
  <c r="H1504" i="66"/>
  <c r="N1501" i="66"/>
  <c r="M1501" i="66"/>
  <c r="L1501" i="66"/>
  <c r="K1501" i="66"/>
  <c r="J1501" i="66"/>
  <c r="I1501" i="66"/>
  <c r="M1500" i="66"/>
  <c r="K1500" i="66"/>
  <c r="I1500" i="66"/>
  <c r="N1498" i="66"/>
  <c r="M1498" i="66"/>
  <c r="L1498" i="66"/>
  <c r="K1498" i="66"/>
  <c r="J1498" i="66"/>
  <c r="I1498" i="66"/>
  <c r="H1498" i="66"/>
  <c r="N1497" i="66"/>
  <c r="M1497" i="66"/>
  <c r="L1497" i="66"/>
  <c r="K1497" i="66"/>
  <c r="J1497" i="66"/>
  <c r="I1497" i="66"/>
  <c r="H1497" i="66"/>
  <c r="M1496" i="66"/>
  <c r="L1496" i="66"/>
  <c r="K1496" i="66"/>
  <c r="J1496" i="66"/>
  <c r="I1496" i="66"/>
  <c r="H1496" i="66"/>
  <c r="N1494" i="66"/>
  <c r="M1494" i="66"/>
  <c r="H1494" i="66"/>
  <c r="N1493" i="66"/>
  <c r="M1493" i="66"/>
  <c r="H1493" i="66"/>
  <c r="N1492" i="66"/>
  <c r="M1492" i="66"/>
  <c r="L1492" i="66"/>
  <c r="J1492" i="66"/>
  <c r="I1492" i="66"/>
  <c r="H1492" i="66"/>
  <c r="M1491" i="66"/>
  <c r="L1491" i="66"/>
  <c r="J1491" i="66"/>
  <c r="I1491" i="66"/>
  <c r="H1491" i="66"/>
  <c r="M1489" i="66"/>
  <c r="I1489" i="66"/>
  <c r="D1489" i="66"/>
  <c r="C1489" i="66"/>
  <c r="E1485" i="66"/>
  <c r="E1484" i="66"/>
  <c r="E1482" i="66"/>
  <c r="E1480" i="66"/>
  <c r="E1479" i="66"/>
  <c r="E1478" i="66"/>
  <c r="E1477" i="66"/>
  <c r="E1476" i="66"/>
  <c r="E1475" i="66"/>
  <c r="E1473" i="66"/>
  <c r="G1469" i="66"/>
  <c r="F1469" i="66"/>
  <c r="F1468" i="66"/>
  <c r="E1466" i="66"/>
  <c r="E1465" i="66"/>
  <c r="E1460" i="66"/>
  <c r="M1485" i="66"/>
  <c r="L1485" i="66"/>
  <c r="K1485" i="66"/>
  <c r="J1485" i="66"/>
  <c r="I1485" i="66"/>
  <c r="H1485" i="66"/>
  <c r="M1484" i="66"/>
  <c r="L1484" i="66"/>
  <c r="K1484" i="66"/>
  <c r="J1484" i="66"/>
  <c r="I1484" i="66"/>
  <c r="H1484" i="66"/>
  <c r="M1482" i="66"/>
  <c r="L1482" i="66"/>
  <c r="K1482" i="66"/>
  <c r="J1482" i="66"/>
  <c r="I1482" i="66"/>
  <c r="H1482" i="66"/>
  <c r="M1480" i="66"/>
  <c r="L1480" i="66"/>
  <c r="K1480" i="66"/>
  <c r="J1480" i="66"/>
  <c r="I1480" i="66"/>
  <c r="H1480" i="66"/>
  <c r="M1479" i="66"/>
  <c r="L1479" i="66"/>
  <c r="K1479" i="66"/>
  <c r="J1479" i="66"/>
  <c r="I1479" i="66"/>
  <c r="H1479" i="66"/>
  <c r="M1478" i="66"/>
  <c r="L1478" i="66"/>
  <c r="K1478" i="66"/>
  <c r="J1478" i="66"/>
  <c r="I1478" i="66"/>
  <c r="H1478" i="66"/>
  <c r="M1477" i="66"/>
  <c r="L1477" i="66"/>
  <c r="K1477" i="66"/>
  <c r="J1477" i="66"/>
  <c r="I1477" i="66"/>
  <c r="H1477" i="66"/>
  <c r="M1476" i="66"/>
  <c r="L1476" i="66"/>
  <c r="K1476" i="66"/>
  <c r="J1476" i="66"/>
  <c r="I1476" i="66"/>
  <c r="H1476" i="66"/>
  <c r="M1475" i="66"/>
  <c r="L1475" i="66"/>
  <c r="K1475" i="66"/>
  <c r="J1475" i="66"/>
  <c r="I1475" i="66"/>
  <c r="H1475" i="66"/>
  <c r="M1473" i="66"/>
  <c r="L1473" i="66"/>
  <c r="K1473" i="66"/>
  <c r="J1473" i="66"/>
  <c r="I1473" i="66"/>
  <c r="H1473" i="66"/>
  <c r="M1472" i="66"/>
  <c r="L1472" i="66"/>
  <c r="K1472" i="66"/>
  <c r="J1472" i="66"/>
  <c r="I1472" i="66"/>
  <c r="H1472" i="66"/>
  <c r="N1469" i="66"/>
  <c r="M1469" i="66"/>
  <c r="L1469" i="66"/>
  <c r="K1469" i="66"/>
  <c r="J1469" i="66"/>
  <c r="I1469" i="66"/>
  <c r="M1468" i="66"/>
  <c r="K1468" i="66"/>
  <c r="I1468" i="66"/>
  <c r="N1466" i="66"/>
  <c r="M1466" i="66"/>
  <c r="L1466" i="66"/>
  <c r="K1466" i="66"/>
  <c r="J1466" i="66"/>
  <c r="I1466" i="66"/>
  <c r="H1466" i="66"/>
  <c r="N1465" i="66"/>
  <c r="M1465" i="66"/>
  <c r="L1465" i="66"/>
  <c r="K1465" i="66"/>
  <c r="J1465" i="66"/>
  <c r="I1465" i="66"/>
  <c r="H1465" i="66"/>
  <c r="M1464" i="66"/>
  <c r="L1464" i="66"/>
  <c r="K1464" i="66"/>
  <c r="J1464" i="66"/>
  <c r="I1464" i="66"/>
  <c r="H1464" i="66"/>
  <c r="N1462" i="66"/>
  <c r="M1462" i="66"/>
  <c r="H1462" i="66"/>
  <c r="N1461" i="66"/>
  <c r="M1461" i="66"/>
  <c r="H1461" i="66"/>
  <c r="N1460" i="66"/>
  <c r="M1460" i="66"/>
  <c r="L1460" i="66"/>
  <c r="J1460" i="66"/>
  <c r="I1460" i="66"/>
  <c r="H1460" i="66"/>
  <c r="M1459" i="66"/>
  <c r="L1459" i="66"/>
  <c r="J1459" i="66"/>
  <c r="I1459" i="66"/>
  <c r="H1459" i="66"/>
  <c r="M1457" i="66"/>
  <c r="I1457" i="66"/>
  <c r="D1457" i="66"/>
  <c r="C1457" i="66"/>
  <c r="E1453" i="66"/>
  <c r="E1452" i="66"/>
  <c r="E1450" i="66"/>
  <c r="E1448" i="66"/>
  <c r="E1447" i="66"/>
  <c r="E1446" i="66"/>
  <c r="E1445" i="66"/>
  <c r="E1444" i="66"/>
  <c r="E1443" i="66"/>
  <c r="E1441" i="66"/>
  <c r="G1437" i="66"/>
  <c r="F1437" i="66"/>
  <c r="F1436" i="66"/>
  <c r="E1434" i="66"/>
  <c r="E1433" i="66"/>
  <c r="E1428" i="66"/>
  <c r="M1453" i="66"/>
  <c r="L1453" i="66"/>
  <c r="K1453" i="66"/>
  <c r="J1453" i="66"/>
  <c r="I1453" i="66"/>
  <c r="H1453" i="66"/>
  <c r="M1452" i="66"/>
  <c r="L1452" i="66"/>
  <c r="K1452" i="66"/>
  <c r="J1452" i="66"/>
  <c r="I1452" i="66"/>
  <c r="H1452" i="66"/>
  <c r="M1450" i="66"/>
  <c r="L1450" i="66"/>
  <c r="K1450" i="66"/>
  <c r="J1450" i="66"/>
  <c r="I1450" i="66"/>
  <c r="H1450" i="66"/>
  <c r="M1448" i="66"/>
  <c r="L1448" i="66"/>
  <c r="K1448" i="66"/>
  <c r="J1448" i="66"/>
  <c r="I1448" i="66"/>
  <c r="H1448" i="66"/>
  <c r="M1447" i="66"/>
  <c r="L1447" i="66"/>
  <c r="K1447" i="66"/>
  <c r="J1447" i="66"/>
  <c r="I1447" i="66"/>
  <c r="H1447" i="66"/>
  <c r="M1446" i="66"/>
  <c r="L1446" i="66"/>
  <c r="K1446" i="66"/>
  <c r="J1446" i="66"/>
  <c r="I1446" i="66"/>
  <c r="H1446" i="66"/>
  <c r="M1445" i="66"/>
  <c r="L1445" i="66"/>
  <c r="K1445" i="66"/>
  <c r="J1445" i="66"/>
  <c r="I1445" i="66"/>
  <c r="H1445" i="66"/>
  <c r="M1444" i="66"/>
  <c r="L1444" i="66"/>
  <c r="K1444" i="66"/>
  <c r="J1444" i="66"/>
  <c r="I1444" i="66"/>
  <c r="H1444" i="66"/>
  <c r="M1443" i="66"/>
  <c r="L1443" i="66"/>
  <c r="K1443" i="66"/>
  <c r="J1443" i="66"/>
  <c r="I1443" i="66"/>
  <c r="H1443" i="66"/>
  <c r="M1441" i="66"/>
  <c r="L1441" i="66"/>
  <c r="K1441" i="66"/>
  <c r="J1441" i="66"/>
  <c r="I1441" i="66"/>
  <c r="H1441" i="66"/>
  <c r="M1440" i="66"/>
  <c r="L1440" i="66"/>
  <c r="K1440" i="66"/>
  <c r="J1440" i="66"/>
  <c r="I1440" i="66"/>
  <c r="H1440" i="66"/>
  <c r="N1437" i="66"/>
  <c r="M1437" i="66"/>
  <c r="L1437" i="66"/>
  <c r="K1437" i="66"/>
  <c r="J1437" i="66"/>
  <c r="I1437" i="66"/>
  <c r="M1436" i="66"/>
  <c r="K1436" i="66"/>
  <c r="I1436" i="66"/>
  <c r="N1434" i="66"/>
  <c r="M1434" i="66"/>
  <c r="L1434" i="66"/>
  <c r="K1434" i="66"/>
  <c r="J1434" i="66"/>
  <c r="I1434" i="66"/>
  <c r="H1434" i="66"/>
  <c r="N1433" i="66"/>
  <c r="M1433" i="66"/>
  <c r="L1433" i="66"/>
  <c r="K1433" i="66"/>
  <c r="J1433" i="66"/>
  <c r="I1433" i="66"/>
  <c r="H1433" i="66"/>
  <c r="M1432" i="66"/>
  <c r="L1432" i="66"/>
  <c r="K1432" i="66"/>
  <c r="J1432" i="66"/>
  <c r="I1432" i="66"/>
  <c r="H1432" i="66"/>
  <c r="N1430" i="66"/>
  <c r="M1430" i="66"/>
  <c r="H1430" i="66"/>
  <c r="N1429" i="66"/>
  <c r="M1429" i="66"/>
  <c r="H1429" i="66"/>
  <c r="N1428" i="66"/>
  <c r="M1428" i="66"/>
  <c r="L1428" i="66"/>
  <c r="J1428" i="66"/>
  <c r="I1428" i="66"/>
  <c r="H1428" i="66"/>
  <c r="M1427" i="66"/>
  <c r="L1427" i="66"/>
  <c r="J1427" i="66"/>
  <c r="I1427" i="66"/>
  <c r="H1427" i="66"/>
  <c r="M1425" i="66"/>
  <c r="I1425" i="66"/>
  <c r="D1425" i="66"/>
  <c r="C1425" i="66"/>
  <c r="E1421" i="66"/>
  <c r="E1420" i="66"/>
  <c r="E1418" i="66"/>
  <c r="E1416" i="66"/>
  <c r="E1415" i="66"/>
  <c r="E1414" i="66"/>
  <c r="E1413" i="66"/>
  <c r="E1412" i="66"/>
  <c r="E1411" i="66"/>
  <c r="E1409" i="66"/>
  <c r="G1405" i="66"/>
  <c r="F1405" i="66"/>
  <c r="F1404" i="66"/>
  <c r="E1402" i="66"/>
  <c r="E1401" i="66"/>
  <c r="E1396" i="66"/>
  <c r="M1421" i="66"/>
  <c r="L1421" i="66"/>
  <c r="K1421" i="66"/>
  <c r="J1421" i="66"/>
  <c r="I1421" i="66"/>
  <c r="H1421" i="66"/>
  <c r="M1420" i="66"/>
  <c r="L1420" i="66"/>
  <c r="K1420" i="66"/>
  <c r="J1420" i="66"/>
  <c r="I1420" i="66"/>
  <c r="H1420" i="66"/>
  <c r="M1418" i="66"/>
  <c r="L1418" i="66"/>
  <c r="K1418" i="66"/>
  <c r="J1418" i="66"/>
  <c r="I1418" i="66"/>
  <c r="H1418" i="66"/>
  <c r="M1416" i="66"/>
  <c r="L1416" i="66"/>
  <c r="K1416" i="66"/>
  <c r="J1416" i="66"/>
  <c r="I1416" i="66"/>
  <c r="H1416" i="66"/>
  <c r="M1415" i="66"/>
  <c r="L1415" i="66"/>
  <c r="K1415" i="66"/>
  <c r="J1415" i="66"/>
  <c r="I1415" i="66"/>
  <c r="H1415" i="66"/>
  <c r="M1414" i="66"/>
  <c r="L1414" i="66"/>
  <c r="K1414" i="66"/>
  <c r="J1414" i="66"/>
  <c r="I1414" i="66"/>
  <c r="H1414" i="66"/>
  <c r="M1413" i="66"/>
  <c r="L1413" i="66"/>
  <c r="K1413" i="66"/>
  <c r="J1413" i="66"/>
  <c r="I1413" i="66"/>
  <c r="H1413" i="66"/>
  <c r="M1412" i="66"/>
  <c r="L1412" i="66"/>
  <c r="K1412" i="66"/>
  <c r="J1412" i="66"/>
  <c r="I1412" i="66"/>
  <c r="H1412" i="66"/>
  <c r="M1411" i="66"/>
  <c r="L1411" i="66"/>
  <c r="K1411" i="66"/>
  <c r="J1411" i="66"/>
  <c r="I1411" i="66"/>
  <c r="H1411" i="66"/>
  <c r="M1409" i="66"/>
  <c r="L1409" i="66"/>
  <c r="K1409" i="66"/>
  <c r="J1409" i="66"/>
  <c r="I1409" i="66"/>
  <c r="H1409" i="66"/>
  <c r="M1408" i="66"/>
  <c r="L1408" i="66"/>
  <c r="K1408" i="66"/>
  <c r="J1408" i="66"/>
  <c r="I1408" i="66"/>
  <c r="H1408" i="66"/>
  <c r="N1405" i="66"/>
  <c r="M1405" i="66"/>
  <c r="L1405" i="66"/>
  <c r="K1405" i="66"/>
  <c r="J1405" i="66"/>
  <c r="I1405" i="66"/>
  <c r="M1404" i="66"/>
  <c r="K1404" i="66"/>
  <c r="I1404" i="66"/>
  <c r="N1402" i="66"/>
  <c r="M1402" i="66"/>
  <c r="L1402" i="66"/>
  <c r="K1402" i="66"/>
  <c r="J1402" i="66"/>
  <c r="I1402" i="66"/>
  <c r="H1402" i="66"/>
  <c r="N1401" i="66"/>
  <c r="M1401" i="66"/>
  <c r="L1401" i="66"/>
  <c r="K1401" i="66"/>
  <c r="J1401" i="66"/>
  <c r="I1401" i="66"/>
  <c r="H1401" i="66"/>
  <c r="M1400" i="66"/>
  <c r="L1400" i="66"/>
  <c r="K1400" i="66"/>
  <c r="J1400" i="66"/>
  <c r="I1400" i="66"/>
  <c r="H1400" i="66"/>
  <c r="N1398" i="66"/>
  <c r="M1398" i="66"/>
  <c r="H1398" i="66"/>
  <c r="N1397" i="66"/>
  <c r="M1397" i="66"/>
  <c r="H1397" i="66"/>
  <c r="N1396" i="66"/>
  <c r="M1396" i="66"/>
  <c r="L1396" i="66"/>
  <c r="J1396" i="66"/>
  <c r="I1396" i="66"/>
  <c r="H1396" i="66"/>
  <c r="M1395" i="66"/>
  <c r="L1395" i="66"/>
  <c r="J1395" i="66"/>
  <c r="I1395" i="66"/>
  <c r="H1395" i="66"/>
  <c r="M1393" i="66"/>
  <c r="I1393" i="66"/>
  <c r="D1393" i="66"/>
  <c r="C1393" i="66"/>
  <c r="E1389" i="66"/>
  <c r="E1388" i="66"/>
  <c r="E1387" i="66"/>
  <c r="E1386" i="66"/>
  <c r="E1385" i="66"/>
  <c r="E1384" i="66"/>
  <c r="E1383" i="66"/>
  <c r="E1382" i="66"/>
  <c r="E1381" i="66"/>
  <c r="E1380" i="66"/>
  <c r="E1378" i="66"/>
  <c r="E1376" i="66"/>
  <c r="E1375" i="66"/>
  <c r="E1374" i="66"/>
  <c r="E1373" i="66"/>
  <c r="E1372" i="66"/>
  <c r="E1371" i="66"/>
  <c r="E1370" i="66"/>
  <c r="E1369" i="66"/>
  <c r="E1368" i="66"/>
  <c r="E1366" i="66"/>
  <c r="E1364" i="66"/>
  <c r="E1363" i="66"/>
  <c r="G1359" i="66"/>
  <c r="F1359" i="66"/>
  <c r="F1358" i="66"/>
  <c r="E1356" i="66"/>
  <c r="E1355" i="66"/>
  <c r="E1350" i="66"/>
  <c r="M1389" i="66"/>
  <c r="L1389" i="66"/>
  <c r="K1389" i="66"/>
  <c r="J1389" i="66"/>
  <c r="I1389" i="66"/>
  <c r="H1389" i="66"/>
  <c r="M1388" i="66"/>
  <c r="L1388" i="66"/>
  <c r="K1388" i="66"/>
  <c r="J1388" i="66"/>
  <c r="I1388" i="66"/>
  <c r="H1388" i="66"/>
  <c r="M1387" i="66"/>
  <c r="L1387" i="66"/>
  <c r="K1387" i="66"/>
  <c r="J1387" i="66"/>
  <c r="I1387" i="66"/>
  <c r="H1387" i="66"/>
  <c r="M1386" i="66"/>
  <c r="L1386" i="66"/>
  <c r="K1386" i="66"/>
  <c r="J1386" i="66"/>
  <c r="I1386" i="66"/>
  <c r="H1386" i="66"/>
  <c r="M1385" i="66"/>
  <c r="L1385" i="66"/>
  <c r="K1385" i="66"/>
  <c r="J1385" i="66"/>
  <c r="I1385" i="66"/>
  <c r="H1385" i="66"/>
  <c r="M1384" i="66"/>
  <c r="L1384" i="66"/>
  <c r="K1384" i="66"/>
  <c r="J1384" i="66"/>
  <c r="I1384" i="66"/>
  <c r="H1384" i="66"/>
  <c r="M1383" i="66"/>
  <c r="L1383" i="66"/>
  <c r="K1383" i="66"/>
  <c r="J1383" i="66"/>
  <c r="I1383" i="66"/>
  <c r="H1383" i="66"/>
  <c r="M1382" i="66"/>
  <c r="L1382" i="66"/>
  <c r="K1382" i="66"/>
  <c r="J1382" i="66"/>
  <c r="I1382" i="66"/>
  <c r="H1382" i="66"/>
  <c r="M1381" i="66"/>
  <c r="L1381" i="66"/>
  <c r="K1381" i="66"/>
  <c r="J1381" i="66"/>
  <c r="I1381" i="66"/>
  <c r="H1381" i="66"/>
  <c r="M1380" i="66"/>
  <c r="L1380" i="66"/>
  <c r="K1380" i="66"/>
  <c r="J1380" i="66"/>
  <c r="I1380" i="66"/>
  <c r="H1380" i="66"/>
  <c r="M1378" i="66"/>
  <c r="L1378" i="66"/>
  <c r="K1378" i="66"/>
  <c r="J1378" i="66"/>
  <c r="I1378" i="66"/>
  <c r="H1378" i="66"/>
  <c r="M1376" i="66"/>
  <c r="L1376" i="66"/>
  <c r="K1376" i="66"/>
  <c r="J1376" i="66"/>
  <c r="I1376" i="66"/>
  <c r="H1376" i="66"/>
  <c r="M1375" i="66"/>
  <c r="L1375" i="66"/>
  <c r="K1375" i="66"/>
  <c r="J1375" i="66"/>
  <c r="I1375" i="66"/>
  <c r="H1375" i="66"/>
  <c r="M1374" i="66"/>
  <c r="L1374" i="66"/>
  <c r="K1374" i="66"/>
  <c r="J1374" i="66"/>
  <c r="I1374" i="66"/>
  <c r="H1374" i="66"/>
  <c r="M1373" i="66"/>
  <c r="L1373" i="66"/>
  <c r="K1373" i="66"/>
  <c r="J1373" i="66"/>
  <c r="I1373" i="66"/>
  <c r="H1373" i="66"/>
  <c r="M1372" i="66"/>
  <c r="L1372" i="66"/>
  <c r="K1372" i="66"/>
  <c r="J1372" i="66"/>
  <c r="I1372" i="66"/>
  <c r="H1372" i="66"/>
  <c r="M1371" i="66"/>
  <c r="L1371" i="66"/>
  <c r="K1371" i="66"/>
  <c r="J1371" i="66"/>
  <c r="I1371" i="66"/>
  <c r="H1371" i="66"/>
  <c r="M1370" i="66"/>
  <c r="L1370" i="66"/>
  <c r="K1370" i="66"/>
  <c r="J1370" i="66"/>
  <c r="I1370" i="66"/>
  <c r="H1370" i="66"/>
  <c r="M1369" i="66"/>
  <c r="L1369" i="66"/>
  <c r="K1369" i="66"/>
  <c r="J1369" i="66"/>
  <c r="I1369" i="66"/>
  <c r="H1369" i="66"/>
  <c r="M1368" i="66"/>
  <c r="L1368" i="66"/>
  <c r="K1368" i="66"/>
  <c r="J1368" i="66"/>
  <c r="I1368" i="66"/>
  <c r="H1368" i="66"/>
  <c r="M1366" i="66"/>
  <c r="L1366" i="66"/>
  <c r="K1366" i="66"/>
  <c r="J1366" i="66"/>
  <c r="I1366" i="66"/>
  <c r="H1366" i="66"/>
  <c r="M1364" i="66"/>
  <c r="L1364" i="66"/>
  <c r="K1364" i="66"/>
  <c r="J1364" i="66"/>
  <c r="I1364" i="66"/>
  <c r="H1364" i="66"/>
  <c r="M1363" i="66"/>
  <c r="L1363" i="66"/>
  <c r="K1363" i="66"/>
  <c r="J1363" i="66"/>
  <c r="I1363" i="66"/>
  <c r="H1363" i="66"/>
  <c r="M1362" i="66"/>
  <c r="L1362" i="66"/>
  <c r="K1362" i="66"/>
  <c r="J1362" i="66"/>
  <c r="I1362" i="66"/>
  <c r="H1362" i="66"/>
  <c r="N1359" i="66"/>
  <c r="M1359" i="66"/>
  <c r="L1359" i="66"/>
  <c r="K1359" i="66"/>
  <c r="J1359" i="66"/>
  <c r="I1359" i="66"/>
  <c r="M1358" i="66"/>
  <c r="K1358" i="66"/>
  <c r="I1358" i="66"/>
  <c r="N1356" i="66"/>
  <c r="M1356" i="66"/>
  <c r="L1356" i="66"/>
  <c r="K1356" i="66"/>
  <c r="J1356" i="66"/>
  <c r="I1356" i="66"/>
  <c r="H1356" i="66"/>
  <c r="N1355" i="66"/>
  <c r="M1355" i="66"/>
  <c r="L1355" i="66"/>
  <c r="K1355" i="66"/>
  <c r="J1355" i="66"/>
  <c r="I1355" i="66"/>
  <c r="H1355" i="66"/>
  <c r="M1354" i="66"/>
  <c r="L1354" i="66"/>
  <c r="K1354" i="66"/>
  <c r="J1354" i="66"/>
  <c r="I1354" i="66"/>
  <c r="H1354" i="66"/>
  <c r="N1352" i="66"/>
  <c r="M1352" i="66"/>
  <c r="H1352" i="66"/>
  <c r="N1351" i="66"/>
  <c r="M1351" i="66"/>
  <c r="H1351" i="66"/>
  <c r="N1350" i="66"/>
  <c r="M1350" i="66"/>
  <c r="L1350" i="66"/>
  <c r="J1350" i="66"/>
  <c r="I1350" i="66"/>
  <c r="H1350" i="66"/>
  <c r="M1349" i="66"/>
  <c r="L1349" i="66"/>
  <c r="J1349" i="66"/>
  <c r="I1349" i="66"/>
  <c r="H1349" i="66"/>
  <c r="M1347" i="66"/>
  <c r="I1347" i="66"/>
  <c r="D1347" i="66"/>
  <c r="C1347" i="66"/>
  <c r="E1343" i="66"/>
  <c r="E1342" i="66"/>
  <c r="E1341" i="66"/>
  <c r="E1340" i="66"/>
  <c r="E1339" i="66"/>
  <c r="E1338" i="66"/>
  <c r="E1337" i="66"/>
  <c r="E1336" i="66"/>
  <c r="E1335" i="66"/>
  <c r="E1334" i="66"/>
  <c r="E1332" i="66"/>
  <c r="E1330" i="66"/>
  <c r="E1329" i="66"/>
  <c r="E1328" i="66"/>
  <c r="E1327" i="66"/>
  <c r="E1326" i="66"/>
  <c r="E1325" i="66"/>
  <c r="E1324" i="66"/>
  <c r="E1323" i="66"/>
  <c r="E1322" i="66"/>
  <c r="E1320" i="66"/>
  <c r="E1318" i="66"/>
  <c r="E1317" i="66"/>
  <c r="G1313" i="66"/>
  <c r="F1313" i="66"/>
  <c r="F1312" i="66"/>
  <c r="E1310" i="66"/>
  <c r="E1309" i="66"/>
  <c r="E1304" i="66"/>
  <c r="M1343" i="66"/>
  <c r="L1343" i="66"/>
  <c r="K1343" i="66"/>
  <c r="J1343" i="66"/>
  <c r="I1343" i="66"/>
  <c r="H1343" i="66"/>
  <c r="M1342" i="66"/>
  <c r="L1342" i="66"/>
  <c r="K1342" i="66"/>
  <c r="J1342" i="66"/>
  <c r="I1342" i="66"/>
  <c r="H1342" i="66"/>
  <c r="M1341" i="66"/>
  <c r="L1341" i="66"/>
  <c r="K1341" i="66"/>
  <c r="J1341" i="66"/>
  <c r="I1341" i="66"/>
  <c r="H1341" i="66"/>
  <c r="M1340" i="66"/>
  <c r="L1340" i="66"/>
  <c r="K1340" i="66"/>
  <c r="J1340" i="66"/>
  <c r="I1340" i="66"/>
  <c r="H1340" i="66"/>
  <c r="M1339" i="66"/>
  <c r="L1339" i="66"/>
  <c r="K1339" i="66"/>
  <c r="J1339" i="66"/>
  <c r="I1339" i="66"/>
  <c r="H1339" i="66"/>
  <c r="M1338" i="66"/>
  <c r="L1338" i="66"/>
  <c r="K1338" i="66"/>
  <c r="J1338" i="66"/>
  <c r="I1338" i="66"/>
  <c r="H1338" i="66"/>
  <c r="M1337" i="66"/>
  <c r="L1337" i="66"/>
  <c r="K1337" i="66"/>
  <c r="J1337" i="66"/>
  <c r="I1337" i="66"/>
  <c r="H1337" i="66"/>
  <c r="M1336" i="66"/>
  <c r="L1336" i="66"/>
  <c r="K1336" i="66"/>
  <c r="J1336" i="66"/>
  <c r="I1336" i="66"/>
  <c r="H1336" i="66"/>
  <c r="M1335" i="66"/>
  <c r="L1335" i="66"/>
  <c r="K1335" i="66"/>
  <c r="J1335" i="66"/>
  <c r="I1335" i="66"/>
  <c r="H1335" i="66"/>
  <c r="M1334" i="66"/>
  <c r="L1334" i="66"/>
  <c r="K1334" i="66"/>
  <c r="J1334" i="66"/>
  <c r="I1334" i="66"/>
  <c r="H1334" i="66"/>
  <c r="M1332" i="66"/>
  <c r="L1332" i="66"/>
  <c r="K1332" i="66"/>
  <c r="J1332" i="66"/>
  <c r="I1332" i="66"/>
  <c r="H1332" i="66"/>
  <c r="M1330" i="66"/>
  <c r="L1330" i="66"/>
  <c r="K1330" i="66"/>
  <c r="J1330" i="66"/>
  <c r="I1330" i="66"/>
  <c r="H1330" i="66"/>
  <c r="M1329" i="66"/>
  <c r="L1329" i="66"/>
  <c r="K1329" i="66"/>
  <c r="J1329" i="66"/>
  <c r="I1329" i="66"/>
  <c r="H1329" i="66"/>
  <c r="M1328" i="66"/>
  <c r="L1328" i="66"/>
  <c r="K1328" i="66"/>
  <c r="J1328" i="66"/>
  <c r="I1328" i="66"/>
  <c r="H1328" i="66"/>
  <c r="M1327" i="66"/>
  <c r="L1327" i="66"/>
  <c r="K1327" i="66"/>
  <c r="J1327" i="66"/>
  <c r="I1327" i="66"/>
  <c r="H1327" i="66"/>
  <c r="M1326" i="66"/>
  <c r="L1326" i="66"/>
  <c r="K1326" i="66"/>
  <c r="J1326" i="66"/>
  <c r="I1326" i="66"/>
  <c r="H1326" i="66"/>
  <c r="M1325" i="66"/>
  <c r="L1325" i="66"/>
  <c r="K1325" i="66"/>
  <c r="J1325" i="66"/>
  <c r="I1325" i="66"/>
  <c r="H1325" i="66"/>
  <c r="M1324" i="66"/>
  <c r="L1324" i="66"/>
  <c r="K1324" i="66"/>
  <c r="J1324" i="66"/>
  <c r="I1324" i="66"/>
  <c r="H1324" i="66"/>
  <c r="M1323" i="66"/>
  <c r="L1323" i="66"/>
  <c r="K1323" i="66"/>
  <c r="J1323" i="66"/>
  <c r="I1323" i="66"/>
  <c r="H1323" i="66"/>
  <c r="M1322" i="66"/>
  <c r="L1322" i="66"/>
  <c r="K1322" i="66"/>
  <c r="J1322" i="66"/>
  <c r="I1322" i="66"/>
  <c r="H1322" i="66"/>
  <c r="M1320" i="66"/>
  <c r="L1320" i="66"/>
  <c r="K1320" i="66"/>
  <c r="J1320" i="66"/>
  <c r="I1320" i="66"/>
  <c r="H1320" i="66"/>
  <c r="M1318" i="66"/>
  <c r="L1318" i="66"/>
  <c r="K1318" i="66"/>
  <c r="J1318" i="66"/>
  <c r="I1318" i="66"/>
  <c r="H1318" i="66"/>
  <c r="M1317" i="66"/>
  <c r="L1317" i="66"/>
  <c r="K1317" i="66"/>
  <c r="J1317" i="66"/>
  <c r="I1317" i="66"/>
  <c r="H1317" i="66"/>
  <c r="M1316" i="66"/>
  <c r="L1316" i="66"/>
  <c r="K1316" i="66"/>
  <c r="J1316" i="66"/>
  <c r="I1316" i="66"/>
  <c r="H1316" i="66"/>
  <c r="N1313" i="66"/>
  <c r="M1313" i="66"/>
  <c r="L1313" i="66"/>
  <c r="K1313" i="66"/>
  <c r="J1313" i="66"/>
  <c r="I1313" i="66"/>
  <c r="M1312" i="66"/>
  <c r="K1312" i="66"/>
  <c r="I1312" i="66"/>
  <c r="N1310" i="66"/>
  <c r="M1310" i="66"/>
  <c r="L1310" i="66"/>
  <c r="K1310" i="66"/>
  <c r="J1310" i="66"/>
  <c r="I1310" i="66"/>
  <c r="H1310" i="66"/>
  <c r="N1309" i="66"/>
  <c r="M1309" i="66"/>
  <c r="L1309" i="66"/>
  <c r="K1309" i="66"/>
  <c r="J1309" i="66"/>
  <c r="I1309" i="66"/>
  <c r="H1309" i="66"/>
  <c r="M1308" i="66"/>
  <c r="L1308" i="66"/>
  <c r="K1308" i="66"/>
  <c r="J1308" i="66"/>
  <c r="I1308" i="66"/>
  <c r="H1308" i="66"/>
  <c r="N1306" i="66"/>
  <c r="M1306" i="66"/>
  <c r="H1306" i="66"/>
  <c r="N1305" i="66"/>
  <c r="M1305" i="66"/>
  <c r="H1305" i="66"/>
  <c r="N1304" i="66"/>
  <c r="M1304" i="66"/>
  <c r="L1304" i="66"/>
  <c r="J1304" i="66"/>
  <c r="I1304" i="66"/>
  <c r="H1304" i="66"/>
  <c r="M1303" i="66"/>
  <c r="L1303" i="66"/>
  <c r="J1303" i="66"/>
  <c r="I1303" i="66"/>
  <c r="H1303" i="66"/>
  <c r="M1301" i="66"/>
  <c r="I1301" i="66"/>
  <c r="D1301" i="66"/>
  <c r="C1301" i="66"/>
  <c r="E1297" i="66"/>
  <c r="E1296" i="66"/>
  <c r="E1295" i="66"/>
  <c r="E1294" i="66"/>
  <c r="E1293" i="66"/>
  <c r="E1292" i="66"/>
  <c r="E1291" i="66"/>
  <c r="E1290" i="66"/>
  <c r="E1289" i="66"/>
  <c r="E1288" i="66"/>
  <c r="E1286" i="66"/>
  <c r="E1284" i="66"/>
  <c r="E1283" i="66"/>
  <c r="E1282" i="66"/>
  <c r="E1281" i="66"/>
  <c r="E1280" i="66"/>
  <c r="E1279" i="66"/>
  <c r="E1278" i="66"/>
  <c r="E1277" i="66"/>
  <c r="E1276" i="66"/>
  <c r="E1274" i="66"/>
  <c r="E1272" i="66"/>
  <c r="E1271" i="66"/>
  <c r="G1267" i="66"/>
  <c r="F1267" i="66"/>
  <c r="F1266" i="66"/>
  <c r="E1264" i="66"/>
  <c r="E1263" i="66"/>
  <c r="E1258" i="66"/>
  <c r="M1297" i="66"/>
  <c r="L1297" i="66"/>
  <c r="K1297" i="66"/>
  <c r="J1297" i="66"/>
  <c r="I1297" i="66"/>
  <c r="H1297" i="66"/>
  <c r="M1296" i="66"/>
  <c r="L1296" i="66"/>
  <c r="K1296" i="66"/>
  <c r="J1296" i="66"/>
  <c r="I1296" i="66"/>
  <c r="H1296" i="66"/>
  <c r="M1295" i="66"/>
  <c r="L1295" i="66"/>
  <c r="K1295" i="66"/>
  <c r="J1295" i="66"/>
  <c r="I1295" i="66"/>
  <c r="H1295" i="66"/>
  <c r="M1294" i="66"/>
  <c r="L1294" i="66"/>
  <c r="K1294" i="66"/>
  <c r="J1294" i="66"/>
  <c r="I1294" i="66"/>
  <c r="H1294" i="66"/>
  <c r="M1293" i="66"/>
  <c r="L1293" i="66"/>
  <c r="K1293" i="66"/>
  <c r="J1293" i="66"/>
  <c r="I1293" i="66"/>
  <c r="H1293" i="66"/>
  <c r="M1292" i="66"/>
  <c r="L1292" i="66"/>
  <c r="K1292" i="66"/>
  <c r="J1292" i="66"/>
  <c r="I1292" i="66"/>
  <c r="H1292" i="66"/>
  <c r="M1291" i="66"/>
  <c r="L1291" i="66"/>
  <c r="K1291" i="66"/>
  <c r="J1291" i="66"/>
  <c r="I1291" i="66"/>
  <c r="H1291" i="66"/>
  <c r="M1290" i="66"/>
  <c r="L1290" i="66"/>
  <c r="K1290" i="66"/>
  <c r="J1290" i="66"/>
  <c r="I1290" i="66"/>
  <c r="H1290" i="66"/>
  <c r="M1289" i="66"/>
  <c r="L1289" i="66"/>
  <c r="K1289" i="66"/>
  <c r="J1289" i="66"/>
  <c r="I1289" i="66"/>
  <c r="H1289" i="66"/>
  <c r="M1288" i="66"/>
  <c r="L1288" i="66"/>
  <c r="K1288" i="66"/>
  <c r="J1288" i="66"/>
  <c r="I1288" i="66"/>
  <c r="H1288" i="66"/>
  <c r="M1286" i="66"/>
  <c r="L1286" i="66"/>
  <c r="K1286" i="66"/>
  <c r="J1286" i="66"/>
  <c r="I1286" i="66"/>
  <c r="H1286" i="66"/>
  <c r="M1284" i="66"/>
  <c r="L1284" i="66"/>
  <c r="K1284" i="66"/>
  <c r="J1284" i="66"/>
  <c r="I1284" i="66"/>
  <c r="H1284" i="66"/>
  <c r="M1283" i="66"/>
  <c r="L1283" i="66"/>
  <c r="K1283" i="66"/>
  <c r="J1283" i="66"/>
  <c r="I1283" i="66"/>
  <c r="H1283" i="66"/>
  <c r="M1282" i="66"/>
  <c r="L1282" i="66"/>
  <c r="K1282" i="66"/>
  <c r="J1282" i="66"/>
  <c r="I1282" i="66"/>
  <c r="H1282" i="66"/>
  <c r="M1281" i="66"/>
  <c r="L1281" i="66"/>
  <c r="K1281" i="66"/>
  <c r="J1281" i="66"/>
  <c r="I1281" i="66"/>
  <c r="H1281" i="66"/>
  <c r="M1280" i="66"/>
  <c r="L1280" i="66"/>
  <c r="K1280" i="66"/>
  <c r="J1280" i="66"/>
  <c r="I1280" i="66"/>
  <c r="H1280" i="66"/>
  <c r="M1279" i="66"/>
  <c r="L1279" i="66"/>
  <c r="K1279" i="66"/>
  <c r="J1279" i="66"/>
  <c r="I1279" i="66"/>
  <c r="H1279" i="66"/>
  <c r="M1278" i="66"/>
  <c r="L1278" i="66"/>
  <c r="K1278" i="66"/>
  <c r="J1278" i="66"/>
  <c r="I1278" i="66"/>
  <c r="H1278" i="66"/>
  <c r="M1277" i="66"/>
  <c r="L1277" i="66"/>
  <c r="K1277" i="66"/>
  <c r="J1277" i="66"/>
  <c r="I1277" i="66"/>
  <c r="H1277" i="66"/>
  <c r="M1276" i="66"/>
  <c r="L1276" i="66"/>
  <c r="K1276" i="66"/>
  <c r="J1276" i="66"/>
  <c r="I1276" i="66"/>
  <c r="H1276" i="66"/>
  <c r="M1274" i="66"/>
  <c r="L1274" i="66"/>
  <c r="K1274" i="66"/>
  <c r="J1274" i="66"/>
  <c r="I1274" i="66"/>
  <c r="H1274" i="66"/>
  <c r="M1272" i="66"/>
  <c r="L1272" i="66"/>
  <c r="K1272" i="66"/>
  <c r="J1272" i="66"/>
  <c r="I1272" i="66"/>
  <c r="H1272" i="66"/>
  <c r="M1271" i="66"/>
  <c r="L1271" i="66"/>
  <c r="K1271" i="66"/>
  <c r="J1271" i="66"/>
  <c r="I1271" i="66"/>
  <c r="H1271" i="66"/>
  <c r="M1270" i="66"/>
  <c r="L1270" i="66"/>
  <c r="K1270" i="66"/>
  <c r="J1270" i="66"/>
  <c r="I1270" i="66"/>
  <c r="H1270" i="66"/>
  <c r="N1267" i="66"/>
  <c r="M1267" i="66"/>
  <c r="L1267" i="66"/>
  <c r="K1267" i="66"/>
  <c r="J1267" i="66"/>
  <c r="I1267" i="66"/>
  <c r="M1266" i="66"/>
  <c r="K1266" i="66"/>
  <c r="I1266" i="66"/>
  <c r="N1264" i="66"/>
  <c r="M1264" i="66"/>
  <c r="L1264" i="66"/>
  <c r="K1264" i="66"/>
  <c r="J1264" i="66"/>
  <c r="I1264" i="66"/>
  <c r="H1264" i="66"/>
  <c r="N1263" i="66"/>
  <c r="M1263" i="66"/>
  <c r="L1263" i="66"/>
  <c r="K1263" i="66"/>
  <c r="J1263" i="66"/>
  <c r="I1263" i="66"/>
  <c r="H1263" i="66"/>
  <c r="M1262" i="66"/>
  <c r="L1262" i="66"/>
  <c r="K1262" i="66"/>
  <c r="J1262" i="66"/>
  <c r="I1262" i="66"/>
  <c r="H1262" i="66"/>
  <c r="N1260" i="66"/>
  <c r="M1260" i="66"/>
  <c r="H1260" i="66"/>
  <c r="N1259" i="66"/>
  <c r="M1259" i="66"/>
  <c r="H1259" i="66"/>
  <c r="N1258" i="66"/>
  <c r="M1258" i="66"/>
  <c r="L1258" i="66"/>
  <c r="J1258" i="66"/>
  <c r="I1258" i="66"/>
  <c r="H1258" i="66"/>
  <c r="M1257" i="66"/>
  <c r="L1257" i="66"/>
  <c r="J1257" i="66"/>
  <c r="I1257" i="66"/>
  <c r="H1257" i="66"/>
  <c r="M1255" i="66"/>
  <c r="I1255" i="66"/>
  <c r="D1255" i="66"/>
  <c r="C1255" i="66"/>
  <c r="E1251" i="66"/>
  <c r="E1250" i="66"/>
  <c r="E1249" i="66"/>
  <c r="E1248" i="66"/>
  <c r="E1247" i="66"/>
  <c r="E1246" i="66"/>
  <c r="E1245" i="66"/>
  <c r="E1244" i="66"/>
  <c r="E1243" i="66"/>
  <c r="E1242" i="66"/>
  <c r="E1240" i="66"/>
  <c r="E1238" i="66"/>
  <c r="E1237" i="66"/>
  <c r="E1236" i="66"/>
  <c r="E1235" i="66"/>
  <c r="E1234" i="66"/>
  <c r="E1233" i="66"/>
  <c r="E1232" i="66"/>
  <c r="E1231" i="66"/>
  <c r="E1230" i="66"/>
  <c r="E1228" i="66"/>
  <c r="E1226" i="66"/>
  <c r="E1225" i="66"/>
  <c r="G1221" i="66"/>
  <c r="F1221" i="66"/>
  <c r="F1220" i="66"/>
  <c r="E1218" i="66"/>
  <c r="E1217" i="66"/>
  <c r="E1212" i="66"/>
  <c r="M1251" i="66"/>
  <c r="L1251" i="66"/>
  <c r="K1251" i="66"/>
  <c r="J1251" i="66"/>
  <c r="I1251" i="66"/>
  <c r="H1251" i="66"/>
  <c r="M1250" i="66"/>
  <c r="L1250" i="66"/>
  <c r="K1250" i="66"/>
  <c r="J1250" i="66"/>
  <c r="I1250" i="66"/>
  <c r="H1250" i="66"/>
  <c r="M1249" i="66"/>
  <c r="L1249" i="66"/>
  <c r="K1249" i="66"/>
  <c r="J1249" i="66"/>
  <c r="I1249" i="66"/>
  <c r="H1249" i="66"/>
  <c r="M1248" i="66"/>
  <c r="L1248" i="66"/>
  <c r="K1248" i="66"/>
  <c r="J1248" i="66"/>
  <c r="I1248" i="66"/>
  <c r="H1248" i="66"/>
  <c r="M1247" i="66"/>
  <c r="L1247" i="66"/>
  <c r="K1247" i="66"/>
  <c r="J1247" i="66"/>
  <c r="I1247" i="66"/>
  <c r="H1247" i="66"/>
  <c r="M1246" i="66"/>
  <c r="L1246" i="66"/>
  <c r="K1246" i="66"/>
  <c r="J1246" i="66"/>
  <c r="I1246" i="66"/>
  <c r="H1246" i="66"/>
  <c r="M1245" i="66"/>
  <c r="L1245" i="66"/>
  <c r="K1245" i="66"/>
  <c r="J1245" i="66"/>
  <c r="I1245" i="66"/>
  <c r="H1245" i="66"/>
  <c r="M1244" i="66"/>
  <c r="L1244" i="66"/>
  <c r="K1244" i="66"/>
  <c r="J1244" i="66"/>
  <c r="I1244" i="66"/>
  <c r="H1244" i="66"/>
  <c r="M1243" i="66"/>
  <c r="L1243" i="66"/>
  <c r="K1243" i="66"/>
  <c r="J1243" i="66"/>
  <c r="I1243" i="66"/>
  <c r="H1243" i="66"/>
  <c r="M1242" i="66"/>
  <c r="L1242" i="66"/>
  <c r="K1242" i="66"/>
  <c r="J1242" i="66"/>
  <c r="I1242" i="66"/>
  <c r="H1242" i="66"/>
  <c r="M1240" i="66"/>
  <c r="L1240" i="66"/>
  <c r="K1240" i="66"/>
  <c r="J1240" i="66"/>
  <c r="I1240" i="66"/>
  <c r="H1240" i="66"/>
  <c r="M1238" i="66"/>
  <c r="L1238" i="66"/>
  <c r="K1238" i="66"/>
  <c r="J1238" i="66"/>
  <c r="I1238" i="66"/>
  <c r="H1238" i="66"/>
  <c r="M1237" i="66"/>
  <c r="L1237" i="66"/>
  <c r="K1237" i="66"/>
  <c r="J1237" i="66"/>
  <c r="I1237" i="66"/>
  <c r="H1237" i="66"/>
  <c r="M1236" i="66"/>
  <c r="L1236" i="66"/>
  <c r="K1236" i="66"/>
  <c r="J1236" i="66"/>
  <c r="I1236" i="66"/>
  <c r="H1236" i="66"/>
  <c r="M1235" i="66"/>
  <c r="L1235" i="66"/>
  <c r="K1235" i="66"/>
  <c r="J1235" i="66"/>
  <c r="I1235" i="66"/>
  <c r="H1235" i="66"/>
  <c r="M1234" i="66"/>
  <c r="L1234" i="66"/>
  <c r="K1234" i="66"/>
  <c r="J1234" i="66"/>
  <c r="I1234" i="66"/>
  <c r="H1234" i="66"/>
  <c r="M1233" i="66"/>
  <c r="L1233" i="66"/>
  <c r="K1233" i="66"/>
  <c r="J1233" i="66"/>
  <c r="I1233" i="66"/>
  <c r="H1233" i="66"/>
  <c r="M1232" i="66"/>
  <c r="L1232" i="66"/>
  <c r="K1232" i="66"/>
  <c r="J1232" i="66"/>
  <c r="I1232" i="66"/>
  <c r="H1232" i="66"/>
  <c r="M1231" i="66"/>
  <c r="L1231" i="66"/>
  <c r="K1231" i="66"/>
  <c r="J1231" i="66"/>
  <c r="I1231" i="66"/>
  <c r="H1231" i="66"/>
  <c r="M1230" i="66"/>
  <c r="L1230" i="66"/>
  <c r="K1230" i="66"/>
  <c r="J1230" i="66"/>
  <c r="I1230" i="66"/>
  <c r="H1230" i="66"/>
  <c r="M1228" i="66"/>
  <c r="L1228" i="66"/>
  <c r="K1228" i="66"/>
  <c r="J1228" i="66"/>
  <c r="I1228" i="66"/>
  <c r="H1228" i="66"/>
  <c r="M1226" i="66"/>
  <c r="L1226" i="66"/>
  <c r="K1226" i="66"/>
  <c r="J1226" i="66"/>
  <c r="I1226" i="66"/>
  <c r="H1226" i="66"/>
  <c r="M1225" i="66"/>
  <c r="L1225" i="66"/>
  <c r="K1225" i="66"/>
  <c r="J1225" i="66"/>
  <c r="I1225" i="66"/>
  <c r="H1225" i="66"/>
  <c r="M1224" i="66"/>
  <c r="L1224" i="66"/>
  <c r="K1224" i="66"/>
  <c r="J1224" i="66"/>
  <c r="I1224" i="66"/>
  <c r="H1224" i="66"/>
  <c r="N1221" i="66"/>
  <c r="M1221" i="66"/>
  <c r="L1221" i="66"/>
  <c r="K1221" i="66"/>
  <c r="J1221" i="66"/>
  <c r="I1221" i="66"/>
  <c r="M1220" i="66"/>
  <c r="K1220" i="66"/>
  <c r="I1220" i="66"/>
  <c r="N1218" i="66"/>
  <c r="M1218" i="66"/>
  <c r="L1218" i="66"/>
  <c r="K1218" i="66"/>
  <c r="J1218" i="66"/>
  <c r="I1218" i="66"/>
  <c r="H1218" i="66"/>
  <c r="N1217" i="66"/>
  <c r="M1217" i="66"/>
  <c r="L1217" i="66"/>
  <c r="K1217" i="66"/>
  <c r="J1217" i="66"/>
  <c r="I1217" i="66"/>
  <c r="H1217" i="66"/>
  <c r="M1216" i="66"/>
  <c r="L1216" i="66"/>
  <c r="K1216" i="66"/>
  <c r="J1216" i="66"/>
  <c r="I1216" i="66"/>
  <c r="H1216" i="66"/>
  <c r="N1214" i="66"/>
  <c r="M1214" i="66"/>
  <c r="H1214" i="66"/>
  <c r="N1213" i="66"/>
  <c r="M1213" i="66"/>
  <c r="H1213" i="66"/>
  <c r="N1212" i="66"/>
  <c r="M1212" i="66"/>
  <c r="L1212" i="66"/>
  <c r="J1212" i="66"/>
  <c r="I1212" i="66"/>
  <c r="H1212" i="66"/>
  <c r="M1211" i="66"/>
  <c r="L1211" i="66"/>
  <c r="J1211" i="66"/>
  <c r="I1211" i="66"/>
  <c r="H1211" i="66"/>
  <c r="M1209" i="66"/>
  <c r="I1209" i="66"/>
  <c r="D1209" i="66"/>
  <c r="C1209" i="66"/>
  <c r="S1142" i="66"/>
  <c r="R1142" i="66"/>
  <c r="M1203" i="66"/>
  <c r="L1203" i="66"/>
  <c r="K1203" i="66"/>
  <c r="J1203" i="66"/>
  <c r="I1203" i="66"/>
  <c r="H1203" i="66"/>
  <c r="E1203" i="66"/>
  <c r="M1201" i="66"/>
  <c r="L1201" i="66"/>
  <c r="K1201" i="66"/>
  <c r="J1201" i="66"/>
  <c r="I1201" i="66"/>
  <c r="H1201" i="66"/>
  <c r="E1201" i="66"/>
  <c r="M1199" i="66"/>
  <c r="L1199" i="66"/>
  <c r="K1199" i="66"/>
  <c r="J1199" i="66"/>
  <c r="I1199" i="66"/>
  <c r="H1199" i="66"/>
  <c r="E1199" i="66"/>
  <c r="M1198" i="66"/>
  <c r="L1198" i="66"/>
  <c r="K1198" i="66"/>
  <c r="J1198" i="66"/>
  <c r="I1198" i="66"/>
  <c r="H1198" i="66"/>
  <c r="E1198" i="66"/>
  <c r="M1196" i="66"/>
  <c r="L1196" i="66"/>
  <c r="K1196" i="66"/>
  <c r="J1196" i="66"/>
  <c r="I1196" i="66"/>
  <c r="H1196" i="66"/>
  <c r="E1196" i="66"/>
  <c r="E1195" i="66"/>
  <c r="M1193" i="66"/>
  <c r="L1193" i="66"/>
  <c r="K1193" i="66"/>
  <c r="J1193" i="66"/>
  <c r="I1193" i="66"/>
  <c r="H1193" i="66"/>
  <c r="E1193" i="66"/>
  <c r="M1192" i="66"/>
  <c r="L1192" i="66"/>
  <c r="K1192" i="66"/>
  <c r="J1192" i="66"/>
  <c r="I1192" i="66"/>
  <c r="H1192" i="66"/>
  <c r="E1192" i="66"/>
  <c r="E1191" i="66"/>
  <c r="M1190" i="66"/>
  <c r="L1190" i="66"/>
  <c r="K1190" i="66"/>
  <c r="J1190" i="66"/>
  <c r="I1190" i="66"/>
  <c r="H1190" i="66"/>
  <c r="E1190" i="66"/>
  <c r="M1189" i="66"/>
  <c r="L1189" i="66"/>
  <c r="K1189" i="66"/>
  <c r="J1189" i="66"/>
  <c r="I1189" i="66"/>
  <c r="H1189" i="66"/>
  <c r="E1189" i="66"/>
  <c r="E1188" i="66"/>
  <c r="M1186" i="66"/>
  <c r="L1186" i="66"/>
  <c r="K1186" i="66"/>
  <c r="J1186" i="66"/>
  <c r="I1186" i="66"/>
  <c r="H1186" i="66"/>
  <c r="E1186" i="66"/>
  <c r="M1184" i="66"/>
  <c r="L1184" i="66"/>
  <c r="K1184" i="66"/>
  <c r="J1184" i="66"/>
  <c r="I1184" i="66"/>
  <c r="H1184" i="66"/>
  <c r="E1184" i="66"/>
  <c r="M1183" i="66"/>
  <c r="L1183" i="66"/>
  <c r="K1183" i="66"/>
  <c r="J1183" i="66"/>
  <c r="I1183" i="66"/>
  <c r="H1183" i="66"/>
  <c r="E1183" i="66"/>
  <c r="M1182" i="66"/>
  <c r="L1182" i="66"/>
  <c r="K1182" i="66"/>
  <c r="J1182" i="66"/>
  <c r="I1182" i="66"/>
  <c r="H1182" i="66"/>
  <c r="E1182" i="66"/>
  <c r="M1181" i="66"/>
  <c r="L1181" i="66"/>
  <c r="K1181" i="66"/>
  <c r="J1181" i="66"/>
  <c r="I1181" i="66"/>
  <c r="H1181" i="66"/>
  <c r="E1181" i="66"/>
  <c r="M1180" i="66"/>
  <c r="L1180" i="66"/>
  <c r="K1180" i="66"/>
  <c r="J1180" i="66"/>
  <c r="I1180" i="66"/>
  <c r="H1180" i="66"/>
  <c r="E1180" i="66"/>
  <c r="M1179" i="66"/>
  <c r="L1179" i="66"/>
  <c r="K1179" i="66"/>
  <c r="J1179" i="66"/>
  <c r="I1179" i="66"/>
  <c r="H1179" i="66"/>
  <c r="E1179" i="66"/>
  <c r="M1178" i="66"/>
  <c r="L1178" i="66"/>
  <c r="K1178" i="66"/>
  <c r="J1178" i="66"/>
  <c r="I1178" i="66"/>
  <c r="H1178" i="66"/>
  <c r="E1178" i="66"/>
  <c r="M1177" i="66"/>
  <c r="L1177" i="66"/>
  <c r="K1177" i="66"/>
  <c r="J1177" i="66"/>
  <c r="I1177" i="66"/>
  <c r="H1177" i="66"/>
  <c r="E1177" i="66"/>
  <c r="M1176" i="66"/>
  <c r="L1176" i="66"/>
  <c r="K1176" i="66"/>
  <c r="J1176" i="66"/>
  <c r="I1176" i="66"/>
  <c r="H1176" i="66"/>
  <c r="E1176" i="66"/>
  <c r="M1175" i="66"/>
  <c r="L1175" i="66"/>
  <c r="K1175" i="66"/>
  <c r="J1175" i="66"/>
  <c r="I1175" i="66"/>
  <c r="H1175" i="66"/>
  <c r="E1175" i="66"/>
  <c r="M1173" i="66"/>
  <c r="L1173" i="66"/>
  <c r="K1173" i="66"/>
  <c r="J1173" i="66"/>
  <c r="I1173" i="66"/>
  <c r="H1173" i="66"/>
  <c r="E1173" i="66"/>
  <c r="M1172" i="66"/>
  <c r="L1172" i="66"/>
  <c r="K1172" i="66"/>
  <c r="J1172" i="66"/>
  <c r="I1172" i="66"/>
  <c r="H1172" i="66"/>
  <c r="E1172" i="66"/>
  <c r="M1170" i="66"/>
  <c r="L1170" i="66"/>
  <c r="K1170" i="66"/>
  <c r="J1170" i="66"/>
  <c r="I1170" i="66"/>
  <c r="H1170" i="66"/>
  <c r="E1170" i="66"/>
  <c r="M1169" i="66"/>
  <c r="L1169" i="66"/>
  <c r="K1169" i="66"/>
  <c r="J1169" i="66"/>
  <c r="I1169" i="66"/>
  <c r="H1169" i="66"/>
  <c r="E1169" i="66"/>
  <c r="M1167" i="66"/>
  <c r="L1167" i="66"/>
  <c r="K1167" i="66"/>
  <c r="J1167" i="66"/>
  <c r="I1167" i="66"/>
  <c r="H1167" i="66"/>
  <c r="E1167" i="66"/>
  <c r="M1166" i="66"/>
  <c r="L1166" i="66"/>
  <c r="K1166" i="66"/>
  <c r="J1166" i="66"/>
  <c r="I1166" i="66"/>
  <c r="H1166" i="66"/>
  <c r="E1166" i="66"/>
  <c r="M1164" i="66"/>
  <c r="L1164" i="66"/>
  <c r="K1164" i="66"/>
  <c r="J1164" i="66"/>
  <c r="I1164" i="66"/>
  <c r="H1164" i="66"/>
  <c r="E1164" i="66"/>
  <c r="M1163" i="66"/>
  <c r="L1163" i="66"/>
  <c r="K1163" i="66"/>
  <c r="J1163" i="66"/>
  <c r="I1163" i="66"/>
  <c r="H1163" i="66"/>
  <c r="E1163" i="66"/>
  <c r="M1162" i="66"/>
  <c r="L1162" i="66"/>
  <c r="K1162" i="66"/>
  <c r="J1162" i="66"/>
  <c r="I1162" i="66"/>
  <c r="H1162" i="66"/>
  <c r="E1162" i="66"/>
  <c r="M1161" i="66"/>
  <c r="L1161" i="66"/>
  <c r="K1161" i="66"/>
  <c r="J1161" i="66"/>
  <c r="I1161" i="66"/>
  <c r="H1161" i="66"/>
  <c r="E1161" i="66"/>
  <c r="M1159" i="66"/>
  <c r="L1159" i="66"/>
  <c r="K1159" i="66"/>
  <c r="J1159" i="66"/>
  <c r="I1159" i="66"/>
  <c r="H1159" i="66"/>
  <c r="E1159" i="66"/>
  <c r="M1158" i="66"/>
  <c r="L1158" i="66"/>
  <c r="K1158" i="66"/>
  <c r="J1158" i="66"/>
  <c r="I1158" i="66"/>
  <c r="H1158" i="66"/>
  <c r="E1158" i="66"/>
  <c r="M1156" i="66"/>
  <c r="L1156" i="66"/>
  <c r="K1156" i="66"/>
  <c r="J1156" i="66"/>
  <c r="I1156" i="66"/>
  <c r="H1156" i="66"/>
  <c r="E1156" i="66"/>
  <c r="M1155" i="66"/>
  <c r="L1155" i="66"/>
  <c r="K1155" i="66"/>
  <c r="J1155" i="66"/>
  <c r="I1155" i="66"/>
  <c r="H1155" i="66"/>
  <c r="N1152" i="66"/>
  <c r="M1152" i="66"/>
  <c r="L1152" i="66"/>
  <c r="K1152" i="66"/>
  <c r="J1152" i="66"/>
  <c r="I1152" i="66"/>
  <c r="G1152" i="66"/>
  <c r="F1152" i="66"/>
  <c r="M1151" i="66"/>
  <c r="K1151" i="66"/>
  <c r="I1151" i="66"/>
  <c r="F1151" i="66"/>
  <c r="M1149" i="66"/>
  <c r="L1149" i="66"/>
  <c r="K1149" i="66"/>
  <c r="J1149" i="66"/>
  <c r="I1149" i="66"/>
  <c r="H1149" i="66"/>
  <c r="E1149" i="66"/>
  <c r="N1147" i="66"/>
  <c r="M1147" i="66"/>
  <c r="L1147" i="66"/>
  <c r="K1147" i="66"/>
  <c r="J1147" i="66"/>
  <c r="I1147" i="66"/>
  <c r="H1147" i="66"/>
  <c r="E1147" i="66"/>
  <c r="N1146" i="66"/>
  <c r="M1146" i="66"/>
  <c r="L1146" i="66"/>
  <c r="K1146" i="66"/>
  <c r="J1146" i="66"/>
  <c r="I1146" i="66"/>
  <c r="H1146" i="66"/>
  <c r="E1146" i="66"/>
  <c r="M1145" i="66"/>
  <c r="L1145" i="66"/>
  <c r="K1145" i="66"/>
  <c r="J1145" i="66"/>
  <c r="I1145" i="66"/>
  <c r="H1145" i="66"/>
  <c r="N1143" i="66"/>
  <c r="M1143" i="66"/>
  <c r="K1143" i="66"/>
  <c r="J1143" i="66"/>
  <c r="I1143" i="66"/>
  <c r="H1143" i="66"/>
  <c r="G1143" i="66"/>
  <c r="E1143" i="66"/>
  <c r="N1142" i="66"/>
  <c r="M1142" i="66"/>
  <c r="K1142" i="66"/>
  <c r="J1142" i="66"/>
  <c r="I1142" i="66"/>
  <c r="H1142" i="66"/>
  <c r="G1142" i="66"/>
  <c r="N1141" i="66"/>
  <c r="M1141" i="66"/>
  <c r="L1141" i="66"/>
  <c r="K1141" i="66"/>
  <c r="P1143" i="66" s="1"/>
  <c r="J1141" i="66"/>
  <c r="H1141" i="66"/>
  <c r="E1141" i="66"/>
  <c r="M1140" i="66"/>
  <c r="L1140" i="66"/>
  <c r="K1140" i="66"/>
  <c r="J1140" i="66"/>
  <c r="H1140" i="66"/>
  <c r="I1138" i="66"/>
  <c r="D1138" i="66"/>
  <c r="C1138" i="66"/>
  <c r="S1073" i="66"/>
  <c r="R1073" i="66"/>
  <c r="M1134" i="66"/>
  <c r="L1134" i="66"/>
  <c r="K1134" i="66"/>
  <c r="J1134" i="66"/>
  <c r="I1134" i="66"/>
  <c r="H1134" i="66"/>
  <c r="E1134" i="66"/>
  <c r="M1132" i="66"/>
  <c r="L1132" i="66"/>
  <c r="K1132" i="66"/>
  <c r="J1132" i="66"/>
  <c r="I1132" i="66"/>
  <c r="H1132" i="66"/>
  <c r="E1132" i="66"/>
  <c r="M1130" i="66"/>
  <c r="L1130" i="66"/>
  <c r="K1130" i="66"/>
  <c r="J1130" i="66"/>
  <c r="I1130" i="66"/>
  <c r="H1130" i="66"/>
  <c r="E1130" i="66"/>
  <c r="M1129" i="66"/>
  <c r="L1129" i="66"/>
  <c r="K1129" i="66"/>
  <c r="J1129" i="66"/>
  <c r="I1129" i="66"/>
  <c r="H1129" i="66"/>
  <c r="E1129" i="66"/>
  <c r="M1127" i="66"/>
  <c r="L1127" i="66"/>
  <c r="K1127" i="66"/>
  <c r="J1127" i="66"/>
  <c r="I1127" i="66"/>
  <c r="H1127" i="66"/>
  <c r="E1127" i="66"/>
  <c r="E1126" i="66"/>
  <c r="M1124" i="66"/>
  <c r="L1124" i="66"/>
  <c r="K1124" i="66"/>
  <c r="J1124" i="66"/>
  <c r="I1124" i="66"/>
  <c r="H1124" i="66"/>
  <c r="E1124" i="66"/>
  <c r="M1123" i="66"/>
  <c r="L1123" i="66"/>
  <c r="K1123" i="66"/>
  <c r="J1123" i="66"/>
  <c r="I1123" i="66"/>
  <c r="H1123" i="66"/>
  <c r="E1123" i="66"/>
  <c r="E1122" i="66"/>
  <c r="M1121" i="66"/>
  <c r="L1121" i="66"/>
  <c r="K1121" i="66"/>
  <c r="J1121" i="66"/>
  <c r="I1121" i="66"/>
  <c r="H1121" i="66"/>
  <c r="E1121" i="66"/>
  <c r="M1120" i="66"/>
  <c r="L1120" i="66"/>
  <c r="K1120" i="66"/>
  <c r="J1120" i="66"/>
  <c r="I1120" i="66"/>
  <c r="H1120" i="66"/>
  <c r="E1120" i="66"/>
  <c r="E1119" i="66"/>
  <c r="M1117" i="66"/>
  <c r="L1117" i="66"/>
  <c r="K1117" i="66"/>
  <c r="J1117" i="66"/>
  <c r="I1117" i="66"/>
  <c r="H1117" i="66"/>
  <c r="E1117" i="66"/>
  <c r="M1115" i="66"/>
  <c r="L1115" i="66"/>
  <c r="K1115" i="66"/>
  <c r="J1115" i="66"/>
  <c r="I1115" i="66"/>
  <c r="H1115" i="66"/>
  <c r="E1115" i="66"/>
  <c r="M1114" i="66"/>
  <c r="L1114" i="66"/>
  <c r="K1114" i="66"/>
  <c r="J1114" i="66"/>
  <c r="I1114" i="66"/>
  <c r="H1114" i="66"/>
  <c r="E1114" i="66"/>
  <c r="M1113" i="66"/>
  <c r="L1113" i="66"/>
  <c r="K1113" i="66"/>
  <c r="J1113" i="66"/>
  <c r="I1113" i="66"/>
  <c r="H1113" i="66"/>
  <c r="E1113" i="66"/>
  <c r="M1112" i="66"/>
  <c r="L1112" i="66"/>
  <c r="K1112" i="66"/>
  <c r="J1112" i="66"/>
  <c r="I1112" i="66"/>
  <c r="H1112" i="66"/>
  <c r="E1112" i="66"/>
  <c r="M1111" i="66"/>
  <c r="L1111" i="66"/>
  <c r="K1111" i="66"/>
  <c r="J1111" i="66"/>
  <c r="I1111" i="66"/>
  <c r="H1111" i="66"/>
  <c r="E1111" i="66"/>
  <c r="M1110" i="66"/>
  <c r="L1110" i="66"/>
  <c r="K1110" i="66"/>
  <c r="J1110" i="66"/>
  <c r="I1110" i="66"/>
  <c r="H1110" i="66"/>
  <c r="E1110" i="66"/>
  <c r="M1109" i="66"/>
  <c r="L1109" i="66"/>
  <c r="K1109" i="66"/>
  <c r="J1109" i="66"/>
  <c r="I1109" i="66"/>
  <c r="H1109" i="66"/>
  <c r="E1109" i="66"/>
  <c r="M1108" i="66"/>
  <c r="L1108" i="66"/>
  <c r="K1108" i="66"/>
  <c r="J1108" i="66"/>
  <c r="I1108" i="66"/>
  <c r="H1108" i="66"/>
  <c r="E1108" i="66"/>
  <c r="M1107" i="66"/>
  <c r="L1107" i="66"/>
  <c r="K1107" i="66"/>
  <c r="J1107" i="66"/>
  <c r="I1107" i="66"/>
  <c r="H1107" i="66"/>
  <c r="E1107" i="66"/>
  <c r="M1106" i="66"/>
  <c r="L1106" i="66"/>
  <c r="K1106" i="66"/>
  <c r="J1106" i="66"/>
  <c r="I1106" i="66"/>
  <c r="H1106" i="66"/>
  <c r="E1106" i="66"/>
  <c r="M1104" i="66"/>
  <c r="L1104" i="66"/>
  <c r="K1104" i="66"/>
  <c r="J1104" i="66"/>
  <c r="I1104" i="66"/>
  <c r="H1104" i="66"/>
  <c r="E1104" i="66"/>
  <c r="M1103" i="66"/>
  <c r="L1103" i="66"/>
  <c r="K1103" i="66"/>
  <c r="J1103" i="66"/>
  <c r="I1103" i="66"/>
  <c r="H1103" i="66"/>
  <c r="E1103" i="66"/>
  <c r="M1101" i="66"/>
  <c r="L1101" i="66"/>
  <c r="K1101" i="66"/>
  <c r="J1101" i="66"/>
  <c r="I1101" i="66"/>
  <c r="H1101" i="66"/>
  <c r="E1101" i="66"/>
  <c r="M1100" i="66"/>
  <c r="L1100" i="66"/>
  <c r="K1100" i="66"/>
  <c r="J1100" i="66"/>
  <c r="I1100" i="66"/>
  <c r="H1100" i="66"/>
  <c r="E1100" i="66"/>
  <c r="M1098" i="66"/>
  <c r="L1098" i="66"/>
  <c r="K1098" i="66"/>
  <c r="J1098" i="66"/>
  <c r="I1098" i="66"/>
  <c r="H1098" i="66"/>
  <c r="E1098" i="66"/>
  <c r="M1097" i="66"/>
  <c r="L1097" i="66"/>
  <c r="K1097" i="66"/>
  <c r="J1097" i="66"/>
  <c r="I1097" i="66"/>
  <c r="H1097" i="66"/>
  <c r="E1097" i="66"/>
  <c r="M1095" i="66"/>
  <c r="L1095" i="66"/>
  <c r="K1095" i="66"/>
  <c r="J1095" i="66"/>
  <c r="I1095" i="66"/>
  <c r="H1095" i="66"/>
  <c r="E1095" i="66"/>
  <c r="M1094" i="66"/>
  <c r="L1094" i="66"/>
  <c r="K1094" i="66"/>
  <c r="J1094" i="66"/>
  <c r="I1094" i="66"/>
  <c r="H1094" i="66"/>
  <c r="E1094" i="66"/>
  <c r="M1093" i="66"/>
  <c r="L1093" i="66"/>
  <c r="K1093" i="66"/>
  <c r="J1093" i="66"/>
  <c r="I1093" i="66"/>
  <c r="H1093" i="66"/>
  <c r="E1093" i="66"/>
  <c r="M1092" i="66"/>
  <c r="L1092" i="66"/>
  <c r="K1092" i="66"/>
  <c r="J1092" i="66"/>
  <c r="I1092" i="66"/>
  <c r="H1092" i="66"/>
  <c r="E1092" i="66"/>
  <c r="M1090" i="66"/>
  <c r="L1090" i="66"/>
  <c r="K1090" i="66"/>
  <c r="J1090" i="66"/>
  <c r="I1090" i="66"/>
  <c r="H1090" i="66"/>
  <c r="E1090" i="66"/>
  <c r="M1089" i="66"/>
  <c r="L1089" i="66"/>
  <c r="K1089" i="66"/>
  <c r="J1089" i="66"/>
  <c r="I1089" i="66"/>
  <c r="H1089" i="66"/>
  <c r="E1089" i="66"/>
  <c r="M1087" i="66"/>
  <c r="L1087" i="66"/>
  <c r="K1087" i="66"/>
  <c r="J1087" i="66"/>
  <c r="I1087" i="66"/>
  <c r="H1087" i="66"/>
  <c r="E1087" i="66"/>
  <c r="M1086" i="66"/>
  <c r="L1086" i="66"/>
  <c r="K1086" i="66"/>
  <c r="J1086" i="66"/>
  <c r="I1086" i="66"/>
  <c r="H1086" i="66"/>
  <c r="N1083" i="66"/>
  <c r="M1083" i="66"/>
  <c r="L1083" i="66"/>
  <c r="K1083" i="66"/>
  <c r="J1083" i="66"/>
  <c r="I1083" i="66"/>
  <c r="G1083" i="66"/>
  <c r="F1083" i="66"/>
  <c r="M1082" i="66"/>
  <c r="K1082" i="66"/>
  <c r="I1082" i="66"/>
  <c r="F1082" i="66"/>
  <c r="M1080" i="66"/>
  <c r="L1080" i="66"/>
  <c r="K1080" i="66"/>
  <c r="J1080" i="66"/>
  <c r="I1080" i="66"/>
  <c r="H1080" i="66"/>
  <c r="E1080" i="66"/>
  <c r="N1078" i="66"/>
  <c r="M1078" i="66"/>
  <c r="L1078" i="66"/>
  <c r="K1078" i="66"/>
  <c r="J1078" i="66"/>
  <c r="I1078" i="66"/>
  <c r="H1078" i="66"/>
  <c r="E1078" i="66"/>
  <c r="N1077" i="66"/>
  <c r="M1077" i="66"/>
  <c r="L1077" i="66"/>
  <c r="K1077" i="66"/>
  <c r="J1077" i="66"/>
  <c r="I1077" i="66"/>
  <c r="H1077" i="66"/>
  <c r="E1077" i="66"/>
  <c r="M1076" i="66"/>
  <c r="L1076" i="66"/>
  <c r="K1076" i="66"/>
  <c r="J1076" i="66"/>
  <c r="I1076" i="66"/>
  <c r="H1076" i="66"/>
  <c r="N1074" i="66"/>
  <c r="M1074" i="66"/>
  <c r="K1074" i="66"/>
  <c r="J1074" i="66"/>
  <c r="I1074" i="66"/>
  <c r="H1074" i="66"/>
  <c r="G1074" i="66"/>
  <c r="E1074" i="66"/>
  <c r="N1073" i="66"/>
  <c r="M1073" i="66"/>
  <c r="K1073" i="66"/>
  <c r="J1073" i="66"/>
  <c r="I1073" i="66"/>
  <c r="H1073" i="66"/>
  <c r="G1073" i="66"/>
  <c r="N1072" i="66"/>
  <c r="M1072" i="66"/>
  <c r="L1072" i="66"/>
  <c r="K1072" i="66"/>
  <c r="P1074" i="66" s="1"/>
  <c r="J1072" i="66"/>
  <c r="H1072" i="66"/>
  <c r="E1072" i="66"/>
  <c r="M1071" i="66"/>
  <c r="L1071" i="66"/>
  <c r="K1071" i="66"/>
  <c r="J1071" i="66"/>
  <c r="H1071" i="66"/>
  <c r="I1069" i="66"/>
  <c r="D1069" i="66"/>
  <c r="C1069" i="66"/>
  <c r="S1004" i="66"/>
  <c r="R1004" i="66"/>
  <c r="M1065" i="66"/>
  <c r="L1065" i="66"/>
  <c r="K1065" i="66"/>
  <c r="J1065" i="66"/>
  <c r="I1065" i="66"/>
  <c r="H1065" i="66"/>
  <c r="E1065" i="66"/>
  <c r="M1063" i="66"/>
  <c r="L1063" i="66"/>
  <c r="K1063" i="66"/>
  <c r="J1063" i="66"/>
  <c r="I1063" i="66"/>
  <c r="H1063" i="66"/>
  <c r="E1063" i="66"/>
  <c r="M1061" i="66"/>
  <c r="L1061" i="66"/>
  <c r="K1061" i="66"/>
  <c r="J1061" i="66"/>
  <c r="I1061" i="66"/>
  <c r="H1061" i="66"/>
  <c r="E1061" i="66"/>
  <c r="M1060" i="66"/>
  <c r="L1060" i="66"/>
  <c r="K1060" i="66"/>
  <c r="J1060" i="66"/>
  <c r="I1060" i="66"/>
  <c r="H1060" i="66"/>
  <c r="E1060" i="66"/>
  <c r="M1058" i="66"/>
  <c r="L1058" i="66"/>
  <c r="K1058" i="66"/>
  <c r="J1058" i="66"/>
  <c r="I1058" i="66"/>
  <c r="H1058" i="66"/>
  <c r="E1058" i="66"/>
  <c r="E1057" i="66"/>
  <c r="M1055" i="66"/>
  <c r="L1055" i="66"/>
  <c r="K1055" i="66"/>
  <c r="J1055" i="66"/>
  <c r="I1055" i="66"/>
  <c r="H1055" i="66"/>
  <c r="E1055" i="66"/>
  <c r="M1054" i="66"/>
  <c r="L1054" i="66"/>
  <c r="K1054" i="66"/>
  <c r="J1054" i="66"/>
  <c r="I1054" i="66"/>
  <c r="H1054" i="66"/>
  <c r="E1054" i="66"/>
  <c r="E1053" i="66"/>
  <c r="M1052" i="66"/>
  <c r="L1052" i="66"/>
  <c r="K1052" i="66"/>
  <c r="J1052" i="66"/>
  <c r="I1052" i="66"/>
  <c r="H1052" i="66"/>
  <c r="E1052" i="66"/>
  <c r="M1051" i="66"/>
  <c r="L1051" i="66"/>
  <c r="K1051" i="66"/>
  <c r="J1051" i="66"/>
  <c r="I1051" i="66"/>
  <c r="H1051" i="66"/>
  <c r="E1051" i="66"/>
  <c r="E1050" i="66"/>
  <c r="M1048" i="66"/>
  <c r="L1048" i="66"/>
  <c r="K1048" i="66"/>
  <c r="J1048" i="66"/>
  <c r="I1048" i="66"/>
  <c r="H1048" i="66"/>
  <c r="E1048" i="66"/>
  <c r="M1046" i="66"/>
  <c r="L1046" i="66"/>
  <c r="K1046" i="66"/>
  <c r="J1046" i="66"/>
  <c r="I1046" i="66"/>
  <c r="H1046" i="66"/>
  <c r="E1046" i="66"/>
  <c r="M1045" i="66"/>
  <c r="L1045" i="66"/>
  <c r="K1045" i="66"/>
  <c r="J1045" i="66"/>
  <c r="I1045" i="66"/>
  <c r="H1045" i="66"/>
  <c r="E1045" i="66"/>
  <c r="M1044" i="66"/>
  <c r="L1044" i="66"/>
  <c r="K1044" i="66"/>
  <c r="J1044" i="66"/>
  <c r="I1044" i="66"/>
  <c r="H1044" i="66"/>
  <c r="E1044" i="66"/>
  <c r="M1043" i="66"/>
  <c r="L1043" i="66"/>
  <c r="K1043" i="66"/>
  <c r="J1043" i="66"/>
  <c r="I1043" i="66"/>
  <c r="H1043" i="66"/>
  <c r="E1043" i="66"/>
  <c r="M1042" i="66"/>
  <c r="L1042" i="66"/>
  <c r="K1042" i="66"/>
  <c r="J1042" i="66"/>
  <c r="I1042" i="66"/>
  <c r="H1042" i="66"/>
  <c r="E1042" i="66"/>
  <c r="M1041" i="66"/>
  <c r="L1041" i="66"/>
  <c r="K1041" i="66"/>
  <c r="J1041" i="66"/>
  <c r="I1041" i="66"/>
  <c r="H1041" i="66"/>
  <c r="E1041" i="66"/>
  <c r="M1040" i="66"/>
  <c r="L1040" i="66"/>
  <c r="K1040" i="66"/>
  <c r="J1040" i="66"/>
  <c r="I1040" i="66"/>
  <c r="H1040" i="66"/>
  <c r="E1040" i="66"/>
  <c r="M1039" i="66"/>
  <c r="L1039" i="66"/>
  <c r="K1039" i="66"/>
  <c r="J1039" i="66"/>
  <c r="I1039" i="66"/>
  <c r="H1039" i="66"/>
  <c r="E1039" i="66"/>
  <c r="M1038" i="66"/>
  <c r="L1038" i="66"/>
  <c r="K1038" i="66"/>
  <c r="J1038" i="66"/>
  <c r="I1038" i="66"/>
  <c r="H1038" i="66"/>
  <c r="E1038" i="66"/>
  <c r="M1037" i="66"/>
  <c r="L1037" i="66"/>
  <c r="K1037" i="66"/>
  <c r="J1037" i="66"/>
  <c r="I1037" i="66"/>
  <c r="H1037" i="66"/>
  <c r="E1037" i="66"/>
  <c r="M1035" i="66"/>
  <c r="L1035" i="66"/>
  <c r="K1035" i="66"/>
  <c r="J1035" i="66"/>
  <c r="I1035" i="66"/>
  <c r="H1035" i="66"/>
  <c r="E1035" i="66"/>
  <c r="M1034" i="66"/>
  <c r="L1034" i="66"/>
  <c r="K1034" i="66"/>
  <c r="J1034" i="66"/>
  <c r="I1034" i="66"/>
  <c r="H1034" i="66"/>
  <c r="E1034" i="66"/>
  <c r="M1032" i="66"/>
  <c r="L1032" i="66"/>
  <c r="K1032" i="66"/>
  <c r="J1032" i="66"/>
  <c r="I1032" i="66"/>
  <c r="H1032" i="66"/>
  <c r="E1032" i="66"/>
  <c r="M1031" i="66"/>
  <c r="L1031" i="66"/>
  <c r="K1031" i="66"/>
  <c r="J1031" i="66"/>
  <c r="I1031" i="66"/>
  <c r="H1031" i="66"/>
  <c r="E1031" i="66"/>
  <c r="M1029" i="66"/>
  <c r="L1029" i="66"/>
  <c r="K1029" i="66"/>
  <c r="J1029" i="66"/>
  <c r="I1029" i="66"/>
  <c r="H1029" i="66"/>
  <c r="E1029" i="66"/>
  <c r="M1028" i="66"/>
  <c r="L1028" i="66"/>
  <c r="K1028" i="66"/>
  <c r="J1028" i="66"/>
  <c r="I1028" i="66"/>
  <c r="H1028" i="66"/>
  <c r="E1028" i="66"/>
  <c r="M1026" i="66"/>
  <c r="L1026" i="66"/>
  <c r="K1026" i="66"/>
  <c r="J1026" i="66"/>
  <c r="I1026" i="66"/>
  <c r="H1026" i="66"/>
  <c r="E1026" i="66"/>
  <c r="M1025" i="66"/>
  <c r="L1025" i="66"/>
  <c r="K1025" i="66"/>
  <c r="J1025" i="66"/>
  <c r="I1025" i="66"/>
  <c r="H1025" i="66"/>
  <c r="E1025" i="66"/>
  <c r="M1024" i="66"/>
  <c r="L1024" i="66"/>
  <c r="K1024" i="66"/>
  <c r="J1024" i="66"/>
  <c r="I1024" i="66"/>
  <c r="H1024" i="66"/>
  <c r="E1024" i="66"/>
  <c r="M1023" i="66"/>
  <c r="L1023" i="66"/>
  <c r="K1023" i="66"/>
  <c r="J1023" i="66"/>
  <c r="I1023" i="66"/>
  <c r="H1023" i="66"/>
  <c r="E1023" i="66"/>
  <c r="M1021" i="66"/>
  <c r="L1021" i="66"/>
  <c r="K1021" i="66"/>
  <c r="J1021" i="66"/>
  <c r="I1021" i="66"/>
  <c r="H1021" i="66"/>
  <c r="E1021" i="66"/>
  <c r="M1020" i="66"/>
  <c r="L1020" i="66"/>
  <c r="K1020" i="66"/>
  <c r="J1020" i="66"/>
  <c r="I1020" i="66"/>
  <c r="H1020" i="66"/>
  <c r="E1020" i="66"/>
  <c r="M1018" i="66"/>
  <c r="L1018" i="66"/>
  <c r="K1018" i="66"/>
  <c r="J1018" i="66"/>
  <c r="I1018" i="66"/>
  <c r="H1018" i="66"/>
  <c r="E1018" i="66"/>
  <c r="M1017" i="66"/>
  <c r="L1017" i="66"/>
  <c r="K1017" i="66"/>
  <c r="J1017" i="66"/>
  <c r="I1017" i="66"/>
  <c r="H1017" i="66"/>
  <c r="N1014" i="66"/>
  <c r="M1014" i="66"/>
  <c r="L1014" i="66"/>
  <c r="K1014" i="66"/>
  <c r="J1014" i="66"/>
  <c r="I1014" i="66"/>
  <c r="G1014" i="66"/>
  <c r="F1014" i="66"/>
  <c r="M1013" i="66"/>
  <c r="K1013" i="66"/>
  <c r="I1013" i="66"/>
  <c r="F1013" i="66"/>
  <c r="M1011" i="66"/>
  <c r="L1011" i="66"/>
  <c r="K1011" i="66"/>
  <c r="J1011" i="66"/>
  <c r="I1011" i="66"/>
  <c r="H1011" i="66"/>
  <c r="E1011" i="66"/>
  <c r="N1009" i="66"/>
  <c r="M1009" i="66"/>
  <c r="L1009" i="66"/>
  <c r="K1009" i="66"/>
  <c r="J1009" i="66"/>
  <c r="I1009" i="66"/>
  <c r="H1009" i="66"/>
  <c r="E1009" i="66"/>
  <c r="N1008" i="66"/>
  <c r="M1008" i="66"/>
  <c r="L1008" i="66"/>
  <c r="K1008" i="66"/>
  <c r="J1008" i="66"/>
  <c r="I1008" i="66"/>
  <c r="H1008" i="66"/>
  <c r="E1008" i="66"/>
  <c r="M1007" i="66"/>
  <c r="L1007" i="66"/>
  <c r="K1007" i="66"/>
  <c r="J1007" i="66"/>
  <c r="I1007" i="66"/>
  <c r="H1007" i="66"/>
  <c r="N1005" i="66"/>
  <c r="M1005" i="66"/>
  <c r="K1005" i="66"/>
  <c r="J1005" i="66"/>
  <c r="I1005" i="66"/>
  <c r="H1005" i="66"/>
  <c r="G1005" i="66"/>
  <c r="E1005" i="66"/>
  <c r="N1004" i="66"/>
  <c r="M1004" i="66"/>
  <c r="K1004" i="66"/>
  <c r="J1004" i="66"/>
  <c r="I1004" i="66"/>
  <c r="H1004" i="66"/>
  <c r="G1004" i="66"/>
  <c r="N1003" i="66"/>
  <c r="M1003" i="66"/>
  <c r="L1003" i="66"/>
  <c r="K1003" i="66"/>
  <c r="P1005" i="66" s="1"/>
  <c r="J1003" i="66"/>
  <c r="H1003" i="66"/>
  <c r="E1003" i="66"/>
  <c r="M1002" i="66"/>
  <c r="L1002" i="66"/>
  <c r="K1002" i="66"/>
  <c r="J1002" i="66"/>
  <c r="H1002" i="66"/>
  <c r="I1000" i="66"/>
  <c r="D1000" i="66"/>
  <c r="C1000" i="66"/>
  <c r="S935" i="66"/>
  <c r="R935" i="66"/>
  <c r="M996" i="66"/>
  <c r="L996" i="66"/>
  <c r="K996" i="66"/>
  <c r="J996" i="66"/>
  <c r="I996" i="66"/>
  <c r="H996" i="66"/>
  <c r="E996" i="66"/>
  <c r="M994" i="66"/>
  <c r="L994" i="66"/>
  <c r="K994" i="66"/>
  <c r="J994" i="66"/>
  <c r="I994" i="66"/>
  <c r="H994" i="66"/>
  <c r="E994" i="66"/>
  <c r="M992" i="66"/>
  <c r="L992" i="66"/>
  <c r="K992" i="66"/>
  <c r="J992" i="66"/>
  <c r="I992" i="66"/>
  <c r="H992" i="66"/>
  <c r="E992" i="66"/>
  <c r="M991" i="66"/>
  <c r="L991" i="66"/>
  <c r="K991" i="66"/>
  <c r="J991" i="66"/>
  <c r="I991" i="66"/>
  <c r="H991" i="66"/>
  <c r="E991" i="66"/>
  <c r="M989" i="66"/>
  <c r="L989" i="66"/>
  <c r="K989" i="66"/>
  <c r="J989" i="66"/>
  <c r="I989" i="66"/>
  <c r="H989" i="66"/>
  <c r="E989" i="66"/>
  <c r="E988" i="66"/>
  <c r="M986" i="66"/>
  <c r="L986" i="66"/>
  <c r="K986" i="66"/>
  <c r="J986" i="66"/>
  <c r="I986" i="66"/>
  <c r="H986" i="66"/>
  <c r="E986" i="66"/>
  <c r="M985" i="66"/>
  <c r="L985" i="66"/>
  <c r="K985" i="66"/>
  <c r="J985" i="66"/>
  <c r="I985" i="66"/>
  <c r="H985" i="66"/>
  <c r="E985" i="66"/>
  <c r="E984" i="66"/>
  <c r="M983" i="66"/>
  <c r="L983" i="66"/>
  <c r="K983" i="66"/>
  <c r="J983" i="66"/>
  <c r="I983" i="66"/>
  <c r="H983" i="66"/>
  <c r="E983" i="66"/>
  <c r="M982" i="66"/>
  <c r="L982" i="66"/>
  <c r="K982" i="66"/>
  <c r="J982" i="66"/>
  <c r="I982" i="66"/>
  <c r="H982" i="66"/>
  <c r="E982" i="66"/>
  <c r="E981" i="66"/>
  <c r="M979" i="66"/>
  <c r="L979" i="66"/>
  <c r="K979" i="66"/>
  <c r="J979" i="66"/>
  <c r="I979" i="66"/>
  <c r="H979" i="66"/>
  <c r="E979" i="66"/>
  <c r="M977" i="66"/>
  <c r="L977" i="66"/>
  <c r="K977" i="66"/>
  <c r="J977" i="66"/>
  <c r="I977" i="66"/>
  <c r="H977" i="66"/>
  <c r="E977" i="66"/>
  <c r="M976" i="66"/>
  <c r="L976" i="66"/>
  <c r="K976" i="66"/>
  <c r="J976" i="66"/>
  <c r="I976" i="66"/>
  <c r="H976" i="66"/>
  <c r="E976" i="66"/>
  <c r="M975" i="66"/>
  <c r="L975" i="66"/>
  <c r="K975" i="66"/>
  <c r="J975" i="66"/>
  <c r="I975" i="66"/>
  <c r="H975" i="66"/>
  <c r="E975" i="66"/>
  <c r="M974" i="66"/>
  <c r="L974" i="66"/>
  <c r="K974" i="66"/>
  <c r="J974" i="66"/>
  <c r="I974" i="66"/>
  <c r="H974" i="66"/>
  <c r="E974" i="66"/>
  <c r="M973" i="66"/>
  <c r="L973" i="66"/>
  <c r="K973" i="66"/>
  <c r="J973" i="66"/>
  <c r="I973" i="66"/>
  <c r="H973" i="66"/>
  <c r="E973" i="66"/>
  <c r="M972" i="66"/>
  <c r="L972" i="66"/>
  <c r="K972" i="66"/>
  <c r="J972" i="66"/>
  <c r="I972" i="66"/>
  <c r="H972" i="66"/>
  <c r="E972" i="66"/>
  <c r="M971" i="66"/>
  <c r="L971" i="66"/>
  <c r="K971" i="66"/>
  <c r="J971" i="66"/>
  <c r="I971" i="66"/>
  <c r="H971" i="66"/>
  <c r="E971" i="66"/>
  <c r="M970" i="66"/>
  <c r="L970" i="66"/>
  <c r="K970" i="66"/>
  <c r="J970" i="66"/>
  <c r="I970" i="66"/>
  <c r="H970" i="66"/>
  <c r="E970" i="66"/>
  <c r="M969" i="66"/>
  <c r="L969" i="66"/>
  <c r="K969" i="66"/>
  <c r="J969" i="66"/>
  <c r="I969" i="66"/>
  <c r="H969" i="66"/>
  <c r="E969" i="66"/>
  <c r="M968" i="66"/>
  <c r="L968" i="66"/>
  <c r="K968" i="66"/>
  <c r="J968" i="66"/>
  <c r="I968" i="66"/>
  <c r="H968" i="66"/>
  <c r="E968" i="66"/>
  <c r="M966" i="66"/>
  <c r="L966" i="66"/>
  <c r="K966" i="66"/>
  <c r="J966" i="66"/>
  <c r="I966" i="66"/>
  <c r="H966" i="66"/>
  <c r="E966" i="66"/>
  <c r="M965" i="66"/>
  <c r="L965" i="66"/>
  <c r="K965" i="66"/>
  <c r="J965" i="66"/>
  <c r="I965" i="66"/>
  <c r="H965" i="66"/>
  <c r="E965" i="66"/>
  <c r="M963" i="66"/>
  <c r="L963" i="66"/>
  <c r="K963" i="66"/>
  <c r="J963" i="66"/>
  <c r="I963" i="66"/>
  <c r="H963" i="66"/>
  <c r="E963" i="66"/>
  <c r="M962" i="66"/>
  <c r="L962" i="66"/>
  <c r="K962" i="66"/>
  <c r="J962" i="66"/>
  <c r="I962" i="66"/>
  <c r="H962" i="66"/>
  <c r="E962" i="66"/>
  <c r="M960" i="66"/>
  <c r="L960" i="66"/>
  <c r="K960" i="66"/>
  <c r="J960" i="66"/>
  <c r="I960" i="66"/>
  <c r="H960" i="66"/>
  <c r="E960" i="66"/>
  <c r="M959" i="66"/>
  <c r="L959" i="66"/>
  <c r="K959" i="66"/>
  <c r="J959" i="66"/>
  <c r="I959" i="66"/>
  <c r="H959" i="66"/>
  <c r="E959" i="66"/>
  <c r="M957" i="66"/>
  <c r="L957" i="66"/>
  <c r="K957" i="66"/>
  <c r="J957" i="66"/>
  <c r="I957" i="66"/>
  <c r="H957" i="66"/>
  <c r="E957" i="66"/>
  <c r="M956" i="66"/>
  <c r="L956" i="66"/>
  <c r="K956" i="66"/>
  <c r="J956" i="66"/>
  <c r="I956" i="66"/>
  <c r="H956" i="66"/>
  <c r="E956" i="66"/>
  <c r="M955" i="66"/>
  <c r="L955" i="66"/>
  <c r="K955" i="66"/>
  <c r="J955" i="66"/>
  <c r="I955" i="66"/>
  <c r="H955" i="66"/>
  <c r="E955" i="66"/>
  <c r="M954" i="66"/>
  <c r="L954" i="66"/>
  <c r="K954" i="66"/>
  <c r="J954" i="66"/>
  <c r="I954" i="66"/>
  <c r="H954" i="66"/>
  <c r="E954" i="66"/>
  <c r="M952" i="66"/>
  <c r="L952" i="66"/>
  <c r="K952" i="66"/>
  <c r="J952" i="66"/>
  <c r="I952" i="66"/>
  <c r="H952" i="66"/>
  <c r="E952" i="66"/>
  <c r="M951" i="66"/>
  <c r="L951" i="66"/>
  <c r="K951" i="66"/>
  <c r="J951" i="66"/>
  <c r="I951" i="66"/>
  <c r="H951" i="66"/>
  <c r="E951" i="66"/>
  <c r="M949" i="66"/>
  <c r="L949" i="66"/>
  <c r="K949" i="66"/>
  <c r="J949" i="66"/>
  <c r="I949" i="66"/>
  <c r="H949" i="66"/>
  <c r="E949" i="66"/>
  <c r="M948" i="66"/>
  <c r="L948" i="66"/>
  <c r="K948" i="66"/>
  <c r="J948" i="66"/>
  <c r="I948" i="66"/>
  <c r="H948" i="66"/>
  <c r="N945" i="66"/>
  <c r="M945" i="66"/>
  <c r="L945" i="66"/>
  <c r="K945" i="66"/>
  <c r="J945" i="66"/>
  <c r="I945" i="66"/>
  <c r="G945" i="66"/>
  <c r="F945" i="66"/>
  <c r="M944" i="66"/>
  <c r="K944" i="66"/>
  <c r="I944" i="66"/>
  <c r="F944" i="66"/>
  <c r="M942" i="66"/>
  <c r="L942" i="66"/>
  <c r="K942" i="66"/>
  <c r="J942" i="66"/>
  <c r="I942" i="66"/>
  <c r="H942" i="66"/>
  <c r="E942" i="66"/>
  <c r="N940" i="66"/>
  <c r="M940" i="66"/>
  <c r="L940" i="66"/>
  <c r="K940" i="66"/>
  <c r="J940" i="66"/>
  <c r="I940" i="66"/>
  <c r="H940" i="66"/>
  <c r="E940" i="66"/>
  <c r="N939" i="66"/>
  <c r="M939" i="66"/>
  <c r="L939" i="66"/>
  <c r="K939" i="66"/>
  <c r="J939" i="66"/>
  <c r="I939" i="66"/>
  <c r="H939" i="66"/>
  <c r="E939" i="66"/>
  <c r="M938" i="66"/>
  <c r="L938" i="66"/>
  <c r="K938" i="66"/>
  <c r="J938" i="66"/>
  <c r="I938" i="66"/>
  <c r="H938" i="66"/>
  <c r="N936" i="66"/>
  <c r="M936" i="66"/>
  <c r="K936" i="66"/>
  <c r="J936" i="66"/>
  <c r="I936" i="66"/>
  <c r="H936" i="66"/>
  <c r="G936" i="66"/>
  <c r="E936" i="66"/>
  <c r="N935" i="66"/>
  <c r="M935" i="66"/>
  <c r="K935" i="66"/>
  <c r="J935" i="66"/>
  <c r="I935" i="66"/>
  <c r="H935" i="66"/>
  <c r="G935" i="66"/>
  <c r="N934" i="66"/>
  <c r="M934" i="66"/>
  <c r="L934" i="66"/>
  <c r="K934" i="66"/>
  <c r="P936" i="66" s="1"/>
  <c r="J934" i="66"/>
  <c r="H934" i="66"/>
  <c r="E934" i="66"/>
  <c r="M933" i="66"/>
  <c r="L933" i="66"/>
  <c r="K933" i="66"/>
  <c r="J933" i="66"/>
  <c r="H933" i="66"/>
  <c r="I931" i="66"/>
  <c r="D931" i="66"/>
  <c r="C931" i="66"/>
  <c r="S866" i="66"/>
  <c r="R866" i="66"/>
  <c r="M927" i="66"/>
  <c r="L927" i="66"/>
  <c r="K927" i="66"/>
  <c r="J927" i="66"/>
  <c r="I927" i="66"/>
  <c r="H927" i="66"/>
  <c r="E927" i="66"/>
  <c r="M925" i="66"/>
  <c r="L925" i="66"/>
  <c r="K925" i="66"/>
  <c r="J925" i="66"/>
  <c r="I925" i="66"/>
  <c r="H925" i="66"/>
  <c r="E925" i="66"/>
  <c r="M923" i="66"/>
  <c r="L923" i="66"/>
  <c r="K923" i="66"/>
  <c r="J923" i="66"/>
  <c r="I923" i="66"/>
  <c r="H923" i="66"/>
  <c r="E923" i="66"/>
  <c r="M922" i="66"/>
  <c r="L922" i="66"/>
  <c r="K922" i="66"/>
  <c r="J922" i="66"/>
  <c r="I922" i="66"/>
  <c r="H922" i="66"/>
  <c r="E922" i="66"/>
  <c r="M920" i="66"/>
  <c r="L920" i="66"/>
  <c r="K920" i="66"/>
  <c r="J920" i="66"/>
  <c r="I920" i="66"/>
  <c r="H920" i="66"/>
  <c r="E920" i="66"/>
  <c r="E919" i="66"/>
  <c r="M917" i="66"/>
  <c r="L917" i="66"/>
  <c r="K917" i="66"/>
  <c r="J917" i="66"/>
  <c r="I917" i="66"/>
  <c r="H917" i="66"/>
  <c r="E917" i="66"/>
  <c r="M916" i="66"/>
  <c r="L916" i="66"/>
  <c r="K916" i="66"/>
  <c r="J916" i="66"/>
  <c r="I916" i="66"/>
  <c r="H916" i="66"/>
  <c r="E916" i="66"/>
  <c r="E915" i="66"/>
  <c r="M914" i="66"/>
  <c r="L914" i="66"/>
  <c r="K914" i="66"/>
  <c r="J914" i="66"/>
  <c r="I914" i="66"/>
  <c r="H914" i="66"/>
  <c r="E914" i="66"/>
  <c r="M913" i="66"/>
  <c r="L913" i="66"/>
  <c r="K913" i="66"/>
  <c r="J913" i="66"/>
  <c r="I913" i="66"/>
  <c r="H913" i="66"/>
  <c r="E913" i="66"/>
  <c r="E912" i="66"/>
  <c r="M910" i="66"/>
  <c r="L910" i="66"/>
  <c r="K910" i="66"/>
  <c r="J910" i="66"/>
  <c r="I910" i="66"/>
  <c r="H910" i="66"/>
  <c r="E910" i="66"/>
  <c r="M908" i="66"/>
  <c r="L908" i="66"/>
  <c r="K908" i="66"/>
  <c r="J908" i="66"/>
  <c r="I908" i="66"/>
  <c r="H908" i="66"/>
  <c r="E908" i="66"/>
  <c r="M907" i="66"/>
  <c r="L907" i="66"/>
  <c r="K907" i="66"/>
  <c r="J907" i="66"/>
  <c r="I907" i="66"/>
  <c r="H907" i="66"/>
  <c r="E907" i="66"/>
  <c r="M906" i="66"/>
  <c r="L906" i="66"/>
  <c r="K906" i="66"/>
  <c r="J906" i="66"/>
  <c r="I906" i="66"/>
  <c r="H906" i="66"/>
  <c r="E906" i="66"/>
  <c r="M905" i="66"/>
  <c r="L905" i="66"/>
  <c r="K905" i="66"/>
  <c r="J905" i="66"/>
  <c r="I905" i="66"/>
  <c r="H905" i="66"/>
  <c r="E905" i="66"/>
  <c r="M904" i="66"/>
  <c r="L904" i="66"/>
  <c r="K904" i="66"/>
  <c r="J904" i="66"/>
  <c r="I904" i="66"/>
  <c r="H904" i="66"/>
  <c r="E904" i="66"/>
  <c r="M903" i="66"/>
  <c r="L903" i="66"/>
  <c r="K903" i="66"/>
  <c r="J903" i="66"/>
  <c r="I903" i="66"/>
  <c r="H903" i="66"/>
  <c r="E903" i="66"/>
  <c r="M902" i="66"/>
  <c r="L902" i="66"/>
  <c r="K902" i="66"/>
  <c r="J902" i="66"/>
  <c r="I902" i="66"/>
  <c r="H902" i="66"/>
  <c r="E902" i="66"/>
  <c r="M901" i="66"/>
  <c r="L901" i="66"/>
  <c r="K901" i="66"/>
  <c r="J901" i="66"/>
  <c r="I901" i="66"/>
  <c r="H901" i="66"/>
  <c r="E901" i="66"/>
  <c r="M900" i="66"/>
  <c r="L900" i="66"/>
  <c r="K900" i="66"/>
  <c r="J900" i="66"/>
  <c r="I900" i="66"/>
  <c r="H900" i="66"/>
  <c r="E900" i="66"/>
  <c r="M899" i="66"/>
  <c r="L899" i="66"/>
  <c r="K899" i="66"/>
  <c r="J899" i="66"/>
  <c r="I899" i="66"/>
  <c r="H899" i="66"/>
  <c r="E899" i="66"/>
  <c r="M897" i="66"/>
  <c r="L897" i="66"/>
  <c r="K897" i="66"/>
  <c r="J897" i="66"/>
  <c r="I897" i="66"/>
  <c r="H897" i="66"/>
  <c r="E897" i="66"/>
  <c r="M896" i="66"/>
  <c r="L896" i="66"/>
  <c r="K896" i="66"/>
  <c r="J896" i="66"/>
  <c r="I896" i="66"/>
  <c r="H896" i="66"/>
  <c r="E896" i="66"/>
  <c r="M894" i="66"/>
  <c r="L894" i="66"/>
  <c r="K894" i="66"/>
  <c r="J894" i="66"/>
  <c r="I894" i="66"/>
  <c r="H894" i="66"/>
  <c r="E894" i="66"/>
  <c r="M893" i="66"/>
  <c r="L893" i="66"/>
  <c r="K893" i="66"/>
  <c r="J893" i="66"/>
  <c r="I893" i="66"/>
  <c r="H893" i="66"/>
  <c r="E893" i="66"/>
  <c r="M891" i="66"/>
  <c r="L891" i="66"/>
  <c r="K891" i="66"/>
  <c r="J891" i="66"/>
  <c r="I891" i="66"/>
  <c r="H891" i="66"/>
  <c r="E891" i="66"/>
  <c r="M890" i="66"/>
  <c r="L890" i="66"/>
  <c r="K890" i="66"/>
  <c r="J890" i="66"/>
  <c r="I890" i="66"/>
  <c r="H890" i="66"/>
  <c r="E890" i="66"/>
  <c r="M888" i="66"/>
  <c r="L888" i="66"/>
  <c r="K888" i="66"/>
  <c r="J888" i="66"/>
  <c r="I888" i="66"/>
  <c r="H888" i="66"/>
  <c r="E888" i="66"/>
  <c r="M887" i="66"/>
  <c r="L887" i="66"/>
  <c r="K887" i="66"/>
  <c r="J887" i="66"/>
  <c r="I887" i="66"/>
  <c r="H887" i="66"/>
  <c r="E887" i="66"/>
  <c r="M886" i="66"/>
  <c r="L886" i="66"/>
  <c r="K886" i="66"/>
  <c r="J886" i="66"/>
  <c r="I886" i="66"/>
  <c r="H886" i="66"/>
  <c r="E886" i="66"/>
  <c r="M885" i="66"/>
  <c r="L885" i="66"/>
  <c r="K885" i="66"/>
  <c r="J885" i="66"/>
  <c r="I885" i="66"/>
  <c r="H885" i="66"/>
  <c r="E885" i="66"/>
  <c r="M883" i="66"/>
  <c r="L883" i="66"/>
  <c r="K883" i="66"/>
  <c r="J883" i="66"/>
  <c r="I883" i="66"/>
  <c r="H883" i="66"/>
  <c r="E883" i="66"/>
  <c r="M882" i="66"/>
  <c r="L882" i="66"/>
  <c r="K882" i="66"/>
  <c r="J882" i="66"/>
  <c r="I882" i="66"/>
  <c r="H882" i="66"/>
  <c r="E882" i="66"/>
  <c r="M880" i="66"/>
  <c r="L880" i="66"/>
  <c r="K880" i="66"/>
  <c r="J880" i="66"/>
  <c r="I880" i="66"/>
  <c r="H880" i="66"/>
  <c r="E880" i="66"/>
  <c r="M879" i="66"/>
  <c r="L879" i="66"/>
  <c r="K879" i="66"/>
  <c r="J879" i="66"/>
  <c r="I879" i="66"/>
  <c r="H879" i="66"/>
  <c r="N876" i="66"/>
  <c r="M876" i="66"/>
  <c r="L876" i="66"/>
  <c r="K876" i="66"/>
  <c r="J876" i="66"/>
  <c r="I876" i="66"/>
  <c r="G876" i="66"/>
  <c r="F876" i="66"/>
  <c r="M875" i="66"/>
  <c r="K875" i="66"/>
  <c r="I875" i="66"/>
  <c r="F875" i="66"/>
  <c r="M873" i="66"/>
  <c r="L873" i="66"/>
  <c r="K873" i="66"/>
  <c r="J873" i="66"/>
  <c r="I873" i="66"/>
  <c r="H873" i="66"/>
  <c r="E873" i="66"/>
  <c r="N871" i="66"/>
  <c r="M871" i="66"/>
  <c r="L871" i="66"/>
  <c r="K871" i="66"/>
  <c r="J871" i="66"/>
  <c r="I871" i="66"/>
  <c r="H871" i="66"/>
  <c r="E871" i="66"/>
  <c r="N870" i="66"/>
  <c r="M870" i="66"/>
  <c r="L870" i="66"/>
  <c r="K870" i="66"/>
  <c r="J870" i="66"/>
  <c r="I870" i="66"/>
  <c r="H870" i="66"/>
  <c r="E870" i="66"/>
  <c r="M869" i="66"/>
  <c r="L869" i="66"/>
  <c r="K869" i="66"/>
  <c r="J869" i="66"/>
  <c r="I869" i="66"/>
  <c r="H869" i="66"/>
  <c r="N867" i="66"/>
  <c r="M867" i="66"/>
  <c r="K867" i="66"/>
  <c r="J867" i="66"/>
  <c r="I867" i="66"/>
  <c r="H867" i="66"/>
  <c r="G867" i="66"/>
  <c r="E867" i="66"/>
  <c r="N866" i="66"/>
  <c r="M866" i="66"/>
  <c r="K866" i="66"/>
  <c r="J866" i="66"/>
  <c r="I866" i="66"/>
  <c r="H866" i="66"/>
  <c r="G866" i="66"/>
  <c r="N865" i="66"/>
  <c r="M865" i="66"/>
  <c r="L865" i="66"/>
  <c r="K865" i="66"/>
  <c r="P867" i="66" s="1"/>
  <c r="J865" i="66"/>
  <c r="H865" i="66"/>
  <c r="E865" i="66"/>
  <c r="M864" i="66"/>
  <c r="L864" i="66"/>
  <c r="K864" i="66"/>
  <c r="J864" i="66"/>
  <c r="H864" i="66"/>
  <c r="I862" i="66"/>
  <c r="D862" i="66"/>
  <c r="C862" i="66"/>
  <c r="S797" i="66"/>
  <c r="R797" i="66"/>
  <c r="M858" i="66"/>
  <c r="L858" i="66"/>
  <c r="K858" i="66"/>
  <c r="J858" i="66"/>
  <c r="I858" i="66"/>
  <c r="H858" i="66"/>
  <c r="E858" i="66"/>
  <c r="M856" i="66"/>
  <c r="L856" i="66"/>
  <c r="K856" i="66"/>
  <c r="J856" i="66"/>
  <c r="I856" i="66"/>
  <c r="H856" i="66"/>
  <c r="E856" i="66"/>
  <c r="M854" i="66"/>
  <c r="L854" i="66"/>
  <c r="K854" i="66"/>
  <c r="J854" i="66"/>
  <c r="I854" i="66"/>
  <c r="H854" i="66"/>
  <c r="E854" i="66"/>
  <c r="M853" i="66"/>
  <c r="L853" i="66"/>
  <c r="K853" i="66"/>
  <c r="J853" i="66"/>
  <c r="I853" i="66"/>
  <c r="H853" i="66"/>
  <c r="E853" i="66"/>
  <c r="M851" i="66"/>
  <c r="L851" i="66"/>
  <c r="K851" i="66"/>
  <c r="J851" i="66"/>
  <c r="I851" i="66"/>
  <c r="H851" i="66"/>
  <c r="E851" i="66"/>
  <c r="E850" i="66"/>
  <c r="M848" i="66"/>
  <c r="L848" i="66"/>
  <c r="K848" i="66"/>
  <c r="J848" i="66"/>
  <c r="I848" i="66"/>
  <c r="H848" i="66"/>
  <c r="E848" i="66"/>
  <c r="M847" i="66"/>
  <c r="L847" i="66"/>
  <c r="K847" i="66"/>
  <c r="J847" i="66"/>
  <c r="I847" i="66"/>
  <c r="H847" i="66"/>
  <c r="E847" i="66"/>
  <c r="E846" i="66"/>
  <c r="M845" i="66"/>
  <c r="L845" i="66"/>
  <c r="K845" i="66"/>
  <c r="J845" i="66"/>
  <c r="I845" i="66"/>
  <c r="H845" i="66"/>
  <c r="E845" i="66"/>
  <c r="M844" i="66"/>
  <c r="L844" i="66"/>
  <c r="K844" i="66"/>
  <c r="J844" i="66"/>
  <c r="I844" i="66"/>
  <c r="H844" i="66"/>
  <c r="E844" i="66"/>
  <c r="E843" i="66"/>
  <c r="M841" i="66"/>
  <c r="L841" i="66"/>
  <c r="K841" i="66"/>
  <c r="J841" i="66"/>
  <c r="I841" i="66"/>
  <c r="H841" i="66"/>
  <c r="E841" i="66"/>
  <c r="M839" i="66"/>
  <c r="L839" i="66"/>
  <c r="K839" i="66"/>
  <c r="J839" i="66"/>
  <c r="I839" i="66"/>
  <c r="H839" i="66"/>
  <c r="E839" i="66"/>
  <c r="M838" i="66"/>
  <c r="L838" i="66"/>
  <c r="K838" i="66"/>
  <c r="J838" i="66"/>
  <c r="I838" i="66"/>
  <c r="H838" i="66"/>
  <c r="E838" i="66"/>
  <c r="M837" i="66"/>
  <c r="L837" i="66"/>
  <c r="K837" i="66"/>
  <c r="J837" i="66"/>
  <c r="I837" i="66"/>
  <c r="H837" i="66"/>
  <c r="E837" i="66"/>
  <c r="M836" i="66"/>
  <c r="L836" i="66"/>
  <c r="K836" i="66"/>
  <c r="J836" i="66"/>
  <c r="I836" i="66"/>
  <c r="H836" i="66"/>
  <c r="E836" i="66"/>
  <c r="M835" i="66"/>
  <c r="L835" i="66"/>
  <c r="K835" i="66"/>
  <c r="J835" i="66"/>
  <c r="I835" i="66"/>
  <c r="H835" i="66"/>
  <c r="E835" i="66"/>
  <c r="M834" i="66"/>
  <c r="L834" i="66"/>
  <c r="K834" i="66"/>
  <c r="J834" i="66"/>
  <c r="I834" i="66"/>
  <c r="H834" i="66"/>
  <c r="E834" i="66"/>
  <c r="M833" i="66"/>
  <c r="L833" i="66"/>
  <c r="K833" i="66"/>
  <c r="J833" i="66"/>
  <c r="I833" i="66"/>
  <c r="H833" i="66"/>
  <c r="E833" i="66"/>
  <c r="M832" i="66"/>
  <c r="L832" i="66"/>
  <c r="K832" i="66"/>
  <c r="J832" i="66"/>
  <c r="I832" i="66"/>
  <c r="H832" i="66"/>
  <c r="E832" i="66"/>
  <c r="M831" i="66"/>
  <c r="L831" i="66"/>
  <c r="K831" i="66"/>
  <c r="J831" i="66"/>
  <c r="I831" i="66"/>
  <c r="H831" i="66"/>
  <c r="E831" i="66"/>
  <c r="M830" i="66"/>
  <c r="L830" i="66"/>
  <c r="K830" i="66"/>
  <c r="J830" i="66"/>
  <c r="I830" i="66"/>
  <c r="H830" i="66"/>
  <c r="E830" i="66"/>
  <c r="M828" i="66"/>
  <c r="L828" i="66"/>
  <c r="K828" i="66"/>
  <c r="J828" i="66"/>
  <c r="I828" i="66"/>
  <c r="H828" i="66"/>
  <c r="E828" i="66"/>
  <c r="M827" i="66"/>
  <c r="L827" i="66"/>
  <c r="K827" i="66"/>
  <c r="J827" i="66"/>
  <c r="I827" i="66"/>
  <c r="H827" i="66"/>
  <c r="E827" i="66"/>
  <c r="M825" i="66"/>
  <c r="L825" i="66"/>
  <c r="K825" i="66"/>
  <c r="J825" i="66"/>
  <c r="I825" i="66"/>
  <c r="H825" i="66"/>
  <c r="E825" i="66"/>
  <c r="M824" i="66"/>
  <c r="L824" i="66"/>
  <c r="K824" i="66"/>
  <c r="J824" i="66"/>
  <c r="I824" i="66"/>
  <c r="H824" i="66"/>
  <c r="E824" i="66"/>
  <c r="M822" i="66"/>
  <c r="L822" i="66"/>
  <c r="K822" i="66"/>
  <c r="J822" i="66"/>
  <c r="I822" i="66"/>
  <c r="H822" i="66"/>
  <c r="E822" i="66"/>
  <c r="M821" i="66"/>
  <c r="L821" i="66"/>
  <c r="K821" i="66"/>
  <c r="J821" i="66"/>
  <c r="I821" i="66"/>
  <c r="H821" i="66"/>
  <c r="E821" i="66"/>
  <c r="M819" i="66"/>
  <c r="L819" i="66"/>
  <c r="K819" i="66"/>
  <c r="J819" i="66"/>
  <c r="I819" i="66"/>
  <c r="H819" i="66"/>
  <c r="E819" i="66"/>
  <c r="M818" i="66"/>
  <c r="L818" i="66"/>
  <c r="K818" i="66"/>
  <c r="J818" i="66"/>
  <c r="I818" i="66"/>
  <c r="H818" i="66"/>
  <c r="E818" i="66"/>
  <c r="M817" i="66"/>
  <c r="L817" i="66"/>
  <c r="K817" i="66"/>
  <c r="J817" i="66"/>
  <c r="I817" i="66"/>
  <c r="H817" i="66"/>
  <c r="E817" i="66"/>
  <c r="M816" i="66"/>
  <c r="L816" i="66"/>
  <c r="K816" i="66"/>
  <c r="J816" i="66"/>
  <c r="I816" i="66"/>
  <c r="H816" i="66"/>
  <c r="E816" i="66"/>
  <c r="M814" i="66"/>
  <c r="L814" i="66"/>
  <c r="K814" i="66"/>
  <c r="J814" i="66"/>
  <c r="I814" i="66"/>
  <c r="H814" i="66"/>
  <c r="E814" i="66"/>
  <c r="M813" i="66"/>
  <c r="L813" i="66"/>
  <c r="K813" i="66"/>
  <c r="J813" i="66"/>
  <c r="I813" i="66"/>
  <c r="H813" i="66"/>
  <c r="E813" i="66"/>
  <c r="M811" i="66"/>
  <c r="L811" i="66"/>
  <c r="K811" i="66"/>
  <c r="J811" i="66"/>
  <c r="I811" i="66"/>
  <c r="H811" i="66"/>
  <c r="E811" i="66"/>
  <c r="M810" i="66"/>
  <c r="L810" i="66"/>
  <c r="K810" i="66"/>
  <c r="J810" i="66"/>
  <c r="I810" i="66"/>
  <c r="H810" i="66"/>
  <c r="N807" i="66"/>
  <c r="M807" i="66"/>
  <c r="L807" i="66"/>
  <c r="K807" i="66"/>
  <c r="J807" i="66"/>
  <c r="I807" i="66"/>
  <c r="G807" i="66"/>
  <c r="F807" i="66"/>
  <c r="M806" i="66"/>
  <c r="K806" i="66"/>
  <c r="I806" i="66"/>
  <c r="F806" i="66"/>
  <c r="M804" i="66"/>
  <c r="L804" i="66"/>
  <c r="K804" i="66"/>
  <c r="J804" i="66"/>
  <c r="I804" i="66"/>
  <c r="H804" i="66"/>
  <c r="E804" i="66"/>
  <c r="N802" i="66"/>
  <c r="M802" i="66"/>
  <c r="L802" i="66"/>
  <c r="K802" i="66"/>
  <c r="J802" i="66"/>
  <c r="I802" i="66"/>
  <c r="H802" i="66"/>
  <c r="E802" i="66"/>
  <c r="N801" i="66"/>
  <c r="M801" i="66"/>
  <c r="L801" i="66"/>
  <c r="K801" i="66"/>
  <c r="J801" i="66"/>
  <c r="I801" i="66"/>
  <c r="H801" i="66"/>
  <c r="E801" i="66"/>
  <c r="M800" i="66"/>
  <c r="L800" i="66"/>
  <c r="K800" i="66"/>
  <c r="J800" i="66"/>
  <c r="I800" i="66"/>
  <c r="H800" i="66"/>
  <c r="N798" i="66"/>
  <c r="M798" i="66"/>
  <c r="K798" i="66"/>
  <c r="J798" i="66"/>
  <c r="I798" i="66"/>
  <c r="H798" i="66"/>
  <c r="G798" i="66"/>
  <c r="E798" i="66"/>
  <c r="N797" i="66"/>
  <c r="M797" i="66"/>
  <c r="K797" i="66"/>
  <c r="J797" i="66"/>
  <c r="I797" i="66"/>
  <c r="H797" i="66"/>
  <c r="G797" i="66"/>
  <c r="N796" i="66"/>
  <c r="M796" i="66"/>
  <c r="L796" i="66"/>
  <c r="K796" i="66"/>
  <c r="P798" i="66" s="1"/>
  <c r="J796" i="66"/>
  <c r="H796" i="66"/>
  <c r="E796" i="66"/>
  <c r="M795" i="66"/>
  <c r="L795" i="66"/>
  <c r="K795" i="66"/>
  <c r="J795" i="66"/>
  <c r="H795" i="66"/>
  <c r="I793" i="66"/>
  <c r="D793" i="66"/>
  <c r="C793" i="66"/>
  <c r="S728" i="66"/>
  <c r="R728" i="66"/>
  <c r="M789" i="66"/>
  <c r="L789" i="66"/>
  <c r="K789" i="66"/>
  <c r="J789" i="66"/>
  <c r="I789" i="66"/>
  <c r="H789" i="66"/>
  <c r="E789" i="66"/>
  <c r="M787" i="66"/>
  <c r="L787" i="66"/>
  <c r="K787" i="66"/>
  <c r="J787" i="66"/>
  <c r="I787" i="66"/>
  <c r="H787" i="66"/>
  <c r="E787" i="66"/>
  <c r="M785" i="66"/>
  <c r="L785" i="66"/>
  <c r="K785" i="66"/>
  <c r="J785" i="66"/>
  <c r="I785" i="66"/>
  <c r="H785" i="66"/>
  <c r="E785" i="66"/>
  <c r="M784" i="66"/>
  <c r="L784" i="66"/>
  <c r="K784" i="66"/>
  <c r="J784" i="66"/>
  <c r="I784" i="66"/>
  <c r="H784" i="66"/>
  <c r="E784" i="66"/>
  <c r="M782" i="66"/>
  <c r="L782" i="66"/>
  <c r="K782" i="66"/>
  <c r="J782" i="66"/>
  <c r="I782" i="66"/>
  <c r="H782" i="66"/>
  <c r="E782" i="66"/>
  <c r="E781" i="66"/>
  <c r="M779" i="66"/>
  <c r="L779" i="66"/>
  <c r="K779" i="66"/>
  <c r="J779" i="66"/>
  <c r="I779" i="66"/>
  <c r="H779" i="66"/>
  <c r="E779" i="66"/>
  <c r="M778" i="66"/>
  <c r="L778" i="66"/>
  <c r="K778" i="66"/>
  <c r="J778" i="66"/>
  <c r="I778" i="66"/>
  <c r="H778" i="66"/>
  <c r="E778" i="66"/>
  <c r="E777" i="66"/>
  <c r="M776" i="66"/>
  <c r="L776" i="66"/>
  <c r="K776" i="66"/>
  <c r="J776" i="66"/>
  <c r="I776" i="66"/>
  <c r="H776" i="66"/>
  <c r="E776" i="66"/>
  <c r="M775" i="66"/>
  <c r="L775" i="66"/>
  <c r="K775" i="66"/>
  <c r="J775" i="66"/>
  <c r="I775" i="66"/>
  <c r="H775" i="66"/>
  <c r="E775" i="66"/>
  <c r="E774" i="66"/>
  <c r="M772" i="66"/>
  <c r="L772" i="66"/>
  <c r="K772" i="66"/>
  <c r="J772" i="66"/>
  <c r="I772" i="66"/>
  <c r="H772" i="66"/>
  <c r="E772" i="66"/>
  <c r="M770" i="66"/>
  <c r="L770" i="66"/>
  <c r="K770" i="66"/>
  <c r="J770" i="66"/>
  <c r="I770" i="66"/>
  <c r="H770" i="66"/>
  <c r="E770" i="66"/>
  <c r="M769" i="66"/>
  <c r="L769" i="66"/>
  <c r="K769" i="66"/>
  <c r="J769" i="66"/>
  <c r="I769" i="66"/>
  <c r="H769" i="66"/>
  <c r="E769" i="66"/>
  <c r="M768" i="66"/>
  <c r="L768" i="66"/>
  <c r="K768" i="66"/>
  <c r="J768" i="66"/>
  <c r="I768" i="66"/>
  <c r="H768" i="66"/>
  <c r="E768" i="66"/>
  <c r="M767" i="66"/>
  <c r="L767" i="66"/>
  <c r="K767" i="66"/>
  <c r="J767" i="66"/>
  <c r="I767" i="66"/>
  <c r="H767" i="66"/>
  <c r="E767" i="66"/>
  <c r="M766" i="66"/>
  <c r="L766" i="66"/>
  <c r="K766" i="66"/>
  <c r="J766" i="66"/>
  <c r="I766" i="66"/>
  <c r="H766" i="66"/>
  <c r="E766" i="66"/>
  <c r="M765" i="66"/>
  <c r="L765" i="66"/>
  <c r="K765" i="66"/>
  <c r="J765" i="66"/>
  <c r="I765" i="66"/>
  <c r="H765" i="66"/>
  <c r="E765" i="66"/>
  <c r="M764" i="66"/>
  <c r="L764" i="66"/>
  <c r="K764" i="66"/>
  <c r="J764" i="66"/>
  <c r="I764" i="66"/>
  <c r="H764" i="66"/>
  <c r="E764" i="66"/>
  <c r="M763" i="66"/>
  <c r="L763" i="66"/>
  <c r="K763" i="66"/>
  <c r="J763" i="66"/>
  <c r="I763" i="66"/>
  <c r="H763" i="66"/>
  <c r="E763" i="66"/>
  <c r="M762" i="66"/>
  <c r="L762" i="66"/>
  <c r="K762" i="66"/>
  <c r="J762" i="66"/>
  <c r="I762" i="66"/>
  <c r="H762" i="66"/>
  <c r="E762" i="66"/>
  <c r="M761" i="66"/>
  <c r="L761" i="66"/>
  <c r="K761" i="66"/>
  <c r="J761" i="66"/>
  <c r="I761" i="66"/>
  <c r="H761" i="66"/>
  <c r="E761" i="66"/>
  <c r="M759" i="66"/>
  <c r="L759" i="66"/>
  <c r="K759" i="66"/>
  <c r="J759" i="66"/>
  <c r="I759" i="66"/>
  <c r="H759" i="66"/>
  <c r="E759" i="66"/>
  <c r="M758" i="66"/>
  <c r="L758" i="66"/>
  <c r="K758" i="66"/>
  <c r="J758" i="66"/>
  <c r="I758" i="66"/>
  <c r="H758" i="66"/>
  <c r="E758" i="66"/>
  <c r="M756" i="66"/>
  <c r="L756" i="66"/>
  <c r="K756" i="66"/>
  <c r="J756" i="66"/>
  <c r="I756" i="66"/>
  <c r="H756" i="66"/>
  <c r="E756" i="66"/>
  <c r="M755" i="66"/>
  <c r="L755" i="66"/>
  <c r="K755" i="66"/>
  <c r="J755" i="66"/>
  <c r="I755" i="66"/>
  <c r="H755" i="66"/>
  <c r="E755" i="66"/>
  <c r="M753" i="66"/>
  <c r="L753" i="66"/>
  <c r="K753" i="66"/>
  <c r="J753" i="66"/>
  <c r="I753" i="66"/>
  <c r="H753" i="66"/>
  <c r="E753" i="66"/>
  <c r="M752" i="66"/>
  <c r="L752" i="66"/>
  <c r="K752" i="66"/>
  <c r="J752" i="66"/>
  <c r="I752" i="66"/>
  <c r="H752" i="66"/>
  <c r="E752" i="66"/>
  <c r="M750" i="66"/>
  <c r="L750" i="66"/>
  <c r="K750" i="66"/>
  <c r="J750" i="66"/>
  <c r="I750" i="66"/>
  <c r="H750" i="66"/>
  <c r="E750" i="66"/>
  <c r="M749" i="66"/>
  <c r="L749" i="66"/>
  <c r="K749" i="66"/>
  <c r="J749" i="66"/>
  <c r="I749" i="66"/>
  <c r="H749" i="66"/>
  <c r="E749" i="66"/>
  <c r="M748" i="66"/>
  <c r="L748" i="66"/>
  <c r="K748" i="66"/>
  <c r="J748" i="66"/>
  <c r="I748" i="66"/>
  <c r="H748" i="66"/>
  <c r="E748" i="66"/>
  <c r="M747" i="66"/>
  <c r="L747" i="66"/>
  <c r="K747" i="66"/>
  <c r="J747" i="66"/>
  <c r="I747" i="66"/>
  <c r="H747" i="66"/>
  <c r="E747" i="66"/>
  <c r="M745" i="66"/>
  <c r="L745" i="66"/>
  <c r="K745" i="66"/>
  <c r="J745" i="66"/>
  <c r="I745" i="66"/>
  <c r="H745" i="66"/>
  <c r="E745" i="66"/>
  <c r="M744" i="66"/>
  <c r="L744" i="66"/>
  <c r="K744" i="66"/>
  <c r="J744" i="66"/>
  <c r="I744" i="66"/>
  <c r="H744" i="66"/>
  <c r="E744" i="66"/>
  <c r="M742" i="66"/>
  <c r="L742" i="66"/>
  <c r="K742" i="66"/>
  <c r="J742" i="66"/>
  <c r="I742" i="66"/>
  <c r="H742" i="66"/>
  <c r="E742" i="66"/>
  <c r="M741" i="66"/>
  <c r="L741" i="66"/>
  <c r="K741" i="66"/>
  <c r="J741" i="66"/>
  <c r="I741" i="66"/>
  <c r="H741" i="66"/>
  <c r="N738" i="66"/>
  <c r="M738" i="66"/>
  <c r="L738" i="66"/>
  <c r="K738" i="66"/>
  <c r="J738" i="66"/>
  <c r="I738" i="66"/>
  <c r="G738" i="66"/>
  <c r="F738" i="66"/>
  <c r="M737" i="66"/>
  <c r="K737" i="66"/>
  <c r="I737" i="66"/>
  <c r="F737" i="66"/>
  <c r="M735" i="66"/>
  <c r="L735" i="66"/>
  <c r="K735" i="66"/>
  <c r="J735" i="66"/>
  <c r="I735" i="66"/>
  <c r="H735" i="66"/>
  <c r="E735" i="66"/>
  <c r="N733" i="66"/>
  <c r="M733" i="66"/>
  <c r="L733" i="66"/>
  <c r="K733" i="66"/>
  <c r="J733" i="66"/>
  <c r="I733" i="66"/>
  <c r="H733" i="66"/>
  <c r="E733" i="66"/>
  <c r="N732" i="66"/>
  <c r="M732" i="66"/>
  <c r="L732" i="66"/>
  <c r="K732" i="66"/>
  <c r="J732" i="66"/>
  <c r="I732" i="66"/>
  <c r="H732" i="66"/>
  <c r="E732" i="66"/>
  <c r="M731" i="66"/>
  <c r="L731" i="66"/>
  <c r="K731" i="66"/>
  <c r="J731" i="66"/>
  <c r="I731" i="66"/>
  <c r="H731" i="66"/>
  <c r="N729" i="66"/>
  <c r="M729" i="66"/>
  <c r="K729" i="66"/>
  <c r="J729" i="66"/>
  <c r="I729" i="66"/>
  <c r="H729" i="66"/>
  <c r="G729" i="66"/>
  <c r="E729" i="66"/>
  <c r="N728" i="66"/>
  <c r="M728" i="66"/>
  <c r="K728" i="66"/>
  <c r="J728" i="66"/>
  <c r="I728" i="66"/>
  <c r="H728" i="66"/>
  <c r="G728" i="66"/>
  <c r="N727" i="66"/>
  <c r="M727" i="66"/>
  <c r="L727" i="66"/>
  <c r="K727" i="66"/>
  <c r="P729" i="66" s="1"/>
  <c r="J727" i="66"/>
  <c r="H727" i="66"/>
  <c r="E727" i="66"/>
  <c r="M726" i="66"/>
  <c r="L726" i="66"/>
  <c r="K726" i="66"/>
  <c r="J726" i="66"/>
  <c r="H726" i="66"/>
  <c r="I724" i="66"/>
  <c r="D724" i="66"/>
  <c r="C724" i="66"/>
  <c r="S659" i="66"/>
  <c r="R659" i="66"/>
  <c r="M720" i="66"/>
  <c r="L720" i="66"/>
  <c r="K720" i="66"/>
  <c r="J720" i="66"/>
  <c r="I720" i="66"/>
  <c r="H720" i="66"/>
  <c r="E720" i="66"/>
  <c r="M718" i="66"/>
  <c r="L718" i="66"/>
  <c r="K718" i="66"/>
  <c r="J718" i="66"/>
  <c r="I718" i="66"/>
  <c r="H718" i="66"/>
  <c r="E718" i="66"/>
  <c r="M716" i="66"/>
  <c r="L716" i="66"/>
  <c r="K716" i="66"/>
  <c r="J716" i="66"/>
  <c r="I716" i="66"/>
  <c r="H716" i="66"/>
  <c r="E716" i="66"/>
  <c r="M715" i="66"/>
  <c r="L715" i="66"/>
  <c r="K715" i="66"/>
  <c r="J715" i="66"/>
  <c r="I715" i="66"/>
  <c r="H715" i="66"/>
  <c r="E715" i="66"/>
  <c r="M713" i="66"/>
  <c r="L713" i="66"/>
  <c r="K713" i="66"/>
  <c r="J713" i="66"/>
  <c r="I713" i="66"/>
  <c r="H713" i="66"/>
  <c r="E713" i="66"/>
  <c r="E712" i="66"/>
  <c r="M710" i="66"/>
  <c r="L710" i="66"/>
  <c r="K710" i="66"/>
  <c r="J710" i="66"/>
  <c r="I710" i="66"/>
  <c r="H710" i="66"/>
  <c r="E710" i="66"/>
  <c r="M709" i="66"/>
  <c r="L709" i="66"/>
  <c r="K709" i="66"/>
  <c r="J709" i="66"/>
  <c r="I709" i="66"/>
  <c r="H709" i="66"/>
  <c r="E709" i="66"/>
  <c r="E708" i="66"/>
  <c r="M707" i="66"/>
  <c r="L707" i="66"/>
  <c r="K707" i="66"/>
  <c r="J707" i="66"/>
  <c r="I707" i="66"/>
  <c r="H707" i="66"/>
  <c r="E707" i="66"/>
  <c r="M706" i="66"/>
  <c r="L706" i="66"/>
  <c r="K706" i="66"/>
  <c r="J706" i="66"/>
  <c r="I706" i="66"/>
  <c r="H706" i="66"/>
  <c r="E706" i="66"/>
  <c r="E705" i="66"/>
  <c r="M703" i="66"/>
  <c r="L703" i="66"/>
  <c r="K703" i="66"/>
  <c r="J703" i="66"/>
  <c r="I703" i="66"/>
  <c r="H703" i="66"/>
  <c r="E703" i="66"/>
  <c r="M701" i="66"/>
  <c r="L701" i="66"/>
  <c r="K701" i="66"/>
  <c r="J701" i="66"/>
  <c r="I701" i="66"/>
  <c r="H701" i="66"/>
  <c r="E701" i="66"/>
  <c r="M700" i="66"/>
  <c r="L700" i="66"/>
  <c r="K700" i="66"/>
  <c r="J700" i="66"/>
  <c r="I700" i="66"/>
  <c r="H700" i="66"/>
  <c r="E700" i="66"/>
  <c r="M699" i="66"/>
  <c r="L699" i="66"/>
  <c r="K699" i="66"/>
  <c r="J699" i="66"/>
  <c r="I699" i="66"/>
  <c r="H699" i="66"/>
  <c r="E699" i="66"/>
  <c r="M698" i="66"/>
  <c r="L698" i="66"/>
  <c r="K698" i="66"/>
  <c r="J698" i="66"/>
  <c r="I698" i="66"/>
  <c r="H698" i="66"/>
  <c r="E698" i="66"/>
  <c r="M697" i="66"/>
  <c r="L697" i="66"/>
  <c r="K697" i="66"/>
  <c r="J697" i="66"/>
  <c r="I697" i="66"/>
  <c r="H697" i="66"/>
  <c r="E697" i="66"/>
  <c r="M696" i="66"/>
  <c r="L696" i="66"/>
  <c r="K696" i="66"/>
  <c r="J696" i="66"/>
  <c r="I696" i="66"/>
  <c r="H696" i="66"/>
  <c r="E696" i="66"/>
  <c r="M695" i="66"/>
  <c r="L695" i="66"/>
  <c r="K695" i="66"/>
  <c r="J695" i="66"/>
  <c r="I695" i="66"/>
  <c r="H695" i="66"/>
  <c r="E695" i="66"/>
  <c r="M694" i="66"/>
  <c r="L694" i="66"/>
  <c r="K694" i="66"/>
  <c r="J694" i="66"/>
  <c r="I694" i="66"/>
  <c r="H694" i="66"/>
  <c r="E694" i="66"/>
  <c r="M693" i="66"/>
  <c r="L693" i="66"/>
  <c r="K693" i="66"/>
  <c r="J693" i="66"/>
  <c r="I693" i="66"/>
  <c r="H693" i="66"/>
  <c r="E693" i="66"/>
  <c r="M692" i="66"/>
  <c r="L692" i="66"/>
  <c r="K692" i="66"/>
  <c r="J692" i="66"/>
  <c r="I692" i="66"/>
  <c r="H692" i="66"/>
  <c r="E692" i="66"/>
  <c r="M690" i="66"/>
  <c r="L690" i="66"/>
  <c r="K690" i="66"/>
  <c r="J690" i="66"/>
  <c r="I690" i="66"/>
  <c r="H690" i="66"/>
  <c r="E690" i="66"/>
  <c r="M689" i="66"/>
  <c r="L689" i="66"/>
  <c r="K689" i="66"/>
  <c r="J689" i="66"/>
  <c r="I689" i="66"/>
  <c r="H689" i="66"/>
  <c r="E689" i="66"/>
  <c r="M687" i="66"/>
  <c r="L687" i="66"/>
  <c r="K687" i="66"/>
  <c r="J687" i="66"/>
  <c r="I687" i="66"/>
  <c r="H687" i="66"/>
  <c r="E687" i="66"/>
  <c r="M686" i="66"/>
  <c r="L686" i="66"/>
  <c r="K686" i="66"/>
  <c r="J686" i="66"/>
  <c r="I686" i="66"/>
  <c r="H686" i="66"/>
  <c r="E686" i="66"/>
  <c r="M684" i="66"/>
  <c r="L684" i="66"/>
  <c r="K684" i="66"/>
  <c r="J684" i="66"/>
  <c r="I684" i="66"/>
  <c r="H684" i="66"/>
  <c r="E684" i="66"/>
  <c r="M683" i="66"/>
  <c r="L683" i="66"/>
  <c r="K683" i="66"/>
  <c r="J683" i="66"/>
  <c r="I683" i="66"/>
  <c r="H683" i="66"/>
  <c r="E683" i="66"/>
  <c r="M681" i="66"/>
  <c r="L681" i="66"/>
  <c r="K681" i="66"/>
  <c r="J681" i="66"/>
  <c r="I681" i="66"/>
  <c r="H681" i="66"/>
  <c r="E681" i="66"/>
  <c r="M680" i="66"/>
  <c r="L680" i="66"/>
  <c r="K680" i="66"/>
  <c r="J680" i="66"/>
  <c r="I680" i="66"/>
  <c r="H680" i="66"/>
  <c r="E680" i="66"/>
  <c r="M679" i="66"/>
  <c r="L679" i="66"/>
  <c r="K679" i="66"/>
  <c r="J679" i="66"/>
  <c r="I679" i="66"/>
  <c r="H679" i="66"/>
  <c r="E679" i="66"/>
  <c r="M678" i="66"/>
  <c r="L678" i="66"/>
  <c r="K678" i="66"/>
  <c r="J678" i="66"/>
  <c r="I678" i="66"/>
  <c r="H678" i="66"/>
  <c r="E678" i="66"/>
  <c r="M676" i="66"/>
  <c r="L676" i="66"/>
  <c r="K676" i="66"/>
  <c r="J676" i="66"/>
  <c r="I676" i="66"/>
  <c r="H676" i="66"/>
  <c r="E676" i="66"/>
  <c r="M675" i="66"/>
  <c r="L675" i="66"/>
  <c r="K675" i="66"/>
  <c r="J675" i="66"/>
  <c r="I675" i="66"/>
  <c r="H675" i="66"/>
  <c r="E675" i="66"/>
  <c r="M673" i="66"/>
  <c r="L673" i="66"/>
  <c r="K673" i="66"/>
  <c r="J673" i="66"/>
  <c r="I673" i="66"/>
  <c r="H673" i="66"/>
  <c r="E673" i="66"/>
  <c r="M672" i="66"/>
  <c r="L672" i="66"/>
  <c r="K672" i="66"/>
  <c r="J672" i="66"/>
  <c r="I672" i="66"/>
  <c r="H672" i="66"/>
  <c r="N669" i="66"/>
  <c r="M669" i="66"/>
  <c r="L669" i="66"/>
  <c r="K669" i="66"/>
  <c r="J669" i="66"/>
  <c r="I669" i="66"/>
  <c r="G669" i="66"/>
  <c r="F669" i="66"/>
  <c r="M668" i="66"/>
  <c r="K668" i="66"/>
  <c r="I668" i="66"/>
  <c r="F668" i="66"/>
  <c r="M666" i="66"/>
  <c r="L666" i="66"/>
  <c r="K666" i="66"/>
  <c r="J666" i="66"/>
  <c r="I666" i="66"/>
  <c r="H666" i="66"/>
  <c r="E666" i="66"/>
  <c r="N664" i="66"/>
  <c r="M664" i="66"/>
  <c r="L664" i="66"/>
  <c r="K664" i="66"/>
  <c r="J664" i="66"/>
  <c r="I664" i="66"/>
  <c r="H664" i="66"/>
  <c r="E664" i="66"/>
  <c r="N663" i="66"/>
  <c r="M663" i="66"/>
  <c r="L663" i="66"/>
  <c r="K663" i="66"/>
  <c r="J663" i="66"/>
  <c r="I663" i="66"/>
  <c r="H663" i="66"/>
  <c r="E663" i="66"/>
  <c r="M662" i="66"/>
  <c r="L662" i="66"/>
  <c r="K662" i="66"/>
  <c r="J662" i="66"/>
  <c r="I662" i="66"/>
  <c r="H662" i="66"/>
  <c r="N660" i="66"/>
  <c r="M660" i="66"/>
  <c r="K660" i="66"/>
  <c r="J660" i="66"/>
  <c r="I660" i="66"/>
  <c r="H660" i="66"/>
  <c r="G660" i="66"/>
  <c r="E660" i="66"/>
  <c r="N659" i="66"/>
  <c r="M659" i="66"/>
  <c r="K659" i="66"/>
  <c r="J659" i="66"/>
  <c r="I659" i="66"/>
  <c r="H659" i="66"/>
  <c r="G659" i="66"/>
  <c r="N658" i="66"/>
  <c r="M658" i="66"/>
  <c r="L658" i="66"/>
  <c r="K658" i="66"/>
  <c r="P660" i="66" s="1"/>
  <c r="J658" i="66"/>
  <c r="H658" i="66"/>
  <c r="E658" i="66"/>
  <c r="M657" i="66"/>
  <c r="L657" i="66"/>
  <c r="K657" i="66"/>
  <c r="J657" i="66"/>
  <c r="H657" i="66"/>
  <c r="I655" i="66"/>
  <c r="D655" i="66"/>
  <c r="C655" i="66"/>
  <c r="S590" i="66"/>
  <c r="R590" i="66"/>
  <c r="M651" i="66"/>
  <c r="L651" i="66"/>
  <c r="K651" i="66"/>
  <c r="J651" i="66"/>
  <c r="I651" i="66"/>
  <c r="H651" i="66"/>
  <c r="E651" i="66"/>
  <c r="M649" i="66"/>
  <c r="L649" i="66"/>
  <c r="K649" i="66"/>
  <c r="J649" i="66"/>
  <c r="I649" i="66"/>
  <c r="H649" i="66"/>
  <c r="E649" i="66"/>
  <c r="M647" i="66"/>
  <c r="L647" i="66"/>
  <c r="K647" i="66"/>
  <c r="J647" i="66"/>
  <c r="I647" i="66"/>
  <c r="H647" i="66"/>
  <c r="E647" i="66"/>
  <c r="M646" i="66"/>
  <c r="L646" i="66"/>
  <c r="K646" i="66"/>
  <c r="J646" i="66"/>
  <c r="I646" i="66"/>
  <c r="H646" i="66"/>
  <c r="E646" i="66"/>
  <c r="M644" i="66"/>
  <c r="L644" i="66"/>
  <c r="K644" i="66"/>
  <c r="J644" i="66"/>
  <c r="I644" i="66"/>
  <c r="H644" i="66"/>
  <c r="E644" i="66"/>
  <c r="E643" i="66"/>
  <c r="M641" i="66"/>
  <c r="L641" i="66"/>
  <c r="K641" i="66"/>
  <c r="J641" i="66"/>
  <c r="I641" i="66"/>
  <c r="H641" i="66"/>
  <c r="E641" i="66"/>
  <c r="M640" i="66"/>
  <c r="L640" i="66"/>
  <c r="K640" i="66"/>
  <c r="J640" i="66"/>
  <c r="I640" i="66"/>
  <c r="H640" i="66"/>
  <c r="E640" i="66"/>
  <c r="E639" i="66"/>
  <c r="M638" i="66"/>
  <c r="L638" i="66"/>
  <c r="K638" i="66"/>
  <c r="J638" i="66"/>
  <c r="I638" i="66"/>
  <c r="H638" i="66"/>
  <c r="E638" i="66"/>
  <c r="M637" i="66"/>
  <c r="L637" i="66"/>
  <c r="K637" i="66"/>
  <c r="J637" i="66"/>
  <c r="I637" i="66"/>
  <c r="H637" i="66"/>
  <c r="E637" i="66"/>
  <c r="E636" i="66"/>
  <c r="M634" i="66"/>
  <c r="L634" i="66"/>
  <c r="K634" i="66"/>
  <c r="J634" i="66"/>
  <c r="I634" i="66"/>
  <c r="H634" i="66"/>
  <c r="E634" i="66"/>
  <c r="M632" i="66"/>
  <c r="L632" i="66"/>
  <c r="K632" i="66"/>
  <c r="J632" i="66"/>
  <c r="I632" i="66"/>
  <c r="H632" i="66"/>
  <c r="E632" i="66"/>
  <c r="M631" i="66"/>
  <c r="L631" i="66"/>
  <c r="K631" i="66"/>
  <c r="J631" i="66"/>
  <c r="I631" i="66"/>
  <c r="H631" i="66"/>
  <c r="E631" i="66"/>
  <c r="M630" i="66"/>
  <c r="L630" i="66"/>
  <c r="K630" i="66"/>
  <c r="J630" i="66"/>
  <c r="I630" i="66"/>
  <c r="H630" i="66"/>
  <c r="E630" i="66"/>
  <c r="M629" i="66"/>
  <c r="L629" i="66"/>
  <c r="K629" i="66"/>
  <c r="J629" i="66"/>
  <c r="I629" i="66"/>
  <c r="H629" i="66"/>
  <c r="E629" i="66"/>
  <c r="M628" i="66"/>
  <c r="L628" i="66"/>
  <c r="K628" i="66"/>
  <c r="J628" i="66"/>
  <c r="I628" i="66"/>
  <c r="H628" i="66"/>
  <c r="E628" i="66"/>
  <c r="M627" i="66"/>
  <c r="L627" i="66"/>
  <c r="K627" i="66"/>
  <c r="J627" i="66"/>
  <c r="I627" i="66"/>
  <c r="H627" i="66"/>
  <c r="E627" i="66"/>
  <c r="M626" i="66"/>
  <c r="L626" i="66"/>
  <c r="K626" i="66"/>
  <c r="J626" i="66"/>
  <c r="I626" i="66"/>
  <c r="H626" i="66"/>
  <c r="E626" i="66"/>
  <c r="M625" i="66"/>
  <c r="L625" i="66"/>
  <c r="K625" i="66"/>
  <c r="J625" i="66"/>
  <c r="I625" i="66"/>
  <c r="H625" i="66"/>
  <c r="E625" i="66"/>
  <c r="M624" i="66"/>
  <c r="L624" i="66"/>
  <c r="K624" i="66"/>
  <c r="J624" i="66"/>
  <c r="I624" i="66"/>
  <c r="H624" i="66"/>
  <c r="E624" i="66"/>
  <c r="M623" i="66"/>
  <c r="L623" i="66"/>
  <c r="K623" i="66"/>
  <c r="J623" i="66"/>
  <c r="I623" i="66"/>
  <c r="H623" i="66"/>
  <c r="E623" i="66"/>
  <c r="M621" i="66"/>
  <c r="L621" i="66"/>
  <c r="K621" i="66"/>
  <c r="J621" i="66"/>
  <c r="I621" i="66"/>
  <c r="H621" i="66"/>
  <c r="E621" i="66"/>
  <c r="M620" i="66"/>
  <c r="L620" i="66"/>
  <c r="K620" i="66"/>
  <c r="J620" i="66"/>
  <c r="I620" i="66"/>
  <c r="H620" i="66"/>
  <c r="E620" i="66"/>
  <c r="M618" i="66"/>
  <c r="L618" i="66"/>
  <c r="K618" i="66"/>
  <c r="J618" i="66"/>
  <c r="I618" i="66"/>
  <c r="H618" i="66"/>
  <c r="E618" i="66"/>
  <c r="M617" i="66"/>
  <c r="L617" i="66"/>
  <c r="K617" i="66"/>
  <c r="J617" i="66"/>
  <c r="I617" i="66"/>
  <c r="H617" i="66"/>
  <c r="E617" i="66"/>
  <c r="M615" i="66"/>
  <c r="L615" i="66"/>
  <c r="K615" i="66"/>
  <c r="J615" i="66"/>
  <c r="I615" i="66"/>
  <c r="H615" i="66"/>
  <c r="E615" i="66"/>
  <c r="M614" i="66"/>
  <c r="L614" i="66"/>
  <c r="K614" i="66"/>
  <c r="J614" i="66"/>
  <c r="I614" i="66"/>
  <c r="H614" i="66"/>
  <c r="E614" i="66"/>
  <c r="M612" i="66"/>
  <c r="L612" i="66"/>
  <c r="K612" i="66"/>
  <c r="J612" i="66"/>
  <c r="I612" i="66"/>
  <c r="H612" i="66"/>
  <c r="E612" i="66"/>
  <c r="M611" i="66"/>
  <c r="L611" i="66"/>
  <c r="K611" i="66"/>
  <c r="J611" i="66"/>
  <c r="I611" i="66"/>
  <c r="H611" i="66"/>
  <c r="E611" i="66"/>
  <c r="M610" i="66"/>
  <c r="L610" i="66"/>
  <c r="K610" i="66"/>
  <c r="J610" i="66"/>
  <c r="I610" i="66"/>
  <c r="H610" i="66"/>
  <c r="E610" i="66"/>
  <c r="M609" i="66"/>
  <c r="L609" i="66"/>
  <c r="K609" i="66"/>
  <c r="J609" i="66"/>
  <c r="I609" i="66"/>
  <c r="H609" i="66"/>
  <c r="E609" i="66"/>
  <c r="M607" i="66"/>
  <c r="L607" i="66"/>
  <c r="K607" i="66"/>
  <c r="J607" i="66"/>
  <c r="I607" i="66"/>
  <c r="H607" i="66"/>
  <c r="E607" i="66"/>
  <c r="M606" i="66"/>
  <c r="L606" i="66"/>
  <c r="K606" i="66"/>
  <c r="J606" i="66"/>
  <c r="I606" i="66"/>
  <c r="H606" i="66"/>
  <c r="E606" i="66"/>
  <c r="M604" i="66"/>
  <c r="L604" i="66"/>
  <c r="K604" i="66"/>
  <c r="J604" i="66"/>
  <c r="I604" i="66"/>
  <c r="H604" i="66"/>
  <c r="E604" i="66"/>
  <c r="M603" i="66"/>
  <c r="L603" i="66"/>
  <c r="K603" i="66"/>
  <c r="J603" i="66"/>
  <c r="I603" i="66"/>
  <c r="H603" i="66"/>
  <c r="N600" i="66"/>
  <c r="M600" i="66"/>
  <c r="L600" i="66"/>
  <c r="K600" i="66"/>
  <c r="J600" i="66"/>
  <c r="I600" i="66"/>
  <c r="G600" i="66"/>
  <c r="F600" i="66"/>
  <c r="M599" i="66"/>
  <c r="K599" i="66"/>
  <c r="I599" i="66"/>
  <c r="F599" i="66"/>
  <c r="M597" i="66"/>
  <c r="L597" i="66"/>
  <c r="K597" i="66"/>
  <c r="J597" i="66"/>
  <c r="I597" i="66"/>
  <c r="H597" i="66"/>
  <c r="E597" i="66"/>
  <c r="N595" i="66"/>
  <c r="M595" i="66"/>
  <c r="L595" i="66"/>
  <c r="K595" i="66"/>
  <c r="J595" i="66"/>
  <c r="I595" i="66"/>
  <c r="H595" i="66"/>
  <c r="E595" i="66"/>
  <c r="N594" i="66"/>
  <c r="M594" i="66"/>
  <c r="L594" i="66"/>
  <c r="K594" i="66"/>
  <c r="J594" i="66"/>
  <c r="I594" i="66"/>
  <c r="H594" i="66"/>
  <c r="E594" i="66"/>
  <c r="M593" i="66"/>
  <c r="L593" i="66"/>
  <c r="K593" i="66"/>
  <c r="J593" i="66"/>
  <c r="I593" i="66"/>
  <c r="H593" i="66"/>
  <c r="N591" i="66"/>
  <c r="M591" i="66"/>
  <c r="K591" i="66"/>
  <c r="J591" i="66"/>
  <c r="I591" i="66"/>
  <c r="H591" i="66"/>
  <c r="G591" i="66"/>
  <c r="E591" i="66"/>
  <c r="N590" i="66"/>
  <c r="M590" i="66"/>
  <c r="K590" i="66"/>
  <c r="J590" i="66"/>
  <c r="I590" i="66"/>
  <c r="H590" i="66"/>
  <c r="G590" i="66"/>
  <c r="N589" i="66"/>
  <c r="M589" i="66"/>
  <c r="L589" i="66"/>
  <c r="K589" i="66"/>
  <c r="P591" i="66" s="1"/>
  <c r="J589" i="66"/>
  <c r="H589" i="66"/>
  <c r="E589" i="66"/>
  <c r="M588" i="66"/>
  <c r="L588" i="66"/>
  <c r="K588" i="66"/>
  <c r="J588" i="66"/>
  <c r="H588" i="66"/>
  <c r="I586" i="66"/>
  <c r="D586" i="66"/>
  <c r="C586" i="66"/>
  <c r="S521" i="66"/>
  <c r="R521" i="66"/>
  <c r="M582" i="66"/>
  <c r="L582" i="66"/>
  <c r="K582" i="66"/>
  <c r="J582" i="66"/>
  <c r="I582" i="66"/>
  <c r="H582" i="66"/>
  <c r="E582" i="66"/>
  <c r="M580" i="66"/>
  <c r="L580" i="66"/>
  <c r="K580" i="66"/>
  <c r="J580" i="66"/>
  <c r="I580" i="66"/>
  <c r="H580" i="66"/>
  <c r="E580" i="66"/>
  <c r="M578" i="66"/>
  <c r="L578" i="66"/>
  <c r="K578" i="66"/>
  <c r="J578" i="66"/>
  <c r="I578" i="66"/>
  <c r="H578" i="66"/>
  <c r="E578" i="66"/>
  <c r="M577" i="66"/>
  <c r="L577" i="66"/>
  <c r="K577" i="66"/>
  <c r="J577" i="66"/>
  <c r="I577" i="66"/>
  <c r="H577" i="66"/>
  <c r="E577" i="66"/>
  <c r="M575" i="66"/>
  <c r="L575" i="66"/>
  <c r="K575" i="66"/>
  <c r="J575" i="66"/>
  <c r="I575" i="66"/>
  <c r="H575" i="66"/>
  <c r="E575" i="66"/>
  <c r="E574" i="66"/>
  <c r="M572" i="66"/>
  <c r="L572" i="66"/>
  <c r="K572" i="66"/>
  <c r="J572" i="66"/>
  <c r="I572" i="66"/>
  <c r="H572" i="66"/>
  <c r="E572" i="66"/>
  <c r="M571" i="66"/>
  <c r="L571" i="66"/>
  <c r="K571" i="66"/>
  <c r="J571" i="66"/>
  <c r="I571" i="66"/>
  <c r="H571" i="66"/>
  <c r="E571" i="66"/>
  <c r="E570" i="66"/>
  <c r="M569" i="66"/>
  <c r="L569" i="66"/>
  <c r="K569" i="66"/>
  <c r="J569" i="66"/>
  <c r="I569" i="66"/>
  <c r="H569" i="66"/>
  <c r="E569" i="66"/>
  <c r="M568" i="66"/>
  <c r="L568" i="66"/>
  <c r="K568" i="66"/>
  <c r="J568" i="66"/>
  <c r="I568" i="66"/>
  <c r="H568" i="66"/>
  <c r="E568" i="66"/>
  <c r="E567" i="66"/>
  <c r="M565" i="66"/>
  <c r="L565" i="66"/>
  <c r="K565" i="66"/>
  <c r="J565" i="66"/>
  <c r="I565" i="66"/>
  <c r="H565" i="66"/>
  <c r="E565" i="66"/>
  <c r="M563" i="66"/>
  <c r="L563" i="66"/>
  <c r="K563" i="66"/>
  <c r="J563" i="66"/>
  <c r="I563" i="66"/>
  <c r="H563" i="66"/>
  <c r="E563" i="66"/>
  <c r="M562" i="66"/>
  <c r="L562" i="66"/>
  <c r="K562" i="66"/>
  <c r="J562" i="66"/>
  <c r="I562" i="66"/>
  <c r="H562" i="66"/>
  <c r="E562" i="66"/>
  <c r="M561" i="66"/>
  <c r="L561" i="66"/>
  <c r="K561" i="66"/>
  <c r="J561" i="66"/>
  <c r="I561" i="66"/>
  <c r="H561" i="66"/>
  <c r="E561" i="66"/>
  <c r="M560" i="66"/>
  <c r="L560" i="66"/>
  <c r="K560" i="66"/>
  <c r="J560" i="66"/>
  <c r="I560" i="66"/>
  <c r="H560" i="66"/>
  <c r="E560" i="66"/>
  <c r="M559" i="66"/>
  <c r="L559" i="66"/>
  <c r="K559" i="66"/>
  <c r="J559" i="66"/>
  <c r="I559" i="66"/>
  <c r="H559" i="66"/>
  <c r="E559" i="66"/>
  <c r="M558" i="66"/>
  <c r="L558" i="66"/>
  <c r="K558" i="66"/>
  <c r="J558" i="66"/>
  <c r="I558" i="66"/>
  <c r="H558" i="66"/>
  <c r="E558" i="66"/>
  <c r="M557" i="66"/>
  <c r="L557" i="66"/>
  <c r="K557" i="66"/>
  <c r="J557" i="66"/>
  <c r="I557" i="66"/>
  <c r="H557" i="66"/>
  <c r="E557" i="66"/>
  <c r="M556" i="66"/>
  <c r="L556" i="66"/>
  <c r="K556" i="66"/>
  <c r="J556" i="66"/>
  <c r="I556" i="66"/>
  <c r="H556" i="66"/>
  <c r="E556" i="66"/>
  <c r="M555" i="66"/>
  <c r="L555" i="66"/>
  <c r="K555" i="66"/>
  <c r="J555" i="66"/>
  <c r="I555" i="66"/>
  <c r="H555" i="66"/>
  <c r="E555" i="66"/>
  <c r="M554" i="66"/>
  <c r="L554" i="66"/>
  <c r="K554" i="66"/>
  <c r="J554" i="66"/>
  <c r="I554" i="66"/>
  <c r="H554" i="66"/>
  <c r="E554" i="66"/>
  <c r="M552" i="66"/>
  <c r="L552" i="66"/>
  <c r="K552" i="66"/>
  <c r="J552" i="66"/>
  <c r="I552" i="66"/>
  <c r="H552" i="66"/>
  <c r="E552" i="66"/>
  <c r="M551" i="66"/>
  <c r="L551" i="66"/>
  <c r="K551" i="66"/>
  <c r="J551" i="66"/>
  <c r="I551" i="66"/>
  <c r="H551" i="66"/>
  <c r="E551" i="66"/>
  <c r="M549" i="66"/>
  <c r="L549" i="66"/>
  <c r="K549" i="66"/>
  <c r="J549" i="66"/>
  <c r="I549" i="66"/>
  <c r="H549" i="66"/>
  <c r="E549" i="66"/>
  <c r="M548" i="66"/>
  <c r="L548" i="66"/>
  <c r="K548" i="66"/>
  <c r="J548" i="66"/>
  <c r="I548" i="66"/>
  <c r="H548" i="66"/>
  <c r="E548" i="66"/>
  <c r="M546" i="66"/>
  <c r="L546" i="66"/>
  <c r="K546" i="66"/>
  <c r="J546" i="66"/>
  <c r="I546" i="66"/>
  <c r="H546" i="66"/>
  <c r="E546" i="66"/>
  <c r="M545" i="66"/>
  <c r="L545" i="66"/>
  <c r="K545" i="66"/>
  <c r="J545" i="66"/>
  <c r="I545" i="66"/>
  <c r="H545" i="66"/>
  <c r="E545" i="66"/>
  <c r="M543" i="66"/>
  <c r="L543" i="66"/>
  <c r="K543" i="66"/>
  <c r="J543" i="66"/>
  <c r="I543" i="66"/>
  <c r="H543" i="66"/>
  <c r="E543" i="66"/>
  <c r="M542" i="66"/>
  <c r="L542" i="66"/>
  <c r="K542" i="66"/>
  <c r="J542" i="66"/>
  <c r="I542" i="66"/>
  <c r="H542" i="66"/>
  <c r="E542" i="66"/>
  <c r="M541" i="66"/>
  <c r="L541" i="66"/>
  <c r="K541" i="66"/>
  <c r="J541" i="66"/>
  <c r="I541" i="66"/>
  <c r="H541" i="66"/>
  <c r="E541" i="66"/>
  <c r="M540" i="66"/>
  <c r="L540" i="66"/>
  <c r="K540" i="66"/>
  <c r="J540" i="66"/>
  <c r="I540" i="66"/>
  <c r="H540" i="66"/>
  <c r="E540" i="66"/>
  <c r="M538" i="66"/>
  <c r="L538" i="66"/>
  <c r="K538" i="66"/>
  <c r="J538" i="66"/>
  <c r="I538" i="66"/>
  <c r="H538" i="66"/>
  <c r="E538" i="66"/>
  <c r="M537" i="66"/>
  <c r="L537" i="66"/>
  <c r="K537" i="66"/>
  <c r="J537" i="66"/>
  <c r="I537" i="66"/>
  <c r="H537" i="66"/>
  <c r="E537" i="66"/>
  <c r="M535" i="66"/>
  <c r="L535" i="66"/>
  <c r="K535" i="66"/>
  <c r="J535" i="66"/>
  <c r="I535" i="66"/>
  <c r="H535" i="66"/>
  <c r="E535" i="66"/>
  <c r="M534" i="66"/>
  <c r="L534" i="66"/>
  <c r="K534" i="66"/>
  <c r="J534" i="66"/>
  <c r="I534" i="66"/>
  <c r="H534" i="66"/>
  <c r="N531" i="66"/>
  <c r="M531" i="66"/>
  <c r="L531" i="66"/>
  <c r="K531" i="66"/>
  <c r="J531" i="66"/>
  <c r="I531" i="66"/>
  <c r="G531" i="66"/>
  <c r="F531" i="66"/>
  <c r="M530" i="66"/>
  <c r="K530" i="66"/>
  <c r="I530" i="66"/>
  <c r="F530" i="66"/>
  <c r="M528" i="66"/>
  <c r="L528" i="66"/>
  <c r="K528" i="66"/>
  <c r="J528" i="66"/>
  <c r="I528" i="66"/>
  <c r="H528" i="66"/>
  <c r="E528" i="66"/>
  <c r="N526" i="66"/>
  <c r="M526" i="66"/>
  <c r="L526" i="66"/>
  <c r="K526" i="66"/>
  <c r="J526" i="66"/>
  <c r="I526" i="66"/>
  <c r="H526" i="66"/>
  <c r="E526" i="66"/>
  <c r="N525" i="66"/>
  <c r="M525" i="66"/>
  <c r="L525" i="66"/>
  <c r="K525" i="66"/>
  <c r="J525" i="66"/>
  <c r="I525" i="66"/>
  <c r="H525" i="66"/>
  <c r="E525" i="66"/>
  <c r="M524" i="66"/>
  <c r="L524" i="66"/>
  <c r="K524" i="66"/>
  <c r="J524" i="66"/>
  <c r="I524" i="66"/>
  <c r="H524" i="66"/>
  <c r="N522" i="66"/>
  <c r="M522" i="66"/>
  <c r="K522" i="66"/>
  <c r="J522" i="66"/>
  <c r="I522" i="66"/>
  <c r="H522" i="66"/>
  <c r="G522" i="66"/>
  <c r="E522" i="66"/>
  <c r="N521" i="66"/>
  <c r="M521" i="66"/>
  <c r="K521" i="66"/>
  <c r="J521" i="66"/>
  <c r="I521" i="66"/>
  <c r="H521" i="66"/>
  <c r="G521" i="66"/>
  <c r="N520" i="66"/>
  <c r="M520" i="66"/>
  <c r="L520" i="66"/>
  <c r="K520" i="66"/>
  <c r="P522" i="66" s="1"/>
  <c r="J520" i="66"/>
  <c r="H520" i="66"/>
  <c r="E520" i="66"/>
  <c r="M519" i="66"/>
  <c r="L519" i="66"/>
  <c r="K519" i="66"/>
  <c r="J519" i="66"/>
  <c r="H519" i="66"/>
  <c r="I517" i="66"/>
  <c r="D517" i="66"/>
  <c r="C517" i="66"/>
  <c r="D515" i="66"/>
  <c r="F513" i="66"/>
  <c r="D513" i="66"/>
  <c r="F512" i="66"/>
  <c r="D512" i="66"/>
  <c r="F511" i="66"/>
  <c r="F510" i="66"/>
  <c r="D510" i="66"/>
  <c r="F509" i="66"/>
  <c r="D509" i="66"/>
  <c r="F508" i="66"/>
  <c r="D508" i="66"/>
  <c r="F507" i="66"/>
  <c r="D507" i="66"/>
  <c r="F506" i="66"/>
  <c r="D506" i="66"/>
  <c r="F505" i="66"/>
  <c r="D505" i="66"/>
  <c r="F504" i="66"/>
  <c r="D504" i="66"/>
  <c r="F503" i="66"/>
  <c r="D503" i="66"/>
  <c r="F502" i="66"/>
  <c r="D502" i="66"/>
  <c r="F501" i="66"/>
  <c r="D501" i="66"/>
  <c r="F500" i="66"/>
  <c r="D500" i="66"/>
  <c r="F499" i="66"/>
  <c r="D499" i="66"/>
  <c r="D498" i="66"/>
  <c r="D496" i="66"/>
  <c r="D494" i="66"/>
  <c r="C494" i="66"/>
  <c r="M492" i="66"/>
  <c r="L492" i="66"/>
  <c r="K492" i="66"/>
  <c r="J492" i="66"/>
  <c r="I492" i="66"/>
  <c r="H492" i="66"/>
  <c r="E492" i="66"/>
  <c r="M491" i="66"/>
  <c r="L491" i="66"/>
  <c r="K491" i="66"/>
  <c r="J491" i="66"/>
  <c r="I491" i="66"/>
  <c r="H491" i="66"/>
  <c r="E491" i="66"/>
  <c r="M490" i="66"/>
  <c r="L490" i="66"/>
  <c r="K490" i="66"/>
  <c r="J490" i="66"/>
  <c r="I490" i="66"/>
  <c r="H490" i="66"/>
  <c r="E490" i="66"/>
  <c r="M489" i="66"/>
  <c r="L489" i="66"/>
  <c r="K489" i="66"/>
  <c r="J489" i="66"/>
  <c r="I489" i="66"/>
  <c r="H489" i="66"/>
  <c r="E489" i="66"/>
  <c r="M488" i="66"/>
  <c r="L488" i="66"/>
  <c r="K488" i="66"/>
  <c r="J488" i="66"/>
  <c r="I488" i="66"/>
  <c r="H488" i="66"/>
  <c r="E488" i="66"/>
  <c r="M487" i="66"/>
  <c r="L487" i="66"/>
  <c r="K487" i="66"/>
  <c r="J487" i="66"/>
  <c r="I487" i="66"/>
  <c r="H487" i="66"/>
  <c r="E487" i="66"/>
  <c r="M486" i="66"/>
  <c r="L486" i="66"/>
  <c r="K486" i="66"/>
  <c r="J486" i="66"/>
  <c r="I486" i="66"/>
  <c r="H486" i="66"/>
  <c r="L484" i="66"/>
  <c r="E484" i="66"/>
  <c r="D482" i="66"/>
  <c r="C482" i="66"/>
  <c r="M480" i="66"/>
  <c r="L480" i="66"/>
  <c r="K480" i="66"/>
  <c r="J480" i="66"/>
  <c r="I480" i="66"/>
  <c r="H480" i="66"/>
  <c r="E480" i="66"/>
  <c r="M479" i="66"/>
  <c r="L479" i="66"/>
  <c r="K479" i="66"/>
  <c r="J479" i="66"/>
  <c r="I479" i="66"/>
  <c r="H479" i="66"/>
  <c r="E479" i="66"/>
  <c r="E478" i="66"/>
  <c r="D478" i="66"/>
  <c r="M476" i="66"/>
  <c r="L476" i="66"/>
  <c r="K476" i="66"/>
  <c r="J476" i="66"/>
  <c r="I476" i="66"/>
  <c r="H476" i="66"/>
  <c r="E476" i="66"/>
  <c r="E475" i="66"/>
  <c r="D475" i="66"/>
  <c r="M473" i="66"/>
  <c r="L473" i="66"/>
  <c r="K473" i="66"/>
  <c r="J473" i="66"/>
  <c r="I473" i="66"/>
  <c r="H473" i="66"/>
  <c r="E473" i="66"/>
  <c r="M472" i="66"/>
  <c r="L472" i="66"/>
  <c r="K472" i="66"/>
  <c r="J472" i="66"/>
  <c r="I472" i="66"/>
  <c r="H472" i="66"/>
  <c r="E472" i="66"/>
  <c r="M471" i="66"/>
  <c r="L471" i="66"/>
  <c r="K471" i="66"/>
  <c r="J471" i="66"/>
  <c r="I471" i="66"/>
  <c r="H471" i="66"/>
  <c r="E471" i="66"/>
  <c r="M470" i="66"/>
  <c r="L470" i="66"/>
  <c r="K470" i="66"/>
  <c r="J470" i="66"/>
  <c r="I470" i="66"/>
  <c r="H470" i="66"/>
  <c r="E470" i="66"/>
  <c r="M469" i="66"/>
  <c r="L469" i="66"/>
  <c r="K469" i="66"/>
  <c r="J469" i="66"/>
  <c r="I469" i="66"/>
  <c r="H469" i="66"/>
  <c r="E469" i="66"/>
  <c r="M468" i="66"/>
  <c r="L468" i="66"/>
  <c r="K468" i="66"/>
  <c r="J468" i="66"/>
  <c r="I468" i="66"/>
  <c r="H468" i="66"/>
  <c r="E468" i="66"/>
  <c r="M467" i="66"/>
  <c r="L467" i="66"/>
  <c r="K467" i="66"/>
  <c r="J467" i="66"/>
  <c r="I467" i="66"/>
  <c r="H467" i="66"/>
  <c r="E467" i="66"/>
  <c r="M466" i="66"/>
  <c r="L466" i="66"/>
  <c r="K466" i="66"/>
  <c r="J466" i="66"/>
  <c r="I466" i="66"/>
  <c r="H466" i="66"/>
  <c r="E466" i="66"/>
  <c r="M465" i="66"/>
  <c r="L465" i="66"/>
  <c r="K465" i="66"/>
  <c r="J465" i="66"/>
  <c r="I465" i="66"/>
  <c r="H465" i="66"/>
  <c r="E465" i="66"/>
  <c r="M464" i="66"/>
  <c r="L464" i="66"/>
  <c r="K464" i="66"/>
  <c r="J464" i="66"/>
  <c r="I464" i="66"/>
  <c r="H464" i="66"/>
  <c r="E464" i="66"/>
  <c r="M463" i="66"/>
  <c r="L463" i="66"/>
  <c r="K463" i="66"/>
  <c r="J463" i="66"/>
  <c r="I463" i="66"/>
  <c r="H463" i="66"/>
  <c r="E463" i="66"/>
  <c r="M462" i="66"/>
  <c r="L462" i="66"/>
  <c r="K462" i="66"/>
  <c r="J462" i="66"/>
  <c r="I462" i="66"/>
  <c r="H462" i="66"/>
  <c r="E462" i="66"/>
  <c r="M461" i="66"/>
  <c r="L461" i="66"/>
  <c r="K461" i="66"/>
  <c r="J461" i="66"/>
  <c r="I461" i="66"/>
  <c r="H461" i="66"/>
  <c r="E461" i="66"/>
  <c r="E460" i="66"/>
  <c r="D460" i="66"/>
  <c r="M458" i="66"/>
  <c r="L458" i="66"/>
  <c r="K458" i="66"/>
  <c r="J458" i="66"/>
  <c r="I458" i="66"/>
  <c r="H458" i="66"/>
  <c r="E458" i="66"/>
  <c r="E457" i="66"/>
  <c r="D457" i="66"/>
  <c r="M455" i="66"/>
  <c r="L455" i="66"/>
  <c r="K455" i="66"/>
  <c r="J455" i="66"/>
  <c r="I455" i="66"/>
  <c r="H455" i="66"/>
  <c r="E455" i="66"/>
  <c r="M454" i="66"/>
  <c r="L454" i="66"/>
  <c r="K454" i="66"/>
  <c r="J454" i="66"/>
  <c r="I454" i="66"/>
  <c r="H454" i="66"/>
  <c r="E454" i="66"/>
  <c r="M453" i="66"/>
  <c r="L453" i="66"/>
  <c r="K453" i="66"/>
  <c r="J453" i="66"/>
  <c r="I453" i="66"/>
  <c r="H453" i="66"/>
  <c r="E453" i="66"/>
  <c r="M452" i="66"/>
  <c r="L452" i="66"/>
  <c r="K452" i="66"/>
  <c r="J452" i="66"/>
  <c r="I452" i="66"/>
  <c r="H452" i="66"/>
  <c r="E452" i="66"/>
  <c r="M451" i="66"/>
  <c r="L451" i="66"/>
  <c r="K451" i="66"/>
  <c r="J451" i="66"/>
  <c r="I451" i="66"/>
  <c r="H451" i="66"/>
  <c r="E451" i="66"/>
  <c r="M450" i="66"/>
  <c r="L450" i="66"/>
  <c r="K450" i="66"/>
  <c r="J450" i="66"/>
  <c r="I450" i="66"/>
  <c r="H450" i="66"/>
  <c r="E450" i="66"/>
  <c r="M449" i="66"/>
  <c r="L449" i="66"/>
  <c r="K449" i="66"/>
  <c r="J449" i="66"/>
  <c r="I449" i="66"/>
  <c r="H449" i="66"/>
  <c r="E449" i="66"/>
  <c r="M448" i="66"/>
  <c r="L448" i="66"/>
  <c r="K448" i="66"/>
  <c r="J448" i="66"/>
  <c r="I448" i="66"/>
  <c r="H448" i="66"/>
  <c r="E448" i="66"/>
  <c r="M447" i="66"/>
  <c r="L447" i="66"/>
  <c r="K447" i="66"/>
  <c r="J447" i="66"/>
  <c r="I447" i="66"/>
  <c r="H447" i="66"/>
  <c r="E447" i="66"/>
  <c r="E446" i="66"/>
  <c r="D446" i="66"/>
  <c r="M444" i="66"/>
  <c r="L444" i="66"/>
  <c r="K444" i="66"/>
  <c r="J444" i="66"/>
  <c r="I444" i="66"/>
  <c r="H444" i="66"/>
  <c r="E444" i="66"/>
  <c r="M443" i="66"/>
  <c r="L443" i="66"/>
  <c r="K443" i="66"/>
  <c r="J443" i="66"/>
  <c r="I443" i="66"/>
  <c r="H443" i="66"/>
  <c r="E443" i="66"/>
  <c r="M442" i="66"/>
  <c r="L442" i="66"/>
  <c r="K442" i="66"/>
  <c r="J442" i="66"/>
  <c r="I442" i="66"/>
  <c r="H442" i="66"/>
  <c r="E442" i="66"/>
  <c r="M441" i="66"/>
  <c r="L441" i="66"/>
  <c r="K441" i="66"/>
  <c r="J441" i="66"/>
  <c r="I441" i="66"/>
  <c r="H441" i="66"/>
  <c r="E441" i="66"/>
  <c r="M440" i="66"/>
  <c r="L440" i="66"/>
  <c r="K440" i="66"/>
  <c r="J440" i="66"/>
  <c r="I440" i="66"/>
  <c r="H440" i="66"/>
  <c r="E440" i="66"/>
  <c r="M439" i="66"/>
  <c r="L439" i="66"/>
  <c r="K439" i="66"/>
  <c r="J439" i="66"/>
  <c r="I439" i="66"/>
  <c r="H439" i="66"/>
  <c r="E439" i="66"/>
  <c r="M438" i="66"/>
  <c r="L438" i="66"/>
  <c r="K438" i="66"/>
  <c r="J438" i="66"/>
  <c r="I438" i="66"/>
  <c r="H438" i="66"/>
  <c r="E438" i="66"/>
  <c r="M437" i="66"/>
  <c r="L437" i="66"/>
  <c r="K437" i="66"/>
  <c r="J437" i="66"/>
  <c r="I437" i="66"/>
  <c r="H437" i="66"/>
  <c r="E437" i="66"/>
  <c r="M436" i="66"/>
  <c r="L436" i="66"/>
  <c r="K436" i="66"/>
  <c r="J436" i="66"/>
  <c r="I436" i="66"/>
  <c r="H436" i="66"/>
  <c r="E436" i="66"/>
  <c r="M435" i="66"/>
  <c r="L435" i="66"/>
  <c r="K435" i="66"/>
  <c r="J435" i="66"/>
  <c r="I435" i="66"/>
  <c r="H435" i="66"/>
  <c r="E435" i="66"/>
  <c r="M434" i="66"/>
  <c r="L434" i="66"/>
  <c r="K434" i="66"/>
  <c r="J434" i="66"/>
  <c r="I434" i="66"/>
  <c r="H434" i="66"/>
  <c r="E434" i="66"/>
  <c r="M433" i="66"/>
  <c r="L433" i="66"/>
  <c r="K433" i="66"/>
  <c r="J433" i="66"/>
  <c r="I433" i="66"/>
  <c r="H433" i="66"/>
  <c r="E433" i="66"/>
  <c r="E432" i="66"/>
  <c r="D432" i="66"/>
  <c r="M430" i="66"/>
  <c r="L430" i="66"/>
  <c r="K430" i="66"/>
  <c r="J430" i="66"/>
  <c r="I430" i="66"/>
  <c r="H430" i="66"/>
  <c r="E430" i="66"/>
  <c r="E429" i="66"/>
  <c r="D429" i="66"/>
  <c r="M427" i="66"/>
  <c r="L427" i="66"/>
  <c r="K427" i="66"/>
  <c r="J427" i="66"/>
  <c r="I427" i="66"/>
  <c r="H427" i="66"/>
  <c r="E427" i="66"/>
  <c r="M426" i="66"/>
  <c r="L426" i="66"/>
  <c r="K426" i="66"/>
  <c r="J426" i="66"/>
  <c r="I426" i="66"/>
  <c r="H426" i="66"/>
  <c r="E426" i="66"/>
  <c r="M425" i="66"/>
  <c r="L425" i="66"/>
  <c r="K425" i="66"/>
  <c r="J425" i="66"/>
  <c r="I425" i="66"/>
  <c r="H425" i="66"/>
  <c r="E425" i="66"/>
  <c r="M424" i="66"/>
  <c r="L424" i="66"/>
  <c r="K424" i="66"/>
  <c r="J424" i="66"/>
  <c r="I424" i="66"/>
  <c r="H424" i="66"/>
  <c r="E424" i="66"/>
  <c r="M423" i="66"/>
  <c r="L423" i="66"/>
  <c r="K423" i="66"/>
  <c r="J423" i="66"/>
  <c r="I423" i="66"/>
  <c r="H423" i="66"/>
  <c r="E423" i="66"/>
  <c r="E422" i="66"/>
  <c r="D422" i="66"/>
  <c r="M420" i="66"/>
  <c r="L420" i="66"/>
  <c r="K420" i="66"/>
  <c r="J420" i="66"/>
  <c r="I420" i="66"/>
  <c r="H420" i="66"/>
  <c r="E420" i="66"/>
  <c r="M419" i="66"/>
  <c r="L419" i="66"/>
  <c r="K419" i="66"/>
  <c r="J419" i="66"/>
  <c r="I419" i="66"/>
  <c r="H419" i="66"/>
  <c r="E419" i="66"/>
  <c r="M418" i="66"/>
  <c r="L418" i="66"/>
  <c r="K418" i="66"/>
  <c r="J418" i="66"/>
  <c r="I418" i="66"/>
  <c r="H418" i="66"/>
  <c r="E418" i="66"/>
  <c r="M417" i="66"/>
  <c r="L417" i="66"/>
  <c r="K417" i="66"/>
  <c r="J417" i="66"/>
  <c r="I417" i="66"/>
  <c r="H417" i="66"/>
  <c r="E417" i="66"/>
  <c r="M416" i="66"/>
  <c r="L416" i="66"/>
  <c r="K416" i="66"/>
  <c r="J416" i="66"/>
  <c r="I416" i="66"/>
  <c r="H416" i="66"/>
  <c r="E416" i="66"/>
  <c r="E415" i="66"/>
  <c r="D415" i="66"/>
  <c r="M413" i="66"/>
  <c r="L413" i="66"/>
  <c r="K413" i="66"/>
  <c r="J413" i="66"/>
  <c r="I413" i="66"/>
  <c r="H413" i="66"/>
  <c r="E413" i="66"/>
  <c r="E412" i="66"/>
  <c r="D412" i="66"/>
  <c r="M410" i="66"/>
  <c r="L410" i="66"/>
  <c r="K410" i="66"/>
  <c r="J410" i="66"/>
  <c r="I410" i="66"/>
  <c r="H410" i="66"/>
  <c r="E410" i="66"/>
  <c r="M408" i="66"/>
  <c r="L408" i="66"/>
  <c r="K408" i="66"/>
  <c r="J408" i="66"/>
  <c r="I408" i="66"/>
  <c r="H408" i="66"/>
  <c r="E408" i="66"/>
  <c r="M407" i="66"/>
  <c r="L407" i="66"/>
  <c r="K407" i="66"/>
  <c r="J407" i="66"/>
  <c r="I407" i="66"/>
  <c r="H407" i="66"/>
  <c r="E407" i="66"/>
  <c r="M406" i="66"/>
  <c r="L406" i="66"/>
  <c r="K406" i="66"/>
  <c r="J406" i="66"/>
  <c r="I406" i="66"/>
  <c r="H406" i="66"/>
  <c r="E406" i="66"/>
  <c r="M405" i="66"/>
  <c r="L405" i="66"/>
  <c r="K405" i="66"/>
  <c r="J405" i="66"/>
  <c r="I405" i="66"/>
  <c r="H405" i="66"/>
  <c r="E405" i="66"/>
  <c r="E404" i="66"/>
  <c r="D404" i="66"/>
  <c r="M402" i="66"/>
  <c r="L402" i="66"/>
  <c r="K402" i="66"/>
  <c r="J402" i="66"/>
  <c r="I402" i="66"/>
  <c r="H402" i="66"/>
  <c r="E402" i="66"/>
  <c r="M401" i="66"/>
  <c r="L401" i="66"/>
  <c r="K401" i="66"/>
  <c r="J401" i="66"/>
  <c r="I401" i="66"/>
  <c r="H401" i="66"/>
  <c r="E401" i="66"/>
  <c r="M400" i="66"/>
  <c r="L400" i="66"/>
  <c r="K400" i="66"/>
  <c r="J400" i="66"/>
  <c r="I400" i="66"/>
  <c r="H400" i="66"/>
  <c r="E400" i="66"/>
  <c r="M399" i="66"/>
  <c r="L399" i="66"/>
  <c r="K399" i="66"/>
  <c r="J399" i="66"/>
  <c r="I399" i="66"/>
  <c r="H399" i="66"/>
  <c r="E399" i="66"/>
  <c r="M398" i="66"/>
  <c r="L398" i="66"/>
  <c r="K398" i="66"/>
  <c r="J398" i="66"/>
  <c r="I398" i="66"/>
  <c r="H398" i="66"/>
  <c r="E398" i="66"/>
  <c r="M397" i="66"/>
  <c r="L397" i="66"/>
  <c r="K397" i="66"/>
  <c r="J397" i="66"/>
  <c r="I397" i="66"/>
  <c r="H397" i="66"/>
  <c r="E397" i="66"/>
  <c r="M396" i="66"/>
  <c r="L396" i="66"/>
  <c r="K396" i="66"/>
  <c r="J396" i="66"/>
  <c r="I396" i="66"/>
  <c r="H396" i="66"/>
  <c r="E396" i="66"/>
  <c r="M395" i="66"/>
  <c r="L395" i="66"/>
  <c r="K395" i="66"/>
  <c r="J395" i="66"/>
  <c r="I395" i="66"/>
  <c r="H395" i="66"/>
  <c r="E395" i="66"/>
  <c r="M394" i="66"/>
  <c r="L394" i="66"/>
  <c r="K394" i="66"/>
  <c r="J394" i="66"/>
  <c r="I394" i="66"/>
  <c r="H394" i="66"/>
  <c r="E394" i="66"/>
  <c r="M393" i="66"/>
  <c r="L393" i="66"/>
  <c r="K393" i="66"/>
  <c r="J393" i="66"/>
  <c r="I393" i="66"/>
  <c r="H393" i="66"/>
  <c r="E393" i="66"/>
  <c r="M392" i="66"/>
  <c r="L392" i="66"/>
  <c r="K392" i="66"/>
  <c r="J392" i="66"/>
  <c r="I392" i="66"/>
  <c r="H392" i="66"/>
  <c r="E392" i="66"/>
  <c r="M391" i="66"/>
  <c r="L391" i="66"/>
  <c r="K391" i="66"/>
  <c r="J391" i="66"/>
  <c r="I391" i="66"/>
  <c r="H391" i="66"/>
  <c r="E391" i="66"/>
  <c r="E390" i="66"/>
  <c r="D390" i="66"/>
  <c r="D388" i="66"/>
  <c r="C388" i="66"/>
  <c r="M386" i="66"/>
  <c r="L386" i="66"/>
  <c r="K386" i="66"/>
  <c r="J386" i="66"/>
  <c r="I386" i="66"/>
  <c r="H386" i="66"/>
  <c r="E386" i="66"/>
  <c r="M385" i="66"/>
  <c r="L385" i="66"/>
  <c r="K385" i="66"/>
  <c r="J385" i="66"/>
  <c r="I385" i="66"/>
  <c r="H385" i="66"/>
  <c r="E385" i="66"/>
  <c r="M384" i="66"/>
  <c r="L384" i="66"/>
  <c r="K384" i="66"/>
  <c r="J384" i="66"/>
  <c r="I384" i="66"/>
  <c r="H384" i="66"/>
  <c r="E384" i="66"/>
  <c r="M383" i="66"/>
  <c r="L383" i="66"/>
  <c r="K383" i="66"/>
  <c r="J383" i="66"/>
  <c r="I383" i="66"/>
  <c r="H383" i="66"/>
  <c r="E383" i="66"/>
  <c r="M382" i="66"/>
  <c r="L382" i="66"/>
  <c r="K382" i="66"/>
  <c r="J382" i="66"/>
  <c r="I382" i="66"/>
  <c r="H382" i="66"/>
  <c r="D381" i="66"/>
  <c r="M379" i="66"/>
  <c r="L379" i="66"/>
  <c r="K379" i="66"/>
  <c r="J379" i="66"/>
  <c r="I379" i="66"/>
  <c r="H379" i="66"/>
  <c r="E379" i="66"/>
  <c r="M378" i="66"/>
  <c r="L378" i="66"/>
  <c r="K378" i="66"/>
  <c r="J378" i="66"/>
  <c r="I378" i="66"/>
  <c r="H378" i="66"/>
  <c r="E377" i="66"/>
  <c r="D377" i="66"/>
  <c r="M375" i="66"/>
  <c r="L375" i="66"/>
  <c r="K375" i="66"/>
  <c r="J375" i="66"/>
  <c r="I375" i="66"/>
  <c r="H375" i="66"/>
  <c r="E375" i="66"/>
  <c r="E374" i="66"/>
  <c r="D374" i="66"/>
  <c r="M372" i="66"/>
  <c r="L372" i="66"/>
  <c r="K372" i="66"/>
  <c r="J372" i="66"/>
  <c r="I372" i="66"/>
  <c r="H372" i="66"/>
  <c r="E372" i="66"/>
  <c r="M371" i="66"/>
  <c r="L371" i="66"/>
  <c r="K371" i="66"/>
  <c r="J371" i="66"/>
  <c r="I371" i="66"/>
  <c r="H371" i="66"/>
  <c r="E371" i="66"/>
  <c r="M370" i="66"/>
  <c r="L370" i="66"/>
  <c r="K370" i="66"/>
  <c r="J370" i="66"/>
  <c r="I370" i="66"/>
  <c r="H370" i="66"/>
  <c r="E369" i="66"/>
  <c r="D369" i="66"/>
  <c r="M367" i="66"/>
  <c r="L367" i="66"/>
  <c r="K367" i="66"/>
  <c r="J367" i="66"/>
  <c r="I367" i="66"/>
  <c r="H367" i="66"/>
  <c r="E367" i="66"/>
  <c r="M366" i="66"/>
  <c r="L366" i="66"/>
  <c r="K366" i="66"/>
  <c r="J366" i="66"/>
  <c r="I366" i="66"/>
  <c r="H366" i="66"/>
  <c r="E366" i="66"/>
  <c r="M365" i="66"/>
  <c r="L365" i="66"/>
  <c r="K365" i="66"/>
  <c r="J365" i="66"/>
  <c r="I365" i="66"/>
  <c r="H365" i="66"/>
  <c r="E365" i="66"/>
  <c r="M364" i="66"/>
  <c r="L364" i="66"/>
  <c r="K364" i="66"/>
  <c r="J364" i="66"/>
  <c r="I364" i="66"/>
  <c r="H364" i="66"/>
  <c r="E364" i="66"/>
  <c r="M363" i="66"/>
  <c r="L363" i="66"/>
  <c r="K363" i="66"/>
  <c r="J363" i="66"/>
  <c r="I363" i="66"/>
  <c r="H363" i="66"/>
  <c r="E363" i="66"/>
  <c r="M362" i="66"/>
  <c r="L362" i="66"/>
  <c r="K362" i="66"/>
  <c r="J362" i="66"/>
  <c r="I362" i="66"/>
  <c r="H362" i="66"/>
  <c r="E362" i="66"/>
  <c r="M361" i="66"/>
  <c r="L361" i="66"/>
  <c r="K361" i="66"/>
  <c r="J361" i="66"/>
  <c r="I361" i="66"/>
  <c r="H361" i="66"/>
  <c r="E361" i="66"/>
  <c r="E360" i="66"/>
  <c r="D360" i="66"/>
  <c r="M358" i="66"/>
  <c r="L358" i="66"/>
  <c r="K358" i="66"/>
  <c r="J358" i="66"/>
  <c r="I358" i="66"/>
  <c r="H358" i="66"/>
  <c r="E358" i="66"/>
  <c r="E357" i="66"/>
  <c r="D357" i="66"/>
  <c r="M355" i="66"/>
  <c r="L355" i="66"/>
  <c r="K355" i="66"/>
  <c r="J355" i="66"/>
  <c r="I355" i="66"/>
  <c r="H355" i="66"/>
  <c r="E355" i="66"/>
  <c r="E354" i="66"/>
  <c r="D354" i="66"/>
  <c r="M352" i="66"/>
  <c r="L352" i="66"/>
  <c r="K352" i="66"/>
  <c r="J352" i="66"/>
  <c r="I352" i="66"/>
  <c r="H352" i="66"/>
  <c r="E352" i="66"/>
  <c r="M351" i="66"/>
  <c r="L351" i="66"/>
  <c r="K351" i="66"/>
  <c r="J351" i="66"/>
  <c r="I351" i="66"/>
  <c r="H351" i="66"/>
  <c r="E351" i="66"/>
  <c r="M349" i="66"/>
  <c r="L349" i="66"/>
  <c r="K349" i="66"/>
  <c r="J349" i="66"/>
  <c r="I349" i="66"/>
  <c r="H349" i="66"/>
  <c r="E349" i="66"/>
  <c r="M348" i="66"/>
  <c r="L348" i="66"/>
  <c r="K348" i="66"/>
  <c r="J348" i="66"/>
  <c r="I348" i="66"/>
  <c r="H348" i="66"/>
  <c r="E346" i="66"/>
  <c r="D346" i="66"/>
  <c r="M344" i="66"/>
  <c r="L344" i="66"/>
  <c r="K344" i="66"/>
  <c r="J344" i="66"/>
  <c r="I344" i="66"/>
  <c r="H344" i="66"/>
  <c r="E344" i="66"/>
  <c r="M343" i="66"/>
  <c r="L343" i="66"/>
  <c r="K343" i="66"/>
  <c r="J343" i="66"/>
  <c r="I343" i="66"/>
  <c r="H343" i="66"/>
  <c r="E343" i="66"/>
  <c r="M342" i="66"/>
  <c r="L342" i="66"/>
  <c r="K342" i="66"/>
  <c r="J342" i="66"/>
  <c r="I342" i="66"/>
  <c r="H342" i="66"/>
  <c r="E342" i="66"/>
  <c r="M341" i="66"/>
  <c r="L341" i="66"/>
  <c r="K341" i="66"/>
  <c r="J341" i="66"/>
  <c r="I341" i="66"/>
  <c r="H341" i="66"/>
  <c r="E341" i="66"/>
  <c r="M340" i="66"/>
  <c r="L340" i="66"/>
  <c r="K340" i="66"/>
  <c r="J340" i="66"/>
  <c r="I340" i="66"/>
  <c r="H340" i="66"/>
  <c r="E340" i="66"/>
  <c r="M339" i="66"/>
  <c r="L339" i="66"/>
  <c r="K339" i="66"/>
  <c r="J339" i="66"/>
  <c r="I339" i="66"/>
  <c r="H339" i="66"/>
  <c r="E339" i="66"/>
  <c r="M338" i="66"/>
  <c r="L338" i="66"/>
  <c r="K338" i="66"/>
  <c r="J338" i="66"/>
  <c r="I338" i="66"/>
  <c r="H338" i="66"/>
  <c r="E338" i="66"/>
  <c r="E337" i="66"/>
  <c r="D337" i="66"/>
  <c r="M335" i="66"/>
  <c r="L335" i="66"/>
  <c r="K335" i="66"/>
  <c r="J335" i="66"/>
  <c r="I335" i="66"/>
  <c r="H335" i="66"/>
  <c r="E335" i="66"/>
  <c r="E334" i="66"/>
  <c r="M332" i="66"/>
  <c r="L332" i="66"/>
  <c r="K332" i="66"/>
  <c r="J332" i="66"/>
  <c r="I332" i="66"/>
  <c r="H332" i="66"/>
  <c r="E332" i="66"/>
  <c r="E331" i="66"/>
  <c r="M329" i="66"/>
  <c r="L329" i="66"/>
  <c r="K329" i="66"/>
  <c r="J329" i="66"/>
  <c r="I329" i="66"/>
  <c r="H329" i="66"/>
  <c r="E329" i="66"/>
  <c r="E328" i="66"/>
  <c r="M326" i="66"/>
  <c r="L326" i="66"/>
  <c r="K326" i="66"/>
  <c r="J326" i="66"/>
  <c r="I326" i="66"/>
  <c r="H326" i="66"/>
  <c r="E326" i="66"/>
  <c r="M325" i="66"/>
  <c r="L325" i="66"/>
  <c r="K325" i="66"/>
  <c r="J325" i="66"/>
  <c r="I325" i="66"/>
  <c r="H325" i="66"/>
  <c r="E325" i="66"/>
  <c r="M324" i="66"/>
  <c r="L324" i="66"/>
  <c r="K324" i="66"/>
  <c r="J324" i="66"/>
  <c r="I324" i="66"/>
  <c r="H324" i="66"/>
  <c r="E324" i="66"/>
  <c r="M323" i="66"/>
  <c r="L323" i="66"/>
  <c r="K323" i="66"/>
  <c r="J323" i="66"/>
  <c r="I323" i="66"/>
  <c r="H323" i="66"/>
  <c r="E323" i="66"/>
  <c r="M322" i="66"/>
  <c r="L322" i="66"/>
  <c r="K322" i="66"/>
  <c r="J322" i="66"/>
  <c r="I322" i="66"/>
  <c r="H322" i="66"/>
  <c r="E322" i="66"/>
  <c r="M321" i="66"/>
  <c r="L321" i="66"/>
  <c r="K321" i="66"/>
  <c r="J321" i="66"/>
  <c r="I321" i="66"/>
  <c r="H321" i="66"/>
  <c r="E321" i="66"/>
  <c r="M320" i="66"/>
  <c r="L320" i="66"/>
  <c r="K320" i="66"/>
  <c r="J320" i="66"/>
  <c r="I320" i="66"/>
  <c r="H320" i="66"/>
  <c r="E320" i="66"/>
  <c r="M319" i="66"/>
  <c r="L319" i="66"/>
  <c r="K319" i="66"/>
  <c r="J319" i="66"/>
  <c r="I319" i="66"/>
  <c r="H319" i="66"/>
  <c r="E319" i="66"/>
  <c r="M318" i="66"/>
  <c r="L318" i="66"/>
  <c r="K318" i="66"/>
  <c r="J318" i="66"/>
  <c r="I318" i="66"/>
  <c r="H318" i="66"/>
  <c r="E318" i="66"/>
  <c r="M317" i="66"/>
  <c r="L317" i="66"/>
  <c r="K317" i="66"/>
  <c r="J317" i="66"/>
  <c r="I317" i="66"/>
  <c r="H317" i="66"/>
  <c r="E317" i="66"/>
  <c r="M316" i="66"/>
  <c r="L316" i="66"/>
  <c r="K316" i="66"/>
  <c r="J316" i="66"/>
  <c r="I316" i="66"/>
  <c r="H316" i="66"/>
  <c r="E316" i="66"/>
  <c r="M315" i="66"/>
  <c r="L315" i="66"/>
  <c r="K315" i="66"/>
  <c r="J315" i="66"/>
  <c r="I315" i="66"/>
  <c r="H315" i="66"/>
  <c r="E314" i="66"/>
  <c r="D314" i="66"/>
  <c r="M312" i="66"/>
  <c r="L312" i="66"/>
  <c r="K312" i="66"/>
  <c r="J312" i="66"/>
  <c r="I312" i="66"/>
  <c r="H312" i="66"/>
  <c r="E312" i="66"/>
  <c r="M311" i="66"/>
  <c r="L311" i="66"/>
  <c r="K311" i="66"/>
  <c r="J311" i="66"/>
  <c r="I311" i="66"/>
  <c r="H311" i="66"/>
  <c r="E311" i="66"/>
  <c r="M310" i="66"/>
  <c r="L310" i="66"/>
  <c r="K310" i="66"/>
  <c r="J310" i="66"/>
  <c r="I310" i="66"/>
  <c r="H310" i="66"/>
  <c r="E310" i="66"/>
  <c r="M309" i="66"/>
  <c r="L309" i="66"/>
  <c r="K309" i="66"/>
  <c r="J309" i="66"/>
  <c r="I309" i="66"/>
  <c r="E308" i="66"/>
  <c r="D308" i="66"/>
  <c r="M306" i="66"/>
  <c r="L306" i="66"/>
  <c r="K306" i="66"/>
  <c r="J306" i="66"/>
  <c r="I306" i="66"/>
  <c r="H306" i="66"/>
  <c r="E306" i="66"/>
  <c r="E305" i="66"/>
  <c r="D305" i="66"/>
  <c r="M303" i="66"/>
  <c r="L303" i="66"/>
  <c r="K303" i="66"/>
  <c r="J303" i="66"/>
  <c r="I303" i="66"/>
  <c r="H303" i="66"/>
  <c r="E303" i="66"/>
  <c r="E302" i="66"/>
  <c r="D302" i="66"/>
  <c r="M300" i="66"/>
  <c r="L300" i="66"/>
  <c r="K300" i="66"/>
  <c r="J300" i="66"/>
  <c r="I300" i="66"/>
  <c r="H300" i="66"/>
  <c r="E300" i="66"/>
  <c r="M299" i="66"/>
  <c r="L299" i="66"/>
  <c r="K299" i="66"/>
  <c r="J299" i="66"/>
  <c r="I299" i="66"/>
  <c r="H299" i="66"/>
  <c r="E299" i="66"/>
  <c r="M298" i="66"/>
  <c r="L298" i="66"/>
  <c r="K298" i="66"/>
  <c r="J298" i="66"/>
  <c r="I298" i="66"/>
  <c r="H298" i="66"/>
  <c r="E298" i="66"/>
  <c r="M297" i="66"/>
  <c r="L297" i="66"/>
  <c r="K297" i="66"/>
  <c r="J297" i="66"/>
  <c r="I297" i="66"/>
  <c r="H297" i="66"/>
  <c r="E297" i="66"/>
  <c r="M296" i="66"/>
  <c r="L296" i="66"/>
  <c r="K296" i="66"/>
  <c r="J296" i="66"/>
  <c r="I296" i="66"/>
  <c r="H296" i="66"/>
  <c r="E296" i="66"/>
  <c r="E295" i="66"/>
  <c r="D295" i="66"/>
  <c r="M293" i="66"/>
  <c r="L293" i="66"/>
  <c r="K293" i="66"/>
  <c r="J293" i="66"/>
  <c r="I293" i="66"/>
  <c r="H293" i="66"/>
  <c r="E293" i="66"/>
  <c r="M292" i="66"/>
  <c r="L292" i="66"/>
  <c r="K292" i="66"/>
  <c r="J292" i="66"/>
  <c r="I292" i="66"/>
  <c r="H292" i="66"/>
  <c r="E292" i="66"/>
  <c r="M291" i="66"/>
  <c r="L291" i="66"/>
  <c r="K291" i="66"/>
  <c r="J291" i="66"/>
  <c r="I291" i="66"/>
  <c r="H291" i="66"/>
  <c r="E291" i="66"/>
  <c r="M290" i="66"/>
  <c r="L290" i="66"/>
  <c r="K290" i="66"/>
  <c r="J290" i="66"/>
  <c r="I290" i="66"/>
  <c r="H290" i="66"/>
  <c r="E290" i="66"/>
  <c r="M289" i="66"/>
  <c r="L289" i="66"/>
  <c r="K289" i="66"/>
  <c r="J289" i="66"/>
  <c r="I289" i="66"/>
  <c r="H289" i="66"/>
  <c r="E289" i="66"/>
  <c r="E288" i="66"/>
  <c r="D288" i="66"/>
  <c r="M286" i="66"/>
  <c r="L286" i="66"/>
  <c r="K286" i="66"/>
  <c r="J286" i="66"/>
  <c r="I286" i="66"/>
  <c r="H286" i="66"/>
  <c r="E286" i="66"/>
  <c r="E285" i="66"/>
  <c r="D285" i="66"/>
  <c r="M283" i="66"/>
  <c r="L283" i="66"/>
  <c r="K283" i="66"/>
  <c r="J283" i="66"/>
  <c r="I283" i="66"/>
  <c r="H283" i="66"/>
  <c r="E283" i="66"/>
  <c r="M282" i="66"/>
  <c r="L282" i="66"/>
  <c r="K282" i="66"/>
  <c r="J282" i="66"/>
  <c r="I282" i="66"/>
  <c r="H282" i="66"/>
  <c r="E282" i="66"/>
  <c r="M281" i="66"/>
  <c r="L281" i="66"/>
  <c r="K281" i="66"/>
  <c r="J281" i="66"/>
  <c r="I281" i="66"/>
  <c r="H281" i="66"/>
  <c r="E280" i="66"/>
  <c r="D280" i="66"/>
  <c r="D278" i="66"/>
  <c r="C278" i="66"/>
  <c r="M276" i="66"/>
  <c r="L276" i="66"/>
  <c r="K276" i="66"/>
  <c r="J276" i="66"/>
  <c r="I276" i="66"/>
  <c r="H276" i="66"/>
  <c r="E276" i="66"/>
  <c r="M275" i="66"/>
  <c r="L275" i="66"/>
  <c r="K275" i="66"/>
  <c r="J275" i="66"/>
  <c r="I275" i="66"/>
  <c r="H275" i="66"/>
  <c r="E275" i="66"/>
  <c r="M274" i="66"/>
  <c r="L274" i="66"/>
  <c r="K274" i="66"/>
  <c r="J274" i="66"/>
  <c r="I274" i="66"/>
  <c r="H274" i="66"/>
  <c r="E274" i="66"/>
  <c r="M273" i="66"/>
  <c r="L273" i="66"/>
  <c r="K273" i="66"/>
  <c r="J273" i="66"/>
  <c r="I273" i="66"/>
  <c r="H273" i="66"/>
  <c r="E273" i="66"/>
  <c r="M272" i="66"/>
  <c r="L272" i="66"/>
  <c r="K272" i="66"/>
  <c r="J272" i="66"/>
  <c r="I272" i="66"/>
  <c r="H272" i="66"/>
  <c r="E272" i="66"/>
  <c r="M271" i="66"/>
  <c r="L271" i="66"/>
  <c r="K271" i="66"/>
  <c r="J271" i="66"/>
  <c r="I271" i="66"/>
  <c r="H271" i="66"/>
  <c r="E271" i="66"/>
  <c r="M270" i="66"/>
  <c r="L270" i="66"/>
  <c r="K270" i="66"/>
  <c r="J270" i="66"/>
  <c r="I270" i="66"/>
  <c r="H270" i="66"/>
  <c r="E270" i="66"/>
  <c r="M269" i="66"/>
  <c r="L269" i="66"/>
  <c r="K269" i="66"/>
  <c r="J269" i="66"/>
  <c r="I269" i="66"/>
  <c r="H269" i="66"/>
  <c r="E269" i="66"/>
  <c r="M268" i="66"/>
  <c r="L268" i="66"/>
  <c r="K268" i="66"/>
  <c r="J268" i="66"/>
  <c r="I268" i="66"/>
  <c r="H268" i="66"/>
  <c r="E268" i="66"/>
  <c r="M267" i="66"/>
  <c r="L267" i="66"/>
  <c r="K267" i="66"/>
  <c r="J267" i="66"/>
  <c r="I267" i="66"/>
  <c r="H267" i="66"/>
  <c r="E267" i="66"/>
  <c r="M266" i="66"/>
  <c r="L266" i="66"/>
  <c r="K266" i="66"/>
  <c r="J266" i="66"/>
  <c r="I266" i="66"/>
  <c r="H266" i="66"/>
  <c r="E266" i="66"/>
  <c r="M265" i="66"/>
  <c r="L265" i="66"/>
  <c r="K265" i="66"/>
  <c r="J265" i="66"/>
  <c r="I265" i="66"/>
  <c r="H265" i="66"/>
  <c r="E265" i="66"/>
  <c r="M264" i="66"/>
  <c r="L264" i="66"/>
  <c r="K264" i="66"/>
  <c r="J264" i="66"/>
  <c r="I264" i="66"/>
  <c r="H264" i="66"/>
  <c r="E264" i="66"/>
  <c r="M263" i="66"/>
  <c r="L263" i="66"/>
  <c r="K263" i="66"/>
  <c r="J263" i="66"/>
  <c r="I263" i="66"/>
  <c r="H263" i="66"/>
  <c r="E263" i="66"/>
  <c r="M262" i="66"/>
  <c r="L262" i="66"/>
  <c r="K262" i="66"/>
  <c r="J262" i="66"/>
  <c r="I262" i="66"/>
  <c r="H262" i="66"/>
  <c r="E262" i="66"/>
  <c r="M261" i="66"/>
  <c r="L261" i="66"/>
  <c r="K261" i="66"/>
  <c r="J261" i="66"/>
  <c r="I261" i="66"/>
  <c r="H261" i="66"/>
  <c r="E261" i="66"/>
  <c r="M260" i="66"/>
  <c r="L260" i="66"/>
  <c r="K260" i="66"/>
  <c r="J260" i="66"/>
  <c r="I260" i="66"/>
  <c r="H260" i="66"/>
  <c r="E260" i="66"/>
  <c r="E259" i="66"/>
  <c r="M257" i="66"/>
  <c r="L257" i="66"/>
  <c r="K257" i="66"/>
  <c r="J257" i="66"/>
  <c r="I257" i="66"/>
  <c r="H257" i="66"/>
  <c r="E257" i="66"/>
  <c r="M256" i="66"/>
  <c r="L256" i="66"/>
  <c r="K256" i="66"/>
  <c r="J256" i="66"/>
  <c r="I256" i="66"/>
  <c r="H256" i="66"/>
  <c r="E256" i="66"/>
  <c r="M255" i="66"/>
  <c r="L255" i="66"/>
  <c r="K255" i="66"/>
  <c r="J255" i="66"/>
  <c r="I255" i="66"/>
  <c r="H255" i="66"/>
  <c r="E255" i="66"/>
  <c r="M254" i="66"/>
  <c r="L254" i="66"/>
  <c r="K254" i="66"/>
  <c r="J254" i="66"/>
  <c r="I254" i="66"/>
  <c r="H254" i="66"/>
  <c r="E254" i="66"/>
  <c r="M253" i="66"/>
  <c r="L253" i="66"/>
  <c r="K253" i="66"/>
  <c r="J253" i="66"/>
  <c r="I253" i="66"/>
  <c r="H253" i="66"/>
  <c r="E253" i="66"/>
  <c r="M252" i="66"/>
  <c r="L252" i="66"/>
  <c r="K252" i="66"/>
  <c r="J252" i="66"/>
  <c r="I252" i="66"/>
  <c r="H252" i="66"/>
  <c r="E252" i="66"/>
  <c r="M251" i="66"/>
  <c r="L251" i="66"/>
  <c r="K251" i="66"/>
  <c r="J251" i="66"/>
  <c r="I251" i="66"/>
  <c r="H251" i="66"/>
  <c r="E251" i="66"/>
  <c r="M250" i="66"/>
  <c r="L250" i="66"/>
  <c r="K250" i="66"/>
  <c r="J250" i="66"/>
  <c r="I250" i="66"/>
  <c r="H250" i="66"/>
  <c r="E250" i="66"/>
  <c r="D248" i="66"/>
  <c r="C248" i="66"/>
  <c r="N246" i="66"/>
  <c r="M246" i="66"/>
  <c r="K246" i="66"/>
  <c r="J246" i="66"/>
  <c r="E246" i="66"/>
  <c r="M244" i="66"/>
  <c r="L244" i="66"/>
  <c r="K244" i="66"/>
  <c r="J244" i="66"/>
  <c r="I244" i="66"/>
  <c r="H244" i="66"/>
  <c r="E244" i="66"/>
  <c r="M243" i="66"/>
  <c r="L243" i="66"/>
  <c r="K243" i="66"/>
  <c r="J243" i="66"/>
  <c r="I243" i="66"/>
  <c r="H243" i="66"/>
  <c r="E243" i="66"/>
  <c r="M242" i="66"/>
  <c r="L242" i="66"/>
  <c r="K242" i="66"/>
  <c r="J242" i="66"/>
  <c r="I242" i="66"/>
  <c r="H242" i="66"/>
  <c r="E242" i="66"/>
  <c r="M241" i="66"/>
  <c r="L241" i="66"/>
  <c r="K241" i="66"/>
  <c r="J241" i="66"/>
  <c r="I241" i="66"/>
  <c r="H241" i="66"/>
  <c r="E241" i="66"/>
  <c r="M240" i="66"/>
  <c r="L240" i="66"/>
  <c r="K240" i="66"/>
  <c r="J240" i="66"/>
  <c r="I240" i="66"/>
  <c r="H240" i="66"/>
  <c r="E240" i="66"/>
  <c r="M239" i="66"/>
  <c r="L239" i="66"/>
  <c r="K239" i="66"/>
  <c r="J239" i="66"/>
  <c r="I239" i="66"/>
  <c r="H239" i="66"/>
  <c r="E239" i="66"/>
  <c r="M238" i="66"/>
  <c r="L238" i="66"/>
  <c r="K238" i="66"/>
  <c r="J238" i="66"/>
  <c r="I238" i="66"/>
  <c r="H238" i="66"/>
  <c r="H237" i="66"/>
  <c r="E237" i="66"/>
  <c r="L236" i="66"/>
  <c r="E236" i="66"/>
  <c r="D236" i="66"/>
  <c r="N234" i="66"/>
  <c r="M234" i="66"/>
  <c r="K234" i="66"/>
  <c r="J234" i="66"/>
  <c r="E234" i="66"/>
  <c r="M232" i="66"/>
  <c r="L232" i="66"/>
  <c r="K232" i="66"/>
  <c r="J232" i="66"/>
  <c r="I232" i="66"/>
  <c r="H232" i="66"/>
  <c r="E232" i="66"/>
  <c r="M231" i="66"/>
  <c r="L231" i="66"/>
  <c r="K231" i="66"/>
  <c r="J231" i="66"/>
  <c r="I231" i="66"/>
  <c r="H231" i="66"/>
  <c r="E231" i="66"/>
  <c r="M230" i="66"/>
  <c r="L230" i="66"/>
  <c r="K230" i="66"/>
  <c r="J230" i="66"/>
  <c r="I230" i="66"/>
  <c r="H230" i="66"/>
  <c r="E230" i="66"/>
  <c r="M229" i="66"/>
  <c r="L229" i="66"/>
  <c r="K229" i="66"/>
  <c r="J229" i="66"/>
  <c r="I229" i="66"/>
  <c r="H229" i="66"/>
  <c r="E229" i="66"/>
  <c r="M228" i="66"/>
  <c r="L228" i="66"/>
  <c r="K228" i="66"/>
  <c r="J228" i="66"/>
  <c r="I228" i="66"/>
  <c r="H228" i="66"/>
  <c r="E228" i="66"/>
  <c r="M227" i="66"/>
  <c r="L227" i="66"/>
  <c r="K227" i="66"/>
  <c r="J227" i="66"/>
  <c r="I227" i="66"/>
  <c r="H227" i="66"/>
  <c r="E227" i="66"/>
  <c r="M226" i="66"/>
  <c r="L226" i="66"/>
  <c r="K226" i="66"/>
  <c r="J226" i="66"/>
  <c r="I226" i="66"/>
  <c r="H226" i="66"/>
  <c r="H225" i="66"/>
  <c r="E225" i="66"/>
  <c r="L224" i="66"/>
  <c r="E224" i="66"/>
  <c r="D224" i="66"/>
  <c r="D222" i="66"/>
  <c r="C222" i="66"/>
  <c r="M220" i="66"/>
  <c r="L220" i="66"/>
  <c r="K220" i="66"/>
  <c r="J220" i="66"/>
  <c r="I220" i="66"/>
  <c r="H220" i="66"/>
  <c r="E220" i="66"/>
  <c r="M219" i="66"/>
  <c r="L219" i="66"/>
  <c r="K219" i="66"/>
  <c r="J219" i="66"/>
  <c r="I219" i="66"/>
  <c r="H219" i="66"/>
  <c r="E219" i="66"/>
  <c r="M217" i="66"/>
  <c r="L217" i="66"/>
  <c r="K217" i="66"/>
  <c r="J217" i="66"/>
  <c r="I217" i="66"/>
  <c r="H217" i="66"/>
  <c r="E217" i="66"/>
  <c r="M216" i="66"/>
  <c r="L216" i="66"/>
  <c r="K216" i="66"/>
  <c r="J216" i="66"/>
  <c r="I216" i="66"/>
  <c r="H216" i="66"/>
  <c r="E216" i="66"/>
  <c r="M215" i="66"/>
  <c r="L215" i="66"/>
  <c r="K215" i="66"/>
  <c r="J215" i="66"/>
  <c r="I215" i="66"/>
  <c r="H215" i="66"/>
  <c r="E215" i="66"/>
  <c r="M213" i="66"/>
  <c r="L213" i="66"/>
  <c r="K213" i="66"/>
  <c r="J213" i="66"/>
  <c r="I213" i="66"/>
  <c r="H213" i="66"/>
  <c r="E213" i="66"/>
  <c r="M212" i="66"/>
  <c r="L212" i="66"/>
  <c r="K212" i="66"/>
  <c r="J212" i="66"/>
  <c r="I212" i="66"/>
  <c r="H212" i="66"/>
  <c r="E212" i="66"/>
  <c r="M211" i="66"/>
  <c r="L211" i="66"/>
  <c r="K211" i="66"/>
  <c r="J211" i="66"/>
  <c r="I211" i="66"/>
  <c r="H211" i="66"/>
  <c r="E211" i="66"/>
  <c r="M210" i="66"/>
  <c r="L210" i="66"/>
  <c r="K210" i="66"/>
  <c r="J210" i="66"/>
  <c r="I210" i="66"/>
  <c r="H210" i="66"/>
  <c r="E210" i="66"/>
  <c r="M209" i="66"/>
  <c r="L209" i="66"/>
  <c r="K209" i="66"/>
  <c r="J209" i="66"/>
  <c r="I209" i="66"/>
  <c r="H209" i="66"/>
  <c r="E209" i="66"/>
  <c r="M207" i="66"/>
  <c r="L207" i="66"/>
  <c r="K207" i="66"/>
  <c r="J207" i="66"/>
  <c r="I207" i="66"/>
  <c r="H207" i="66"/>
  <c r="E207" i="66"/>
  <c r="M206" i="66"/>
  <c r="L206" i="66"/>
  <c r="K206" i="66"/>
  <c r="J206" i="66"/>
  <c r="I206" i="66"/>
  <c r="H206" i="66"/>
  <c r="E206" i="66"/>
  <c r="M205" i="66"/>
  <c r="L205" i="66"/>
  <c r="K205" i="66"/>
  <c r="J205" i="66"/>
  <c r="I205" i="66"/>
  <c r="H205" i="66"/>
  <c r="E205" i="66"/>
  <c r="M204" i="66"/>
  <c r="L204" i="66"/>
  <c r="K204" i="66"/>
  <c r="J204" i="66"/>
  <c r="I204" i="66"/>
  <c r="H204" i="66"/>
  <c r="E204" i="66"/>
  <c r="M202" i="66"/>
  <c r="L202" i="66"/>
  <c r="K202" i="66"/>
  <c r="J202" i="66"/>
  <c r="I202" i="66"/>
  <c r="H202" i="66"/>
  <c r="E202" i="66"/>
  <c r="M201" i="66"/>
  <c r="L201" i="66"/>
  <c r="K201" i="66"/>
  <c r="J201" i="66"/>
  <c r="I201" i="66"/>
  <c r="H201" i="66"/>
  <c r="E201" i="66"/>
  <c r="M200" i="66"/>
  <c r="L200" i="66"/>
  <c r="K200" i="66"/>
  <c r="J200" i="66"/>
  <c r="I200" i="66"/>
  <c r="H200" i="66"/>
  <c r="E200" i="66"/>
  <c r="M199" i="66"/>
  <c r="L199" i="66"/>
  <c r="K199" i="66"/>
  <c r="J199" i="66"/>
  <c r="I199" i="66"/>
  <c r="H199" i="66"/>
  <c r="E199" i="66"/>
  <c r="M197" i="66"/>
  <c r="E197" i="66"/>
  <c r="D197" i="66"/>
  <c r="M195" i="66"/>
  <c r="L195" i="66"/>
  <c r="K195" i="66"/>
  <c r="J195" i="66"/>
  <c r="I195" i="66"/>
  <c r="H195" i="66"/>
  <c r="E195" i="66"/>
  <c r="M194" i="66"/>
  <c r="L194" i="66"/>
  <c r="K194" i="66"/>
  <c r="J194" i="66"/>
  <c r="I194" i="66"/>
  <c r="H194" i="66"/>
  <c r="E194" i="66"/>
  <c r="M192" i="66"/>
  <c r="L192" i="66"/>
  <c r="K192" i="66"/>
  <c r="J192" i="66"/>
  <c r="I192" i="66"/>
  <c r="H192" i="66"/>
  <c r="E192" i="66"/>
  <c r="M191" i="66"/>
  <c r="L191" i="66"/>
  <c r="K191" i="66"/>
  <c r="J191" i="66"/>
  <c r="I191" i="66"/>
  <c r="H191" i="66"/>
  <c r="E191" i="66"/>
  <c r="M190" i="66"/>
  <c r="L190" i="66"/>
  <c r="K190" i="66"/>
  <c r="J190" i="66"/>
  <c r="I190" i="66"/>
  <c r="H190" i="66"/>
  <c r="E190" i="66"/>
  <c r="M188" i="66"/>
  <c r="L188" i="66"/>
  <c r="K188" i="66"/>
  <c r="J188" i="66"/>
  <c r="I188" i="66"/>
  <c r="H188" i="66"/>
  <c r="E188" i="66"/>
  <c r="M187" i="66"/>
  <c r="L187" i="66"/>
  <c r="K187" i="66"/>
  <c r="J187" i="66"/>
  <c r="I187" i="66"/>
  <c r="H187" i="66"/>
  <c r="E187" i="66"/>
  <c r="M186" i="66"/>
  <c r="L186" i="66"/>
  <c r="K186" i="66"/>
  <c r="J186" i="66"/>
  <c r="I186" i="66"/>
  <c r="H186" i="66"/>
  <c r="E186" i="66"/>
  <c r="M185" i="66"/>
  <c r="L185" i="66"/>
  <c r="K185" i="66"/>
  <c r="J185" i="66"/>
  <c r="I185" i="66"/>
  <c r="H185" i="66"/>
  <c r="E185" i="66"/>
  <c r="M184" i="66"/>
  <c r="L184" i="66"/>
  <c r="K184" i="66"/>
  <c r="J184" i="66"/>
  <c r="I184" i="66"/>
  <c r="H184" i="66"/>
  <c r="E184" i="66"/>
  <c r="M182" i="66"/>
  <c r="L182" i="66"/>
  <c r="K182" i="66"/>
  <c r="J182" i="66"/>
  <c r="I182" i="66"/>
  <c r="H182" i="66"/>
  <c r="E182" i="66"/>
  <c r="M181" i="66"/>
  <c r="L181" i="66"/>
  <c r="K181" i="66"/>
  <c r="J181" i="66"/>
  <c r="I181" i="66"/>
  <c r="H181" i="66"/>
  <c r="E181" i="66"/>
  <c r="M180" i="66"/>
  <c r="L180" i="66"/>
  <c r="K180" i="66"/>
  <c r="J180" i="66"/>
  <c r="I180" i="66"/>
  <c r="H180" i="66"/>
  <c r="E180" i="66"/>
  <c r="M179" i="66"/>
  <c r="L179" i="66"/>
  <c r="K179" i="66"/>
  <c r="J179" i="66"/>
  <c r="I179" i="66"/>
  <c r="H179" i="66"/>
  <c r="E179" i="66"/>
  <c r="M177" i="66"/>
  <c r="L177" i="66"/>
  <c r="K177" i="66"/>
  <c r="J177" i="66"/>
  <c r="I177" i="66"/>
  <c r="H177" i="66"/>
  <c r="E177" i="66"/>
  <c r="M176" i="66"/>
  <c r="L176" i="66"/>
  <c r="K176" i="66"/>
  <c r="J176" i="66"/>
  <c r="I176" i="66"/>
  <c r="H176" i="66"/>
  <c r="E176" i="66"/>
  <c r="M175" i="66"/>
  <c r="L175" i="66"/>
  <c r="K175" i="66"/>
  <c r="J175" i="66"/>
  <c r="I175" i="66"/>
  <c r="H175" i="66"/>
  <c r="E175" i="66"/>
  <c r="M174" i="66"/>
  <c r="L174" i="66"/>
  <c r="K174" i="66"/>
  <c r="J174" i="66"/>
  <c r="I174" i="66"/>
  <c r="H174" i="66"/>
  <c r="E174" i="66"/>
  <c r="M172" i="66"/>
  <c r="E172" i="66"/>
  <c r="D172" i="66"/>
  <c r="D170" i="66"/>
  <c r="C170" i="66"/>
  <c r="M168" i="66"/>
  <c r="L168" i="66"/>
  <c r="K168" i="66"/>
  <c r="J168" i="66"/>
  <c r="I168" i="66"/>
  <c r="H168" i="66"/>
  <c r="E168" i="66"/>
  <c r="M167" i="66"/>
  <c r="L167" i="66"/>
  <c r="K167" i="66"/>
  <c r="J167" i="66"/>
  <c r="I167" i="66"/>
  <c r="H167" i="66"/>
  <c r="E167" i="66"/>
  <c r="M166" i="66"/>
  <c r="L166" i="66"/>
  <c r="K166" i="66"/>
  <c r="J166" i="66"/>
  <c r="I166" i="66"/>
  <c r="H166" i="66"/>
  <c r="E166" i="66"/>
  <c r="M165" i="66"/>
  <c r="L165" i="66"/>
  <c r="K165" i="66"/>
  <c r="J165" i="66"/>
  <c r="I165" i="66"/>
  <c r="H165" i="66"/>
  <c r="E165" i="66"/>
  <c r="M164" i="66"/>
  <c r="L164" i="66"/>
  <c r="K164" i="66"/>
  <c r="J164" i="66"/>
  <c r="I164" i="66"/>
  <c r="H164" i="66"/>
  <c r="E164" i="66"/>
  <c r="M163" i="66"/>
  <c r="L163" i="66"/>
  <c r="K163" i="66"/>
  <c r="J163" i="66"/>
  <c r="I163" i="66"/>
  <c r="H163" i="66"/>
  <c r="E163" i="66"/>
  <c r="M162" i="66"/>
  <c r="L162" i="66"/>
  <c r="K162" i="66"/>
  <c r="J162" i="66"/>
  <c r="I162" i="66"/>
  <c r="H162" i="66"/>
  <c r="E162" i="66"/>
  <c r="M161" i="66"/>
  <c r="L161" i="66"/>
  <c r="K161" i="66"/>
  <c r="J161" i="66"/>
  <c r="I161" i="66"/>
  <c r="H161" i="66"/>
  <c r="E161" i="66"/>
  <c r="M160" i="66"/>
  <c r="L160" i="66"/>
  <c r="K160" i="66"/>
  <c r="J160" i="66"/>
  <c r="I160" i="66"/>
  <c r="H160" i="66"/>
  <c r="E160" i="66"/>
  <c r="M159" i="66"/>
  <c r="L159" i="66"/>
  <c r="K159" i="66"/>
  <c r="J159" i="66"/>
  <c r="I159" i="66"/>
  <c r="H159" i="66"/>
  <c r="E159" i="66"/>
  <c r="M158" i="66"/>
  <c r="L158" i="66"/>
  <c r="K158" i="66"/>
  <c r="J158" i="66"/>
  <c r="I158" i="66"/>
  <c r="H158" i="66"/>
  <c r="E158" i="66"/>
  <c r="M157" i="66"/>
  <c r="L157" i="66"/>
  <c r="K157" i="66"/>
  <c r="J157" i="66"/>
  <c r="I157" i="66"/>
  <c r="H157" i="66"/>
  <c r="E157" i="66"/>
  <c r="M156" i="66"/>
  <c r="L156" i="66"/>
  <c r="K156" i="66"/>
  <c r="J156" i="66"/>
  <c r="I156" i="66"/>
  <c r="H156" i="66"/>
  <c r="E156" i="66"/>
  <c r="M155" i="66"/>
  <c r="L155" i="66"/>
  <c r="K155" i="66"/>
  <c r="J155" i="66"/>
  <c r="I155" i="66"/>
  <c r="H155" i="66"/>
  <c r="E155" i="66"/>
  <c r="M154" i="66"/>
  <c r="L154" i="66"/>
  <c r="K154" i="66"/>
  <c r="J154" i="66"/>
  <c r="I154" i="66"/>
  <c r="H154" i="66"/>
  <c r="E154" i="66"/>
  <c r="M153" i="66"/>
  <c r="L153" i="66"/>
  <c r="K153" i="66"/>
  <c r="J153" i="66"/>
  <c r="I153" i="66"/>
  <c r="H153" i="66"/>
  <c r="E153" i="66"/>
  <c r="M152" i="66"/>
  <c r="L152" i="66"/>
  <c r="K152" i="66"/>
  <c r="J152" i="66"/>
  <c r="I152" i="66"/>
  <c r="H152" i="66"/>
  <c r="E152" i="66"/>
  <c r="M151" i="66"/>
  <c r="L151" i="66"/>
  <c r="K151" i="66"/>
  <c r="J151" i="66"/>
  <c r="I151" i="66"/>
  <c r="H151" i="66"/>
  <c r="E151" i="66"/>
  <c r="M150" i="66"/>
  <c r="L150" i="66"/>
  <c r="K150" i="66"/>
  <c r="J150" i="66"/>
  <c r="I150" i="66"/>
  <c r="H150" i="66"/>
  <c r="E150" i="66"/>
  <c r="M149" i="66"/>
  <c r="L149" i="66"/>
  <c r="K149" i="66"/>
  <c r="J149" i="66"/>
  <c r="I149" i="66"/>
  <c r="H149" i="66"/>
  <c r="E149" i="66"/>
  <c r="M148" i="66"/>
  <c r="L148" i="66"/>
  <c r="K148" i="66"/>
  <c r="J148" i="66"/>
  <c r="I148" i="66"/>
  <c r="H148" i="66"/>
  <c r="E148" i="66"/>
  <c r="M147" i="66"/>
  <c r="L147" i="66"/>
  <c r="K147" i="66"/>
  <c r="J147" i="66"/>
  <c r="I147" i="66"/>
  <c r="H147" i="66"/>
  <c r="E147" i="66"/>
  <c r="M145" i="66"/>
  <c r="L145" i="66"/>
  <c r="K145" i="66"/>
  <c r="J145" i="66"/>
  <c r="I145" i="66"/>
  <c r="H145" i="66"/>
  <c r="E145" i="66"/>
  <c r="M144" i="66"/>
  <c r="L144" i="66"/>
  <c r="K144" i="66"/>
  <c r="J144" i="66"/>
  <c r="I144" i="66"/>
  <c r="H144" i="66"/>
  <c r="E144" i="66"/>
  <c r="M143" i="66"/>
  <c r="L143" i="66"/>
  <c r="K143" i="66"/>
  <c r="J143" i="66"/>
  <c r="I143" i="66"/>
  <c r="H143" i="66"/>
  <c r="E143" i="66"/>
  <c r="M142" i="66"/>
  <c r="L142" i="66"/>
  <c r="K142" i="66"/>
  <c r="J142" i="66"/>
  <c r="I142" i="66"/>
  <c r="H142" i="66"/>
  <c r="E142" i="66"/>
  <c r="M141" i="66"/>
  <c r="L141" i="66"/>
  <c r="K141" i="66"/>
  <c r="J141" i="66"/>
  <c r="I141" i="66"/>
  <c r="H141" i="66"/>
  <c r="E141" i="66"/>
  <c r="M140" i="66"/>
  <c r="L140" i="66"/>
  <c r="K140" i="66"/>
  <c r="J140" i="66"/>
  <c r="I140" i="66"/>
  <c r="H140" i="66"/>
  <c r="E140" i="66"/>
  <c r="M139" i="66"/>
  <c r="L139" i="66"/>
  <c r="K139" i="66"/>
  <c r="J139" i="66"/>
  <c r="I139" i="66"/>
  <c r="H139" i="66"/>
  <c r="E139" i="66"/>
  <c r="M138" i="66"/>
  <c r="L138" i="66"/>
  <c r="K138" i="66"/>
  <c r="J138" i="66"/>
  <c r="I138" i="66"/>
  <c r="H138" i="66"/>
  <c r="E138" i="66"/>
  <c r="M137" i="66"/>
  <c r="L137" i="66"/>
  <c r="K137" i="66"/>
  <c r="J137" i="66"/>
  <c r="I137" i="66"/>
  <c r="H137" i="66"/>
  <c r="E137" i="66"/>
  <c r="M136" i="66"/>
  <c r="L136" i="66"/>
  <c r="K136" i="66"/>
  <c r="J136" i="66"/>
  <c r="I136" i="66"/>
  <c r="H136" i="66"/>
  <c r="E136" i="66"/>
  <c r="M135" i="66"/>
  <c r="L135" i="66"/>
  <c r="K135" i="66"/>
  <c r="J135" i="66"/>
  <c r="I135" i="66"/>
  <c r="H135" i="66"/>
  <c r="E135" i="66"/>
  <c r="M134" i="66"/>
  <c r="L134" i="66"/>
  <c r="K134" i="66"/>
  <c r="J134" i="66"/>
  <c r="I134" i="66"/>
  <c r="H134" i="66"/>
  <c r="E134" i="66"/>
  <c r="M133" i="66"/>
  <c r="L133" i="66"/>
  <c r="K133" i="66"/>
  <c r="J133" i="66"/>
  <c r="I133" i="66"/>
  <c r="H133" i="66"/>
  <c r="E133" i="66"/>
  <c r="M132" i="66"/>
  <c r="L132" i="66"/>
  <c r="K132" i="66"/>
  <c r="J132" i="66"/>
  <c r="I132" i="66"/>
  <c r="H132" i="66"/>
  <c r="E132" i="66"/>
  <c r="M131" i="66"/>
  <c r="L131" i="66"/>
  <c r="K131" i="66"/>
  <c r="J131" i="66"/>
  <c r="I131" i="66"/>
  <c r="H131" i="66"/>
  <c r="E131" i="66"/>
  <c r="M130" i="66"/>
  <c r="L130" i="66"/>
  <c r="K130" i="66"/>
  <c r="J130" i="66"/>
  <c r="I130" i="66"/>
  <c r="H130" i="66"/>
  <c r="E130" i="66"/>
  <c r="M129" i="66"/>
  <c r="L129" i="66"/>
  <c r="K129" i="66"/>
  <c r="J129" i="66"/>
  <c r="I129" i="66"/>
  <c r="H129" i="66"/>
  <c r="E129" i="66"/>
  <c r="M128" i="66"/>
  <c r="L128" i="66"/>
  <c r="K128" i="66"/>
  <c r="J128" i="66"/>
  <c r="I128" i="66"/>
  <c r="H128" i="66"/>
  <c r="E128" i="66"/>
  <c r="M127" i="66"/>
  <c r="L127" i="66"/>
  <c r="K127" i="66"/>
  <c r="J127" i="66"/>
  <c r="I127" i="66"/>
  <c r="H127" i="66"/>
  <c r="E127" i="66"/>
  <c r="M126" i="66"/>
  <c r="L126" i="66"/>
  <c r="K126" i="66"/>
  <c r="J126" i="66"/>
  <c r="I126" i="66"/>
  <c r="H126" i="66"/>
  <c r="E126" i="66"/>
  <c r="M125" i="66"/>
  <c r="L125" i="66"/>
  <c r="K125" i="66"/>
  <c r="J125" i="66"/>
  <c r="I125" i="66"/>
  <c r="H125" i="66"/>
  <c r="E125" i="66"/>
  <c r="M124" i="66"/>
  <c r="L124" i="66"/>
  <c r="K124" i="66"/>
  <c r="J124" i="66"/>
  <c r="I124" i="66"/>
  <c r="H124" i="66"/>
  <c r="E124" i="66"/>
  <c r="M122" i="66"/>
  <c r="L122" i="66"/>
  <c r="K122" i="66"/>
  <c r="J122" i="66"/>
  <c r="I122" i="66"/>
  <c r="H122" i="66"/>
  <c r="E122" i="66"/>
  <c r="M121" i="66"/>
  <c r="L121" i="66"/>
  <c r="K121" i="66"/>
  <c r="J121" i="66"/>
  <c r="I121" i="66"/>
  <c r="H121" i="66"/>
  <c r="E120" i="66"/>
  <c r="F119" i="66"/>
  <c r="E119" i="66"/>
  <c r="F118" i="66"/>
  <c r="E118" i="66"/>
  <c r="F117" i="66"/>
  <c r="E117" i="66"/>
  <c r="F116" i="66"/>
  <c r="E116" i="66"/>
  <c r="F115" i="66"/>
  <c r="E115" i="66"/>
  <c r="F114" i="66"/>
  <c r="E114" i="66"/>
  <c r="F113" i="66"/>
  <c r="E113" i="66"/>
  <c r="F112" i="66"/>
  <c r="E112" i="66"/>
  <c r="E111" i="66"/>
  <c r="E110" i="66"/>
  <c r="D108" i="66"/>
  <c r="C108" i="66"/>
  <c r="M106" i="66"/>
  <c r="L106" i="66"/>
  <c r="K106" i="66"/>
  <c r="J106" i="66"/>
  <c r="I106" i="66"/>
  <c r="H106" i="66"/>
  <c r="E106" i="66"/>
  <c r="M104" i="66"/>
  <c r="L104" i="66"/>
  <c r="K104" i="66"/>
  <c r="J104" i="66"/>
  <c r="I104" i="66"/>
  <c r="H104" i="66"/>
  <c r="E104" i="66"/>
  <c r="M103" i="66"/>
  <c r="L103" i="66"/>
  <c r="K103" i="66"/>
  <c r="J103" i="66"/>
  <c r="I103" i="66"/>
  <c r="H103" i="66"/>
  <c r="E103" i="66"/>
  <c r="M102" i="66"/>
  <c r="L102" i="66"/>
  <c r="K102" i="66"/>
  <c r="J102" i="66"/>
  <c r="I102" i="66"/>
  <c r="H102" i="66"/>
  <c r="E102" i="66"/>
  <c r="M101" i="66"/>
  <c r="L101" i="66"/>
  <c r="K101" i="66"/>
  <c r="J101" i="66"/>
  <c r="I101" i="66"/>
  <c r="H101" i="66"/>
  <c r="E101" i="66"/>
  <c r="M100" i="66"/>
  <c r="L100" i="66"/>
  <c r="K100" i="66"/>
  <c r="J100" i="66"/>
  <c r="I100" i="66"/>
  <c r="H100" i="66"/>
  <c r="E100" i="66"/>
  <c r="M99" i="66"/>
  <c r="L99" i="66"/>
  <c r="K99" i="66"/>
  <c r="J99" i="66"/>
  <c r="I99" i="66"/>
  <c r="H99" i="66"/>
  <c r="E99" i="66"/>
  <c r="M98" i="66"/>
  <c r="L98" i="66"/>
  <c r="K98" i="66"/>
  <c r="J98" i="66"/>
  <c r="I98" i="66"/>
  <c r="H98" i="66"/>
  <c r="E98" i="66"/>
  <c r="M97" i="66"/>
  <c r="L97" i="66"/>
  <c r="K97" i="66"/>
  <c r="J97" i="66"/>
  <c r="I97" i="66"/>
  <c r="H97" i="66"/>
  <c r="E97" i="66"/>
  <c r="M96" i="66"/>
  <c r="L96" i="66"/>
  <c r="K96" i="66"/>
  <c r="J96" i="66"/>
  <c r="I96" i="66"/>
  <c r="H96" i="66"/>
  <c r="E96" i="66"/>
  <c r="M95" i="66"/>
  <c r="L95" i="66"/>
  <c r="K95" i="66"/>
  <c r="J95" i="66"/>
  <c r="I95" i="66"/>
  <c r="H95" i="66"/>
  <c r="E95" i="66"/>
  <c r="M94" i="66"/>
  <c r="L94" i="66"/>
  <c r="K94" i="66"/>
  <c r="J94" i="66"/>
  <c r="I94" i="66"/>
  <c r="H94" i="66"/>
  <c r="E94" i="66"/>
  <c r="M93" i="66"/>
  <c r="L93" i="66"/>
  <c r="K93" i="66"/>
  <c r="J93" i="66"/>
  <c r="I93" i="66"/>
  <c r="H93" i="66"/>
  <c r="E93" i="66"/>
  <c r="D91" i="66"/>
  <c r="C91" i="66"/>
  <c r="D89" i="66"/>
  <c r="C89" i="66"/>
  <c r="M87" i="66"/>
  <c r="L87" i="66"/>
  <c r="K87" i="66"/>
  <c r="J87" i="66"/>
  <c r="I87" i="66"/>
  <c r="E87" i="66"/>
  <c r="M86" i="66"/>
  <c r="L86" i="66"/>
  <c r="K86" i="66"/>
  <c r="J86" i="66"/>
  <c r="I86" i="66"/>
  <c r="D85" i="66"/>
  <c r="C85" i="66"/>
  <c r="M83" i="66"/>
  <c r="E83" i="66"/>
  <c r="D83" i="66"/>
  <c r="M81" i="66"/>
  <c r="E81" i="66"/>
  <c r="M80" i="66"/>
  <c r="E80" i="66"/>
  <c r="M79" i="66"/>
  <c r="E79" i="66"/>
  <c r="E78" i="66"/>
  <c r="D78" i="66"/>
  <c r="M76" i="66"/>
  <c r="E76" i="66"/>
  <c r="M75" i="66"/>
  <c r="E75" i="66"/>
  <c r="M73" i="66"/>
  <c r="K73" i="66"/>
  <c r="I73" i="66"/>
  <c r="G73" i="66"/>
  <c r="E73" i="66"/>
  <c r="M72" i="66"/>
  <c r="K72" i="66"/>
  <c r="I72" i="66"/>
  <c r="G72" i="66"/>
  <c r="E72" i="66"/>
  <c r="M70" i="66"/>
  <c r="E70" i="66"/>
  <c r="M69" i="66"/>
  <c r="E69" i="66"/>
  <c r="E68" i="66"/>
  <c r="D68" i="66"/>
  <c r="M66" i="66"/>
  <c r="L66" i="66"/>
  <c r="I66" i="66"/>
  <c r="E66" i="66"/>
  <c r="I65" i="66"/>
  <c r="E65" i="66"/>
  <c r="E63" i="66"/>
  <c r="D63" i="66"/>
  <c r="D61" i="66"/>
  <c r="C61" i="66"/>
  <c r="E59" i="66"/>
  <c r="E58" i="66"/>
  <c r="D56" i="66"/>
  <c r="C56" i="66"/>
  <c r="D54" i="66"/>
  <c r="C54" i="66"/>
  <c r="L52" i="66"/>
  <c r="I52" i="66"/>
  <c r="E52" i="66"/>
  <c r="D52" i="66"/>
  <c r="L51" i="66"/>
  <c r="I51" i="66"/>
  <c r="E51" i="66"/>
  <c r="D51" i="66"/>
  <c r="L50" i="66"/>
  <c r="I50" i="66"/>
  <c r="E50" i="66"/>
  <c r="D50" i="66"/>
  <c r="L49" i="66"/>
  <c r="I49" i="66"/>
  <c r="E49" i="66"/>
  <c r="D49" i="66"/>
  <c r="L48" i="66"/>
  <c r="I48" i="66"/>
  <c r="E48" i="66"/>
  <c r="D48" i="66"/>
  <c r="L47" i="66"/>
  <c r="I47" i="66"/>
  <c r="E47" i="66"/>
  <c r="D47" i="66"/>
  <c r="L46" i="66"/>
  <c r="I46" i="66"/>
  <c r="E46" i="66"/>
  <c r="D46" i="66"/>
  <c r="L45" i="66"/>
  <c r="I45" i="66"/>
  <c r="E45" i="66"/>
  <c r="D45" i="66"/>
  <c r="L44" i="66"/>
  <c r="I44" i="66"/>
  <c r="E44" i="66"/>
  <c r="D44" i="66"/>
  <c r="L43" i="66"/>
  <c r="I43" i="66"/>
  <c r="E43" i="66"/>
  <c r="D43" i="66"/>
  <c r="L42" i="66"/>
  <c r="I42" i="66"/>
  <c r="E42" i="66"/>
  <c r="D41" i="66"/>
  <c r="C41" i="66"/>
  <c r="M39" i="66"/>
  <c r="F39" i="66"/>
  <c r="E39" i="66"/>
  <c r="M38" i="66"/>
  <c r="F38" i="66"/>
  <c r="E38" i="66"/>
  <c r="M37" i="66"/>
  <c r="F37" i="66"/>
  <c r="E37" i="66"/>
  <c r="M36" i="66"/>
  <c r="F36" i="66"/>
  <c r="E36" i="66"/>
  <c r="M35" i="66"/>
  <c r="F35" i="66"/>
  <c r="E35" i="66"/>
  <c r="M34" i="66"/>
  <c r="F34" i="66"/>
  <c r="E34" i="66"/>
  <c r="M33" i="66"/>
  <c r="E33" i="66"/>
  <c r="M31" i="66"/>
  <c r="K31" i="66"/>
  <c r="H31" i="66"/>
  <c r="E31" i="66"/>
  <c r="M30" i="66"/>
  <c r="K30" i="66"/>
  <c r="M29" i="66"/>
  <c r="K29" i="66"/>
  <c r="H29" i="66"/>
  <c r="E29" i="66"/>
  <c r="M28" i="66"/>
  <c r="K28" i="66"/>
  <c r="H28" i="66"/>
  <c r="E28" i="66"/>
  <c r="M27" i="66"/>
  <c r="K27" i="66"/>
  <c r="H27" i="66"/>
  <c r="E27" i="66"/>
  <c r="H25" i="66"/>
  <c r="E25" i="66"/>
  <c r="H24" i="66"/>
  <c r="E24" i="66"/>
  <c r="H23" i="66"/>
  <c r="E23" i="66"/>
  <c r="M22" i="66"/>
  <c r="K22" i="66"/>
  <c r="H22" i="66"/>
  <c r="E22" i="66"/>
  <c r="D20" i="66"/>
  <c r="C20" i="66"/>
  <c r="D18" i="66"/>
  <c r="C18" i="66"/>
  <c r="C1318" i="42" l="1"/>
  <c r="C1147" i="42"/>
  <c r="C976" i="42"/>
  <c r="H299" i="47"/>
  <c r="H350" i="47"/>
  <c r="E1387" i="50"/>
  <c r="T113" i="41"/>
  <c r="A18" i="42" l="1"/>
  <c r="N351" i="47" l="1"/>
  <c r="M351" i="47"/>
  <c r="L351" i="47"/>
  <c r="K351" i="47"/>
  <c r="J351" i="47"/>
  <c r="I351" i="47"/>
  <c r="N350" i="47"/>
  <c r="M350" i="47"/>
  <c r="L350" i="47"/>
  <c r="K350" i="47"/>
  <c r="J350" i="47"/>
  <c r="I350" i="47"/>
  <c r="H351" i="47"/>
  <c r="Z1062" i="42" l="1"/>
  <c r="Y1062" i="42"/>
  <c r="X1062" i="42"/>
  <c r="W1062" i="42"/>
  <c r="V1062" i="42"/>
  <c r="U1062" i="42"/>
  <c r="T1062" i="42"/>
  <c r="Z1233" i="42"/>
  <c r="Y1233" i="42"/>
  <c r="X1233" i="42"/>
  <c r="W1233" i="42"/>
  <c r="V1233" i="42"/>
  <c r="U1233" i="42"/>
  <c r="T1233" i="42"/>
  <c r="E1723" i="50" l="1"/>
  <c r="P1722" i="50"/>
  <c r="P1721" i="50"/>
  <c r="E1720" i="50"/>
  <c r="E1719" i="50"/>
  <c r="E1718" i="50"/>
  <c r="S1717" i="50"/>
  <c r="I1717" i="50"/>
  <c r="E1717" i="50"/>
  <c r="E1713" i="50"/>
  <c r="E1712" i="50"/>
  <c r="E1711" i="50"/>
  <c r="P1710" i="50"/>
  <c r="P1709" i="50"/>
  <c r="E1708" i="50"/>
  <c r="E1707" i="50"/>
  <c r="E1706" i="50"/>
  <c r="I1705" i="50"/>
  <c r="E1705" i="50"/>
  <c r="H1701" i="50"/>
  <c r="E1701" i="50"/>
  <c r="E1700" i="50"/>
  <c r="E1699" i="50"/>
  <c r="H1698" i="50"/>
  <c r="E1698" i="50"/>
  <c r="E1697" i="50"/>
  <c r="P1695" i="50"/>
  <c r="P1693" i="50" s="1"/>
  <c r="P1694" i="50" s="1"/>
  <c r="E1695" i="50"/>
  <c r="E1694" i="50"/>
  <c r="E1693" i="50"/>
  <c r="E1692" i="50"/>
  <c r="E1691" i="50"/>
  <c r="P1689" i="50"/>
  <c r="P1687" i="50" s="1"/>
  <c r="P1688" i="50" s="1"/>
  <c r="E1689" i="50"/>
  <c r="E1688" i="50"/>
  <c r="E1687" i="50"/>
  <c r="E1686" i="50"/>
  <c r="E1685" i="50"/>
  <c r="E1683" i="50"/>
  <c r="E1682" i="50"/>
  <c r="E1681" i="50"/>
  <c r="E1680" i="50"/>
  <c r="E1679" i="50"/>
  <c r="E1677" i="50"/>
  <c r="E1676" i="50"/>
  <c r="E1675" i="50"/>
  <c r="E1674" i="50"/>
  <c r="E1673" i="50"/>
  <c r="E1671" i="50"/>
  <c r="E1668" i="50"/>
  <c r="E1667" i="50"/>
  <c r="E1666" i="50"/>
  <c r="E1665" i="50"/>
  <c r="E1663" i="50"/>
  <c r="E1662" i="50"/>
  <c r="E1661" i="50"/>
  <c r="E1658" i="50"/>
  <c r="G1657" i="50"/>
  <c r="R1654" i="50"/>
  <c r="M1654" i="50"/>
  <c r="L1654" i="50"/>
  <c r="K1654" i="50"/>
  <c r="J1654" i="50"/>
  <c r="H1654" i="50"/>
  <c r="E1595" i="50"/>
  <c r="P1594" i="50"/>
  <c r="P1593" i="50"/>
  <c r="E1592" i="50"/>
  <c r="E1591" i="50"/>
  <c r="E1590" i="50"/>
  <c r="S1589" i="50"/>
  <c r="I1589" i="50"/>
  <c r="E1589" i="50"/>
  <c r="E1585" i="50"/>
  <c r="E1584" i="50"/>
  <c r="E1583" i="50"/>
  <c r="P1582" i="50"/>
  <c r="P1581" i="50"/>
  <c r="E1580" i="50"/>
  <c r="E1579" i="50"/>
  <c r="E1578" i="50"/>
  <c r="I1577" i="50"/>
  <c r="E1577" i="50"/>
  <c r="H1573" i="50"/>
  <c r="E1573" i="50"/>
  <c r="E1572" i="50"/>
  <c r="E1571" i="50"/>
  <c r="H1570" i="50"/>
  <c r="E1570" i="50"/>
  <c r="E1569" i="50"/>
  <c r="P1567" i="50"/>
  <c r="P1565" i="50" s="1"/>
  <c r="P1566" i="50" s="1"/>
  <c r="E1567" i="50"/>
  <c r="E1566" i="50"/>
  <c r="E1565" i="50"/>
  <c r="E1564" i="50"/>
  <c r="E1563" i="50"/>
  <c r="P1561" i="50"/>
  <c r="P1559" i="50" s="1"/>
  <c r="P1560" i="50" s="1"/>
  <c r="E1561" i="50"/>
  <c r="E1560" i="50"/>
  <c r="E1559" i="50"/>
  <c r="E1558" i="50"/>
  <c r="E1557" i="50"/>
  <c r="E1555" i="50"/>
  <c r="E1554" i="50"/>
  <c r="E1553" i="50"/>
  <c r="E1552" i="50"/>
  <c r="E1551" i="50"/>
  <c r="E1549" i="50"/>
  <c r="E1548" i="50"/>
  <c r="E1547" i="50"/>
  <c r="E1546" i="50"/>
  <c r="E1545" i="50"/>
  <c r="E1543" i="50"/>
  <c r="E1540" i="50"/>
  <c r="E1539" i="50"/>
  <c r="E1538" i="50"/>
  <c r="E1537" i="50"/>
  <c r="E1535" i="50"/>
  <c r="E1534" i="50"/>
  <c r="E1533" i="50"/>
  <c r="E1530" i="50"/>
  <c r="G1529" i="50"/>
  <c r="R1526" i="50"/>
  <c r="M1526" i="50"/>
  <c r="L1526" i="50"/>
  <c r="K1526" i="50"/>
  <c r="J1526" i="50"/>
  <c r="H1526" i="50"/>
  <c r="E1467" i="50"/>
  <c r="P1466" i="50"/>
  <c r="P1465" i="50"/>
  <c r="E1464" i="50"/>
  <c r="E1463" i="50"/>
  <c r="E1462" i="50"/>
  <c r="S1461" i="50"/>
  <c r="I1461" i="50"/>
  <c r="E1461" i="50"/>
  <c r="E1457" i="50"/>
  <c r="E1456" i="50"/>
  <c r="E1455" i="50"/>
  <c r="P1454" i="50"/>
  <c r="P1453" i="50"/>
  <c r="E1452" i="50"/>
  <c r="E1451" i="50"/>
  <c r="E1450" i="50"/>
  <c r="I1449" i="50"/>
  <c r="E1449" i="50"/>
  <c r="H1445" i="50"/>
  <c r="E1445" i="50"/>
  <c r="E1444" i="50"/>
  <c r="E1443" i="50"/>
  <c r="H1442" i="50"/>
  <c r="E1442" i="50"/>
  <c r="E1441" i="50"/>
  <c r="P1439" i="50"/>
  <c r="P1437" i="50" s="1"/>
  <c r="P1438" i="50" s="1"/>
  <c r="E1439" i="50"/>
  <c r="E1438" i="50"/>
  <c r="E1437" i="50"/>
  <c r="E1436" i="50"/>
  <c r="E1435" i="50"/>
  <c r="P1433" i="50"/>
  <c r="P1431" i="50" s="1"/>
  <c r="P1432" i="50" s="1"/>
  <c r="E1433" i="50"/>
  <c r="E1432" i="50"/>
  <c r="E1431" i="50"/>
  <c r="E1430" i="50"/>
  <c r="E1429" i="50"/>
  <c r="E1427" i="50"/>
  <c r="E1426" i="50"/>
  <c r="E1425" i="50"/>
  <c r="E1424" i="50"/>
  <c r="E1423" i="50"/>
  <c r="E1421" i="50"/>
  <c r="E1420" i="50"/>
  <c r="E1419" i="50"/>
  <c r="E1418" i="50"/>
  <c r="E1417" i="50"/>
  <c r="E1415" i="50"/>
  <c r="E1412" i="50"/>
  <c r="E1411" i="50"/>
  <c r="E1410" i="50"/>
  <c r="E1409" i="50"/>
  <c r="E1407" i="50"/>
  <c r="E1406" i="50"/>
  <c r="E1405" i="50"/>
  <c r="E1402" i="50"/>
  <c r="G1401" i="50"/>
  <c r="R1398" i="50"/>
  <c r="M1398" i="50"/>
  <c r="L1398" i="50"/>
  <c r="K1398" i="50"/>
  <c r="J1398" i="50"/>
  <c r="H1398" i="50"/>
  <c r="E1339" i="50"/>
  <c r="P1338" i="50"/>
  <c r="P1337" i="50"/>
  <c r="E1336" i="50"/>
  <c r="E1335" i="50"/>
  <c r="E1334" i="50"/>
  <c r="S1333" i="50"/>
  <c r="I1333" i="50"/>
  <c r="E1333" i="50"/>
  <c r="E1329" i="50"/>
  <c r="E1328" i="50"/>
  <c r="E1327" i="50"/>
  <c r="P1326" i="50"/>
  <c r="P1325" i="50"/>
  <c r="E1324" i="50"/>
  <c r="E1323" i="50"/>
  <c r="E1322" i="50"/>
  <c r="I1321" i="50"/>
  <c r="E1321" i="50"/>
  <c r="H1317" i="50"/>
  <c r="E1317" i="50"/>
  <c r="E1316" i="50"/>
  <c r="E1315" i="50"/>
  <c r="H1314" i="50"/>
  <c r="E1314" i="50"/>
  <c r="E1313" i="50"/>
  <c r="P1311" i="50"/>
  <c r="P1309" i="50" s="1"/>
  <c r="P1310" i="50" s="1"/>
  <c r="E1311" i="50"/>
  <c r="E1310" i="50"/>
  <c r="E1309" i="50"/>
  <c r="E1308" i="50"/>
  <c r="E1307" i="50"/>
  <c r="P1305" i="50"/>
  <c r="P1303" i="50" s="1"/>
  <c r="P1304" i="50" s="1"/>
  <c r="E1305" i="50"/>
  <c r="E1304" i="50"/>
  <c r="E1303" i="50"/>
  <c r="E1302" i="50"/>
  <c r="E1301" i="50"/>
  <c r="E1299" i="50"/>
  <c r="E1298" i="50"/>
  <c r="E1297" i="50"/>
  <c r="E1296" i="50"/>
  <c r="E1295" i="50"/>
  <c r="E1293" i="50"/>
  <c r="E1292" i="50"/>
  <c r="E1291" i="50"/>
  <c r="E1290" i="50"/>
  <c r="E1289" i="50"/>
  <c r="E1287" i="50"/>
  <c r="E1284" i="50"/>
  <c r="E1283" i="50"/>
  <c r="E1282" i="50"/>
  <c r="E1281" i="50"/>
  <c r="E1279" i="50"/>
  <c r="E1278" i="50"/>
  <c r="E1277" i="50"/>
  <c r="E1274" i="50"/>
  <c r="G1273" i="50"/>
  <c r="R1270" i="50"/>
  <c r="M1270" i="50"/>
  <c r="L1270" i="50"/>
  <c r="K1270" i="50"/>
  <c r="J1270" i="50"/>
  <c r="H1270" i="50"/>
  <c r="E1211" i="50"/>
  <c r="P1210" i="50"/>
  <c r="P1209" i="50"/>
  <c r="E1208" i="50"/>
  <c r="E1207" i="50"/>
  <c r="E1206" i="50"/>
  <c r="S1205" i="50"/>
  <c r="I1205" i="50"/>
  <c r="E1205" i="50"/>
  <c r="E1201" i="50"/>
  <c r="E1200" i="50"/>
  <c r="E1199" i="50"/>
  <c r="P1198" i="50"/>
  <c r="P1197" i="50"/>
  <c r="E1196" i="50"/>
  <c r="E1195" i="50"/>
  <c r="E1194" i="50"/>
  <c r="I1193" i="50"/>
  <c r="E1193" i="50"/>
  <c r="H1189" i="50"/>
  <c r="E1189" i="50"/>
  <c r="E1188" i="50"/>
  <c r="E1187" i="50"/>
  <c r="H1186" i="50"/>
  <c r="E1186" i="50"/>
  <c r="E1185" i="50"/>
  <c r="P1183" i="50"/>
  <c r="P1181" i="50" s="1"/>
  <c r="P1182" i="50" s="1"/>
  <c r="E1183" i="50"/>
  <c r="E1182" i="50"/>
  <c r="E1181" i="50"/>
  <c r="E1180" i="50"/>
  <c r="E1179" i="50"/>
  <c r="P1177" i="50"/>
  <c r="P1175" i="50" s="1"/>
  <c r="P1176" i="50" s="1"/>
  <c r="E1177" i="50"/>
  <c r="E1176" i="50"/>
  <c r="E1175" i="50"/>
  <c r="E1174" i="50"/>
  <c r="E1173" i="50"/>
  <c r="E1171" i="50"/>
  <c r="E1170" i="50"/>
  <c r="E1169" i="50"/>
  <c r="E1168" i="50"/>
  <c r="E1167" i="50"/>
  <c r="E1165" i="50"/>
  <c r="E1164" i="50"/>
  <c r="E1163" i="50"/>
  <c r="E1162" i="50"/>
  <c r="E1161" i="50"/>
  <c r="E1159" i="50"/>
  <c r="E1156" i="50"/>
  <c r="E1155" i="50"/>
  <c r="E1154" i="50"/>
  <c r="E1153" i="50"/>
  <c r="E1151" i="50"/>
  <c r="E1150" i="50"/>
  <c r="E1149" i="50"/>
  <c r="E1146" i="50"/>
  <c r="G1145" i="50"/>
  <c r="R1142" i="50"/>
  <c r="M1142" i="50"/>
  <c r="L1142" i="50"/>
  <c r="K1142" i="50"/>
  <c r="J1142" i="50"/>
  <c r="H1142" i="50"/>
  <c r="E955" i="50"/>
  <c r="P954" i="50"/>
  <c r="P953" i="50"/>
  <c r="E952" i="50"/>
  <c r="E951" i="50"/>
  <c r="E950" i="50"/>
  <c r="S949" i="50"/>
  <c r="I949" i="50"/>
  <c r="E949" i="50"/>
  <c r="E945" i="50"/>
  <c r="E944" i="50"/>
  <c r="E943" i="50"/>
  <c r="P942" i="50"/>
  <c r="P941" i="50"/>
  <c r="E940" i="50"/>
  <c r="E939" i="50"/>
  <c r="E938" i="50"/>
  <c r="I937" i="50"/>
  <c r="E937" i="50"/>
  <c r="H933" i="50"/>
  <c r="E933" i="50"/>
  <c r="E932" i="50"/>
  <c r="E931" i="50"/>
  <c r="H930" i="50"/>
  <c r="E930" i="50"/>
  <c r="E929" i="50"/>
  <c r="P927" i="50"/>
  <c r="P925" i="50" s="1"/>
  <c r="P926" i="50" s="1"/>
  <c r="E927" i="50"/>
  <c r="E926" i="50"/>
  <c r="E925" i="50"/>
  <c r="E924" i="50"/>
  <c r="E923" i="50"/>
  <c r="P921" i="50"/>
  <c r="P919" i="50" s="1"/>
  <c r="P920" i="50" s="1"/>
  <c r="E921" i="50"/>
  <c r="E920" i="50"/>
  <c r="E919" i="50"/>
  <c r="E918" i="50"/>
  <c r="E917" i="50"/>
  <c r="E915" i="50"/>
  <c r="E914" i="50"/>
  <c r="E913" i="50"/>
  <c r="E912" i="50"/>
  <c r="E911" i="50"/>
  <c r="E909" i="50"/>
  <c r="E908" i="50"/>
  <c r="E907" i="50"/>
  <c r="E906" i="50"/>
  <c r="E905" i="50"/>
  <c r="E903" i="50"/>
  <c r="E900" i="50"/>
  <c r="E899" i="50"/>
  <c r="E898" i="50"/>
  <c r="E897" i="50"/>
  <c r="E895" i="50"/>
  <c r="E894" i="50"/>
  <c r="E893" i="50"/>
  <c r="E890" i="50"/>
  <c r="G889" i="50"/>
  <c r="R886" i="50"/>
  <c r="M886" i="50"/>
  <c r="L886" i="50"/>
  <c r="K886" i="50"/>
  <c r="J886" i="50"/>
  <c r="H886" i="50"/>
  <c r="E827" i="50"/>
  <c r="P826" i="50"/>
  <c r="P825" i="50"/>
  <c r="E824" i="50"/>
  <c r="E823" i="50"/>
  <c r="E822" i="50"/>
  <c r="S821" i="50"/>
  <c r="I821" i="50"/>
  <c r="E821" i="50"/>
  <c r="E817" i="50"/>
  <c r="E816" i="50"/>
  <c r="E815" i="50"/>
  <c r="P814" i="50"/>
  <c r="P813" i="50"/>
  <c r="E812" i="50"/>
  <c r="E811" i="50"/>
  <c r="E810" i="50"/>
  <c r="I809" i="50"/>
  <c r="E809" i="50"/>
  <c r="H805" i="50"/>
  <c r="E805" i="50"/>
  <c r="E804" i="50"/>
  <c r="E803" i="50"/>
  <c r="H802" i="50"/>
  <c r="E802" i="50"/>
  <c r="E801" i="50"/>
  <c r="P799" i="50"/>
  <c r="P797" i="50" s="1"/>
  <c r="P798" i="50" s="1"/>
  <c r="E799" i="50"/>
  <c r="E798" i="50"/>
  <c r="E797" i="50"/>
  <c r="E796" i="50"/>
  <c r="E795" i="50"/>
  <c r="P793" i="50"/>
  <c r="P791" i="50" s="1"/>
  <c r="P792" i="50" s="1"/>
  <c r="E793" i="50"/>
  <c r="E792" i="50"/>
  <c r="E791" i="50"/>
  <c r="E790" i="50"/>
  <c r="E789" i="50"/>
  <c r="E787" i="50"/>
  <c r="E786" i="50"/>
  <c r="E785" i="50"/>
  <c r="E784" i="50"/>
  <c r="E783" i="50"/>
  <c r="E781" i="50"/>
  <c r="E780" i="50"/>
  <c r="E779" i="50"/>
  <c r="E778" i="50"/>
  <c r="E777" i="50"/>
  <c r="E775" i="50"/>
  <c r="E772" i="50"/>
  <c r="E771" i="50"/>
  <c r="E770" i="50"/>
  <c r="E769" i="50"/>
  <c r="E767" i="50"/>
  <c r="E766" i="50"/>
  <c r="E765" i="50"/>
  <c r="E762" i="50"/>
  <c r="G761" i="50"/>
  <c r="R758" i="50"/>
  <c r="M758" i="50"/>
  <c r="L758" i="50"/>
  <c r="K758" i="50"/>
  <c r="J758" i="50"/>
  <c r="H758" i="50"/>
  <c r="E1083" i="50"/>
  <c r="P1082" i="50"/>
  <c r="P1081" i="50"/>
  <c r="E1080" i="50"/>
  <c r="E1079" i="50"/>
  <c r="E1078" i="50"/>
  <c r="S1077" i="50"/>
  <c r="I1077" i="50"/>
  <c r="E1077" i="50"/>
  <c r="E1073" i="50"/>
  <c r="E1072" i="50"/>
  <c r="E1071" i="50"/>
  <c r="P1070" i="50"/>
  <c r="P1069" i="50"/>
  <c r="E1068" i="50"/>
  <c r="E1067" i="50"/>
  <c r="E1066" i="50"/>
  <c r="I1065" i="50"/>
  <c r="E1065" i="50"/>
  <c r="H1061" i="50"/>
  <c r="E1061" i="50"/>
  <c r="E1060" i="50"/>
  <c r="E1059" i="50"/>
  <c r="H1058" i="50"/>
  <c r="E1058" i="50"/>
  <c r="E1057" i="50"/>
  <c r="P1055" i="50"/>
  <c r="E1055" i="50"/>
  <c r="E1054" i="50"/>
  <c r="P1053" i="50"/>
  <c r="P1054" i="50" s="1"/>
  <c r="E1053" i="50"/>
  <c r="E1052" i="50"/>
  <c r="E1051" i="50"/>
  <c r="P1049" i="50"/>
  <c r="P1047" i="50" s="1"/>
  <c r="P1048" i="50" s="1"/>
  <c r="E1049" i="50"/>
  <c r="E1048" i="50"/>
  <c r="E1047" i="50"/>
  <c r="E1046" i="50"/>
  <c r="E1045" i="50"/>
  <c r="E1043" i="50"/>
  <c r="E1042" i="50"/>
  <c r="E1041" i="50"/>
  <c r="E1040" i="50"/>
  <c r="E1039" i="50"/>
  <c r="E1037" i="50"/>
  <c r="E1036" i="50"/>
  <c r="E1035" i="50"/>
  <c r="E1034" i="50"/>
  <c r="E1033" i="50"/>
  <c r="E1031" i="50"/>
  <c r="E1028" i="50"/>
  <c r="E1027" i="50"/>
  <c r="E1026" i="50"/>
  <c r="E1025" i="50"/>
  <c r="E1023" i="50"/>
  <c r="E1022" i="50"/>
  <c r="E1021" i="50"/>
  <c r="E1018" i="50"/>
  <c r="G1017" i="50"/>
  <c r="R1014" i="50"/>
  <c r="M1014" i="50"/>
  <c r="L1014" i="50"/>
  <c r="K1014" i="50"/>
  <c r="J1014" i="50"/>
  <c r="H1014" i="50"/>
  <c r="E699" i="50"/>
  <c r="P698" i="50"/>
  <c r="P697" i="50"/>
  <c r="E696" i="50"/>
  <c r="E695" i="50"/>
  <c r="E694" i="50"/>
  <c r="S693" i="50"/>
  <c r="I693" i="50"/>
  <c r="E693" i="50"/>
  <c r="E689" i="50"/>
  <c r="E688" i="50"/>
  <c r="E687" i="50"/>
  <c r="P686" i="50"/>
  <c r="P685" i="50"/>
  <c r="E684" i="50"/>
  <c r="E683" i="50"/>
  <c r="E682" i="50"/>
  <c r="I681" i="50"/>
  <c r="E681" i="50"/>
  <c r="H677" i="50"/>
  <c r="E677" i="50"/>
  <c r="E676" i="50"/>
  <c r="E675" i="50"/>
  <c r="H674" i="50"/>
  <c r="E674" i="50"/>
  <c r="E673" i="50"/>
  <c r="P671" i="50"/>
  <c r="P669" i="50" s="1"/>
  <c r="P670" i="50" s="1"/>
  <c r="E671" i="50"/>
  <c r="E670" i="50"/>
  <c r="E669" i="50"/>
  <c r="E668" i="50"/>
  <c r="E667" i="50"/>
  <c r="P665" i="50"/>
  <c r="P663" i="50" s="1"/>
  <c r="P664" i="50" s="1"/>
  <c r="E665" i="50"/>
  <c r="E664" i="50"/>
  <c r="E663" i="50"/>
  <c r="E662" i="50"/>
  <c r="E661" i="50"/>
  <c r="E659" i="50"/>
  <c r="E658" i="50"/>
  <c r="E657" i="50"/>
  <c r="E656" i="50"/>
  <c r="E655" i="50"/>
  <c r="E653" i="50"/>
  <c r="E652" i="50"/>
  <c r="E651" i="50"/>
  <c r="E650" i="50"/>
  <c r="E649" i="50"/>
  <c r="E647" i="50"/>
  <c r="E644" i="50"/>
  <c r="E643" i="50"/>
  <c r="E642" i="50"/>
  <c r="E641" i="50"/>
  <c r="E639" i="50"/>
  <c r="E638" i="50"/>
  <c r="E637" i="50"/>
  <c r="E634" i="50"/>
  <c r="G633" i="50"/>
  <c r="R630" i="50"/>
  <c r="M630" i="50"/>
  <c r="L630" i="50"/>
  <c r="K630" i="50"/>
  <c r="J630" i="50"/>
  <c r="H630" i="50"/>
  <c r="N2754" i="37" l="1"/>
  <c r="M2754" i="37"/>
  <c r="L2754" i="37"/>
  <c r="K2754" i="37"/>
  <c r="J2754" i="37"/>
  <c r="I2754" i="37"/>
  <c r="H2754" i="37"/>
  <c r="N2473" i="37"/>
  <c r="M2473" i="37"/>
  <c r="L2473" i="37"/>
  <c r="K2473" i="37"/>
  <c r="J2473" i="37"/>
  <c r="I2473" i="37"/>
  <c r="H2473" i="37"/>
  <c r="N2192" i="37"/>
  <c r="M2192" i="37"/>
  <c r="L2192" i="37"/>
  <c r="K2192" i="37"/>
  <c r="J2192" i="37"/>
  <c r="I2192" i="37"/>
  <c r="H2192" i="37"/>
  <c r="N1911" i="37"/>
  <c r="M1911" i="37"/>
  <c r="L1911" i="37"/>
  <c r="K1911" i="37"/>
  <c r="J1911" i="37"/>
  <c r="I1911" i="37"/>
  <c r="H1911" i="37"/>
  <c r="N1630" i="37"/>
  <c r="M1630" i="37"/>
  <c r="L1630" i="37"/>
  <c r="K1630" i="37"/>
  <c r="J1630" i="37"/>
  <c r="I1630" i="37"/>
  <c r="H1630" i="37"/>
  <c r="N1349" i="37"/>
  <c r="M1349" i="37"/>
  <c r="L1349" i="37"/>
  <c r="K1349" i="37"/>
  <c r="J1349" i="37"/>
  <c r="I1349" i="37"/>
  <c r="H1349" i="37"/>
  <c r="N1068" i="37"/>
  <c r="M1068" i="37"/>
  <c r="L1068" i="37"/>
  <c r="K1068" i="37"/>
  <c r="J1068" i="37"/>
  <c r="I1068" i="37"/>
  <c r="H1068" i="37"/>
  <c r="N787" i="37"/>
  <c r="M787" i="37"/>
  <c r="L787" i="37"/>
  <c r="K787" i="37"/>
  <c r="J787" i="37"/>
  <c r="I787" i="37"/>
  <c r="H787" i="37"/>
  <c r="N506" i="37"/>
  <c r="M506" i="37"/>
  <c r="L506" i="37"/>
  <c r="K506" i="37"/>
  <c r="J506" i="37"/>
  <c r="I506" i="37"/>
  <c r="H506" i="37"/>
  <c r="E229" i="47"/>
  <c r="E228" i="47"/>
  <c r="E226" i="47"/>
  <c r="E225" i="47"/>
  <c r="E223" i="47"/>
  <c r="E222" i="47"/>
  <c r="E221" i="47"/>
  <c r="E220" i="47"/>
  <c r="I219" i="47"/>
  <c r="E219" i="47"/>
  <c r="E217" i="47"/>
  <c r="Q229" i="47"/>
  <c r="Q223" i="47"/>
  <c r="Q221" i="47" s="1"/>
  <c r="Q217" i="47"/>
  <c r="H197" i="47" l="1"/>
  <c r="E674" i="37"/>
  <c r="C1" i="38"/>
  <c r="B1" i="38"/>
  <c r="F327" i="34"/>
  <c r="E286" i="49" s="1"/>
  <c r="F326" i="34"/>
  <c r="E285" i="49" s="1"/>
  <c r="F325" i="34"/>
  <c r="E284" i="49" s="1"/>
  <c r="F324" i="34"/>
  <c r="F323" i="34"/>
  <c r="F322" i="34"/>
  <c r="F321" i="34"/>
  <c r="F320" i="34"/>
  <c r="F319" i="34"/>
  <c r="F318" i="34"/>
  <c r="I317" i="34"/>
  <c r="F312" i="34"/>
  <c r="F311" i="34"/>
  <c r="F268" i="34"/>
  <c r="F267" i="34"/>
  <c r="I260" i="34"/>
  <c r="H256" i="34"/>
  <c r="H253" i="34"/>
  <c r="H247" i="34"/>
  <c r="H244" i="34"/>
  <c r="H236" i="34"/>
  <c r="H234" i="34"/>
  <c r="H231" i="34"/>
  <c r="B122" i="34"/>
  <c r="G117" i="34"/>
  <c r="C46" i="34"/>
  <c r="D2443" i="50"/>
  <c r="E2455" i="50"/>
  <c r="E2453" i="50"/>
  <c r="E2451" i="50"/>
  <c r="E2449" i="50"/>
  <c r="E2447" i="50"/>
  <c r="E2416" i="50"/>
  <c r="E2415" i="50"/>
  <c r="S2386" i="50"/>
  <c r="E2382" i="50"/>
  <c r="E2381" i="50"/>
  <c r="E2379" i="50"/>
  <c r="E2378" i="50"/>
  <c r="E2373" i="50"/>
  <c r="E2372" i="50"/>
  <c r="E2371" i="50"/>
  <c r="E2370" i="50"/>
  <c r="E2364" i="50"/>
  <c r="S2338" i="50"/>
  <c r="E2334" i="50"/>
  <c r="E2333" i="50"/>
  <c r="E2331" i="50"/>
  <c r="E2330" i="50"/>
  <c r="E2325" i="50"/>
  <c r="E2324" i="50"/>
  <c r="E2323" i="50"/>
  <c r="E2322" i="50"/>
  <c r="E2316" i="50"/>
  <c r="S2290" i="50"/>
  <c r="E2286" i="50"/>
  <c r="E2285" i="50"/>
  <c r="E2283" i="50"/>
  <c r="E2282" i="50"/>
  <c r="E2277" i="50"/>
  <c r="E2276" i="50"/>
  <c r="E2275" i="50"/>
  <c r="E2274" i="50"/>
  <c r="E2245" i="50"/>
  <c r="E2244" i="50"/>
  <c r="S2230" i="50"/>
  <c r="E2226" i="50"/>
  <c r="E2225" i="50"/>
  <c r="E2223" i="50"/>
  <c r="E2222" i="50"/>
  <c r="E2217" i="50"/>
  <c r="E2216" i="50"/>
  <c r="E2215" i="50"/>
  <c r="E2214" i="50"/>
  <c r="E2208" i="50"/>
  <c r="E2185" i="50"/>
  <c r="E2184" i="50"/>
  <c r="S2170" i="50"/>
  <c r="E2166" i="50"/>
  <c r="E2165" i="50"/>
  <c r="E2163" i="50"/>
  <c r="E2162" i="50"/>
  <c r="E2157" i="50"/>
  <c r="E2156" i="50"/>
  <c r="E2155" i="50"/>
  <c r="E2154" i="50"/>
  <c r="E2148" i="50"/>
  <c r="E2125" i="50"/>
  <c r="E2124" i="50"/>
  <c r="S2110" i="50"/>
  <c r="E2106" i="50"/>
  <c r="E2105" i="50"/>
  <c r="E2103" i="50"/>
  <c r="E2102" i="50"/>
  <c r="E2097" i="50"/>
  <c r="E2096" i="50"/>
  <c r="E2095" i="50"/>
  <c r="E2094" i="50"/>
  <c r="E2088" i="50"/>
  <c r="E2057" i="50"/>
  <c r="E2055" i="50"/>
  <c r="E2054" i="50"/>
  <c r="E2053" i="50"/>
  <c r="E2045" i="50"/>
  <c r="S2037" i="50"/>
  <c r="E2033" i="50"/>
  <c r="E2032" i="50"/>
  <c r="E2030" i="50"/>
  <c r="E2029" i="50"/>
  <c r="E2024" i="50"/>
  <c r="E2023" i="50"/>
  <c r="E2022" i="50"/>
  <c r="E2021" i="50"/>
  <c r="E2015" i="50"/>
  <c r="E1984" i="50"/>
  <c r="E1982" i="50"/>
  <c r="E1981" i="50"/>
  <c r="E1980" i="50"/>
  <c r="E1972" i="50"/>
  <c r="S1964" i="50"/>
  <c r="E1960" i="50"/>
  <c r="E1959" i="50"/>
  <c r="E1957" i="50"/>
  <c r="E1956" i="50"/>
  <c r="E1951" i="50"/>
  <c r="E1950" i="50"/>
  <c r="E1949" i="50"/>
  <c r="E1948" i="50"/>
  <c r="E1942" i="50"/>
  <c r="E1911" i="50"/>
  <c r="E1909" i="50"/>
  <c r="E1908" i="50"/>
  <c r="E1907" i="50"/>
  <c r="E1899" i="50"/>
  <c r="S1891" i="50"/>
  <c r="E1887" i="50"/>
  <c r="E1886" i="50"/>
  <c r="E1884" i="50"/>
  <c r="E1883" i="50"/>
  <c r="E1878" i="50"/>
  <c r="E1877" i="50"/>
  <c r="E1876" i="50"/>
  <c r="E1875" i="50"/>
  <c r="E1869" i="50"/>
  <c r="E1838" i="50"/>
  <c r="E1836" i="50"/>
  <c r="E1835" i="50"/>
  <c r="E1834" i="50"/>
  <c r="E1826" i="50"/>
  <c r="S1818" i="50"/>
  <c r="E1814" i="50"/>
  <c r="E1813" i="50"/>
  <c r="E1811" i="50"/>
  <c r="E1810" i="50"/>
  <c r="E1805" i="50"/>
  <c r="E1804" i="50"/>
  <c r="E1803" i="50"/>
  <c r="E1802" i="50"/>
  <c r="E1796" i="50"/>
  <c r="E1776" i="50"/>
  <c r="E1774" i="50"/>
  <c r="E1772" i="50"/>
  <c r="E1771" i="50"/>
  <c r="E1769" i="50"/>
  <c r="E1768" i="50"/>
  <c r="E1648" i="50"/>
  <c r="E1646" i="50"/>
  <c r="E1644" i="50"/>
  <c r="E1643" i="50"/>
  <c r="E1641" i="50"/>
  <c r="E1640" i="50"/>
  <c r="E1520" i="50"/>
  <c r="E1518" i="50"/>
  <c r="E1516" i="50"/>
  <c r="E1515" i="50"/>
  <c r="E1513" i="50"/>
  <c r="E1512" i="50"/>
  <c r="E1392" i="50"/>
  <c r="E1390" i="50"/>
  <c r="E1388" i="50"/>
  <c r="E1385" i="50"/>
  <c r="E1384" i="50"/>
  <c r="E1264" i="50"/>
  <c r="E1262" i="50"/>
  <c r="E1260" i="50"/>
  <c r="E1259" i="50"/>
  <c r="E1257" i="50"/>
  <c r="E1256" i="50"/>
  <c r="E1136" i="50"/>
  <c r="E1134" i="50"/>
  <c r="E1132" i="50"/>
  <c r="E1131" i="50"/>
  <c r="E1129" i="50"/>
  <c r="E1128" i="50"/>
  <c r="E1008" i="50"/>
  <c r="E1006" i="50"/>
  <c r="E1004" i="50"/>
  <c r="E1003" i="50"/>
  <c r="E1001" i="50"/>
  <c r="E1000" i="50"/>
  <c r="E880" i="50"/>
  <c r="E878" i="50"/>
  <c r="E876" i="50"/>
  <c r="E875" i="50"/>
  <c r="E873" i="50"/>
  <c r="E872" i="50"/>
  <c r="E752" i="50"/>
  <c r="E750" i="50"/>
  <c r="E748" i="50"/>
  <c r="E747" i="50"/>
  <c r="E745" i="50"/>
  <c r="E744" i="50"/>
  <c r="E624" i="50"/>
  <c r="E622" i="50"/>
  <c r="E620" i="50"/>
  <c r="E619" i="50"/>
  <c r="E617" i="50"/>
  <c r="E616" i="50"/>
  <c r="S565" i="50"/>
  <c r="E561" i="50"/>
  <c r="E560" i="50"/>
  <c r="E553" i="50"/>
  <c r="E516" i="50"/>
  <c r="E515" i="50"/>
  <c r="E514" i="50"/>
  <c r="F495" i="50"/>
  <c r="D495" i="50"/>
  <c r="F491" i="50"/>
  <c r="D491" i="50"/>
  <c r="F481" i="50"/>
  <c r="E269" i="50"/>
  <c r="E264" i="50"/>
  <c r="E262" i="50"/>
  <c r="E261" i="50"/>
  <c r="E224" i="50"/>
  <c r="E223" i="50"/>
  <c r="E74" i="50"/>
  <c r="E72" i="50"/>
  <c r="E71" i="50"/>
  <c r="E70" i="50"/>
  <c r="E476" i="47"/>
  <c r="E473" i="47"/>
  <c r="E470" i="47"/>
  <c r="E468" i="47"/>
  <c r="E464" i="47"/>
  <c r="S449" i="47"/>
  <c r="D325" i="47"/>
  <c r="C325" i="47"/>
  <c r="D274" i="47"/>
  <c r="S174" i="47"/>
  <c r="F86" i="47"/>
  <c r="F81" i="47"/>
  <c r="F80" i="47"/>
  <c r="E28" i="47"/>
  <c r="I5" i="47"/>
  <c r="E1828" i="42"/>
  <c r="E1826" i="42"/>
  <c r="E1825" i="42"/>
  <c r="E1823" i="42"/>
  <c r="E1819" i="42"/>
  <c r="E1817" i="42"/>
  <c r="E1816" i="42"/>
  <c r="E1815" i="42"/>
  <c r="I1814" i="42"/>
  <c r="E1814" i="42"/>
  <c r="E1811" i="42"/>
  <c r="E1810" i="42"/>
  <c r="C1797" i="42"/>
  <c r="AB1796" i="42"/>
  <c r="S1796" i="42"/>
  <c r="E1794" i="42"/>
  <c r="E1793" i="42"/>
  <c r="C1781" i="42"/>
  <c r="AB1780" i="42"/>
  <c r="E1778" i="42"/>
  <c r="E1777" i="42"/>
  <c r="C1763" i="42"/>
  <c r="AB1762" i="42"/>
  <c r="S1762" i="42"/>
  <c r="E1760" i="42"/>
  <c r="E1759" i="42"/>
  <c r="E1758" i="42"/>
  <c r="E1757" i="42"/>
  <c r="E1756" i="42"/>
  <c r="AB1743" i="42"/>
  <c r="E1741" i="42"/>
  <c r="E1740" i="42"/>
  <c r="N1727" i="42"/>
  <c r="M1727" i="42"/>
  <c r="G1727" i="42"/>
  <c r="E1727" i="42"/>
  <c r="E1725" i="42"/>
  <c r="E1724" i="42"/>
  <c r="E1722" i="42"/>
  <c r="E1719" i="42"/>
  <c r="E1713" i="42"/>
  <c r="E1711" i="42"/>
  <c r="F1707" i="42"/>
  <c r="F1706" i="42"/>
  <c r="F1705" i="42"/>
  <c r="S1694" i="42"/>
  <c r="E1690" i="42"/>
  <c r="E1688" i="42"/>
  <c r="E1687" i="42"/>
  <c r="E1685" i="42"/>
  <c r="E1681" i="42"/>
  <c r="E1679" i="42"/>
  <c r="E1678" i="42"/>
  <c r="E1677" i="42"/>
  <c r="I1676" i="42"/>
  <c r="E1676" i="42"/>
  <c r="E1673" i="42"/>
  <c r="E1672" i="42"/>
  <c r="C1659" i="42"/>
  <c r="AB1658" i="42"/>
  <c r="S1658" i="42"/>
  <c r="E1656" i="42"/>
  <c r="E1655" i="42"/>
  <c r="C1643" i="42"/>
  <c r="AB1642" i="42"/>
  <c r="E1640" i="42"/>
  <c r="E1639" i="42"/>
  <c r="C1625" i="42"/>
  <c r="AB1624" i="42"/>
  <c r="S1624" i="42"/>
  <c r="E1622" i="42"/>
  <c r="E1621" i="42"/>
  <c r="E1620" i="42"/>
  <c r="E1619" i="42"/>
  <c r="E1618" i="42"/>
  <c r="AB1605" i="42"/>
  <c r="E1603" i="42"/>
  <c r="E1602" i="42"/>
  <c r="N1589" i="42"/>
  <c r="M1589" i="42"/>
  <c r="G1589" i="42"/>
  <c r="E1589" i="42"/>
  <c r="E1587" i="42"/>
  <c r="E1586" i="42"/>
  <c r="E1584" i="42"/>
  <c r="E1581" i="42"/>
  <c r="E1575" i="42"/>
  <c r="E1573" i="42"/>
  <c r="F1569" i="42"/>
  <c r="F1568" i="42"/>
  <c r="F1567" i="42"/>
  <c r="S1556" i="42"/>
  <c r="E1552" i="42"/>
  <c r="E1550" i="42"/>
  <c r="E1549" i="42"/>
  <c r="E1547" i="42"/>
  <c r="E1543" i="42"/>
  <c r="E1541" i="42"/>
  <c r="E1540" i="42"/>
  <c r="E1539" i="42"/>
  <c r="I1538" i="42"/>
  <c r="E1538" i="42"/>
  <c r="E1535" i="42"/>
  <c r="E1534" i="42"/>
  <c r="C1521" i="42"/>
  <c r="AB1520" i="42"/>
  <c r="S1520" i="42"/>
  <c r="E1518" i="42"/>
  <c r="E1517" i="42"/>
  <c r="C1505" i="42"/>
  <c r="AB1504" i="42"/>
  <c r="E1502" i="42"/>
  <c r="E1501" i="42"/>
  <c r="C1487" i="42"/>
  <c r="AB1486" i="42"/>
  <c r="S1486" i="42"/>
  <c r="E1484" i="42"/>
  <c r="E1483" i="42"/>
  <c r="E1482" i="42"/>
  <c r="E1481" i="42"/>
  <c r="E1480" i="42"/>
  <c r="AB1467" i="42"/>
  <c r="E1465" i="42"/>
  <c r="E1464" i="42"/>
  <c r="N1451" i="42"/>
  <c r="M1451" i="42"/>
  <c r="G1451" i="42"/>
  <c r="E1451" i="42"/>
  <c r="E1449" i="42"/>
  <c r="E1448" i="42"/>
  <c r="E1446" i="42"/>
  <c r="E1443" i="42"/>
  <c r="E1437" i="42"/>
  <c r="E1435" i="42"/>
  <c r="F1431" i="42"/>
  <c r="F1430" i="42"/>
  <c r="F1429" i="42"/>
  <c r="S1418" i="42"/>
  <c r="E1410" i="42"/>
  <c r="E1409" i="42"/>
  <c r="E1403" i="42"/>
  <c r="E1401" i="42"/>
  <c r="E1383" i="42"/>
  <c r="E1381" i="42"/>
  <c r="E1380" i="42"/>
  <c r="E1378" i="42"/>
  <c r="E1374" i="42"/>
  <c r="E1372" i="42"/>
  <c r="E1371" i="42"/>
  <c r="E1370" i="42"/>
  <c r="I1369" i="42"/>
  <c r="E1369" i="42"/>
  <c r="E1365" i="42"/>
  <c r="C1352" i="42"/>
  <c r="AB1351" i="42"/>
  <c r="S1351" i="42"/>
  <c r="E1351" i="42"/>
  <c r="E1349" i="42"/>
  <c r="E1348" i="42"/>
  <c r="C1336" i="42"/>
  <c r="AB1335" i="42"/>
  <c r="E1335" i="42"/>
  <c r="E1333" i="42"/>
  <c r="E1332" i="42"/>
  <c r="AB1317" i="42"/>
  <c r="S1317" i="42"/>
  <c r="E1317" i="42"/>
  <c r="E1315" i="42"/>
  <c r="E1314" i="42"/>
  <c r="E1313" i="42"/>
  <c r="E1311" i="42"/>
  <c r="AB1298" i="42"/>
  <c r="E1296" i="42"/>
  <c r="E1295" i="42"/>
  <c r="N1282" i="42"/>
  <c r="M1282" i="42"/>
  <c r="G1282" i="42"/>
  <c r="E1280" i="42"/>
  <c r="E1279" i="42"/>
  <c r="E1277" i="42"/>
  <c r="E1266" i="42"/>
  <c r="E1264" i="42"/>
  <c r="F1260" i="42"/>
  <c r="F1259" i="42"/>
  <c r="F1258" i="42"/>
  <c r="S1247" i="42"/>
  <c r="E1239" i="42"/>
  <c r="E1238" i="42"/>
  <c r="E1232" i="42"/>
  <c r="E1230" i="42"/>
  <c r="E1212" i="42"/>
  <c r="E1210" i="42"/>
  <c r="E1209" i="42"/>
  <c r="E1207" i="42"/>
  <c r="E1203" i="42"/>
  <c r="E1201" i="42"/>
  <c r="E1200" i="42"/>
  <c r="E1199" i="42"/>
  <c r="I1198" i="42"/>
  <c r="E1198" i="42"/>
  <c r="E1194" i="42"/>
  <c r="C1181" i="42"/>
  <c r="AB1180" i="42"/>
  <c r="S1180" i="42"/>
  <c r="E1180" i="42"/>
  <c r="E1178" i="42"/>
  <c r="E1177" i="42"/>
  <c r="C1165" i="42"/>
  <c r="AB1164" i="42"/>
  <c r="E1164" i="42"/>
  <c r="E1162" i="42"/>
  <c r="E1161" i="42"/>
  <c r="AB1146" i="42"/>
  <c r="S1146" i="42"/>
  <c r="E1146" i="42"/>
  <c r="E1144" i="42"/>
  <c r="E1143" i="42"/>
  <c r="E1142" i="42"/>
  <c r="E1140" i="42"/>
  <c r="AB1127" i="42"/>
  <c r="E1125" i="42"/>
  <c r="E1124" i="42"/>
  <c r="N1111" i="42"/>
  <c r="M1111" i="42"/>
  <c r="G1111" i="42"/>
  <c r="E1109" i="42"/>
  <c r="E1108" i="42"/>
  <c r="E1106" i="42"/>
  <c r="E1095" i="42"/>
  <c r="E1093" i="42"/>
  <c r="F1089" i="42"/>
  <c r="F1088" i="42"/>
  <c r="F1087" i="42"/>
  <c r="S1076" i="42"/>
  <c r="E1068" i="42"/>
  <c r="E1067" i="42"/>
  <c r="E1061" i="42"/>
  <c r="E1059" i="42"/>
  <c r="E1041" i="42"/>
  <c r="E1039" i="42"/>
  <c r="E1038" i="42"/>
  <c r="E1036" i="42"/>
  <c r="E1032" i="42"/>
  <c r="E1030" i="42"/>
  <c r="E1029" i="42"/>
  <c r="E1028" i="42"/>
  <c r="I1027" i="42"/>
  <c r="E1027" i="42"/>
  <c r="E1023" i="42"/>
  <c r="C1010" i="42"/>
  <c r="AB1009" i="42"/>
  <c r="S1009" i="42"/>
  <c r="E1009" i="42"/>
  <c r="E1007" i="42"/>
  <c r="E1006" i="42"/>
  <c r="C994" i="42"/>
  <c r="AB993" i="42"/>
  <c r="E993" i="42"/>
  <c r="E991" i="42"/>
  <c r="E990" i="42"/>
  <c r="AB975" i="42"/>
  <c r="S975" i="42"/>
  <c r="E975" i="42"/>
  <c r="E973" i="42"/>
  <c r="E972" i="42"/>
  <c r="E971" i="42"/>
  <c r="E969" i="42"/>
  <c r="AB956" i="42"/>
  <c r="E954" i="42"/>
  <c r="E953" i="42"/>
  <c r="N940" i="42"/>
  <c r="M940" i="42"/>
  <c r="G940" i="42"/>
  <c r="E938" i="42"/>
  <c r="E937" i="42"/>
  <c r="E935" i="42"/>
  <c r="E924" i="42"/>
  <c r="E922" i="42"/>
  <c r="F918" i="42"/>
  <c r="F917" i="42"/>
  <c r="F916" i="42"/>
  <c r="S905" i="42"/>
  <c r="E868" i="42"/>
  <c r="E867" i="42"/>
  <c r="E861" i="42"/>
  <c r="E860" i="42"/>
  <c r="E859" i="42"/>
  <c r="E858" i="42"/>
  <c r="E857" i="42"/>
  <c r="E846" i="42"/>
  <c r="E845" i="42"/>
  <c r="E820" i="42"/>
  <c r="E818" i="42"/>
  <c r="E817" i="42"/>
  <c r="E815" i="42"/>
  <c r="E811" i="42"/>
  <c r="E809" i="42"/>
  <c r="E808" i="42"/>
  <c r="E807" i="42"/>
  <c r="I806" i="42"/>
  <c r="E806" i="42"/>
  <c r="E802" i="42"/>
  <c r="C789" i="42"/>
  <c r="AB788" i="42"/>
  <c r="S788" i="42"/>
  <c r="E788" i="42"/>
  <c r="E786" i="42"/>
  <c r="E785" i="42"/>
  <c r="C773" i="42"/>
  <c r="AB772" i="42"/>
  <c r="E772" i="42"/>
  <c r="E770" i="42"/>
  <c r="E769" i="42"/>
  <c r="C755" i="42"/>
  <c r="AB754" i="42"/>
  <c r="S754" i="42"/>
  <c r="E754" i="42"/>
  <c r="E748" i="42"/>
  <c r="AB735" i="42"/>
  <c r="E733" i="42"/>
  <c r="E732" i="42"/>
  <c r="N719" i="42"/>
  <c r="M719" i="42"/>
  <c r="E717" i="42"/>
  <c r="E716" i="42"/>
  <c r="E713" i="42"/>
  <c r="E701" i="42"/>
  <c r="E699" i="42"/>
  <c r="F695" i="42"/>
  <c r="F694" i="42"/>
  <c r="F693" i="42"/>
  <c r="S682" i="42"/>
  <c r="E645" i="42"/>
  <c r="E644" i="42"/>
  <c r="E638" i="42"/>
  <c r="E637" i="42"/>
  <c r="E636" i="42"/>
  <c r="E635" i="42"/>
  <c r="E634" i="42"/>
  <c r="E623" i="42"/>
  <c r="E622" i="42"/>
  <c r="E597" i="42"/>
  <c r="E595" i="42"/>
  <c r="E594" i="42"/>
  <c r="E592" i="42"/>
  <c r="E588" i="42"/>
  <c r="E586" i="42"/>
  <c r="E585" i="42"/>
  <c r="E584" i="42"/>
  <c r="I583" i="42"/>
  <c r="E583" i="42"/>
  <c r="E579" i="42"/>
  <c r="C566" i="42"/>
  <c r="AB565" i="42"/>
  <c r="S565" i="42"/>
  <c r="E565" i="42"/>
  <c r="E563" i="42"/>
  <c r="E562" i="42"/>
  <c r="C550" i="42"/>
  <c r="AB549" i="42"/>
  <c r="E549" i="42"/>
  <c r="E547" i="42"/>
  <c r="E546" i="42"/>
  <c r="C532" i="42"/>
  <c r="AB531" i="42"/>
  <c r="S531" i="42"/>
  <c r="E531" i="42"/>
  <c r="E529" i="42"/>
  <c r="E528" i="42"/>
  <c r="E527" i="42"/>
  <c r="E525" i="42"/>
  <c r="AB512" i="42"/>
  <c r="E510" i="42"/>
  <c r="E509" i="42"/>
  <c r="N496" i="42"/>
  <c r="M496" i="42"/>
  <c r="E494" i="42"/>
  <c r="E493" i="42"/>
  <c r="E490" i="42"/>
  <c r="E478" i="42"/>
  <c r="E476" i="42"/>
  <c r="F472" i="42"/>
  <c r="F471" i="42"/>
  <c r="F470" i="42"/>
  <c r="S459" i="42"/>
  <c r="E422" i="42"/>
  <c r="E421" i="42"/>
  <c r="E415" i="42"/>
  <c r="E414" i="42"/>
  <c r="E413" i="42"/>
  <c r="E412" i="42"/>
  <c r="E411" i="42"/>
  <c r="E400" i="42"/>
  <c r="E399" i="42"/>
  <c r="E374" i="42"/>
  <c r="E372" i="42"/>
  <c r="E371" i="42"/>
  <c r="E369" i="42"/>
  <c r="E365" i="42"/>
  <c r="E363" i="42"/>
  <c r="E362" i="42"/>
  <c r="E361" i="42"/>
  <c r="I360" i="42"/>
  <c r="E360" i="42"/>
  <c r="E356" i="42"/>
  <c r="C343" i="42"/>
  <c r="AB342" i="42"/>
  <c r="S342" i="42"/>
  <c r="E342" i="42"/>
  <c r="E340" i="42"/>
  <c r="E339" i="42"/>
  <c r="C327" i="42"/>
  <c r="AB326" i="42"/>
  <c r="E326" i="42"/>
  <c r="E324" i="42"/>
  <c r="E323" i="42"/>
  <c r="C309" i="42"/>
  <c r="AB308" i="42"/>
  <c r="S308" i="42"/>
  <c r="E308" i="42"/>
  <c r="E306" i="42"/>
  <c r="E305" i="42"/>
  <c r="E304" i="42"/>
  <c r="E302" i="42"/>
  <c r="AB289" i="42"/>
  <c r="E287" i="42"/>
  <c r="E286" i="42"/>
  <c r="N273" i="42"/>
  <c r="M273" i="42"/>
  <c r="E271" i="42"/>
  <c r="E270" i="42"/>
  <c r="E267" i="42"/>
  <c r="E255" i="42"/>
  <c r="E253" i="42"/>
  <c r="F249" i="42"/>
  <c r="F248" i="42"/>
  <c r="F247" i="42"/>
  <c r="S236" i="42"/>
  <c r="E199" i="42"/>
  <c r="E198" i="42"/>
  <c r="E192" i="42"/>
  <c r="E191" i="42"/>
  <c r="E190" i="42"/>
  <c r="E189" i="42"/>
  <c r="E188" i="42"/>
  <c r="E177" i="42"/>
  <c r="E176" i="42"/>
  <c r="E151" i="42"/>
  <c r="E149" i="42"/>
  <c r="E148" i="42"/>
  <c r="E146" i="42"/>
  <c r="E142" i="42"/>
  <c r="E140" i="42"/>
  <c r="E139" i="42"/>
  <c r="E138" i="42"/>
  <c r="I137" i="42"/>
  <c r="E137" i="42"/>
  <c r="E133" i="42"/>
  <c r="C120" i="42"/>
  <c r="AB119" i="42"/>
  <c r="S119" i="42"/>
  <c r="E119" i="42"/>
  <c r="E117" i="42"/>
  <c r="E116" i="42"/>
  <c r="C104" i="42"/>
  <c r="AB103" i="42"/>
  <c r="G103" i="42"/>
  <c r="E103" i="42"/>
  <c r="E101" i="42"/>
  <c r="E100" i="42"/>
  <c r="C86" i="42"/>
  <c r="AB85" i="42"/>
  <c r="S85" i="42"/>
  <c r="G85" i="42"/>
  <c r="E85" i="42"/>
  <c r="E83" i="42"/>
  <c r="E82" i="42"/>
  <c r="E81" i="42"/>
  <c r="E79" i="42"/>
  <c r="AB66" i="42"/>
  <c r="G66" i="42"/>
  <c r="E64" i="42"/>
  <c r="E63" i="42"/>
  <c r="N50" i="42"/>
  <c r="M50" i="42"/>
  <c r="E48" i="42"/>
  <c r="E47" i="42"/>
  <c r="E44" i="42"/>
  <c r="E32" i="42"/>
  <c r="E30" i="42"/>
  <c r="F26" i="42"/>
  <c r="F25" i="42"/>
  <c r="F24" i="42"/>
  <c r="S13" i="42"/>
  <c r="E2836" i="37"/>
  <c r="E2767" i="37"/>
  <c r="E2764" i="37"/>
  <c r="E2762" i="37"/>
  <c r="E2664" i="37"/>
  <c r="E2661" i="37"/>
  <c r="E2660" i="37"/>
  <c r="E2659" i="37"/>
  <c r="E2658" i="37"/>
  <c r="O2620" i="37"/>
  <c r="E2620" i="37"/>
  <c r="E2616" i="37"/>
  <c r="E2615" i="37"/>
  <c r="E2614" i="37"/>
  <c r="E2611" i="37"/>
  <c r="E2602" i="37"/>
  <c r="E2599" i="37"/>
  <c r="E2597" i="37"/>
  <c r="E2579" i="37"/>
  <c r="E2578" i="37"/>
  <c r="E2570" i="37"/>
  <c r="E2567" i="37"/>
  <c r="E2565" i="37"/>
  <c r="F2561" i="37"/>
  <c r="S2542" i="37"/>
  <c r="E2486" i="37"/>
  <c r="E2483" i="37"/>
  <c r="E2481" i="37"/>
  <c r="E2383" i="37"/>
  <c r="E2380" i="37"/>
  <c r="E2379" i="37"/>
  <c r="E2378" i="37"/>
  <c r="E2377" i="37"/>
  <c r="O2339" i="37"/>
  <c r="E2339" i="37"/>
  <c r="E2335" i="37"/>
  <c r="E2334" i="37"/>
  <c r="E2333" i="37"/>
  <c r="E2330" i="37"/>
  <c r="E2321" i="37"/>
  <c r="E2318" i="37"/>
  <c r="E2316" i="37"/>
  <c r="E2298" i="37"/>
  <c r="E2297" i="37"/>
  <c r="E2289" i="37"/>
  <c r="E2286" i="37"/>
  <c r="E2284" i="37"/>
  <c r="F2280" i="37"/>
  <c r="S2261" i="37"/>
  <c r="E2205" i="37"/>
  <c r="E2202" i="37"/>
  <c r="E2200" i="37"/>
  <c r="E2102" i="37"/>
  <c r="E2099" i="37"/>
  <c r="E2098" i="37"/>
  <c r="E2097" i="37"/>
  <c r="E2096" i="37"/>
  <c r="O2058" i="37"/>
  <c r="E2058" i="37"/>
  <c r="E2054" i="37"/>
  <c r="E2053" i="37"/>
  <c r="E2052" i="37"/>
  <c r="E2049" i="37"/>
  <c r="E2040" i="37"/>
  <c r="E2037" i="37"/>
  <c r="E2035" i="37"/>
  <c r="E2017" i="37"/>
  <c r="E2016" i="37"/>
  <c r="E2008" i="37"/>
  <c r="E2005" i="37"/>
  <c r="E2003" i="37"/>
  <c r="F1999" i="37"/>
  <c r="S1980" i="37"/>
  <c r="E1924" i="37"/>
  <c r="E1921" i="37"/>
  <c r="E1919" i="37"/>
  <c r="E1821" i="37"/>
  <c r="E1818" i="37"/>
  <c r="E1817" i="37"/>
  <c r="E1816" i="37"/>
  <c r="E1815" i="37"/>
  <c r="O1777" i="37"/>
  <c r="E1777" i="37"/>
  <c r="E1773" i="37"/>
  <c r="E1772" i="37"/>
  <c r="E1771" i="37"/>
  <c r="E1768" i="37"/>
  <c r="E1759" i="37"/>
  <c r="E1756" i="37"/>
  <c r="E1754" i="37"/>
  <c r="E1736" i="37"/>
  <c r="E1735" i="37"/>
  <c r="E1727" i="37"/>
  <c r="E1724" i="37"/>
  <c r="E1722" i="37"/>
  <c r="F1718" i="37"/>
  <c r="S1699" i="37"/>
  <c r="E1643" i="37"/>
  <c r="E1640" i="37"/>
  <c r="E1638" i="37"/>
  <c r="E1540" i="37"/>
  <c r="E1537" i="37"/>
  <c r="E1536" i="37"/>
  <c r="E1535" i="37"/>
  <c r="E1534" i="37"/>
  <c r="O1496" i="37"/>
  <c r="E1496" i="37"/>
  <c r="E1492" i="37"/>
  <c r="E1491" i="37"/>
  <c r="E1490" i="37"/>
  <c r="E1487" i="37"/>
  <c r="E1478" i="37"/>
  <c r="E1475" i="37"/>
  <c r="E1473" i="37"/>
  <c r="E1455" i="37"/>
  <c r="E1454" i="37"/>
  <c r="E1446" i="37"/>
  <c r="E1443" i="37"/>
  <c r="E1441" i="37"/>
  <c r="F1437" i="37"/>
  <c r="S1418" i="37"/>
  <c r="E1362" i="37"/>
  <c r="E1359" i="37"/>
  <c r="E1357" i="37"/>
  <c r="E1259" i="37"/>
  <c r="E1256" i="37"/>
  <c r="E1255" i="37"/>
  <c r="E1254" i="37"/>
  <c r="E1253" i="37"/>
  <c r="O1215" i="37"/>
  <c r="E1215" i="37"/>
  <c r="E1211" i="37"/>
  <c r="E1210" i="37"/>
  <c r="E1209" i="37"/>
  <c r="E1206" i="37"/>
  <c r="E1197" i="37"/>
  <c r="E1194" i="37"/>
  <c r="E1192" i="37"/>
  <c r="E1174" i="37"/>
  <c r="E1173" i="37"/>
  <c r="E1165" i="37"/>
  <c r="E1162" i="37"/>
  <c r="E1160" i="37"/>
  <c r="F1156" i="37"/>
  <c r="S1137" i="37"/>
  <c r="E1081" i="37"/>
  <c r="E1078" i="37"/>
  <c r="E1076" i="37"/>
  <c r="E978" i="37"/>
  <c r="E975" i="37"/>
  <c r="E974" i="37"/>
  <c r="E973" i="37"/>
  <c r="E972" i="37"/>
  <c r="O934" i="37"/>
  <c r="E934" i="37"/>
  <c r="E930" i="37"/>
  <c r="E929" i="37"/>
  <c r="E928" i="37"/>
  <c r="E925" i="37"/>
  <c r="E916" i="37"/>
  <c r="E913" i="37"/>
  <c r="E911" i="37"/>
  <c r="E893" i="37"/>
  <c r="E892" i="37"/>
  <c r="E884" i="37"/>
  <c r="E881" i="37"/>
  <c r="E879" i="37"/>
  <c r="F875" i="37"/>
  <c r="S856" i="37"/>
  <c r="E800" i="37"/>
  <c r="E797" i="37"/>
  <c r="E795" i="37"/>
  <c r="E697" i="37"/>
  <c r="E694" i="37"/>
  <c r="E693" i="37"/>
  <c r="E692" i="37"/>
  <c r="E691" i="37"/>
  <c r="O653" i="37"/>
  <c r="E653" i="37"/>
  <c r="E649" i="37"/>
  <c r="E648" i="37"/>
  <c r="E647" i="37"/>
  <c r="E644" i="37"/>
  <c r="E635" i="37"/>
  <c r="E632" i="37"/>
  <c r="E630" i="37"/>
  <c r="E612" i="37"/>
  <c r="E611" i="37"/>
  <c r="E603" i="37"/>
  <c r="E600" i="37"/>
  <c r="E598" i="37"/>
  <c r="F594" i="37"/>
  <c r="S575" i="37"/>
  <c r="E519" i="37"/>
  <c r="E516" i="37"/>
  <c r="E514" i="37"/>
  <c r="E416" i="37"/>
  <c r="E413" i="37"/>
  <c r="E412" i="37"/>
  <c r="E411" i="37"/>
  <c r="E410" i="37"/>
  <c r="O372" i="37"/>
  <c r="E372" i="37"/>
  <c r="E368" i="37"/>
  <c r="E367" i="37"/>
  <c r="E366" i="37"/>
  <c r="E363" i="37"/>
  <c r="E354" i="37"/>
  <c r="E351" i="37"/>
  <c r="E349" i="37"/>
  <c r="E331" i="37"/>
  <c r="E330" i="37"/>
  <c r="E322" i="37"/>
  <c r="E319" i="37"/>
  <c r="E317" i="37"/>
  <c r="F313" i="37"/>
  <c r="S294" i="37"/>
  <c r="E238" i="37"/>
  <c r="E235" i="37"/>
  <c r="E233" i="37"/>
  <c r="E135" i="37"/>
  <c r="E132" i="37"/>
  <c r="E131" i="37"/>
  <c r="E130" i="37"/>
  <c r="E129" i="37"/>
  <c r="O91" i="37"/>
  <c r="E91" i="37"/>
  <c r="E87" i="37"/>
  <c r="E86" i="37"/>
  <c r="E85" i="37"/>
  <c r="E82" i="37"/>
  <c r="E73" i="37"/>
  <c r="E70" i="37"/>
  <c r="E68" i="37"/>
  <c r="E50" i="37"/>
  <c r="E49" i="37"/>
  <c r="E41" i="37"/>
  <c r="E38" i="37"/>
  <c r="E36" i="37"/>
  <c r="F32" i="37"/>
  <c r="S13" i="37"/>
  <c r="E415" i="41"/>
  <c r="E414" i="41"/>
  <c r="E397" i="41"/>
  <c r="E393" i="41"/>
  <c r="E381" i="41"/>
  <c r="E380" i="41"/>
  <c r="E379" i="41"/>
  <c r="E307" i="41"/>
  <c r="E150" i="41"/>
  <c r="E148" i="41"/>
  <c r="E147" i="41"/>
  <c r="E143" i="41"/>
  <c r="E122" i="41"/>
  <c r="E120" i="41"/>
  <c r="E119" i="41"/>
  <c r="E116" i="41"/>
  <c r="E114" i="41"/>
  <c r="E113" i="41"/>
  <c r="E111" i="41"/>
  <c r="E110" i="41"/>
  <c r="E109" i="41"/>
  <c r="E108" i="41"/>
  <c r="E107" i="41"/>
  <c r="E106" i="41"/>
  <c r="E68" i="41"/>
  <c r="E63" i="41"/>
  <c r="E62" i="41"/>
  <c r="E61" i="41"/>
  <c r="E50" i="41"/>
  <c r="E49" i="41"/>
  <c r="E48" i="41"/>
  <c r="E44" i="41"/>
  <c r="E43" i="41"/>
  <c r="E42" i="41"/>
  <c r="F36" i="41"/>
  <c r="F35" i="41"/>
  <c r="F34" i="41"/>
  <c r="F33" i="41"/>
  <c r="F32" i="41"/>
  <c r="F31" i="41"/>
  <c r="E29" i="41"/>
  <c r="E23" i="41"/>
  <c r="E22" i="41"/>
  <c r="E21" i="41"/>
  <c r="E20" i="41"/>
  <c r="F18" i="41"/>
  <c r="F17" i="41"/>
  <c r="F16" i="41"/>
  <c r="F15" i="41"/>
  <c r="E14" i="41"/>
  <c r="E22" i="49"/>
  <c r="E200" i="62"/>
  <c r="M178" i="62"/>
  <c r="K178" i="62"/>
  <c r="F178" i="62"/>
  <c r="V125" i="62"/>
  <c r="U125" i="62"/>
  <c r="T125" i="62"/>
  <c r="E79" i="62"/>
  <c r="D78" i="62"/>
  <c r="E73" i="62"/>
  <c r="E72" i="62"/>
  <c r="D71" i="62"/>
  <c r="S56" i="62"/>
  <c r="M56" i="62"/>
  <c r="F53" i="62"/>
  <c r="E53" i="62"/>
  <c r="G48" i="62"/>
  <c r="G46" i="62"/>
  <c r="S26" i="62"/>
  <c r="M26" i="62"/>
  <c r="F23" i="62"/>
  <c r="E23" i="62"/>
  <c r="G18" i="62"/>
  <c r="G16" i="62"/>
  <c r="I3" i="62"/>
  <c r="K421" i="43"/>
  <c r="F333" i="43"/>
  <c r="E294" i="43"/>
  <c r="D293" i="43"/>
  <c r="E291" i="43"/>
  <c r="E290" i="43"/>
  <c r="D289" i="43"/>
  <c r="E284" i="43"/>
  <c r="I283" i="43"/>
  <c r="H283" i="43"/>
  <c r="F281" i="43"/>
  <c r="E281" i="43"/>
  <c r="F280" i="43"/>
  <c r="E280" i="43"/>
  <c r="F279" i="43"/>
  <c r="E279" i="43"/>
  <c r="E278" i="43"/>
  <c r="D277" i="43"/>
  <c r="E273" i="43"/>
  <c r="I272" i="43"/>
  <c r="F270" i="43"/>
  <c r="F269" i="43"/>
  <c r="E269" i="43"/>
  <c r="F268" i="43"/>
  <c r="E268" i="43"/>
  <c r="E267" i="43"/>
  <c r="D266" i="43"/>
  <c r="D252" i="43"/>
  <c r="E12" i="43"/>
  <c r="K4" i="43"/>
  <c r="B18" i="10"/>
  <c r="B12" i="10"/>
  <c r="B10" i="10"/>
  <c r="E831" i="42" l="1"/>
  <c r="E608" i="42"/>
  <c r="E385" i="42"/>
  <c r="E162" i="42"/>
  <c r="E2641" i="37"/>
  <c r="E2360" i="37"/>
  <c r="E2079" i="37"/>
  <c r="E1798" i="37"/>
  <c r="E1517" i="37"/>
  <c r="E1236" i="37"/>
  <c r="E955" i="37"/>
  <c r="N76" i="62"/>
  <c r="M76" i="62"/>
  <c r="L76" i="62"/>
  <c r="K76" i="62"/>
  <c r="J76" i="62"/>
  <c r="E752" i="42" l="1"/>
  <c r="E751" i="42"/>
  <c r="E750" i="42"/>
  <c r="S1" i="66"/>
  <c r="R1" i="66"/>
  <c r="Q1" i="66"/>
  <c r="E4" i="66" l="1"/>
  <c r="K25" i="41"/>
  <c r="E571" i="50" l="1"/>
  <c r="P570" i="50"/>
  <c r="P569" i="50"/>
  <c r="E568" i="50"/>
  <c r="E567" i="50"/>
  <c r="E566" i="50"/>
  <c r="I565" i="50"/>
  <c r="E565" i="50"/>
  <c r="E559" i="50"/>
  <c r="P558" i="50"/>
  <c r="P557" i="50"/>
  <c r="E556" i="50"/>
  <c r="E555" i="50"/>
  <c r="E554" i="50"/>
  <c r="I553" i="50"/>
  <c r="H549" i="50"/>
  <c r="E549" i="50"/>
  <c r="E548" i="50"/>
  <c r="E547" i="50"/>
  <c r="H546" i="50"/>
  <c r="E546" i="50"/>
  <c r="E545" i="50"/>
  <c r="P543" i="50"/>
  <c r="P541" i="50" s="1"/>
  <c r="P542" i="50" s="1"/>
  <c r="E543" i="50"/>
  <c r="E542" i="50"/>
  <c r="E541" i="50"/>
  <c r="E540" i="50"/>
  <c r="E539" i="50"/>
  <c r="P537" i="50"/>
  <c r="P535" i="50" s="1"/>
  <c r="P536" i="50" s="1"/>
  <c r="E537" i="50"/>
  <c r="E536" i="50"/>
  <c r="E535" i="50"/>
  <c r="E534" i="50"/>
  <c r="E533" i="50"/>
  <c r="E531" i="50"/>
  <c r="E530" i="50"/>
  <c r="E529" i="50"/>
  <c r="E528" i="50"/>
  <c r="E527" i="50"/>
  <c r="E525" i="50"/>
  <c r="E524" i="50"/>
  <c r="E523" i="50"/>
  <c r="E522" i="50"/>
  <c r="E521" i="50"/>
  <c r="E519" i="50"/>
  <c r="E513" i="50"/>
  <c r="E511" i="50"/>
  <c r="E510" i="50"/>
  <c r="E509" i="50"/>
  <c r="E506" i="50"/>
  <c r="G505" i="50"/>
  <c r="E374" i="50" l="1"/>
  <c r="E373" i="50"/>
  <c r="E272" i="41"/>
  <c r="E271" i="41"/>
  <c r="E1812" i="50" l="1"/>
  <c r="I1810" i="50"/>
  <c r="E1806" i="50"/>
  <c r="E1801" i="50"/>
  <c r="E1800" i="50"/>
  <c r="E1799" i="50"/>
  <c r="E1797" i="50"/>
  <c r="E1795" i="50"/>
  <c r="E1793" i="50"/>
  <c r="E1792" i="50"/>
  <c r="E1791" i="50"/>
  <c r="E1788" i="50"/>
  <c r="G1787" i="50"/>
  <c r="L1785" i="50"/>
  <c r="E1885" i="50"/>
  <c r="I1883" i="50"/>
  <c r="E1879" i="50"/>
  <c r="E1874" i="50"/>
  <c r="E1873" i="50"/>
  <c r="E1872" i="50"/>
  <c r="E1870" i="50"/>
  <c r="E1868" i="50"/>
  <c r="E1866" i="50"/>
  <c r="E1865" i="50"/>
  <c r="E1864" i="50"/>
  <c r="E1861" i="50"/>
  <c r="G1860" i="50"/>
  <c r="E1958" i="50"/>
  <c r="I1956" i="50"/>
  <c r="E1952" i="50"/>
  <c r="E1947" i="50"/>
  <c r="E1946" i="50"/>
  <c r="E1945" i="50"/>
  <c r="E1943" i="50"/>
  <c r="E1941" i="50"/>
  <c r="E1939" i="50"/>
  <c r="E1938" i="50"/>
  <c r="E1937" i="50"/>
  <c r="E1934" i="50"/>
  <c r="G1933" i="50"/>
  <c r="E2380" i="50"/>
  <c r="I2378" i="50"/>
  <c r="E2374" i="50"/>
  <c r="E2369" i="50"/>
  <c r="E2368" i="50"/>
  <c r="E2367" i="50"/>
  <c r="E2365" i="50"/>
  <c r="E2363" i="50"/>
  <c r="E2361" i="50"/>
  <c r="E2360" i="50"/>
  <c r="E2359" i="50"/>
  <c r="E2356" i="50"/>
  <c r="G2355" i="50"/>
  <c r="E2332" i="50"/>
  <c r="I2330" i="50"/>
  <c r="E2326" i="50"/>
  <c r="E2321" i="50"/>
  <c r="E2320" i="50"/>
  <c r="E2319" i="50"/>
  <c r="E2317" i="50"/>
  <c r="E2315" i="50"/>
  <c r="E2313" i="50"/>
  <c r="E2312" i="50"/>
  <c r="E2311" i="50"/>
  <c r="E2308" i="50"/>
  <c r="G2307" i="50"/>
  <c r="E2284" i="50"/>
  <c r="I2282" i="50"/>
  <c r="E2278" i="50"/>
  <c r="E2273" i="50"/>
  <c r="E2272" i="50"/>
  <c r="E2271" i="50"/>
  <c r="E2269" i="50"/>
  <c r="E2267" i="50"/>
  <c r="E2265" i="50"/>
  <c r="E2264" i="50"/>
  <c r="E2263" i="50"/>
  <c r="E2260" i="50"/>
  <c r="G2259" i="50"/>
  <c r="E2224" i="50"/>
  <c r="I2222" i="50"/>
  <c r="E2218" i="50"/>
  <c r="E2213" i="50"/>
  <c r="E2212" i="50"/>
  <c r="E2211" i="50"/>
  <c r="E2209" i="50"/>
  <c r="E2207" i="50"/>
  <c r="E2205" i="50"/>
  <c r="E2204" i="50"/>
  <c r="E2203" i="50"/>
  <c r="E2200" i="50"/>
  <c r="G2199" i="50"/>
  <c r="E2164" i="50"/>
  <c r="I2162" i="50"/>
  <c r="E2158" i="50"/>
  <c r="E2153" i="50"/>
  <c r="E2152" i="50"/>
  <c r="E2151" i="50"/>
  <c r="E2149" i="50"/>
  <c r="E2147" i="50"/>
  <c r="E2145" i="50"/>
  <c r="E2144" i="50"/>
  <c r="E2143" i="50"/>
  <c r="E2140" i="50"/>
  <c r="G2139" i="50"/>
  <c r="E2104" i="50"/>
  <c r="I2102" i="50"/>
  <c r="E2098" i="50"/>
  <c r="E2093" i="50"/>
  <c r="E2092" i="50"/>
  <c r="E2091" i="50"/>
  <c r="E2089" i="50"/>
  <c r="E2087" i="50"/>
  <c r="E2085" i="50"/>
  <c r="E2084" i="50"/>
  <c r="E2083" i="50"/>
  <c r="E2080" i="50"/>
  <c r="G2079" i="50"/>
  <c r="E1827" i="42"/>
  <c r="E1822" i="42"/>
  <c r="E1821" i="42"/>
  <c r="E1818" i="42"/>
  <c r="E1808" i="42"/>
  <c r="E1807" i="42"/>
  <c r="G1796" i="42"/>
  <c r="N1791" i="42"/>
  <c r="M1791" i="42"/>
  <c r="L1791" i="42"/>
  <c r="K1791" i="42"/>
  <c r="J1791" i="42"/>
  <c r="I1791" i="42"/>
  <c r="H1791" i="42"/>
  <c r="G1791" i="42"/>
  <c r="E1791" i="42"/>
  <c r="G1780" i="42"/>
  <c r="F1774" i="42"/>
  <c r="E1774" i="42"/>
  <c r="N1773" i="42"/>
  <c r="N1774" i="42" s="1"/>
  <c r="N1775" i="42" s="1"/>
  <c r="M1773" i="42"/>
  <c r="M1774" i="42" s="1"/>
  <c r="M1775" i="42" s="1"/>
  <c r="L1773" i="42"/>
  <c r="L1774" i="42" s="1"/>
  <c r="L1775" i="42" s="1"/>
  <c r="K1773" i="42"/>
  <c r="K1774" i="42" s="1"/>
  <c r="J1773" i="42"/>
  <c r="J1774" i="42" s="1"/>
  <c r="I1773" i="42"/>
  <c r="I1774" i="42" s="1"/>
  <c r="H1773" i="42"/>
  <c r="H1774" i="42" s="1"/>
  <c r="F1773" i="42"/>
  <c r="F1791" i="42" s="1"/>
  <c r="E1773" i="42"/>
  <c r="F1772" i="42"/>
  <c r="F1790" i="42" s="1"/>
  <c r="F1771" i="42"/>
  <c r="F1789" i="42" s="1"/>
  <c r="F1770" i="42"/>
  <c r="F1788" i="42" s="1"/>
  <c r="F1769" i="42"/>
  <c r="F1787" i="42" s="1"/>
  <c r="F1768" i="42"/>
  <c r="F1786" i="42" s="1"/>
  <c r="F1767" i="42"/>
  <c r="F1785" i="42" s="1"/>
  <c r="F1766" i="42"/>
  <c r="F1784" i="42" s="1"/>
  <c r="F1765" i="42"/>
  <c r="F1783" i="42" s="1"/>
  <c r="G1762" i="42"/>
  <c r="F1754" i="42"/>
  <c r="N1754" i="42" s="1"/>
  <c r="E1754" i="42"/>
  <c r="E1753" i="42"/>
  <c r="E1772" i="42" s="1"/>
  <c r="U1772" i="42" s="1"/>
  <c r="E1752" i="42"/>
  <c r="E1771" i="42" s="1"/>
  <c r="E1751" i="42"/>
  <c r="E1770" i="42" s="1"/>
  <c r="E1750" i="42"/>
  <c r="E1769" i="42" s="1"/>
  <c r="E1749" i="42"/>
  <c r="E1768" i="42" s="1"/>
  <c r="U1768" i="42" s="1"/>
  <c r="E1748" i="42"/>
  <c r="E1767" i="42" s="1"/>
  <c r="E1747" i="42"/>
  <c r="E1766" i="42" s="1"/>
  <c r="E1746" i="42"/>
  <c r="E1765" i="42" s="1"/>
  <c r="E1745" i="42"/>
  <c r="E1764" i="42" s="1"/>
  <c r="X1764" i="42" s="1"/>
  <c r="D1745" i="42"/>
  <c r="D1746" i="42" s="1"/>
  <c r="D1747" i="42" s="1"/>
  <c r="D1748" i="42" s="1"/>
  <c r="D1749" i="42" s="1"/>
  <c r="D1750" i="42" s="1"/>
  <c r="D1751" i="42" s="1"/>
  <c r="D1752" i="42" s="1"/>
  <c r="D1753" i="42" s="1"/>
  <c r="E1744" i="42"/>
  <c r="E1763" i="42" s="1"/>
  <c r="E1781" i="42" s="1"/>
  <c r="E1797" i="42" s="1"/>
  <c r="C1744" i="42"/>
  <c r="G1743" i="42"/>
  <c r="E1743" i="42"/>
  <c r="E1762" i="42" s="1"/>
  <c r="E1780" i="42" s="1"/>
  <c r="E1796" i="42" s="1"/>
  <c r="E1739" i="42"/>
  <c r="S1737" i="42"/>
  <c r="S1736" i="42"/>
  <c r="S1735" i="42"/>
  <c r="S1734" i="42"/>
  <c r="S1733" i="42"/>
  <c r="S1732" i="42"/>
  <c r="S1731" i="42"/>
  <c r="S1730" i="42"/>
  <c r="S1729" i="42"/>
  <c r="D1729" i="42"/>
  <c r="D1730" i="42" s="1"/>
  <c r="D1731" i="42" s="1"/>
  <c r="D1732" i="42" s="1"/>
  <c r="D1733" i="42" s="1"/>
  <c r="D1734" i="42" s="1"/>
  <c r="D1735" i="42" s="1"/>
  <c r="D1736" i="42" s="1"/>
  <c r="D1737" i="42" s="1"/>
  <c r="S1728" i="42"/>
  <c r="E1723" i="42"/>
  <c r="E1721" i="42"/>
  <c r="E1720" i="42"/>
  <c r="E1718" i="42"/>
  <c r="D1716" i="42"/>
  <c r="E1712" i="42"/>
  <c r="E1710" i="42"/>
  <c r="I1709" i="42"/>
  <c r="E1709" i="42"/>
  <c r="E1704" i="42"/>
  <c r="E1701" i="42"/>
  <c r="E1700" i="42"/>
  <c r="E1699" i="42"/>
  <c r="E1698" i="42"/>
  <c r="E1696" i="42"/>
  <c r="E1689" i="42"/>
  <c r="E1684" i="42"/>
  <c r="E1683" i="42"/>
  <c r="E1680" i="42"/>
  <c r="E1670" i="42"/>
  <c r="E1669" i="42"/>
  <c r="G1658" i="42"/>
  <c r="N1653" i="42"/>
  <c r="M1653" i="42"/>
  <c r="L1653" i="42"/>
  <c r="K1653" i="42"/>
  <c r="J1653" i="42"/>
  <c r="I1653" i="42"/>
  <c r="H1653" i="42"/>
  <c r="G1653" i="42"/>
  <c r="E1653" i="42"/>
  <c r="G1642" i="42"/>
  <c r="F1636" i="42"/>
  <c r="E1636" i="42"/>
  <c r="N1635" i="42"/>
  <c r="N1636" i="42" s="1"/>
  <c r="N1637" i="42" s="1"/>
  <c r="M1635" i="42"/>
  <c r="M1636" i="42" s="1"/>
  <c r="M1637" i="42" s="1"/>
  <c r="L1635" i="42"/>
  <c r="L1636" i="42" s="1"/>
  <c r="L1637" i="42" s="1"/>
  <c r="K1635" i="42"/>
  <c r="K1636" i="42" s="1"/>
  <c r="K1637" i="42" s="1"/>
  <c r="J1635" i="42"/>
  <c r="J1636" i="42" s="1"/>
  <c r="J1637" i="42" s="1"/>
  <c r="I1635" i="42"/>
  <c r="I1636" i="42" s="1"/>
  <c r="I1637" i="42" s="1"/>
  <c r="H1635" i="42"/>
  <c r="H1636" i="42" s="1"/>
  <c r="H1637" i="42" s="1"/>
  <c r="G1635" i="42"/>
  <c r="F1635" i="42"/>
  <c r="F1653" i="42" s="1"/>
  <c r="E1635" i="42"/>
  <c r="F1634" i="42"/>
  <c r="F1652" i="42" s="1"/>
  <c r="F1633" i="42"/>
  <c r="F1651" i="42" s="1"/>
  <c r="F1632" i="42"/>
  <c r="F1650" i="42" s="1"/>
  <c r="F1631" i="42"/>
  <c r="F1649" i="42" s="1"/>
  <c r="F1630" i="42"/>
  <c r="F1648" i="42" s="1"/>
  <c r="F1629" i="42"/>
  <c r="F1647" i="42" s="1"/>
  <c r="F1628" i="42"/>
  <c r="F1646" i="42" s="1"/>
  <c r="F1627" i="42"/>
  <c r="F1645" i="42" s="1"/>
  <c r="G1624" i="42"/>
  <c r="F1616" i="42"/>
  <c r="N1616" i="42" s="1"/>
  <c r="E1616" i="42"/>
  <c r="E1615" i="42"/>
  <c r="E1634" i="42" s="1"/>
  <c r="E1614" i="42"/>
  <c r="E1633" i="42" s="1"/>
  <c r="E1613" i="42"/>
  <c r="E1632" i="42" s="1"/>
  <c r="E1612" i="42"/>
  <c r="E1631" i="42" s="1"/>
  <c r="E1611" i="42"/>
  <c r="E1630" i="42" s="1"/>
  <c r="E1610" i="42"/>
  <c r="E1629" i="42" s="1"/>
  <c r="E1609" i="42"/>
  <c r="E1628" i="42" s="1"/>
  <c r="U1628" i="42" s="1"/>
  <c r="E1608" i="42"/>
  <c r="E1627" i="42" s="1"/>
  <c r="E1607" i="42"/>
  <c r="E1626" i="42" s="1"/>
  <c r="D1607" i="42"/>
  <c r="D1608" i="42" s="1"/>
  <c r="D1609" i="42" s="1"/>
  <c r="D1610" i="42" s="1"/>
  <c r="D1611" i="42" s="1"/>
  <c r="D1612" i="42" s="1"/>
  <c r="D1613" i="42" s="1"/>
  <c r="D1614" i="42" s="1"/>
  <c r="D1615" i="42" s="1"/>
  <c r="E1606" i="42"/>
  <c r="E1625" i="42" s="1"/>
  <c r="T1625" i="42" s="1"/>
  <c r="C1606" i="42"/>
  <c r="G1605" i="42"/>
  <c r="E1605" i="42"/>
  <c r="E1624" i="42" s="1"/>
  <c r="E1642" i="42" s="1"/>
  <c r="E1658" i="42" s="1"/>
  <c r="E1601" i="42"/>
  <c r="S1599" i="42"/>
  <c r="S1598" i="42"/>
  <c r="S1597" i="42"/>
  <c r="S1596" i="42"/>
  <c r="S1595" i="42"/>
  <c r="S1594" i="42"/>
  <c r="S1593" i="42"/>
  <c r="S1592" i="42"/>
  <c r="S1591" i="42"/>
  <c r="D1591" i="42"/>
  <c r="D1592" i="42" s="1"/>
  <c r="D1593" i="42" s="1"/>
  <c r="D1594" i="42" s="1"/>
  <c r="D1595" i="42" s="1"/>
  <c r="D1596" i="42" s="1"/>
  <c r="D1597" i="42" s="1"/>
  <c r="D1598" i="42" s="1"/>
  <c r="D1599" i="42" s="1"/>
  <c r="S1590" i="42"/>
  <c r="E1585" i="42"/>
  <c r="E1583" i="42"/>
  <c r="E1582" i="42"/>
  <c r="E1580" i="42"/>
  <c r="D1578" i="42"/>
  <c r="E1574" i="42"/>
  <c r="E1572" i="42"/>
  <c r="I1571" i="42"/>
  <c r="E1571" i="42"/>
  <c r="E1566" i="42"/>
  <c r="E1563" i="42"/>
  <c r="E1562" i="42"/>
  <c r="E1561" i="42"/>
  <c r="E1560" i="42"/>
  <c r="E1558" i="42"/>
  <c r="E2394" i="50"/>
  <c r="E2388" i="50"/>
  <c r="E2387" i="50"/>
  <c r="I2386" i="50"/>
  <c r="E2386" i="50"/>
  <c r="P2381" i="50"/>
  <c r="M2352" i="50"/>
  <c r="L2352" i="50"/>
  <c r="K2352" i="50"/>
  <c r="J2352" i="50"/>
  <c r="H2352" i="50"/>
  <c r="E2346" i="50"/>
  <c r="E2340" i="50"/>
  <c r="E2339" i="50"/>
  <c r="I2338" i="50"/>
  <c r="E2338" i="50"/>
  <c r="P2333" i="50"/>
  <c r="M2304" i="50"/>
  <c r="L2304" i="50"/>
  <c r="K2304" i="50"/>
  <c r="J2304" i="50"/>
  <c r="H2304" i="50"/>
  <c r="E2298" i="50"/>
  <c r="E2292" i="50"/>
  <c r="E2291" i="50"/>
  <c r="I2290" i="50"/>
  <c r="E2290" i="50"/>
  <c r="P2285" i="50"/>
  <c r="M2256" i="50"/>
  <c r="L2256" i="50"/>
  <c r="K2256" i="50"/>
  <c r="J2256" i="50"/>
  <c r="H2256" i="50"/>
  <c r="E2250" i="50"/>
  <c r="E2249" i="50"/>
  <c r="E2247" i="50"/>
  <c r="E2243" i="50"/>
  <c r="E2242" i="50"/>
  <c r="E2241" i="50"/>
  <c r="E2240" i="50"/>
  <c r="E2238" i="50"/>
  <c r="E2232" i="50"/>
  <c r="E2231" i="50"/>
  <c r="I2230" i="50"/>
  <c r="E2230" i="50"/>
  <c r="P2225" i="50"/>
  <c r="M2196" i="50"/>
  <c r="L2196" i="50"/>
  <c r="K2196" i="50"/>
  <c r="J2196" i="50"/>
  <c r="H2196" i="50"/>
  <c r="E2190" i="50"/>
  <c r="E2189" i="50"/>
  <c r="E2187" i="50"/>
  <c r="E2183" i="50"/>
  <c r="E2182" i="50"/>
  <c r="E2181" i="50"/>
  <c r="E2180" i="50"/>
  <c r="E2178" i="50"/>
  <c r="E2172" i="50"/>
  <c r="E2171" i="50"/>
  <c r="I2170" i="50"/>
  <c r="E2170" i="50"/>
  <c r="P2165" i="50"/>
  <c r="M2136" i="50"/>
  <c r="L2136" i="50"/>
  <c r="K2136" i="50"/>
  <c r="J2136" i="50"/>
  <c r="H2136" i="50"/>
  <c r="E1415" i="42"/>
  <c r="E1414" i="42"/>
  <c r="E1413" i="42"/>
  <c r="E1412" i="42"/>
  <c r="E1407" i="42"/>
  <c r="E1406" i="42"/>
  <c r="Z1404" i="42"/>
  <c r="Y1404" i="42"/>
  <c r="X1404" i="42"/>
  <c r="W1404" i="42"/>
  <c r="V1404" i="42"/>
  <c r="U1404" i="42"/>
  <c r="T1404" i="42"/>
  <c r="E1404" i="42"/>
  <c r="E1400" i="42"/>
  <c r="E1399" i="42"/>
  <c r="E1398" i="42"/>
  <c r="E1395" i="42"/>
  <c r="E1394" i="42"/>
  <c r="E1393" i="42"/>
  <c r="E1392" i="42"/>
  <c r="E1391" i="42"/>
  <c r="D1387" i="42"/>
  <c r="E1382" i="42"/>
  <c r="E1377" i="42"/>
  <c r="E1376" i="42"/>
  <c r="E1373" i="42"/>
  <c r="E1366" i="42"/>
  <c r="F1363" i="42"/>
  <c r="E1363" i="42"/>
  <c r="F1362" i="42"/>
  <c r="E1362" i="42"/>
  <c r="F1361" i="42"/>
  <c r="F1360" i="42"/>
  <c r="F1359" i="42"/>
  <c r="F1358" i="42"/>
  <c r="F1357" i="42"/>
  <c r="F1356" i="42"/>
  <c r="F1355" i="42"/>
  <c r="F1354" i="42"/>
  <c r="F1353" i="42"/>
  <c r="F1352" i="42"/>
  <c r="G1351" i="42"/>
  <c r="N1346" i="42"/>
  <c r="M1346" i="42"/>
  <c r="L1346" i="42"/>
  <c r="K1346" i="42"/>
  <c r="J1346" i="42"/>
  <c r="I1346" i="42"/>
  <c r="H1346" i="42"/>
  <c r="G1346" i="42"/>
  <c r="F1346" i="42"/>
  <c r="E1346" i="42"/>
  <c r="F1345" i="42"/>
  <c r="F1344" i="42"/>
  <c r="F1343" i="42"/>
  <c r="F1342" i="42"/>
  <c r="F1341" i="42"/>
  <c r="F1340" i="42"/>
  <c r="F1339" i="42"/>
  <c r="F1338" i="42"/>
  <c r="F1337" i="42"/>
  <c r="F1336" i="42"/>
  <c r="G1335" i="42"/>
  <c r="F1329" i="42"/>
  <c r="E1329" i="42"/>
  <c r="N1328" i="42"/>
  <c r="M1328" i="42"/>
  <c r="L1328" i="42"/>
  <c r="K1328" i="42"/>
  <c r="J1328" i="42"/>
  <c r="I1328" i="42"/>
  <c r="H1328" i="42"/>
  <c r="G1328" i="42"/>
  <c r="F1328" i="42"/>
  <c r="E1328" i="42"/>
  <c r="F1327" i="42"/>
  <c r="F1326" i="42"/>
  <c r="F1325" i="42"/>
  <c r="F1324" i="42"/>
  <c r="F1323" i="42"/>
  <c r="F1322" i="42"/>
  <c r="F1321" i="42"/>
  <c r="F1320" i="42"/>
  <c r="F1319" i="42"/>
  <c r="F1318" i="42"/>
  <c r="G1317" i="42"/>
  <c r="E1312" i="42"/>
  <c r="F1309" i="42"/>
  <c r="E1309" i="42"/>
  <c r="E1308" i="42"/>
  <c r="E1327" i="42" s="1"/>
  <c r="U1327" i="42" s="1"/>
  <c r="E1307" i="42"/>
  <c r="E1326" i="42" s="1"/>
  <c r="X1326" i="42" s="1"/>
  <c r="E1306" i="42"/>
  <c r="E1325" i="42" s="1"/>
  <c r="E1305" i="42"/>
  <c r="E1324" i="42" s="1"/>
  <c r="E1304" i="42"/>
  <c r="E1323" i="42" s="1"/>
  <c r="E1303" i="42"/>
  <c r="E1322" i="42" s="1"/>
  <c r="E1302" i="42"/>
  <c r="E1321" i="42" s="1"/>
  <c r="E1301" i="42"/>
  <c r="E1320" i="42" s="1"/>
  <c r="E1300" i="42"/>
  <c r="E1319" i="42" s="1"/>
  <c r="D1300" i="42"/>
  <c r="D1301" i="42" s="1"/>
  <c r="D1302" i="42" s="1"/>
  <c r="D1303" i="42" s="1"/>
  <c r="D1304" i="42" s="1"/>
  <c r="D1305" i="42" s="1"/>
  <c r="D1306" i="42" s="1"/>
  <c r="D1307" i="42" s="1"/>
  <c r="D1308" i="42" s="1"/>
  <c r="E1299" i="42"/>
  <c r="E1318" i="42" s="1"/>
  <c r="C1299" i="42"/>
  <c r="G1298" i="42"/>
  <c r="E1298" i="42"/>
  <c r="E1294" i="42"/>
  <c r="S1292" i="42"/>
  <c r="S1291" i="42"/>
  <c r="S1290" i="42"/>
  <c r="S1289" i="42"/>
  <c r="S1288" i="42"/>
  <c r="S1287" i="42"/>
  <c r="S1286" i="42"/>
  <c r="S1285" i="42"/>
  <c r="S1284" i="42"/>
  <c r="D1284" i="42"/>
  <c r="D1285" i="42" s="1"/>
  <c r="D1286" i="42" s="1"/>
  <c r="D1287" i="42" s="1"/>
  <c r="D1288" i="42" s="1"/>
  <c r="D1289" i="42" s="1"/>
  <c r="D1290" i="42" s="1"/>
  <c r="D1291" i="42" s="1"/>
  <c r="D1292" i="42" s="1"/>
  <c r="S1283" i="42"/>
  <c r="E1282" i="42"/>
  <c r="E1278" i="42"/>
  <c r="E1276" i="42"/>
  <c r="E1275" i="42"/>
  <c r="F1274" i="42"/>
  <c r="F1273" i="42"/>
  <c r="E1272" i="42"/>
  <c r="E1271" i="42"/>
  <c r="D1269" i="42"/>
  <c r="E1265" i="42"/>
  <c r="E1263" i="42"/>
  <c r="I1262" i="42"/>
  <c r="E1262" i="42"/>
  <c r="E1257" i="42"/>
  <c r="E1254" i="42"/>
  <c r="E1253" i="42"/>
  <c r="E1252" i="42"/>
  <c r="E1251" i="42"/>
  <c r="E1249" i="42"/>
  <c r="E1244" i="42"/>
  <c r="E1243" i="42"/>
  <c r="E1242" i="42"/>
  <c r="E1241" i="42"/>
  <c r="E1236" i="42"/>
  <c r="E1235" i="42"/>
  <c r="E1233" i="42"/>
  <c r="E1229" i="42"/>
  <c r="E1228" i="42"/>
  <c r="E1227" i="42"/>
  <c r="E1224" i="42"/>
  <c r="E1223" i="42"/>
  <c r="E1222" i="42"/>
  <c r="E1221" i="42"/>
  <c r="E1220" i="42"/>
  <c r="D1216" i="42"/>
  <c r="E1211" i="42"/>
  <c r="E1206" i="42"/>
  <c r="E1205" i="42"/>
  <c r="E1202" i="42"/>
  <c r="E1195" i="42"/>
  <c r="F1192" i="42"/>
  <c r="E1192" i="42"/>
  <c r="F1191" i="42"/>
  <c r="E1191" i="42"/>
  <c r="F1190" i="42"/>
  <c r="F1189" i="42"/>
  <c r="F1188" i="42"/>
  <c r="F1187" i="42"/>
  <c r="F1186" i="42"/>
  <c r="F1185" i="42"/>
  <c r="F1184" i="42"/>
  <c r="F1183" i="42"/>
  <c r="F1182" i="42"/>
  <c r="F1181" i="42"/>
  <c r="G1180" i="42"/>
  <c r="N1175" i="42"/>
  <c r="M1175" i="42"/>
  <c r="L1175" i="42"/>
  <c r="K1175" i="42"/>
  <c r="J1175" i="42"/>
  <c r="I1175" i="42"/>
  <c r="H1175" i="42"/>
  <c r="G1175" i="42"/>
  <c r="F1175" i="42"/>
  <c r="E1175" i="42"/>
  <c r="F1174" i="42"/>
  <c r="F1173" i="42"/>
  <c r="F1172" i="42"/>
  <c r="F1171" i="42"/>
  <c r="F1170" i="42"/>
  <c r="F1169" i="42"/>
  <c r="F1168" i="42"/>
  <c r="F1167" i="42"/>
  <c r="F1166" i="42"/>
  <c r="F1165" i="42"/>
  <c r="G1164" i="42"/>
  <c r="F1158" i="42"/>
  <c r="E1158" i="42"/>
  <c r="N1157" i="42"/>
  <c r="M1157" i="42"/>
  <c r="L1157" i="42"/>
  <c r="K1157" i="42"/>
  <c r="J1157" i="42"/>
  <c r="I1157" i="42"/>
  <c r="H1157" i="42"/>
  <c r="G1157" i="42"/>
  <c r="F1157" i="42"/>
  <c r="E1157" i="42"/>
  <c r="F1156" i="42"/>
  <c r="F1155" i="42"/>
  <c r="F1154" i="42"/>
  <c r="F1153" i="42"/>
  <c r="F1152" i="42"/>
  <c r="F1151" i="42"/>
  <c r="F1150" i="42"/>
  <c r="F1149" i="42"/>
  <c r="F1148" i="42"/>
  <c r="F1147" i="42"/>
  <c r="G1146" i="42"/>
  <c r="E1141" i="42"/>
  <c r="F1138" i="42"/>
  <c r="I1138" i="42" s="1"/>
  <c r="E1138" i="42"/>
  <c r="E1137" i="42"/>
  <c r="E1156" i="42" s="1"/>
  <c r="U1156" i="42" s="1"/>
  <c r="E1136" i="42"/>
  <c r="E1155" i="42" s="1"/>
  <c r="E1135" i="42"/>
  <c r="E1154" i="42" s="1"/>
  <c r="E1134" i="42"/>
  <c r="E1153" i="42" s="1"/>
  <c r="E1133" i="42"/>
  <c r="E1152" i="42" s="1"/>
  <c r="U1152" i="42" s="1"/>
  <c r="E1132" i="42"/>
  <c r="E1151" i="42" s="1"/>
  <c r="E1131" i="42"/>
  <c r="E1150" i="42" s="1"/>
  <c r="E1130" i="42"/>
  <c r="E1149" i="42" s="1"/>
  <c r="E1129" i="42"/>
  <c r="E1148" i="42" s="1"/>
  <c r="V1148" i="42" s="1"/>
  <c r="D1129" i="42"/>
  <c r="D1130" i="42" s="1"/>
  <c r="D1131" i="42" s="1"/>
  <c r="D1132" i="42" s="1"/>
  <c r="D1133" i="42" s="1"/>
  <c r="D1134" i="42" s="1"/>
  <c r="D1135" i="42" s="1"/>
  <c r="D1136" i="42" s="1"/>
  <c r="D1137" i="42" s="1"/>
  <c r="E1128" i="42"/>
  <c r="E1147" i="42" s="1"/>
  <c r="C1128" i="42"/>
  <c r="G1127" i="42"/>
  <c r="E1127" i="42"/>
  <c r="E1123" i="42"/>
  <c r="S1121" i="42"/>
  <c r="S1120" i="42"/>
  <c r="S1119" i="42"/>
  <c r="S1118" i="42"/>
  <c r="S1117" i="42"/>
  <c r="S1116" i="42"/>
  <c r="S1115" i="42"/>
  <c r="S1114" i="42"/>
  <c r="S1113" i="42"/>
  <c r="D1113" i="42"/>
  <c r="D1114" i="42" s="1"/>
  <c r="D1115" i="42" s="1"/>
  <c r="D1116" i="42" s="1"/>
  <c r="D1117" i="42" s="1"/>
  <c r="D1118" i="42" s="1"/>
  <c r="D1119" i="42" s="1"/>
  <c r="D1120" i="42" s="1"/>
  <c r="D1121" i="42" s="1"/>
  <c r="S1112" i="42"/>
  <c r="E1111" i="42"/>
  <c r="E1107" i="42"/>
  <c r="E1105" i="42"/>
  <c r="E1104" i="42"/>
  <c r="F1103" i="42"/>
  <c r="F1102" i="42"/>
  <c r="E1101" i="42"/>
  <c r="E1100" i="42"/>
  <c r="D1098" i="42"/>
  <c r="E1094" i="42"/>
  <c r="E1092" i="42"/>
  <c r="I1091" i="42"/>
  <c r="E1091" i="42"/>
  <c r="E1086" i="42"/>
  <c r="E1083" i="42"/>
  <c r="E1082" i="42"/>
  <c r="E1081" i="42"/>
  <c r="E1080" i="42"/>
  <c r="E1078" i="42"/>
  <c r="E2130" i="50"/>
  <c r="E2129" i="50"/>
  <c r="E2127" i="50"/>
  <c r="E2123" i="50"/>
  <c r="E2122" i="50"/>
  <c r="E2121" i="50"/>
  <c r="E2120" i="50"/>
  <c r="E2118" i="50"/>
  <c r="E2112" i="50"/>
  <c r="E2111" i="50"/>
  <c r="I2110" i="50"/>
  <c r="E2110" i="50"/>
  <c r="P2105" i="50"/>
  <c r="M2076" i="50"/>
  <c r="L2076" i="50"/>
  <c r="K2076" i="50"/>
  <c r="J2076" i="50"/>
  <c r="H2076" i="50"/>
  <c r="E2070" i="50"/>
  <c r="E2069" i="50"/>
  <c r="E2068" i="50"/>
  <c r="E2067" i="50"/>
  <c r="E2066" i="50"/>
  <c r="E2065" i="50"/>
  <c r="E2064" i="50"/>
  <c r="E2063" i="50"/>
  <c r="E2062" i="50"/>
  <c r="E2061" i="50"/>
  <c r="E2059" i="50"/>
  <c r="E2056" i="50"/>
  <c r="E2052" i="50"/>
  <c r="E2051" i="50"/>
  <c r="E2050" i="50"/>
  <c r="E2049" i="50"/>
  <c r="E2047" i="50"/>
  <c r="E2044" i="50"/>
  <c r="E2039" i="50"/>
  <c r="E2038" i="50"/>
  <c r="I2037" i="50"/>
  <c r="E2037" i="50"/>
  <c r="P2032" i="50"/>
  <c r="E2031" i="50"/>
  <c r="I2029" i="50"/>
  <c r="E2025" i="50"/>
  <c r="E2020" i="50"/>
  <c r="E2019" i="50"/>
  <c r="E2018" i="50"/>
  <c r="E2016" i="50"/>
  <c r="E2014" i="50"/>
  <c r="E2012" i="50"/>
  <c r="E2011" i="50"/>
  <c r="E2010" i="50"/>
  <c r="E2007" i="50"/>
  <c r="G2006" i="50"/>
  <c r="M2003" i="50"/>
  <c r="L2003" i="50"/>
  <c r="K2003" i="50"/>
  <c r="J2003" i="50"/>
  <c r="H2003" i="50"/>
  <c r="E1997" i="50"/>
  <c r="E1996" i="50"/>
  <c r="E1995" i="50"/>
  <c r="E1994" i="50"/>
  <c r="E1993" i="50"/>
  <c r="E1992" i="50"/>
  <c r="E1991" i="50"/>
  <c r="E1990" i="50"/>
  <c r="E1989" i="50"/>
  <c r="E1988" i="50"/>
  <c r="E1986" i="50"/>
  <c r="E1983" i="50"/>
  <c r="E1979" i="50"/>
  <c r="E1978" i="50"/>
  <c r="E1977" i="50"/>
  <c r="E1976" i="50"/>
  <c r="E1974" i="50"/>
  <c r="E1971" i="50"/>
  <c r="E1966" i="50"/>
  <c r="E1965" i="50"/>
  <c r="I1964" i="50"/>
  <c r="E1964" i="50"/>
  <c r="P1959" i="50"/>
  <c r="M1930" i="50"/>
  <c r="L1930" i="50"/>
  <c r="K1930" i="50"/>
  <c r="J1930" i="50"/>
  <c r="H1930" i="50"/>
  <c r="C1855" i="50"/>
  <c r="L1858" i="50" s="1"/>
  <c r="E1924" i="50"/>
  <c r="E1923" i="50"/>
  <c r="E1922" i="50"/>
  <c r="E1921" i="50"/>
  <c r="E1920" i="50"/>
  <c r="E1919" i="50"/>
  <c r="E1918" i="50"/>
  <c r="E1917" i="50"/>
  <c r="E1916" i="50"/>
  <c r="E1915" i="50"/>
  <c r="E1913" i="50"/>
  <c r="E1910" i="50"/>
  <c r="E1906" i="50"/>
  <c r="E1905" i="50"/>
  <c r="E1904" i="50"/>
  <c r="E1903" i="50"/>
  <c r="E1901" i="50"/>
  <c r="E1898" i="50"/>
  <c r="E1893" i="50"/>
  <c r="E1892" i="50"/>
  <c r="I1891" i="50"/>
  <c r="E1891" i="50"/>
  <c r="P1886" i="50"/>
  <c r="M1857" i="50"/>
  <c r="L1857" i="50"/>
  <c r="K1857" i="50"/>
  <c r="J1857" i="50"/>
  <c r="H1857" i="50"/>
  <c r="E2817" i="37"/>
  <c r="E2816" i="37"/>
  <c r="E2812" i="37"/>
  <c r="E2808" i="37"/>
  <c r="E2806" i="37"/>
  <c r="E2805" i="37"/>
  <c r="E2804" i="37"/>
  <c r="E2803" i="37"/>
  <c r="E2800" i="37"/>
  <c r="E2799" i="37"/>
  <c r="E2798" i="37"/>
  <c r="E2797" i="37"/>
  <c r="E2795" i="37"/>
  <c r="E2793" i="37"/>
  <c r="E2792" i="37"/>
  <c r="E2791" i="37"/>
  <c r="E2789" i="37"/>
  <c r="N2788" i="37"/>
  <c r="M2788" i="37"/>
  <c r="L2788" i="37"/>
  <c r="K2788" i="37"/>
  <c r="J2788" i="37"/>
  <c r="I2788" i="37"/>
  <c r="H2788" i="37"/>
  <c r="E2788" i="37"/>
  <c r="E2787" i="37"/>
  <c r="E2786" i="37"/>
  <c r="E2784" i="37"/>
  <c r="E2783" i="37"/>
  <c r="E2782" i="37"/>
  <c r="E2780" i="37"/>
  <c r="N2779" i="37"/>
  <c r="Z2779" i="37" s="1"/>
  <c r="M2779" i="37"/>
  <c r="Y2779" i="37" s="1"/>
  <c r="L2779" i="37"/>
  <c r="X2779" i="37" s="1"/>
  <c r="K2779" i="37"/>
  <c r="W2779" i="37" s="1"/>
  <c r="J2779" i="37"/>
  <c r="V2779" i="37" s="1"/>
  <c r="I2779" i="37"/>
  <c r="U2779" i="37" s="1"/>
  <c r="H2779" i="37"/>
  <c r="T2779" i="37" s="1"/>
  <c r="E2779" i="37"/>
  <c r="E2778" i="37"/>
  <c r="E2777" i="37"/>
  <c r="E2775" i="37"/>
  <c r="E2774" i="37"/>
  <c r="E2773" i="37"/>
  <c r="Z2770" i="37"/>
  <c r="Y2770" i="37"/>
  <c r="X2770" i="37"/>
  <c r="W2770" i="37"/>
  <c r="V2770" i="37"/>
  <c r="E2770" i="37"/>
  <c r="E2769" i="37"/>
  <c r="E2766" i="37"/>
  <c r="E2763" i="37"/>
  <c r="E2761" i="37"/>
  <c r="I2760" i="37"/>
  <c r="E2760" i="37"/>
  <c r="T2757" i="37"/>
  <c r="G2757" i="37"/>
  <c r="H2761" i="37" s="1"/>
  <c r="E2757" i="37"/>
  <c r="E2755" i="37"/>
  <c r="E2754" i="37"/>
  <c r="E2753" i="37"/>
  <c r="E2752" i="37"/>
  <c r="E2750" i="37"/>
  <c r="E2749" i="37"/>
  <c r="E2748" i="37"/>
  <c r="E2747" i="37"/>
  <c r="E2745" i="37"/>
  <c r="N2744" i="37"/>
  <c r="M2744" i="37"/>
  <c r="L2744" i="37"/>
  <c r="K2744" i="37"/>
  <c r="J2744" i="37"/>
  <c r="I2744" i="37"/>
  <c r="H2744" i="37"/>
  <c r="E2744" i="37"/>
  <c r="E2743" i="37"/>
  <c r="E2742" i="37"/>
  <c r="E2740" i="37"/>
  <c r="E2739" i="37"/>
  <c r="E2738" i="37"/>
  <c r="E2736" i="37"/>
  <c r="N2735" i="37"/>
  <c r="M2735" i="37"/>
  <c r="L2735" i="37"/>
  <c r="K2735" i="37"/>
  <c r="J2735" i="37"/>
  <c r="I2735" i="37"/>
  <c r="H2735" i="37"/>
  <c r="E2735" i="37"/>
  <c r="E2734" i="37"/>
  <c r="E2733" i="37"/>
  <c r="E2731" i="37"/>
  <c r="E2730" i="37"/>
  <c r="E2729" i="37"/>
  <c r="E2728" i="37"/>
  <c r="E2727" i="37"/>
  <c r="E2725" i="37"/>
  <c r="E2723" i="37"/>
  <c r="Z2722" i="37"/>
  <c r="Y2722" i="37"/>
  <c r="X2722" i="37"/>
  <c r="W2722" i="37"/>
  <c r="V2722" i="37"/>
  <c r="U2722" i="37"/>
  <c r="T2722" i="37"/>
  <c r="E2722" i="37"/>
  <c r="E2721" i="37"/>
  <c r="E2719" i="37"/>
  <c r="E2718" i="37"/>
  <c r="E2717" i="37"/>
  <c r="E2715" i="37"/>
  <c r="Z2714" i="37"/>
  <c r="Y2714" i="37"/>
  <c r="X2714" i="37"/>
  <c r="W2714" i="37"/>
  <c r="V2714" i="37"/>
  <c r="U2714" i="37"/>
  <c r="T2714" i="37"/>
  <c r="E2714" i="37"/>
  <c r="E2713" i="37"/>
  <c r="E2712" i="37"/>
  <c r="E2711" i="37"/>
  <c r="E2710" i="37"/>
  <c r="E2709" i="37"/>
  <c r="E2708" i="37"/>
  <c r="E2707" i="37"/>
  <c r="E2705" i="37"/>
  <c r="E2703" i="37"/>
  <c r="E2702" i="37"/>
  <c r="E2701" i="37"/>
  <c r="E2700" i="37"/>
  <c r="N2698" i="37"/>
  <c r="N2695" i="37" s="1"/>
  <c r="N2696" i="37" s="1"/>
  <c r="M2698" i="37"/>
  <c r="M2695" i="37" s="1"/>
  <c r="M2696" i="37" s="1"/>
  <c r="L2698" i="37"/>
  <c r="L2695" i="37" s="1"/>
  <c r="L2696" i="37" s="1"/>
  <c r="K2698" i="37"/>
  <c r="K2695" i="37" s="1"/>
  <c r="K2696" i="37" s="1"/>
  <c r="J2698" i="37"/>
  <c r="J2695" i="37" s="1"/>
  <c r="J2696" i="37" s="1"/>
  <c r="I2698" i="37"/>
  <c r="I2695" i="37" s="1"/>
  <c r="I2696" i="37" s="1"/>
  <c r="H2698" i="37"/>
  <c r="H2695" i="37" s="1"/>
  <c r="H2696" i="37" s="1"/>
  <c r="E2698" i="37"/>
  <c r="N2697" i="37"/>
  <c r="M2697" i="37"/>
  <c r="L2697" i="37"/>
  <c r="K2697" i="37"/>
  <c r="J2697" i="37"/>
  <c r="I2697" i="37"/>
  <c r="H2697" i="37"/>
  <c r="E2697" i="37"/>
  <c r="E2696" i="37"/>
  <c r="E2695" i="37"/>
  <c r="E2694" i="37"/>
  <c r="E2693" i="37"/>
  <c r="E2692" i="37"/>
  <c r="E2691" i="37"/>
  <c r="E2690" i="37"/>
  <c r="E2688" i="37"/>
  <c r="N2686" i="37"/>
  <c r="N2683" i="37" s="1"/>
  <c r="N2684" i="37" s="1"/>
  <c r="M2686" i="37"/>
  <c r="M2683" i="37" s="1"/>
  <c r="M2684" i="37" s="1"/>
  <c r="L2686" i="37"/>
  <c r="L2683" i="37" s="1"/>
  <c r="L2684" i="37" s="1"/>
  <c r="K2686" i="37"/>
  <c r="K2683" i="37" s="1"/>
  <c r="K2684" i="37" s="1"/>
  <c r="J2686" i="37"/>
  <c r="J2683" i="37" s="1"/>
  <c r="J2684" i="37" s="1"/>
  <c r="I2686" i="37"/>
  <c r="I2683" i="37" s="1"/>
  <c r="I2684" i="37" s="1"/>
  <c r="H2686" i="37"/>
  <c r="H2683" i="37" s="1"/>
  <c r="H2684" i="37" s="1"/>
  <c r="E2686" i="37"/>
  <c r="N2685" i="37"/>
  <c r="M2685" i="37"/>
  <c r="L2685" i="37"/>
  <c r="K2685" i="37"/>
  <c r="J2685" i="37"/>
  <c r="I2685" i="37"/>
  <c r="H2685" i="37"/>
  <c r="E2685" i="37"/>
  <c r="E2684" i="37"/>
  <c r="E2683" i="37"/>
  <c r="E2682" i="37"/>
  <c r="E2681" i="37"/>
  <c r="E2680" i="37"/>
  <c r="E2679" i="37"/>
  <c r="E2678" i="37"/>
  <c r="E2676" i="37"/>
  <c r="E2675" i="37"/>
  <c r="E2674" i="37"/>
  <c r="E2673" i="37"/>
  <c r="E2672" i="37"/>
  <c r="E2671" i="37"/>
  <c r="E2670" i="37"/>
  <c r="E2669" i="37"/>
  <c r="E2668" i="37"/>
  <c r="E2667" i="37"/>
  <c r="E2665" i="37"/>
  <c r="E2662" i="37"/>
  <c r="E2655" i="37"/>
  <c r="F2654" i="37"/>
  <c r="F2653" i="37"/>
  <c r="F2652" i="37"/>
  <c r="F2651" i="37"/>
  <c r="F2650" i="37"/>
  <c r="F2649" i="37"/>
  <c r="F2648" i="37"/>
  <c r="E2647" i="37"/>
  <c r="E2646" i="37"/>
  <c r="E2645" i="37"/>
  <c r="E2643" i="37"/>
  <c r="E2640" i="37"/>
  <c r="E2639" i="37"/>
  <c r="E2638" i="37"/>
  <c r="D2634" i="37"/>
  <c r="N2631" i="37"/>
  <c r="M2631" i="37"/>
  <c r="L2631" i="37"/>
  <c r="K2631" i="37"/>
  <c r="J2631" i="37"/>
  <c r="I2631" i="37"/>
  <c r="H2631" i="37"/>
  <c r="E2631" i="37"/>
  <c r="D2622" i="37"/>
  <c r="D2623" i="37" s="1"/>
  <c r="D2624" i="37" s="1"/>
  <c r="D2625" i="37" s="1"/>
  <c r="D2626" i="37" s="1"/>
  <c r="D2627" i="37" s="1"/>
  <c r="D2628" i="37" s="1"/>
  <c r="D2629" i="37" s="1"/>
  <c r="D2630" i="37" s="1"/>
  <c r="F2620" i="37"/>
  <c r="E2618" i="37"/>
  <c r="E2613" i="37"/>
  <c r="E2612" i="37"/>
  <c r="E2610" i="37"/>
  <c r="D2608" i="37"/>
  <c r="E2605" i="37"/>
  <c r="E2604" i="37"/>
  <c r="E2601" i="37"/>
  <c r="E2598" i="37"/>
  <c r="H2596" i="37"/>
  <c r="E2596" i="37"/>
  <c r="I2595" i="37"/>
  <c r="E2595" i="37"/>
  <c r="E2593" i="37"/>
  <c r="N2591" i="37"/>
  <c r="M2591" i="37"/>
  <c r="L2591" i="37"/>
  <c r="K2591" i="37"/>
  <c r="J2591" i="37"/>
  <c r="I2591" i="37"/>
  <c r="H2591" i="37"/>
  <c r="E2591" i="37"/>
  <c r="E2590" i="37"/>
  <c r="Z2589" i="37"/>
  <c r="Y2589" i="37"/>
  <c r="X2589" i="37"/>
  <c r="W2589" i="37"/>
  <c r="V2589" i="37"/>
  <c r="U2589" i="37"/>
  <c r="T2589" i="37"/>
  <c r="E2589" i="37"/>
  <c r="E2588" i="37"/>
  <c r="E2587" i="37"/>
  <c r="E2586" i="37"/>
  <c r="E2585" i="37"/>
  <c r="E2584" i="37"/>
  <c r="R2583" i="37"/>
  <c r="E2583" i="37"/>
  <c r="E2581" i="37"/>
  <c r="E2580" i="37"/>
  <c r="R2578" i="37"/>
  <c r="D2576" i="37"/>
  <c r="E2573" i="37"/>
  <c r="E2572" i="37"/>
  <c r="E2569" i="37"/>
  <c r="E2566" i="37"/>
  <c r="E2564" i="37"/>
  <c r="I2563" i="37"/>
  <c r="E2563" i="37"/>
  <c r="F2560" i="37"/>
  <c r="E2559" i="37"/>
  <c r="E2558" i="37"/>
  <c r="E2557" i="37"/>
  <c r="E2555" i="37"/>
  <c r="E2554" i="37"/>
  <c r="E2552" i="37"/>
  <c r="E2551" i="37"/>
  <c r="E2549" i="37"/>
  <c r="E2548" i="37"/>
  <c r="E2547" i="37"/>
  <c r="E2546" i="37"/>
  <c r="E2545" i="37"/>
  <c r="E2543" i="37"/>
  <c r="E2536" i="37"/>
  <c r="E2535" i="37"/>
  <c r="E2531" i="37"/>
  <c r="E2527" i="37"/>
  <c r="E2525" i="37"/>
  <c r="E2524" i="37"/>
  <c r="E2523" i="37"/>
  <c r="E2522" i="37"/>
  <c r="E2519" i="37"/>
  <c r="E2518" i="37"/>
  <c r="E2517" i="37"/>
  <c r="E2516" i="37"/>
  <c r="E2514" i="37"/>
  <c r="E2512" i="37"/>
  <c r="E2511" i="37"/>
  <c r="E2510" i="37"/>
  <c r="E2508" i="37"/>
  <c r="N2507" i="37"/>
  <c r="M2507" i="37"/>
  <c r="L2507" i="37"/>
  <c r="K2507" i="37"/>
  <c r="J2507" i="37"/>
  <c r="I2507" i="37"/>
  <c r="H2507" i="37"/>
  <c r="E2507" i="37"/>
  <c r="E2506" i="37"/>
  <c r="E2505" i="37"/>
  <c r="E2503" i="37"/>
  <c r="E2502" i="37"/>
  <c r="E2501" i="37"/>
  <c r="E2499" i="37"/>
  <c r="N2498" i="37"/>
  <c r="Z2498" i="37" s="1"/>
  <c r="M2498" i="37"/>
  <c r="Y2498" i="37" s="1"/>
  <c r="L2498" i="37"/>
  <c r="X2498" i="37" s="1"/>
  <c r="K2498" i="37"/>
  <c r="W2498" i="37" s="1"/>
  <c r="J2498" i="37"/>
  <c r="V2498" i="37" s="1"/>
  <c r="I2498" i="37"/>
  <c r="U2498" i="37" s="1"/>
  <c r="H2498" i="37"/>
  <c r="T2498" i="37" s="1"/>
  <c r="E2498" i="37"/>
  <c r="E2497" i="37"/>
  <c r="E2496" i="37"/>
  <c r="E2494" i="37"/>
  <c r="E2493" i="37"/>
  <c r="E2492" i="37"/>
  <c r="Z2489" i="37"/>
  <c r="Y2489" i="37"/>
  <c r="X2489" i="37"/>
  <c r="W2489" i="37"/>
  <c r="V2489" i="37"/>
  <c r="E2489" i="37"/>
  <c r="E2488" i="37"/>
  <c r="E2485" i="37"/>
  <c r="E2482" i="37"/>
  <c r="E2480" i="37"/>
  <c r="I2479" i="37"/>
  <c r="E2479" i="37"/>
  <c r="T2476" i="37"/>
  <c r="G2476" i="37"/>
  <c r="H2480" i="37" s="1"/>
  <c r="H2483" i="37" s="1"/>
  <c r="E2476" i="37"/>
  <c r="E2474" i="37"/>
  <c r="E2473" i="37"/>
  <c r="E2472" i="37"/>
  <c r="E2471" i="37"/>
  <c r="E2469" i="37"/>
  <c r="E2468" i="37"/>
  <c r="E2467" i="37"/>
  <c r="E2466" i="37"/>
  <c r="E2464" i="37"/>
  <c r="N2463" i="37"/>
  <c r="M2463" i="37"/>
  <c r="L2463" i="37"/>
  <c r="K2463" i="37"/>
  <c r="J2463" i="37"/>
  <c r="I2463" i="37"/>
  <c r="H2463" i="37"/>
  <c r="E2463" i="37"/>
  <c r="E2462" i="37"/>
  <c r="E2461" i="37"/>
  <c r="E2459" i="37"/>
  <c r="E2458" i="37"/>
  <c r="E2457" i="37"/>
  <c r="E2455" i="37"/>
  <c r="N2454" i="37"/>
  <c r="M2454" i="37"/>
  <c r="L2454" i="37"/>
  <c r="K2454" i="37"/>
  <c r="J2454" i="37"/>
  <c r="I2454" i="37"/>
  <c r="H2454" i="37"/>
  <c r="E2454" i="37"/>
  <c r="E2453" i="37"/>
  <c r="E2452" i="37"/>
  <c r="E2450" i="37"/>
  <c r="E2449" i="37"/>
  <c r="E2448" i="37"/>
  <c r="E2447" i="37"/>
  <c r="E2446" i="37"/>
  <c r="E2444" i="37"/>
  <c r="E2442" i="37"/>
  <c r="Z2441" i="37"/>
  <c r="Y2441" i="37"/>
  <c r="X2441" i="37"/>
  <c r="W2441" i="37"/>
  <c r="V2441" i="37"/>
  <c r="U2441" i="37"/>
  <c r="T2441" i="37"/>
  <c r="E2441" i="37"/>
  <c r="E2440" i="37"/>
  <c r="E2438" i="37"/>
  <c r="E2437" i="37"/>
  <c r="E2436" i="37"/>
  <c r="E2434" i="37"/>
  <c r="Z2433" i="37"/>
  <c r="Y2433" i="37"/>
  <c r="X2433" i="37"/>
  <c r="W2433" i="37"/>
  <c r="V2433" i="37"/>
  <c r="U2433" i="37"/>
  <c r="T2433" i="37"/>
  <c r="E2433" i="37"/>
  <c r="E2432" i="37"/>
  <c r="E2431" i="37"/>
  <c r="E2430" i="37"/>
  <c r="E2429" i="37"/>
  <c r="E2428" i="37"/>
  <c r="E2427" i="37"/>
  <c r="E2426" i="37"/>
  <c r="E2424" i="37"/>
  <c r="E2422" i="37"/>
  <c r="E2421" i="37"/>
  <c r="E2420" i="37"/>
  <c r="E2419" i="37"/>
  <c r="N2417" i="37"/>
  <c r="N2414" i="37" s="1"/>
  <c r="N2415" i="37" s="1"/>
  <c r="M2417" i="37"/>
  <c r="M2414" i="37" s="1"/>
  <c r="M2415" i="37" s="1"/>
  <c r="L2417" i="37"/>
  <c r="L2414" i="37" s="1"/>
  <c r="L2415" i="37" s="1"/>
  <c r="K2417" i="37"/>
  <c r="K2414" i="37" s="1"/>
  <c r="K2415" i="37" s="1"/>
  <c r="J2417" i="37"/>
  <c r="J2414" i="37" s="1"/>
  <c r="J2415" i="37" s="1"/>
  <c r="I2417" i="37"/>
  <c r="I2414" i="37" s="1"/>
  <c r="I2415" i="37" s="1"/>
  <c r="H2417" i="37"/>
  <c r="H2414" i="37" s="1"/>
  <c r="H2415" i="37" s="1"/>
  <c r="E2417" i="37"/>
  <c r="N2416" i="37"/>
  <c r="M2416" i="37"/>
  <c r="L2416" i="37"/>
  <c r="K2416" i="37"/>
  <c r="J2416" i="37"/>
  <c r="I2416" i="37"/>
  <c r="H2416" i="37"/>
  <c r="E2416" i="37"/>
  <c r="E2415" i="37"/>
  <c r="E2414" i="37"/>
  <c r="E2413" i="37"/>
  <c r="E2412" i="37"/>
  <c r="E2411" i="37"/>
  <c r="E2410" i="37"/>
  <c r="E2409" i="37"/>
  <c r="E2407" i="37"/>
  <c r="N2405" i="37"/>
  <c r="N2402" i="37" s="1"/>
  <c r="N2403" i="37" s="1"/>
  <c r="M2405" i="37"/>
  <c r="M2402" i="37" s="1"/>
  <c r="M2403" i="37" s="1"/>
  <c r="L2405" i="37"/>
  <c r="L2402" i="37" s="1"/>
  <c r="L2403" i="37" s="1"/>
  <c r="K2405" i="37"/>
  <c r="K2402" i="37" s="1"/>
  <c r="K2403" i="37" s="1"/>
  <c r="J2405" i="37"/>
  <c r="J2402" i="37" s="1"/>
  <c r="J2403" i="37" s="1"/>
  <c r="I2405" i="37"/>
  <c r="I2402" i="37" s="1"/>
  <c r="I2403" i="37" s="1"/>
  <c r="H2405" i="37"/>
  <c r="H2402" i="37" s="1"/>
  <c r="H2403" i="37" s="1"/>
  <c r="E2405" i="37"/>
  <c r="N2404" i="37"/>
  <c r="M2404" i="37"/>
  <c r="L2404" i="37"/>
  <c r="K2404" i="37"/>
  <c r="J2404" i="37"/>
  <c r="I2404" i="37"/>
  <c r="H2404" i="37"/>
  <c r="E2404" i="37"/>
  <c r="E2403" i="37"/>
  <c r="E2402" i="37"/>
  <c r="E2401" i="37"/>
  <c r="E2400" i="37"/>
  <c r="E2399" i="37"/>
  <c r="E2398" i="37"/>
  <c r="E2397" i="37"/>
  <c r="E2395" i="37"/>
  <c r="E2394" i="37"/>
  <c r="E2393" i="37"/>
  <c r="E2392" i="37"/>
  <c r="E2391" i="37"/>
  <c r="E2390" i="37"/>
  <c r="E2389" i="37"/>
  <c r="E2388" i="37"/>
  <c r="E2387" i="37"/>
  <c r="E2386" i="37"/>
  <c r="E2384" i="37"/>
  <c r="E2381" i="37"/>
  <c r="E2374" i="37"/>
  <c r="F2373" i="37"/>
  <c r="F2372" i="37"/>
  <c r="F2371" i="37"/>
  <c r="F2370" i="37"/>
  <c r="F2369" i="37"/>
  <c r="F2368" i="37"/>
  <c r="F2367" i="37"/>
  <c r="E2366" i="37"/>
  <c r="E2365" i="37"/>
  <c r="E2364" i="37"/>
  <c r="E2362" i="37"/>
  <c r="E2359" i="37"/>
  <c r="E2358" i="37"/>
  <c r="E2357" i="37"/>
  <c r="D2353" i="37"/>
  <c r="N2350" i="37"/>
  <c r="M2350" i="37"/>
  <c r="L2350" i="37"/>
  <c r="K2350" i="37"/>
  <c r="J2350" i="37"/>
  <c r="I2350" i="37"/>
  <c r="H2350" i="37"/>
  <c r="E2350" i="37"/>
  <c r="D2341" i="37"/>
  <c r="D2342" i="37" s="1"/>
  <c r="D2343" i="37" s="1"/>
  <c r="D2344" i="37" s="1"/>
  <c r="D2345" i="37" s="1"/>
  <c r="D2346" i="37" s="1"/>
  <c r="D2347" i="37" s="1"/>
  <c r="D2348" i="37" s="1"/>
  <c r="D2349" i="37" s="1"/>
  <c r="F2339" i="37"/>
  <c r="E2337" i="37"/>
  <c r="E2332" i="37"/>
  <c r="E2331" i="37"/>
  <c r="E2329" i="37"/>
  <c r="D2327" i="37"/>
  <c r="E2324" i="37"/>
  <c r="E2323" i="37"/>
  <c r="E2320" i="37"/>
  <c r="E2317" i="37"/>
  <c r="H2315" i="37"/>
  <c r="E2315" i="37"/>
  <c r="I2314" i="37"/>
  <c r="E2314" i="37"/>
  <c r="E2312" i="37"/>
  <c r="N2310" i="37"/>
  <c r="M2310" i="37"/>
  <c r="L2310" i="37"/>
  <c r="K2310" i="37"/>
  <c r="J2310" i="37"/>
  <c r="I2310" i="37"/>
  <c r="H2310" i="37"/>
  <c r="E2310" i="37"/>
  <c r="E2309" i="37"/>
  <c r="Z2308" i="37"/>
  <c r="Y2308" i="37"/>
  <c r="X2308" i="37"/>
  <c r="W2308" i="37"/>
  <c r="V2308" i="37"/>
  <c r="U2308" i="37"/>
  <c r="T2308" i="37"/>
  <c r="E2308" i="37"/>
  <c r="E2307" i="37"/>
  <c r="E2306" i="37"/>
  <c r="E2305" i="37"/>
  <c r="E2304" i="37"/>
  <c r="E2303" i="37"/>
  <c r="R2302" i="37"/>
  <c r="E2302" i="37"/>
  <c r="E2300" i="37"/>
  <c r="E2299" i="37"/>
  <c r="R2297" i="37"/>
  <c r="D2295" i="37"/>
  <c r="E2292" i="37"/>
  <c r="E2291" i="37"/>
  <c r="E2288" i="37"/>
  <c r="E2285" i="37"/>
  <c r="E2283" i="37"/>
  <c r="I2282" i="37"/>
  <c r="E2282" i="37"/>
  <c r="F2279" i="37"/>
  <c r="E2278" i="37"/>
  <c r="E2277" i="37"/>
  <c r="E2276" i="37"/>
  <c r="E2274" i="37"/>
  <c r="E2273" i="37"/>
  <c r="E2271" i="37"/>
  <c r="E2270" i="37"/>
  <c r="E2268" i="37"/>
  <c r="E2267" i="37"/>
  <c r="E2266" i="37"/>
  <c r="E2265" i="37"/>
  <c r="E2264" i="37"/>
  <c r="E2262" i="37"/>
  <c r="E2255" i="37"/>
  <c r="E2254" i="37"/>
  <c r="E2250" i="37"/>
  <c r="E2246" i="37"/>
  <c r="E2244" i="37"/>
  <c r="E2243" i="37"/>
  <c r="E2242" i="37"/>
  <c r="E2241" i="37"/>
  <c r="E2238" i="37"/>
  <c r="E2237" i="37"/>
  <c r="E2236" i="37"/>
  <c r="E2235" i="37"/>
  <c r="E2233" i="37"/>
  <c r="E2231" i="37"/>
  <c r="E2230" i="37"/>
  <c r="E2229" i="37"/>
  <c r="E2227" i="37"/>
  <c r="N2226" i="37"/>
  <c r="M2226" i="37"/>
  <c r="L2226" i="37"/>
  <c r="K2226" i="37"/>
  <c r="J2226" i="37"/>
  <c r="I2226" i="37"/>
  <c r="H2226" i="37"/>
  <c r="E2226" i="37"/>
  <c r="E2225" i="37"/>
  <c r="E2224" i="37"/>
  <c r="E2222" i="37"/>
  <c r="E2221" i="37"/>
  <c r="E2220" i="37"/>
  <c r="E2218" i="37"/>
  <c r="N2217" i="37"/>
  <c r="Z2217" i="37" s="1"/>
  <c r="M2217" i="37"/>
  <c r="Y2217" i="37" s="1"/>
  <c r="L2217" i="37"/>
  <c r="X2217" i="37" s="1"/>
  <c r="K2217" i="37"/>
  <c r="W2217" i="37" s="1"/>
  <c r="J2217" i="37"/>
  <c r="V2217" i="37" s="1"/>
  <c r="I2217" i="37"/>
  <c r="U2217" i="37" s="1"/>
  <c r="H2217" i="37"/>
  <c r="T2217" i="37" s="1"/>
  <c r="E2217" i="37"/>
  <c r="E2216" i="37"/>
  <c r="E2215" i="37"/>
  <c r="E2213" i="37"/>
  <c r="E2212" i="37"/>
  <c r="E2211" i="37"/>
  <c r="Z2208" i="37"/>
  <c r="Y2208" i="37"/>
  <c r="X2208" i="37"/>
  <c r="W2208" i="37"/>
  <c r="V2208" i="37"/>
  <c r="E2208" i="37"/>
  <c r="E2207" i="37"/>
  <c r="E2204" i="37"/>
  <c r="E2201" i="37"/>
  <c r="E2199" i="37"/>
  <c r="I2198" i="37"/>
  <c r="E2198" i="37"/>
  <c r="T2195" i="37"/>
  <c r="G2195" i="37"/>
  <c r="H2199" i="37" s="1"/>
  <c r="H2202" i="37" s="1"/>
  <c r="E2195" i="37"/>
  <c r="E2193" i="37"/>
  <c r="E2192" i="37"/>
  <c r="E2191" i="37"/>
  <c r="E2190" i="37"/>
  <c r="E2188" i="37"/>
  <c r="E2187" i="37"/>
  <c r="E2186" i="37"/>
  <c r="E2185" i="37"/>
  <c r="E2183" i="37"/>
  <c r="N2182" i="37"/>
  <c r="M2182" i="37"/>
  <c r="L2182" i="37"/>
  <c r="K2182" i="37"/>
  <c r="J2182" i="37"/>
  <c r="I2182" i="37"/>
  <c r="H2182" i="37"/>
  <c r="E2182" i="37"/>
  <c r="E2181" i="37"/>
  <c r="E2180" i="37"/>
  <c r="E2178" i="37"/>
  <c r="E2177" i="37"/>
  <c r="E2176" i="37"/>
  <c r="E2174" i="37"/>
  <c r="N2173" i="37"/>
  <c r="M2173" i="37"/>
  <c r="L2173" i="37"/>
  <c r="K2173" i="37"/>
  <c r="J2173" i="37"/>
  <c r="I2173" i="37"/>
  <c r="H2173" i="37"/>
  <c r="E2173" i="37"/>
  <c r="E2172" i="37"/>
  <c r="E2171" i="37"/>
  <c r="E2169" i="37"/>
  <c r="E2168" i="37"/>
  <c r="E2167" i="37"/>
  <c r="E2166" i="37"/>
  <c r="E2165" i="37"/>
  <c r="E2163" i="37"/>
  <c r="E2161" i="37"/>
  <c r="Z2160" i="37"/>
  <c r="Y2160" i="37"/>
  <c r="X2160" i="37"/>
  <c r="W2160" i="37"/>
  <c r="V2160" i="37"/>
  <c r="U2160" i="37"/>
  <c r="T2160" i="37"/>
  <c r="E2160" i="37"/>
  <c r="E2159" i="37"/>
  <c r="E2157" i="37"/>
  <c r="E2156" i="37"/>
  <c r="E2155" i="37"/>
  <c r="E2153" i="37"/>
  <c r="Z2152" i="37"/>
  <c r="Y2152" i="37"/>
  <c r="X2152" i="37"/>
  <c r="W2152" i="37"/>
  <c r="V2152" i="37"/>
  <c r="U2152" i="37"/>
  <c r="T2152" i="37"/>
  <c r="E2152" i="37"/>
  <c r="E2151" i="37"/>
  <c r="E2150" i="37"/>
  <c r="E2149" i="37"/>
  <c r="E2148" i="37"/>
  <c r="E2147" i="37"/>
  <c r="E2146" i="37"/>
  <c r="E2145" i="37"/>
  <c r="E2143" i="37"/>
  <c r="E2141" i="37"/>
  <c r="E2140" i="37"/>
  <c r="E2139" i="37"/>
  <c r="E2138" i="37"/>
  <c r="N2136" i="37"/>
  <c r="N2133" i="37" s="1"/>
  <c r="N2134" i="37" s="1"/>
  <c r="M2136" i="37"/>
  <c r="M2133" i="37" s="1"/>
  <c r="M2134" i="37" s="1"/>
  <c r="L2136" i="37"/>
  <c r="L2133" i="37" s="1"/>
  <c r="L2134" i="37" s="1"/>
  <c r="K2136" i="37"/>
  <c r="K2133" i="37" s="1"/>
  <c r="K2134" i="37" s="1"/>
  <c r="J2136" i="37"/>
  <c r="J2133" i="37" s="1"/>
  <c r="J2134" i="37" s="1"/>
  <c r="I2136" i="37"/>
  <c r="I2133" i="37" s="1"/>
  <c r="I2134" i="37" s="1"/>
  <c r="H2136" i="37"/>
  <c r="H2133" i="37" s="1"/>
  <c r="H2134" i="37" s="1"/>
  <c r="E2136" i="37"/>
  <c r="N2135" i="37"/>
  <c r="M2135" i="37"/>
  <c r="L2135" i="37"/>
  <c r="K2135" i="37"/>
  <c r="J2135" i="37"/>
  <c r="I2135" i="37"/>
  <c r="H2135" i="37"/>
  <c r="E2135" i="37"/>
  <c r="E2134" i="37"/>
  <c r="E2133" i="37"/>
  <c r="E2132" i="37"/>
  <c r="E2131" i="37"/>
  <c r="E2130" i="37"/>
  <c r="E2129" i="37"/>
  <c r="E2128" i="37"/>
  <c r="E2126" i="37"/>
  <c r="N2124" i="37"/>
  <c r="N2121" i="37" s="1"/>
  <c r="N2122" i="37" s="1"/>
  <c r="M2124" i="37"/>
  <c r="M2121" i="37" s="1"/>
  <c r="M2122" i="37" s="1"/>
  <c r="L2124" i="37"/>
  <c r="L2121" i="37" s="1"/>
  <c r="L2122" i="37" s="1"/>
  <c r="K2124" i="37"/>
  <c r="K2121" i="37" s="1"/>
  <c r="K2122" i="37" s="1"/>
  <c r="J2124" i="37"/>
  <c r="J2121" i="37" s="1"/>
  <c r="J2122" i="37" s="1"/>
  <c r="I2124" i="37"/>
  <c r="I2121" i="37" s="1"/>
  <c r="I2122" i="37" s="1"/>
  <c r="H2124" i="37"/>
  <c r="H2121" i="37" s="1"/>
  <c r="H2122" i="37" s="1"/>
  <c r="E2124" i="37"/>
  <c r="N2123" i="37"/>
  <c r="M2123" i="37"/>
  <c r="L2123" i="37"/>
  <c r="K2123" i="37"/>
  <c r="J2123" i="37"/>
  <c r="I2123" i="37"/>
  <c r="H2123" i="37"/>
  <c r="E2123" i="37"/>
  <c r="E2122" i="37"/>
  <c r="E2121" i="37"/>
  <c r="E2120" i="37"/>
  <c r="E2119" i="37"/>
  <c r="E2118" i="37"/>
  <c r="E2117" i="37"/>
  <c r="E2116" i="37"/>
  <c r="E2114" i="37"/>
  <c r="E2113" i="37"/>
  <c r="E2112" i="37"/>
  <c r="E2111" i="37"/>
  <c r="E2110" i="37"/>
  <c r="E2109" i="37"/>
  <c r="E2108" i="37"/>
  <c r="E2107" i="37"/>
  <c r="E2106" i="37"/>
  <c r="E2105" i="37"/>
  <c r="E2103" i="37"/>
  <c r="E2100" i="37"/>
  <c r="E2093" i="37"/>
  <c r="F2092" i="37"/>
  <c r="F2091" i="37"/>
  <c r="F2090" i="37"/>
  <c r="F2089" i="37"/>
  <c r="F2088" i="37"/>
  <c r="F2087" i="37"/>
  <c r="F2086" i="37"/>
  <c r="E2085" i="37"/>
  <c r="E2084" i="37"/>
  <c r="E2083" i="37"/>
  <c r="E2081" i="37"/>
  <c r="E2078" i="37"/>
  <c r="E2077" i="37"/>
  <c r="E2076" i="37"/>
  <c r="D2072" i="37"/>
  <c r="N2069" i="37"/>
  <c r="M2069" i="37"/>
  <c r="L2069" i="37"/>
  <c r="K2069" i="37"/>
  <c r="J2069" i="37"/>
  <c r="I2069" i="37"/>
  <c r="H2069" i="37"/>
  <c r="E2069" i="37"/>
  <c r="D2060" i="37"/>
  <c r="D2061" i="37" s="1"/>
  <c r="D2062" i="37" s="1"/>
  <c r="D2063" i="37" s="1"/>
  <c r="D2064" i="37" s="1"/>
  <c r="D2065" i="37" s="1"/>
  <c r="D2066" i="37" s="1"/>
  <c r="D2067" i="37" s="1"/>
  <c r="D2068" i="37" s="1"/>
  <c r="F2058" i="37"/>
  <c r="E2056" i="37"/>
  <c r="E2051" i="37"/>
  <c r="E2050" i="37"/>
  <c r="E2048" i="37"/>
  <c r="D2046" i="37"/>
  <c r="E2043" i="37"/>
  <c r="E2042" i="37"/>
  <c r="E2039" i="37"/>
  <c r="E2036" i="37"/>
  <c r="H2034" i="37"/>
  <c r="H2043" i="37" s="1"/>
  <c r="E2034" i="37"/>
  <c r="I2033" i="37"/>
  <c r="E2033" i="37"/>
  <c r="E2031" i="37"/>
  <c r="N2029" i="37"/>
  <c r="M2029" i="37"/>
  <c r="L2029" i="37"/>
  <c r="K2029" i="37"/>
  <c r="J2029" i="37"/>
  <c r="I2029" i="37"/>
  <c r="H2029" i="37"/>
  <c r="E2029" i="37"/>
  <c r="E2028" i="37"/>
  <c r="Z2027" i="37"/>
  <c r="Y2027" i="37"/>
  <c r="X2027" i="37"/>
  <c r="W2027" i="37"/>
  <c r="V2027" i="37"/>
  <c r="U2027" i="37"/>
  <c r="T2027" i="37"/>
  <c r="E2027" i="37"/>
  <c r="E2026" i="37"/>
  <c r="E2025" i="37"/>
  <c r="E2024" i="37"/>
  <c r="E2023" i="37"/>
  <c r="E2022" i="37"/>
  <c r="R2021" i="37"/>
  <c r="E2021" i="37"/>
  <c r="E2019" i="37"/>
  <c r="E2018" i="37"/>
  <c r="R2016" i="37"/>
  <c r="D2014" i="37"/>
  <c r="E2011" i="37"/>
  <c r="E2010" i="37"/>
  <c r="E2007" i="37"/>
  <c r="E2004" i="37"/>
  <c r="E2002" i="37"/>
  <c r="I2001" i="37"/>
  <c r="E2001" i="37"/>
  <c r="F1998" i="37"/>
  <c r="E1997" i="37"/>
  <c r="E1996" i="37"/>
  <c r="E1995" i="37"/>
  <c r="E1993" i="37"/>
  <c r="E1992" i="37"/>
  <c r="E1990" i="37"/>
  <c r="E1989" i="37"/>
  <c r="E1987" i="37"/>
  <c r="E1986" i="37"/>
  <c r="E1985" i="37"/>
  <c r="E1984" i="37"/>
  <c r="E1983" i="37"/>
  <c r="E1981" i="37"/>
  <c r="E1974" i="37"/>
  <c r="E1973" i="37"/>
  <c r="E1969" i="37"/>
  <c r="E1965" i="37"/>
  <c r="E1963" i="37"/>
  <c r="E1962" i="37"/>
  <c r="E1961" i="37"/>
  <c r="E1960" i="37"/>
  <c r="E1957" i="37"/>
  <c r="E1956" i="37"/>
  <c r="E1955" i="37"/>
  <c r="E1954" i="37"/>
  <c r="E1952" i="37"/>
  <c r="E1950" i="37"/>
  <c r="E1949" i="37"/>
  <c r="E1948" i="37"/>
  <c r="E1946" i="37"/>
  <c r="N1945" i="37"/>
  <c r="M1945" i="37"/>
  <c r="L1945" i="37"/>
  <c r="K1945" i="37"/>
  <c r="J1945" i="37"/>
  <c r="I1945" i="37"/>
  <c r="H1945" i="37"/>
  <c r="E1945" i="37"/>
  <c r="E1944" i="37"/>
  <c r="E1943" i="37"/>
  <c r="E1941" i="37"/>
  <c r="E1940" i="37"/>
  <c r="E1939" i="37"/>
  <c r="E1937" i="37"/>
  <c r="N1936" i="37"/>
  <c r="Z1936" i="37" s="1"/>
  <c r="M1936" i="37"/>
  <c r="Y1936" i="37" s="1"/>
  <c r="L1936" i="37"/>
  <c r="X1936" i="37" s="1"/>
  <c r="K1936" i="37"/>
  <c r="W1936" i="37" s="1"/>
  <c r="J1936" i="37"/>
  <c r="V1936" i="37" s="1"/>
  <c r="I1936" i="37"/>
  <c r="U1936" i="37" s="1"/>
  <c r="H1936" i="37"/>
  <c r="T1936" i="37" s="1"/>
  <c r="E1936" i="37"/>
  <c r="E1935" i="37"/>
  <c r="E1934" i="37"/>
  <c r="E1932" i="37"/>
  <c r="E1931" i="37"/>
  <c r="E1930" i="37"/>
  <c r="Z1927" i="37"/>
  <c r="Y1927" i="37"/>
  <c r="X1927" i="37"/>
  <c r="W1927" i="37"/>
  <c r="V1927" i="37"/>
  <c r="E1927" i="37"/>
  <c r="E1926" i="37"/>
  <c r="E1923" i="37"/>
  <c r="E1920" i="37"/>
  <c r="E1918" i="37"/>
  <c r="I1917" i="37"/>
  <c r="E1917" i="37"/>
  <c r="T1914" i="37"/>
  <c r="G1914" i="37"/>
  <c r="H1918" i="37" s="1"/>
  <c r="E1914" i="37"/>
  <c r="E1912" i="37"/>
  <c r="E1911" i="37"/>
  <c r="E1910" i="37"/>
  <c r="E1909" i="37"/>
  <c r="E1907" i="37"/>
  <c r="E1906" i="37"/>
  <c r="E1905" i="37"/>
  <c r="E1904" i="37"/>
  <c r="E1902" i="37"/>
  <c r="N1901" i="37"/>
  <c r="M1901" i="37"/>
  <c r="L1901" i="37"/>
  <c r="K1901" i="37"/>
  <c r="J1901" i="37"/>
  <c r="I1901" i="37"/>
  <c r="H1901" i="37"/>
  <c r="E1901" i="37"/>
  <c r="E1900" i="37"/>
  <c r="E1899" i="37"/>
  <c r="E1897" i="37"/>
  <c r="E1896" i="37"/>
  <c r="E1895" i="37"/>
  <c r="E1893" i="37"/>
  <c r="N1892" i="37"/>
  <c r="M1892" i="37"/>
  <c r="L1892" i="37"/>
  <c r="K1892" i="37"/>
  <c r="J1892" i="37"/>
  <c r="I1892" i="37"/>
  <c r="H1892" i="37"/>
  <c r="E1892" i="37"/>
  <c r="E1891" i="37"/>
  <c r="E1890" i="37"/>
  <c r="E1888" i="37"/>
  <c r="E1887" i="37"/>
  <c r="E1886" i="37"/>
  <c r="E1885" i="37"/>
  <c r="E1884" i="37"/>
  <c r="E1882" i="37"/>
  <c r="E1880" i="37"/>
  <c r="Z1879" i="37"/>
  <c r="Y1879" i="37"/>
  <c r="X1879" i="37"/>
  <c r="W1879" i="37"/>
  <c r="V1879" i="37"/>
  <c r="U1879" i="37"/>
  <c r="T1879" i="37"/>
  <c r="E1879" i="37"/>
  <c r="E1878" i="37"/>
  <c r="E1876" i="37"/>
  <c r="E1875" i="37"/>
  <c r="E1874" i="37"/>
  <c r="E1872" i="37"/>
  <c r="Z1871" i="37"/>
  <c r="Y1871" i="37"/>
  <c r="X1871" i="37"/>
  <c r="W1871" i="37"/>
  <c r="V1871" i="37"/>
  <c r="U1871" i="37"/>
  <c r="T1871" i="37"/>
  <c r="E1871" i="37"/>
  <c r="E1870" i="37"/>
  <c r="E1869" i="37"/>
  <c r="E1868" i="37"/>
  <c r="E1867" i="37"/>
  <c r="E1866" i="37"/>
  <c r="E1865" i="37"/>
  <c r="E1864" i="37"/>
  <c r="E1862" i="37"/>
  <c r="E1860" i="37"/>
  <c r="E1859" i="37"/>
  <c r="E1858" i="37"/>
  <c r="E1857" i="37"/>
  <c r="N1855" i="37"/>
  <c r="N1852" i="37" s="1"/>
  <c r="N1853" i="37" s="1"/>
  <c r="M1855" i="37"/>
  <c r="M1852" i="37" s="1"/>
  <c r="M1853" i="37" s="1"/>
  <c r="L1855" i="37"/>
  <c r="L1852" i="37" s="1"/>
  <c r="L1853" i="37" s="1"/>
  <c r="K1855" i="37"/>
  <c r="K1852" i="37" s="1"/>
  <c r="K1853" i="37" s="1"/>
  <c r="J1855" i="37"/>
  <c r="J1852" i="37" s="1"/>
  <c r="J1853" i="37" s="1"/>
  <c r="I1855" i="37"/>
  <c r="I1852" i="37" s="1"/>
  <c r="I1853" i="37" s="1"/>
  <c r="H1855" i="37"/>
  <c r="H1852" i="37" s="1"/>
  <c r="H1853" i="37" s="1"/>
  <c r="E1855" i="37"/>
  <c r="N1854" i="37"/>
  <c r="M1854" i="37"/>
  <c r="L1854" i="37"/>
  <c r="K1854" i="37"/>
  <c r="J1854" i="37"/>
  <c r="I1854" i="37"/>
  <c r="H1854" i="37"/>
  <c r="E1854" i="37"/>
  <c r="E1853" i="37"/>
  <c r="E1852" i="37"/>
  <c r="E1851" i="37"/>
  <c r="E1850" i="37"/>
  <c r="E1849" i="37"/>
  <c r="E1848" i="37"/>
  <c r="E1847" i="37"/>
  <c r="E1845" i="37"/>
  <c r="N1843" i="37"/>
  <c r="N1840" i="37" s="1"/>
  <c r="N1841" i="37" s="1"/>
  <c r="M1843" i="37"/>
  <c r="M1840" i="37" s="1"/>
  <c r="M1841" i="37" s="1"/>
  <c r="L1843" i="37"/>
  <c r="L1840" i="37" s="1"/>
  <c r="L1841" i="37" s="1"/>
  <c r="K1843" i="37"/>
  <c r="K1840" i="37" s="1"/>
  <c r="K1841" i="37" s="1"/>
  <c r="J1843" i="37"/>
  <c r="J1840" i="37" s="1"/>
  <c r="J1841" i="37" s="1"/>
  <c r="I1843" i="37"/>
  <c r="I1840" i="37" s="1"/>
  <c r="I1841" i="37" s="1"/>
  <c r="H1843" i="37"/>
  <c r="H1840" i="37" s="1"/>
  <c r="H1841" i="37" s="1"/>
  <c r="E1843" i="37"/>
  <c r="N1842" i="37"/>
  <c r="M1842" i="37"/>
  <c r="L1842" i="37"/>
  <c r="K1842" i="37"/>
  <c r="J1842" i="37"/>
  <c r="I1842" i="37"/>
  <c r="H1842" i="37"/>
  <c r="E1842" i="37"/>
  <c r="E1841" i="37"/>
  <c r="E1840" i="37"/>
  <c r="E1839" i="37"/>
  <c r="E1838" i="37"/>
  <c r="E1837" i="37"/>
  <c r="E1836" i="37"/>
  <c r="E1835" i="37"/>
  <c r="E1833" i="37"/>
  <c r="E1832" i="37"/>
  <c r="E1831" i="37"/>
  <c r="E1830" i="37"/>
  <c r="E1829" i="37"/>
  <c r="E1828" i="37"/>
  <c r="E1827" i="37"/>
  <c r="E1826" i="37"/>
  <c r="E1825" i="37"/>
  <c r="E1824" i="37"/>
  <c r="E1822" i="37"/>
  <c r="E1819" i="37"/>
  <c r="E1812" i="37"/>
  <c r="F1811" i="37"/>
  <c r="F1810" i="37"/>
  <c r="F1809" i="37"/>
  <c r="F1808" i="37"/>
  <c r="F1807" i="37"/>
  <c r="F1806" i="37"/>
  <c r="F1805" i="37"/>
  <c r="E1804" i="37"/>
  <c r="E1803" i="37"/>
  <c r="E1802" i="37"/>
  <c r="E1800" i="37"/>
  <c r="E1797" i="37"/>
  <c r="E1796" i="37"/>
  <c r="E1795" i="37"/>
  <c r="D1791" i="37"/>
  <c r="N1788" i="37"/>
  <c r="M1788" i="37"/>
  <c r="L1788" i="37"/>
  <c r="K1788" i="37"/>
  <c r="J1788" i="37"/>
  <c r="I1788" i="37"/>
  <c r="H1788" i="37"/>
  <c r="E1788" i="37"/>
  <c r="D1779" i="37"/>
  <c r="D1780" i="37" s="1"/>
  <c r="D1781" i="37" s="1"/>
  <c r="D1782" i="37" s="1"/>
  <c r="D1783" i="37" s="1"/>
  <c r="D1784" i="37" s="1"/>
  <c r="D1785" i="37" s="1"/>
  <c r="D1786" i="37" s="1"/>
  <c r="D1787" i="37" s="1"/>
  <c r="F1777" i="37"/>
  <c r="E1775" i="37"/>
  <c r="E1770" i="37"/>
  <c r="E1769" i="37"/>
  <c r="E1767" i="37"/>
  <c r="D1765" i="37"/>
  <c r="E1762" i="37"/>
  <c r="E1761" i="37"/>
  <c r="E1758" i="37"/>
  <c r="E1755" i="37"/>
  <c r="H1753" i="37"/>
  <c r="H1756" i="37" s="1"/>
  <c r="E1753" i="37"/>
  <c r="I1752" i="37"/>
  <c r="E1752" i="37"/>
  <c r="E1750" i="37"/>
  <c r="N1748" i="37"/>
  <c r="M1748" i="37"/>
  <c r="L1748" i="37"/>
  <c r="K1748" i="37"/>
  <c r="J1748" i="37"/>
  <c r="I1748" i="37"/>
  <c r="H1748" i="37"/>
  <c r="E1748" i="37"/>
  <c r="E1747" i="37"/>
  <c r="Z1746" i="37"/>
  <c r="Y1746" i="37"/>
  <c r="X1746" i="37"/>
  <c r="W1746" i="37"/>
  <c r="V1746" i="37"/>
  <c r="U1746" i="37"/>
  <c r="T1746" i="37"/>
  <c r="E1746" i="37"/>
  <c r="E1745" i="37"/>
  <c r="E1744" i="37"/>
  <c r="E1743" i="37"/>
  <c r="E1742" i="37"/>
  <c r="E1741" i="37"/>
  <c r="R1740" i="37"/>
  <c r="E1740" i="37"/>
  <c r="E1738" i="37"/>
  <c r="E1737" i="37"/>
  <c r="R1735" i="37"/>
  <c r="D1733" i="37"/>
  <c r="E1730" i="37"/>
  <c r="E1729" i="37"/>
  <c r="E1726" i="37"/>
  <c r="E1723" i="37"/>
  <c r="E1721" i="37"/>
  <c r="I1720" i="37"/>
  <c r="E1720" i="37"/>
  <c r="F1717" i="37"/>
  <c r="E1716" i="37"/>
  <c r="E1715" i="37"/>
  <c r="E1714" i="37"/>
  <c r="E1712" i="37"/>
  <c r="E1711" i="37"/>
  <c r="E1709" i="37"/>
  <c r="E1708" i="37"/>
  <c r="E1706" i="37"/>
  <c r="E1705" i="37"/>
  <c r="E1704" i="37"/>
  <c r="E1703" i="37"/>
  <c r="E1702" i="37"/>
  <c r="E1700" i="37"/>
  <c r="E1693" i="37"/>
  <c r="E1692" i="37"/>
  <c r="E1688" i="37"/>
  <c r="E1684" i="37"/>
  <c r="E1682" i="37"/>
  <c r="E1681" i="37"/>
  <c r="E1680" i="37"/>
  <c r="E1679" i="37"/>
  <c r="E1676" i="37"/>
  <c r="E1675" i="37"/>
  <c r="E1674" i="37"/>
  <c r="E1673" i="37"/>
  <c r="E1671" i="37"/>
  <c r="E1669" i="37"/>
  <c r="E1668" i="37"/>
  <c r="E1667" i="37"/>
  <c r="E1665" i="37"/>
  <c r="N1664" i="37"/>
  <c r="M1664" i="37"/>
  <c r="L1664" i="37"/>
  <c r="K1664" i="37"/>
  <c r="J1664" i="37"/>
  <c r="I1664" i="37"/>
  <c r="H1664" i="37"/>
  <c r="E1664" i="37"/>
  <c r="E1663" i="37"/>
  <c r="E1662" i="37"/>
  <c r="E1660" i="37"/>
  <c r="E1659" i="37"/>
  <c r="E1658" i="37"/>
  <c r="E1656" i="37"/>
  <c r="N1655" i="37"/>
  <c r="Z1655" i="37" s="1"/>
  <c r="M1655" i="37"/>
  <c r="Y1655" i="37" s="1"/>
  <c r="L1655" i="37"/>
  <c r="X1655" i="37" s="1"/>
  <c r="K1655" i="37"/>
  <c r="W1655" i="37" s="1"/>
  <c r="J1655" i="37"/>
  <c r="V1655" i="37" s="1"/>
  <c r="I1655" i="37"/>
  <c r="U1655" i="37" s="1"/>
  <c r="H1655" i="37"/>
  <c r="T1655" i="37" s="1"/>
  <c r="E1655" i="37"/>
  <c r="E1654" i="37"/>
  <c r="E1653" i="37"/>
  <c r="E1651" i="37"/>
  <c r="E1650" i="37"/>
  <c r="E1649" i="37"/>
  <c r="Z1646" i="37"/>
  <c r="Y1646" i="37"/>
  <c r="X1646" i="37"/>
  <c r="W1646" i="37"/>
  <c r="V1646" i="37"/>
  <c r="E1646" i="37"/>
  <c r="E1645" i="37"/>
  <c r="E1642" i="37"/>
  <c r="E1639" i="37"/>
  <c r="E1637" i="37"/>
  <c r="I1636" i="37"/>
  <c r="E1636" i="37"/>
  <c r="T1633" i="37"/>
  <c r="G1633" i="37"/>
  <c r="H1637" i="37" s="1"/>
  <c r="E1633" i="37"/>
  <c r="E1631" i="37"/>
  <c r="E1630" i="37"/>
  <c r="E1629" i="37"/>
  <c r="E1628" i="37"/>
  <c r="E1626" i="37"/>
  <c r="E1625" i="37"/>
  <c r="E1624" i="37"/>
  <c r="E1623" i="37"/>
  <c r="E1621" i="37"/>
  <c r="N1620" i="37"/>
  <c r="M1620" i="37"/>
  <c r="L1620" i="37"/>
  <c r="K1620" i="37"/>
  <c r="J1620" i="37"/>
  <c r="I1620" i="37"/>
  <c r="H1620" i="37"/>
  <c r="E1620" i="37"/>
  <c r="E1619" i="37"/>
  <c r="E1618" i="37"/>
  <c r="E1616" i="37"/>
  <c r="E1615" i="37"/>
  <c r="E1614" i="37"/>
  <c r="E1612" i="37"/>
  <c r="N1611" i="37"/>
  <c r="M1611" i="37"/>
  <c r="L1611" i="37"/>
  <c r="K1611" i="37"/>
  <c r="J1611" i="37"/>
  <c r="I1611" i="37"/>
  <c r="H1611" i="37"/>
  <c r="E1611" i="37"/>
  <c r="E1610" i="37"/>
  <c r="E1609" i="37"/>
  <c r="E1607" i="37"/>
  <c r="E1606" i="37"/>
  <c r="E1605" i="37"/>
  <c r="E1604" i="37"/>
  <c r="E1603" i="37"/>
  <c r="E1601" i="37"/>
  <c r="E1599" i="37"/>
  <c r="Z1598" i="37"/>
  <c r="Y1598" i="37"/>
  <c r="X1598" i="37"/>
  <c r="W1598" i="37"/>
  <c r="V1598" i="37"/>
  <c r="U1598" i="37"/>
  <c r="T1598" i="37"/>
  <c r="E1598" i="37"/>
  <c r="E1597" i="37"/>
  <c r="E1595" i="37"/>
  <c r="E1594" i="37"/>
  <c r="E1593" i="37"/>
  <c r="E1591" i="37"/>
  <c r="Z1590" i="37"/>
  <c r="Y1590" i="37"/>
  <c r="X1590" i="37"/>
  <c r="W1590" i="37"/>
  <c r="V1590" i="37"/>
  <c r="U1590" i="37"/>
  <c r="T1590" i="37"/>
  <c r="E1590" i="37"/>
  <c r="E1589" i="37"/>
  <c r="E1588" i="37"/>
  <c r="E1587" i="37"/>
  <c r="E1586" i="37"/>
  <c r="E1585" i="37"/>
  <c r="E1584" i="37"/>
  <c r="E1583" i="37"/>
  <c r="E1581" i="37"/>
  <c r="E1579" i="37"/>
  <c r="E1578" i="37"/>
  <c r="E1577" i="37"/>
  <c r="E1576" i="37"/>
  <c r="N1574" i="37"/>
  <c r="N1571" i="37" s="1"/>
  <c r="N1572" i="37" s="1"/>
  <c r="M1574" i="37"/>
  <c r="M1571" i="37" s="1"/>
  <c r="M1572" i="37" s="1"/>
  <c r="L1574" i="37"/>
  <c r="L1571" i="37" s="1"/>
  <c r="L1572" i="37" s="1"/>
  <c r="K1574" i="37"/>
  <c r="K1571" i="37" s="1"/>
  <c r="K1572" i="37" s="1"/>
  <c r="J1574" i="37"/>
  <c r="J1571" i="37" s="1"/>
  <c r="J1572" i="37" s="1"/>
  <c r="I1574" i="37"/>
  <c r="I1571" i="37" s="1"/>
  <c r="I1572" i="37" s="1"/>
  <c r="H1574" i="37"/>
  <c r="H1571" i="37" s="1"/>
  <c r="H1572" i="37" s="1"/>
  <c r="E1574" i="37"/>
  <c r="N1573" i="37"/>
  <c r="M1573" i="37"/>
  <c r="L1573" i="37"/>
  <c r="K1573" i="37"/>
  <c r="J1573" i="37"/>
  <c r="I1573" i="37"/>
  <c r="H1573" i="37"/>
  <c r="E1573" i="37"/>
  <c r="E1572" i="37"/>
  <c r="E1571" i="37"/>
  <c r="E1570" i="37"/>
  <c r="E1569" i="37"/>
  <c r="E1568" i="37"/>
  <c r="E1567" i="37"/>
  <c r="E1566" i="37"/>
  <c r="E1564" i="37"/>
  <c r="N1562" i="37"/>
  <c r="N1559" i="37" s="1"/>
  <c r="N1560" i="37" s="1"/>
  <c r="M1562" i="37"/>
  <c r="M1559" i="37" s="1"/>
  <c r="M1560" i="37" s="1"/>
  <c r="L1562" i="37"/>
  <c r="L1559" i="37" s="1"/>
  <c r="L1560" i="37" s="1"/>
  <c r="K1562" i="37"/>
  <c r="K1559" i="37" s="1"/>
  <c r="K1560" i="37" s="1"/>
  <c r="J1562" i="37"/>
  <c r="J1559" i="37" s="1"/>
  <c r="J1560" i="37" s="1"/>
  <c r="I1562" i="37"/>
  <c r="I1559" i="37" s="1"/>
  <c r="I1560" i="37" s="1"/>
  <c r="H1562" i="37"/>
  <c r="H1559" i="37" s="1"/>
  <c r="H1560" i="37" s="1"/>
  <c r="E1562" i="37"/>
  <c r="N1561" i="37"/>
  <c r="M1561" i="37"/>
  <c r="L1561" i="37"/>
  <c r="K1561" i="37"/>
  <c r="J1561" i="37"/>
  <c r="I1561" i="37"/>
  <c r="H1561" i="37"/>
  <c r="E1561" i="37"/>
  <c r="E1560" i="37"/>
  <c r="E1559" i="37"/>
  <c r="E1558" i="37"/>
  <c r="E1557" i="37"/>
  <c r="E1556" i="37"/>
  <c r="E1555" i="37"/>
  <c r="E1554" i="37"/>
  <c r="E1552" i="37"/>
  <c r="E1551" i="37"/>
  <c r="E1550" i="37"/>
  <c r="E1549" i="37"/>
  <c r="E1548" i="37"/>
  <c r="E1547" i="37"/>
  <c r="E1546" i="37"/>
  <c r="E1545" i="37"/>
  <c r="E1544" i="37"/>
  <c r="E1543" i="37"/>
  <c r="E1541" i="37"/>
  <c r="E1538" i="37"/>
  <c r="E1531" i="37"/>
  <c r="F1530" i="37"/>
  <c r="F1529" i="37"/>
  <c r="F1528" i="37"/>
  <c r="F1527" i="37"/>
  <c r="F1526" i="37"/>
  <c r="F1525" i="37"/>
  <c r="F1524" i="37"/>
  <c r="E1523" i="37"/>
  <c r="E1522" i="37"/>
  <c r="E1521" i="37"/>
  <c r="E1519" i="37"/>
  <c r="E1516" i="37"/>
  <c r="E1515" i="37"/>
  <c r="E1514" i="37"/>
  <c r="D1510" i="37"/>
  <c r="N1507" i="37"/>
  <c r="M1507" i="37"/>
  <c r="L1507" i="37"/>
  <c r="K1507" i="37"/>
  <c r="J1507" i="37"/>
  <c r="I1507" i="37"/>
  <c r="H1507" i="37"/>
  <c r="E1507" i="37"/>
  <c r="D1498" i="37"/>
  <c r="D1499" i="37" s="1"/>
  <c r="D1500" i="37" s="1"/>
  <c r="D1501" i="37" s="1"/>
  <c r="D1502" i="37" s="1"/>
  <c r="D1503" i="37" s="1"/>
  <c r="D1504" i="37" s="1"/>
  <c r="D1505" i="37" s="1"/>
  <c r="D1506" i="37" s="1"/>
  <c r="F1496" i="37"/>
  <c r="E1494" i="37"/>
  <c r="E1489" i="37"/>
  <c r="E1488" i="37"/>
  <c r="E1486" i="37"/>
  <c r="D1484" i="37"/>
  <c r="E1481" i="37"/>
  <c r="E1480" i="37"/>
  <c r="E1477" i="37"/>
  <c r="E1474" i="37"/>
  <c r="H1472" i="37"/>
  <c r="E1472" i="37"/>
  <c r="I1471" i="37"/>
  <c r="E1471" i="37"/>
  <c r="E1469" i="37"/>
  <c r="N1467" i="37"/>
  <c r="M1467" i="37"/>
  <c r="L1467" i="37"/>
  <c r="K1467" i="37"/>
  <c r="J1467" i="37"/>
  <c r="I1467" i="37"/>
  <c r="H1467" i="37"/>
  <c r="E1467" i="37"/>
  <c r="E1466" i="37"/>
  <c r="Z1465" i="37"/>
  <c r="Y1465" i="37"/>
  <c r="X1465" i="37"/>
  <c r="W1465" i="37"/>
  <c r="V1465" i="37"/>
  <c r="U1465" i="37"/>
  <c r="T1465" i="37"/>
  <c r="E1465" i="37"/>
  <c r="E1464" i="37"/>
  <c r="E1463" i="37"/>
  <c r="E1462" i="37"/>
  <c r="E1461" i="37"/>
  <c r="E1460" i="37"/>
  <c r="R1459" i="37"/>
  <c r="E1459" i="37"/>
  <c r="E1457" i="37"/>
  <c r="E1456" i="37"/>
  <c r="R1454" i="37"/>
  <c r="D1452" i="37"/>
  <c r="E1449" i="37"/>
  <c r="E1448" i="37"/>
  <c r="E1445" i="37"/>
  <c r="E1442" i="37"/>
  <c r="E1440" i="37"/>
  <c r="I1439" i="37"/>
  <c r="E1439" i="37"/>
  <c r="F1436" i="37"/>
  <c r="E1435" i="37"/>
  <c r="E1434" i="37"/>
  <c r="E1433" i="37"/>
  <c r="E1431" i="37"/>
  <c r="E1430" i="37"/>
  <c r="E1428" i="37"/>
  <c r="E1427" i="37"/>
  <c r="E1425" i="37"/>
  <c r="E1424" i="37"/>
  <c r="E1423" i="37"/>
  <c r="E1422" i="37"/>
  <c r="E1421" i="37"/>
  <c r="E1419" i="37"/>
  <c r="E1412" i="37"/>
  <c r="E1411" i="37"/>
  <c r="E1407" i="37"/>
  <c r="E1403" i="37"/>
  <c r="E1401" i="37"/>
  <c r="E1400" i="37"/>
  <c r="E1399" i="37"/>
  <c r="E1398" i="37"/>
  <c r="E1395" i="37"/>
  <c r="E1394" i="37"/>
  <c r="E1393" i="37"/>
  <c r="E1392" i="37"/>
  <c r="E1390" i="37"/>
  <c r="E1388" i="37"/>
  <c r="E1387" i="37"/>
  <c r="E1386" i="37"/>
  <c r="E1384" i="37"/>
  <c r="N1383" i="37"/>
  <c r="M1383" i="37"/>
  <c r="L1383" i="37"/>
  <c r="K1383" i="37"/>
  <c r="J1383" i="37"/>
  <c r="I1383" i="37"/>
  <c r="H1383" i="37"/>
  <c r="E1383" i="37"/>
  <c r="E1382" i="37"/>
  <c r="E1381" i="37"/>
  <c r="E1379" i="37"/>
  <c r="E1378" i="37"/>
  <c r="E1377" i="37"/>
  <c r="E1375" i="37"/>
  <c r="N1374" i="37"/>
  <c r="Z1374" i="37" s="1"/>
  <c r="M1374" i="37"/>
  <c r="Y1374" i="37" s="1"/>
  <c r="L1374" i="37"/>
  <c r="X1374" i="37" s="1"/>
  <c r="K1374" i="37"/>
  <c r="W1374" i="37" s="1"/>
  <c r="J1374" i="37"/>
  <c r="V1374" i="37" s="1"/>
  <c r="I1374" i="37"/>
  <c r="U1374" i="37" s="1"/>
  <c r="H1374" i="37"/>
  <c r="T1374" i="37" s="1"/>
  <c r="E1374" i="37"/>
  <c r="E1373" i="37"/>
  <c r="E1372" i="37"/>
  <c r="E1370" i="37"/>
  <c r="E1369" i="37"/>
  <c r="E1368" i="37"/>
  <c r="Z1365" i="37"/>
  <c r="Y1365" i="37"/>
  <c r="X1365" i="37"/>
  <c r="W1365" i="37"/>
  <c r="V1365" i="37"/>
  <c r="E1365" i="37"/>
  <c r="E1364" i="37"/>
  <c r="E1361" i="37"/>
  <c r="E1358" i="37"/>
  <c r="E1356" i="37"/>
  <c r="I1355" i="37"/>
  <c r="E1355" i="37"/>
  <c r="T1352" i="37"/>
  <c r="G1352" i="37"/>
  <c r="H1356" i="37" s="1"/>
  <c r="E1352" i="37"/>
  <c r="E1350" i="37"/>
  <c r="E1349" i="37"/>
  <c r="E1348" i="37"/>
  <c r="E1347" i="37"/>
  <c r="E1345" i="37"/>
  <c r="E1344" i="37"/>
  <c r="E1343" i="37"/>
  <c r="E1342" i="37"/>
  <c r="E1340" i="37"/>
  <c r="N1339" i="37"/>
  <c r="M1339" i="37"/>
  <c r="L1339" i="37"/>
  <c r="K1339" i="37"/>
  <c r="J1339" i="37"/>
  <c r="I1339" i="37"/>
  <c r="H1339" i="37"/>
  <c r="E1339" i="37"/>
  <c r="E1338" i="37"/>
  <c r="E1337" i="37"/>
  <c r="E1335" i="37"/>
  <c r="E1334" i="37"/>
  <c r="E1333" i="37"/>
  <c r="E1331" i="37"/>
  <c r="N1330" i="37"/>
  <c r="M1330" i="37"/>
  <c r="L1330" i="37"/>
  <c r="K1330" i="37"/>
  <c r="J1330" i="37"/>
  <c r="I1330" i="37"/>
  <c r="H1330" i="37"/>
  <c r="E1330" i="37"/>
  <c r="E1329" i="37"/>
  <c r="E1328" i="37"/>
  <c r="E1326" i="37"/>
  <c r="E1325" i="37"/>
  <c r="E1324" i="37"/>
  <c r="E1323" i="37"/>
  <c r="E1322" i="37"/>
  <c r="E1320" i="37"/>
  <c r="E1318" i="37"/>
  <c r="Z1317" i="37"/>
  <c r="Y1317" i="37"/>
  <c r="X1317" i="37"/>
  <c r="W1317" i="37"/>
  <c r="V1317" i="37"/>
  <c r="U1317" i="37"/>
  <c r="T1317" i="37"/>
  <c r="E1317" i="37"/>
  <c r="E1316" i="37"/>
  <c r="E1314" i="37"/>
  <c r="E1313" i="37"/>
  <c r="E1312" i="37"/>
  <c r="E1310" i="37"/>
  <c r="Z1309" i="37"/>
  <c r="Y1309" i="37"/>
  <c r="X1309" i="37"/>
  <c r="W1309" i="37"/>
  <c r="V1309" i="37"/>
  <c r="U1309" i="37"/>
  <c r="T1309" i="37"/>
  <c r="E1309" i="37"/>
  <c r="E1308" i="37"/>
  <c r="E1307" i="37"/>
  <c r="E1306" i="37"/>
  <c r="E1305" i="37"/>
  <c r="E1304" i="37"/>
  <c r="E1303" i="37"/>
  <c r="E1302" i="37"/>
  <c r="E1300" i="37"/>
  <c r="E1298" i="37"/>
  <c r="E1297" i="37"/>
  <c r="E1296" i="37"/>
  <c r="E1295" i="37"/>
  <c r="N1293" i="37"/>
  <c r="N1290" i="37" s="1"/>
  <c r="N1291" i="37" s="1"/>
  <c r="M1293" i="37"/>
  <c r="M1290" i="37" s="1"/>
  <c r="M1291" i="37" s="1"/>
  <c r="L1293" i="37"/>
  <c r="L1290" i="37" s="1"/>
  <c r="L1291" i="37" s="1"/>
  <c r="K1293" i="37"/>
  <c r="K1290" i="37" s="1"/>
  <c r="K1291" i="37" s="1"/>
  <c r="J1293" i="37"/>
  <c r="J1290" i="37" s="1"/>
  <c r="J1291" i="37" s="1"/>
  <c r="I1293" i="37"/>
  <c r="I1290" i="37" s="1"/>
  <c r="I1291" i="37" s="1"/>
  <c r="H1293" i="37"/>
  <c r="H1290" i="37" s="1"/>
  <c r="H1291" i="37" s="1"/>
  <c r="E1293" i="37"/>
  <c r="N1292" i="37"/>
  <c r="M1292" i="37"/>
  <c r="L1292" i="37"/>
  <c r="K1292" i="37"/>
  <c r="J1292" i="37"/>
  <c r="I1292" i="37"/>
  <c r="H1292" i="37"/>
  <c r="E1292" i="37"/>
  <c r="E1291" i="37"/>
  <c r="E1290" i="37"/>
  <c r="E1289" i="37"/>
  <c r="E1288" i="37"/>
  <c r="E1287" i="37"/>
  <c r="E1286" i="37"/>
  <c r="E1285" i="37"/>
  <c r="E1283" i="37"/>
  <c r="N1281" i="37"/>
  <c r="N1278" i="37" s="1"/>
  <c r="N1279" i="37" s="1"/>
  <c r="M1281" i="37"/>
  <c r="M1278" i="37" s="1"/>
  <c r="M1279" i="37" s="1"/>
  <c r="L1281" i="37"/>
  <c r="L1278" i="37" s="1"/>
  <c r="L1279" i="37" s="1"/>
  <c r="K1281" i="37"/>
  <c r="K1278" i="37" s="1"/>
  <c r="K1279" i="37" s="1"/>
  <c r="J1281" i="37"/>
  <c r="J1278" i="37" s="1"/>
  <c r="J1279" i="37" s="1"/>
  <c r="I1281" i="37"/>
  <c r="I1278" i="37" s="1"/>
  <c r="I1279" i="37" s="1"/>
  <c r="H1281" i="37"/>
  <c r="H1278" i="37" s="1"/>
  <c r="H1279" i="37" s="1"/>
  <c r="E1281" i="37"/>
  <c r="N1280" i="37"/>
  <c r="M1280" i="37"/>
  <c r="L1280" i="37"/>
  <c r="K1280" i="37"/>
  <c r="J1280" i="37"/>
  <c r="I1280" i="37"/>
  <c r="H1280" i="37"/>
  <c r="E1280" i="37"/>
  <c r="E1279" i="37"/>
  <c r="E1278" i="37"/>
  <c r="E1277" i="37"/>
  <c r="E1276" i="37"/>
  <c r="E1275" i="37"/>
  <c r="E1274" i="37"/>
  <c r="E1273" i="37"/>
  <c r="E1271" i="37"/>
  <c r="E1270" i="37"/>
  <c r="E1269" i="37"/>
  <c r="E1268" i="37"/>
  <c r="E1267" i="37"/>
  <c r="E1266" i="37"/>
  <c r="E1265" i="37"/>
  <c r="E1264" i="37"/>
  <c r="E1263" i="37"/>
  <c r="E1262" i="37"/>
  <c r="E1260" i="37"/>
  <c r="E1257" i="37"/>
  <c r="E1250" i="37"/>
  <c r="F1249" i="37"/>
  <c r="F1248" i="37"/>
  <c r="F1247" i="37"/>
  <c r="F1246" i="37"/>
  <c r="F1245" i="37"/>
  <c r="F1244" i="37"/>
  <c r="F1243" i="37"/>
  <c r="E1242" i="37"/>
  <c r="E1241" i="37"/>
  <c r="E1240" i="37"/>
  <c r="E1238" i="37"/>
  <c r="E1235" i="37"/>
  <c r="E1234" i="37"/>
  <c r="E1233" i="37"/>
  <c r="D1229" i="37"/>
  <c r="N1226" i="37"/>
  <c r="M1226" i="37"/>
  <c r="L1226" i="37"/>
  <c r="K1226" i="37"/>
  <c r="J1226" i="37"/>
  <c r="I1226" i="37"/>
  <c r="H1226" i="37"/>
  <c r="E1226" i="37"/>
  <c r="D1217" i="37"/>
  <c r="D1218" i="37" s="1"/>
  <c r="D1219" i="37" s="1"/>
  <c r="D1220" i="37" s="1"/>
  <c r="D1221" i="37" s="1"/>
  <c r="D1222" i="37" s="1"/>
  <c r="D1223" i="37" s="1"/>
  <c r="D1224" i="37" s="1"/>
  <c r="D1225" i="37" s="1"/>
  <c r="F1215" i="37"/>
  <c r="E1213" i="37"/>
  <c r="E1208" i="37"/>
  <c r="E1207" i="37"/>
  <c r="E1205" i="37"/>
  <c r="D1203" i="37"/>
  <c r="E1200" i="37"/>
  <c r="E1199" i="37"/>
  <c r="E1196" i="37"/>
  <c r="E1193" i="37"/>
  <c r="H1191" i="37"/>
  <c r="H1200" i="37" s="1"/>
  <c r="E1191" i="37"/>
  <c r="I1190" i="37"/>
  <c r="E1190" i="37"/>
  <c r="E1188" i="37"/>
  <c r="N1186" i="37"/>
  <c r="M1186" i="37"/>
  <c r="L1186" i="37"/>
  <c r="K1186" i="37"/>
  <c r="J1186" i="37"/>
  <c r="I1186" i="37"/>
  <c r="H1186" i="37"/>
  <c r="E1186" i="37"/>
  <c r="E1185" i="37"/>
  <c r="Z1184" i="37"/>
  <c r="Y1184" i="37"/>
  <c r="X1184" i="37"/>
  <c r="W1184" i="37"/>
  <c r="V1184" i="37"/>
  <c r="U1184" i="37"/>
  <c r="T1184" i="37"/>
  <c r="E1184" i="37"/>
  <c r="E1183" i="37"/>
  <c r="E1182" i="37"/>
  <c r="E1181" i="37"/>
  <c r="E1180" i="37"/>
  <c r="E1179" i="37"/>
  <c r="R1178" i="37"/>
  <c r="E1178" i="37"/>
  <c r="E1176" i="37"/>
  <c r="E1175" i="37"/>
  <c r="R1173" i="37"/>
  <c r="D1171" i="37"/>
  <c r="E1168" i="37"/>
  <c r="E1167" i="37"/>
  <c r="E1164" i="37"/>
  <c r="E1161" i="37"/>
  <c r="E1159" i="37"/>
  <c r="I1158" i="37"/>
  <c r="E1158" i="37"/>
  <c r="F1155" i="37"/>
  <c r="E1154" i="37"/>
  <c r="E1153" i="37"/>
  <c r="E1152" i="37"/>
  <c r="E1150" i="37"/>
  <c r="E1149" i="37"/>
  <c r="E1147" i="37"/>
  <c r="E1146" i="37"/>
  <c r="E1144" i="37"/>
  <c r="E1143" i="37"/>
  <c r="E1142" i="37"/>
  <c r="E1141" i="37"/>
  <c r="E1140" i="37"/>
  <c r="E1138" i="37"/>
  <c r="E1131" i="37"/>
  <c r="E1130" i="37"/>
  <c r="E1126" i="37"/>
  <c r="E1122" i="37"/>
  <c r="E1120" i="37"/>
  <c r="E1119" i="37"/>
  <c r="E1118" i="37"/>
  <c r="E1117" i="37"/>
  <c r="E1114" i="37"/>
  <c r="E1113" i="37"/>
  <c r="E1112" i="37"/>
  <c r="E1111" i="37"/>
  <c r="E1109" i="37"/>
  <c r="E1107" i="37"/>
  <c r="E1106" i="37"/>
  <c r="E1105" i="37"/>
  <c r="E1103" i="37"/>
  <c r="N1102" i="37"/>
  <c r="M1102" i="37"/>
  <c r="L1102" i="37"/>
  <c r="K1102" i="37"/>
  <c r="J1102" i="37"/>
  <c r="I1102" i="37"/>
  <c r="H1102" i="37"/>
  <c r="E1102" i="37"/>
  <c r="E1101" i="37"/>
  <c r="E1100" i="37"/>
  <c r="E1098" i="37"/>
  <c r="E1097" i="37"/>
  <c r="E1096" i="37"/>
  <c r="E1094" i="37"/>
  <c r="N1093" i="37"/>
  <c r="Z1093" i="37" s="1"/>
  <c r="M1093" i="37"/>
  <c r="Y1093" i="37" s="1"/>
  <c r="L1093" i="37"/>
  <c r="X1093" i="37" s="1"/>
  <c r="K1093" i="37"/>
  <c r="W1093" i="37" s="1"/>
  <c r="J1093" i="37"/>
  <c r="V1093" i="37" s="1"/>
  <c r="I1093" i="37"/>
  <c r="U1093" i="37" s="1"/>
  <c r="H1093" i="37"/>
  <c r="T1093" i="37" s="1"/>
  <c r="E1093" i="37"/>
  <c r="E1092" i="37"/>
  <c r="E1091" i="37"/>
  <c r="E1089" i="37"/>
  <c r="E1088" i="37"/>
  <c r="E1087" i="37"/>
  <c r="Z1084" i="37"/>
  <c r="Y1084" i="37"/>
  <c r="X1084" i="37"/>
  <c r="W1084" i="37"/>
  <c r="V1084" i="37"/>
  <c r="E1084" i="37"/>
  <c r="E1083" i="37"/>
  <c r="E1080" i="37"/>
  <c r="E1077" i="37"/>
  <c r="E1075" i="37"/>
  <c r="I1074" i="37"/>
  <c r="E1074" i="37"/>
  <c r="T1071" i="37"/>
  <c r="G1071" i="37"/>
  <c r="H1075" i="37" s="1"/>
  <c r="E1071" i="37"/>
  <c r="E1069" i="37"/>
  <c r="E1068" i="37"/>
  <c r="E1067" i="37"/>
  <c r="E1066" i="37"/>
  <c r="E1064" i="37"/>
  <c r="E1063" i="37"/>
  <c r="E1062" i="37"/>
  <c r="E1061" i="37"/>
  <c r="E1059" i="37"/>
  <c r="N1058" i="37"/>
  <c r="M1058" i="37"/>
  <c r="L1058" i="37"/>
  <c r="K1058" i="37"/>
  <c r="J1058" i="37"/>
  <c r="I1058" i="37"/>
  <c r="H1058" i="37"/>
  <c r="E1058" i="37"/>
  <c r="E1057" i="37"/>
  <c r="E1056" i="37"/>
  <c r="E1054" i="37"/>
  <c r="E1053" i="37"/>
  <c r="E1052" i="37"/>
  <c r="E1050" i="37"/>
  <c r="N1049" i="37"/>
  <c r="M1049" i="37"/>
  <c r="L1049" i="37"/>
  <c r="K1049" i="37"/>
  <c r="J1049" i="37"/>
  <c r="I1049" i="37"/>
  <c r="H1049" i="37"/>
  <c r="E1049" i="37"/>
  <c r="E1048" i="37"/>
  <c r="E1047" i="37"/>
  <c r="E1045" i="37"/>
  <c r="E1044" i="37"/>
  <c r="E1043" i="37"/>
  <c r="E1042" i="37"/>
  <c r="E1041" i="37"/>
  <c r="E1039" i="37"/>
  <c r="E1037" i="37"/>
  <c r="Z1036" i="37"/>
  <c r="Y1036" i="37"/>
  <c r="X1036" i="37"/>
  <c r="W1036" i="37"/>
  <c r="V1036" i="37"/>
  <c r="U1036" i="37"/>
  <c r="T1036" i="37"/>
  <c r="E1036" i="37"/>
  <c r="E1035" i="37"/>
  <c r="E1033" i="37"/>
  <c r="E1032" i="37"/>
  <c r="E1031" i="37"/>
  <c r="E1029" i="37"/>
  <c r="Z1028" i="37"/>
  <c r="Y1028" i="37"/>
  <c r="X1028" i="37"/>
  <c r="W1028" i="37"/>
  <c r="V1028" i="37"/>
  <c r="U1028" i="37"/>
  <c r="T1028" i="37"/>
  <c r="E1028" i="37"/>
  <c r="E1027" i="37"/>
  <c r="E1026" i="37"/>
  <c r="E1025" i="37"/>
  <c r="E1024" i="37"/>
  <c r="E1023" i="37"/>
  <c r="E1022" i="37"/>
  <c r="E1021" i="37"/>
  <c r="E1019" i="37"/>
  <c r="E1017" i="37"/>
  <c r="E1016" i="37"/>
  <c r="E1015" i="37"/>
  <c r="E1014" i="37"/>
  <c r="N1012" i="37"/>
  <c r="N1009" i="37" s="1"/>
  <c r="N1010" i="37" s="1"/>
  <c r="M1012" i="37"/>
  <c r="M1009" i="37" s="1"/>
  <c r="M1010" i="37" s="1"/>
  <c r="L1012" i="37"/>
  <c r="L1009" i="37" s="1"/>
  <c r="L1010" i="37" s="1"/>
  <c r="K1012" i="37"/>
  <c r="K1009" i="37" s="1"/>
  <c r="K1010" i="37" s="1"/>
  <c r="J1012" i="37"/>
  <c r="J1009" i="37" s="1"/>
  <c r="J1010" i="37" s="1"/>
  <c r="I1012" i="37"/>
  <c r="I1009" i="37" s="1"/>
  <c r="I1010" i="37" s="1"/>
  <c r="H1012" i="37"/>
  <c r="H1009" i="37" s="1"/>
  <c r="H1010" i="37" s="1"/>
  <c r="E1012" i="37"/>
  <c r="N1011" i="37"/>
  <c r="M1011" i="37"/>
  <c r="L1011" i="37"/>
  <c r="K1011" i="37"/>
  <c r="J1011" i="37"/>
  <c r="I1011" i="37"/>
  <c r="H1011" i="37"/>
  <c r="E1011" i="37"/>
  <c r="E1010" i="37"/>
  <c r="E1009" i="37"/>
  <c r="E1008" i="37"/>
  <c r="E1007" i="37"/>
  <c r="E1006" i="37"/>
  <c r="E1005" i="37"/>
  <c r="E1004" i="37"/>
  <c r="E1002" i="37"/>
  <c r="N1000" i="37"/>
  <c r="N997" i="37" s="1"/>
  <c r="N998" i="37" s="1"/>
  <c r="M1000" i="37"/>
  <c r="M997" i="37" s="1"/>
  <c r="M998" i="37" s="1"/>
  <c r="L1000" i="37"/>
  <c r="L997" i="37" s="1"/>
  <c r="L998" i="37" s="1"/>
  <c r="K1000" i="37"/>
  <c r="K997" i="37" s="1"/>
  <c r="K998" i="37" s="1"/>
  <c r="J1000" i="37"/>
  <c r="J997" i="37" s="1"/>
  <c r="J998" i="37" s="1"/>
  <c r="I1000" i="37"/>
  <c r="I997" i="37" s="1"/>
  <c r="I998" i="37" s="1"/>
  <c r="H1000" i="37"/>
  <c r="H997" i="37" s="1"/>
  <c r="H998" i="37" s="1"/>
  <c r="E1000" i="37"/>
  <c r="N999" i="37"/>
  <c r="M999" i="37"/>
  <c r="L999" i="37"/>
  <c r="K999" i="37"/>
  <c r="J999" i="37"/>
  <c r="I999" i="37"/>
  <c r="H999" i="37"/>
  <c r="E999" i="37"/>
  <c r="E998" i="37"/>
  <c r="E997" i="37"/>
  <c r="E996" i="37"/>
  <c r="E995" i="37"/>
  <c r="E994" i="37"/>
  <c r="E993" i="37"/>
  <c r="E992" i="37"/>
  <c r="E990" i="37"/>
  <c r="E989" i="37"/>
  <c r="E988" i="37"/>
  <c r="E987" i="37"/>
  <c r="E986" i="37"/>
  <c r="E985" i="37"/>
  <c r="E984" i="37"/>
  <c r="E983" i="37"/>
  <c r="E982" i="37"/>
  <c r="E981" i="37"/>
  <c r="E979" i="37"/>
  <c r="E976" i="37"/>
  <c r="E969" i="37"/>
  <c r="F968" i="37"/>
  <c r="F967" i="37"/>
  <c r="F966" i="37"/>
  <c r="F965" i="37"/>
  <c r="F964" i="37"/>
  <c r="F963" i="37"/>
  <c r="F962" i="37"/>
  <c r="E961" i="37"/>
  <c r="E960" i="37"/>
  <c r="E959" i="37"/>
  <c r="E957" i="37"/>
  <c r="E954" i="37"/>
  <c r="E953" i="37"/>
  <c r="E952" i="37"/>
  <c r="D948" i="37"/>
  <c r="N945" i="37"/>
  <c r="M945" i="37"/>
  <c r="L945" i="37"/>
  <c r="K945" i="37"/>
  <c r="J945" i="37"/>
  <c r="I945" i="37"/>
  <c r="H945" i="37"/>
  <c r="E945" i="37"/>
  <c r="D936" i="37"/>
  <c r="D937" i="37" s="1"/>
  <c r="D938" i="37" s="1"/>
  <c r="D939" i="37" s="1"/>
  <c r="D940" i="37" s="1"/>
  <c r="D941" i="37" s="1"/>
  <c r="D942" i="37" s="1"/>
  <c r="D943" i="37" s="1"/>
  <c r="D944" i="37" s="1"/>
  <c r="F934" i="37"/>
  <c r="E932" i="37"/>
  <c r="E927" i="37"/>
  <c r="E926" i="37"/>
  <c r="E924" i="37"/>
  <c r="D922" i="37"/>
  <c r="E919" i="37"/>
  <c r="E918" i="37"/>
  <c r="E915" i="37"/>
  <c r="E912" i="37"/>
  <c r="H910" i="37"/>
  <c r="H919" i="37" s="1"/>
  <c r="E910" i="37"/>
  <c r="I909" i="37"/>
  <c r="E909" i="37"/>
  <c r="E907" i="37"/>
  <c r="N905" i="37"/>
  <c r="M905" i="37"/>
  <c r="L905" i="37"/>
  <c r="K905" i="37"/>
  <c r="J905" i="37"/>
  <c r="I905" i="37"/>
  <c r="H905" i="37"/>
  <c r="E905" i="37"/>
  <c r="E904" i="37"/>
  <c r="Z903" i="37"/>
  <c r="Y903" i="37"/>
  <c r="X903" i="37"/>
  <c r="W903" i="37"/>
  <c r="V903" i="37"/>
  <c r="U903" i="37"/>
  <c r="T903" i="37"/>
  <c r="E903" i="37"/>
  <c r="E902" i="37"/>
  <c r="E901" i="37"/>
  <c r="E900" i="37"/>
  <c r="E899" i="37"/>
  <c r="E898" i="37"/>
  <c r="R897" i="37"/>
  <c r="E897" i="37"/>
  <c r="E895" i="37"/>
  <c r="E894" i="37"/>
  <c r="R892" i="37"/>
  <c r="D890" i="37"/>
  <c r="E887" i="37"/>
  <c r="E886" i="37"/>
  <c r="E883" i="37"/>
  <c r="E880" i="37"/>
  <c r="E878" i="37"/>
  <c r="I877" i="37"/>
  <c r="E877" i="37"/>
  <c r="F874" i="37"/>
  <c r="E873" i="37"/>
  <c r="E872" i="37"/>
  <c r="E871" i="37"/>
  <c r="E869" i="37"/>
  <c r="E868" i="37"/>
  <c r="E866" i="37"/>
  <c r="E865" i="37"/>
  <c r="E863" i="37"/>
  <c r="E862" i="37"/>
  <c r="E861" i="37"/>
  <c r="E860" i="37"/>
  <c r="E859" i="37"/>
  <c r="E857" i="37"/>
  <c r="E850" i="37"/>
  <c r="E849" i="37"/>
  <c r="E845" i="37"/>
  <c r="E841" i="37"/>
  <c r="E839" i="37"/>
  <c r="E838" i="37"/>
  <c r="E837" i="37"/>
  <c r="E836" i="37"/>
  <c r="E833" i="37"/>
  <c r="E832" i="37"/>
  <c r="E831" i="37"/>
  <c r="E830" i="37"/>
  <c r="E828" i="37"/>
  <c r="E826" i="37"/>
  <c r="E825" i="37"/>
  <c r="E824" i="37"/>
  <c r="E822" i="37"/>
  <c r="N821" i="37"/>
  <c r="M821" i="37"/>
  <c r="L821" i="37"/>
  <c r="K821" i="37"/>
  <c r="J821" i="37"/>
  <c r="I821" i="37"/>
  <c r="H821" i="37"/>
  <c r="E821" i="37"/>
  <c r="E820" i="37"/>
  <c r="E819" i="37"/>
  <c r="E817" i="37"/>
  <c r="E816" i="37"/>
  <c r="E815" i="37"/>
  <c r="E813" i="37"/>
  <c r="N812" i="37"/>
  <c r="Z812" i="37" s="1"/>
  <c r="M812" i="37"/>
  <c r="Y812" i="37" s="1"/>
  <c r="L812" i="37"/>
  <c r="X812" i="37" s="1"/>
  <c r="K812" i="37"/>
  <c r="W812" i="37" s="1"/>
  <c r="J812" i="37"/>
  <c r="V812" i="37" s="1"/>
  <c r="I812" i="37"/>
  <c r="U812" i="37" s="1"/>
  <c r="H812" i="37"/>
  <c r="T812" i="37" s="1"/>
  <c r="E812" i="37"/>
  <c r="E811" i="37"/>
  <c r="E810" i="37"/>
  <c r="E808" i="37"/>
  <c r="E807" i="37"/>
  <c r="E806" i="37"/>
  <c r="Z803" i="37"/>
  <c r="Y803" i="37"/>
  <c r="X803" i="37"/>
  <c r="W803" i="37"/>
  <c r="V803" i="37"/>
  <c r="E803" i="37"/>
  <c r="E802" i="37"/>
  <c r="E799" i="37"/>
  <c r="E796" i="37"/>
  <c r="E794" i="37"/>
  <c r="I793" i="37"/>
  <c r="E793" i="37"/>
  <c r="T790" i="37"/>
  <c r="G790" i="37"/>
  <c r="H794" i="37" s="1"/>
  <c r="E790" i="37"/>
  <c r="E788" i="37"/>
  <c r="E787" i="37"/>
  <c r="E786" i="37"/>
  <c r="E785" i="37"/>
  <c r="E783" i="37"/>
  <c r="E782" i="37"/>
  <c r="E781" i="37"/>
  <c r="E780" i="37"/>
  <c r="E778" i="37"/>
  <c r="N777" i="37"/>
  <c r="M777" i="37"/>
  <c r="L777" i="37"/>
  <c r="K777" i="37"/>
  <c r="J777" i="37"/>
  <c r="I777" i="37"/>
  <c r="H777" i="37"/>
  <c r="E777" i="37"/>
  <c r="E776" i="37"/>
  <c r="E775" i="37"/>
  <c r="E773" i="37"/>
  <c r="E772" i="37"/>
  <c r="E771" i="37"/>
  <c r="E769" i="37"/>
  <c r="N768" i="37"/>
  <c r="M768" i="37"/>
  <c r="L768" i="37"/>
  <c r="K768" i="37"/>
  <c r="J768" i="37"/>
  <c r="I768" i="37"/>
  <c r="H768" i="37"/>
  <c r="E768" i="37"/>
  <c r="E767" i="37"/>
  <c r="E766" i="37"/>
  <c r="E764" i="37"/>
  <c r="E763" i="37"/>
  <c r="E762" i="37"/>
  <c r="E761" i="37"/>
  <c r="E760" i="37"/>
  <c r="E758" i="37"/>
  <c r="E756" i="37"/>
  <c r="Z755" i="37"/>
  <c r="Y755" i="37"/>
  <c r="X755" i="37"/>
  <c r="W755" i="37"/>
  <c r="V755" i="37"/>
  <c r="U755" i="37"/>
  <c r="T755" i="37"/>
  <c r="E755" i="37"/>
  <c r="E754" i="37"/>
  <c r="E752" i="37"/>
  <c r="E751" i="37"/>
  <c r="E750" i="37"/>
  <c r="E748" i="37"/>
  <c r="Z747" i="37"/>
  <c r="Y747" i="37"/>
  <c r="X747" i="37"/>
  <c r="W747" i="37"/>
  <c r="V747" i="37"/>
  <c r="U747" i="37"/>
  <c r="T747" i="37"/>
  <c r="E747" i="37"/>
  <c r="E746" i="37"/>
  <c r="E745" i="37"/>
  <c r="E744" i="37"/>
  <c r="E743" i="37"/>
  <c r="E742" i="37"/>
  <c r="E741" i="37"/>
  <c r="E740" i="37"/>
  <c r="E738" i="37"/>
  <c r="E736" i="37"/>
  <c r="E735" i="37"/>
  <c r="E734" i="37"/>
  <c r="E733" i="37"/>
  <c r="N731" i="37"/>
  <c r="N728" i="37" s="1"/>
  <c r="N729" i="37" s="1"/>
  <c r="M731" i="37"/>
  <c r="M728" i="37" s="1"/>
  <c r="M729" i="37" s="1"/>
  <c r="L731" i="37"/>
  <c r="L728" i="37" s="1"/>
  <c r="L729" i="37" s="1"/>
  <c r="K731" i="37"/>
  <c r="K728" i="37" s="1"/>
  <c r="K729" i="37" s="1"/>
  <c r="J731" i="37"/>
  <c r="J728" i="37" s="1"/>
  <c r="J729" i="37" s="1"/>
  <c r="I731" i="37"/>
  <c r="I728" i="37" s="1"/>
  <c r="I729" i="37" s="1"/>
  <c r="H731" i="37"/>
  <c r="H728" i="37" s="1"/>
  <c r="H729" i="37" s="1"/>
  <c r="E731" i="37"/>
  <c r="N730" i="37"/>
  <c r="M730" i="37"/>
  <c r="L730" i="37"/>
  <c r="K730" i="37"/>
  <c r="J730" i="37"/>
  <c r="I730" i="37"/>
  <c r="H730" i="37"/>
  <c r="E730" i="37"/>
  <c r="E729" i="37"/>
  <c r="E728" i="37"/>
  <c r="E727" i="37"/>
  <c r="E726" i="37"/>
  <c r="E725" i="37"/>
  <c r="E724" i="37"/>
  <c r="E723" i="37"/>
  <c r="E721" i="37"/>
  <c r="N719" i="37"/>
  <c r="N716" i="37" s="1"/>
  <c r="N717" i="37" s="1"/>
  <c r="M719" i="37"/>
  <c r="M716" i="37" s="1"/>
  <c r="M717" i="37" s="1"/>
  <c r="L719" i="37"/>
  <c r="L716" i="37" s="1"/>
  <c r="L717" i="37" s="1"/>
  <c r="K719" i="37"/>
  <c r="K716" i="37" s="1"/>
  <c r="K717" i="37" s="1"/>
  <c r="J719" i="37"/>
  <c r="J716" i="37" s="1"/>
  <c r="J717" i="37" s="1"/>
  <c r="I719" i="37"/>
  <c r="I716" i="37" s="1"/>
  <c r="I717" i="37" s="1"/>
  <c r="H719" i="37"/>
  <c r="H716" i="37" s="1"/>
  <c r="H717" i="37" s="1"/>
  <c r="E719" i="37"/>
  <c r="N718" i="37"/>
  <c r="M718" i="37"/>
  <c r="L718" i="37"/>
  <c r="K718" i="37"/>
  <c r="J718" i="37"/>
  <c r="I718" i="37"/>
  <c r="H718" i="37"/>
  <c r="E718" i="37"/>
  <c r="E717" i="37"/>
  <c r="E716" i="37"/>
  <c r="E715" i="37"/>
  <c r="E714" i="37"/>
  <c r="E713" i="37"/>
  <c r="E712" i="37"/>
  <c r="E711" i="37"/>
  <c r="E709" i="37"/>
  <c r="E708" i="37"/>
  <c r="E707" i="37"/>
  <c r="E706" i="37"/>
  <c r="E705" i="37"/>
  <c r="E704" i="37"/>
  <c r="E703" i="37"/>
  <c r="E702" i="37"/>
  <c r="E701" i="37"/>
  <c r="E700" i="37"/>
  <c r="E698" i="37"/>
  <c r="E695" i="37"/>
  <c r="E688" i="37"/>
  <c r="F687" i="37"/>
  <c r="F686" i="37"/>
  <c r="F685" i="37"/>
  <c r="F684" i="37"/>
  <c r="F683" i="37"/>
  <c r="F682" i="37"/>
  <c r="F681" i="37"/>
  <c r="E680" i="37"/>
  <c r="E679" i="37"/>
  <c r="E678" i="37"/>
  <c r="E676" i="37"/>
  <c r="E673" i="37"/>
  <c r="E672" i="37"/>
  <c r="E671" i="37"/>
  <c r="D667" i="37"/>
  <c r="N664" i="37"/>
  <c r="M664" i="37"/>
  <c r="L664" i="37"/>
  <c r="K664" i="37"/>
  <c r="J664" i="37"/>
  <c r="I664" i="37"/>
  <c r="H664" i="37"/>
  <c r="E664" i="37"/>
  <c r="D655" i="37"/>
  <c r="D656" i="37" s="1"/>
  <c r="D657" i="37" s="1"/>
  <c r="D658" i="37" s="1"/>
  <c r="D659" i="37" s="1"/>
  <c r="D660" i="37" s="1"/>
  <c r="D661" i="37" s="1"/>
  <c r="D662" i="37" s="1"/>
  <c r="D663" i="37" s="1"/>
  <c r="F653" i="37"/>
  <c r="E651" i="37"/>
  <c r="E646" i="37"/>
  <c r="E645" i="37"/>
  <c r="E643" i="37"/>
  <c r="D641" i="37"/>
  <c r="E638" i="37"/>
  <c r="E637" i="37"/>
  <c r="E634" i="37"/>
  <c r="E631" i="37"/>
  <c r="H629" i="37"/>
  <c r="H632" i="37" s="1"/>
  <c r="E629" i="37"/>
  <c r="I628" i="37"/>
  <c r="E628" i="37"/>
  <c r="E626" i="37"/>
  <c r="N624" i="37"/>
  <c r="M624" i="37"/>
  <c r="L624" i="37"/>
  <c r="K624" i="37"/>
  <c r="J624" i="37"/>
  <c r="I624" i="37"/>
  <c r="H624" i="37"/>
  <c r="E624" i="37"/>
  <c r="E623" i="37"/>
  <c r="Z622" i="37"/>
  <c r="Y622" i="37"/>
  <c r="X622" i="37"/>
  <c r="W622" i="37"/>
  <c r="V622" i="37"/>
  <c r="U622" i="37"/>
  <c r="T622" i="37"/>
  <c r="E622" i="37"/>
  <c r="E621" i="37"/>
  <c r="E620" i="37"/>
  <c r="E619" i="37"/>
  <c r="E618" i="37"/>
  <c r="E617" i="37"/>
  <c r="R616" i="37"/>
  <c r="E616" i="37"/>
  <c r="E614" i="37"/>
  <c r="E613" i="37"/>
  <c r="R611" i="37"/>
  <c r="D609" i="37"/>
  <c r="E606" i="37"/>
  <c r="E605" i="37"/>
  <c r="E602" i="37"/>
  <c r="E599" i="37"/>
  <c r="E597" i="37"/>
  <c r="I596" i="37"/>
  <c r="E596" i="37"/>
  <c r="F593" i="37"/>
  <c r="E592" i="37"/>
  <c r="E591" i="37"/>
  <c r="E590" i="37"/>
  <c r="E588" i="37"/>
  <c r="E587" i="37"/>
  <c r="E585" i="37"/>
  <c r="E584" i="37"/>
  <c r="E582" i="37"/>
  <c r="E581" i="37"/>
  <c r="E580" i="37"/>
  <c r="E579" i="37"/>
  <c r="E578" i="37"/>
  <c r="E576" i="37"/>
  <c r="C294" i="37"/>
  <c r="E569" i="37"/>
  <c r="E568" i="37"/>
  <c r="E564" i="37"/>
  <c r="E560" i="37"/>
  <c r="E558" i="37"/>
  <c r="E557" i="37"/>
  <c r="E556" i="37"/>
  <c r="E555" i="37"/>
  <c r="E552" i="37"/>
  <c r="E551" i="37"/>
  <c r="E550" i="37"/>
  <c r="E549" i="37"/>
  <c r="E547" i="37"/>
  <c r="E545" i="37"/>
  <c r="E544" i="37"/>
  <c r="E543" i="37"/>
  <c r="E541" i="37"/>
  <c r="N540" i="37"/>
  <c r="M540" i="37"/>
  <c r="L540" i="37"/>
  <c r="K540" i="37"/>
  <c r="J540" i="37"/>
  <c r="I540" i="37"/>
  <c r="H540" i="37"/>
  <c r="E540" i="37"/>
  <c r="E539" i="37"/>
  <c r="E538" i="37"/>
  <c r="E536" i="37"/>
  <c r="E535" i="37"/>
  <c r="E534" i="37"/>
  <c r="E532" i="37"/>
  <c r="N531" i="37"/>
  <c r="Z531" i="37" s="1"/>
  <c r="M531" i="37"/>
  <c r="Y531" i="37" s="1"/>
  <c r="L531" i="37"/>
  <c r="X531" i="37" s="1"/>
  <c r="K531" i="37"/>
  <c r="W531" i="37" s="1"/>
  <c r="J531" i="37"/>
  <c r="V531" i="37" s="1"/>
  <c r="I531" i="37"/>
  <c r="U531" i="37" s="1"/>
  <c r="H531" i="37"/>
  <c r="T531" i="37" s="1"/>
  <c r="E531" i="37"/>
  <c r="E530" i="37"/>
  <c r="E529" i="37"/>
  <c r="E527" i="37"/>
  <c r="E526" i="37"/>
  <c r="E525" i="37"/>
  <c r="Z522" i="37"/>
  <c r="Y522" i="37"/>
  <c r="X522" i="37"/>
  <c r="W522" i="37"/>
  <c r="V522" i="37"/>
  <c r="E522" i="37"/>
  <c r="E521" i="37"/>
  <c r="E518" i="37"/>
  <c r="E515" i="37"/>
  <c r="E513" i="37"/>
  <c r="I512" i="37"/>
  <c r="E512" i="37"/>
  <c r="T509" i="37"/>
  <c r="G509" i="37"/>
  <c r="H513" i="37" s="1"/>
  <c r="E509" i="37"/>
  <c r="E507" i="37"/>
  <c r="E506" i="37"/>
  <c r="E505" i="37"/>
  <c r="E504" i="37"/>
  <c r="E502" i="37"/>
  <c r="E501" i="37"/>
  <c r="E500" i="37"/>
  <c r="E499" i="37"/>
  <c r="E497" i="37"/>
  <c r="N496" i="37"/>
  <c r="M496" i="37"/>
  <c r="L496" i="37"/>
  <c r="K496" i="37"/>
  <c r="J496" i="37"/>
  <c r="I496" i="37"/>
  <c r="H496" i="37"/>
  <c r="E496" i="37"/>
  <c r="E495" i="37"/>
  <c r="E494" i="37"/>
  <c r="E492" i="37"/>
  <c r="E491" i="37"/>
  <c r="E490" i="37"/>
  <c r="E488" i="37"/>
  <c r="N487" i="37"/>
  <c r="M487" i="37"/>
  <c r="L487" i="37"/>
  <c r="K487" i="37"/>
  <c r="J487" i="37"/>
  <c r="I487" i="37"/>
  <c r="H487" i="37"/>
  <c r="E487" i="37"/>
  <c r="E486" i="37"/>
  <c r="E485" i="37"/>
  <c r="E483" i="37"/>
  <c r="E482" i="37"/>
  <c r="E481" i="37"/>
  <c r="E480" i="37"/>
  <c r="E479" i="37"/>
  <c r="E477" i="37"/>
  <c r="E475" i="37"/>
  <c r="Z474" i="37"/>
  <c r="Y474" i="37"/>
  <c r="X474" i="37"/>
  <c r="W474" i="37"/>
  <c r="V474" i="37"/>
  <c r="U474" i="37"/>
  <c r="T474" i="37"/>
  <c r="E474" i="37"/>
  <c r="E473" i="37"/>
  <c r="E471" i="37"/>
  <c r="E470" i="37"/>
  <c r="E469" i="37"/>
  <c r="E467" i="37"/>
  <c r="Z466" i="37"/>
  <c r="Y466" i="37"/>
  <c r="X466" i="37"/>
  <c r="W466" i="37"/>
  <c r="V466" i="37"/>
  <c r="U466" i="37"/>
  <c r="T466" i="37"/>
  <c r="E466" i="37"/>
  <c r="E465" i="37"/>
  <c r="E464" i="37"/>
  <c r="E463" i="37"/>
  <c r="E462" i="37"/>
  <c r="E461" i="37"/>
  <c r="E460" i="37"/>
  <c r="E459" i="37"/>
  <c r="E457" i="37"/>
  <c r="E455" i="37"/>
  <c r="E454" i="37"/>
  <c r="E453" i="37"/>
  <c r="E452" i="37"/>
  <c r="N450" i="37"/>
  <c r="N447" i="37" s="1"/>
  <c r="N448" i="37" s="1"/>
  <c r="M450" i="37"/>
  <c r="M447" i="37" s="1"/>
  <c r="M448" i="37" s="1"/>
  <c r="L450" i="37"/>
  <c r="L447" i="37" s="1"/>
  <c r="L448" i="37" s="1"/>
  <c r="K450" i="37"/>
  <c r="K447" i="37" s="1"/>
  <c r="K448" i="37" s="1"/>
  <c r="J450" i="37"/>
  <c r="J447" i="37" s="1"/>
  <c r="J448" i="37" s="1"/>
  <c r="I450" i="37"/>
  <c r="I447" i="37" s="1"/>
  <c r="I448" i="37" s="1"/>
  <c r="H450" i="37"/>
  <c r="H447" i="37" s="1"/>
  <c r="H448" i="37" s="1"/>
  <c r="E450" i="37"/>
  <c r="N449" i="37"/>
  <c r="M449" i="37"/>
  <c r="L449" i="37"/>
  <c r="K449" i="37"/>
  <c r="J449" i="37"/>
  <c r="I449" i="37"/>
  <c r="H449" i="37"/>
  <c r="E449" i="37"/>
  <c r="E448" i="37"/>
  <c r="E447" i="37"/>
  <c r="E446" i="37"/>
  <c r="E445" i="37"/>
  <c r="E444" i="37"/>
  <c r="E443" i="37"/>
  <c r="E442" i="37"/>
  <c r="E440" i="37"/>
  <c r="N438" i="37"/>
  <c r="N435" i="37" s="1"/>
  <c r="N436" i="37" s="1"/>
  <c r="M438" i="37"/>
  <c r="M435" i="37" s="1"/>
  <c r="M436" i="37" s="1"/>
  <c r="L438" i="37"/>
  <c r="L435" i="37" s="1"/>
  <c r="L436" i="37" s="1"/>
  <c r="K438" i="37"/>
  <c r="K435" i="37" s="1"/>
  <c r="K436" i="37" s="1"/>
  <c r="J438" i="37"/>
  <c r="J435" i="37" s="1"/>
  <c r="J436" i="37" s="1"/>
  <c r="I438" i="37"/>
  <c r="I435" i="37" s="1"/>
  <c r="I436" i="37" s="1"/>
  <c r="H438" i="37"/>
  <c r="H435" i="37" s="1"/>
  <c r="H436" i="37" s="1"/>
  <c r="E438" i="37"/>
  <c r="N437" i="37"/>
  <c r="M437" i="37"/>
  <c r="L437" i="37"/>
  <c r="K437" i="37"/>
  <c r="J437" i="37"/>
  <c r="I437" i="37"/>
  <c r="H437" i="37"/>
  <c r="E437" i="37"/>
  <c r="E436" i="37"/>
  <c r="E435" i="37"/>
  <c r="E434" i="37"/>
  <c r="E433" i="37"/>
  <c r="E432" i="37"/>
  <c r="E431" i="37"/>
  <c r="E430" i="37"/>
  <c r="E428" i="37"/>
  <c r="E427" i="37"/>
  <c r="E426" i="37"/>
  <c r="E425" i="37"/>
  <c r="E424" i="37"/>
  <c r="E423" i="37"/>
  <c r="E422" i="37"/>
  <c r="E421" i="37"/>
  <c r="E420" i="37"/>
  <c r="E419" i="37"/>
  <c r="E417" i="37"/>
  <c r="E414" i="37"/>
  <c r="E407" i="37"/>
  <c r="F406" i="37"/>
  <c r="F405" i="37"/>
  <c r="F404" i="37"/>
  <c r="F403" i="37"/>
  <c r="F402" i="37"/>
  <c r="F401" i="37"/>
  <c r="F400" i="37"/>
  <c r="E399" i="37"/>
  <c r="E398" i="37"/>
  <c r="E397" i="37"/>
  <c r="E395" i="37"/>
  <c r="E392" i="37"/>
  <c r="E391" i="37"/>
  <c r="E390" i="37"/>
  <c r="D386" i="37"/>
  <c r="N383" i="37"/>
  <c r="M383" i="37"/>
  <c r="L383" i="37"/>
  <c r="K383" i="37"/>
  <c r="J383" i="37"/>
  <c r="I383" i="37"/>
  <c r="H383" i="37"/>
  <c r="E383" i="37"/>
  <c r="D374" i="37"/>
  <c r="D375" i="37" s="1"/>
  <c r="D376" i="37" s="1"/>
  <c r="D377" i="37" s="1"/>
  <c r="D378" i="37" s="1"/>
  <c r="D379" i="37" s="1"/>
  <c r="D380" i="37" s="1"/>
  <c r="D381" i="37" s="1"/>
  <c r="D382" i="37" s="1"/>
  <c r="F372" i="37"/>
  <c r="E370" i="37"/>
  <c r="E365" i="37"/>
  <c r="E364" i="37"/>
  <c r="E362" i="37"/>
  <c r="D360" i="37"/>
  <c r="E357" i="37"/>
  <c r="E356" i="37"/>
  <c r="E353" i="37"/>
  <c r="E350" i="37"/>
  <c r="H348" i="37"/>
  <c r="H357" i="37" s="1"/>
  <c r="E348" i="37"/>
  <c r="I347" i="37"/>
  <c r="E347" i="37"/>
  <c r="E345" i="37"/>
  <c r="N343" i="37"/>
  <c r="M343" i="37"/>
  <c r="L343" i="37"/>
  <c r="K343" i="37"/>
  <c r="J343" i="37"/>
  <c r="I343" i="37"/>
  <c r="H343" i="37"/>
  <c r="E343" i="37"/>
  <c r="E342" i="37"/>
  <c r="Z341" i="37"/>
  <c r="Y341" i="37"/>
  <c r="X341" i="37"/>
  <c r="W341" i="37"/>
  <c r="V341" i="37"/>
  <c r="U341" i="37"/>
  <c r="T341" i="37"/>
  <c r="E341" i="37"/>
  <c r="E340" i="37"/>
  <c r="E339" i="37"/>
  <c r="E338" i="37"/>
  <c r="E337" i="37"/>
  <c r="E336" i="37"/>
  <c r="R335" i="37"/>
  <c r="E335" i="37"/>
  <c r="E333" i="37"/>
  <c r="E332" i="37"/>
  <c r="R330" i="37"/>
  <c r="D328" i="37"/>
  <c r="E325" i="37"/>
  <c r="E324" i="37"/>
  <c r="E321" i="37"/>
  <c r="E318" i="37"/>
  <c r="E316" i="37"/>
  <c r="I315" i="37"/>
  <c r="E315" i="37"/>
  <c r="F312" i="37"/>
  <c r="E311" i="37"/>
  <c r="E310" i="37"/>
  <c r="E309" i="37"/>
  <c r="E307" i="37"/>
  <c r="E306" i="37"/>
  <c r="E304" i="37"/>
  <c r="E303" i="37"/>
  <c r="E301" i="37"/>
  <c r="E300" i="37"/>
  <c r="E299" i="37"/>
  <c r="E298" i="37"/>
  <c r="E297" i="37"/>
  <c r="E295" i="37"/>
  <c r="H144" i="62"/>
  <c r="F1498" i="42"/>
  <c r="F1497" i="42"/>
  <c r="F1515" i="42" s="1"/>
  <c r="F1496" i="42"/>
  <c r="F1514" i="42" s="1"/>
  <c r="F1495" i="42"/>
  <c r="F1513" i="42" s="1"/>
  <c r="F1494" i="42"/>
  <c r="F1512" i="42" s="1"/>
  <c r="F1493" i="42"/>
  <c r="F1511" i="42" s="1"/>
  <c r="F1492" i="42"/>
  <c r="F1510" i="42" s="1"/>
  <c r="F1491" i="42"/>
  <c r="F1509" i="42" s="1"/>
  <c r="F1490" i="42"/>
  <c r="F1508" i="42" s="1"/>
  <c r="F1489" i="42"/>
  <c r="F1507" i="42" s="1"/>
  <c r="E1551" i="42"/>
  <c r="E1546" i="42"/>
  <c r="E1545" i="42"/>
  <c r="E1542" i="42"/>
  <c r="E1532" i="42"/>
  <c r="E1531" i="42"/>
  <c r="G1520" i="42"/>
  <c r="N1515" i="42"/>
  <c r="M1515" i="42"/>
  <c r="L1515" i="42"/>
  <c r="K1515" i="42"/>
  <c r="J1515" i="42"/>
  <c r="I1515" i="42"/>
  <c r="H1515" i="42"/>
  <c r="G1515" i="42"/>
  <c r="E1515" i="42"/>
  <c r="G1504" i="42"/>
  <c r="E1498" i="42"/>
  <c r="N1497" i="42"/>
  <c r="M1497" i="42"/>
  <c r="L1497" i="42"/>
  <c r="K1497" i="42"/>
  <c r="J1497" i="42"/>
  <c r="I1497" i="42"/>
  <c r="H1497" i="42"/>
  <c r="G1497" i="42"/>
  <c r="E1497" i="42"/>
  <c r="G1486" i="42"/>
  <c r="F1478" i="42"/>
  <c r="I1478" i="42" s="1"/>
  <c r="E1478" i="42"/>
  <c r="E1477" i="42"/>
  <c r="E1496" i="42" s="1"/>
  <c r="T1496" i="42" s="1"/>
  <c r="E1476" i="42"/>
  <c r="E1495" i="42" s="1"/>
  <c r="E1475" i="42"/>
  <c r="E1494" i="42" s="1"/>
  <c r="X1494" i="42" s="1"/>
  <c r="E1474" i="42"/>
  <c r="E1493" i="42" s="1"/>
  <c r="E1473" i="42"/>
  <c r="E1492" i="42" s="1"/>
  <c r="Y1492" i="42" s="1"/>
  <c r="E1472" i="42"/>
  <c r="E1491" i="42" s="1"/>
  <c r="E1471" i="42"/>
  <c r="E1490" i="42" s="1"/>
  <c r="E1470" i="42"/>
  <c r="E1489" i="42" s="1"/>
  <c r="E1469" i="42"/>
  <c r="E1488" i="42" s="1"/>
  <c r="D1469" i="42"/>
  <c r="D1470" i="42" s="1"/>
  <c r="D1471" i="42" s="1"/>
  <c r="D1472" i="42" s="1"/>
  <c r="D1473" i="42" s="1"/>
  <c r="D1474" i="42" s="1"/>
  <c r="D1475" i="42" s="1"/>
  <c r="D1476" i="42" s="1"/>
  <c r="D1477" i="42" s="1"/>
  <c r="E1468" i="42"/>
  <c r="E1487" i="42" s="1"/>
  <c r="C1468" i="42"/>
  <c r="G1467" i="42"/>
  <c r="E1463" i="42"/>
  <c r="S1461" i="42"/>
  <c r="S1460" i="42"/>
  <c r="S1459" i="42"/>
  <c r="S1458" i="42"/>
  <c r="S1457" i="42"/>
  <c r="S1456" i="42"/>
  <c r="S1455" i="42"/>
  <c r="S1454" i="42"/>
  <c r="S1453" i="42"/>
  <c r="D1453" i="42"/>
  <c r="D1454" i="42" s="1"/>
  <c r="D1455" i="42" s="1"/>
  <c r="D1456" i="42" s="1"/>
  <c r="D1457" i="42" s="1"/>
  <c r="D1458" i="42" s="1"/>
  <c r="D1459" i="42" s="1"/>
  <c r="D1460" i="42" s="1"/>
  <c r="D1461" i="42" s="1"/>
  <c r="S1452" i="42"/>
  <c r="E1467" i="42"/>
  <c r="E1486" i="42" s="1"/>
  <c r="E1504" i="42" s="1"/>
  <c r="E1520" i="42" s="1"/>
  <c r="E1447" i="42"/>
  <c r="E1445" i="42"/>
  <c r="E1444" i="42"/>
  <c r="E1442" i="42"/>
  <c r="D1440" i="42"/>
  <c r="E1436" i="42"/>
  <c r="E1434" i="42"/>
  <c r="I1433" i="42"/>
  <c r="E1433" i="42"/>
  <c r="E1428" i="42"/>
  <c r="E1425" i="42"/>
  <c r="E1424" i="42"/>
  <c r="E1423" i="42"/>
  <c r="E1422" i="42"/>
  <c r="E1420" i="42"/>
  <c r="E1073" i="42"/>
  <c r="E1072" i="42"/>
  <c r="E1071" i="42"/>
  <c r="E1070" i="42"/>
  <c r="E1065" i="42"/>
  <c r="E1064" i="42"/>
  <c r="E1062" i="42"/>
  <c r="E1058" i="42"/>
  <c r="E1057" i="42"/>
  <c r="E1056" i="42"/>
  <c r="E1053" i="42"/>
  <c r="E1052" i="42"/>
  <c r="E1051" i="42"/>
  <c r="E1050" i="42"/>
  <c r="E1049" i="42"/>
  <c r="D1045" i="42"/>
  <c r="E1040" i="42"/>
  <c r="E1035" i="42"/>
  <c r="E1034" i="42"/>
  <c r="E1031" i="42"/>
  <c r="E1024" i="42"/>
  <c r="F1021" i="42"/>
  <c r="E1021" i="42"/>
  <c r="F1020" i="42"/>
  <c r="E1020" i="42"/>
  <c r="F1019" i="42"/>
  <c r="F1018" i="42"/>
  <c r="F1017" i="42"/>
  <c r="F1016" i="42"/>
  <c r="F1015" i="42"/>
  <c r="F1014" i="42"/>
  <c r="F1013" i="42"/>
  <c r="F1012" i="42"/>
  <c r="F1011" i="42"/>
  <c r="F1010" i="42"/>
  <c r="G1009" i="42"/>
  <c r="N1004" i="42"/>
  <c r="M1004" i="42"/>
  <c r="L1004" i="42"/>
  <c r="F1004" i="42"/>
  <c r="E1004" i="42"/>
  <c r="F1003" i="42"/>
  <c r="F1002" i="42"/>
  <c r="F1001" i="42"/>
  <c r="F1000" i="42"/>
  <c r="F999" i="42"/>
  <c r="F998" i="42"/>
  <c r="F997" i="42"/>
  <c r="F996" i="42"/>
  <c r="F995" i="42"/>
  <c r="F994" i="42"/>
  <c r="G993" i="42"/>
  <c r="F987" i="42"/>
  <c r="E987" i="42"/>
  <c r="N986" i="42"/>
  <c r="M986" i="42"/>
  <c r="L986" i="42"/>
  <c r="F986" i="42"/>
  <c r="E986" i="42"/>
  <c r="F985" i="42"/>
  <c r="F984" i="42"/>
  <c r="F983" i="42"/>
  <c r="F982" i="42"/>
  <c r="F981" i="42"/>
  <c r="F980" i="42"/>
  <c r="F979" i="42"/>
  <c r="F978" i="42"/>
  <c r="F977" i="42"/>
  <c r="F976" i="42"/>
  <c r="G975" i="42"/>
  <c r="E970" i="42"/>
  <c r="F967" i="42"/>
  <c r="N967" i="42" s="1"/>
  <c r="E967" i="42"/>
  <c r="E966" i="42"/>
  <c r="E985" i="42" s="1"/>
  <c r="E965" i="42"/>
  <c r="E984" i="42" s="1"/>
  <c r="E964" i="42"/>
  <c r="E983" i="42" s="1"/>
  <c r="V983" i="42" s="1"/>
  <c r="E963" i="42"/>
  <c r="E982" i="42" s="1"/>
  <c r="E962" i="42"/>
  <c r="E981" i="42" s="1"/>
  <c r="E961" i="42"/>
  <c r="E980" i="42" s="1"/>
  <c r="V980" i="42" s="1"/>
  <c r="E960" i="42"/>
  <c r="E979" i="42" s="1"/>
  <c r="W979" i="42" s="1"/>
  <c r="E959" i="42"/>
  <c r="E978" i="42" s="1"/>
  <c r="E958" i="42"/>
  <c r="E977" i="42" s="1"/>
  <c r="D958" i="42"/>
  <c r="D959" i="42" s="1"/>
  <c r="D960" i="42" s="1"/>
  <c r="D961" i="42" s="1"/>
  <c r="D962" i="42" s="1"/>
  <c r="D963" i="42" s="1"/>
  <c r="D964" i="42" s="1"/>
  <c r="D965" i="42" s="1"/>
  <c r="D966" i="42" s="1"/>
  <c r="E957" i="42"/>
  <c r="E976" i="42" s="1"/>
  <c r="C957" i="42"/>
  <c r="G956" i="42"/>
  <c r="E952" i="42"/>
  <c r="S950" i="42"/>
  <c r="S949" i="42"/>
  <c r="S948" i="42"/>
  <c r="S947" i="42"/>
  <c r="S946" i="42"/>
  <c r="S945" i="42"/>
  <c r="S944" i="42"/>
  <c r="S943" i="42"/>
  <c r="S942" i="42"/>
  <c r="D942" i="42"/>
  <c r="D943" i="42" s="1"/>
  <c r="D944" i="42" s="1"/>
  <c r="D945" i="42" s="1"/>
  <c r="D946" i="42" s="1"/>
  <c r="D947" i="42" s="1"/>
  <c r="D948" i="42" s="1"/>
  <c r="D949" i="42" s="1"/>
  <c r="D950" i="42" s="1"/>
  <c r="S941" i="42"/>
  <c r="E956" i="42"/>
  <c r="E940" i="42"/>
  <c r="E936" i="42"/>
  <c r="E934" i="42"/>
  <c r="E933" i="42"/>
  <c r="F932" i="42"/>
  <c r="F931" i="42"/>
  <c r="E930" i="42"/>
  <c r="E929" i="42"/>
  <c r="D927" i="42"/>
  <c r="E923" i="42"/>
  <c r="E921" i="42"/>
  <c r="I920" i="42"/>
  <c r="E920" i="42"/>
  <c r="E915" i="42"/>
  <c r="E912" i="42"/>
  <c r="E911" i="42"/>
  <c r="E910" i="42"/>
  <c r="E909" i="42"/>
  <c r="E907" i="42"/>
  <c r="N901" i="42"/>
  <c r="M901" i="42"/>
  <c r="L901" i="42"/>
  <c r="K901" i="42"/>
  <c r="J901" i="42"/>
  <c r="I901" i="42"/>
  <c r="H901" i="42"/>
  <c r="E901" i="42"/>
  <c r="E899" i="42"/>
  <c r="Z898" i="42"/>
  <c r="Y898" i="42"/>
  <c r="X898" i="42"/>
  <c r="W898" i="42"/>
  <c r="V898" i="42"/>
  <c r="U898" i="42"/>
  <c r="T898" i="42"/>
  <c r="E898" i="42"/>
  <c r="E897" i="42"/>
  <c r="E895" i="42"/>
  <c r="Z894" i="42"/>
  <c r="Y894" i="42"/>
  <c r="X894" i="42"/>
  <c r="W894" i="42"/>
  <c r="V894" i="42"/>
  <c r="U894" i="42"/>
  <c r="T894" i="42"/>
  <c r="E894" i="42"/>
  <c r="E893" i="42"/>
  <c r="E891" i="42"/>
  <c r="Z890" i="42"/>
  <c r="Y890" i="42"/>
  <c r="X890" i="42"/>
  <c r="W890" i="42"/>
  <c r="V890" i="42"/>
  <c r="U890" i="42"/>
  <c r="T890" i="42"/>
  <c r="E890" i="42"/>
  <c r="E889" i="42"/>
  <c r="E887" i="42"/>
  <c r="Z886" i="42"/>
  <c r="Y886" i="42"/>
  <c r="X886" i="42"/>
  <c r="W886" i="42"/>
  <c r="V886" i="42"/>
  <c r="U886" i="42"/>
  <c r="T886" i="42"/>
  <c r="E886" i="42"/>
  <c r="E885" i="42"/>
  <c r="E883" i="42"/>
  <c r="Z882" i="42"/>
  <c r="Y882" i="42"/>
  <c r="X882" i="42"/>
  <c r="W882" i="42"/>
  <c r="V882" i="42"/>
  <c r="U882" i="42"/>
  <c r="T882" i="42"/>
  <c r="E882" i="42"/>
  <c r="E881" i="42"/>
  <c r="E880" i="42"/>
  <c r="E879" i="42"/>
  <c r="E878" i="42"/>
  <c r="F877" i="42"/>
  <c r="F876" i="42"/>
  <c r="F875" i="42"/>
  <c r="F874" i="42"/>
  <c r="F873" i="42"/>
  <c r="E872" i="42"/>
  <c r="E871" i="42"/>
  <c r="E870" i="42"/>
  <c r="E866" i="42"/>
  <c r="E865" i="42"/>
  <c r="E864" i="42"/>
  <c r="E863" i="42"/>
  <c r="E856" i="42"/>
  <c r="E855" i="42"/>
  <c r="E854" i="42"/>
  <c r="E853" i="42"/>
  <c r="E851" i="42"/>
  <c r="E850" i="42"/>
  <c r="E849" i="42"/>
  <c r="E848" i="42"/>
  <c r="E847" i="42"/>
  <c r="E842" i="42"/>
  <c r="F841" i="42"/>
  <c r="F840" i="42"/>
  <c r="F839" i="42"/>
  <c r="F838" i="42"/>
  <c r="F837" i="42"/>
  <c r="E836" i="42"/>
  <c r="E835" i="42"/>
  <c r="E834" i="42"/>
  <c r="E832" i="42"/>
  <c r="E830" i="42"/>
  <c r="E829" i="42"/>
  <c r="E828" i="42"/>
  <c r="D824" i="42"/>
  <c r="E819" i="42"/>
  <c r="E814" i="42"/>
  <c r="E813" i="42"/>
  <c r="E810" i="42"/>
  <c r="E803" i="42"/>
  <c r="F800" i="42"/>
  <c r="E800" i="42"/>
  <c r="F799" i="42"/>
  <c r="E799" i="42"/>
  <c r="F798" i="42"/>
  <c r="F797" i="42"/>
  <c r="F796" i="42"/>
  <c r="F795" i="42"/>
  <c r="F794" i="42"/>
  <c r="F793" i="42"/>
  <c r="F792" i="42"/>
  <c r="F791" i="42"/>
  <c r="F790" i="42"/>
  <c r="F789" i="42"/>
  <c r="G788" i="42"/>
  <c r="N783" i="42"/>
  <c r="M783" i="42"/>
  <c r="L783" i="42"/>
  <c r="F783" i="42"/>
  <c r="E783" i="42"/>
  <c r="F782" i="42"/>
  <c r="F781" i="42"/>
  <c r="F780" i="42"/>
  <c r="F779" i="42"/>
  <c r="F778" i="42"/>
  <c r="F777" i="42"/>
  <c r="F776" i="42"/>
  <c r="F775" i="42"/>
  <c r="F774" i="42"/>
  <c r="F773" i="42"/>
  <c r="G772" i="42"/>
  <c r="F766" i="42"/>
  <c r="E766" i="42"/>
  <c r="N765" i="42"/>
  <c r="M765" i="42"/>
  <c r="L765" i="42"/>
  <c r="F765" i="42"/>
  <c r="E765" i="42"/>
  <c r="F764" i="42"/>
  <c r="F763" i="42"/>
  <c r="F762" i="42"/>
  <c r="F761" i="42"/>
  <c r="F760" i="42"/>
  <c r="F759" i="42"/>
  <c r="F758" i="42"/>
  <c r="F757" i="42"/>
  <c r="F756" i="42"/>
  <c r="F755" i="42"/>
  <c r="G754" i="42"/>
  <c r="F746" i="42"/>
  <c r="M746" i="42" s="1"/>
  <c r="E746" i="42"/>
  <c r="E745" i="42"/>
  <c r="E764" i="42" s="1"/>
  <c r="V764" i="42" s="1"/>
  <c r="E744" i="42"/>
  <c r="E763" i="42" s="1"/>
  <c r="X763" i="42" s="1"/>
  <c r="E743" i="42"/>
  <c r="E762" i="42" s="1"/>
  <c r="T762" i="42" s="1"/>
  <c r="E742" i="42"/>
  <c r="E761" i="42" s="1"/>
  <c r="E741" i="42"/>
  <c r="E760" i="42" s="1"/>
  <c r="W760" i="42" s="1"/>
  <c r="E740" i="42"/>
  <c r="E759" i="42" s="1"/>
  <c r="X759" i="42" s="1"/>
  <c r="E739" i="42"/>
  <c r="E758" i="42" s="1"/>
  <c r="E738" i="42"/>
  <c r="E757" i="42" s="1"/>
  <c r="E737" i="42"/>
  <c r="E756" i="42" s="1"/>
  <c r="D737" i="42"/>
  <c r="D738" i="42" s="1"/>
  <c r="D739" i="42" s="1"/>
  <c r="D740" i="42" s="1"/>
  <c r="D741" i="42" s="1"/>
  <c r="D742" i="42" s="1"/>
  <c r="D743" i="42" s="1"/>
  <c r="D744" i="42" s="1"/>
  <c r="D745" i="42" s="1"/>
  <c r="E736" i="42"/>
  <c r="E755" i="42" s="1"/>
  <c r="C736" i="42"/>
  <c r="G735" i="42"/>
  <c r="E731" i="42"/>
  <c r="S729" i="42"/>
  <c r="S728" i="42"/>
  <c r="S727" i="42"/>
  <c r="S726" i="42"/>
  <c r="S725" i="42"/>
  <c r="S724" i="42"/>
  <c r="S723" i="42"/>
  <c r="S722" i="42"/>
  <c r="S721" i="42"/>
  <c r="D721" i="42"/>
  <c r="D722" i="42" s="1"/>
  <c r="D723" i="42" s="1"/>
  <c r="D724" i="42" s="1"/>
  <c r="D725" i="42" s="1"/>
  <c r="D726" i="42" s="1"/>
  <c r="D727" i="42" s="1"/>
  <c r="D728" i="42" s="1"/>
  <c r="D729" i="42" s="1"/>
  <c r="S720" i="42"/>
  <c r="I719" i="42"/>
  <c r="E735" i="42" s="1"/>
  <c r="G719" i="42"/>
  <c r="E719" i="42"/>
  <c r="E715" i="42"/>
  <c r="E714" i="42"/>
  <c r="E712" i="42"/>
  <c r="E711" i="42"/>
  <c r="F710" i="42"/>
  <c r="F709" i="42"/>
  <c r="F708" i="42"/>
  <c r="E707" i="42"/>
  <c r="E706" i="42"/>
  <c r="D704" i="42"/>
  <c r="E700" i="42"/>
  <c r="E698" i="42"/>
  <c r="I697" i="42"/>
  <c r="E697" i="42"/>
  <c r="E692" i="42"/>
  <c r="E689" i="42"/>
  <c r="E688" i="42"/>
  <c r="E687" i="42"/>
  <c r="E686" i="42"/>
  <c r="E684" i="42"/>
  <c r="N678" i="42"/>
  <c r="M678" i="42"/>
  <c r="L678" i="42"/>
  <c r="K678" i="42"/>
  <c r="J678" i="42"/>
  <c r="I678" i="42"/>
  <c r="H678" i="42"/>
  <c r="E678" i="42"/>
  <c r="E676" i="42"/>
  <c r="Z675" i="42"/>
  <c r="Y675" i="42"/>
  <c r="X675" i="42"/>
  <c r="W675" i="42"/>
  <c r="V675" i="42"/>
  <c r="U675" i="42"/>
  <c r="T675" i="42"/>
  <c r="E675" i="42"/>
  <c r="E674" i="42"/>
  <c r="E672" i="42"/>
  <c r="Z671" i="42"/>
  <c r="Y671" i="42"/>
  <c r="X671" i="42"/>
  <c r="W671" i="42"/>
  <c r="V671" i="42"/>
  <c r="U671" i="42"/>
  <c r="T671" i="42"/>
  <c r="E671" i="42"/>
  <c r="E670" i="42"/>
  <c r="E668" i="42"/>
  <c r="Z667" i="42"/>
  <c r="Y667" i="42"/>
  <c r="X667" i="42"/>
  <c r="W667" i="42"/>
  <c r="V667" i="42"/>
  <c r="U667" i="42"/>
  <c r="T667" i="42"/>
  <c r="E667" i="42"/>
  <c r="E666" i="42"/>
  <c r="E664" i="42"/>
  <c r="Z663" i="42"/>
  <c r="Y663" i="42"/>
  <c r="X663" i="42"/>
  <c r="W663" i="42"/>
  <c r="V663" i="42"/>
  <c r="U663" i="42"/>
  <c r="T663" i="42"/>
  <c r="E663" i="42"/>
  <c r="E662" i="42"/>
  <c r="E660" i="42"/>
  <c r="Z659" i="42"/>
  <c r="Y659" i="42"/>
  <c r="X659" i="42"/>
  <c r="W659" i="42"/>
  <c r="V659" i="42"/>
  <c r="U659" i="42"/>
  <c r="T659" i="42"/>
  <c r="E659" i="42"/>
  <c r="E658" i="42"/>
  <c r="E657" i="42"/>
  <c r="E656" i="42"/>
  <c r="E655" i="42"/>
  <c r="F654" i="42"/>
  <c r="F653" i="42"/>
  <c r="F652" i="42"/>
  <c r="F651" i="42"/>
  <c r="F650" i="42"/>
  <c r="E649" i="42"/>
  <c r="E648" i="42"/>
  <c r="E647" i="42"/>
  <c r="E643" i="42"/>
  <c r="E642" i="42"/>
  <c r="E641" i="42"/>
  <c r="E640" i="42"/>
  <c r="E633" i="42"/>
  <c r="E632" i="42"/>
  <c r="E631" i="42"/>
  <c r="E630" i="42"/>
  <c r="E628" i="42"/>
  <c r="E627" i="42"/>
  <c r="E626" i="42"/>
  <c r="E625" i="42"/>
  <c r="E624" i="42"/>
  <c r="E619" i="42"/>
  <c r="F618" i="42"/>
  <c r="F617" i="42"/>
  <c r="F616" i="42"/>
  <c r="F615" i="42"/>
  <c r="F614" i="42"/>
  <c r="E613" i="42"/>
  <c r="E612" i="42"/>
  <c r="E611" i="42"/>
  <c r="E609" i="42"/>
  <c r="E607" i="42"/>
  <c r="E606" i="42"/>
  <c r="E605" i="42"/>
  <c r="D601" i="42"/>
  <c r="E596" i="42"/>
  <c r="E591" i="42"/>
  <c r="E590" i="42"/>
  <c r="E587" i="42"/>
  <c r="E580" i="42"/>
  <c r="F577" i="42"/>
  <c r="E577" i="42"/>
  <c r="F576" i="42"/>
  <c r="E576" i="42"/>
  <c r="F575" i="42"/>
  <c r="F574" i="42"/>
  <c r="F573" i="42"/>
  <c r="F572" i="42"/>
  <c r="F571" i="42"/>
  <c r="F570" i="42"/>
  <c r="F569" i="42"/>
  <c r="F568" i="42"/>
  <c r="F567" i="42"/>
  <c r="F566" i="42"/>
  <c r="G565" i="42"/>
  <c r="N560" i="42"/>
  <c r="M560" i="42"/>
  <c r="L560" i="42"/>
  <c r="F560" i="42"/>
  <c r="E560" i="42"/>
  <c r="F559" i="42"/>
  <c r="F558" i="42"/>
  <c r="F557" i="42"/>
  <c r="F556" i="42"/>
  <c r="F555" i="42"/>
  <c r="F554" i="42"/>
  <c r="F553" i="42"/>
  <c r="F552" i="42"/>
  <c r="F551" i="42"/>
  <c r="F550" i="42"/>
  <c r="G549" i="42"/>
  <c r="F543" i="42"/>
  <c r="E543" i="42"/>
  <c r="N542" i="42"/>
  <c r="M542" i="42"/>
  <c r="L542" i="42"/>
  <c r="F542" i="42"/>
  <c r="E542" i="42"/>
  <c r="F541" i="42"/>
  <c r="F540" i="42"/>
  <c r="F539" i="42"/>
  <c r="F538" i="42"/>
  <c r="F537" i="42"/>
  <c r="F536" i="42"/>
  <c r="F535" i="42"/>
  <c r="F534" i="42"/>
  <c r="F533" i="42"/>
  <c r="F532" i="42"/>
  <c r="G531" i="42"/>
  <c r="E526" i="42"/>
  <c r="E749" i="42" s="1"/>
  <c r="F523" i="42"/>
  <c r="N523" i="42" s="1"/>
  <c r="E523" i="42"/>
  <c r="E522" i="42"/>
  <c r="E541" i="42" s="1"/>
  <c r="E521" i="42"/>
  <c r="E540" i="42" s="1"/>
  <c r="E520" i="42"/>
  <c r="E539" i="42" s="1"/>
  <c r="Z539" i="42" s="1"/>
  <c r="E519" i="42"/>
  <c r="E538" i="42" s="1"/>
  <c r="W538" i="42" s="1"/>
  <c r="E518" i="42"/>
  <c r="E537" i="42" s="1"/>
  <c r="E517" i="42"/>
  <c r="E536" i="42" s="1"/>
  <c r="U536" i="42" s="1"/>
  <c r="E516" i="42"/>
  <c r="E535" i="42" s="1"/>
  <c r="Z535" i="42" s="1"/>
  <c r="E515" i="42"/>
  <c r="E534" i="42" s="1"/>
  <c r="E514" i="42"/>
  <c r="E533" i="42" s="1"/>
  <c r="E551" i="42" s="1"/>
  <c r="E567" i="42" s="1"/>
  <c r="D514" i="42"/>
  <c r="D515" i="42" s="1"/>
  <c r="D516" i="42" s="1"/>
  <c r="D517" i="42" s="1"/>
  <c r="D518" i="42" s="1"/>
  <c r="D519" i="42" s="1"/>
  <c r="D520" i="42" s="1"/>
  <c r="D521" i="42" s="1"/>
  <c r="D522" i="42" s="1"/>
  <c r="E513" i="42"/>
  <c r="E532" i="42" s="1"/>
  <c r="C513" i="42"/>
  <c r="G512" i="42"/>
  <c r="E508" i="42"/>
  <c r="S506" i="42"/>
  <c r="S505" i="42"/>
  <c r="S504" i="42"/>
  <c r="S503" i="42"/>
  <c r="S502" i="42"/>
  <c r="S501" i="42"/>
  <c r="S500" i="42"/>
  <c r="S499" i="42"/>
  <c r="S498" i="42"/>
  <c r="D498" i="42"/>
  <c r="D499" i="42" s="1"/>
  <c r="D500" i="42" s="1"/>
  <c r="D501" i="42" s="1"/>
  <c r="D502" i="42" s="1"/>
  <c r="D503" i="42" s="1"/>
  <c r="D504" i="42" s="1"/>
  <c r="D505" i="42" s="1"/>
  <c r="D506" i="42" s="1"/>
  <c r="S497" i="42"/>
  <c r="I496" i="42"/>
  <c r="E512" i="42" s="1"/>
  <c r="G496" i="42"/>
  <c r="E496" i="42"/>
  <c r="E492" i="42"/>
  <c r="E491" i="42"/>
  <c r="E489" i="42"/>
  <c r="E488" i="42"/>
  <c r="F487" i="42"/>
  <c r="F486" i="42"/>
  <c r="F485" i="42"/>
  <c r="E484" i="42"/>
  <c r="E483" i="42"/>
  <c r="D481" i="42"/>
  <c r="E477" i="42"/>
  <c r="E475" i="42"/>
  <c r="I474" i="42"/>
  <c r="E474" i="42"/>
  <c r="E469" i="42"/>
  <c r="E466" i="42"/>
  <c r="E465" i="42"/>
  <c r="E464" i="42"/>
  <c r="E463" i="42"/>
  <c r="E461" i="42"/>
  <c r="C236" i="42"/>
  <c r="N455" i="42"/>
  <c r="M455" i="42"/>
  <c r="L455" i="42"/>
  <c r="K455" i="42"/>
  <c r="J455" i="42"/>
  <c r="I455" i="42"/>
  <c r="H455" i="42"/>
  <c r="E455" i="42"/>
  <c r="E453" i="42"/>
  <c r="Z452" i="42"/>
  <c r="Y452" i="42"/>
  <c r="X452" i="42"/>
  <c r="W452" i="42"/>
  <c r="V452" i="42"/>
  <c r="U452" i="42"/>
  <c r="T452" i="42"/>
  <c r="E452" i="42"/>
  <c r="E451" i="42"/>
  <c r="E449" i="42"/>
  <c r="Z448" i="42"/>
  <c r="Y448" i="42"/>
  <c r="X448" i="42"/>
  <c r="W448" i="42"/>
  <c r="V448" i="42"/>
  <c r="U448" i="42"/>
  <c r="T448" i="42"/>
  <c r="E448" i="42"/>
  <c r="E447" i="42"/>
  <c r="E445" i="42"/>
  <c r="Z444" i="42"/>
  <c r="Y444" i="42"/>
  <c r="X444" i="42"/>
  <c r="W444" i="42"/>
  <c r="V444" i="42"/>
  <c r="U444" i="42"/>
  <c r="T444" i="42"/>
  <c r="E444" i="42"/>
  <c r="E443" i="42"/>
  <c r="E441" i="42"/>
  <c r="Z440" i="42"/>
  <c r="Y440" i="42"/>
  <c r="X440" i="42"/>
  <c r="W440" i="42"/>
  <c r="V440" i="42"/>
  <c r="U440" i="42"/>
  <c r="T440" i="42"/>
  <c r="E440" i="42"/>
  <c r="E439" i="42"/>
  <c r="E437" i="42"/>
  <c r="Z436" i="42"/>
  <c r="Y436" i="42"/>
  <c r="X436" i="42"/>
  <c r="W436" i="42"/>
  <c r="V436" i="42"/>
  <c r="U436" i="42"/>
  <c r="T436" i="42"/>
  <c r="E436" i="42"/>
  <c r="E435" i="42"/>
  <c r="E434" i="42"/>
  <c r="E433" i="42"/>
  <c r="E432" i="42"/>
  <c r="F431" i="42"/>
  <c r="F430" i="42"/>
  <c r="F429" i="42"/>
  <c r="F428" i="42"/>
  <c r="F427" i="42"/>
  <c r="E426" i="42"/>
  <c r="E425" i="42"/>
  <c r="E424" i="42"/>
  <c r="E420" i="42"/>
  <c r="E419" i="42"/>
  <c r="E418" i="42"/>
  <c r="E417" i="42"/>
  <c r="E410" i="42"/>
  <c r="E409" i="42"/>
  <c r="E408" i="42"/>
  <c r="E407" i="42"/>
  <c r="E405" i="42"/>
  <c r="E404" i="42"/>
  <c r="E403" i="42"/>
  <c r="E402" i="42"/>
  <c r="E401" i="42"/>
  <c r="E396" i="42"/>
  <c r="F395" i="42"/>
  <c r="F394" i="42"/>
  <c r="F393" i="42"/>
  <c r="F392" i="42"/>
  <c r="F391" i="42"/>
  <c r="E390" i="42"/>
  <c r="E389" i="42"/>
  <c r="E388" i="42"/>
  <c r="E386" i="42"/>
  <c r="E384" i="42"/>
  <c r="E383" i="42"/>
  <c r="E382" i="42"/>
  <c r="D378" i="42"/>
  <c r="E373" i="42"/>
  <c r="E368" i="42"/>
  <c r="E367" i="42"/>
  <c r="E364" i="42"/>
  <c r="E357" i="42"/>
  <c r="F354" i="42"/>
  <c r="E354" i="42"/>
  <c r="F353" i="42"/>
  <c r="E353" i="42"/>
  <c r="F352" i="42"/>
  <c r="F351" i="42"/>
  <c r="F350" i="42"/>
  <c r="F349" i="42"/>
  <c r="F348" i="42"/>
  <c r="F347" i="42"/>
  <c r="F346" i="42"/>
  <c r="F345" i="42"/>
  <c r="F344" i="42"/>
  <c r="F343" i="42"/>
  <c r="G342" i="42"/>
  <c r="N337" i="42"/>
  <c r="M337" i="42"/>
  <c r="L337" i="42"/>
  <c r="F337" i="42"/>
  <c r="E337" i="42"/>
  <c r="F336" i="42"/>
  <c r="F335" i="42"/>
  <c r="F334" i="42"/>
  <c r="F333" i="42"/>
  <c r="F332" i="42"/>
  <c r="F331" i="42"/>
  <c r="F330" i="42"/>
  <c r="F329" i="42"/>
  <c r="F328" i="42"/>
  <c r="F327" i="42"/>
  <c r="G326" i="42"/>
  <c r="F320" i="42"/>
  <c r="E320" i="42"/>
  <c r="N319" i="42"/>
  <c r="M319" i="42"/>
  <c r="L319" i="42"/>
  <c r="F319" i="42"/>
  <c r="E319" i="42"/>
  <c r="F318" i="42"/>
  <c r="F317" i="42"/>
  <c r="F316" i="42"/>
  <c r="F315" i="42"/>
  <c r="F314" i="42"/>
  <c r="F313" i="42"/>
  <c r="F312" i="42"/>
  <c r="F311" i="42"/>
  <c r="F310" i="42"/>
  <c r="F309" i="42"/>
  <c r="G308" i="42"/>
  <c r="E303" i="42"/>
  <c r="F300" i="42"/>
  <c r="E300" i="42"/>
  <c r="E299" i="42"/>
  <c r="E318" i="42" s="1"/>
  <c r="Z318" i="42" s="1"/>
  <c r="E298" i="42"/>
  <c r="E317" i="42" s="1"/>
  <c r="E297" i="42"/>
  <c r="E316" i="42" s="1"/>
  <c r="E296" i="42"/>
  <c r="E315" i="42" s="1"/>
  <c r="E295" i="42"/>
  <c r="E314" i="42" s="1"/>
  <c r="W314" i="42" s="1"/>
  <c r="E294" i="42"/>
  <c r="E313" i="42" s="1"/>
  <c r="X313" i="42" s="1"/>
  <c r="E293" i="42"/>
  <c r="E312" i="42" s="1"/>
  <c r="E292" i="42"/>
  <c r="E311" i="42" s="1"/>
  <c r="E291" i="42"/>
  <c r="E310" i="42" s="1"/>
  <c r="D291" i="42"/>
  <c r="D292" i="42" s="1"/>
  <c r="D293" i="42" s="1"/>
  <c r="D294" i="42" s="1"/>
  <c r="D295" i="42" s="1"/>
  <c r="D296" i="42" s="1"/>
  <c r="D297" i="42" s="1"/>
  <c r="D298" i="42" s="1"/>
  <c r="D299" i="42" s="1"/>
  <c r="E290" i="42"/>
  <c r="E309" i="42" s="1"/>
  <c r="C290" i="42"/>
  <c r="G289" i="42"/>
  <c r="E285" i="42"/>
  <c r="S283" i="42"/>
  <c r="S282" i="42"/>
  <c r="S281" i="42"/>
  <c r="S280" i="42"/>
  <c r="S279" i="42"/>
  <c r="S278" i="42"/>
  <c r="S277" i="42"/>
  <c r="S276" i="42"/>
  <c r="S275" i="42"/>
  <c r="D275" i="42"/>
  <c r="D276" i="42" s="1"/>
  <c r="D277" i="42" s="1"/>
  <c r="D278" i="42" s="1"/>
  <c r="D279" i="42" s="1"/>
  <c r="D280" i="42" s="1"/>
  <c r="D281" i="42" s="1"/>
  <c r="D282" i="42" s="1"/>
  <c r="D283" i="42" s="1"/>
  <c r="S274" i="42"/>
  <c r="I273" i="42"/>
  <c r="E289" i="42" s="1"/>
  <c r="G273" i="42"/>
  <c r="E273" i="42"/>
  <c r="E269" i="42"/>
  <c r="E268" i="42"/>
  <c r="E266" i="42"/>
  <c r="E265" i="42"/>
  <c r="F264" i="42"/>
  <c r="F263" i="42"/>
  <c r="F262" i="42"/>
  <c r="E261" i="42"/>
  <c r="E260" i="42"/>
  <c r="D258" i="42"/>
  <c r="E254" i="42"/>
  <c r="E252" i="42"/>
  <c r="I251" i="42"/>
  <c r="E251" i="42"/>
  <c r="E246" i="42"/>
  <c r="E243" i="42"/>
  <c r="E242" i="42"/>
  <c r="E241" i="42"/>
  <c r="E240" i="42"/>
  <c r="E238" i="42"/>
  <c r="E267" i="50"/>
  <c r="D267" i="50"/>
  <c r="N264" i="50"/>
  <c r="M264" i="50"/>
  <c r="L264" i="50"/>
  <c r="K264" i="50"/>
  <c r="J264" i="50"/>
  <c r="I264" i="50"/>
  <c r="H264" i="50"/>
  <c r="N263" i="50"/>
  <c r="M263" i="50"/>
  <c r="L263" i="50"/>
  <c r="K263" i="50"/>
  <c r="J263" i="50"/>
  <c r="I263" i="50"/>
  <c r="H263" i="50"/>
  <c r="N262" i="50"/>
  <c r="M262" i="50"/>
  <c r="L262" i="50"/>
  <c r="K262" i="50"/>
  <c r="J262" i="50"/>
  <c r="I262" i="50"/>
  <c r="H262" i="50"/>
  <c r="N261" i="50"/>
  <c r="M261" i="50"/>
  <c r="L261" i="50"/>
  <c r="K261" i="50"/>
  <c r="J261" i="50"/>
  <c r="I261" i="50"/>
  <c r="H261" i="50"/>
  <c r="E263" i="50"/>
  <c r="F77" i="42"/>
  <c r="N77" i="42" s="1"/>
  <c r="C459" i="42" l="1"/>
  <c r="A464" i="42" s="1"/>
  <c r="A241" i="42"/>
  <c r="J1616" i="42"/>
  <c r="T1766" i="42"/>
  <c r="U1766" i="42"/>
  <c r="G1754" i="42"/>
  <c r="W1628" i="42"/>
  <c r="H1754" i="42"/>
  <c r="H1616" i="42"/>
  <c r="U1771" i="42"/>
  <c r="T1771" i="42"/>
  <c r="E1789" i="42"/>
  <c r="E1805" i="42" s="1"/>
  <c r="T1805" i="42" s="1"/>
  <c r="Y1770" i="42"/>
  <c r="E1788" i="42"/>
  <c r="E1804" i="42" s="1"/>
  <c r="Z1804" i="42" s="1"/>
  <c r="U1770" i="42"/>
  <c r="T1770" i="42"/>
  <c r="T1767" i="42"/>
  <c r="U1767" i="42"/>
  <c r="U1764" i="42"/>
  <c r="Y1766" i="42"/>
  <c r="K1754" i="42"/>
  <c r="L1754" i="42"/>
  <c r="K1309" i="42"/>
  <c r="H1309" i="42"/>
  <c r="E1783" i="42"/>
  <c r="E1799" i="42" s="1"/>
  <c r="W1765" i="42"/>
  <c r="Z1765" i="42"/>
  <c r="V1765" i="42"/>
  <c r="U1765" i="42"/>
  <c r="T1765" i="42"/>
  <c r="Y1765" i="42"/>
  <c r="W1769" i="42"/>
  <c r="Z1769" i="42"/>
  <c r="V1769" i="42"/>
  <c r="U1769" i="42"/>
  <c r="T1769" i="42"/>
  <c r="Y1769" i="42"/>
  <c r="W1632" i="42"/>
  <c r="U1632" i="42"/>
  <c r="W1631" i="42"/>
  <c r="U1631" i="42"/>
  <c r="X1765" i="42"/>
  <c r="X1769" i="42"/>
  <c r="E1787" i="42"/>
  <c r="E1803" i="42" s="1"/>
  <c r="E1786" i="42"/>
  <c r="E1802" i="42" s="1"/>
  <c r="W1768" i="42"/>
  <c r="Z1768" i="42"/>
  <c r="V1768" i="42"/>
  <c r="X1768" i="42"/>
  <c r="E1790" i="42"/>
  <c r="E1806" i="42" s="1"/>
  <c r="W1772" i="42"/>
  <c r="Z1772" i="42"/>
  <c r="V1772" i="42"/>
  <c r="X1772" i="42"/>
  <c r="L1616" i="42"/>
  <c r="W1764" i="42"/>
  <c r="Z1764" i="42"/>
  <c r="V1764" i="42"/>
  <c r="Y1764" i="42"/>
  <c r="W1767" i="42"/>
  <c r="Z1767" i="42"/>
  <c r="V1767" i="42"/>
  <c r="X1767" i="42"/>
  <c r="Y1768" i="42"/>
  <c r="W1771" i="42"/>
  <c r="Z1771" i="42"/>
  <c r="V1771" i="42"/>
  <c r="X1771" i="42"/>
  <c r="Y1772" i="42"/>
  <c r="E1782" i="42"/>
  <c r="E1798" i="42" s="1"/>
  <c r="G1616" i="42"/>
  <c r="T1764" i="42"/>
  <c r="W1766" i="42"/>
  <c r="E1784" i="42"/>
  <c r="E1800" i="42" s="1"/>
  <c r="Z1766" i="42"/>
  <c r="V1766" i="42"/>
  <c r="X1766" i="42"/>
  <c r="Y1767" i="42"/>
  <c r="T1768" i="42"/>
  <c r="W1770" i="42"/>
  <c r="Z1770" i="42"/>
  <c r="V1770" i="42"/>
  <c r="X1770" i="42"/>
  <c r="Y1771" i="42"/>
  <c r="T1772" i="42"/>
  <c r="E1785" i="42"/>
  <c r="E1801" i="42" s="1"/>
  <c r="I1754" i="42"/>
  <c r="M1754" i="42"/>
  <c r="J1754" i="42"/>
  <c r="Z1629" i="42"/>
  <c r="V1629" i="42"/>
  <c r="E1647" i="42"/>
  <c r="E1663" i="42" s="1"/>
  <c r="Y1629" i="42"/>
  <c r="T1629" i="42"/>
  <c r="X1629" i="42"/>
  <c r="W1629" i="42"/>
  <c r="U1629" i="42"/>
  <c r="Z1633" i="42"/>
  <c r="V1633" i="42"/>
  <c r="E1651" i="42"/>
  <c r="E1667" i="42" s="1"/>
  <c r="Y1633" i="42"/>
  <c r="T1633" i="42"/>
  <c r="X1633" i="42"/>
  <c r="W1633" i="42"/>
  <c r="U1633" i="42"/>
  <c r="Z1630" i="42"/>
  <c r="V1630" i="42"/>
  <c r="Y1630" i="42"/>
  <c r="T1630" i="42"/>
  <c r="X1630" i="42"/>
  <c r="W1630" i="42"/>
  <c r="U1630" i="42"/>
  <c r="E1648" i="42"/>
  <c r="E1664" i="42" s="1"/>
  <c r="Z1634" i="42"/>
  <c r="V1634" i="42"/>
  <c r="E1652" i="42"/>
  <c r="E1668" i="42" s="1"/>
  <c r="Y1634" i="42"/>
  <c r="T1634" i="42"/>
  <c r="X1634" i="42"/>
  <c r="W1634" i="42"/>
  <c r="U1634" i="42"/>
  <c r="Z1627" i="42"/>
  <c r="V1627" i="42"/>
  <c r="E1645" i="42"/>
  <c r="E1661" i="42" s="1"/>
  <c r="Y1627" i="42"/>
  <c r="T1627" i="42"/>
  <c r="X1627" i="42"/>
  <c r="W1627" i="42"/>
  <c r="U1627" i="42"/>
  <c r="Z1626" i="42"/>
  <c r="V1626" i="42"/>
  <c r="Y1626" i="42"/>
  <c r="T1626" i="42"/>
  <c r="E1644" i="42"/>
  <c r="E1660" i="42" s="1"/>
  <c r="X1626" i="42"/>
  <c r="U1626" i="42"/>
  <c r="Z1625" i="42"/>
  <c r="V1625" i="42"/>
  <c r="E1643" i="42"/>
  <c r="E1659" i="42" s="1"/>
  <c r="X1625" i="42"/>
  <c r="W1625" i="42"/>
  <c r="U1625" i="42"/>
  <c r="W1626" i="42"/>
  <c r="Y1625" i="42"/>
  <c r="E1646" i="42"/>
  <c r="E1662" i="42" s="1"/>
  <c r="Z1628" i="42"/>
  <c r="V1628" i="42"/>
  <c r="Y1628" i="42"/>
  <c r="T1628" i="42"/>
  <c r="X1628" i="42"/>
  <c r="Z1631" i="42"/>
  <c r="V1631" i="42"/>
  <c r="Y1631" i="42"/>
  <c r="T1631" i="42"/>
  <c r="E1649" i="42"/>
  <c r="E1665" i="42" s="1"/>
  <c r="X1631" i="42"/>
  <c r="E1650" i="42"/>
  <c r="E1666" i="42" s="1"/>
  <c r="Z1632" i="42"/>
  <c r="V1632" i="42"/>
  <c r="Y1632" i="42"/>
  <c r="T1632" i="42"/>
  <c r="X1632" i="42"/>
  <c r="M1616" i="42"/>
  <c r="I1616" i="42"/>
  <c r="K1616" i="42"/>
  <c r="I1855" i="50"/>
  <c r="P1918" i="50" s="1"/>
  <c r="U1324" i="42"/>
  <c r="E1342" i="42"/>
  <c r="E1358" i="42" s="1"/>
  <c r="T1358" i="42" s="1"/>
  <c r="V1324" i="42"/>
  <c r="U1323" i="42"/>
  <c r="V1323" i="42"/>
  <c r="Z1318" i="42"/>
  <c r="E1336" i="42"/>
  <c r="E1352" i="42" s="1"/>
  <c r="U1352" i="42" s="1"/>
  <c r="V1318" i="42"/>
  <c r="U1318" i="42"/>
  <c r="V1321" i="42"/>
  <c r="U1321" i="42"/>
  <c r="V1325" i="42"/>
  <c r="X1325" i="42"/>
  <c r="E1343" i="42"/>
  <c r="E1359" i="42" s="1"/>
  <c r="T1359" i="42" s="1"/>
  <c r="U1319" i="42"/>
  <c r="V1319" i="42"/>
  <c r="Y1326" i="42"/>
  <c r="J1138" i="42"/>
  <c r="I1309" i="42"/>
  <c r="M1138" i="42"/>
  <c r="L1309" i="42"/>
  <c r="T1326" i="42"/>
  <c r="T1327" i="42"/>
  <c r="M1309" i="42"/>
  <c r="Y1153" i="42"/>
  <c r="E1171" i="42"/>
  <c r="E1187" i="42" s="1"/>
  <c r="W1187" i="42" s="1"/>
  <c r="X1320" i="42"/>
  <c r="T1320" i="42"/>
  <c r="E1338" i="42"/>
  <c r="E1354" i="42" s="1"/>
  <c r="W1320" i="42"/>
  <c r="V1320" i="42"/>
  <c r="U1320" i="42"/>
  <c r="Z1320" i="42"/>
  <c r="E1340" i="42"/>
  <c r="E1356" i="42" s="1"/>
  <c r="X1322" i="42"/>
  <c r="T1322" i="42"/>
  <c r="W1322" i="42"/>
  <c r="V1322" i="42"/>
  <c r="U1322" i="42"/>
  <c r="Z1322" i="42"/>
  <c r="Y1320" i="42"/>
  <c r="Y1322" i="42"/>
  <c r="N1138" i="42"/>
  <c r="E1345" i="42"/>
  <c r="E1361" i="42" s="1"/>
  <c r="W1327" i="42"/>
  <c r="X1327" i="42"/>
  <c r="V1327" i="42"/>
  <c r="E1337" i="42"/>
  <c r="E1353" i="42" s="1"/>
  <c r="X1319" i="42"/>
  <c r="T1319" i="42"/>
  <c r="W1319" i="42"/>
  <c r="Y1319" i="42"/>
  <c r="E1339" i="42"/>
  <c r="E1355" i="42" s="1"/>
  <c r="X1321" i="42"/>
  <c r="T1321" i="42"/>
  <c r="W1321" i="42"/>
  <c r="Y1321" i="42"/>
  <c r="E1341" i="42"/>
  <c r="E1357" i="42" s="1"/>
  <c r="X1323" i="42"/>
  <c r="T1323" i="42"/>
  <c r="W1323" i="42"/>
  <c r="Y1323" i="42"/>
  <c r="Y1327" i="42"/>
  <c r="H1138" i="42"/>
  <c r="W1326" i="42"/>
  <c r="V1326" i="42"/>
  <c r="Z1326" i="42"/>
  <c r="U1326" i="42"/>
  <c r="X1318" i="42"/>
  <c r="T1318" i="42"/>
  <c r="W1318" i="42"/>
  <c r="Y1318" i="42"/>
  <c r="Z1319" i="42"/>
  <c r="Z1321" i="42"/>
  <c r="Z1323" i="42"/>
  <c r="W1324" i="42"/>
  <c r="Y1324" i="42"/>
  <c r="T1324" i="42"/>
  <c r="X1324" i="42"/>
  <c r="Z1324" i="42"/>
  <c r="W1325" i="42"/>
  <c r="Z1325" i="42"/>
  <c r="U1325" i="42"/>
  <c r="Y1325" i="42"/>
  <c r="T1325" i="42"/>
  <c r="Z1327" i="42"/>
  <c r="E1344" i="42"/>
  <c r="E1360" i="42" s="1"/>
  <c r="J1309" i="42"/>
  <c r="N1309" i="42"/>
  <c r="G1309" i="42"/>
  <c r="E1169" i="42"/>
  <c r="E1185" i="42" s="1"/>
  <c r="X1151" i="42"/>
  <c r="T1151" i="42"/>
  <c r="W1151" i="42"/>
  <c r="V1151" i="42"/>
  <c r="U1151" i="42"/>
  <c r="Z1151" i="42"/>
  <c r="Y1151" i="42"/>
  <c r="X1150" i="42"/>
  <c r="T1150" i="42"/>
  <c r="W1150" i="42"/>
  <c r="Z1150" i="42"/>
  <c r="E1168" i="42"/>
  <c r="E1184" i="42" s="1"/>
  <c r="Y1150" i="42"/>
  <c r="V1150" i="42"/>
  <c r="X1154" i="42"/>
  <c r="T1154" i="42"/>
  <c r="W1154" i="42"/>
  <c r="Z1154" i="42"/>
  <c r="E1172" i="42"/>
  <c r="E1188" i="42" s="1"/>
  <c r="Y1154" i="42"/>
  <c r="V1154" i="42"/>
  <c r="X1153" i="42"/>
  <c r="T1153" i="42"/>
  <c r="W1153" i="42"/>
  <c r="V1153" i="42"/>
  <c r="U1153" i="42"/>
  <c r="Z1153" i="42"/>
  <c r="X1149" i="42"/>
  <c r="T1149" i="42"/>
  <c r="V1149" i="42"/>
  <c r="Y1149" i="42"/>
  <c r="Z1149" i="42"/>
  <c r="U1149" i="42"/>
  <c r="E1165" i="42"/>
  <c r="E1181" i="42" s="1"/>
  <c r="W1149" i="42"/>
  <c r="U1150" i="42"/>
  <c r="E1173" i="42"/>
  <c r="E1189" i="42" s="1"/>
  <c r="X1155" i="42"/>
  <c r="T1155" i="42"/>
  <c r="W1155" i="42"/>
  <c r="V1155" i="42"/>
  <c r="Z1155" i="42"/>
  <c r="U1155" i="42"/>
  <c r="X1152" i="42"/>
  <c r="T1152" i="42"/>
  <c r="E1170" i="42"/>
  <c r="E1186" i="42" s="1"/>
  <c r="W1152" i="42"/>
  <c r="Z1152" i="42"/>
  <c r="V1152" i="42"/>
  <c r="Y1152" i="42"/>
  <c r="X1156" i="42"/>
  <c r="T1156" i="42"/>
  <c r="E1174" i="42"/>
  <c r="E1190" i="42" s="1"/>
  <c r="W1156" i="42"/>
  <c r="Z1156" i="42"/>
  <c r="Y1156" i="42"/>
  <c r="V1156" i="42"/>
  <c r="X1148" i="42"/>
  <c r="T1148" i="42"/>
  <c r="E1166" i="42"/>
  <c r="E1182" i="42" s="1"/>
  <c r="Z1148" i="42"/>
  <c r="U1148" i="42"/>
  <c r="W1148" i="42"/>
  <c r="Y1148" i="42"/>
  <c r="U1154" i="42"/>
  <c r="Y1155" i="42"/>
  <c r="E1167" i="42"/>
  <c r="E1183" i="42" s="1"/>
  <c r="K1138" i="42"/>
  <c r="G1138" i="42"/>
  <c r="L1138" i="42"/>
  <c r="Q1855" i="50"/>
  <c r="C1928" i="50"/>
  <c r="H2605" i="37"/>
  <c r="H2599" i="37"/>
  <c r="H2764" i="37"/>
  <c r="H2770" i="37"/>
  <c r="H2324" i="37"/>
  <c r="H2318" i="37"/>
  <c r="H2489" i="37"/>
  <c r="H2208" i="37"/>
  <c r="H2037" i="37"/>
  <c r="H1481" i="37"/>
  <c r="H1475" i="37"/>
  <c r="H1762" i="37"/>
  <c r="H1194" i="37"/>
  <c r="H1921" i="37"/>
  <c r="H1927" i="37"/>
  <c r="H1640" i="37"/>
  <c r="H1646" i="37"/>
  <c r="H1359" i="37"/>
  <c r="H1365" i="37"/>
  <c r="H913" i="37"/>
  <c r="H1078" i="37"/>
  <c r="H1084" i="37"/>
  <c r="Q294" i="37"/>
  <c r="C575" i="37"/>
  <c r="C856" i="37" s="1"/>
  <c r="C1137" i="37" s="1"/>
  <c r="C1418" i="37" s="1"/>
  <c r="C1699" i="37" s="1"/>
  <c r="C1980" i="37" s="1"/>
  <c r="C2261" i="37" s="1"/>
  <c r="C2542" i="37" s="1"/>
  <c r="H638" i="37"/>
  <c r="H797" i="37"/>
  <c r="H803" i="37"/>
  <c r="H351" i="37"/>
  <c r="H516" i="37"/>
  <c r="H522" i="37"/>
  <c r="I236" i="42"/>
  <c r="Q365" i="42" s="1"/>
  <c r="J1478" i="42"/>
  <c r="U1490" i="42"/>
  <c r="X1490" i="42"/>
  <c r="Y1496" i="42"/>
  <c r="E1514" i="42"/>
  <c r="E1530" i="42" s="1"/>
  <c r="X1530" i="42" s="1"/>
  <c r="N1478" i="42"/>
  <c r="U1494" i="42"/>
  <c r="T1492" i="42"/>
  <c r="Z1491" i="42"/>
  <c r="V1491" i="42"/>
  <c r="W1491" i="42"/>
  <c r="E1509" i="42"/>
  <c r="E1525" i="42" s="1"/>
  <c r="Y1491" i="42"/>
  <c r="X1491" i="42"/>
  <c r="U1491" i="42"/>
  <c r="T1491" i="42"/>
  <c r="Z1495" i="42"/>
  <c r="V1495" i="42"/>
  <c r="W1495" i="42"/>
  <c r="Y1495" i="42"/>
  <c r="X1495" i="42"/>
  <c r="E1513" i="42"/>
  <c r="E1529" i="42" s="1"/>
  <c r="U1495" i="42"/>
  <c r="T1495" i="42"/>
  <c r="E1505" i="42"/>
  <c r="E1521" i="42" s="1"/>
  <c r="E1507" i="42"/>
  <c r="E1523" i="42" s="1"/>
  <c r="E1511" i="42"/>
  <c r="E1527" i="42" s="1"/>
  <c r="Z1493" i="42"/>
  <c r="V1493" i="42"/>
  <c r="W1493" i="42"/>
  <c r="U1493" i="42"/>
  <c r="T1493" i="42"/>
  <c r="Y1493" i="42"/>
  <c r="E1506" i="42"/>
  <c r="E1522" i="42" s="1"/>
  <c r="Z1492" i="42"/>
  <c r="V1492" i="42"/>
  <c r="W1492" i="42"/>
  <c r="E1510" i="42"/>
  <c r="E1526" i="42" s="1"/>
  <c r="X1492" i="42"/>
  <c r="U1492" i="42"/>
  <c r="Z1496" i="42"/>
  <c r="V1496" i="42"/>
  <c r="W1496" i="42"/>
  <c r="X1496" i="42"/>
  <c r="U1496" i="42"/>
  <c r="Z1490" i="42"/>
  <c r="V1490" i="42"/>
  <c r="W1490" i="42"/>
  <c r="E1508" i="42"/>
  <c r="E1524" i="42" s="1"/>
  <c r="T1490" i="42"/>
  <c r="Y1490" i="42"/>
  <c r="X1493" i="42"/>
  <c r="Z1494" i="42"/>
  <c r="V1494" i="42"/>
  <c r="E1512" i="42"/>
  <c r="E1528" i="42" s="1"/>
  <c r="W1494" i="42"/>
  <c r="T1494" i="42"/>
  <c r="Y1494" i="42"/>
  <c r="K1478" i="42"/>
  <c r="G1478" i="42"/>
  <c r="L1478" i="42"/>
  <c r="H1478" i="42"/>
  <c r="M1478" i="42"/>
  <c r="I967" i="42"/>
  <c r="L967" i="42"/>
  <c r="M967" i="42"/>
  <c r="E1002" i="42"/>
  <c r="E1018" i="42" s="1"/>
  <c r="X984" i="42"/>
  <c r="T984" i="42"/>
  <c r="W984" i="42"/>
  <c r="U984" i="42"/>
  <c r="Z984" i="42"/>
  <c r="Y984" i="42"/>
  <c r="V984" i="42"/>
  <c r="E995" i="42"/>
  <c r="E1011" i="42" s="1"/>
  <c r="K1004" i="42"/>
  <c r="G1004" i="42"/>
  <c r="J1004" i="42"/>
  <c r="G986" i="42"/>
  <c r="I1004" i="42"/>
  <c r="E996" i="42"/>
  <c r="E1012" i="42" s="1"/>
  <c r="E1000" i="42"/>
  <c r="E1016" i="42" s="1"/>
  <c r="Z982" i="42"/>
  <c r="V982" i="42"/>
  <c r="Y982" i="42"/>
  <c r="U982" i="42"/>
  <c r="K986" i="42"/>
  <c r="E999" i="42"/>
  <c r="E1015" i="42" s="1"/>
  <c r="W981" i="42"/>
  <c r="Z981" i="42"/>
  <c r="V981" i="42"/>
  <c r="E1003" i="42"/>
  <c r="E1019" i="42" s="1"/>
  <c r="W985" i="42"/>
  <c r="Z985" i="42"/>
  <c r="V985" i="42"/>
  <c r="X985" i="42"/>
  <c r="G967" i="42"/>
  <c r="J986" i="42"/>
  <c r="V979" i="42"/>
  <c r="E998" i="42"/>
  <c r="E1014" i="42" s="1"/>
  <c r="X980" i="42"/>
  <c r="T980" i="42"/>
  <c r="W980" i="42"/>
  <c r="Y980" i="42"/>
  <c r="Y981" i="42"/>
  <c r="Y985" i="42"/>
  <c r="H986" i="42"/>
  <c r="Q236" i="42"/>
  <c r="R237" i="42" s="1"/>
  <c r="Z314" i="42"/>
  <c r="K765" i="42"/>
  <c r="V760" i="42"/>
  <c r="E1001" i="42"/>
  <c r="E1017" i="42" s="1"/>
  <c r="Y983" i="42"/>
  <c r="U983" i="42"/>
  <c r="X983" i="42"/>
  <c r="T983" i="42"/>
  <c r="H967" i="42"/>
  <c r="Z980" i="42"/>
  <c r="T981" i="42"/>
  <c r="T982" i="42"/>
  <c r="W983" i="42"/>
  <c r="T985" i="42"/>
  <c r="I986" i="42"/>
  <c r="H1004" i="42"/>
  <c r="K523" i="42"/>
  <c r="V539" i="42"/>
  <c r="X981" i="42"/>
  <c r="X982" i="42"/>
  <c r="K967" i="42"/>
  <c r="E997" i="42"/>
  <c r="E1013" i="42" s="1"/>
  <c r="Y979" i="42"/>
  <c r="U979" i="42"/>
  <c r="X979" i="42"/>
  <c r="T979" i="42"/>
  <c r="E994" i="42"/>
  <c r="E1010" i="42" s="1"/>
  <c r="Z979" i="42"/>
  <c r="U980" i="42"/>
  <c r="U981" i="42"/>
  <c r="W982" i="42"/>
  <c r="Z983" i="42"/>
  <c r="U985" i="42"/>
  <c r="J967" i="42"/>
  <c r="U537" i="42"/>
  <c r="T537" i="42"/>
  <c r="E555" i="42"/>
  <c r="E571" i="42" s="1"/>
  <c r="T571" i="42" s="1"/>
  <c r="Y537" i="42"/>
  <c r="E559" i="42"/>
  <c r="E575" i="42" s="1"/>
  <c r="Y575" i="42" s="1"/>
  <c r="T541" i="42"/>
  <c r="Y541" i="42"/>
  <c r="U541" i="42"/>
  <c r="E775" i="42"/>
  <c r="E791" i="42" s="1"/>
  <c r="E779" i="42"/>
  <c r="E795" i="42" s="1"/>
  <c r="X761" i="42"/>
  <c r="T761" i="42"/>
  <c r="W761" i="42"/>
  <c r="U761" i="42"/>
  <c r="Y761" i="42"/>
  <c r="V761" i="42"/>
  <c r="Z761" i="42"/>
  <c r="J746" i="42"/>
  <c r="K746" i="42"/>
  <c r="I746" i="42"/>
  <c r="E776" i="42"/>
  <c r="E792" i="42" s="1"/>
  <c r="W758" i="42"/>
  <c r="Z758" i="42"/>
  <c r="V758" i="42"/>
  <c r="X758" i="42"/>
  <c r="G783" i="42"/>
  <c r="V318" i="42"/>
  <c r="Y758" i="42"/>
  <c r="V535" i="42"/>
  <c r="W539" i="42"/>
  <c r="E777" i="42"/>
  <c r="E793" i="42" s="1"/>
  <c r="Z759" i="42"/>
  <c r="V759" i="42"/>
  <c r="Y759" i="42"/>
  <c r="U759" i="42"/>
  <c r="E781" i="42"/>
  <c r="E797" i="42" s="1"/>
  <c r="Z763" i="42"/>
  <c r="V763" i="42"/>
  <c r="Y763" i="42"/>
  <c r="U763" i="42"/>
  <c r="E782" i="42"/>
  <c r="E798" i="42" s="1"/>
  <c r="Y764" i="42"/>
  <c r="U764" i="42"/>
  <c r="X764" i="42"/>
  <c r="T764" i="42"/>
  <c r="T758" i="42"/>
  <c r="T759" i="42"/>
  <c r="T763" i="42"/>
  <c r="W764" i="42"/>
  <c r="C682" i="42"/>
  <c r="J783" i="42"/>
  <c r="I783" i="42"/>
  <c r="I765" i="42"/>
  <c r="K783" i="42"/>
  <c r="H765" i="42"/>
  <c r="E780" i="42"/>
  <c r="E796" i="42" s="1"/>
  <c r="W762" i="42"/>
  <c r="Z762" i="42"/>
  <c r="V762" i="42"/>
  <c r="X762" i="42"/>
  <c r="J765" i="42"/>
  <c r="Y762" i="42"/>
  <c r="H783" i="42"/>
  <c r="G319" i="42"/>
  <c r="I560" i="42"/>
  <c r="L523" i="42"/>
  <c r="W535" i="42"/>
  <c r="E773" i="42"/>
  <c r="E789" i="42" s="1"/>
  <c r="E774" i="42"/>
  <c r="E790" i="42" s="1"/>
  <c r="E778" i="42"/>
  <c r="E794" i="42" s="1"/>
  <c r="Y760" i="42"/>
  <c r="U760" i="42"/>
  <c r="X760" i="42"/>
  <c r="T760" i="42"/>
  <c r="L746" i="42"/>
  <c r="H746" i="42"/>
  <c r="G746" i="42"/>
  <c r="N746" i="42"/>
  <c r="U758" i="42"/>
  <c r="W759" i="42"/>
  <c r="Z760" i="42"/>
  <c r="U762" i="42"/>
  <c r="W763" i="42"/>
  <c r="Z764" i="42"/>
  <c r="G765" i="42"/>
  <c r="E335" i="42"/>
  <c r="E351" i="42" s="1"/>
  <c r="W351" i="42" s="1"/>
  <c r="X317" i="42"/>
  <c r="T317" i="42"/>
  <c r="W317" i="42"/>
  <c r="X540" i="42"/>
  <c r="T540" i="42"/>
  <c r="W540" i="42"/>
  <c r="Y540" i="42"/>
  <c r="E554" i="42"/>
  <c r="E570" i="42" s="1"/>
  <c r="E558" i="42"/>
  <c r="E574" i="42" s="1"/>
  <c r="E552" i="42"/>
  <c r="E568" i="42" s="1"/>
  <c r="Z536" i="42"/>
  <c r="Z540" i="42"/>
  <c r="W318" i="42"/>
  <c r="I459" i="42"/>
  <c r="Q645" i="42" s="1"/>
  <c r="G523" i="42"/>
  <c r="J542" i="42"/>
  <c r="U540" i="42"/>
  <c r="H560" i="42"/>
  <c r="K560" i="42"/>
  <c r="G560" i="42"/>
  <c r="G542" i="42"/>
  <c r="E556" i="42"/>
  <c r="E572" i="42" s="1"/>
  <c r="Z538" i="42"/>
  <c r="V538" i="42"/>
  <c r="Y538" i="42"/>
  <c r="U538" i="42"/>
  <c r="X536" i="42"/>
  <c r="T536" i="42"/>
  <c r="W536" i="42"/>
  <c r="Y536" i="42"/>
  <c r="H542" i="42"/>
  <c r="T313" i="42"/>
  <c r="T538" i="42"/>
  <c r="I542" i="42"/>
  <c r="K319" i="42"/>
  <c r="Q459" i="42"/>
  <c r="Y535" i="42"/>
  <c r="U535" i="42"/>
  <c r="E553" i="42"/>
  <c r="E569" i="42" s="1"/>
  <c r="X535" i="42"/>
  <c r="T535" i="42"/>
  <c r="Y539" i="42"/>
  <c r="U539" i="42"/>
  <c r="E557" i="42"/>
  <c r="E573" i="42" s="1"/>
  <c r="X539" i="42"/>
  <c r="T539" i="42"/>
  <c r="H523" i="42"/>
  <c r="K542" i="42"/>
  <c r="V536" i="42"/>
  <c r="W537" i="42"/>
  <c r="Z537" i="42"/>
  <c r="V537" i="42"/>
  <c r="X537" i="42"/>
  <c r="X538" i="42"/>
  <c r="V540" i="42"/>
  <c r="W541" i="42"/>
  <c r="Z541" i="42"/>
  <c r="V541" i="42"/>
  <c r="X541" i="42"/>
  <c r="E550" i="42"/>
  <c r="E566" i="42" s="1"/>
  <c r="J560" i="42"/>
  <c r="I523" i="42"/>
  <c r="M523" i="42"/>
  <c r="J523" i="42"/>
  <c r="E330" i="42"/>
  <c r="E346" i="42" s="1"/>
  <c r="W312" i="42"/>
  <c r="Z312" i="42"/>
  <c r="V312" i="42"/>
  <c r="Y312" i="42"/>
  <c r="U312" i="42"/>
  <c r="T312" i="42"/>
  <c r="X312" i="42"/>
  <c r="E334" i="42"/>
  <c r="E350" i="42" s="1"/>
  <c r="W316" i="42"/>
  <c r="Z316" i="42"/>
  <c r="V316" i="42"/>
  <c r="Y316" i="42"/>
  <c r="U316" i="42"/>
  <c r="X316" i="42"/>
  <c r="T316" i="42"/>
  <c r="E329" i="42"/>
  <c r="E345" i="42" s="1"/>
  <c r="E333" i="42"/>
  <c r="E349" i="42" s="1"/>
  <c r="X315" i="42"/>
  <c r="T315" i="42"/>
  <c r="W315" i="42"/>
  <c r="Y315" i="42"/>
  <c r="Z315" i="42"/>
  <c r="V315" i="42"/>
  <c r="U315" i="42"/>
  <c r="J300" i="42"/>
  <c r="L300" i="42"/>
  <c r="H300" i="42"/>
  <c r="K300" i="42"/>
  <c r="E327" i="42"/>
  <c r="E343" i="42" s="1"/>
  <c r="G300" i="42"/>
  <c r="M300" i="42"/>
  <c r="E331" i="42"/>
  <c r="E347" i="42" s="1"/>
  <c r="Z313" i="42"/>
  <c r="V313" i="42"/>
  <c r="Y313" i="42"/>
  <c r="U313" i="42"/>
  <c r="W313" i="42"/>
  <c r="K337" i="42"/>
  <c r="G337" i="42"/>
  <c r="J337" i="42"/>
  <c r="H337" i="42"/>
  <c r="I319" i="42"/>
  <c r="H319" i="42"/>
  <c r="E328" i="42"/>
  <c r="E344" i="42" s="1"/>
  <c r="E332" i="42"/>
  <c r="E348" i="42" s="1"/>
  <c r="Y314" i="42"/>
  <c r="U314" i="42"/>
  <c r="X314" i="42"/>
  <c r="T314" i="42"/>
  <c r="E336" i="42"/>
  <c r="E352" i="42" s="1"/>
  <c r="Y318" i="42"/>
  <c r="U318" i="42"/>
  <c r="X318" i="42"/>
  <c r="T318" i="42"/>
  <c r="I300" i="42"/>
  <c r="N300" i="42"/>
  <c r="V314" i="42"/>
  <c r="J319" i="42"/>
  <c r="I337" i="42"/>
  <c r="U317" i="42"/>
  <c r="Y317" i="42"/>
  <c r="V317" i="42"/>
  <c r="Z317" i="42"/>
  <c r="L77" i="42"/>
  <c r="M77" i="42"/>
  <c r="Y1187" i="42" l="1"/>
  <c r="C905" i="42"/>
  <c r="A910" i="42" s="1"/>
  <c r="A687" i="42"/>
  <c r="Z1805" i="42"/>
  <c r="Q413" i="42"/>
  <c r="Q422" i="42"/>
  <c r="V1358" i="42"/>
  <c r="C2001" i="50"/>
  <c r="C2074" i="50" s="1"/>
  <c r="Q2074" i="50" s="1"/>
  <c r="L1931" i="50"/>
  <c r="P1910" i="50"/>
  <c r="I1858" i="50"/>
  <c r="H1858" i="50"/>
  <c r="E1858" i="50"/>
  <c r="P1921" i="50"/>
  <c r="U1805" i="42"/>
  <c r="Y1805" i="42"/>
  <c r="P1878" i="50"/>
  <c r="V1805" i="42"/>
  <c r="U1804" i="42"/>
  <c r="T1804" i="42"/>
  <c r="V1359" i="42"/>
  <c r="Y1804" i="42"/>
  <c r="X1352" i="42"/>
  <c r="W1804" i="42"/>
  <c r="V1804" i="42"/>
  <c r="X1804" i="42"/>
  <c r="S448" i="42"/>
  <c r="Q253" i="42"/>
  <c r="Q415" i="42"/>
  <c r="S445" i="42"/>
  <c r="V1352" i="42"/>
  <c r="W1805" i="42"/>
  <c r="Q407" i="42"/>
  <c r="Q373" i="42"/>
  <c r="Q448" i="42"/>
  <c r="X1805" i="42"/>
  <c r="Z1358" i="42"/>
  <c r="Z1801" i="42"/>
  <c r="V1801" i="42"/>
  <c r="X1801" i="42"/>
  <c r="W1801" i="42"/>
  <c r="U1801" i="42"/>
  <c r="T1801" i="42"/>
  <c r="Y1801" i="42"/>
  <c r="Z1800" i="42"/>
  <c r="V1800" i="42"/>
  <c r="Y1800" i="42"/>
  <c r="T1800" i="42"/>
  <c r="X1800" i="42"/>
  <c r="W1800" i="42"/>
  <c r="U1800" i="42"/>
  <c r="Y1798" i="42"/>
  <c r="U1798" i="42"/>
  <c r="X1798" i="42"/>
  <c r="T1798" i="42"/>
  <c r="Z1798" i="42"/>
  <c r="W1798" i="42"/>
  <c r="V1798" i="42"/>
  <c r="Z1806" i="42"/>
  <c r="V1806" i="42"/>
  <c r="W1806" i="42"/>
  <c r="U1806" i="42"/>
  <c r="T1806" i="42"/>
  <c r="Y1806" i="42"/>
  <c r="X1806" i="42"/>
  <c r="U1359" i="42"/>
  <c r="Y1358" i="42"/>
  <c r="Z1802" i="42"/>
  <c r="V1802" i="42"/>
  <c r="W1802" i="42"/>
  <c r="U1802" i="42"/>
  <c r="Y1802" i="42"/>
  <c r="X1802" i="42"/>
  <c r="T1802" i="42"/>
  <c r="Q436" i="42"/>
  <c r="S436" i="42"/>
  <c r="Q449" i="42"/>
  <c r="I380" i="42"/>
  <c r="Q363" i="42"/>
  <c r="Q397" i="42"/>
  <c r="Q437" i="42"/>
  <c r="U1187" i="42"/>
  <c r="W1359" i="42"/>
  <c r="W1358" i="42"/>
  <c r="Z1803" i="42"/>
  <c r="V1803" i="42"/>
  <c r="U1803" i="42"/>
  <c r="Y1803" i="42"/>
  <c r="T1803" i="42"/>
  <c r="X1803" i="42"/>
  <c r="W1803" i="42"/>
  <c r="Z1799" i="42"/>
  <c r="V1799" i="42"/>
  <c r="U1799" i="42"/>
  <c r="Y1799" i="42"/>
  <c r="T1799" i="42"/>
  <c r="X1799" i="42"/>
  <c r="W1799" i="42"/>
  <c r="T1635" i="42"/>
  <c r="U1635" i="42"/>
  <c r="W1635" i="42"/>
  <c r="T1352" i="42"/>
  <c r="Y1664" i="42"/>
  <c r="U1664" i="42"/>
  <c r="V1664" i="42"/>
  <c r="X1664" i="42"/>
  <c r="W1664" i="42"/>
  <c r="Z1664" i="42"/>
  <c r="T1664" i="42"/>
  <c r="Q369" i="42"/>
  <c r="S437" i="42"/>
  <c r="Q452" i="42"/>
  <c r="Q440" i="42"/>
  <c r="Q411" i="42"/>
  <c r="Q414" i="42"/>
  <c r="S449" i="42"/>
  <c r="V1187" i="42"/>
  <c r="X1359" i="42"/>
  <c r="Z1359" i="42"/>
  <c r="X1358" i="42"/>
  <c r="W1352" i="42"/>
  <c r="Y1665" i="42"/>
  <c r="U1665" i="42"/>
  <c r="Z1665" i="42"/>
  <c r="T1665" i="42"/>
  <c r="X1665" i="42"/>
  <c r="W1665" i="42"/>
  <c r="V1665" i="42"/>
  <c r="Z1635" i="42"/>
  <c r="Y1661" i="42"/>
  <c r="U1661" i="42"/>
  <c r="Z1661" i="42"/>
  <c r="T1661" i="42"/>
  <c r="W1661" i="42"/>
  <c r="V1661" i="42"/>
  <c r="X1661" i="42"/>
  <c r="Y1668" i="42"/>
  <c r="U1668" i="42"/>
  <c r="V1668" i="42"/>
  <c r="Z1668" i="42"/>
  <c r="X1668" i="42"/>
  <c r="T1668" i="42"/>
  <c r="W1668" i="42"/>
  <c r="Y1667" i="42"/>
  <c r="U1667" i="42"/>
  <c r="W1667" i="42"/>
  <c r="Z1667" i="42"/>
  <c r="X1667" i="42"/>
  <c r="T1667" i="42"/>
  <c r="V1667" i="42"/>
  <c r="Y1663" i="42"/>
  <c r="U1663" i="42"/>
  <c r="W1663" i="42"/>
  <c r="X1663" i="42"/>
  <c r="V1663" i="42"/>
  <c r="Z1663" i="42"/>
  <c r="T1663" i="42"/>
  <c r="Z1352" i="42"/>
  <c r="Y1635" i="42"/>
  <c r="V1635" i="42"/>
  <c r="A258" i="42"/>
  <c r="A259" i="42" s="1"/>
  <c r="A260" i="42" s="1"/>
  <c r="A261" i="42" s="1"/>
  <c r="A262" i="42" s="1"/>
  <c r="A263" i="42" s="1"/>
  <c r="A264" i="42" s="1"/>
  <c r="A265" i="42" s="1"/>
  <c r="A266" i="42" s="1"/>
  <c r="A267" i="42" s="1"/>
  <c r="A268" i="42" s="1"/>
  <c r="A269" i="42" s="1"/>
  <c r="A270" i="42" s="1"/>
  <c r="A271" i="42" s="1"/>
  <c r="A272" i="42" s="1"/>
  <c r="A273" i="42" s="1"/>
  <c r="A274" i="42" s="1"/>
  <c r="A275" i="42" s="1"/>
  <c r="A276" i="42" s="1"/>
  <c r="A277" i="42" s="1"/>
  <c r="A278" i="42" s="1"/>
  <c r="A279" i="42" s="1"/>
  <c r="A280" i="42" s="1"/>
  <c r="A281" i="42" s="1"/>
  <c r="A282" i="42" s="1"/>
  <c r="A283" i="42" s="1"/>
  <c r="A284" i="42" s="1"/>
  <c r="A285" i="42" s="1"/>
  <c r="A286" i="42" s="1"/>
  <c r="A287" i="42" s="1"/>
  <c r="A288" i="42" s="1"/>
  <c r="A289" i="42" s="1"/>
  <c r="A290" i="42" s="1"/>
  <c r="A291" i="42" s="1"/>
  <c r="A292" i="42" s="1"/>
  <c r="A293" i="42" s="1"/>
  <c r="A294" i="42" s="1"/>
  <c r="A295" i="42" s="1"/>
  <c r="A296" i="42" s="1"/>
  <c r="A297" i="42" s="1"/>
  <c r="A298" i="42" s="1"/>
  <c r="A299" i="42" s="1"/>
  <c r="A300" i="42" s="1"/>
  <c r="A301" i="42" s="1"/>
  <c r="A302" i="42" s="1"/>
  <c r="A303" i="42" s="1"/>
  <c r="A304" i="42" s="1"/>
  <c r="A306" i="42" s="1"/>
  <c r="A307" i="42" s="1"/>
  <c r="A308" i="42" s="1"/>
  <c r="A309" i="42" s="1"/>
  <c r="A310" i="42" s="1"/>
  <c r="A311" i="42" s="1"/>
  <c r="A312" i="42" s="1"/>
  <c r="A313" i="42" s="1"/>
  <c r="A314" i="42" s="1"/>
  <c r="A315" i="42" s="1"/>
  <c r="A316" i="42" s="1"/>
  <c r="A317" i="42" s="1"/>
  <c r="A318" i="42" s="1"/>
  <c r="A319" i="42" s="1"/>
  <c r="A320" i="42" s="1"/>
  <c r="A321" i="42" s="1"/>
  <c r="A322" i="42" s="1"/>
  <c r="A323" i="42" s="1"/>
  <c r="A324" i="42" s="1"/>
  <c r="A325" i="42" s="1"/>
  <c r="A326" i="42" s="1"/>
  <c r="A327" i="42" s="1"/>
  <c r="A328" i="42" s="1"/>
  <c r="A329" i="42" s="1"/>
  <c r="A330" i="42" s="1"/>
  <c r="A331" i="42" s="1"/>
  <c r="A332" i="42" s="1"/>
  <c r="A333" i="42" s="1"/>
  <c r="A334" i="42" s="1"/>
  <c r="A335" i="42" s="1"/>
  <c r="A336" i="42" s="1"/>
  <c r="A337" i="42" s="1"/>
  <c r="A338" i="42" s="1"/>
  <c r="A339" i="42" s="1"/>
  <c r="A340" i="42" s="1"/>
  <c r="A341" i="42" s="1"/>
  <c r="A342" i="42" s="1"/>
  <c r="A343" i="42" s="1"/>
  <c r="A344" i="42" s="1"/>
  <c r="A345" i="42" s="1"/>
  <c r="A346" i="42" s="1"/>
  <c r="A347" i="42" s="1"/>
  <c r="A348" i="42" s="1"/>
  <c r="A349" i="42" s="1"/>
  <c r="A350" i="42" s="1"/>
  <c r="A351" i="42" s="1"/>
  <c r="A352" i="42" s="1"/>
  <c r="A353" i="42" s="1"/>
  <c r="A354" i="42" s="1"/>
  <c r="A355" i="42" s="1"/>
  <c r="A356" i="42" s="1"/>
  <c r="A357" i="42" s="1"/>
  <c r="A358" i="42" s="1"/>
  <c r="A359" i="42" s="1"/>
  <c r="A360" i="42" s="1"/>
  <c r="A361" i="42" s="1"/>
  <c r="A362" i="42" s="1"/>
  <c r="A363" i="42" s="1"/>
  <c r="A364" i="42" s="1"/>
  <c r="A365" i="42" s="1"/>
  <c r="A366" i="42" s="1"/>
  <c r="A367" i="42" s="1"/>
  <c r="A368" i="42" s="1"/>
  <c r="A369" i="42" s="1"/>
  <c r="A370" i="42" s="1"/>
  <c r="A371" i="42" s="1"/>
  <c r="A372" i="42" s="1"/>
  <c r="A373" i="42" s="1"/>
  <c r="A374" i="42" s="1"/>
  <c r="A375" i="42" s="1"/>
  <c r="E397" i="42"/>
  <c r="Q445" i="42"/>
  <c r="S453" i="42"/>
  <c r="S452" i="42"/>
  <c r="Q444" i="42"/>
  <c r="Q421" i="42"/>
  <c r="Q453" i="42"/>
  <c r="E244" i="42"/>
  <c r="Q244" i="42" s="1"/>
  <c r="T1187" i="42"/>
  <c r="Z1187" i="42"/>
  <c r="Y1359" i="42"/>
  <c r="U1358" i="42"/>
  <c r="Y1352" i="42"/>
  <c r="U1328" i="42"/>
  <c r="X1635" i="42"/>
  <c r="Y1666" i="42"/>
  <c r="U1666" i="42"/>
  <c r="X1666" i="42"/>
  <c r="Z1666" i="42"/>
  <c r="W1666" i="42"/>
  <c r="T1666" i="42"/>
  <c r="V1666" i="42"/>
  <c r="Y1662" i="42"/>
  <c r="U1662" i="42"/>
  <c r="X1662" i="42"/>
  <c r="W1662" i="42"/>
  <c r="V1662" i="42"/>
  <c r="T1662" i="42"/>
  <c r="Z1662" i="42"/>
  <c r="X1659" i="42"/>
  <c r="T1659" i="42"/>
  <c r="Z1659" i="42"/>
  <c r="U1659" i="42"/>
  <c r="Y1659" i="42"/>
  <c r="W1659" i="42"/>
  <c r="V1659" i="42"/>
  <c r="X1660" i="42"/>
  <c r="T1660" i="42"/>
  <c r="W1660" i="42"/>
  <c r="V1660" i="42"/>
  <c r="Z1660" i="42"/>
  <c r="U1660" i="42"/>
  <c r="Y1660" i="42"/>
  <c r="P1919" i="50"/>
  <c r="P1892" i="50"/>
  <c r="P1920" i="50"/>
  <c r="P1917" i="50"/>
  <c r="P1874" i="50"/>
  <c r="P1875" i="50" s="1"/>
  <c r="P1879" i="50"/>
  <c r="P1904" i="50"/>
  <c r="P1898" i="50"/>
  <c r="P1903" i="50"/>
  <c r="P1861" i="50"/>
  <c r="P1906" i="50"/>
  <c r="P1884" i="50"/>
  <c r="P1877" i="50"/>
  <c r="P1893" i="50"/>
  <c r="P1908" i="50"/>
  <c r="P1873" i="50"/>
  <c r="P1899" i="50"/>
  <c r="P1913" i="50"/>
  <c r="P1922" i="50"/>
  <c r="P1915" i="50"/>
  <c r="P1865" i="50"/>
  <c r="R1855" i="50"/>
  <c r="P1887" i="50"/>
  <c r="P1905" i="50"/>
  <c r="P1876" i="50"/>
  <c r="P1909" i="50"/>
  <c r="P1916" i="50"/>
  <c r="P1924" i="50"/>
  <c r="P1923" i="50"/>
  <c r="P1911" i="50"/>
  <c r="P1907" i="50"/>
  <c r="V1328" i="42"/>
  <c r="W575" i="42"/>
  <c r="Z1328" i="42"/>
  <c r="Z1353" i="42"/>
  <c r="V1353" i="42"/>
  <c r="X1353" i="42"/>
  <c r="U1353" i="42"/>
  <c r="T1353" i="42"/>
  <c r="Y1353" i="42"/>
  <c r="W1353" i="42"/>
  <c r="Y1328" i="42"/>
  <c r="Z1357" i="42"/>
  <c r="V1357" i="42"/>
  <c r="X1357" i="42"/>
  <c r="Y1357" i="42"/>
  <c r="W1357" i="42"/>
  <c r="U1357" i="42"/>
  <c r="T1357" i="42"/>
  <c r="Z1356" i="42"/>
  <c r="V1356" i="42"/>
  <c r="U1356" i="42"/>
  <c r="Y1356" i="42"/>
  <c r="X1356" i="42"/>
  <c r="W1356" i="42"/>
  <c r="T1356" i="42"/>
  <c r="Z1354" i="42"/>
  <c r="V1354" i="42"/>
  <c r="U1354" i="42"/>
  <c r="T1354" i="42"/>
  <c r="Y1354" i="42"/>
  <c r="X1354" i="42"/>
  <c r="W1354" i="42"/>
  <c r="T1328" i="42"/>
  <c r="X1328" i="42"/>
  <c r="Z1361" i="42"/>
  <c r="V1361" i="42"/>
  <c r="W1361" i="42"/>
  <c r="U1361" i="42"/>
  <c r="Y1361" i="42"/>
  <c r="X1361" i="42"/>
  <c r="T1361" i="42"/>
  <c r="X1187" i="42"/>
  <c r="Z1360" i="42"/>
  <c r="V1360" i="42"/>
  <c r="Y1360" i="42"/>
  <c r="T1360" i="42"/>
  <c r="W1360" i="42"/>
  <c r="X1360" i="42"/>
  <c r="U1360" i="42"/>
  <c r="W1328" i="42"/>
  <c r="Z1355" i="42"/>
  <c r="V1355" i="42"/>
  <c r="X1355" i="42"/>
  <c r="T1355" i="42"/>
  <c r="Y1355" i="42"/>
  <c r="W1355" i="42"/>
  <c r="U1355" i="42"/>
  <c r="Z1190" i="42"/>
  <c r="V1190" i="42"/>
  <c r="Y1190" i="42"/>
  <c r="U1190" i="42"/>
  <c r="T1190" i="42"/>
  <c r="X1190" i="42"/>
  <c r="W1190" i="42"/>
  <c r="W1183" i="42"/>
  <c r="Z1183" i="42"/>
  <c r="V1183" i="42"/>
  <c r="Y1183" i="42"/>
  <c r="X1183" i="42"/>
  <c r="U1183" i="42"/>
  <c r="T1183" i="42"/>
  <c r="W1182" i="42"/>
  <c r="Z1182" i="42"/>
  <c r="V1182" i="42"/>
  <c r="X1182" i="42"/>
  <c r="U1182" i="42"/>
  <c r="Y1182" i="42"/>
  <c r="T1182" i="42"/>
  <c r="Z1189" i="42"/>
  <c r="V1189" i="42"/>
  <c r="Y1189" i="42"/>
  <c r="U1189" i="42"/>
  <c r="X1189" i="42"/>
  <c r="W1189" i="42"/>
  <c r="T1189" i="42"/>
  <c r="W1184" i="42"/>
  <c r="Z1184" i="42"/>
  <c r="V1184" i="42"/>
  <c r="T1184" i="42"/>
  <c r="Y1184" i="42"/>
  <c r="U1184" i="42"/>
  <c r="X1184" i="42"/>
  <c r="W1186" i="42"/>
  <c r="Z1186" i="42"/>
  <c r="V1186" i="42"/>
  <c r="X1186" i="42"/>
  <c r="U1186" i="42"/>
  <c r="Y1186" i="42"/>
  <c r="T1186" i="42"/>
  <c r="W1188" i="42"/>
  <c r="Z1188" i="42"/>
  <c r="V1188" i="42"/>
  <c r="T1188" i="42"/>
  <c r="Y1188" i="42"/>
  <c r="U1188" i="42"/>
  <c r="X1188" i="42"/>
  <c r="W1185" i="42"/>
  <c r="Z1185" i="42"/>
  <c r="V1185" i="42"/>
  <c r="U1185" i="42"/>
  <c r="T1185" i="42"/>
  <c r="X1185" i="42"/>
  <c r="Y1185" i="42"/>
  <c r="U1530" i="42"/>
  <c r="T1530" i="42"/>
  <c r="W1530" i="42"/>
  <c r="I1928" i="50"/>
  <c r="Q1928" i="50"/>
  <c r="Z575" i="42"/>
  <c r="T575" i="42"/>
  <c r="S397" i="42"/>
  <c r="Q441" i="42"/>
  <c r="Q408" i="42"/>
  <c r="S441" i="42"/>
  <c r="Q412" i="42"/>
  <c r="Q409" i="42"/>
  <c r="Q374" i="42"/>
  <c r="S440" i="42"/>
  <c r="Q410" i="42"/>
  <c r="S444" i="42"/>
  <c r="Q252" i="42"/>
  <c r="U575" i="42"/>
  <c r="V575" i="42"/>
  <c r="X575" i="42"/>
  <c r="Q2542" i="37"/>
  <c r="Q2261" i="37"/>
  <c r="Q1980" i="37"/>
  <c r="Q1699" i="37"/>
  <c r="Q1418" i="37"/>
  <c r="Q1137" i="37"/>
  <c r="Q856" i="37"/>
  <c r="Q575" i="37"/>
  <c r="Z1530" i="42"/>
  <c r="V1530" i="42"/>
  <c r="Y1530" i="42"/>
  <c r="Y1526" i="42"/>
  <c r="U1526" i="42"/>
  <c r="X1526" i="42"/>
  <c r="W1526" i="42"/>
  <c r="V1526" i="42"/>
  <c r="T1526" i="42"/>
  <c r="Z1526" i="42"/>
  <c r="W1529" i="42"/>
  <c r="Y1529" i="42"/>
  <c r="T1529" i="42"/>
  <c r="X1529" i="42"/>
  <c r="Z1529" i="42"/>
  <c r="V1529" i="42"/>
  <c r="U1529" i="42"/>
  <c r="W1528" i="42"/>
  <c r="Z1528" i="42"/>
  <c r="U1528" i="42"/>
  <c r="Y1528" i="42"/>
  <c r="T1528" i="42"/>
  <c r="V1528" i="42"/>
  <c r="X1528" i="42"/>
  <c r="Y1524" i="42"/>
  <c r="U1524" i="42"/>
  <c r="Z1524" i="42"/>
  <c r="T1524" i="42"/>
  <c r="X1524" i="42"/>
  <c r="W1524" i="42"/>
  <c r="V1524" i="42"/>
  <c r="W1527" i="42"/>
  <c r="V1527" i="42"/>
  <c r="Z1527" i="42"/>
  <c r="U1527" i="42"/>
  <c r="T1527" i="42"/>
  <c r="X1527" i="42"/>
  <c r="Y1527" i="42"/>
  <c r="Y1525" i="42"/>
  <c r="U1525" i="42"/>
  <c r="X1525" i="42"/>
  <c r="W1525" i="42"/>
  <c r="Z1525" i="42"/>
  <c r="V1525" i="42"/>
  <c r="T1525" i="42"/>
  <c r="T351" i="42"/>
  <c r="V571" i="42"/>
  <c r="Z1016" i="42"/>
  <c r="V1016" i="42"/>
  <c r="Y1016" i="42"/>
  <c r="U1016" i="42"/>
  <c r="X1016" i="42"/>
  <c r="W1016" i="42"/>
  <c r="T1016" i="42"/>
  <c r="Y571" i="42"/>
  <c r="I905" i="42"/>
  <c r="I1047" i="42" s="1"/>
  <c r="Q905" i="42"/>
  <c r="Y1013" i="42"/>
  <c r="U1013" i="42"/>
  <c r="X1013" i="42"/>
  <c r="T1013" i="42"/>
  <c r="Z1013" i="42"/>
  <c r="W1013" i="42"/>
  <c r="V1013" i="42"/>
  <c r="Y1017" i="42"/>
  <c r="U1017" i="42"/>
  <c r="X1017" i="42"/>
  <c r="T1017" i="42"/>
  <c r="Z1017" i="42"/>
  <c r="W1017" i="42"/>
  <c r="V1017" i="42"/>
  <c r="X1014" i="42"/>
  <c r="T1014" i="42"/>
  <c r="W1014" i="42"/>
  <c r="V1014" i="42"/>
  <c r="U1014" i="42"/>
  <c r="Z1014" i="42"/>
  <c r="Y1014" i="42"/>
  <c r="Z351" i="42"/>
  <c r="X571" i="42"/>
  <c r="W1019" i="42"/>
  <c r="Z1019" i="42"/>
  <c r="V1019" i="42"/>
  <c r="X1019" i="42"/>
  <c r="U1019" i="42"/>
  <c r="Y1019" i="42"/>
  <c r="T1019" i="42"/>
  <c r="W1015" i="42"/>
  <c r="Z1015" i="42"/>
  <c r="V1015" i="42"/>
  <c r="X1015" i="42"/>
  <c r="U1015" i="42"/>
  <c r="Y1015" i="42"/>
  <c r="T1015" i="42"/>
  <c r="Y351" i="42"/>
  <c r="X351" i="42"/>
  <c r="Z571" i="42"/>
  <c r="X1018" i="42"/>
  <c r="T1018" i="42"/>
  <c r="W1018" i="42"/>
  <c r="V1018" i="42"/>
  <c r="U1018" i="42"/>
  <c r="Z1018" i="42"/>
  <c r="Y1018" i="42"/>
  <c r="W793" i="42"/>
  <c r="Z793" i="42"/>
  <c r="V793" i="42"/>
  <c r="Y793" i="42"/>
  <c r="X793" i="42"/>
  <c r="U793" i="42"/>
  <c r="T793" i="42"/>
  <c r="I682" i="42"/>
  <c r="Q682" i="42"/>
  <c r="U571" i="42"/>
  <c r="W571" i="42"/>
  <c r="Z798" i="42"/>
  <c r="V798" i="42"/>
  <c r="Y798" i="42"/>
  <c r="U798" i="42"/>
  <c r="X798" i="42"/>
  <c r="W798" i="42"/>
  <c r="T798" i="42"/>
  <c r="X792" i="42"/>
  <c r="T792" i="42"/>
  <c r="W792" i="42"/>
  <c r="Y792" i="42"/>
  <c r="V792" i="42"/>
  <c r="Z792" i="42"/>
  <c r="U792" i="42"/>
  <c r="Y795" i="42"/>
  <c r="U795" i="42"/>
  <c r="X795" i="42"/>
  <c r="T795" i="42"/>
  <c r="V795" i="42"/>
  <c r="Z795" i="42"/>
  <c r="W795" i="42"/>
  <c r="Z794" i="42"/>
  <c r="V794" i="42"/>
  <c r="Y794" i="42"/>
  <c r="U794" i="42"/>
  <c r="X794" i="42"/>
  <c r="W794" i="42"/>
  <c r="T794" i="42"/>
  <c r="X796" i="42"/>
  <c r="T796" i="42"/>
  <c r="W796" i="42"/>
  <c r="Y796" i="42"/>
  <c r="V796" i="42"/>
  <c r="Z796" i="42"/>
  <c r="U796" i="42"/>
  <c r="W797" i="42"/>
  <c r="Z797" i="42"/>
  <c r="V797" i="42"/>
  <c r="Y797" i="42"/>
  <c r="X797" i="42"/>
  <c r="U797" i="42"/>
  <c r="T797" i="42"/>
  <c r="Y570" i="42"/>
  <c r="U570" i="42"/>
  <c r="X570" i="42"/>
  <c r="T570" i="42"/>
  <c r="V570" i="42"/>
  <c r="Z570" i="42"/>
  <c r="W570" i="42"/>
  <c r="Z573" i="42"/>
  <c r="V573" i="42"/>
  <c r="Y573" i="42"/>
  <c r="U573" i="42"/>
  <c r="X573" i="42"/>
  <c r="T573" i="42"/>
  <c r="W573" i="42"/>
  <c r="Z569" i="42"/>
  <c r="V569" i="42"/>
  <c r="Y569" i="42"/>
  <c r="U569" i="42"/>
  <c r="X569" i="42"/>
  <c r="W569" i="42"/>
  <c r="T569" i="42"/>
  <c r="R460" i="42"/>
  <c r="W572" i="42"/>
  <c r="Z572" i="42"/>
  <c r="V572" i="42"/>
  <c r="Y572" i="42"/>
  <c r="X572" i="42"/>
  <c r="T572" i="42"/>
  <c r="U572" i="42"/>
  <c r="S676" i="42"/>
  <c r="Q675" i="42"/>
  <c r="S671" i="42"/>
  <c r="Q664" i="42"/>
  <c r="S660" i="42"/>
  <c r="Q659" i="42"/>
  <c r="Q636" i="42"/>
  <c r="Q632" i="42"/>
  <c r="Q676" i="42"/>
  <c r="S672" i="42"/>
  <c r="Q671" i="42"/>
  <c r="S667" i="42"/>
  <c r="Q660" i="42"/>
  <c r="Q644" i="42"/>
  <c r="Q637" i="42"/>
  <c r="Q633" i="42"/>
  <c r="Q667" i="42"/>
  <c r="S663" i="42"/>
  <c r="Q635" i="42"/>
  <c r="S620" i="42"/>
  <c r="Q586" i="42"/>
  <c r="S668" i="42"/>
  <c r="Q663" i="42"/>
  <c r="Q630" i="42"/>
  <c r="Q620" i="42"/>
  <c r="Q597" i="42"/>
  <c r="S675" i="42"/>
  <c r="Q596" i="42"/>
  <c r="Q668" i="42"/>
  <c r="S664" i="42"/>
  <c r="S659" i="42"/>
  <c r="Q638" i="42"/>
  <c r="E620" i="42"/>
  <c r="Q592" i="42"/>
  <c r="Q588" i="42"/>
  <c r="Q634" i="42"/>
  <c r="Q631" i="42"/>
  <c r="Q672" i="42"/>
  <c r="Q476" i="42"/>
  <c r="A481" i="42"/>
  <c r="E467" i="42"/>
  <c r="I603" i="42"/>
  <c r="Q475" i="42"/>
  <c r="Y574" i="42"/>
  <c r="U574" i="42"/>
  <c r="X574" i="42"/>
  <c r="T574" i="42"/>
  <c r="V574" i="42"/>
  <c r="W574" i="42"/>
  <c r="Z574" i="42"/>
  <c r="U351" i="42"/>
  <c r="V351" i="42"/>
  <c r="W348" i="42"/>
  <c r="Z348" i="42"/>
  <c r="V348" i="42"/>
  <c r="T348" i="42"/>
  <c r="Y348" i="42"/>
  <c r="U348" i="42"/>
  <c r="X348" i="42"/>
  <c r="X347" i="42"/>
  <c r="T347" i="42"/>
  <c r="W347" i="42"/>
  <c r="Z347" i="42"/>
  <c r="Y347" i="42"/>
  <c r="V347" i="42"/>
  <c r="U347" i="42"/>
  <c r="Z349" i="42"/>
  <c r="V349" i="42"/>
  <c r="Y349" i="42"/>
  <c r="U349" i="42"/>
  <c r="T349" i="42"/>
  <c r="W349" i="42"/>
  <c r="X349" i="42"/>
  <c r="W352" i="42"/>
  <c r="Z352" i="42"/>
  <c r="V352" i="42"/>
  <c r="T352" i="42"/>
  <c r="Y352" i="42"/>
  <c r="U352" i="42"/>
  <c r="X352" i="42"/>
  <c r="Y350" i="42"/>
  <c r="U350" i="42"/>
  <c r="X350" i="42"/>
  <c r="T350" i="42"/>
  <c r="W350" i="42"/>
  <c r="V350" i="42"/>
  <c r="Z350" i="42"/>
  <c r="Y346" i="42"/>
  <c r="U346" i="42"/>
  <c r="X346" i="42"/>
  <c r="T346" i="42"/>
  <c r="W346" i="42"/>
  <c r="V346" i="42"/>
  <c r="Z346" i="42"/>
  <c r="C1076" i="42" l="1"/>
  <c r="A1081" i="42" s="1"/>
  <c r="S1070" i="42"/>
  <c r="S1065" i="42"/>
  <c r="S1062" i="42"/>
  <c r="S1054" i="42"/>
  <c r="I2001" i="50"/>
  <c r="P2062" i="50" s="1"/>
  <c r="I2074" i="50"/>
  <c r="P2112" i="50" s="1"/>
  <c r="Q2001" i="50"/>
  <c r="L2004" i="50"/>
  <c r="Q868" i="42"/>
  <c r="Q809" i="42"/>
  <c r="A257" i="42"/>
  <c r="I1931" i="50"/>
  <c r="H1931" i="50"/>
  <c r="E1931" i="50"/>
  <c r="C2134" i="50"/>
  <c r="L2077" i="50"/>
  <c r="Z1669" i="42"/>
  <c r="V1669" i="42"/>
  <c r="W1669" i="42"/>
  <c r="T1669" i="42"/>
  <c r="Q1067" i="42"/>
  <c r="Q1068" i="42"/>
  <c r="Y1669" i="42"/>
  <c r="X1669" i="42"/>
  <c r="U1669" i="42"/>
  <c r="X1362" i="42"/>
  <c r="Z1362" i="42"/>
  <c r="U1362" i="42"/>
  <c r="Y1362" i="42"/>
  <c r="T1362" i="42"/>
  <c r="W1362" i="42"/>
  <c r="V1362" i="42"/>
  <c r="Q1076" i="42"/>
  <c r="R1077" i="42" s="1"/>
  <c r="I1076" i="42"/>
  <c r="C1247" i="42"/>
  <c r="R2074" i="50"/>
  <c r="P2064" i="50"/>
  <c r="P2061" i="50"/>
  <c r="P1997" i="50"/>
  <c r="P1995" i="50"/>
  <c r="P1993" i="50"/>
  <c r="P1991" i="50"/>
  <c r="P1989" i="50"/>
  <c r="P1986" i="50"/>
  <c r="P1979" i="50"/>
  <c r="P1977" i="50"/>
  <c r="P1982" i="50"/>
  <c r="P1972" i="50"/>
  <c r="P1965" i="50"/>
  <c r="P1951" i="50"/>
  <c r="P1949" i="50"/>
  <c r="P1946" i="50"/>
  <c r="P1934" i="50"/>
  <c r="P1966" i="50"/>
  <c r="P1960" i="50"/>
  <c r="P1996" i="50"/>
  <c r="P1994" i="50"/>
  <c r="P1990" i="50"/>
  <c r="P1984" i="50"/>
  <c r="P1952" i="50"/>
  <c r="P1983" i="50"/>
  <c r="P1980" i="50"/>
  <c r="P1938" i="50"/>
  <c r="P1971" i="50"/>
  <c r="P1957" i="50"/>
  <c r="R1928" i="50"/>
  <c r="P1992" i="50"/>
  <c r="P1988" i="50"/>
  <c r="P1981" i="50"/>
  <c r="P1978" i="50"/>
  <c r="P1976" i="50"/>
  <c r="P1950" i="50"/>
  <c r="P1947" i="50"/>
  <c r="Q1061" i="42"/>
  <c r="Q1064" i="42"/>
  <c r="Q1071" i="42"/>
  <c r="Q1062" i="42"/>
  <c r="Q1054" i="42"/>
  <c r="E1054" i="42"/>
  <c r="Q1070" i="42"/>
  <c r="Q1065" i="42"/>
  <c r="R906" i="42"/>
  <c r="Q1030" i="42"/>
  <c r="Q1041" i="42"/>
  <c r="Q1040" i="42"/>
  <c r="Q1036" i="42"/>
  <c r="Q1032" i="42"/>
  <c r="Q921" i="42"/>
  <c r="A927" i="42"/>
  <c r="E913" i="42"/>
  <c r="Q922" i="42"/>
  <c r="R683" i="42"/>
  <c r="S899" i="42"/>
  <c r="Q898" i="42"/>
  <c r="S894" i="42"/>
  <c r="Q887" i="42"/>
  <c r="S883" i="42"/>
  <c r="Q882" i="42"/>
  <c r="Q859" i="42"/>
  <c r="Q855" i="42"/>
  <c r="Q886" i="42"/>
  <c r="Q856" i="42"/>
  <c r="S843" i="42"/>
  <c r="Q899" i="42"/>
  <c r="S898" i="42"/>
  <c r="S895" i="42"/>
  <c r="S891" i="42"/>
  <c r="Q883" i="42"/>
  <c r="S882" i="42"/>
  <c r="Q860" i="42"/>
  <c r="Q853" i="42"/>
  <c r="Q843" i="42"/>
  <c r="Q895" i="42"/>
  <c r="Q891" i="42"/>
  <c r="S887" i="42"/>
  <c r="Q857" i="42"/>
  <c r="E843" i="42"/>
  <c r="Q811" i="42"/>
  <c r="Q894" i="42"/>
  <c r="S890" i="42"/>
  <c r="Q854" i="42"/>
  <c r="I826" i="42"/>
  <c r="Q819" i="42"/>
  <c r="Q815" i="42"/>
  <c r="S886" i="42"/>
  <c r="Q861" i="42"/>
  <c r="Q820" i="42"/>
  <c r="Q890" i="42"/>
  <c r="Q858" i="42"/>
  <c r="Q698" i="42"/>
  <c r="E690" i="42"/>
  <c r="Q699" i="42"/>
  <c r="Q867" i="42"/>
  <c r="A704" i="42"/>
  <c r="A480" i="42"/>
  <c r="A482" i="42"/>
  <c r="A483" i="42" s="1"/>
  <c r="A484" i="42" s="1"/>
  <c r="A485" i="42" s="1"/>
  <c r="A486" i="42" s="1"/>
  <c r="A487" i="42" s="1"/>
  <c r="A488" i="42" s="1"/>
  <c r="A489" i="42" s="1"/>
  <c r="A490" i="42" s="1"/>
  <c r="A491" i="42" s="1"/>
  <c r="A492" i="42" s="1"/>
  <c r="A493" i="42" s="1"/>
  <c r="A494" i="42" s="1"/>
  <c r="A495" i="42" s="1"/>
  <c r="A496" i="42" s="1"/>
  <c r="A497" i="42" s="1"/>
  <c r="A498" i="42" s="1"/>
  <c r="A499" i="42" s="1"/>
  <c r="A500" i="42" s="1"/>
  <c r="A501" i="42" s="1"/>
  <c r="A502" i="42" s="1"/>
  <c r="A503" i="42" s="1"/>
  <c r="A504" i="42" s="1"/>
  <c r="A505" i="42" s="1"/>
  <c r="A506" i="42" s="1"/>
  <c r="A507" i="42" s="1"/>
  <c r="A508" i="42" s="1"/>
  <c r="A509" i="42" s="1"/>
  <c r="A510" i="42" s="1"/>
  <c r="A511" i="42" s="1"/>
  <c r="A512" i="42" s="1"/>
  <c r="A513" i="42" s="1"/>
  <c r="A514" i="42" s="1"/>
  <c r="A515" i="42" s="1"/>
  <c r="A516" i="42" s="1"/>
  <c r="A517" i="42" s="1"/>
  <c r="A518" i="42" s="1"/>
  <c r="A519" i="42" s="1"/>
  <c r="A520" i="42" s="1"/>
  <c r="A521" i="42" s="1"/>
  <c r="A522" i="42" s="1"/>
  <c r="A523" i="42" s="1"/>
  <c r="A524" i="42" s="1"/>
  <c r="A525" i="42" s="1"/>
  <c r="A526" i="42" s="1"/>
  <c r="A527" i="42" s="1"/>
  <c r="A528" i="42" s="1"/>
  <c r="A530" i="42" s="1"/>
  <c r="A531" i="42" s="1"/>
  <c r="A532" i="42" s="1"/>
  <c r="A533" i="42" s="1"/>
  <c r="A534" i="42" s="1"/>
  <c r="A535" i="42" s="1"/>
  <c r="A536" i="42" s="1"/>
  <c r="A537" i="42" s="1"/>
  <c r="A538" i="42" s="1"/>
  <c r="A539" i="42" s="1"/>
  <c r="A540" i="42" s="1"/>
  <c r="A541" i="42" s="1"/>
  <c r="A542" i="42" s="1"/>
  <c r="A543" i="42" s="1"/>
  <c r="A544" i="42" s="1"/>
  <c r="A545" i="42" s="1"/>
  <c r="A546" i="42" s="1"/>
  <c r="A547" i="42" s="1"/>
  <c r="A548" i="42" s="1"/>
  <c r="A549" i="42" s="1"/>
  <c r="A550" i="42" s="1"/>
  <c r="A551" i="42" s="1"/>
  <c r="A552" i="42" s="1"/>
  <c r="A553" i="42" s="1"/>
  <c r="A554" i="42" s="1"/>
  <c r="A555" i="42" s="1"/>
  <c r="A556" i="42" s="1"/>
  <c r="A557" i="42" s="1"/>
  <c r="A558" i="42" s="1"/>
  <c r="A559" i="42" s="1"/>
  <c r="A560" i="42" s="1"/>
  <c r="A561" i="42" s="1"/>
  <c r="A562" i="42" s="1"/>
  <c r="A563" i="42" s="1"/>
  <c r="A564" i="42" s="1"/>
  <c r="A565" i="42" s="1"/>
  <c r="A566" i="42" s="1"/>
  <c r="A567" i="42" s="1"/>
  <c r="A568" i="42" s="1"/>
  <c r="A569" i="42" s="1"/>
  <c r="A570" i="42" s="1"/>
  <c r="A571" i="42" s="1"/>
  <c r="A572" i="42" s="1"/>
  <c r="A573" i="42" s="1"/>
  <c r="A574" i="42" s="1"/>
  <c r="A575" i="42" s="1"/>
  <c r="A576" i="42" s="1"/>
  <c r="A577" i="42" s="1"/>
  <c r="A578" i="42" s="1"/>
  <c r="A579" i="42" s="1"/>
  <c r="A580" i="42" s="1"/>
  <c r="A581" i="42" s="1"/>
  <c r="A582" i="42" s="1"/>
  <c r="A583" i="42" s="1"/>
  <c r="A584" i="42" s="1"/>
  <c r="A585" i="42" s="1"/>
  <c r="A586" i="42" s="1"/>
  <c r="A587" i="42" s="1"/>
  <c r="A588" i="42" s="1"/>
  <c r="A589" i="42" s="1"/>
  <c r="A590" i="42" s="1"/>
  <c r="A591" i="42" s="1"/>
  <c r="A592" i="42" s="1"/>
  <c r="A593" i="42" s="1"/>
  <c r="A594" i="42" s="1"/>
  <c r="A595" i="42" s="1"/>
  <c r="A596" i="42" s="1"/>
  <c r="A597" i="42" s="1"/>
  <c r="A598" i="42" s="1"/>
  <c r="Q467" i="42"/>
  <c r="N117" i="41"/>
  <c r="M117" i="41"/>
  <c r="L117" i="41"/>
  <c r="K117" i="41"/>
  <c r="J117" i="41"/>
  <c r="I117" i="41"/>
  <c r="H117" i="41"/>
  <c r="E117" i="41"/>
  <c r="P2007" i="50" l="1"/>
  <c r="P2045" i="50"/>
  <c r="P2056" i="50"/>
  <c r="P2023" i="50"/>
  <c r="P2030" i="50"/>
  <c r="P2069" i="50"/>
  <c r="I2004" i="50"/>
  <c r="P2059" i="50"/>
  <c r="P2066" i="50"/>
  <c r="P2039" i="50"/>
  <c r="P2057" i="50"/>
  <c r="P2055" i="50"/>
  <c r="I2077" i="50"/>
  <c r="P2130" i="50"/>
  <c r="P2127" i="50"/>
  <c r="P2129" i="50"/>
  <c r="P2084" i="50"/>
  <c r="P2063" i="50"/>
  <c r="P2106" i="50"/>
  <c r="P2125" i="50"/>
  <c r="P2111" i="50"/>
  <c r="E2004" i="50"/>
  <c r="P2044" i="50"/>
  <c r="P2019" i="50"/>
  <c r="P2068" i="50"/>
  <c r="P2011" i="50"/>
  <c r="H2004" i="50"/>
  <c r="P2022" i="50"/>
  <c r="P2070" i="50"/>
  <c r="P2020" i="50"/>
  <c r="P2021" i="50" s="1"/>
  <c r="P2025" i="50"/>
  <c r="P2024" i="50"/>
  <c r="P2053" i="50"/>
  <c r="P2049" i="50"/>
  <c r="P2038" i="50"/>
  <c r="P2051" i="50"/>
  <c r="P2065" i="50"/>
  <c r="P2050" i="50"/>
  <c r="P2080" i="50"/>
  <c r="P2054" i="50"/>
  <c r="P2067" i="50"/>
  <c r="P2052" i="50"/>
  <c r="P2097" i="50"/>
  <c r="P2123" i="50"/>
  <c r="R2001" i="50"/>
  <c r="P2033" i="50"/>
  <c r="C1418" i="42"/>
  <c r="A1423" i="42" s="1"/>
  <c r="A1252" i="42"/>
  <c r="P2120" i="50"/>
  <c r="P2096" i="50"/>
  <c r="P2093" i="50"/>
  <c r="P2094" i="50" s="1"/>
  <c r="P2092" i="50"/>
  <c r="P2124" i="50"/>
  <c r="P2103" i="50"/>
  <c r="P2098" i="50"/>
  <c r="P2095" i="50"/>
  <c r="P2122" i="50"/>
  <c r="P2121" i="50"/>
  <c r="E2077" i="50"/>
  <c r="H2077" i="50"/>
  <c r="Q2134" i="50"/>
  <c r="L2137" i="50"/>
  <c r="C2194" i="50"/>
  <c r="I2134" i="50"/>
  <c r="I1247" i="42"/>
  <c r="Q1372" i="42" s="1"/>
  <c r="Q1247" i="42"/>
  <c r="Q1092" i="42"/>
  <c r="E1084" i="42"/>
  <c r="Q1212" i="42"/>
  <c r="Q1211" i="42"/>
  <c r="A1098" i="42"/>
  <c r="Q1207" i="42"/>
  <c r="Q1203" i="42"/>
  <c r="Q1093" i="42"/>
  <c r="Q1201" i="42"/>
  <c r="I1218" i="42"/>
  <c r="P1948" i="50"/>
  <c r="A926" i="42"/>
  <c r="A928" i="42"/>
  <c r="A929" i="42" s="1"/>
  <c r="A930" i="42" s="1"/>
  <c r="A931" i="42" s="1"/>
  <c r="A932" i="42" s="1"/>
  <c r="Q913" i="42"/>
  <c r="A703" i="42"/>
  <c r="A705" i="42"/>
  <c r="A706" i="42" s="1"/>
  <c r="A707" i="42" s="1"/>
  <c r="A708" i="42" s="1"/>
  <c r="A709" i="42" s="1"/>
  <c r="A710" i="42" s="1"/>
  <c r="A711" i="42" s="1"/>
  <c r="A712" i="42" s="1"/>
  <c r="A713" i="42" s="1"/>
  <c r="A714" i="42" s="1"/>
  <c r="A715" i="42" s="1"/>
  <c r="A716" i="42" s="1"/>
  <c r="A717" i="42" s="1"/>
  <c r="A718" i="42" s="1"/>
  <c r="A719" i="42" s="1"/>
  <c r="A720" i="42" s="1"/>
  <c r="A721" i="42" s="1"/>
  <c r="A722" i="42" s="1"/>
  <c r="A723" i="42" s="1"/>
  <c r="A724" i="42" s="1"/>
  <c r="A725" i="42" s="1"/>
  <c r="A726" i="42" s="1"/>
  <c r="A727" i="42" s="1"/>
  <c r="A728" i="42" s="1"/>
  <c r="A729" i="42" s="1"/>
  <c r="A730" i="42" s="1"/>
  <c r="A731" i="42" s="1"/>
  <c r="A732" i="42" s="1"/>
  <c r="A733" i="42" s="1"/>
  <c r="A734" i="42" s="1"/>
  <c r="A735" i="42" s="1"/>
  <c r="A736" i="42" s="1"/>
  <c r="A737" i="42" s="1"/>
  <c r="A738" i="42" s="1"/>
  <c r="A739" i="42" s="1"/>
  <c r="A740" i="42" s="1"/>
  <c r="A741" i="42" s="1"/>
  <c r="A742" i="42" s="1"/>
  <c r="A743" i="42" s="1"/>
  <c r="A744" i="42" s="1"/>
  <c r="A745" i="42" s="1"/>
  <c r="A746" i="42" s="1"/>
  <c r="A747" i="42" s="1"/>
  <c r="A748" i="42" s="1"/>
  <c r="A749" i="42" s="1"/>
  <c r="A750" i="42" s="1"/>
  <c r="Q690" i="42"/>
  <c r="I1418" i="42" l="1"/>
  <c r="Q1552" i="42" s="1"/>
  <c r="C1556" i="42"/>
  <c r="A1561" i="42" s="1"/>
  <c r="Q1418" i="42"/>
  <c r="R1419" i="42" s="1"/>
  <c r="P2190" i="50"/>
  <c r="P2187" i="50"/>
  <c r="P2189" i="50"/>
  <c r="S1236" i="42"/>
  <c r="S1233" i="42"/>
  <c r="S1225" i="42"/>
  <c r="S1241" i="42"/>
  <c r="A752" i="42"/>
  <c r="A753" i="42" s="1"/>
  <c r="A754" i="42" s="1"/>
  <c r="A755" i="42" s="1"/>
  <c r="A756" i="42" s="1"/>
  <c r="A757" i="42" s="1"/>
  <c r="A758" i="42" s="1"/>
  <c r="A759" i="42" s="1"/>
  <c r="A760" i="42" s="1"/>
  <c r="A761" i="42" s="1"/>
  <c r="A762" i="42" s="1"/>
  <c r="A763" i="42" s="1"/>
  <c r="A764" i="42" s="1"/>
  <c r="A765" i="42" s="1"/>
  <c r="A766" i="42" s="1"/>
  <c r="A767" i="42" s="1"/>
  <c r="A768" i="42" s="1"/>
  <c r="A769" i="42" s="1"/>
  <c r="A770" i="42" s="1"/>
  <c r="A771" i="42" s="1"/>
  <c r="A772" i="42" s="1"/>
  <c r="A773" i="42" s="1"/>
  <c r="A774" i="42" s="1"/>
  <c r="A775" i="42" s="1"/>
  <c r="A776" i="42" s="1"/>
  <c r="A777" i="42" s="1"/>
  <c r="A778" i="42" s="1"/>
  <c r="A779" i="42" s="1"/>
  <c r="A780" i="42" s="1"/>
  <c r="A781" i="42" s="1"/>
  <c r="A782" i="42" s="1"/>
  <c r="A783" i="42" s="1"/>
  <c r="A784" i="42" s="1"/>
  <c r="A785" i="42" s="1"/>
  <c r="A786" i="42" s="1"/>
  <c r="A787" i="42" s="1"/>
  <c r="A788" i="42" s="1"/>
  <c r="A789" i="42" s="1"/>
  <c r="A790" i="42" s="1"/>
  <c r="A791" i="42" s="1"/>
  <c r="A792" i="42" s="1"/>
  <c r="A793" i="42" s="1"/>
  <c r="A794" i="42" s="1"/>
  <c r="A795" i="42" s="1"/>
  <c r="A796" i="42" s="1"/>
  <c r="A797" i="42" s="1"/>
  <c r="A798" i="42" s="1"/>
  <c r="A799" i="42" s="1"/>
  <c r="A800" i="42" s="1"/>
  <c r="A751" i="42"/>
  <c r="I2137" i="50"/>
  <c r="H2137" i="50"/>
  <c r="E2137" i="50"/>
  <c r="P2184" i="50"/>
  <c r="P2180" i="50"/>
  <c r="P2155" i="50"/>
  <c r="P2171" i="50"/>
  <c r="P2183" i="50"/>
  <c r="P2140" i="50"/>
  <c r="P2152" i="50"/>
  <c r="P2158" i="50"/>
  <c r="P2153" i="50"/>
  <c r="P2154" i="50" s="1"/>
  <c r="P2182" i="50"/>
  <c r="P2166" i="50"/>
  <c r="P2185" i="50"/>
  <c r="P2172" i="50"/>
  <c r="P2163" i="50"/>
  <c r="P2144" i="50"/>
  <c r="P2181" i="50"/>
  <c r="P2156" i="50"/>
  <c r="R2134" i="50"/>
  <c r="P2157" i="50"/>
  <c r="C2254" i="50"/>
  <c r="L2197" i="50"/>
  <c r="I2194" i="50"/>
  <c r="Q2194" i="50"/>
  <c r="Q1435" i="42"/>
  <c r="Q1547" i="42"/>
  <c r="Q1551" i="42"/>
  <c r="Q1541" i="42"/>
  <c r="C1694" i="42"/>
  <c r="A1699" i="42" s="1"/>
  <c r="A1440" i="42"/>
  <c r="E1426" i="42"/>
  <c r="Q1434" i="42"/>
  <c r="Q1543" i="42"/>
  <c r="Q1239" i="42"/>
  <c r="Q1238" i="42"/>
  <c r="R1248" i="42"/>
  <c r="Q1236" i="42"/>
  <c r="Q1242" i="42"/>
  <c r="E1225" i="42"/>
  <c r="Q1235" i="42"/>
  <c r="Q1232" i="42"/>
  <c r="Q1241" i="42"/>
  <c r="Q1233" i="42"/>
  <c r="Q1225" i="42"/>
  <c r="Q1084" i="42"/>
  <c r="I1389" i="42"/>
  <c r="Q1378" i="42"/>
  <c r="Q1374" i="42"/>
  <c r="Q1263" i="42"/>
  <c r="E1255" i="42"/>
  <c r="Q1383" i="42"/>
  <c r="Q1264" i="42"/>
  <c r="A1269" i="42"/>
  <c r="Q1382" i="42"/>
  <c r="A1099" i="42"/>
  <c r="A1100" i="42" s="1"/>
  <c r="A1101" i="42" s="1"/>
  <c r="A1102" i="42" s="1"/>
  <c r="A1103" i="42" s="1"/>
  <c r="A1097" i="42"/>
  <c r="E1830" i="50"/>
  <c r="I1556" i="42" l="1"/>
  <c r="E1564" i="42" s="1"/>
  <c r="Q1556" i="42"/>
  <c r="R1557" i="42" s="1"/>
  <c r="P2250" i="50"/>
  <c r="P2247" i="50"/>
  <c r="P2249" i="50"/>
  <c r="C2302" i="50"/>
  <c r="L2257" i="50"/>
  <c r="Q2254" i="50"/>
  <c r="I2254" i="50"/>
  <c r="I2197" i="50"/>
  <c r="H2197" i="50"/>
  <c r="E2197" i="50"/>
  <c r="P2223" i="50"/>
  <c r="P2242" i="50"/>
  <c r="P2215" i="50"/>
  <c r="P2244" i="50"/>
  <c r="P2243" i="50"/>
  <c r="P2216" i="50"/>
  <c r="P2240" i="50"/>
  <c r="P2200" i="50"/>
  <c r="P2213" i="50"/>
  <c r="P2214" i="50" s="1"/>
  <c r="P2241" i="50"/>
  <c r="R2194" i="50"/>
  <c r="P2231" i="50"/>
  <c r="P2226" i="50"/>
  <c r="P2212" i="50"/>
  <c r="P2232" i="50"/>
  <c r="P2245" i="50"/>
  <c r="P2217" i="50"/>
  <c r="P2218" i="50"/>
  <c r="P2204" i="50"/>
  <c r="Q1426" i="42"/>
  <c r="Q1685" i="42"/>
  <c r="Q1679" i="42"/>
  <c r="Q1689" i="42"/>
  <c r="Q1690" i="42"/>
  <c r="Q1572" i="42"/>
  <c r="Q1681" i="42"/>
  <c r="Q1573" i="42"/>
  <c r="A1441" i="42"/>
  <c r="A1442" i="42" s="1"/>
  <c r="A1443" i="42" s="1"/>
  <c r="A1439" i="42"/>
  <c r="Q1694" i="42"/>
  <c r="I1694" i="42"/>
  <c r="Q1410" i="42"/>
  <c r="Q1409" i="42"/>
  <c r="Q1255" i="42"/>
  <c r="A1268" i="42"/>
  <c r="A1270" i="42"/>
  <c r="A1271" i="42" s="1"/>
  <c r="A1272" i="42" s="1"/>
  <c r="A1273" i="42" s="1"/>
  <c r="A1274" i="42" s="1"/>
  <c r="S1412" i="42"/>
  <c r="Q1407" i="42"/>
  <c r="E1396" i="42"/>
  <c r="S1396" i="42"/>
  <c r="Q1406" i="42"/>
  <c r="Q1413" i="42"/>
  <c r="S1407" i="42"/>
  <c r="Q1404" i="42"/>
  <c r="Q1396" i="42"/>
  <c r="Q1403" i="42"/>
  <c r="S1404" i="42"/>
  <c r="Q1412" i="42"/>
  <c r="A1578" i="42" l="1"/>
  <c r="I2257" i="50"/>
  <c r="H2257" i="50"/>
  <c r="E2257" i="50"/>
  <c r="P2292" i="50"/>
  <c r="P2277" i="50"/>
  <c r="P2260" i="50"/>
  <c r="P2264" i="50"/>
  <c r="P2283" i="50"/>
  <c r="P2291" i="50"/>
  <c r="P2273" i="50"/>
  <c r="P2274" i="50" s="1"/>
  <c r="P2276" i="50"/>
  <c r="P2275" i="50"/>
  <c r="P2278" i="50"/>
  <c r="R2254" i="50"/>
  <c r="P2272" i="50"/>
  <c r="P2286" i="50"/>
  <c r="L2305" i="50"/>
  <c r="C2350" i="50"/>
  <c r="Q2302" i="50"/>
  <c r="I2302" i="50"/>
  <c r="A1579" i="42"/>
  <c r="A1580" i="42" s="1"/>
  <c r="A1581" i="42" s="1"/>
  <c r="A1577" i="42"/>
  <c r="R1695" i="42"/>
  <c r="Q1828" i="42"/>
  <c r="Q1817" i="42"/>
  <c r="Q1819" i="42"/>
  <c r="A1716" i="42"/>
  <c r="Q1827" i="42"/>
  <c r="Q1823" i="42"/>
  <c r="Q1711" i="42"/>
  <c r="Q1710" i="42"/>
  <c r="E1702" i="42"/>
  <c r="Q1564" i="42"/>
  <c r="E1837" i="50"/>
  <c r="E187" i="42"/>
  <c r="E184" i="42"/>
  <c r="I2305" i="50" l="1"/>
  <c r="H2305" i="50"/>
  <c r="E2305" i="50"/>
  <c r="P2324" i="50"/>
  <c r="P2339" i="50"/>
  <c r="P2340" i="50"/>
  <c r="P2320" i="50"/>
  <c r="P2312" i="50"/>
  <c r="R2302" i="50"/>
  <c r="P2325" i="50"/>
  <c r="P2308" i="50"/>
  <c r="P2334" i="50"/>
  <c r="P2326" i="50"/>
  <c r="P2321" i="50"/>
  <c r="P2322" i="50" s="1"/>
  <c r="P2323" i="50"/>
  <c r="P2331" i="50"/>
  <c r="L2353" i="50"/>
  <c r="Q2350" i="50"/>
  <c r="I2350" i="50"/>
  <c r="Q1702" i="42"/>
  <c r="A1717" i="42"/>
  <c r="A1718" i="42" s="1"/>
  <c r="A1719" i="42" s="1"/>
  <c r="A1715" i="42"/>
  <c r="T381" i="41"/>
  <c r="T307" i="41"/>
  <c r="N122" i="41"/>
  <c r="N269" i="50" s="1"/>
  <c r="M122" i="41"/>
  <c r="M269" i="50" s="1"/>
  <c r="L122" i="41"/>
  <c r="L269" i="50" s="1"/>
  <c r="E476" i="41"/>
  <c r="Q476" i="41" s="1"/>
  <c r="E475" i="41"/>
  <c r="Q475" i="41" s="1"/>
  <c r="E474" i="41"/>
  <c r="Q474" i="41" s="1"/>
  <c r="L311" i="43"/>
  <c r="L310" i="43"/>
  <c r="L309" i="43"/>
  <c r="L308" i="43"/>
  <c r="L307" i="43"/>
  <c r="L306" i="43"/>
  <c r="L305" i="43"/>
  <c r="L304" i="43"/>
  <c r="L303" i="43"/>
  <c r="L302" i="43"/>
  <c r="J134" i="43"/>
  <c r="J133" i="43"/>
  <c r="J132" i="43"/>
  <c r="J131" i="43"/>
  <c r="J170" i="43"/>
  <c r="J169" i="43"/>
  <c r="J168" i="43"/>
  <c r="J167" i="43"/>
  <c r="J108" i="43"/>
  <c r="J107" i="43"/>
  <c r="J106" i="43"/>
  <c r="J105" i="43"/>
  <c r="J104" i="43"/>
  <c r="J103" i="43"/>
  <c r="J102" i="43"/>
  <c r="J101" i="43"/>
  <c r="J100" i="43"/>
  <c r="J86" i="43"/>
  <c r="M311" i="43"/>
  <c r="K311" i="43"/>
  <c r="I311" i="43"/>
  <c r="F311" i="43"/>
  <c r="M310" i="43"/>
  <c r="K310" i="43"/>
  <c r="I310" i="43"/>
  <c r="F310" i="43"/>
  <c r="M309" i="43"/>
  <c r="K309" i="43"/>
  <c r="I309" i="43"/>
  <c r="F309" i="43"/>
  <c r="M308" i="43"/>
  <c r="K308" i="43"/>
  <c r="I308" i="43"/>
  <c r="F308" i="43"/>
  <c r="M307" i="43"/>
  <c r="K307" i="43"/>
  <c r="I307" i="43"/>
  <c r="F307" i="43"/>
  <c r="M306" i="43"/>
  <c r="K306" i="43"/>
  <c r="I306" i="43"/>
  <c r="F306" i="43"/>
  <c r="M305" i="43"/>
  <c r="K305" i="43"/>
  <c r="I305" i="43"/>
  <c r="F305" i="43"/>
  <c r="M304" i="43"/>
  <c r="K304" i="43"/>
  <c r="I304" i="43"/>
  <c r="F304" i="43"/>
  <c r="M303" i="43"/>
  <c r="K303" i="43"/>
  <c r="I303" i="43"/>
  <c r="F303" i="43"/>
  <c r="M302" i="43"/>
  <c r="K302" i="43"/>
  <c r="M323" i="43"/>
  <c r="J323" i="43"/>
  <c r="H323" i="43"/>
  <c r="F323" i="43"/>
  <c r="M322" i="43"/>
  <c r="J322" i="43"/>
  <c r="H322" i="43"/>
  <c r="F322" i="43"/>
  <c r="M321" i="43"/>
  <c r="J321" i="43"/>
  <c r="H321" i="43"/>
  <c r="F321" i="43"/>
  <c r="M320" i="43"/>
  <c r="J320" i="43"/>
  <c r="H320" i="43"/>
  <c r="F320" i="43"/>
  <c r="M319" i="43"/>
  <c r="J319" i="43"/>
  <c r="H319" i="43"/>
  <c r="F319" i="43"/>
  <c r="M318" i="43"/>
  <c r="J318" i="43"/>
  <c r="H318" i="43"/>
  <c r="F318" i="43"/>
  <c r="M317" i="43"/>
  <c r="J317" i="43"/>
  <c r="H317" i="43"/>
  <c r="F317" i="43"/>
  <c r="M316" i="43"/>
  <c r="J316" i="43"/>
  <c r="H316" i="43"/>
  <c r="F316" i="43"/>
  <c r="M315" i="43"/>
  <c r="J315" i="43"/>
  <c r="H315" i="43"/>
  <c r="F315" i="43"/>
  <c r="M314" i="43"/>
  <c r="J314" i="43"/>
  <c r="H314" i="43"/>
  <c r="F314" i="43"/>
  <c r="I302" i="43"/>
  <c r="F302" i="43"/>
  <c r="J63" i="43"/>
  <c r="F220" i="43"/>
  <c r="F219" i="43"/>
  <c r="F218" i="43"/>
  <c r="F217" i="43"/>
  <c r="F216" i="43"/>
  <c r="F215" i="43"/>
  <c r="L244" i="43"/>
  <c r="L240" i="43"/>
  <c r="J75" i="43"/>
  <c r="J70" i="43"/>
  <c r="J51" i="43"/>
  <c r="M1703" i="66"/>
  <c r="J1703" i="66"/>
  <c r="H1703" i="66"/>
  <c r="F1703" i="66"/>
  <c r="E1703" i="66"/>
  <c r="E1702" i="66"/>
  <c r="M1690" i="66"/>
  <c r="K1690" i="66"/>
  <c r="I1690" i="66"/>
  <c r="F1690" i="66"/>
  <c r="E1690" i="66"/>
  <c r="E1689" i="66"/>
  <c r="D1687" i="66"/>
  <c r="G1685" i="66"/>
  <c r="G1684" i="66"/>
  <c r="G1683" i="66"/>
  <c r="G1682" i="66"/>
  <c r="E1681" i="66"/>
  <c r="D1680" i="66"/>
  <c r="G1679" i="66"/>
  <c r="G1678" i="66"/>
  <c r="G1677" i="66"/>
  <c r="G1676" i="66"/>
  <c r="E1675" i="66"/>
  <c r="G1673" i="66"/>
  <c r="G1672" i="66"/>
  <c r="G1671" i="66"/>
  <c r="G1670" i="66"/>
  <c r="G1669" i="66"/>
  <c r="G1668" i="66"/>
  <c r="G1667" i="66"/>
  <c r="G1666" i="66"/>
  <c r="G1665" i="66"/>
  <c r="E1664" i="66"/>
  <c r="F1663" i="66"/>
  <c r="E1662" i="66"/>
  <c r="J56" i="43"/>
  <c r="E1660" i="66"/>
  <c r="E1658" i="66"/>
  <c r="D1656" i="66"/>
  <c r="D1654" i="66"/>
  <c r="F15" i="66"/>
  <c r="F14" i="66"/>
  <c r="F13" i="66"/>
  <c r="E13" i="66"/>
  <c r="F12" i="66"/>
  <c r="F11" i="66"/>
  <c r="E11" i="66"/>
  <c r="F10" i="66"/>
  <c r="E10" i="66"/>
  <c r="F9" i="66"/>
  <c r="F8" i="66"/>
  <c r="E8" i="66"/>
  <c r="F7" i="66"/>
  <c r="E7" i="66"/>
  <c r="F6" i="66"/>
  <c r="E6" i="66"/>
  <c r="P1" i="66"/>
  <c r="I2353" i="50" l="1"/>
  <c r="H2353" i="50"/>
  <c r="E2353" i="50"/>
  <c r="P2388" i="50"/>
  <c r="P2387" i="50"/>
  <c r="P2369" i="50"/>
  <c r="P2370" i="50" s="1"/>
  <c r="P2360" i="50"/>
  <c r="P2379" i="50"/>
  <c r="P2373" i="50"/>
  <c r="P2356" i="50"/>
  <c r="P2372" i="50"/>
  <c r="P2374" i="50"/>
  <c r="R2350" i="50"/>
  <c r="P2368" i="50"/>
  <c r="P2382" i="50"/>
  <c r="P2371" i="50"/>
  <c r="K3" i="62"/>
  <c r="P1776" i="50" l="1"/>
  <c r="P1774" i="50"/>
  <c r="P1772" i="50"/>
  <c r="P1771" i="50"/>
  <c r="E1764" i="50"/>
  <c r="E1761" i="50"/>
  <c r="E1759" i="50"/>
  <c r="E1758" i="50"/>
  <c r="E1756" i="50"/>
  <c r="E1755" i="50"/>
  <c r="E1754" i="50"/>
  <c r="E1753" i="50"/>
  <c r="E1752" i="50"/>
  <c r="E1751" i="50"/>
  <c r="E1750" i="50"/>
  <c r="E1749" i="50"/>
  <c r="E1748" i="50"/>
  <c r="E1747" i="50"/>
  <c r="E1745" i="50"/>
  <c r="E1744" i="50"/>
  <c r="E1742" i="50"/>
  <c r="E1741" i="50"/>
  <c r="E1739" i="50"/>
  <c r="E1738" i="50"/>
  <c r="E1736" i="50"/>
  <c r="E1735" i="50"/>
  <c r="E1734" i="50"/>
  <c r="E1733" i="50"/>
  <c r="E1731" i="50"/>
  <c r="E1730" i="50"/>
  <c r="E1728" i="50"/>
  <c r="A1695" i="50"/>
  <c r="A1689" i="50"/>
  <c r="A1670" i="50"/>
  <c r="A1669" i="50"/>
  <c r="A1668" i="50"/>
  <c r="A1667" i="50"/>
  <c r="A1666" i="50"/>
  <c r="P1648" i="50"/>
  <c r="P1646" i="50"/>
  <c r="P1644" i="50"/>
  <c r="P1643" i="50"/>
  <c r="E1636" i="50"/>
  <c r="E1633" i="50"/>
  <c r="E1631" i="50"/>
  <c r="E1630" i="50"/>
  <c r="E1628" i="50"/>
  <c r="E1627" i="50"/>
  <c r="E1626" i="50"/>
  <c r="E1625" i="50"/>
  <c r="E1624" i="50"/>
  <c r="E1623" i="50"/>
  <c r="E1622" i="50"/>
  <c r="E1621" i="50"/>
  <c r="E1620" i="50"/>
  <c r="E1619" i="50"/>
  <c r="E1617" i="50"/>
  <c r="E1616" i="50"/>
  <c r="E1614" i="50"/>
  <c r="E1613" i="50"/>
  <c r="E1611" i="50"/>
  <c r="E1610" i="50"/>
  <c r="E1608" i="50"/>
  <c r="E1607" i="50"/>
  <c r="E1606" i="50"/>
  <c r="E1605" i="50"/>
  <c r="E1603" i="50"/>
  <c r="E1602" i="50"/>
  <c r="E1600" i="50"/>
  <c r="A1567" i="50"/>
  <c r="A1542" i="50"/>
  <c r="A1541" i="50"/>
  <c r="A1540" i="50"/>
  <c r="A1539" i="50"/>
  <c r="A1538" i="50"/>
  <c r="P1520" i="50"/>
  <c r="P1518" i="50"/>
  <c r="P1516" i="50"/>
  <c r="P1515" i="50"/>
  <c r="E1508" i="50"/>
  <c r="E1505" i="50"/>
  <c r="E1503" i="50"/>
  <c r="E1502" i="50"/>
  <c r="E1500" i="50"/>
  <c r="E1499" i="50"/>
  <c r="E1498" i="50"/>
  <c r="E1497" i="50"/>
  <c r="E1496" i="50"/>
  <c r="E1495" i="50"/>
  <c r="E1494" i="50"/>
  <c r="E1493" i="50"/>
  <c r="E1492" i="50"/>
  <c r="E1491" i="50"/>
  <c r="E1489" i="50"/>
  <c r="E1488" i="50"/>
  <c r="E1486" i="50"/>
  <c r="E1485" i="50"/>
  <c r="E1483" i="50"/>
  <c r="E1482" i="50"/>
  <c r="E1480" i="50"/>
  <c r="E1479" i="50"/>
  <c r="E1478" i="50"/>
  <c r="E1477" i="50"/>
  <c r="E1475" i="50"/>
  <c r="E1474" i="50"/>
  <c r="E1472" i="50"/>
  <c r="A1439" i="50"/>
  <c r="A1414" i="50"/>
  <c r="A1413" i="50"/>
  <c r="A1412" i="50"/>
  <c r="A1411" i="50"/>
  <c r="A1410" i="50"/>
  <c r="P1392" i="50"/>
  <c r="P1390" i="50"/>
  <c r="P1388" i="50"/>
  <c r="P1387" i="50"/>
  <c r="E1380" i="50"/>
  <c r="E1377" i="50"/>
  <c r="E1375" i="50"/>
  <c r="E1374" i="50"/>
  <c r="E1372" i="50"/>
  <c r="E1371" i="50"/>
  <c r="E1370" i="50"/>
  <c r="E1369" i="50"/>
  <c r="E1368" i="50"/>
  <c r="E1367" i="50"/>
  <c r="E1366" i="50"/>
  <c r="E1365" i="50"/>
  <c r="E1364" i="50"/>
  <c r="E1363" i="50"/>
  <c r="E1361" i="50"/>
  <c r="E1360" i="50"/>
  <c r="E1358" i="50"/>
  <c r="E1357" i="50"/>
  <c r="E1355" i="50"/>
  <c r="E1354" i="50"/>
  <c r="E1352" i="50"/>
  <c r="E1351" i="50"/>
  <c r="E1350" i="50"/>
  <c r="E1349" i="50"/>
  <c r="E1347" i="50"/>
  <c r="E1346" i="50"/>
  <c r="E1344" i="50"/>
  <c r="A1286" i="50"/>
  <c r="A1285" i="50"/>
  <c r="A1284" i="50"/>
  <c r="A1283" i="50"/>
  <c r="A1282" i="50"/>
  <c r="P1264" i="50"/>
  <c r="P1262" i="50"/>
  <c r="P1260" i="50"/>
  <c r="P1259" i="50"/>
  <c r="E1252" i="50"/>
  <c r="E1249" i="50"/>
  <c r="E1247" i="50"/>
  <c r="E1246" i="50"/>
  <c r="E1244" i="50"/>
  <c r="E1243" i="50"/>
  <c r="E1242" i="50"/>
  <c r="E1241" i="50"/>
  <c r="E1240" i="50"/>
  <c r="E1239" i="50"/>
  <c r="E1238" i="50"/>
  <c r="E1237" i="50"/>
  <c r="E1236" i="50"/>
  <c r="E1235" i="50"/>
  <c r="E1233" i="50"/>
  <c r="E1232" i="50"/>
  <c r="E1230" i="50"/>
  <c r="E1229" i="50"/>
  <c r="E1227" i="50"/>
  <c r="E1226" i="50"/>
  <c r="E1224" i="50"/>
  <c r="E1223" i="50"/>
  <c r="E1222" i="50"/>
  <c r="E1221" i="50"/>
  <c r="E1219" i="50"/>
  <c r="E1218" i="50"/>
  <c r="E1216" i="50"/>
  <c r="A1183" i="50"/>
  <c r="A1177" i="50"/>
  <c r="A1158" i="50"/>
  <c r="A1157" i="50"/>
  <c r="A1156" i="50"/>
  <c r="A1155" i="50"/>
  <c r="A1154" i="50"/>
  <c r="P1136" i="50"/>
  <c r="P1134" i="50"/>
  <c r="P1132" i="50"/>
  <c r="P1131" i="50"/>
  <c r="E1124" i="50"/>
  <c r="E1121" i="50"/>
  <c r="E1119" i="50"/>
  <c r="E1118" i="50"/>
  <c r="E1116" i="50"/>
  <c r="E1115" i="50"/>
  <c r="E1114" i="50"/>
  <c r="E1113" i="50"/>
  <c r="E1112" i="50"/>
  <c r="E1111" i="50"/>
  <c r="E1110" i="50"/>
  <c r="E1109" i="50"/>
  <c r="E1108" i="50"/>
  <c r="E1107" i="50"/>
  <c r="E1105" i="50"/>
  <c r="E1104" i="50"/>
  <c r="E1102" i="50"/>
  <c r="E1101" i="50"/>
  <c r="E1099" i="50"/>
  <c r="E1098" i="50"/>
  <c r="E1096" i="50"/>
  <c r="E1095" i="50"/>
  <c r="E1094" i="50"/>
  <c r="E1093" i="50"/>
  <c r="E1091" i="50"/>
  <c r="E1090" i="50"/>
  <c r="E1088" i="50"/>
  <c r="A1049" i="50"/>
  <c r="A1030" i="50"/>
  <c r="A1029" i="50"/>
  <c r="A1028" i="50"/>
  <c r="A1027" i="50"/>
  <c r="A1026" i="50"/>
  <c r="P1008" i="50"/>
  <c r="P1006" i="50"/>
  <c r="P1004" i="50"/>
  <c r="P1003" i="50"/>
  <c r="E996" i="50"/>
  <c r="E993" i="50"/>
  <c r="E991" i="50"/>
  <c r="E990" i="50"/>
  <c r="E988" i="50"/>
  <c r="E987" i="50"/>
  <c r="E986" i="50"/>
  <c r="E985" i="50"/>
  <c r="E984" i="50"/>
  <c r="E983" i="50"/>
  <c r="E982" i="50"/>
  <c r="E981" i="50"/>
  <c r="E980" i="50"/>
  <c r="E979" i="50"/>
  <c r="E977" i="50"/>
  <c r="E976" i="50"/>
  <c r="E974" i="50"/>
  <c r="E973" i="50"/>
  <c r="E971" i="50"/>
  <c r="E970" i="50"/>
  <c r="E968" i="50"/>
  <c r="E967" i="50"/>
  <c r="E966" i="50"/>
  <c r="E965" i="50"/>
  <c r="E963" i="50"/>
  <c r="E962" i="50"/>
  <c r="E960" i="50"/>
  <c r="A927" i="50"/>
  <c r="A921" i="50"/>
  <c r="A902" i="50"/>
  <c r="A901" i="50"/>
  <c r="A900" i="50"/>
  <c r="A899" i="50"/>
  <c r="A898" i="50"/>
  <c r="P880" i="50"/>
  <c r="P878" i="50"/>
  <c r="P876" i="50"/>
  <c r="P875" i="50"/>
  <c r="E868" i="50"/>
  <c r="E865" i="50"/>
  <c r="E863" i="50"/>
  <c r="E862" i="50"/>
  <c r="E860" i="50"/>
  <c r="E859" i="50"/>
  <c r="E858" i="50"/>
  <c r="E857" i="50"/>
  <c r="E856" i="50"/>
  <c r="E855" i="50"/>
  <c r="E854" i="50"/>
  <c r="E853" i="50"/>
  <c r="E852" i="50"/>
  <c r="E851" i="50"/>
  <c r="E849" i="50"/>
  <c r="E848" i="50"/>
  <c r="E846" i="50"/>
  <c r="E845" i="50"/>
  <c r="E843" i="50"/>
  <c r="E842" i="50"/>
  <c r="E840" i="50"/>
  <c r="E839" i="50"/>
  <c r="E838" i="50"/>
  <c r="E837" i="50"/>
  <c r="E835" i="50"/>
  <c r="E834" i="50"/>
  <c r="E832" i="50"/>
  <c r="A799" i="50"/>
  <c r="A774" i="50"/>
  <c r="A773" i="50"/>
  <c r="A772" i="50"/>
  <c r="A771" i="50"/>
  <c r="A770" i="50"/>
  <c r="C628" i="50"/>
  <c r="P752" i="50"/>
  <c r="P750" i="50"/>
  <c r="P748" i="50"/>
  <c r="P747" i="50"/>
  <c r="E740" i="50"/>
  <c r="E737" i="50"/>
  <c r="E735" i="50"/>
  <c r="E734" i="50"/>
  <c r="E732" i="50"/>
  <c r="E731" i="50"/>
  <c r="E730" i="50"/>
  <c r="E729" i="50"/>
  <c r="E728" i="50"/>
  <c r="E727" i="50"/>
  <c r="E726" i="50"/>
  <c r="E725" i="50"/>
  <c r="E724" i="50"/>
  <c r="E723" i="50"/>
  <c r="E721" i="50"/>
  <c r="E720" i="50"/>
  <c r="E718" i="50"/>
  <c r="E717" i="50"/>
  <c r="E715" i="50"/>
  <c r="E714" i="50"/>
  <c r="E712" i="50"/>
  <c r="E711" i="50"/>
  <c r="E710" i="50"/>
  <c r="E709" i="50"/>
  <c r="E707" i="50"/>
  <c r="E706" i="50"/>
  <c r="E704" i="50"/>
  <c r="A671" i="50"/>
  <c r="A646" i="50"/>
  <c r="A645" i="50"/>
  <c r="A644" i="50"/>
  <c r="A643" i="50"/>
  <c r="A642" i="50"/>
  <c r="A2498" i="50"/>
  <c r="E69" i="50"/>
  <c r="N71" i="50"/>
  <c r="M71" i="50"/>
  <c r="L71" i="50"/>
  <c r="K71" i="50"/>
  <c r="J71" i="50"/>
  <c r="I71" i="50"/>
  <c r="H71" i="50"/>
  <c r="N70" i="50"/>
  <c r="M70" i="50"/>
  <c r="L70" i="50"/>
  <c r="K70" i="50"/>
  <c r="J70" i="50"/>
  <c r="I70" i="50"/>
  <c r="H70" i="50"/>
  <c r="C120" i="34"/>
  <c r="J284" i="43"/>
  <c r="C67" i="42"/>
  <c r="N273" i="43"/>
  <c r="M273" i="43"/>
  <c r="L273" i="43"/>
  <c r="K273" i="43"/>
  <c r="J273" i="43"/>
  <c r="S51" i="42"/>
  <c r="G47" i="62"/>
  <c r="E372" i="47"/>
  <c r="E370" i="47"/>
  <c r="E369" i="47"/>
  <c r="E368" i="47"/>
  <c r="E366" i="47"/>
  <c r="E365" i="47"/>
  <c r="N363" i="47"/>
  <c r="M363" i="47"/>
  <c r="L363" i="47"/>
  <c r="K363" i="47"/>
  <c r="J363" i="47"/>
  <c r="G363" i="47"/>
  <c r="E363" i="47"/>
  <c r="N362" i="47"/>
  <c r="M362" i="47"/>
  <c r="L362" i="47"/>
  <c r="K362" i="47"/>
  <c r="J362" i="47"/>
  <c r="I362" i="47"/>
  <c r="H362" i="47"/>
  <c r="G362" i="47"/>
  <c r="E362" i="47"/>
  <c r="G361" i="47"/>
  <c r="E361" i="47"/>
  <c r="G360" i="47"/>
  <c r="E360" i="47"/>
  <c r="G359" i="47"/>
  <c r="E359" i="47"/>
  <c r="E358" i="47"/>
  <c r="G357" i="47"/>
  <c r="E357" i="47"/>
  <c r="E355" i="47"/>
  <c r="E354" i="47"/>
  <c r="E353" i="47"/>
  <c r="N369" i="47"/>
  <c r="M361" i="47"/>
  <c r="L369" i="47"/>
  <c r="K369" i="47"/>
  <c r="J369" i="47"/>
  <c r="I361" i="47"/>
  <c r="H369" i="47"/>
  <c r="E351" i="47"/>
  <c r="N368" i="47"/>
  <c r="N370" i="47" s="1"/>
  <c r="N372" i="47" s="1"/>
  <c r="M368" i="47"/>
  <c r="L368" i="47"/>
  <c r="K368" i="47"/>
  <c r="J368" i="47"/>
  <c r="J370" i="47" s="1"/>
  <c r="J372" i="47" s="1"/>
  <c r="I368" i="47"/>
  <c r="H368" i="47"/>
  <c r="E350" i="47"/>
  <c r="E348" i="47"/>
  <c r="E347" i="47"/>
  <c r="E345" i="47"/>
  <c r="E344" i="47"/>
  <c r="E343" i="47"/>
  <c r="E341" i="47"/>
  <c r="E339" i="47"/>
  <c r="E338" i="47"/>
  <c r="E337" i="47"/>
  <c r="E334" i="47"/>
  <c r="E333" i="47"/>
  <c r="E331" i="47"/>
  <c r="E330" i="47"/>
  <c r="E329" i="47"/>
  <c r="D327" i="47"/>
  <c r="P624" i="50"/>
  <c r="P622" i="50"/>
  <c r="P620" i="50"/>
  <c r="P619" i="50"/>
  <c r="K370" i="47" l="1"/>
  <c r="K372" i="47" s="1"/>
  <c r="I363" i="47"/>
  <c r="C756" i="50"/>
  <c r="Q628" i="50"/>
  <c r="A1433" i="50"/>
  <c r="A1561" i="50"/>
  <c r="A1305" i="50"/>
  <c r="A1311" i="50"/>
  <c r="A1055" i="50"/>
  <c r="A793" i="50"/>
  <c r="A665" i="50"/>
  <c r="J361" i="47"/>
  <c r="K361" i="47"/>
  <c r="N361" i="47"/>
  <c r="H370" i="47"/>
  <c r="L370" i="47"/>
  <c r="L372" i="47" s="1"/>
  <c r="H361" i="47"/>
  <c r="H363" i="47" s="1"/>
  <c r="L361" i="47"/>
  <c r="I369" i="47"/>
  <c r="I370" i="47" s="1"/>
  <c r="I372" i="47" s="1"/>
  <c r="M369" i="47"/>
  <c r="M370" i="47" s="1"/>
  <c r="M372" i="47" s="1"/>
  <c r="E354" i="41"/>
  <c r="Q354" i="41" s="1"/>
  <c r="E353" i="41"/>
  <c r="Q353" i="41" s="1"/>
  <c r="E442" i="41"/>
  <c r="N442" i="41"/>
  <c r="M442" i="41"/>
  <c r="L442" i="41"/>
  <c r="K442" i="41"/>
  <c r="J442" i="41"/>
  <c r="I442" i="41"/>
  <c r="H442" i="41"/>
  <c r="N437" i="41"/>
  <c r="N371" i="50" s="1"/>
  <c r="M437" i="41"/>
  <c r="M371" i="50" s="1"/>
  <c r="L437" i="41"/>
  <c r="L371" i="50" s="1"/>
  <c r="K437" i="41"/>
  <c r="K371" i="50" s="1"/>
  <c r="J437" i="41"/>
  <c r="J371" i="50" s="1"/>
  <c r="I437" i="41"/>
  <c r="I371" i="50" s="1"/>
  <c r="H437" i="41"/>
  <c r="H371" i="50" s="1"/>
  <c r="E437" i="41"/>
  <c r="E46" i="41"/>
  <c r="E59" i="41" s="1"/>
  <c r="E227" i="50" s="1"/>
  <c r="H142" i="62"/>
  <c r="H141" i="62"/>
  <c r="H140" i="62"/>
  <c r="E110" i="50"/>
  <c r="S110" i="50" s="1"/>
  <c r="E109" i="50"/>
  <c r="P109" i="50" s="1"/>
  <c r="E108" i="50"/>
  <c r="S108" i="50" s="1"/>
  <c r="E141" i="42"/>
  <c r="S54" i="42"/>
  <c r="E134" i="42"/>
  <c r="P1813" i="50"/>
  <c r="H372" i="47" l="1"/>
  <c r="C884" i="50"/>
  <c r="Q756" i="50"/>
  <c r="E264" i="41"/>
  <c r="E371" i="50"/>
  <c r="S109" i="50"/>
  <c r="E133" i="50"/>
  <c r="E254" i="50" s="1"/>
  <c r="E131" i="50"/>
  <c r="E252" i="50" s="1"/>
  <c r="P252" i="50" s="1"/>
  <c r="E132" i="50"/>
  <c r="E253" i="50" s="1"/>
  <c r="P253" i="50" s="1"/>
  <c r="P108" i="50"/>
  <c r="P110" i="50"/>
  <c r="Q884" i="50" l="1"/>
  <c r="C1012" i="50"/>
  <c r="P254" i="50"/>
  <c r="C1140" i="50" l="1"/>
  <c r="Q1012" i="50"/>
  <c r="N114" i="42"/>
  <c r="M114" i="42"/>
  <c r="L114" i="42"/>
  <c r="F131" i="42"/>
  <c r="E131" i="42"/>
  <c r="F130" i="42"/>
  <c r="E130" i="42"/>
  <c r="F129" i="42"/>
  <c r="F128" i="42"/>
  <c r="F127" i="42"/>
  <c r="F126" i="42"/>
  <c r="F125" i="42"/>
  <c r="F124" i="42"/>
  <c r="F123" i="42"/>
  <c r="F122" i="42"/>
  <c r="F121" i="42"/>
  <c r="F120" i="42"/>
  <c r="G119" i="42"/>
  <c r="F114" i="42"/>
  <c r="E114" i="42"/>
  <c r="F113" i="42"/>
  <c r="F112" i="42"/>
  <c r="F111" i="42"/>
  <c r="F110" i="42"/>
  <c r="F109" i="42"/>
  <c r="F108" i="42"/>
  <c r="F107" i="42"/>
  <c r="F106" i="42"/>
  <c r="F105" i="42"/>
  <c r="F104" i="42"/>
  <c r="C1268" i="50" l="1"/>
  <c r="Q1140" i="50"/>
  <c r="D58" i="62"/>
  <c r="R502" i="50"/>
  <c r="P324" i="34"/>
  <c r="P320" i="34"/>
  <c r="E327" i="34"/>
  <c r="E326" i="34"/>
  <c r="E325" i="34"/>
  <c r="E324" i="34"/>
  <c r="E323" i="34"/>
  <c r="E322" i="34"/>
  <c r="E321" i="34"/>
  <c r="E320" i="34"/>
  <c r="E319" i="34"/>
  <c r="E318" i="34"/>
  <c r="G324" i="34"/>
  <c r="F2200" i="50" s="1"/>
  <c r="G320" i="34"/>
  <c r="F1934" i="50" s="1"/>
  <c r="C327" i="34"/>
  <c r="C326" i="34"/>
  <c r="C325" i="34"/>
  <c r="C324" i="34"/>
  <c r="Q324" i="34" s="1"/>
  <c r="C323" i="34"/>
  <c r="C322" i="34"/>
  <c r="C321" i="34"/>
  <c r="C320" i="34"/>
  <c r="Q320" i="34" s="1"/>
  <c r="C319" i="34"/>
  <c r="C318" i="34"/>
  <c r="G326" i="34"/>
  <c r="F2308" i="50" s="1"/>
  <c r="P268" i="34"/>
  <c r="L268" i="34"/>
  <c r="K268" i="34"/>
  <c r="E268" i="34"/>
  <c r="C268" i="34"/>
  <c r="Q268" i="34" s="1"/>
  <c r="Q312" i="34"/>
  <c r="P312" i="34"/>
  <c r="L312" i="34"/>
  <c r="K312" i="34"/>
  <c r="E312" i="34"/>
  <c r="E262" i="34"/>
  <c r="E263" i="34"/>
  <c r="E264" i="34"/>
  <c r="E265" i="34"/>
  <c r="E266" i="34"/>
  <c r="E267" i="34"/>
  <c r="E269" i="34"/>
  <c r="E270" i="34"/>
  <c r="E271" i="34"/>
  <c r="E272" i="34"/>
  <c r="E273" i="34"/>
  <c r="E274" i="34"/>
  <c r="E275" i="34"/>
  <c r="E276" i="34"/>
  <c r="E277" i="34"/>
  <c r="E278" i="34"/>
  <c r="E279" i="34"/>
  <c r="E280" i="34"/>
  <c r="E281" i="34"/>
  <c r="E282" i="34"/>
  <c r="E283" i="34"/>
  <c r="E284" i="34"/>
  <c r="E285" i="34"/>
  <c r="E286" i="34"/>
  <c r="E287" i="34"/>
  <c r="E288" i="34"/>
  <c r="E289" i="34"/>
  <c r="E290" i="34"/>
  <c r="E291" i="34"/>
  <c r="E292" i="34"/>
  <c r="E293" i="34"/>
  <c r="E294" i="34"/>
  <c r="E295" i="34"/>
  <c r="E296" i="34"/>
  <c r="E297" i="34"/>
  <c r="E298" i="34"/>
  <c r="E299" i="34"/>
  <c r="E300" i="34"/>
  <c r="E301" i="34"/>
  <c r="E302" i="34"/>
  <c r="E303" i="34"/>
  <c r="E304" i="34"/>
  <c r="E305" i="34"/>
  <c r="E306" i="34"/>
  <c r="E307" i="34"/>
  <c r="E308" i="34"/>
  <c r="E309" i="34"/>
  <c r="E310" i="34"/>
  <c r="E311" i="34"/>
  <c r="E313" i="34"/>
  <c r="E314" i="34"/>
  <c r="E261" i="34"/>
  <c r="C262" i="34"/>
  <c r="C263" i="34"/>
  <c r="C264" i="34"/>
  <c r="C265" i="34"/>
  <c r="C266" i="34"/>
  <c r="C267" i="34"/>
  <c r="C269" i="34"/>
  <c r="C270" i="34"/>
  <c r="C271" i="34"/>
  <c r="C272" i="34"/>
  <c r="C273" i="34"/>
  <c r="C274" i="34"/>
  <c r="C275" i="34"/>
  <c r="C276" i="34"/>
  <c r="C277" i="34"/>
  <c r="C278" i="34"/>
  <c r="C279" i="34"/>
  <c r="C280" i="34"/>
  <c r="C281" i="34"/>
  <c r="C282" i="34"/>
  <c r="C283" i="34"/>
  <c r="C284" i="34"/>
  <c r="C285" i="34"/>
  <c r="C286" i="34"/>
  <c r="C287" i="34"/>
  <c r="C288" i="34"/>
  <c r="C289" i="34"/>
  <c r="C290" i="34"/>
  <c r="C291" i="34"/>
  <c r="C292" i="34"/>
  <c r="C293" i="34"/>
  <c r="C294" i="34"/>
  <c r="C295" i="34"/>
  <c r="C296" i="34"/>
  <c r="C297" i="34"/>
  <c r="C298" i="34"/>
  <c r="C299" i="34"/>
  <c r="C300" i="34"/>
  <c r="C301" i="34"/>
  <c r="C302" i="34"/>
  <c r="C303" i="34"/>
  <c r="C304" i="34"/>
  <c r="C305" i="34"/>
  <c r="C306" i="34"/>
  <c r="C307" i="34"/>
  <c r="C308" i="34"/>
  <c r="C309" i="34"/>
  <c r="C310" i="34"/>
  <c r="C311" i="34"/>
  <c r="C313" i="34"/>
  <c r="C314" i="34"/>
  <c r="C261" i="34"/>
  <c r="D317" i="34"/>
  <c r="D260" i="34"/>
  <c r="C1396" i="50" l="1"/>
  <c r="Q1268" i="50"/>
  <c r="D59" i="62"/>
  <c r="E59" i="62" s="1"/>
  <c r="H1942" i="50"/>
  <c r="H1946" i="50" s="1"/>
  <c r="H1957" i="50"/>
  <c r="H1949" i="50"/>
  <c r="H2323" i="50"/>
  <c r="H2331" i="50"/>
  <c r="H2316" i="50"/>
  <c r="H2320" i="50" s="1"/>
  <c r="H2223" i="50"/>
  <c r="H2208" i="50"/>
  <c r="H2212" i="50" s="1"/>
  <c r="H2215" i="50"/>
  <c r="G467" i="42"/>
  <c r="G1564" i="42"/>
  <c r="G1255" i="42"/>
  <c r="E58" i="62"/>
  <c r="B28" i="25"/>
  <c r="B27" i="25"/>
  <c r="B26" i="25"/>
  <c r="B25" i="25"/>
  <c r="B24" i="25"/>
  <c r="B23" i="25"/>
  <c r="B22" i="25"/>
  <c r="B21" i="25"/>
  <c r="B20" i="25"/>
  <c r="B19" i="25"/>
  <c r="B18" i="25"/>
  <c r="B17" i="25"/>
  <c r="B16" i="25"/>
  <c r="B15" i="25"/>
  <c r="B14" i="25"/>
  <c r="E44" i="37"/>
  <c r="E43" i="37"/>
  <c r="E40" i="37"/>
  <c r="E37" i="37"/>
  <c r="E35" i="37"/>
  <c r="I34" i="37"/>
  <c r="E34" i="37"/>
  <c r="E314" i="47"/>
  <c r="F51" i="34"/>
  <c r="F53" i="34"/>
  <c r="G53" i="34"/>
  <c r="F117" i="34"/>
  <c r="G260" i="34"/>
  <c r="H260" i="34"/>
  <c r="G261" i="34"/>
  <c r="G288" i="34"/>
  <c r="G289" i="34"/>
  <c r="G290" i="34"/>
  <c r="G291" i="34"/>
  <c r="G292" i="34"/>
  <c r="G293" i="34"/>
  <c r="G294" i="34"/>
  <c r="G296" i="34"/>
  <c r="G297" i="34"/>
  <c r="G298" i="34"/>
  <c r="G304" i="34"/>
  <c r="G317" i="34"/>
  <c r="H317" i="34"/>
  <c r="G318" i="34"/>
  <c r="F1788" i="50" s="1"/>
  <c r="G319" i="34"/>
  <c r="F1861" i="50" s="1"/>
  <c r="G321" i="34"/>
  <c r="G322" i="34"/>
  <c r="F2080" i="50" s="1"/>
  <c r="G323" i="34"/>
  <c r="F2140" i="50" s="1"/>
  <c r="G325" i="34"/>
  <c r="F2260" i="50" s="1"/>
  <c r="G327" i="34"/>
  <c r="F2356" i="50" s="1"/>
  <c r="E315" i="47"/>
  <c r="E299" i="47"/>
  <c r="E262" i="43"/>
  <c r="E257" i="43"/>
  <c r="E300" i="47"/>
  <c r="E297" i="47"/>
  <c r="E293" i="47"/>
  <c r="E302" i="47"/>
  <c r="E304" i="47"/>
  <c r="E303" i="47"/>
  <c r="E312" i="47"/>
  <c r="E311" i="47"/>
  <c r="E310" i="47"/>
  <c r="E309" i="47"/>
  <c r="E308" i="47"/>
  <c r="E307" i="47"/>
  <c r="E306" i="47"/>
  <c r="E321" i="47"/>
  <c r="E319" i="47"/>
  <c r="E318" i="47"/>
  <c r="E317" i="47"/>
  <c r="J312" i="47"/>
  <c r="J311" i="47"/>
  <c r="N300" i="47"/>
  <c r="N310" i="47" s="1"/>
  <c r="M300" i="47"/>
  <c r="M310" i="47" s="1"/>
  <c r="L300" i="47"/>
  <c r="L318" i="47" s="1"/>
  <c r="L311" i="47"/>
  <c r="K300" i="47"/>
  <c r="K311" i="47"/>
  <c r="J300" i="47"/>
  <c r="J318" i="47" s="1"/>
  <c r="I300" i="47"/>
  <c r="I318" i="47" s="1"/>
  <c r="N299" i="47"/>
  <c r="N317" i="47" s="1"/>
  <c r="M299" i="47"/>
  <c r="M317" i="47" s="1"/>
  <c r="L299" i="47"/>
  <c r="L317" i="47" s="1"/>
  <c r="K299" i="47"/>
  <c r="K317" i="47" s="1"/>
  <c r="J299" i="47"/>
  <c r="J317" i="47" s="1"/>
  <c r="I299" i="47"/>
  <c r="I317" i="47" s="1"/>
  <c r="H300" i="47"/>
  <c r="H310" i="47" s="1"/>
  <c r="H317" i="47"/>
  <c r="G312" i="47"/>
  <c r="G311" i="47"/>
  <c r="G310" i="47"/>
  <c r="G309" i="47"/>
  <c r="G308" i="47"/>
  <c r="G306" i="47"/>
  <c r="G417" i="43"/>
  <c r="S60" i="42"/>
  <c r="S59" i="42"/>
  <c r="S58" i="42"/>
  <c r="S57" i="42"/>
  <c r="S56" i="42"/>
  <c r="S55" i="42"/>
  <c r="S53" i="42"/>
  <c r="S52" i="42"/>
  <c r="I2511" i="50"/>
  <c r="G2516" i="50"/>
  <c r="G2514" i="50"/>
  <c r="I2510" i="50"/>
  <c r="A2519" i="50"/>
  <c r="A2520" i="50"/>
  <c r="A2521" i="50"/>
  <c r="A2522" i="50"/>
  <c r="B54" i="34"/>
  <c r="U317" i="34"/>
  <c r="R194" i="50"/>
  <c r="H56" i="62"/>
  <c r="B115" i="34"/>
  <c r="C32" i="10" s="1"/>
  <c r="E356" i="41"/>
  <c r="Q356" i="41" s="1"/>
  <c r="E438" i="41"/>
  <c r="E372" i="50" s="1"/>
  <c r="E162" i="62"/>
  <c r="S162" i="62" s="1"/>
  <c r="T317" i="34"/>
  <c r="S317" i="34"/>
  <c r="O317" i="34"/>
  <c r="K317" i="34"/>
  <c r="J317" i="34"/>
  <c r="F317" i="34"/>
  <c r="E317" i="34"/>
  <c r="A316" i="34"/>
  <c r="F314" i="34"/>
  <c r="K313" i="34"/>
  <c r="F313" i="34"/>
  <c r="K311" i="34"/>
  <c r="F310" i="34"/>
  <c r="F309" i="34"/>
  <c r="K308" i="34"/>
  <c r="F308" i="34"/>
  <c r="K307" i="34"/>
  <c r="F307" i="34"/>
  <c r="F306" i="34"/>
  <c r="F305" i="34"/>
  <c r="K304" i="34"/>
  <c r="F304" i="34"/>
  <c r="K303" i="34"/>
  <c r="F303" i="34"/>
  <c r="F302" i="34"/>
  <c r="F301" i="34"/>
  <c r="K300" i="34"/>
  <c r="F300" i="34"/>
  <c r="F299" i="34"/>
  <c r="F298" i="34"/>
  <c r="F297" i="34"/>
  <c r="F296" i="34"/>
  <c r="F295" i="34"/>
  <c r="F294" i="34"/>
  <c r="F293" i="34"/>
  <c r="F292" i="34"/>
  <c r="F291" i="34"/>
  <c r="K290" i="34"/>
  <c r="F290" i="34"/>
  <c r="K289" i="34"/>
  <c r="F289" i="34"/>
  <c r="K288" i="34"/>
  <c r="F288" i="34"/>
  <c r="F287" i="34"/>
  <c r="F286" i="34"/>
  <c r="F285" i="34"/>
  <c r="F284" i="34"/>
  <c r="F283" i="34"/>
  <c r="F282" i="34"/>
  <c r="F281" i="34"/>
  <c r="F280" i="34"/>
  <c r="F279" i="34"/>
  <c r="F278" i="34"/>
  <c r="F277" i="34"/>
  <c r="F276" i="34"/>
  <c r="F275" i="34"/>
  <c r="K274" i="34"/>
  <c r="F274" i="34"/>
  <c r="K273" i="34"/>
  <c r="F273" i="34"/>
  <c r="F272" i="34"/>
  <c r="F271" i="34"/>
  <c r="F270" i="34"/>
  <c r="F269" i="34"/>
  <c r="F266" i="34"/>
  <c r="F265" i="34"/>
  <c r="F264" i="34"/>
  <c r="F263" i="34"/>
  <c r="F262" i="34"/>
  <c r="K261" i="34"/>
  <c r="F261" i="34"/>
  <c r="U260" i="34"/>
  <c r="T260" i="34"/>
  <c r="S260" i="34"/>
  <c r="O260" i="34"/>
  <c r="N260" i="34"/>
  <c r="M260" i="34"/>
  <c r="L260" i="34"/>
  <c r="K260" i="34"/>
  <c r="J260" i="34"/>
  <c r="F260" i="34"/>
  <c r="E260" i="34"/>
  <c r="B260" i="34"/>
  <c r="A260" i="34"/>
  <c r="A259" i="34"/>
  <c r="H257" i="34"/>
  <c r="B257" i="34" s="1"/>
  <c r="B256" i="34"/>
  <c r="H255" i="34"/>
  <c r="B255" i="34" s="1"/>
  <c r="H254" i="34"/>
  <c r="B254" i="34" s="1"/>
  <c r="A314" i="34" s="1"/>
  <c r="B253" i="34"/>
  <c r="A312" i="34" s="1"/>
  <c r="H252" i="34"/>
  <c r="B252" i="34" s="1"/>
  <c r="H251" i="34"/>
  <c r="B251" i="34" s="1"/>
  <c r="A302" i="34" s="1"/>
  <c r="H250" i="34"/>
  <c r="B250" i="34" s="1"/>
  <c r="H249" i="34"/>
  <c r="B249" i="34" s="1"/>
  <c r="H248" i="34"/>
  <c r="B248" i="34" s="1"/>
  <c r="A300" i="34" s="1"/>
  <c r="B247" i="34"/>
  <c r="A299" i="34" s="1"/>
  <c r="H246" i="34"/>
  <c r="B246" i="34" s="1"/>
  <c r="A294" i="34" s="1"/>
  <c r="H245" i="34"/>
  <c r="B245" i="34" s="1"/>
  <c r="A291" i="34" s="1"/>
  <c r="B244" i="34"/>
  <c r="A287" i="34" s="1"/>
  <c r="H243" i="34"/>
  <c r="B243" i="34" s="1"/>
  <c r="A284" i="34" s="1"/>
  <c r="H242" i="34"/>
  <c r="B242" i="34" s="1"/>
  <c r="A283" i="34" s="1"/>
  <c r="H241" i="34"/>
  <c r="B241" i="34" s="1"/>
  <c r="A279" i="34" s="1"/>
  <c r="H240" i="34"/>
  <c r="B240" i="34" s="1"/>
  <c r="A274" i="34" s="1"/>
  <c r="H239" i="34"/>
  <c r="B239" i="34" s="1"/>
  <c r="A272" i="34" s="1"/>
  <c r="H238" i="34"/>
  <c r="B238" i="34" s="1"/>
  <c r="H237" i="34"/>
  <c r="B237" i="34" s="1"/>
  <c r="B236" i="34"/>
  <c r="A270" i="34" s="1"/>
  <c r="H235" i="34"/>
  <c r="B235" i="34" s="1"/>
  <c r="B234" i="34"/>
  <c r="A266" i="34" s="1"/>
  <c r="H233" i="34"/>
  <c r="B233" i="34" s="1"/>
  <c r="A263" i="34" s="1"/>
  <c r="H232" i="34"/>
  <c r="B232" i="34" s="1"/>
  <c r="A262" i="34" s="1"/>
  <c r="B231" i="34"/>
  <c r="A261" i="34" s="1"/>
  <c r="H230" i="34"/>
  <c r="B230" i="34" s="1"/>
  <c r="B229" i="34"/>
  <c r="A229" i="34"/>
  <c r="A228" i="34"/>
  <c r="B211" i="34"/>
  <c r="B210" i="34"/>
  <c r="C209" i="34"/>
  <c r="B209" i="34"/>
  <c r="D197" i="34"/>
  <c r="C197" i="34"/>
  <c r="B197" i="34"/>
  <c r="B149" i="34"/>
  <c r="B148" i="34"/>
  <c r="B147" i="34"/>
  <c r="B146" i="34"/>
  <c r="B145" i="34"/>
  <c r="E281" i="41" s="1"/>
  <c r="B144" i="34"/>
  <c r="B143" i="34"/>
  <c r="B142" i="34"/>
  <c r="B141" i="34"/>
  <c r="B140" i="34"/>
  <c r="B139" i="34"/>
  <c r="B138" i="34"/>
  <c r="B137" i="34"/>
  <c r="B136" i="34"/>
  <c r="E41" i="49" s="1"/>
  <c r="B135" i="34"/>
  <c r="B134" i="34"/>
  <c r="B131" i="34"/>
  <c r="B130" i="34"/>
  <c r="B129" i="34"/>
  <c r="B128" i="34"/>
  <c r="B127" i="34"/>
  <c r="B126" i="34"/>
  <c r="B125" i="34"/>
  <c r="B124" i="34"/>
  <c r="B123" i="34"/>
  <c r="B121" i="34"/>
  <c r="AF117" i="34"/>
  <c r="AE117" i="34"/>
  <c r="AD117" i="34"/>
  <c r="AC117" i="34"/>
  <c r="AB117" i="34"/>
  <c r="AA117" i="34"/>
  <c r="Z117" i="34"/>
  <c r="Y117" i="34"/>
  <c r="E120" i="34" s="1"/>
  <c r="X117" i="34"/>
  <c r="W117" i="34"/>
  <c r="V117" i="34"/>
  <c r="U117" i="34"/>
  <c r="T117" i="34"/>
  <c r="S117" i="34"/>
  <c r="R117" i="34"/>
  <c r="D120" i="34" s="1"/>
  <c r="Q117" i="34"/>
  <c r="P117" i="34"/>
  <c r="O117" i="34"/>
  <c r="N117" i="34"/>
  <c r="M117" i="34"/>
  <c r="L117" i="34"/>
  <c r="K117" i="34"/>
  <c r="J117" i="34"/>
  <c r="I117" i="34"/>
  <c r="H117" i="34"/>
  <c r="E117" i="34"/>
  <c r="D117" i="34"/>
  <c r="B120" i="34" s="1"/>
  <c r="C117" i="34"/>
  <c r="B117" i="34"/>
  <c r="B116" i="34"/>
  <c r="B114" i="34"/>
  <c r="B113" i="34"/>
  <c r="B112" i="34"/>
  <c r="C30" i="10" s="1"/>
  <c r="B111" i="34"/>
  <c r="C31" i="10" s="1"/>
  <c r="B110" i="34"/>
  <c r="C29" i="10" s="1"/>
  <c r="B73" i="34"/>
  <c r="B72" i="34"/>
  <c r="B71" i="34"/>
  <c r="B70" i="34"/>
  <c r="C64" i="34"/>
  <c r="C61" i="34"/>
  <c r="B61" i="34"/>
  <c r="R206" i="50"/>
  <c r="B59" i="34"/>
  <c r="C60" i="34" s="1"/>
  <c r="B58" i="34"/>
  <c r="J53" i="34"/>
  <c r="I53" i="34"/>
  <c r="H53" i="34"/>
  <c r="E53" i="34"/>
  <c r="D53" i="34"/>
  <c r="C53" i="34"/>
  <c r="E52" i="34"/>
  <c r="D52" i="34"/>
  <c r="C52" i="34"/>
  <c r="B52" i="34"/>
  <c r="E51" i="34"/>
  <c r="D51" i="34"/>
  <c r="C51" i="34"/>
  <c r="B51" i="34"/>
  <c r="B50" i="34"/>
  <c r="H422" i="43" s="1"/>
  <c r="C49" i="34"/>
  <c r="B49" i="34"/>
  <c r="E48" i="34"/>
  <c r="C48" i="34"/>
  <c r="B48" i="34"/>
  <c r="E47" i="34"/>
  <c r="D47" i="34"/>
  <c r="C47" i="34"/>
  <c r="B47" i="34"/>
  <c r="F46" i="34"/>
  <c r="E46" i="34"/>
  <c r="D46" i="34"/>
  <c r="B46" i="34"/>
  <c r="B42" i="34"/>
  <c r="B20" i="34"/>
  <c r="B19" i="34"/>
  <c r="B28" i="34" s="1"/>
  <c r="B18" i="34"/>
  <c r="B17" i="34"/>
  <c r="B16" i="34"/>
  <c r="B15" i="34"/>
  <c r="B14" i="34"/>
  <c r="B13" i="34"/>
  <c r="B12" i="34"/>
  <c r="B11" i="34"/>
  <c r="C10" i="34"/>
  <c r="E37" i="43" s="1"/>
  <c r="B10" i="34"/>
  <c r="E33" i="43" s="1"/>
  <c r="C9" i="34"/>
  <c r="B9" i="34"/>
  <c r="C1" i="34"/>
  <c r="B1" i="34"/>
  <c r="A1" i="34"/>
  <c r="E2495" i="50"/>
  <c r="D2493" i="50"/>
  <c r="D2472" i="50"/>
  <c r="E2470" i="50"/>
  <c r="E2469" i="50"/>
  <c r="E2467" i="50"/>
  <c r="E2465" i="50"/>
  <c r="E2463" i="50"/>
  <c r="E2461" i="50"/>
  <c r="E2459" i="50"/>
  <c r="E2457" i="50"/>
  <c r="D2445" i="50"/>
  <c r="D2441" i="50"/>
  <c r="D2420" i="50"/>
  <c r="E2418" i="50"/>
  <c r="E2414" i="50"/>
  <c r="E2413" i="50"/>
  <c r="E2412" i="50"/>
  <c r="E2410" i="50"/>
  <c r="E2408" i="50"/>
  <c r="E2407" i="50"/>
  <c r="D2406" i="50"/>
  <c r="D2404" i="50"/>
  <c r="F2402" i="50"/>
  <c r="F2401" i="50"/>
  <c r="F2400" i="50"/>
  <c r="E2399" i="50"/>
  <c r="D2397" i="50"/>
  <c r="C54" i="9" s="1"/>
  <c r="E1851" i="50"/>
  <c r="E1850" i="50"/>
  <c r="E1849" i="50"/>
  <c r="E1848" i="50"/>
  <c r="E1847" i="50"/>
  <c r="E1846" i="50"/>
  <c r="E1845" i="50"/>
  <c r="E1844" i="50"/>
  <c r="E1843" i="50"/>
  <c r="E1842" i="50"/>
  <c r="E1840" i="50"/>
  <c r="E1833" i="50"/>
  <c r="E1832" i="50"/>
  <c r="E1831" i="50"/>
  <c r="E1828" i="50"/>
  <c r="E1825" i="50"/>
  <c r="E1820" i="50"/>
  <c r="E1819" i="50"/>
  <c r="I1818" i="50"/>
  <c r="E1818" i="50"/>
  <c r="M1784" i="50"/>
  <c r="L1784" i="50"/>
  <c r="K1784" i="50"/>
  <c r="J1784" i="50"/>
  <c r="H1784" i="50"/>
  <c r="E612" i="50"/>
  <c r="E609" i="50"/>
  <c r="E607" i="50"/>
  <c r="E606" i="50"/>
  <c r="E604" i="50"/>
  <c r="E603" i="50"/>
  <c r="E602" i="50"/>
  <c r="E601" i="50"/>
  <c r="E600" i="50"/>
  <c r="E599" i="50"/>
  <c r="E598" i="50"/>
  <c r="E597" i="50"/>
  <c r="E596" i="50"/>
  <c r="E595" i="50"/>
  <c r="E593" i="50"/>
  <c r="E592" i="50"/>
  <c r="E590" i="50"/>
  <c r="E589" i="50"/>
  <c r="E587" i="50"/>
  <c r="E586" i="50"/>
  <c r="E584" i="50"/>
  <c r="E583" i="50"/>
  <c r="E582" i="50"/>
  <c r="E581" i="50"/>
  <c r="E579" i="50"/>
  <c r="E578" i="50"/>
  <c r="E576" i="50"/>
  <c r="M502" i="50"/>
  <c r="L502" i="50"/>
  <c r="K502" i="50"/>
  <c r="J502" i="50"/>
  <c r="H502" i="50"/>
  <c r="D498" i="50"/>
  <c r="F496" i="50"/>
  <c r="D496" i="50"/>
  <c r="F494" i="50"/>
  <c r="D494" i="50"/>
  <c r="F493" i="50"/>
  <c r="D493" i="50"/>
  <c r="F492" i="50"/>
  <c r="D492" i="50"/>
  <c r="F490" i="50"/>
  <c r="D490" i="50"/>
  <c r="F489" i="50"/>
  <c r="F488" i="50"/>
  <c r="F487" i="50"/>
  <c r="D487" i="50"/>
  <c r="F486" i="50"/>
  <c r="D486" i="50"/>
  <c r="F485" i="50"/>
  <c r="D485" i="50"/>
  <c r="F484" i="50"/>
  <c r="D484" i="50"/>
  <c r="F483" i="50"/>
  <c r="D483" i="50"/>
  <c r="F482" i="50"/>
  <c r="D482" i="50"/>
  <c r="F480" i="50"/>
  <c r="D480" i="50"/>
  <c r="D479" i="50"/>
  <c r="D477" i="50"/>
  <c r="D475" i="50"/>
  <c r="C53" i="9" s="1"/>
  <c r="G368" i="50"/>
  <c r="D367" i="50"/>
  <c r="D257" i="50"/>
  <c r="E238" i="50"/>
  <c r="E236" i="50"/>
  <c r="E235" i="50"/>
  <c r="E234" i="50"/>
  <c r="E233" i="50"/>
  <c r="E231" i="50"/>
  <c r="D218" i="50"/>
  <c r="E213" i="50"/>
  <c r="E211" i="50"/>
  <c r="E210" i="50"/>
  <c r="E201" i="50"/>
  <c r="E199" i="50"/>
  <c r="E198" i="50"/>
  <c r="G196" i="50"/>
  <c r="D192" i="50"/>
  <c r="E185" i="50"/>
  <c r="E183" i="50"/>
  <c r="E182" i="50"/>
  <c r="E179" i="50"/>
  <c r="E174" i="50"/>
  <c r="E169" i="50"/>
  <c r="E167" i="50"/>
  <c r="E160" i="50"/>
  <c r="E158" i="50"/>
  <c r="E157" i="50"/>
  <c r="E154" i="50"/>
  <c r="E149" i="50"/>
  <c r="E144" i="50"/>
  <c r="E142" i="50"/>
  <c r="D140" i="50"/>
  <c r="E115" i="50"/>
  <c r="E138" i="50" s="1"/>
  <c r="E94" i="50"/>
  <c r="E117" i="50" s="1"/>
  <c r="E93" i="50"/>
  <c r="E92" i="50"/>
  <c r="F91" i="50"/>
  <c r="F90" i="50"/>
  <c r="E89" i="50"/>
  <c r="F88" i="50"/>
  <c r="F87" i="50"/>
  <c r="F86" i="50"/>
  <c r="F85" i="50"/>
  <c r="F84" i="50"/>
  <c r="F83" i="50"/>
  <c r="F82" i="50"/>
  <c r="F81" i="50"/>
  <c r="F80" i="50"/>
  <c r="E79" i="50"/>
  <c r="E78" i="50"/>
  <c r="D76" i="50"/>
  <c r="D59" i="50"/>
  <c r="D57" i="50"/>
  <c r="C52" i="9" s="1"/>
  <c r="E55" i="50"/>
  <c r="D49" i="50"/>
  <c r="D47" i="50"/>
  <c r="C51" i="9" s="1"/>
  <c r="L35" i="50"/>
  <c r="I35" i="50"/>
  <c r="E35" i="50"/>
  <c r="D34" i="50"/>
  <c r="I32" i="50"/>
  <c r="L31" i="50"/>
  <c r="I31" i="50"/>
  <c r="L30" i="50"/>
  <c r="I30" i="50"/>
  <c r="L29" i="50"/>
  <c r="I29" i="50"/>
  <c r="E29" i="50"/>
  <c r="E21" i="50"/>
  <c r="L19" i="50"/>
  <c r="E19" i="50"/>
  <c r="L18" i="50"/>
  <c r="E18" i="50"/>
  <c r="E16" i="50"/>
  <c r="E15" i="50"/>
  <c r="E14" i="50"/>
  <c r="L13" i="50"/>
  <c r="E13" i="50"/>
  <c r="E12" i="50"/>
  <c r="D10" i="50"/>
  <c r="D8" i="50"/>
  <c r="C50" i="9" s="1"/>
  <c r="D6" i="50"/>
  <c r="C49" i="9" s="1"/>
  <c r="G4" i="50"/>
  <c r="E4" i="50"/>
  <c r="M3" i="50"/>
  <c r="K3" i="50"/>
  <c r="I3" i="50"/>
  <c r="G3" i="50"/>
  <c r="E3" i="50"/>
  <c r="I2" i="50"/>
  <c r="G2" i="50"/>
  <c r="E2" i="50"/>
  <c r="B2" i="50"/>
  <c r="C51" i="51"/>
  <c r="C49" i="51"/>
  <c r="C48" i="9" s="1"/>
  <c r="F38" i="51"/>
  <c r="D38" i="51"/>
  <c r="C36" i="51"/>
  <c r="C35" i="51"/>
  <c r="K27" i="51"/>
  <c r="I27" i="51"/>
  <c r="H27" i="51"/>
  <c r="F27" i="51"/>
  <c r="D27" i="51"/>
  <c r="C27" i="51"/>
  <c r="C25" i="51"/>
  <c r="C24" i="51"/>
  <c r="F19" i="51"/>
  <c r="D19" i="51"/>
  <c r="C17" i="51"/>
  <c r="C16" i="51"/>
  <c r="C14" i="51"/>
  <c r="C13" i="51"/>
  <c r="C12" i="51"/>
  <c r="C11" i="51"/>
  <c r="C10" i="51"/>
  <c r="C9" i="51"/>
  <c r="C7" i="51"/>
  <c r="C47" i="9" s="1"/>
  <c r="C5" i="51"/>
  <c r="C46" i="9" s="1"/>
  <c r="D3" i="51"/>
  <c r="D2" i="51"/>
  <c r="L1" i="51"/>
  <c r="J1" i="51"/>
  <c r="H1" i="51"/>
  <c r="F1" i="51"/>
  <c r="D1" i="51"/>
  <c r="A1" i="51"/>
  <c r="C30" i="53"/>
  <c r="C7" i="53"/>
  <c r="C45" i="9" s="1"/>
  <c r="C5" i="53"/>
  <c r="C44" i="9" s="1"/>
  <c r="D3" i="53"/>
  <c r="D2" i="53"/>
  <c r="L1" i="53"/>
  <c r="J1" i="53"/>
  <c r="H1" i="53"/>
  <c r="F1" i="53"/>
  <c r="D1" i="53"/>
  <c r="A1" i="53"/>
  <c r="D481" i="47"/>
  <c r="E475" i="47"/>
  <c r="E472" i="47"/>
  <c r="E469" i="47"/>
  <c r="E467" i="47"/>
  <c r="I466" i="47"/>
  <c r="E466" i="47"/>
  <c r="E460" i="47"/>
  <c r="E459" i="47"/>
  <c r="E458" i="47"/>
  <c r="E457" i="47"/>
  <c r="E456" i="47"/>
  <c r="E455" i="47"/>
  <c r="E454" i="47"/>
  <c r="E453" i="47"/>
  <c r="E450" i="47"/>
  <c r="E449" i="47"/>
  <c r="F447" i="47"/>
  <c r="F446" i="47"/>
  <c r="F445" i="47"/>
  <c r="F444" i="47"/>
  <c r="E443" i="47"/>
  <c r="E442" i="47"/>
  <c r="D440" i="47"/>
  <c r="D438" i="47"/>
  <c r="C43" i="9" s="1"/>
  <c r="E434" i="47"/>
  <c r="E432" i="47"/>
  <c r="E431" i="47"/>
  <c r="E430" i="47"/>
  <c r="E428" i="47"/>
  <c r="E427" i="47"/>
  <c r="E426" i="47"/>
  <c r="E425" i="47"/>
  <c r="E424" i="47"/>
  <c r="E422" i="47"/>
  <c r="E421" i="47"/>
  <c r="E420" i="47"/>
  <c r="E417" i="47"/>
  <c r="E416" i="47"/>
  <c r="E414" i="47"/>
  <c r="E413" i="47"/>
  <c r="D411" i="47"/>
  <c r="D409" i="47"/>
  <c r="C42" i="9" s="1"/>
  <c r="E405" i="47"/>
  <c r="E403" i="47"/>
  <c r="E402" i="47"/>
  <c r="E401" i="47"/>
  <c r="E400" i="47"/>
  <c r="E398" i="47"/>
  <c r="E396" i="47"/>
  <c r="E395" i="47"/>
  <c r="E394" i="47"/>
  <c r="E392" i="47"/>
  <c r="E390" i="47"/>
  <c r="E389" i="47"/>
  <c r="E388" i="47"/>
  <c r="E385" i="47"/>
  <c r="E384" i="47"/>
  <c r="E382" i="47"/>
  <c r="E381" i="47"/>
  <c r="E380" i="47"/>
  <c r="D378" i="47"/>
  <c r="D376" i="47"/>
  <c r="C41" i="9" s="1"/>
  <c r="E296" i="47"/>
  <c r="E294" i="47"/>
  <c r="E292" i="47"/>
  <c r="E290" i="47"/>
  <c r="E288" i="47"/>
  <c r="E287" i="47"/>
  <c r="E286" i="47"/>
  <c r="E283" i="47"/>
  <c r="E282" i="47"/>
  <c r="E280" i="47"/>
  <c r="E279" i="47"/>
  <c r="E278" i="47"/>
  <c r="D276" i="47"/>
  <c r="C40" i="9"/>
  <c r="E270" i="47"/>
  <c r="E268" i="47"/>
  <c r="E267" i="47"/>
  <c r="E266" i="47"/>
  <c r="E265" i="47"/>
  <c r="E264" i="47"/>
  <c r="E262" i="47"/>
  <c r="E261" i="47"/>
  <c r="E260" i="47"/>
  <c r="E259" i="47"/>
  <c r="E258" i="47"/>
  <c r="E257" i="47"/>
  <c r="E256" i="47"/>
  <c r="E255" i="47"/>
  <c r="G254" i="47"/>
  <c r="F254" i="47"/>
  <c r="E254" i="47"/>
  <c r="E252" i="47"/>
  <c r="F251" i="47"/>
  <c r="F250" i="47"/>
  <c r="E249" i="47"/>
  <c r="E248" i="47"/>
  <c r="E247" i="47"/>
  <c r="E246" i="47"/>
  <c r="E243" i="47"/>
  <c r="E242" i="47"/>
  <c r="E240" i="47"/>
  <c r="E239" i="47"/>
  <c r="E238" i="47"/>
  <c r="D236" i="47"/>
  <c r="D234" i="47"/>
  <c r="C39" i="9" s="1"/>
  <c r="E213" i="47"/>
  <c r="E212" i="47"/>
  <c r="E210" i="47"/>
  <c r="E209" i="47"/>
  <c r="E208" i="47"/>
  <c r="F207" i="47"/>
  <c r="E207" i="47"/>
  <c r="E206" i="47"/>
  <c r="E205" i="47"/>
  <c r="E203" i="47"/>
  <c r="E202" i="47"/>
  <c r="E201" i="47"/>
  <c r="D199" i="47"/>
  <c r="E197" i="47"/>
  <c r="E195" i="47"/>
  <c r="E194" i="47"/>
  <c r="E193" i="47"/>
  <c r="E191" i="47"/>
  <c r="E190" i="47"/>
  <c r="E189" i="47"/>
  <c r="E188" i="47"/>
  <c r="F187" i="47"/>
  <c r="F186" i="47"/>
  <c r="F185" i="47"/>
  <c r="E184" i="47"/>
  <c r="E183" i="47"/>
  <c r="E181" i="47"/>
  <c r="E179" i="47"/>
  <c r="E178" i="47"/>
  <c r="E175" i="47"/>
  <c r="E174" i="47"/>
  <c r="E172" i="47"/>
  <c r="E171" i="47"/>
  <c r="D169" i="47"/>
  <c r="D167" i="47"/>
  <c r="M3" i="47" s="1"/>
  <c r="E163" i="47"/>
  <c r="E161" i="47"/>
  <c r="E160" i="47"/>
  <c r="E159" i="47"/>
  <c r="E157" i="47"/>
  <c r="E156" i="47"/>
  <c r="F153" i="47"/>
  <c r="F151" i="47"/>
  <c r="E150" i="47"/>
  <c r="E149" i="47"/>
  <c r="E147" i="47"/>
  <c r="E145" i="47"/>
  <c r="E144" i="47"/>
  <c r="E141" i="47"/>
  <c r="E140" i="47"/>
  <c r="E138" i="47"/>
  <c r="E137" i="47"/>
  <c r="D135" i="47"/>
  <c r="D133" i="47"/>
  <c r="K3" i="47" s="1"/>
  <c r="E129" i="47"/>
  <c r="E127" i="47"/>
  <c r="E126" i="47"/>
  <c r="E125" i="47"/>
  <c r="E123" i="47"/>
  <c r="E122" i="47"/>
  <c r="F119" i="47"/>
  <c r="F117" i="47"/>
  <c r="E116" i="47"/>
  <c r="E115" i="47"/>
  <c r="E113" i="47"/>
  <c r="E111" i="47"/>
  <c r="E110" i="47"/>
  <c r="E107" i="47"/>
  <c r="E106" i="47"/>
  <c r="E104" i="47"/>
  <c r="E103" i="47"/>
  <c r="D101" i="47"/>
  <c r="D99" i="47"/>
  <c r="E95" i="47"/>
  <c r="E93" i="47"/>
  <c r="E92" i="47"/>
  <c r="E91" i="47"/>
  <c r="E90" i="47"/>
  <c r="E89" i="47"/>
  <c r="E87" i="47"/>
  <c r="E86" i="47"/>
  <c r="E85" i="47"/>
  <c r="E84" i="47"/>
  <c r="E83" i="47"/>
  <c r="E82" i="47"/>
  <c r="E81" i="47"/>
  <c r="E80" i="47"/>
  <c r="E79" i="47"/>
  <c r="E78" i="47"/>
  <c r="E77" i="47"/>
  <c r="E76" i="47"/>
  <c r="E75" i="47"/>
  <c r="E74" i="47"/>
  <c r="E73" i="47"/>
  <c r="E72" i="47"/>
  <c r="E71" i="47"/>
  <c r="E70" i="47"/>
  <c r="E69" i="47"/>
  <c r="E68" i="47"/>
  <c r="E67" i="47"/>
  <c r="E66" i="47"/>
  <c r="E65" i="47"/>
  <c r="E64" i="47"/>
  <c r="E63" i="47"/>
  <c r="E62" i="47"/>
  <c r="E61" i="47"/>
  <c r="E60" i="47"/>
  <c r="E59" i="47"/>
  <c r="E58" i="47"/>
  <c r="E57" i="47"/>
  <c r="E56" i="47"/>
  <c r="E55" i="47"/>
  <c r="E54" i="47"/>
  <c r="E53" i="47"/>
  <c r="E52" i="47"/>
  <c r="E51" i="47"/>
  <c r="E50" i="47"/>
  <c r="E49" i="47"/>
  <c r="E48" i="47"/>
  <c r="E47" i="47"/>
  <c r="E46" i="47"/>
  <c r="E45" i="47"/>
  <c r="E44" i="47"/>
  <c r="E43" i="47"/>
  <c r="E42" i="47"/>
  <c r="E41" i="47"/>
  <c r="E40" i="47"/>
  <c r="E39" i="47"/>
  <c r="E38" i="47"/>
  <c r="E37" i="47"/>
  <c r="E36" i="47"/>
  <c r="E35" i="47"/>
  <c r="E34" i="47"/>
  <c r="E33" i="47"/>
  <c r="E32" i="47"/>
  <c r="G31" i="47"/>
  <c r="F31" i="47"/>
  <c r="E31" i="47"/>
  <c r="E29" i="47"/>
  <c r="F28" i="47"/>
  <c r="F27" i="47"/>
  <c r="F26" i="47"/>
  <c r="F25" i="47"/>
  <c r="E24" i="47"/>
  <c r="E23" i="47"/>
  <c r="E22" i="47"/>
  <c r="E21" i="47"/>
  <c r="E18" i="47"/>
  <c r="E17" i="47"/>
  <c r="E15" i="47"/>
  <c r="E14" i="47"/>
  <c r="E13" i="47"/>
  <c r="D11" i="47"/>
  <c r="D9" i="47"/>
  <c r="G3" i="47" s="1"/>
  <c r="D7" i="47"/>
  <c r="C34" i="9" s="1"/>
  <c r="E4" i="47"/>
  <c r="E3" i="47"/>
  <c r="P2" i="47"/>
  <c r="M2" i="47"/>
  <c r="K2" i="47"/>
  <c r="I2" i="47"/>
  <c r="G2" i="47"/>
  <c r="E2" i="47"/>
  <c r="B2" i="47"/>
  <c r="D1832" i="42"/>
  <c r="E232" i="42"/>
  <c r="E230" i="42"/>
  <c r="E229" i="42"/>
  <c r="E228" i="42"/>
  <c r="E226" i="42"/>
  <c r="E225" i="42"/>
  <c r="E224" i="42"/>
  <c r="E222" i="42"/>
  <c r="E221" i="42"/>
  <c r="E220" i="42"/>
  <c r="E218" i="42"/>
  <c r="E217" i="42"/>
  <c r="E216" i="42"/>
  <c r="E214" i="42"/>
  <c r="E213" i="42"/>
  <c r="E212" i="42"/>
  <c r="E211" i="42"/>
  <c r="E210" i="42"/>
  <c r="E209" i="42"/>
  <c r="F208" i="42"/>
  <c r="F207" i="42"/>
  <c r="F206" i="42"/>
  <c r="F205" i="42"/>
  <c r="F204" i="42"/>
  <c r="E203" i="42"/>
  <c r="E202" i="42"/>
  <c r="E201" i="42"/>
  <c r="E197" i="42"/>
  <c r="E196" i="42"/>
  <c r="E195" i="42"/>
  <c r="E194" i="42"/>
  <c r="E186" i="42"/>
  <c r="E185" i="42"/>
  <c r="E182" i="42"/>
  <c r="E181" i="42"/>
  <c r="E180" i="42"/>
  <c r="E179" i="42"/>
  <c r="E178" i="42"/>
  <c r="E173" i="42"/>
  <c r="F172" i="42"/>
  <c r="F171" i="42"/>
  <c r="F170" i="42"/>
  <c r="F169" i="42"/>
  <c r="F168" i="42"/>
  <c r="E167" i="42"/>
  <c r="E166" i="42"/>
  <c r="E165" i="42"/>
  <c r="E163" i="42"/>
  <c r="E161" i="42"/>
  <c r="E160" i="42"/>
  <c r="E159" i="42"/>
  <c r="D155" i="42"/>
  <c r="E150" i="42"/>
  <c r="E145" i="42"/>
  <c r="E144" i="42"/>
  <c r="E97" i="42"/>
  <c r="E96" i="42"/>
  <c r="E80" i="42"/>
  <c r="E77" i="42"/>
  <c r="E62" i="42"/>
  <c r="I50" i="42"/>
  <c r="E66" i="42" s="1"/>
  <c r="G50" i="42"/>
  <c r="E50" i="42"/>
  <c r="E46" i="42"/>
  <c r="E45" i="42"/>
  <c r="E43" i="42"/>
  <c r="E42" i="42"/>
  <c r="F41" i="42"/>
  <c r="F40" i="42"/>
  <c r="F39" i="42"/>
  <c r="E38" i="42"/>
  <c r="E37" i="42"/>
  <c r="D35" i="42"/>
  <c r="E31" i="42"/>
  <c r="E29" i="42"/>
  <c r="I28" i="42"/>
  <c r="E28" i="42"/>
  <c r="E23" i="42"/>
  <c r="E20" i="42"/>
  <c r="E19" i="42"/>
  <c r="E18" i="42"/>
  <c r="E17" i="42"/>
  <c r="E15" i="42"/>
  <c r="D11" i="42"/>
  <c r="C33" i="9" s="1"/>
  <c r="E9" i="42"/>
  <c r="D7" i="42"/>
  <c r="C32" i="9" s="1"/>
  <c r="E4" i="42"/>
  <c r="E3" i="42"/>
  <c r="P2" i="42"/>
  <c r="M2" i="42"/>
  <c r="K2" i="42"/>
  <c r="I2" i="42"/>
  <c r="G2" i="42"/>
  <c r="E2" i="42"/>
  <c r="B2" i="42"/>
  <c r="D2823" i="37"/>
  <c r="E288" i="37"/>
  <c r="E287" i="37"/>
  <c r="E283" i="37"/>
  <c r="E279" i="37"/>
  <c r="E277" i="37"/>
  <c r="E276" i="37"/>
  <c r="E275" i="37"/>
  <c r="E274" i="37"/>
  <c r="E271" i="37"/>
  <c r="E270" i="37"/>
  <c r="E269" i="37"/>
  <c r="E268" i="37"/>
  <c r="E266" i="37"/>
  <c r="E264" i="37"/>
  <c r="E263" i="37"/>
  <c r="E262" i="37"/>
  <c r="E260" i="37"/>
  <c r="E259" i="37"/>
  <c r="E258" i="37"/>
  <c r="E257" i="37"/>
  <c r="E255" i="37"/>
  <c r="E254" i="37"/>
  <c r="E253" i="37"/>
  <c r="E251" i="37"/>
  <c r="E250" i="37"/>
  <c r="E249" i="37"/>
  <c r="E248" i="37"/>
  <c r="E246" i="37"/>
  <c r="E245" i="37"/>
  <c r="E244" i="37"/>
  <c r="E241" i="37"/>
  <c r="E240" i="37"/>
  <c r="E237" i="37"/>
  <c r="E234" i="37"/>
  <c r="E232" i="37"/>
  <c r="I231" i="37"/>
  <c r="E231" i="37"/>
  <c r="E228" i="37"/>
  <c r="E226" i="37"/>
  <c r="E225" i="37"/>
  <c r="E224" i="37"/>
  <c r="E223" i="37"/>
  <c r="E221" i="37"/>
  <c r="E220" i="37"/>
  <c r="E219" i="37"/>
  <c r="E218" i="37"/>
  <c r="E216" i="37"/>
  <c r="E215" i="37"/>
  <c r="E214" i="37"/>
  <c r="E213" i="37"/>
  <c r="E211" i="37"/>
  <c r="E210" i="37"/>
  <c r="E209" i="37"/>
  <c r="E207" i="37"/>
  <c r="E206" i="37"/>
  <c r="E205" i="37"/>
  <c r="E204" i="37"/>
  <c r="E202" i="37"/>
  <c r="E201" i="37"/>
  <c r="E200" i="37"/>
  <c r="E199" i="37"/>
  <c r="E198" i="37"/>
  <c r="E196" i="37"/>
  <c r="E194" i="37"/>
  <c r="E193" i="37"/>
  <c r="E192" i="37"/>
  <c r="E190" i="37"/>
  <c r="E189" i="37"/>
  <c r="E188" i="37"/>
  <c r="E186" i="37"/>
  <c r="E185" i="37"/>
  <c r="E184" i="37"/>
  <c r="E183" i="37"/>
  <c r="E182" i="37"/>
  <c r="E181" i="37"/>
  <c r="E180" i="37"/>
  <c r="E179" i="37"/>
  <c r="E178" i="37"/>
  <c r="E176" i="37"/>
  <c r="E174" i="37"/>
  <c r="E173" i="37"/>
  <c r="E172" i="37"/>
  <c r="E171" i="37"/>
  <c r="E169" i="37"/>
  <c r="E168" i="37"/>
  <c r="E167" i="37"/>
  <c r="E166" i="37"/>
  <c r="E165" i="37"/>
  <c r="E164" i="37"/>
  <c r="E163" i="37"/>
  <c r="E162" i="37"/>
  <c r="E161" i="37"/>
  <c r="E159" i="37"/>
  <c r="E157" i="37"/>
  <c r="E156" i="37"/>
  <c r="E155" i="37"/>
  <c r="E154" i="37"/>
  <c r="E153" i="37"/>
  <c r="E152" i="37"/>
  <c r="E151" i="37"/>
  <c r="E150" i="37"/>
  <c r="E149" i="37"/>
  <c r="E147" i="37"/>
  <c r="E146" i="37"/>
  <c r="E145" i="37"/>
  <c r="E144" i="37"/>
  <c r="E143" i="37"/>
  <c r="E142" i="37"/>
  <c r="E141" i="37"/>
  <c r="E140" i="37"/>
  <c r="E139" i="37"/>
  <c r="E138" i="37"/>
  <c r="E136" i="37"/>
  <c r="E133" i="37"/>
  <c r="E126" i="37"/>
  <c r="F125" i="37"/>
  <c r="F124" i="37"/>
  <c r="F123" i="37"/>
  <c r="F122" i="37"/>
  <c r="F121" i="37"/>
  <c r="F120" i="37"/>
  <c r="F119" i="37"/>
  <c r="E118" i="37"/>
  <c r="E117" i="37"/>
  <c r="E116" i="37"/>
  <c r="E114" i="37"/>
  <c r="E111" i="37"/>
  <c r="E110" i="37"/>
  <c r="E109" i="37"/>
  <c r="D105" i="37"/>
  <c r="E102" i="37"/>
  <c r="F91" i="37"/>
  <c r="E89" i="37"/>
  <c r="E84" i="37"/>
  <c r="E83" i="37"/>
  <c r="E81" i="37"/>
  <c r="D79" i="37"/>
  <c r="E76" i="37"/>
  <c r="E75" i="37"/>
  <c r="E72" i="37"/>
  <c r="E69" i="37"/>
  <c r="E67" i="37"/>
  <c r="I66" i="37"/>
  <c r="E66" i="37"/>
  <c r="E64" i="37"/>
  <c r="E62" i="37"/>
  <c r="E61" i="37"/>
  <c r="E60" i="37"/>
  <c r="E59" i="37"/>
  <c r="E58" i="37"/>
  <c r="E57" i="37"/>
  <c r="E56" i="37"/>
  <c r="E55" i="37"/>
  <c r="E54" i="37"/>
  <c r="E52" i="37"/>
  <c r="E51" i="37"/>
  <c r="D47" i="37"/>
  <c r="F31" i="37"/>
  <c r="E30" i="37"/>
  <c r="E29" i="37"/>
  <c r="E28" i="37"/>
  <c r="E26" i="37"/>
  <c r="E25" i="37"/>
  <c r="E23" i="37"/>
  <c r="E22" i="37"/>
  <c r="E20" i="37"/>
  <c r="E19" i="37"/>
  <c r="E18" i="37"/>
  <c r="E17" i="37"/>
  <c r="E16" i="37"/>
  <c r="E14" i="37"/>
  <c r="D11" i="37"/>
  <c r="C31" i="9" s="1"/>
  <c r="E9" i="37"/>
  <c r="D7" i="37"/>
  <c r="C30" i="9" s="1"/>
  <c r="E4" i="37"/>
  <c r="E3" i="37"/>
  <c r="P2" i="37"/>
  <c r="M2" i="37"/>
  <c r="K2" i="37"/>
  <c r="I2" i="37"/>
  <c r="G2" i="37"/>
  <c r="E2" i="37"/>
  <c r="B2" i="37"/>
  <c r="D419" i="41"/>
  <c r="E416" i="41"/>
  <c r="E412" i="41"/>
  <c r="E473" i="50" s="1"/>
  <c r="E411" i="41"/>
  <c r="E409" i="41"/>
  <c r="E472" i="50" s="1"/>
  <c r="E408" i="41"/>
  <c r="E406" i="41"/>
  <c r="E471" i="50" s="1"/>
  <c r="E405" i="41"/>
  <c r="E403" i="41"/>
  <c r="E470" i="50" s="1"/>
  <c r="E402" i="41"/>
  <c r="E400" i="41"/>
  <c r="E469" i="50" s="1"/>
  <c r="E399" i="41"/>
  <c r="E468" i="50" s="1"/>
  <c r="E396" i="41"/>
  <c r="E395" i="41"/>
  <c r="E392" i="41"/>
  <c r="E465" i="50" s="1"/>
  <c r="D390" i="41"/>
  <c r="D463" i="50" s="1"/>
  <c r="D388" i="41"/>
  <c r="C29" i="9" s="1"/>
  <c r="E386" i="41"/>
  <c r="E461" i="50" s="1"/>
  <c r="E385" i="41"/>
  <c r="E460" i="50" s="1"/>
  <c r="E384" i="41"/>
  <c r="E383" i="41"/>
  <c r="E459" i="50" s="1"/>
  <c r="E377" i="41"/>
  <c r="E457" i="50" s="1"/>
  <c r="E376" i="41"/>
  <c r="E456" i="50" s="1"/>
  <c r="E365" i="41"/>
  <c r="E445" i="50" s="1"/>
  <c r="E364" i="41"/>
  <c r="E363" i="41"/>
  <c r="E362" i="41"/>
  <c r="E444" i="50" s="1"/>
  <c r="E360" i="41"/>
  <c r="E442" i="50" s="1"/>
  <c r="E359" i="41"/>
  <c r="E441" i="50" s="1"/>
  <c r="E357" i="41"/>
  <c r="E439" i="50" s="1"/>
  <c r="E349" i="41"/>
  <c r="E433" i="50" s="1"/>
  <c r="E348" i="41"/>
  <c r="E347" i="41"/>
  <c r="E432" i="50" s="1"/>
  <c r="E345" i="41"/>
  <c r="E430" i="50" s="1"/>
  <c r="E334" i="41"/>
  <c r="E419" i="50" s="1"/>
  <c r="E333" i="41"/>
  <c r="E332" i="41"/>
  <c r="E418" i="50" s="1"/>
  <c r="E330" i="41"/>
  <c r="E416" i="50" s="1"/>
  <c r="E329" i="41"/>
  <c r="E415" i="50" s="1"/>
  <c r="E327" i="41"/>
  <c r="E413" i="50" s="1"/>
  <c r="E323" i="41"/>
  <c r="E409" i="50" s="1"/>
  <c r="E322" i="41"/>
  <c r="E321" i="41"/>
  <c r="E408" i="50" s="1"/>
  <c r="E319" i="41"/>
  <c r="E406" i="50" s="1"/>
  <c r="E315" i="41"/>
  <c r="E402" i="50" s="1"/>
  <c r="E314" i="41"/>
  <c r="E313" i="41"/>
  <c r="E312" i="41"/>
  <c r="E401" i="50" s="1"/>
  <c r="E310" i="41"/>
  <c r="E399" i="50" s="1"/>
  <c r="E309" i="41"/>
  <c r="E398" i="50" s="1"/>
  <c r="E305" i="41"/>
  <c r="E396" i="50" s="1"/>
  <c r="E304" i="41"/>
  <c r="E395" i="50" s="1"/>
  <c r="E303" i="41"/>
  <c r="E394" i="50" s="1"/>
  <c r="E302" i="41"/>
  <c r="E393" i="50" s="1"/>
  <c r="E301" i="41"/>
  <c r="E300" i="41"/>
  <c r="E299" i="41"/>
  <c r="E392" i="50" s="1"/>
  <c r="E297" i="41"/>
  <c r="E390" i="50" s="1"/>
  <c r="E286" i="41"/>
  <c r="E379" i="50" s="1"/>
  <c r="E285" i="41"/>
  <c r="E284" i="41"/>
  <c r="E378" i="50" s="1"/>
  <c r="E282" i="41"/>
  <c r="E280" i="41"/>
  <c r="D278" i="41"/>
  <c r="D277" i="41"/>
  <c r="D276" i="41"/>
  <c r="D376" i="50" s="1"/>
  <c r="D274" i="41"/>
  <c r="C28" i="9" s="1"/>
  <c r="E266" i="41"/>
  <c r="E261" i="41"/>
  <c r="E259" i="41"/>
  <c r="E258" i="41"/>
  <c r="E257" i="41"/>
  <c r="E256" i="41"/>
  <c r="E254" i="41"/>
  <c r="E253" i="41"/>
  <c r="E252" i="41"/>
  <c r="E250" i="41"/>
  <c r="E365" i="50" s="1"/>
  <c r="E248" i="41"/>
  <c r="E247" i="41"/>
  <c r="E246" i="41"/>
  <c r="E363" i="50" s="1"/>
  <c r="E244" i="41"/>
  <c r="E361" i="50" s="1"/>
  <c r="E243" i="41"/>
  <c r="E360" i="50" s="1"/>
  <c r="E241" i="41"/>
  <c r="E358" i="50" s="1"/>
  <c r="E240" i="41"/>
  <c r="E357" i="50" s="1"/>
  <c r="E238" i="41"/>
  <c r="E237" i="41"/>
  <c r="E236" i="41"/>
  <c r="E355" i="50" s="1"/>
  <c r="E234" i="41"/>
  <c r="E353" i="50" s="1"/>
  <c r="E228" i="41"/>
  <c r="E347" i="50" s="1"/>
  <c r="E227" i="41"/>
  <c r="E226" i="41"/>
  <c r="E225" i="41"/>
  <c r="E346" i="50" s="1"/>
  <c r="E223" i="41"/>
  <c r="E344" i="50" s="1"/>
  <c r="E222" i="41"/>
  <c r="E221" i="41"/>
  <c r="E343" i="50" s="1"/>
  <c r="E219" i="41"/>
  <c r="E341" i="50" s="1"/>
  <c r="E218" i="41"/>
  <c r="E340" i="50" s="1"/>
  <c r="E216" i="41"/>
  <c r="E338" i="50" s="1"/>
  <c r="E215" i="41"/>
  <c r="E337" i="50" s="1"/>
  <c r="E214" i="41"/>
  <c r="E213" i="41"/>
  <c r="E211" i="41"/>
  <c r="E335" i="50" s="1"/>
  <c r="E208" i="41"/>
  <c r="E332" i="50" s="1"/>
  <c r="E206" i="41"/>
  <c r="E204" i="41"/>
  <c r="E330" i="50" s="1"/>
  <c r="E198" i="41"/>
  <c r="E324" i="50" s="1"/>
  <c r="E197" i="41"/>
  <c r="E196" i="41"/>
  <c r="E195" i="41"/>
  <c r="E194" i="41"/>
  <c r="E323" i="50" s="1"/>
  <c r="E192" i="41"/>
  <c r="E321" i="50" s="1"/>
  <c r="E191" i="41"/>
  <c r="E320" i="50" s="1"/>
  <c r="E189" i="41"/>
  <c r="E318" i="50" s="1"/>
  <c r="E188" i="41"/>
  <c r="E317" i="50" s="1"/>
  <c r="E186" i="41"/>
  <c r="E185" i="41"/>
  <c r="E184" i="41"/>
  <c r="E182" i="41"/>
  <c r="E315" i="50" s="1"/>
  <c r="E181" i="41"/>
  <c r="E314" i="50" s="1"/>
  <c r="E179" i="41"/>
  <c r="E312" i="50" s="1"/>
  <c r="E167" i="41"/>
  <c r="E166" i="41"/>
  <c r="E165" i="41"/>
  <c r="E300" i="50" s="1"/>
  <c r="E163" i="41"/>
  <c r="E298" i="50" s="1"/>
  <c r="E162" i="41"/>
  <c r="E297" i="50" s="1"/>
  <c r="E161" i="41"/>
  <c r="E296" i="50" s="1"/>
  <c r="E159" i="41"/>
  <c r="E158" i="41"/>
  <c r="E157" i="41"/>
  <c r="E294" i="50" s="1"/>
  <c r="E155" i="41"/>
  <c r="E154" i="41"/>
  <c r="E153" i="41"/>
  <c r="E152" i="41"/>
  <c r="E292" i="50"/>
  <c r="E146" i="41"/>
  <c r="E291" i="50" s="1"/>
  <c r="E144" i="41"/>
  <c r="E289" i="50" s="1"/>
  <c r="E288" i="50"/>
  <c r="E115" i="41"/>
  <c r="E286" i="50" s="1"/>
  <c r="E285" i="50"/>
  <c r="E141" i="41"/>
  <c r="E283" i="50" s="1"/>
  <c r="E137" i="41"/>
  <c r="E279" i="50" s="1"/>
  <c r="E136" i="41"/>
  <c r="E135" i="41"/>
  <c r="E134" i="41"/>
  <c r="E133" i="41"/>
  <c r="E278" i="50" s="1"/>
  <c r="E131" i="41"/>
  <c r="E276" i="50" s="1"/>
  <c r="E127" i="41"/>
  <c r="E272" i="50" s="1"/>
  <c r="E126" i="41"/>
  <c r="E125" i="41"/>
  <c r="E124" i="41"/>
  <c r="E271" i="50" s="1"/>
  <c r="E265" i="50"/>
  <c r="E105" i="41"/>
  <c r="E259" i="50" s="1"/>
  <c r="E103" i="41"/>
  <c r="E101" i="41"/>
  <c r="E100" i="41"/>
  <c r="E99" i="41"/>
  <c r="E98" i="41"/>
  <c r="E97" i="41"/>
  <c r="E96" i="41"/>
  <c r="E95" i="41"/>
  <c r="D94" i="41"/>
  <c r="E93" i="41"/>
  <c r="E92" i="41"/>
  <c r="D91" i="41"/>
  <c r="D90" i="41"/>
  <c r="D89" i="41"/>
  <c r="D87" i="41"/>
  <c r="E84" i="41"/>
  <c r="E82" i="41"/>
  <c r="E81" i="41"/>
  <c r="E80" i="41"/>
  <c r="D78" i="41"/>
  <c r="D76" i="41"/>
  <c r="C27" i="9" s="1"/>
  <c r="E74" i="41"/>
  <c r="E73" i="41"/>
  <c r="E72" i="41"/>
  <c r="E71" i="41"/>
  <c r="E69" i="41"/>
  <c r="E67" i="41"/>
  <c r="E66" i="41"/>
  <c r="E53" i="41"/>
  <c r="E51" i="41"/>
  <c r="E64" i="41" s="1"/>
  <c r="E229" i="50" s="1"/>
  <c r="E222" i="50"/>
  <c r="E57" i="41"/>
  <c r="E221" i="50" s="1"/>
  <c r="E56" i="41"/>
  <c r="E225" i="50" s="1"/>
  <c r="E55" i="41"/>
  <c r="E220" i="50" s="1"/>
  <c r="E40" i="41"/>
  <c r="E39" i="41"/>
  <c r="E38" i="41"/>
  <c r="E37" i="41"/>
  <c r="E30" i="41"/>
  <c r="E27" i="41"/>
  <c r="E26" i="41"/>
  <c r="E25" i="41"/>
  <c r="E13" i="41"/>
  <c r="D10" i="41"/>
  <c r="D8" i="41"/>
  <c r="C26" i="9" s="1"/>
  <c r="D6" i="41"/>
  <c r="C25" i="9" s="1"/>
  <c r="G4" i="41"/>
  <c r="E4" i="41"/>
  <c r="M3" i="41"/>
  <c r="K3" i="41"/>
  <c r="I3" i="41"/>
  <c r="G3" i="41"/>
  <c r="E3" i="41"/>
  <c r="P2" i="41"/>
  <c r="M2" i="41"/>
  <c r="K2" i="41"/>
  <c r="I2" i="41"/>
  <c r="G2" i="41"/>
  <c r="E2" i="41"/>
  <c r="B2" i="41"/>
  <c r="D269" i="49"/>
  <c r="E267" i="49"/>
  <c r="E214" i="50" s="1"/>
  <c r="E264" i="49"/>
  <c r="E262" i="49"/>
  <c r="E261" i="49"/>
  <c r="E259" i="49"/>
  <c r="E257" i="49"/>
  <c r="M256" i="49"/>
  <c r="M216" i="50" s="1"/>
  <c r="J256" i="49"/>
  <c r="J216" i="50" s="1"/>
  <c r="E256" i="49"/>
  <c r="E216" i="50" s="1"/>
  <c r="E254" i="49"/>
  <c r="E252" i="49"/>
  <c r="E212" i="50" s="1"/>
  <c r="E250" i="49"/>
  <c r="E248" i="49"/>
  <c r="E247" i="49"/>
  <c r="E245" i="49"/>
  <c r="E243" i="49"/>
  <c r="E242" i="49"/>
  <c r="E240" i="49"/>
  <c r="E238" i="49"/>
  <c r="E209" i="50" s="1"/>
  <c r="E235" i="49"/>
  <c r="E230" i="49"/>
  <c r="E207" i="50" s="1"/>
  <c r="E228" i="49"/>
  <c r="E226" i="49"/>
  <c r="E206" i="50" s="1"/>
  <c r="D222" i="49"/>
  <c r="E219" i="49"/>
  <c r="E202" i="50" s="1"/>
  <c r="E217" i="49"/>
  <c r="E216" i="49"/>
  <c r="E215" i="49"/>
  <c r="E214" i="49"/>
  <c r="E212" i="49"/>
  <c r="E211" i="49"/>
  <c r="E210" i="49"/>
  <c r="E209" i="49"/>
  <c r="E207" i="49"/>
  <c r="M206" i="49"/>
  <c r="M204" i="50" s="1"/>
  <c r="J206" i="49"/>
  <c r="J204" i="50" s="1"/>
  <c r="E206" i="49"/>
  <c r="E204" i="50" s="1"/>
  <c r="E205" i="49"/>
  <c r="E203" i="49"/>
  <c r="E200" i="50" s="1"/>
  <c r="E201" i="49"/>
  <c r="E200" i="49"/>
  <c r="E198" i="49"/>
  <c r="E197" i="49"/>
  <c r="E196" i="49"/>
  <c r="E195" i="49"/>
  <c r="E194" i="49"/>
  <c r="E193" i="49"/>
  <c r="E191" i="49"/>
  <c r="E190" i="49"/>
  <c r="E189" i="49"/>
  <c r="E188" i="49"/>
  <c r="E187" i="49"/>
  <c r="E185" i="49"/>
  <c r="E197" i="50" s="1"/>
  <c r="E183" i="49"/>
  <c r="E182" i="49"/>
  <c r="E178" i="49"/>
  <c r="E177" i="49"/>
  <c r="E176" i="49"/>
  <c r="E195" i="50" s="1"/>
  <c r="E174" i="49"/>
  <c r="E172" i="49"/>
  <c r="E171" i="49"/>
  <c r="E170" i="49"/>
  <c r="E194" i="50" s="1"/>
  <c r="D168" i="49"/>
  <c r="E166" i="49"/>
  <c r="F165" i="49"/>
  <c r="F164" i="49"/>
  <c r="F163" i="49"/>
  <c r="F162" i="49"/>
  <c r="F161" i="49"/>
  <c r="E160" i="49"/>
  <c r="E159" i="49"/>
  <c r="E158" i="49"/>
  <c r="E157" i="49"/>
  <c r="E156" i="49"/>
  <c r="D154" i="49"/>
  <c r="C24" i="9" s="1"/>
  <c r="E152" i="49"/>
  <c r="E190" i="50" s="1"/>
  <c r="E151" i="49"/>
  <c r="E189" i="50" s="1"/>
  <c r="E149" i="49"/>
  <c r="E147" i="49"/>
  <c r="E187" i="50" s="1"/>
  <c r="E146" i="49"/>
  <c r="E186" i="50" s="1"/>
  <c r="E144" i="49"/>
  <c r="E142" i="49"/>
  <c r="E141" i="49"/>
  <c r="E139" i="49"/>
  <c r="E137" i="49"/>
  <c r="E181" i="50" s="1"/>
  <c r="E136" i="49"/>
  <c r="E180" i="50" s="1"/>
  <c r="E134" i="49"/>
  <c r="M132" i="49"/>
  <c r="J132" i="49"/>
  <c r="E132" i="49"/>
  <c r="E130" i="49"/>
  <c r="E177" i="50" s="1"/>
  <c r="E129" i="49"/>
  <c r="E176" i="50" s="1"/>
  <c r="E128" i="49"/>
  <c r="E175" i="50" s="1"/>
  <c r="E126" i="49"/>
  <c r="E124" i="49"/>
  <c r="E172" i="50" s="1"/>
  <c r="E123" i="49"/>
  <c r="E121" i="49"/>
  <c r="E119" i="49"/>
  <c r="E171" i="50" s="1"/>
  <c r="E117" i="49"/>
  <c r="E115" i="49"/>
  <c r="E170" i="50" s="1"/>
  <c r="E113" i="49"/>
  <c r="D109" i="49"/>
  <c r="E107" i="49"/>
  <c r="E165" i="50" s="1"/>
  <c r="E106" i="49"/>
  <c r="E164" i="50" s="1"/>
  <c r="E104" i="49"/>
  <c r="E103" i="49"/>
  <c r="E101" i="49"/>
  <c r="E162" i="50" s="1"/>
  <c r="E100" i="49"/>
  <c r="E161" i="50" s="1"/>
  <c r="E98" i="49"/>
  <c r="E97" i="49"/>
  <c r="E96" i="49"/>
  <c r="E95" i="49"/>
  <c r="E93" i="49"/>
  <c r="E92" i="49"/>
  <c r="E90" i="49"/>
  <c r="E89" i="49"/>
  <c r="E88" i="49"/>
  <c r="E87" i="49"/>
  <c r="E86" i="49"/>
  <c r="E84" i="49"/>
  <c r="E156" i="50" s="1"/>
  <c r="E83" i="49"/>
  <c r="E155" i="50" s="1"/>
  <c r="E81" i="49"/>
  <c r="E80" i="49"/>
  <c r="E79" i="49"/>
  <c r="M77" i="49"/>
  <c r="J77" i="49"/>
  <c r="E77" i="49"/>
  <c r="E75" i="49"/>
  <c r="E152" i="50" s="1"/>
  <c r="E74" i="49"/>
  <c r="E151" i="50" s="1"/>
  <c r="E73" i="49"/>
  <c r="E150" i="50" s="1"/>
  <c r="E71" i="49"/>
  <c r="E70" i="49"/>
  <c r="E68" i="49"/>
  <c r="E147" i="50" s="1"/>
  <c r="E67" i="49"/>
  <c r="E65" i="49"/>
  <c r="E64" i="49"/>
  <c r="E62" i="49"/>
  <c r="E146" i="50" s="1"/>
  <c r="E60" i="49"/>
  <c r="E59" i="49"/>
  <c r="E57" i="49"/>
  <c r="E145" i="50" s="1"/>
  <c r="E55" i="49"/>
  <c r="E54" i="49"/>
  <c r="D52" i="49"/>
  <c r="E50" i="49"/>
  <c r="E49" i="49"/>
  <c r="E48" i="49"/>
  <c r="E47" i="49"/>
  <c r="E46" i="49"/>
  <c r="E45" i="49"/>
  <c r="D43" i="49"/>
  <c r="C23" i="9" s="1"/>
  <c r="E40" i="49"/>
  <c r="E39" i="49"/>
  <c r="D37" i="49"/>
  <c r="E35" i="49"/>
  <c r="E34" i="49"/>
  <c r="D32" i="49"/>
  <c r="D30" i="49"/>
  <c r="C22" i="9" s="1"/>
  <c r="E28" i="49"/>
  <c r="E27" i="49"/>
  <c r="E68" i="50" s="1"/>
  <c r="E26" i="49"/>
  <c r="E67" i="50" s="1"/>
  <c r="E25" i="49"/>
  <c r="E66" i="50" s="1"/>
  <c r="E24" i="49"/>
  <c r="E65" i="50" s="1"/>
  <c r="E23" i="49"/>
  <c r="E64" i="50" s="1"/>
  <c r="E63" i="50"/>
  <c r="E21" i="49"/>
  <c r="E62" i="50" s="1"/>
  <c r="E20" i="49"/>
  <c r="E61" i="50" s="1"/>
  <c r="E18" i="49"/>
  <c r="E17" i="49"/>
  <c r="F16" i="49"/>
  <c r="F15" i="49"/>
  <c r="F14" i="49"/>
  <c r="F13" i="49"/>
  <c r="F12" i="49"/>
  <c r="F11" i="49"/>
  <c r="E10" i="49"/>
  <c r="D8" i="49"/>
  <c r="C21" i="9" s="1"/>
  <c r="D6" i="49"/>
  <c r="C20" i="9" s="1"/>
  <c r="I4" i="49"/>
  <c r="G4" i="49"/>
  <c r="E4" i="49"/>
  <c r="M3" i="49"/>
  <c r="K3" i="49"/>
  <c r="I3" i="49"/>
  <c r="G3" i="49"/>
  <c r="E3" i="49"/>
  <c r="P2" i="49"/>
  <c r="M2" i="49"/>
  <c r="K2" i="49"/>
  <c r="I2" i="49"/>
  <c r="G2" i="49"/>
  <c r="E2" i="49"/>
  <c r="B2" i="49"/>
  <c r="D173" i="62"/>
  <c r="E150" i="62"/>
  <c r="D150" i="62"/>
  <c r="E149" i="62"/>
  <c r="E148" i="62"/>
  <c r="I125" i="62"/>
  <c r="I150" i="62" s="1"/>
  <c r="H125" i="62"/>
  <c r="E125" i="62"/>
  <c r="D125" i="62"/>
  <c r="E124" i="62"/>
  <c r="F123" i="62"/>
  <c r="F122" i="62"/>
  <c r="F121" i="62"/>
  <c r="F120" i="62"/>
  <c r="F119" i="62"/>
  <c r="F118" i="62"/>
  <c r="E118" i="62"/>
  <c r="F117" i="62"/>
  <c r="F116" i="62"/>
  <c r="E116" i="62"/>
  <c r="F115" i="62"/>
  <c r="F114" i="62"/>
  <c r="E114" i="62"/>
  <c r="E113" i="62"/>
  <c r="E112" i="62"/>
  <c r="K89" i="62"/>
  <c r="K125" i="62" s="1"/>
  <c r="K150" i="62" s="1"/>
  <c r="J89" i="62"/>
  <c r="J125" i="62" s="1"/>
  <c r="J150" i="62" s="1"/>
  <c r="I89" i="62"/>
  <c r="E89" i="62"/>
  <c r="D89" i="62"/>
  <c r="E88" i="62"/>
  <c r="E87" i="62"/>
  <c r="D85" i="62"/>
  <c r="C19" i="9" s="1"/>
  <c r="L56" i="62"/>
  <c r="K56" i="62"/>
  <c r="J56" i="62"/>
  <c r="I56" i="62"/>
  <c r="G56" i="62"/>
  <c r="E56" i="62"/>
  <c r="D56" i="62"/>
  <c r="E54" i="62"/>
  <c r="F52" i="62"/>
  <c r="E52" i="62"/>
  <c r="F51" i="62"/>
  <c r="E51" i="62"/>
  <c r="F50" i="62"/>
  <c r="E50" i="62"/>
  <c r="G49" i="62"/>
  <c r="F49" i="62"/>
  <c r="F48" i="62"/>
  <c r="E48" i="62"/>
  <c r="F47" i="62"/>
  <c r="F46" i="62"/>
  <c r="E46" i="62"/>
  <c r="G45" i="62"/>
  <c r="F45" i="62"/>
  <c r="G44" i="62"/>
  <c r="F44" i="62"/>
  <c r="E44" i="62"/>
  <c r="E43" i="62"/>
  <c r="E42" i="62"/>
  <c r="D41" i="62"/>
  <c r="L26" i="62"/>
  <c r="K26" i="62"/>
  <c r="J26" i="62"/>
  <c r="I26" i="62"/>
  <c r="G26" i="62"/>
  <c r="E26" i="62"/>
  <c r="D26" i="62"/>
  <c r="E24" i="62"/>
  <c r="F22" i="62"/>
  <c r="E22" i="62"/>
  <c r="F21" i="62"/>
  <c r="E21" i="62"/>
  <c r="F20" i="62"/>
  <c r="E20" i="62"/>
  <c r="G19" i="62"/>
  <c r="F19" i="62"/>
  <c r="F18" i="62"/>
  <c r="E18" i="62"/>
  <c r="G17" i="62"/>
  <c r="F17" i="62"/>
  <c r="F16" i="62"/>
  <c r="E16" i="62"/>
  <c r="G15" i="62"/>
  <c r="F15" i="62"/>
  <c r="G14" i="62"/>
  <c r="F14" i="62"/>
  <c r="E14" i="62"/>
  <c r="E13" i="62"/>
  <c r="E12" i="62"/>
  <c r="D10" i="62"/>
  <c r="D8" i="62"/>
  <c r="C18" i="9" s="1"/>
  <c r="D6" i="62"/>
  <c r="C17" i="9" s="1"/>
  <c r="E4" i="62"/>
  <c r="G3" i="62"/>
  <c r="E3" i="62"/>
  <c r="P2" i="62"/>
  <c r="M2" i="62"/>
  <c r="K2" i="62"/>
  <c r="I2" i="62"/>
  <c r="G2" i="62"/>
  <c r="E2" i="62"/>
  <c r="B2" i="62"/>
  <c r="D404" i="43"/>
  <c r="M391" i="43"/>
  <c r="J391" i="43"/>
  <c r="H391" i="43"/>
  <c r="F391" i="43"/>
  <c r="E391" i="43"/>
  <c r="M379" i="43"/>
  <c r="K379" i="43"/>
  <c r="I379" i="43"/>
  <c r="F379" i="43"/>
  <c r="E379" i="43"/>
  <c r="E377" i="43"/>
  <c r="M365" i="43"/>
  <c r="J365" i="43"/>
  <c r="H365" i="43"/>
  <c r="F365" i="43"/>
  <c r="E365" i="43"/>
  <c r="E364" i="43"/>
  <c r="E363" i="43"/>
  <c r="E362" i="43"/>
  <c r="M350" i="43"/>
  <c r="K350" i="43"/>
  <c r="I350" i="43"/>
  <c r="F350" i="43"/>
  <c r="E350" i="43"/>
  <c r="F348" i="43"/>
  <c r="F347" i="43"/>
  <c r="E346" i="43"/>
  <c r="F345" i="43"/>
  <c r="F344" i="43"/>
  <c r="F343" i="43"/>
  <c r="F342" i="43"/>
  <c r="E341" i="43"/>
  <c r="F340" i="43"/>
  <c r="F339" i="43"/>
  <c r="F338" i="43"/>
  <c r="E337" i="43"/>
  <c r="F336" i="43"/>
  <c r="F335" i="43"/>
  <c r="F334" i="43"/>
  <c r="F332" i="43"/>
  <c r="E331" i="43"/>
  <c r="E330" i="43"/>
  <c r="E329" i="43"/>
  <c r="E328" i="43"/>
  <c r="E327" i="43"/>
  <c r="E326" i="43"/>
  <c r="E325" i="43"/>
  <c r="M313" i="43"/>
  <c r="J313" i="43"/>
  <c r="H313" i="43"/>
  <c r="F313" i="43"/>
  <c r="E313" i="43"/>
  <c r="M301" i="43"/>
  <c r="K301" i="43"/>
  <c r="I301" i="43"/>
  <c r="F301" i="43"/>
  <c r="E301" i="43"/>
  <c r="E299" i="43"/>
  <c r="E298" i="43"/>
  <c r="D296" i="43"/>
  <c r="C16" i="9" s="1"/>
  <c r="E261" i="43"/>
  <c r="E260" i="43"/>
  <c r="E255" i="43"/>
  <c r="D250" i="43"/>
  <c r="C15" i="9" s="1"/>
  <c r="E248" i="43"/>
  <c r="E247" i="43"/>
  <c r="E244" i="43"/>
  <c r="E240" i="43"/>
  <c r="E239" i="43"/>
  <c r="E238" i="43"/>
  <c r="E237" i="43"/>
  <c r="E236" i="43"/>
  <c r="E235" i="43"/>
  <c r="E234" i="43"/>
  <c r="F214" i="43"/>
  <c r="E214" i="43"/>
  <c r="E213" i="43"/>
  <c r="E212" i="43"/>
  <c r="E211" i="43"/>
  <c r="D209" i="43"/>
  <c r="G207" i="43"/>
  <c r="G206" i="43"/>
  <c r="G205" i="43"/>
  <c r="E204" i="43"/>
  <c r="G202" i="43"/>
  <c r="G201" i="43"/>
  <c r="G200" i="43"/>
  <c r="G199" i="43"/>
  <c r="E198" i="43"/>
  <c r="E197" i="43"/>
  <c r="G195" i="43"/>
  <c r="G194" i="43"/>
  <c r="G193" i="43"/>
  <c r="G192" i="43"/>
  <c r="G191" i="43"/>
  <c r="E190" i="43"/>
  <c r="D188" i="43"/>
  <c r="G186" i="43"/>
  <c r="G185" i="43"/>
  <c r="G184" i="43"/>
  <c r="G183" i="43"/>
  <c r="E182" i="43"/>
  <c r="G180" i="43"/>
  <c r="G179" i="43"/>
  <c r="G178" i="43"/>
  <c r="G177" i="43"/>
  <c r="G175" i="43"/>
  <c r="G174" i="43"/>
  <c r="G173" i="43"/>
  <c r="G172" i="43"/>
  <c r="G170" i="43"/>
  <c r="G169" i="43"/>
  <c r="G168" i="43"/>
  <c r="G167" i="43"/>
  <c r="E166" i="43"/>
  <c r="E164" i="43"/>
  <c r="D163" i="43"/>
  <c r="G152" i="43"/>
  <c r="G151" i="43"/>
  <c r="G150" i="43"/>
  <c r="E149" i="43"/>
  <c r="E148" i="43"/>
  <c r="E147" i="43"/>
  <c r="E146" i="43"/>
  <c r="G144" i="43"/>
  <c r="G143" i="43"/>
  <c r="G142" i="43"/>
  <c r="G141" i="43"/>
  <c r="G139" i="43"/>
  <c r="G138" i="43"/>
  <c r="G137" i="43"/>
  <c r="G136" i="43"/>
  <c r="G134" i="43"/>
  <c r="G133" i="43"/>
  <c r="G132" i="43"/>
  <c r="G131" i="43"/>
  <c r="E130" i="43"/>
  <c r="G128" i="43"/>
  <c r="G127" i="43"/>
  <c r="G126" i="43"/>
  <c r="G125" i="43"/>
  <c r="G124" i="43"/>
  <c r="G123" i="43"/>
  <c r="G122" i="43"/>
  <c r="G121" i="43"/>
  <c r="G120" i="43"/>
  <c r="G118" i="43"/>
  <c r="G117" i="43"/>
  <c r="G116" i="43"/>
  <c r="G115" i="43"/>
  <c r="G114" i="43"/>
  <c r="G113" i="43"/>
  <c r="G112" i="43"/>
  <c r="G111" i="43"/>
  <c r="G110" i="43"/>
  <c r="G108" i="43"/>
  <c r="G107" i="43"/>
  <c r="G106" i="43"/>
  <c r="G105" i="43"/>
  <c r="G104" i="43"/>
  <c r="G103" i="43"/>
  <c r="G102" i="43"/>
  <c r="G101" i="43"/>
  <c r="G100" i="43"/>
  <c r="E99" i="43"/>
  <c r="E98" i="43"/>
  <c r="F96" i="43"/>
  <c r="F95" i="43"/>
  <c r="F94" i="43"/>
  <c r="F92" i="43"/>
  <c r="F91" i="43"/>
  <c r="F90" i="43"/>
  <c r="F86" i="43"/>
  <c r="E85" i="43"/>
  <c r="E84" i="43"/>
  <c r="E83" i="43"/>
  <c r="E81" i="43"/>
  <c r="E80" i="43"/>
  <c r="E78" i="43"/>
  <c r="E75" i="43"/>
  <c r="E73" i="43"/>
  <c r="E70" i="43"/>
  <c r="E68" i="43"/>
  <c r="E67" i="43"/>
  <c r="E66" i="43"/>
  <c r="E63" i="43"/>
  <c r="E61" i="43"/>
  <c r="E59" i="43"/>
  <c r="E58" i="43"/>
  <c r="E56" i="43"/>
  <c r="E54" i="43"/>
  <c r="E51" i="43"/>
  <c r="D49" i="43"/>
  <c r="D47" i="43"/>
  <c r="C14" i="9" s="1"/>
  <c r="F43" i="43"/>
  <c r="F42" i="43"/>
  <c r="F41" i="43"/>
  <c r="E40" i="43"/>
  <c r="F38" i="43"/>
  <c r="F37" i="43"/>
  <c r="F35" i="43"/>
  <c r="F34" i="43"/>
  <c r="F33" i="43"/>
  <c r="E31" i="43"/>
  <c r="E29" i="43"/>
  <c r="E28" i="43"/>
  <c r="D25" i="43"/>
  <c r="C13" i="9" s="1"/>
  <c r="E23" i="43"/>
  <c r="E22" i="43"/>
  <c r="E21" i="43"/>
  <c r="E19" i="43"/>
  <c r="E18" i="43"/>
  <c r="F17" i="43"/>
  <c r="F16" i="43"/>
  <c r="E15" i="43"/>
  <c r="E14" i="43"/>
  <c r="E11" i="43"/>
  <c r="D9" i="43"/>
  <c r="D6" i="43"/>
  <c r="C11" i="9" s="1"/>
  <c r="M4" i="43"/>
  <c r="I4" i="43"/>
  <c r="G4" i="43"/>
  <c r="E4" i="43"/>
  <c r="M3" i="43"/>
  <c r="K3" i="43"/>
  <c r="I3" i="43"/>
  <c r="G3" i="43"/>
  <c r="C12" i="9" s="1"/>
  <c r="E3" i="43"/>
  <c r="P2" i="43"/>
  <c r="M2" i="43"/>
  <c r="K2" i="43"/>
  <c r="I2" i="43"/>
  <c r="G2" i="43"/>
  <c r="E2" i="43"/>
  <c r="B2" i="43"/>
  <c r="B96" i="10"/>
  <c r="B82" i="10"/>
  <c r="B78" i="10"/>
  <c r="B77" i="10"/>
  <c r="B75" i="10"/>
  <c r="B74" i="10"/>
  <c r="D72" i="10"/>
  <c r="B72" i="10"/>
  <c r="D71" i="10"/>
  <c r="B71" i="10"/>
  <c r="B70" i="10"/>
  <c r="B69" i="10"/>
  <c r="D59" i="10"/>
  <c r="B57" i="10"/>
  <c r="B55" i="10"/>
  <c r="B52" i="10"/>
  <c r="B50" i="10"/>
  <c r="B49" i="10"/>
  <c r="B48" i="10"/>
  <c r="B47" i="10"/>
  <c r="D45" i="10"/>
  <c r="B45" i="10"/>
  <c r="D44" i="10"/>
  <c r="B44" i="10"/>
  <c r="D43" i="10"/>
  <c r="B43" i="10"/>
  <c r="D42" i="10"/>
  <c r="B42" i="10"/>
  <c r="D41" i="10"/>
  <c r="B41" i="10"/>
  <c r="D40" i="10"/>
  <c r="B40" i="10"/>
  <c r="D39" i="10"/>
  <c r="B39" i="10"/>
  <c r="D38" i="10"/>
  <c r="D37" i="10"/>
  <c r="D36" i="10"/>
  <c r="B36" i="10"/>
  <c r="D35" i="10"/>
  <c r="B35" i="10"/>
  <c r="B34" i="10"/>
  <c r="D32" i="10"/>
  <c r="D31" i="10"/>
  <c r="D30" i="10"/>
  <c r="D29" i="10"/>
  <c r="B28" i="10"/>
  <c r="B27" i="10"/>
  <c r="B26" i="10"/>
  <c r="B25" i="10"/>
  <c r="B24" i="10"/>
  <c r="B23" i="10"/>
  <c r="B22" i="10"/>
  <c r="B20" i="10"/>
  <c r="B17" i="10"/>
  <c r="B16" i="10"/>
  <c r="B15" i="10"/>
  <c r="B13" i="10"/>
  <c r="B11" i="10"/>
  <c r="B9" i="10"/>
  <c r="B7" i="10"/>
  <c r="B5" i="10"/>
  <c r="C10" i="9" s="1"/>
  <c r="B3" i="10"/>
  <c r="B2" i="10"/>
  <c r="J1" i="10"/>
  <c r="H1" i="10"/>
  <c r="F1" i="10"/>
  <c r="D1" i="10"/>
  <c r="B1" i="10"/>
  <c r="G70" i="9"/>
  <c r="C70" i="9"/>
  <c r="C64" i="9"/>
  <c r="C62" i="9"/>
  <c r="C61" i="9"/>
  <c r="C60" i="9"/>
  <c r="C59" i="9"/>
  <c r="C57" i="9"/>
  <c r="C56" i="9"/>
  <c r="B9" i="9"/>
  <c r="B7" i="9"/>
  <c r="B5" i="9"/>
  <c r="B3" i="9"/>
  <c r="B2" i="9"/>
  <c r="K1" i="9"/>
  <c r="I1" i="9"/>
  <c r="B1" i="9"/>
  <c r="M401" i="43"/>
  <c r="J401" i="43"/>
  <c r="H401" i="43"/>
  <c r="F401" i="43"/>
  <c r="M400" i="43"/>
  <c r="J400" i="43"/>
  <c r="H400" i="43"/>
  <c r="F400" i="43"/>
  <c r="M399" i="43"/>
  <c r="J399" i="43"/>
  <c r="H399" i="43"/>
  <c r="F399" i="43"/>
  <c r="M398" i="43"/>
  <c r="J398" i="43"/>
  <c r="H398" i="43"/>
  <c r="F398" i="43"/>
  <c r="M397" i="43"/>
  <c r="J397" i="43"/>
  <c r="H397" i="43"/>
  <c r="F397" i="43"/>
  <c r="M396" i="43"/>
  <c r="J396" i="43"/>
  <c r="H396" i="43"/>
  <c r="F396" i="43"/>
  <c r="M395" i="43"/>
  <c r="J395" i="43"/>
  <c r="H395" i="43"/>
  <c r="F395" i="43"/>
  <c r="M394" i="43"/>
  <c r="J394" i="43"/>
  <c r="H394" i="43"/>
  <c r="F394" i="43"/>
  <c r="M393" i="43"/>
  <c r="J393" i="43"/>
  <c r="H393" i="43"/>
  <c r="F393" i="43"/>
  <c r="M392" i="43"/>
  <c r="J392" i="43"/>
  <c r="H392" i="43"/>
  <c r="F392" i="43"/>
  <c r="F389" i="43"/>
  <c r="R389" i="43" s="1"/>
  <c r="F388" i="43"/>
  <c r="F387" i="43"/>
  <c r="F386" i="43"/>
  <c r="R386" i="43" s="1"/>
  <c r="F385" i="43"/>
  <c r="F384" i="43"/>
  <c r="F383" i="43"/>
  <c r="F382" i="43"/>
  <c r="R382" i="43" s="1"/>
  <c r="F381" i="43"/>
  <c r="F380" i="43"/>
  <c r="R380" i="43" s="1"/>
  <c r="J180" i="43"/>
  <c r="J179" i="43"/>
  <c r="J178" i="43"/>
  <c r="J177" i="43"/>
  <c r="J144" i="43"/>
  <c r="J143" i="43"/>
  <c r="J142" i="43"/>
  <c r="J141" i="43"/>
  <c r="J128" i="43"/>
  <c r="J127" i="43"/>
  <c r="J126" i="43"/>
  <c r="J125" i="43"/>
  <c r="J124" i="43"/>
  <c r="J123" i="43"/>
  <c r="J122" i="43"/>
  <c r="J121" i="43"/>
  <c r="J120" i="43"/>
  <c r="H15" i="50" s="1"/>
  <c r="J88" i="43"/>
  <c r="J65" i="43"/>
  <c r="L246" i="43"/>
  <c r="M19" i="50" s="1"/>
  <c r="L242" i="43"/>
  <c r="M18" i="50" s="1"/>
  <c r="J77" i="43"/>
  <c r="H19" i="50" s="1"/>
  <c r="J72" i="43"/>
  <c r="H14" i="50" s="1"/>
  <c r="R252" i="49"/>
  <c r="S252" i="49"/>
  <c r="R203" i="49"/>
  <c r="S203" i="49"/>
  <c r="Y28" i="49"/>
  <c r="X28" i="49"/>
  <c r="M69" i="50" s="1"/>
  <c r="W28" i="49"/>
  <c r="L20" i="41" s="1"/>
  <c r="L23" i="41" s="1"/>
  <c r="V28" i="49"/>
  <c r="U28" i="49"/>
  <c r="J69" i="50" s="1"/>
  <c r="T28" i="49"/>
  <c r="I20" i="41" s="1"/>
  <c r="I23" i="41" s="1"/>
  <c r="S28" i="49"/>
  <c r="H69" i="50" s="1"/>
  <c r="Y26" i="49"/>
  <c r="N67" i="50" s="1"/>
  <c r="X26" i="49"/>
  <c r="M67" i="50" s="1"/>
  <c r="W26" i="49"/>
  <c r="L67" i="50" s="1"/>
  <c r="V26" i="49"/>
  <c r="K67" i="50" s="1"/>
  <c r="U26" i="49"/>
  <c r="J67" i="50" s="1"/>
  <c r="T26" i="49"/>
  <c r="I67" i="50" s="1"/>
  <c r="S26" i="49"/>
  <c r="H67" i="50" s="1"/>
  <c r="Y24" i="49"/>
  <c r="N65" i="50" s="1"/>
  <c r="X24" i="49"/>
  <c r="M65" i="50" s="1"/>
  <c r="W24" i="49"/>
  <c r="L65" i="50" s="1"/>
  <c r="V24" i="49"/>
  <c r="K65" i="50" s="1"/>
  <c r="U24" i="49"/>
  <c r="J65" i="50" s="1"/>
  <c r="T24" i="49"/>
  <c r="I65" i="50" s="1"/>
  <c r="S24" i="49"/>
  <c r="H65" i="50" s="1"/>
  <c r="Y23" i="49"/>
  <c r="N64" i="50" s="1"/>
  <c r="X23" i="49"/>
  <c r="M64" i="50" s="1"/>
  <c r="W23" i="49"/>
  <c r="L64" i="50" s="1"/>
  <c r="V23" i="49"/>
  <c r="K64" i="50" s="1"/>
  <c r="U23" i="49"/>
  <c r="J64" i="50" s="1"/>
  <c r="T23" i="49"/>
  <c r="S23" i="49"/>
  <c r="H64" i="50" s="1"/>
  <c r="Y22" i="49"/>
  <c r="N63" i="50" s="1"/>
  <c r="X22" i="49"/>
  <c r="M63" i="50" s="1"/>
  <c r="W22" i="49"/>
  <c r="L63" i="50" s="1"/>
  <c r="V22" i="49"/>
  <c r="K63" i="50" s="1"/>
  <c r="U22" i="49"/>
  <c r="J63" i="50" s="1"/>
  <c r="T22" i="49"/>
  <c r="I63" i="50" s="1"/>
  <c r="S22" i="49"/>
  <c r="H63" i="50" s="1"/>
  <c r="Y21" i="49"/>
  <c r="N62" i="50" s="1"/>
  <c r="X21" i="49"/>
  <c r="M62" i="50" s="1"/>
  <c r="W21" i="49"/>
  <c r="V21" i="49"/>
  <c r="K62" i="50" s="1"/>
  <c r="U21" i="49"/>
  <c r="J62" i="50" s="1"/>
  <c r="T21" i="49"/>
  <c r="I62" i="50" s="1"/>
  <c r="S21" i="49"/>
  <c r="H62" i="50" s="1"/>
  <c r="E349" i="50"/>
  <c r="N236" i="50"/>
  <c r="M236" i="50"/>
  <c r="L236" i="50"/>
  <c r="K236" i="50"/>
  <c r="J236" i="50"/>
  <c r="I236" i="50"/>
  <c r="H236" i="50"/>
  <c r="N235" i="50"/>
  <c r="M235" i="50"/>
  <c r="L235" i="50"/>
  <c r="K235" i="50"/>
  <c r="J235" i="50"/>
  <c r="I235" i="50"/>
  <c r="H235" i="50"/>
  <c r="N234" i="50"/>
  <c r="M234" i="50"/>
  <c r="L234" i="50"/>
  <c r="K234" i="50"/>
  <c r="J234" i="50"/>
  <c r="I234" i="50"/>
  <c r="H234" i="50"/>
  <c r="A518" i="50"/>
  <c r="A517" i="50"/>
  <c r="A516" i="50"/>
  <c r="A515" i="50"/>
  <c r="A514" i="50"/>
  <c r="Q500" i="50"/>
  <c r="Y31" i="43"/>
  <c r="H16" i="50"/>
  <c r="Z241" i="37"/>
  <c r="Y241" i="37"/>
  <c r="X241" i="37"/>
  <c r="W241" i="37"/>
  <c r="V241" i="37"/>
  <c r="N262" i="49"/>
  <c r="N213" i="50" s="1"/>
  <c r="M262" i="49"/>
  <c r="M213" i="50" s="1"/>
  <c r="L262" i="49"/>
  <c r="L267" i="49" s="1"/>
  <c r="L214" i="50" s="1"/>
  <c r="K262" i="49"/>
  <c r="K213" i="50" s="1"/>
  <c r="J262" i="49"/>
  <c r="J213" i="50" s="1"/>
  <c r="I262" i="49"/>
  <c r="I267" i="49" s="1"/>
  <c r="I214" i="50" s="1"/>
  <c r="H262" i="49"/>
  <c r="H267" i="49" s="1"/>
  <c r="H214" i="50" s="1"/>
  <c r="N212" i="49"/>
  <c r="N201" i="50" s="1"/>
  <c r="M212" i="49"/>
  <c r="M201" i="50" s="1"/>
  <c r="L212" i="49"/>
  <c r="L201" i="50" s="1"/>
  <c r="K212" i="49"/>
  <c r="K201" i="50" s="1"/>
  <c r="J212" i="49"/>
  <c r="J201" i="50" s="1"/>
  <c r="I212" i="49"/>
  <c r="I201" i="50" s="1"/>
  <c r="H212" i="49"/>
  <c r="H219" i="49" s="1"/>
  <c r="H202" i="50" s="1"/>
  <c r="E393" i="43"/>
  <c r="E394" i="43" s="1"/>
  <c r="E395" i="43" s="1"/>
  <c r="E396" i="43" s="1"/>
  <c r="E397" i="43" s="1"/>
  <c r="E398" i="43" s="1"/>
  <c r="E399" i="43" s="1"/>
  <c r="E400" i="43" s="1"/>
  <c r="E401" i="43" s="1"/>
  <c r="E381" i="43"/>
  <c r="E382" i="43" s="1"/>
  <c r="E383" i="43" s="1"/>
  <c r="E384" i="43" s="1"/>
  <c r="E385" i="43" s="1"/>
  <c r="E386" i="43" s="1"/>
  <c r="E387" i="43" s="1"/>
  <c r="E388" i="43" s="1"/>
  <c r="E389" i="43" s="1"/>
  <c r="N96" i="42"/>
  <c r="M96" i="42"/>
  <c r="R21" i="43"/>
  <c r="H67" i="37"/>
  <c r="H76" i="37" s="1"/>
  <c r="I2833" i="37"/>
  <c r="H2833" i="37"/>
  <c r="J453" i="41"/>
  <c r="I453" i="41"/>
  <c r="H453" i="41"/>
  <c r="R375" i="43"/>
  <c r="R374" i="43"/>
  <c r="R373" i="43"/>
  <c r="R372" i="43"/>
  <c r="R371" i="43"/>
  <c r="R370" i="43"/>
  <c r="R369" i="43"/>
  <c r="R368" i="43"/>
  <c r="R367" i="43"/>
  <c r="R366" i="43"/>
  <c r="N227" i="43"/>
  <c r="N228" i="43" s="1"/>
  <c r="N229" i="43" s="1"/>
  <c r="N230" i="43" s="1"/>
  <c r="N231" i="43" s="1"/>
  <c r="N232" i="43" s="1"/>
  <c r="M227" i="43"/>
  <c r="M228" i="43" s="1"/>
  <c r="M229" i="43" s="1"/>
  <c r="M230" i="43" s="1"/>
  <c r="M231" i="43" s="1"/>
  <c r="M232" i="43" s="1"/>
  <c r="L227" i="43"/>
  <c r="L228" i="43" s="1"/>
  <c r="L229" i="43" s="1"/>
  <c r="L230" i="43" s="1"/>
  <c r="L231" i="43" s="1"/>
  <c r="L232" i="43" s="1"/>
  <c r="K227" i="43"/>
  <c r="K228" i="43" s="1"/>
  <c r="K229" i="43" s="1"/>
  <c r="K230" i="43" s="1"/>
  <c r="K231" i="43" s="1"/>
  <c r="K232" i="43" s="1"/>
  <c r="J227" i="43"/>
  <c r="J228" i="43" s="1"/>
  <c r="J229" i="43" s="1"/>
  <c r="J230" i="43" s="1"/>
  <c r="J231" i="43" s="1"/>
  <c r="J232" i="43" s="1"/>
  <c r="I227" i="43"/>
  <c r="I228" i="43" s="1"/>
  <c r="I229" i="43" s="1"/>
  <c r="I230" i="43" s="1"/>
  <c r="I231" i="43" s="1"/>
  <c r="I232" i="43" s="1"/>
  <c r="H227" i="43"/>
  <c r="H228" i="43" s="1"/>
  <c r="H229" i="43" s="1"/>
  <c r="H230" i="43" s="1"/>
  <c r="H231" i="43" s="1"/>
  <c r="H232" i="43" s="1"/>
  <c r="G227" i="43"/>
  <c r="G228" i="43" s="1"/>
  <c r="G229" i="43" s="1"/>
  <c r="G230" i="43" s="1"/>
  <c r="G231" i="43" s="1"/>
  <c r="G232" i="43" s="1"/>
  <c r="E216" i="43"/>
  <c r="E217" i="43" s="1"/>
  <c r="E218" i="43" s="1"/>
  <c r="E219" i="43" s="1"/>
  <c r="E222" i="43"/>
  <c r="E223" i="43" s="1"/>
  <c r="E224" i="43" s="1"/>
  <c r="E225" i="43" s="1"/>
  <c r="G435" i="43"/>
  <c r="Z60" i="37"/>
  <c r="Y60" i="37"/>
  <c r="H146" i="62"/>
  <c r="H145" i="62"/>
  <c r="H143" i="62"/>
  <c r="H139" i="62"/>
  <c r="H138" i="62"/>
  <c r="H137" i="62"/>
  <c r="N126" i="62"/>
  <c r="N151" i="62" s="1"/>
  <c r="N125" i="62"/>
  <c r="N150" i="62" s="1"/>
  <c r="M125" i="62"/>
  <c r="M150" i="62" s="1"/>
  <c r="Y229" i="42"/>
  <c r="X229" i="42"/>
  <c r="W229" i="42"/>
  <c r="V229" i="42"/>
  <c r="U229" i="42"/>
  <c r="T229" i="42"/>
  <c r="Y225" i="42"/>
  <c r="X225" i="42"/>
  <c r="W225" i="42"/>
  <c r="V225" i="42"/>
  <c r="U225" i="42"/>
  <c r="T225" i="42"/>
  <c r="Y221" i="42"/>
  <c r="X221" i="42"/>
  <c r="W221" i="42"/>
  <c r="V221" i="42"/>
  <c r="U221" i="42"/>
  <c r="T221" i="42"/>
  <c r="Y217" i="42"/>
  <c r="X217" i="42"/>
  <c r="W217" i="42"/>
  <c r="V217" i="42"/>
  <c r="U217" i="42"/>
  <c r="T217" i="42"/>
  <c r="Y213" i="42"/>
  <c r="X213" i="42"/>
  <c r="W213" i="42"/>
  <c r="V213" i="42"/>
  <c r="U213" i="42"/>
  <c r="T213" i="42"/>
  <c r="J30" i="50"/>
  <c r="H428" i="47"/>
  <c r="H434" i="47" s="1"/>
  <c r="I428" i="47"/>
  <c r="I434" i="47" s="1"/>
  <c r="H405" i="47"/>
  <c r="I405" i="47"/>
  <c r="H270" i="47"/>
  <c r="I270" i="47"/>
  <c r="E352" i="43"/>
  <c r="E353" i="43" s="1"/>
  <c r="E354" i="43" s="1"/>
  <c r="E355" i="43" s="1"/>
  <c r="E356" i="43" s="1"/>
  <c r="E357" i="43" s="1"/>
  <c r="E358" i="43" s="1"/>
  <c r="E359" i="43" s="1"/>
  <c r="E360" i="43" s="1"/>
  <c r="S352" i="43"/>
  <c r="S353" i="43"/>
  <c r="S354" i="43"/>
  <c r="S355" i="43"/>
  <c r="S356" i="43"/>
  <c r="S357" i="43"/>
  <c r="S358" i="43"/>
  <c r="S359" i="43"/>
  <c r="S360" i="43"/>
  <c r="E367" i="43"/>
  <c r="E368" i="43" s="1"/>
  <c r="E369" i="43" s="1"/>
  <c r="E370" i="43" s="1"/>
  <c r="E371" i="43" s="1"/>
  <c r="E372" i="43" s="1"/>
  <c r="E373" i="43" s="1"/>
  <c r="E374" i="43" s="1"/>
  <c r="E375" i="43" s="1"/>
  <c r="J411" i="43"/>
  <c r="J1839" i="42" s="1"/>
  <c r="E180" i="62"/>
  <c r="E181" i="62" s="1"/>
  <c r="E182" i="62" s="1"/>
  <c r="E183" i="62" s="1"/>
  <c r="E184" i="62" s="1"/>
  <c r="E185" i="62" s="1"/>
  <c r="E186" i="62" s="1"/>
  <c r="E187" i="62" s="1"/>
  <c r="E188" i="62" s="1"/>
  <c r="E189" i="62" s="1"/>
  <c r="E190" i="62" s="1"/>
  <c r="D163" i="62"/>
  <c r="D164" i="62" s="1"/>
  <c r="D165" i="62" s="1"/>
  <c r="D153" i="62"/>
  <c r="D154" i="62" s="1"/>
  <c r="D155" i="62" s="1"/>
  <c r="D156" i="62" s="1"/>
  <c r="D157" i="62" s="1"/>
  <c r="D158" i="62" s="1"/>
  <c r="D159" i="62" s="1"/>
  <c r="D160" i="62" s="1"/>
  <c r="D161" i="62" s="1"/>
  <c r="D138" i="62"/>
  <c r="D139" i="62" s="1"/>
  <c r="D128" i="62"/>
  <c r="D129" i="62" s="1"/>
  <c r="D130" i="62" s="1"/>
  <c r="D131" i="62" s="1"/>
  <c r="D132" i="62" s="1"/>
  <c r="D133" i="62" s="1"/>
  <c r="D134" i="62" s="1"/>
  <c r="D135" i="62" s="1"/>
  <c r="D136" i="62" s="1"/>
  <c r="D102" i="62"/>
  <c r="D103" i="62" s="1"/>
  <c r="D104" i="62" s="1"/>
  <c r="D105" i="62" s="1"/>
  <c r="D92" i="62"/>
  <c r="D93" i="62" s="1"/>
  <c r="D94" i="62" s="1"/>
  <c r="D95" i="62" s="1"/>
  <c r="D96" i="62" s="1"/>
  <c r="D97" i="62" s="1"/>
  <c r="D98" i="62" s="1"/>
  <c r="D99" i="62" s="1"/>
  <c r="D100" i="62" s="1"/>
  <c r="D28" i="62"/>
  <c r="H163" i="47"/>
  <c r="I163" i="47"/>
  <c r="J31" i="50"/>
  <c r="G228" i="37"/>
  <c r="H232" i="37" s="1"/>
  <c r="K2459" i="50"/>
  <c r="L2459" i="50" s="1"/>
  <c r="M2459" i="50" s="1"/>
  <c r="N2459" i="50" s="1"/>
  <c r="Q462" i="47"/>
  <c r="Q476" i="47"/>
  <c r="Q470" i="47"/>
  <c r="Q468" i="47" s="1"/>
  <c r="AD467" i="47"/>
  <c r="H467" i="47"/>
  <c r="H476" i="47" s="1"/>
  <c r="F97" i="42"/>
  <c r="H232" i="42"/>
  <c r="I232" i="42"/>
  <c r="Q1782" i="50"/>
  <c r="F96" i="42"/>
  <c r="F95" i="42"/>
  <c r="F94" i="42"/>
  <c r="F93" i="42"/>
  <c r="F92" i="42"/>
  <c r="F91" i="42"/>
  <c r="F90" i="42"/>
  <c r="F89" i="42"/>
  <c r="F88" i="42"/>
  <c r="F87" i="42"/>
  <c r="F86" i="42"/>
  <c r="B4" i="34"/>
  <c r="I210" i="47"/>
  <c r="H208" i="47"/>
  <c r="H209" i="47"/>
  <c r="H210" i="47"/>
  <c r="H95" i="47"/>
  <c r="I95" i="47"/>
  <c r="H129" i="47"/>
  <c r="I129" i="47"/>
  <c r="H488" i="47"/>
  <c r="I488" i="47"/>
  <c r="J488" i="47"/>
  <c r="K488" i="47"/>
  <c r="L488" i="47"/>
  <c r="M488" i="47"/>
  <c r="N488" i="47"/>
  <c r="H491" i="47"/>
  <c r="I491" i="47"/>
  <c r="J491" i="47"/>
  <c r="K491" i="47"/>
  <c r="L491" i="47"/>
  <c r="M491" i="47"/>
  <c r="N491" i="47"/>
  <c r="H492" i="47"/>
  <c r="I492" i="47"/>
  <c r="J492" i="47"/>
  <c r="K492" i="47"/>
  <c r="L492" i="47"/>
  <c r="M492" i="47"/>
  <c r="N492" i="47"/>
  <c r="H102" i="37"/>
  <c r="I102" i="37"/>
  <c r="I209" i="47"/>
  <c r="T185" i="37"/>
  <c r="U185" i="37"/>
  <c r="T193" i="37"/>
  <c r="U193" i="37"/>
  <c r="H209" i="50"/>
  <c r="I209" i="50"/>
  <c r="H210" i="50"/>
  <c r="I210" i="50"/>
  <c r="H211" i="50"/>
  <c r="I211" i="50"/>
  <c r="H212" i="50"/>
  <c r="I212" i="50"/>
  <c r="H197" i="50"/>
  <c r="I197" i="50"/>
  <c r="H198" i="50"/>
  <c r="I198" i="50"/>
  <c r="H199" i="50"/>
  <c r="I199" i="50"/>
  <c r="H200" i="50"/>
  <c r="I200" i="50"/>
  <c r="H145" i="50"/>
  <c r="I145" i="50"/>
  <c r="H146" i="50"/>
  <c r="I146" i="50"/>
  <c r="H150" i="50"/>
  <c r="I150" i="50"/>
  <c r="H151" i="50"/>
  <c r="I151" i="50"/>
  <c r="H157" i="50"/>
  <c r="I157" i="50"/>
  <c r="H158" i="50"/>
  <c r="I158" i="50"/>
  <c r="H170" i="50"/>
  <c r="I170" i="50"/>
  <c r="H171" i="50"/>
  <c r="I171" i="50"/>
  <c r="H175" i="50"/>
  <c r="I175" i="50"/>
  <c r="H176" i="50"/>
  <c r="I176" i="50"/>
  <c r="H182" i="50"/>
  <c r="I182" i="50"/>
  <c r="H183" i="50"/>
  <c r="I183" i="50"/>
  <c r="H265" i="50"/>
  <c r="I265" i="50"/>
  <c r="H273" i="50"/>
  <c r="I273" i="50"/>
  <c r="H274" i="50"/>
  <c r="I274" i="50"/>
  <c r="H275" i="50"/>
  <c r="I275" i="50"/>
  <c r="H280" i="50"/>
  <c r="I280" i="50"/>
  <c r="H281" i="50"/>
  <c r="I281" i="50"/>
  <c r="H282" i="50"/>
  <c r="I282" i="50"/>
  <c r="H286" i="50"/>
  <c r="I286" i="50"/>
  <c r="H296" i="50"/>
  <c r="I296" i="50"/>
  <c r="H298" i="50"/>
  <c r="I298" i="50"/>
  <c r="H302" i="50"/>
  <c r="I302" i="50"/>
  <c r="H303" i="50"/>
  <c r="I303" i="50"/>
  <c r="H304" i="50"/>
  <c r="I304" i="50"/>
  <c r="H305" i="50"/>
  <c r="I305" i="50"/>
  <c r="H306" i="50"/>
  <c r="I306" i="50"/>
  <c r="H307" i="50"/>
  <c r="I307" i="50"/>
  <c r="H308" i="50"/>
  <c r="I308" i="50"/>
  <c r="H309" i="50"/>
  <c r="I309" i="50"/>
  <c r="H310" i="50"/>
  <c r="I310" i="50"/>
  <c r="H311" i="50"/>
  <c r="I311" i="50"/>
  <c r="H325" i="50"/>
  <c r="I325" i="50"/>
  <c r="H326" i="50"/>
  <c r="I326" i="50"/>
  <c r="H327" i="50"/>
  <c r="I327" i="50"/>
  <c r="H328" i="50"/>
  <c r="I328" i="50"/>
  <c r="H329" i="50"/>
  <c r="I329" i="50"/>
  <c r="H344" i="50"/>
  <c r="I344" i="50"/>
  <c r="H348" i="50"/>
  <c r="I348" i="50"/>
  <c r="H349" i="50"/>
  <c r="I349" i="50"/>
  <c r="H350" i="50"/>
  <c r="I350" i="50"/>
  <c r="H351" i="50"/>
  <c r="I351" i="50"/>
  <c r="H352" i="50"/>
  <c r="I352" i="50"/>
  <c r="H403" i="50"/>
  <c r="I403" i="50"/>
  <c r="H404" i="50"/>
  <c r="I404" i="50"/>
  <c r="H405" i="50"/>
  <c r="I405" i="50"/>
  <c r="H410" i="50"/>
  <c r="I410" i="50"/>
  <c r="H411" i="50"/>
  <c r="I411" i="50"/>
  <c r="H412" i="50"/>
  <c r="I412" i="50"/>
  <c r="H442" i="50"/>
  <c r="I442" i="50"/>
  <c r="H456" i="50"/>
  <c r="I456" i="50"/>
  <c r="H468" i="50"/>
  <c r="I468" i="50"/>
  <c r="H469" i="50"/>
  <c r="I469" i="50"/>
  <c r="H470" i="50"/>
  <c r="I470" i="50"/>
  <c r="H471" i="50"/>
  <c r="I471" i="50"/>
  <c r="H473" i="50"/>
  <c r="I473" i="50"/>
  <c r="H68" i="49"/>
  <c r="H147" i="50" s="1"/>
  <c r="I68" i="49"/>
  <c r="I147" i="50" s="1"/>
  <c r="H75" i="49"/>
  <c r="H83" i="49" s="1"/>
  <c r="H155" i="50" s="1"/>
  <c r="I75" i="49"/>
  <c r="I83" i="49" s="1"/>
  <c r="H124" i="49"/>
  <c r="H172" i="50" s="1"/>
  <c r="I124" i="49"/>
  <c r="I172" i="50" s="1"/>
  <c r="H130" i="49"/>
  <c r="H177" i="50" s="1"/>
  <c r="I130" i="49"/>
  <c r="I177" i="50" s="1"/>
  <c r="H25" i="49"/>
  <c r="H27" i="49" s="1"/>
  <c r="I25" i="49"/>
  <c r="I27" i="49" s="1"/>
  <c r="H276" i="49"/>
  <c r="I276" i="49"/>
  <c r="J276" i="49"/>
  <c r="K276" i="49"/>
  <c r="L276" i="49"/>
  <c r="M276" i="49"/>
  <c r="N276" i="49"/>
  <c r="H279" i="49"/>
  <c r="I279" i="49"/>
  <c r="J279" i="49"/>
  <c r="K279" i="49"/>
  <c r="L279" i="49"/>
  <c r="M279" i="49"/>
  <c r="N279" i="49"/>
  <c r="H280" i="49"/>
  <c r="I280" i="49"/>
  <c r="J280" i="49"/>
  <c r="K280" i="49"/>
  <c r="L280" i="49"/>
  <c r="M280" i="49"/>
  <c r="N280" i="49"/>
  <c r="I62" i="37"/>
  <c r="H62" i="37"/>
  <c r="H409" i="41"/>
  <c r="H472" i="50" s="1"/>
  <c r="I409" i="41"/>
  <c r="I472" i="50" s="1"/>
  <c r="H319" i="41"/>
  <c r="H406" i="50" s="1"/>
  <c r="I319" i="41"/>
  <c r="I406" i="50" s="1"/>
  <c r="H327" i="41"/>
  <c r="H413" i="50" s="1"/>
  <c r="I327" i="41"/>
  <c r="I413" i="50" s="1"/>
  <c r="H131" i="41"/>
  <c r="H276" i="50" s="1"/>
  <c r="I131" i="41"/>
  <c r="I276" i="50" s="1"/>
  <c r="H141" i="41"/>
  <c r="I141" i="41"/>
  <c r="I162" i="41"/>
  <c r="I297" i="50" s="1"/>
  <c r="H179" i="41"/>
  <c r="H312" i="50" s="1"/>
  <c r="I179" i="41"/>
  <c r="I312" i="50" s="1"/>
  <c r="H204" i="41"/>
  <c r="H467" i="41" s="1"/>
  <c r="I204" i="41"/>
  <c r="I467" i="41" s="1"/>
  <c r="H234" i="41"/>
  <c r="I234" i="41"/>
  <c r="I244" i="41" s="1"/>
  <c r="I361" i="50" s="1"/>
  <c r="H259" i="37"/>
  <c r="I259" i="37"/>
  <c r="H250" i="37"/>
  <c r="T250" i="37" s="1"/>
  <c r="I250" i="37"/>
  <c r="U250" i="37" s="1"/>
  <c r="H225" i="37"/>
  <c r="I225" i="37"/>
  <c r="H215" i="37"/>
  <c r="I215" i="37"/>
  <c r="H206" i="37"/>
  <c r="I206" i="37"/>
  <c r="H168" i="37"/>
  <c r="I168" i="37"/>
  <c r="H169" i="37"/>
  <c r="H166" i="37" s="1"/>
  <c r="H167" i="37" s="1"/>
  <c r="I169" i="37"/>
  <c r="I166" i="37" s="1"/>
  <c r="I167" i="37" s="1"/>
  <c r="H156" i="37"/>
  <c r="I156" i="37"/>
  <c r="H157" i="37"/>
  <c r="H154" i="37" s="1"/>
  <c r="H155" i="37" s="1"/>
  <c r="I157" i="37"/>
  <c r="I154" i="37" s="1"/>
  <c r="I155" i="37" s="1"/>
  <c r="N2833" i="37"/>
  <c r="M2833" i="37"/>
  <c r="L2833" i="37"/>
  <c r="K2833" i="37"/>
  <c r="J2833" i="37"/>
  <c r="N2832" i="37"/>
  <c r="M2832" i="37"/>
  <c r="L2832" i="37"/>
  <c r="K2832" i="37"/>
  <c r="J2832" i="37"/>
  <c r="N2829" i="37"/>
  <c r="M2829" i="37"/>
  <c r="L2829" i="37"/>
  <c r="K2829" i="37"/>
  <c r="J2829" i="37"/>
  <c r="C5" i="34"/>
  <c r="D5" i="34" s="1"/>
  <c r="E5" i="34" s="1"/>
  <c r="F5" i="34" s="1"/>
  <c r="G5" i="34" s="1"/>
  <c r="H5" i="34" s="1"/>
  <c r="I5" i="34" s="1"/>
  <c r="J5" i="34" s="1"/>
  <c r="C3" i="34"/>
  <c r="K411" i="43" s="1"/>
  <c r="K277" i="49" s="1"/>
  <c r="Z229" i="42"/>
  <c r="Z225" i="42"/>
  <c r="Z221" i="42"/>
  <c r="Z217" i="42"/>
  <c r="Z213" i="42"/>
  <c r="S351" i="43"/>
  <c r="C30" i="51"/>
  <c r="C31" i="51"/>
  <c r="C32" i="51"/>
  <c r="C33" i="51"/>
  <c r="C28" i="51"/>
  <c r="C29" i="51"/>
  <c r="N124" i="49"/>
  <c r="N172" i="50" s="1"/>
  <c r="M124" i="49"/>
  <c r="M172" i="50" s="1"/>
  <c r="L124" i="49"/>
  <c r="L172" i="50" s="1"/>
  <c r="K124" i="49"/>
  <c r="K172" i="50" s="1"/>
  <c r="J124" i="49"/>
  <c r="J172" i="50" s="1"/>
  <c r="N68" i="49"/>
  <c r="N147" i="50" s="1"/>
  <c r="M68" i="49"/>
  <c r="L68" i="49"/>
  <c r="L147" i="50" s="1"/>
  <c r="K68" i="49"/>
  <c r="K147" i="50" s="1"/>
  <c r="J68" i="49"/>
  <c r="J265" i="50"/>
  <c r="K275" i="34"/>
  <c r="Z193" i="37"/>
  <c r="Y193" i="37"/>
  <c r="X193" i="37"/>
  <c r="W193" i="37"/>
  <c r="V193" i="37"/>
  <c r="Z185" i="37"/>
  <c r="Y185" i="37"/>
  <c r="X185" i="37"/>
  <c r="W185" i="37"/>
  <c r="V185" i="37"/>
  <c r="C2474" i="50"/>
  <c r="C2475" i="50" s="1"/>
  <c r="C2476" i="50" s="1"/>
  <c r="C2477" i="50" s="1"/>
  <c r="C2478" i="50" s="1"/>
  <c r="C2479" i="50" s="1"/>
  <c r="C2480" i="50" s="1"/>
  <c r="C2481" i="50" s="1"/>
  <c r="C2482" i="50" s="1"/>
  <c r="C2483" i="50" s="1"/>
  <c r="C2484" i="50" s="1"/>
  <c r="C2422" i="50"/>
  <c r="C2423" i="50" s="1"/>
  <c r="C2424" i="50" s="1"/>
  <c r="C2425" i="50" s="1"/>
  <c r="C2426" i="50" s="1"/>
  <c r="C2427" i="50" s="1"/>
  <c r="C2428" i="50" s="1"/>
  <c r="C2429" i="50" s="1"/>
  <c r="C2430" i="50" s="1"/>
  <c r="C2431" i="50" s="1"/>
  <c r="C2432" i="50" s="1"/>
  <c r="R85" i="41"/>
  <c r="T316" i="41"/>
  <c r="T317" i="41" s="1"/>
  <c r="T318" i="41" s="1"/>
  <c r="T324" i="41" s="1"/>
  <c r="T325" i="41" s="1"/>
  <c r="T326" i="41" s="1"/>
  <c r="T360" i="41" s="1"/>
  <c r="T376" i="41" s="1"/>
  <c r="R281" i="41"/>
  <c r="N473" i="50"/>
  <c r="M473" i="50"/>
  <c r="L473" i="50"/>
  <c r="K473" i="50"/>
  <c r="N471" i="50"/>
  <c r="M471" i="50"/>
  <c r="L471" i="50"/>
  <c r="K471" i="50"/>
  <c r="N470" i="50"/>
  <c r="M470" i="50"/>
  <c r="L470" i="50"/>
  <c r="K470" i="50"/>
  <c r="N469" i="50"/>
  <c r="M469" i="50"/>
  <c r="L469" i="50"/>
  <c r="K469" i="50"/>
  <c r="N468" i="50"/>
  <c r="M468" i="50"/>
  <c r="L468" i="50"/>
  <c r="K468" i="50"/>
  <c r="J473" i="50"/>
  <c r="J471" i="50"/>
  <c r="J470" i="50"/>
  <c r="J469" i="50"/>
  <c r="J468" i="50"/>
  <c r="M465" i="50"/>
  <c r="N456" i="50"/>
  <c r="M456" i="50"/>
  <c r="L456" i="50"/>
  <c r="K456" i="50"/>
  <c r="J456" i="50"/>
  <c r="N442" i="50"/>
  <c r="M442" i="50"/>
  <c r="L442" i="50"/>
  <c r="K442" i="50"/>
  <c r="J442" i="50"/>
  <c r="N412" i="50"/>
  <c r="M412" i="50"/>
  <c r="L412" i="50"/>
  <c r="K412" i="50"/>
  <c r="J412" i="50"/>
  <c r="N411" i="50"/>
  <c r="M411" i="50"/>
  <c r="L411" i="50"/>
  <c r="K411" i="50"/>
  <c r="J411" i="50"/>
  <c r="N410" i="50"/>
  <c r="M410" i="50"/>
  <c r="L410" i="50"/>
  <c r="K410" i="50"/>
  <c r="N405" i="50"/>
  <c r="M405" i="50"/>
  <c r="L405" i="50"/>
  <c r="K405" i="50"/>
  <c r="J405" i="50"/>
  <c r="N404" i="50"/>
  <c r="M404" i="50"/>
  <c r="L404" i="50"/>
  <c r="K404" i="50"/>
  <c r="J404" i="50"/>
  <c r="N403" i="50"/>
  <c r="M403" i="50"/>
  <c r="L403" i="50"/>
  <c r="K403" i="50"/>
  <c r="E405" i="50"/>
  <c r="E404" i="50"/>
  <c r="E412" i="50"/>
  <c r="E411" i="50"/>
  <c r="E410" i="50"/>
  <c r="J410" i="50"/>
  <c r="J403" i="50"/>
  <c r="E403" i="50"/>
  <c r="D378" i="50"/>
  <c r="D392" i="50"/>
  <c r="D398" i="50"/>
  <c r="D401" i="50"/>
  <c r="D408" i="50"/>
  <c r="D415" i="50"/>
  <c r="D418" i="50"/>
  <c r="D432" i="50"/>
  <c r="D441" i="50"/>
  <c r="D444" i="50"/>
  <c r="D459" i="50"/>
  <c r="G461" i="50"/>
  <c r="E352" i="50"/>
  <c r="E351" i="50"/>
  <c r="E350" i="50"/>
  <c r="E348" i="50"/>
  <c r="N265" i="50"/>
  <c r="M265" i="50"/>
  <c r="L265" i="50"/>
  <c r="K265" i="50"/>
  <c r="N275" i="50"/>
  <c r="M275" i="50"/>
  <c r="L275" i="50"/>
  <c r="K275" i="50"/>
  <c r="N274" i="50"/>
  <c r="M274" i="50"/>
  <c r="L274" i="50"/>
  <c r="K274" i="50"/>
  <c r="N273" i="50"/>
  <c r="M273" i="50"/>
  <c r="L273" i="50"/>
  <c r="K273" i="50"/>
  <c r="N282" i="50"/>
  <c r="M282" i="50"/>
  <c r="L282" i="50"/>
  <c r="K282" i="50"/>
  <c r="N281" i="50"/>
  <c r="M281" i="50"/>
  <c r="L281" i="50"/>
  <c r="K281" i="50"/>
  <c r="N280" i="50"/>
  <c r="M280" i="50"/>
  <c r="L280" i="50"/>
  <c r="K280" i="50"/>
  <c r="J280" i="50"/>
  <c r="J281" i="50"/>
  <c r="J282" i="50"/>
  <c r="N286" i="50"/>
  <c r="M286" i="50"/>
  <c r="L286" i="50"/>
  <c r="K286" i="50"/>
  <c r="N296" i="50"/>
  <c r="M296" i="50"/>
  <c r="L296" i="50"/>
  <c r="K296" i="50"/>
  <c r="N298" i="50"/>
  <c r="M298" i="50"/>
  <c r="L298" i="50"/>
  <c r="K298" i="50"/>
  <c r="N311" i="50"/>
  <c r="M311" i="50"/>
  <c r="L311" i="50"/>
  <c r="K311" i="50"/>
  <c r="N310" i="50"/>
  <c r="M310" i="50"/>
  <c r="L310" i="50"/>
  <c r="K310" i="50"/>
  <c r="N309" i="50"/>
  <c r="M309" i="50"/>
  <c r="L309" i="50"/>
  <c r="K309" i="50"/>
  <c r="N308" i="50"/>
  <c r="M308" i="50"/>
  <c r="L308" i="50"/>
  <c r="K308" i="50"/>
  <c r="N307" i="50"/>
  <c r="M307" i="50"/>
  <c r="L307" i="50"/>
  <c r="K307" i="50"/>
  <c r="N306" i="50"/>
  <c r="M306" i="50"/>
  <c r="L306" i="50"/>
  <c r="K306" i="50"/>
  <c r="N305" i="50"/>
  <c r="M305" i="50"/>
  <c r="L305" i="50"/>
  <c r="K305" i="50"/>
  <c r="N304" i="50"/>
  <c r="M304" i="50"/>
  <c r="L304" i="50"/>
  <c r="K304" i="50"/>
  <c r="N303" i="50"/>
  <c r="M303" i="50"/>
  <c r="L303" i="50"/>
  <c r="K303" i="50"/>
  <c r="N302" i="50"/>
  <c r="M302" i="50"/>
  <c r="L302" i="50"/>
  <c r="K302" i="50"/>
  <c r="N329" i="50"/>
  <c r="M329" i="50"/>
  <c r="L329" i="50"/>
  <c r="K329" i="50"/>
  <c r="N328" i="50"/>
  <c r="M328" i="50"/>
  <c r="L328" i="50"/>
  <c r="K328" i="50"/>
  <c r="N327" i="50"/>
  <c r="M327" i="50"/>
  <c r="L327" i="50"/>
  <c r="K327" i="50"/>
  <c r="N326" i="50"/>
  <c r="M326" i="50"/>
  <c r="L326" i="50"/>
  <c r="K326" i="50"/>
  <c r="N325" i="50"/>
  <c r="M325" i="50"/>
  <c r="L325" i="50"/>
  <c r="K325" i="50"/>
  <c r="N344" i="50"/>
  <c r="M344" i="50"/>
  <c r="L344" i="50"/>
  <c r="K344" i="50"/>
  <c r="N351" i="50"/>
  <c r="M351" i="50"/>
  <c r="L351" i="50"/>
  <c r="K351" i="50"/>
  <c r="N350" i="50"/>
  <c r="M350" i="50"/>
  <c r="L350" i="50"/>
  <c r="K350" i="50"/>
  <c r="N349" i="50"/>
  <c r="M349" i="50"/>
  <c r="L349" i="50"/>
  <c r="K349" i="50"/>
  <c r="N348" i="50"/>
  <c r="M348" i="50"/>
  <c r="L348" i="50"/>
  <c r="K348" i="50"/>
  <c r="E282" i="50"/>
  <c r="E281" i="50"/>
  <c r="E280" i="50"/>
  <c r="E275" i="50"/>
  <c r="E274" i="50"/>
  <c r="E273" i="50"/>
  <c r="E329" i="50"/>
  <c r="E328" i="50"/>
  <c r="E327" i="50"/>
  <c r="E326" i="50"/>
  <c r="E325" i="50"/>
  <c r="J351" i="50"/>
  <c r="J350" i="50"/>
  <c r="J349" i="50"/>
  <c r="J348" i="50"/>
  <c r="J344" i="50"/>
  <c r="J329" i="50"/>
  <c r="J328" i="50"/>
  <c r="J327" i="50"/>
  <c r="J326" i="50"/>
  <c r="J325" i="50"/>
  <c r="J311" i="50"/>
  <c r="J310" i="50"/>
  <c r="J309" i="50"/>
  <c r="J308" i="50"/>
  <c r="J307" i="50"/>
  <c r="J306" i="50"/>
  <c r="J305" i="50"/>
  <c r="J304" i="50"/>
  <c r="J303" i="50"/>
  <c r="J302" i="50"/>
  <c r="J298" i="50"/>
  <c r="J296" i="50"/>
  <c r="J286" i="50"/>
  <c r="J275" i="50"/>
  <c r="J274" i="50"/>
  <c r="J273" i="50"/>
  <c r="D259" i="50"/>
  <c r="D271" i="50"/>
  <c r="D278" i="50"/>
  <c r="D285" i="50"/>
  <c r="D288" i="50"/>
  <c r="D291" i="50"/>
  <c r="G292" i="50"/>
  <c r="D294" i="50"/>
  <c r="D300" i="50"/>
  <c r="G318" i="50"/>
  <c r="G321" i="50"/>
  <c r="D323" i="50"/>
  <c r="D332" i="50"/>
  <c r="D340" i="50"/>
  <c r="G341" i="50"/>
  <c r="D343" i="50"/>
  <c r="D346" i="50"/>
  <c r="D355" i="50"/>
  <c r="G358" i="50"/>
  <c r="D360" i="50"/>
  <c r="D363" i="50"/>
  <c r="N200" i="50"/>
  <c r="M200" i="50"/>
  <c r="L200" i="50"/>
  <c r="K200" i="50"/>
  <c r="N199" i="50"/>
  <c r="M199" i="50"/>
  <c r="L199" i="50"/>
  <c r="K199" i="50"/>
  <c r="N198" i="50"/>
  <c r="M198" i="50"/>
  <c r="L198" i="50"/>
  <c r="K198" i="50"/>
  <c r="N197" i="50"/>
  <c r="M197" i="50"/>
  <c r="L197" i="50"/>
  <c r="K197" i="50"/>
  <c r="N212" i="50"/>
  <c r="M212" i="50"/>
  <c r="L212" i="50"/>
  <c r="K212" i="50"/>
  <c r="N211" i="50"/>
  <c r="M211" i="50"/>
  <c r="L211" i="50"/>
  <c r="K211" i="50"/>
  <c r="N210" i="50"/>
  <c r="M210" i="50"/>
  <c r="L210" i="50"/>
  <c r="K210" i="50"/>
  <c r="N209" i="50"/>
  <c r="M209" i="50"/>
  <c r="L209" i="50"/>
  <c r="K209" i="50"/>
  <c r="N216" i="50"/>
  <c r="K216" i="50"/>
  <c r="G211" i="50"/>
  <c r="J212" i="50"/>
  <c r="J211" i="50"/>
  <c r="J210" i="50"/>
  <c r="J209" i="50"/>
  <c r="H207" i="50"/>
  <c r="L206" i="50"/>
  <c r="N204" i="50"/>
  <c r="K204" i="50"/>
  <c r="G199" i="50"/>
  <c r="J200" i="50"/>
  <c r="J199" i="50"/>
  <c r="J198" i="50"/>
  <c r="J197" i="50"/>
  <c r="H195" i="50"/>
  <c r="L194" i="50"/>
  <c r="N171" i="50"/>
  <c r="M171" i="50"/>
  <c r="L171" i="50"/>
  <c r="K171" i="50"/>
  <c r="N170" i="50"/>
  <c r="M170" i="50"/>
  <c r="L170" i="50"/>
  <c r="K170" i="50"/>
  <c r="N176" i="50"/>
  <c r="M176" i="50"/>
  <c r="L176" i="50"/>
  <c r="K176" i="50"/>
  <c r="N175" i="50"/>
  <c r="M175" i="50"/>
  <c r="L175" i="50"/>
  <c r="K175" i="50"/>
  <c r="N183" i="50"/>
  <c r="M183" i="50"/>
  <c r="L183" i="50"/>
  <c r="K183" i="50"/>
  <c r="N182" i="50"/>
  <c r="M182" i="50"/>
  <c r="L182" i="50"/>
  <c r="K182" i="50"/>
  <c r="J183" i="50"/>
  <c r="J182" i="50"/>
  <c r="J176" i="50"/>
  <c r="J175" i="50"/>
  <c r="J171" i="50"/>
  <c r="J170" i="50"/>
  <c r="N158" i="50"/>
  <c r="M158" i="50"/>
  <c r="L158" i="50"/>
  <c r="K158" i="50"/>
  <c r="N157" i="50"/>
  <c r="M157" i="50"/>
  <c r="L157" i="50"/>
  <c r="K157" i="50"/>
  <c r="J158" i="50"/>
  <c r="J157" i="50"/>
  <c r="N146" i="50"/>
  <c r="M146" i="50"/>
  <c r="L146" i="50"/>
  <c r="K146" i="50"/>
  <c r="N145" i="50"/>
  <c r="M145" i="50"/>
  <c r="L145" i="50"/>
  <c r="K145" i="50"/>
  <c r="J146" i="50"/>
  <c r="J145" i="50"/>
  <c r="N151" i="50"/>
  <c r="M151" i="50"/>
  <c r="L151" i="50"/>
  <c r="K151" i="50"/>
  <c r="N150" i="50"/>
  <c r="M150" i="50"/>
  <c r="L150" i="50"/>
  <c r="K150" i="50"/>
  <c r="J151" i="50"/>
  <c r="J150" i="50"/>
  <c r="M142" i="50"/>
  <c r="M167" i="50" s="1"/>
  <c r="G155" i="50"/>
  <c r="G156" i="50"/>
  <c r="G157" i="50"/>
  <c r="G158" i="50"/>
  <c r="G180" i="50"/>
  <c r="G181" i="50"/>
  <c r="G182" i="50"/>
  <c r="G183" i="50"/>
  <c r="P321" i="34"/>
  <c r="P322" i="34"/>
  <c r="P323" i="34"/>
  <c r="P319" i="34"/>
  <c r="P318" i="34"/>
  <c r="P262" i="34"/>
  <c r="P263" i="34"/>
  <c r="P264" i="34"/>
  <c r="P265" i="34"/>
  <c r="P266" i="34"/>
  <c r="P267" i="34"/>
  <c r="P269" i="34"/>
  <c r="P270" i="34"/>
  <c r="P271" i="34"/>
  <c r="P272" i="34"/>
  <c r="P273" i="34"/>
  <c r="P274" i="34"/>
  <c r="P275" i="34"/>
  <c r="P276" i="34"/>
  <c r="P277" i="34"/>
  <c r="P278" i="34"/>
  <c r="P279" i="34"/>
  <c r="P280" i="34"/>
  <c r="P281" i="34"/>
  <c r="P282" i="34"/>
  <c r="P283" i="34"/>
  <c r="P284" i="34"/>
  <c r="P285" i="34"/>
  <c r="P286" i="34"/>
  <c r="P287" i="34"/>
  <c r="P288" i="34"/>
  <c r="P289" i="34"/>
  <c r="P290" i="34"/>
  <c r="P291" i="34"/>
  <c r="P292" i="34"/>
  <c r="P293" i="34"/>
  <c r="P294" i="34"/>
  <c r="P295" i="34"/>
  <c r="P296" i="34"/>
  <c r="P297" i="34"/>
  <c r="P298" i="34"/>
  <c r="P299" i="34"/>
  <c r="P300" i="34"/>
  <c r="P301" i="34"/>
  <c r="P302" i="34"/>
  <c r="P303" i="34"/>
  <c r="P304" i="34"/>
  <c r="P305" i="34"/>
  <c r="P306" i="34"/>
  <c r="P307" i="34"/>
  <c r="P308" i="34"/>
  <c r="P309" i="34"/>
  <c r="P310" i="34"/>
  <c r="P311" i="34"/>
  <c r="P313" i="34"/>
  <c r="P314" i="34"/>
  <c r="P261" i="34"/>
  <c r="N460" i="47"/>
  <c r="N441" i="41"/>
  <c r="M441" i="41"/>
  <c r="Y170" i="49"/>
  <c r="Y174" i="49" s="1"/>
  <c r="N232" i="42"/>
  <c r="M232" i="42"/>
  <c r="L232" i="42"/>
  <c r="K232" i="42"/>
  <c r="J232" i="42"/>
  <c r="Q304" i="41"/>
  <c r="Q303" i="41"/>
  <c r="X252" i="49"/>
  <c r="W252" i="49"/>
  <c r="V252" i="49"/>
  <c r="U252" i="49"/>
  <c r="T252" i="49"/>
  <c r="X203" i="49"/>
  <c r="W203" i="49"/>
  <c r="V203" i="49"/>
  <c r="U203" i="49"/>
  <c r="T203" i="49"/>
  <c r="Q252" i="49"/>
  <c r="Q203" i="49"/>
  <c r="N215" i="37"/>
  <c r="M215" i="37"/>
  <c r="L215" i="37"/>
  <c r="K215" i="37"/>
  <c r="J215" i="37"/>
  <c r="Q13" i="37"/>
  <c r="R111" i="49"/>
  <c r="R224" i="49"/>
  <c r="N130" i="49"/>
  <c r="N136" i="49" s="1"/>
  <c r="M130" i="49"/>
  <c r="M136" i="49" s="1"/>
  <c r="M180" i="50" s="1"/>
  <c r="L130" i="49"/>
  <c r="L136" i="49" s="1"/>
  <c r="L180" i="50" s="1"/>
  <c r="K130" i="49"/>
  <c r="K177" i="50" s="1"/>
  <c r="J130" i="49"/>
  <c r="J136" i="49" s="1"/>
  <c r="L225" i="37"/>
  <c r="N225" i="37"/>
  <c r="M225" i="37"/>
  <c r="K225" i="37"/>
  <c r="J225" i="37"/>
  <c r="Y57" i="49"/>
  <c r="Y62" i="49" s="1"/>
  <c r="R54" i="37"/>
  <c r="N25" i="49"/>
  <c r="N27" i="49" s="1"/>
  <c r="M25" i="49"/>
  <c r="M27" i="49" s="1"/>
  <c r="L25" i="49"/>
  <c r="L27" i="49" s="1"/>
  <c r="K25" i="49"/>
  <c r="K27" i="49" s="1"/>
  <c r="J25" i="49"/>
  <c r="J27" i="49" s="1"/>
  <c r="N62" i="37"/>
  <c r="M62" i="37"/>
  <c r="L62" i="37"/>
  <c r="K62" i="37"/>
  <c r="J62" i="37"/>
  <c r="H194" i="34"/>
  <c r="I194" i="34" s="1"/>
  <c r="J194" i="34" s="1"/>
  <c r="K194" i="34" s="1"/>
  <c r="Q13" i="42"/>
  <c r="N327" i="41"/>
  <c r="N413" i="50" s="1"/>
  <c r="M327" i="41"/>
  <c r="M413" i="50" s="1"/>
  <c r="L327" i="41"/>
  <c r="L413" i="50" s="1"/>
  <c r="K327" i="41"/>
  <c r="K413" i="50" s="1"/>
  <c r="J327" i="41"/>
  <c r="J413" i="50" s="1"/>
  <c r="N319" i="41"/>
  <c r="N406" i="50" s="1"/>
  <c r="M319" i="41"/>
  <c r="M406" i="50" s="1"/>
  <c r="L319" i="41"/>
  <c r="L406" i="50" s="1"/>
  <c r="K319" i="41"/>
  <c r="K406" i="50" s="1"/>
  <c r="J319" i="41"/>
  <c r="J406" i="50" s="1"/>
  <c r="N75" i="49"/>
  <c r="N152" i="50" s="1"/>
  <c r="M75" i="49"/>
  <c r="M83" i="49" s="1"/>
  <c r="M155" i="50" s="1"/>
  <c r="L75" i="49"/>
  <c r="L152" i="50" s="1"/>
  <c r="T399" i="41"/>
  <c r="T403" i="41" s="1"/>
  <c r="N169" i="37"/>
  <c r="N166" i="37" s="1"/>
  <c r="N167" i="37" s="1"/>
  <c r="M169" i="37"/>
  <c r="M166" i="37" s="1"/>
  <c r="M167" i="37" s="1"/>
  <c r="L169" i="37"/>
  <c r="L166" i="37" s="1"/>
  <c r="L167" i="37" s="1"/>
  <c r="K169" i="37"/>
  <c r="K166" i="37" s="1"/>
  <c r="K167" i="37" s="1"/>
  <c r="J169" i="37"/>
  <c r="J166" i="37" s="1"/>
  <c r="J167" i="37" s="1"/>
  <c r="N168" i="37"/>
  <c r="M168" i="37"/>
  <c r="L168" i="37"/>
  <c r="K168" i="37"/>
  <c r="J168" i="37"/>
  <c r="K156" i="37"/>
  <c r="L156" i="37"/>
  <c r="M156" i="37"/>
  <c r="N156" i="37"/>
  <c r="K157" i="37"/>
  <c r="K154" i="37" s="1"/>
  <c r="K155" i="37" s="1"/>
  <c r="L157" i="37"/>
  <c r="L154" i="37" s="1"/>
  <c r="L155" i="37" s="1"/>
  <c r="M157" i="37"/>
  <c r="M154" i="37" s="1"/>
  <c r="M155" i="37" s="1"/>
  <c r="N157" i="37"/>
  <c r="N154" i="37" s="1"/>
  <c r="N155" i="37" s="1"/>
  <c r="J157" i="37"/>
  <c r="J154" i="37" s="1"/>
  <c r="J155" i="37" s="1"/>
  <c r="J206" i="37"/>
  <c r="J156" i="37"/>
  <c r="N259" i="37"/>
  <c r="M259" i="37"/>
  <c r="L259" i="37"/>
  <c r="K259" i="37"/>
  <c r="J259" i="37"/>
  <c r="N250" i="37"/>
  <c r="Z250" i="37" s="1"/>
  <c r="M250" i="37"/>
  <c r="Y250" i="37" s="1"/>
  <c r="L250" i="37"/>
  <c r="X250" i="37" s="1"/>
  <c r="K250" i="37"/>
  <c r="W250" i="37" s="1"/>
  <c r="J250" i="37"/>
  <c r="V250" i="37" s="1"/>
  <c r="K75" i="49"/>
  <c r="K152" i="50" s="1"/>
  <c r="J75" i="49"/>
  <c r="J152" i="50" s="1"/>
  <c r="H257" i="49"/>
  <c r="H207" i="49"/>
  <c r="B191" i="34"/>
  <c r="N179" i="41"/>
  <c r="N312" i="50" s="1"/>
  <c r="M179" i="41"/>
  <c r="M460" i="41" s="1"/>
  <c r="L179" i="41"/>
  <c r="K179" i="41"/>
  <c r="K460" i="41" s="1"/>
  <c r="J179" i="41"/>
  <c r="J460" i="41" s="1"/>
  <c r="L263" i="34"/>
  <c r="L267" i="34"/>
  <c r="M141" i="41"/>
  <c r="M131" i="41"/>
  <c r="M276" i="50" s="1"/>
  <c r="M204" i="41"/>
  <c r="M330" i="50" s="1"/>
  <c r="L141" i="41"/>
  <c r="L131" i="41"/>
  <c r="L276" i="50" s="1"/>
  <c r="L204" i="41"/>
  <c r="L330" i="50" s="1"/>
  <c r="J141" i="41"/>
  <c r="J131" i="41"/>
  <c r="J276" i="50" s="1"/>
  <c r="J204" i="41"/>
  <c r="J467" i="41" s="1"/>
  <c r="A11" i="10"/>
  <c r="A13" i="10" s="1"/>
  <c r="A15" i="10" s="1"/>
  <c r="A16" i="10" s="1"/>
  <c r="A18" i="10" s="1"/>
  <c r="A22" i="10" s="1"/>
  <c r="A24" i="10" s="1"/>
  <c r="A25" i="10" s="1"/>
  <c r="A26" i="10" s="1"/>
  <c r="A34" i="10" s="1"/>
  <c r="A47" i="10" s="1"/>
  <c r="A48" i="10" s="1"/>
  <c r="A49" i="10" s="1"/>
  <c r="A50" i="10" s="1"/>
  <c r="A52" i="10" s="1"/>
  <c r="J102" i="37"/>
  <c r="R49" i="37"/>
  <c r="K141" i="41"/>
  <c r="K102" i="37"/>
  <c r="K131" i="41"/>
  <c r="K276" i="50" s="1"/>
  <c r="K204" i="41"/>
  <c r="K330" i="50" s="1"/>
  <c r="L102" i="37"/>
  <c r="M102" i="37"/>
  <c r="N141" i="41"/>
  <c r="N131" i="41"/>
  <c r="N276" i="50" s="1"/>
  <c r="N204" i="41"/>
  <c r="N330" i="50" s="1"/>
  <c r="Q2843" i="37"/>
  <c r="N102" i="37"/>
  <c r="J409" i="41"/>
  <c r="J472" i="50" s="1"/>
  <c r="K409" i="41"/>
  <c r="K472" i="50" s="1"/>
  <c r="L409" i="41"/>
  <c r="L472" i="50" s="1"/>
  <c r="M409" i="41"/>
  <c r="M472" i="50" s="1"/>
  <c r="N409" i="41"/>
  <c r="N472" i="50" s="1"/>
  <c r="B35" i="34"/>
  <c r="B66" i="34"/>
  <c r="C65" i="34" s="1"/>
  <c r="E424" i="43"/>
  <c r="E425" i="43" s="1"/>
  <c r="E426" i="43" s="1"/>
  <c r="E427" i="43" s="1"/>
  <c r="E428" i="43" s="1"/>
  <c r="E429" i="43" s="1"/>
  <c r="E430" i="43" s="1"/>
  <c r="E431" i="43" s="1"/>
  <c r="E432" i="43" s="1"/>
  <c r="J95" i="47"/>
  <c r="K95" i="47"/>
  <c r="M95" i="47"/>
  <c r="L265" i="34"/>
  <c r="M208" i="47"/>
  <c r="N208" i="47"/>
  <c r="M209" i="47"/>
  <c r="N209" i="47"/>
  <c r="M210" i="47"/>
  <c r="N210" i="47"/>
  <c r="L314" i="34"/>
  <c r="L282" i="34"/>
  <c r="B33" i="34"/>
  <c r="B37" i="34"/>
  <c r="D65" i="34" s="1"/>
  <c r="K265" i="34"/>
  <c r="K263" i="34"/>
  <c r="L95" i="47"/>
  <c r="N95" i="47"/>
  <c r="K282" i="34"/>
  <c r="K314" i="34"/>
  <c r="K267" i="34"/>
  <c r="L313" i="34"/>
  <c r="L311" i="34"/>
  <c r="L308" i="34"/>
  <c r="L307" i="34"/>
  <c r="L304" i="34"/>
  <c r="L303" i="34"/>
  <c r="L274" i="34"/>
  <c r="L273" i="34"/>
  <c r="L310" i="34"/>
  <c r="L309" i="34"/>
  <c r="L306" i="34"/>
  <c r="L305" i="34"/>
  <c r="L302" i="34"/>
  <c r="L301" i="34"/>
  <c r="L300" i="34"/>
  <c r="L299" i="34"/>
  <c r="L298" i="34"/>
  <c r="L297" i="34"/>
  <c r="L296" i="34"/>
  <c r="L295" i="34"/>
  <c r="L294" i="34"/>
  <c r="L293" i="34"/>
  <c r="L292" i="34"/>
  <c r="L291" i="34"/>
  <c r="L290" i="34"/>
  <c r="L289" i="34"/>
  <c r="L288" i="34"/>
  <c r="L287" i="34"/>
  <c r="L286" i="34"/>
  <c r="L285" i="34"/>
  <c r="L284" i="34"/>
  <c r="L283" i="34"/>
  <c r="L281" i="34"/>
  <c r="L280" i="34"/>
  <c r="L279" i="34"/>
  <c r="L278" i="34"/>
  <c r="L277" i="34"/>
  <c r="L276" i="34"/>
  <c r="L275" i="34"/>
  <c r="L272" i="34"/>
  <c r="L271" i="34"/>
  <c r="L270" i="34"/>
  <c r="L269" i="34"/>
  <c r="L266" i="34"/>
  <c r="L264" i="34"/>
  <c r="L262" i="34"/>
  <c r="L261" i="34"/>
  <c r="B41" i="34"/>
  <c r="E76" i="42"/>
  <c r="E95" i="42" s="1"/>
  <c r="D68" i="42"/>
  <c r="D69" i="42" s="1"/>
  <c r="D70" i="42" s="1"/>
  <c r="D71" i="42" s="1"/>
  <c r="D72" i="42" s="1"/>
  <c r="D73" i="42" s="1"/>
  <c r="D74" i="42" s="1"/>
  <c r="D75" i="42" s="1"/>
  <c r="D76" i="42" s="1"/>
  <c r="E75" i="42"/>
  <c r="E74" i="42"/>
  <c r="E93" i="42" s="1"/>
  <c r="E73" i="42"/>
  <c r="E72" i="42"/>
  <c r="E71" i="42"/>
  <c r="E70" i="42"/>
  <c r="E89" i="42" s="1"/>
  <c r="E69" i="42"/>
  <c r="E88" i="42" s="1"/>
  <c r="E68" i="42"/>
  <c r="E67" i="42"/>
  <c r="D52" i="42"/>
  <c r="D53" i="42" s="1"/>
  <c r="D54" i="42" s="1"/>
  <c r="D55" i="42" s="1"/>
  <c r="D56" i="42" s="1"/>
  <c r="D57" i="42" s="1"/>
  <c r="D58" i="42" s="1"/>
  <c r="D59" i="42" s="1"/>
  <c r="D60" i="42" s="1"/>
  <c r="D93" i="37"/>
  <c r="D94" i="37" s="1"/>
  <c r="D95" i="37" s="1"/>
  <c r="D96" i="37" s="1"/>
  <c r="D97" i="37" s="1"/>
  <c r="D98" i="37" s="1"/>
  <c r="D99" i="37" s="1"/>
  <c r="D100" i="37" s="1"/>
  <c r="D101" i="37" s="1"/>
  <c r="N270" i="47"/>
  <c r="M270" i="47"/>
  <c r="L270" i="47"/>
  <c r="K270" i="47"/>
  <c r="J270" i="47"/>
  <c r="N405" i="47"/>
  <c r="M405" i="47"/>
  <c r="L405" i="47"/>
  <c r="K405" i="47"/>
  <c r="J405" i="47"/>
  <c r="K262" i="34"/>
  <c r="K264" i="34"/>
  <c r="K266" i="34"/>
  <c r="K269" i="34"/>
  <c r="K270" i="34"/>
  <c r="K271" i="34"/>
  <c r="K272" i="34"/>
  <c r="K276" i="34"/>
  <c r="K277" i="34"/>
  <c r="K278" i="34"/>
  <c r="K279" i="34"/>
  <c r="K280" i="34"/>
  <c r="K281" i="34"/>
  <c r="K283" i="34"/>
  <c r="K284" i="34"/>
  <c r="K285" i="34"/>
  <c r="K286" i="34"/>
  <c r="K287" i="34"/>
  <c r="K291" i="34"/>
  <c r="K292" i="34"/>
  <c r="K293" i="34"/>
  <c r="K294" i="34"/>
  <c r="K295" i="34"/>
  <c r="K296" i="34"/>
  <c r="K297" i="34"/>
  <c r="K298" i="34"/>
  <c r="K299" i="34"/>
  <c r="K301" i="34"/>
  <c r="K302" i="34"/>
  <c r="K305" i="34"/>
  <c r="K306" i="34"/>
  <c r="K309" i="34"/>
  <c r="K310" i="34"/>
  <c r="J129" i="47"/>
  <c r="K129" i="47"/>
  <c r="L129" i="47"/>
  <c r="M129" i="47"/>
  <c r="N129" i="47"/>
  <c r="J163" i="47"/>
  <c r="K163" i="47"/>
  <c r="L163" i="47"/>
  <c r="M163" i="47"/>
  <c r="N163" i="47"/>
  <c r="M197" i="47"/>
  <c r="N197" i="47"/>
  <c r="J428" i="47"/>
  <c r="J434" i="47" s="1"/>
  <c r="K428" i="47"/>
  <c r="K434" i="47" s="1"/>
  <c r="L428" i="47"/>
  <c r="L434" i="47" s="1"/>
  <c r="M428" i="47"/>
  <c r="M434" i="47" s="1"/>
  <c r="N428" i="47"/>
  <c r="N434" i="47" s="1"/>
  <c r="E228" i="43"/>
  <c r="E229" i="43" s="1"/>
  <c r="E230" i="43" s="1"/>
  <c r="E231" i="43" s="1"/>
  <c r="G56" i="9"/>
  <c r="L206" i="37"/>
  <c r="L441" i="41"/>
  <c r="M206" i="37"/>
  <c r="K206" i="37"/>
  <c r="N206" i="37"/>
  <c r="J162" i="41"/>
  <c r="J454" i="41" s="1"/>
  <c r="L162" i="41"/>
  <c r="L454" i="41" s="1"/>
  <c r="M162" i="41"/>
  <c r="M297" i="50" s="1"/>
  <c r="J352" i="50"/>
  <c r="J234" i="41"/>
  <c r="J353" i="50" s="1"/>
  <c r="K234" i="41"/>
  <c r="K353" i="50" s="1"/>
  <c r="K352" i="50"/>
  <c r="K162" i="41"/>
  <c r="K297" i="50" s="1"/>
  <c r="N162" i="41"/>
  <c r="N454" i="41" s="1"/>
  <c r="L352" i="50"/>
  <c r="L234" i="41"/>
  <c r="L353" i="50" s="1"/>
  <c r="N443" i="41"/>
  <c r="L443" i="41"/>
  <c r="M443" i="41"/>
  <c r="M352" i="50"/>
  <c r="M234" i="41"/>
  <c r="M353" i="50" s="1"/>
  <c r="N234" i="41"/>
  <c r="N353" i="50" s="1"/>
  <c r="N352" i="50"/>
  <c r="L453" i="41"/>
  <c r="K453" i="41"/>
  <c r="M453" i="41"/>
  <c r="N453" i="41"/>
  <c r="N438" i="41"/>
  <c r="N372" i="50" s="1"/>
  <c r="N436" i="41"/>
  <c r="N370" i="50" s="1"/>
  <c r="L436" i="41"/>
  <c r="L370" i="50" s="1"/>
  <c r="M436" i="41"/>
  <c r="M370" i="50" s="1"/>
  <c r="N435" i="41"/>
  <c r="N369" i="50" s="1"/>
  <c r="L208" i="47"/>
  <c r="I208" i="47"/>
  <c r="I197" i="47"/>
  <c r="J208" i="47"/>
  <c r="L210" i="47"/>
  <c r="H162" i="41"/>
  <c r="L209" i="47"/>
  <c r="L197" i="47"/>
  <c r="K460" i="47"/>
  <c r="M460" i="47"/>
  <c r="L460" i="47"/>
  <c r="Y76" i="43"/>
  <c r="J29" i="50"/>
  <c r="R14" i="43"/>
  <c r="W60" i="37"/>
  <c r="V60" i="37"/>
  <c r="X60" i="37"/>
  <c r="M29" i="50"/>
  <c r="L435" i="41"/>
  <c r="L369" i="50" s="1"/>
  <c r="J441" i="41"/>
  <c r="K441" i="41"/>
  <c r="L96" i="42"/>
  <c r="T60" i="37"/>
  <c r="U60" i="37"/>
  <c r="K208" i="47"/>
  <c r="J209" i="47"/>
  <c r="K209" i="47"/>
  <c r="J197" i="47"/>
  <c r="K210" i="47"/>
  <c r="J210" i="47"/>
  <c r="K197" i="47"/>
  <c r="B56" i="34"/>
  <c r="J460" i="47"/>
  <c r="H460" i="47"/>
  <c r="I460" i="47"/>
  <c r="C36" i="9"/>
  <c r="I3" i="47"/>
  <c r="J443" i="41"/>
  <c r="K443" i="41"/>
  <c r="I443" i="41"/>
  <c r="H443" i="41"/>
  <c r="I441" i="41"/>
  <c r="H441" i="41"/>
  <c r="I4" i="47"/>
  <c r="K310" i="47"/>
  <c r="K312" i="47"/>
  <c r="K318" i="47"/>
  <c r="L312" i="47"/>
  <c r="M31" i="50"/>
  <c r="E105" i="50"/>
  <c r="E435" i="41"/>
  <c r="E262" i="41" s="1"/>
  <c r="E267" i="41" s="1"/>
  <c r="M311" i="47"/>
  <c r="I1782" i="50"/>
  <c r="E350" i="41"/>
  <c r="Q350" i="41" s="1"/>
  <c r="E112" i="50"/>
  <c r="E135" i="50" s="1"/>
  <c r="E111" i="50"/>
  <c r="E134" i="50" s="1"/>
  <c r="E255" i="50" s="1"/>
  <c r="E441" i="41"/>
  <c r="E355" i="41"/>
  <c r="Q355" i="41" s="1"/>
  <c r="E45" i="41"/>
  <c r="E58" i="41" s="1"/>
  <c r="E226" i="50" s="1"/>
  <c r="I13" i="42"/>
  <c r="Q199" i="42" s="1"/>
  <c r="E101" i="62"/>
  <c r="E57" i="62"/>
  <c r="M57" i="62" s="1"/>
  <c r="E137" i="62"/>
  <c r="M312" i="47"/>
  <c r="N311" i="47"/>
  <c r="N312" i="47"/>
  <c r="N318" i="47"/>
  <c r="N319" i="47" s="1"/>
  <c r="N321" i="47" s="1"/>
  <c r="G7" i="9"/>
  <c r="Q323" i="34"/>
  <c r="V11" i="43"/>
  <c r="Q261" i="34"/>
  <c r="Q322" i="34"/>
  <c r="T228" i="37"/>
  <c r="Q319" i="34"/>
  <c r="Q318" i="34"/>
  <c r="G62" i="9"/>
  <c r="Q321" i="34"/>
  <c r="Q264" i="34"/>
  <c r="H470" i="47"/>
  <c r="M435" i="41"/>
  <c r="M369" i="50" s="1"/>
  <c r="L438" i="41"/>
  <c r="L372" i="50" s="1"/>
  <c r="M438" i="41"/>
  <c r="M372" i="50" s="1"/>
  <c r="S302" i="34" l="1"/>
  <c r="S282" i="34"/>
  <c r="Q456" i="47"/>
  <c r="P1564" i="50"/>
  <c r="P1180" i="50"/>
  <c r="P668" i="50"/>
  <c r="P1436" i="50"/>
  <c r="P1692" i="50"/>
  <c r="P1052" i="50"/>
  <c r="P924" i="50"/>
  <c r="P1308" i="50"/>
  <c r="P796" i="50"/>
  <c r="D628" i="50"/>
  <c r="D756" i="50"/>
  <c r="D884" i="50"/>
  <c r="D1012" i="50"/>
  <c r="D1140" i="50"/>
  <c r="D1268" i="50"/>
  <c r="H1712" i="50"/>
  <c r="H1464" i="50"/>
  <c r="H1412" i="50"/>
  <c r="H1335" i="50"/>
  <c r="H1305" i="50"/>
  <c r="H1283" i="50"/>
  <c r="H1196" i="50"/>
  <c r="H939" i="50"/>
  <c r="H918" i="50"/>
  <c r="H1043" i="50"/>
  <c r="H1031" i="50"/>
  <c r="H697" i="50"/>
  <c r="H687" i="50"/>
  <c r="H645" i="50"/>
  <c r="H1683" i="50"/>
  <c r="H1671" i="50"/>
  <c r="H1593" i="50"/>
  <c r="H1583" i="50"/>
  <c r="H1541" i="50"/>
  <c r="H1424" i="50"/>
  <c r="H1325" i="50"/>
  <c r="H955" i="50"/>
  <c r="H816" i="50"/>
  <c r="H787" i="50"/>
  <c r="H775" i="50"/>
  <c r="H1081" i="50"/>
  <c r="H1071" i="50"/>
  <c r="H696" i="50"/>
  <c r="H644" i="50"/>
  <c r="H1455" i="50"/>
  <c r="H1721" i="50"/>
  <c r="H1711" i="50"/>
  <c r="H1592" i="50"/>
  <c r="H1540" i="50"/>
  <c r="H1463" i="50"/>
  <c r="H1433" i="50"/>
  <c r="H1411" i="50"/>
  <c r="H1324" i="50"/>
  <c r="H1195" i="50"/>
  <c r="H1174" i="50"/>
  <c r="H1080" i="50"/>
  <c r="H1029" i="50"/>
  <c r="H656" i="50"/>
  <c r="H1720" i="50"/>
  <c r="H1669" i="50"/>
  <c r="H1552" i="50"/>
  <c r="H1453" i="50"/>
  <c r="H1211" i="50"/>
  <c r="H944" i="50"/>
  <c r="H915" i="50"/>
  <c r="H903" i="50"/>
  <c r="H825" i="50"/>
  <c r="H815" i="50"/>
  <c r="H773" i="50"/>
  <c r="H1028" i="50"/>
  <c r="H695" i="50"/>
  <c r="H665" i="50"/>
  <c r="H643" i="50"/>
  <c r="H1668" i="50"/>
  <c r="H1591" i="50"/>
  <c r="H1561" i="50"/>
  <c r="H1539" i="50"/>
  <c r="H1452" i="50"/>
  <c r="H1323" i="50"/>
  <c r="H1302" i="50"/>
  <c r="H824" i="50"/>
  <c r="H772" i="50"/>
  <c r="H1079" i="50"/>
  <c r="H1040" i="50"/>
  <c r="H685" i="50"/>
  <c r="H1719" i="50"/>
  <c r="H1680" i="50"/>
  <c r="H1581" i="50"/>
  <c r="H1339" i="50"/>
  <c r="H1200" i="50"/>
  <c r="H1171" i="50"/>
  <c r="H1159" i="50"/>
  <c r="H953" i="50"/>
  <c r="H943" i="50"/>
  <c r="H901" i="50"/>
  <c r="H784" i="50"/>
  <c r="H1069" i="50"/>
  <c r="H1049" i="50"/>
  <c r="H1027" i="50"/>
  <c r="H684" i="50"/>
  <c r="H1709" i="50"/>
  <c r="H1689" i="50"/>
  <c r="H1667" i="50"/>
  <c r="H1580" i="50"/>
  <c r="H1451" i="50"/>
  <c r="H1430" i="50"/>
  <c r="H952" i="50"/>
  <c r="H900" i="50"/>
  <c r="H823" i="50"/>
  <c r="H793" i="50"/>
  <c r="H771" i="50"/>
  <c r="H1068" i="50"/>
  <c r="H921" i="50"/>
  <c r="H899" i="50"/>
  <c r="H812" i="50"/>
  <c r="H940" i="50"/>
  <c r="H790" i="50"/>
  <c r="H688" i="50"/>
  <c r="H647" i="50"/>
  <c r="H1708" i="50"/>
  <c r="H1467" i="50"/>
  <c r="H1328" i="50"/>
  <c r="H1299" i="50"/>
  <c r="H1287" i="50"/>
  <c r="H1209" i="50"/>
  <c r="H1199" i="50"/>
  <c r="H1157" i="50"/>
  <c r="H912" i="50"/>
  <c r="H813" i="50"/>
  <c r="H683" i="50"/>
  <c r="H662" i="50"/>
  <c r="H1579" i="50"/>
  <c r="H1558" i="50"/>
  <c r="H1208" i="50"/>
  <c r="H1156" i="50"/>
  <c r="H951" i="50"/>
  <c r="H1067" i="50"/>
  <c r="H699" i="50"/>
  <c r="H1155" i="50"/>
  <c r="H811" i="50"/>
  <c r="H659" i="50"/>
  <c r="H1465" i="50"/>
  <c r="H1296" i="50"/>
  <c r="H1072" i="50"/>
  <c r="H1707" i="50"/>
  <c r="H1595" i="50"/>
  <c r="H1456" i="50"/>
  <c r="H1427" i="50"/>
  <c r="H1415" i="50"/>
  <c r="H1337" i="50"/>
  <c r="H1327" i="50"/>
  <c r="H1285" i="50"/>
  <c r="H1168" i="50"/>
  <c r="H941" i="50"/>
  <c r="H1083" i="50"/>
  <c r="H1046" i="50"/>
  <c r="H1723" i="50"/>
  <c r="H1686" i="50"/>
  <c r="H1336" i="50"/>
  <c r="H1284" i="50"/>
  <c r="H1207" i="50"/>
  <c r="H1177" i="50"/>
  <c r="H1584" i="50"/>
  <c r="H1555" i="50"/>
  <c r="H1413" i="50"/>
  <c r="H1197" i="50"/>
  <c r="H827" i="50"/>
  <c r="H1543" i="50"/>
  <c r="H229" i="47"/>
  <c r="H223" i="47"/>
  <c r="H220" i="47"/>
  <c r="G217" i="47"/>
  <c r="H1679" i="50"/>
  <c r="H1321" i="50"/>
  <c r="H777" i="50"/>
  <c r="H1077" i="50"/>
  <c r="H1057" i="50"/>
  <c r="H681" i="50"/>
  <c r="H1051" i="50"/>
  <c r="H1577" i="50"/>
  <c r="H929" i="50"/>
  <c r="H789" i="50"/>
  <c r="H1545" i="50"/>
  <c r="H1461" i="50"/>
  <c r="H1441" i="50"/>
  <c r="F1401" i="50"/>
  <c r="H1301" i="50"/>
  <c r="H1281" i="50"/>
  <c r="H795" i="50"/>
  <c r="F1017" i="50"/>
  <c r="H661" i="50"/>
  <c r="H641" i="50"/>
  <c r="H1717" i="50"/>
  <c r="H1705" i="50"/>
  <c r="H1563" i="50"/>
  <c r="H1423" i="50"/>
  <c r="H937" i="50"/>
  <c r="H1039" i="50"/>
  <c r="H1435" i="50"/>
  <c r="H1161" i="50"/>
  <c r="H1289" i="50"/>
  <c r="H1205" i="50"/>
  <c r="H1185" i="50"/>
  <c r="F1145" i="50"/>
  <c r="H917" i="50"/>
  <c r="H897" i="50"/>
  <c r="H649" i="50"/>
  <c r="H1295" i="50"/>
  <c r="H809" i="50"/>
  <c r="H949" i="50"/>
  <c r="H1685" i="50"/>
  <c r="H1665" i="50"/>
  <c r="H1307" i="50"/>
  <c r="H1167" i="50"/>
  <c r="H1065" i="50"/>
  <c r="H667" i="50"/>
  <c r="H1449" i="50"/>
  <c r="H905" i="50"/>
  <c r="H821" i="50"/>
  <c r="H801" i="50"/>
  <c r="F761" i="50"/>
  <c r="H1673" i="50"/>
  <c r="H1589" i="50"/>
  <c r="H1569" i="50"/>
  <c r="F1529" i="50"/>
  <c r="H1429" i="50"/>
  <c r="H1409" i="50"/>
  <c r="H923" i="50"/>
  <c r="H783" i="50"/>
  <c r="H1045" i="50"/>
  <c r="H1025" i="50"/>
  <c r="H655" i="50"/>
  <c r="H1691" i="50"/>
  <c r="H1551" i="50"/>
  <c r="H1193" i="50"/>
  <c r="F889" i="50"/>
  <c r="H769" i="50"/>
  <c r="H1417" i="50"/>
  <c r="H1333" i="50"/>
  <c r="H1313" i="50"/>
  <c r="F1273" i="50"/>
  <c r="H1173" i="50"/>
  <c r="H1153" i="50"/>
  <c r="H1033" i="50"/>
  <c r="H693" i="50"/>
  <c r="H673" i="50"/>
  <c r="F633" i="50"/>
  <c r="F1657" i="50"/>
  <c r="H1557" i="50"/>
  <c r="H1537" i="50"/>
  <c r="H1179" i="50"/>
  <c r="H911" i="50"/>
  <c r="H1697" i="50"/>
  <c r="H219" i="47"/>
  <c r="G4" i="47"/>
  <c r="P1558" i="50"/>
  <c r="P1174" i="50"/>
  <c r="P790" i="50"/>
  <c r="P1302" i="50"/>
  <c r="P1686" i="50"/>
  <c r="P918" i="50"/>
  <c r="P1430" i="50"/>
  <c r="P662" i="50"/>
  <c r="P1046" i="50"/>
  <c r="Q226" i="47"/>
  <c r="Q220" i="47"/>
  <c r="I311" i="47"/>
  <c r="H217" i="47"/>
  <c r="C3" i="25"/>
  <c r="L217" i="47"/>
  <c r="M217" i="47"/>
  <c r="L310" i="47"/>
  <c r="N217" i="47"/>
  <c r="C1524" i="50"/>
  <c r="Q1396" i="50"/>
  <c r="D1396" i="50"/>
  <c r="J217" i="47"/>
  <c r="K217" i="47"/>
  <c r="I217" i="47"/>
  <c r="Q457" i="47"/>
  <c r="H571" i="50"/>
  <c r="H569" i="50"/>
  <c r="H568" i="50"/>
  <c r="H567" i="50"/>
  <c r="H560" i="50"/>
  <c r="H559" i="50"/>
  <c r="H557" i="50"/>
  <c r="H556" i="50"/>
  <c r="H555" i="50"/>
  <c r="H537" i="50"/>
  <c r="H534" i="50"/>
  <c r="H531" i="50"/>
  <c r="H528" i="50"/>
  <c r="H519" i="50"/>
  <c r="H517" i="50"/>
  <c r="H516" i="50"/>
  <c r="H515" i="50"/>
  <c r="H565" i="50"/>
  <c r="H553" i="50"/>
  <c r="H545" i="50"/>
  <c r="H539" i="50"/>
  <c r="H533" i="50"/>
  <c r="H527" i="50"/>
  <c r="H521" i="50"/>
  <c r="H513" i="50"/>
  <c r="F505" i="50"/>
  <c r="P534" i="50"/>
  <c r="P540" i="50"/>
  <c r="D29" i="62"/>
  <c r="D60" i="62"/>
  <c r="M318" i="47"/>
  <c r="M319" i="47" s="1"/>
  <c r="M321" i="47" s="1"/>
  <c r="R384" i="43"/>
  <c r="R388" i="43"/>
  <c r="R383" i="43"/>
  <c r="R387" i="43"/>
  <c r="R381" i="43"/>
  <c r="R385" i="43"/>
  <c r="H1797" i="50"/>
  <c r="H1886" i="50"/>
  <c r="H2365" i="50"/>
  <c r="H2332" i="50"/>
  <c r="H2285" i="50"/>
  <c r="H2149" i="50"/>
  <c r="H2104" i="50"/>
  <c r="H1812" i="50"/>
  <c r="H1943" i="50"/>
  <c r="H2380" i="50"/>
  <c r="H2333" i="50"/>
  <c r="H2209" i="50"/>
  <c r="H2164" i="50"/>
  <c r="H2105" i="50"/>
  <c r="H1885" i="50"/>
  <c r="H1959" i="50"/>
  <c r="H2317" i="50"/>
  <c r="H2284" i="50"/>
  <c r="H2225" i="50"/>
  <c r="H2089" i="50"/>
  <c r="H1813" i="50"/>
  <c r="H1870" i="50"/>
  <c r="H1958" i="50"/>
  <c r="H2381" i="50"/>
  <c r="H2269" i="50"/>
  <c r="H2224" i="50"/>
  <c r="H2165" i="50"/>
  <c r="N1785" i="50"/>
  <c r="N1858" i="50"/>
  <c r="N1931" i="50"/>
  <c r="N2077" i="50"/>
  <c r="N2137" i="50"/>
  <c r="N2197" i="50"/>
  <c r="N2257" i="50"/>
  <c r="N2305" i="50"/>
  <c r="N2353" i="50"/>
  <c r="H2379" i="50"/>
  <c r="H2364" i="50"/>
  <c r="H2368" i="50" s="1"/>
  <c r="H2371" i="50"/>
  <c r="G635" i="42"/>
  <c r="G631" i="42"/>
  <c r="G854" i="42"/>
  <c r="G410" i="42"/>
  <c r="G860" i="42"/>
  <c r="G856" i="42"/>
  <c r="G412" i="42"/>
  <c r="G408" i="42"/>
  <c r="G637" i="42"/>
  <c r="G633" i="42"/>
  <c r="G858" i="42"/>
  <c r="G414" i="42"/>
  <c r="H1883" i="50"/>
  <c r="H1872" i="50"/>
  <c r="H1868" i="50"/>
  <c r="H1864" i="50"/>
  <c r="F1860" i="50"/>
  <c r="H2282" i="50"/>
  <c r="H2271" i="50"/>
  <c r="H2267" i="50"/>
  <c r="H2263" i="50"/>
  <c r="F2259" i="50"/>
  <c r="H2330" i="50"/>
  <c r="H2319" i="50"/>
  <c r="H2315" i="50"/>
  <c r="H2311" i="50"/>
  <c r="F2307" i="50"/>
  <c r="H2102" i="50"/>
  <c r="H2091" i="50"/>
  <c r="H2087" i="50"/>
  <c r="F2079" i="50"/>
  <c r="H1956" i="50"/>
  <c r="H1945" i="50"/>
  <c r="H1941" i="50"/>
  <c r="H1937" i="50"/>
  <c r="F1933" i="50"/>
  <c r="H2222" i="50"/>
  <c r="H2211" i="50"/>
  <c r="H2207" i="50"/>
  <c r="H2203" i="50"/>
  <c r="F2199" i="50"/>
  <c r="H1810" i="50"/>
  <c r="H1799" i="50"/>
  <c r="H1795" i="50"/>
  <c r="H1791" i="50"/>
  <c r="F1787" i="50"/>
  <c r="H2378" i="50"/>
  <c r="H2367" i="50"/>
  <c r="H2363" i="50"/>
  <c r="H2359" i="50"/>
  <c r="F2355" i="50"/>
  <c r="H2162" i="50"/>
  <c r="H2151" i="50"/>
  <c r="H2147" i="50"/>
  <c r="H2143" i="50"/>
  <c r="F2139" i="50"/>
  <c r="H2083" i="50"/>
  <c r="H2275" i="50"/>
  <c r="H2268" i="50"/>
  <c r="H2272" i="50" s="1"/>
  <c r="H2283" i="50"/>
  <c r="H1869" i="50"/>
  <c r="H1873" i="50" s="1"/>
  <c r="H1876" i="50"/>
  <c r="H1884" i="50"/>
  <c r="H2163" i="50"/>
  <c r="H2155" i="50"/>
  <c r="H2148" i="50"/>
  <c r="H2152" i="50" s="1"/>
  <c r="H1796" i="50"/>
  <c r="H1800" i="50" s="1"/>
  <c r="H1803" i="50"/>
  <c r="H1811" i="50"/>
  <c r="H2095" i="50"/>
  <c r="H2103" i="50"/>
  <c r="H2088" i="50"/>
  <c r="H2092" i="50" s="1"/>
  <c r="L72" i="50"/>
  <c r="L69" i="50"/>
  <c r="I1785" i="50"/>
  <c r="H1785" i="50"/>
  <c r="E1785" i="50"/>
  <c r="AK128" i="49"/>
  <c r="AK115" i="49"/>
  <c r="AK142" i="49"/>
  <c r="AK124" i="49"/>
  <c r="AK141" i="49"/>
  <c r="AK123" i="49"/>
  <c r="AK129" i="49"/>
  <c r="AK119" i="49"/>
  <c r="S264" i="34"/>
  <c r="H2388" i="50"/>
  <c r="H2340" i="50"/>
  <c r="H2292" i="50"/>
  <c r="H2232" i="50"/>
  <c r="H2172" i="50"/>
  <c r="H2112" i="50"/>
  <c r="H2032" i="50"/>
  <c r="H2039" i="50"/>
  <c r="H2031" i="50"/>
  <c r="H1966" i="50"/>
  <c r="H2016" i="50"/>
  <c r="H1893" i="50"/>
  <c r="G2532" i="37"/>
  <c r="G2528" i="37"/>
  <c r="G2814" i="37"/>
  <c r="G2810" i="37"/>
  <c r="G2801" i="37"/>
  <c r="G1690" i="37"/>
  <c r="G1686" i="37"/>
  <c r="G1677" i="37"/>
  <c r="G1127" i="37"/>
  <c r="G1123" i="37"/>
  <c r="G846" i="37"/>
  <c r="G842" i="37"/>
  <c r="G2533" i="37"/>
  <c r="G2520" i="37"/>
  <c r="G1971" i="37"/>
  <c r="G1967" i="37"/>
  <c r="G1958" i="37"/>
  <c r="G1689" i="37"/>
  <c r="G1685" i="37"/>
  <c r="G566" i="37"/>
  <c r="G562" i="37"/>
  <c r="G553" i="37"/>
  <c r="G2809" i="37"/>
  <c r="G2239" i="37"/>
  <c r="G1970" i="37"/>
  <c r="G1396" i="37"/>
  <c r="G1124" i="37"/>
  <c r="G565" i="37"/>
  <c r="G2252" i="37"/>
  <c r="G2248" i="37"/>
  <c r="G1405" i="37"/>
  <c r="G847" i="37"/>
  <c r="G834" i="37"/>
  <c r="G2813" i="37"/>
  <c r="G2247" i="37"/>
  <c r="G1966" i="37"/>
  <c r="G1404" i="37"/>
  <c r="G1128" i="37"/>
  <c r="G561" i="37"/>
  <c r="G2529" i="37"/>
  <c r="G1409" i="37"/>
  <c r="G1115" i="37"/>
  <c r="G2251" i="37"/>
  <c r="G1408" i="37"/>
  <c r="G843" i="37"/>
  <c r="G1702" i="42"/>
  <c r="F2007" i="50"/>
  <c r="N2004" i="50" s="1"/>
  <c r="G690" i="42"/>
  <c r="H2339" i="50"/>
  <c r="G2514" i="37"/>
  <c r="G2581" i="37"/>
  <c r="G1738" i="37"/>
  <c r="G1109" i="37"/>
  <c r="G828" i="37"/>
  <c r="G2795" i="37"/>
  <c r="G2019" i="37"/>
  <c r="G1671" i="37"/>
  <c r="G2300" i="37"/>
  <c r="G1457" i="37"/>
  <c r="G895" i="37"/>
  <c r="G614" i="37"/>
  <c r="G333" i="37"/>
  <c r="G1952" i="37"/>
  <c r="G2233" i="37"/>
  <c r="G1390" i="37"/>
  <c r="G1176" i="37"/>
  <c r="G547" i="37"/>
  <c r="H1678" i="42"/>
  <c r="H1681" i="42" s="1"/>
  <c r="H1572" i="42"/>
  <c r="T264" i="34"/>
  <c r="A265" i="34"/>
  <c r="G2245" i="50"/>
  <c r="G2185" i="50"/>
  <c r="G1239" i="42"/>
  <c r="G1233" i="42"/>
  <c r="G2243" i="50"/>
  <c r="G2183" i="50"/>
  <c r="G1410" i="42"/>
  <c r="G1404" i="42"/>
  <c r="G1242" i="42"/>
  <c r="G1236" i="42"/>
  <c r="G2123" i="50"/>
  <c r="G2056" i="50"/>
  <c r="G2125" i="50"/>
  <c r="G1413" i="42"/>
  <c r="G1407" i="42"/>
  <c r="G1068" i="42"/>
  <c r="G2070" i="50"/>
  <c r="G2068" i="50"/>
  <c r="G2066" i="50"/>
  <c r="G2064" i="50"/>
  <c r="G2062" i="50"/>
  <c r="G2052" i="50"/>
  <c r="G2054" i="50"/>
  <c r="G2050" i="50"/>
  <c r="G1981" i="50"/>
  <c r="G1910" i="50"/>
  <c r="G2789" i="37"/>
  <c r="G2736" i="37"/>
  <c r="G2715" i="37"/>
  <c r="G2499" i="37"/>
  <c r="G2442" i="37"/>
  <c r="G1983" i="50"/>
  <c r="G1924" i="50"/>
  <c r="G1922" i="50"/>
  <c r="G1920" i="50"/>
  <c r="G1918" i="50"/>
  <c r="G1916" i="50"/>
  <c r="G1906" i="50"/>
  <c r="G1904" i="50"/>
  <c r="G2723" i="37"/>
  <c r="G2665" i="37"/>
  <c r="G2464" i="37"/>
  <c r="G2181" i="50"/>
  <c r="G1991" i="50"/>
  <c r="G1908" i="50"/>
  <c r="G2183" i="37"/>
  <c r="G1946" i="37"/>
  <c r="G1902" i="37"/>
  <c r="G1612" i="37"/>
  <c r="G1591" i="37"/>
  <c r="G1541" i="37"/>
  <c r="G1340" i="37"/>
  <c r="G1094" i="37"/>
  <c r="G1037" i="37"/>
  <c r="G813" i="37"/>
  <c r="G756" i="37"/>
  <c r="G2121" i="50"/>
  <c r="G1993" i="50"/>
  <c r="G1977" i="50"/>
  <c r="G2434" i="37"/>
  <c r="G2384" i="37"/>
  <c r="G2227" i="37"/>
  <c r="G2193" i="37"/>
  <c r="G1912" i="37"/>
  <c r="G1656" i="37"/>
  <c r="G1599" i="37"/>
  <c r="G1384" i="37"/>
  <c r="G1350" i="37"/>
  <c r="G1260" i="37"/>
  <c r="G1059" i="37"/>
  <c r="G979" i="37"/>
  <c r="G778" i="37"/>
  <c r="G488" i="37"/>
  <c r="G467" i="37"/>
  <c r="G895" i="42"/>
  <c r="G2241" i="50"/>
  <c r="G1989" i="50"/>
  <c r="G2455" i="37"/>
  <c r="G1893" i="37"/>
  <c r="G1103" i="37"/>
  <c r="G1050" i="37"/>
  <c r="G698" i="37"/>
  <c r="G541" i="37"/>
  <c r="G497" i="37"/>
  <c r="G417" i="37"/>
  <c r="G1062" i="42"/>
  <c r="G672" i="42"/>
  <c r="G449" i="42"/>
  <c r="G1997" i="50"/>
  <c r="G1979" i="50"/>
  <c r="G2508" i="37"/>
  <c r="G2218" i="37"/>
  <c r="G2174" i="37"/>
  <c r="G2103" i="37"/>
  <c r="G1995" i="50"/>
  <c r="G2755" i="37"/>
  <c r="G2745" i="37"/>
  <c r="G2161" i="37"/>
  <c r="G2153" i="37"/>
  <c r="G1665" i="37"/>
  <c r="G1631" i="37"/>
  <c r="G1318" i="37"/>
  <c r="G1310" i="37"/>
  <c r="G748" i="37"/>
  <c r="G532" i="37"/>
  <c r="G475" i="37"/>
  <c r="G1065" i="42"/>
  <c r="G668" i="42"/>
  <c r="G445" i="42"/>
  <c r="G2474" i="37"/>
  <c r="G1880" i="37"/>
  <c r="G1822" i="37"/>
  <c r="G899" i="42"/>
  <c r="G453" i="42"/>
  <c r="G441" i="42"/>
  <c r="G437" i="42"/>
  <c r="G1331" i="37"/>
  <c r="G769" i="37"/>
  <c r="G1937" i="37"/>
  <c r="G1029" i="37"/>
  <c r="G822" i="37"/>
  <c r="G507" i="37"/>
  <c r="G664" i="42"/>
  <c r="G660" i="42"/>
  <c r="G1069" i="37"/>
  <c r="G676" i="42"/>
  <c r="G2780" i="37"/>
  <c r="G1872" i="37"/>
  <c r="G1621" i="37"/>
  <c r="G1375" i="37"/>
  <c r="G788" i="37"/>
  <c r="G1071" i="42"/>
  <c r="G891" i="42"/>
  <c r="G887" i="42"/>
  <c r="G883" i="42"/>
  <c r="G1835" i="50"/>
  <c r="G189" i="42"/>
  <c r="G1837" i="50"/>
  <c r="G191" i="42"/>
  <c r="H1709" i="42"/>
  <c r="H1571" i="42"/>
  <c r="G2393" i="50"/>
  <c r="G2345" i="50"/>
  <c r="G2297" i="50"/>
  <c r="G2237" i="50"/>
  <c r="G2177" i="50"/>
  <c r="G1402" i="42"/>
  <c r="G1395" i="42"/>
  <c r="H1369" i="42"/>
  <c r="G1254" i="42"/>
  <c r="F1164" i="42"/>
  <c r="H1091" i="42"/>
  <c r="H2386" i="50"/>
  <c r="H2338" i="50"/>
  <c r="H2290" i="50"/>
  <c r="H2230" i="50"/>
  <c r="H2170" i="50"/>
  <c r="F1335" i="42"/>
  <c r="H1262" i="42"/>
  <c r="F1180" i="42"/>
  <c r="F1146" i="42"/>
  <c r="H2110" i="50"/>
  <c r="H1814" i="42"/>
  <c r="F1762" i="42"/>
  <c r="F1743" i="42"/>
  <c r="H1676" i="42"/>
  <c r="F1624" i="42"/>
  <c r="F1605" i="42"/>
  <c r="F1351" i="42"/>
  <c r="F1317" i="42"/>
  <c r="F1127" i="42"/>
  <c r="G1224" i="42"/>
  <c r="G2043" i="50"/>
  <c r="H2029" i="50"/>
  <c r="H2018" i="50"/>
  <c r="H2014" i="50"/>
  <c r="H2010" i="50"/>
  <c r="F2006" i="50"/>
  <c r="G2794" i="37"/>
  <c r="G2741" i="37"/>
  <c r="G2721" i="37"/>
  <c r="G2690" i="37"/>
  <c r="G2663" i="37"/>
  <c r="G2504" i="37"/>
  <c r="G2470" i="37"/>
  <c r="G2423" i="37"/>
  <c r="G2382" i="37"/>
  <c r="F1658" i="42"/>
  <c r="F1642" i="42"/>
  <c r="G1231" i="42"/>
  <c r="H2037" i="50"/>
  <c r="G1897" i="50"/>
  <c r="G2751" i="37"/>
  <c r="G2704" i="37"/>
  <c r="G2678" i="37"/>
  <c r="H2595" i="37"/>
  <c r="G2580" i="37"/>
  <c r="G2549" i="37"/>
  <c r="G2531" i="37"/>
  <c r="G2527" i="37"/>
  <c r="H2479" i="37"/>
  <c r="G2451" i="37"/>
  <c r="G2436" i="37"/>
  <c r="G2397" i="37"/>
  <c r="G1563" i="42"/>
  <c r="H1964" i="50"/>
  <c r="G2812" i="37"/>
  <c r="G2717" i="37"/>
  <c r="G2588" i="37"/>
  <c r="H2314" i="37"/>
  <c r="G2299" i="37"/>
  <c r="G2268" i="37"/>
  <c r="G2250" i="37"/>
  <c r="G2246" i="37"/>
  <c r="H2198" i="37"/>
  <c r="G2170" i="37"/>
  <c r="G2155" i="37"/>
  <c r="G2058" i="37"/>
  <c r="G1951" i="37"/>
  <c r="H1917" i="37"/>
  <c r="G1889" i="37"/>
  <c r="G1874" i="37"/>
  <c r="G1812" i="37"/>
  <c r="G1745" i="37"/>
  <c r="H1720" i="37"/>
  <c r="G1617" i="37"/>
  <c r="G1597" i="37"/>
  <c r="G1554" i="37"/>
  <c r="H1471" i="37"/>
  <c r="G1456" i="37"/>
  <c r="G1425" i="37"/>
  <c r="G1407" i="37"/>
  <c r="G1403" i="37"/>
  <c r="H1355" i="37"/>
  <c r="G1327" i="37"/>
  <c r="G1312" i="37"/>
  <c r="G1258" i="37"/>
  <c r="G1099" i="37"/>
  <c r="G1065" i="37"/>
  <c r="G1018" i="37"/>
  <c r="G977" i="37"/>
  <c r="G818" i="37"/>
  <c r="G784" i="37"/>
  <c r="G737" i="37"/>
  <c r="F1298" i="42"/>
  <c r="G2776" i="37"/>
  <c r="H2760" i="37"/>
  <c r="G2339" i="37"/>
  <c r="G2232" i="37"/>
  <c r="G2214" i="37"/>
  <c r="G2151" i="37"/>
  <c r="G2128" i="37"/>
  <c r="G2093" i="37"/>
  <c r="G2026" i="37"/>
  <c r="H2001" i="37"/>
  <c r="G1933" i="37"/>
  <c r="G1870" i="37"/>
  <c r="G1820" i="37"/>
  <c r="G1661" i="37"/>
  <c r="G1627" i="37"/>
  <c r="G1580" i="37"/>
  <c r="G1566" i="37"/>
  <c r="G1496" i="37"/>
  <c r="G1389" i="37"/>
  <c r="G1371" i="37"/>
  <c r="G1308" i="37"/>
  <c r="G1273" i="37"/>
  <c r="H1190" i="37"/>
  <c r="G1175" i="37"/>
  <c r="G1144" i="37"/>
  <c r="G1126" i="37"/>
  <c r="G1122" i="37"/>
  <c r="H1074" i="37"/>
  <c r="G1046" i="37"/>
  <c r="G1031" i="37"/>
  <c r="G1004" i="37"/>
  <c r="G992" i="37"/>
  <c r="H909" i="37"/>
  <c r="G894" i="37"/>
  <c r="G863" i="37"/>
  <c r="G845" i="37"/>
  <c r="G841" i="37"/>
  <c r="H793" i="37"/>
  <c r="G765" i="37"/>
  <c r="G750" i="37"/>
  <c r="G696" i="37"/>
  <c r="G493" i="37"/>
  <c r="G473" i="37"/>
  <c r="G372" i="37"/>
  <c r="G1425" i="42"/>
  <c r="H920" i="42"/>
  <c r="G889" i="42"/>
  <c r="G866" i="42"/>
  <c r="F788" i="42"/>
  <c r="G1083" i="42"/>
  <c r="H2563" i="37"/>
  <c r="G2495" i="37"/>
  <c r="G2460" i="37"/>
  <c r="G2307" i="37"/>
  <c r="G2142" i="37"/>
  <c r="G2101" i="37"/>
  <c r="G1965" i="37"/>
  <c r="G1898" i="37"/>
  <c r="G1777" i="37"/>
  <c r="G1737" i="37"/>
  <c r="G1688" i="37"/>
  <c r="H1636" i="37"/>
  <c r="G1464" i="37"/>
  <c r="G1299" i="37"/>
  <c r="G1250" i="37"/>
  <c r="H1158" i="37"/>
  <c r="G1108" i="37"/>
  <c r="G1090" i="37"/>
  <c r="G1055" i="37"/>
  <c r="G1035" i="37"/>
  <c r="G1027" i="37"/>
  <c r="G902" i="37"/>
  <c r="G723" i="37"/>
  <c r="G711" i="37"/>
  <c r="G653" i="37"/>
  <c r="G621" i="37"/>
  <c r="H596" i="37"/>
  <c r="G560" i="37"/>
  <c r="G546" i="37"/>
  <c r="G469" i="37"/>
  <c r="G465" i="37"/>
  <c r="G430" i="37"/>
  <c r="G340" i="37"/>
  <c r="H315" i="37"/>
  <c r="H1538" i="42"/>
  <c r="H1433" i="42"/>
  <c r="G897" i="42"/>
  <c r="G893" i="42"/>
  <c r="H806" i="42"/>
  <c r="H697" i="42"/>
  <c r="G666" i="42"/>
  <c r="G643" i="42"/>
  <c r="F565" i="42"/>
  <c r="F531" i="42"/>
  <c r="G443" i="42"/>
  <c r="G420" i="42"/>
  <c r="F342" i="42"/>
  <c r="F308" i="42"/>
  <c r="F1796" i="42"/>
  <c r="G2117" i="50"/>
  <c r="G2432" i="37"/>
  <c r="G2223" i="37"/>
  <c r="G2179" i="37"/>
  <c r="G2116" i="37"/>
  <c r="G1987" i="37"/>
  <c r="G1861" i="37"/>
  <c r="H1198" i="42"/>
  <c r="G2808" i="37"/>
  <c r="G2713" i="37"/>
  <c r="G2620" i="37"/>
  <c r="G2189" i="37"/>
  <c r="H2033" i="37"/>
  <c r="G1969" i="37"/>
  <c r="G1878" i="37"/>
  <c r="G1670" i="37"/>
  <c r="G1652" i="37"/>
  <c r="G1539" i="37"/>
  <c r="G1346" i="37"/>
  <c r="G1183" i="37"/>
  <c r="G688" i="37"/>
  <c r="G564" i="37"/>
  <c r="G537" i="37"/>
  <c r="H512" i="37"/>
  <c r="G407" i="37"/>
  <c r="F1520" i="42"/>
  <c r="F1504" i="42"/>
  <c r="G1053" i="42"/>
  <c r="H1027" i="42"/>
  <c r="F993" i="42"/>
  <c r="F975" i="42"/>
  <c r="G885" i="42"/>
  <c r="G881" i="42"/>
  <c r="G852" i="42"/>
  <c r="G842" i="42"/>
  <c r="F754" i="42"/>
  <c r="G662" i="42"/>
  <c r="G439" i="42"/>
  <c r="F1780" i="42"/>
  <c r="G2655" i="37"/>
  <c r="G2513" i="37"/>
  <c r="G2732" i="37"/>
  <c r="G2440" i="37"/>
  <c r="G2409" i="37"/>
  <c r="G2018" i="37"/>
  <c r="G1908" i="37"/>
  <c r="G1835" i="37"/>
  <c r="G1684" i="37"/>
  <c r="G1589" i="37"/>
  <c r="G1531" i="37"/>
  <c r="G1215" i="37"/>
  <c r="G934" i="37"/>
  <c r="G456" i="37"/>
  <c r="G332" i="37"/>
  <c r="G670" i="42"/>
  <c r="G619" i="42"/>
  <c r="G435" i="42"/>
  <c r="H360" i="42"/>
  <c r="H474" i="42"/>
  <c r="G451" i="42"/>
  <c r="G406" i="42"/>
  <c r="G1285" i="37"/>
  <c r="G301" i="37"/>
  <c r="F1486" i="42"/>
  <c r="F326" i="42"/>
  <c r="G1701" i="42"/>
  <c r="G2159" i="37"/>
  <c r="G1942" i="37"/>
  <c r="G1593" i="37"/>
  <c r="G969" i="37"/>
  <c r="G827" i="37"/>
  <c r="G746" i="37"/>
  <c r="H628" i="37"/>
  <c r="G582" i="37"/>
  <c r="G503" i="37"/>
  <c r="G484" i="37"/>
  <c r="F1009" i="42"/>
  <c r="G689" i="42"/>
  <c r="G674" i="42"/>
  <c r="G629" i="42"/>
  <c r="F512" i="42"/>
  <c r="G466" i="42"/>
  <c r="G447" i="42"/>
  <c r="G396" i="42"/>
  <c r="F289" i="42"/>
  <c r="H1752" i="37"/>
  <c r="G1336" i="37"/>
  <c r="G1316" i="37"/>
  <c r="H877" i="37"/>
  <c r="G809" i="37"/>
  <c r="G774" i="37"/>
  <c r="H347" i="37"/>
  <c r="F772" i="42"/>
  <c r="G658" i="42"/>
  <c r="H251" i="42"/>
  <c r="G1970" i="50"/>
  <c r="H1891" i="50"/>
  <c r="G2785" i="37"/>
  <c r="G2374" i="37"/>
  <c r="G1847" i="37"/>
  <c r="G1706" i="37"/>
  <c r="G1608" i="37"/>
  <c r="H1439" i="37"/>
  <c r="G1380" i="37"/>
  <c r="G754" i="37"/>
  <c r="G613" i="37"/>
  <c r="G528" i="37"/>
  <c r="G442" i="37"/>
  <c r="G415" i="37"/>
  <c r="G1060" i="42"/>
  <c r="F956" i="42"/>
  <c r="G912" i="42"/>
  <c r="F735" i="42"/>
  <c r="F549" i="42"/>
  <c r="G243" i="42"/>
  <c r="H2282" i="37"/>
  <c r="F1467" i="42"/>
  <c r="H583" i="42"/>
  <c r="D2542" i="37"/>
  <c r="D1793" i="37"/>
  <c r="D1137" i="37"/>
  <c r="D856" i="37"/>
  <c r="D2074" i="37"/>
  <c r="D1699" i="37"/>
  <c r="D575" i="37"/>
  <c r="D1231" i="37"/>
  <c r="D2636" i="37"/>
  <c r="D1980" i="37"/>
  <c r="D669" i="37"/>
  <c r="D388" i="37"/>
  <c r="D294" i="37"/>
  <c r="D1512" i="37"/>
  <c r="D950" i="37"/>
  <c r="D2261" i="37"/>
  <c r="D2355" i="37"/>
  <c r="D1418" i="37"/>
  <c r="Q2589" i="37"/>
  <c r="Q1184" i="37"/>
  <c r="Q903" i="37"/>
  <c r="Q1746" i="37"/>
  <c r="Q622" i="37"/>
  <c r="Q2027" i="37"/>
  <c r="Q341" i="37"/>
  <c r="Q2308" i="37"/>
  <c r="Q1465" i="37"/>
  <c r="G1426" i="42"/>
  <c r="G244" i="42"/>
  <c r="H1263" i="42"/>
  <c r="H1371" i="42"/>
  <c r="H1374" i="42" s="1"/>
  <c r="H1965" i="50"/>
  <c r="G913" i="42"/>
  <c r="A264" i="34"/>
  <c r="G163" i="37"/>
  <c r="G2692" i="37"/>
  <c r="G2680" i="37"/>
  <c r="G2399" i="37"/>
  <c r="G2411" i="37"/>
  <c r="G1556" i="37"/>
  <c r="G2130" i="37"/>
  <c r="G1568" i="37"/>
  <c r="G1275" i="37"/>
  <c r="G1006" i="37"/>
  <c r="G994" i="37"/>
  <c r="G1849" i="37"/>
  <c r="G1837" i="37"/>
  <c r="G713" i="37"/>
  <c r="G432" i="37"/>
  <c r="G725" i="37"/>
  <c r="G1287" i="37"/>
  <c r="G444" i="37"/>
  <c r="G2118" i="37"/>
  <c r="D1694" i="42"/>
  <c r="D1556" i="42"/>
  <c r="D1218" i="42"/>
  <c r="D1076" i="42"/>
  <c r="D1389" i="42"/>
  <c r="D1247" i="42"/>
  <c r="D826" i="42"/>
  <c r="D1418" i="42"/>
  <c r="D905" i="42"/>
  <c r="D603" i="42"/>
  <c r="D459" i="42"/>
  <c r="D380" i="42"/>
  <c r="D236" i="42"/>
  <c r="D682" i="42"/>
  <c r="D1047" i="42"/>
  <c r="D1855" i="50"/>
  <c r="D1928" i="50"/>
  <c r="D2001" i="50"/>
  <c r="D2134" i="50"/>
  <c r="D2074" i="50"/>
  <c r="D2254" i="50"/>
  <c r="D2302" i="50"/>
  <c r="D2194" i="50"/>
  <c r="D2350" i="50"/>
  <c r="B60" i="34"/>
  <c r="G1084" i="42"/>
  <c r="H2231" i="50"/>
  <c r="H585" i="42"/>
  <c r="H588" i="42" s="1"/>
  <c r="H475" i="42"/>
  <c r="N283" i="50"/>
  <c r="N2309" i="37"/>
  <c r="N1747" i="37"/>
  <c r="N904" i="37"/>
  <c r="N623" i="37"/>
  <c r="N1466" i="37"/>
  <c r="N1185" i="37"/>
  <c r="N342" i="37"/>
  <c r="N2590" i="37"/>
  <c r="N2028" i="37"/>
  <c r="H283" i="50"/>
  <c r="H2590" i="37"/>
  <c r="H2028" i="37"/>
  <c r="H2309" i="37"/>
  <c r="H1747" i="37"/>
  <c r="H904" i="37"/>
  <c r="H623" i="37"/>
  <c r="H1466" i="37"/>
  <c r="H1185" i="37"/>
  <c r="H342" i="37"/>
  <c r="K1466" i="37"/>
  <c r="K1185" i="37"/>
  <c r="K342" i="37"/>
  <c r="K2590" i="37"/>
  <c r="K2028" i="37"/>
  <c r="K2309" i="37"/>
  <c r="K623" i="37"/>
  <c r="K1747" i="37"/>
  <c r="K904" i="37"/>
  <c r="M1185" i="37"/>
  <c r="M342" i="37"/>
  <c r="M2590" i="37"/>
  <c r="M2028" i="37"/>
  <c r="M2309" i="37"/>
  <c r="M1747" i="37"/>
  <c r="M904" i="37"/>
  <c r="M623" i="37"/>
  <c r="M1466" i="37"/>
  <c r="J2309" i="37"/>
  <c r="J1747" i="37"/>
  <c r="J904" i="37"/>
  <c r="J623" i="37"/>
  <c r="J2590" i="37"/>
  <c r="J1466" i="37"/>
  <c r="J1185" i="37"/>
  <c r="J342" i="37"/>
  <c r="J2028" i="37"/>
  <c r="I283" i="50"/>
  <c r="I1466" i="37"/>
  <c r="I1185" i="37"/>
  <c r="I2309" i="37"/>
  <c r="I1747" i="37"/>
  <c r="I904" i="37"/>
  <c r="I623" i="37"/>
  <c r="I342" i="37"/>
  <c r="I2590" i="37"/>
  <c r="I2028" i="37"/>
  <c r="L283" i="50"/>
  <c r="L2590" i="37"/>
  <c r="L2028" i="37"/>
  <c r="L2309" i="37"/>
  <c r="L1747" i="37"/>
  <c r="L623" i="37"/>
  <c r="L904" i="37"/>
  <c r="L1466" i="37"/>
  <c r="L342" i="37"/>
  <c r="L1185" i="37"/>
  <c r="E191" i="62"/>
  <c r="I77" i="42"/>
  <c r="G77" i="42"/>
  <c r="H77" i="42"/>
  <c r="J77" i="42"/>
  <c r="K77" i="42"/>
  <c r="L244" i="41"/>
  <c r="L361" i="50" s="1"/>
  <c r="P1838" i="50"/>
  <c r="P1834" i="50"/>
  <c r="P1837" i="50"/>
  <c r="P1833" i="50"/>
  <c r="P1835" i="50"/>
  <c r="P1836" i="50"/>
  <c r="R14" i="42"/>
  <c r="Q146" i="42"/>
  <c r="A35" i="42"/>
  <c r="Q190" i="42"/>
  <c r="Q188" i="42"/>
  <c r="Q189" i="42"/>
  <c r="Q192" i="42"/>
  <c r="Q191" i="42"/>
  <c r="P1814" i="50"/>
  <c r="P1826" i="50"/>
  <c r="P1825" i="50"/>
  <c r="K467" i="41"/>
  <c r="K454" i="41"/>
  <c r="G151" i="37"/>
  <c r="J312" i="50"/>
  <c r="M20" i="41"/>
  <c r="M23" i="41" s="1"/>
  <c r="A285" i="34"/>
  <c r="J310" i="47"/>
  <c r="G96" i="42"/>
  <c r="K4" i="47"/>
  <c r="N297" i="50"/>
  <c r="J244" i="41"/>
  <c r="J361" i="50" s="1"/>
  <c r="I319" i="47"/>
  <c r="N137" i="49"/>
  <c r="N181" i="50" s="1"/>
  <c r="I69" i="50"/>
  <c r="M177" i="50"/>
  <c r="N244" i="41"/>
  <c r="N361" i="50" s="1"/>
  <c r="J330" i="50"/>
  <c r="J297" i="50"/>
  <c r="I61" i="37"/>
  <c r="H460" i="41"/>
  <c r="M312" i="50"/>
  <c r="W25" i="49"/>
  <c r="L66" i="50" s="1"/>
  <c r="J20" i="41"/>
  <c r="J23" i="41" s="1"/>
  <c r="M4" i="47"/>
  <c r="M137" i="49"/>
  <c r="M181" i="50" s="1"/>
  <c r="M467" i="41"/>
  <c r="K319" i="47"/>
  <c r="K321" i="47" s="1"/>
  <c r="I330" i="50"/>
  <c r="N84" i="49"/>
  <c r="N156" i="50" s="1"/>
  <c r="I136" i="49"/>
  <c r="I180" i="50" s="1"/>
  <c r="I454" i="41"/>
  <c r="C38" i="9"/>
  <c r="L297" i="50"/>
  <c r="I152" i="50"/>
  <c r="X25" i="49"/>
  <c r="I310" i="47"/>
  <c r="I312" i="47" s="1"/>
  <c r="N61" i="37"/>
  <c r="W95" i="42"/>
  <c r="Z95" i="42"/>
  <c r="V95" i="42"/>
  <c r="X95" i="42"/>
  <c r="T95" i="42"/>
  <c r="Y95" i="42"/>
  <c r="U95" i="42"/>
  <c r="K144" i="41"/>
  <c r="K137" i="49"/>
  <c r="K181" i="50" s="1"/>
  <c r="E52" i="50"/>
  <c r="R52" i="50" s="1"/>
  <c r="K2453" i="50"/>
  <c r="I353" i="50"/>
  <c r="M454" i="41"/>
  <c r="L467" i="41"/>
  <c r="K84" i="49"/>
  <c r="K156" i="50" s="1"/>
  <c r="Y89" i="42"/>
  <c r="U89" i="42"/>
  <c r="X89" i="42"/>
  <c r="T89" i="42"/>
  <c r="Z89" i="42"/>
  <c r="V89" i="42"/>
  <c r="W89" i="42"/>
  <c r="Y93" i="42"/>
  <c r="U93" i="42"/>
  <c r="X93" i="42"/>
  <c r="T93" i="42"/>
  <c r="Z93" i="42"/>
  <c r="V93" i="42"/>
  <c r="W93" i="42"/>
  <c r="K312" i="50"/>
  <c r="G444" i="43"/>
  <c r="G441" i="43"/>
  <c r="H136" i="49"/>
  <c r="H180" i="50" s="1"/>
  <c r="H20" i="41"/>
  <c r="H23" i="41" s="1"/>
  <c r="H84" i="49"/>
  <c r="L62" i="50"/>
  <c r="H152" i="50"/>
  <c r="N144" i="41"/>
  <c r="N449" i="41" s="1"/>
  <c r="N456" i="41" s="1"/>
  <c r="S25" i="49"/>
  <c r="J144" i="41"/>
  <c r="V25" i="49"/>
  <c r="K136" i="49"/>
  <c r="K180" i="50" s="1"/>
  <c r="N83" i="49"/>
  <c r="I460" i="41"/>
  <c r="I84" i="49"/>
  <c r="I156" i="50" s="1"/>
  <c r="H137" i="49"/>
  <c r="H181" i="50" s="1"/>
  <c r="H61" i="37"/>
  <c r="H144" i="41"/>
  <c r="J180" i="50"/>
  <c r="N180" i="50"/>
  <c r="I155" i="50"/>
  <c r="M283" i="50"/>
  <c r="I144" i="41"/>
  <c r="B64" i="34"/>
  <c r="Y25" i="49"/>
  <c r="H330" i="50"/>
  <c r="J137" i="49"/>
  <c r="J181" i="50" s="1"/>
  <c r="N460" i="41"/>
  <c r="J61" i="37"/>
  <c r="K244" i="41"/>
  <c r="K361" i="50" s="1"/>
  <c r="K83" i="49"/>
  <c r="K155" i="50" s="1"/>
  <c r="H28" i="42"/>
  <c r="G1599" i="50"/>
  <c r="G1343" i="50"/>
  <c r="G1087" i="50"/>
  <c r="G959" i="50"/>
  <c r="G703" i="50"/>
  <c r="G1727" i="50"/>
  <c r="G1471" i="50"/>
  <c r="G1215" i="50"/>
  <c r="G831" i="50"/>
  <c r="D500" i="50"/>
  <c r="Q60" i="37"/>
  <c r="J83" i="49"/>
  <c r="J155" i="50" s="1"/>
  <c r="J177" i="50"/>
  <c r="AK170" i="49"/>
  <c r="M152" i="50"/>
  <c r="M61" i="37"/>
  <c r="N467" i="41"/>
  <c r="U25" i="49"/>
  <c r="N177" i="50"/>
  <c r="K146" i="49"/>
  <c r="I137" i="49"/>
  <c r="I181" i="50" s="1"/>
  <c r="M144" i="41"/>
  <c r="J283" i="50"/>
  <c r="M244" i="41"/>
  <c r="M361" i="50" s="1"/>
  <c r="G1754" i="50"/>
  <c r="G1745" i="50"/>
  <c r="G1750" i="50"/>
  <c r="G1628" i="50"/>
  <c r="G1626" i="50"/>
  <c r="G1624" i="50"/>
  <c r="G1622" i="50"/>
  <c r="G1620" i="50"/>
  <c r="G1617" i="50"/>
  <c r="G1611" i="50"/>
  <c r="G1603" i="50"/>
  <c r="G1739" i="50"/>
  <c r="G1731" i="50"/>
  <c r="G1756" i="50"/>
  <c r="G1500" i="50"/>
  <c r="G1498" i="50"/>
  <c r="G1496" i="50"/>
  <c r="G1494" i="50"/>
  <c r="G1492" i="50"/>
  <c r="G1489" i="50"/>
  <c r="G1483" i="50"/>
  <c r="G1475" i="50"/>
  <c r="G1244" i="50"/>
  <c r="G1242" i="50"/>
  <c r="G1240" i="50"/>
  <c r="G1238" i="50"/>
  <c r="G1236" i="50"/>
  <c r="G1233" i="50"/>
  <c r="G1227" i="50"/>
  <c r="G1219" i="50"/>
  <c r="G860" i="50"/>
  <c r="G858" i="50"/>
  <c r="G856" i="50"/>
  <c r="G854" i="50"/>
  <c r="G852" i="50"/>
  <c r="G849" i="50"/>
  <c r="G843" i="50"/>
  <c r="G835" i="50"/>
  <c r="G1752" i="50"/>
  <c r="G1748" i="50"/>
  <c r="G1116" i="50"/>
  <c r="G1114" i="50"/>
  <c r="G1112" i="50"/>
  <c r="G1110" i="50"/>
  <c r="G1108" i="50"/>
  <c r="G1105" i="50"/>
  <c r="G1099" i="50"/>
  <c r="G1091" i="50"/>
  <c r="G988" i="50"/>
  <c r="G986" i="50"/>
  <c r="G984" i="50"/>
  <c r="G982" i="50"/>
  <c r="G980" i="50"/>
  <c r="G977" i="50"/>
  <c r="G971" i="50"/>
  <c r="G963" i="50"/>
  <c r="G1370" i="50"/>
  <c r="G1361" i="50"/>
  <c r="G726" i="50"/>
  <c r="G715" i="50"/>
  <c r="G1372" i="50"/>
  <c r="G1364" i="50"/>
  <c r="G728" i="50"/>
  <c r="G707" i="50"/>
  <c r="G1366" i="50"/>
  <c r="G1355" i="50"/>
  <c r="G730" i="50"/>
  <c r="G721" i="50"/>
  <c r="G1368" i="50"/>
  <c r="G1347" i="50"/>
  <c r="G732" i="50"/>
  <c r="G724" i="50"/>
  <c r="G1758" i="50"/>
  <c r="G1630" i="50"/>
  <c r="G1759" i="50"/>
  <c r="G1631" i="50"/>
  <c r="G1374" i="50"/>
  <c r="G1503" i="50"/>
  <c r="G1247" i="50"/>
  <c r="G1118" i="50"/>
  <c r="G990" i="50"/>
  <c r="G863" i="50"/>
  <c r="G734" i="50"/>
  <c r="G1502" i="50"/>
  <c r="G1246" i="50"/>
  <c r="G1119" i="50"/>
  <c r="G991" i="50"/>
  <c r="G735" i="50"/>
  <c r="G862" i="50"/>
  <c r="G1375" i="50"/>
  <c r="E224" i="49"/>
  <c r="G1766" i="50"/>
  <c r="G1762" i="50"/>
  <c r="G1763" i="50"/>
  <c r="G1638" i="50"/>
  <c r="G1634" i="50"/>
  <c r="G1509" i="50"/>
  <c r="G1387" i="50"/>
  <c r="G1385" i="50"/>
  <c r="G1379" i="50"/>
  <c r="G1259" i="50"/>
  <c r="G1257" i="50"/>
  <c r="G1251" i="50"/>
  <c r="G1131" i="50"/>
  <c r="G1765" i="50"/>
  <c r="G1515" i="50"/>
  <c r="G1513" i="50"/>
  <c r="G1507" i="50"/>
  <c r="G1381" i="50"/>
  <c r="G1253" i="50"/>
  <c r="G1771" i="50"/>
  <c r="G1769" i="50"/>
  <c r="G1378" i="50"/>
  <c r="G1129" i="50"/>
  <c r="G1123" i="50"/>
  <c r="G1003" i="50"/>
  <c r="G1001" i="50"/>
  <c r="G995" i="50"/>
  <c r="G869" i="50"/>
  <c r="G747" i="50"/>
  <c r="G745" i="50"/>
  <c r="G739" i="50"/>
  <c r="G1635" i="50"/>
  <c r="G1510" i="50"/>
  <c r="G1254" i="50"/>
  <c r="G1126" i="50"/>
  <c r="G1122" i="50"/>
  <c r="G998" i="50"/>
  <c r="G994" i="50"/>
  <c r="G742" i="50"/>
  <c r="G738" i="50"/>
  <c r="G1643" i="50"/>
  <c r="G1641" i="50"/>
  <c r="G1637" i="50"/>
  <c r="G1506" i="50"/>
  <c r="G1250" i="50"/>
  <c r="G997" i="50"/>
  <c r="G867" i="50"/>
  <c r="G741" i="50"/>
  <c r="G1125" i="50"/>
  <c r="G875" i="50"/>
  <c r="G873" i="50"/>
  <c r="G866" i="50"/>
  <c r="G1382" i="50"/>
  <c r="G870" i="50"/>
  <c r="L319" i="47"/>
  <c r="L321" i="47" s="1"/>
  <c r="J319" i="47"/>
  <c r="J321" i="47" s="1"/>
  <c r="G188" i="37"/>
  <c r="S293" i="34"/>
  <c r="F66" i="42"/>
  <c r="G161" i="37"/>
  <c r="G212" i="37"/>
  <c r="G94" i="50"/>
  <c r="M267" i="49"/>
  <c r="M214" i="50" s="1"/>
  <c r="D107" i="37"/>
  <c r="G261" i="49"/>
  <c r="G72" i="49"/>
  <c r="G94" i="47"/>
  <c r="G134" i="37"/>
  <c r="G121" i="41"/>
  <c r="G268" i="50" s="1"/>
  <c r="G180" i="47"/>
  <c r="A271" i="34"/>
  <c r="H34" i="37"/>
  <c r="I72" i="50"/>
  <c r="D13" i="37"/>
  <c r="G305" i="47"/>
  <c r="E85" i="41"/>
  <c r="G192" i="37"/>
  <c r="G216" i="42"/>
  <c r="G91" i="37"/>
  <c r="G184" i="37"/>
  <c r="G126" i="37"/>
  <c r="G391" i="47"/>
  <c r="E263" i="43"/>
  <c r="E53" i="50" s="1"/>
  <c r="R53" i="50" s="1"/>
  <c r="G202" i="49"/>
  <c r="G323" i="41"/>
  <c r="G409" i="50" s="1"/>
  <c r="G269" i="47"/>
  <c r="H12" i="50"/>
  <c r="H18" i="50"/>
  <c r="N2453" i="50"/>
  <c r="J2453" i="50"/>
  <c r="L2453" i="50"/>
  <c r="M2453" i="50"/>
  <c r="I411" i="43"/>
  <c r="I277" i="49" s="1"/>
  <c r="T162" i="62"/>
  <c r="G440" i="43"/>
  <c r="AK174" i="49"/>
  <c r="L213" i="50"/>
  <c r="G619" i="50"/>
  <c r="G617" i="50"/>
  <c r="L219" i="49"/>
  <c r="L202" i="50" s="1"/>
  <c r="G346" i="47"/>
  <c r="G367" i="47"/>
  <c r="G340" i="47"/>
  <c r="G356" i="47"/>
  <c r="Q473" i="47"/>
  <c r="Q467" i="47"/>
  <c r="L59" i="62"/>
  <c r="M59" i="62"/>
  <c r="U58" i="62"/>
  <c r="M58" i="62"/>
  <c r="K2830" i="37"/>
  <c r="C35" i="9"/>
  <c r="G5" i="47"/>
  <c r="C37" i="9"/>
  <c r="H311" i="47"/>
  <c r="H312" i="47" s="1"/>
  <c r="H318" i="47"/>
  <c r="H319" i="47" s="1"/>
  <c r="C2433" i="50"/>
  <c r="C2434" i="50" s="1"/>
  <c r="C2435" i="50" s="1"/>
  <c r="C2436" i="50" s="1"/>
  <c r="C2437" i="50" s="1"/>
  <c r="C2438" i="50" s="1"/>
  <c r="C2439" i="50" s="1"/>
  <c r="C2440" i="50" s="1"/>
  <c r="C2485" i="50"/>
  <c r="C2486" i="50" s="1"/>
  <c r="C2487" i="50" s="1"/>
  <c r="C2488" i="50" s="1"/>
  <c r="C2489" i="50" s="1"/>
  <c r="C2490" i="50" s="1"/>
  <c r="C2491" i="50" s="1"/>
  <c r="C2492" i="50" s="1"/>
  <c r="E269" i="41"/>
  <c r="E265" i="41"/>
  <c r="E270" i="41" s="1"/>
  <c r="T312" i="34"/>
  <c r="U326" i="34"/>
  <c r="T326" i="34"/>
  <c r="S326" i="34"/>
  <c r="S320" i="34"/>
  <c r="L58" i="62"/>
  <c r="T324" i="34"/>
  <c r="T320" i="34"/>
  <c r="F103" i="42"/>
  <c r="F119" i="42"/>
  <c r="S324" i="34"/>
  <c r="T406" i="41"/>
  <c r="T400" i="41"/>
  <c r="H303" i="41"/>
  <c r="H394" i="50" s="1"/>
  <c r="E104" i="62"/>
  <c r="E139" i="62"/>
  <c r="D140" i="62"/>
  <c r="D106" i="62"/>
  <c r="E105" i="62"/>
  <c r="D166" i="62"/>
  <c r="E165" i="62"/>
  <c r="S58" i="62"/>
  <c r="S59" i="62"/>
  <c r="U59" i="62"/>
  <c r="J427" i="41"/>
  <c r="P255" i="50"/>
  <c r="S111" i="50"/>
  <c r="P111" i="50"/>
  <c r="S112" i="50"/>
  <c r="P112" i="50"/>
  <c r="Q142" i="42"/>
  <c r="I157" i="42"/>
  <c r="P1845" i="50"/>
  <c r="P1805" i="50"/>
  <c r="P1811" i="50"/>
  <c r="P1804" i="50"/>
  <c r="J114" i="42"/>
  <c r="K114" i="42"/>
  <c r="I114" i="42"/>
  <c r="G114" i="42"/>
  <c r="H114" i="42"/>
  <c r="G60" i="9"/>
  <c r="E113" i="42"/>
  <c r="E129" i="42" s="1"/>
  <c r="E107" i="42"/>
  <c r="E123" i="42" s="1"/>
  <c r="E106" i="42"/>
  <c r="E122" i="42" s="1"/>
  <c r="E111" i="42"/>
  <c r="E127" i="42" s="1"/>
  <c r="E92" i="42"/>
  <c r="E90" i="42"/>
  <c r="E94" i="42"/>
  <c r="E91" i="42"/>
  <c r="E86" i="42"/>
  <c r="D13" i="42"/>
  <c r="G1845" i="50"/>
  <c r="G136" i="37"/>
  <c r="G207" i="37"/>
  <c r="Q217" i="42"/>
  <c r="J219" i="49"/>
  <c r="J202" i="50" s="1"/>
  <c r="G312" i="34"/>
  <c r="G268" i="34"/>
  <c r="E443" i="41"/>
  <c r="A267" i="34"/>
  <c r="A268" i="34"/>
  <c r="S57" i="62"/>
  <c r="E47" i="41"/>
  <c r="E60" i="41" s="1"/>
  <c r="E228" i="50" s="1"/>
  <c r="Q213" i="42"/>
  <c r="Q222" i="42"/>
  <c r="G263" i="34"/>
  <c r="I213" i="50"/>
  <c r="S312" i="34"/>
  <c r="S268" i="34"/>
  <c r="T268" i="34"/>
  <c r="G600" i="50"/>
  <c r="H201" i="50"/>
  <c r="G286" i="34"/>
  <c r="Q198" i="42"/>
  <c r="G273" i="34"/>
  <c r="H70" i="37"/>
  <c r="A297" i="34"/>
  <c r="A292" i="34"/>
  <c r="A295" i="34"/>
  <c r="A282" i="34"/>
  <c r="G313" i="34"/>
  <c r="G270" i="34"/>
  <c r="G305" i="34"/>
  <c r="G299" i="34"/>
  <c r="G613" i="50"/>
  <c r="B32" i="34"/>
  <c r="E369" i="50"/>
  <c r="E438" i="50"/>
  <c r="A281" i="34"/>
  <c r="A280" i="34"/>
  <c r="G301" i="34"/>
  <c r="G308" i="34"/>
  <c r="G279" i="34"/>
  <c r="M90" i="62"/>
  <c r="M126" i="62" s="1"/>
  <c r="M151" i="62" s="1"/>
  <c r="J90" i="62"/>
  <c r="J126" i="62" s="1"/>
  <c r="J151" i="62" s="1"/>
  <c r="H1820" i="50"/>
  <c r="K90" i="62"/>
  <c r="K126" i="62" s="1"/>
  <c r="K151" i="62" s="1"/>
  <c r="G285" i="37"/>
  <c r="G284" i="37"/>
  <c r="G610" i="50"/>
  <c r="G274" i="34"/>
  <c r="G302" i="34"/>
  <c r="G266" i="34"/>
  <c r="G283" i="34"/>
  <c r="G303" i="34"/>
  <c r="G267" i="34"/>
  <c r="G284" i="34"/>
  <c r="G264" i="34"/>
  <c r="G281" i="34"/>
  <c r="G309" i="34"/>
  <c r="G280" i="37"/>
  <c r="G278" i="34"/>
  <c r="G306" i="34"/>
  <c r="G271" i="34"/>
  <c r="G287" i="34"/>
  <c r="G307" i="34"/>
  <c r="G272" i="34"/>
  <c r="G300" i="34"/>
  <c r="G269" i="34"/>
  <c r="G285" i="34"/>
  <c r="G314" i="34"/>
  <c r="G611" i="50"/>
  <c r="G614" i="50"/>
  <c r="G272" i="37"/>
  <c r="G281" i="37"/>
  <c r="G265" i="34"/>
  <c r="G282" i="34"/>
  <c r="G310" i="34"/>
  <c r="G275" i="34"/>
  <c r="G295" i="34"/>
  <c r="G311" i="34"/>
  <c r="G276" i="34"/>
  <c r="G277" i="34"/>
  <c r="G280" i="34"/>
  <c r="G262" i="34"/>
  <c r="F85" i="42"/>
  <c r="H1818" i="50"/>
  <c r="G20" i="37"/>
  <c r="G197" i="42"/>
  <c r="G265" i="37"/>
  <c r="H231" i="37"/>
  <c r="G228" i="41"/>
  <c r="G347" i="50" s="1"/>
  <c r="G59" i="37"/>
  <c r="G349" i="41"/>
  <c r="G433" i="50" s="1"/>
  <c r="G66" i="49"/>
  <c r="G283" i="37"/>
  <c r="G127" i="41"/>
  <c r="G272" i="50" s="1"/>
  <c r="G218" i="49"/>
  <c r="G71" i="41"/>
  <c r="G198" i="41"/>
  <c r="G324" i="50" s="1"/>
  <c r="G149" i="37"/>
  <c r="G146" i="47"/>
  <c r="G196" i="47"/>
  <c r="G20" i="42"/>
  <c r="G42" i="41"/>
  <c r="G404" i="47"/>
  <c r="G207" i="47"/>
  <c r="G398" i="41"/>
  <c r="G467" i="50" s="1"/>
  <c r="H66" i="37"/>
  <c r="G117" i="50"/>
  <c r="B67" i="34"/>
  <c r="G212" i="42"/>
  <c r="G112" i="41"/>
  <c r="G260" i="50" s="1"/>
  <c r="G256" i="37"/>
  <c r="G183" i="42"/>
  <c r="G239" i="41"/>
  <c r="G356" i="50" s="1"/>
  <c r="G127" i="49"/>
  <c r="G174" i="50" s="1"/>
  <c r="G295" i="47"/>
  <c r="G289" i="47"/>
  <c r="G222" i="37"/>
  <c r="G128" i="47"/>
  <c r="G197" i="49"/>
  <c r="M304" i="41"/>
  <c r="M395" i="50" s="1"/>
  <c r="E437" i="50"/>
  <c r="Q31" i="43"/>
  <c r="A286" i="34"/>
  <c r="G222" i="42"/>
  <c r="G226" i="42"/>
  <c r="K304" i="41"/>
  <c r="K395" i="50" s="1"/>
  <c r="B65" i="34"/>
  <c r="G602" i="50"/>
  <c r="J489" i="47"/>
  <c r="I219" i="49"/>
  <c r="I202" i="50" s="1"/>
  <c r="A269" i="34"/>
  <c r="S262" i="34"/>
  <c r="L57" i="62"/>
  <c r="G235" i="50"/>
  <c r="G1833" i="50"/>
  <c r="G214" i="42"/>
  <c r="G260" i="37"/>
  <c r="G101" i="49"/>
  <c r="G162" i="50" s="1"/>
  <c r="I257" i="49"/>
  <c r="J2504" i="50"/>
  <c r="A273" i="34"/>
  <c r="M219" i="49"/>
  <c r="M202" i="50" s="1"/>
  <c r="G72" i="41"/>
  <c r="G251" i="37"/>
  <c r="G230" i="42"/>
  <c r="G194" i="37"/>
  <c r="G236" i="50"/>
  <c r="J2830" i="37"/>
  <c r="G74" i="41"/>
  <c r="J277" i="49"/>
  <c r="A275" i="34"/>
  <c r="N304" i="41"/>
  <c r="N395" i="50" s="1"/>
  <c r="B26" i="34"/>
  <c r="K267" i="49"/>
  <c r="K214" i="50" s="1"/>
  <c r="S275" i="34"/>
  <c r="S281" i="34"/>
  <c r="M303" i="41"/>
  <c r="M394" i="50" s="1"/>
  <c r="S314" i="34"/>
  <c r="S297" i="34"/>
  <c r="S285" i="34"/>
  <c r="S273" i="34"/>
  <c r="S269" i="34"/>
  <c r="S319" i="34"/>
  <c r="AK206" i="49"/>
  <c r="B40" i="34"/>
  <c r="S277" i="34"/>
  <c r="S296" i="34"/>
  <c r="K1839" i="42"/>
  <c r="U57" i="62"/>
  <c r="U327" i="34"/>
  <c r="S327" i="34"/>
  <c r="S300" i="34"/>
  <c r="E352" i="41"/>
  <c r="G399" i="41"/>
  <c r="G468" i="50" s="1"/>
  <c r="G607" i="50"/>
  <c r="G123" i="49"/>
  <c r="K489" i="47"/>
  <c r="Q266" i="34"/>
  <c r="T266" i="34" s="1"/>
  <c r="Q263" i="34"/>
  <c r="T263" i="34" s="1"/>
  <c r="S174" i="42"/>
  <c r="E174" i="42"/>
  <c r="S218" i="42"/>
  <c r="J303" i="41"/>
  <c r="J394" i="50" s="1"/>
  <c r="N303" i="41"/>
  <c r="Q184" i="42"/>
  <c r="L303" i="41"/>
  <c r="L394" i="50" s="1"/>
  <c r="B62" i="34"/>
  <c r="G341" i="47" s="1"/>
  <c r="B68" i="34"/>
  <c r="Q221" i="42"/>
  <c r="S313" i="34"/>
  <c r="S304" i="34"/>
  <c r="T318" i="34"/>
  <c r="S295" i="34"/>
  <c r="S298" i="34"/>
  <c r="S321" i="34"/>
  <c r="S270" i="34"/>
  <c r="T322" i="34"/>
  <c r="T327" i="34"/>
  <c r="Q262" i="34"/>
  <c r="T262" i="34" s="1"/>
  <c r="T323" i="34"/>
  <c r="S299" i="34"/>
  <c r="E107" i="50"/>
  <c r="B69" i="34"/>
  <c r="B34" i="34"/>
  <c r="E111" i="49"/>
  <c r="S308" i="34"/>
  <c r="S288" i="34"/>
  <c r="J304" i="41"/>
  <c r="E21" i="42"/>
  <c r="Q21" i="42" s="1"/>
  <c r="E103" i="62"/>
  <c r="Q225" i="42"/>
  <c r="Q140" i="42"/>
  <c r="S229" i="42"/>
  <c r="Q186" i="42"/>
  <c r="S226" i="42"/>
  <c r="N219" i="49"/>
  <c r="N202" i="50" s="1"/>
  <c r="E164" i="62"/>
  <c r="S164" i="62" s="1"/>
  <c r="B38" i="34"/>
  <c r="T321" i="34"/>
  <c r="U325" i="34"/>
  <c r="S276" i="34"/>
  <c r="S286" i="34"/>
  <c r="S291" i="34"/>
  <c r="S310" i="34"/>
  <c r="S307" i="34"/>
  <c r="S311" i="34"/>
  <c r="S272" i="34"/>
  <c r="S322" i="34"/>
  <c r="Q252" i="41"/>
  <c r="J267" i="49"/>
  <c r="J214" i="50" s="1"/>
  <c r="B36" i="34"/>
  <c r="S221" i="42"/>
  <c r="Q226" i="42"/>
  <c r="S222" i="42"/>
  <c r="B31" i="34"/>
  <c r="B30" i="34"/>
  <c r="S261" i="34"/>
  <c r="S263" i="34"/>
  <c r="S325" i="34"/>
  <c r="S318" i="34"/>
  <c r="S266" i="34"/>
  <c r="S271" i="34"/>
  <c r="S294" i="34"/>
  <c r="S292" i="34"/>
  <c r="S323" i="34"/>
  <c r="S284" i="34"/>
  <c r="T319" i="34"/>
  <c r="E114" i="50"/>
  <c r="A301" i="34"/>
  <c r="F229" i="43"/>
  <c r="F24" i="50" s="1"/>
  <c r="A311" i="34"/>
  <c r="A313" i="34"/>
  <c r="S214" i="42"/>
  <c r="Q230" i="42"/>
  <c r="Q214" i="42"/>
  <c r="Q185" i="42"/>
  <c r="Q187" i="42"/>
  <c r="Q151" i="42"/>
  <c r="Q174" i="42"/>
  <c r="Q29" i="42"/>
  <c r="E434" i="50"/>
  <c r="G1847" i="50"/>
  <c r="G234" i="50"/>
  <c r="G226" i="37"/>
  <c r="G185" i="42"/>
  <c r="G216" i="37"/>
  <c r="I207" i="49"/>
  <c r="G1849" i="50"/>
  <c r="G218" i="42"/>
  <c r="G593" i="50"/>
  <c r="G147" i="49"/>
  <c r="G187" i="50" s="1"/>
  <c r="D3" i="34"/>
  <c r="L412" i="43" s="1"/>
  <c r="X76" i="62" s="1"/>
  <c r="N267" i="49"/>
  <c r="N214" i="50" s="1"/>
  <c r="M382" i="43"/>
  <c r="T38" i="50" s="1"/>
  <c r="F232" i="43"/>
  <c r="Q232" i="43" s="1"/>
  <c r="R27" i="50" s="1"/>
  <c r="Q30" i="42"/>
  <c r="S213" i="42"/>
  <c r="Q229" i="42"/>
  <c r="Q218" i="42"/>
  <c r="Q150" i="42"/>
  <c r="S225" i="42"/>
  <c r="S217" i="42"/>
  <c r="S230" i="42"/>
  <c r="G1843" i="50"/>
  <c r="G186" i="37"/>
  <c r="C4" i="34"/>
  <c r="Q2838" i="37"/>
  <c r="I64" i="50"/>
  <c r="T25" i="49"/>
  <c r="I66" i="50" s="1"/>
  <c r="N20" i="41"/>
  <c r="N23" i="41" s="1"/>
  <c r="N69" i="50"/>
  <c r="E163" i="62"/>
  <c r="T163" i="62" s="1"/>
  <c r="A288" i="34"/>
  <c r="Y176" i="49"/>
  <c r="H454" i="41"/>
  <c r="H297" i="50"/>
  <c r="K283" i="50"/>
  <c r="K61" i="37"/>
  <c r="A278" i="34"/>
  <c r="A277" i="34"/>
  <c r="A276" i="34"/>
  <c r="A305" i="34"/>
  <c r="A306" i="34"/>
  <c r="E113" i="50"/>
  <c r="M146" i="49"/>
  <c r="F230" i="43"/>
  <c r="E102" i="62"/>
  <c r="K20" i="41"/>
  <c r="K23" i="41" s="1"/>
  <c r="K69" i="50"/>
  <c r="A290" i="34"/>
  <c r="A289" i="34"/>
  <c r="B44" i="34"/>
  <c r="G400" i="41"/>
  <c r="G469" i="50" s="1"/>
  <c r="G406" i="41"/>
  <c r="G471" i="50" s="1"/>
  <c r="G415" i="41"/>
  <c r="G52" i="37"/>
  <c r="G412" i="41"/>
  <c r="G473" i="50" s="1"/>
  <c r="G67" i="49"/>
  <c r="G606" i="50"/>
  <c r="G409" i="41"/>
  <c r="G472" i="50" s="1"/>
  <c r="G266" i="37"/>
  <c r="G403" i="41"/>
  <c r="G470" i="50" s="1"/>
  <c r="G1831" i="50"/>
  <c r="G1851" i="50"/>
  <c r="G596" i="50"/>
  <c r="G598" i="50"/>
  <c r="G587" i="50"/>
  <c r="L312" i="50"/>
  <c r="L460" i="41"/>
  <c r="M147" i="50"/>
  <c r="M84" i="49"/>
  <c r="J84" i="49"/>
  <c r="J147" i="50"/>
  <c r="H244" i="41"/>
  <c r="H353" i="50"/>
  <c r="E87" i="42"/>
  <c r="E105" i="42" s="1"/>
  <c r="E121" i="42" s="1"/>
  <c r="Y68" i="49"/>
  <c r="Y73" i="49" s="1"/>
  <c r="Y74" i="49" s="1"/>
  <c r="Y92" i="49" s="1"/>
  <c r="Y93" i="49" s="1"/>
  <c r="Y115" i="49" s="1"/>
  <c r="Y67" i="49"/>
  <c r="L144" i="41"/>
  <c r="I304" i="41"/>
  <c r="I395" i="50" s="1"/>
  <c r="I388" i="43"/>
  <c r="S388" i="43" s="1"/>
  <c r="G443" i="43"/>
  <c r="H213" i="50"/>
  <c r="K219" i="49"/>
  <c r="K202" i="50" s="1"/>
  <c r="G99" i="49"/>
  <c r="G184" i="49"/>
  <c r="G334" i="41"/>
  <c r="G419" i="50" s="1"/>
  <c r="G1824" i="50"/>
  <c r="G242" i="49"/>
  <c r="G224" i="42"/>
  <c r="G82" i="49"/>
  <c r="G154" i="50" s="1"/>
  <c r="G249" i="41"/>
  <c r="G364" i="50" s="1"/>
  <c r="G433" i="47"/>
  <c r="G266" i="49"/>
  <c r="G160" i="41"/>
  <c r="G105" i="49"/>
  <c r="G228" i="42"/>
  <c r="G150" i="49"/>
  <c r="G51" i="37"/>
  <c r="G203" i="37"/>
  <c r="G210" i="41"/>
  <c r="G334" i="50" s="1"/>
  <c r="G247" i="49"/>
  <c r="G114" i="49"/>
  <c r="G169" i="50" s="1"/>
  <c r="G315" i="41"/>
  <c r="G402" i="50" s="1"/>
  <c r="H137" i="42"/>
  <c r="G247" i="37"/>
  <c r="G261" i="41"/>
  <c r="G135" i="49"/>
  <c r="G179" i="50" s="1"/>
  <c r="G61" i="49"/>
  <c r="G149" i="50" s="1"/>
  <c r="G423" i="47"/>
  <c r="G55" i="41"/>
  <c r="G220" i="50" s="1"/>
  <c r="G279" i="37"/>
  <c r="G168" i="41"/>
  <c r="G301" i="50" s="1"/>
  <c r="G173" i="42"/>
  <c r="G20" i="49"/>
  <c r="G61" i="50" s="1"/>
  <c r="G162" i="47"/>
  <c r="G56" i="49"/>
  <c r="G144" i="50" s="1"/>
  <c r="G155" i="47"/>
  <c r="G91" i="49"/>
  <c r="G302" i="41"/>
  <c r="G393" i="50" s="1"/>
  <c r="G365" i="41"/>
  <c r="G445" i="50" s="1"/>
  <c r="G137" i="41"/>
  <c r="G279" i="50" s="1"/>
  <c r="G121" i="47"/>
  <c r="G237" i="49"/>
  <c r="G208" i="50" s="1"/>
  <c r="H466" i="47"/>
  <c r="G175" i="37"/>
  <c r="G286" i="41"/>
  <c r="G379" i="50" s="1"/>
  <c r="G251" i="49"/>
  <c r="G190" i="49"/>
  <c r="G34" i="49"/>
  <c r="G455" i="47"/>
  <c r="G122" i="49"/>
  <c r="G140" i="49"/>
  <c r="G397" i="47"/>
  <c r="G112" i="47"/>
  <c r="G575" i="50"/>
  <c r="G220" i="42"/>
  <c r="G316" i="47"/>
  <c r="G188" i="47"/>
  <c r="G19" i="41"/>
  <c r="G216" i="47"/>
  <c r="G118" i="49"/>
  <c r="G145" i="49"/>
  <c r="G160" i="50" s="1"/>
  <c r="G211" i="49"/>
  <c r="G233" i="50"/>
  <c r="K389" i="43"/>
  <c r="S45" i="50" s="1"/>
  <c r="M389" i="43"/>
  <c r="T45" i="50" s="1"/>
  <c r="A537" i="50"/>
  <c r="I303" i="41"/>
  <c r="K303" i="41"/>
  <c r="H241" i="37"/>
  <c r="H235" i="37"/>
  <c r="F228" i="43"/>
  <c r="F231" i="43"/>
  <c r="F26" i="50" s="1"/>
  <c r="D157" i="42"/>
  <c r="D1782" i="50"/>
  <c r="A298" i="34"/>
  <c r="A296" i="34"/>
  <c r="A293" i="34"/>
  <c r="A310" i="34"/>
  <c r="A307" i="34"/>
  <c r="A309" i="34"/>
  <c r="A304" i="34"/>
  <c r="A303" i="34"/>
  <c r="A308" i="34"/>
  <c r="K427" i="41"/>
  <c r="K2504" i="50"/>
  <c r="D8" i="34"/>
  <c r="K412" i="43"/>
  <c r="W76" i="62" s="1"/>
  <c r="Q25" i="41"/>
  <c r="S283" i="34"/>
  <c r="S265" i="34"/>
  <c r="S301" i="34"/>
  <c r="S267" i="34"/>
  <c r="S287" i="34"/>
  <c r="T325" i="34"/>
  <c r="S290" i="34"/>
  <c r="S303" i="34"/>
  <c r="S289" i="34"/>
  <c r="S278" i="34"/>
  <c r="S305" i="34"/>
  <c r="S309" i="34"/>
  <c r="J412" i="43"/>
  <c r="V76" i="62" s="1"/>
  <c r="S280" i="34"/>
  <c r="S306" i="34"/>
  <c r="S279" i="34"/>
  <c r="S274" i="34"/>
  <c r="E106" i="50"/>
  <c r="S106" i="50" s="1"/>
  <c r="E351" i="41"/>
  <c r="E138" i="62"/>
  <c r="E436" i="41"/>
  <c r="E370" i="50" s="1"/>
  <c r="T261" i="34"/>
  <c r="J53" i="43"/>
  <c r="I384" i="43"/>
  <c r="I385" i="43"/>
  <c r="R41" i="50" s="1"/>
  <c r="I386" i="43"/>
  <c r="M387" i="43"/>
  <c r="T43" i="50" s="1"/>
  <c r="I380" i="43"/>
  <c r="I381" i="43"/>
  <c r="S381" i="43" s="1"/>
  <c r="I382" i="43"/>
  <c r="M383" i="43"/>
  <c r="T39" i="50" s="1"/>
  <c r="I387" i="43"/>
  <c r="S387" i="43" s="1"/>
  <c r="I389" i="43"/>
  <c r="K382" i="43"/>
  <c r="S38" i="50" s="1"/>
  <c r="I383" i="43"/>
  <c r="S383" i="43" s="1"/>
  <c r="M385" i="43"/>
  <c r="T41" i="50" s="1"/>
  <c r="M386" i="43"/>
  <c r="T42" i="50" s="1"/>
  <c r="M388" i="43"/>
  <c r="T44" i="50" s="1"/>
  <c r="P1843" i="50"/>
  <c r="P1788" i="50"/>
  <c r="P1806" i="50"/>
  <c r="P1850" i="50"/>
  <c r="P1820" i="50"/>
  <c r="P1831" i="50"/>
  <c r="P1840" i="50"/>
  <c r="P1830" i="50"/>
  <c r="P1803" i="50"/>
  <c r="S105" i="50"/>
  <c r="E128" i="50"/>
  <c r="E249" i="50" s="1"/>
  <c r="P249" i="50" s="1"/>
  <c r="P105" i="50"/>
  <c r="P1792" i="50"/>
  <c r="P1819" i="50"/>
  <c r="P1844" i="50"/>
  <c r="P1842" i="50"/>
  <c r="P1801" i="50"/>
  <c r="P1802" i="50" s="1"/>
  <c r="P1847" i="50"/>
  <c r="P1846" i="50"/>
  <c r="R1782" i="50"/>
  <c r="P1849" i="50"/>
  <c r="P1800" i="50"/>
  <c r="P1832" i="50"/>
  <c r="P1851" i="50"/>
  <c r="P1848" i="50"/>
  <c r="L83" i="49"/>
  <c r="L84" i="49"/>
  <c r="L156" i="50" s="1"/>
  <c r="A543" i="50"/>
  <c r="G579" i="50"/>
  <c r="G604" i="50"/>
  <c r="G73" i="41"/>
  <c r="G187" i="42"/>
  <c r="L177" i="50"/>
  <c r="L137" i="49"/>
  <c r="L304" i="41"/>
  <c r="H304" i="41"/>
  <c r="H395" i="50" s="1"/>
  <c r="L61" i="37"/>
  <c r="F227" i="43"/>
  <c r="F22" i="50" s="1"/>
  <c r="K380" i="43"/>
  <c r="K381" i="43"/>
  <c r="S37" i="50" s="1"/>
  <c r="K384" i="43"/>
  <c r="S40" i="50" s="1"/>
  <c r="K387" i="43"/>
  <c r="S43" i="50" s="1"/>
  <c r="K388" i="43"/>
  <c r="S44" i="50" s="1"/>
  <c r="M380" i="43"/>
  <c r="T36" i="50" s="1"/>
  <c r="M381" i="43"/>
  <c r="T37" i="50" s="1"/>
  <c r="K383" i="43"/>
  <c r="S39" i="50" s="1"/>
  <c r="M384" i="43"/>
  <c r="T40" i="50" s="1"/>
  <c r="K385" i="43"/>
  <c r="S41" i="50" s="1"/>
  <c r="K386" i="43"/>
  <c r="S42" i="50" s="1"/>
  <c r="G285" i="49" l="1"/>
  <c r="G284" i="49"/>
  <c r="G286" i="49"/>
  <c r="I62" i="41"/>
  <c r="Q46" i="41"/>
  <c r="I321" i="47"/>
  <c r="J476" i="41"/>
  <c r="I475" i="41"/>
  <c r="L474" i="41"/>
  <c r="M474" i="41"/>
  <c r="I476" i="41"/>
  <c r="L475" i="41"/>
  <c r="K476" i="41"/>
  <c r="H474" i="41"/>
  <c r="L476" i="41"/>
  <c r="K475" i="41"/>
  <c r="M476" i="41"/>
  <c r="K474" i="41"/>
  <c r="Q1524" i="50"/>
  <c r="D1524" i="50"/>
  <c r="C1652" i="50"/>
  <c r="M475" i="41"/>
  <c r="H476" i="41"/>
  <c r="N474" i="41"/>
  <c r="N476" i="41"/>
  <c r="I474" i="41"/>
  <c r="N475" i="41"/>
  <c r="J475" i="41"/>
  <c r="J474" i="41"/>
  <c r="H475" i="41"/>
  <c r="N146" i="49"/>
  <c r="N186" i="50" s="1"/>
  <c r="F429" i="43"/>
  <c r="K429" i="43" s="1"/>
  <c r="L42" i="50" s="1"/>
  <c r="G868" i="42"/>
  <c r="G645" i="42"/>
  <c r="G422" i="42"/>
  <c r="E27" i="62"/>
  <c r="Q27" i="62" s="1"/>
  <c r="M27" i="62" s="1"/>
  <c r="G57" i="62"/>
  <c r="T57" i="62" s="1"/>
  <c r="G58" i="62"/>
  <c r="G59" i="62"/>
  <c r="E28" i="62"/>
  <c r="Q28" i="62" s="1"/>
  <c r="S28" i="62" s="1"/>
  <c r="D61" i="62"/>
  <c r="G60" i="62"/>
  <c r="E60" i="62"/>
  <c r="D30" i="62"/>
  <c r="E29" i="62"/>
  <c r="E93" i="62" s="1"/>
  <c r="F424" i="43"/>
  <c r="J424" i="43" s="1"/>
  <c r="I37" i="50" s="1"/>
  <c r="F425" i="43"/>
  <c r="K425" i="43" s="1"/>
  <c r="L38" i="50" s="1"/>
  <c r="F427" i="43"/>
  <c r="J427" i="43" s="1"/>
  <c r="I40" i="50" s="1"/>
  <c r="F423" i="43"/>
  <c r="K423" i="43" s="1"/>
  <c r="L36" i="50" s="1"/>
  <c r="F426" i="43"/>
  <c r="J426" i="43" s="1"/>
  <c r="I39" i="50" s="1"/>
  <c r="F428" i="43"/>
  <c r="H428" i="43" s="1"/>
  <c r="E41" i="50" s="1"/>
  <c r="F430" i="43"/>
  <c r="K430" i="43" s="1"/>
  <c r="L43" i="50" s="1"/>
  <c r="F432" i="43"/>
  <c r="J432" i="43" s="1"/>
  <c r="I45" i="50" s="1"/>
  <c r="F431" i="43"/>
  <c r="K431" i="43" s="1"/>
  <c r="L44" i="50" s="1"/>
  <c r="G199" i="42"/>
  <c r="G861" i="42"/>
  <c r="G857" i="42"/>
  <c r="G853" i="42"/>
  <c r="G413" i="42"/>
  <c r="G409" i="42"/>
  <c r="G190" i="42"/>
  <c r="G638" i="42"/>
  <c r="G634" i="42"/>
  <c r="G630" i="42"/>
  <c r="G188" i="42"/>
  <c r="G636" i="42"/>
  <c r="G859" i="42"/>
  <c r="G855" i="42"/>
  <c r="G415" i="42"/>
  <c r="G411" i="42"/>
  <c r="G407" i="42"/>
  <c r="G632" i="42"/>
  <c r="G192" i="42"/>
  <c r="G447" i="43"/>
  <c r="H361" i="50"/>
  <c r="L63" i="41"/>
  <c r="N72" i="50"/>
  <c r="N63" i="41"/>
  <c r="N51" i="41"/>
  <c r="N64" i="41" s="1"/>
  <c r="N62" i="41"/>
  <c r="H72" i="50"/>
  <c r="H51" i="41"/>
  <c r="H64" i="41" s="1"/>
  <c r="H62" i="41"/>
  <c r="H63" i="41"/>
  <c r="M72" i="50"/>
  <c r="M62" i="41"/>
  <c r="M51" i="41"/>
  <c r="M64" i="41" s="1"/>
  <c r="M63" i="41"/>
  <c r="I51" i="41"/>
  <c r="I64" i="41" s="1"/>
  <c r="L62" i="41"/>
  <c r="K72" i="50"/>
  <c r="K51" i="41"/>
  <c r="K64" i="41" s="1"/>
  <c r="K62" i="41"/>
  <c r="K63" i="41"/>
  <c r="I63" i="41"/>
  <c r="L51" i="41"/>
  <c r="L64" i="41" s="1"/>
  <c r="J72" i="50"/>
  <c r="J63" i="41"/>
  <c r="J51" i="41"/>
  <c r="J64" i="41" s="1"/>
  <c r="J62" i="41"/>
  <c r="I103" i="62" a="1"/>
  <c r="I103" i="62" s="1"/>
  <c r="I106" i="62" a="1"/>
  <c r="I106" i="62" s="1"/>
  <c r="I102" i="62" a="1"/>
  <c r="I102" i="62" s="1"/>
  <c r="I104" i="62" a="1"/>
  <c r="I104" i="62" s="1"/>
  <c r="I105" i="62" a="1"/>
  <c r="I105" i="62" s="1"/>
  <c r="I101" i="62" a="1"/>
  <c r="I101" i="62" s="1"/>
  <c r="I273" i="43"/>
  <c r="X274" i="43" s="1"/>
  <c r="I284" i="43"/>
  <c r="H284" i="43"/>
  <c r="K211" i="41"/>
  <c r="K240" i="41" s="1"/>
  <c r="W27" i="49"/>
  <c r="L68" i="50" s="1"/>
  <c r="L74" i="50" s="1"/>
  <c r="H2387" i="50"/>
  <c r="G2127" i="50"/>
  <c r="G2247" i="50"/>
  <c r="G2187" i="50"/>
  <c r="G2059" i="50"/>
  <c r="G2695" i="37"/>
  <c r="G1913" i="50"/>
  <c r="G2696" i="37"/>
  <c r="G2684" i="37"/>
  <c r="G2683" i="37"/>
  <c r="G2402" i="37"/>
  <c r="G2414" i="37"/>
  <c r="G1559" i="37"/>
  <c r="G2134" i="37"/>
  <c r="G2133" i="37"/>
  <c r="G2122" i="37"/>
  <c r="G1853" i="37"/>
  <c r="G1571" i="37"/>
  <c r="G1291" i="37"/>
  <c r="G1278" i="37"/>
  <c r="G1009" i="37"/>
  <c r="G997" i="37"/>
  <c r="G2415" i="37"/>
  <c r="G1852" i="37"/>
  <c r="G1840" i="37"/>
  <c r="G1572" i="37"/>
  <c r="G1560" i="37"/>
  <c r="G716" i="37"/>
  <c r="G448" i="37"/>
  <c r="G435" i="37"/>
  <c r="G2403" i="37"/>
  <c r="G1279" i="37"/>
  <c r="G728" i="37"/>
  <c r="G1290" i="37"/>
  <c r="G717" i="37"/>
  <c r="G729" i="37"/>
  <c r="G447" i="37"/>
  <c r="G1986" i="50"/>
  <c r="G1841" i="37"/>
  <c r="G436" i="37"/>
  <c r="G1010" i="37"/>
  <c r="G2121" i="37"/>
  <c r="G998" i="37"/>
  <c r="H1200" i="42"/>
  <c r="H1203" i="42" s="1"/>
  <c r="H1092" i="42"/>
  <c r="H1540" i="42"/>
  <c r="H1543" i="42" s="1"/>
  <c r="H1434" i="42"/>
  <c r="G2249" i="50"/>
  <c r="G2240" i="50"/>
  <c r="G2189" i="50"/>
  <c r="G2180" i="50"/>
  <c r="G1406" i="42"/>
  <c r="G2130" i="50"/>
  <c r="G2244" i="50"/>
  <c r="G2184" i="50"/>
  <c r="G1238" i="42"/>
  <c r="G2053" i="50"/>
  <c r="G2250" i="50"/>
  <c r="G2242" i="50"/>
  <c r="G2190" i="50"/>
  <c r="G2182" i="50"/>
  <c r="G1409" i="42"/>
  <c r="G1241" i="42"/>
  <c r="G1232" i="42"/>
  <c r="G2129" i="50"/>
  <c r="G2122" i="50"/>
  <c r="G2124" i="50"/>
  <c r="G1067" i="42"/>
  <c r="G2120" i="50"/>
  <c r="G2065" i="50"/>
  <c r="G1996" i="50"/>
  <c r="G1994" i="50"/>
  <c r="G1992" i="50"/>
  <c r="G1990" i="50"/>
  <c r="G1988" i="50"/>
  <c r="G1984" i="50"/>
  <c r="G1978" i="50"/>
  <c r="G1976" i="50"/>
  <c r="G1971" i="50"/>
  <c r="G1907" i="50"/>
  <c r="G2754" i="37"/>
  <c r="G2718" i="37"/>
  <c r="G2454" i="37"/>
  <c r="G2433" i="37"/>
  <c r="G2416" i="37"/>
  <c r="G2404" i="37"/>
  <c r="G2067" i="50"/>
  <c r="G2057" i="50"/>
  <c r="G2045" i="50"/>
  <c r="G1980" i="50"/>
  <c r="G2788" i="37"/>
  <c r="G2779" i="37"/>
  <c r="G2735" i="37"/>
  <c r="G2714" i="37"/>
  <c r="G2697" i="37"/>
  <c r="G2589" i="37"/>
  <c r="G2498" i="37"/>
  <c r="G2441" i="37"/>
  <c r="G2438" i="37"/>
  <c r="G1919" i="50"/>
  <c r="G1898" i="50"/>
  <c r="G2744" i="37"/>
  <c r="G2685" i="37"/>
  <c r="G2664" i="37"/>
  <c r="G2507" i="37"/>
  <c r="G2308" i="37"/>
  <c r="G2217" i="37"/>
  <c r="G2160" i="37"/>
  <c r="G2157" i="37"/>
  <c r="G1936" i="37"/>
  <c r="G1879" i="37"/>
  <c r="G1876" i="37"/>
  <c r="G1842" i="37"/>
  <c r="G1821" i="37"/>
  <c r="G1664" i="37"/>
  <c r="G1630" i="37"/>
  <c r="G1594" i="37"/>
  <c r="G1465" i="37"/>
  <c r="G1374" i="37"/>
  <c r="G1317" i="37"/>
  <c r="G1314" i="37"/>
  <c r="G1049" i="37"/>
  <c r="G1028" i="37"/>
  <c r="G1011" i="37"/>
  <c r="G768" i="37"/>
  <c r="G747" i="37"/>
  <c r="G730" i="37"/>
  <c r="G1403" i="42"/>
  <c r="G1235" i="42"/>
  <c r="G2061" i="50"/>
  <c r="G2055" i="50"/>
  <c r="G2044" i="50"/>
  <c r="G1982" i="50"/>
  <c r="G1972" i="50"/>
  <c r="G1921" i="50"/>
  <c r="G1911" i="50"/>
  <c r="G1903" i="50"/>
  <c r="G2719" i="37"/>
  <c r="G2182" i="37"/>
  <c r="G2102" i="37"/>
  <c r="G1945" i="37"/>
  <c r="G1901" i="37"/>
  <c r="G1611" i="37"/>
  <c r="G1590" i="37"/>
  <c r="G1573" i="37"/>
  <c r="G1339" i="37"/>
  <c r="G1280" i="37"/>
  <c r="G1184" i="37"/>
  <c r="G1093" i="37"/>
  <c r="G1036" i="37"/>
  <c r="G1033" i="37"/>
  <c r="G903" i="37"/>
  <c r="G812" i="37"/>
  <c r="G755" i="37"/>
  <c r="G752" i="37"/>
  <c r="G540" i="37"/>
  <c r="G506" i="37"/>
  <c r="G470" i="37"/>
  <c r="G1061" i="42"/>
  <c r="G898" i="42"/>
  <c r="G882" i="42"/>
  <c r="G2049" i="50"/>
  <c r="G2473" i="37"/>
  <c r="G2463" i="37"/>
  <c r="G2135" i="37"/>
  <c r="G2123" i="37"/>
  <c r="G1875" i="37"/>
  <c r="G1871" i="37"/>
  <c r="G1595" i="37"/>
  <c r="G1540" i="37"/>
  <c r="G1292" i="37"/>
  <c r="G1068" i="37"/>
  <c r="G1058" i="37"/>
  <c r="G999" i="37"/>
  <c r="G978" i="37"/>
  <c r="G821" i="37"/>
  <c r="G437" i="37"/>
  <c r="G1070" i="42"/>
  <c r="G901" i="42"/>
  <c r="G675" i="42"/>
  <c r="G659" i="42"/>
  <c r="G452" i="42"/>
  <c r="G436" i="42"/>
  <c r="G227" i="50"/>
  <c r="G2063" i="50"/>
  <c r="G1917" i="50"/>
  <c r="G2722" i="37"/>
  <c r="G2437" i="37"/>
  <c r="G2226" i="37"/>
  <c r="G2156" i="37"/>
  <c r="G2152" i="37"/>
  <c r="G2051" i="50"/>
  <c r="G1915" i="50"/>
  <c r="G1909" i="50"/>
  <c r="G1899" i="50"/>
  <c r="G2383" i="37"/>
  <c r="G2192" i="37"/>
  <c r="G2027" i="37"/>
  <c r="G1892" i="37"/>
  <c r="G1655" i="37"/>
  <c r="G1598" i="37"/>
  <c r="G1561" i="37"/>
  <c r="G1349" i="37"/>
  <c r="G1259" i="37"/>
  <c r="G1102" i="37"/>
  <c r="G496" i="37"/>
  <c r="G487" i="37"/>
  <c r="G471" i="37"/>
  <c r="G678" i="42"/>
  <c r="G671" i="42"/>
  <c r="G455" i="42"/>
  <c r="G448" i="42"/>
  <c r="G1905" i="50"/>
  <c r="G1911" i="37"/>
  <c r="G1330" i="37"/>
  <c r="G718" i="37"/>
  <c r="G697" i="37"/>
  <c r="G622" i="37"/>
  <c r="G474" i="37"/>
  <c r="G449" i="37"/>
  <c r="G1064" i="42"/>
  <c r="G867" i="42"/>
  <c r="G644" i="42"/>
  <c r="G224" i="50"/>
  <c r="G1412" i="42"/>
  <c r="G1923" i="50"/>
  <c r="G787" i="37"/>
  <c r="G894" i="42"/>
  <c r="G2069" i="50"/>
  <c r="G1309" i="37"/>
  <c r="G751" i="37"/>
  <c r="G416" i="37"/>
  <c r="G421" i="42"/>
  <c r="G223" i="50"/>
  <c r="G1854" i="37"/>
  <c r="G1620" i="37"/>
  <c r="G886" i="42"/>
  <c r="G444" i="42"/>
  <c r="G440" i="42"/>
  <c r="G2173" i="37"/>
  <c r="G1746" i="37"/>
  <c r="G1383" i="37"/>
  <c r="G1313" i="37"/>
  <c r="G1032" i="37"/>
  <c r="G531" i="37"/>
  <c r="G466" i="37"/>
  <c r="G341" i="37"/>
  <c r="G667" i="42"/>
  <c r="G663" i="42"/>
  <c r="G777" i="37"/>
  <c r="G890" i="42"/>
  <c r="G114" i="41"/>
  <c r="G262" i="50" s="1"/>
  <c r="G116" i="41"/>
  <c r="G264" i="50" s="1"/>
  <c r="G113" i="41"/>
  <c r="G261" i="50" s="1"/>
  <c r="G1838" i="50"/>
  <c r="G1834" i="50"/>
  <c r="G1826" i="50"/>
  <c r="G1836" i="50"/>
  <c r="G474" i="41"/>
  <c r="G122" i="41"/>
  <c r="G269" i="50" s="1"/>
  <c r="G381" i="41"/>
  <c r="G476" i="41"/>
  <c r="G307" i="41"/>
  <c r="G475" i="41"/>
  <c r="G2462" i="37"/>
  <c r="G2743" i="37"/>
  <c r="G2506" i="37"/>
  <c r="G2734" i="37"/>
  <c r="G2497" i="37"/>
  <c r="G2225" i="37"/>
  <c r="G1654" i="37"/>
  <c r="G1382" i="37"/>
  <c r="G1057" i="37"/>
  <c r="G776" i="37"/>
  <c r="G2453" i="37"/>
  <c r="G2172" i="37"/>
  <c r="G1891" i="37"/>
  <c r="G1619" i="37"/>
  <c r="G1329" i="37"/>
  <c r="G1101" i="37"/>
  <c r="G820" i="37"/>
  <c r="G530" i="37"/>
  <c r="G2787" i="37"/>
  <c r="G2216" i="37"/>
  <c r="G1944" i="37"/>
  <c r="G1373" i="37"/>
  <c r="G811" i="37"/>
  <c r="G1935" i="37"/>
  <c r="G1900" i="37"/>
  <c r="G1092" i="37"/>
  <c r="G767" i="37"/>
  <c r="G2181" i="37"/>
  <c r="G1338" i="37"/>
  <c r="G539" i="37"/>
  <c r="G1610" i="37"/>
  <c r="G495" i="37"/>
  <c r="G2778" i="37"/>
  <c r="G1048" i="37"/>
  <c r="G486" i="37"/>
  <c r="G1663" i="37"/>
  <c r="H2171" i="50"/>
  <c r="H1383" i="42"/>
  <c r="H1266" i="42"/>
  <c r="H2291" i="50"/>
  <c r="F1625" i="42"/>
  <c r="H1575" i="42"/>
  <c r="H1690" i="42"/>
  <c r="H808" i="42"/>
  <c r="H811" i="42" s="1"/>
  <c r="H698" i="42"/>
  <c r="G2410" i="37"/>
  <c r="G2398" i="37"/>
  <c r="G1848" i="37"/>
  <c r="G1836" i="37"/>
  <c r="G724" i="37"/>
  <c r="G2691" i="37"/>
  <c r="G2117" i="37"/>
  <c r="G1286" i="37"/>
  <c r="G443" i="37"/>
  <c r="G2679" i="37"/>
  <c r="G2129" i="37"/>
  <c r="G1005" i="37"/>
  <c r="G1274" i="37"/>
  <c r="G1555" i="37"/>
  <c r="G993" i="37"/>
  <c r="G1567" i="37"/>
  <c r="G431" i="37"/>
  <c r="G712" i="37"/>
  <c r="H597" i="42"/>
  <c r="H478" i="42"/>
  <c r="H1029" i="42"/>
  <c r="H1032" i="42" s="1"/>
  <c r="H921" i="42"/>
  <c r="H362" i="42"/>
  <c r="H365" i="42" s="1"/>
  <c r="H252" i="42"/>
  <c r="H2038" i="50"/>
  <c r="H2022" i="50"/>
  <c r="H2015" i="50"/>
  <c r="H2019" i="50" s="1"/>
  <c r="H2030" i="50"/>
  <c r="G2394" i="50"/>
  <c r="G2346" i="50"/>
  <c r="G2298" i="50"/>
  <c r="G2238" i="50"/>
  <c r="G2178" i="50"/>
  <c r="G1225" i="42"/>
  <c r="G2118" i="50"/>
  <c r="G2047" i="50"/>
  <c r="G1396" i="42"/>
  <c r="G1901" i="50"/>
  <c r="G1974" i="50"/>
  <c r="G2094" i="37"/>
  <c r="G2375" i="37"/>
  <c r="G2143" i="37"/>
  <c r="G1862" i="37"/>
  <c r="G1532" i="37"/>
  <c r="G1300" i="37"/>
  <c r="G408" i="37"/>
  <c r="G1054" i="42"/>
  <c r="G1019" i="37"/>
  <c r="G689" i="37"/>
  <c r="G457" i="37"/>
  <c r="G843" i="42"/>
  <c r="G2705" i="37"/>
  <c r="G2656" i="37"/>
  <c r="G620" i="42"/>
  <c r="G397" i="42"/>
  <c r="G2424" i="37"/>
  <c r="G1581" i="37"/>
  <c r="G970" i="37"/>
  <c r="G738" i="37"/>
  <c r="G1251" i="37"/>
  <c r="G1813" i="37"/>
  <c r="H2111" i="50"/>
  <c r="H1892" i="50"/>
  <c r="H1816" i="42"/>
  <c r="H1819" i="42" s="1"/>
  <c r="H1710" i="42"/>
  <c r="M224" i="50"/>
  <c r="I224" i="50"/>
  <c r="L223" i="50"/>
  <c r="H223" i="50"/>
  <c r="M228" i="50"/>
  <c r="I228" i="50"/>
  <c r="L227" i="50"/>
  <c r="H227" i="50"/>
  <c r="N223" i="50"/>
  <c r="N227" i="50"/>
  <c r="L224" i="50"/>
  <c r="H224" i="50"/>
  <c r="K223" i="50"/>
  <c r="L228" i="50"/>
  <c r="H228" i="50"/>
  <c r="K227" i="50"/>
  <c r="K224" i="50"/>
  <c r="J223" i="50"/>
  <c r="K228" i="50"/>
  <c r="J227" i="50"/>
  <c r="J224" i="50"/>
  <c r="M223" i="50"/>
  <c r="N228" i="50"/>
  <c r="M227" i="50"/>
  <c r="N224" i="50"/>
  <c r="I223" i="50"/>
  <c r="J228" i="50"/>
  <c r="I227" i="50"/>
  <c r="E192" i="62"/>
  <c r="E263" i="41"/>
  <c r="E268" i="41" s="1"/>
  <c r="K289" i="50"/>
  <c r="A34" i="42"/>
  <c r="A36" i="42"/>
  <c r="A37" i="42" s="1"/>
  <c r="A38" i="42" s="1"/>
  <c r="A39" i="42" s="1"/>
  <c r="A40" i="42" s="1"/>
  <c r="A41" i="42" s="1"/>
  <c r="A42" i="42" s="1"/>
  <c r="A43" i="42" s="1"/>
  <c r="A44" i="42" s="1"/>
  <c r="A45" i="42" s="1"/>
  <c r="A46" i="42" s="1"/>
  <c r="A47" i="42" s="1"/>
  <c r="A48" i="42" s="1"/>
  <c r="A49" i="42" s="1"/>
  <c r="A50" i="42" s="1"/>
  <c r="A51" i="42" s="1"/>
  <c r="A52" i="42" s="1"/>
  <c r="A53" i="42" s="1"/>
  <c r="A54" i="42" s="1"/>
  <c r="A55" i="42" s="1"/>
  <c r="A56" i="42" s="1"/>
  <c r="A57" i="42" s="1"/>
  <c r="A58" i="42" s="1"/>
  <c r="A59" i="42" s="1"/>
  <c r="A60" i="42" s="1"/>
  <c r="A61" i="42" s="1"/>
  <c r="A62" i="42" s="1"/>
  <c r="A63" i="42" s="1"/>
  <c r="A64" i="42" s="1"/>
  <c r="A65" i="42" s="1"/>
  <c r="A66" i="42" s="1"/>
  <c r="A67" i="42" s="1"/>
  <c r="A68" i="42" s="1"/>
  <c r="A69" i="42" s="1"/>
  <c r="A70" i="42" s="1"/>
  <c r="A71" i="42" s="1"/>
  <c r="A72" i="42" s="1"/>
  <c r="A73" i="42" s="1"/>
  <c r="A74" i="42" s="1"/>
  <c r="A75" i="42" s="1"/>
  <c r="A76" i="42" s="1"/>
  <c r="A77" i="42" s="1"/>
  <c r="A78" i="42" s="1"/>
  <c r="A79" i="42" s="1"/>
  <c r="A80" i="42" s="1"/>
  <c r="A81" i="42" s="1"/>
  <c r="A83" i="42" s="1"/>
  <c r="A84" i="42" s="1"/>
  <c r="A85" i="42" s="1"/>
  <c r="A86" i="42" s="1"/>
  <c r="A87" i="42" s="1"/>
  <c r="A88" i="42" s="1"/>
  <c r="A89" i="42" s="1"/>
  <c r="A90" i="42" s="1"/>
  <c r="A91" i="42" s="1"/>
  <c r="A92" i="42" s="1"/>
  <c r="A93" i="42" s="1"/>
  <c r="A94" i="42" s="1"/>
  <c r="A95" i="42" s="1"/>
  <c r="A96" i="42" s="1"/>
  <c r="A97" i="42" s="1"/>
  <c r="A98" i="42" s="1"/>
  <c r="A99" i="42" s="1"/>
  <c r="A100" i="42" s="1"/>
  <c r="A101" i="42" s="1"/>
  <c r="A102" i="42" s="1"/>
  <c r="A103" i="42" s="1"/>
  <c r="A104" i="42" s="1"/>
  <c r="A105" i="42" s="1"/>
  <c r="A106" i="42" s="1"/>
  <c r="A107" i="42" s="1"/>
  <c r="A108" i="42" s="1"/>
  <c r="A109" i="42" s="1"/>
  <c r="A110" i="42" s="1"/>
  <c r="A111" i="42" s="1"/>
  <c r="A112" i="42" s="1"/>
  <c r="A113" i="42" s="1"/>
  <c r="A114" i="42" s="1"/>
  <c r="A115" i="42" s="1"/>
  <c r="A116" i="42" s="1"/>
  <c r="A117" i="42" s="1"/>
  <c r="A118" i="42" s="1"/>
  <c r="A119" i="42" s="1"/>
  <c r="A120" i="42" s="1"/>
  <c r="A121" i="42" s="1"/>
  <c r="A122" i="42" s="1"/>
  <c r="A123" i="42" s="1"/>
  <c r="A124" i="42" s="1"/>
  <c r="A125" i="42" s="1"/>
  <c r="A126" i="42" s="1"/>
  <c r="A127" i="42" s="1"/>
  <c r="A128" i="42" s="1"/>
  <c r="A129" i="42" s="1"/>
  <c r="A130" i="42" s="1"/>
  <c r="A131" i="42" s="1"/>
  <c r="A132" i="42" s="1"/>
  <c r="A133" i="42" s="1"/>
  <c r="A134" i="42" s="1"/>
  <c r="A135" i="42" s="1"/>
  <c r="A136" i="42" s="1"/>
  <c r="A137" i="42" s="1"/>
  <c r="A138" i="42" s="1"/>
  <c r="A139" i="42" s="1"/>
  <c r="A140" i="42" s="1"/>
  <c r="A141" i="42" s="1"/>
  <c r="A142" i="42" s="1"/>
  <c r="A143" i="42" s="1"/>
  <c r="A144" i="42" s="1"/>
  <c r="A145" i="42" s="1"/>
  <c r="A146" i="42" s="1"/>
  <c r="A147" i="42" s="1"/>
  <c r="A148" i="42" s="1"/>
  <c r="A149" i="42" s="1"/>
  <c r="A150" i="42" s="1"/>
  <c r="A151" i="42" s="1"/>
  <c r="A152" i="42" s="1"/>
  <c r="I211" i="41"/>
  <c r="I240" i="41" s="1"/>
  <c r="K150" i="41"/>
  <c r="K292" i="50" s="1"/>
  <c r="Y119" i="49"/>
  <c r="Y124" i="49" s="1"/>
  <c r="Y128" i="49" s="1"/>
  <c r="Y129" i="49" s="1"/>
  <c r="Y141" i="49" s="1"/>
  <c r="Y142" i="49" s="1"/>
  <c r="K100" i="49"/>
  <c r="K106" i="49" s="1"/>
  <c r="Y309" i="43"/>
  <c r="K100" i="62" a="1"/>
  <c r="K100" i="62" s="1"/>
  <c r="M99" i="62" a="1"/>
  <c r="M99" i="62" s="1"/>
  <c r="N98" i="62" a="1"/>
  <c r="N98" i="62" s="1"/>
  <c r="I98" i="62" a="1"/>
  <c r="I98" i="62" s="1"/>
  <c r="J97" i="62" a="1"/>
  <c r="J97" i="62" s="1"/>
  <c r="K96" i="62" a="1"/>
  <c r="K96" i="62" s="1"/>
  <c r="M95" i="62" a="1"/>
  <c r="M95" i="62" s="1"/>
  <c r="N94" i="62" a="1"/>
  <c r="N94" i="62" s="1"/>
  <c r="I94" i="62" a="1"/>
  <c r="I94" i="62" s="1"/>
  <c r="J93" i="62" a="1"/>
  <c r="J93" i="62" s="1"/>
  <c r="K92" i="62" a="1"/>
  <c r="K92" i="62" s="1"/>
  <c r="M91" i="62" a="1"/>
  <c r="M91" i="62" s="1"/>
  <c r="L81" i="62"/>
  <c r="N99" i="62" a="1"/>
  <c r="N99" i="62" s="1"/>
  <c r="K97" i="62" a="1"/>
  <c r="K97" i="62" s="1"/>
  <c r="N95" i="62" a="1"/>
  <c r="N95" i="62" s="1"/>
  <c r="K93" i="62" a="1"/>
  <c r="K93" i="62" s="1"/>
  <c r="I91" i="62" a="1"/>
  <c r="I91" i="62" s="1"/>
  <c r="J100" i="62" a="1"/>
  <c r="J100" i="62" s="1"/>
  <c r="K99" i="62" a="1"/>
  <c r="K99" i="62" s="1"/>
  <c r="M98" i="62" a="1"/>
  <c r="M98" i="62" s="1"/>
  <c r="N97" i="62" a="1"/>
  <c r="N97" i="62" s="1"/>
  <c r="I97" i="62" a="1"/>
  <c r="I97" i="62" s="1"/>
  <c r="J96" i="62" a="1"/>
  <c r="J96" i="62" s="1"/>
  <c r="K95" i="62" a="1"/>
  <c r="K95" i="62" s="1"/>
  <c r="M94" i="62" a="1"/>
  <c r="M94" i="62" s="1"/>
  <c r="N93" i="62" a="1"/>
  <c r="N93" i="62" s="1"/>
  <c r="I93" i="62" a="1"/>
  <c r="I93" i="62" s="1"/>
  <c r="J92" i="62" a="1"/>
  <c r="J92" i="62" s="1"/>
  <c r="K91" i="62" a="1"/>
  <c r="K91" i="62" s="1"/>
  <c r="M100" i="62" a="1"/>
  <c r="M100" i="62" s="1"/>
  <c r="J98" i="62" a="1"/>
  <c r="J98" i="62" s="1"/>
  <c r="M96" i="62" a="1"/>
  <c r="M96" i="62" s="1"/>
  <c r="J94" i="62" a="1"/>
  <c r="J94" i="62" s="1"/>
  <c r="N91" i="62" a="1"/>
  <c r="N91" i="62" s="1"/>
  <c r="N100" i="62" a="1"/>
  <c r="N100" i="62" s="1"/>
  <c r="I100" i="62" a="1"/>
  <c r="I100" i="62" s="1"/>
  <c r="J99" i="62" a="1"/>
  <c r="J99" i="62" s="1"/>
  <c r="K98" i="62" a="1"/>
  <c r="K98" i="62" s="1"/>
  <c r="M97" i="62" a="1"/>
  <c r="M97" i="62" s="1"/>
  <c r="N96" i="62" a="1"/>
  <c r="N96" i="62" s="1"/>
  <c r="I96" i="62" a="1"/>
  <c r="I96" i="62" s="1"/>
  <c r="J95" i="62" a="1"/>
  <c r="J95" i="62" s="1"/>
  <c r="K94" i="62" a="1"/>
  <c r="K94" i="62" s="1"/>
  <c r="M93" i="62" a="1"/>
  <c r="M93" i="62" s="1"/>
  <c r="N92" i="62" a="1"/>
  <c r="N92" i="62" s="1"/>
  <c r="I92" i="62" a="1"/>
  <c r="I92" i="62" s="1"/>
  <c r="J91" i="62" a="1"/>
  <c r="J91" i="62" s="1"/>
  <c r="I99" i="62" a="1"/>
  <c r="I99" i="62" s="1"/>
  <c r="I95" i="62" a="1"/>
  <c r="I95" i="62" s="1"/>
  <c r="M92" i="62" a="1"/>
  <c r="M92" i="62" s="1"/>
  <c r="B45" i="34"/>
  <c r="J289" i="50"/>
  <c r="G583" i="50"/>
  <c r="N463" i="41"/>
  <c r="N470" i="41" s="1"/>
  <c r="G392" i="47"/>
  <c r="G74" i="49"/>
  <c r="G151" i="50" s="1"/>
  <c r="G154" i="37"/>
  <c r="I100" i="49"/>
  <c r="I101" i="49" s="1"/>
  <c r="I162" i="50" s="1"/>
  <c r="J211" i="41"/>
  <c r="J240" i="41" s="1"/>
  <c r="G319" i="41"/>
  <c r="G406" i="50" s="1"/>
  <c r="J150" i="41"/>
  <c r="X27" i="49"/>
  <c r="M66" i="50"/>
  <c r="Z90" i="42"/>
  <c r="V90" i="42"/>
  <c r="Y90" i="42"/>
  <c r="U90" i="42"/>
  <c r="W90" i="42"/>
  <c r="X90" i="42"/>
  <c r="T90" i="42"/>
  <c r="X92" i="42"/>
  <c r="T92" i="42"/>
  <c r="W92" i="42"/>
  <c r="Y92" i="42"/>
  <c r="U92" i="42"/>
  <c r="Z92" i="42"/>
  <c r="V92" i="42"/>
  <c r="X123" i="42"/>
  <c r="T123" i="42"/>
  <c r="W123" i="42"/>
  <c r="Y123" i="42"/>
  <c r="U123" i="42"/>
  <c r="Z123" i="42"/>
  <c r="V123" i="42"/>
  <c r="W91" i="42"/>
  <c r="Z91" i="42"/>
  <c r="V91" i="42"/>
  <c r="X91" i="42"/>
  <c r="T91" i="42"/>
  <c r="Y91" i="42"/>
  <c r="U91" i="42"/>
  <c r="X127" i="42"/>
  <c r="T127" i="42"/>
  <c r="W127" i="42"/>
  <c r="Y127" i="42"/>
  <c r="U127" i="42"/>
  <c r="Z127" i="42"/>
  <c r="V127" i="42"/>
  <c r="Z129" i="42"/>
  <c r="V129" i="42"/>
  <c r="Y129" i="42"/>
  <c r="U129" i="42"/>
  <c r="W129" i="42"/>
  <c r="X129" i="42"/>
  <c r="T129" i="42"/>
  <c r="Z94" i="42"/>
  <c r="V94" i="42"/>
  <c r="Y94" i="42"/>
  <c r="U94" i="42"/>
  <c r="W94" i="42"/>
  <c r="X94" i="42"/>
  <c r="T94" i="42"/>
  <c r="G456" i="47"/>
  <c r="G21" i="49"/>
  <c r="G62" i="50" s="1"/>
  <c r="G155" i="37"/>
  <c r="G73" i="49"/>
  <c r="G150" i="50" s="1"/>
  <c r="G146" i="49"/>
  <c r="G186" i="50" s="1"/>
  <c r="G267" i="49"/>
  <c r="G214" i="50" s="1"/>
  <c r="G219" i="49"/>
  <c r="G202" i="50" s="1"/>
  <c r="G130" i="49"/>
  <c r="G177" i="50" s="1"/>
  <c r="N150" i="41"/>
  <c r="N292" i="50" s="1"/>
  <c r="N211" i="41"/>
  <c r="N216" i="41" s="1"/>
  <c r="N338" i="50" s="1"/>
  <c r="H146" i="49"/>
  <c r="N289" i="50"/>
  <c r="K66" i="50"/>
  <c r="V27" i="49"/>
  <c r="G100" i="49"/>
  <c r="G161" i="50" s="1"/>
  <c r="G166" i="37"/>
  <c r="G460" i="47"/>
  <c r="G22" i="49"/>
  <c r="G63" i="50" s="1"/>
  <c r="G129" i="49"/>
  <c r="G176" i="50" s="1"/>
  <c r="N450" i="41"/>
  <c r="N457" i="41" s="1"/>
  <c r="H211" i="41"/>
  <c r="H289" i="50"/>
  <c r="H150" i="41"/>
  <c r="H292" i="50" s="1"/>
  <c r="G459" i="47"/>
  <c r="G128" i="49"/>
  <c r="G175" i="50" s="1"/>
  <c r="G581" i="50"/>
  <c r="N155" i="50"/>
  <c r="N100" i="49"/>
  <c r="H66" i="50"/>
  <c r="S27" i="49"/>
  <c r="H100" i="49"/>
  <c r="H156" i="50"/>
  <c r="G258" i="37"/>
  <c r="U27" i="49"/>
  <c r="J66" i="50"/>
  <c r="I146" i="49"/>
  <c r="I150" i="41"/>
  <c r="I292" i="50" s="1"/>
  <c r="I289" i="50"/>
  <c r="G174" i="42"/>
  <c r="G1608" i="50"/>
  <c r="G1600" i="50"/>
  <c r="G1736" i="50"/>
  <c r="G1728" i="50"/>
  <c r="G1480" i="50"/>
  <c r="G1472" i="50"/>
  <c r="G1224" i="50"/>
  <c r="G1216" i="50"/>
  <c r="G840" i="50"/>
  <c r="G832" i="50"/>
  <c r="G1096" i="50"/>
  <c r="G1088" i="50"/>
  <c r="G968" i="50"/>
  <c r="G960" i="50"/>
  <c r="G704" i="50"/>
  <c r="G1352" i="50"/>
  <c r="G1344" i="50"/>
  <c r="G712" i="50"/>
  <c r="G161" i="41"/>
  <c r="G296" i="50" s="1"/>
  <c r="G1755" i="50"/>
  <c r="G1753" i="50"/>
  <c r="G1751" i="50"/>
  <c r="G1749" i="50"/>
  <c r="G1747" i="50"/>
  <c r="G1744" i="50"/>
  <c r="G1627" i="50"/>
  <c r="G1625" i="50"/>
  <c r="G1623" i="50"/>
  <c r="G1621" i="50"/>
  <c r="G1619" i="50"/>
  <c r="G1616" i="50"/>
  <c r="G1613" i="50"/>
  <c r="G1610" i="50"/>
  <c r="G1602" i="50"/>
  <c r="G1614" i="50"/>
  <c r="G1742" i="50"/>
  <c r="G1371" i="50"/>
  <c r="G1369" i="50"/>
  <c r="G1367" i="50"/>
  <c r="G1365" i="50"/>
  <c r="G1363" i="50"/>
  <c r="G1360" i="50"/>
  <c r="G1357" i="50"/>
  <c r="G1354" i="50"/>
  <c r="G1346" i="50"/>
  <c r="G1486" i="50"/>
  <c r="G1230" i="50"/>
  <c r="G1115" i="50"/>
  <c r="G1113" i="50"/>
  <c r="G1111" i="50"/>
  <c r="G1109" i="50"/>
  <c r="G1107" i="50"/>
  <c r="G1104" i="50"/>
  <c r="G1101" i="50"/>
  <c r="G1098" i="50"/>
  <c r="G1090" i="50"/>
  <c r="G987" i="50"/>
  <c r="G985" i="50"/>
  <c r="G983" i="50"/>
  <c r="G981" i="50"/>
  <c r="G979" i="50"/>
  <c r="G976" i="50"/>
  <c r="G973" i="50"/>
  <c r="G970" i="50"/>
  <c r="G962" i="50"/>
  <c r="G846" i="50"/>
  <c r="G731" i="50"/>
  <c r="G729" i="50"/>
  <c r="G727" i="50"/>
  <c r="G725" i="50"/>
  <c r="G723" i="50"/>
  <c r="G720" i="50"/>
  <c r="G717" i="50"/>
  <c r="G714" i="50"/>
  <c r="G706" i="50"/>
  <c r="G1741" i="50"/>
  <c r="G1738" i="50"/>
  <c r="G1730" i="50"/>
  <c r="G1499" i="50"/>
  <c r="G1497" i="50"/>
  <c r="G1495" i="50"/>
  <c r="G1493" i="50"/>
  <c r="G1491" i="50"/>
  <c r="G1488" i="50"/>
  <c r="G1485" i="50"/>
  <c r="G1482" i="50"/>
  <c r="G1474" i="50"/>
  <c r="G1243" i="50"/>
  <c r="G1241" i="50"/>
  <c r="G1239" i="50"/>
  <c r="G1237" i="50"/>
  <c r="G1235" i="50"/>
  <c r="G1232" i="50"/>
  <c r="G1229" i="50"/>
  <c r="G1226" i="50"/>
  <c r="G1218" i="50"/>
  <c r="G1102" i="50"/>
  <c r="G974" i="50"/>
  <c r="G859" i="50"/>
  <c r="G851" i="50"/>
  <c r="G853" i="50"/>
  <c r="G842" i="50"/>
  <c r="G718" i="50"/>
  <c r="G855" i="50"/>
  <c r="G845" i="50"/>
  <c r="G834" i="50"/>
  <c r="G1358" i="50"/>
  <c r="G857" i="50"/>
  <c r="G848" i="50"/>
  <c r="M450" i="41"/>
  <c r="M457" i="41" s="1"/>
  <c r="M449" i="41"/>
  <c r="M456" i="41" s="1"/>
  <c r="M463" i="41" s="1"/>
  <c r="M470" i="41" s="1"/>
  <c r="M289" i="50"/>
  <c r="M150" i="41"/>
  <c r="M292" i="50" s="1"/>
  <c r="M211" i="41"/>
  <c r="N66" i="50"/>
  <c r="Y27" i="49"/>
  <c r="G1776" i="50"/>
  <c r="G1772" i="50"/>
  <c r="G1648" i="50"/>
  <c r="G1607" i="50"/>
  <c r="G1605" i="50"/>
  <c r="G1518" i="50"/>
  <c r="G1644" i="50"/>
  <c r="G1606" i="50"/>
  <c r="G1390" i="50"/>
  <c r="G1262" i="50"/>
  <c r="G1134" i="50"/>
  <c r="G1734" i="50"/>
  <c r="G1520" i="50"/>
  <c r="G1351" i="50"/>
  <c r="G1349" i="50"/>
  <c r="G1264" i="50"/>
  <c r="G1132" i="50"/>
  <c r="G878" i="50"/>
  <c r="G1646" i="50"/>
  <c r="G1516" i="50"/>
  <c r="G1478" i="50"/>
  <c r="G1392" i="50"/>
  <c r="G1260" i="50"/>
  <c r="G1222" i="50"/>
  <c r="G1095" i="50"/>
  <c r="G1093" i="50"/>
  <c r="G1008" i="50"/>
  <c r="G967" i="50"/>
  <c r="G965" i="50"/>
  <c r="G876" i="50"/>
  <c r="G838" i="50"/>
  <c r="G752" i="50"/>
  <c r="G711" i="50"/>
  <c r="G709" i="50"/>
  <c r="G1735" i="50"/>
  <c r="G1733" i="50"/>
  <c r="G1774" i="50"/>
  <c r="G1479" i="50"/>
  <c r="G1477" i="50"/>
  <c r="G1223" i="50"/>
  <c r="G1221" i="50"/>
  <c r="G1136" i="50"/>
  <c r="G1094" i="50"/>
  <c r="G1004" i="50"/>
  <c r="G966" i="50"/>
  <c r="G1350" i="50"/>
  <c r="G839" i="50"/>
  <c r="G750" i="50"/>
  <c r="G1006" i="50"/>
  <c r="G880" i="50"/>
  <c r="G748" i="50"/>
  <c r="G710" i="50"/>
  <c r="G1388" i="50"/>
  <c r="G837" i="50"/>
  <c r="J146" i="49"/>
  <c r="K186" i="50"/>
  <c r="K147" i="49"/>
  <c r="K187" i="50" s="1"/>
  <c r="K151" i="49"/>
  <c r="G357" i="41"/>
  <c r="G439" i="50" s="1"/>
  <c r="I489" i="47"/>
  <c r="I57" i="41"/>
  <c r="G228" i="50"/>
  <c r="G464" i="41"/>
  <c r="I60" i="41"/>
  <c r="G316" i="41"/>
  <c r="G403" i="50" s="1"/>
  <c r="G104" i="50"/>
  <c r="I427" i="41"/>
  <c r="G326" i="41"/>
  <c r="G412" i="50" s="1"/>
  <c r="G102" i="50"/>
  <c r="G589" i="50"/>
  <c r="G244" i="50"/>
  <c r="G371" i="41"/>
  <c r="G451" i="50" s="1"/>
  <c r="G576" i="50"/>
  <c r="H59" i="41"/>
  <c r="H57" i="41"/>
  <c r="I56" i="41"/>
  <c r="I59" i="41"/>
  <c r="G23" i="41"/>
  <c r="G72" i="50" s="1"/>
  <c r="G21" i="41"/>
  <c r="G70" i="50" s="1"/>
  <c r="G22" i="41"/>
  <c r="G71" i="50" s="1"/>
  <c r="N61" i="41"/>
  <c r="J61" i="41"/>
  <c r="L60" i="41"/>
  <c r="N59" i="41"/>
  <c r="J59" i="41"/>
  <c r="L58" i="41"/>
  <c r="N57" i="41"/>
  <c r="J57" i="41"/>
  <c r="L56" i="41"/>
  <c r="K57" i="41"/>
  <c r="M61" i="41"/>
  <c r="K60" i="41"/>
  <c r="M59" i="41"/>
  <c r="K58" i="41"/>
  <c r="M57" i="41"/>
  <c r="K56" i="41"/>
  <c r="M60" i="41"/>
  <c r="K59" i="41"/>
  <c r="M56" i="41"/>
  <c r="L61" i="41"/>
  <c r="N60" i="41"/>
  <c r="J60" i="41"/>
  <c r="L59" i="41"/>
  <c r="N58" i="41"/>
  <c r="J58" i="41"/>
  <c r="L57" i="41"/>
  <c r="N56" i="41"/>
  <c r="J56" i="41"/>
  <c r="K61" i="41"/>
  <c r="M58" i="41"/>
  <c r="G385" i="41"/>
  <c r="G460" i="50" s="1"/>
  <c r="G344" i="41"/>
  <c r="G429" i="50" s="1"/>
  <c r="G95" i="50"/>
  <c r="G105" i="50"/>
  <c r="G199" i="41"/>
  <c r="G325" i="50" s="1"/>
  <c r="G60" i="37"/>
  <c r="G352" i="41"/>
  <c r="G436" i="50" s="1"/>
  <c r="H56" i="41"/>
  <c r="H61" i="41"/>
  <c r="I61" i="41"/>
  <c r="G250" i="41"/>
  <c r="G365" i="50" s="1"/>
  <c r="G221" i="42"/>
  <c r="G249" i="50"/>
  <c r="G115" i="50"/>
  <c r="H60" i="41"/>
  <c r="H58" i="41"/>
  <c r="I58" i="41"/>
  <c r="I1839" i="42"/>
  <c r="I2830" i="37"/>
  <c r="I2504" i="50"/>
  <c r="H411" i="43"/>
  <c r="H277" i="49" s="1"/>
  <c r="Y81" i="62"/>
  <c r="Y319" i="43"/>
  <c r="Y220" i="43"/>
  <c r="Y71" i="43"/>
  <c r="W57" i="62"/>
  <c r="W61" i="62" s="1"/>
  <c r="W62" i="62" s="1"/>
  <c r="W63" i="62" s="1"/>
  <c r="W64" i="62" s="1"/>
  <c r="W65" i="62" s="1"/>
  <c r="W66" i="62" s="1"/>
  <c r="Y318" i="43"/>
  <c r="Y307" i="43"/>
  <c r="Y131" i="43"/>
  <c r="Y137" i="43"/>
  <c r="Y244" i="43"/>
  <c r="Y356" i="43"/>
  <c r="Y113" i="43"/>
  <c r="Y108" i="43"/>
  <c r="Y316" i="43"/>
  <c r="Y217" i="43"/>
  <c r="Y352" i="43"/>
  <c r="Y175" i="43"/>
  <c r="Y57" i="43"/>
  <c r="Y103" i="43"/>
  <c r="Y102" i="43"/>
  <c r="Y320" i="43"/>
  <c r="Y115" i="43"/>
  <c r="Y370" i="43"/>
  <c r="Y375" i="43"/>
  <c r="Y223" i="43"/>
  <c r="Y366" i="43"/>
  <c r="Y322" i="43"/>
  <c r="Y132" i="43"/>
  <c r="Y174" i="43"/>
  <c r="Y41" i="43"/>
  <c r="Y134" i="43"/>
  <c r="Y353" i="43"/>
  <c r="Y357" i="43"/>
  <c r="Y219" i="43"/>
  <c r="Y306" i="43"/>
  <c r="Y86" i="43"/>
  <c r="Y42" i="43"/>
  <c r="M13" i="50"/>
  <c r="G428" i="47"/>
  <c r="G372" i="47"/>
  <c r="G369" i="47"/>
  <c r="G368" i="47"/>
  <c r="G351" i="47"/>
  <c r="G370" i="47"/>
  <c r="G350" i="47"/>
  <c r="G620" i="50"/>
  <c r="G622" i="50"/>
  <c r="G624" i="50"/>
  <c r="S163" i="62"/>
  <c r="G427" i="47"/>
  <c r="G262" i="49"/>
  <c r="G213" i="50" s="1"/>
  <c r="G75" i="49"/>
  <c r="G152" i="50" s="1"/>
  <c r="G167" i="37"/>
  <c r="G26" i="49"/>
  <c r="G67" i="50" s="1"/>
  <c r="G212" i="49"/>
  <c r="G201" i="50" s="1"/>
  <c r="G358" i="47"/>
  <c r="Y360" i="43"/>
  <c r="Y111" i="43"/>
  <c r="Y302" i="43"/>
  <c r="Y136" i="43"/>
  <c r="Y355" i="43"/>
  <c r="Y222" i="43"/>
  <c r="Y323" i="43"/>
  <c r="Y245" i="43"/>
  <c r="Y240" i="43"/>
  <c r="Y138" i="43"/>
  <c r="Y168" i="43"/>
  <c r="Y314" i="43"/>
  <c r="Y114" i="43"/>
  <c r="Y372" i="43"/>
  <c r="Y369" i="43"/>
  <c r="Y226" i="43"/>
  <c r="Y104" i="43"/>
  <c r="Y56" i="43"/>
  <c r="Y311" i="43"/>
  <c r="Y63" i="43"/>
  <c r="Y52" i="43"/>
  <c r="Y112" i="43"/>
  <c r="Y308" i="43"/>
  <c r="Y167" i="43"/>
  <c r="Y224" i="43"/>
  <c r="Y304" i="43"/>
  <c r="Y367" i="43"/>
  <c r="Y321" i="43"/>
  <c r="Y225" i="43"/>
  <c r="Y241" i="43"/>
  <c r="Y70" i="43"/>
  <c r="Y117" i="43"/>
  <c r="Y216" i="43"/>
  <c r="Y368" i="43"/>
  <c r="Y218" i="43"/>
  <c r="Y51" i="43"/>
  <c r="Y101" i="43"/>
  <c r="Y110" i="43"/>
  <c r="Y221" i="43"/>
  <c r="S91" i="62"/>
  <c r="S92" i="62" s="1"/>
  <c r="S93" i="62" s="1"/>
  <c r="S94" i="62" s="1"/>
  <c r="S95" i="62" s="1"/>
  <c r="S96" i="62" s="1"/>
  <c r="S97" i="62" s="1"/>
  <c r="S98" i="62" s="1"/>
  <c r="S99" i="62" s="1"/>
  <c r="S100" i="62" s="1"/>
  <c r="S101" i="62" s="1"/>
  <c r="S102" i="62" s="1"/>
  <c r="S103" i="62" s="1"/>
  <c r="S104" i="62" s="1"/>
  <c r="S105" i="62" s="1"/>
  <c r="S106" i="62" s="1"/>
  <c r="S107" i="62" s="1"/>
  <c r="S108" i="62" s="1"/>
  <c r="S109" i="62" s="1"/>
  <c r="S110" i="62" s="1"/>
  <c r="Y169" i="43"/>
  <c r="Y303" i="43"/>
  <c r="R44" i="50"/>
  <c r="J272" i="43"/>
  <c r="J283" i="43"/>
  <c r="K490" i="47"/>
  <c r="K283" i="43"/>
  <c r="Y273" i="43"/>
  <c r="Y284" i="43"/>
  <c r="Y116" i="43"/>
  <c r="Y107" i="43"/>
  <c r="Y133" i="43"/>
  <c r="Y354" i="43"/>
  <c r="Y373" i="43"/>
  <c r="J2511" i="50"/>
  <c r="Y100" i="43"/>
  <c r="Y105" i="43"/>
  <c r="Y75" i="43"/>
  <c r="W27" i="62"/>
  <c r="W28" i="62" s="1"/>
  <c r="W29" i="62" s="1"/>
  <c r="W30" i="62" s="1"/>
  <c r="W31" i="62" s="1"/>
  <c r="W32" i="62" s="1"/>
  <c r="W33" i="62" s="1"/>
  <c r="W34" i="62" s="1"/>
  <c r="W35" i="62" s="1"/>
  <c r="W36" i="62" s="1"/>
  <c r="Y359" i="43"/>
  <c r="Y170" i="43"/>
  <c r="Y315" i="43"/>
  <c r="Y64" i="43"/>
  <c r="Y351" i="43"/>
  <c r="Y374" i="43"/>
  <c r="Y310" i="43"/>
  <c r="Y172" i="43"/>
  <c r="Y173" i="43"/>
  <c r="Y87" i="43"/>
  <c r="Y358" i="43"/>
  <c r="Y305" i="43"/>
  <c r="Y371" i="43"/>
  <c r="Y317" i="43"/>
  <c r="L272" i="43"/>
  <c r="L283" i="43"/>
  <c r="Y215" i="43"/>
  <c r="G353" i="41"/>
  <c r="G252" i="50"/>
  <c r="G251" i="50"/>
  <c r="G354" i="41"/>
  <c r="G442" i="41"/>
  <c r="G437" i="41"/>
  <c r="G371" i="50" s="1"/>
  <c r="Q265" i="41"/>
  <c r="Q264" i="41"/>
  <c r="Q268" i="41"/>
  <c r="G108" i="50"/>
  <c r="G110" i="50"/>
  <c r="G109" i="50"/>
  <c r="Q270" i="41"/>
  <c r="Q60" i="41"/>
  <c r="Q59" i="41"/>
  <c r="J305" i="41"/>
  <c r="D107" i="62"/>
  <c r="I107" i="62" s="1" a="1"/>
  <c r="I107" i="62" s="1"/>
  <c r="E106" i="62"/>
  <c r="T165" i="62"/>
  <c r="S165" i="62"/>
  <c r="E140" i="62"/>
  <c r="D141" i="62"/>
  <c r="D167" i="62"/>
  <c r="E166" i="62"/>
  <c r="T164" i="62"/>
  <c r="R39" i="50"/>
  <c r="J61" i="43"/>
  <c r="J395" i="50"/>
  <c r="K2831" i="37"/>
  <c r="K272" i="43"/>
  <c r="Y106" i="43"/>
  <c r="W59" i="62"/>
  <c r="W58" i="62"/>
  <c r="W60" i="62"/>
  <c r="S107" i="50"/>
  <c r="E130" i="50"/>
  <c r="E251" i="50" s="1"/>
  <c r="P251" i="50" s="1"/>
  <c r="P113" i="50"/>
  <c r="E136" i="50"/>
  <c r="P114" i="50"/>
  <c r="E137" i="50"/>
  <c r="S114" i="50"/>
  <c r="H1819" i="50"/>
  <c r="Q229" i="43"/>
  <c r="R24" i="50" s="1"/>
  <c r="G21" i="42"/>
  <c r="H139" i="42" s="1"/>
  <c r="H142" i="42" s="1"/>
  <c r="E109" i="42"/>
  <c r="E125" i="42" s="1"/>
  <c r="E112" i="42"/>
  <c r="E128" i="42" s="1"/>
  <c r="E104" i="42"/>
  <c r="E120" i="42" s="1"/>
  <c r="E108" i="42"/>
  <c r="E124" i="42" s="1"/>
  <c r="E110" i="42"/>
  <c r="E126" i="42" s="1"/>
  <c r="P107" i="50"/>
  <c r="G209" i="47"/>
  <c r="M305" i="41"/>
  <c r="R43" i="50"/>
  <c r="G208" i="47"/>
  <c r="Q269" i="41"/>
  <c r="G367" i="41"/>
  <c r="G447" i="50" s="1"/>
  <c r="G223" i="41"/>
  <c r="G344" i="50" s="1"/>
  <c r="G290" i="41"/>
  <c r="G383" i="50" s="1"/>
  <c r="G351" i="41"/>
  <c r="G435" i="50" s="1"/>
  <c r="G201" i="41"/>
  <c r="G327" i="50" s="1"/>
  <c r="G603" i="50"/>
  <c r="G246" i="50"/>
  <c r="G449" i="41"/>
  <c r="G297" i="41"/>
  <c r="G390" i="50" s="1"/>
  <c r="G211" i="41"/>
  <c r="G335" i="50" s="1"/>
  <c r="G225" i="50"/>
  <c r="G458" i="47"/>
  <c r="G248" i="50"/>
  <c r="G304" i="41"/>
  <c r="G395" i="50" s="1"/>
  <c r="G461" i="41"/>
  <c r="G336" i="41"/>
  <c r="G421" i="50" s="1"/>
  <c r="G225" i="42"/>
  <c r="G375" i="41"/>
  <c r="G455" i="50" s="1"/>
  <c r="G250" i="37"/>
  <c r="G230" i="41"/>
  <c r="G349" i="50" s="1"/>
  <c r="G226" i="50"/>
  <c r="G374" i="41"/>
  <c r="G454" i="50" s="1"/>
  <c r="G340" i="41"/>
  <c r="G425" i="50" s="1"/>
  <c r="G115" i="41"/>
  <c r="G369" i="41"/>
  <c r="G449" i="50" s="1"/>
  <c r="G202" i="41"/>
  <c r="G328" i="50" s="1"/>
  <c r="G184" i="42"/>
  <c r="G190" i="37"/>
  <c r="G172" i="41"/>
  <c r="G305" i="50" s="1"/>
  <c r="G234" i="41"/>
  <c r="G353" i="50" s="1"/>
  <c r="G139" i="41"/>
  <c r="G281" i="50" s="1"/>
  <c r="G229" i="41"/>
  <c r="G348" i="50" s="1"/>
  <c r="G599" i="50"/>
  <c r="G453" i="41"/>
  <c r="G250" i="50"/>
  <c r="G240" i="41"/>
  <c r="G357" i="50" s="1"/>
  <c r="G436" i="41"/>
  <c r="G370" i="50" s="1"/>
  <c r="G456" i="41"/>
  <c r="G144" i="41"/>
  <c r="G289" i="50" s="1"/>
  <c r="G467" i="41"/>
  <c r="G215" i="41"/>
  <c r="G337" i="50" s="1"/>
  <c r="G597" i="50"/>
  <c r="G595" i="50"/>
  <c r="G135" i="37"/>
  <c r="G141" i="41"/>
  <c r="G283" i="50" s="1"/>
  <c r="G179" i="41"/>
  <c r="G312" i="50" s="1"/>
  <c r="G360" i="41"/>
  <c r="G442" i="50" s="1"/>
  <c r="G213" i="42"/>
  <c r="G162" i="41"/>
  <c r="G297" i="50" s="1"/>
  <c r="G151" i="49"/>
  <c r="G189" i="50" s="1"/>
  <c r="G450" i="41"/>
  <c r="G241" i="50"/>
  <c r="G295" i="41"/>
  <c r="G388" i="50" s="1"/>
  <c r="G287" i="41"/>
  <c r="G380" i="50" s="1"/>
  <c r="G198" i="42"/>
  <c r="G255" i="50"/>
  <c r="G592" i="50"/>
  <c r="G20" i="41"/>
  <c r="G222" i="50"/>
  <c r="G178" i="41"/>
  <c r="G311" i="50" s="1"/>
  <c r="G245" i="50"/>
  <c r="G247" i="50"/>
  <c r="G305" i="41"/>
  <c r="G396" i="50" s="1"/>
  <c r="G253" i="50"/>
  <c r="G68" i="49"/>
  <c r="G147" i="50" s="1"/>
  <c r="G204" i="41"/>
  <c r="G330" i="50" s="1"/>
  <c r="G370" i="41"/>
  <c r="G450" i="50" s="1"/>
  <c r="G229" i="42"/>
  <c r="G28" i="49"/>
  <c r="G69" i="50" s="1"/>
  <c r="G240" i="50"/>
  <c r="G156" i="37"/>
  <c r="G356" i="41"/>
  <c r="G438" i="50" s="1"/>
  <c r="G232" i="42"/>
  <c r="G578" i="50"/>
  <c r="G289" i="41"/>
  <c r="G382" i="50" s="1"/>
  <c r="G1830" i="50"/>
  <c r="G1848" i="50"/>
  <c r="G342" i="41"/>
  <c r="G427" i="50" s="1"/>
  <c r="G307" i="47"/>
  <c r="G243" i="50"/>
  <c r="G175" i="41"/>
  <c r="G308" i="50" s="1"/>
  <c r="Q267" i="41"/>
  <c r="G200" i="41"/>
  <c r="G326" i="50" s="1"/>
  <c r="G215" i="37"/>
  <c r="G1832" i="50"/>
  <c r="G310" i="41"/>
  <c r="G399" i="50" s="1"/>
  <c r="G325" i="41"/>
  <c r="G411" i="50" s="1"/>
  <c r="G454" i="41"/>
  <c r="G182" i="41"/>
  <c r="G315" i="50" s="1"/>
  <c r="G177" i="41"/>
  <c r="G310" i="50" s="1"/>
  <c r="G185" i="37"/>
  <c r="G169" i="41"/>
  <c r="G302" i="50" s="1"/>
  <c r="G163" i="41"/>
  <c r="G298" i="50" s="1"/>
  <c r="G119" i="49"/>
  <c r="G171" i="50" s="1"/>
  <c r="G335" i="41"/>
  <c r="G420" i="50" s="1"/>
  <c r="G441" i="41"/>
  <c r="G189" i="37"/>
  <c r="G254" i="50"/>
  <c r="G131" i="41"/>
  <c r="G276" i="50" s="1"/>
  <c r="G337" i="41"/>
  <c r="G422" i="50" s="1"/>
  <c r="G292" i="41"/>
  <c r="G385" i="50" s="1"/>
  <c r="G343" i="41"/>
  <c r="G428" i="50" s="1"/>
  <c r="G468" i="41"/>
  <c r="G170" i="41"/>
  <c r="G303" i="50" s="1"/>
  <c r="G586" i="50"/>
  <c r="G376" i="41"/>
  <c r="G456" i="50" s="1"/>
  <c r="G345" i="41"/>
  <c r="G430" i="50" s="1"/>
  <c r="G117" i="41"/>
  <c r="G265" i="50" s="1"/>
  <c r="G2839" i="37"/>
  <c r="G140" i="41"/>
  <c r="G282" i="50" s="1"/>
  <c r="Q262" i="41"/>
  <c r="G366" i="41"/>
  <c r="G446" i="50" s="1"/>
  <c r="G470" i="41"/>
  <c r="G330" i="41"/>
  <c r="G416" i="50" s="1"/>
  <c r="G327" i="41"/>
  <c r="G413" i="50" s="1"/>
  <c r="G303" i="41"/>
  <c r="G394" i="50" s="1"/>
  <c r="G128" i="41"/>
  <c r="G273" i="50" s="1"/>
  <c r="G57" i="49"/>
  <c r="G145" i="50" s="1"/>
  <c r="B43" i="34"/>
  <c r="G263" i="41" s="1"/>
  <c r="G341" i="41"/>
  <c r="G426" i="50" s="1"/>
  <c r="G221" i="50"/>
  <c r="G372" i="41"/>
  <c r="G452" i="50" s="1"/>
  <c r="G129" i="41"/>
  <c r="G274" i="50" s="1"/>
  <c r="G373" i="41"/>
  <c r="G453" i="50" s="1"/>
  <c r="G216" i="41"/>
  <c r="G338" i="50" s="1"/>
  <c r="G293" i="41"/>
  <c r="G386" i="50" s="1"/>
  <c r="G115" i="49"/>
  <c r="G170" i="50" s="1"/>
  <c r="G124" i="49"/>
  <c r="G172" i="50" s="1"/>
  <c r="G242" i="50"/>
  <c r="G288" i="41"/>
  <c r="G381" i="50" s="1"/>
  <c r="G171" i="41"/>
  <c r="G304" i="50" s="1"/>
  <c r="G244" i="41"/>
  <c r="G361" i="50" s="1"/>
  <c r="G205" i="37"/>
  <c r="G203" i="49"/>
  <c r="G200" i="50" s="1"/>
  <c r="G252" i="49"/>
  <c r="G212" i="50" s="1"/>
  <c r="G249" i="37"/>
  <c r="K415" i="43"/>
  <c r="K281" i="49" s="1"/>
  <c r="F27" i="50"/>
  <c r="G471" i="41"/>
  <c r="G231" i="41"/>
  <c r="G350" i="50" s="1"/>
  <c r="G601" i="50"/>
  <c r="G174" i="41"/>
  <c r="G307" i="50" s="1"/>
  <c r="G193" i="37"/>
  <c r="G438" i="41"/>
  <c r="G372" i="50" s="1"/>
  <c r="G186" i="42"/>
  <c r="G229" i="50"/>
  <c r="G214" i="37"/>
  <c r="K2505" i="50"/>
  <c r="G377" i="41"/>
  <c r="G457" i="50" s="1"/>
  <c r="G291" i="41"/>
  <c r="G384" i="50" s="1"/>
  <c r="G318" i="41"/>
  <c r="G405" i="50" s="1"/>
  <c r="G185" i="50"/>
  <c r="G1842" i="50"/>
  <c r="G317" i="41"/>
  <c r="G404" i="50" s="1"/>
  <c r="G350" i="41"/>
  <c r="G434" i="50" s="1"/>
  <c r="G203" i="41"/>
  <c r="G329" i="50" s="1"/>
  <c r="G1850" i="50"/>
  <c r="G2844" i="37"/>
  <c r="G107" i="49"/>
  <c r="G165" i="50" s="1"/>
  <c r="G460" i="41"/>
  <c r="G168" i="37"/>
  <c r="G225" i="37"/>
  <c r="G233" i="41"/>
  <c r="G352" i="50" s="1"/>
  <c r="G191" i="47"/>
  <c r="G319" i="47"/>
  <c r="S113" i="50"/>
  <c r="G197" i="47"/>
  <c r="G425" i="47"/>
  <c r="G210" i="47"/>
  <c r="G191" i="49"/>
  <c r="G198" i="50" s="1"/>
  <c r="G98" i="50"/>
  <c r="G99" i="50"/>
  <c r="G112" i="50"/>
  <c r="G101" i="50"/>
  <c r="Q265" i="34"/>
  <c r="T265" i="34" s="1"/>
  <c r="G24" i="49"/>
  <c r="G65" i="50" s="1"/>
  <c r="G114" i="50"/>
  <c r="G106" i="50"/>
  <c r="G25" i="49"/>
  <c r="G66" i="50" s="1"/>
  <c r="G100" i="50"/>
  <c r="G243" i="49"/>
  <c r="G210" i="50" s="1"/>
  <c r="G1828" i="50"/>
  <c r="G35" i="49"/>
  <c r="G127" i="37"/>
  <c r="E129" i="50"/>
  <c r="G96" i="50"/>
  <c r="G103" i="50"/>
  <c r="G27" i="49"/>
  <c r="G68" i="50" s="1"/>
  <c r="G185" i="49"/>
  <c r="G197" i="50" s="1"/>
  <c r="G111" i="50"/>
  <c r="Q352" i="41"/>
  <c r="E436" i="50"/>
  <c r="G324" i="41"/>
  <c r="G410" i="50" s="1"/>
  <c r="G173" i="41"/>
  <c r="G306" i="50" s="1"/>
  <c r="G232" i="41"/>
  <c r="G351" i="50" s="1"/>
  <c r="G1846" i="50"/>
  <c r="G294" i="41"/>
  <c r="G387" i="50" s="1"/>
  <c r="G457" i="41"/>
  <c r="G217" i="42"/>
  <c r="G443" i="41"/>
  <c r="G296" i="41"/>
  <c r="G389" i="50" s="1"/>
  <c r="G435" i="41"/>
  <c r="G369" i="50" s="1"/>
  <c r="G368" i="41"/>
  <c r="G448" i="50" s="1"/>
  <c r="G590" i="50"/>
  <c r="G338" i="41"/>
  <c r="G423" i="50" s="1"/>
  <c r="G130" i="41"/>
  <c r="G275" i="50" s="1"/>
  <c r="G457" i="47"/>
  <c r="G176" i="41"/>
  <c r="G309" i="50" s="1"/>
  <c r="G259" i="37"/>
  <c r="G355" i="41"/>
  <c r="G437" i="50" s="1"/>
  <c r="G152" i="49"/>
  <c r="G190" i="50" s="1"/>
  <c r="G106" i="49"/>
  <c r="G164" i="50" s="1"/>
  <c r="G339" i="41"/>
  <c r="G424" i="50" s="1"/>
  <c r="G1844" i="50"/>
  <c r="G62" i="49"/>
  <c r="G146" i="50" s="1"/>
  <c r="G463" i="41"/>
  <c r="G239" i="50"/>
  <c r="G138" i="41"/>
  <c r="G280" i="50" s="1"/>
  <c r="G206" i="37"/>
  <c r="G1825" i="50"/>
  <c r="Q231" i="43"/>
  <c r="R26" i="50" s="1"/>
  <c r="G23" i="49"/>
  <c r="G64" i="50" s="1"/>
  <c r="G97" i="50"/>
  <c r="G113" i="50"/>
  <c r="G176" i="37"/>
  <c r="G584" i="50"/>
  <c r="G107" i="50"/>
  <c r="G238" i="49"/>
  <c r="G209" i="50" s="1"/>
  <c r="G95" i="47"/>
  <c r="G270" i="47"/>
  <c r="N394" i="50"/>
  <c r="N305" i="41"/>
  <c r="G189" i="47"/>
  <c r="G147" i="47"/>
  <c r="G299" i="47"/>
  <c r="G113" i="47"/>
  <c r="G424" i="47"/>
  <c r="G405" i="47"/>
  <c r="G434" i="47"/>
  <c r="G318" i="47"/>
  <c r="G300" i="47"/>
  <c r="G181" i="47"/>
  <c r="G129" i="47"/>
  <c r="G317" i="47"/>
  <c r="G150" i="37"/>
  <c r="G162" i="37"/>
  <c r="G426" i="47"/>
  <c r="G321" i="47"/>
  <c r="G163" i="47"/>
  <c r="G190" i="47"/>
  <c r="B63" i="34"/>
  <c r="G290" i="47"/>
  <c r="C63" i="34"/>
  <c r="G582" i="50"/>
  <c r="G1840" i="50"/>
  <c r="G270" i="41"/>
  <c r="S385" i="43"/>
  <c r="R37" i="50"/>
  <c r="E3" i="34"/>
  <c r="L411" i="43"/>
  <c r="D4" i="34"/>
  <c r="T27" i="49"/>
  <c r="I35" i="49" s="1"/>
  <c r="I112" i="50" s="1"/>
  <c r="J156" i="50"/>
  <c r="J100" i="49"/>
  <c r="Y179" i="49"/>
  <c r="Y180" i="49" s="1"/>
  <c r="Y185" i="49" s="1"/>
  <c r="Y191" i="49" s="1"/>
  <c r="Y198" i="49" s="1"/>
  <c r="Y203" i="49" s="1"/>
  <c r="Y226" i="49" s="1"/>
  <c r="Y228" i="49" s="1"/>
  <c r="Y230" i="49" s="1"/>
  <c r="Y232" i="49" s="1"/>
  <c r="Y233" i="49" s="1"/>
  <c r="Y238" i="49" s="1"/>
  <c r="Y243" i="49" s="1"/>
  <c r="Y248" i="49" s="1"/>
  <c r="Y252" i="49" s="1"/>
  <c r="AK176" i="49"/>
  <c r="Q230" i="43"/>
  <c r="R25" i="50" s="1"/>
  <c r="F25" i="50"/>
  <c r="L150" i="41"/>
  <c r="L292" i="50" s="1"/>
  <c r="L450" i="41"/>
  <c r="L457" i="41" s="1"/>
  <c r="L289" i="50"/>
  <c r="L211" i="41"/>
  <c r="L449" i="41"/>
  <c r="L456" i="41" s="1"/>
  <c r="L463" i="41" s="1"/>
  <c r="L470" i="41" s="1"/>
  <c r="M156" i="50"/>
  <c r="M100" i="49"/>
  <c r="M186" i="50"/>
  <c r="M151" i="49"/>
  <c r="M147" i="49"/>
  <c r="M187" i="50" s="1"/>
  <c r="P106" i="50"/>
  <c r="R36" i="50"/>
  <c r="S380" i="43"/>
  <c r="S386" i="43"/>
  <c r="R42" i="50"/>
  <c r="K278" i="49"/>
  <c r="K1840" i="42"/>
  <c r="K428" i="41"/>
  <c r="K394" i="50"/>
  <c r="K305" i="41"/>
  <c r="J428" i="41"/>
  <c r="J1840" i="42"/>
  <c r="J490" i="47"/>
  <c r="I412" i="43"/>
  <c r="J2505" i="50"/>
  <c r="J2831" i="37"/>
  <c r="J278" i="49"/>
  <c r="J415" i="43"/>
  <c r="L415" i="43"/>
  <c r="L1840" i="42"/>
  <c r="L2831" i="37"/>
  <c r="L2505" i="50"/>
  <c r="L428" i="41"/>
  <c r="L490" i="47"/>
  <c r="L278" i="49"/>
  <c r="I394" i="50"/>
  <c r="I305" i="41"/>
  <c r="S382" i="43"/>
  <c r="R38" i="50"/>
  <c r="R40" i="50"/>
  <c r="S384" i="43"/>
  <c r="E435" i="50"/>
  <c r="Q351" i="41"/>
  <c r="Q228" i="43"/>
  <c r="F23" i="50"/>
  <c r="R45" i="50"/>
  <c r="S389" i="43"/>
  <c r="L226" i="50"/>
  <c r="N221" i="50"/>
  <c r="N226" i="50"/>
  <c r="N222" i="50"/>
  <c r="Q47" i="41"/>
  <c r="K221" i="50"/>
  <c r="I225" i="50"/>
  <c r="H221" i="50"/>
  <c r="J225" i="50"/>
  <c r="L225" i="50"/>
  <c r="Q58" i="41"/>
  <c r="H225" i="50"/>
  <c r="K222" i="50"/>
  <c r="L222" i="50"/>
  <c r="H222" i="50"/>
  <c r="J221" i="50"/>
  <c r="M221" i="50"/>
  <c r="I222" i="50"/>
  <c r="K226" i="50"/>
  <c r="L221" i="50"/>
  <c r="K225" i="50"/>
  <c r="M226" i="50"/>
  <c r="K229" i="50"/>
  <c r="H226" i="50"/>
  <c r="M222" i="50"/>
  <c r="J222" i="50"/>
  <c r="J226" i="50"/>
  <c r="I226" i="50"/>
  <c r="I221" i="50"/>
  <c r="L229" i="50"/>
  <c r="N225" i="50"/>
  <c r="M225" i="50"/>
  <c r="Q45" i="41"/>
  <c r="Q227" i="43"/>
  <c r="R22" i="50" s="1"/>
  <c r="G445" i="43"/>
  <c r="L146" i="49"/>
  <c r="L181" i="50"/>
  <c r="L155" i="50"/>
  <c r="L100" i="49"/>
  <c r="S36" i="50"/>
  <c r="G446" i="43"/>
  <c r="H305" i="41"/>
  <c r="L395" i="50"/>
  <c r="L305" i="41"/>
  <c r="G265" i="41" l="1"/>
  <c r="G268" i="41"/>
  <c r="G264" i="41"/>
  <c r="H429" i="43"/>
  <c r="E42" i="50" s="1"/>
  <c r="I229" i="50"/>
  <c r="J229" i="50"/>
  <c r="M229" i="50"/>
  <c r="N229" i="50"/>
  <c r="H229" i="50"/>
  <c r="L35" i="49"/>
  <c r="L112" i="50" s="1"/>
  <c r="I68" i="50"/>
  <c r="I74" i="50" s="1"/>
  <c r="H430" i="43"/>
  <c r="E43" i="50" s="1"/>
  <c r="J429" i="43"/>
  <c r="I42" i="50" s="1"/>
  <c r="G429" i="43"/>
  <c r="N151" i="49"/>
  <c r="N152" i="49" s="1"/>
  <c r="N190" i="50" s="1"/>
  <c r="N147" i="49"/>
  <c r="N187" i="50" s="1"/>
  <c r="D1652" i="50"/>
  <c r="Q1652" i="50"/>
  <c r="K101" i="49"/>
  <c r="K162" i="50" s="1"/>
  <c r="K161" i="50"/>
  <c r="J225" i="47"/>
  <c r="J219" i="47"/>
  <c r="V219" i="47" s="1"/>
  <c r="V228" i="47" s="1"/>
  <c r="L219" i="47"/>
  <c r="X219" i="47" s="1"/>
  <c r="X228" i="47" s="1"/>
  <c r="L225" i="47"/>
  <c r="J1705" i="50"/>
  <c r="J1685" i="50"/>
  <c r="J1673" i="50"/>
  <c r="J1661" i="50"/>
  <c r="J1657" i="50"/>
  <c r="J1589" i="50"/>
  <c r="J1557" i="50"/>
  <c r="J1545" i="50"/>
  <c r="J1533" i="50"/>
  <c r="J1529" i="50"/>
  <c r="J1461" i="50"/>
  <c r="J1409" i="50"/>
  <c r="R1401" i="50"/>
  <c r="J1313" i="50"/>
  <c r="J1281" i="50"/>
  <c r="R1273" i="50"/>
  <c r="J1185" i="50"/>
  <c r="J1173" i="50"/>
  <c r="J1161" i="50"/>
  <c r="J1149" i="50"/>
  <c r="J1145" i="50"/>
  <c r="J949" i="50"/>
  <c r="J923" i="50"/>
  <c r="J911" i="50"/>
  <c r="J1691" i="50"/>
  <c r="J1679" i="50"/>
  <c r="J1577" i="50"/>
  <c r="J1563" i="50"/>
  <c r="J1551" i="50"/>
  <c r="J1449" i="50"/>
  <c r="J1435" i="50"/>
  <c r="J1429" i="50"/>
  <c r="J1417" i="50"/>
  <c r="J1405" i="50"/>
  <c r="J1401" i="50"/>
  <c r="J1333" i="50"/>
  <c r="J1301" i="50"/>
  <c r="J1289" i="50"/>
  <c r="J1277" i="50"/>
  <c r="J1273" i="50"/>
  <c r="J1205" i="50"/>
  <c r="J1179" i="50"/>
  <c r="J1167" i="50"/>
  <c r="J937" i="50"/>
  <c r="J1697" i="50"/>
  <c r="J1423" i="50"/>
  <c r="J1321" i="50"/>
  <c r="J1307" i="50"/>
  <c r="J1295" i="50"/>
  <c r="J1193" i="50"/>
  <c r="J1717" i="50"/>
  <c r="J905" i="50"/>
  <c r="J893" i="50"/>
  <c r="J889" i="50"/>
  <c r="J821" i="50"/>
  <c r="J795" i="50"/>
  <c r="J783" i="50"/>
  <c r="J1065" i="50"/>
  <c r="J1045" i="50"/>
  <c r="J1033" i="50"/>
  <c r="J1021" i="50"/>
  <c r="J1017" i="50"/>
  <c r="J693" i="50"/>
  <c r="J667" i="50"/>
  <c r="J655" i="50"/>
  <c r="R1529" i="50"/>
  <c r="J897" i="50"/>
  <c r="R889" i="50"/>
  <c r="J777" i="50"/>
  <c r="J765" i="50"/>
  <c r="J1077" i="50"/>
  <c r="J1025" i="50"/>
  <c r="R1017" i="50"/>
  <c r="J673" i="50"/>
  <c r="J661" i="50"/>
  <c r="J1665" i="50"/>
  <c r="J1569" i="50"/>
  <c r="J1153" i="50"/>
  <c r="J929" i="50"/>
  <c r="J809" i="50"/>
  <c r="J1051" i="50"/>
  <c r="J1039" i="50"/>
  <c r="J681" i="50"/>
  <c r="R633" i="50"/>
  <c r="J789" i="50"/>
  <c r="J761" i="50"/>
  <c r="J637" i="50"/>
  <c r="J633" i="50"/>
  <c r="R1657" i="50"/>
  <c r="J1537" i="50"/>
  <c r="J1441" i="50"/>
  <c r="R1145" i="50"/>
  <c r="J917" i="50"/>
  <c r="J769" i="50"/>
  <c r="R761" i="50"/>
  <c r="J1057" i="50"/>
  <c r="J641" i="50"/>
  <c r="J801" i="50"/>
  <c r="J649" i="50"/>
  <c r="K1691" i="50"/>
  <c r="K1679" i="50"/>
  <c r="K1577" i="50"/>
  <c r="K1563" i="50"/>
  <c r="K1551" i="50"/>
  <c r="K1449" i="50"/>
  <c r="K1435" i="50"/>
  <c r="K1429" i="50"/>
  <c r="K1417" i="50"/>
  <c r="K1405" i="50"/>
  <c r="K1401" i="50"/>
  <c r="K1333" i="50"/>
  <c r="K1301" i="50"/>
  <c r="K1289" i="50"/>
  <c r="K1277" i="50"/>
  <c r="K1273" i="50"/>
  <c r="K1205" i="50"/>
  <c r="K1179" i="50"/>
  <c r="K1167" i="50"/>
  <c r="K937" i="50"/>
  <c r="K1697" i="50"/>
  <c r="K1423" i="50"/>
  <c r="K1321" i="50"/>
  <c r="K1307" i="50"/>
  <c r="K1295" i="50"/>
  <c r="K1193" i="50"/>
  <c r="K1717" i="50"/>
  <c r="K1665" i="50"/>
  <c r="S1657" i="50"/>
  <c r="K1569" i="50"/>
  <c r="K1537" i="50"/>
  <c r="S1529" i="50"/>
  <c r="K1441" i="50"/>
  <c r="K1153" i="50"/>
  <c r="S1145" i="50"/>
  <c r="K929" i="50"/>
  <c r="K917" i="50"/>
  <c r="K905" i="50"/>
  <c r="K1529" i="50"/>
  <c r="K809" i="50"/>
  <c r="K1051" i="50"/>
  <c r="K1039" i="50"/>
  <c r="K681" i="50"/>
  <c r="S1401" i="50"/>
  <c r="K893" i="50"/>
  <c r="K783" i="50"/>
  <c r="K1705" i="50"/>
  <c r="K1685" i="50"/>
  <c r="K1673" i="50"/>
  <c r="K1589" i="50"/>
  <c r="K1185" i="50"/>
  <c r="K1173" i="50"/>
  <c r="K1161" i="50"/>
  <c r="K949" i="50"/>
  <c r="K769" i="50"/>
  <c r="S761" i="50"/>
  <c r="K1057" i="50"/>
  <c r="K641" i="50"/>
  <c r="S633" i="50"/>
  <c r="K1533" i="50"/>
  <c r="K911" i="50"/>
  <c r="K889" i="50"/>
  <c r="K821" i="50"/>
  <c r="K795" i="50"/>
  <c r="K1065" i="50"/>
  <c r="K1045" i="50"/>
  <c r="K1033" i="50"/>
  <c r="K1021" i="50"/>
  <c r="K1017" i="50"/>
  <c r="K693" i="50"/>
  <c r="K667" i="50"/>
  <c r="K655" i="50"/>
  <c r="K1661" i="50"/>
  <c r="K1557" i="50"/>
  <c r="K1545" i="50"/>
  <c r="K1461" i="50"/>
  <c r="K1313" i="50"/>
  <c r="K1281" i="50"/>
  <c r="S1273" i="50"/>
  <c r="K1149" i="50"/>
  <c r="K923" i="50"/>
  <c r="K897" i="50"/>
  <c r="S889" i="50"/>
  <c r="K801" i="50"/>
  <c r="K789" i="50"/>
  <c r="K777" i="50"/>
  <c r="K765" i="50"/>
  <c r="K761" i="50"/>
  <c r="K1077" i="50"/>
  <c r="K1025" i="50"/>
  <c r="S1017" i="50"/>
  <c r="K673" i="50"/>
  <c r="K661" i="50"/>
  <c r="K649" i="50"/>
  <c r="K637" i="50"/>
  <c r="K633" i="50"/>
  <c r="K1657" i="50"/>
  <c r="K1409" i="50"/>
  <c r="K1145" i="50"/>
  <c r="L1697" i="50"/>
  <c r="L1423" i="50"/>
  <c r="L1321" i="50"/>
  <c r="L1307" i="50"/>
  <c r="L1295" i="50"/>
  <c r="L1193" i="50"/>
  <c r="L1717" i="50"/>
  <c r="L1665" i="50"/>
  <c r="T1657" i="50"/>
  <c r="L1569" i="50"/>
  <c r="L1537" i="50"/>
  <c r="T1529" i="50"/>
  <c r="L1441" i="50"/>
  <c r="L1153" i="50"/>
  <c r="T1145" i="50"/>
  <c r="L929" i="50"/>
  <c r="L917" i="50"/>
  <c r="L905" i="50"/>
  <c r="L1705" i="50"/>
  <c r="L1685" i="50"/>
  <c r="L1673" i="50"/>
  <c r="L1661" i="50"/>
  <c r="L1657" i="50"/>
  <c r="L1589" i="50"/>
  <c r="L1557" i="50"/>
  <c r="L1545" i="50"/>
  <c r="L1533" i="50"/>
  <c r="L1529" i="50"/>
  <c r="L1461" i="50"/>
  <c r="L1409" i="50"/>
  <c r="T1401" i="50"/>
  <c r="L1313" i="50"/>
  <c r="L1281" i="50"/>
  <c r="T1273" i="50"/>
  <c r="L1185" i="50"/>
  <c r="L1173" i="50"/>
  <c r="L1161" i="50"/>
  <c r="L1149" i="50"/>
  <c r="L1145" i="50"/>
  <c r="L949" i="50"/>
  <c r="L923" i="50"/>
  <c r="L911" i="50"/>
  <c r="L1435" i="50"/>
  <c r="L1429" i="50"/>
  <c r="L1417" i="50"/>
  <c r="L1405" i="50"/>
  <c r="L1401" i="50"/>
  <c r="L769" i="50"/>
  <c r="T761" i="50"/>
  <c r="L1057" i="50"/>
  <c r="L641" i="50"/>
  <c r="T633" i="50"/>
  <c r="L1563" i="50"/>
  <c r="L1449" i="50"/>
  <c r="L1301" i="50"/>
  <c r="L1277" i="50"/>
  <c r="L809" i="50"/>
  <c r="L1039" i="50"/>
  <c r="L681" i="50"/>
  <c r="L897" i="50"/>
  <c r="T889" i="50"/>
  <c r="L801" i="50"/>
  <c r="L789" i="50"/>
  <c r="L777" i="50"/>
  <c r="L765" i="50"/>
  <c r="L761" i="50"/>
  <c r="L1077" i="50"/>
  <c r="L1025" i="50"/>
  <c r="T1017" i="50"/>
  <c r="L673" i="50"/>
  <c r="L661" i="50"/>
  <c r="L649" i="50"/>
  <c r="L637" i="50"/>
  <c r="L633" i="50"/>
  <c r="L1551" i="50"/>
  <c r="L1333" i="50"/>
  <c r="L1289" i="50"/>
  <c r="L1273" i="50"/>
  <c r="L1051" i="50"/>
  <c r="L1691" i="50"/>
  <c r="L1679" i="50"/>
  <c r="L1577" i="50"/>
  <c r="L1205" i="50"/>
  <c r="L1179" i="50"/>
  <c r="L1167" i="50"/>
  <c r="L937" i="50"/>
  <c r="L893" i="50"/>
  <c r="L889" i="50"/>
  <c r="L821" i="50"/>
  <c r="L795" i="50"/>
  <c r="L783" i="50"/>
  <c r="L1065" i="50"/>
  <c r="L1045" i="50"/>
  <c r="L1033" i="50"/>
  <c r="L1021" i="50"/>
  <c r="L1017" i="50"/>
  <c r="L693" i="50"/>
  <c r="L667" i="50"/>
  <c r="L655" i="50"/>
  <c r="K367" i="47"/>
  <c r="K225" i="47"/>
  <c r="K219" i="47"/>
  <c r="W219" i="47" s="1"/>
  <c r="W228" i="47" s="1"/>
  <c r="Y123" i="49"/>
  <c r="I275" i="43"/>
  <c r="Y274" i="43" s="1"/>
  <c r="I162" i="62"/>
  <c r="W285" i="43"/>
  <c r="H286" i="43"/>
  <c r="H432" i="43"/>
  <c r="E45" i="50" s="1"/>
  <c r="K424" i="43"/>
  <c r="L37" i="50" s="1"/>
  <c r="G423" i="43"/>
  <c r="H423" i="43" s="1"/>
  <c r="E36" i="50" s="1"/>
  <c r="K432" i="43"/>
  <c r="L45" i="50" s="1"/>
  <c r="G426" i="43"/>
  <c r="H426" i="43" s="1"/>
  <c r="E39" i="50" s="1"/>
  <c r="G424" i="43"/>
  <c r="H424" i="43" s="1"/>
  <c r="E37" i="50" s="1"/>
  <c r="J292" i="50"/>
  <c r="J449" i="41"/>
  <c r="L565" i="50"/>
  <c r="L553" i="50"/>
  <c r="L545" i="50"/>
  <c r="L539" i="50"/>
  <c r="L533" i="50"/>
  <c r="L527" i="50"/>
  <c r="L521" i="50"/>
  <c r="L513" i="50"/>
  <c r="L509" i="50"/>
  <c r="L505" i="50"/>
  <c r="J565" i="50"/>
  <c r="J553" i="50"/>
  <c r="J545" i="50"/>
  <c r="J539" i="50"/>
  <c r="J533" i="50"/>
  <c r="J527" i="50"/>
  <c r="J521" i="50"/>
  <c r="J513" i="50"/>
  <c r="J509" i="50"/>
  <c r="J505" i="50"/>
  <c r="K565" i="50"/>
  <c r="K553" i="50"/>
  <c r="K545" i="50"/>
  <c r="K539" i="50"/>
  <c r="K533" i="50"/>
  <c r="K527" i="50"/>
  <c r="K521" i="50"/>
  <c r="K513" i="50"/>
  <c r="K509" i="50"/>
  <c r="K505" i="50"/>
  <c r="G425" i="43"/>
  <c r="H425" i="43" s="1"/>
  <c r="E38" i="50" s="1"/>
  <c r="K428" i="43"/>
  <c r="L41" i="50" s="1"/>
  <c r="J425" i="43"/>
  <c r="I38" i="50" s="1"/>
  <c r="K427" i="43"/>
  <c r="L40" i="50" s="1"/>
  <c r="G427" i="43"/>
  <c r="G430" i="43"/>
  <c r="D31" i="62"/>
  <c r="E30" i="62"/>
  <c r="X30" i="62" s="1"/>
  <c r="S60" i="62"/>
  <c r="U60" i="62"/>
  <c r="L60" i="62"/>
  <c r="M60" i="62"/>
  <c r="G61" i="62"/>
  <c r="T61" i="62" s="1"/>
  <c r="I166" i="62" s="1"/>
  <c r="D62" i="62"/>
  <c r="E61" i="62"/>
  <c r="J423" i="43"/>
  <c r="I36" i="50" s="1"/>
  <c r="J430" i="43"/>
  <c r="I43" i="50" s="1"/>
  <c r="H427" i="43"/>
  <c r="E40" i="50" s="1"/>
  <c r="G428" i="43"/>
  <c r="G432" i="43"/>
  <c r="J428" i="43"/>
  <c r="I41" i="50" s="1"/>
  <c r="K426" i="43"/>
  <c r="L39" i="50" s="1"/>
  <c r="J431" i="43"/>
  <c r="I44" i="50" s="1"/>
  <c r="G431" i="43"/>
  <c r="H431" i="43" s="1"/>
  <c r="E44" i="50" s="1"/>
  <c r="K449" i="41"/>
  <c r="K450" i="41"/>
  <c r="K457" i="41" s="1"/>
  <c r="J450" i="41"/>
  <c r="J457" i="41" s="1"/>
  <c r="I449" i="41"/>
  <c r="I450" i="41"/>
  <c r="I457" i="41" s="1"/>
  <c r="K335" i="50"/>
  <c r="J275" i="43"/>
  <c r="J2449" i="50" s="1"/>
  <c r="K1799" i="50"/>
  <c r="K1864" i="50"/>
  <c r="K1860" i="50"/>
  <c r="K1945" i="50"/>
  <c r="K2363" i="50"/>
  <c r="K2330" i="50"/>
  <c r="K2319" i="50"/>
  <c r="K2267" i="50"/>
  <c r="K2203" i="50"/>
  <c r="K2199" i="50"/>
  <c r="K2151" i="50"/>
  <c r="K1795" i="50"/>
  <c r="K1787" i="50"/>
  <c r="K1872" i="50"/>
  <c r="K2359" i="50"/>
  <c r="K2355" i="50"/>
  <c r="K2263" i="50"/>
  <c r="K2259" i="50"/>
  <c r="K2211" i="50"/>
  <c r="K1810" i="50"/>
  <c r="K1791" i="50"/>
  <c r="K1956" i="50"/>
  <c r="K1941" i="50"/>
  <c r="K2378" i="50"/>
  <c r="K2367" i="50"/>
  <c r="K2315" i="50"/>
  <c r="K2282" i="50"/>
  <c r="K2271" i="50"/>
  <c r="K2162" i="50"/>
  <c r="K2147" i="50"/>
  <c r="K2083" i="50"/>
  <c r="K2079" i="50"/>
  <c r="K2222" i="50"/>
  <c r="K2207" i="50"/>
  <c r="K1883" i="50"/>
  <c r="K1868" i="50"/>
  <c r="K1937" i="50"/>
  <c r="K1933" i="50"/>
  <c r="K2311" i="50"/>
  <c r="K2307" i="50"/>
  <c r="K2102" i="50"/>
  <c r="K2143" i="50"/>
  <c r="K2139" i="50"/>
  <c r="K2087" i="50"/>
  <c r="K2091" i="50"/>
  <c r="L1795" i="50"/>
  <c r="L1787" i="50"/>
  <c r="L1872" i="50"/>
  <c r="L2359" i="50"/>
  <c r="L2355" i="50"/>
  <c r="L2263" i="50"/>
  <c r="L2259" i="50"/>
  <c r="L2211" i="50"/>
  <c r="L2102" i="50"/>
  <c r="L2087" i="50"/>
  <c r="L1810" i="50"/>
  <c r="L1791" i="50"/>
  <c r="L1956" i="50"/>
  <c r="L1941" i="50"/>
  <c r="L2378" i="50"/>
  <c r="L2367" i="50"/>
  <c r="L2315" i="50"/>
  <c r="L2282" i="50"/>
  <c r="L2271" i="50"/>
  <c r="L1883" i="50"/>
  <c r="L1868" i="50"/>
  <c r="L1937" i="50"/>
  <c r="L1933" i="50"/>
  <c r="L2311" i="50"/>
  <c r="L2307" i="50"/>
  <c r="L2222" i="50"/>
  <c r="L2207" i="50"/>
  <c r="L2143" i="50"/>
  <c r="L2139" i="50"/>
  <c r="L2091" i="50"/>
  <c r="L2267" i="50"/>
  <c r="L2203" i="50"/>
  <c r="L2199" i="50"/>
  <c r="L1799" i="50"/>
  <c r="L1864" i="50"/>
  <c r="L1860" i="50"/>
  <c r="L1945" i="50"/>
  <c r="L2363" i="50"/>
  <c r="L2330" i="50"/>
  <c r="L2319" i="50"/>
  <c r="L2083" i="50"/>
  <c r="L2162" i="50"/>
  <c r="L2151" i="50"/>
  <c r="L2147" i="50"/>
  <c r="L2079" i="50"/>
  <c r="J1883" i="50"/>
  <c r="J1868" i="50"/>
  <c r="J1937" i="50"/>
  <c r="J1933" i="50"/>
  <c r="J2311" i="50"/>
  <c r="J2307" i="50"/>
  <c r="J2222" i="50"/>
  <c r="J2207" i="50"/>
  <c r="J2143" i="50"/>
  <c r="J2139" i="50"/>
  <c r="J2091" i="50"/>
  <c r="J1799" i="50"/>
  <c r="J1864" i="50"/>
  <c r="J1860" i="50"/>
  <c r="J1945" i="50"/>
  <c r="J2363" i="50"/>
  <c r="J2330" i="50"/>
  <c r="J2319" i="50"/>
  <c r="J2267" i="50"/>
  <c r="J2203" i="50"/>
  <c r="J1795" i="50"/>
  <c r="J1787" i="50"/>
  <c r="J1872" i="50"/>
  <c r="J2359" i="50"/>
  <c r="J2355" i="50"/>
  <c r="J2263" i="50"/>
  <c r="J2259" i="50"/>
  <c r="J2211" i="50"/>
  <c r="J2102" i="50"/>
  <c r="J2087" i="50"/>
  <c r="J2271" i="50"/>
  <c r="J1810" i="50"/>
  <c r="J1791" i="50"/>
  <c r="J1956" i="50"/>
  <c r="J1941" i="50"/>
  <c r="J2378" i="50"/>
  <c r="J2367" i="50"/>
  <c r="J2315" i="50"/>
  <c r="J2282" i="50"/>
  <c r="J2199" i="50"/>
  <c r="J2083" i="50"/>
  <c r="J2151" i="50"/>
  <c r="J2162" i="50"/>
  <c r="J2147" i="50"/>
  <c r="J2079" i="50"/>
  <c r="M13" i="42"/>
  <c r="AL51" i="42" s="1"/>
  <c r="G50" i="41"/>
  <c r="H701" i="42"/>
  <c r="H820" i="42"/>
  <c r="H1095" i="42"/>
  <c r="H1212" i="42"/>
  <c r="G62" i="41"/>
  <c r="H1041" i="42"/>
  <c r="H924" i="42"/>
  <c r="F1626" i="42"/>
  <c r="F1644" i="42" s="1"/>
  <c r="F1643" i="42"/>
  <c r="F1659" i="42" s="1"/>
  <c r="F1660" i="42" s="1"/>
  <c r="F1661" i="42" s="1"/>
  <c r="F1662" i="42" s="1"/>
  <c r="F1663" i="42" s="1"/>
  <c r="F1664" i="42" s="1"/>
  <c r="F1665" i="42" s="1"/>
  <c r="F1666" i="42" s="1"/>
  <c r="F1667" i="42" s="1"/>
  <c r="F1668" i="42" s="1"/>
  <c r="F1669" i="42" s="1"/>
  <c r="F1670" i="42" s="1"/>
  <c r="G2472" i="37"/>
  <c r="G2753" i="37"/>
  <c r="G2191" i="37"/>
  <c r="G1910" i="37"/>
  <c r="G1348" i="37"/>
  <c r="G1067" i="37"/>
  <c r="G786" i="37"/>
  <c r="G505" i="37"/>
  <c r="G1629" i="37"/>
  <c r="G286" i="50"/>
  <c r="G263" i="50"/>
  <c r="G63" i="41"/>
  <c r="F1487" i="42"/>
  <c r="H1552" i="42"/>
  <c r="H1437" i="42"/>
  <c r="G49" i="41"/>
  <c r="F1763" i="42"/>
  <c r="H1828" i="42"/>
  <c r="H1713" i="42"/>
  <c r="H255" i="42"/>
  <c r="H374" i="42"/>
  <c r="I161" i="50"/>
  <c r="AF1425" i="42"/>
  <c r="AF1563" i="42"/>
  <c r="AF1701" i="42"/>
  <c r="AG1425" i="42"/>
  <c r="AG1563" i="42"/>
  <c r="AG1701" i="42"/>
  <c r="AE1701" i="42"/>
  <c r="AE1425" i="42"/>
  <c r="AE1563" i="42"/>
  <c r="E193" i="62"/>
  <c r="K1814" i="42"/>
  <c r="W1814" i="42" s="1"/>
  <c r="K1762" i="42"/>
  <c r="K1796" i="42"/>
  <c r="K1780" i="42"/>
  <c r="AF1780" i="42" s="1"/>
  <c r="K1743" i="42"/>
  <c r="AF1743" i="42" s="1"/>
  <c r="K1709" i="42"/>
  <c r="W1709" i="42" s="1"/>
  <c r="K1701" i="42"/>
  <c r="W1701" i="42" s="1"/>
  <c r="K1822" i="42"/>
  <c r="W1827" i="42" s="1"/>
  <c r="L1822" i="42"/>
  <c r="X1827" i="42" s="1"/>
  <c r="L1814" i="42"/>
  <c r="X1814" i="42" s="1"/>
  <c r="L1796" i="42"/>
  <c r="L1780" i="42"/>
  <c r="AG1780" i="42" s="1"/>
  <c r="L1762" i="42"/>
  <c r="L1701" i="42"/>
  <c r="X1701" i="42" s="1"/>
  <c r="L1743" i="42"/>
  <c r="AG1743" i="42" s="1"/>
  <c r="L1709" i="42"/>
  <c r="X1709" i="42" s="1"/>
  <c r="J1814" i="42"/>
  <c r="V1814" i="42" s="1"/>
  <c r="J1762" i="42"/>
  <c r="J1743" i="42"/>
  <c r="AE1743" i="42" s="1"/>
  <c r="J1822" i="42"/>
  <c r="V1827" i="42" s="1"/>
  <c r="J1796" i="42"/>
  <c r="J1709" i="42"/>
  <c r="V1709" i="42" s="1"/>
  <c r="J1780" i="42"/>
  <c r="AE1780" i="42" s="1"/>
  <c r="J1701" i="42"/>
  <c r="V1701" i="42" s="1"/>
  <c r="L1658" i="42"/>
  <c r="L1676" i="42"/>
  <c r="X1676" i="42" s="1"/>
  <c r="L1642" i="42"/>
  <c r="AG1642" i="42" s="1"/>
  <c r="L1563" i="42"/>
  <c r="X1563" i="42" s="1"/>
  <c r="L1571" i="42"/>
  <c r="X1571" i="42" s="1"/>
  <c r="L1624" i="42"/>
  <c r="L1605" i="42"/>
  <c r="AG1605" i="42" s="1"/>
  <c r="L1684" i="42"/>
  <c r="X1689" i="42" s="1"/>
  <c r="J1676" i="42"/>
  <c r="V1676" i="42" s="1"/>
  <c r="J1624" i="42"/>
  <c r="J1684" i="42"/>
  <c r="V1689" i="42" s="1"/>
  <c r="J1605" i="42"/>
  <c r="AE1605" i="42" s="1"/>
  <c r="J1642" i="42"/>
  <c r="AE1642" i="42" s="1"/>
  <c r="J1658" i="42"/>
  <c r="J1563" i="42"/>
  <c r="V1563" i="42" s="1"/>
  <c r="J1571" i="42"/>
  <c r="V1571" i="42" s="1"/>
  <c r="K1684" i="42"/>
  <c r="W1689" i="42" s="1"/>
  <c r="K1676" i="42"/>
  <c r="W1676" i="42" s="1"/>
  <c r="K1642" i="42"/>
  <c r="AF1642" i="42" s="1"/>
  <c r="K1658" i="42"/>
  <c r="K1563" i="42"/>
  <c r="W1563" i="42" s="1"/>
  <c r="K1605" i="42"/>
  <c r="AF1605" i="42" s="1"/>
  <c r="K1624" i="42"/>
  <c r="K1571" i="42"/>
  <c r="W1571" i="42" s="1"/>
  <c r="K2393" i="50"/>
  <c r="S2355" i="50"/>
  <c r="K2386" i="50"/>
  <c r="J2393" i="50"/>
  <c r="R2355" i="50"/>
  <c r="J2386" i="50"/>
  <c r="L2386" i="50"/>
  <c r="T2355" i="50"/>
  <c r="L2393" i="50"/>
  <c r="J2338" i="50"/>
  <c r="J2345" i="50"/>
  <c r="R2307" i="50"/>
  <c r="L2345" i="50"/>
  <c r="L2338" i="50"/>
  <c r="T2307" i="50"/>
  <c r="K2345" i="50"/>
  <c r="S2307" i="50"/>
  <c r="K2338" i="50"/>
  <c r="J2297" i="50"/>
  <c r="R2259" i="50"/>
  <c r="J2290" i="50"/>
  <c r="L2290" i="50"/>
  <c r="T2259" i="50"/>
  <c r="L2297" i="50"/>
  <c r="K2297" i="50"/>
  <c r="S2259" i="50"/>
  <c r="K2290" i="50"/>
  <c r="L2230" i="50"/>
  <c r="T2199" i="50"/>
  <c r="L2237" i="50"/>
  <c r="J2237" i="50"/>
  <c r="R2199" i="50"/>
  <c r="J2230" i="50"/>
  <c r="K2237" i="50"/>
  <c r="S2199" i="50"/>
  <c r="K2230" i="50"/>
  <c r="L2117" i="50"/>
  <c r="L2170" i="50"/>
  <c r="L2177" i="50"/>
  <c r="T2139" i="50"/>
  <c r="J2117" i="50"/>
  <c r="J2177" i="50"/>
  <c r="R2139" i="50"/>
  <c r="J2170" i="50"/>
  <c r="K2117" i="50"/>
  <c r="K2177" i="50"/>
  <c r="S2139" i="50"/>
  <c r="K2170" i="50"/>
  <c r="AF1395" i="42"/>
  <c r="K1377" i="42"/>
  <c r="W1382" i="42" s="1"/>
  <c r="K1369" i="42"/>
  <c r="W1369" i="42" s="1"/>
  <c r="K1402" i="42"/>
  <c r="W1403" i="42" s="1"/>
  <c r="K1395" i="42"/>
  <c r="W1395" i="42" s="1"/>
  <c r="K1351" i="42"/>
  <c r="AF1402" i="42"/>
  <c r="K1317" i="42"/>
  <c r="K1298" i="42"/>
  <c r="AF1298" i="42" s="1"/>
  <c r="K1254" i="42"/>
  <c r="K1262" i="42"/>
  <c r="W1262" i="42" s="1"/>
  <c r="K1335" i="42"/>
  <c r="AF1335" i="42" s="1"/>
  <c r="AG1402" i="42"/>
  <c r="L1402" i="42"/>
  <c r="X1403" i="42" s="1"/>
  <c r="L1369" i="42"/>
  <c r="X1369" i="42" s="1"/>
  <c r="L1395" i="42"/>
  <c r="X1395" i="42" s="1"/>
  <c r="L1377" i="42"/>
  <c r="X1382" i="42" s="1"/>
  <c r="L1317" i="42"/>
  <c r="L1298" i="42"/>
  <c r="AG1298" i="42" s="1"/>
  <c r="L1262" i="42"/>
  <c r="X1262" i="42" s="1"/>
  <c r="L1335" i="42"/>
  <c r="AG1335" i="42" s="1"/>
  <c r="L1351" i="42"/>
  <c r="AG1395" i="42"/>
  <c r="L1254" i="42"/>
  <c r="AE1402" i="42"/>
  <c r="J1351" i="42"/>
  <c r="J1377" i="42"/>
  <c r="V1382" i="42" s="1"/>
  <c r="J1402" i="42"/>
  <c r="V1403" i="42" s="1"/>
  <c r="J1254" i="42"/>
  <c r="J1395" i="42"/>
  <c r="V1395" i="42" s="1"/>
  <c r="J1369" i="42"/>
  <c r="V1369" i="42" s="1"/>
  <c r="AE1395" i="42"/>
  <c r="J1317" i="42"/>
  <c r="J1262" i="42"/>
  <c r="V1262" i="42" s="1"/>
  <c r="J1335" i="42"/>
  <c r="AE1335" i="42" s="1"/>
  <c r="J1298" i="42"/>
  <c r="AE1298" i="42" s="1"/>
  <c r="AF1224" i="42"/>
  <c r="K1206" i="42"/>
  <c r="W1211" i="42" s="1"/>
  <c r="K1198" i="42"/>
  <c r="W1198" i="42" s="1"/>
  <c r="K1231" i="42"/>
  <c r="W1232" i="42" s="1"/>
  <c r="AF1231" i="42"/>
  <c r="K1224" i="42"/>
  <c r="W1224" i="42" s="1"/>
  <c r="K1180" i="42"/>
  <c r="K1146" i="42"/>
  <c r="K1127" i="42"/>
  <c r="AF1127" i="42" s="1"/>
  <c r="K1091" i="42"/>
  <c r="W1091" i="42" s="1"/>
  <c r="K1164" i="42"/>
  <c r="AF1164" i="42" s="1"/>
  <c r="K1083" i="42"/>
  <c r="L1231" i="42"/>
  <c r="X1232" i="42" s="1"/>
  <c r="L1224" i="42"/>
  <c r="X1224" i="42" s="1"/>
  <c r="AG1231" i="42"/>
  <c r="AG1224" i="42"/>
  <c r="L1146" i="42"/>
  <c r="L1198" i="42"/>
  <c r="X1198" i="42" s="1"/>
  <c r="L1164" i="42"/>
  <c r="AG1164" i="42" s="1"/>
  <c r="L1083" i="42"/>
  <c r="L1180" i="42"/>
  <c r="L1206" i="42"/>
  <c r="X1211" i="42" s="1"/>
  <c r="L1091" i="42"/>
  <c r="X1091" i="42" s="1"/>
  <c r="L1127" i="42"/>
  <c r="AG1127" i="42" s="1"/>
  <c r="AE1231" i="42"/>
  <c r="AE1224" i="42"/>
  <c r="J1206" i="42"/>
  <c r="V1211" i="42" s="1"/>
  <c r="J1198" i="42"/>
  <c r="V1198" i="42" s="1"/>
  <c r="J1224" i="42"/>
  <c r="V1224" i="42" s="1"/>
  <c r="J1231" i="42"/>
  <c r="V1232" i="42" s="1"/>
  <c r="J1164" i="42"/>
  <c r="AE1164" i="42" s="1"/>
  <c r="J1180" i="42"/>
  <c r="J1146" i="42"/>
  <c r="J1127" i="42"/>
  <c r="AE1127" i="42" s="1"/>
  <c r="J1091" i="42"/>
  <c r="V1091" i="42" s="1"/>
  <c r="J1083" i="42"/>
  <c r="R2079" i="50"/>
  <c r="J2110" i="50"/>
  <c r="L2110" i="50"/>
  <c r="T2079" i="50"/>
  <c r="K2110" i="50"/>
  <c r="S2079" i="50"/>
  <c r="J2043" i="50"/>
  <c r="R2006" i="50"/>
  <c r="J2018" i="50"/>
  <c r="J2014" i="50"/>
  <c r="J2010" i="50"/>
  <c r="J2037" i="50"/>
  <c r="J2029" i="50"/>
  <c r="J2006" i="50"/>
  <c r="L2037" i="50"/>
  <c r="L2029" i="50"/>
  <c r="L2018" i="50"/>
  <c r="L2014" i="50"/>
  <c r="L2010" i="50"/>
  <c r="T2006" i="50"/>
  <c r="L2006" i="50"/>
  <c r="L2043" i="50"/>
  <c r="K2018" i="50"/>
  <c r="K2014" i="50"/>
  <c r="K2010" i="50"/>
  <c r="K2037" i="50"/>
  <c r="K2043" i="50"/>
  <c r="S2006" i="50"/>
  <c r="K2006" i="50"/>
  <c r="K2029" i="50"/>
  <c r="J1970" i="50"/>
  <c r="R1933" i="50"/>
  <c r="J1964" i="50"/>
  <c r="L1964" i="50"/>
  <c r="T1933" i="50"/>
  <c r="L1970" i="50"/>
  <c r="K1964" i="50"/>
  <c r="K1970" i="50"/>
  <c r="S1933" i="50"/>
  <c r="J1897" i="50"/>
  <c r="R1860" i="50"/>
  <c r="J1891" i="50"/>
  <c r="L1891" i="50"/>
  <c r="T1860" i="50"/>
  <c r="L1897" i="50"/>
  <c r="K1891" i="50"/>
  <c r="K1897" i="50"/>
  <c r="S1860" i="50"/>
  <c r="J2785" i="37"/>
  <c r="V2788" i="37" s="1"/>
  <c r="J2766" i="37"/>
  <c r="V2769" i="37" s="1"/>
  <c r="J2721" i="37"/>
  <c r="V2721" i="37" s="1"/>
  <c r="J2808" i="37"/>
  <c r="J2776" i="37"/>
  <c r="V2778" i="37" s="1"/>
  <c r="J2732" i="37"/>
  <c r="J2751" i="37"/>
  <c r="J2741" i="37"/>
  <c r="J2655" i="37"/>
  <c r="V2655" i="37" s="1"/>
  <c r="J2620" i="37"/>
  <c r="J2760" i="37"/>
  <c r="J2717" i="37"/>
  <c r="J2678" i="37"/>
  <c r="V2682" i="37" s="1"/>
  <c r="J2812" i="37"/>
  <c r="J2794" i="37"/>
  <c r="V2794" i="37" s="1"/>
  <c r="J2690" i="37"/>
  <c r="V2694" i="37" s="1"/>
  <c r="J2569" i="37"/>
  <c r="V2572" i="37" s="1"/>
  <c r="J2563" i="37"/>
  <c r="J2601" i="37"/>
  <c r="V2604" i="37" s="1"/>
  <c r="J2595" i="37"/>
  <c r="J2663" i="37"/>
  <c r="J2713" i="37"/>
  <c r="V2713" i="37" s="1"/>
  <c r="J2704" i="37"/>
  <c r="V2704" i="37" s="1"/>
  <c r="J2549" i="37"/>
  <c r="K2808" i="37"/>
  <c r="K2776" i="37"/>
  <c r="W2778" i="37" s="1"/>
  <c r="K2766" i="37"/>
  <c r="W2769" i="37" s="1"/>
  <c r="K2760" i="37"/>
  <c r="K2785" i="37"/>
  <c r="W2788" i="37" s="1"/>
  <c r="K2732" i="37"/>
  <c r="K2751" i="37"/>
  <c r="K2741" i="37"/>
  <c r="K2717" i="37"/>
  <c r="K2721" i="37"/>
  <c r="W2721" i="37" s="1"/>
  <c r="K2678" i="37"/>
  <c r="W2682" i="37" s="1"/>
  <c r="K2794" i="37"/>
  <c r="W2794" i="37" s="1"/>
  <c r="K2713" i="37"/>
  <c r="W2713" i="37" s="1"/>
  <c r="K2704" i="37"/>
  <c r="W2704" i="37" s="1"/>
  <c r="K2690" i="37"/>
  <c r="W2694" i="37" s="1"/>
  <c r="K2663" i="37"/>
  <c r="K2601" i="37"/>
  <c r="W2604" i="37" s="1"/>
  <c r="K2595" i="37"/>
  <c r="K2620" i="37"/>
  <c r="K2812" i="37"/>
  <c r="K2655" i="37"/>
  <c r="W2655" i="37" s="1"/>
  <c r="K2569" i="37"/>
  <c r="W2572" i="37" s="1"/>
  <c r="K2563" i="37"/>
  <c r="K2549" i="37"/>
  <c r="L2808" i="37"/>
  <c r="L2776" i="37"/>
  <c r="X2778" i="37" s="1"/>
  <c r="L2766" i="37"/>
  <c r="X2769" i="37" s="1"/>
  <c r="L2812" i="37"/>
  <c r="L2794" i="37"/>
  <c r="X2794" i="37" s="1"/>
  <c r="L2751" i="37"/>
  <c r="L2741" i="37"/>
  <c r="L2760" i="37"/>
  <c r="L2717" i="37"/>
  <c r="L2713" i="37"/>
  <c r="X2713" i="37" s="1"/>
  <c r="L2704" i="37"/>
  <c r="X2704" i="37" s="1"/>
  <c r="L2690" i="37"/>
  <c r="X2694" i="37" s="1"/>
  <c r="L2663" i="37"/>
  <c r="L2785" i="37"/>
  <c r="X2788" i="37" s="1"/>
  <c r="L2620" i="37"/>
  <c r="L2655" i="37"/>
  <c r="X2655" i="37" s="1"/>
  <c r="L2549" i="37"/>
  <c r="L2732" i="37"/>
  <c r="L2569" i="37"/>
  <c r="X2572" i="37" s="1"/>
  <c r="L2563" i="37"/>
  <c r="L2721" i="37"/>
  <c r="X2721" i="37" s="1"/>
  <c r="L2678" i="37"/>
  <c r="X2682" i="37" s="1"/>
  <c r="L2595" i="37"/>
  <c r="L2601" i="37"/>
  <c r="X2604" i="37" s="1"/>
  <c r="L2527" i="37"/>
  <c r="L2495" i="37"/>
  <c r="X2497" i="37" s="1"/>
  <c r="L2485" i="37"/>
  <c r="X2488" i="37" s="1"/>
  <c r="L2479" i="37"/>
  <c r="L2531" i="37"/>
  <c r="L2513" i="37"/>
  <c r="X2513" i="37" s="1"/>
  <c r="L2451" i="37"/>
  <c r="L2470" i="37"/>
  <c r="L2460" i="37"/>
  <c r="L2440" i="37"/>
  <c r="X2440" i="37" s="1"/>
  <c r="L2374" i="37"/>
  <c r="X2374" i="37" s="1"/>
  <c r="L2339" i="37"/>
  <c r="L2504" i="37"/>
  <c r="X2507" i="37" s="1"/>
  <c r="L2397" i="37"/>
  <c r="X2401" i="37" s="1"/>
  <c r="L2320" i="37"/>
  <c r="X2323" i="37" s="1"/>
  <c r="L2314" i="37"/>
  <c r="L2436" i="37"/>
  <c r="L2423" i="37"/>
  <c r="X2423" i="37" s="1"/>
  <c r="L2409" i="37"/>
  <c r="X2413" i="37" s="1"/>
  <c r="L2382" i="37"/>
  <c r="L2282" i="37"/>
  <c r="L2288" i="37"/>
  <c r="X2291" i="37" s="1"/>
  <c r="L2432" i="37"/>
  <c r="X2432" i="37" s="1"/>
  <c r="L2268" i="37"/>
  <c r="J2504" i="37"/>
  <c r="V2507" i="37" s="1"/>
  <c r="J2527" i="37"/>
  <c r="J2479" i="37"/>
  <c r="J2495" i="37"/>
  <c r="V2497" i="37" s="1"/>
  <c r="J2451" i="37"/>
  <c r="J2436" i="37"/>
  <c r="J2432" i="37"/>
  <c r="V2432" i="37" s="1"/>
  <c r="J2423" i="37"/>
  <c r="V2423" i="37" s="1"/>
  <c r="J2409" i="37"/>
  <c r="V2413" i="37" s="1"/>
  <c r="J2382" i="37"/>
  <c r="J2531" i="37"/>
  <c r="J2513" i="37"/>
  <c r="V2513" i="37" s="1"/>
  <c r="J2374" i="37"/>
  <c r="V2374" i="37" s="1"/>
  <c r="J2339" i="37"/>
  <c r="J2268" i="37"/>
  <c r="J2485" i="37"/>
  <c r="V2488" i="37" s="1"/>
  <c r="J2288" i="37"/>
  <c r="V2291" i="37" s="1"/>
  <c r="J2282" i="37"/>
  <c r="J2470" i="37"/>
  <c r="J2314" i="37"/>
  <c r="J2320" i="37"/>
  <c r="V2323" i="37" s="1"/>
  <c r="J2397" i="37"/>
  <c r="V2401" i="37" s="1"/>
  <c r="J2460" i="37"/>
  <c r="J2440" i="37"/>
  <c r="V2440" i="37" s="1"/>
  <c r="K2527" i="37"/>
  <c r="K2495" i="37"/>
  <c r="W2497" i="37" s="1"/>
  <c r="K2485" i="37"/>
  <c r="W2488" i="37" s="1"/>
  <c r="K2479" i="37"/>
  <c r="K2504" i="37"/>
  <c r="W2507" i="37" s="1"/>
  <c r="K2451" i="37"/>
  <c r="K2513" i="37"/>
  <c r="W2513" i="37" s="1"/>
  <c r="K2460" i="37"/>
  <c r="K2440" i="37"/>
  <c r="W2440" i="37" s="1"/>
  <c r="K2374" i="37"/>
  <c r="W2374" i="37" s="1"/>
  <c r="K2339" i="37"/>
  <c r="K2432" i="37"/>
  <c r="W2432" i="37" s="1"/>
  <c r="K2288" i="37"/>
  <c r="W2291" i="37" s="1"/>
  <c r="K2282" i="37"/>
  <c r="K2320" i="37"/>
  <c r="W2323" i="37" s="1"/>
  <c r="K2314" i="37"/>
  <c r="K2470" i="37"/>
  <c r="K2531" i="37"/>
  <c r="K2268" i="37"/>
  <c r="K2436" i="37"/>
  <c r="K2409" i="37"/>
  <c r="W2413" i="37" s="1"/>
  <c r="K2397" i="37"/>
  <c r="W2401" i="37" s="1"/>
  <c r="K2423" i="37"/>
  <c r="W2423" i="37" s="1"/>
  <c r="K2382" i="37"/>
  <c r="L2246" i="37"/>
  <c r="L2250" i="37"/>
  <c r="L2232" i="37"/>
  <c r="X2232" i="37" s="1"/>
  <c r="L2223" i="37"/>
  <c r="X2226" i="37" s="1"/>
  <c r="L2198" i="37"/>
  <c r="L2189" i="37"/>
  <c r="L2179" i="37"/>
  <c r="L2214" i="37"/>
  <c r="X2216" i="37" s="1"/>
  <c r="L2170" i="37"/>
  <c r="L2159" i="37"/>
  <c r="X2159" i="37" s="1"/>
  <c r="L2128" i="37"/>
  <c r="X2132" i="37" s="1"/>
  <c r="L2007" i="37"/>
  <c r="X2010" i="37" s="1"/>
  <c r="L2001" i="37"/>
  <c r="L2151" i="37"/>
  <c r="X2151" i="37" s="1"/>
  <c r="L2039" i="37"/>
  <c r="X2042" i="37" s="1"/>
  <c r="L2033" i="37"/>
  <c r="L2093" i="37"/>
  <c r="X2093" i="37" s="1"/>
  <c r="L2204" i="37"/>
  <c r="X2207" i="37" s="1"/>
  <c r="L2155" i="37"/>
  <c r="L2142" i="37"/>
  <c r="X2142" i="37" s="1"/>
  <c r="L2101" i="37"/>
  <c r="L2058" i="37"/>
  <c r="L1987" i="37"/>
  <c r="L2116" i="37"/>
  <c r="X2120" i="37" s="1"/>
  <c r="J2223" i="37"/>
  <c r="V2226" i="37" s="1"/>
  <c r="J2246" i="37"/>
  <c r="J2214" i="37"/>
  <c r="V2216" i="37" s="1"/>
  <c r="J2204" i="37"/>
  <c r="V2207" i="37" s="1"/>
  <c r="J2198" i="37"/>
  <c r="J2159" i="37"/>
  <c r="V2159" i="37" s="1"/>
  <c r="J2232" i="37"/>
  <c r="V2232" i="37" s="1"/>
  <c r="J2170" i="37"/>
  <c r="J2151" i="37"/>
  <c r="V2151" i="37" s="1"/>
  <c r="J2142" i="37"/>
  <c r="V2142" i="37" s="1"/>
  <c r="J2128" i="37"/>
  <c r="V2132" i="37" s="1"/>
  <c r="J2101" i="37"/>
  <c r="J2179" i="37"/>
  <c r="J2155" i="37"/>
  <c r="J2116" i="37"/>
  <c r="V2120" i="37" s="1"/>
  <c r="J2093" i="37"/>
  <c r="V2093" i="37" s="1"/>
  <c r="J2058" i="37"/>
  <c r="J2189" i="37"/>
  <c r="J2039" i="37"/>
  <c r="V2042" i="37" s="1"/>
  <c r="J2007" i="37"/>
  <c r="V2010" i="37" s="1"/>
  <c r="J2001" i="37"/>
  <c r="J1987" i="37"/>
  <c r="J2250" i="37"/>
  <c r="J2033" i="37"/>
  <c r="K2246" i="37"/>
  <c r="K2214" i="37"/>
  <c r="W2216" i="37" s="1"/>
  <c r="K2204" i="37"/>
  <c r="W2207" i="37" s="1"/>
  <c r="K2198" i="37"/>
  <c r="K2250" i="37"/>
  <c r="K2232" i="37"/>
  <c r="W2232" i="37" s="1"/>
  <c r="K2223" i="37"/>
  <c r="W2226" i="37" s="1"/>
  <c r="K2170" i="37"/>
  <c r="K2189" i="37"/>
  <c r="K2179" i="37"/>
  <c r="K2155" i="37"/>
  <c r="K2151" i="37"/>
  <c r="W2151" i="37" s="1"/>
  <c r="K2142" i="37"/>
  <c r="W2142" i="37" s="1"/>
  <c r="K2128" i="37"/>
  <c r="W2132" i="37" s="1"/>
  <c r="K2159" i="37"/>
  <c r="W2159" i="37" s="1"/>
  <c r="K2007" i="37"/>
  <c r="W2010" i="37" s="1"/>
  <c r="K2001" i="37"/>
  <c r="K2101" i="37"/>
  <c r="K2058" i="37"/>
  <c r="K2116" i="37"/>
  <c r="W2120" i="37" s="1"/>
  <c r="K2093" i="37"/>
  <c r="W2093" i="37" s="1"/>
  <c r="K2039" i="37"/>
  <c r="W2042" i="37" s="1"/>
  <c r="K2033" i="37"/>
  <c r="K1987" i="37"/>
  <c r="L1965" i="37"/>
  <c r="L1933" i="37"/>
  <c r="X1935" i="37" s="1"/>
  <c r="L1969" i="37"/>
  <c r="L1951" i="37"/>
  <c r="X1951" i="37" s="1"/>
  <c r="L1942" i="37"/>
  <c r="X1945" i="37" s="1"/>
  <c r="L1889" i="37"/>
  <c r="L1923" i="37"/>
  <c r="X1926" i="37" s="1"/>
  <c r="L1908" i="37"/>
  <c r="L1898" i="37"/>
  <c r="L1917" i="37"/>
  <c r="L1874" i="37"/>
  <c r="L1870" i="37"/>
  <c r="X1870" i="37" s="1"/>
  <c r="L1812" i="37"/>
  <c r="X1812" i="37" s="1"/>
  <c r="L1878" i="37"/>
  <c r="X1878" i="37" s="1"/>
  <c r="L1835" i="37"/>
  <c r="X1839" i="37" s="1"/>
  <c r="L1758" i="37"/>
  <c r="X1761" i="37" s="1"/>
  <c r="L1752" i="37"/>
  <c r="L1820" i="37"/>
  <c r="L1777" i="37"/>
  <c r="L1861" i="37"/>
  <c r="X1861" i="37" s="1"/>
  <c r="L1847" i="37"/>
  <c r="X1851" i="37" s="1"/>
  <c r="L1706" i="37"/>
  <c r="L1720" i="37"/>
  <c r="L1726" i="37"/>
  <c r="X1729" i="37" s="1"/>
  <c r="J1942" i="37"/>
  <c r="V1945" i="37" s="1"/>
  <c r="J1965" i="37"/>
  <c r="J1933" i="37"/>
  <c r="V1935" i="37" s="1"/>
  <c r="J1923" i="37"/>
  <c r="V1926" i="37" s="1"/>
  <c r="J1951" i="37"/>
  <c r="V1951" i="37" s="1"/>
  <c r="J1969" i="37"/>
  <c r="J1889" i="37"/>
  <c r="J1917" i="37"/>
  <c r="J1898" i="37"/>
  <c r="J1835" i="37"/>
  <c r="V1839" i="37" s="1"/>
  <c r="J1874" i="37"/>
  <c r="J1870" i="37"/>
  <c r="V1870" i="37" s="1"/>
  <c r="J1861" i="37"/>
  <c r="V1861" i="37" s="1"/>
  <c r="J1847" i="37"/>
  <c r="V1851" i="37" s="1"/>
  <c r="J1820" i="37"/>
  <c r="J1812" i="37"/>
  <c r="V1812" i="37" s="1"/>
  <c r="J1706" i="37"/>
  <c r="J1908" i="37"/>
  <c r="J1726" i="37"/>
  <c r="V1729" i="37" s="1"/>
  <c r="J1720" i="37"/>
  <c r="J1878" i="37"/>
  <c r="V1878" i="37" s="1"/>
  <c r="J1758" i="37"/>
  <c r="V1761" i="37" s="1"/>
  <c r="J1752" i="37"/>
  <c r="J1777" i="37"/>
  <c r="K1965" i="37"/>
  <c r="K1933" i="37"/>
  <c r="W1935" i="37" s="1"/>
  <c r="K1923" i="37"/>
  <c r="W1926" i="37" s="1"/>
  <c r="K1917" i="37"/>
  <c r="K1969" i="37"/>
  <c r="K1951" i="37"/>
  <c r="W1951" i="37" s="1"/>
  <c r="K1942" i="37"/>
  <c r="W1945" i="37" s="1"/>
  <c r="K1878" i="37"/>
  <c r="W1878" i="37" s="1"/>
  <c r="K1908" i="37"/>
  <c r="K1898" i="37"/>
  <c r="K1874" i="37"/>
  <c r="K1870" i="37"/>
  <c r="W1870" i="37" s="1"/>
  <c r="K1889" i="37"/>
  <c r="K1861" i="37"/>
  <c r="W1861" i="37" s="1"/>
  <c r="K1847" i="37"/>
  <c r="W1851" i="37" s="1"/>
  <c r="K1812" i="37"/>
  <c r="W1812" i="37" s="1"/>
  <c r="K1726" i="37"/>
  <c r="W1729" i="37" s="1"/>
  <c r="K1720" i="37"/>
  <c r="K1758" i="37"/>
  <c r="W1761" i="37" s="1"/>
  <c r="K1752" i="37"/>
  <c r="K1835" i="37"/>
  <c r="W1839" i="37" s="1"/>
  <c r="K1820" i="37"/>
  <c r="K1777" i="37"/>
  <c r="K1706" i="37"/>
  <c r="L1684" i="37"/>
  <c r="L1652" i="37"/>
  <c r="X1654" i="37" s="1"/>
  <c r="L1642" i="37"/>
  <c r="X1645" i="37" s="1"/>
  <c r="L1688" i="37"/>
  <c r="L1670" i="37"/>
  <c r="X1670" i="37" s="1"/>
  <c r="L1636" i="37"/>
  <c r="L1597" i="37"/>
  <c r="X1597" i="37" s="1"/>
  <c r="L1608" i="37"/>
  <c r="L1593" i="37"/>
  <c r="L1589" i="37"/>
  <c r="X1589" i="37" s="1"/>
  <c r="L1580" i="37"/>
  <c r="X1580" i="37" s="1"/>
  <c r="L1566" i="37"/>
  <c r="X1570" i="37" s="1"/>
  <c r="L1539" i="37"/>
  <c r="L1661" i="37"/>
  <c r="X1664" i="37" s="1"/>
  <c r="L1477" i="37"/>
  <c r="X1480" i="37" s="1"/>
  <c r="L1617" i="37"/>
  <c r="L1554" i="37"/>
  <c r="X1558" i="37" s="1"/>
  <c r="L1425" i="37"/>
  <c r="L1627" i="37"/>
  <c r="L1496" i="37"/>
  <c r="L1445" i="37"/>
  <c r="X1448" i="37" s="1"/>
  <c r="L1439" i="37"/>
  <c r="L1471" i="37"/>
  <c r="L1531" i="37"/>
  <c r="X1531" i="37" s="1"/>
  <c r="J1661" i="37"/>
  <c r="V1664" i="37" s="1"/>
  <c r="J1642" i="37"/>
  <c r="V1645" i="37" s="1"/>
  <c r="J1608" i="37"/>
  <c r="J1684" i="37"/>
  <c r="J1652" i="37"/>
  <c r="V1654" i="37" s="1"/>
  <c r="J1636" i="37"/>
  <c r="J1627" i="37"/>
  <c r="J1617" i="37"/>
  <c r="J1597" i="37"/>
  <c r="V1597" i="37" s="1"/>
  <c r="J1531" i="37"/>
  <c r="V1531" i="37" s="1"/>
  <c r="J1496" i="37"/>
  <c r="J1554" i="37"/>
  <c r="V1558" i="37" s="1"/>
  <c r="J1688" i="37"/>
  <c r="J1670" i="37"/>
  <c r="V1670" i="37" s="1"/>
  <c r="J1589" i="37"/>
  <c r="V1589" i="37" s="1"/>
  <c r="J1580" i="37"/>
  <c r="V1580" i="37" s="1"/>
  <c r="J1445" i="37"/>
  <c r="V1448" i="37" s="1"/>
  <c r="J1439" i="37"/>
  <c r="J1593" i="37"/>
  <c r="J1539" i="37"/>
  <c r="J1471" i="37"/>
  <c r="J1566" i="37"/>
  <c r="V1570" i="37" s="1"/>
  <c r="J1477" i="37"/>
  <c r="V1480" i="37" s="1"/>
  <c r="J1425" i="37"/>
  <c r="K1684" i="37"/>
  <c r="K1652" i="37"/>
  <c r="W1654" i="37" s="1"/>
  <c r="K1642" i="37"/>
  <c r="W1645" i="37" s="1"/>
  <c r="K1636" i="37"/>
  <c r="K1661" i="37"/>
  <c r="W1664" i="37" s="1"/>
  <c r="K1627" i="37"/>
  <c r="K1617" i="37"/>
  <c r="K1554" i="37"/>
  <c r="W1558" i="37" s="1"/>
  <c r="K1670" i="37"/>
  <c r="W1670" i="37" s="1"/>
  <c r="K1608" i="37"/>
  <c r="K1593" i="37"/>
  <c r="K1589" i="37"/>
  <c r="W1589" i="37" s="1"/>
  <c r="K1580" i="37"/>
  <c r="W1580" i="37" s="1"/>
  <c r="K1566" i="37"/>
  <c r="W1570" i="37" s="1"/>
  <c r="K1539" i="37"/>
  <c r="K1531" i="37"/>
  <c r="W1531" i="37" s="1"/>
  <c r="K1471" i="37"/>
  <c r="K1597" i="37"/>
  <c r="W1597" i="37" s="1"/>
  <c r="K1477" i="37"/>
  <c r="W1480" i="37" s="1"/>
  <c r="K1425" i="37"/>
  <c r="K1688" i="37"/>
  <c r="K1439" i="37"/>
  <c r="K1496" i="37"/>
  <c r="K1445" i="37"/>
  <c r="W1448" i="37" s="1"/>
  <c r="L1403" i="37"/>
  <c r="L1371" i="37"/>
  <c r="X1373" i="37" s="1"/>
  <c r="L1361" i="37"/>
  <c r="X1364" i="37" s="1"/>
  <c r="L1355" i="37"/>
  <c r="L1407" i="37"/>
  <c r="L1389" i="37"/>
  <c r="X1389" i="37" s="1"/>
  <c r="L1327" i="37"/>
  <c r="L1346" i="37"/>
  <c r="L1336" i="37"/>
  <c r="L1250" i="37"/>
  <c r="X1250" i="37" s="1"/>
  <c r="L1380" i="37"/>
  <c r="X1383" i="37" s="1"/>
  <c r="L1273" i="37"/>
  <c r="X1277" i="37" s="1"/>
  <c r="L1308" i="37"/>
  <c r="X1308" i="37" s="1"/>
  <c r="L1215" i="37"/>
  <c r="L1316" i="37"/>
  <c r="X1316" i="37" s="1"/>
  <c r="L1144" i="37"/>
  <c r="L1312" i="37"/>
  <c r="L1258" i="37"/>
  <c r="L1196" i="37"/>
  <c r="X1199" i="37" s="1"/>
  <c r="L1164" i="37"/>
  <c r="X1167" i="37" s="1"/>
  <c r="L1158" i="37"/>
  <c r="L1299" i="37"/>
  <c r="X1299" i="37" s="1"/>
  <c r="L1285" i="37"/>
  <c r="X1289" i="37" s="1"/>
  <c r="L1190" i="37"/>
  <c r="J1380" i="37"/>
  <c r="V1383" i="37" s="1"/>
  <c r="J1361" i="37"/>
  <c r="V1364" i="37" s="1"/>
  <c r="J1403" i="37"/>
  <c r="J1371" i="37"/>
  <c r="V1373" i="37" s="1"/>
  <c r="J1316" i="37"/>
  <c r="V1316" i="37" s="1"/>
  <c r="J1355" i="37"/>
  <c r="J1336" i="37"/>
  <c r="J1312" i="37"/>
  <c r="J1308" i="37"/>
  <c r="V1308" i="37" s="1"/>
  <c r="J1299" i="37"/>
  <c r="V1299" i="37" s="1"/>
  <c r="J1285" i="37"/>
  <c r="V1289" i="37" s="1"/>
  <c r="J1258" i="37"/>
  <c r="J1346" i="37"/>
  <c r="J1407" i="37"/>
  <c r="J1389" i="37"/>
  <c r="V1389" i="37" s="1"/>
  <c r="J1273" i="37"/>
  <c r="V1277" i="37" s="1"/>
  <c r="J1164" i="37"/>
  <c r="V1167" i="37" s="1"/>
  <c r="J1158" i="37"/>
  <c r="J1250" i="37"/>
  <c r="V1250" i="37" s="1"/>
  <c r="J1215" i="37"/>
  <c r="J1196" i="37"/>
  <c r="V1199" i="37" s="1"/>
  <c r="J1190" i="37"/>
  <c r="J1144" i="37"/>
  <c r="J1327" i="37"/>
  <c r="K1403" i="37"/>
  <c r="K1371" i="37"/>
  <c r="W1373" i="37" s="1"/>
  <c r="K1361" i="37"/>
  <c r="W1364" i="37" s="1"/>
  <c r="K1355" i="37"/>
  <c r="K1380" i="37"/>
  <c r="W1383" i="37" s="1"/>
  <c r="K1327" i="37"/>
  <c r="K1346" i="37"/>
  <c r="K1389" i="37"/>
  <c r="W1389" i="37" s="1"/>
  <c r="K1250" i="37"/>
  <c r="W1250" i="37" s="1"/>
  <c r="K1215" i="37"/>
  <c r="K1336" i="37"/>
  <c r="K1196" i="37"/>
  <c r="W1199" i="37" s="1"/>
  <c r="K1190" i="37"/>
  <c r="K1308" i="37"/>
  <c r="W1308" i="37" s="1"/>
  <c r="K1273" i="37"/>
  <c r="W1277" i="37" s="1"/>
  <c r="K1164" i="37"/>
  <c r="W1167" i="37" s="1"/>
  <c r="K1158" i="37"/>
  <c r="K1258" i="37"/>
  <c r="K1407" i="37"/>
  <c r="K1312" i="37"/>
  <c r="K1144" i="37"/>
  <c r="K1316" i="37"/>
  <c r="W1316" i="37" s="1"/>
  <c r="K1299" i="37"/>
  <c r="W1299" i="37" s="1"/>
  <c r="K1285" i="37"/>
  <c r="W1289" i="37" s="1"/>
  <c r="L1122" i="37"/>
  <c r="L1090" i="37"/>
  <c r="X1092" i="37" s="1"/>
  <c r="L1080" i="37"/>
  <c r="X1083" i="37" s="1"/>
  <c r="L1074" i="37"/>
  <c r="L1126" i="37"/>
  <c r="L1108" i="37"/>
  <c r="X1108" i="37" s="1"/>
  <c r="L1046" i="37"/>
  <c r="L1099" i="37"/>
  <c r="X1102" i="37" s="1"/>
  <c r="L1065" i="37"/>
  <c r="L1031" i="37"/>
  <c r="L1027" i="37"/>
  <c r="X1027" i="37" s="1"/>
  <c r="L1018" i="37"/>
  <c r="X1018" i="37" s="1"/>
  <c r="L1004" i="37"/>
  <c r="X1008" i="37" s="1"/>
  <c r="L977" i="37"/>
  <c r="L1035" i="37"/>
  <c r="X1035" i="37" s="1"/>
  <c r="L915" i="37"/>
  <c r="X918" i="37" s="1"/>
  <c r="L909" i="37"/>
  <c r="L934" i="37"/>
  <c r="L863" i="37"/>
  <c r="L992" i="37"/>
  <c r="X996" i="37" s="1"/>
  <c r="L883" i="37"/>
  <c r="X886" i="37" s="1"/>
  <c r="L877" i="37"/>
  <c r="L1055" i="37"/>
  <c r="L969" i="37"/>
  <c r="X969" i="37" s="1"/>
  <c r="J1099" i="37"/>
  <c r="V1102" i="37" s="1"/>
  <c r="J1046" i="37"/>
  <c r="J1122" i="37"/>
  <c r="J1074" i="37"/>
  <c r="J1080" i="37"/>
  <c r="V1083" i="37" s="1"/>
  <c r="J1055" i="37"/>
  <c r="J969" i="37"/>
  <c r="V969" i="37" s="1"/>
  <c r="J934" i="37"/>
  <c r="J1065" i="37"/>
  <c r="J992" i="37"/>
  <c r="V996" i="37" s="1"/>
  <c r="J1090" i="37"/>
  <c r="V1092" i="37" s="1"/>
  <c r="J1027" i="37"/>
  <c r="V1027" i="37" s="1"/>
  <c r="J1018" i="37"/>
  <c r="V1018" i="37" s="1"/>
  <c r="J977" i="37"/>
  <c r="J915" i="37"/>
  <c r="V918" i="37" s="1"/>
  <c r="J883" i="37"/>
  <c r="V886" i="37" s="1"/>
  <c r="J877" i="37"/>
  <c r="J1126" i="37"/>
  <c r="J1108" i="37"/>
  <c r="V1108" i="37" s="1"/>
  <c r="J1031" i="37"/>
  <c r="J1035" i="37"/>
  <c r="V1035" i="37" s="1"/>
  <c r="J909" i="37"/>
  <c r="J1004" i="37"/>
  <c r="V1008" i="37" s="1"/>
  <c r="J863" i="37"/>
  <c r="K1122" i="37"/>
  <c r="K1090" i="37"/>
  <c r="W1092" i="37" s="1"/>
  <c r="K1080" i="37"/>
  <c r="W1083" i="37" s="1"/>
  <c r="K1074" i="37"/>
  <c r="K1099" i="37"/>
  <c r="W1102" i="37" s="1"/>
  <c r="K1065" i="37"/>
  <c r="K1055" i="37"/>
  <c r="K1126" i="37"/>
  <c r="K1108" i="37"/>
  <c r="W1108" i="37" s="1"/>
  <c r="K992" i="37"/>
  <c r="W996" i="37" s="1"/>
  <c r="K1031" i="37"/>
  <c r="K1027" i="37"/>
  <c r="W1027" i="37" s="1"/>
  <c r="K1018" i="37"/>
  <c r="W1018" i="37" s="1"/>
  <c r="K1004" i="37"/>
  <c r="W1008" i="37" s="1"/>
  <c r="K977" i="37"/>
  <c r="K1046" i="37"/>
  <c r="K1035" i="37"/>
  <c r="W1035" i="37" s="1"/>
  <c r="K909" i="37"/>
  <c r="K969" i="37"/>
  <c r="W969" i="37" s="1"/>
  <c r="K883" i="37"/>
  <c r="W886" i="37" s="1"/>
  <c r="K877" i="37"/>
  <c r="K915" i="37"/>
  <c r="W918" i="37" s="1"/>
  <c r="K863" i="37"/>
  <c r="K934" i="37"/>
  <c r="L841" i="37"/>
  <c r="L809" i="37"/>
  <c r="X811" i="37" s="1"/>
  <c r="L799" i="37"/>
  <c r="X802" i="37" s="1"/>
  <c r="L845" i="37"/>
  <c r="L827" i="37"/>
  <c r="X827" i="37" s="1"/>
  <c r="L784" i="37"/>
  <c r="L774" i="37"/>
  <c r="L793" i="37"/>
  <c r="L750" i="37"/>
  <c r="L634" i="37"/>
  <c r="X637" i="37" s="1"/>
  <c r="L818" i="37"/>
  <c r="X821" i="37" s="1"/>
  <c r="L688" i="37"/>
  <c r="X688" i="37" s="1"/>
  <c r="L653" i="37"/>
  <c r="L737" i="37"/>
  <c r="X737" i="37" s="1"/>
  <c r="L696" i="37"/>
  <c r="L711" i="37"/>
  <c r="X715" i="37" s="1"/>
  <c r="L582" i="37"/>
  <c r="L765" i="37"/>
  <c r="L723" i="37"/>
  <c r="X727" i="37" s="1"/>
  <c r="L628" i="37"/>
  <c r="L602" i="37"/>
  <c r="X605" i="37" s="1"/>
  <c r="L596" i="37"/>
  <c r="L754" i="37"/>
  <c r="X754" i="37" s="1"/>
  <c r="L746" i="37"/>
  <c r="X746" i="37" s="1"/>
  <c r="J818" i="37"/>
  <c r="V821" i="37" s="1"/>
  <c r="J799" i="37"/>
  <c r="V802" i="37" s="1"/>
  <c r="J754" i="37"/>
  <c r="V754" i="37" s="1"/>
  <c r="J841" i="37"/>
  <c r="J809" i="37"/>
  <c r="V811" i="37" s="1"/>
  <c r="J765" i="37"/>
  <c r="J784" i="37"/>
  <c r="J774" i="37"/>
  <c r="J711" i="37"/>
  <c r="V715" i="37" s="1"/>
  <c r="J793" i="37"/>
  <c r="J750" i="37"/>
  <c r="J746" i="37"/>
  <c r="V746" i="37" s="1"/>
  <c r="J737" i="37"/>
  <c r="V737" i="37" s="1"/>
  <c r="J723" i="37"/>
  <c r="V727" i="37" s="1"/>
  <c r="J696" i="37"/>
  <c r="J845" i="37"/>
  <c r="J827" i="37"/>
  <c r="V827" i="37" s="1"/>
  <c r="J688" i="37"/>
  <c r="V688" i="37" s="1"/>
  <c r="J602" i="37"/>
  <c r="V605" i="37" s="1"/>
  <c r="J596" i="37"/>
  <c r="J634" i="37"/>
  <c r="V637" i="37" s="1"/>
  <c r="J628" i="37"/>
  <c r="J582" i="37"/>
  <c r="J653" i="37"/>
  <c r="K841" i="37"/>
  <c r="K809" i="37"/>
  <c r="W811" i="37" s="1"/>
  <c r="K799" i="37"/>
  <c r="W802" i="37" s="1"/>
  <c r="K793" i="37"/>
  <c r="K818" i="37"/>
  <c r="W821" i="37" s="1"/>
  <c r="K765" i="37"/>
  <c r="K784" i="37"/>
  <c r="K774" i="37"/>
  <c r="K750" i="37"/>
  <c r="K754" i="37"/>
  <c r="W754" i="37" s="1"/>
  <c r="K746" i="37"/>
  <c r="W746" i="37" s="1"/>
  <c r="K737" i="37"/>
  <c r="W737" i="37" s="1"/>
  <c r="K723" i="37"/>
  <c r="W727" i="37" s="1"/>
  <c r="K696" i="37"/>
  <c r="K827" i="37"/>
  <c r="W827" i="37" s="1"/>
  <c r="K634" i="37"/>
  <c r="W637" i="37" s="1"/>
  <c r="K628" i="37"/>
  <c r="K653" i="37"/>
  <c r="K582" i="37"/>
  <c r="K602" i="37"/>
  <c r="W605" i="37" s="1"/>
  <c r="K845" i="37"/>
  <c r="K711" i="37"/>
  <c r="W715" i="37" s="1"/>
  <c r="K688" i="37"/>
  <c r="W688" i="37" s="1"/>
  <c r="K596" i="37"/>
  <c r="L560" i="37"/>
  <c r="L528" i="37"/>
  <c r="X530" i="37" s="1"/>
  <c r="L518" i="37"/>
  <c r="X521" i="37" s="1"/>
  <c r="L564" i="37"/>
  <c r="L546" i="37"/>
  <c r="X546" i="37" s="1"/>
  <c r="L503" i="37"/>
  <c r="L493" i="37"/>
  <c r="L512" i="37"/>
  <c r="X512" i="37" s="1"/>
  <c r="L469" i="37"/>
  <c r="L465" i="37"/>
  <c r="X465" i="37" s="1"/>
  <c r="L430" i="37"/>
  <c r="X434" i="37" s="1"/>
  <c r="L537" i="37"/>
  <c r="X540" i="37" s="1"/>
  <c r="L442" i="37"/>
  <c r="X446" i="37" s="1"/>
  <c r="L415" i="37"/>
  <c r="L456" i="37"/>
  <c r="X456" i="37" s="1"/>
  <c r="L301" i="37"/>
  <c r="L473" i="37"/>
  <c r="X473" i="37" s="1"/>
  <c r="L372" i="37"/>
  <c r="L353" i="37"/>
  <c r="X356" i="37" s="1"/>
  <c r="L315" i="37"/>
  <c r="X315" i="37" s="1"/>
  <c r="L484" i="37"/>
  <c r="L321" i="37"/>
  <c r="X324" i="37" s="1"/>
  <c r="L407" i="37"/>
  <c r="X407" i="37" s="1"/>
  <c r="L347" i="37"/>
  <c r="X347" i="37" s="1"/>
  <c r="J537" i="37"/>
  <c r="V540" i="37" s="1"/>
  <c r="J518" i="37"/>
  <c r="V521" i="37" s="1"/>
  <c r="J473" i="37"/>
  <c r="V473" i="37" s="1"/>
  <c r="J560" i="37"/>
  <c r="J528" i="37"/>
  <c r="V530" i="37" s="1"/>
  <c r="J484" i="37"/>
  <c r="J503" i="37"/>
  <c r="J493" i="37"/>
  <c r="J512" i="37"/>
  <c r="V512" i="37" s="1"/>
  <c r="J469" i="37"/>
  <c r="J465" i="37"/>
  <c r="V465" i="37" s="1"/>
  <c r="J407" i="37"/>
  <c r="V407" i="37" s="1"/>
  <c r="J372" i="37"/>
  <c r="J564" i="37"/>
  <c r="J546" i="37"/>
  <c r="V546" i="37" s="1"/>
  <c r="J353" i="37"/>
  <c r="V356" i="37" s="1"/>
  <c r="J321" i="37"/>
  <c r="V324" i="37" s="1"/>
  <c r="J315" i="37"/>
  <c r="V315" i="37" s="1"/>
  <c r="J456" i="37"/>
  <c r="V456" i="37" s="1"/>
  <c r="J415" i="37"/>
  <c r="J347" i="37"/>
  <c r="V347" i="37" s="1"/>
  <c r="J442" i="37"/>
  <c r="V446" i="37" s="1"/>
  <c r="J301" i="37"/>
  <c r="J430" i="37"/>
  <c r="V434" i="37" s="1"/>
  <c r="K560" i="37"/>
  <c r="K528" i="37"/>
  <c r="W530" i="37" s="1"/>
  <c r="K518" i="37"/>
  <c r="W521" i="37" s="1"/>
  <c r="K512" i="37"/>
  <c r="W512" i="37" s="1"/>
  <c r="K537" i="37"/>
  <c r="W540" i="37" s="1"/>
  <c r="K484" i="37"/>
  <c r="K503" i="37"/>
  <c r="K493" i="37"/>
  <c r="K469" i="37"/>
  <c r="K465" i="37"/>
  <c r="W465" i="37" s="1"/>
  <c r="K456" i="37"/>
  <c r="W456" i="37" s="1"/>
  <c r="K473" i="37"/>
  <c r="W473" i="37" s="1"/>
  <c r="K407" i="37"/>
  <c r="W407" i="37" s="1"/>
  <c r="K372" i="37"/>
  <c r="K546" i="37"/>
  <c r="W546" i="37" s="1"/>
  <c r="K430" i="37"/>
  <c r="W434" i="37" s="1"/>
  <c r="K415" i="37"/>
  <c r="K347" i="37"/>
  <c r="W347" i="37" s="1"/>
  <c r="K442" i="37"/>
  <c r="W446" i="37" s="1"/>
  <c r="K301" i="37"/>
  <c r="K321" i="37"/>
  <c r="W324" i="37" s="1"/>
  <c r="K564" i="37"/>
  <c r="K353" i="37"/>
  <c r="W356" i="37" s="1"/>
  <c r="K315" i="37"/>
  <c r="W315" i="37" s="1"/>
  <c r="L1546" i="42"/>
  <c r="X1551" i="42" s="1"/>
  <c r="L1538" i="42"/>
  <c r="X1538" i="42" s="1"/>
  <c r="L1504" i="42"/>
  <c r="AG1504" i="42" s="1"/>
  <c r="L1520" i="42"/>
  <c r="L1486" i="42"/>
  <c r="L1467" i="42"/>
  <c r="AG1467" i="42" s="1"/>
  <c r="L1425" i="42"/>
  <c r="X1425" i="42" s="1"/>
  <c r="L1433" i="42"/>
  <c r="K1546" i="42"/>
  <c r="W1551" i="42" s="1"/>
  <c r="K1538" i="42"/>
  <c r="W1538" i="42" s="1"/>
  <c r="K1504" i="42"/>
  <c r="AF1504" i="42" s="1"/>
  <c r="K1520" i="42"/>
  <c r="K1467" i="42"/>
  <c r="AF1467" i="42" s="1"/>
  <c r="K1486" i="42"/>
  <c r="K1433" i="42"/>
  <c r="K1425" i="42"/>
  <c r="W1425" i="42" s="1"/>
  <c r="J1538" i="42"/>
  <c r="V1538" i="42" s="1"/>
  <c r="J1433" i="42"/>
  <c r="J1504" i="42"/>
  <c r="AE1504" i="42" s="1"/>
  <c r="J1425" i="42"/>
  <c r="V1425" i="42" s="1"/>
  <c r="J1546" i="42"/>
  <c r="V1551" i="42" s="1"/>
  <c r="J1467" i="42"/>
  <c r="AE1467" i="42" s="1"/>
  <c r="J1520" i="42"/>
  <c r="J1486" i="42"/>
  <c r="AG1053" i="42"/>
  <c r="L1060" i="42"/>
  <c r="X1061" i="42" s="1"/>
  <c r="L1053" i="42"/>
  <c r="X1053" i="42" s="1"/>
  <c r="AG1060" i="42"/>
  <c r="J1060" i="42"/>
  <c r="V1061" i="42" s="1"/>
  <c r="J1053" i="42"/>
  <c r="V1053" i="42" s="1"/>
  <c r="AE1060" i="42"/>
  <c r="AE1053" i="42"/>
  <c r="AF1060" i="42"/>
  <c r="AF1053" i="42"/>
  <c r="K1060" i="42"/>
  <c r="W1061" i="42" s="1"/>
  <c r="K1053" i="42"/>
  <c r="W1053" i="42" s="1"/>
  <c r="L1027" i="42"/>
  <c r="X1027" i="42" s="1"/>
  <c r="L993" i="42"/>
  <c r="AG993" i="42" s="1"/>
  <c r="L1009" i="42"/>
  <c r="L975" i="42"/>
  <c r="L1035" i="42"/>
  <c r="X1040" i="42" s="1"/>
  <c r="L956" i="42"/>
  <c r="AG956" i="42" s="1"/>
  <c r="L912" i="42"/>
  <c r="X912" i="42" s="1"/>
  <c r="L920" i="42"/>
  <c r="J1035" i="42"/>
  <c r="V1040" i="42" s="1"/>
  <c r="J993" i="42"/>
  <c r="AE993" i="42" s="1"/>
  <c r="J1027" i="42"/>
  <c r="V1027" i="42" s="1"/>
  <c r="J1009" i="42"/>
  <c r="J975" i="42"/>
  <c r="J920" i="42"/>
  <c r="J956" i="42"/>
  <c r="AE956" i="42" s="1"/>
  <c r="J912" i="42"/>
  <c r="V912" i="42" s="1"/>
  <c r="K1027" i="42"/>
  <c r="W1027" i="42" s="1"/>
  <c r="K993" i="42"/>
  <c r="AF993" i="42" s="1"/>
  <c r="K1009" i="42"/>
  <c r="K975" i="42"/>
  <c r="K920" i="42"/>
  <c r="K1035" i="42"/>
  <c r="W1040" i="42" s="1"/>
  <c r="K956" i="42"/>
  <c r="AF956" i="42" s="1"/>
  <c r="K912" i="42"/>
  <c r="W912" i="42" s="1"/>
  <c r="L893" i="42"/>
  <c r="X893" i="42" s="1"/>
  <c r="AG885" i="42"/>
  <c r="L897" i="42"/>
  <c r="X897" i="42" s="1"/>
  <c r="AG889" i="42"/>
  <c r="L881" i="42"/>
  <c r="X881" i="42" s="1"/>
  <c r="L866" i="42"/>
  <c r="L842" i="42"/>
  <c r="X842" i="42" s="1"/>
  <c r="AG897" i="42"/>
  <c r="AG881" i="42"/>
  <c r="L852" i="42"/>
  <c r="AG893" i="42"/>
  <c r="L788" i="42"/>
  <c r="AG866" i="42"/>
  <c r="AG842" i="42"/>
  <c r="L889" i="42"/>
  <c r="X889" i="42" s="1"/>
  <c r="AG852" i="42"/>
  <c r="L814" i="42"/>
  <c r="X819" i="42" s="1"/>
  <c r="L885" i="42"/>
  <c r="X885" i="42" s="1"/>
  <c r="L772" i="42"/>
  <c r="AG772" i="42" s="1"/>
  <c r="L735" i="42"/>
  <c r="AG735" i="42" s="1"/>
  <c r="L689" i="42"/>
  <c r="X689" i="42" s="1"/>
  <c r="L754" i="42"/>
  <c r="L697" i="42"/>
  <c r="L806" i="42"/>
  <c r="X806" i="42" s="1"/>
  <c r="AE893" i="42"/>
  <c r="J885" i="42"/>
  <c r="V885" i="42" s="1"/>
  <c r="AE866" i="42"/>
  <c r="J889" i="42"/>
  <c r="V889" i="42" s="1"/>
  <c r="AE852" i="42"/>
  <c r="AE842" i="42"/>
  <c r="J897" i="42"/>
  <c r="V897" i="42" s="1"/>
  <c r="AE889" i="42"/>
  <c r="J881" i="42"/>
  <c r="V881" i="42" s="1"/>
  <c r="J866" i="42"/>
  <c r="AE897" i="42"/>
  <c r="J842" i="42"/>
  <c r="V842" i="42" s="1"/>
  <c r="J814" i="42"/>
  <c r="V819" i="42" s="1"/>
  <c r="J806" i="42"/>
  <c r="V806" i="42" s="1"/>
  <c r="J893" i="42"/>
  <c r="V893" i="42" s="1"/>
  <c r="AE885" i="42"/>
  <c r="J852" i="42"/>
  <c r="J754" i="42"/>
  <c r="J772" i="42"/>
  <c r="AE772" i="42" s="1"/>
  <c r="J697" i="42"/>
  <c r="J788" i="42"/>
  <c r="AE881" i="42"/>
  <c r="J735" i="42"/>
  <c r="AE735" i="42" s="1"/>
  <c r="J689" i="42"/>
  <c r="V689" i="42" s="1"/>
  <c r="K897" i="42"/>
  <c r="W897" i="42" s="1"/>
  <c r="AF889" i="42"/>
  <c r="K881" i="42"/>
  <c r="W881" i="42" s="1"/>
  <c r="K885" i="42"/>
  <c r="W885" i="42" s="1"/>
  <c r="AF866" i="42"/>
  <c r="K893" i="42"/>
  <c r="W893" i="42" s="1"/>
  <c r="AF885" i="42"/>
  <c r="K866" i="42"/>
  <c r="K842" i="42"/>
  <c r="W842" i="42" s="1"/>
  <c r="AF897" i="42"/>
  <c r="K889" i="42"/>
  <c r="W889" i="42" s="1"/>
  <c r="K814" i="42"/>
  <c r="W819" i="42" s="1"/>
  <c r="K806" i="42"/>
  <c r="W806" i="42" s="1"/>
  <c r="AF893" i="42"/>
  <c r="K788" i="42"/>
  <c r="K772" i="42"/>
  <c r="AF772" i="42" s="1"/>
  <c r="AF881" i="42"/>
  <c r="AF842" i="42"/>
  <c r="K852" i="42"/>
  <c r="K754" i="42"/>
  <c r="K735" i="42"/>
  <c r="AF735" i="42" s="1"/>
  <c r="K689" i="42"/>
  <c r="W689" i="42" s="1"/>
  <c r="AF852" i="42"/>
  <c r="K697" i="42"/>
  <c r="L670" i="42"/>
  <c r="X670" i="42" s="1"/>
  <c r="AG662" i="42"/>
  <c r="AG674" i="42"/>
  <c r="L666" i="42"/>
  <c r="X666" i="42" s="1"/>
  <c r="AG658" i="42"/>
  <c r="L643" i="42"/>
  <c r="AG666" i="42"/>
  <c r="L662" i="42"/>
  <c r="X662" i="42" s="1"/>
  <c r="L619" i="42"/>
  <c r="X619" i="42" s="1"/>
  <c r="L674" i="42"/>
  <c r="X674" i="42" s="1"/>
  <c r="L658" i="42"/>
  <c r="X658" i="42" s="1"/>
  <c r="L629" i="42"/>
  <c r="L591" i="42"/>
  <c r="X596" i="42" s="1"/>
  <c r="AG670" i="42"/>
  <c r="L583" i="42"/>
  <c r="X583" i="42" s="1"/>
  <c r="L549" i="42"/>
  <c r="AG549" i="42" s="1"/>
  <c r="AG643" i="42"/>
  <c r="AG629" i="42"/>
  <c r="L565" i="42"/>
  <c r="L531" i="42"/>
  <c r="L512" i="42"/>
  <c r="AG512" i="42" s="1"/>
  <c r="L466" i="42"/>
  <c r="X466" i="42" s="1"/>
  <c r="AG619" i="42"/>
  <c r="L474" i="42"/>
  <c r="AE670" i="42"/>
  <c r="J662" i="42"/>
  <c r="V662" i="42" s="1"/>
  <c r="AE643" i="42"/>
  <c r="J674" i="42"/>
  <c r="V674" i="42" s="1"/>
  <c r="AE666" i="42"/>
  <c r="J658" i="42"/>
  <c r="V658" i="42" s="1"/>
  <c r="J666" i="42"/>
  <c r="V666" i="42" s="1"/>
  <c r="J643" i="42"/>
  <c r="AE629" i="42"/>
  <c r="AE619" i="42"/>
  <c r="AE674" i="42"/>
  <c r="J629" i="42"/>
  <c r="J565" i="42"/>
  <c r="J670" i="42"/>
  <c r="V670" i="42" s="1"/>
  <c r="AE658" i="42"/>
  <c r="AE662" i="42"/>
  <c r="J583" i="42"/>
  <c r="V583" i="42" s="1"/>
  <c r="J549" i="42"/>
  <c r="AE549" i="42" s="1"/>
  <c r="J474" i="42"/>
  <c r="J512" i="42"/>
  <c r="AE512" i="42" s="1"/>
  <c r="J466" i="42"/>
  <c r="V466" i="42" s="1"/>
  <c r="J619" i="42"/>
  <c r="V619" i="42" s="1"/>
  <c r="J591" i="42"/>
  <c r="V596" i="42" s="1"/>
  <c r="J531" i="42"/>
  <c r="K674" i="42"/>
  <c r="W674" i="42" s="1"/>
  <c r="AF666" i="42"/>
  <c r="K658" i="42"/>
  <c r="W658" i="42" s="1"/>
  <c r="K670" i="42"/>
  <c r="W670" i="42" s="1"/>
  <c r="AF662" i="42"/>
  <c r="AF643" i="42"/>
  <c r="K662" i="42"/>
  <c r="W662" i="42" s="1"/>
  <c r="K619" i="42"/>
  <c r="W619" i="42" s="1"/>
  <c r="AF658" i="42"/>
  <c r="AF629" i="42"/>
  <c r="K643" i="42"/>
  <c r="AF670" i="42"/>
  <c r="K666" i="42"/>
  <c r="W666" i="42" s="1"/>
  <c r="AF619" i="42"/>
  <c r="K549" i="42"/>
  <c r="AF549" i="42" s="1"/>
  <c r="K565" i="42"/>
  <c r="K531" i="42"/>
  <c r="K591" i="42"/>
  <c r="W596" i="42" s="1"/>
  <c r="K629" i="42"/>
  <c r="K512" i="42"/>
  <c r="AF512" i="42" s="1"/>
  <c r="AF674" i="42"/>
  <c r="K583" i="42"/>
  <c r="W583" i="42" s="1"/>
  <c r="K466" i="42"/>
  <c r="W466" i="42" s="1"/>
  <c r="K474" i="42"/>
  <c r="AG451" i="42"/>
  <c r="L443" i="42"/>
  <c r="X443" i="42" s="1"/>
  <c r="AG435" i="42"/>
  <c r="L420" i="42"/>
  <c r="AG447" i="42"/>
  <c r="L439" i="42"/>
  <c r="X439" i="42" s="1"/>
  <c r="AG420" i="42"/>
  <c r="L406" i="42"/>
  <c r="L368" i="42"/>
  <c r="X373" i="42" s="1"/>
  <c r="L360" i="42"/>
  <c r="X360" i="42" s="1"/>
  <c r="L451" i="42"/>
  <c r="X451" i="42" s="1"/>
  <c r="AG439" i="42"/>
  <c r="L435" i="42"/>
  <c r="X435" i="42" s="1"/>
  <c r="AG406" i="42"/>
  <c r="AG396" i="42"/>
  <c r="L326" i="42"/>
  <c r="AG326" i="42" s="1"/>
  <c r="L447" i="42"/>
  <c r="X447" i="42" s="1"/>
  <c r="L342" i="42"/>
  <c r="AG443" i="42"/>
  <c r="L396" i="42"/>
  <c r="X396" i="42" s="1"/>
  <c r="L289" i="42"/>
  <c r="AG289" i="42" s="1"/>
  <c r="L243" i="42"/>
  <c r="L308" i="42"/>
  <c r="L251" i="42"/>
  <c r="X251" i="42" s="1"/>
  <c r="J451" i="42"/>
  <c r="V451" i="42" s="1"/>
  <c r="AE443" i="42"/>
  <c r="J435" i="42"/>
  <c r="V435" i="42" s="1"/>
  <c r="J447" i="42"/>
  <c r="V447" i="42" s="1"/>
  <c r="AE439" i="42"/>
  <c r="AE447" i="42"/>
  <c r="J420" i="42"/>
  <c r="J439" i="42"/>
  <c r="V439" i="42" s="1"/>
  <c r="AE420" i="42"/>
  <c r="J396" i="42"/>
  <c r="V396" i="42" s="1"/>
  <c r="AE451" i="42"/>
  <c r="AE406" i="42"/>
  <c r="AE396" i="42"/>
  <c r="AE435" i="42"/>
  <c r="J360" i="42"/>
  <c r="V360" i="42" s="1"/>
  <c r="J406" i="42"/>
  <c r="J308" i="42"/>
  <c r="J368" i="42"/>
  <c r="V373" i="42" s="1"/>
  <c r="J342" i="42"/>
  <c r="J443" i="42"/>
  <c r="V443" i="42" s="1"/>
  <c r="J326" i="42"/>
  <c r="AE326" i="42" s="1"/>
  <c r="J289" i="42"/>
  <c r="AE289" i="42" s="1"/>
  <c r="J243" i="42"/>
  <c r="J251" i="42"/>
  <c r="V251" i="42" s="1"/>
  <c r="K447" i="42"/>
  <c r="W447" i="42" s="1"/>
  <c r="AF439" i="42"/>
  <c r="AF451" i="42"/>
  <c r="K443" i="42"/>
  <c r="W443" i="42" s="1"/>
  <c r="AF435" i="42"/>
  <c r="K420" i="42"/>
  <c r="AF443" i="42"/>
  <c r="K439" i="42"/>
  <c r="W439" i="42" s="1"/>
  <c r="AF420" i="42"/>
  <c r="K396" i="42"/>
  <c r="W396" i="42" s="1"/>
  <c r="K406" i="42"/>
  <c r="K368" i="42"/>
  <c r="W373" i="42" s="1"/>
  <c r="K360" i="42"/>
  <c r="W360" i="42" s="1"/>
  <c r="K435" i="42"/>
  <c r="W435" i="42" s="1"/>
  <c r="K326" i="42"/>
  <c r="AF326" i="42" s="1"/>
  <c r="K451" i="42"/>
  <c r="W451" i="42" s="1"/>
  <c r="K308" i="42"/>
  <c r="K251" i="42"/>
  <c r="W251" i="42" s="1"/>
  <c r="K289" i="42"/>
  <c r="AF289" i="42" s="1"/>
  <c r="K243" i="42"/>
  <c r="AF447" i="42"/>
  <c r="AF406" i="42"/>
  <c r="AF396" i="42"/>
  <c r="K342" i="42"/>
  <c r="R23" i="50"/>
  <c r="H449" i="41"/>
  <c r="M396" i="50"/>
  <c r="K396" i="50"/>
  <c r="H396" i="50"/>
  <c r="I396" i="50"/>
  <c r="J396" i="50"/>
  <c r="L396" i="50"/>
  <c r="N396" i="50"/>
  <c r="J335" i="50"/>
  <c r="H450" i="41"/>
  <c r="H457" i="41" s="1"/>
  <c r="I335" i="50"/>
  <c r="N240" i="41"/>
  <c r="N241" i="41" s="1"/>
  <c r="N358" i="50" s="1"/>
  <c r="M28" i="62"/>
  <c r="N215" i="41"/>
  <c r="N219" i="41" s="1"/>
  <c r="N341" i="50" s="1"/>
  <c r="N335" i="50"/>
  <c r="I106" i="49"/>
  <c r="I107" i="49" s="1"/>
  <c r="I165" i="50" s="1"/>
  <c r="H427" i="41"/>
  <c r="M68" i="50"/>
  <c r="M74" i="50" s="1"/>
  <c r="M35" i="49"/>
  <c r="M112" i="50" s="1"/>
  <c r="Y128" i="42"/>
  <c r="U128" i="42"/>
  <c r="X128" i="42"/>
  <c r="T128" i="42"/>
  <c r="Z128" i="42"/>
  <c r="V128" i="42"/>
  <c r="W128" i="42"/>
  <c r="W126" i="42"/>
  <c r="Z126" i="42"/>
  <c r="V126" i="42"/>
  <c r="X126" i="42"/>
  <c r="T126" i="42"/>
  <c r="Y126" i="42"/>
  <c r="U126" i="42"/>
  <c r="Z125" i="42"/>
  <c r="V125" i="42"/>
  <c r="Y125" i="42"/>
  <c r="U125" i="42"/>
  <c r="W125" i="42"/>
  <c r="X125" i="42"/>
  <c r="T125" i="42"/>
  <c r="Y124" i="42"/>
  <c r="U124" i="42"/>
  <c r="X124" i="42"/>
  <c r="T124" i="42"/>
  <c r="Z124" i="42"/>
  <c r="V124" i="42"/>
  <c r="W124" i="42"/>
  <c r="N161" i="50"/>
  <c r="N101" i="49"/>
  <c r="N162" i="50" s="1"/>
  <c r="N106" i="49"/>
  <c r="H335" i="50"/>
  <c r="H240" i="41"/>
  <c r="H161" i="50"/>
  <c r="H101" i="49"/>
  <c r="H162" i="50" s="1"/>
  <c r="H106" i="49"/>
  <c r="H147" i="49"/>
  <c r="H187" i="50" s="1"/>
  <c r="H151" i="49"/>
  <c r="H186" i="50"/>
  <c r="H35" i="49"/>
  <c r="H112" i="50" s="1"/>
  <c r="H68" i="50"/>
  <c r="H74" i="50" s="1"/>
  <c r="L98" i="50"/>
  <c r="L121" i="50" s="1"/>
  <c r="L103" i="50"/>
  <c r="L126" i="50" s="1"/>
  <c r="L100" i="50"/>
  <c r="L123" i="50" s="1"/>
  <c r="L101" i="50"/>
  <c r="L124" i="50" s="1"/>
  <c r="L108" i="50"/>
  <c r="L131" i="50" s="1"/>
  <c r="L113" i="50"/>
  <c r="L284" i="49" s="1"/>
  <c r="L105" i="50"/>
  <c r="L128" i="50" s="1"/>
  <c r="L111" i="50"/>
  <c r="L134" i="50" s="1"/>
  <c r="L104" i="50"/>
  <c r="L127" i="50" s="1"/>
  <c r="L114" i="50"/>
  <c r="L106" i="50"/>
  <c r="L129" i="50" s="1"/>
  <c r="L107" i="50"/>
  <c r="L130" i="50" s="1"/>
  <c r="L97" i="50"/>
  <c r="L120" i="50" s="1"/>
  <c r="L99" i="50"/>
  <c r="L122" i="50" s="1"/>
  <c r="L95" i="50"/>
  <c r="L118" i="50" s="1"/>
  <c r="L115" i="50"/>
  <c r="L138" i="50" s="1"/>
  <c r="L96" i="50"/>
  <c r="L119" i="50" s="1"/>
  <c r="L110" i="50"/>
  <c r="L102" i="50"/>
  <c r="L125" i="50" s="1"/>
  <c r="L109" i="50"/>
  <c r="L135" i="50"/>
  <c r="K35" i="49"/>
  <c r="K112" i="50" s="1"/>
  <c r="K68" i="50"/>
  <c r="K74" i="50" s="1"/>
  <c r="I110" i="50"/>
  <c r="I109" i="50"/>
  <c r="I108" i="50"/>
  <c r="I131" i="50" s="1"/>
  <c r="I151" i="49"/>
  <c r="I147" i="49"/>
  <c r="I187" i="50" s="1"/>
  <c r="I186" i="50"/>
  <c r="J151" i="49"/>
  <c r="J147" i="49"/>
  <c r="J187" i="50" s="1"/>
  <c r="J186" i="50"/>
  <c r="K241" i="41"/>
  <c r="K358" i="50" s="1"/>
  <c r="K357" i="50"/>
  <c r="M216" i="41"/>
  <c r="M338" i="50" s="1"/>
  <c r="M215" i="41"/>
  <c r="M240" i="41"/>
  <c r="M335" i="50"/>
  <c r="J241" i="41"/>
  <c r="J358" i="50" s="1"/>
  <c r="J357" i="50"/>
  <c r="J68" i="50"/>
  <c r="J74" i="50" s="1"/>
  <c r="J35" i="49"/>
  <c r="J112" i="50" s="1"/>
  <c r="K189" i="50"/>
  <c r="K152" i="49"/>
  <c r="K190" i="50" s="1"/>
  <c r="N68" i="50"/>
  <c r="N74" i="50" s="1"/>
  <c r="N35" i="49"/>
  <c r="N112" i="50" s="1"/>
  <c r="K231" i="37"/>
  <c r="W231" i="37" s="1"/>
  <c r="K1727" i="50"/>
  <c r="J1727" i="50"/>
  <c r="L1727" i="50"/>
  <c r="K1599" i="50"/>
  <c r="J1599" i="50"/>
  <c r="L1599" i="50"/>
  <c r="L1471" i="50"/>
  <c r="K1471" i="50"/>
  <c r="J1471" i="50"/>
  <c r="K1343" i="50"/>
  <c r="J1343" i="50"/>
  <c r="L1343" i="50"/>
  <c r="K1215" i="50"/>
  <c r="J1215" i="50"/>
  <c r="L1215" i="50"/>
  <c r="J1087" i="50"/>
  <c r="L1087" i="50"/>
  <c r="K1087" i="50"/>
  <c r="J959" i="50"/>
  <c r="L959" i="50"/>
  <c r="K959" i="50"/>
  <c r="K831" i="50"/>
  <c r="J831" i="50"/>
  <c r="L831" i="50"/>
  <c r="K703" i="50"/>
  <c r="J703" i="50"/>
  <c r="L703" i="50"/>
  <c r="G57" i="41"/>
  <c r="G64" i="41"/>
  <c r="G51" i="41"/>
  <c r="G44" i="41"/>
  <c r="G56" i="41"/>
  <c r="G58" i="41"/>
  <c r="G45" i="41"/>
  <c r="G60" i="41"/>
  <c r="G47" i="41"/>
  <c r="G48" i="41"/>
  <c r="G61" i="41"/>
  <c r="G43" i="41"/>
  <c r="K455" i="47"/>
  <c r="AF455" i="47" s="1"/>
  <c r="K254" i="47"/>
  <c r="AF254" i="47" s="1"/>
  <c r="H489" i="47"/>
  <c r="H1839" i="42"/>
  <c r="K207" i="47"/>
  <c r="H2504" i="50"/>
  <c r="H2830" i="37"/>
  <c r="K162" i="47"/>
  <c r="K397" i="47"/>
  <c r="K216" i="47"/>
  <c r="E92" i="62"/>
  <c r="X28" i="62"/>
  <c r="K340" i="47"/>
  <c r="AF340" i="47" s="1"/>
  <c r="K472" i="47"/>
  <c r="W475" i="47" s="1"/>
  <c r="K94" i="47"/>
  <c r="K180" i="47"/>
  <c r="AF180" i="47" s="1"/>
  <c r="U28" i="62"/>
  <c r="Y28" i="62" s="1"/>
  <c r="R28" i="62"/>
  <c r="K356" i="47"/>
  <c r="K433" i="47"/>
  <c r="K391" i="47"/>
  <c r="AF391" i="47" s="1"/>
  <c r="K188" i="47"/>
  <c r="K423" i="47"/>
  <c r="AF423" i="47" s="1"/>
  <c r="L28" i="62"/>
  <c r="U27" i="62"/>
  <c r="Y27" i="62" s="1"/>
  <c r="K121" i="47"/>
  <c r="K289" i="47"/>
  <c r="AF289" i="47" s="1"/>
  <c r="K31" i="47"/>
  <c r="AF31" i="47" s="1"/>
  <c r="K316" i="47"/>
  <c r="K305" i="47"/>
  <c r="K155" i="47"/>
  <c r="K404" i="47"/>
  <c r="K346" i="47"/>
  <c r="K196" i="47"/>
  <c r="K146" i="47"/>
  <c r="AF146" i="47" s="1"/>
  <c r="K466" i="47"/>
  <c r="W466" i="47" s="1"/>
  <c r="K112" i="47"/>
  <c r="AF112" i="47" s="1"/>
  <c r="K269" i="47"/>
  <c r="K128" i="47"/>
  <c r="K295" i="47"/>
  <c r="G442" i="43"/>
  <c r="Q29" i="62"/>
  <c r="S29" i="62" s="1"/>
  <c r="U29" i="62"/>
  <c r="Y29" i="62" s="1"/>
  <c r="X29" i="62"/>
  <c r="H13" i="50"/>
  <c r="E91" i="62"/>
  <c r="S27" i="62"/>
  <c r="T262" i="41"/>
  <c r="Z57" i="62"/>
  <c r="AA57" i="62" s="1"/>
  <c r="K192" i="37"/>
  <c r="W192" i="37" s="1"/>
  <c r="L27" i="62"/>
  <c r="M1782" i="50"/>
  <c r="G61" i="9"/>
  <c r="X27" i="62"/>
  <c r="Y57" i="62"/>
  <c r="K184" i="37"/>
  <c r="W184" i="37" s="1"/>
  <c r="K222" i="37"/>
  <c r="K2842" i="37"/>
  <c r="K66" i="37"/>
  <c r="W66" i="37" s="1"/>
  <c r="K493" i="47"/>
  <c r="T60" i="62"/>
  <c r="L356" i="47"/>
  <c r="L340" i="47"/>
  <c r="AG340" i="47" s="1"/>
  <c r="L367" i="47"/>
  <c r="L346" i="47"/>
  <c r="J340" i="47"/>
  <c r="AE340" i="47" s="1"/>
  <c r="J367" i="47"/>
  <c r="J346" i="47"/>
  <c r="J356" i="47"/>
  <c r="K256" i="37"/>
  <c r="W259" i="37" s="1"/>
  <c r="K40" i="37"/>
  <c r="W43" i="37" s="1"/>
  <c r="G59" i="41"/>
  <c r="G46" i="41"/>
  <c r="Q263" i="41"/>
  <c r="H436" i="41" s="1"/>
  <c r="H370" i="50" s="1"/>
  <c r="T166" i="62"/>
  <c r="S166" i="62"/>
  <c r="E167" i="62"/>
  <c r="D168" i="62"/>
  <c r="E141" i="62"/>
  <c r="D142" i="62"/>
  <c r="E107" i="62"/>
  <c r="D108" i="62"/>
  <c r="I108" i="62" s="1" a="1"/>
  <c r="I108" i="62" s="1"/>
  <c r="K2834" i="37"/>
  <c r="K149" i="50"/>
  <c r="K279" i="37"/>
  <c r="K91" i="37"/>
  <c r="K188" i="37"/>
  <c r="K2837" i="37"/>
  <c r="K265" i="37"/>
  <c r="W265" i="37" s="1"/>
  <c r="K134" i="37"/>
  <c r="K175" i="37"/>
  <c r="W175" i="37" s="1"/>
  <c r="K149" i="37"/>
  <c r="W153" i="37" s="1"/>
  <c r="K237" i="37"/>
  <c r="W240" i="37" s="1"/>
  <c r="K283" i="37"/>
  <c r="K212" i="37"/>
  <c r="K203" i="37"/>
  <c r="K247" i="37"/>
  <c r="W249" i="37" s="1"/>
  <c r="K72" i="37"/>
  <c r="W75" i="37" s="1"/>
  <c r="K34" i="37"/>
  <c r="W34" i="37" s="1"/>
  <c r="K126" i="37"/>
  <c r="W126" i="37" s="1"/>
  <c r="K20" i="37"/>
  <c r="K161" i="37"/>
  <c r="W165" i="37" s="1"/>
  <c r="T58" i="62"/>
  <c r="T59" i="62"/>
  <c r="I164" i="62" s="1"/>
  <c r="E250" i="50"/>
  <c r="P250" i="50" s="1"/>
  <c r="H29" i="42"/>
  <c r="K103" i="42"/>
  <c r="AF103" i="42" s="1"/>
  <c r="K119" i="42"/>
  <c r="L103" i="42"/>
  <c r="L119" i="42"/>
  <c r="J103" i="42"/>
  <c r="AE103" i="42" s="1"/>
  <c r="J119" i="42"/>
  <c r="K2411" i="50"/>
  <c r="K208" i="50"/>
  <c r="K61" i="50"/>
  <c r="K185" i="50"/>
  <c r="G269" i="41"/>
  <c r="K174" i="50"/>
  <c r="S1787" i="50"/>
  <c r="K144" i="50"/>
  <c r="K154" i="50"/>
  <c r="K160" i="50"/>
  <c r="G262" i="41"/>
  <c r="G271" i="41" s="1"/>
  <c r="G373" i="50" s="1"/>
  <c r="G267" i="41"/>
  <c r="G272" i="41" s="1"/>
  <c r="G374" i="50" s="1"/>
  <c r="K2466" i="50"/>
  <c r="K179" i="50"/>
  <c r="K1818" i="50"/>
  <c r="K575" i="50"/>
  <c r="K2448" i="50"/>
  <c r="S505" i="50"/>
  <c r="K94" i="50"/>
  <c r="K368" i="50"/>
  <c r="K196" i="50"/>
  <c r="K2462" i="50"/>
  <c r="K2472" i="50"/>
  <c r="K2458" i="50"/>
  <c r="K1824" i="50"/>
  <c r="K220" i="50"/>
  <c r="K233" i="50"/>
  <c r="K2420" i="50"/>
  <c r="K169" i="50"/>
  <c r="K117" i="50"/>
  <c r="G224" i="37"/>
  <c r="Q267" i="34"/>
  <c r="T267" i="34" s="1"/>
  <c r="M411" i="43"/>
  <c r="E4" i="34"/>
  <c r="F3" i="34"/>
  <c r="M412" i="43"/>
  <c r="Y76" i="62" s="1"/>
  <c r="L2830" i="37"/>
  <c r="L2504" i="50"/>
  <c r="L427" i="41"/>
  <c r="L489" i="47"/>
  <c r="L277" i="49"/>
  <c r="L1839" i="42"/>
  <c r="M161" i="50"/>
  <c r="M106" i="49"/>
  <c r="M101" i="49"/>
  <c r="M162" i="50" s="1"/>
  <c r="J106" i="49"/>
  <c r="J161" i="50"/>
  <c r="J101" i="49"/>
  <c r="J162" i="50" s="1"/>
  <c r="M189" i="50"/>
  <c r="M152" i="49"/>
  <c r="M190" i="50" s="1"/>
  <c r="K164" i="50"/>
  <c r="K107" i="49"/>
  <c r="K165" i="50" s="1"/>
  <c r="I241" i="41"/>
  <c r="I358" i="50" s="1"/>
  <c r="I357" i="50"/>
  <c r="L240" i="41"/>
  <c r="L215" i="41"/>
  <c r="L216" i="41"/>
  <c r="L338" i="50" s="1"/>
  <c r="L335" i="50"/>
  <c r="K118" i="49"/>
  <c r="K218" i="49"/>
  <c r="K61" i="49"/>
  <c r="K261" i="49"/>
  <c r="K140" i="49"/>
  <c r="K135" i="49"/>
  <c r="K190" i="49"/>
  <c r="K56" i="49"/>
  <c r="K247" i="49"/>
  <c r="K105" i="49"/>
  <c r="K184" i="49"/>
  <c r="K127" i="49"/>
  <c r="K242" i="49"/>
  <c r="K91" i="49"/>
  <c r="K20" i="49"/>
  <c r="AE20" i="49" s="1"/>
  <c r="K145" i="49"/>
  <c r="K34" i="49"/>
  <c r="K237" i="49"/>
  <c r="K211" i="49"/>
  <c r="V20" i="49"/>
  <c r="K82" i="49"/>
  <c r="K197" i="49"/>
  <c r="K202" i="49"/>
  <c r="U202" i="49" s="1"/>
  <c r="K266" i="49"/>
  <c r="K72" i="49"/>
  <c r="K251" i="49"/>
  <c r="U251" i="49" s="1"/>
  <c r="K150" i="49"/>
  <c r="K122" i="49"/>
  <c r="K99" i="49"/>
  <c r="K66" i="49"/>
  <c r="K114" i="49"/>
  <c r="L128" i="47"/>
  <c r="L112" i="47"/>
  <c r="AG112" i="47" s="1"/>
  <c r="L31" i="47"/>
  <c r="AG31" i="47" s="1"/>
  <c r="L162" i="47"/>
  <c r="L316" i="47"/>
  <c r="L269" i="47"/>
  <c r="L94" i="47"/>
  <c r="L216" i="47"/>
  <c r="L295" i="47"/>
  <c r="L196" i="47"/>
  <c r="L254" i="47"/>
  <c r="AG254" i="47" s="1"/>
  <c r="L423" i="47"/>
  <c r="AG423" i="47" s="1"/>
  <c r="L207" i="47"/>
  <c r="L466" i="47"/>
  <c r="X466" i="47" s="1"/>
  <c r="L391" i="47"/>
  <c r="AG391" i="47" s="1"/>
  <c r="L433" i="47"/>
  <c r="L155" i="47"/>
  <c r="L121" i="47"/>
  <c r="L397" i="47"/>
  <c r="L146" i="47"/>
  <c r="AG146" i="47" s="1"/>
  <c r="L188" i="47"/>
  <c r="L404" i="47"/>
  <c r="L289" i="47"/>
  <c r="AG289" i="47" s="1"/>
  <c r="L180" i="47"/>
  <c r="AG180" i="47" s="1"/>
  <c r="L455" i="47"/>
  <c r="AG455" i="47" s="1"/>
  <c r="L305" i="47"/>
  <c r="L472" i="47"/>
  <c r="X475" i="47" s="1"/>
  <c r="L224" i="42"/>
  <c r="X224" i="42" s="1"/>
  <c r="L145" i="42"/>
  <c r="X150" i="42" s="1"/>
  <c r="AG228" i="42"/>
  <c r="AG212" i="42"/>
  <c r="AG220" i="42"/>
  <c r="L183" i="42"/>
  <c r="AG183" i="42"/>
  <c r="L28" i="42"/>
  <c r="AG173" i="42"/>
  <c r="L216" i="42"/>
  <c r="X216" i="42" s="1"/>
  <c r="L220" i="42"/>
  <c r="X220" i="42" s="1"/>
  <c r="L66" i="42"/>
  <c r="AG66" i="42" s="1"/>
  <c r="AG197" i="42"/>
  <c r="L173" i="42"/>
  <c r="X173" i="42" s="1"/>
  <c r="L197" i="42"/>
  <c r="L85" i="42"/>
  <c r="L212" i="42"/>
  <c r="X212" i="42" s="1"/>
  <c r="L228" i="42"/>
  <c r="X228" i="42" s="1"/>
  <c r="L20" i="42"/>
  <c r="X20" i="42" s="1"/>
  <c r="AG224" i="42"/>
  <c r="AG216" i="42"/>
  <c r="L137" i="42"/>
  <c r="X137" i="42" s="1"/>
  <c r="J20" i="37"/>
  <c r="J34" i="37"/>
  <c r="V34" i="37" s="1"/>
  <c r="J237" i="37"/>
  <c r="V240" i="37" s="1"/>
  <c r="J231" i="37"/>
  <c r="V231" i="37" s="1"/>
  <c r="J265" i="37"/>
  <c r="V265" i="37" s="1"/>
  <c r="J161" i="37"/>
  <c r="V165" i="37" s="1"/>
  <c r="J222" i="37"/>
  <c r="J40" i="37"/>
  <c r="V43" i="37" s="1"/>
  <c r="J134" i="37"/>
  <c r="J2837" i="37"/>
  <c r="J184" i="37"/>
  <c r="V184" i="37" s="1"/>
  <c r="J247" i="37"/>
  <c r="V249" i="37" s="1"/>
  <c r="J192" i="37"/>
  <c r="V192" i="37" s="1"/>
  <c r="J283" i="37"/>
  <c r="J279" i="37"/>
  <c r="J175" i="37"/>
  <c r="V175" i="37" s="1"/>
  <c r="J203" i="37"/>
  <c r="J91" i="37"/>
  <c r="J256" i="37"/>
  <c r="V259" i="37" s="1"/>
  <c r="J66" i="37"/>
  <c r="V66" i="37" s="1"/>
  <c r="J188" i="37"/>
  <c r="J72" i="37"/>
  <c r="V75" i="37" s="1"/>
  <c r="J212" i="37"/>
  <c r="J149" i="37"/>
  <c r="V153" i="37" s="1"/>
  <c r="J2842" i="37"/>
  <c r="J126" i="37"/>
  <c r="V126" i="37" s="1"/>
  <c r="J228" i="42"/>
  <c r="V228" i="42" s="1"/>
  <c r="J28" i="42"/>
  <c r="V28" i="42" s="1"/>
  <c r="AE173" i="42"/>
  <c r="J197" i="42"/>
  <c r="AE224" i="42"/>
  <c r="J20" i="42"/>
  <c r="V20" i="42" s="1"/>
  <c r="J212" i="42"/>
  <c r="V212" i="42" s="1"/>
  <c r="J145" i="42"/>
  <c r="V150" i="42" s="1"/>
  <c r="AE197" i="42"/>
  <c r="AE183" i="42"/>
  <c r="J173" i="42"/>
  <c r="V173" i="42" s="1"/>
  <c r="AE212" i="42"/>
  <c r="J216" i="42"/>
  <c r="V216" i="42" s="1"/>
  <c r="J224" i="42"/>
  <c r="V224" i="42" s="1"/>
  <c r="AE220" i="42"/>
  <c r="J66" i="42"/>
  <c r="AE66" i="42" s="1"/>
  <c r="J183" i="42"/>
  <c r="J85" i="42"/>
  <c r="AE228" i="42"/>
  <c r="AE216" i="42"/>
  <c r="J220" i="42"/>
  <c r="V220" i="42" s="1"/>
  <c r="J137" i="42"/>
  <c r="V137" i="42" s="1"/>
  <c r="L249" i="41"/>
  <c r="L364" i="50" s="1"/>
  <c r="L323" i="41"/>
  <c r="L409" i="50" s="1"/>
  <c r="L334" i="41"/>
  <c r="L419" i="50" s="1"/>
  <c r="L239" i="41"/>
  <c r="L356" i="50" s="1"/>
  <c r="L349" i="41"/>
  <c r="L433" i="50" s="1"/>
  <c r="L137" i="41"/>
  <c r="L279" i="50" s="1"/>
  <c r="L286" i="41"/>
  <c r="L379" i="50" s="1"/>
  <c r="L210" i="41"/>
  <c r="L334" i="50" s="1"/>
  <c r="L121" i="41"/>
  <c r="L268" i="50" s="1"/>
  <c r="L198" i="41"/>
  <c r="L324" i="50" s="1"/>
  <c r="L448" i="41"/>
  <c r="L365" i="41"/>
  <c r="L445" i="50" s="1"/>
  <c r="L160" i="41"/>
  <c r="L295" i="50" s="1"/>
  <c r="L398" i="41"/>
  <c r="L467" i="50" s="1"/>
  <c r="L19" i="41"/>
  <c r="Z19" i="41" s="1"/>
  <c r="L261" i="41"/>
  <c r="L71" i="41"/>
  <c r="L127" i="41"/>
  <c r="L272" i="50" s="1"/>
  <c r="L55" i="41"/>
  <c r="L42" i="41"/>
  <c r="L112" i="41"/>
  <c r="L260" i="50" s="1"/>
  <c r="L302" i="41"/>
  <c r="L393" i="50" s="1"/>
  <c r="L315" i="41"/>
  <c r="L402" i="50" s="1"/>
  <c r="L168" i="41"/>
  <c r="L301" i="50" s="1"/>
  <c r="L228" i="41"/>
  <c r="L347" i="50" s="1"/>
  <c r="L281" i="49"/>
  <c r="L2834" i="37"/>
  <c r="L493" i="47"/>
  <c r="J1824" i="50"/>
  <c r="J154" i="50"/>
  <c r="J144" i="50"/>
  <c r="J174" i="50"/>
  <c r="J2458" i="50"/>
  <c r="J2411" i="50"/>
  <c r="J2416" i="50" s="1"/>
  <c r="J208" i="50"/>
  <c r="J61" i="50"/>
  <c r="J2462" i="50"/>
  <c r="R505" i="50"/>
  <c r="J368" i="50"/>
  <c r="J1818" i="50"/>
  <c r="J2466" i="50"/>
  <c r="J2448" i="50"/>
  <c r="R1787" i="50"/>
  <c r="J575" i="50"/>
  <c r="J149" i="50"/>
  <c r="J2472" i="50"/>
  <c r="J169" i="50"/>
  <c r="J117" i="50"/>
  <c r="J160" i="50"/>
  <c r="J185" i="50"/>
  <c r="J179" i="50"/>
  <c r="J220" i="50"/>
  <c r="J233" i="50"/>
  <c r="J196" i="50"/>
  <c r="J2420" i="50"/>
  <c r="J94" i="50"/>
  <c r="J286" i="41"/>
  <c r="J379" i="50" s="1"/>
  <c r="J349" i="41"/>
  <c r="J433" i="50" s="1"/>
  <c r="J448" i="41"/>
  <c r="J302" i="41"/>
  <c r="J393" i="50" s="1"/>
  <c r="J210" i="41"/>
  <c r="J334" i="50" s="1"/>
  <c r="J19" i="41"/>
  <c r="X19" i="41" s="1"/>
  <c r="J249" i="41"/>
  <c r="J364" i="50" s="1"/>
  <c r="J55" i="41"/>
  <c r="J334" i="41"/>
  <c r="J419" i="50" s="1"/>
  <c r="J112" i="41"/>
  <c r="J260" i="50" s="1"/>
  <c r="J261" i="41"/>
  <c r="J168" i="41"/>
  <c r="J301" i="50" s="1"/>
  <c r="J198" i="41"/>
  <c r="J324" i="50" s="1"/>
  <c r="J121" i="41"/>
  <c r="J268" i="50" s="1"/>
  <c r="J239" i="41"/>
  <c r="J356" i="50" s="1"/>
  <c r="J228" i="41"/>
  <c r="J347" i="50" s="1"/>
  <c r="J160" i="41"/>
  <c r="J295" i="50" s="1"/>
  <c r="J42" i="41"/>
  <c r="J398" i="41"/>
  <c r="J467" i="50" s="1"/>
  <c r="J315" i="41"/>
  <c r="J402" i="50" s="1"/>
  <c r="J323" i="41"/>
  <c r="J409" i="50" s="1"/>
  <c r="J365" i="41"/>
  <c r="J445" i="50" s="1"/>
  <c r="J127" i="41"/>
  <c r="J272" i="50" s="1"/>
  <c r="J137" i="41"/>
  <c r="J279" i="50" s="1"/>
  <c r="J71" i="41"/>
  <c r="L144" i="50"/>
  <c r="T1787" i="50"/>
  <c r="L94" i="50"/>
  <c r="L174" i="50"/>
  <c r="L2458" i="50"/>
  <c r="L196" i="50"/>
  <c r="L2462" i="50"/>
  <c r="L185" i="50"/>
  <c r="L2411" i="50"/>
  <c r="L2416" i="50" s="1"/>
  <c r="L2466" i="50"/>
  <c r="L169" i="50"/>
  <c r="L208" i="50"/>
  <c r="L149" i="50"/>
  <c r="L575" i="50"/>
  <c r="L220" i="50"/>
  <c r="L1824" i="50"/>
  <c r="T505" i="50"/>
  <c r="L2472" i="50"/>
  <c r="L368" i="50"/>
  <c r="L2448" i="50"/>
  <c r="L117" i="50"/>
  <c r="L160" i="50"/>
  <c r="L233" i="50"/>
  <c r="L1818" i="50"/>
  <c r="L2420" i="50"/>
  <c r="L61" i="50"/>
  <c r="L154" i="50"/>
  <c r="L179" i="50"/>
  <c r="J281" i="49"/>
  <c r="J2834" i="37"/>
  <c r="J493" i="47"/>
  <c r="H412" i="43"/>
  <c r="I415" i="43"/>
  <c r="I278" i="49"/>
  <c r="I2505" i="50"/>
  <c r="I1840" i="42"/>
  <c r="I428" i="41"/>
  <c r="I490" i="47"/>
  <c r="I2831" i="37"/>
  <c r="K365" i="41"/>
  <c r="K445" i="50" s="1"/>
  <c r="K198" i="41"/>
  <c r="K324" i="50" s="1"/>
  <c r="K315" i="41"/>
  <c r="K402" i="50" s="1"/>
  <c r="K286" i="41"/>
  <c r="K379" i="50" s="1"/>
  <c r="K127" i="41"/>
  <c r="K272" i="50" s="1"/>
  <c r="K42" i="41"/>
  <c r="K261" i="41"/>
  <c r="K168" i="41"/>
  <c r="K301" i="50" s="1"/>
  <c r="K302" i="41"/>
  <c r="K393" i="50" s="1"/>
  <c r="K71" i="41"/>
  <c r="K55" i="41"/>
  <c r="K210" i="41"/>
  <c r="K334" i="50" s="1"/>
  <c r="K398" i="41"/>
  <c r="K467" i="50" s="1"/>
  <c r="K137" i="41"/>
  <c r="K279" i="50" s="1"/>
  <c r="K160" i="41"/>
  <c r="K295" i="50" s="1"/>
  <c r="K448" i="41"/>
  <c r="K323" i="41"/>
  <c r="K409" i="50" s="1"/>
  <c r="K334" i="41"/>
  <c r="K419" i="50" s="1"/>
  <c r="K228" i="41"/>
  <c r="K347" i="50" s="1"/>
  <c r="K239" i="41"/>
  <c r="K356" i="50" s="1"/>
  <c r="K112" i="41"/>
  <c r="K260" i="50" s="1"/>
  <c r="K349" i="41"/>
  <c r="K433" i="50" s="1"/>
  <c r="K19" i="41"/>
  <c r="Y19" i="41" s="1"/>
  <c r="K249" i="41"/>
  <c r="K364" i="50" s="1"/>
  <c r="K121" i="41"/>
  <c r="K268" i="50" s="1"/>
  <c r="L266" i="49"/>
  <c r="L242" i="49"/>
  <c r="L184" i="49"/>
  <c r="L72" i="49"/>
  <c r="L66" i="49"/>
  <c r="L202" i="49"/>
  <c r="V202" i="49" s="1"/>
  <c r="L34" i="49"/>
  <c r="W20" i="49"/>
  <c r="L82" i="49"/>
  <c r="L61" i="49"/>
  <c r="L20" i="49"/>
  <c r="AF20" i="49" s="1"/>
  <c r="L135" i="49"/>
  <c r="L91" i="49"/>
  <c r="L114" i="49"/>
  <c r="L56" i="49"/>
  <c r="L127" i="49"/>
  <c r="L197" i="49"/>
  <c r="L218" i="49"/>
  <c r="L105" i="49"/>
  <c r="L122" i="49"/>
  <c r="L145" i="49"/>
  <c r="L261" i="49"/>
  <c r="L140" i="49"/>
  <c r="L247" i="49"/>
  <c r="L150" i="49"/>
  <c r="L211" i="49"/>
  <c r="L237" i="49"/>
  <c r="L118" i="49"/>
  <c r="L251" i="49"/>
  <c r="V251" i="49" s="1"/>
  <c r="L190" i="49"/>
  <c r="L99" i="49"/>
  <c r="L126" i="37"/>
  <c r="X126" i="37" s="1"/>
  <c r="L279" i="37"/>
  <c r="L161" i="37"/>
  <c r="X165" i="37" s="1"/>
  <c r="L34" i="37"/>
  <c r="X34" i="37" s="1"/>
  <c r="L72" i="37"/>
  <c r="X75" i="37" s="1"/>
  <c r="L192" i="37"/>
  <c r="X192" i="37" s="1"/>
  <c r="L212" i="37"/>
  <c r="L265" i="37"/>
  <c r="X265" i="37" s="1"/>
  <c r="L20" i="37"/>
  <c r="L184" i="37"/>
  <c r="X184" i="37" s="1"/>
  <c r="L231" i="37"/>
  <c r="X231" i="37" s="1"/>
  <c r="L66" i="37"/>
  <c r="X66" i="37" s="1"/>
  <c r="L203" i="37"/>
  <c r="L188" i="37"/>
  <c r="L247" i="37"/>
  <c r="X249" i="37" s="1"/>
  <c r="L2842" i="37"/>
  <c r="L222" i="37"/>
  <c r="L237" i="37"/>
  <c r="X240" i="37" s="1"/>
  <c r="L175" i="37"/>
  <c r="X175" i="37" s="1"/>
  <c r="L256" i="37"/>
  <c r="X259" i="37" s="1"/>
  <c r="L149" i="37"/>
  <c r="X153" i="37" s="1"/>
  <c r="L283" i="37"/>
  <c r="L40" i="37"/>
  <c r="X43" i="37" s="1"/>
  <c r="L2837" i="37"/>
  <c r="L91" i="37"/>
  <c r="L134" i="37"/>
  <c r="J261" i="49"/>
  <c r="J82" i="49"/>
  <c r="J114" i="49"/>
  <c r="J211" i="49"/>
  <c r="J20" i="49"/>
  <c r="AD20" i="49" s="1"/>
  <c r="J105" i="49"/>
  <c r="U20" i="49"/>
  <c r="J56" i="49"/>
  <c r="J190" i="49"/>
  <c r="J91" i="49"/>
  <c r="J66" i="49"/>
  <c r="J247" i="49"/>
  <c r="J118" i="49"/>
  <c r="J127" i="49"/>
  <c r="J202" i="49"/>
  <c r="T202" i="49" s="1"/>
  <c r="J61" i="49"/>
  <c r="J237" i="49"/>
  <c r="J145" i="49"/>
  <c r="J197" i="49"/>
  <c r="J251" i="49"/>
  <c r="T251" i="49" s="1"/>
  <c r="J135" i="49"/>
  <c r="J242" i="49"/>
  <c r="J150" i="49"/>
  <c r="J99" i="49"/>
  <c r="J218" i="49"/>
  <c r="J72" i="49"/>
  <c r="J140" i="49"/>
  <c r="J122" i="49"/>
  <c r="J34" i="49"/>
  <c r="J184" i="49"/>
  <c r="J266" i="49"/>
  <c r="J155" i="47"/>
  <c r="J316" i="47"/>
  <c r="J94" i="47"/>
  <c r="J404" i="47"/>
  <c r="J269" i="47"/>
  <c r="J391" i="47"/>
  <c r="AE391" i="47" s="1"/>
  <c r="J188" i="47"/>
  <c r="J295" i="47"/>
  <c r="J128" i="47"/>
  <c r="J305" i="47"/>
  <c r="J216" i="47"/>
  <c r="J433" i="47"/>
  <c r="J162" i="47"/>
  <c r="J397" i="47"/>
  <c r="J207" i="47"/>
  <c r="J180" i="47"/>
  <c r="AE180" i="47" s="1"/>
  <c r="J112" i="47"/>
  <c r="AE112" i="47" s="1"/>
  <c r="J196" i="47"/>
  <c r="J146" i="47"/>
  <c r="AE146" i="47" s="1"/>
  <c r="J31" i="47"/>
  <c r="AE31" i="47" s="1"/>
  <c r="J289" i="47"/>
  <c r="AE289" i="47" s="1"/>
  <c r="J455" i="47"/>
  <c r="AE455" i="47" s="1"/>
  <c r="J423" i="47"/>
  <c r="AE423" i="47" s="1"/>
  <c r="J472" i="47"/>
  <c r="V475" i="47" s="1"/>
  <c r="J254" i="47"/>
  <c r="AE254" i="47" s="1"/>
  <c r="J121" i="47"/>
  <c r="J466" i="47"/>
  <c r="V466" i="47" s="1"/>
  <c r="K216" i="42"/>
  <c r="W216" i="42" s="1"/>
  <c r="K137" i="42"/>
  <c r="W137" i="42" s="1"/>
  <c r="K197" i="42"/>
  <c r="AF197" i="42"/>
  <c r="AF224" i="42"/>
  <c r="K85" i="42"/>
  <c r="AF216" i="42"/>
  <c r="AF183" i="42"/>
  <c r="K20" i="42"/>
  <c r="W20" i="42" s="1"/>
  <c r="K228" i="42"/>
  <c r="W228" i="42" s="1"/>
  <c r="K212" i="42"/>
  <c r="W212" i="42" s="1"/>
  <c r="AF173" i="42"/>
  <c r="AF228" i="42"/>
  <c r="K66" i="42"/>
  <c r="AF66" i="42" s="1"/>
  <c r="AF212" i="42"/>
  <c r="K28" i="42"/>
  <c r="AF220" i="42"/>
  <c r="K145" i="42"/>
  <c r="W150" i="42" s="1"/>
  <c r="K183" i="42"/>
  <c r="K224" i="42"/>
  <c r="W224" i="42" s="1"/>
  <c r="K220" i="42"/>
  <c r="W220" i="42" s="1"/>
  <c r="K173" i="42"/>
  <c r="W173" i="42" s="1"/>
  <c r="R27" i="62"/>
  <c r="L101" i="49"/>
  <c r="L162" i="50" s="1"/>
  <c r="L106" i="49"/>
  <c r="L161" i="50"/>
  <c r="L186" i="50"/>
  <c r="L151" i="49"/>
  <c r="L147" i="49"/>
  <c r="L187" i="50" s="1"/>
  <c r="I102" i="50"/>
  <c r="I125" i="50" s="1"/>
  <c r="I100" i="50"/>
  <c r="I123" i="50" s="1"/>
  <c r="I105" i="50"/>
  <c r="I128" i="50" s="1"/>
  <c r="I101" i="50"/>
  <c r="I124" i="50" s="1"/>
  <c r="I114" i="50"/>
  <c r="I99" i="50"/>
  <c r="I122" i="50" s="1"/>
  <c r="I111" i="50"/>
  <c r="I134" i="50" s="1"/>
  <c r="I103" i="50"/>
  <c r="I126" i="50" s="1"/>
  <c r="I95" i="50"/>
  <c r="I118" i="50" s="1"/>
  <c r="I98" i="50"/>
  <c r="I121" i="50" s="1"/>
  <c r="I97" i="50"/>
  <c r="I120" i="50" s="1"/>
  <c r="I96" i="50"/>
  <c r="I119" i="50" s="1"/>
  <c r="I106" i="50"/>
  <c r="I129" i="50" s="1"/>
  <c r="I107" i="50"/>
  <c r="I130" i="50" s="1"/>
  <c r="I113" i="50"/>
  <c r="I104" i="50"/>
  <c r="I127" i="50" s="1"/>
  <c r="N189" i="50" l="1"/>
  <c r="L1820" i="50"/>
  <c r="K1820" i="50"/>
  <c r="N1820" i="50"/>
  <c r="J1820" i="50"/>
  <c r="M1820" i="50"/>
  <c r="U30" i="62"/>
  <c r="Y30" i="62" s="1"/>
  <c r="I164" i="50"/>
  <c r="I1657" i="50"/>
  <c r="I1529" i="50"/>
  <c r="I1145" i="50"/>
  <c r="I1401" i="50"/>
  <c r="I1273" i="50"/>
  <c r="I761" i="50"/>
  <c r="I633" i="50"/>
  <c r="I889" i="50"/>
  <c r="I1017" i="50"/>
  <c r="J192" i="42"/>
  <c r="Q30" i="62"/>
  <c r="S30" i="62" s="1"/>
  <c r="L286" i="49"/>
  <c r="L285" i="49"/>
  <c r="I286" i="43"/>
  <c r="Y285" i="43" s="1"/>
  <c r="X285" i="43"/>
  <c r="I456" i="41"/>
  <c r="I505" i="50"/>
  <c r="E94" i="62"/>
  <c r="I163" i="62"/>
  <c r="D63" i="62"/>
  <c r="G62" i="62"/>
  <c r="T62" i="62" s="1"/>
  <c r="I167" i="62" s="1"/>
  <c r="E62" i="62"/>
  <c r="M61" i="62"/>
  <c r="U61" i="62"/>
  <c r="L61" i="62"/>
  <c r="S61" i="62"/>
  <c r="D32" i="62"/>
  <c r="E31" i="62"/>
  <c r="T75" i="62"/>
  <c r="Y75" i="62" s="1"/>
  <c r="I165" i="62"/>
  <c r="N192" i="42"/>
  <c r="M1785" i="50"/>
  <c r="L1826" i="50"/>
  <c r="H1826" i="50"/>
  <c r="I1826" i="50"/>
  <c r="K1826" i="50"/>
  <c r="N1826" i="50"/>
  <c r="J1826" i="50"/>
  <c r="M1826" i="50"/>
  <c r="K456" i="41"/>
  <c r="J456" i="41"/>
  <c r="M80" i="41"/>
  <c r="T114" i="41" s="1"/>
  <c r="T115" i="41" s="1"/>
  <c r="T116" i="41" s="1"/>
  <c r="T117" i="41" s="1"/>
  <c r="K275" i="43"/>
  <c r="K2449" i="50" s="1"/>
  <c r="I2237" i="50"/>
  <c r="I2393" i="50"/>
  <c r="L192" i="42"/>
  <c r="I192" i="42"/>
  <c r="I14" i="42"/>
  <c r="K192" i="42"/>
  <c r="M192" i="42"/>
  <c r="H192" i="42"/>
  <c r="I2079" i="50"/>
  <c r="I1933" i="50"/>
  <c r="I2307" i="50"/>
  <c r="I1860" i="50"/>
  <c r="I2199" i="50"/>
  <c r="I2259" i="50"/>
  <c r="I1787" i="50"/>
  <c r="I2355" i="50"/>
  <c r="I2139" i="50"/>
  <c r="M2074" i="50"/>
  <c r="M2001" i="50"/>
  <c r="I2069" i="50" s="1"/>
  <c r="M1855" i="50"/>
  <c r="F1764" i="42"/>
  <c r="F1782" i="42" s="1"/>
  <c r="F1781" i="42"/>
  <c r="F1797" i="42" s="1"/>
  <c r="F1798" i="42" s="1"/>
  <c r="F1799" i="42" s="1"/>
  <c r="F1800" i="42" s="1"/>
  <c r="F1801" i="42" s="1"/>
  <c r="F1802" i="42" s="1"/>
  <c r="F1803" i="42" s="1"/>
  <c r="F1804" i="42" s="1"/>
  <c r="F1805" i="42" s="1"/>
  <c r="F1806" i="42" s="1"/>
  <c r="F1807" i="42" s="1"/>
  <c r="F1808" i="42" s="1"/>
  <c r="F1488" i="42"/>
  <c r="F1506" i="42" s="1"/>
  <c r="F1505" i="42"/>
  <c r="F1521" i="42" s="1"/>
  <c r="F1522" i="42" s="1"/>
  <c r="F1523" i="42" s="1"/>
  <c r="F1524" i="42" s="1"/>
  <c r="F1525" i="42" s="1"/>
  <c r="F1526" i="42" s="1"/>
  <c r="F1527" i="42" s="1"/>
  <c r="F1528" i="42" s="1"/>
  <c r="F1529" i="42" s="1"/>
  <c r="F1530" i="42" s="1"/>
  <c r="F1531" i="42" s="1"/>
  <c r="F1532" i="42" s="1"/>
  <c r="AD1563" i="42"/>
  <c r="AD1701" i="42"/>
  <c r="AD1425" i="42"/>
  <c r="E194" i="62"/>
  <c r="I1796" i="42"/>
  <c r="I1743" i="42"/>
  <c r="AD1743" i="42" s="1"/>
  <c r="I1701" i="42"/>
  <c r="U1701" i="42" s="1"/>
  <c r="I1762" i="42"/>
  <c r="I1780" i="42"/>
  <c r="AD1780" i="42" s="1"/>
  <c r="X1796" i="42"/>
  <c r="AG1796" i="42"/>
  <c r="AF1796" i="42"/>
  <c r="W1796" i="42"/>
  <c r="V1762" i="42"/>
  <c r="AE1762" i="42"/>
  <c r="W1762" i="42"/>
  <c r="AF1762" i="42"/>
  <c r="V1796" i="42"/>
  <c r="AE1796" i="42"/>
  <c r="X1762" i="42"/>
  <c r="AG1762" i="42"/>
  <c r="I1658" i="42"/>
  <c r="I1624" i="42"/>
  <c r="I1605" i="42"/>
  <c r="AD1605" i="42" s="1"/>
  <c r="I1642" i="42"/>
  <c r="AD1642" i="42" s="1"/>
  <c r="I1563" i="42"/>
  <c r="U1563" i="42" s="1"/>
  <c r="AF1658" i="42"/>
  <c r="W1658" i="42"/>
  <c r="W1624" i="42"/>
  <c r="AF1624" i="42"/>
  <c r="AE1658" i="42"/>
  <c r="V1658" i="42"/>
  <c r="AE1624" i="42"/>
  <c r="V1624" i="42"/>
  <c r="AG1624" i="42"/>
  <c r="X1624" i="42"/>
  <c r="X1658" i="42"/>
  <c r="AG1658" i="42"/>
  <c r="I2345" i="50"/>
  <c r="I2297" i="50"/>
  <c r="L133" i="50"/>
  <c r="I133" i="50"/>
  <c r="I2117" i="50"/>
  <c r="I2177" i="50"/>
  <c r="X1254" i="42"/>
  <c r="W1317" i="42"/>
  <c r="AF1317" i="42"/>
  <c r="AE1351" i="42"/>
  <c r="V1351" i="42"/>
  <c r="AG1351" i="42"/>
  <c r="X1351" i="42"/>
  <c r="X1317" i="42"/>
  <c r="AG1317" i="42"/>
  <c r="W1254" i="42"/>
  <c r="W1351" i="42"/>
  <c r="AF1351" i="42"/>
  <c r="I1402" i="42"/>
  <c r="U1403" i="42" s="1"/>
  <c r="I1395" i="42"/>
  <c r="U1395" i="42" s="1"/>
  <c r="AD1402" i="42"/>
  <c r="I1335" i="42"/>
  <c r="AD1335" i="42" s="1"/>
  <c r="AD1395" i="42"/>
  <c r="I1351" i="42"/>
  <c r="I1298" i="42"/>
  <c r="AD1298" i="42" s="1"/>
  <c r="I1254" i="42"/>
  <c r="I1317" i="42"/>
  <c r="AE1317" i="42"/>
  <c r="V1317" i="42"/>
  <c r="V1254" i="42"/>
  <c r="I1231" i="42"/>
  <c r="U1232" i="42" s="1"/>
  <c r="I1224" i="42"/>
  <c r="U1224" i="42" s="1"/>
  <c r="AD1231" i="42"/>
  <c r="AD1224" i="42"/>
  <c r="I1164" i="42"/>
  <c r="AD1164" i="42" s="1"/>
  <c r="I1083" i="42"/>
  <c r="I1127" i="42"/>
  <c r="AD1127" i="42" s="1"/>
  <c r="I1146" i="42"/>
  <c r="I1180" i="42"/>
  <c r="V1083" i="42"/>
  <c r="AE1180" i="42"/>
  <c r="V1180" i="42"/>
  <c r="X1083" i="42"/>
  <c r="W1083" i="42"/>
  <c r="AF1146" i="42"/>
  <c r="W1146" i="42"/>
  <c r="W1180" i="42"/>
  <c r="AF1180" i="42"/>
  <c r="AE1146" i="42"/>
  <c r="V1146" i="42"/>
  <c r="X1180" i="42"/>
  <c r="AG1180" i="42"/>
  <c r="AG1146" i="42"/>
  <c r="X1146" i="42"/>
  <c r="M459" i="42"/>
  <c r="AL497" i="42" s="1"/>
  <c r="M1928" i="50"/>
  <c r="L132" i="50"/>
  <c r="I132" i="50"/>
  <c r="I2043" i="50"/>
  <c r="I2006" i="50"/>
  <c r="I1970" i="50"/>
  <c r="I1897" i="50"/>
  <c r="L2588" i="37"/>
  <c r="X2588" i="37" s="1"/>
  <c r="L2580" i="37"/>
  <c r="AG2808" i="37"/>
  <c r="AG2800" i="37"/>
  <c r="AG2776" i="37"/>
  <c r="AG2785" i="37"/>
  <c r="AG2732" i="37"/>
  <c r="AG2721" i="37"/>
  <c r="AG2751" i="37"/>
  <c r="AG2741" i="37"/>
  <c r="AG2717" i="37"/>
  <c r="AG2812" i="37"/>
  <c r="AG2678" i="37"/>
  <c r="AG2655" i="37"/>
  <c r="AG2690" i="37"/>
  <c r="AG2663" i="37"/>
  <c r="AG2580" i="37"/>
  <c r="AG2713" i="37"/>
  <c r="AG2620" i="37"/>
  <c r="AG2794" i="37"/>
  <c r="AG2704" i="37"/>
  <c r="AG2549" i="37"/>
  <c r="AG2588" i="37"/>
  <c r="W2595" i="37"/>
  <c r="V2760" i="37"/>
  <c r="AF2794" i="37"/>
  <c r="AF2785" i="37"/>
  <c r="AF2808" i="37"/>
  <c r="AF2800" i="37"/>
  <c r="AF2776" i="37"/>
  <c r="AF2732" i="37"/>
  <c r="AF2721" i="37"/>
  <c r="AF2751" i="37"/>
  <c r="AF2741" i="37"/>
  <c r="AF2620" i="37"/>
  <c r="AF2812" i="37"/>
  <c r="AF2678" i="37"/>
  <c r="AF2655" i="37"/>
  <c r="AF2717" i="37"/>
  <c r="AF2690" i="37"/>
  <c r="AF2588" i="37"/>
  <c r="AF2549" i="37"/>
  <c r="AF2580" i="37"/>
  <c r="AF2704" i="37"/>
  <c r="AF2663" i="37"/>
  <c r="AF2713" i="37"/>
  <c r="I2812" i="37"/>
  <c r="I2794" i="37"/>
  <c r="U2794" i="37" s="1"/>
  <c r="I2785" i="37"/>
  <c r="U2788" i="37" s="1"/>
  <c r="I2721" i="37"/>
  <c r="U2721" i="37" s="1"/>
  <c r="I2751" i="37"/>
  <c r="I2741" i="37"/>
  <c r="I2655" i="37"/>
  <c r="U2655" i="37" s="1"/>
  <c r="I2620" i="37"/>
  <c r="I2808" i="37"/>
  <c r="I2732" i="37"/>
  <c r="I2663" i="37"/>
  <c r="I2588" i="37"/>
  <c r="U2588" i="37" s="1"/>
  <c r="I2549" i="37"/>
  <c r="I2776" i="37"/>
  <c r="U2778" i="37" s="1"/>
  <c r="I2690" i="37"/>
  <c r="U2694" i="37" s="1"/>
  <c r="I2717" i="37"/>
  <c r="I2713" i="37"/>
  <c r="U2713" i="37" s="1"/>
  <c r="I2704" i="37"/>
  <c r="U2704" i="37" s="1"/>
  <c r="I2678" i="37"/>
  <c r="U2682" i="37" s="1"/>
  <c r="I2580" i="37"/>
  <c r="J2580" i="37"/>
  <c r="J2588" i="37"/>
  <c r="V2588" i="37" s="1"/>
  <c r="X2549" i="37"/>
  <c r="V2563" i="37"/>
  <c r="X2595" i="37"/>
  <c r="W2563" i="37"/>
  <c r="V2549" i="37"/>
  <c r="V2595" i="37"/>
  <c r="AE2812" i="37"/>
  <c r="AE2794" i="37"/>
  <c r="AE2785" i="37"/>
  <c r="AE2808" i="37"/>
  <c r="AE2717" i="37"/>
  <c r="AE2713" i="37"/>
  <c r="AE2704" i="37"/>
  <c r="AE2800" i="37"/>
  <c r="AE2776" i="37"/>
  <c r="AE2751" i="37"/>
  <c r="AE2741" i="37"/>
  <c r="AE2721" i="37"/>
  <c r="AE2620" i="37"/>
  <c r="AE2663" i="37"/>
  <c r="AE2732" i="37"/>
  <c r="AE2690" i="37"/>
  <c r="AE2588" i="37"/>
  <c r="AE2549" i="37"/>
  <c r="AE2655" i="37"/>
  <c r="AE2678" i="37"/>
  <c r="AE2580" i="37"/>
  <c r="K2580" i="37"/>
  <c r="K2588" i="37"/>
  <c r="W2588" i="37" s="1"/>
  <c r="X2563" i="37"/>
  <c r="X2760" i="37"/>
  <c r="W2549" i="37"/>
  <c r="W2760" i="37"/>
  <c r="X2268" i="37"/>
  <c r="X2314" i="37"/>
  <c r="AF2513" i="37"/>
  <c r="AF2504" i="37"/>
  <c r="AF2527" i="37"/>
  <c r="AF2519" i="37"/>
  <c r="AF2451" i="37"/>
  <c r="AF2440" i="37"/>
  <c r="AF2436" i="37"/>
  <c r="AF2409" i="37"/>
  <c r="AF2382" i="37"/>
  <c r="AF2531" i="37"/>
  <c r="AF2432" i="37"/>
  <c r="AF2423" i="37"/>
  <c r="AF2339" i="37"/>
  <c r="AF2495" i="37"/>
  <c r="AF2470" i="37"/>
  <c r="AF2460" i="37"/>
  <c r="AF2374" i="37"/>
  <c r="AF2307" i="37"/>
  <c r="AF2268" i="37"/>
  <c r="AF2299" i="37"/>
  <c r="AF2397" i="37"/>
  <c r="W2282" i="37"/>
  <c r="V2268" i="37"/>
  <c r="V2479" i="37"/>
  <c r="AE2531" i="37"/>
  <c r="AE2513" i="37"/>
  <c r="AE2504" i="37"/>
  <c r="AE2495" i="37"/>
  <c r="AE2470" i="37"/>
  <c r="AE2460" i="37"/>
  <c r="AE2527" i="37"/>
  <c r="AE2397" i="37"/>
  <c r="AE2374" i="37"/>
  <c r="AE2519" i="37"/>
  <c r="AE2451" i="37"/>
  <c r="AE2440" i="37"/>
  <c r="AE2436" i="37"/>
  <c r="AE2409" i="37"/>
  <c r="AE2382" i="37"/>
  <c r="AE2432" i="37"/>
  <c r="AE2339" i="37"/>
  <c r="AE2423" i="37"/>
  <c r="AE2299" i="37"/>
  <c r="AE2268" i="37"/>
  <c r="AE2307" i="37"/>
  <c r="W2268" i="37"/>
  <c r="L2299" i="37"/>
  <c r="L2307" i="37"/>
  <c r="X2307" i="37" s="1"/>
  <c r="AG2527" i="37"/>
  <c r="AG2519" i="37"/>
  <c r="AG2495" i="37"/>
  <c r="AG2504" i="37"/>
  <c r="AG2451" i="37"/>
  <c r="AG2531" i="37"/>
  <c r="AG2432" i="37"/>
  <c r="AG2423" i="37"/>
  <c r="AG2460" i="37"/>
  <c r="AG2339" i="37"/>
  <c r="AG2470" i="37"/>
  <c r="AG2440" i="37"/>
  <c r="AG2374" i="37"/>
  <c r="AG2307" i="37"/>
  <c r="AG2268" i="37"/>
  <c r="AG2513" i="37"/>
  <c r="AG2299" i="37"/>
  <c r="AG2409" i="37"/>
  <c r="AG2397" i="37"/>
  <c r="AG2382" i="37"/>
  <c r="AG2436" i="37"/>
  <c r="V2282" i="37"/>
  <c r="K2299" i="37"/>
  <c r="K2307" i="37"/>
  <c r="W2307" i="37" s="1"/>
  <c r="V2314" i="37"/>
  <c r="X2479" i="37"/>
  <c r="I2531" i="37"/>
  <c r="I2513" i="37"/>
  <c r="U2513" i="37" s="1"/>
  <c r="I2504" i="37"/>
  <c r="U2507" i="37" s="1"/>
  <c r="I2495" i="37"/>
  <c r="U2497" i="37" s="1"/>
  <c r="I2470" i="37"/>
  <c r="I2460" i="37"/>
  <c r="I2397" i="37"/>
  <c r="U2401" i="37" s="1"/>
  <c r="I2451" i="37"/>
  <c r="I2436" i="37"/>
  <c r="I2432" i="37"/>
  <c r="U2432" i="37" s="1"/>
  <c r="I2423" i="37"/>
  <c r="U2423" i="37" s="1"/>
  <c r="I2409" i="37"/>
  <c r="U2413" i="37" s="1"/>
  <c r="I2382" i="37"/>
  <c r="I2527" i="37"/>
  <c r="I2440" i="37"/>
  <c r="U2440" i="37" s="1"/>
  <c r="I2374" i="37"/>
  <c r="U2374" i="37" s="1"/>
  <c r="I2339" i="37"/>
  <c r="I2307" i="37"/>
  <c r="U2307" i="37" s="1"/>
  <c r="I2268" i="37"/>
  <c r="I2299" i="37"/>
  <c r="J2307" i="37"/>
  <c r="V2307" i="37" s="1"/>
  <c r="J2299" i="37"/>
  <c r="W2314" i="37"/>
  <c r="W2479" i="37"/>
  <c r="X2282" i="37"/>
  <c r="I2250" i="37"/>
  <c r="I2232" i="37"/>
  <c r="U2232" i="37" s="1"/>
  <c r="I2223" i="37"/>
  <c r="U2226" i="37" s="1"/>
  <c r="I2214" i="37"/>
  <c r="U2216" i="37" s="1"/>
  <c r="I2159" i="37"/>
  <c r="U2159" i="37" s="1"/>
  <c r="I2155" i="37"/>
  <c r="I2170" i="37"/>
  <c r="I2116" i="37"/>
  <c r="U2120" i="37" s="1"/>
  <c r="I2246" i="37"/>
  <c r="I2189" i="37"/>
  <c r="I2101" i="37"/>
  <c r="I2018" i="37"/>
  <c r="I2179" i="37"/>
  <c r="I2128" i="37"/>
  <c r="U2132" i="37" s="1"/>
  <c r="I2093" i="37"/>
  <c r="U2093" i="37" s="1"/>
  <c r="I2058" i="37"/>
  <c r="I2142" i="37"/>
  <c r="U2142" i="37" s="1"/>
  <c r="I1987" i="37"/>
  <c r="I2151" i="37"/>
  <c r="U2151" i="37" s="1"/>
  <c r="I2026" i="37"/>
  <c r="U2026" i="37" s="1"/>
  <c r="J2026" i="37"/>
  <c r="V2026" i="37" s="1"/>
  <c r="J2018" i="37"/>
  <c r="W2033" i="37"/>
  <c r="V2033" i="37"/>
  <c r="X2033" i="37"/>
  <c r="AE2250" i="37"/>
  <c r="AE2232" i="37"/>
  <c r="AE2223" i="37"/>
  <c r="AE2246" i="37"/>
  <c r="AE2214" i="37"/>
  <c r="AE2238" i="37"/>
  <c r="AE2170" i="37"/>
  <c r="AE2116" i="37"/>
  <c r="AE2142" i="37"/>
  <c r="AE2018" i="37"/>
  <c r="AE2159" i="37"/>
  <c r="AE2155" i="37"/>
  <c r="AE2128" i="37"/>
  <c r="AE2058" i="37"/>
  <c r="AE2151" i="37"/>
  <c r="AE2093" i="37"/>
  <c r="AE2189" i="37"/>
  <c r="AE2101" i="37"/>
  <c r="AE2026" i="37"/>
  <c r="AE2179" i="37"/>
  <c r="AE1987" i="37"/>
  <c r="K2026" i="37"/>
  <c r="W2026" i="37" s="1"/>
  <c r="K2018" i="37"/>
  <c r="X1987" i="37"/>
  <c r="AF2232" i="37"/>
  <c r="AF2223" i="37"/>
  <c r="AF2246" i="37"/>
  <c r="AF2238" i="37"/>
  <c r="AF2214" i="37"/>
  <c r="AF2250" i="37"/>
  <c r="AF2170" i="37"/>
  <c r="AF2159" i="37"/>
  <c r="AF2155" i="37"/>
  <c r="AF2128" i="37"/>
  <c r="AF2101" i="37"/>
  <c r="AF2058" i="37"/>
  <c r="AF2189" i="37"/>
  <c r="AF2093" i="37"/>
  <c r="AF2179" i="37"/>
  <c r="AF2142" i="37"/>
  <c r="AF2116" i="37"/>
  <c r="AF2018" i="37"/>
  <c r="AF1987" i="37"/>
  <c r="AF2151" i="37"/>
  <c r="AF2026" i="37"/>
  <c r="W2001" i="37"/>
  <c r="V1987" i="37"/>
  <c r="L2018" i="37"/>
  <c r="L2026" i="37"/>
  <c r="X2026" i="37" s="1"/>
  <c r="AG2246" i="37"/>
  <c r="AG2238" i="37"/>
  <c r="AG2214" i="37"/>
  <c r="AG2250" i="37"/>
  <c r="AG2170" i="37"/>
  <c r="AG2159" i="37"/>
  <c r="AG2232" i="37"/>
  <c r="AG2189" i="37"/>
  <c r="AG2179" i="37"/>
  <c r="AG2155" i="37"/>
  <c r="AG2128" i="37"/>
  <c r="AG2223" i="37"/>
  <c r="AG2151" i="37"/>
  <c r="AG2142" i="37"/>
  <c r="AG2093" i="37"/>
  <c r="AG2116" i="37"/>
  <c r="AG2101" i="37"/>
  <c r="AG2026" i="37"/>
  <c r="AG2018" i="37"/>
  <c r="AG1987" i="37"/>
  <c r="AG2058" i="37"/>
  <c r="W1987" i="37"/>
  <c r="W2198" i="37"/>
  <c r="V2001" i="37"/>
  <c r="V2198" i="37"/>
  <c r="X2001" i="37"/>
  <c r="X2198" i="37"/>
  <c r="L1737" i="37"/>
  <c r="L1745" i="37"/>
  <c r="X1745" i="37" s="1"/>
  <c r="AG1965" i="37"/>
  <c r="AG1957" i="37"/>
  <c r="AG1933" i="37"/>
  <c r="AG1969" i="37"/>
  <c r="AG1951" i="37"/>
  <c r="AG1942" i="37"/>
  <c r="AG1908" i="37"/>
  <c r="AG1898" i="37"/>
  <c r="AG1874" i="37"/>
  <c r="AG1889" i="37"/>
  <c r="AG1847" i="37"/>
  <c r="AG1820" i="37"/>
  <c r="AG1870" i="37"/>
  <c r="AG1861" i="37"/>
  <c r="AG1878" i="37"/>
  <c r="AG1812" i="37"/>
  <c r="AG1745" i="37"/>
  <c r="AG1706" i="37"/>
  <c r="AG1835" i="37"/>
  <c r="AG1737" i="37"/>
  <c r="AG1777" i="37"/>
  <c r="I1969" i="37"/>
  <c r="I1951" i="37"/>
  <c r="U1951" i="37" s="1"/>
  <c r="I1942" i="37"/>
  <c r="U1945" i="37" s="1"/>
  <c r="I1908" i="37"/>
  <c r="I1898" i="37"/>
  <c r="I1874" i="37"/>
  <c r="I1933" i="37"/>
  <c r="U1935" i="37" s="1"/>
  <c r="I1965" i="37"/>
  <c r="I1878" i="37"/>
  <c r="U1878" i="37" s="1"/>
  <c r="I1889" i="37"/>
  <c r="I1835" i="37"/>
  <c r="U1839" i="37" s="1"/>
  <c r="I1870" i="37"/>
  <c r="U1870" i="37" s="1"/>
  <c r="I1861" i="37"/>
  <c r="U1861" i="37" s="1"/>
  <c r="I1847" i="37"/>
  <c r="U1851" i="37" s="1"/>
  <c r="I1820" i="37"/>
  <c r="I1777" i="37"/>
  <c r="I1812" i="37"/>
  <c r="U1812" i="37" s="1"/>
  <c r="I1745" i="37"/>
  <c r="U1745" i="37" s="1"/>
  <c r="I1706" i="37"/>
  <c r="I1737" i="37"/>
  <c r="J1745" i="37"/>
  <c r="V1745" i="37" s="1"/>
  <c r="J1737" i="37"/>
  <c r="W1720" i="37"/>
  <c r="V1752" i="37"/>
  <c r="X1720" i="37"/>
  <c r="AE1969" i="37"/>
  <c r="AE1951" i="37"/>
  <c r="AE1942" i="37"/>
  <c r="AE1965" i="37"/>
  <c r="AE1908" i="37"/>
  <c r="AE1898" i="37"/>
  <c r="AE1874" i="37"/>
  <c r="AE1957" i="37"/>
  <c r="AE1878" i="37"/>
  <c r="AE1889" i="37"/>
  <c r="AE1835" i="37"/>
  <c r="AE1812" i="37"/>
  <c r="AE1933" i="37"/>
  <c r="AE1847" i="37"/>
  <c r="AE1820" i="37"/>
  <c r="AE1870" i="37"/>
  <c r="AE1777" i="37"/>
  <c r="AE1745" i="37"/>
  <c r="AE1706" i="37"/>
  <c r="AE1861" i="37"/>
  <c r="AE1737" i="37"/>
  <c r="K1737" i="37"/>
  <c r="K1745" i="37"/>
  <c r="W1745" i="37" s="1"/>
  <c r="X1706" i="37"/>
  <c r="X1917" i="37"/>
  <c r="V1720" i="37"/>
  <c r="V1917" i="37"/>
  <c r="AF1951" i="37"/>
  <c r="AF1942" i="37"/>
  <c r="AF1965" i="37"/>
  <c r="AF1957" i="37"/>
  <c r="AF1933" i="37"/>
  <c r="AF1969" i="37"/>
  <c r="AF1889" i="37"/>
  <c r="AF1878" i="37"/>
  <c r="AF1835" i="37"/>
  <c r="AF1908" i="37"/>
  <c r="AF1874" i="37"/>
  <c r="AF1847" i="37"/>
  <c r="AF1820" i="37"/>
  <c r="AF1898" i="37"/>
  <c r="AF1870" i="37"/>
  <c r="AF1861" i="37"/>
  <c r="AF1812" i="37"/>
  <c r="AF1745" i="37"/>
  <c r="AF1706" i="37"/>
  <c r="AF1737" i="37"/>
  <c r="AF1777" i="37"/>
  <c r="W1706" i="37"/>
  <c r="W1752" i="37"/>
  <c r="W1917" i="37"/>
  <c r="V1706" i="37"/>
  <c r="X1752" i="37"/>
  <c r="L1464" i="37"/>
  <c r="X1464" i="37" s="1"/>
  <c r="L1456" i="37"/>
  <c r="AG1684" i="37"/>
  <c r="AG1676" i="37"/>
  <c r="AG1652" i="37"/>
  <c r="AG1661" i="37"/>
  <c r="AG1627" i="37"/>
  <c r="AG1617" i="37"/>
  <c r="AG1688" i="37"/>
  <c r="AG1597" i="37"/>
  <c r="AG1554" i="37"/>
  <c r="AG1531" i="37"/>
  <c r="AG1608" i="37"/>
  <c r="AG1593" i="37"/>
  <c r="AG1566" i="37"/>
  <c r="AG1539" i="37"/>
  <c r="AG1589" i="37"/>
  <c r="AG1580" i="37"/>
  <c r="AG1456" i="37"/>
  <c r="AG1670" i="37"/>
  <c r="AG1496" i="37"/>
  <c r="AG1464" i="37"/>
  <c r="AG1425" i="37"/>
  <c r="W1439" i="37"/>
  <c r="X1471" i="37"/>
  <c r="AF1670" i="37"/>
  <c r="AF1661" i="37"/>
  <c r="AF1608" i="37"/>
  <c r="AF1597" i="37"/>
  <c r="AF1684" i="37"/>
  <c r="AF1676" i="37"/>
  <c r="AF1652" i="37"/>
  <c r="AF1627" i="37"/>
  <c r="AF1617" i="37"/>
  <c r="AF1496" i="37"/>
  <c r="AF1688" i="37"/>
  <c r="AF1554" i="37"/>
  <c r="AF1531" i="37"/>
  <c r="AF1464" i="37"/>
  <c r="AF1425" i="37"/>
  <c r="AF1593" i="37"/>
  <c r="AF1589" i="37"/>
  <c r="AF1580" i="37"/>
  <c r="AF1539" i="37"/>
  <c r="AF1456" i="37"/>
  <c r="AF1566" i="37"/>
  <c r="V1425" i="37"/>
  <c r="I1688" i="37"/>
  <c r="I1670" i="37"/>
  <c r="U1670" i="37" s="1"/>
  <c r="I1661" i="37"/>
  <c r="U1664" i="37" s="1"/>
  <c r="I1597" i="37"/>
  <c r="U1597" i="37" s="1"/>
  <c r="I1608" i="37"/>
  <c r="I1531" i="37"/>
  <c r="U1531" i="37" s="1"/>
  <c r="I1496" i="37"/>
  <c r="I1684" i="37"/>
  <c r="I1464" i="37"/>
  <c r="U1464" i="37" s="1"/>
  <c r="I1425" i="37"/>
  <c r="I1617" i="37"/>
  <c r="I1589" i="37"/>
  <c r="U1589" i="37" s="1"/>
  <c r="I1580" i="37"/>
  <c r="U1580" i="37" s="1"/>
  <c r="I1554" i="37"/>
  <c r="U1558" i="37" s="1"/>
  <c r="I1652" i="37"/>
  <c r="U1654" i="37" s="1"/>
  <c r="I1593" i="37"/>
  <c r="I1539" i="37"/>
  <c r="I1456" i="37"/>
  <c r="I1627" i="37"/>
  <c r="I1566" i="37"/>
  <c r="U1570" i="37" s="1"/>
  <c r="J1456" i="37"/>
  <c r="J1464" i="37"/>
  <c r="V1464" i="37" s="1"/>
  <c r="W1471" i="37"/>
  <c r="V1439" i="37"/>
  <c r="V1636" i="37"/>
  <c r="X1439" i="37"/>
  <c r="X1425" i="37"/>
  <c r="X1636" i="37"/>
  <c r="AE1688" i="37"/>
  <c r="AE1670" i="37"/>
  <c r="AE1661" i="37"/>
  <c r="AE1608" i="37"/>
  <c r="AE1597" i="37"/>
  <c r="AE1684" i="37"/>
  <c r="AE1589" i="37"/>
  <c r="AE1580" i="37"/>
  <c r="AE1676" i="37"/>
  <c r="AE1652" i="37"/>
  <c r="AE1496" i="37"/>
  <c r="AE1566" i="37"/>
  <c r="AE1627" i="37"/>
  <c r="AE1554" i="37"/>
  <c r="AE1531" i="37"/>
  <c r="AE1464" i="37"/>
  <c r="AE1425" i="37"/>
  <c r="AE1593" i="37"/>
  <c r="AE1539" i="37"/>
  <c r="AE1456" i="37"/>
  <c r="AE1617" i="37"/>
  <c r="K1456" i="37"/>
  <c r="K1464" i="37"/>
  <c r="W1464" i="37" s="1"/>
  <c r="W1425" i="37"/>
  <c r="W1636" i="37"/>
  <c r="V1471" i="37"/>
  <c r="I1407" i="37"/>
  <c r="I1389" i="37"/>
  <c r="U1389" i="37" s="1"/>
  <c r="I1380" i="37"/>
  <c r="U1383" i="37" s="1"/>
  <c r="I1346" i="37"/>
  <c r="I1336" i="37"/>
  <c r="I1316" i="37"/>
  <c r="U1316" i="37" s="1"/>
  <c r="I1273" i="37"/>
  <c r="U1277" i="37" s="1"/>
  <c r="I1312" i="37"/>
  <c r="I1308" i="37"/>
  <c r="U1308" i="37" s="1"/>
  <c r="I1299" i="37"/>
  <c r="U1299" i="37" s="1"/>
  <c r="I1285" i="37"/>
  <c r="U1289" i="37" s="1"/>
  <c r="I1258" i="37"/>
  <c r="I1403" i="37"/>
  <c r="I1327" i="37"/>
  <c r="I1183" i="37"/>
  <c r="U1183" i="37" s="1"/>
  <c r="I1144" i="37"/>
  <c r="I1371" i="37"/>
  <c r="U1373" i="37" s="1"/>
  <c r="I1175" i="37"/>
  <c r="I1215" i="37"/>
  <c r="I1250" i="37"/>
  <c r="U1250" i="37" s="1"/>
  <c r="J1175" i="37"/>
  <c r="J1183" i="37"/>
  <c r="V1183" i="37" s="1"/>
  <c r="AE1407" i="37"/>
  <c r="AE1389" i="37"/>
  <c r="AE1380" i="37"/>
  <c r="AE1346" i="37"/>
  <c r="AE1336" i="37"/>
  <c r="AE1403" i="37"/>
  <c r="AE1273" i="37"/>
  <c r="AE1250" i="37"/>
  <c r="AE1395" i="37"/>
  <c r="AE1371" i="37"/>
  <c r="AE1312" i="37"/>
  <c r="AE1285" i="37"/>
  <c r="AE1258" i="37"/>
  <c r="AE1299" i="37"/>
  <c r="AE1215" i="37"/>
  <c r="AE1316" i="37"/>
  <c r="AE1183" i="37"/>
  <c r="AE1144" i="37"/>
  <c r="AE1327" i="37"/>
  <c r="AE1175" i="37"/>
  <c r="AE1308" i="37"/>
  <c r="X1190" i="37"/>
  <c r="X1144" i="37"/>
  <c r="X1355" i="37"/>
  <c r="AF1389" i="37"/>
  <c r="AF1380" i="37"/>
  <c r="AF1403" i="37"/>
  <c r="AF1395" i="37"/>
  <c r="AF1371" i="37"/>
  <c r="AF1336" i="37"/>
  <c r="AF1312" i="37"/>
  <c r="AF1285" i="37"/>
  <c r="AF1258" i="37"/>
  <c r="AF1407" i="37"/>
  <c r="AF1346" i="37"/>
  <c r="AF1316" i="37"/>
  <c r="AF1308" i="37"/>
  <c r="AF1299" i="37"/>
  <c r="AF1273" i="37"/>
  <c r="AF1183" i="37"/>
  <c r="AF1144" i="37"/>
  <c r="AF1327" i="37"/>
  <c r="AF1175" i="37"/>
  <c r="AF1250" i="37"/>
  <c r="AF1215" i="37"/>
  <c r="V1144" i="37"/>
  <c r="K1175" i="37"/>
  <c r="K1183" i="37"/>
  <c r="W1183" i="37" s="1"/>
  <c r="L1183" i="37"/>
  <c r="X1183" i="37" s="1"/>
  <c r="L1175" i="37"/>
  <c r="AG1403" i="37"/>
  <c r="AG1395" i="37"/>
  <c r="AG1371" i="37"/>
  <c r="AG1380" i="37"/>
  <c r="AG1327" i="37"/>
  <c r="AG1316" i="37"/>
  <c r="AG1407" i="37"/>
  <c r="AG1346" i="37"/>
  <c r="AG1308" i="37"/>
  <c r="AG1299" i="37"/>
  <c r="AG1215" i="37"/>
  <c r="AG1175" i="37"/>
  <c r="AG1250" i="37"/>
  <c r="AG1389" i="37"/>
  <c r="AG1336" i="37"/>
  <c r="AG1285" i="37"/>
  <c r="AG1273" i="37"/>
  <c r="AG1183" i="37"/>
  <c r="AG1312" i="37"/>
  <c r="AG1258" i="37"/>
  <c r="AG1144" i="37"/>
  <c r="W1144" i="37"/>
  <c r="W1158" i="37"/>
  <c r="W1190" i="37"/>
  <c r="V1190" i="37"/>
  <c r="V1158" i="37"/>
  <c r="V1355" i="37"/>
  <c r="W1355" i="37"/>
  <c r="X1158" i="37"/>
  <c r="I1126" i="37"/>
  <c r="I1108" i="37"/>
  <c r="U1108" i="37" s="1"/>
  <c r="I1099" i="37"/>
  <c r="U1102" i="37" s="1"/>
  <c r="I1090" i="37"/>
  <c r="U1092" i="37" s="1"/>
  <c r="I1035" i="37"/>
  <c r="U1035" i="37" s="1"/>
  <c r="I1122" i="37"/>
  <c r="I1065" i="37"/>
  <c r="I1055" i="37"/>
  <c r="I1046" i="37"/>
  <c r="I969" i="37"/>
  <c r="U969" i="37" s="1"/>
  <c r="I934" i="37"/>
  <c r="I1004" i="37"/>
  <c r="U1008" i="37" s="1"/>
  <c r="I992" i="37"/>
  <c r="U996" i="37" s="1"/>
  <c r="I902" i="37"/>
  <c r="U902" i="37" s="1"/>
  <c r="I863" i="37"/>
  <c r="I1027" i="37"/>
  <c r="U1027" i="37" s="1"/>
  <c r="I1018" i="37"/>
  <c r="U1018" i="37" s="1"/>
  <c r="I977" i="37"/>
  <c r="I1031" i="37"/>
  <c r="I894" i="37"/>
  <c r="J894" i="37"/>
  <c r="J902" i="37"/>
  <c r="V902" i="37" s="1"/>
  <c r="W863" i="37"/>
  <c r="V863" i="37"/>
  <c r="V1074" i="37"/>
  <c r="X1074" i="37"/>
  <c r="AE1126" i="37"/>
  <c r="AE1108" i="37"/>
  <c r="AE1099" i="37"/>
  <c r="AE1090" i="37"/>
  <c r="AE1122" i="37"/>
  <c r="AE1114" i="37"/>
  <c r="AE1065" i="37"/>
  <c r="AE1055" i="37"/>
  <c r="AE1046" i="37"/>
  <c r="AE1035" i="37"/>
  <c r="AE1027" i="37"/>
  <c r="AE1018" i="37"/>
  <c r="AE934" i="37"/>
  <c r="AE1004" i="37"/>
  <c r="AE992" i="37"/>
  <c r="AE969" i="37"/>
  <c r="AE1031" i="37"/>
  <c r="AE977" i="37"/>
  <c r="AE902" i="37"/>
  <c r="AE863" i="37"/>
  <c r="AE894" i="37"/>
  <c r="K894" i="37"/>
  <c r="K902" i="37"/>
  <c r="W902" i="37" s="1"/>
  <c r="W909" i="37"/>
  <c r="X863" i="37"/>
  <c r="AF1108" i="37"/>
  <c r="AF1099" i="37"/>
  <c r="AF1046" i="37"/>
  <c r="AF1035" i="37"/>
  <c r="AF1122" i="37"/>
  <c r="AF1114" i="37"/>
  <c r="AF1055" i="37"/>
  <c r="AF934" i="37"/>
  <c r="AF1065" i="37"/>
  <c r="AF992" i="37"/>
  <c r="AF969" i="37"/>
  <c r="AF977" i="37"/>
  <c r="AF902" i="37"/>
  <c r="AF863" i="37"/>
  <c r="AF1126" i="37"/>
  <c r="AF1031" i="37"/>
  <c r="AF1027" i="37"/>
  <c r="AF1018" i="37"/>
  <c r="AF894" i="37"/>
  <c r="AF1004" i="37"/>
  <c r="AF1090" i="37"/>
  <c r="W877" i="37"/>
  <c r="V909" i="37"/>
  <c r="X877" i="37"/>
  <c r="L902" i="37"/>
  <c r="X902" i="37" s="1"/>
  <c r="L894" i="37"/>
  <c r="AG1122" i="37"/>
  <c r="AG1114" i="37"/>
  <c r="AG1090" i="37"/>
  <c r="AG1099" i="37"/>
  <c r="AG1065" i="37"/>
  <c r="AG1055" i="37"/>
  <c r="AG1126" i="37"/>
  <c r="AG992" i="37"/>
  <c r="AG969" i="37"/>
  <c r="AG1108" i="37"/>
  <c r="AG1031" i="37"/>
  <c r="AG1004" i="37"/>
  <c r="AG977" i="37"/>
  <c r="AG1035" i="37"/>
  <c r="AG1027" i="37"/>
  <c r="AG1018" i="37"/>
  <c r="AG894" i="37"/>
  <c r="AG1046" i="37"/>
  <c r="AG934" i="37"/>
  <c r="AG863" i="37"/>
  <c r="AG902" i="37"/>
  <c r="W1074" i="37"/>
  <c r="V877" i="37"/>
  <c r="X909" i="37"/>
  <c r="I845" i="37"/>
  <c r="I827" i="37"/>
  <c r="U827" i="37" s="1"/>
  <c r="I818" i="37"/>
  <c r="U821" i="37" s="1"/>
  <c r="I754" i="37"/>
  <c r="U754" i="37" s="1"/>
  <c r="I688" i="37"/>
  <c r="U688" i="37" s="1"/>
  <c r="I653" i="37"/>
  <c r="I784" i="37"/>
  <c r="I774" i="37"/>
  <c r="I711" i="37"/>
  <c r="U715" i="37" s="1"/>
  <c r="I841" i="37"/>
  <c r="I765" i="37"/>
  <c r="I746" i="37"/>
  <c r="U746" i="37" s="1"/>
  <c r="I621" i="37"/>
  <c r="U621" i="37" s="1"/>
  <c r="I582" i="37"/>
  <c r="I737" i="37"/>
  <c r="U737" i="37" s="1"/>
  <c r="I696" i="37"/>
  <c r="I809" i="37"/>
  <c r="U811" i="37" s="1"/>
  <c r="I750" i="37"/>
  <c r="I723" i="37"/>
  <c r="U727" i="37" s="1"/>
  <c r="I613" i="37"/>
  <c r="J613" i="37"/>
  <c r="J621" i="37"/>
  <c r="V621" i="37" s="1"/>
  <c r="V582" i="37"/>
  <c r="L621" i="37"/>
  <c r="X621" i="37" s="1"/>
  <c r="L613" i="37"/>
  <c r="AG841" i="37"/>
  <c r="AG833" i="37"/>
  <c r="AG809" i="37"/>
  <c r="AG818" i="37"/>
  <c r="AG765" i="37"/>
  <c r="AG754" i="37"/>
  <c r="AG784" i="37"/>
  <c r="AG774" i="37"/>
  <c r="AG750" i="37"/>
  <c r="AG845" i="37"/>
  <c r="AG723" i="37"/>
  <c r="AG696" i="37"/>
  <c r="AG746" i="37"/>
  <c r="AG737" i="37"/>
  <c r="AG688" i="37"/>
  <c r="AG613" i="37"/>
  <c r="AG653" i="37"/>
  <c r="AG827" i="37"/>
  <c r="AG711" i="37"/>
  <c r="AG621" i="37"/>
  <c r="AG582" i="37"/>
  <c r="W582" i="37"/>
  <c r="AE845" i="37"/>
  <c r="AE827" i="37"/>
  <c r="AE818" i="37"/>
  <c r="AE841" i="37"/>
  <c r="AE750" i="37"/>
  <c r="AE653" i="37"/>
  <c r="AE833" i="37"/>
  <c r="AE809" i="37"/>
  <c r="AE784" i="37"/>
  <c r="AE774" i="37"/>
  <c r="AE754" i="37"/>
  <c r="AE711" i="37"/>
  <c r="AE688" i="37"/>
  <c r="AE746" i="37"/>
  <c r="AE696" i="37"/>
  <c r="AE621" i="37"/>
  <c r="AE582" i="37"/>
  <c r="AE613" i="37"/>
  <c r="AE737" i="37"/>
  <c r="AE765" i="37"/>
  <c r="AE723" i="37"/>
  <c r="K613" i="37"/>
  <c r="K621" i="37"/>
  <c r="W621" i="37" s="1"/>
  <c r="W628" i="37"/>
  <c r="V628" i="37"/>
  <c r="V793" i="37"/>
  <c r="X596" i="37"/>
  <c r="V596" i="37"/>
  <c r="X628" i="37"/>
  <c r="X793" i="37"/>
  <c r="AF827" i="37"/>
  <c r="AF818" i="37"/>
  <c r="AF841" i="37"/>
  <c r="AF833" i="37"/>
  <c r="AF809" i="37"/>
  <c r="AF765" i="37"/>
  <c r="AF754" i="37"/>
  <c r="AF784" i="37"/>
  <c r="AF774" i="37"/>
  <c r="AF711" i="37"/>
  <c r="AF688" i="37"/>
  <c r="AF845" i="37"/>
  <c r="AF723" i="37"/>
  <c r="AF696" i="37"/>
  <c r="AF750" i="37"/>
  <c r="AF746" i="37"/>
  <c r="AF621" i="37"/>
  <c r="AF582" i="37"/>
  <c r="AF737" i="37"/>
  <c r="AF613" i="37"/>
  <c r="AF653" i="37"/>
  <c r="W596" i="37"/>
  <c r="W793" i="37"/>
  <c r="X582" i="37"/>
  <c r="AF546" i="37"/>
  <c r="AF537" i="37"/>
  <c r="AF560" i="37"/>
  <c r="AF552" i="37"/>
  <c r="AF528" i="37"/>
  <c r="AF484" i="37"/>
  <c r="AF473" i="37"/>
  <c r="AF503" i="37"/>
  <c r="AF493" i="37"/>
  <c r="AF456" i="37"/>
  <c r="AF564" i="37"/>
  <c r="AF372" i="37"/>
  <c r="AF469" i="37"/>
  <c r="AF340" i="37"/>
  <c r="AF301" i="37"/>
  <c r="AF465" i="37"/>
  <c r="AF415" i="37"/>
  <c r="AF332" i="37"/>
  <c r="AF430" i="37"/>
  <c r="AF407" i="37"/>
  <c r="AF442" i="37"/>
  <c r="W301" i="37"/>
  <c r="L340" i="37"/>
  <c r="X340" i="37" s="1"/>
  <c r="L332" i="37"/>
  <c r="V301" i="37"/>
  <c r="I564" i="37"/>
  <c r="I546" i="37"/>
  <c r="U546" i="37" s="1"/>
  <c r="I537" i="37"/>
  <c r="U540" i="37" s="1"/>
  <c r="I473" i="37"/>
  <c r="U473" i="37" s="1"/>
  <c r="I456" i="37"/>
  <c r="U456" i="37" s="1"/>
  <c r="I442" i="37"/>
  <c r="U446" i="37" s="1"/>
  <c r="I415" i="37"/>
  <c r="I503" i="37"/>
  <c r="I493" i="37"/>
  <c r="I560" i="37"/>
  <c r="I484" i="37"/>
  <c r="I465" i="37"/>
  <c r="U465" i="37" s="1"/>
  <c r="I430" i="37"/>
  <c r="U434" i="37" s="1"/>
  <c r="I372" i="37"/>
  <c r="I340" i="37"/>
  <c r="U340" i="37" s="1"/>
  <c r="I301" i="37"/>
  <c r="I528" i="37"/>
  <c r="U530" i="37" s="1"/>
  <c r="I469" i="37"/>
  <c r="I407" i="37"/>
  <c r="U407" i="37" s="1"/>
  <c r="I332" i="37"/>
  <c r="J332" i="37"/>
  <c r="J340" i="37"/>
  <c r="V340" i="37" s="1"/>
  <c r="X301" i="37"/>
  <c r="AG560" i="37"/>
  <c r="AG552" i="37"/>
  <c r="AG528" i="37"/>
  <c r="AG537" i="37"/>
  <c r="AG484" i="37"/>
  <c r="AG473" i="37"/>
  <c r="AG503" i="37"/>
  <c r="AG493" i="37"/>
  <c r="AG469" i="37"/>
  <c r="AG564" i="37"/>
  <c r="AG372" i="37"/>
  <c r="AG465" i="37"/>
  <c r="AG430" i="37"/>
  <c r="AG407" i="37"/>
  <c r="AG415" i="37"/>
  <c r="AG332" i="37"/>
  <c r="AG546" i="37"/>
  <c r="AG442" i="37"/>
  <c r="AG340" i="37"/>
  <c r="AG301" i="37"/>
  <c r="AG456" i="37"/>
  <c r="AE564" i="37"/>
  <c r="AE546" i="37"/>
  <c r="AE537" i="37"/>
  <c r="AE560" i="37"/>
  <c r="AE469" i="37"/>
  <c r="AE442" i="37"/>
  <c r="AE415" i="37"/>
  <c r="AE552" i="37"/>
  <c r="AE528" i="37"/>
  <c r="AE503" i="37"/>
  <c r="AE493" i="37"/>
  <c r="AE473" i="37"/>
  <c r="AE456" i="37"/>
  <c r="AE430" i="37"/>
  <c r="AE407" i="37"/>
  <c r="AE372" i="37"/>
  <c r="AE340" i="37"/>
  <c r="AE301" i="37"/>
  <c r="AE484" i="37"/>
  <c r="AE332" i="37"/>
  <c r="AE465" i="37"/>
  <c r="K332" i="37"/>
  <c r="K340" i="37"/>
  <c r="W340" i="37" s="1"/>
  <c r="AE1486" i="42"/>
  <c r="V1486" i="42"/>
  <c r="V1520" i="42"/>
  <c r="AE1520" i="42"/>
  <c r="AF1520" i="42"/>
  <c r="W1520" i="42"/>
  <c r="X1433" i="42"/>
  <c r="AG1520" i="42"/>
  <c r="X1520" i="42"/>
  <c r="V1433" i="42"/>
  <c r="W1433" i="42"/>
  <c r="X1486" i="42"/>
  <c r="AG1486" i="42"/>
  <c r="I1520" i="42"/>
  <c r="I1425" i="42"/>
  <c r="U1425" i="42" s="1"/>
  <c r="I1486" i="42"/>
  <c r="I1467" i="42"/>
  <c r="AD1467" i="42" s="1"/>
  <c r="I1504" i="42"/>
  <c r="AD1504" i="42" s="1"/>
  <c r="W1486" i="42"/>
  <c r="AF1486" i="42"/>
  <c r="I1060" i="42"/>
  <c r="U1061" i="42" s="1"/>
  <c r="I1053" i="42"/>
  <c r="U1053" i="42" s="1"/>
  <c r="AD1060" i="42"/>
  <c r="AD1053" i="42"/>
  <c r="N27" i="62"/>
  <c r="M236" i="42"/>
  <c r="AL274" i="42" s="1"/>
  <c r="Z61" i="62"/>
  <c r="AA61" i="62" s="1"/>
  <c r="M905" i="42"/>
  <c r="AL941" i="42" s="1"/>
  <c r="Y60" i="62"/>
  <c r="M682" i="42"/>
  <c r="I1009" i="42"/>
  <c r="I993" i="42"/>
  <c r="AD993" i="42" s="1"/>
  <c r="I912" i="42"/>
  <c r="U912" i="42" s="1"/>
  <c r="I975" i="42"/>
  <c r="I956" i="42"/>
  <c r="AD956" i="42" s="1"/>
  <c r="W975" i="42"/>
  <c r="AF975" i="42"/>
  <c r="AE975" i="42"/>
  <c r="V975" i="42"/>
  <c r="AF1009" i="42"/>
  <c r="W1009" i="42"/>
  <c r="V1009" i="42"/>
  <c r="AE1009" i="42"/>
  <c r="X920" i="42"/>
  <c r="X975" i="42"/>
  <c r="AG975" i="42"/>
  <c r="X1009" i="42"/>
  <c r="AG1009" i="42"/>
  <c r="W920" i="42"/>
  <c r="V920" i="42"/>
  <c r="X788" i="42"/>
  <c r="AG788" i="42"/>
  <c r="X697" i="42"/>
  <c r="AD897" i="42"/>
  <c r="I889" i="42"/>
  <c r="U889" i="42" s="1"/>
  <c r="AD881" i="42"/>
  <c r="I866" i="42"/>
  <c r="AD893" i="42"/>
  <c r="I852" i="42"/>
  <c r="I885" i="42"/>
  <c r="U885" i="42" s="1"/>
  <c r="AD866" i="42"/>
  <c r="AD852" i="42"/>
  <c r="AD842" i="42"/>
  <c r="I881" i="42"/>
  <c r="U881" i="42" s="1"/>
  <c r="I788" i="42"/>
  <c r="I893" i="42"/>
  <c r="U893" i="42" s="1"/>
  <c r="AD885" i="42"/>
  <c r="I842" i="42"/>
  <c r="U842" i="42" s="1"/>
  <c r="I754" i="42"/>
  <c r="I897" i="42"/>
  <c r="U897" i="42" s="1"/>
  <c r="I689" i="42"/>
  <c r="U689" i="42" s="1"/>
  <c r="I772" i="42"/>
  <c r="AD772" i="42" s="1"/>
  <c r="AD889" i="42"/>
  <c r="I735" i="42"/>
  <c r="AD735" i="42" s="1"/>
  <c r="W697" i="42"/>
  <c r="W754" i="42"/>
  <c r="AF754" i="42"/>
  <c r="V754" i="42"/>
  <c r="AE754" i="42"/>
  <c r="AG754" i="42"/>
  <c r="X754" i="42"/>
  <c r="V697" i="42"/>
  <c r="AF788" i="42"/>
  <c r="W788" i="42"/>
  <c r="AE788" i="42"/>
  <c r="V788" i="42"/>
  <c r="X474" i="42"/>
  <c r="X531" i="42"/>
  <c r="AG531" i="42"/>
  <c r="AG565" i="42"/>
  <c r="X565" i="42"/>
  <c r="W474" i="42"/>
  <c r="W565" i="42"/>
  <c r="AF565" i="42"/>
  <c r="AD674" i="42"/>
  <c r="I666" i="42"/>
  <c r="U666" i="42" s="1"/>
  <c r="AD658" i="42"/>
  <c r="I643" i="42"/>
  <c r="AD670" i="42"/>
  <c r="I662" i="42"/>
  <c r="U662" i="42" s="1"/>
  <c r="AD643" i="42"/>
  <c r="I629" i="42"/>
  <c r="AD666" i="42"/>
  <c r="AD629" i="42"/>
  <c r="AD619" i="42"/>
  <c r="AD662" i="42"/>
  <c r="I658" i="42"/>
  <c r="U658" i="42" s="1"/>
  <c r="I549" i="42"/>
  <c r="AD549" i="42" s="1"/>
  <c r="I565" i="42"/>
  <c r="I619" i="42"/>
  <c r="U619" i="42" s="1"/>
  <c r="I674" i="42"/>
  <c r="U674" i="42" s="1"/>
  <c r="I466" i="42"/>
  <c r="U466" i="42" s="1"/>
  <c r="I670" i="42"/>
  <c r="U670" i="42" s="1"/>
  <c r="I512" i="42"/>
  <c r="AD512" i="42" s="1"/>
  <c r="I531" i="42"/>
  <c r="AE531" i="42"/>
  <c r="V531" i="42"/>
  <c r="W531" i="42"/>
  <c r="AF531" i="42"/>
  <c r="V474" i="42"/>
  <c r="V565" i="42"/>
  <c r="AE565" i="42"/>
  <c r="AD447" i="42"/>
  <c r="I439" i="42"/>
  <c r="U439" i="42" s="1"/>
  <c r="AD420" i="42"/>
  <c r="I451" i="42"/>
  <c r="U451" i="42" s="1"/>
  <c r="AD443" i="42"/>
  <c r="I435" i="42"/>
  <c r="U435" i="42" s="1"/>
  <c r="AD451" i="42"/>
  <c r="I443" i="42"/>
  <c r="U443" i="42" s="1"/>
  <c r="AD435" i="42"/>
  <c r="AD406" i="42"/>
  <c r="AD396" i="42"/>
  <c r="I420" i="42"/>
  <c r="AD439" i="42"/>
  <c r="I406" i="42"/>
  <c r="I342" i="42"/>
  <c r="I447" i="42"/>
  <c r="U447" i="42" s="1"/>
  <c r="I396" i="42"/>
  <c r="U396" i="42" s="1"/>
  <c r="I289" i="42"/>
  <c r="AD289" i="42" s="1"/>
  <c r="I243" i="42"/>
  <c r="I326" i="42"/>
  <c r="AD326" i="42" s="1"/>
  <c r="I308" i="42"/>
  <c r="AF342" i="42"/>
  <c r="W342" i="42"/>
  <c r="W243" i="42"/>
  <c r="V243" i="42"/>
  <c r="V342" i="42"/>
  <c r="AE342" i="42"/>
  <c r="AG308" i="42"/>
  <c r="X308" i="42"/>
  <c r="W308" i="42"/>
  <c r="AF308" i="42"/>
  <c r="X243" i="42"/>
  <c r="AG342" i="42"/>
  <c r="X342" i="42"/>
  <c r="AE308" i="42"/>
  <c r="V308" i="42"/>
  <c r="N28" i="62"/>
  <c r="N29" i="62"/>
  <c r="N357" i="50"/>
  <c r="J436" i="41"/>
  <c r="J370" i="50" s="1"/>
  <c r="K436" i="41"/>
  <c r="K370" i="50" s="1"/>
  <c r="I436" i="41"/>
  <c r="I370" i="50" s="1"/>
  <c r="H456" i="41"/>
  <c r="Z29" i="62"/>
  <c r="AA29" i="62" s="1"/>
  <c r="N250" i="41"/>
  <c r="Z28" i="62"/>
  <c r="AA28" i="62" s="1"/>
  <c r="N337" i="50"/>
  <c r="Z30" i="62"/>
  <c r="AA30" i="62" s="1"/>
  <c r="M135" i="50"/>
  <c r="M114" i="50"/>
  <c r="M111" i="50"/>
  <c r="M134" i="50" s="1"/>
  <c r="M96" i="50"/>
  <c r="M119" i="50" s="1"/>
  <c r="M102" i="50"/>
  <c r="M125" i="50" s="1"/>
  <c r="M99" i="50"/>
  <c r="M122" i="50" s="1"/>
  <c r="M104" i="50"/>
  <c r="M127" i="50" s="1"/>
  <c r="M115" i="50"/>
  <c r="M138" i="50" s="1"/>
  <c r="M107" i="50"/>
  <c r="M130" i="50" s="1"/>
  <c r="M100" i="50"/>
  <c r="M123" i="50" s="1"/>
  <c r="M95" i="50"/>
  <c r="M118" i="50" s="1"/>
  <c r="M98" i="50"/>
  <c r="M121" i="50" s="1"/>
  <c r="M106" i="50"/>
  <c r="M129" i="50" s="1"/>
  <c r="M101" i="50"/>
  <c r="M124" i="50" s="1"/>
  <c r="M110" i="50"/>
  <c r="M105" i="50"/>
  <c r="M128" i="50" s="1"/>
  <c r="M103" i="50"/>
  <c r="M126" i="50" s="1"/>
  <c r="M109" i="50"/>
  <c r="M113" i="50"/>
  <c r="M284" i="49" s="1"/>
  <c r="M108" i="50"/>
  <c r="M131" i="50" s="1"/>
  <c r="M97" i="50"/>
  <c r="M120" i="50" s="1"/>
  <c r="H189" i="50"/>
  <c r="H152" i="49"/>
  <c r="H190" i="50" s="1"/>
  <c r="H357" i="50"/>
  <c r="H241" i="41"/>
  <c r="H358" i="50" s="1"/>
  <c r="N164" i="50"/>
  <c r="N107" i="49"/>
  <c r="N165" i="50" s="1"/>
  <c r="H110" i="50"/>
  <c r="H96" i="50"/>
  <c r="H119" i="50" s="1"/>
  <c r="H105" i="50"/>
  <c r="H128" i="50" s="1"/>
  <c r="H99" i="50"/>
  <c r="H122" i="50" s="1"/>
  <c r="H113" i="50"/>
  <c r="H284" i="49" s="1"/>
  <c r="H102" i="50"/>
  <c r="H125" i="50" s="1"/>
  <c r="H103" i="50"/>
  <c r="H126" i="50" s="1"/>
  <c r="H109" i="50"/>
  <c r="H98" i="50"/>
  <c r="H121" i="50" s="1"/>
  <c r="H107" i="50"/>
  <c r="H130" i="50" s="1"/>
  <c r="H104" i="50"/>
  <c r="H127" i="50" s="1"/>
  <c r="H97" i="50"/>
  <c r="H120" i="50" s="1"/>
  <c r="H108" i="50"/>
  <c r="H131" i="50" s="1"/>
  <c r="H101" i="50"/>
  <c r="H124" i="50" s="1"/>
  <c r="H111" i="50"/>
  <c r="H134" i="50" s="1"/>
  <c r="H100" i="50"/>
  <c r="H123" i="50" s="1"/>
  <c r="H95" i="50"/>
  <c r="H118" i="50" s="1"/>
  <c r="H106" i="50"/>
  <c r="H129" i="50" s="1"/>
  <c r="H114" i="50"/>
  <c r="I286" i="49" s="1"/>
  <c r="H107" i="49"/>
  <c r="H165" i="50" s="1"/>
  <c r="H164" i="50"/>
  <c r="K110" i="50"/>
  <c r="K101" i="50"/>
  <c r="K124" i="50" s="1"/>
  <c r="K107" i="50"/>
  <c r="K130" i="50" s="1"/>
  <c r="K135" i="50"/>
  <c r="K103" i="50"/>
  <c r="K126" i="50" s="1"/>
  <c r="K100" i="50"/>
  <c r="K123" i="50" s="1"/>
  <c r="K96" i="50"/>
  <c r="K119" i="50" s="1"/>
  <c r="K113" i="50"/>
  <c r="K284" i="49" s="1"/>
  <c r="K105" i="50"/>
  <c r="K128" i="50" s="1"/>
  <c r="K109" i="50"/>
  <c r="K115" i="50"/>
  <c r="K138" i="50" s="1"/>
  <c r="K97" i="50"/>
  <c r="K120" i="50" s="1"/>
  <c r="K95" i="50"/>
  <c r="K118" i="50" s="1"/>
  <c r="K111" i="50"/>
  <c r="K134" i="50" s="1"/>
  <c r="K108" i="50"/>
  <c r="K131" i="50" s="1"/>
  <c r="K99" i="50"/>
  <c r="K122" i="50" s="1"/>
  <c r="K102" i="50"/>
  <c r="K125" i="50" s="1"/>
  <c r="K114" i="50"/>
  <c r="K104" i="50"/>
  <c r="K127" i="50" s="1"/>
  <c r="K98" i="50"/>
  <c r="K121" i="50" s="1"/>
  <c r="K106" i="50"/>
  <c r="K129" i="50" s="1"/>
  <c r="L137" i="50"/>
  <c r="L136" i="50"/>
  <c r="M219" i="41"/>
  <c r="M341" i="50" s="1"/>
  <c r="N110" i="50"/>
  <c r="N109" i="50"/>
  <c r="N108" i="50"/>
  <c r="N131" i="50" s="1"/>
  <c r="N96" i="50"/>
  <c r="N119" i="50" s="1"/>
  <c r="N100" i="50"/>
  <c r="N123" i="50" s="1"/>
  <c r="N101" i="50"/>
  <c r="N124" i="50" s="1"/>
  <c r="N115" i="50"/>
  <c r="N138" i="50" s="1"/>
  <c r="N97" i="50"/>
  <c r="N120" i="50" s="1"/>
  <c r="N98" i="50"/>
  <c r="N121" i="50" s="1"/>
  <c r="N135" i="50"/>
  <c r="N103" i="50"/>
  <c r="N126" i="50" s="1"/>
  <c r="N114" i="50"/>
  <c r="N95" i="50"/>
  <c r="N118" i="50" s="1"/>
  <c r="N107" i="50"/>
  <c r="N130" i="50" s="1"/>
  <c r="N113" i="50"/>
  <c r="N284" i="49" s="1"/>
  <c r="N104" i="50"/>
  <c r="N127" i="50" s="1"/>
  <c r="N99" i="50"/>
  <c r="N122" i="50" s="1"/>
  <c r="N102" i="50"/>
  <c r="N125" i="50" s="1"/>
  <c r="N111" i="50"/>
  <c r="N134" i="50" s="1"/>
  <c r="N105" i="50"/>
  <c r="N128" i="50" s="1"/>
  <c r="N106" i="50"/>
  <c r="N129" i="50" s="1"/>
  <c r="J152" i="49"/>
  <c r="J190" i="50" s="1"/>
  <c r="J189" i="50"/>
  <c r="M357" i="50"/>
  <c r="M241" i="41"/>
  <c r="M358" i="50" s="1"/>
  <c r="I189" i="50"/>
  <c r="I152" i="49"/>
  <c r="I190" i="50" s="1"/>
  <c r="J110" i="50"/>
  <c r="J109" i="50"/>
  <c r="J108" i="50"/>
  <c r="J131" i="50" s="1"/>
  <c r="J113" i="50"/>
  <c r="J284" i="49" s="1"/>
  <c r="J135" i="50"/>
  <c r="J115" i="50"/>
  <c r="J138" i="50" s="1"/>
  <c r="J100" i="50"/>
  <c r="J123" i="50" s="1"/>
  <c r="J105" i="50"/>
  <c r="J128" i="50" s="1"/>
  <c r="J96" i="50"/>
  <c r="J119" i="50" s="1"/>
  <c r="J97" i="50"/>
  <c r="J120" i="50" s="1"/>
  <c r="J95" i="50"/>
  <c r="J118" i="50" s="1"/>
  <c r="J102" i="50"/>
  <c r="J125" i="50" s="1"/>
  <c r="J104" i="50"/>
  <c r="J127" i="50" s="1"/>
  <c r="J107" i="50"/>
  <c r="J130" i="50" s="1"/>
  <c r="J99" i="50"/>
  <c r="J122" i="50" s="1"/>
  <c r="J101" i="50"/>
  <c r="J124" i="50" s="1"/>
  <c r="J103" i="50"/>
  <c r="J126" i="50" s="1"/>
  <c r="J98" i="50"/>
  <c r="J121" i="50" s="1"/>
  <c r="J106" i="50"/>
  <c r="J129" i="50" s="1"/>
  <c r="J111" i="50"/>
  <c r="J134" i="50" s="1"/>
  <c r="J114" i="50"/>
  <c r="M337" i="50"/>
  <c r="M250" i="41"/>
  <c r="K51" i="37"/>
  <c r="I1727" i="50"/>
  <c r="I1599" i="50"/>
  <c r="I1471" i="50"/>
  <c r="I1343" i="50"/>
  <c r="I1215" i="50"/>
  <c r="I1087" i="50"/>
  <c r="I959" i="50"/>
  <c r="I831" i="50"/>
  <c r="I703" i="50"/>
  <c r="E155" i="62"/>
  <c r="S155" i="62" s="1"/>
  <c r="E130" i="62"/>
  <c r="E153" i="62"/>
  <c r="I153" i="62" s="1"/>
  <c r="E128" i="62"/>
  <c r="E152" i="62"/>
  <c r="T152" i="62" s="1"/>
  <c r="M29" i="62"/>
  <c r="R29" i="62"/>
  <c r="E127" i="62"/>
  <c r="Z27" i="62"/>
  <c r="AA27" i="62" s="1"/>
  <c r="E154" i="62"/>
  <c r="J154" i="62" s="1"/>
  <c r="E129" i="62"/>
  <c r="L29" i="62"/>
  <c r="Y61" i="62"/>
  <c r="T45" i="41"/>
  <c r="Z60" i="62"/>
  <c r="AA60" i="62" s="1"/>
  <c r="M272" i="43"/>
  <c r="M283" i="43"/>
  <c r="T263" i="41"/>
  <c r="K2413" i="50"/>
  <c r="K2416" i="50"/>
  <c r="I367" i="47"/>
  <c r="I346" i="47"/>
  <c r="I340" i="47"/>
  <c r="AD340" i="47" s="1"/>
  <c r="I356" i="47"/>
  <c r="AF271" i="37"/>
  <c r="AF134" i="37"/>
  <c r="AF161" i="37"/>
  <c r="AF20" i="37"/>
  <c r="AF175" i="37"/>
  <c r="AF222" i="37"/>
  <c r="W20" i="37"/>
  <c r="AF283" i="37"/>
  <c r="AF149" i="37"/>
  <c r="AF184" i="37"/>
  <c r="AF247" i="37"/>
  <c r="AF279" i="37"/>
  <c r="AF212" i="37"/>
  <c r="AF51" i="37"/>
  <c r="AF203" i="37"/>
  <c r="AF192" i="37"/>
  <c r="AF256" i="37"/>
  <c r="AF265" i="37"/>
  <c r="AF188" i="37"/>
  <c r="AF91" i="37"/>
  <c r="AF59" i="37"/>
  <c r="AF126" i="37"/>
  <c r="T264" i="41"/>
  <c r="D109" i="62"/>
  <c r="I109" i="62" s="1" a="1"/>
  <c r="I109" i="62" s="1"/>
  <c r="E108" i="62"/>
  <c r="D169" i="62"/>
  <c r="E168" i="62"/>
  <c r="T167" i="62"/>
  <c r="S167" i="62"/>
  <c r="E142" i="62"/>
  <c r="D143" i="62"/>
  <c r="Y59" i="62"/>
  <c r="Z59" i="62"/>
  <c r="AA59" i="62" s="1"/>
  <c r="T265" i="41"/>
  <c r="K59" i="37"/>
  <c r="W59" i="37" s="1"/>
  <c r="Z58" i="62"/>
  <c r="AA58" i="62" s="1"/>
  <c r="Y58" i="62"/>
  <c r="K2412" i="50"/>
  <c r="H32" i="42"/>
  <c r="H151" i="42"/>
  <c r="X119" i="42"/>
  <c r="AG119" i="42"/>
  <c r="I103" i="42"/>
  <c r="AD103" i="42" s="1"/>
  <c r="I119" i="42"/>
  <c r="AG103" i="42"/>
  <c r="AE119" i="42"/>
  <c r="V119" i="42"/>
  <c r="AF119" i="42"/>
  <c r="W119" i="42"/>
  <c r="Q269" i="34"/>
  <c r="T269" i="34" s="1"/>
  <c r="W28" i="42"/>
  <c r="M415" i="43"/>
  <c r="M428" i="41"/>
  <c r="M2505" i="50"/>
  <c r="M278" i="49"/>
  <c r="M490" i="47"/>
  <c r="M2831" i="37"/>
  <c r="M1840" i="42"/>
  <c r="M277" i="49"/>
  <c r="M2504" i="50"/>
  <c r="M489" i="47"/>
  <c r="M1839" i="42"/>
  <c r="M2830" i="37"/>
  <c r="M427" i="41"/>
  <c r="N411" i="43"/>
  <c r="F4" i="34"/>
  <c r="N412" i="43"/>
  <c r="Z76" i="62" s="1"/>
  <c r="L250" i="41"/>
  <c r="L337" i="50"/>
  <c r="L219" i="41"/>
  <c r="L341" i="50" s="1"/>
  <c r="L241" i="41"/>
  <c r="L358" i="50" s="1"/>
  <c r="L357" i="50"/>
  <c r="M107" i="49"/>
  <c r="M165" i="50" s="1"/>
  <c r="M164" i="50"/>
  <c r="J107" i="49"/>
  <c r="J165" i="50" s="1"/>
  <c r="J164" i="50"/>
  <c r="L2412" i="50"/>
  <c r="L2413" i="50"/>
  <c r="V20" i="37"/>
  <c r="AE283" i="37"/>
  <c r="AE126" i="37"/>
  <c r="AE222" i="37"/>
  <c r="AE256" i="37"/>
  <c r="AE271" i="37"/>
  <c r="AE51" i="37"/>
  <c r="AE203" i="37"/>
  <c r="AE279" i="37"/>
  <c r="AE59" i="37"/>
  <c r="AE149" i="37"/>
  <c r="AE134" i="37"/>
  <c r="AE265" i="37"/>
  <c r="AE188" i="37"/>
  <c r="AE20" i="37"/>
  <c r="AE175" i="37"/>
  <c r="AE161" i="37"/>
  <c r="AE184" i="37"/>
  <c r="AE192" i="37"/>
  <c r="AE91" i="37"/>
  <c r="AE212" i="37"/>
  <c r="AE247" i="37"/>
  <c r="X28" i="42"/>
  <c r="I72" i="49"/>
  <c r="I211" i="49"/>
  <c r="I190" i="49"/>
  <c r="I99" i="49"/>
  <c r="I114" i="49"/>
  <c r="I127" i="49"/>
  <c r="T20" i="49"/>
  <c r="I145" i="49"/>
  <c r="I237" i="49"/>
  <c r="I150" i="49"/>
  <c r="I34" i="49"/>
  <c r="I251" i="49"/>
  <c r="S251" i="49" s="1"/>
  <c r="I61" i="49"/>
  <c r="I202" i="49"/>
  <c r="S202" i="49" s="1"/>
  <c r="I247" i="49"/>
  <c r="I218" i="49"/>
  <c r="I140" i="49"/>
  <c r="I20" i="49"/>
  <c r="AC20" i="49" s="1"/>
  <c r="I118" i="49"/>
  <c r="I82" i="49"/>
  <c r="I197" i="49"/>
  <c r="I135" i="49"/>
  <c r="I242" i="49"/>
  <c r="I122" i="49"/>
  <c r="I56" i="49"/>
  <c r="I105" i="49"/>
  <c r="I91" i="49"/>
  <c r="I266" i="49"/>
  <c r="I261" i="49"/>
  <c r="I184" i="49"/>
  <c r="I66" i="49"/>
  <c r="L51" i="37"/>
  <c r="L59" i="37"/>
  <c r="X59" i="37" s="1"/>
  <c r="I448" i="41"/>
  <c r="I398" i="41"/>
  <c r="I467" i="50" s="1"/>
  <c r="I249" i="41"/>
  <c r="I364" i="50" s="1"/>
  <c r="I168" i="41"/>
  <c r="I301" i="50" s="1"/>
  <c r="I127" i="41"/>
  <c r="I272" i="50" s="1"/>
  <c r="I160" i="41"/>
  <c r="I295" i="50" s="1"/>
  <c r="I334" i="41"/>
  <c r="I419" i="50" s="1"/>
  <c r="I315" i="41"/>
  <c r="I402" i="50" s="1"/>
  <c r="I228" i="41"/>
  <c r="I347" i="50" s="1"/>
  <c r="I112" i="41"/>
  <c r="I260" i="50" s="1"/>
  <c r="I365" i="41"/>
  <c r="I445" i="50" s="1"/>
  <c r="I261" i="41"/>
  <c r="I349" i="41"/>
  <c r="I433" i="50" s="1"/>
  <c r="I137" i="41"/>
  <c r="I279" i="50" s="1"/>
  <c r="I55" i="41"/>
  <c r="I210" i="41"/>
  <c r="I334" i="50" s="1"/>
  <c r="I121" i="41"/>
  <c r="I268" i="50" s="1"/>
  <c r="I286" i="41"/>
  <c r="I379" i="50" s="1"/>
  <c r="I71" i="41"/>
  <c r="I302" i="41"/>
  <c r="I393" i="50" s="1"/>
  <c r="I42" i="41"/>
  <c r="I239" i="41"/>
  <c r="I356" i="50" s="1"/>
  <c r="I198" i="41"/>
  <c r="I324" i="50" s="1"/>
  <c r="I19" i="41"/>
  <c r="W19" i="41" s="1"/>
  <c r="I323" i="41"/>
  <c r="I409" i="50" s="1"/>
  <c r="I493" i="47"/>
  <c r="I2834" i="37"/>
  <c r="I281" i="49"/>
  <c r="J51" i="37"/>
  <c r="J59" i="37"/>
  <c r="V59" i="37" s="1"/>
  <c r="AG20" i="37"/>
  <c r="AG134" i="37"/>
  <c r="AG175" i="37"/>
  <c r="AG59" i="37"/>
  <c r="X20" i="37"/>
  <c r="AG212" i="37"/>
  <c r="AG192" i="37"/>
  <c r="AG203" i="37"/>
  <c r="AG51" i="37"/>
  <c r="AG161" i="37"/>
  <c r="AG283" i="37"/>
  <c r="AG91" i="37"/>
  <c r="AG188" i="37"/>
  <c r="AG279" i="37"/>
  <c r="AG271" i="37"/>
  <c r="AG247" i="37"/>
  <c r="AG256" i="37"/>
  <c r="AG126" i="37"/>
  <c r="AG265" i="37"/>
  <c r="AG184" i="37"/>
  <c r="AG149" i="37"/>
  <c r="AG222" i="37"/>
  <c r="AD173" i="42"/>
  <c r="I197" i="42"/>
  <c r="AD228" i="42"/>
  <c r="I224" i="42"/>
  <c r="U224" i="42" s="1"/>
  <c r="AD224" i="42"/>
  <c r="AD212" i="42"/>
  <c r="I173" i="42"/>
  <c r="U173" i="42" s="1"/>
  <c r="I212" i="42"/>
  <c r="U212" i="42" s="1"/>
  <c r="I20" i="42"/>
  <c r="U20" i="42" s="1"/>
  <c r="I216" i="42"/>
  <c r="U216" i="42" s="1"/>
  <c r="AD216" i="42"/>
  <c r="I228" i="42"/>
  <c r="U228" i="42" s="1"/>
  <c r="AD220" i="42"/>
  <c r="I183" i="42"/>
  <c r="AD183" i="42"/>
  <c r="I66" i="42"/>
  <c r="AD66" i="42" s="1"/>
  <c r="AD197" i="42"/>
  <c r="I85" i="42"/>
  <c r="I220" i="42"/>
  <c r="U220" i="42" s="1"/>
  <c r="H1840" i="42"/>
  <c r="H2831" i="37"/>
  <c r="H278" i="49"/>
  <c r="H2505" i="50"/>
  <c r="H415" i="43"/>
  <c r="H490" i="47"/>
  <c r="H428" i="41"/>
  <c r="AE85" i="42"/>
  <c r="V85" i="42"/>
  <c r="X85" i="42"/>
  <c r="AG85" i="42"/>
  <c r="W85" i="42"/>
  <c r="AF85" i="42"/>
  <c r="I423" i="47"/>
  <c r="AD423" i="47" s="1"/>
  <c r="I121" i="47"/>
  <c r="I254" i="47"/>
  <c r="AD254" i="47" s="1"/>
  <c r="I289" i="47"/>
  <c r="AD289" i="47" s="1"/>
  <c r="I162" i="47"/>
  <c r="I112" i="47"/>
  <c r="AD112" i="47" s="1"/>
  <c r="I295" i="47"/>
  <c r="I269" i="47"/>
  <c r="I188" i="47"/>
  <c r="I404" i="47"/>
  <c r="I433" i="47"/>
  <c r="I146" i="47"/>
  <c r="AD146" i="47" s="1"/>
  <c r="I316" i="47"/>
  <c r="I180" i="47"/>
  <c r="AD180" i="47" s="1"/>
  <c r="I455" i="47"/>
  <c r="AD455" i="47" s="1"/>
  <c r="I155" i="47"/>
  <c r="I216" i="47"/>
  <c r="I94" i="47"/>
  <c r="I305" i="47"/>
  <c r="I31" i="47"/>
  <c r="AD31" i="47" s="1"/>
  <c r="I128" i="47"/>
  <c r="I207" i="47"/>
  <c r="I196" i="47"/>
  <c r="I391" i="47"/>
  <c r="AD391" i="47" s="1"/>
  <c r="I397" i="47"/>
  <c r="J2413" i="50"/>
  <c r="J2412" i="50"/>
  <c r="I134" i="37"/>
  <c r="I2837" i="37"/>
  <c r="I59" i="37"/>
  <c r="U59" i="37" s="1"/>
  <c r="I149" i="37"/>
  <c r="U153" i="37" s="1"/>
  <c r="I222" i="37"/>
  <c r="I203" i="37"/>
  <c r="I247" i="37"/>
  <c r="U249" i="37" s="1"/>
  <c r="I188" i="37"/>
  <c r="I279" i="37"/>
  <c r="I256" i="37"/>
  <c r="U259" i="37" s="1"/>
  <c r="I51" i="37"/>
  <c r="I184" i="37"/>
  <c r="U184" i="37" s="1"/>
  <c r="I20" i="37"/>
  <c r="I283" i="37"/>
  <c r="I126" i="37"/>
  <c r="U126" i="37" s="1"/>
  <c r="I192" i="37"/>
  <c r="U192" i="37" s="1"/>
  <c r="I265" i="37"/>
  <c r="U265" i="37" s="1"/>
  <c r="I91" i="37"/>
  <c r="I175" i="37"/>
  <c r="U175" i="37" s="1"/>
  <c r="I212" i="37"/>
  <c r="I161" i="37"/>
  <c r="U165" i="37" s="1"/>
  <c r="I2842" i="37"/>
  <c r="I154" i="50"/>
  <c r="I575" i="50"/>
  <c r="I61" i="50"/>
  <c r="I208" i="50"/>
  <c r="I196" i="50"/>
  <c r="I144" i="50"/>
  <c r="I179" i="50"/>
  <c r="I233" i="50"/>
  <c r="I185" i="50"/>
  <c r="I174" i="50"/>
  <c r="I1824" i="50"/>
  <c r="I149" i="50"/>
  <c r="I94" i="50"/>
  <c r="I220" i="50"/>
  <c r="I368" i="50"/>
  <c r="I169" i="50"/>
  <c r="I117" i="50"/>
  <c r="I160" i="50"/>
  <c r="L164" i="50"/>
  <c r="L107" i="49"/>
  <c r="L165" i="50" s="1"/>
  <c r="L189" i="50"/>
  <c r="L152" i="49"/>
  <c r="L190" i="50" s="1"/>
  <c r="I137" i="50"/>
  <c r="I136" i="50"/>
  <c r="K2129" i="50" l="1"/>
  <c r="N2125" i="50"/>
  <c r="I2124" i="50"/>
  <c r="K2122" i="50"/>
  <c r="M2120" i="50"/>
  <c r="I2129" i="50"/>
  <c r="N2123" i="50"/>
  <c r="N2130" i="50"/>
  <c r="J2129" i="50"/>
  <c r="M2125" i="50"/>
  <c r="H2124" i="50"/>
  <c r="J2122" i="50"/>
  <c r="L2120" i="50"/>
  <c r="L2125" i="50"/>
  <c r="K2120" i="50"/>
  <c r="N2121" i="50"/>
  <c r="L2130" i="50"/>
  <c r="H2129" i="50"/>
  <c r="K2125" i="50"/>
  <c r="M2123" i="50"/>
  <c r="H2122" i="50"/>
  <c r="J2120" i="50"/>
  <c r="K2130" i="50"/>
  <c r="J2125" i="50"/>
  <c r="L2123" i="50"/>
  <c r="J2130" i="50"/>
  <c r="N2127" i="50"/>
  <c r="I2125" i="50"/>
  <c r="K2123" i="50"/>
  <c r="M2121" i="50"/>
  <c r="H2120" i="50"/>
  <c r="N2129" i="50"/>
  <c r="I2121" i="50"/>
  <c r="I2127" i="50"/>
  <c r="H2121" i="50"/>
  <c r="I2130" i="50"/>
  <c r="M2127" i="50"/>
  <c r="H2125" i="50"/>
  <c r="J2123" i="50"/>
  <c r="L2121" i="50"/>
  <c r="N2122" i="50"/>
  <c r="M2129" i="50"/>
  <c r="H2130" i="50"/>
  <c r="L2127" i="50"/>
  <c r="N2124" i="50"/>
  <c r="I2123" i="50"/>
  <c r="K2121" i="50"/>
  <c r="L2124" i="50"/>
  <c r="K2124" i="50"/>
  <c r="K2127" i="50"/>
  <c r="M2124" i="50"/>
  <c r="H2123" i="50"/>
  <c r="J2121" i="50"/>
  <c r="J2127" i="50"/>
  <c r="M2122" i="50"/>
  <c r="L2129" i="50"/>
  <c r="H2127" i="50"/>
  <c r="J2124" i="50"/>
  <c r="L2122" i="50"/>
  <c r="N2120" i="50"/>
  <c r="M2130" i="50"/>
  <c r="I2122" i="50"/>
  <c r="I2120" i="50"/>
  <c r="L30" i="62"/>
  <c r="N30" i="62"/>
  <c r="M30" i="62"/>
  <c r="R30" i="62"/>
  <c r="I285" i="49"/>
  <c r="M1893" i="50"/>
  <c r="L1893" i="50"/>
  <c r="K1893" i="50"/>
  <c r="N1893" i="50"/>
  <c r="J1893" i="50"/>
  <c r="N1966" i="50"/>
  <c r="J1966" i="50"/>
  <c r="M1966" i="50"/>
  <c r="L1966" i="50"/>
  <c r="K1966" i="50"/>
  <c r="K2112" i="50"/>
  <c r="N2112" i="50"/>
  <c r="J2112" i="50"/>
  <c r="M2112" i="50"/>
  <c r="L2112" i="50"/>
  <c r="K286" i="43"/>
  <c r="K2451" i="50" s="1"/>
  <c r="M286" i="43"/>
  <c r="M2451" i="50" s="1"/>
  <c r="L286" i="43"/>
  <c r="L2451" i="50" s="1"/>
  <c r="N286" i="43"/>
  <c r="N2451" i="50" s="1"/>
  <c r="J286" i="43"/>
  <c r="J2451" i="50" s="1"/>
  <c r="H1657" i="50"/>
  <c r="H1529" i="50"/>
  <c r="H1145" i="50"/>
  <c r="H1273" i="50"/>
  <c r="H1401" i="50"/>
  <c r="H761" i="50"/>
  <c r="H633" i="50"/>
  <c r="H889" i="50"/>
  <c r="H1017" i="50"/>
  <c r="M1717" i="50"/>
  <c r="M1665" i="50"/>
  <c r="U1657" i="50"/>
  <c r="M1569" i="50"/>
  <c r="M1537" i="50"/>
  <c r="U1529" i="50"/>
  <c r="M1441" i="50"/>
  <c r="M1153" i="50"/>
  <c r="U1145" i="50"/>
  <c r="M929" i="50"/>
  <c r="M917" i="50"/>
  <c r="M1705" i="50"/>
  <c r="M1685" i="50"/>
  <c r="M1673" i="50"/>
  <c r="M1661" i="50"/>
  <c r="M1657" i="50"/>
  <c r="M1589" i="50"/>
  <c r="M1557" i="50"/>
  <c r="M1545" i="50"/>
  <c r="M1533" i="50"/>
  <c r="M1529" i="50"/>
  <c r="M1461" i="50"/>
  <c r="M1409" i="50"/>
  <c r="U1401" i="50"/>
  <c r="M1313" i="50"/>
  <c r="M1281" i="50"/>
  <c r="U1273" i="50"/>
  <c r="M1185" i="50"/>
  <c r="M1173" i="50"/>
  <c r="M1161" i="50"/>
  <c r="M1149" i="50"/>
  <c r="M1145" i="50"/>
  <c r="M949" i="50"/>
  <c r="M923" i="50"/>
  <c r="M911" i="50"/>
  <c r="M1691" i="50"/>
  <c r="M1679" i="50"/>
  <c r="M1577" i="50"/>
  <c r="M1563" i="50"/>
  <c r="M1551" i="50"/>
  <c r="M1449" i="50"/>
  <c r="M1435" i="50"/>
  <c r="M1429" i="50"/>
  <c r="M1417" i="50"/>
  <c r="M1405" i="50"/>
  <c r="M1401" i="50"/>
  <c r="M1333" i="50"/>
  <c r="M1301" i="50"/>
  <c r="M1289" i="50"/>
  <c r="M1277" i="50"/>
  <c r="M1273" i="50"/>
  <c r="M1205" i="50"/>
  <c r="M1179" i="50"/>
  <c r="M1167" i="50"/>
  <c r="M937" i="50"/>
  <c r="M1321" i="50"/>
  <c r="M1307" i="50"/>
  <c r="M1295" i="50"/>
  <c r="M897" i="50"/>
  <c r="U889" i="50"/>
  <c r="M801" i="50"/>
  <c r="M789" i="50"/>
  <c r="M777" i="50"/>
  <c r="M765" i="50"/>
  <c r="M761" i="50"/>
  <c r="M1077" i="50"/>
  <c r="M1025" i="50"/>
  <c r="U1017" i="50"/>
  <c r="M673" i="50"/>
  <c r="M661" i="50"/>
  <c r="M649" i="50"/>
  <c r="M637" i="50"/>
  <c r="M633" i="50"/>
  <c r="M1697" i="50"/>
  <c r="M905" i="50"/>
  <c r="M1057" i="50"/>
  <c r="M1423" i="50"/>
  <c r="M893" i="50"/>
  <c r="M889" i="50"/>
  <c r="M821" i="50"/>
  <c r="M795" i="50"/>
  <c r="M783" i="50"/>
  <c r="M1065" i="50"/>
  <c r="M1045" i="50"/>
  <c r="M1033" i="50"/>
  <c r="M1021" i="50"/>
  <c r="M1017" i="50"/>
  <c r="M693" i="50"/>
  <c r="M667" i="50"/>
  <c r="M655" i="50"/>
  <c r="M769" i="50"/>
  <c r="U761" i="50"/>
  <c r="M641" i="50"/>
  <c r="M809" i="50"/>
  <c r="M1051" i="50"/>
  <c r="M1039" i="50"/>
  <c r="M681" i="50"/>
  <c r="M1193" i="50"/>
  <c r="U633" i="50"/>
  <c r="M225" i="47"/>
  <c r="M219" i="47"/>
  <c r="Y219" i="47" s="1"/>
  <c r="Y228" i="47" s="1"/>
  <c r="H1907" i="50"/>
  <c r="I1893" i="50"/>
  <c r="I1966" i="50"/>
  <c r="J286" i="49"/>
  <c r="J285" i="49"/>
  <c r="K286" i="49"/>
  <c r="K285" i="49"/>
  <c r="H286" i="49"/>
  <c r="H285" i="49"/>
  <c r="N286" i="49"/>
  <c r="N285" i="49"/>
  <c r="M286" i="49"/>
  <c r="M285" i="49"/>
  <c r="H505" i="50"/>
  <c r="M565" i="50"/>
  <c r="M553" i="50"/>
  <c r="M545" i="50"/>
  <c r="M539" i="50"/>
  <c r="M533" i="50"/>
  <c r="M527" i="50"/>
  <c r="M521" i="50"/>
  <c r="M513" i="50"/>
  <c r="M509" i="50"/>
  <c r="M505" i="50"/>
  <c r="T46" i="41"/>
  <c r="M1076" i="42"/>
  <c r="Y62" i="62"/>
  <c r="Z62" i="62"/>
  <c r="AA62" i="62" s="1"/>
  <c r="M2134" i="50"/>
  <c r="M1924" i="50"/>
  <c r="D33" i="62"/>
  <c r="E32" i="62"/>
  <c r="M62" i="62"/>
  <c r="L62" i="62"/>
  <c r="S62" i="62"/>
  <c r="U62" i="62"/>
  <c r="X31" i="62"/>
  <c r="Q31" i="62"/>
  <c r="U31" i="62"/>
  <c r="E95" i="62"/>
  <c r="D64" i="62"/>
  <c r="G63" i="62"/>
  <c r="T63" i="62" s="1"/>
  <c r="E63" i="62"/>
  <c r="M2065" i="50"/>
  <c r="I1907" i="50"/>
  <c r="L1972" i="50"/>
  <c r="H1972" i="50"/>
  <c r="K1971" i="50"/>
  <c r="H1971" i="50"/>
  <c r="K1972" i="50"/>
  <c r="N1971" i="50"/>
  <c r="J1971" i="50"/>
  <c r="I1972" i="50"/>
  <c r="N1972" i="50"/>
  <c r="J1972" i="50"/>
  <c r="M1971" i="50"/>
  <c r="I1971" i="50"/>
  <c r="M1972" i="50"/>
  <c r="L1971" i="50"/>
  <c r="J1917" i="50"/>
  <c r="N1899" i="50"/>
  <c r="J1899" i="50"/>
  <c r="M1898" i="50"/>
  <c r="I1898" i="50"/>
  <c r="J1898" i="50"/>
  <c r="M1899" i="50"/>
  <c r="I1899" i="50"/>
  <c r="L1898" i="50"/>
  <c r="H1898" i="50"/>
  <c r="N1898" i="50"/>
  <c r="L1899" i="50"/>
  <c r="H1899" i="50"/>
  <c r="K1898" i="50"/>
  <c r="K1899" i="50"/>
  <c r="N2045" i="50"/>
  <c r="J2045" i="50"/>
  <c r="M2044" i="50"/>
  <c r="I2044" i="50"/>
  <c r="J2044" i="50"/>
  <c r="M2045" i="50"/>
  <c r="I2045" i="50"/>
  <c r="L2044" i="50"/>
  <c r="H2044" i="50"/>
  <c r="N2044" i="50"/>
  <c r="L2045" i="50"/>
  <c r="H2045" i="50"/>
  <c r="K2044" i="50"/>
  <c r="K2045" i="50"/>
  <c r="L2052" i="50"/>
  <c r="K2056" i="50"/>
  <c r="I2064" i="50"/>
  <c r="N1922" i="50"/>
  <c r="H1919" i="50"/>
  <c r="J2053" i="50"/>
  <c r="N2070" i="50"/>
  <c r="M1909" i="50"/>
  <c r="L1907" i="50"/>
  <c r="L2067" i="50"/>
  <c r="K2050" i="50"/>
  <c r="L2064" i="50"/>
  <c r="M1922" i="50"/>
  <c r="N1924" i="50"/>
  <c r="K1909" i="50"/>
  <c r="H1923" i="50"/>
  <c r="L2056" i="50"/>
  <c r="M2062" i="50"/>
  <c r="I2063" i="50"/>
  <c r="N2067" i="50"/>
  <c r="L2066" i="50"/>
  <c r="K2052" i="50"/>
  <c r="H2056" i="50"/>
  <c r="H2068" i="50"/>
  <c r="H2061" i="50"/>
  <c r="N2049" i="50"/>
  <c r="J2051" i="50"/>
  <c r="M2053" i="50"/>
  <c r="L2055" i="50"/>
  <c r="J2063" i="50"/>
  <c r="M2059" i="50"/>
  <c r="N2055" i="50"/>
  <c r="I2056" i="50"/>
  <c r="J2061" i="50"/>
  <c r="J2059" i="50"/>
  <c r="N2064" i="50"/>
  <c r="I2066" i="50"/>
  <c r="H2062" i="50"/>
  <c r="L2051" i="50"/>
  <c r="I2050" i="50"/>
  <c r="H1904" i="50"/>
  <c r="I1919" i="50"/>
  <c r="L1918" i="50"/>
  <c r="K1919" i="50"/>
  <c r="H2067" i="50"/>
  <c r="H2050" i="50"/>
  <c r="N2066" i="50"/>
  <c r="L2068" i="50"/>
  <c r="M2068" i="50"/>
  <c r="K2068" i="50"/>
  <c r="L2049" i="50"/>
  <c r="H2063" i="50"/>
  <c r="N2050" i="50"/>
  <c r="J2055" i="50"/>
  <c r="N2068" i="50"/>
  <c r="I2059" i="50"/>
  <c r="K2053" i="50"/>
  <c r="K2065" i="50"/>
  <c r="J2064" i="50"/>
  <c r="H2065" i="50"/>
  <c r="M2051" i="50"/>
  <c r="H2054" i="50"/>
  <c r="I2070" i="50"/>
  <c r="N2051" i="50"/>
  <c r="K2059" i="50"/>
  <c r="M2055" i="50"/>
  <c r="N2069" i="50"/>
  <c r="I2068" i="50"/>
  <c r="K2049" i="50"/>
  <c r="I2053" i="50"/>
  <c r="N2062" i="50"/>
  <c r="L2059" i="50"/>
  <c r="L2063" i="50"/>
  <c r="K2055" i="50"/>
  <c r="L2069" i="50"/>
  <c r="K2062" i="50"/>
  <c r="J2049" i="50"/>
  <c r="J2066" i="50"/>
  <c r="H2049" i="50"/>
  <c r="K2067" i="50"/>
  <c r="K2051" i="50"/>
  <c r="M2056" i="50"/>
  <c r="L2050" i="50"/>
  <c r="M2063" i="50"/>
  <c r="I2049" i="50"/>
  <c r="I2055" i="50"/>
  <c r="H2066" i="50"/>
  <c r="N2063" i="50"/>
  <c r="N2059" i="50"/>
  <c r="J2054" i="50"/>
  <c r="H2051" i="50"/>
  <c r="I2061" i="50"/>
  <c r="L2062" i="50"/>
  <c r="K2063" i="50"/>
  <c r="M2069" i="50"/>
  <c r="M2070" i="50"/>
  <c r="N2061" i="50"/>
  <c r="N2056" i="50"/>
  <c r="L2065" i="50"/>
  <c r="J2067" i="50"/>
  <c r="N2052" i="50"/>
  <c r="K2070" i="50"/>
  <c r="I2067" i="50"/>
  <c r="J2052" i="50"/>
  <c r="H2053" i="50"/>
  <c r="M2054" i="50"/>
  <c r="H2064" i="50"/>
  <c r="J2056" i="50"/>
  <c r="M2067" i="50"/>
  <c r="K2054" i="50"/>
  <c r="I2054" i="50"/>
  <c r="M2004" i="50"/>
  <c r="L275" i="43"/>
  <c r="L2449" i="50" s="1"/>
  <c r="H2069" i="50"/>
  <c r="M2061" i="50"/>
  <c r="N2065" i="50"/>
  <c r="J2070" i="50"/>
  <c r="M2050" i="50"/>
  <c r="K2061" i="50"/>
  <c r="L2054" i="50"/>
  <c r="L2053" i="50"/>
  <c r="K2064" i="50"/>
  <c r="J2050" i="50"/>
  <c r="H2070" i="50"/>
  <c r="M2049" i="50"/>
  <c r="M2064" i="50"/>
  <c r="L2061" i="50"/>
  <c r="J2069" i="50"/>
  <c r="M2052" i="50"/>
  <c r="H2059" i="50"/>
  <c r="J2068" i="50"/>
  <c r="L2070" i="50"/>
  <c r="K2066" i="50"/>
  <c r="N2053" i="50"/>
  <c r="I2051" i="50"/>
  <c r="J2065" i="50"/>
  <c r="H2055" i="50"/>
  <c r="M2066" i="50"/>
  <c r="N2054" i="50"/>
  <c r="J2062" i="50"/>
  <c r="I2062" i="50"/>
  <c r="K2069" i="50"/>
  <c r="I2065" i="50"/>
  <c r="I2052" i="50"/>
  <c r="H2052" i="50"/>
  <c r="N1910" i="50"/>
  <c r="N1915" i="50"/>
  <c r="M1906" i="50"/>
  <c r="K1915" i="50"/>
  <c r="M1917" i="50"/>
  <c r="L1916" i="50"/>
  <c r="J1915" i="50"/>
  <c r="M1903" i="50"/>
  <c r="H1909" i="50"/>
  <c r="J1916" i="50"/>
  <c r="N1921" i="50"/>
  <c r="I1913" i="50"/>
  <c r="K1913" i="50"/>
  <c r="L1917" i="50"/>
  <c r="J1906" i="50"/>
  <c r="N1917" i="50"/>
  <c r="M1919" i="50"/>
  <c r="K1906" i="50"/>
  <c r="L1910" i="50"/>
  <c r="N1903" i="50"/>
  <c r="I1917" i="50"/>
  <c r="K1921" i="50"/>
  <c r="H1917" i="50"/>
  <c r="K1904" i="50"/>
  <c r="J1920" i="50"/>
  <c r="M1918" i="50"/>
  <c r="I1923" i="50"/>
  <c r="L1905" i="50"/>
  <c r="J1919" i="50"/>
  <c r="L1908" i="50"/>
  <c r="H1908" i="50"/>
  <c r="J1905" i="50"/>
  <c r="K1905" i="50"/>
  <c r="H1918" i="50"/>
  <c r="K1916" i="50"/>
  <c r="H1916" i="50"/>
  <c r="I1922" i="50"/>
  <c r="J1918" i="50"/>
  <c r="M1905" i="50"/>
  <c r="I1915" i="50"/>
  <c r="N1904" i="50"/>
  <c r="N1905" i="50"/>
  <c r="M1920" i="50"/>
  <c r="J1913" i="50"/>
  <c r="I1903" i="50"/>
  <c r="H1906" i="50"/>
  <c r="N1918" i="50"/>
  <c r="M1907" i="50"/>
  <c r="L1904" i="50"/>
  <c r="M1908" i="50"/>
  <c r="L1909" i="50"/>
  <c r="J1923" i="50"/>
  <c r="J1910" i="50"/>
  <c r="N1923" i="50"/>
  <c r="L1921" i="50"/>
  <c r="I1906" i="50"/>
  <c r="N1913" i="50"/>
  <c r="J1904" i="50"/>
  <c r="H1910" i="50"/>
  <c r="K1923" i="50"/>
  <c r="N1908" i="50"/>
  <c r="I1904" i="50"/>
  <c r="L1906" i="50"/>
  <c r="H1922" i="50"/>
  <c r="J1907" i="50"/>
  <c r="K1922" i="50"/>
  <c r="I1909" i="50"/>
  <c r="H1921" i="50"/>
  <c r="I1921" i="50"/>
  <c r="K1920" i="50"/>
  <c r="L1922" i="50"/>
  <c r="L1903" i="50"/>
  <c r="H1915" i="50"/>
  <c r="L1919" i="50"/>
  <c r="H1905" i="50"/>
  <c r="H1903" i="50"/>
  <c r="K1924" i="50"/>
  <c r="L1924" i="50"/>
  <c r="J1903" i="50"/>
  <c r="K1917" i="50"/>
  <c r="N1916" i="50"/>
  <c r="L1913" i="50"/>
  <c r="I1910" i="50"/>
  <c r="M1910" i="50"/>
  <c r="K1910" i="50"/>
  <c r="N1919" i="50"/>
  <c r="N1909" i="50"/>
  <c r="M1921" i="50"/>
  <c r="H1924" i="50"/>
  <c r="J1921" i="50"/>
  <c r="M1915" i="50"/>
  <c r="M1923" i="50"/>
  <c r="L1923" i="50"/>
  <c r="N1906" i="50"/>
  <c r="J1909" i="50"/>
  <c r="I1924" i="50"/>
  <c r="K1903" i="50"/>
  <c r="K1907" i="50"/>
  <c r="I1908" i="50"/>
  <c r="I1920" i="50"/>
  <c r="N1920" i="50"/>
  <c r="N1907" i="50"/>
  <c r="J1924" i="50"/>
  <c r="J1922" i="50"/>
  <c r="K1918" i="50"/>
  <c r="H1920" i="50"/>
  <c r="J1908" i="50"/>
  <c r="M1916" i="50"/>
  <c r="I1918" i="50"/>
  <c r="I1905" i="50"/>
  <c r="I1916" i="50"/>
  <c r="H1913" i="50"/>
  <c r="L1915" i="50"/>
  <c r="M1913" i="50"/>
  <c r="L1920" i="50"/>
  <c r="K1908" i="50"/>
  <c r="M1904" i="50"/>
  <c r="M2077" i="50"/>
  <c r="N2080" i="50"/>
  <c r="M2080" i="50"/>
  <c r="L2080" i="50"/>
  <c r="M1931" i="50"/>
  <c r="N1934" i="50"/>
  <c r="M1934" i="50"/>
  <c r="L1934" i="50"/>
  <c r="M1858" i="50"/>
  <c r="N1861" i="50"/>
  <c r="M1861" i="50"/>
  <c r="L1861" i="50"/>
  <c r="H1787" i="50"/>
  <c r="H2355" i="50"/>
  <c r="H2259" i="50"/>
  <c r="H1933" i="50"/>
  <c r="H2307" i="50"/>
  <c r="H2139" i="50"/>
  <c r="H2199" i="50"/>
  <c r="H1860" i="50"/>
  <c r="H2079" i="50"/>
  <c r="M1810" i="50"/>
  <c r="M1791" i="50"/>
  <c r="M1956" i="50"/>
  <c r="M1941" i="50"/>
  <c r="M2378" i="50"/>
  <c r="M2367" i="50"/>
  <c r="M2315" i="50"/>
  <c r="M2282" i="50"/>
  <c r="M2271" i="50"/>
  <c r="M2162" i="50"/>
  <c r="M2147" i="50"/>
  <c r="M2083" i="50"/>
  <c r="M2079" i="50"/>
  <c r="M1883" i="50"/>
  <c r="M1868" i="50"/>
  <c r="M1937" i="50"/>
  <c r="M1933" i="50"/>
  <c r="M2311" i="50"/>
  <c r="M2307" i="50"/>
  <c r="M2222" i="50"/>
  <c r="M2207" i="50"/>
  <c r="M1799" i="50"/>
  <c r="M1864" i="50"/>
  <c r="M1860" i="50"/>
  <c r="M1945" i="50"/>
  <c r="M2363" i="50"/>
  <c r="M2330" i="50"/>
  <c r="M2319" i="50"/>
  <c r="M2267" i="50"/>
  <c r="M2203" i="50"/>
  <c r="M2199" i="50"/>
  <c r="M2151" i="50"/>
  <c r="M2263" i="50"/>
  <c r="M2259" i="50"/>
  <c r="M2211" i="50"/>
  <c r="M1795" i="50"/>
  <c r="M1787" i="50"/>
  <c r="M1872" i="50"/>
  <c r="M2359" i="50"/>
  <c r="M2355" i="50"/>
  <c r="M2143" i="50"/>
  <c r="M2139" i="50"/>
  <c r="M2087" i="50"/>
  <c r="M2091" i="50"/>
  <c r="M2102" i="50"/>
  <c r="L638" i="42"/>
  <c r="L1984" i="50" s="1"/>
  <c r="AH1563" i="42"/>
  <c r="AH1701" i="42"/>
  <c r="AH1425" i="42"/>
  <c r="AC1425" i="42"/>
  <c r="AC1563" i="42"/>
  <c r="AC1701" i="42"/>
  <c r="E195" i="62"/>
  <c r="E109" i="62"/>
  <c r="D110" i="62"/>
  <c r="U1796" i="42"/>
  <c r="AD1796" i="42"/>
  <c r="AD1762" i="42"/>
  <c r="U1762" i="42"/>
  <c r="H1796" i="42"/>
  <c r="H1780" i="42"/>
  <c r="AC1780" i="42" s="1"/>
  <c r="H1743" i="42"/>
  <c r="AC1743" i="42" s="1"/>
  <c r="H1701" i="42"/>
  <c r="H1762" i="42"/>
  <c r="L467" i="42"/>
  <c r="L543" i="42" s="1"/>
  <c r="L544" i="42" s="1"/>
  <c r="M1796" i="42"/>
  <c r="M1822" i="42"/>
  <c r="Y1827" i="42" s="1"/>
  <c r="M1814" i="42"/>
  <c r="Y1814" i="42" s="1"/>
  <c r="M1780" i="42"/>
  <c r="AH1780" i="42" s="1"/>
  <c r="M1701" i="42"/>
  <c r="Y1701" i="42" s="1"/>
  <c r="M1743" i="42"/>
  <c r="AH1743" i="42" s="1"/>
  <c r="M1709" i="42"/>
  <c r="Y1709" i="42" s="1"/>
  <c r="M1762" i="42"/>
  <c r="J638" i="42"/>
  <c r="J1984" i="50" s="1"/>
  <c r="M1684" i="42"/>
  <c r="Y1689" i="42" s="1"/>
  <c r="M1658" i="42"/>
  <c r="M1571" i="42"/>
  <c r="Y1571" i="42" s="1"/>
  <c r="M1624" i="42"/>
  <c r="M1605" i="42"/>
  <c r="AH1605" i="42" s="1"/>
  <c r="M1563" i="42"/>
  <c r="Y1563" i="42" s="1"/>
  <c r="M1676" i="42"/>
  <c r="Y1676" i="42" s="1"/>
  <c r="M1642" i="42"/>
  <c r="AH1642" i="42" s="1"/>
  <c r="H1658" i="42"/>
  <c r="H1563" i="42"/>
  <c r="H1624" i="42"/>
  <c r="H1642" i="42"/>
  <c r="AC1642" i="42" s="1"/>
  <c r="H1605" i="42"/>
  <c r="AC1605" i="42" s="1"/>
  <c r="U1624" i="42"/>
  <c r="AD1624" i="42"/>
  <c r="U1658" i="42"/>
  <c r="AD1658" i="42"/>
  <c r="H2393" i="50"/>
  <c r="M2386" i="50"/>
  <c r="M2393" i="50"/>
  <c r="U2355" i="50"/>
  <c r="H2345" i="50"/>
  <c r="M2338" i="50"/>
  <c r="M2345" i="50"/>
  <c r="U2307" i="50"/>
  <c r="H2297" i="50"/>
  <c r="M2290" i="50"/>
  <c r="U2259" i="50"/>
  <c r="M2297" i="50"/>
  <c r="H2237" i="50"/>
  <c r="M2230" i="50"/>
  <c r="M2237" i="50"/>
  <c r="U2199" i="50"/>
  <c r="M133" i="50"/>
  <c r="K133" i="50"/>
  <c r="N133" i="50"/>
  <c r="J133" i="50"/>
  <c r="H133" i="50"/>
  <c r="H2117" i="50"/>
  <c r="H2177" i="50"/>
  <c r="M2117" i="50"/>
  <c r="M2170" i="50"/>
  <c r="M2177" i="50"/>
  <c r="U2139" i="50"/>
  <c r="I460" i="42"/>
  <c r="U1254" i="42"/>
  <c r="AC1395" i="42"/>
  <c r="H1335" i="42"/>
  <c r="AC1335" i="42" s="1"/>
  <c r="H1317" i="42"/>
  <c r="H1298" i="42"/>
  <c r="AC1298" i="42" s="1"/>
  <c r="H1402" i="42"/>
  <c r="T1403" i="42" s="1"/>
  <c r="H1351" i="42"/>
  <c r="AC1402" i="42"/>
  <c r="H1395" i="42"/>
  <c r="T1395" i="42" s="1"/>
  <c r="H1254" i="42"/>
  <c r="M1402" i="42"/>
  <c r="Y1403" i="42" s="1"/>
  <c r="M1395" i="42"/>
  <c r="Y1395" i="42" s="1"/>
  <c r="AH1395" i="42"/>
  <c r="M1335" i="42"/>
  <c r="AH1335" i="42" s="1"/>
  <c r="AH1402" i="42"/>
  <c r="M1369" i="42"/>
  <c r="Y1369" i="42" s="1"/>
  <c r="M1351" i="42"/>
  <c r="M1317" i="42"/>
  <c r="M1262" i="42"/>
  <c r="Y1262" i="42" s="1"/>
  <c r="M1377" i="42"/>
  <c r="Y1382" i="42" s="1"/>
  <c r="M1298" i="42"/>
  <c r="AH1298" i="42" s="1"/>
  <c r="M1254" i="42"/>
  <c r="U1351" i="42"/>
  <c r="AD1351" i="42"/>
  <c r="U1317" i="42"/>
  <c r="AD1317" i="42"/>
  <c r="U1146" i="42"/>
  <c r="AD1146" i="42"/>
  <c r="M1231" i="42"/>
  <c r="Y1232" i="42" s="1"/>
  <c r="M1224" i="42"/>
  <c r="Y1224" i="42" s="1"/>
  <c r="AH1231" i="42"/>
  <c r="M1206" i="42"/>
  <c r="Y1211" i="42" s="1"/>
  <c r="M1198" i="42"/>
  <c r="Y1198" i="42" s="1"/>
  <c r="AH1224" i="42"/>
  <c r="M1164" i="42"/>
  <c r="AH1164" i="42" s="1"/>
  <c r="M1083" i="42"/>
  <c r="M1180" i="42"/>
  <c r="M1146" i="42"/>
  <c r="M1091" i="42"/>
  <c r="Y1091" i="42" s="1"/>
  <c r="M1127" i="42"/>
  <c r="AH1127" i="42" s="1"/>
  <c r="H1231" i="42"/>
  <c r="T1232" i="42" s="1"/>
  <c r="H1224" i="42"/>
  <c r="T1224" i="42" s="1"/>
  <c r="AC1231" i="42"/>
  <c r="H1146" i="42"/>
  <c r="AC1224" i="42"/>
  <c r="H1180" i="42"/>
  <c r="H1164" i="42"/>
  <c r="AC1164" i="42" s="1"/>
  <c r="H1083" i="42"/>
  <c r="H1127" i="42"/>
  <c r="AC1127" i="42" s="1"/>
  <c r="H638" i="42"/>
  <c r="H1984" i="50" s="1"/>
  <c r="U1083" i="42"/>
  <c r="AD1180" i="42"/>
  <c r="U1180" i="42"/>
  <c r="N638" i="42"/>
  <c r="N1984" i="50" s="1"/>
  <c r="K638" i="42"/>
  <c r="K1984" i="50" s="1"/>
  <c r="M638" i="42"/>
  <c r="M1984" i="50" s="1"/>
  <c r="I638" i="42"/>
  <c r="I1984" i="50" s="1"/>
  <c r="H1990" i="50"/>
  <c r="N1992" i="50"/>
  <c r="N1980" i="50"/>
  <c r="H1986" i="50"/>
  <c r="K1992" i="50"/>
  <c r="J1995" i="50"/>
  <c r="M1990" i="50"/>
  <c r="L1978" i="50"/>
  <c r="J1997" i="50"/>
  <c r="K1979" i="50"/>
  <c r="I1992" i="50"/>
  <c r="J1979" i="50"/>
  <c r="N1986" i="50"/>
  <c r="K1997" i="50"/>
  <c r="K1989" i="50"/>
  <c r="H1997" i="50"/>
  <c r="H1988" i="50"/>
  <c r="I1997" i="50"/>
  <c r="M1979" i="50"/>
  <c r="N1989" i="50"/>
  <c r="M1996" i="50"/>
  <c r="L1991" i="50"/>
  <c r="L1981" i="50"/>
  <c r="H1995" i="50"/>
  <c r="J1988" i="50"/>
  <c r="H1989" i="50"/>
  <c r="K1981" i="50"/>
  <c r="H1976" i="50"/>
  <c r="L1988" i="50"/>
  <c r="L1996" i="50"/>
  <c r="J1983" i="50"/>
  <c r="K1995" i="50"/>
  <c r="N1991" i="50"/>
  <c r="N1994" i="50"/>
  <c r="H1977" i="50"/>
  <c r="N1978" i="50"/>
  <c r="L1979" i="50"/>
  <c r="L1997" i="50"/>
  <c r="K1978" i="50"/>
  <c r="I1983" i="50"/>
  <c r="I1988" i="50"/>
  <c r="K1993" i="50"/>
  <c r="J1989" i="50"/>
  <c r="M1994" i="50"/>
  <c r="I1977" i="50"/>
  <c r="J1976" i="50"/>
  <c r="N1988" i="50"/>
  <c r="L1986" i="50"/>
  <c r="L1995" i="50"/>
  <c r="H1979" i="50"/>
  <c r="N1993" i="50"/>
  <c r="M1989" i="50"/>
  <c r="N1995" i="50"/>
  <c r="I1991" i="50"/>
  <c r="H1996" i="50"/>
  <c r="H1980" i="50"/>
  <c r="J1992" i="50"/>
  <c r="M1982" i="50"/>
  <c r="M1986" i="50"/>
  <c r="H1978" i="50"/>
  <c r="L1990" i="50"/>
  <c r="I1976" i="50"/>
  <c r="K1986" i="50"/>
  <c r="K1977" i="50"/>
  <c r="I1979" i="50"/>
  <c r="N1979" i="50"/>
  <c r="H1991" i="50"/>
  <c r="K1983" i="50"/>
  <c r="J1982" i="50"/>
  <c r="K1988" i="50"/>
  <c r="J1993" i="50"/>
  <c r="M1993" i="50"/>
  <c r="H1992" i="50"/>
  <c r="L1980" i="50"/>
  <c r="L1983" i="50"/>
  <c r="K1990" i="50"/>
  <c r="N1997" i="50"/>
  <c r="H1982" i="50"/>
  <c r="K1980" i="50"/>
  <c r="H1981" i="50"/>
  <c r="I1989" i="50"/>
  <c r="M1983" i="50"/>
  <c r="J1994" i="50"/>
  <c r="N1977" i="50"/>
  <c r="N1990" i="50"/>
  <c r="N1982" i="50"/>
  <c r="N1981" i="50"/>
  <c r="M1977" i="50"/>
  <c r="M1995" i="50"/>
  <c r="K1982" i="50"/>
  <c r="L1994" i="50"/>
  <c r="I1981" i="50"/>
  <c r="M1992" i="50"/>
  <c r="J1977" i="50"/>
  <c r="I1994" i="50"/>
  <c r="J1981" i="50"/>
  <c r="L1982" i="50"/>
  <c r="I1986" i="50"/>
  <c r="L1993" i="50"/>
  <c r="H1983" i="50"/>
  <c r="L1976" i="50"/>
  <c r="I1996" i="50"/>
  <c r="M1981" i="50"/>
  <c r="J1991" i="50"/>
  <c r="I1982" i="50"/>
  <c r="N1983" i="50"/>
  <c r="M1988" i="50"/>
  <c r="K1976" i="50"/>
  <c r="J1990" i="50"/>
  <c r="I1993" i="50"/>
  <c r="M1997" i="50"/>
  <c r="N1976" i="50"/>
  <c r="J1980" i="50"/>
  <c r="K1994" i="50"/>
  <c r="I1978" i="50"/>
  <c r="J1978" i="50"/>
  <c r="J1996" i="50"/>
  <c r="I1995" i="50"/>
  <c r="M1991" i="50"/>
  <c r="I1980" i="50"/>
  <c r="L1992" i="50"/>
  <c r="M1978" i="50"/>
  <c r="I1990" i="50"/>
  <c r="K1991" i="50"/>
  <c r="L1977" i="50"/>
  <c r="H1994" i="50"/>
  <c r="N1996" i="50"/>
  <c r="L1989" i="50"/>
  <c r="H1993" i="50"/>
  <c r="K1996" i="50"/>
  <c r="M1976" i="50"/>
  <c r="J1986" i="50"/>
  <c r="M1980" i="50"/>
  <c r="H132" i="50"/>
  <c r="K132" i="50"/>
  <c r="N132" i="50"/>
  <c r="M132" i="50"/>
  <c r="J132" i="50"/>
  <c r="M2110" i="50"/>
  <c r="U2079" i="50"/>
  <c r="H2043" i="50"/>
  <c r="H2006" i="50"/>
  <c r="M2029" i="50"/>
  <c r="M2043" i="50"/>
  <c r="M2014" i="50"/>
  <c r="M2010" i="50"/>
  <c r="U2006" i="50"/>
  <c r="M2006" i="50"/>
  <c r="M2018" i="50"/>
  <c r="M2037" i="50"/>
  <c r="H1970" i="50"/>
  <c r="M1970" i="50"/>
  <c r="U1933" i="50"/>
  <c r="M1964" i="50"/>
  <c r="H1897" i="50"/>
  <c r="M1897" i="50"/>
  <c r="U1860" i="50"/>
  <c r="M1891" i="50"/>
  <c r="H2808" i="37"/>
  <c r="H2776" i="37"/>
  <c r="T2778" i="37" s="1"/>
  <c r="H2812" i="37"/>
  <c r="H2794" i="37"/>
  <c r="T2794" i="37" s="1"/>
  <c r="H2751" i="37"/>
  <c r="H2741" i="37"/>
  <c r="H2785" i="37"/>
  <c r="T2788" i="37" s="1"/>
  <c r="H2732" i="37"/>
  <c r="H2713" i="37"/>
  <c r="T2713" i="37" s="1"/>
  <c r="H2704" i="37"/>
  <c r="T2704" i="37" s="1"/>
  <c r="H2690" i="37"/>
  <c r="T2694" i="37" s="1"/>
  <c r="H2663" i="37"/>
  <c r="H2721" i="37"/>
  <c r="T2721" i="37" s="1"/>
  <c r="H2717" i="37"/>
  <c r="H2678" i="37"/>
  <c r="T2682" i="37" s="1"/>
  <c r="H2588" i="37"/>
  <c r="T2588" i="37" s="1"/>
  <c r="H2549" i="37"/>
  <c r="H2655" i="37"/>
  <c r="T2655" i="37" s="1"/>
  <c r="H2620" i="37"/>
  <c r="H2580" i="37"/>
  <c r="M2812" i="37"/>
  <c r="M2794" i="37"/>
  <c r="Y2794" i="37" s="1"/>
  <c r="M2785" i="37"/>
  <c r="Y2788" i="37" s="1"/>
  <c r="M2808" i="37"/>
  <c r="M2776" i="37"/>
  <c r="Y2778" i="37" s="1"/>
  <c r="M2760" i="37"/>
  <c r="M2721" i="37"/>
  <c r="Y2721" i="37" s="1"/>
  <c r="M2601" i="37"/>
  <c r="Y2604" i="37" s="1"/>
  <c r="M2732" i="37"/>
  <c r="M2655" i="37"/>
  <c r="Y2655" i="37" s="1"/>
  <c r="M2620" i="37"/>
  <c r="M2549" i="37"/>
  <c r="M2766" i="37"/>
  <c r="Y2769" i="37" s="1"/>
  <c r="M2717" i="37"/>
  <c r="M2751" i="37"/>
  <c r="M2713" i="37"/>
  <c r="Y2713" i="37" s="1"/>
  <c r="M2704" i="37"/>
  <c r="Y2704" i="37" s="1"/>
  <c r="M2678" i="37"/>
  <c r="Y2682" i="37" s="1"/>
  <c r="M2569" i="37"/>
  <c r="Y2572" i="37" s="1"/>
  <c r="M2563" i="37"/>
  <c r="M2690" i="37"/>
  <c r="Y2694" i="37" s="1"/>
  <c r="M2741" i="37"/>
  <c r="M2663" i="37"/>
  <c r="M2595" i="37"/>
  <c r="AD2808" i="37"/>
  <c r="AD2800" i="37"/>
  <c r="AD2776" i="37"/>
  <c r="AD2812" i="37"/>
  <c r="AD2794" i="37"/>
  <c r="AD2751" i="37"/>
  <c r="AD2741" i="37"/>
  <c r="AD2785" i="37"/>
  <c r="AD2732" i="37"/>
  <c r="AD2690" i="37"/>
  <c r="AD2663" i="37"/>
  <c r="AD2717" i="37"/>
  <c r="AD2713" i="37"/>
  <c r="AD2704" i="37"/>
  <c r="AD2721" i="37"/>
  <c r="AD2678" i="37"/>
  <c r="AD2655" i="37"/>
  <c r="AD2588" i="37"/>
  <c r="AD2549" i="37"/>
  <c r="AD2580" i="37"/>
  <c r="AD2620" i="37"/>
  <c r="U2549" i="37"/>
  <c r="U2268" i="37"/>
  <c r="H2527" i="37"/>
  <c r="H2495" i="37"/>
  <c r="T2497" i="37" s="1"/>
  <c r="H2531" i="37"/>
  <c r="H2513" i="37"/>
  <c r="T2513" i="37" s="1"/>
  <c r="H2451" i="37"/>
  <c r="H2504" i="37"/>
  <c r="T2507" i="37" s="1"/>
  <c r="H2470" i="37"/>
  <c r="H2460" i="37"/>
  <c r="H2440" i="37"/>
  <c r="T2440" i="37" s="1"/>
  <c r="H2374" i="37"/>
  <c r="T2374" i="37" s="1"/>
  <c r="H2339" i="37"/>
  <c r="H2397" i="37"/>
  <c r="T2401" i="37" s="1"/>
  <c r="H2299" i="37"/>
  <c r="H2432" i="37"/>
  <c r="T2432" i="37" s="1"/>
  <c r="H2423" i="37"/>
  <c r="T2423" i="37" s="1"/>
  <c r="H2268" i="37"/>
  <c r="H2436" i="37"/>
  <c r="H2409" i="37"/>
  <c r="T2413" i="37" s="1"/>
  <c r="H2382" i="37"/>
  <c r="H2307" i="37"/>
  <c r="T2307" i="37" s="1"/>
  <c r="AD2527" i="37"/>
  <c r="AD2519" i="37"/>
  <c r="AD2495" i="37"/>
  <c r="AD2531" i="37"/>
  <c r="AD2513" i="37"/>
  <c r="AD2451" i="37"/>
  <c r="AD2440" i="37"/>
  <c r="AD2504" i="37"/>
  <c r="AD2470" i="37"/>
  <c r="AD2460" i="37"/>
  <c r="AD2339" i="37"/>
  <c r="AD2397" i="37"/>
  <c r="AD2374" i="37"/>
  <c r="AD2423" i="37"/>
  <c r="AD2299" i="37"/>
  <c r="AD2436" i="37"/>
  <c r="AD2432" i="37"/>
  <c r="AD2307" i="37"/>
  <c r="AD2409" i="37"/>
  <c r="AD2382" i="37"/>
  <c r="AD2268" i="37"/>
  <c r="M2531" i="37"/>
  <c r="M2513" i="37"/>
  <c r="Y2513" i="37" s="1"/>
  <c r="M2504" i="37"/>
  <c r="Y2507" i="37" s="1"/>
  <c r="M2527" i="37"/>
  <c r="M2479" i="37"/>
  <c r="M2470" i="37"/>
  <c r="M2460" i="37"/>
  <c r="M2485" i="37"/>
  <c r="Y2488" i="37" s="1"/>
  <c r="M2397" i="37"/>
  <c r="Y2401" i="37" s="1"/>
  <c r="M2436" i="37"/>
  <c r="M2432" i="37"/>
  <c r="Y2432" i="37" s="1"/>
  <c r="M2423" i="37"/>
  <c r="Y2423" i="37" s="1"/>
  <c r="M2409" i="37"/>
  <c r="Y2413" i="37" s="1"/>
  <c r="M2382" i="37"/>
  <c r="M2451" i="37"/>
  <c r="M2268" i="37"/>
  <c r="M2440" i="37"/>
  <c r="Y2440" i="37" s="1"/>
  <c r="M2495" i="37"/>
  <c r="Y2497" i="37" s="1"/>
  <c r="M2339" i="37"/>
  <c r="M2314" i="37"/>
  <c r="M2320" i="37"/>
  <c r="Y2323" i="37" s="1"/>
  <c r="M2288" i="37"/>
  <c r="Y2291" i="37" s="1"/>
  <c r="M2374" i="37"/>
  <c r="Y2374" i="37" s="1"/>
  <c r="M2282" i="37"/>
  <c r="H2246" i="37"/>
  <c r="H2250" i="37"/>
  <c r="H2232" i="37"/>
  <c r="T2232" i="37" s="1"/>
  <c r="H2223" i="37"/>
  <c r="T2226" i="37" s="1"/>
  <c r="H2189" i="37"/>
  <c r="H2179" i="37"/>
  <c r="H2214" i="37"/>
  <c r="T2216" i="37" s="1"/>
  <c r="H2155" i="37"/>
  <c r="H2142" i="37"/>
  <c r="T2142" i="37" s="1"/>
  <c r="H2170" i="37"/>
  <c r="H2159" i="37"/>
  <c r="T2159" i="37" s="1"/>
  <c r="H2116" i="37"/>
  <c r="T2120" i="37" s="1"/>
  <c r="H2101" i="37"/>
  <c r="H2018" i="37"/>
  <c r="H2151" i="37"/>
  <c r="T2151" i="37" s="1"/>
  <c r="H2128" i="37"/>
  <c r="T2132" i="37" s="1"/>
  <c r="H2093" i="37"/>
  <c r="T2093" i="37" s="1"/>
  <c r="H2058" i="37"/>
  <c r="H2026" i="37"/>
  <c r="T2026" i="37" s="1"/>
  <c r="H1987" i="37"/>
  <c r="M2250" i="37"/>
  <c r="M2232" i="37"/>
  <c r="Y2232" i="37" s="1"/>
  <c r="M2223" i="37"/>
  <c r="Y2226" i="37" s="1"/>
  <c r="M2246" i="37"/>
  <c r="M2204" i="37"/>
  <c r="Y2207" i="37" s="1"/>
  <c r="M2159" i="37"/>
  <c r="Y2159" i="37" s="1"/>
  <c r="M2189" i="37"/>
  <c r="M2179" i="37"/>
  <c r="M2155" i="37"/>
  <c r="M2116" i="37"/>
  <c r="Y2120" i="37" s="1"/>
  <c r="M2198" i="37"/>
  <c r="M2170" i="37"/>
  <c r="M2151" i="37"/>
  <c r="Y2151" i="37" s="1"/>
  <c r="M2039" i="37"/>
  <c r="Y2042" i="37" s="1"/>
  <c r="M2033" i="37"/>
  <c r="M2142" i="37"/>
  <c r="Y2142" i="37" s="1"/>
  <c r="M2101" i="37"/>
  <c r="M2093" i="37"/>
  <c r="Y2093" i="37" s="1"/>
  <c r="M2058" i="37"/>
  <c r="M1987" i="37"/>
  <c r="M2001" i="37"/>
  <c r="M2128" i="37"/>
  <c r="Y2132" i="37" s="1"/>
  <c r="M2007" i="37"/>
  <c r="Y2010" i="37" s="1"/>
  <c r="M2214" i="37"/>
  <c r="Y2216" i="37" s="1"/>
  <c r="AD2246" i="37"/>
  <c r="AD2238" i="37"/>
  <c r="AD2250" i="37"/>
  <c r="AD2232" i="37"/>
  <c r="AD2223" i="37"/>
  <c r="AD2189" i="37"/>
  <c r="AD2179" i="37"/>
  <c r="AD2214" i="37"/>
  <c r="AD2159" i="37"/>
  <c r="AD2151" i="37"/>
  <c r="AD2142" i="37"/>
  <c r="AD2026" i="37"/>
  <c r="AD2018" i="37"/>
  <c r="AD2101" i="37"/>
  <c r="AD2058" i="37"/>
  <c r="AD2170" i="37"/>
  <c r="AD2116" i="37"/>
  <c r="AD2093" i="37"/>
  <c r="AD2155" i="37"/>
  <c r="AD2128" i="37"/>
  <c r="AD1987" i="37"/>
  <c r="U1987" i="37"/>
  <c r="AD1965" i="37"/>
  <c r="AD1957" i="37"/>
  <c r="AD1933" i="37"/>
  <c r="AD1969" i="37"/>
  <c r="AD1951" i="37"/>
  <c r="AD1942" i="37"/>
  <c r="AD1889" i="37"/>
  <c r="AD1878" i="37"/>
  <c r="AD1908" i="37"/>
  <c r="AD1898" i="37"/>
  <c r="AD1870" i="37"/>
  <c r="AD1861" i="37"/>
  <c r="AD1874" i="37"/>
  <c r="AD1835" i="37"/>
  <c r="AD1812" i="37"/>
  <c r="AD1820" i="37"/>
  <c r="AD1737" i="37"/>
  <c r="AD1847" i="37"/>
  <c r="AD1777" i="37"/>
  <c r="AD1706" i="37"/>
  <c r="AD1745" i="37"/>
  <c r="U1706" i="37"/>
  <c r="H1965" i="37"/>
  <c r="H1933" i="37"/>
  <c r="T1935" i="37" s="1"/>
  <c r="H1969" i="37"/>
  <c r="H1951" i="37"/>
  <c r="T1951" i="37" s="1"/>
  <c r="H1942" i="37"/>
  <c r="T1945" i="37" s="1"/>
  <c r="H1889" i="37"/>
  <c r="H1908" i="37"/>
  <c r="H1898" i="37"/>
  <c r="H1878" i="37"/>
  <c r="T1878" i="37" s="1"/>
  <c r="H1812" i="37"/>
  <c r="T1812" i="37" s="1"/>
  <c r="H1874" i="37"/>
  <c r="H1835" i="37"/>
  <c r="T1839" i="37" s="1"/>
  <c r="H1737" i="37"/>
  <c r="H1870" i="37"/>
  <c r="T1870" i="37" s="1"/>
  <c r="H1861" i="37"/>
  <c r="T1861" i="37" s="1"/>
  <c r="H1777" i="37"/>
  <c r="H1847" i="37"/>
  <c r="T1851" i="37" s="1"/>
  <c r="H1745" i="37"/>
  <c r="T1745" i="37" s="1"/>
  <c r="H1706" i="37"/>
  <c r="H1820" i="37"/>
  <c r="M1969" i="37"/>
  <c r="M1951" i="37"/>
  <c r="Y1951" i="37" s="1"/>
  <c r="M1942" i="37"/>
  <c r="Y1945" i="37" s="1"/>
  <c r="M1933" i="37"/>
  <c r="Y1935" i="37" s="1"/>
  <c r="M1923" i="37"/>
  <c r="Y1926" i="37" s="1"/>
  <c r="M1908" i="37"/>
  <c r="M1898" i="37"/>
  <c r="M1874" i="37"/>
  <c r="M1965" i="37"/>
  <c r="M1917" i="37"/>
  <c r="M1878" i="37"/>
  <c r="Y1878" i="37" s="1"/>
  <c r="M1835" i="37"/>
  <c r="Y1839" i="37" s="1"/>
  <c r="M1861" i="37"/>
  <c r="Y1861" i="37" s="1"/>
  <c r="M1847" i="37"/>
  <c r="Y1851" i="37" s="1"/>
  <c r="M1820" i="37"/>
  <c r="M1889" i="37"/>
  <c r="M1777" i="37"/>
  <c r="M1812" i="37"/>
  <c r="Y1812" i="37" s="1"/>
  <c r="M1706" i="37"/>
  <c r="M1870" i="37"/>
  <c r="Y1870" i="37" s="1"/>
  <c r="M1726" i="37"/>
  <c r="Y1729" i="37" s="1"/>
  <c r="M1720" i="37"/>
  <c r="M1758" i="37"/>
  <c r="Y1761" i="37" s="1"/>
  <c r="M1752" i="37"/>
  <c r="H1684" i="37"/>
  <c r="H1652" i="37"/>
  <c r="T1654" i="37" s="1"/>
  <c r="H1688" i="37"/>
  <c r="H1670" i="37"/>
  <c r="T1670" i="37" s="1"/>
  <c r="H1661" i="37"/>
  <c r="T1664" i="37" s="1"/>
  <c r="H1597" i="37"/>
  <c r="T1597" i="37" s="1"/>
  <c r="H1627" i="37"/>
  <c r="H1617" i="37"/>
  <c r="H1593" i="37"/>
  <c r="H1589" i="37"/>
  <c r="T1589" i="37" s="1"/>
  <c r="H1580" i="37"/>
  <c r="T1580" i="37" s="1"/>
  <c r="H1566" i="37"/>
  <c r="T1570" i="37" s="1"/>
  <c r="H1539" i="37"/>
  <c r="H1608" i="37"/>
  <c r="H1496" i="37"/>
  <c r="H1531" i="37"/>
  <c r="T1531" i="37" s="1"/>
  <c r="H1464" i="37"/>
  <c r="T1464" i="37" s="1"/>
  <c r="H1425" i="37"/>
  <c r="H1554" i="37"/>
  <c r="T1558" i="37" s="1"/>
  <c r="H1456" i="37"/>
  <c r="M1688" i="37"/>
  <c r="M1670" i="37"/>
  <c r="Y1670" i="37" s="1"/>
  <c r="M1661" i="37"/>
  <c r="Y1664" i="37" s="1"/>
  <c r="M1684" i="37"/>
  <c r="M1652" i="37"/>
  <c r="Y1654" i="37" s="1"/>
  <c r="M1597" i="37"/>
  <c r="Y1597" i="37" s="1"/>
  <c r="M1608" i="37"/>
  <c r="M1627" i="37"/>
  <c r="M1617" i="37"/>
  <c r="M1531" i="37"/>
  <c r="Y1531" i="37" s="1"/>
  <c r="M1496" i="37"/>
  <c r="M1593" i="37"/>
  <c r="M1539" i="37"/>
  <c r="M1425" i="37"/>
  <c r="M1566" i="37"/>
  <c r="Y1570" i="37" s="1"/>
  <c r="M1477" i="37"/>
  <c r="Y1480" i="37" s="1"/>
  <c r="M1445" i="37"/>
  <c r="Y1448" i="37" s="1"/>
  <c r="M1439" i="37"/>
  <c r="M1642" i="37"/>
  <c r="Y1645" i="37" s="1"/>
  <c r="M1636" i="37"/>
  <c r="M1471" i="37"/>
  <c r="M1589" i="37"/>
  <c r="Y1589" i="37" s="1"/>
  <c r="M1580" i="37"/>
  <c r="Y1580" i="37" s="1"/>
  <c r="M1554" i="37"/>
  <c r="Y1558" i="37" s="1"/>
  <c r="AD1684" i="37"/>
  <c r="AD1676" i="37"/>
  <c r="AD1652" i="37"/>
  <c r="AD1688" i="37"/>
  <c r="AD1670" i="37"/>
  <c r="AD1661" i="37"/>
  <c r="AD1627" i="37"/>
  <c r="AD1617" i="37"/>
  <c r="AD1593" i="37"/>
  <c r="AD1566" i="37"/>
  <c r="AD1539" i="37"/>
  <c r="AD1597" i="37"/>
  <c r="AD1589" i="37"/>
  <c r="AD1580" i="37"/>
  <c r="AD1496" i="37"/>
  <c r="AD1608" i="37"/>
  <c r="AD1554" i="37"/>
  <c r="AD1531" i="37"/>
  <c r="AD1464" i="37"/>
  <c r="AD1425" i="37"/>
  <c r="AD1456" i="37"/>
  <c r="U1425" i="37"/>
  <c r="H1403" i="37"/>
  <c r="H1371" i="37"/>
  <c r="T1373" i="37" s="1"/>
  <c r="H1407" i="37"/>
  <c r="H1389" i="37"/>
  <c r="T1389" i="37" s="1"/>
  <c r="H1327" i="37"/>
  <c r="H1380" i="37"/>
  <c r="T1383" i="37" s="1"/>
  <c r="H1346" i="37"/>
  <c r="H1336" i="37"/>
  <c r="H1250" i="37"/>
  <c r="T1250" i="37" s="1"/>
  <c r="H1316" i="37"/>
  <c r="T1316" i="37" s="1"/>
  <c r="H1273" i="37"/>
  <c r="T1277" i="37" s="1"/>
  <c r="H1312" i="37"/>
  <c r="H1299" i="37"/>
  <c r="T1299" i="37" s="1"/>
  <c r="H1285" i="37"/>
  <c r="T1289" i="37" s="1"/>
  <c r="H1258" i="37"/>
  <c r="H1183" i="37"/>
  <c r="T1183" i="37" s="1"/>
  <c r="H1144" i="37"/>
  <c r="H1308" i="37"/>
  <c r="T1308" i="37" s="1"/>
  <c r="H1175" i="37"/>
  <c r="H1215" i="37"/>
  <c r="U1144" i="37"/>
  <c r="AD1403" i="37"/>
  <c r="AD1395" i="37"/>
  <c r="AD1371" i="37"/>
  <c r="AD1407" i="37"/>
  <c r="AD1389" i="37"/>
  <c r="AD1327" i="37"/>
  <c r="AD1316" i="37"/>
  <c r="AD1380" i="37"/>
  <c r="AD1346" i="37"/>
  <c r="AD1336" i="37"/>
  <c r="AD1273" i="37"/>
  <c r="AD1250" i="37"/>
  <c r="AD1312" i="37"/>
  <c r="AD1285" i="37"/>
  <c r="AD1258" i="37"/>
  <c r="AD1299" i="37"/>
  <c r="AD1215" i="37"/>
  <c r="AD1183" i="37"/>
  <c r="AD1144" i="37"/>
  <c r="AD1175" i="37"/>
  <c r="AD1308" i="37"/>
  <c r="M1407" i="37"/>
  <c r="M1389" i="37"/>
  <c r="Y1389" i="37" s="1"/>
  <c r="M1380" i="37"/>
  <c r="Y1383" i="37" s="1"/>
  <c r="M1403" i="37"/>
  <c r="M1371" i="37"/>
  <c r="Y1373" i="37" s="1"/>
  <c r="M1346" i="37"/>
  <c r="M1336" i="37"/>
  <c r="M1273" i="37"/>
  <c r="Y1277" i="37" s="1"/>
  <c r="M1327" i="37"/>
  <c r="M1316" i="37"/>
  <c r="Y1316" i="37" s="1"/>
  <c r="M1312" i="37"/>
  <c r="M1308" i="37"/>
  <c r="Y1308" i="37" s="1"/>
  <c r="M1299" i="37"/>
  <c r="Y1299" i="37" s="1"/>
  <c r="M1285" i="37"/>
  <c r="Y1289" i="37" s="1"/>
  <c r="M1258" i="37"/>
  <c r="M1355" i="37"/>
  <c r="M1250" i="37"/>
  <c r="Y1250" i="37" s="1"/>
  <c r="M1144" i="37"/>
  <c r="M1164" i="37"/>
  <c r="Y1167" i="37" s="1"/>
  <c r="M1158" i="37"/>
  <c r="M1361" i="37"/>
  <c r="Y1364" i="37" s="1"/>
  <c r="M1190" i="37"/>
  <c r="M1215" i="37"/>
  <c r="M1196" i="37"/>
  <c r="Y1199" i="37" s="1"/>
  <c r="U863" i="37"/>
  <c r="H1122" i="37"/>
  <c r="H1090" i="37"/>
  <c r="T1092" i="37" s="1"/>
  <c r="H1126" i="37"/>
  <c r="H1108" i="37"/>
  <c r="T1108" i="37" s="1"/>
  <c r="H1099" i="37"/>
  <c r="T1102" i="37" s="1"/>
  <c r="H1046" i="37"/>
  <c r="H1035" i="37"/>
  <c r="T1035" i="37" s="1"/>
  <c r="H1031" i="37"/>
  <c r="H1027" i="37"/>
  <c r="T1027" i="37" s="1"/>
  <c r="H1018" i="37"/>
  <c r="T1018" i="37" s="1"/>
  <c r="H1004" i="37"/>
  <c r="T1008" i="37" s="1"/>
  <c r="H977" i="37"/>
  <c r="H1055" i="37"/>
  <c r="H969" i="37"/>
  <c r="T969" i="37" s="1"/>
  <c r="H992" i="37"/>
  <c r="T996" i="37" s="1"/>
  <c r="H902" i="37"/>
  <c r="T902" i="37" s="1"/>
  <c r="H863" i="37"/>
  <c r="H1065" i="37"/>
  <c r="H934" i="37"/>
  <c r="H894" i="37"/>
  <c r="M1126" i="37"/>
  <c r="M1108" i="37"/>
  <c r="Y1108" i="37" s="1"/>
  <c r="M1099" i="37"/>
  <c r="Y1102" i="37" s="1"/>
  <c r="M1122" i="37"/>
  <c r="M1074" i="37"/>
  <c r="M1035" i="37"/>
  <c r="Y1035" i="37" s="1"/>
  <c r="M1080" i="37"/>
  <c r="Y1083" i="37" s="1"/>
  <c r="M1090" i="37"/>
  <c r="Y1092" i="37" s="1"/>
  <c r="M1065" i="37"/>
  <c r="M1055" i="37"/>
  <c r="M915" i="37"/>
  <c r="Y918" i="37" s="1"/>
  <c r="M909" i="37"/>
  <c r="M969" i="37"/>
  <c r="Y969" i="37" s="1"/>
  <c r="M934" i="37"/>
  <c r="M1031" i="37"/>
  <c r="M863" i="37"/>
  <c r="M883" i="37"/>
  <c r="Y886" i="37" s="1"/>
  <c r="M877" i="37"/>
  <c r="M1027" i="37"/>
  <c r="Y1027" i="37" s="1"/>
  <c r="M992" i="37"/>
  <c r="Y996" i="37" s="1"/>
  <c r="M1018" i="37"/>
  <c r="Y1018" i="37" s="1"/>
  <c r="M1004" i="37"/>
  <c r="Y1008" i="37" s="1"/>
  <c r="M1046" i="37"/>
  <c r="M977" i="37"/>
  <c r="AD1122" i="37"/>
  <c r="AD1114" i="37"/>
  <c r="AD1090" i="37"/>
  <c r="AD1126" i="37"/>
  <c r="AD1108" i="37"/>
  <c r="AD1099" i="37"/>
  <c r="AD1046" i="37"/>
  <c r="AD1031" i="37"/>
  <c r="AD1004" i="37"/>
  <c r="AD977" i="37"/>
  <c r="AD1055" i="37"/>
  <c r="AD1035" i="37"/>
  <c r="AD1027" i="37"/>
  <c r="AD1018" i="37"/>
  <c r="AD1065" i="37"/>
  <c r="AD992" i="37"/>
  <c r="AD969" i="37"/>
  <c r="AD934" i="37"/>
  <c r="AD894" i="37"/>
  <c r="AD902" i="37"/>
  <c r="AD863" i="37"/>
  <c r="H841" i="37"/>
  <c r="H809" i="37"/>
  <c r="T811" i="37" s="1"/>
  <c r="H845" i="37"/>
  <c r="H827" i="37"/>
  <c r="T827" i="37" s="1"/>
  <c r="H784" i="37"/>
  <c r="H774" i="37"/>
  <c r="H818" i="37"/>
  <c r="T821" i="37" s="1"/>
  <c r="H765" i="37"/>
  <c r="H754" i="37"/>
  <c r="T754" i="37" s="1"/>
  <c r="H688" i="37"/>
  <c r="T688" i="37" s="1"/>
  <c r="H653" i="37"/>
  <c r="H750" i="37"/>
  <c r="H723" i="37"/>
  <c r="T727" i="37" s="1"/>
  <c r="H746" i="37"/>
  <c r="T746" i="37" s="1"/>
  <c r="H621" i="37"/>
  <c r="T621" i="37" s="1"/>
  <c r="H582" i="37"/>
  <c r="H613" i="37"/>
  <c r="H711" i="37"/>
  <c r="T715" i="37" s="1"/>
  <c r="H737" i="37"/>
  <c r="T737" i="37" s="1"/>
  <c r="H696" i="37"/>
  <c r="M845" i="37"/>
  <c r="M827" i="37"/>
  <c r="Y827" i="37" s="1"/>
  <c r="M818" i="37"/>
  <c r="Y821" i="37" s="1"/>
  <c r="M841" i="37"/>
  <c r="M809" i="37"/>
  <c r="Y811" i="37" s="1"/>
  <c r="M793" i="37"/>
  <c r="M754" i="37"/>
  <c r="Y754" i="37" s="1"/>
  <c r="M688" i="37"/>
  <c r="Y688" i="37" s="1"/>
  <c r="M653" i="37"/>
  <c r="M765" i="37"/>
  <c r="M711" i="37"/>
  <c r="Y715" i="37" s="1"/>
  <c r="M582" i="37"/>
  <c r="M784" i="37"/>
  <c r="M723" i="37"/>
  <c r="Y727" i="37" s="1"/>
  <c r="M602" i="37"/>
  <c r="Y605" i="37" s="1"/>
  <c r="M596" i="37"/>
  <c r="M799" i="37"/>
  <c r="Y802" i="37" s="1"/>
  <c r="M774" i="37"/>
  <c r="M737" i="37"/>
  <c r="Y737" i="37" s="1"/>
  <c r="M634" i="37"/>
  <c r="Y637" i="37" s="1"/>
  <c r="M628" i="37"/>
  <c r="M750" i="37"/>
  <c r="M746" i="37"/>
  <c r="Y746" i="37" s="1"/>
  <c r="M696" i="37"/>
  <c r="U582" i="37"/>
  <c r="AD841" i="37"/>
  <c r="AD833" i="37"/>
  <c r="AD809" i="37"/>
  <c r="AD845" i="37"/>
  <c r="AD827" i="37"/>
  <c r="AD784" i="37"/>
  <c r="AD774" i="37"/>
  <c r="AD818" i="37"/>
  <c r="AD765" i="37"/>
  <c r="AD746" i="37"/>
  <c r="AD737" i="37"/>
  <c r="AD750" i="37"/>
  <c r="AD653" i="37"/>
  <c r="AD754" i="37"/>
  <c r="AD723" i="37"/>
  <c r="AD688" i="37"/>
  <c r="AD696" i="37"/>
  <c r="AD613" i="37"/>
  <c r="AD621" i="37"/>
  <c r="AD582" i="37"/>
  <c r="AD711" i="37"/>
  <c r="AD560" i="37"/>
  <c r="AD552" i="37"/>
  <c r="AD528" i="37"/>
  <c r="AD564" i="37"/>
  <c r="AD546" i="37"/>
  <c r="AD503" i="37"/>
  <c r="AD493" i="37"/>
  <c r="AD537" i="37"/>
  <c r="AD465" i="37"/>
  <c r="AD456" i="37"/>
  <c r="AD484" i="37"/>
  <c r="AD430" i="37"/>
  <c r="AD407" i="37"/>
  <c r="AD469" i="37"/>
  <c r="AD442" i="37"/>
  <c r="AD415" i="37"/>
  <c r="AD473" i="37"/>
  <c r="AD372" i="37"/>
  <c r="AD340" i="37"/>
  <c r="AD301" i="37"/>
  <c r="AD332" i="37"/>
  <c r="H560" i="37"/>
  <c r="H528" i="37"/>
  <c r="T530" i="37" s="1"/>
  <c r="H564" i="37"/>
  <c r="H546" i="37"/>
  <c r="T546" i="37" s="1"/>
  <c r="H503" i="37"/>
  <c r="H493" i="37"/>
  <c r="H537" i="37"/>
  <c r="T540" i="37" s="1"/>
  <c r="H484" i="37"/>
  <c r="H430" i="37"/>
  <c r="T434" i="37" s="1"/>
  <c r="H473" i="37"/>
  <c r="T473" i="37" s="1"/>
  <c r="H456" i="37"/>
  <c r="T456" i="37" s="1"/>
  <c r="H442" i="37"/>
  <c r="T446" i="37" s="1"/>
  <c r="H415" i="37"/>
  <c r="H469" i="37"/>
  <c r="H407" i="37"/>
  <c r="T407" i="37" s="1"/>
  <c r="H465" i="37"/>
  <c r="T465" i="37" s="1"/>
  <c r="H372" i="37"/>
  <c r="H340" i="37"/>
  <c r="T340" i="37" s="1"/>
  <c r="H301" i="37"/>
  <c r="H332" i="37"/>
  <c r="M564" i="37"/>
  <c r="M546" i="37"/>
  <c r="Y546" i="37" s="1"/>
  <c r="M537" i="37"/>
  <c r="Y540" i="37" s="1"/>
  <c r="M560" i="37"/>
  <c r="M528" i="37"/>
  <c r="Y530" i="37" s="1"/>
  <c r="M512" i="37"/>
  <c r="Y512" i="37" s="1"/>
  <c r="M473" i="37"/>
  <c r="Y473" i="37" s="1"/>
  <c r="M442" i="37"/>
  <c r="Y446" i="37" s="1"/>
  <c r="M415" i="37"/>
  <c r="M484" i="37"/>
  <c r="M456" i="37"/>
  <c r="Y456" i="37" s="1"/>
  <c r="M353" i="37"/>
  <c r="Y356" i="37" s="1"/>
  <c r="M301" i="37"/>
  <c r="M469" i="37"/>
  <c r="M503" i="37"/>
  <c r="M407" i="37"/>
  <c r="Y407" i="37" s="1"/>
  <c r="M321" i="37"/>
  <c r="Y324" i="37" s="1"/>
  <c r="M315" i="37"/>
  <c r="Y315" i="37" s="1"/>
  <c r="M518" i="37"/>
  <c r="Y521" i="37" s="1"/>
  <c r="M465" i="37"/>
  <c r="Y465" i="37" s="1"/>
  <c r="M493" i="37"/>
  <c r="M430" i="37"/>
  <c r="Y434" i="37" s="1"/>
  <c r="M372" i="37"/>
  <c r="M347" i="37"/>
  <c r="Y347" i="37" s="1"/>
  <c r="U301" i="37"/>
  <c r="N1498" i="42"/>
  <c r="N1499" i="42" s="1"/>
  <c r="M1498" i="42"/>
  <c r="M1499" i="42" s="1"/>
  <c r="L1498" i="42"/>
  <c r="L1499" i="42" s="1"/>
  <c r="U1486" i="42"/>
  <c r="AD1486" i="42"/>
  <c r="AD1520" i="42"/>
  <c r="U1520" i="42"/>
  <c r="M1546" i="42"/>
  <c r="Y1551" i="42" s="1"/>
  <c r="M1520" i="42"/>
  <c r="M1486" i="42"/>
  <c r="M1504" i="42"/>
  <c r="AH1504" i="42" s="1"/>
  <c r="M1467" i="42"/>
  <c r="AH1467" i="42" s="1"/>
  <c r="M1425" i="42"/>
  <c r="Y1425" i="42" s="1"/>
  <c r="M1433" i="42"/>
  <c r="M1538" i="42"/>
  <c r="Y1538" i="42" s="1"/>
  <c r="H1504" i="42"/>
  <c r="AC1504" i="42" s="1"/>
  <c r="H1486" i="42"/>
  <c r="H1467" i="42"/>
  <c r="AC1467" i="42" s="1"/>
  <c r="H1425" i="42"/>
  <c r="H1520" i="42"/>
  <c r="AC1053" i="42"/>
  <c r="H1060" i="42"/>
  <c r="T1061" i="42" s="1"/>
  <c r="H1053" i="42"/>
  <c r="T1053" i="42" s="1"/>
  <c r="AC1060" i="42"/>
  <c r="AH1060" i="42"/>
  <c r="M1060" i="42"/>
  <c r="Y1061" i="42" s="1"/>
  <c r="M1053" i="42"/>
  <c r="Y1053" i="42" s="1"/>
  <c r="AH1053" i="42"/>
  <c r="L244" i="42"/>
  <c r="L320" i="42" s="1"/>
  <c r="L321" i="42" s="1"/>
  <c r="M861" i="42"/>
  <c r="M2057" i="50" s="1"/>
  <c r="J861" i="42"/>
  <c r="J2057" i="50" s="1"/>
  <c r="I683" i="42"/>
  <c r="H861" i="42"/>
  <c r="H2057" i="50" s="1"/>
  <c r="I861" i="42"/>
  <c r="I2057" i="50" s="1"/>
  <c r="N861" i="42"/>
  <c r="N2057" i="50" s="1"/>
  <c r="L861" i="42"/>
  <c r="L2057" i="50" s="1"/>
  <c r="K861" i="42"/>
  <c r="K2057" i="50" s="1"/>
  <c r="I237" i="42"/>
  <c r="J415" i="42"/>
  <c r="J1911" i="50" s="1"/>
  <c r="M415" i="42"/>
  <c r="M1911" i="50" s="1"/>
  <c r="H415" i="42"/>
  <c r="H1911" i="50" s="1"/>
  <c r="N415" i="42"/>
  <c r="N1911" i="50" s="1"/>
  <c r="K415" i="42"/>
  <c r="K1911" i="50" s="1"/>
  <c r="I415" i="42"/>
  <c r="I1911" i="50" s="1"/>
  <c r="L415" i="42"/>
  <c r="L1911" i="50" s="1"/>
  <c r="L913" i="42"/>
  <c r="I906" i="42"/>
  <c r="H993" i="42"/>
  <c r="AC993" i="42" s="1"/>
  <c r="H1009" i="42"/>
  <c r="H975" i="42"/>
  <c r="H956" i="42"/>
  <c r="AC956" i="42" s="1"/>
  <c r="H912" i="42"/>
  <c r="U1009" i="42"/>
  <c r="AD1009" i="42"/>
  <c r="U975" i="42"/>
  <c r="AD975" i="42"/>
  <c r="M1035" i="42"/>
  <c r="Y1040" i="42" s="1"/>
  <c r="M1009" i="42"/>
  <c r="M1027" i="42"/>
  <c r="Y1027" i="42" s="1"/>
  <c r="M975" i="42"/>
  <c r="M956" i="42"/>
  <c r="AH956" i="42" s="1"/>
  <c r="M912" i="42"/>
  <c r="Y912" i="42" s="1"/>
  <c r="M920" i="42"/>
  <c r="M993" i="42"/>
  <c r="AH993" i="42" s="1"/>
  <c r="U754" i="42"/>
  <c r="AD754" i="42"/>
  <c r="U788" i="42"/>
  <c r="AD788" i="42"/>
  <c r="AH897" i="42"/>
  <c r="M889" i="42"/>
  <c r="Y889" i="42" s="1"/>
  <c r="AH881" i="42"/>
  <c r="M866" i="42"/>
  <c r="M893" i="42"/>
  <c r="Y893" i="42" s="1"/>
  <c r="AH885" i="42"/>
  <c r="M852" i="42"/>
  <c r="AH893" i="42"/>
  <c r="AH852" i="42"/>
  <c r="AH842" i="42"/>
  <c r="AH866" i="42"/>
  <c r="M842" i="42"/>
  <c r="Y842" i="42" s="1"/>
  <c r="M897" i="42"/>
  <c r="Y897" i="42" s="1"/>
  <c r="M881" i="42"/>
  <c r="Y881" i="42" s="1"/>
  <c r="M814" i="42"/>
  <c r="Y819" i="42" s="1"/>
  <c r="AH889" i="42"/>
  <c r="M806" i="42"/>
  <c r="Y806" i="42" s="1"/>
  <c r="M754" i="42"/>
  <c r="M788" i="42"/>
  <c r="M772" i="42"/>
  <c r="AH772" i="42" s="1"/>
  <c r="M735" i="42"/>
  <c r="AH735" i="42" s="1"/>
  <c r="M697" i="42"/>
  <c r="M885" i="42"/>
  <c r="Y885" i="42" s="1"/>
  <c r="M689" i="42"/>
  <c r="Y689" i="42" s="1"/>
  <c r="H893" i="42"/>
  <c r="T893" i="42" s="1"/>
  <c r="AC885" i="42"/>
  <c r="AC897" i="42"/>
  <c r="AC881" i="42"/>
  <c r="H842" i="42"/>
  <c r="T842" i="42" s="1"/>
  <c r="AC893" i="42"/>
  <c r="H889" i="42"/>
  <c r="T889" i="42" s="1"/>
  <c r="H852" i="42"/>
  <c r="AC889" i="42"/>
  <c r="H885" i="42"/>
  <c r="T885" i="42" s="1"/>
  <c r="AC852" i="42"/>
  <c r="H788" i="42"/>
  <c r="H881" i="42"/>
  <c r="T881" i="42" s="1"/>
  <c r="H866" i="42"/>
  <c r="AC866" i="42"/>
  <c r="H897" i="42"/>
  <c r="T897" i="42" s="1"/>
  <c r="H754" i="42"/>
  <c r="H735" i="42"/>
  <c r="AC735" i="42" s="1"/>
  <c r="H689" i="42"/>
  <c r="AC842" i="42"/>
  <c r="H772" i="42"/>
  <c r="AC772" i="42" s="1"/>
  <c r="U531" i="42"/>
  <c r="AD531" i="42"/>
  <c r="H670" i="42"/>
  <c r="T670" i="42" s="1"/>
  <c r="AC662" i="42"/>
  <c r="AC674" i="42"/>
  <c r="H666" i="42"/>
  <c r="T666" i="42" s="1"/>
  <c r="AC658" i="42"/>
  <c r="H643" i="42"/>
  <c r="AC670" i="42"/>
  <c r="H619" i="42"/>
  <c r="T619" i="42" s="1"/>
  <c r="AC643" i="42"/>
  <c r="H629" i="42"/>
  <c r="H674" i="42"/>
  <c r="T674" i="42" s="1"/>
  <c r="AC666" i="42"/>
  <c r="AC619" i="42"/>
  <c r="H658" i="42"/>
  <c r="T658" i="42" s="1"/>
  <c r="AC629" i="42"/>
  <c r="H549" i="42"/>
  <c r="AC549" i="42" s="1"/>
  <c r="H531" i="42"/>
  <c r="H512" i="42"/>
  <c r="AC512" i="42" s="1"/>
  <c r="H466" i="42"/>
  <c r="H662" i="42"/>
  <c r="T662" i="42" s="1"/>
  <c r="H565" i="42"/>
  <c r="AH674" i="42"/>
  <c r="M666" i="42"/>
  <c r="Y666" i="42" s="1"/>
  <c r="AH658" i="42"/>
  <c r="M643" i="42"/>
  <c r="AH670" i="42"/>
  <c r="M662" i="42"/>
  <c r="Y662" i="42" s="1"/>
  <c r="AH643" i="42"/>
  <c r="M674" i="42"/>
  <c r="Y674" i="42" s="1"/>
  <c r="M658" i="42"/>
  <c r="Y658" i="42" s="1"/>
  <c r="M629" i="42"/>
  <c r="M591" i="42"/>
  <c r="Y596" i="42" s="1"/>
  <c r="M670" i="42"/>
  <c r="Y670" i="42" s="1"/>
  <c r="AH662" i="42"/>
  <c r="AH629" i="42"/>
  <c r="AH619" i="42"/>
  <c r="M583" i="42"/>
  <c r="Y583" i="42" s="1"/>
  <c r="M549" i="42"/>
  <c r="AH549" i="42" s="1"/>
  <c r="M619" i="42"/>
  <c r="Y619" i="42" s="1"/>
  <c r="M565" i="42"/>
  <c r="AH666" i="42"/>
  <c r="M531" i="42"/>
  <c r="M466" i="42"/>
  <c r="M474" i="42"/>
  <c r="M512" i="42"/>
  <c r="AH512" i="42" s="1"/>
  <c r="AD565" i="42"/>
  <c r="U565" i="42"/>
  <c r="U308" i="42"/>
  <c r="AD308" i="42"/>
  <c r="AH447" i="42"/>
  <c r="M439" i="42"/>
  <c r="Y439" i="42" s="1"/>
  <c r="AH420" i="42"/>
  <c r="M451" i="42"/>
  <c r="Y451" i="42" s="1"/>
  <c r="AH443" i="42"/>
  <c r="M435" i="42"/>
  <c r="Y435" i="42" s="1"/>
  <c r="AH439" i="42"/>
  <c r="AH406" i="42"/>
  <c r="AH396" i="42"/>
  <c r="M447" i="42"/>
  <c r="Y447" i="42" s="1"/>
  <c r="AH435" i="42"/>
  <c r="M360" i="42"/>
  <c r="Y360" i="42" s="1"/>
  <c r="M342" i="42"/>
  <c r="M420" i="42"/>
  <c r="M396" i="42"/>
  <c r="Y396" i="42" s="1"/>
  <c r="M368" i="42"/>
  <c r="Y373" i="42" s="1"/>
  <c r="M326" i="42"/>
  <c r="AH326" i="42" s="1"/>
  <c r="M289" i="42"/>
  <c r="AH289" i="42" s="1"/>
  <c r="M243" i="42"/>
  <c r="M308" i="42"/>
  <c r="M251" i="42"/>
  <c r="Y251" i="42" s="1"/>
  <c r="AH451" i="42"/>
  <c r="M443" i="42"/>
  <c r="Y443" i="42" s="1"/>
  <c r="M406" i="42"/>
  <c r="U243" i="42"/>
  <c r="U342" i="42"/>
  <c r="AD342" i="42"/>
  <c r="AC451" i="42"/>
  <c r="H443" i="42"/>
  <c r="T443" i="42" s="1"/>
  <c r="AC435" i="42"/>
  <c r="H420" i="42"/>
  <c r="AC447" i="42"/>
  <c r="H439" i="42"/>
  <c r="T439" i="42" s="1"/>
  <c r="AC420" i="42"/>
  <c r="H447" i="42"/>
  <c r="T447" i="42" s="1"/>
  <c r="H406" i="42"/>
  <c r="AC443" i="42"/>
  <c r="AC406" i="42"/>
  <c r="AC396" i="42"/>
  <c r="H451" i="42"/>
  <c r="T451" i="42" s="1"/>
  <c r="H396" i="42"/>
  <c r="T396" i="42" s="1"/>
  <c r="H326" i="42"/>
  <c r="AC326" i="42" s="1"/>
  <c r="AC439" i="42"/>
  <c r="H435" i="42"/>
  <c r="T435" i="42" s="1"/>
  <c r="H342" i="42"/>
  <c r="H289" i="42"/>
  <c r="AC289" i="42" s="1"/>
  <c r="H243" i="42"/>
  <c r="H308" i="42"/>
  <c r="T128" i="41"/>
  <c r="T129" i="41" s="1"/>
  <c r="T130" i="41" s="1"/>
  <c r="T138" i="41" s="1"/>
  <c r="T139" i="41" s="1"/>
  <c r="T140" i="41" s="1"/>
  <c r="T161" i="41" s="1"/>
  <c r="T163" i="41" s="1"/>
  <c r="T199" i="41" s="1"/>
  <c r="T200" i="41" s="1"/>
  <c r="T201" i="41" s="1"/>
  <c r="T202" i="41" s="1"/>
  <c r="T203" i="41" s="1"/>
  <c r="T223" i="41" s="1"/>
  <c r="T229" i="41" s="1"/>
  <c r="T230" i="41" s="1"/>
  <c r="T231" i="41" s="1"/>
  <c r="T232" i="41" s="1"/>
  <c r="T233" i="41" s="1"/>
  <c r="T252" i="41" s="1"/>
  <c r="T122" i="41"/>
  <c r="N153" i="62"/>
  <c r="M269" i="41"/>
  <c r="M270" i="41"/>
  <c r="M268" i="41"/>
  <c r="L268" i="41"/>
  <c r="L269" i="41"/>
  <c r="L270" i="41"/>
  <c r="N267" i="41"/>
  <c r="N270" i="41"/>
  <c r="N268" i="41"/>
  <c r="N269" i="41"/>
  <c r="N154" i="62"/>
  <c r="N365" i="50"/>
  <c r="S154" i="62"/>
  <c r="W152" i="62"/>
  <c r="M152" i="62"/>
  <c r="N155" i="62"/>
  <c r="U153" i="62"/>
  <c r="M153" i="62"/>
  <c r="I154" i="62"/>
  <c r="X154" i="62"/>
  <c r="J153" i="62"/>
  <c r="T154" i="62"/>
  <c r="W154" i="62"/>
  <c r="X155" i="62"/>
  <c r="U155" i="62"/>
  <c r="W155" i="62"/>
  <c r="K155" i="62"/>
  <c r="M155" i="62"/>
  <c r="I155" i="62"/>
  <c r="Y155" i="62"/>
  <c r="J155" i="62"/>
  <c r="U152" i="62"/>
  <c r="M136" i="50"/>
  <c r="I152" i="62"/>
  <c r="N152" i="62"/>
  <c r="K152" i="62"/>
  <c r="J152" i="62"/>
  <c r="M137" i="50"/>
  <c r="X152" i="62"/>
  <c r="S152" i="62"/>
  <c r="K136" i="50"/>
  <c r="H137" i="50"/>
  <c r="H136" i="50"/>
  <c r="K137" i="50"/>
  <c r="J136" i="50"/>
  <c r="N137" i="50"/>
  <c r="N136" i="50"/>
  <c r="M365" i="50"/>
  <c r="M267" i="41"/>
  <c r="J137" i="50"/>
  <c r="H1727" i="50"/>
  <c r="M1727" i="50"/>
  <c r="M1599" i="50"/>
  <c r="H1599" i="50"/>
  <c r="H1471" i="50"/>
  <c r="M1471" i="50"/>
  <c r="H1343" i="50"/>
  <c r="M1343" i="50"/>
  <c r="H1215" i="50"/>
  <c r="M1215" i="50"/>
  <c r="M1087" i="50"/>
  <c r="H1087" i="50"/>
  <c r="H959" i="50"/>
  <c r="M959" i="50"/>
  <c r="H831" i="50"/>
  <c r="M831" i="50"/>
  <c r="H703" i="50"/>
  <c r="M703" i="50"/>
  <c r="V155" i="62"/>
  <c r="T155" i="62"/>
  <c r="V154" i="62"/>
  <c r="Y154" i="62"/>
  <c r="M154" i="62"/>
  <c r="Y153" i="62"/>
  <c r="T153" i="62"/>
  <c r="K154" i="62"/>
  <c r="U154" i="62"/>
  <c r="V152" i="62"/>
  <c r="Y152" i="62"/>
  <c r="K153" i="62"/>
  <c r="V153" i="62"/>
  <c r="X153" i="62"/>
  <c r="W153" i="62"/>
  <c r="S153" i="62"/>
  <c r="N272" i="43"/>
  <c r="N283" i="43"/>
  <c r="H356" i="47"/>
  <c r="H340" i="47"/>
  <c r="AC340" i="47" s="1"/>
  <c r="H367" i="47"/>
  <c r="H346" i="47"/>
  <c r="M367" i="47"/>
  <c r="M346" i="47"/>
  <c r="M340" i="47"/>
  <c r="AH340" i="47" s="1"/>
  <c r="M356" i="47"/>
  <c r="S168" i="62"/>
  <c r="T168" i="62"/>
  <c r="D170" i="62"/>
  <c r="E169" i="62"/>
  <c r="D144" i="62"/>
  <c r="E143" i="62"/>
  <c r="M103" i="42"/>
  <c r="AH103" i="42" s="1"/>
  <c r="M119" i="42"/>
  <c r="U119" i="42"/>
  <c r="AD119" i="42"/>
  <c r="H103" i="42"/>
  <c r="H119" i="42"/>
  <c r="Q270" i="34"/>
  <c r="T270" i="34" s="1"/>
  <c r="N415" i="43"/>
  <c r="N428" i="41"/>
  <c r="N278" i="49"/>
  <c r="N490" i="47"/>
  <c r="N2831" i="37"/>
  <c r="N1840" i="42"/>
  <c r="N2505" i="50"/>
  <c r="M455" i="47"/>
  <c r="AH455" i="47" s="1"/>
  <c r="M112" i="47"/>
  <c r="AH112" i="47" s="1"/>
  <c r="M269" i="47"/>
  <c r="M316" i="47"/>
  <c r="M121" i="47"/>
  <c r="M31" i="47"/>
  <c r="AH31" i="47" s="1"/>
  <c r="M207" i="47"/>
  <c r="M305" i="47"/>
  <c r="M289" i="47"/>
  <c r="AH289" i="47" s="1"/>
  <c r="M128" i="47"/>
  <c r="M404" i="47"/>
  <c r="M146" i="47"/>
  <c r="AH146" i="47" s="1"/>
  <c r="M188" i="47"/>
  <c r="M433" i="47"/>
  <c r="M397" i="47"/>
  <c r="M423" i="47"/>
  <c r="AH423" i="47" s="1"/>
  <c r="M216" i="47"/>
  <c r="M472" i="47"/>
  <c r="Y475" i="47" s="1"/>
  <c r="M196" i="47"/>
  <c r="M391" i="47"/>
  <c r="AH391" i="47" s="1"/>
  <c r="M94" i="47"/>
  <c r="M466" i="47"/>
  <c r="Y466" i="47" s="1"/>
  <c r="M155" i="47"/>
  <c r="M162" i="47"/>
  <c r="M295" i="47"/>
  <c r="M254" i="47"/>
  <c r="AH254" i="47" s="1"/>
  <c r="M180" i="47"/>
  <c r="AH180" i="47" s="1"/>
  <c r="M281" i="49"/>
  <c r="M493" i="47"/>
  <c r="M2834" i="37"/>
  <c r="M99" i="49"/>
  <c r="M190" i="49"/>
  <c r="M105" i="49"/>
  <c r="M66" i="49"/>
  <c r="M56" i="49"/>
  <c r="M20" i="49"/>
  <c r="AG20" i="49" s="1"/>
  <c r="M150" i="49"/>
  <c r="M82" i="49"/>
  <c r="M218" i="49"/>
  <c r="M266" i="49"/>
  <c r="M91" i="49"/>
  <c r="M211" i="49"/>
  <c r="M140" i="49"/>
  <c r="M247" i="49"/>
  <c r="M251" i="49"/>
  <c r="W251" i="49" s="1"/>
  <c r="M197" i="49"/>
  <c r="M184" i="49"/>
  <c r="M145" i="49"/>
  <c r="M114" i="49"/>
  <c r="M202" i="49"/>
  <c r="W202" i="49" s="1"/>
  <c r="X20" i="49"/>
  <c r="M261" i="49"/>
  <c r="M237" i="49"/>
  <c r="M242" i="49"/>
  <c r="M135" i="49"/>
  <c r="M34" i="49"/>
  <c r="M122" i="49"/>
  <c r="M72" i="49"/>
  <c r="M127" i="49"/>
  <c r="M118" i="49"/>
  <c r="M61" i="49"/>
  <c r="N1839" i="42"/>
  <c r="N277" i="49"/>
  <c r="N2504" i="50"/>
  <c r="N489" i="47"/>
  <c r="N427" i="41"/>
  <c r="N2830" i="37"/>
  <c r="AH228" i="42"/>
  <c r="AH224" i="42"/>
  <c r="M85" i="42"/>
  <c r="M28" i="42"/>
  <c r="AH220" i="42"/>
  <c r="AH197" i="42"/>
  <c r="M212" i="42"/>
  <c r="Y212" i="42" s="1"/>
  <c r="M224" i="42"/>
  <c r="Y224" i="42" s="1"/>
  <c r="M216" i="42"/>
  <c r="Y216" i="42" s="1"/>
  <c r="M183" i="42"/>
  <c r="M137" i="42"/>
  <c r="Y137" i="42" s="1"/>
  <c r="M173" i="42"/>
  <c r="Y173" i="42" s="1"/>
  <c r="AH173" i="42"/>
  <c r="M20" i="42"/>
  <c r="AH216" i="42"/>
  <c r="AH183" i="42"/>
  <c r="M145" i="42"/>
  <c r="Y150" i="42" s="1"/>
  <c r="AH212" i="42"/>
  <c r="M220" i="42"/>
  <c r="Y220" i="42" s="1"/>
  <c r="M66" i="42"/>
  <c r="AH66" i="42" s="1"/>
  <c r="M228" i="42"/>
  <c r="Y228" i="42" s="1"/>
  <c r="M197" i="42"/>
  <c r="M575" i="50"/>
  <c r="M196" i="50"/>
  <c r="M2448" i="50"/>
  <c r="M179" i="50"/>
  <c r="M368" i="50"/>
  <c r="M2420" i="50"/>
  <c r="M154" i="50"/>
  <c r="M160" i="50"/>
  <c r="M185" i="50"/>
  <c r="M1824" i="50"/>
  <c r="M233" i="50"/>
  <c r="M61" i="50"/>
  <c r="M94" i="50"/>
  <c r="M220" i="50"/>
  <c r="M174" i="50"/>
  <c r="M2411" i="50"/>
  <c r="M2416" i="50" s="1"/>
  <c r="M2472" i="50"/>
  <c r="U1787" i="50"/>
  <c r="M2462" i="50"/>
  <c r="M1818" i="50"/>
  <c r="M2458" i="50"/>
  <c r="M144" i="50"/>
  <c r="U505" i="50"/>
  <c r="M117" i="50"/>
  <c r="M2466" i="50"/>
  <c r="M208" i="50"/>
  <c r="M149" i="50"/>
  <c r="M169" i="50"/>
  <c r="M126" i="37"/>
  <c r="Y126" i="37" s="1"/>
  <c r="M265" i="37"/>
  <c r="Y265" i="37" s="1"/>
  <c r="M256" i="37"/>
  <c r="Y259" i="37" s="1"/>
  <c r="M149" i="37"/>
  <c r="Y153" i="37" s="1"/>
  <c r="M72" i="37"/>
  <c r="Y75" i="37" s="1"/>
  <c r="M66" i="37"/>
  <c r="Y66" i="37" s="1"/>
  <c r="M283" i="37"/>
  <c r="M40" i="37"/>
  <c r="Y43" i="37" s="1"/>
  <c r="M237" i="37"/>
  <c r="Y240" i="37" s="1"/>
  <c r="M2842" i="37"/>
  <c r="M34" i="37"/>
  <c r="Y34" i="37" s="1"/>
  <c r="M188" i="37"/>
  <c r="M161" i="37"/>
  <c r="Y165" i="37" s="1"/>
  <c r="M20" i="37"/>
  <c r="M231" i="37"/>
  <c r="Y231" i="37" s="1"/>
  <c r="M247" i="37"/>
  <c r="Y249" i="37" s="1"/>
  <c r="M134" i="37"/>
  <c r="M2837" i="37"/>
  <c r="M91" i="37"/>
  <c r="M184" i="37"/>
  <c r="Y184" i="37" s="1"/>
  <c r="M192" i="37"/>
  <c r="Y192" i="37" s="1"/>
  <c r="M279" i="37"/>
  <c r="M175" i="37"/>
  <c r="Y175" i="37" s="1"/>
  <c r="M203" i="37"/>
  <c r="M222" i="37"/>
  <c r="M212" i="37"/>
  <c r="M127" i="41"/>
  <c r="M272" i="50" s="1"/>
  <c r="M349" i="41"/>
  <c r="M433" i="50" s="1"/>
  <c r="M19" i="41"/>
  <c r="AA19" i="41" s="1"/>
  <c r="M239" i="41"/>
  <c r="M356" i="50" s="1"/>
  <c r="M210" i="41"/>
  <c r="M334" i="50" s="1"/>
  <c r="M168" i="41"/>
  <c r="M301" i="50" s="1"/>
  <c r="M261" i="41"/>
  <c r="M323" i="41"/>
  <c r="M409" i="50" s="1"/>
  <c r="M302" i="41"/>
  <c r="M393" i="50" s="1"/>
  <c r="M365" i="41"/>
  <c r="M445" i="50" s="1"/>
  <c r="M228" i="41"/>
  <c r="M347" i="50" s="1"/>
  <c r="M334" i="41"/>
  <c r="M419" i="50" s="1"/>
  <c r="M315" i="41"/>
  <c r="M402" i="50" s="1"/>
  <c r="M198" i="41"/>
  <c r="M324" i="50" s="1"/>
  <c r="M160" i="41"/>
  <c r="M295" i="50" s="1"/>
  <c r="M448" i="41"/>
  <c r="M121" i="41"/>
  <c r="M268" i="50" s="1"/>
  <c r="M137" i="41"/>
  <c r="M279" i="50" s="1"/>
  <c r="M286" i="41"/>
  <c r="M379" i="50" s="1"/>
  <c r="M55" i="41"/>
  <c r="M42" i="41"/>
  <c r="M71" i="41"/>
  <c r="M112" i="41"/>
  <c r="M260" i="50" s="1"/>
  <c r="M249" i="41"/>
  <c r="M364" i="50" s="1"/>
  <c r="M398" i="41"/>
  <c r="M467" i="50" s="1"/>
  <c r="L267" i="41"/>
  <c r="L365" i="50"/>
  <c r="H94" i="47"/>
  <c r="H162" i="47"/>
  <c r="H216" i="47"/>
  <c r="H404" i="47"/>
  <c r="H397" i="47"/>
  <c r="H180" i="47"/>
  <c r="AC180" i="47" s="1"/>
  <c r="H391" i="47"/>
  <c r="AC391" i="47" s="1"/>
  <c r="H112" i="47"/>
  <c r="AC112" i="47" s="1"/>
  <c r="H196" i="47"/>
  <c r="H207" i="47"/>
  <c r="H289" i="47"/>
  <c r="AC289" i="47" s="1"/>
  <c r="H155" i="47"/>
  <c r="H188" i="47"/>
  <c r="H423" i="47"/>
  <c r="AC423" i="47" s="1"/>
  <c r="H295" i="47"/>
  <c r="H254" i="47"/>
  <c r="AC254" i="47" s="1"/>
  <c r="H316" i="47"/>
  <c r="H128" i="47"/>
  <c r="H121" i="47"/>
  <c r="H305" i="47"/>
  <c r="H433" i="47"/>
  <c r="H31" i="47"/>
  <c r="AC31" i="47" s="1"/>
  <c r="H146" i="47"/>
  <c r="AC146" i="47" s="1"/>
  <c r="H455" i="47"/>
  <c r="AC455" i="47" s="1"/>
  <c r="H269" i="47"/>
  <c r="H203" i="37"/>
  <c r="H149" i="37"/>
  <c r="T153" i="37" s="1"/>
  <c r="H265" i="37"/>
  <c r="T265" i="37" s="1"/>
  <c r="H126" i="37"/>
  <c r="T126" i="37" s="1"/>
  <c r="H184" i="37"/>
  <c r="T184" i="37" s="1"/>
  <c r="H283" i="37"/>
  <c r="H91" i="37"/>
  <c r="H134" i="37"/>
  <c r="H256" i="37"/>
  <c r="T259" i="37" s="1"/>
  <c r="H2842" i="37"/>
  <c r="H59" i="37"/>
  <c r="T59" i="37" s="1"/>
  <c r="H161" i="37"/>
  <c r="T165" i="37" s="1"/>
  <c r="H247" i="37"/>
  <c r="T249" i="37" s="1"/>
  <c r="H279" i="37"/>
  <c r="H2837" i="37"/>
  <c r="H192" i="37"/>
  <c r="T192" i="37" s="1"/>
  <c r="H175" i="37"/>
  <c r="T175" i="37" s="1"/>
  <c r="H222" i="37"/>
  <c r="H51" i="37"/>
  <c r="H212" i="37"/>
  <c r="H188" i="37"/>
  <c r="H20" i="37"/>
  <c r="U85" i="42"/>
  <c r="AD85" i="42"/>
  <c r="H2834" i="37"/>
  <c r="H493" i="47"/>
  <c r="H281" i="49"/>
  <c r="H220" i="42"/>
  <c r="T220" i="42" s="1"/>
  <c r="AC212" i="42"/>
  <c r="H216" i="42"/>
  <c r="T216" i="42" s="1"/>
  <c r="AC183" i="42"/>
  <c r="H173" i="42"/>
  <c r="T173" i="42" s="1"/>
  <c r="AC220" i="42"/>
  <c r="AC224" i="42"/>
  <c r="H66" i="42"/>
  <c r="AC66" i="42" s="1"/>
  <c r="H224" i="42"/>
  <c r="T224" i="42" s="1"/>
  <c r="H228" i="42"/>
  <c r="T228" i="42" s="1"/>
  <c r="H212" i="42"/>
  <c r="T212" i="42" s="1"/>
  <c r="H197" i="42"/>
  <c r="AC173" i="42"/>
  <c r="H85" i="42"/>
  <c r="H20" i="42"/>
  <c r="AC228" i="42"/>
  <c r="AC197" i="42"/>
  <c r="AC216" i="42"/>
  <c r="H183" i="42"/>
  <c r="H94" i="50"/>
  <c r="H179" i="50"/>
  <c r="H174" i="50"/>
  <c r="H117" i="50"/>
  <c r="H1824" i="50"/>
  <c r="H169" i="50"/>
  <c r="H196" i="50"/>
  <c r="H149" i="50"/>
  <c r="H144" i="50"/>
  <c r="H208" i="50"/>
  <c r="H61" i="50"/>
  <c r="H575" i="50"/>
  <c r="H368" i="50"/>
  <c r="H220" i="50"/>
  <c r="H233" i="50"/>
  <c r="H160" i="50"/>
  <c r="H154" i="50"/>
  <c r="H185" i="50"/>
  <c r="AD283" i="37"/>
  <c r="AD271" i="37"/>
  <c r="AD256" i="37"/>
  <c r="AD265" i="37"/>
  <c r="AD203" i="37"/>
  <c r="AD51" i="37"/>
  <c r="AD134" i="37"/>
  <c r="AD188" i="37"/>
  <c r="AD184" i="37"/>
  <c r="AD212" i="37"/>
  <c r="AD126" i="37"/>
  <c r="U20" i="37"/>
  <c r="AD175" i="37"/>
  <c r="AD149" i="37"/>
  <c r="AD192" i="37"/>
  <c r="AD247" i="37"/>
  <c r="AD20" i="37"/>
  <c r="AD91" i="37"/>
  <c r="AD59" i="37"/>
  <c r="AD222" i="37"/>
  <c r="AD279" i="37"/>
  <c r="AD161" i="37"/>
  <c r="H168" i="41"/>
  <c r="H301" i="50" s="1"/>
  <c r="H160" i="41"/>
  <c r="H295" i="50" s="1"/>
  <c r="H71" i="41"/>
  <c r="H349" i="41"/>
  <c r="H433" i="50" s="1"/>
  <c r="H127" i="41"/>
  <c r="H272" i="50" s="1"/>
  <c r="H137" i="41"/>
  <c r="H279" i="50" s="1"/>
  <c r="H112" i="41"/>
  <c r="H260" i="50" s="1"/>
  <c r="H121" i="41"/>
  <c r="H268" i="50" s="1"/>
  <c r="H315" i="41"/>
  <c r="H402" i="50" s="1"/>
  <c r="H55" i="41"/>
  <c r="H398" i="41"/>
  <c r="H467" i="50" s="1"/>
  <c r="H228" i="41"/>
  <c r="H347" i="50" s="1"/>
  <c r="H448" i="41"/>
  <c r="H239" i="41"/>
  <c r="H356" i="50" s="1"/>
  <c r="H286" i="41"/>
  <c r="H379" i="50" s="1"/>
  <c r="H323" i="41"/>
  <c r="H409" i="50" s="1"/>
  <c r="H210" i="41"/>
  <c r="H334" i="50" s="1"/>
  <c r="H42" i="41"/>
  <c r="H249" i="41"/>
  <c r="H364" i="50" s="1"/>
  <c r="H302" i="41"/>
  <c r="H393" i="50" s="1"/>
  <c r="H261" i="41"/>
  <c r="H365" i="41"/>
  <c r="H445" i="50" s="1"/>
  <c r="H198" i="41"/>
  <c r="H324" i="50" s="1"/>
  <c r="H334" i="41"/>
  <c r="H419" i="50" s="1"/>
  <c r="H19" i="41"/>
  <c r="V19" i="41" s="1"/>
  <c r="H140" i="49"/>
  <c r="H114" i="49"/>
  <c r="H145" i="49"/>
  <c r="H197" i="49"/>
  <c r="H91" i="49"/>
  <c r="H99" i="49"/>
  <c r="H261" i="49"/>
  <c r="H184" i="49"/>
  <c r="H266" i="49"/>
  <c r="H82" i="49"/>
  <c r="H20" i="49"/>
  <c r="AB20" i="49" s="1"/>
  <c r="H122" i="49"/>
  <c r="H118" i="49"/>
  <c r="H251" i="49"/>
  <c r="R251" i="49" s="1"/>
  <c r="H247" i="49"/>
  <c r="H218" i="49"/>
  <c r="H150" i="49"/>
  <c r="H56" i="49"/>
  <c r="H211" i="49"/>
  <c r="H105" i="49"/>
  <c r="H237" i="49"/>
  <c r="H34" i="49"/>
  <c r="H190" i="49"/>
  <c r="H72" i="49"/>
  <c r="H61" i="49"/>
  <c r="H66" i="49"/>
  <c r="S20" i="49"/>
  <c r="H242" i="49"/>
  <c r="H127" i="49"/>
  <c r="H202" i="49"/>
  <c r="R202" i="49" s="1"/>
  <c r="H135" i="49"/>
  <c r="I2190" i="50" l="1"/>
  <c r="M2187" i="50"/>
  <c r="H2185" i="50"/>
  <c r="J2183" i="50"/>
  <c r="L2181" i="50"/>
  <c r="K2187" i="50"/>
  <c r="M2184" i="50"/>
  <c r="H2183" i="50"/>
  <c r="H2190" i="50"/>
  <c r="L2187" i="50"/>
  <c r="N2184" i="50"/>
  <c r="I2183" i="50"/>
  <c r="K2181" i="50"/>
  <c r="J2181" i="50"/>
  <c r="N2189" i="50"/>
  <c r="J2187" i="50"/>
  <c r="L2184" i="50"/>
  <c r="N2182" i="50"/>
  <c r="I2181" i="50"/>
  <c r="M2189" i="50"/>
  <c r="I2187" i="50"/>
  <c r="K2184" i="50"/>
  <c r="M2182" i="50"/>
  <c r="H2181" i="50"/>
  <c r="L2189" i="50"/>
  <c r="H2187" i="50"/>
  <c r="J2184" i="50"/>
  <c r="L2182" i="50"/>
  <c r="N2180" i="50"/>
  <c r="H2189" i="50"/>
  <c r="M2183" i="50"/>
  <c r="J2185" i="50"/>
  <c r="K2189" i="50"/>
  <c r="N2185" i="50"/>
  <c r="I2184" i="50"/>
  <c r="K2182" i="50"/>
  <c r="M2180" i="50"/>
  <c r="K2185" i="50"/>
  <c r="J2180" i="50"/>
  <c r="N2190" i="50"/>
  <c r="J2189" i="50"/>
  <c r="M2185" i="50"/>
  <c r="H2184" i="50"/>
  <c r="J2182" i="50"/>
  <c r="L2180" i="50"/>
  <c r="L2183" i="50"/>
  <c r="M2190" i="50"/>
  <c r="I2189" i="50"/>
  <c r="L2185" i="50"/>
  <c r="N2183" i="50"/>
  <c r="I2182" i="50"/>
  <c r="K2180" i="50"/>
  <c r="L2190" i="50"/>
  <c r="H2182" i="50"/>
  <c r="I2180" i="50"/>
  <c r="K2190" i="50"/>
  <c r="N2181" i="50"/>
  <c r="J2190" i="50"/>
  <c r="N2187" i="50"/>
  <c r="I2185" i="50"/>
  <c r="K2183" i="50"/>
  <c r="M2181" i="50"/>
  <c r="H2180" i="50"/>
  <c r="E131" i="62"/>
  <c r="N1705" i="50"/>
  <c r="N1685" i="50"/>
  <c r="N1673" i="50"/>
  <c r="N1661" i="50"/>
  <c r="N1657" i="50"/>
  <c r="N1589" i="50"/>
  <c r="N1557" i="50"/>
  <c r="N1545" i="50"/>
  <c r="N1533" i="50"/>
  <c r="N1529" i="50"/>
  <c r="N1461" i="50"/>
  <c r="N1409" i="50"/>
  <c r="V1401" i="50"/>
  <c r="N1313" i="50"/>
  <c r="N1281" i="50"/>
  <c r="V1273" i="50"/>
  <c r="N1185" i="50"/>
  <c r="N1173" i="50"/>
  <c r="N1161" i="50"/>
  <c r="N1149" i="50"/>
  <c r="N1145" i="50"/>
  <c r="N949" i="50"/>
  <c r="N923" i="50"/>
  <c r="N911" i="50"/>
  <c r="N1691" i="50"/>
  <c r="N1679" i="50"/>
  <c r="N1577" i="50"/>
  <c r="N1563" i="50"/>
  <c r="N1551" i="50"/>
  <c r="N1449" i="50"/>
  <c r="N1435" i="50"/>
  <c r="N1429" i="50"/>
  <c r="N1417" i="50"/>
  <c r="N1405" i="50"/>
  <c r="N1401" i="50"/>
  <c r="N1333" i="50"/>
  <c r="N1301" i="50"/>
  <c r="N1289" i="50"/>
  <c r="N1277" i="50"/>
  <c r="N1273" i="50"/>
  <c r="N1205" i="50"/>
  <c r="N1179" i="50"/>
  <c r="N1167" i="50"/>
  <c r="N937" i="50"/>
  <c r="N1697" i="50"/>
  <c r="N1423" i="50"/>
  <c r="N1321" i="50"/>
  <c r="N1307" i="50"/>
  <c r="N1295" i="50"/>
  <c r="N1193" i="50"/>
  <c r="N1665" i="50"/>
  <c r="N1569" i="50"/>
  <c r="N1153" i="50"/>
  <c r="N929" i="50"/>
  <c r="N893" i="50"/>
  <c r="N889" i="50"/>
  <c r="N821" i="50"/>
  <c r="N795" i="50"/>
  <c r="N783" i="50"/>
  <c r="N1065" i="50"/>
  <c r="N1045" i="50"/>
  <c r="N1033" i="50"/>
  <c r="N1021" i="50"/>
  <c r="N1017" i="50"/>
  <c r="N693" i="50"/>
  <c r="N667" i="50"/>
  <c r="N655" i="50"/>
  <c r="V633" i="50"/>
  <c r="N789" i="50"/>
  <c r="N761" i="50"/>
  <c r="N649" i="50"/>
  <c r="N637" i="50"/>
  <c r="N633" i="50"/>
  <c r="V1657" i="50"/>
  <c r="N1537" i="50"/>
  <c r="N1441" i="50"/>
  <c r="V1145" i="50"/>
  <c r="N917" i="50"/>
  <c r="N809" i="50"/>
  <c r="N1051" i="50"/>
  <c r="N1039" i="50"/>
  <c r="N681" i="50"/>
  <c r="N897" i="50"/>
  <c r="V889" i="50"/>
  <c r="N801" i="50"/>
  <c r="N777" i="50"/>
  <c r="N673" i="50"/>
  <c r="V1529" i="50"/>
  <c r="N905" i="50"/>
  <c r="N769" i="50"/>
  <c r="V761" i="50"/>
  <c r="N1057" i="50"/>
  <c r="N641" i="50"/>
  <c r="N1717" i="50"/>
  <c r="N765" i="50"/>
  <c r="N1077" i="50"/>
  <c r="N1025" i="50"/>
  <c r="V1017" i="50"/>
  <c r="N661" i="50"/>
  <c r="N225" i="47"/>
  <c r="N219" i="47"/>
  <c r="Z219" i="47" s="1"/>
  <c r="Z228" i="47" s="1"/>
  <c r="AL1112" i="42"/>
  <c r="I1077" i="42"/>
  <c r="L1084" i="42"/>
  <c r="L1158" i="42" s="1"/>
  <c r="L1159" i="42" s="1"/>
  <c r="N2140" i="50"/>
  <c r="M2137" i="50"/>
  <c r="M2140" i="50"/>
  <c r="K2140" i="50"/>
  <c r="L2140" i="50"/>
  <c r="J2140" i="50"/>
  <c r="N565" i="50"/>
  <c r="N553" i="50"/>
  <c r="N545" i="50"/>
  <c r="N539" i="50"/>
  <c r="N533" i="50"/>
  <c r="N527" i="50"/>
  <c r="N521" i="50"/>
  <c r="N513" i="50"/>
  <c r="N509" i="50"/>
  <c r="N505" i="50"/>
  <c r="X32" i="62"/>
  <c r="Q32" i="62"/>
  <c r="U32" i="62"/>
  <c r="E132" i="62" s="1"/>
  <c r="E96" i="62"/>
  <c r="D65" i="62"/>
  <c r="G64" i="62"/>
  <c r="T64" i="62" s="1"/>
  <c r="E64" i="62"/>
  <c r="E110" i="62"/>
  <c r="I110" i="62" a="1"/>
  <c r="I110" i="62" s="1"/>
  <c r="M63" i="62"/>
  <c r="U63" i="62"/>
  <c r="L63" i="62"/>
  <c r="S63" i="62"/>
  <c r="Y31" i="62"/>
  <c r="E156" i="62"/>
  <c r="Z31" i="62"/>
  <c r="AA31" i="62" s="1"/>
  <c r="N31" i="62"/>
  <c r="D34" i="62"/>
  <c r="E33" i="62"/>
  <c r="I168" i="62"/>
  <c r="M2194" i="50"/>
  <c r="T47" i="41"/>
  <c r="Z63" i="62"/>
  <c r="AA63" i="62" s="1"/>
  <c r="M1247" i="42"/>
  <c r="AL1283" i="42" s="1"/>
  <c r="Y63" i="62"/>
  <c r="L31" i="62"/>
  <c r="M31" i="62"/>
  <c r="S31" i="62"/>
  <c r="R31" i="62"/>
  <c r="M275" i="43"/>
  <c r="M2449" i="50" s="1"/>
  <c r="M271" i="41"/>
  <c r="M373" i="50" s="1"/>
  <c r="M272" i="41"/>
  <c r="M374" i="50" s="1"/>
  <c r="N272" i="41"/>
  <c r="N374" i="50" s="1"/>
  <c r="N271" i="41"/>
  <c r="N373" i="50" s="1"/>
  <c r="L271" i="41"/>
  <c r="L373" i="50" s="1"/>
  <c r="L272" i="41"/>
  <c r="L374" i="50" s="1"/>
  <c r="N1883" i="50"/>
  <c r="N1868" i="50"/>
  <c r="N1937" i="50"/>
  <c r="N1933" i="50"/>
  <c r="N2311" i="50"/>
  <c r="N2307" i="50"/>
  <c r="N2222" i="50"/>
  <c r="N2207" i="50"/>
  <c r="N2143" i="50"/>
  <c r="N2139" i="50"/>
  <c r="N2091" i="50"/>
  <c r="N1799" i="50"/>
  <c r="N1864" i="50"/>
  <c r="N1860" i="50"/>
  <c r="N1945" i="50"/>
  <c r="N2363" i="50"/>
  <c r="N2330" i="50"/>
  <c r="N2319" i="50"/>
  <c r="N2267" i="50"/>
  <c r="N2203" i="50"/>
  <c r="N1795" i="50"/>
  <c r="N1787" i="50"/>
  <c r="N1872" i="50"/>
  <c r="N2359" i="50"/>
  <c r="N2355" i="50"/>
  <c r="N2263" i="50"/>
  <c r="N2259" i="50"/>
  <c r="N2211" i="50"/>
  <c r="N2102" i="50"/>
  <c r="N2087" i="50"/>
  <c r="N2271" i="50"/>
  <c r="N1810" i="50"/>
  <c r="N1791" i="50"/>
  <c r="N1956" i="50"/>
  <c r="N1941" i="50"/>
  <c r="N2378" i="50"/>
  <c r="N2367" i="50"/>
  <c r="N2315" i="50"/>
  <c r="N2282" i="50"/>
  <c r="N2199" i="50"/>
  <c r="N2162" i="50"/>
  <c r="N2151" i="50"/>
  <c r="N2147" i="50"/>
  <c r="N2079" i="50"/>
  <c r="N2083" i="50"/>
  <c r="AI1701" i="42"/>
  <c r="AI1425" i="42"/>
  <c r="AI1563" i="42"/>
  <c r="E196" i="62"/>
  <c r="E170" i="62"/>
  <c r="S170" i="62" s="1"/>
  <c r="D171" i="62"/>
  <c r="E171" i="62" s="1"/>
  <c r="N1822" i="42"/>
  <c r="Z1827" i="42" s="1"/>
  <c r="N1796" i="42"/>
  <c r="N1814" i="42"/>
  <c r="Z1814" i="42" s="1"/>
  <c r="N1762" i="42"/>
  <c r="N1743" i="42"/>
  <c r="AI1743" i="42" s="1"/>
  <c r="N1709" i="42"/>
  <c r="Z1709" i="42" s="1"/>
  <c r="N1780" i="42"/>
  <c r="AI1780" i="42" s="1"/>
  <c r="N1701" i="42"/>
  <c r="Z1701" i="42" s="1"/>
  <c r="Y1796" i="42"/>
  <c r="AH1796" i="42"/>
  <c r="T1701" i="42"/>
  <c r="AH1762" i="42"/>
  <c r="Y1762" i="42"/>
  <c r="T1762" i="42"/>
  <c r="AC1762" i="42"/>
  <c r="AC1796" i="42"/>
  <c r="T1796" i="42"/>
  <c r="AC1624" i="42"/>
  <c r="T1624" i="42"/>
  <c r="Y1658" i="42"/>
  <c r="AH1658" i="42"/>
  <c r="T1563" i="42"/>
  <c r="T1658" i="42"/>
  <c r="AC1658" i="42"/>
  <c r="Y1624" i="42"/>
  <c r="AH1624" i="42"/>
  <c r="N1684" i="42"/>
  <c r="Z1689" i="42" s="1"/>
  <c r="N1676" i="42"/>
  <c r="Z1676" i="42" s="1"/>
  <c r="N1658" i="42"/>
  <c r="N1624" i="42"/>
  <c r="N1642" i="42"/>
  <c r="AI1642" i="42" s="1"/>
  <c r="N1605" i="42"/>
  <c r="AI1605" i="42" s="1"/>
  <c r="N1563" i="42"/>
  <c r="Z1563" i="42" s="1"/>
  <c r="N1571" i="42"/>
  <c r="Z1571" i="42" s="1"/>
  <c r="N2393" i="50"/>
  <c r="V2355" i="50"/>
  <c r="N2386" i="50"/>
  <c r="N2338" i="50"/>
  <c r="N2345" i="50"/>
  <c r="V2307" i="50"/>
  <c r="N2297" i="50"/>
  <c r="V2259" i="50"/>
  <c r="N2290" i="50"/>
  <c r="N2237" i="50"/>
  <c r="V2199" i="50"/>
  <c r="N2230" i="50"/>
  <c r="N2117" i="50"/>
  <c r="N2177" i="50"/>
  <c r="V2139" i="50"/>
  <c r="N2170" i="50"/>
  <c r="AH1351" i="42"/>
  <c r="Y1351" i="42"/>
  <c r="T1317" i="42"/>
  <c r="AC1317" i="42"/>
  <c r="AI1402" i="42"/>
  <c r="N1377" i="42"/>
  <c r="Z1382" i="42" s="1"/>
  <c r="N1369" i="42"/>
  <c r="Z1369" i="42" s="1"/>
  <c r="N1351" i="42"/>
  <c r="AI1395" i="42"/>
  <c r="N1395" i="42"/>
  <c r="Z1395" i="42" s="1"/>
  <c r="N1335" i="42"/>
  <c r="AI1335" i="42" s="1"/>
  <c r="N1254" i="42"/>
  <c r="N1402" i="42"/>
  <c r="Z1403" i="42" s="1"/>
  <c r="N1298" i="42"/>
  <c r="AI1298" i="42" s="1"/>
  <c r="N1317" i="42"/>
  <c r="N1262" i="42"/>
  <c r="Z1262" i="42" s="1"/>
  <c r="AC1351" i="42"/>
  <c r="T1351" i="42"/>
  <c r="Y1254" i="42"/>
  <c r="Y1317" i="42"/>
  <c r="AH1317" i="42"/>
  <c r="T1254" i="42"/>
  <c r="AI1231" i="42"/>
  <c r="AI1224" i="42"/>
  <c r="N1206" i="42"/>
  <c r="Z1211" i="42" s="1"/>
  <c r="N1198" i="42"/>
  <c r="Z1198" i="42" s="1"/>
  <c r="N1164" i="42"/>
  <c r="AI1164" i="42" s="1"/>
  <c r="N1231" i="42"/>
  <c r="Z1232" i="42" s="1"/>
  <c r="N1180" i="42"/>
  <c r="N1224" i="42"/>
  <c r="Z1224" i="42" s="1"/>
  <c r="N1127" i="42"/>
  <c r="AI1127" i="42" s="1"/>
  <c r="N1091" i="42"/>
  <c r="Z1091" i="42" s="1"/>
  <c r="N1146" i="42"/>
  <c r="N1083" i="42"/>
  <c r="AH1180" i="42"/>
  <c r="Y1180" i="42"/>
  <c r="T1083" i="42"/>
  <c r="AC1146" i="42"/>
  <c r="T1146" i="42"/>
  <c r="Y1083" i="42"/>
  <c r="M1084" i="42"/>
  <c r="T1180" i="42"/>
  <c r="AC1180" i="42"/>
  <c r="Y1146" i="42"/>
  <c r="AH1146" i="42"/>
  <c r="L987" i="42"/>
  <c r="L988" i="42" s="1"/>
  <c r="L1061" i="42"/>
  <c r="V2079" i="50"/>
  <c r="N2110" i="50"/>
  <c r="N2043" i="50"/>
  <c r="V2006" i="50"/>
  <c r="N2018" i="50"/>
  <c r="N2014" i="50"/>
  <c r="N2010" i="50"/>
  <c r="N2029" i="50"/>
  <c r="N2037" i="50"/>
  <c r="N2006" i="50"/>
  <c r="N1970" i="50"/>
  <c r="V1933" i="50"/>
  <c r="N1964" i="50"/>
  <c r="N1897" i="50"/>
  <c r="V1860" i="50"/>
  <c r="N1891" i="50"/>
  <c r="AC2808" i="37"/>
  <c r="AC2800" i="37"/>
  <c r="AC2776" i="37"/>
  <c r="AC2812" i="37"/>
  <c r="AC2732" i="37"/>
  <c r="AC2721" i="37"/>
  <c r="AC2794" i="37"/>
  <c r="AC2751" i="37"/>
  <c r="AC2741" i="37"/>
  <c r="AC2717" i="37"/>
  <c r="AC2785" i="37"/>
  <c r="AC2678" i="37"/>
  <c r="AC2655" i="37"/>
  <c r="AC2690" i="37"/>
  <c r="AC2663" i="37"/>
  <c r="AC2713" i="37"/>
  <c r="AC2704" i="37"/>
  <c r="AC2580" i="37"/>
  <c r="AC2620" i="37"/>
  <c r="AC2588" i="37"/>
  <c r="AC2549" i="37"/>
  <c r="M2588" i="37"/>
  <c r="Y2588" i="37" s="1"/>
  <c r="M2580" i="37"/>
  <c r="Y2760" i="37"/>
  <c r="AH2808" i="37"/>
  <c r="AH2800" i="37"/>
  <c r="AH2776" i="37"/>
  <c r="AH2812" i="37"/>
  <c r="AH2751" i="37"/>
  <c r="AH2741" i="37"/>
  <c r="AH2721" i="37"/>
  <c r="AH2690" i="37"/>
  <c r="AH2663" i="37"/>
  <c r="AH2794" i="37"/>
  <c r="AH2713" i="37"/>
  <c r="AH2704" i="37"/>
  <c r="AH2620" i="37"/>
  <c r="AH2732" i="37"/>
  <c r="AH2785" i="37"/>
  <c r="AH2678" i="37"/>
  <c r="AH2580" i="37"/>
  <c r="AH2588" i="37"/>
  <c r="AH2655" i="37"/>
  <c r="AH2549" i="37"/>
  <c r="AH2717" i="37"/>
  <c r="T2549" i="37"/>
  <c r="N2785" i="37"/>
  <c r="Z2788" i="37" s="1"/>
  <c r="N2721" i="37"/>
  <c r="Z2721" i="37" s="1"/>
  <c r="N2812" i="37"/>
  <c r="N2794" i="37"/>
  <c r="Z2794" i="37" s="1"/>
  <c r="N2732" i="37"/>
  <c r="N2760" i="37"/>
  <c r="N2655" i="37"/>
  <c r="Z2655" i="37" s="1"/>
  <c r="N2620" i="37"/>
  <c r="N2808" i="37"/>
  <c r="N2766" i="37"/>
  <c r="Z2769" i="37" s="1"/>
  <c r="N2678" i="37"/>
  <c r="Z2682" i="37" s="1"/>
  <c r="N2751" i="37"/>
  <c r="N2713" i="37"/>
  <c r="Z2713" i="37" s="1"/>
  <c r="N2704" i="37"/>
  <c r="Z2704" i="37" s="1"/>
  <c r="N2569" i="37"/>
  <c r="Z2572" i="37" s="1"/>
  <c r="N2563" i="37"/>
  <c r="N2776" i="37"/>
  <c r="Z2778" i="37" s="1"/>
  <c r="N2717" i="37"/>
  <c r="N2663" i="37"/>
  <c r="N2595" i="37"/>
  <c r="N2741" i="37"/>
  <c r="N2549" i="37"/>
  <c r="N2601" i="37"/>
  <c r="Z2604" i="37" s="1"/>
  <c r="N2690" i="37"/>
  <c r="Z2694" i="37" s="1"/>
  <c r="Y2595" i="37"/>
  <c r="Y2563" i="37"/>
  <c r="Y2549" i="37"/>
  <c r="Y2282" i="37"/>
  <c r="Y2314" i="37"/>
  <c r="Y2268" i="37"/>
  <c r="T2268" i="37"/>
  <c r="M2307" i="37"/>
  <c r="Y2307" i="37" s="1"/>
  <c r="M2299" i="37"/>
  <c r="AH2527" i="37"/>
  <c r="AH2519" i="37"/>
  <c r="AH2495" i="37"/>
  <c r="AH2531" i="37"/>
  <c r="AH2451" i="37"/>
  <c r="AH2440" i="37"/>
  <c r="AH2470" i="37"/>
  <c r="AH2460" i="37"/>
  <c r="AH2339" i="37"/>
  <c r="AH2513" i="37"/>
  <c r="AH2397" i="37"/>
  <c r="AH2374" i="37"/>
  <c r="AH2432" i="37"/>
  <c r="AH2299" i="37"/>
  <c r="AH2436" i="37"/>
  <c r="AH2409" i="37"/>
  <c r="AH2382" i="37"/>
  <c r="AH2504" i="37"/>
  <c r="AH2268" i="37"/>
  <c r="AH2307" i="37"/>
  <c r="AH2423" i="37"/>
  <c r="N2504" i="37"/>
  <c r="Z2507" i="37" s="1"/>
  <c r="N2485" i="37"/>
  <c r="Z2488" i="37" s="1"/>
  <c r="N2531" i="37"/>
  <c r="N2513" i="37"/>
  <c r="Z2513" i="37" s="1"/>
  <c r="N2495" i="37"/>
  <c r="Z2497" i="37" s="1"/>
  <c r="N2460" i="37"/>
  <c r="N2436" i="37"/>
  <c r="N2432" i="37"/>
  <c r="Z2432" i="37" s="1"/>
  <c r="N2423" i="37"/>
  <c r="Z2423" i="37" s="1"/>
  <c r="N2409" i="37"/>
  <c r="Z2413" i="37" s="1"/>
  <c r="N2382" i="37"/>
  <c r="N2527" i="37"/>
  <c r="N2470" i="37"/>
  <c r="N2479" i="37"/>
  <c r="N2268" i="37"/>
  <c r="N2440" i="37"/>
  <c r="Z2440" i="37" s="1"/>
  <c r="N2397" i="37"/>
  <c r="Z2401" i="37" s="1"/>
  <c r="N2288" i="37"/>
  <c r="Z2291" i="37" s="1"/>
  <c r="N2282" i="37"/>
  <c r="N2451" i="37"/>
  <c r="N2320" i="37"/>
  <c r="Z2323" i="37" s="1"/>
  <c r="N2374" i="37"/>
  <c r="Z2374" i="37" s="1"/>
  <c r="N2339" i="37"/>
  <c r="N2314" i="37"/>
  <c r="AC2527" i="37"/>
  <c r="AC2519" i="37"/>
  <c r="AC2495" i="37"/>
  <c r="AC2531" i="37"/>
  <c r="AC2513" i="37"/>
  <c r="AC2451" i="37"/>
  <c r="AC2504" i="37"/>
  <c r="AC2470" i="37"/>
  <c r="AC2432" i="37"/>
  <c r="AC2423" i="37"/>
  <c r="AC2339" i="37"/>
  <c r="AC2436" i="37"/>
  <c r="AC2409" i="37"/>
  <c r="AC2397" i="37"/>
  <c r="AC2382" i="37"/>
  <c r="AC2307" i="37"/>
  <c r="AC2268" i="37"/>
  <c r="AC2460" i="37"/>
  <c r="AC2440" i="37"/>
  <c r="AC2299" i="37"/>
  <c r="AC2374" i="37"/>
  <c r="Y2479" i="37"/>
  <c r="Y2001" i="37"/>
  <c r="AC2246" i="37"/>
  <c r="AC2238" i="37"/>
  <c r="AC2214" i="37"/>
  <c r="AC2250" i="37"/>
  <c r="AC2170" i="37"/>
  <c r="AC2159" i="37"/>
  <c r="AC2189" i="37"/>
  <c r="AC2179" i="37"/>
  <c r="AC2155" i="37"/>
  <c r="AC2128" i="37"/>
  <c r="AC2232" i="37"/>
  <c r="AC2151" i="37"/>
  <c r="AC2142" i="37"/>
  <c r="AC2116" i="37"/>
  <c r="AC2101" i="37"/>
  <c r="AC2093" i="37"/>
  <c r="AC2223" i="37"/>
  <c r="AC2026" i="37"/>
  <c r="AC2058" i="37"/>
  <c r="AC1987" i="37"/>
  <c r="AC2018" i="37"/>
  <c r="M2018" i="37"/>
  <c r="M2026" i="37"/>
  <c r="Y2026" i="37" s="1"/>
  <c r="Y1987" i="37"/>
  <c r="T1987" i="37"/>
  <c r="AH2246" i="37"/>
  <c r="AH2238" i="37"/>
  <c r="AH2250" i="37"/>
  <c r="AH2232" i="37"/>
  <c r="AH2223" i="37"/>
  <c r="AH2189" i="37"/>
  <c r="AH2179" i="37"/>
  <c r="AH2170" i="37"/>
  <c r="AH2155" i="37"/>
  <c r="AH2151" i="37"/>
  <c r="AH2142" i="37"/>
  <c r="AH2159" i="37"/>
  <c r="AH2128" i="37"/>
  <c r="AH2116" i="37"/>
  <c r="AH2101" i="37"/>
  <c r="AH2026" i="37"/>
  <c r="AH2018" i="37"/>
  <c r="AH2093" i="37"/>
  <c r="AH2214" i="37"/>
  <c r="AH2058" i="37"/>
  <c r="AH1987" i="37"/>
  <c r="N2223" i="37"/>
  <c r="Z2226" i="37" s="1"/>
  <c r="N2246" i="37"/>
  <c r="N2214" i="37"/>
  <c r="Z2216" i="37" s="1"/>
  <c r="N2204" i="37"/>
  <c r="Z2207" i="37" s="1"/>
  <c r="N2198" i="37"/>
  <c r="N2232" i="37"/>
  <c r="Z2232" i="37" s="1"/>
  <c r="N2159" i="37"/>
  <c r="Z2159" i="37" s="1"/>
  <c r="N2250" i="37"/>
  <c r="N2170" i="37"/>
  <c r="N2189" i="37"/>
  <c r="N2179" i="37"/>
  <c r="N2155" i="37"/>
  <c r="N2151" i="37"/>
  <c r="Z2151" i="37" s="1"/>
  <c r="N2142" i="37"/>
  <c r="Z2142" i="37" s="1"/>
  <c r="N2128" i="37"/>
  <c r="Z2132" i="37" s="1"/>
  <c r="N2101" i="37"/>
  <c r="N2093" i="37"/>
  <c r="Z2093" i="37" s="1"/>
  <c r="N2058" i="37"/>
  <c r="N2116" i="37"/>
  <c r="Z2120" i="37" s="1"/>
  <c r="N2033" i="37"/>
  <c r="N2007" i="37"/>
  <c r="Z2010" i="37" s="1"/>
  <c r="N1987" i="37"/>
  <c r="N2001" i="37"/>
  <c r="N2039" i="37"/>
  <c r="Z2042" i="37" s="1"/>
  <c r="Y2033" i="37"/>
  <c r="Y2198" i="37"/>
  <c r="Y1706" i="37"/>
  <c r="T1706" i="37"/>
  <c r="Y1720" i="37"/>
  <c r="Y1917" i="37"/>
  <c r="N1942" i="37"/>
  <c r="Z1945" i="37" s="1"/>
  <c r="N1965" i="37"/>
  <c r="N1933" i="37"/>
  <c r="Z1935" i="37" s="1"/>
  <c r="N1923" i="37"/>
  <c r="Z1926" i="37" s="1"/>
  <c r="N1951" i="37"/>
  <c r="Z1951" i="37" s="1"/>
  <c r="N1917" i="37"/>
  <c r="N1969" i="37"/>
  <c r="N1889" i="37"/>
  <c r="N1835" i="37"/>
  <c r="Z1839" i="37" s="1"/>
  <c r="N1878" i="37"/>
  <c r="Z1878" i="37" s="1"/>
  <c r="N1861" i="37"/>
  <c r="Z1861" i="37" s="1"/>
  <c r="N1847" i="37"/>
  <c r="Z1851" i="37" s="1"/>
  <c r="N1820" i="37"/>
  <c r="N1908" i="37"/>
  <c r="N1870" i="37"/>
  <c r="Z1870" i="37" s="1"/>
  <c r="N1706" i="37"/>
  <c r="N1777" i="37"/>
  <c r="N1898" i="37"/>
  <c r="N1726" i="37"/>
  <c r="Z1729" i="37" s="1"/>
  <c r="N1720" i="37"/>
  <c r="N1812" i="37"/>
  <c r="Z1812" i="37" s="1"/>
  <c r="N1758" i="37"/>
  <c r="Z1761" i="37" s="1"/>
  <c r="N1752" i="37"/>
  <c r="N1874" i="37"/>
  <c r="M1745" i="37"/>
  <c r="Y1745" i="37" s="1"/>
  <c r="M1737" i="37"/>
  <c r="AH1965" i="37"/>
  <c r="AH1957" i="37"/>
  <c r="AH1933" i="37"/>
  <c r="AH1969" i="37"/>
  <c r="AH1951" i="37"/>
  <c r="AH1942" i="37"/>
  <c r="AH1889" i="37"/>
  <c r="AH1878" i="37"/>
  <c r="AH1908" i="37"/>
  <c r="AH1898" i="37"/>
  <c r="AH1870" i="37"/>
  <c r="AH1874" i="37"/>
  <c r="AH1861" i="37"/>
  <c r="AH1835" i="37"/>
  <c r="AH1812" i="37"/>
  <c r="AH1847" i="37"/>
  <c r="AH1737" i="37"/>
  <c r="AH1820" i="37"/>
  <c r="AH1777" i="37"/>
  <c r="AH1745" i="37"/>
  <c r="AH1706" i="37"/>
  <c r="AC1965" i="37"/>
  <c r="AC1957" i="37"/>
  <c r="AC1933" i="37"/>
  <c r="AC1969" i="37"/>
  <c r="AC1951" i="37"/>
  <c r="AC1908" i="37"/>
  <c r="AC1898" i="37"/>
  <c r="AC1874" i="37"/>
  <c r="AC1870" i="37"/>
  <c r="AC1847" i="37"/>
  <c r="AC1820" i="37"/>
  <c r="AC1878" i="37"/>
  <c r="AC1861" i="37"/>
  <c r="AC1889" i="37"/>
  <c r="AC1745" i="37"/>
  <c r="AC1706" i="37"/>
  <c r="AC1737" i="37"/>
  <c r="AC1835" i="37"/>
  <c r="AC1812" i="37"/>
  <c r="AC1777" i="37"/>
  <c r="AC1942" i="37"/>
  <c r="Y1752" i="37"/>
  <c r="N1661" i="37"/>
  <c r="Z1664" i="37" s="1"/>
  <c r="N1608" i="37"/>
  <c r="N1688" i="37"/>
  <c r="N1670" i="37"/>
  <c r="Z1670" i="37" s="1"/>
  <c r="N1627" i="37"/>
  <c r="N1617" i="37"/>
  <c r="N1531" i="37"/>
  <c r="Z1531" i="37" s="1"/>
  <c r="N1496" i="37"/>
  <c r="N1684" i="37"/>
  <c r="N1642" i="37"/>
  <c r="Z1645" i="37" s="1"/>
  <c r="N1554" i="37"/>
  <c r="Z1558" i="37" s="1"/>
  <c r="N1566" i="37"/>
  <c r="Z1570" i="37" s="1"/>
  <c r="N1477" i="37"/>
  <c r="Z1480" i="37" s="1"/>
  <c r="N1445" i="37"/>
  <c r="Z1448" i="37" s="1"/>
  <c r="N1439" i="37"/>
  <c r="N1652" i="37"/>
  <c r="Z1654" i="37" s="1"/>
  <c r="N1636" i="37"/>
  <c r="N1597" i="37"/>
  <c r="Z1597" i="37" s="1"/>
  <c r="N1471" i="37"/>
  <c r="N1589" i="37"/>
  <c r="Z1589" i="37" s="1"/>
  <c r="N1580" i="37"/>
  <c r="Z1580" i="37" s="1"/>
  <c r="N1593" i="37"/>
  <c r="N1425" i="37"/>
  <c r="N1539" i="37"/>
  <c r="Y1439" i="37"/>
  <c r="Y1425" i="37"/>
  <c r="T1425" i="37"/>
  <c r="AC1684" i="37"/>
  <c r="AC1676" i="37"/>
  <c r="AC1652" i="37"/>
  <c r="AC1688" i="37"/>
  <c r="AC1627" i="37"/>
  <c r="AC1617" i="37"/>
  <c r="AC1670" i="37"/>
  <c r="AC1661" i="37"/>
  <c r="AC1554" i="37"/>
  <c r="AC1531" i="37"/>
  <c r="AC1593" i="37"/>
  <c r="AC1566" i="37"/>
  <c r="AC1539" i="37"/>
  <c r="AC1456" i="37"/>
  <c r="AC1496" i="37"/>
  <c r="AC1589" i="37"/>
  <c r="AC1580" i="37"/>
  <c r="AC1608" i="37"/>
  <c r="AC1597" i="37"/>
  <c r="AC1464" i="37"/>
  <c r="AC1425" i="37"/>
  <c r="Y1471" i="37"/>
  <c r="M1464" i="37"/>
  <c r="Y1464" i="37" s="1"/>
  <c r="M1456" i="37"/>
  <c r="Y1636" i="37"/>
  <c r="AH1684" i="37"/>
  <c r="AH1676" i="37"/>
  <c r="AH1652" i="37"/>
  <c r="AH1688" i="37"/>
  <c r="AH1608" i="37"/>
  <c r="AH1593" i="37"/>
  <c r="AH1566" i="37"/>
  <c r="AH1539" i="37"/>
  <c r="AH1670" i="37"/>
  <c r="AH1589" i="37"/>
  <c r="AH1580" i="37"/>
  <c r="AH1627" i="37"/>
  <c r="AH1554" i="37"/>
  <c r="AH1531" i="37"/>
  <c r="AH1661" i="37"/>
  <c r="AH1617" i="37"/>
  <c r="AH1597" i="37"/>
  <c r="AH1496" i="37"/>
  <c r="AH1464" i="37"/>
  <c r="AH1425" i="37"/>
  <c r="AH1456" i="37"/>
  <c r="AC1403" i="37"/>
  <c r="AC1395" i="37"/>
  <c r="AC1371" i="37"/>
  <c r="AC1407" i="37"/>
  <c r="AC1389" i="37"/>
  <c r="AC1327" i="37"/>
  <c r="AC1316" i="37"/>
  <c r="AC1380" i="37"/>
  <c r="AC1308" i="37"/>
  <c r="AC1299" i="37"/>
  <c r="AC1336" i="37"/>
  <c r="AC1215" i="37"/>
  <c r="AC1175" i="37"/>
  <c r="AC1346" i="37"/>
  <c r="AC1312" i="37"/>
  <c r="AC1285" i="37"/>
  <c r="AC1273" i="37"/>
  <c r="AC1258" i="37"/>
  <c r="AC1250" i="37"/>
  <c r="AC1183" i="37"/>
  <c r="AC1144" i="37"/>
  <c r="M1183" i="37"/>
  <c r="Y1183" i="37" s="1"/>
  <c r="M1175" i="37"/>
  <c r="T1144" i="37"/>
  <c r="Y1158" i="37"/>
  <c r="Y1355" i="37"/>
  <c r="AH1403" i="37"/>
  <c r="AH1395" i="37"/>
  <c r="AH1371" i="37"/>
  <c r="AH1407" i="37"/>
  <c r="AH1327" i="37"/>
  <c r="AH1316" i="37"/>
  <c r="AH1346" i="37"/>
  <c r="AH1336" i="37"/>
  <c r="AH1389" i="37"/>
  <c r="AH1273" i="37"/>
  <c r="AH1250" i="37"/>
  <c r="AH1380" i="37"/>
  <c r="AH1308" i="37"/>
  <c r="AH1258" i="37"/>
  <c r="AH1312" i="37"/>
  <c r="AH1215" i="37"/>
  <c r="AH1285" i="37"/>
  <c r="AH1183" i="37"/>
  <c r="AH1144" i="37"/>
  <c r="AH1299" i="37"/>
  <c r="AH1175" i="37"/>
  <c r="Y1190" i="37"/>
  <c r="Y1144" i="37"/>
  <c r="N1380" i="37"/>
  <c r="Z1383" i="37" s="1"/>
  <c r="N1407" i="37"/>
  <c r="N1389" i="37"/>
  <c r="Z1389" i="37" s="1"/>
  <c r="N1355" i="37"/>
  <c r="N1316" i="37"/>
  <c r="Z1316" i="37" s="1"/>
  <c r="N1327" i="37"/>
  <c r="N1312" i="37"/>
  <c r="N1308" i="37"/>
  <c r="Z1308" i="37" s="1"/>
  <c r="N1299" i="37"/>
  <c r="Z1299" i="37" s="1"/>
  <c r="N1285" i="37"/>
  <c r="Z1289" i="37" s="1"/>
  <c r="N1258" i="37"/>
  <c r="N1403" i="37"/>
  <c r="N1361" i="37"/>
  <c r="Z1364" i="37" s="1"/>
  <c r="N1164" i="37"/>
  <c r="Z1167" i="37" s="1"/>
  <c r="N1158" i="37"/>
  <c r="N1371" i="37"/>
  <c r="Z1373" i="37" s="1"/>
  <c r="N1196" i="37"/>
  <c r="Z1199" i="37" s="1"/>
  <c r="N1190" i="37"/>
  <c r="N1346" i="37"/>
  <c r="N1336" i="37"/>
  <c r="N1215" i="37"/>
  <c r="N1144" i="37"/>
  <c r="N1250" i="37"/>
  <c r="Z1250" i="37" s="1"/>
  <c r="N1273" i="37"/>
  <c r="Z1277" i="37" s="1"/>
  <c r="AC1122" i="37"/>
  <c r="AC1114" i="37"/>
  <c r="AC1090" i="37"/>
  <c r="AC1126" i="37"/>
  <c r="AC1065" i="37"/>
  <c r="AC1055" i="37"/>
  <c r="AC1108" i="37"/>
  <c r="AC1099" i="37"/>
  <c r="AC992" i="37"/>
  <c r="AC969" i="37"/>
  <c r="AC1046" i="37"/>
  <c r="AC1031" i="37"/>
  <c r="AC1004" i="37"/>
  <c r="AC977" i="37"/>
  <c r="AC934" i="37"/>
  <c r="AC894" i="37"/>
  <c r="AC1018" i="37"/>
  <c r="AC1035" i="37"/>
  <c r="AC1027" i="37"/>
  <c r="AC902" i="37"/>
  <c r="AC863" i="37"/>
  <c r="M902" i="37"/>
  <c r="Y902" i="37" s="1"/>
  <c r="M894" i="37"/>
  <c r="Y877" i="37"/>
  <c r="AH1122" i="37"/>
  <c r="AH1114" i="37"/>
  <c r="AH1090" i="37"/>
  <c r="AH1126" i="37"/>
  <c r="AH1108" i="37"/>
  <c r="AH1046" i="37"/>
  <c r="AH1065" i="37"/>
  <c r="AH1031" i="37"/>
  <c r="AH1004" i="37"/>
  <c r="AH977" i="37"/>
  <c r="AH1027" i="37"/>
  <c r="AH1018" i="37"/>
  <c r="AH1099" i="37"/>
  <c r="AH1055" i="37"/>
  <c r="AH934" i="37"/>
  <c r="AH969" i="37"/>
  <c r="AH902" i="37"/>
  <c r="AH863" i="37"/>
  <c r="AH992" i="37"/>
  <c r="AH1035" i="37"/>
  <c r="AH894" i="37"/>
  <c r="Y1074" i="37"/>
  <c r="T863" i="37"/>
  <c r="N1099" i="37"/>
  <c r="Z1102" i="37" s="1"/>
  <c r="N1080" i="37"/>
  <c r="Z1083" i="37" s="1"/>
  <c r="N1046" i="37"/>
  <c r="N1126" i="37"/>
  <c r="N1108" i="37"/>
  <c r="Z1108" i="37" s="1"/>
  <c r="N1090" i="37"/>
  <c r="Z1092" i="37" s="1"/>
  <c r="N1035" i="37"/>
  <c r="Z1035" i="37" s="1"/>
  <c r="N969" i="37"/>
  <c r="Z969" i="37" s="1"/>
  <c r="N934" i="37"/>
  <c r="N992" i="37"/>
  <c r="Z996" i="37" s="1"/>
  <c r="N1122" i="37"/>
  <c r="N1074" i="37"/>
  <c r="N909" i="37"/>
  <c r="N883" i="37"/>
  <c r="Z886" i="37" s="1"/>
  <c r="N877" i="37"/>
  <c r="N1018" i="37"/>
  <c r="Z1018" i="37" s="1"/>
  <c r="N1065" i="37"/>
  <c r="N1004" i="37"/>
  <c r="Z1008" i="37" s="1"/>
  <c r="N1055" i="37"/>
  <c r="N1027" i="37"/>
  <c r="Z1027" i="37" s="1"/>
  <c r="N915" i="37"/>
  <c r="Z918" i="37" s="1"/>
  <c r="N863" i="37"/>
  <c r="N977" i="37"/>
  <c r="N1031" i="37"/>
  <c r="Y863" i="37"/>
  <c r="Y909" i="37"/>
  <c r="N818" i="37"/>
  <c r="Z821" i="37" s="1"/>
  <c r="N754" i="37"/>
  <c r="Z754" i="37" s="1"/>
  <c r="N845" i="37"/>
  <c r="N827" i="37"/>
  <c r="Z827" i="37" s="1"/>
  <c r="N765" i="37"/>
  <c r="N793" i="37"/>
  <c r="N711" i="37"/>
  <c r="Z715" i="37" s="1"/>
  <c r="N841" i="37"/>
  <c r="N799" i="37"/>
  <c r="Z802" i="37" s="1"/>
  <c r="N746" i="37"/>
  <c r="Z746" i="37" s="1"/>
  <c r="N737" i="37"/>
  <c r="Z737" i="37" s="1"/>
  <c r="N723" i="37"/>
  <c r="Z727" i="37" s="1"/>
  <c r="N696" i="37"/>
  <c r="N784" i="37"/>
  <c r="N653" i="37"/>
  <c r="N602" i="37"/>
  <c r="Z605" i="37" s="1"/>
  <c r="N596" i="37"/>
  <c r="N809" i="37"/>
  <c r="Z811" i="37" s="1"/>
  <c r="N750" i="37"/>
  <c r="N628" i="37"/>
  <c r="N774" i="37"/>
  <c r="N582" i="37"/>
  <c r="N688" i="37"/>
  <c r="Z688" i="37" s="1"/>
  <c r="N634" i="37"/>
  <c r="Z637" i="37" s="1"/>
  <c r="AC841" i="37"/>
  <c r="AC833" i="37"/>
  <c r="AC809" i="37"/>
  <c r="AC845" i="37"/>
  <c r="AC765" i="37"/>
  <c r="AC754" i="37"/>
  <c r="AC827" i="37"/>
  <c r="AC784" i="37"/>
  <c r="AC774" i="37"/>
  <c r="AC750" i="37"/>
  <c r="AC818" i="37"/>
  <c r="AC723" i="37"/>
  <c r="AC696" i="37"/>
  <c r="AC746" i="37"/>
  <c r="AC737" i="37"/>
  <c r="AC711" i="37"/>
  <c r="AC613" i="37"/>
  <c r="AC653" i="37"/>
  <c r="AC688" i="37"/>
  <c r="AC621" i="37"/>
  <c r="AC582" i="37"/>
  <c r="Y628" i="37"/>
  <c r="Y793" i="37"/>
  <c r="M621" i="37"/>
  <c r="Y621" i="37" s="1"/>
  <c r="M613" i="37"/>
  <c r="Y596" i="37"/>
  <c r="Y582" i="37"/>
  <c r="T582" i="37"/>
  <c r="AH841" i="37"/>
  <c r="AH833" i="37"/>
  <c r="AH809" i="37"/>
  <c r="AH845" i="37"/>
  <c r="AH784" i="37"/>
  <c r="AH774" i="37"/>
  <c r="AH754" i="37"/>
  <c r="AH746" i="37"/>
  <c r="AH737" i="37"/>
  <c r="AH827" i="37"/>
  <c r="AH653" i="37"/>
  <c r="AH696" i="37"/>
  <c r="AH765" i="37"/>
  <c r="AH711" i="37"/>
  <c r="AH818" i="37"/>
  <c r="AH750" i="37"/>
  <c r="AH621" i="37"/>
  <c r="AH582" i="37"/>
  <c r="AH723" i="37"/>
  <c r="AH688" i="37"/>
  <c r="AH613" i="37"/>
  <c r="Y301" i="37"/>
  <c r="T301" i="37"/>
  <c r="AC560" i="37"/>
  <c r="AC552" i="37"/>
  <c r="AC528" i="37"/>
  <c r="AC564" i="37"/>
  <c r="AC484" i="37"/>
  <c r="AC473" i="37"/>
  <c r="AC546" i="37"/>
  <c r="AC503" i="37"/>
  <c r="AC493" i="37"/>
  <c r="AC469" i="37"/>
  <c r="AC537" i="37"/>
  <c r="AC465" i="37"/>
  <c r="AC372" i="37"/>
  <c r="AC430" i="37"/>
  <c r="AC407" i="37"/>
  <c r="AC456" i="37"/>
  <c r="AC442" i="37"/>
  <c r="AC332" i="37"/>
  <c r="AC301" i="37"/>
  <c r="AC415" i="37"/>
  <c r="AC340" i="37"/>
  <c r="M340" i="37"/>
  <c r="Y340" i="37" s="1"/>
  <c r="M332" i="37"/>
  <c r="AH560" i="37"/>
  <c r="AH552" i="37"/>
  <c r="AH528" i="37"/>
  <c r="AH564" i="37"/>
  <c r="AH503" i="37"/>
  <c r="AH493" i="37"/>
  <c r="AH465" i="37"/>
  <c r="AH456" i="37"/>
  <c r="AH473" i="37"/>
  <c r="AH430" i="37"/>
  <c r="AH407" i="37"/>
  <c r="AH546" i="37"/>
  <c r="AH442" i="37"/>
  <c r="AH415" i="37"/>
  <c r="AH537" i="37"/>
  <c r="AH484" i="37"/>
  <c r="AH372" i="37"/>
  <c r="AH301" i="37"/>
  <c r="AH332" i="37"/>
  <c r="AH469" i="37"/>
  <c r="AH340" i="37"/>
  <c r="N537" i="37"/>
  <c r="Z540" i="37" s="1"/>
  <c r="N473" i="37"/>
  <c r="Z473" i="37" s="1"/>
  <c r="N564" i="37"/>
  <c r="N546" i="37"/>
  <c r="Z546" i="37" s="1"/>
  <c r="N484" i="37"/>
  <c r="N512" i="37"/>
  <c r="Z512" i="37" s="1"/>
  <c r="N456" i="37"/>
  <c r="Z456" i="37" s="1"/>
  <c r="N560" i="37"/>
  <c r="N518" i="37"/>
  <c r="Z521" i="37" s="1"/>
  <c r="N407" i="37"/>
  <c r="Z407" i="37" s="1"/>
  <c r="N372" i="37"/>
  <c r="N503" i="37"/>
  <c r="N321" i="37"/>
  <c r="Z324" i="37" s="1"/>
  <c r="N315" i="37"/>
  <c r="Z315" i="37" s="1"/>
  <c r="N465" i="37"/>
  <c r="Z465" i="37" s="1"/>
  <c r="N528" i="37"/>
  <c r="Z530" i="37" s="1"/>
  <c r="N469" i="37"/>
  <c r="N442" i="37"/>
  <c r="Z446" i="37" s="1"/>
  <c r="N430" i="37"/>
  <c r="Z434" i="37" s="1"/>
  <c r="N353" i="37"/>
  <c r="Z356" i="37" s="1"/>
  <c r="N347" i="37"/>
  <c r="Z347" i="37" s="1"/>
  <c r="N493" i="37"/>
  <c r="N415" i="37"/>
  <c r="N301" i="37"/>
  <c r="M913" i="42"/>
  <c r="Y466" i="42"/>
  <c r="M467" i="42"/>
  <c r="M543" i="42" s="1"/>
  <c r="M544" i="42" s="1"/>
  <c r="T1425" i="42"/>
  <c r="N1538" i="42"/>
  <c r="Z1538" i="42" s="1"/>
  <c r="N1433" i="42"/>
  <c r="N1546" i="42"/>
  <c r="Z1551" i="42" s="1"/>
  <c r="N1520" i="42"/>
  <c r="N1504" i="42"/>
  <c r="AI1504" i="42" s="1"/>
  <c r="N1425" i="42"/>
  <c r="Z1425" i="42" s="1"/>
  <c r="N1486" i="42"/>
  <c r="N1467" i="42"/>
  <c r="AI1467" i="42" s="1"/>
  <c r="AC1520" i="42"/>
  <c r="T1520" i="42"/>
  <c r="AC1486" i="42"/>
  <c r="T1486" i="42"/>
  <c r="AH1520" i="42"/>
  <c r="Y1520" i="42"/>
  <c r="Y1433" i="42"/>
  <c r="Y1486" i="42"/>
  <c r="AH1486" i="42"/>
  <c r="N1060" i="42"/>
  <c r="Z1061" i="42" s="1"/>
  <c r="N1053" i="42"/>
  <c r="Z1053" i="42" s="1"/>
  <c r="AI1060" i="42"/>
  <c r="AI1053" i="42"/>
  <c r="Y920" i="42"/>
  <c r="N1035" i="42"/>
  <c r="Z1040" i="42" s="1"/>
  <c r="N920" i="42"/>
  <c r="N1009" i="42"/>
  <c r="N1027" i="42"/>
  <c r="Z1027" i="42" s="1"/>
  <c r="N993" i="42"/>
  <c r="AI993" i="42" s="1"/>
  <c r="N975" i="42"/>
  <c r="N956" i="42"/>
  <c r="AI956" i="42" s="1"/>
  <c r="N912" i="42"/>
  <c r="T975" i="42"/>
  <c r="AC975" i="42"/>
  <c r="Y975" i="42"/>
  <c r="AH975" i="42"/>
  <c r="Y1009" i="42"/>
  <c r="AH1009" i="42"/>
  <c r="T912" i="42"/>
  <c r="AC1009" i="42"/>
  <c r="T1009" i="42"/>
  <c r="AC754" i="42"/>
  <c r="T754" i="42"/>
  <c r="Y788" i="42"/>
  <c r="AH788" i="42"/>
  <c r="T788" i="42"/>
  <c r="AC788" i="42"/>
  <c r="Y697" i="42"/>
  <c r="Y754" i="42"/>
  <c r="AH754" i="42"/>
  <c r="AI893" i="42"/>
  <c r="N885" i="42"/>
  <c r="Z885" i="42" s="1"/>
  <c r="AI866" i="42"/>
  <c r="AI897" i="42"/>
  <c r="AI881" i="42"/>
  <c r="AI852" i="42"/>
  <c r="AI842" i="42"/>
  <c r="N889" i="42"/>
  <c r="Z889" i="42" s="1"/>
  <c r="N897" i="42"/>
  <c r="Z897" i="42" s="1"/>
  <c r="N893" i="42"/>
  <c r="Z893" i="42" s="1"/>
  <c r="AI889" i="42"/>
  <c r="AI885" i="42"/>
  <c r="N852" i="42"/>
  <c r="N814" i="42"/>
  <c r="Z819" i="42" s="1"/>
  <c r="N806" i="42"/>
  <c r="Z806" i="42" s="1"/>
  <c r="N842" i="42"/>
  <c r="Z842" i="42" s="1"/>
  <c r="N754" i="42"/>
  <c r="N788" i="42"/>
  <c r="N772" i="42"/>
  <c r="AI772" i="42" s="1"/>
  <c r="N697" i="42"/>
  <c r="N735" i="42"/>
  <c r="AI735" i="42" s="1"/>
  <c r="N689" i="42"/>
  <c r="N866" i="42"/>
  <c r="N881" i="42"/>
  <c r="Z881" i="42" s="1"/>
  <c r="T689" i="42"/>
  <c r="AC565" i="42"/>
  <c r="T565" i="42"/>
  <c r="T531" i="42"/>
  <c r="AC531" i="42"/>
  <c r="AI670" i="42"/>
  <c r="N662" i="42"/>
  <c r="Z662" i="42" s="1"/>
  <c r="AI643" i="42"/>
  <c r="N674" i="42"/>
  <c r="Z674" i="42" s="1"/>
  <c r="AI666" i="42"/>
  <c r="N658" i="42"/>
  <c r="Z658" i="42" s="1"/>
  <c r="N670" i="42"/>
  <c r="Z670" i="42" s="1"/>
  <c r="AI662" i="42"/>
  <c r="AI629" i="42"/>
  <c r="AI619" i="42"/>
  <c r="AI674" i="42"/>
  <c r="AI658" i="42"/>
  <c r="N643" i="42"/>
  <c r="N619" i="42"/>
  <c r="Z619" i="42" s="1"/>
  <c r="N565" i="42"/>
  <c r="N591" i="42"/>
  <c r="Z596" i="42" s="1"/>
  <c r="N629" i="42"/>
  <c r="N474" i="42"/>
  <c r="N583" i="42"/>
  <c r="Z583" i="42" s="1"/>
  <c r="N549" i="42"/>
  <c r="AI549" i="42" s="1"/>
  <c r="N466" i="42"/>
  <c r="N666" i="42"/>
  <c r="Z666" i="42" s="1"/>
  <c r="N512" i="42"/>
  <c r="AI512" i="42" s="1"/>
  <c r="N531" i="42"/>
  <c r="Y474" i="42"/>
  <c r="Y565" i="42"/>
  <c r="AH565" i="42"/>
  <c r="T466" i="42"/>
  <c r="Y531" i="42"/>
  <c r="AH531" i="42"/>
  <c r="T243" i="42"/>
  <c r="Y342" i="42"/>
  <c r="AH342" i="42"/>
  <c r="T342" i="42"/>
  <c r="AC342" i="42"/>
  <c r="AH308" i="42"/>
  <c r="Y308" i="42"/>
  <c r="N451" i="42"/>
  <c r="Z451" i="42" s="1"/>
  <c r="AI443" i="42"/>
  <c r="N435" i="42"/>
  <c r="Z435" i="42" s="1"/>
  <c r="N447" i="42"/>
  <c r="Z447" i="42" s="1"/>
  <c r="AI439" i="42"/>
  <c r="AI451" i="42"/>
  <c r="N443" i="42"/>
  <c r="Z443" i="42" s="1"/>
  <c r="AI435" i="42"/>
  <c r="N396" i="42"/>
  <c r="Z396" i="42" s="1"/>
  <c r="N420" i="42"/>
  <c r="AI447" i="42"/>
  <c r="N406" i="42"/>
  <c r="N368" i="42"/>
  <c r="Z373" i="42" s="1"/>
  <c r="AI420" i="42"/>
  <c r="N326" i="42"/>
  <c r="AI326" i="42" s="1"/>
  <c r="N308" i="42"/>
  <c r="AI406" i="42"/>
  <c r="AI396" i="42"/>
  <c r="N342" i="42"/>
  <c r="N251" i="42"/>
  <c r="Z251" i="42" s="1"/>
  <c r="N439" i="42"/>
  <c r="Z439" i="42" s="1"/>
  <c r="N360" i="42"/>
  <c r="Z360" i="42" s="1"/>
  <c r="N289" i="42"/>
  <c r="AI289" i="42" s="1"/>
  <c r="N243" i="42"/>
  <c r="AC308" i="42"/>
  <c r="T308" i="42"/>
  <c r="Y243" i="42"/>
  <c r="M244" i="42"/>
  <c r="N1727" i="50"/>
  <c r="N1599" i="50"/>
  <c r="N1471" i="50"/>
  <c r="N1343" i="50"/>
  <c r="N1215" i="50"/>
  <c r="N1087" i="50"/>
  <c r="N959" i="50"/>
  <c r="N831" i="50"/>
  <c r="N703" i="50"/>
  <c r="N340" i="47"/>
  <c r="AI340" i="47" s="1"/>
  <c r="N367" i="47"/>
  <c r="N356" i="47"/>
  <c r="N346" i="47"/>
  <c r="T169" i="62"/>
  <c r="S169" i="62"/>
  <c r="D145" i="62"/>
  <c r="E144" i="62"/>
  <c r="T119" i="42"/>
  <c r="AC119" i="42"/>
  <c r="AC103" i="42"/>
  <c r="Y119" i="42"/>
  <c r="AH119" i="42"/>
  <c r="N103" i="42"/>
  <c r="AI103" i="42" s="1"/>
  <c r="N119" i="42"/>
  <c r="Y20" i="42"/>
  <c r="Q271" i="34"/>
  <c r="T271" i="34" s="1"/>
  <c r="AH91" i="37"/>
  <c r="AH265" i="37"/>
  <c r="AH247" i="37"/>
  <c r="AH283" i="37"/>
  <c r="AH126" i="37"/>
  <c r="AH175" i="37"/>
  <c r="AH271" i="37"/>
  <c r="AH256" i="37"/>
  <c r="AH134" i="37"/>
  <c r="AH222" i="37"/>
  <c r="Y20" i="37"/>
  <c r="AH161" i="37"/>
  <c r="AH203" i="37"/>
  <c r="AH149" i="37"/>
  <c r="AH212" i="37"/>
  <c r="AH188" i="37"/>
  <c r="AH59" i="37"/>
  <c r="AH279" i="37"/>
  <c r="AH184" i="37"/>
  <c r="AH20" i="37"/>
  <c r="AH51" i="37"/>
  <c r="AH192" i="37"/>
  <c r="M2412" i="50"/>
  <c r="M2413" i="50"/>
  <c r="N66" i="42"/>
  <c r="AI66" i="42" s="1"/>
  <c r="N137" i="42"/>
  <c r="Z137" i="42" s="1"/>
  <c r="AI183" i="42"/>
  <c r="N183" i="42"/>
  <c r="AI224" i="42"/>
  <c r="N220" i="42"/>
  <c r="Z220" i="42" s="1"/>
  <c r="N145" i="42"/>
  <c r="Z150" i="42" s="1"/>
  <c r="AI197" i="42"/>
  <c r="N20" i="42"/>
  <c r="N228" i="42"/>
  <c r="Z228" i="42" s="1"/>
  <c r="AI212" i="42"/>
  <c r="N85" i="42"/>
  <c r="AI220" i="42"/>
  <c r="N212" i="42"/>
  <c r="Z212" i="42" s="1"/>
  <c r="N28" i="42"/>
  <c r="N216" i="42"/>
  <c r="Z216" i="42" s="1"/>
  <c r="N224" i="42"/>
  <c r="Z224" i="42" s="1"/>
  <c r="AI228" i="42"/>
  <c r="AI173" i="42"/>
  <c r="AI216" i="42"/>
  <c r="N173" i="42"/>
  <c r="Z173" i="42" s="1"/>
  <c r="N197" i="42"/>
  <c r="N302" i="41"/>
  <c r="N393" i="50" s="1"/>
  <c r="N228" i="41"/>
  <c r="N347" i="50" s="1"/>
  <c r="N315" i="41"/>
  <c r="N402" i="50" s="1"/>
  <c r="N127" i="41"/>
  <c r="N272" i="50" s="1"/>
  <c r="N249" i="41"/>
  <c r="N364" i="50" s="1"/>
  <c r="N160" i="41"/>
  <c r="N295" i="50" s="1"/>
  <c r="N71" i="41"/>
  <c r="N365" i="41"/>
  <c r="N445" i="50" s="1"/>
  <c r="N286" i="41"/>
  <c r="N379" i="50" s="1"/>
  <c r="N42" i="41"/>
  <c r="N261" i="41"/>
  <c r="N398" i="41"/>
  <c r="N467" i="50" s="1"/>
  <c r="N239" i="41"/>
  <c r="N356" i="50" s="1"/>
  <c r="N198" i="41"/>
  <c r="N324" i="50" s="1"/>
  <c r="N334" i="41"/>
  <c r="N419" i="50" s="1"/>
  <c r="N137" i="41"/>
  <c r="N279" i="50" s="1"/>
  <c r="N168" i="41"/>
  <c r="N301" i="50" s="1"/>
  <c r="N448" i="41"/>
  <c r="N210" i="41"/>
  <c r="N334" i="50" s="1"/>
  <c r="N55" i="41"/>
  <c r="N19" i="41"/>
  <c r="AB19" i="41" s="1"/>
  <c r="N323" i="41"/>
  <c r="N409" i="50" s="1"/>
  <c r="N349" i="41"/>
  <c r="N433" i="50" s="1"/>
  <c r="N121" i="41"/>
  <c r="N268" i="50" s="1"/>
  <c r="N112" i="41"/>
  <c r="N260" i="50" s="1"/>
  <c r="M59" i="37"/>
  <c r="Y59" i="37" s="1"/>
  <c r="M51" i="37"/>
  <c r="N72" i="37"/>
  <c r="Z75" i="37" s="1"/>
  <c r="N91" i="37"/>
  <c r="N161" i="37"/>
  <c r="Z165" i="37" s="1"/>
  <c r="N175" i="37"/>
  <c r="Z175" i="37" s="1"/>
  <c r="N222" i="37"/>
  <c r="N2842" i="37"/>
  <c r="N256" i="37"/>
  <c r="Z259" i="37" s="1"/>
  <c r="N20" i="37"/>
  <c r="N66" i="37"/>
  <c r="Z66" i="37" s="1"/>
  <c r="N2837" i="37"/>
  <c r="N192" i="37"/>
  <c r="Z192" i="37" s="1"/>
  <c r="N203" i="37"/>
  <c r="N247" i="37"/>
  <c r="Z249" i="37" s="1"/>
  <c r="N184" i="37"/>
  <c r="Z184" i="37" s="1"/>
  <c r="N34" i="37"/>
  <c r="Z34" i="37" s="1"/>
  <c r="N237" i="37"/>
  <c r="Z240" i="37" s="1"/>
  <c r="N265" i="37"/>
  <c r="Z265" i="37" s="1"/>
  <c r="N126" i="37"/>
  <c r="Z126" i="37" s="1"/>
  <c r="N188" i="37"/>
  <c r="N212" i="37"/>
  <c r="N134" i="37"/>
  <c r="N149" i="37"/>
  <c r="Z153" i="37" s="1"/>
  <c r="N231" i="37"/>
  <c r="Z231" i="37" s="1"/>
  <c r="N40" i="37"/>
  <c r="Z43" i="37" s="1"/>
  <c r="N283" i="37"/>
  <c r="N279" i="37"/>
  <c r="N281" i="49"/>
  <c r="N2834" i="37"/>
  <c r="N493" i="47"/>
  <c r="Y28" i="42"/>
  <c r="Y85" i="42"/>
  <c r="AH85" i="42"/>
  <c r="N254" i="47"/>
  <c r="AI254" i="47" s="1"/>
  <c r="N196" i="47"/>
  <c r="N146" i="47"/>
  <c r="AI146" i="47" s="1"/>
  <c r="N180" i="47"/>
  <c r="AI180" i="47" s="1"/>
  <c r="N305" i="47"/>
  <c r="N31" i="47"/>
  <c r="AI31" i="47" s="1"/>
  <c r="N295" i="47"/>
  <c r="N289" i="47"/>
  <c r="AI289" i="47" s="1"/>
  <c r="N94" i="47"/>
  <c r="N162" i="47"/>
  <c r="N121" i="47"/>
  <c r="N466" i="47"/>
  <c r="Z466" i="47" s="1"/>
  <c r="N397" i="47"/>
  <c r="N216" i="47"/>
  <c r="N404" i="47"/>
  <c r="N316" i="47"/>
  <c r="N112" i="47"/>
  <c r="AI112" i="47" s="1"/>
  <c r="N423" i="47"/>
  <c r="AI423" i="47" s="1"/>
  <c r="N472" i="47"/>
  <c r="Z475" i="47" s="1"/>
  <c r="N207" i="47"/>
  <c r="N455" i="47"/>
  <c r="AI455" i="47" s="1"/>
  <c r="N391" i="47"/>
  <c r="AI391" i="47" s="1"/>
  <c r="N155" i="47"/>
  <c r="N188" i="47"/>
  <c r="N128" i="47"/>
  <c r="N269" i="47"/>
  <c r="N433" i="47"/>
  <c r="N2458" i="50"/>
  <c r="N144" i="50"/>
  <c r="N94" i="50"/>
  <c r="N154" i="50"/>
  <c r="N179" i="50"/>
  <c r="V505" i="50"/>
  <c r="N169" i="50"/>
  <c r="N2466" i="50"/>
  <c r="N185" i="50"/>
  <c r="N149" i="50"/>
  <c r="N2462" i="50"/>
  <c r="N160" i="50"/>
  <c r="N61" i="50"/>
  <c r="N1818" i="50"/>
  <c r="V1787" i="50"/>
  <c r="N208" i="50"/>
  <c r="N1824" i="50"/>
  <c r="N196" i="50"/>
  <c r="N575" i="50"/>
  <c r="N2420" i="50"/>
  <c r="N117" i="50"/>
  <c r="N2411" i="50"/>
  <c r="N2416" i="50" s="1"/>
  <c r="N2448" i="50"/>
  <c r="N220" i="50"/>
  <c r="N2472" i="50"/>
  <c r="N368" i="50"/>
  <c r="N233" i="50"/>
  <c r="N174" i="50"/>
  <c r="N135" i="49"/>
  <c r="N56" i="49"/>
  <c r="N118" i="49"/>
  <c r="N20" i="49"/>
  <c r="AH20" i="49" s="1"/>
  <c r="N251" i="49"/>
  <c r="X251" i="49" s="1"/>
  <c r="N184" i="49"/>
  <c r="N211" i="49"/>
  <c r="N266" i="49"/>
  <c r="N145" i="49"/>
  <c r="N140" i="49"/>
  <c r="N34" i="49"/>
  <c r="N105" i="49"/>
  <c r="N66" i="49"/>
  <c r="N114" i="49"/>
  <c r="N247" i="49"/>
  <c r="N82" i="49"/>
  <c r="N150" i="49"/>
  <c r="N237" i="49"/>
  <c r="Y20" i="49"/>
  <c r="N72" i="49"/>
  <c r="N242" i="49"/>
  <c r="N127" i="49"/>
  <c r="N202" i="49"/>
  <c r="X202" i="49" s="1"/>
  <c r="N122" i="49"/>
  <c r="N261" i="49"/>
  <c r="N218" i="49"/>
  <c r="N99" i="49"/>
  <c r="N91" i="49"/>
  <c r="N61" i="49"/>
  <c r="N197" i="49"/>
  <c r="N190" i="49"/>
  <c r="T20" i="37"/>
  <c r="AC184" i="37"/>
  <c r="AC20" i="37"/>
  <c r="AC126" i="37"/>
  <c r="AC59" i="37"/>
  <c r="AC175" i="37"/>
  <c r="AC134" i="37"/>
  <c r="AC247" i="37"/>
  <c r="AC91" i="37"/>
  <c r="AC271" i="37"/>
  <c r="AC192" i="37"/>
  <c r="AC222" i="37"/>
  <c r="AC188" i="37"/>
  <c r="AC51" i="37"/>
  <c r="AC161" i="37"/>
  <c r="AC256" i="37"/>
  <c r="AC149" i="37"/>
  <c r="AC283" i="37"/>
  <c r="AC279" i="37"/>
  <c r="AC203" i="37"/>
  <c r="AC212" i="37"/>
  <c r="AC265" i="37"/>
  <c r="T85" i="42"/>
  <c r="AC85" i="42"/>
  <c r="T20" i="42"/>
  <c r="H132" i="62" l="1"/>
  <c r="K2249" i="50"/>
  <c r="N2245" i="50"/>
  <c r="I2244" i="50"/>
  <c r="K2242" i="50"/>
  <c r="M2240" i="50"/>
  <c r="M2250" i="50"/>
  <c r="N2243" i="50"/>
  <c r="K2240" i="50"/>
  <c r="N2250" i="50"/>
  <c r="J2249" i="50"/>
  <c r="M2245" i="50"/>
  <c r="H2244" i="50"/>
  <c r="J2242" i="50"/>
  <c r="L2240" i="50"/>
  <c r="L2245" i="50"/>
  <c r="L2250" i="50"/>
  <c r="H2249" i="50"/>
  <c r="K2245" i="50"/>
  <c r="M2243" i="50"/>
  <c r="H2242" i="50"/>
  <c r="J2240" i="50"/>
  <c r="K2250" i="50"/>
  <c r="J2245" i="50"/>
  <c r="L2243" i="50"/>
  <c r="N2241" i="50"/>
  <c r="I2240" i="50"/>
  <c r="J2250" i="50"/>
  <c r="N2247" i="50"/>
  <c r="I2245" i="50"/>
  <c r="K2243" i="50"/>
  <c r="M2241" i="50"/>
  <c r="H2240" i="50"/>
  <c r="N2249" i="50"/>
  <c r="N2242" i="50"/>
  <c r="M2242" i="50"/>
  <c r="I2250" i="50"/>
  <c r="M2247" i="50"/>
  <c r="H2245" i="50"/>
  <c r="J2243" i="50"/>
  <c r="L2241" i="50"/>
  <c r="L2244" i="50"/>
  <c r="H2241" i="50"/>
  <c r="H2250" i="50"/>
  <c r="L2247" i="50"/>
  <c r="N2244" i="50"/>
  <c r="I2243" i="50"/>
  <c r="K2241" i="50"/>
  <c r="I2241" i="50"/>
  <c r="K2244" i="50"/>
  <c r="K2247" i="50"/>
  <c r="M2244" i="50"/>
  <c r="H2243" i="50"/>
  <c r="J2241" i="50"/>
  <c r="J2247" i="50"/>
  <c r="I2247" i="50"/>
  <c r="M2249" i="50"/>
  <c r="L2249" i="50"/>
  <c r="H2247" i="50"/>
  <c r="J2244" i="50"/>
  <c r="L2242" i="50"/>
  <c r="N2240" i="50"/>
  <c r="I2249" i="50"/>
  <c r="I2242" i="50"/>
  <c r="N275" i="43"/>
  <c r="N2449" i="50" s="1"/>
  <c r="M2232" i="50"/>
  <c r="L2232" i="50"/>
  <c r="K2232" i="50"/>
  <c r="N2232" i="50"/>
  <c r="J2232" i="50"/>
  <c r="L1232" i="42"/>
  <c r="L1233" i="42" s="1"/>
  <c r="N2007" i="50"/>
  <c r="M1255" i="42"/>
  <c r="M1403" i="42" s="1"/>
  <c r="M1404" i="42" s="1"/>
  <c r="N1374" i="42"/>
  <c r="J1374" i="42"/>
  <c r="M1374" i="42"/>
  <c r="L1374" i="42"/>
  <c r="K1374" i="42"/>
  <c r="U33" i="62"/>
  <c r="Q33" i="62"/>
  <c r="X33" i="62"/>
  <c r="E97" i="62"/>
  <c r="R32" i="62"/>
  <c r="M32" i="62"/>
  <c r="S32" i="62"/>
  <c r="L32" i="62"/>
  <c r="M2197" i="50"/>
  <c r="L2200" i="50"/>
  <c r="N2200" i="50"/>
  <c r="M2200" i="50"/>
  <c r="K156" i="62"/>
  <c r="I156" i="62"/>
  <c r="J156" i="62"/>
  <c r="Y156" i="62"/>
  <c r="S156" i="62"/>
  <c r="N156" i="62"/>
  <c r="V156" i="62"/>
  <c r="T156" i="62"/>
  <c r="W156" i="62"/>
  <c r="U156" i="62"/>
  <c r="X156" i="62"/>
  <c r="M156" i="62"/>
  <c r="I169" i="62"/>
  <c r="M1418" i="42"/>
  <c r="AL1452" i="42" s="1"/>
  <c r="Z64" i="62"/>
  <c r="AA64" i="62" s="1"/>
  <c r="M2254" i="50"/>
  <c r="Y64" i="62"/>
  <c r="I1248" i="42"/>
  <c r="L1255" i="42"/>
  <c r="M64" i="62"/>
  <c r="L64" i="62"/>
  <c r="S64" i="62"/>
  <c r="U64" i="62"/>
  <c r="N32" i="62"/>
  <c r="Y32" i="62"/>
  <c r="E157" i="62"/>
  <c r="T32" i="62"/>
  <c r="Z32" i="62"/>
  <c r="AA32" i="62" s="1"/>
  <c r="D35" i="62"/>
  <c r="E34" i="62"/>
  <c r="D66" i="62"/>
  <c r="G65" i="62"/>
  <c r="T65" i="62" s="1"/>
  <c r="E65" i="62"/>
  <c r="T170" i="62"/>
  <c r="M30" i="50"/>
  <c r="E197" i="62"/>
  <c r="S171" i="62"/>
  <c r="T171" i="62"/>
  <c r="AI1762" i="42"/>
  <c r="Z1762" i="42"/>
  <c r="Z1796" i="42"/>
  <c r="AI1796" i="42"/>
  <c r="Z1624" i="42"/>
  <c r="AI1624" i="42"/>
  <c r="AI1658" i="42"/>
  <c r="Z1658" i="42"/>
  <c r="AI1317" i="42"/>
  <c r="Z1317" i="42"/>
  <c r="Z1254" i="42"/>
  <c r="N1255" i="42"/>
  <c r="Z1351" i="42"/>
  <c r="AI1351" i="42"/>
  <c r="Z1083" i="42"/>
  <c r="N1084" i="42"/>
  <c r="AI1146" i="42"/>
  <c r="Z1146" i="42"/>
  <c r="Z1180" i="42"/>
  <c r="AI1180" i="42"/>
  <c r="M1232" i="42"/>
  <c r="M1233" i="42" s="1"/>
  <c r="M1158" i="42"/>
  <c r="M1159" i="42" s="1"/>
  <c r="M987" i="42"/>
  <c r="M988" i="42" s="1"/>
  <c r="M1061" i="42"/>
  <c r="L1062" i="42"/>
  <c r="AI2812" i="37"/>
  <c r="AI2794" i="37"/>
  <c r="AI2785" i="37"/>
  <c r="AI2808" i="37"/>
  <c r="AI2800" i="37"/>
  <c r="AI2776" i="37"/>
  <c r="AI2713" i="37"/>
  <c r="AI2704" i="37"/>
  <c r="AI2732" i="37"/>
  <c r="AI2717" i="37"/>
  <c r="AI2620" i="37"/>
  <c r="AI2741" i="37"/>
  <c r="AI2678" i="37"/>
  <c r="AI2655" i="37"/>
  <c r="AI2588" i="37"/>
  <c r="AI2549" i="37"/>
  <c r="AI2751" i="37"/>
  <c r="AI2721" i="37"/>
  <c r="AI2663" i="37"/>
  <c r="AI2690" i="37"/>
  <c r="AI2580" i="37"/>
  <c r="N2580" i="37"/>
  <c r="N2588" i="37"/>
  <c r="Z2588" i="37" s="1"/>
  <c r="Z2595" i="37"/>
  <c r="Z2563" i="37"/>
  <c r="Z2549" i="37"/>
  <c r="Z2760" i="37"/>
  <c r="Z2282" i="37"/>
  <c r="Z2268" i="37"/>
  <c r="N2307" i="37"/>
  <c r="Z2307" i="37" s="1"/>
  <c r="N2299" i="37"/>
  <c r="AI2531" i="37"/>
  <c r="AI2513" i="37"/>
  <c r="AI2504" i="37"/>
  <c r="AI2527" i="37"/>
  <c r="AI2519" i="37"/>
  <c r="AI2470" i="37"/>
  <c r="AI2460" i="37"/>
  <c r="AI2397" i="37"/>
  <c r="AI2374" i="37"/>
  <c r="AI2495" i="37"/>
  <c r="AI2436" i="37"/>
  <c r="AI2409" i="37"/>
  <c r="AI2382" i="37"/>
  <c r="AI2423" i="37"/>
  <c r="AI2451" i="37"/>
  <c r="AI2440" i="37"/>
  <c r="AI2307" i="37"/>
  <c r="AI2299" i="37"/>
  <c r="AI2339" i="37"/>
  <c r="AI2432" i="37"/>
  <c r="AI2268" i="37"/>
  <c r="Z2479" i="37"/>
  <c r="Z2314" i="37"/>
  <c r="Z1987" i="37"/>
  <c r="Z2198" i="37"/>
  <c r="Z2033" i="37"/>
  <c r="N2026" i="37"/>
  <c r="Z2026" i="37" s="1"/>
  <c r="N2018" i="37"/>
  <c r="AI2250" i="37"/>
  <c r="AI2232" i="37"/>
  <c r="AI2223" i="37"/>
  <c r="AI2238" i="37"/>
  <c r="AI2246" i="37"/>
  <c r="AI2214" i="37"/>
  <c r="AI2189" i="37"/>
  <c r="AI2179" i="37"/>
  <c r="AI2159" i="37"/>
  <c r="AI2116" i="37"/>
  <c r="AI2155" i="37"/>
  <c r="AI2018" i="37"/>
  <c r="AI2151" i="37"/>
  <c r="AI2058" i="37"/>
  <c r="AI2170" i="37"/>
  <c r="AI2101" i="37"/>
  <c r="AI2093" i="37"/>
  <c r="AI2142" i="37"/>
  <c r="AI2128" i="37"/>
  <c r="AI2026" i="37"/>
  <c r="AI1987" i="37"/>
  <c r="Z2001" i="37"/>
  <c r="Z1752" i="37"/>
  <c r="AI1969" i="37"/>
  <c r="AI1951" i="37"/>
  <c r="AI1942" i="37"/>
  <c r="AI1908" i="37"/>
  <c r="AI1898" i="37"/>
  <c r="AI1874" i="37"/>
  <c r="AI1957" i="37"/>
  <c r="AI1933" i="37"/>
  <c r="AI1870" i="37"/>
  <c r="AI1965" i="37"/>
  <c r="AI1835" i="37"/>
  <c r="AI1812" i="37"/>
  <c r="AI1878" i="37"/>
  <c r="AI1847" i="37"/>
  <c r="AI1820" i="37"/>
  <c r="AI1777" i="37"/>
  <c r="AI1889" i="37"/>
  <c r="AI1861" i="37"/>
  <c r="AI1745" i="37"/>
  <c r="AI1706" i="37"/>
  <c r="AI1737" i="37"/>
  <c r="Z1917" i="37"/>
  <c r="N1745" i="37"/>
  <c r="Z1745" i="37" s="1"/>
  <c r="N1737" i="37"/>
  <c r="Z1720" i="37"/>
  <c r="Z1706" i="37"/>
  <c r="AI1688" i="37"/>
  <c r="AI1670" i="37"/>
  <c r="AI1661" i="37"/>
  <c r="AI1684" i="37"/>
  <c r="AI1676" i="37"/>
  <c r="AI1652" i="37"/>
  <c r="AI1608" i="37"/>
  <c r="AI1597" i="37"/>
  <c r="AI1589" i="37"/>
  <c r="AI1580" i="37"/>
  <c r="AI1627" i="37"/>
  <c r="AI1617" i="37"/>
  <c r="AI1496" i="37"/>
  <c r="AI1593" i="37"/>
  <c r="AI1539" i="37"/>
  <c r="AI1566" i="37"/>
  <c r="AI1464" i="37"/>
  <c r="AI1425" i="37"/>
  <c r="AI1456" i="37"/>
  <c r="AI1531" i="37"/>
  <c r="AI1554" i="37"/>
  <c r="Z1425" i="37"/>
  <c r="Z1471" i="37"/>
  <c r="Z1439" i="37"/>
  <c r="N1456" i="37"/>
  <c r="N1464" i="37"/>
  <c r="Z1464" i="37" s="1"/>
  <c r="Z1636" i="37"/>
  <c r="AI1407" i="37"/>
  <c r="AI1389" i="37"/>
  <c r="AI1380" i="37"/>
  <c r="AI1403" i="37"/>
  <c r="AI1395" i="37"/>
  <c r="AI1371" i="37"/>
  <c r="AI1346" i="37"/>
  <c r="AI1336" i="37"/>
  <c r="AI1316" i="37"/>
  <c r="AI1273" i="37"/>
  <c r="AI1250" i="37"/>
  <c r="AI1327" i="37"/>
  <c r="AI1312" i="37"/>
  <c r="AI1285" i="37"/>
  <c r="AI1258" i="37"/>
  <c r="AI1308" i="37"/>
  <c r="AI1215" i="37"/>
  <c r="AI1183" i="37"/>
  <c r="AI1144" i="37"/>
  <c r="AI1175" i="37"/>
  <c r="AI1299" i="37"/>
  <c r="N1175" i="37"/>
  <c r="N1183" i="37"/>
  <c r="Z1183" i="37" s="1"/>
  <c r="Z1144" i="37"/>
  <c r="Z1190" i="37"/>
  <c r="Z1355" i="37"/>
  <c r="Z1158" i="37"/>
  <c r="Z909" i="37"/>
  <c r="N894" i="37"/>
  <c r="N902" i="37"/>
  <c r="Z902" i="37" s="1"/>
  <c r="AI1126" i="37"/>
  <c r="AI1108" i="37"/>
  <c r="AI1099" i="37"/>
  <c r="AI1122" i="37"/>
  <c r="AI1114" i="37"/>
  <c r="AI1090" i="37"/>
  <c r="AI1065" i="37"/>
  <c r="AI1055" i="37"/>
  <c r="AI1027" i="37"/>
  <c r="AI1018" i="37"/>
  <c r="AI1035" i="37"/>
  <c r="AI934" i="37"/>
  <c r="AI1031" i="37"/>
  <c r="AI1046" i="37"/>
  <c r="AI902" i="37"/>
  <c r="AI863" i="37"/>
  <c r="AI969" i="37"/>
  <c r="AI992" i="37"/>
  <c r="AI977" i="37"/>
  <c r="AI894" i="37"/>
  <c r="AI1004" i="37"/>
  <c r="Z1074" i="37"/>
  <c r="Z877" i="37"/>
  <c r="Z863" i="37"/>
  <c r="AI845" i="37"/>
  <c r="AI827" i="37"/>
  <c r="AI818" i="37"/>
  <c r="AI841" i="37"/>
  <c r="AI833" i="37"/>
  <c r="AI809" i="37"/>
  <c r="AI653" i="37"/>
  <c r="AI765" i="37"/>
  <c r="AI750" i="37"/>
  <c r="AI711" i="37"/>
  <c r="AI688" i="37"/>
  <c r="AI737" i="37"/>
  <c r="AI774" i="37"/>
  <c r="AI723" i="37"/>
  <c r="AI621" i="37"/>
  <c r="AI582" i="37"/>
  <c r="AI746" i="37"/>
  <c r="AI784" i="37"/>
  <c r="AI613" i="37"/>
  <c r="AI754" i="37"/>
  <c r="AI696" i="37"/>
  <c r="Z628" i="37"/>
  <c r="N613" i="37"/>
  <c r="N621" i="37"/>
  <c r="Z621" i="37" s="1"/>
  <c r="Z582" i="37"/>
  <c r="Z793" i="37"/>
  <c r="Z596" i="37"/>
  <c r="AI564" i="37"/>
  <c r="AI546" i="37"/>
  <c r="AI537" i="37"/>
  <c r="AI560" i="37"/>
  <c r="AI552" i="37"/>
  <c r="AI528" i="37"/>
  <c r="AI465" i="37"/>
  <c r="AI442" i="37"/>
  <c r="AI415" i="37"/>
  <c r="AI484" i="37"/>
  <c r="AI469" i="37"/>
  <c r="AI456" i="37"/>
  <c r="AI493" i="37"/>
  <c r="AI340" i="37"/>
  <c r="AI301" i="37"/>
  <c r="AI332" i="37"/>
  <c r="AI503" i="37"/>
  <c r="AI430" i="37"/>
  <c r="AI372" i="37"/>
  <c r="AI473" i="37"/>
  <c r="AI407" i="37"/>
  <c r="N332" i="37"/>
  <c r="N340" i="37"/>
  <c r="Z340" i="37" s="1"/>
  <c r="Z301" i="37"/>
  <c r="Z466" i="42"/>
  <c r="N467" i="42"/>
  <c r="N543" i="42" s="1"/>
  <c r="N544" i="42" s="1"/>
  <c r="Z689" i="42"/>
  <c r="N690" i="42"/>
  <c r="N766" i="42" s="1"/>
  <c r="N767" i="42" s="1"/>
  <c r="Z912" i="42"/>
  <c r="N913" i="42"/>
  <c r="Z1433" i="42"/>
  <c r="Z1520" i="42"/>
  <c r="AI1520" i="42"/>
  <c r="AI1486" i="42"/>
  <c r="Z1486" i="42"/>
  <c r="AI975" i="42"/>
  <c r="Z975" i="42"/>
  <c r="Z1009" i="42"/>
  <c r="AI1009" i="42"/>
  <c r="Z920" i="42"/>
  <c r="Z754" i="42"/>
  <c r="AI754" i="42"/>
  <c r="Z697" i="42"/>
  <c r="AI788" i="42"/>
  <c r="Z788" i="42"/>
  <c r="Z474" i="42"/>
  <c r="AI531" i="42"/>
  <c r="Z531" i="42"/>
  <c r="Z565" i="42"/>
  <c r="AI565" i="42"/>
  <c r="M320" i="42"/>
  <c r="M321" i="42" s="1"/>
  <c r="Z243" i="42"/>
  <c r="N244" i="42"/>
  <c r="AI308" i="42"/>
  <c r="Z308" i="42"/>
  <c r="Z342" i="42"/>
  <c r="AI342" i="42"/>
  <c r="D146" i="62"/>
  <c r="E146" i="62" s="1"/>
  <c r="E145" i="62"/>
  <c r="AI119" i="42"/>
  <c r="Z119" i="42"/>
  <c r="Z20" i="42"/>
  <c r="N21" i="42"/>
  <c r="N1788" i="50" s="1"/>
  <c r="Q272" i="34"/>
  <c r="T272" i="34" s="1"/>
  <c r="N2413" i="50"/>
  <c r="N2412" i="50"/>
  <c r="N51" i="37"/>
  <c r="N59" i="37"/>
  <c r="Z59" i="37" s="1"/>
  <c r="Z85" i="42"/>
  <c r="AI85" i="42"/>
  <c r="AI271" i="37"/>
  <c r="AI91" i="37"/>
  <c r="Z20" i="37"/>
  <c r="AI51" i="37"/>
  <c r="AI161" i="37"/>
  <c r="AI59" i="37"/>
  <c r="AI222" i="37"/>
  <c r="AI20" i="37"/>
  <c r="AI279" i="37"/>
  <c r="AI203" i="37"/>
  <c r="AI184" i="37"/>
  <c r="AI134" i="37"/>
  <c r="AI188" i="37"/>
  <c r="AI283" i="37"/>
  <c r="AI265" i="37"/>
  <c r="AI175" i="37"/>
  <c r="AI256" i="37"/>
  <c r="AI247" i="37"/>
  <c r="AI192" i="37"/>
  <c r="AI149" i="37"/>
  <c r="AI126" i="37"/>
  <c r="AI212" i="37"/>
  <c r="Z28" i="42"/>
  <c r="E133" i="62" l="1"/>
  <c r="M1329" i="42"/>
  <c r="M1330" i="42" s="1"/>
  <c r="L1403" i="42"/>
  <c r="L1404" i="42" s="1"/>
  <c r="L1329" i="42"/>
  <c r="L1330" i="42" s="1"/>
  <c r="M33" i="62"/>
  <c r="L33" i="62"/>
  <c r="S33" i="62"/>
  <c r="R33" i="62"/>
  <c r="G66" i="62"/>
  <c r="T66" i="62" s="1"/>
  <c r="E66" i="62"/>
  <c r="M65" i="62"/>
  <c r="U65" i="62"/>
  <c r="L65" i="62"/>
  <c r="S65" i="62"/>
  <c r="D36" i="62"/>
  <c r="E36" i="62" s="1"/>
  <c r="E35" i="62"/>
  <c r="Q34" i="62"/>
  <c r="X34" i="62"/>
  <c r="U34" i="62"/>
  <c r="E134" i="62" s="1"/>
  <c r="E98" i="62"/>
  <c r="I1419" i="42"/>
  <c r="I170" i="62"/>
  <c r="M2302" i="50"/>
  <c r="M1556" i="42"/>
  <c r="AL1590" i="42" s="1"/>
  <c r="Y65" i="62"/>
  <c r="Z65" i="62"/>
  <c r="AA65" i="62" s="1"/>
  <c r="N157" i="62"/>
  <c r="I157" i="62"/>
  <c r="K157" i="62"/>
  <c r="Y157" i="62"/>
  <c r="U157" i="62"/>
  <c r="J157" i="62"/>
  <c r="S157" i="62"/>
  <c r="X157" i="62"/>
  <c r="M157" i="62"/>
  <c r="W157" i="62"/>
  <c r="V157" i="62"/>
  <c r="T157" i="62"/>
  <c r="K2260" i="50"/>
  <c r="M2260" i="50"/>
  <c r="M2257" i="50"/>
  <c r="I2260" i="50"/>
  <c r="J2260" i="50"/>
  <c r="H2260" i="50"/>
  <c r="N2260" i="50"/>
  <c r="L2260" i="50"/>
  <c r="N33" i="62"/>
  <c r="Y33" i="62"/>
  <c r="E158" i="62"/>
  <c r="Z33" i="62"/>
  <c r="AA33" i="62" s="1"/>
  <c r="T33" i="62"/>
  <c r="J122" i="41"/>
  <c r="J269" i="50" s="1"/>
  <c r="I122" i="41"/>
  <c r="I269" i="50" s="1"/>
  <c r="K122" i="41"/>
  <c r="K269" i="50" s="1"/>
  <c r="H122" i="41"/>
  <c r="H269" i="50" s="1"/>
  <c r="E198" i="62"/>
  <c r="N1403" i="42"/>
  <c r="N1404" i="42" s="1"/>
  <c r="N1329" i="42"/>
  <c r="N1330" i="42" s="1"/>
  <c r="N1232" i="42"/>
  <c r="N1233" i="42" s="1"/>
  <c r="N1158" i="42"/>
  <c r="N1159" i="42" s="1"/>
  <c r="M1062" i="42"/>
  <c r="N987" i="42"/>
  <c r="N988" i="42" s="1"/>
  <c r="N1061" i="42"/>
  <c r="N320" i="42"/>
  <c r="N321" i="42" s="1"/>
  <c r="N97" i="42"/>
  <c r="N98" i="42" s="1"/>
  <c r="Q273" i="34"/>
  <c r="T273" i="34" s="1"/>
  <c r="H134" i="62" l="1"/>
  <c r="H133" i="62"/>
  <c r="E67" i="62"/>
  <c r="Q21" i="49"/>
  <c r="V158" i="62"/>
  <c r="S158" i="62"/>
  <c r="X158" i="62"/>
  <c r="J158" i="62"/>
  <c r="T158" i="62"/>
  <c r="K158" i="62"/>
  <c r="M158" i="62"/>
  <c r="I158" i="62"/>
  <c r="N158" i="62"/>
  <c r="Y158" i="62"/>
  <c r="W158" i="62"/>
  <c r="U158" i="62"/>
  <c r="J2308" i="50"/>
  <c r="I2308" i="50"/>
  <c r="L2308" i="50"/>
  <c r="M2305" i="50"/>
  <c r="H2308" i="50"/>
  <c r="N2308" i="50"/>
  <c r="M2308" i="50"/>
  <c r="K2308" i="50"/>
  <c r="M34" i="62"/>
  <c r="S34" i="62"/>
  <c r="L34" i="62"/>
  <c r="R34" i="62"/>
  <c r="I171" i="62"/>
  <c r="M1694" i="42"/>
  <c r="AL1728" i="42" s="1"/>
  <c r="Y66" i="62"/>
  <c r="M2350" i="50"/>
  <c r="Z66" i="62"/>
  <c r="AA66" i="62" s="1"/>
  <c r="I1557" i="42"/>
  <c r="M66" i="62"/>
  <c r="U66" i="62"/>
  <c r="S66" i="62"/>
  <c r="L66" i="62"/>
  <c r="U35" i="62"/>
  <c r="E99" i="62"/>
  <c r="Q35" i="62"/>
  <c r="X35" i="62"/>
  <c r="N34" i="62"/>
  <c r="Z34" i="62"/>
  <c r="AA34" i="62" s="1"/>
  <c r="Y34" i="62"/>
  <c r="T34" i="62"/>
  <c r="E159" i="62"/>
  <c r="Q36" i="62"/>
  <c r="E100" i="62"/>
  <c r="U36" i="62"/>
  <c r="X36" i="62"/>
  <c r="N1062" i="42"/>
  <c r="Q274" i="34"/>
  <c r="T274" i="34" s="1"/>
  <c r="E135" i="62" l="1"/>
  <c r="T31" i="62"/>
  <c r="T30" i="62"/>
  <c r="T29" i="62"/>
  <c r="E136" i="62"/>
  <c r="T28" i="62"/>
  <c r="M36" i="62"/>
  <c r="S36" i="62"/>
  <c r="L36" i="62"/>
  <c r="R36" i="62"/>
  <c r="M35" i="62"/>
  <c r="R35" i="62"/>
  <c r="L35" i="62"/>
  <c r="S35" i="62"/>
  <c r="I1695" i="42"/>
  <c r="W159" i="62"/>
  <c r="I159" i="62"/>
  <c r="S159" i="62"/>
  <c r="J159" i="62"/>
  <c r="U159" i="62"/>
  <c r="T159" i="62"/>
  <c r="N159" i="62"/>
  <c r="X159" i="62"/>
  <c r="M159" i="62"/>
  <c r="Y159" i="62"/>
  <c r="K159" i="62"/>
  <c r="V159" i="62"/>
  <c r="E161" i="62"/>
  <c r="Y36" i="62"/>
  <c r="T36" i="62"/>
  <c r="N36" i="62"/>
  <c r="Z36" i="62"/>
  <c r="AA36" i="62" s="1"/>
  <c r="E160" i="62"/>
  <c r="N35" i="62"/>
  <c r="Y35" i="62"/>
  <c r="Z35" i="62"/>
  <c r="AA35" i="62" s="1"/>
  <c r="T35" i="62"/>
  <c r="X82" i="62"/>
  <c r="T27" i="62"/>
  <c r="M2353" i="50"/>
  <c r="N2356" i="50"/>
  <c r="M2356" i="50"/>
  <c r="K2356" i="50"/>
  <c r="J2356" i="50"/>
  <c r="I2356" i="50"/>
  <c r="L2356" i="50"/>
  <c r="H2356" i="50"/>
  <c r="D2433" i="50"/>
  <c r="D2485" i="50" s="1"/>
  <c r="D2434" i="50"/>
  <c r="D2486" i="50" s="1"/>
  <c r="Q275" i="34"/>
  <c r="T275" i="34" s="1"/>
  <c r="D2432" i="50"/>
  <c r="D2431" i="50"/>
  <c r="H136" i="62" l="1"/>
  <c r="H135" i="62"/>
  <c r="G201" i="62"/>
  <c r="N161" i="62"/>
  <c r="I161" i="62"/>
  <c r="Y161" i="62"/>
  <c r="S161" i="62"/>
  <c r="U161" i="62"/>
  <c r="T161" i="62"/>
  <c r="K161" i="62"/>
  <c r="X161" i="62"/>
  <c r="V161" i="62"/>
  <c r="M161" i="62"/>
  <c r="J161" i="62"/>
  <c r="W161" i="62"/>
  <c r="H191" i="62"/>
  <c r="I191" i="62" s="1"/>
  <c r="H179" i="62"/>
  <c r="H180" i="62"/>
  <c r="H183" i="62"/>
  <c r="H196" i="62"/>
  <c r="I196" i="62" s="1"/>
  <c r="H193" i="62"/>
  <c r="I193" i="62" s="1"/>
  <c r="H190" i="62"/>
  <c r="I190" i="62" s="1"/>
  <c r="H186" i="62"/>
  <c r="H189" i="62"/>
  <c r="I189" i="62" s="1"/>
  <c r="H184" i="62"/>
  <c r="H187" i="62"/>
  <c r="H181" i="62"/>
  <c r="H188" i="62"/>
  <c r="H192" i="62"/>
  <c r="I192" i="62" s="1"/>
  <c r="H182" i="62"/>
  <c r="H198" i="62"/>
  <c r="I198" i="62" s="1"/>
  <c r="H194" i="62"/>
  <c r="I194" i="62" s="1"/>
  <c r="H185" i="62"/>
  <c r="U160" i="62"/>
  <c r="T160" i="62"/>
  <c r="Y160" i="62"/>
  <c r="J160" i="62"/>
  <c r="K160" i="62"/>
  <c r="V160" i="62"/>
  <c r="X160" i="62"/>
  <c r="S160" i="62"/>
  <c r="M160" i="62"/>
  <c r="I160" i="62"/>
  <c r="N160" i="62"/>
  <c r="W160" i="62"/>
  <c r="H195" i="62"/>
  <c r="I195" i="62" s="1"/>
  <c r="E37" i="62"/>
  <c r="H197" i="62"/>
  <c r="I197" i="62" s="1"/>
  <c r="Y82" i="62"/>
  <c r="L83" i="62"/>
  <c r="Q276" i="34"/>
  <c r="T276" i="34" s="1"/>
  <c r="D2483" i="50"/>
  <c r="D2484" i="50"/>
  <c r="T143" i="62" l="1"/>
  <c r="AA143" i="62" s="1"/>
  <c r="T146" i="62"/>
  <c r="AA146" i="62" s="1"/>
  <c r="T142" i="62"/>
  <c r="T141" i="62"/>
  <c r="T139" i="62"/>
  <c r="AA139" i="62" s="1"/>
  <c r="T138" i="62"/>
  <c r="AA138" i="62" s="1"/>
  <c r="T145" i="62"/>
  <c r="AA145" i="62" s="1"/>
  <c r="T137" i="62"/>
  <c r="AA137" i="62" s="1"/>
  <c r="T144" i="62"/>
  <c r="AA144" i="62" s="1"/>
  <c r="T140" i="62"/>
  <c r="AA140" i="62" s="1"/>
  <c r="T130" i="62"/>
  <c r="U130" i="62" s="1"/>
  <c r="V130" i="62" s="1"/>
  <c r="T128" i="62"/>
  <c r="T129" i="62"/>
  <c r="T127" i="62"/>
  <c r="T132" i="62"/>
  <c r="U132" i="62" s="1"/>
  <c r="V132" i="62" s="1"/>
  <c r="T131" i="62"/>
  <c r="T134" i="62"/>
  <c r="T133" i="62"/>
  <c r="T135" i="62"/>
  <c r="T136" i="62"/>
  <c r="Y135" i="62"/>
  <c r="I187" i="62"/>
  <c r="I1524" i="50"/>
  <c r="I185" i="62"/>
  <c r="I1268" i="50"/>
  <c r="I184" i="62"/>
  <c r="I1140" i="50"/>
  <c r="I188" i="62"/>
  <c r="I1652" i="50"/>
  <c r="I186" i="62"/>
  <c r="I1396" i="50"/>
  <c r="M4" i="42"/>
  <c r="W130" i="62"/>
  <c r="AD1556" i="42"/>
  <c r="X127" i="62"/>
  <c r="I5" i="42"/>
  <c r="X128" i="62"/>
  <c r="G5" i="42"/>
  <c r="AD682" i="42"/>
  <c r="G4" i="42"/>
  <c r="W134" i="62"/>
  <c r="W129" i="62"/>
  <c r="AD1076" i="42"/>
  <c r="K3" i="42"/>
  <c r="W131" i="62"/>
  <c r="AA141" i="62"/>
  <c r="AD1694" i="42"/>
  <c r="AD1418" i="42"/>
  <c r="AA142" i="62"/>
  <c r="AD459" i="42"/>
  <c r="Y136" i="62"/>
  <c r="AD905" i="42"/>
  <c r="K4" i="42"/>
  <c r="G3" i="42"/>
  <c r="M3" i="42"/>
  <c r="I4" i="42"/>
  <c r="W133" i="62"/>
  <c r="AD1247" i="42"/>
  <c r="AD236" i="42"/>
  <c r="AD13" i="42"/>
  <c r="I3" i="42"/>
  <c r="M2455" i="50"/>
  <c r="M2467" i="50" s="1"/>
  <c r="N2455" i="50"/>
  <c r="N2467" i="50" s="1"/>
  <c r="K2455" i="50"/>
  <c r="K2467" i="50" s="1"/>
  <c r="L2455" i="50"/>
  <c r="L2467" i="50" s="1"/>
  <c r="J2455" i="50"/>
  <c r="J2467" i="50" s="1"/>
  <c r="G5" i="37"/>
  <c r="I2261" i="37"/>
  <c r="E103" i="50"/>
  <c r="H2283" i="37"/>
  <c r="G2269" i="37"/>
  <c r="G2270" i="37" s="1"/>
  <c r="G2271" i="37" s="1"/>
  <c r="E177" i="41"/>
  <c r="I1699" i="37"/>
  <c r="R1711" i="37" s="1"/>
  <c r="G1707" i="37"/>
  <c r="G1708" i="37" s="1"/>
  <c r="G1709" i="37" s="1"/>
  <c r="E101" i="50"/>
  <c r="H1721" i="37"/>
  <c r="E175" i="41"/>
  <c r="K4" i="37"/>
  <c r="I4" i="37"/>
  <c r="H1440" i="37"/>
  <c r="G1426" i="37"/>
  <c r="G1427" i="37" s="1"/>
  <c r="G1428" i="37" s="1"/>
  <c r="I1418" i="37"/>
  <c r="R1430" i="37" s="1"/>
  <c r="T43" i="41"/>
  <c r="J201" i="62"/>
  <c r="M4" i="37"/>
  <c r="H2002" i="37"/>
  <c r="G1988" i="37"/>
  <c r="G1989" i="37" s="1"/>
  <c r="G1990" i="37" s="1"/>
  <c r="E176" i="41"/>
  <c r="E102" i="50"/>
  <c r="I1980" i="37"/>
  <c r="Y134" i="62"/>
  <c r="I5" i="37"/>
  <c r="H2564" i="37"/>
  <c r="E178" i="41"/>
  <c r="E104" i="50"/>
  <c r="G2550" i="37"/>
  <c r="G2551" i="37" s="1"/>
  <c r="G2552" i="37" s="1"/>
  <c r="I2542" i="37"/>
  <c r="W135" i="62"/>
  <c r="X135" i="62"/>
  <c r="Q277" i="34"/>
  <c r="T277" i="34" s="1"/>
  <c r="M1455" i="50" l="1"/>
  <c r="L1455" i="50"/>
  <c r="L1456" i="50" s="1"/>
  <c r="L1457" i="50" s="1"/>
  <c r="K1455" i="50"/>
  <c r="J1455" i="50"/>
  <c r="J1456" i="50" s="1"/>
  <c r="J1457" i="50" s="1"/>
  <c r="N1455" i="50"/>
  <c r="N1583" i="50"/>
  <c r="M1583" i="50"/>
  <c r="M1584" i="50" s="1"/>
  <c r="M1585" i="50" s="1"/>
  <c r="L1583" i="50"/>
  <c r="L1584" i="50" s="1"/>
  <c r="L1585" i="50" s="1"/>
  <c r="K1583" i="50"/>
  <c r="J1583" i="50"/>
  <c r="K1711" i="50"/>
  <c r="K1712" i="50" s="1"/>
  <c r="K1713" i="50" s="1"/>
  <c r="J1711" i="50"/>
  <c r="J1712" i="50" s="1"/>
  <c r="J1713" i="50" s="1"/>
  <c r="N1711" i="50"/>
  <c r="M1711" i="50"/>
  <c r="M1712" i="50" s="1"/>
  <c r="M1713" i="50" s="1"/>
  <c r="L1711" i="50"/>
  <c r="L1712" i="50" s="1"/>
  <c r="L1713" i="50" s="1"/>
  <c r="N1199" i="50"/>
  <c r="M1199" i="50"/>
  <c r="L1199" i="50"/>
  <c r="K1199" i="50"/>
  <c r="J1199" i="50"/>
  <c r="J1327" i="50"/>
  <c r="N1327" i="50"/>
  <c r="N1328" i="50" s="1"/>
  <c r="N1329" i="50" s="1"/>
  <c r="M1327" i="50"/>
  <c r="M1328" i="50" s="1"/>
  <c r="M1329" i="50" s="1"/>
  <c r="L1327" i="50"/>
  <c r="L1328" i="50" s="1"/>
  <c r="L1329" i="50" s="1"/>
  <c r="K1327" i="50"/>
  <c r="K1328" i="50" s="1"/>
  <c r="K1329" i="50" s="1"/>
  <c r="K1641" i="50"/>
  <c r="I1641" i="50"/>
  <c r="J1641" i="50"/>
  <c r="H1641" i="50"/>
  <c r="M1641" i="50"/>
  <c r="N1641" i="50"/>
  <c r="L1641" i="50"/>
  <c r="J1513" i="50"/>
  <c r="I1513" i="50"/>
  <c r="H1513" i="50"/>
  <c r="L1513" i="50"/>
  <c r="M1513" i="50"/>
  <c r="N1513" i="50"/>
  <c r="K1513" i="50"/>
  <c r="L1769" i="50"/>
  <c r="K1769" i="50"/>
  <c r="J1769" i="50"/>
  <c r="I1769" i="50"/>
  <c r="H1769" i="50"/>
  <c r="N1769" i="50"/>
  <c r="M1769" i="50"/>
  <c r="H1257" i="50"/>
  <c r="N1257" i="50"/>
  <c r="M1257" i="50"/>
  <c r="L1257" i="50"/>
  <c r="K1257" i="50"/>
  <c r="J1257" i="50"/>
  <c r="I1257" i="50"/>
  <c r="I1385" i="50"/>
  <c r="H1385" i="50"/>
  <c r="K1385" i="50"/>
  <c r="N1385" i="50"/>
  <c r="M1385" i="50"/>
  <c r="L1385" i="50"/>
  <c r="J1385" i="50"/>
  <c r="U135" i="62"/>
  <c r="V135" i="62" s="1"/>
  <c r="P1723" i="50"/>
  <c r="M1655" i="50"/>
  <c r="K1683" i="50"/>
  <c r="I1706" i="50"/>
  <c r="K1709" i="50"/>
  <c r="K1718" i="50"/>
  <c r="L1666" i="50" s="1"/>
  <c r="K1720" i="50"/>
  <c r="L1668" i="50" s="1"/>
  <c r="J1722" i="50"/>
  <c r="K1670" i="50" s="1"/>
  <c r="J1655" i="50"/>
  <c r="U1658" i="50" s="1"/>
  <c r="L1683" i="50"/>
  <c r="N1706" i="50"/>
  <c r="I1710" i="50"/>
  <c r="U1713" i="50"/>
  <c r="N1719" i="50"/>
  <c r="K1722" i="50"/>
  <c r="L1670" i="50" s="1"/>
  <c r="K1655" i="50"/>
  <c r="U1655" i="50" s="1"/>
  <c r="P1680" i="50"/>
  <c r="P1706" i="50"/>
  <c r="M1709" i="50"/>
  <c r="M1718" i="50"/>
  <c r="N1666" i="50" s="1"/>
  <c r="M1720" i="50"/>
  <c r="N1668" i="50" s="1"/>
  <c r="S1722" i="50"/>
  <c r="R1652" i="50"/>
  <c r="D2430" i="50" s="1"/>
  <c r="D2482" i="50" s="1"/>
  <c r="N1683" i="50"/>
  <c r="P1707" i="50"/>
  <c r="N1709" i="50"/>
  <c r="S1713" i="50"/>
  <c r="S1719" i="50"/>
  <c r="M1721" i="50"/>
  <c r="N1669" i="50" s="1"/>
  <c r="K1658" i="50"/>
  <c r="P1683" i="50"/>
  <c r="P1681" i="50" s="1"/>
  <c r="P1682" i="50" s="1"/>
  <c r="M1706" i="50"/>
  <c r="L1710" i="50"/>
  <c r="P1718" i="50"/>
  <c r="P1720" i="50"/>
  <c r="N1722" i="50"/>
  <c r="L1658" i="50"/>
  <c r="K1701" i="50"/>
  <c r="I1707" i="50"/>
  <c r="M1710" i="50"/>
  <c r="L1718" i="50"/>
  <c r="M1666" i="50" s="1"/>
  <c r="L1720" i="50"/>
  <c r="M1668" i="50" s="1"/>
  <c r="I1723" i="50"/>
  <c r="V1723" i="50" s="1"/>
  <c r="R1655" i="50"/>
  <c r="I1655" i="50" s="1"/>
  <c r="P1662" i="50"/>
  <c r="M1683" i="50"/>
  <c r="I1708" i="50"/>
  <c r="J1710" i="50"/>
  <c r="R1713" i="50"/>
  <c r="K1719" i="50"/>
  <c r="L1667" i="50" s="1"/>
  <c r="L1721" i="50"/>
  <c r="M1669" i="50" s="1"/>
  <c r="J1723" i="50"/>
  <c r="L1655" i="50"/>
  <c r="K1671" i="50"/>
  <c r="P1698" i="50"/>
  <c r="J1708" i="50"/>
  <c r="K1710" i="50"/>
  <c r="J1718" i="50"/>
  <c r="K1666" i="50" s="1"/>
  <c r="J1720" i="50"/>
  <c r="K1668" i="50" s="1"/>
  <c r="I1722" i="50"/>
  <c r="H1658" i="50"/>
  <c r="P1658" i="50"/>
  <c r="J1701" i="50"/>
  <c r="K1708" i="50"/>
  <c r="I1719" i="50"/>
  <c r="J1721" i="50"/>
  <c r="K1669" i="50" s="1"/>
  <c r="L1723" i="50"/>
  <c r="P1701" i="50"/>
  <c r="P1699" i="50" s="1"/>
  <c r="P1700" i="50" s="1"/>
  <c r="L1708" i="50"/>
  <c r="S1718" i="50"/>
  <c r="S1720" i="50"/>
  <c r="M1723" i="50"/>
  <c r="I1658" i="50"/>
  <c r="J1671" i="50"/>
  <c r="L1701" i="50"/>
  <c r="M1708" i="50"/>
  <c r="N1710" i="50"/>
  <c r="V1713" i="50"/>
  <c r="P1719" i="50"/>
  <c r="S1721" i="50"/>
  <c r="N1723" i="50"/>
  <c r="J1658" i="50"/>
  <c r="P1677" i="50"/>
  <c r="P1675" i="50" s="1"/>
  <c r="P1676" i="50" s="1"/>
  <c r="M1701" i="50"/>
  <c r="N1708" i="50"/>
  <c r="N1718" i="50"/>
  <c r="N1720" i="50"/>
  <c r="M1722" i="50"/>
  <c r="N1670" i="50" s="1"/>
  <c r="P1674" i="50"/>
  <c r="L1671" i="50"/>
  <c r="N1701" i="50"/>
  <c r="P1708" i="50"/>
  <c r="T1713" i="50"/>
  <c r="M1719" i="50"/>
  <c r="N1667" i="50" s="1"/>
  <c r="N1721" i="50"/>
  <c r="S1723" i="50"/>
  <c r="M1671" i="50"/>
  <c r="J1706" i="50"/>
  <c r="L1709" i="50"/>
  <c r="P1713" i="50"/>
  <c r="J1719" i="50"/>
  <c r="K1667" i="50" s="1"/>
  <c r="K1721" i="50"/>
  <c r="L1669" i="50" s="1"/>
  <c r="E1655" i="50"/>
  <c r="M1658" i="50"/>
  <c r="N1671" i="50"/>
  <c r="K1706" i="50"/>
  <c r="I1709" i="50"/>
  <c r="I1711" i="50"/>
  <c r="I1718" i="50"/>
  <c r="G1658" i="50" s="1"/>
  <c r="I1720" i="50"/>
  <c r="L1722" i="50"/>
  <c r="M1670" i="50" s="1"/>
  <c r="N1658" i="50"/>
  <c r="J1683" i="50"/>
  <c r="L1706" i="50"/>
  <c r="J1709" i="50"/>
  <c r="N1712" i="50"/>
  <c r="N1713" i="50" s="1"/>
  <c r="L1719" i="50"/>
  <c r="M1667" i="50" s="1"/>
  <c r="I1721" i="50"/>
  <c r="K1723" i="50"/>
  <c r="S1339" i="50"/>
  <c r="P1324" i="50"/>
  <c r="L1287" i="50"/>
  <c r="L1274" i="50"/>
  <c r="J1317" i="50"/>
  <c r="K1274" i="50"/>
  <c r="M1271" i="50"/>
  <c r="L1326" i="50"/>
  <c r="K1299" i="50"/>
  <c r="J1271" i="50"/>
  <c r="U1274" i="50" s="1"/>
  <c r="J1338" i="50"/>
  <c r="K1286" i="50" s="1"/>
  <c r="I1322" i="50"/>
  <c r="M1287" i="50"/>
  <c r="M1322" i="50"/>
  <c r="P1274" i="50"/>
  <c r="K1334" i="50"/>
  <c r="L1282" i="50" s="1"/>
  <c r="P1339" i="50"/>
  <c r="M1337" i="50"/>
  <c r="N1285" i="50" s="1"/>
  <c r="S1335" i="50"/>
  <c r="S1329" i="50"/>
  <c r="N1325" i="50"/>
  <c r="P1323" i="50"/>
  <c r="N1299" i="50"/>
  <c r="R1268" i="50"/>
  <c r="D2427" i="50" s="1"/>
  <c r="D2479" i="50" s="1"/>
  <c r="L1338" i="50"/>
  <c r="M1286" i="50" s="1"/>
  <c r="I1336" i="50"/>
  <c r="I1334" i="50"/>
  <c r="G1274" i="50" s="1"/>
  <c r="I1327" i="50"/>
  <c r="I1325" i="50"/>
  <c r="K1322" i="50"/>
  <c r="N1287" i="50"/>
  <c r="I1274" i="50"/>
  <c r="I1339" i="50"/>
  <c r="V1339" i="50" s="1"/>
  <c r="M1339" i="50"/>
  <c r="L1336" i="50"/>
  <c r="M1284" i="50" s="1"/>
  <c r="U1329" i="50"/>
  <c r="L1324" i="50"/>
  <c r="P1317" i="50"/>
  <c r="P1315" i="50" s="1"/>
  <c r="P1316" i="50" s="1"/>
  <c r="P1334" i="50"/>
  <c r="P1290" i="50"/>
  <c r="J1337" i="50"/>
  <c r="K1285" i="50" s="1"/>
  <c r="P1299" i="50"/>
  <c r="P1297" i="50" s="1"/>
  <c r="P1298" i="50" s="1"/>
  <c r="I1335" i="50"/>
  <c r="K1339" i="50"/>
  <c r="I1337" i="50"/>
  <c r="L1335" i="50"/>
  <c r="M1283" i="50" s="1"/>
  <c r="J1325" i="50"/>
  <c r="L1322" i="50"/>
  <c r="J1299" i="50"/>
  <c r="N1274" i="50"/>
  <c r="N1339" i="50"/>
  <c r="S1337" i="50"/>
  <c r="P1335" i="50"/>
  <c r="V1329" i="50"/>
  <c r="N1326" i="50"/>
  <c r="M1324" i="50"/>
  <c r="L1317" i="50"/>
  <c r="J1287" i="50"/>
  <c r="R1271" i="50"/>
  <c r="I1271" i="50" s="1"/>
  <c r="J1335" i="50"/>
  <c r="K1283" i="50" s="1"/>
  <c r="K1338" i="50"/>
  <c r="L1286" i="50" s="1"/>
  <c r="N1335" i="50"/>
  <c r="P1329" i="50"/>
  <c r="I1323" i="50"/>
  <c r="H1274" i="50"/>
  <c r="M1335" i="50"/>
  <c r="N1283" i="50" s="1"/>
  <c r="L1299" i="50"/>
  <c r="N1338" i="50"/>
  <c r="N1317" i="50"/>
  <c r="K1336" i="50"/>
  <c r="L1284" i="50" s="1"/>
  <c r="M1338" i="50"/>
  <c r="N1286" i="50" s="1"/>
  <c r="N1336" i="50"/>
  <c r="N1334" i="50"/>
  <c r="J1328" i="50"/>
  <c r="J1329" i="50" s="1"/>
  <c r="N1324" i="50"/>
  <c r="M1317" i="50"/>
  <c r="P1293" i="50"/>
  <c r="P1291" i="50" s="1"/>
  <c r="P1292" i="50" s="1"/>
  <c r="J1274" i="50"/>
  <c r="J1339" i="50"/>
  <c r="L1337" i="50"/>
  <c r="M1285" i="50" s="1"/>
  <c r="K1335" i="50"/>
  <c r="L1283" i="50" s="1"/>
  <c r="R1329" i="50"/>
  <c r="J1326" i="50"/>
  <c r="I1324" i="50"/>
  <c r="M1299" i="50"/>
  <c r="P1278" i="50"/>
  <c r="K1271" i="50"/>
  <c r="U1271" i="50" s="1"/>
  <c r="M1326" i="50"/>
  <c r="K1337" i="50"/>
  <c r="L1285" i="50" s="1"/>
  <c r="S1334" i="50"/>
  <c r="N1322" i="50"/>
  <c r="K1324" i="50"/>
  <c r="P1336" i="50"/>
  <c r="K1317" i="50"/>
  <c r="I1338" i="50"/>
  <c r="J1324" i="50"/>
  <c r="S1338" i="50"/>
  <c r="M1325" i="50"/>
  <c r="E1271" i="50"/>
  <c r="L1325" i="50"/>
  <c r="L1339" i="50"/>
  <c r="J1336" i="50"/>
  <c r="K1284" i="50" s="1"/>
  <c r="P1314" i="50"/>
  <c r="M1336" i="50"/>
  <c r="N1284" i="50" s="1"/>
  <c r="P1322" i="50"/>
  <c r="I1326" i="50"/>
  <c r="J1322" i="50"/>
  <c r="K1325" i="50"/>
  <c r="J1334" i="50"/>
  <c r="K1282" i="50" s="1"/>
  <c r="K1287" i="50"/>
  <c r="M1334" i="50"/>
  <c r="N1282" i="50" s="1"/>
  <c r="P1296" i="50"/>
  <c r="S1336" i="50"/>
  <c r="T1329" i="50"/>
  <c r="N1337" i="50"/>
  <c r="K1326" i="50"/>
  <c r="L1271" i="50"/>
  <c r="M1274" i="50"/>
  <c r="L1334" i="50"/>
  <c r="M1282" i="50" s="1"/>
  <c r="P1452" i="50"/>
  <c r="N1445" i="50"/>
  <c r="P1427" i="50"/>
  <c r="P1425" i="50" s="1"/>
  <c r="P1426" i="50" s="1"/>
  <c r="P1402" i="50"/>
  <c r="I1466" i="50"/>
  <c r="J1464" i="50"/>
  <c r="K1412" i="50" s="1"/>
  <c r="J1462" i="50"/>
  <c r="K1410" i="50" s="1"/>
  <c r="K1454" i="50"/>
  <c r="J1452" i="50"/>
  <c r="P1442" i="50"/>
  <c r="K1415" i="50"/>
  <c r="R1396" i="50"/>
  <c r="D2428" i="50" s="1"/>
  <c r="D2480" i="50" s="1"/>
  <c r="L1466" i="50"/>
  <c r="M1414" i="50" s="1"/>
  <c r="I1464" i="50"/>
  <c r="I1462" i="50"/>
  <c r="G1402" i="50" s="1"/>
  <c r="I1455" i="50"/>
  <c r="I1453" i="50"/>
  <c r="K1450" i="50"/>
  <c r="N1415" i="50"/>
  <c r="I1402" i="50"/>
  <c r="M1467" i="50"/>
  <c r="L1464" i="50"/>
  <c r="M1412" i="50" s="1"/>
  <c r="J1463" i="50"/>
  <c r="K1411" i="50" s="1"/>
  <c r="P1457" i="50"/>
  <c r="J1466" i="50"/>
  <c r="K1414" i="50" s="1"/>
  <c r="P1467" i="50"/>
  <c r="M1465" i="50"/>
  <c r="N1413" i="50" s="1"/>
  <c r="S1463" i="50"/>
  <c r="S1457" i="50"/>
  <c r="N1453" i="50"/>
  <c r="P1451" i="50"/>
  <c r="N1427" i="50"/>
  <c r="N1402" i="50"/>
  <c r="N1467" i="50"/>
  <c r="S1465" i="50"/>
  <c r="P1463" i="50"/>
  <c r="V1457" i="50"/>
  <c r="N1454" i="50"/>
  <c r="M1452" i="50"/>
  <c r="L1445" i="50"/>
  <c r="J1415" i="50"/>
  <c r="R1399" i="50"/>
  <c r="I1399" i="50" s="1"/>
  <c r="K1466" i="50"/>
  <c r="L1414" i="50" s="1"/>
  <c r="L1462" i="50"/>
  <c r="M1410" i="50" s="1"/>
  <c r="S1462" i="50"/>
  <c r="L1467" i="50"/>
  <c r="K1467" i="50"/>
  <c r="I1465" i="50"/>
  <c r="L1463" i="50"/>
  <c r="M1411" i="50" s="1"/>
  <c r="N1456" i="50"/>
  <c r="N1457" i="50" s="1"/>
  <c r="J1453" i="50"/>
  <c r="L1450" i="50"/>
  <c r="J1427" i="50"/>
  <c r="J1402" i="50"/>
  <c r="J1467" i="50"/>
  <c r="L1465" i="50"/>
  <c r="M1413" i="50" s="1"/>
  <c r="K1463" i="50"/>
  <c r="L1411" i="50" s="1"/>
  <c r="R1457" i="50"/>
  <c r="J1454" i="50"/>
  <c r="I1452" i="50"/>
  <c r="M1427" i="50"/>
  <c r="P1406" i="50"/>
  <c r="K1399" i="50"/>
  <c r="U1399" i="50" s="1"/>
  <c r="K1465" i="50"/>
  <c r="L1413" i="50" s="1"/>
  <c r="I1467" i="50"/>
  <c r="V1467" i="50" s="1"/>
  <c r="H1402" i="50"/>
  <c r="J1399" i="50"/>
  <c r="S1402" i="50" s="1"/>
  <c r="J1450" i="50"/>
  <c r="M1466" i="50"/>
  <c r="N1414" i="50" s="1"/>
  <c r="N1464" i="50"/>
  <c r="N1462" i="50"/>
  <c r="N1452" i="50"/>
  <c r="M1445" i="50"/>
  <c r="P1421" i="50"/>
  <c r="P1419" i="50" s="1"/>
  <c r="P1420" i="50" s="1"/>
  <c r="L1399" i="50"/>
  <c r="S1466" i="50"/>
  <c r="M1464" i="50"/>
  <c r="N1412" i="50" s="1"/>
  <c r="M1462" i="50"/>
  <c r="N1410" i="50" s="1"/>
  <c r="M1456" i="50"/>
  <c r="M1457" i="50" s="1"/>
  <c r="M1453" i="50"/>
  <c r="P1450" i="50"/>
  <c r="P1424" i="50"/>
  <c r="M1402" i="50"/>
  <c r="E1399" i="50"/>
  <c r="S1464" i="50"/>
  <c r="N1463" i="50"/>
  <c r="I1454" i="50"/>
  <c r="K1402" i="50"/>
  <c r="K1427" i="50"/>
  <c r="K1453" i="50"/>
  <c r="I1463" i="50"/>
  <c r="P1445" i="50"/>
  <c r="P1443" i="50" s="1"/>
  <c r="P1444" i="50" s="1"/>
  <c r="N1466" i="50"/>
  <c r="P1418" i="50"/>
  <c r="L1452" i="50"/>
  <c r="U1457" i="50"/>
  <c r="J1445" i="50"/>
  <c r="L1454" i="50"/>
  <c r="K1464" i="50"/>
  <c r="L1412" i="50" s="1"/>
  <c r="M1450" i="50"/>
  <c r="M1399" i="50"/>
  <c r="L1427" i="50"/>
  <c r="L1453" i="50"/>
  <c r="P1462" i="50"/>
  <c r="N1450" i="50"/>
  <c r="T1457" i="50"/>
  <c r="N1465" i="50"/>
  <c r="I1451" i="50"/>
  <c r="L1402" i="50"/>
  <c r="K1445" i="50"/>
  <c r="M1454" i="50"/>
  <c r="M1463" i="50"/>
  <c r="N1411" i="50" s="1"/>
  <c r="K1452" i="50"/>
  <c r="M1415" i="50"/>
  <c r="K1462" i="50"/>
  <c r="L1410" i="50" s="1"/>
  <c r="I1450" i="50"/>
  <c r="S1467" i="50"/>
  <c r="K1456" i="50"/>
  <c r="K1457" i="50" s="1"/>
  <c r="L1415" i="50"/>
  <c r="J1465" i="50"/>
  <c r="K1413" i="50" s="1"/>
  <c r="P1464" i="50"/>
  <c r="P1211" i="50"/>
  <c r="S1211" i="50"/>
  <c r="J1209" i="50"/>
  <c r="K1157" i="50" s="1"/>
  <c r="K1197" i="50"/>
  <c r="M1194" i="50"/>
  <c r="L1211" i="50"/>
  <c r="N1210" i="50"/>
  <c r="P1171" i="50"/>
  <c r="P1169" i="50" s="1"/>
  <c r="P1170" i="50" s="1"/>
  <c r="P1208" i="50"/>
  <c r="M1207" i="50"/>
  <c r="N1155" i="50" s="1"/>
  <c r="P1206" i="50"/>
  <c r="T1201" i="50"/>
  <c r="K1200" i="50"/>
  <c r="K1201" i="50" s="1"/>
  <c r="L1198" i="50"/>
  <c r="P1196" i="50"/>
  <c r="N1189" i="50"/>
  <c r="K1171" i="50"/>
  <c r="N1209" i="50"/>
  <c r="K1208" i="50"/>
  <c r="L1156" i="50" s="1"/>
  <c r="I1207" i="50"/>
  <c r="K1206" i="50"/>
  <c r="L1154" i="50" s="1"/>
  <c r="K1196" i="50"/>
  <c r="J1189" i="50"/>
  <c r="L1159" i="50"/>
  <c r="P1146" i="50"/>
  <c r="I1194" i="50"/>
  <c r="J1210" i="50"/>
  <c r="K1158" i="50" s="1"/>
  <c r="M1143" i="50"/>
  <c r="K1146" i="50"/>
  <c r="J1143" i="50"/>
  <c r="U1146" i="50" s="1"/>
  <c r="P1162" i="50"/>
  <c r="J1194" i="50"/>
  <c r="L1197" i="50"/>
  <c r="P1201" i="50"/>
  <c r="J1207" i="50"/>
  <c r="K1155" i="50" s="1"/>
  <c r="K1209" i="50"/>
  <c r="L1157" i="50" s="1"/>
  <c r="E1143" i="50"/>
  <c r="M1146" i="50"/>
  <c r="P1168" i="50"/>
  <c r="P1194" i="50"/>
  <c r="M1197" i="50"/>
  <c r="M1200" i="50"/>
  <c r="M1201" i="50" s="1"/>
  <c r="M1206" i="50"/>
  <c r="N1154" i="50" s="1"/>
  <c r="M1208" i="50"/>
  <c r="N1156" i="50" s="1"/>
  <c r="S1210" i="50"/>
  <c r="L1143" i="50"/>
  <c r="P1165" i="50"/>
  <c r="P1163" i="50" s="1"/>
  <c r="P1164" i="50" s="1"/>
  <c r="M1189" i="50"/>
  <c r="N1196" i="50"/>
  <c r="J1200" i="50"/>
  <c r="J1201" i="50" s="1"/>
  <c r="N1206" i="50"/>
  <c r="N1208" i="50"/>
  <c r="M1210" i="50"/>
  <c r="N1158" i="50" s="1"/>
  <c r="H1146" i="50"/>
  <c r="L1171" i="50"/>
  <c r="N1194" i="50"/>
  <c r="I1198" i="50"/>
  <c r="U1201" i="50"/>
  <c r="N1207" i="50"/>
  <c r="K1210" i="50"/>
  <c r="L1158" i="50" s="1"/>
  <c r="K1143" i="50"/>
  <c r="U1143" i="50" s="1"/>
  <c r="P1150" i="50"/>
  <c r="M1171" i="50"/>
  <c r="I1196" i="50"/>
  <c r="J1198" i="50"/>
  <c r="R1201" i="50"/>
  <c r="K1207" i="50"/>
  <c r="L1155" i="50" s="1"/>
  <c r="L1209" i="50"/>
  <c r="M1157" i="50" s="1"/>
  <c r="J1211" i="50"/>
  <c r="J1146" i="50"/>
  <c r="J1171" i="50"/>
  <c r="L1194" i="50"/>
  <c r="J1197" i="50"/>
  <c r="N1200" i="50"/>
  <c r="N1201" i="50" s="1"/>
  <c r="L1207" i="50"/>
  <c r="M1155" i="50" s="1"/>
  <c r="I1209" i="50"/>
  <c r="K1211" i="50"/>
  <c r="L1146" i="50"/>
  <c r="K1189" i="50"/>
  <c r="I1195" i="50"/>
  <c r="M1198" i="50"/>
  <c r="L1206" i="50"/>
  <c r="M1154" i="50" s="1"/>
  <c r="L1208" i="50"/>
  <c r="M1156" i="50" s="1"/>
  <c r="I1211" i="50"/>
  <c r="V1211" i="50" s="1"/>
  <c r="R1143" i="50"/>
  <c r="I1143" i="50" s="1"/>
  <c r="J1159" i="50"/>
  <c r="L1189" i="50"/>
  <c r="M1196" i="50"/>
  <c r="N1198" i="50"/>
  <c r="V1201" i="50"/>
  <c r="P1207" i="50"/>
  <c r="M1159" i="50"/>
  <c r="S1206" i="50"/>
  <c r="N1159" i="50"/>
  <c r="I1206" i="50"/>
  <c r="G1146" i="50" s="1"/>
  <c r="N1211" i="50"/>
  <c r="N1171" i="50"/>
  <c r="N1197" i="50"/>
  <c r="S1207" i="50"/>
  <c r="P1189" i="50"/>
  <c r="P1187" i="50" s="1"/>
  <c r="P1188" i="50" s="1"/>
  <c r="S1208" i="50"/>
  <c r="K1194" i="50"/>
  <c r="I1208" i="50"/>
  <c r="R1140" i="50"/>
  <c r="P1186" i="50"/>
  <c r="K1198" i="50"/>
  <c r="J1208" i="50"/>
  <c r="K1156" i="50" s="1"/>
  <c r="L1196" i="50"/>
  <c r="M1211" i="50"/>
  <c r="I1197" i="50"/>
  <c r="S1209" i="50"/>
  <c r="N1146" i="50"/>
  <c r="P1195" i="50"/>
  <c r="S1201" i="50"/>
  <c r="M1209" i="50"/>
  <c r="N1157" i="50" s="1"/>
  <c r="L1200" i="50"/>
  <c r="L1201" i="50" s="1"/>
  <c r="I1146" i="50"/>
  <c r="I1199" i="50"/>
  <c r="L1210" i="50"/>
  <c r="M1158" i="50" s="1"/>
  <c r="K1159" i="50"/>
  <c r="J1196" i="50"/>
  <c r="J1206" i="50"/>
  <c r="K1154" i="50" s="1"/>
  <c r="I1210" i="50"/>
  <c r="L1595" i="50"/>
  <c r="K1573" i="50"/>
  <c r="P1546" i="50"/>
  <c r="J1594" i="50"/>
  <c r="K1542" i="50" s="1"/>
  <c r="L1581" i="50"/>
  <c r="L1555" i="50"/>
  <c r="I1578" i="50"/>
  <c r="L1530" i="50"/>
  <c r="K1584" i="50"/>
  <c r="K1585" i="50" s="1"/>
  <c r="P1530" i="50"/>
  <c r="P1580" i="50"/>
  <c r="N1594" i="50"/>
  <c r="I1594" i="50"/>
  <c r="J1592" i="50"/>
  <c r="K1540" i="50" s="1"/>
  <c r="J1590" i="50"/>
  <c r="K1538" i="50" s="1"/>
  <c r="K1582" i="50"/>
  <c r="J1580" i="50"/>
  <c r="P1570" i="50"/>
  <c r="K1543" i="50"/>
  <c r="R1524" i="50"/>
  <c r="D2429" i="50" s="1"/>
  <c r="D2481" i="50" s="1"/>
  <c r="L1594" i="50"/>
  <c r="M1542" i="50" s="1"/>
  <c r="I1592" i="50"/>
  <c r="I1590" i="50"/>
  <c r="G1530" i="50" s="1"/>
  <c r="I1583" i="50"/>
  <c r="I1581" i="50"/>
  <c r="K1578" i="50"/>
  <c r="N1543" i="50"/>
  <c r="I1530" i="50"/>
  <c r="M1595" i="50"/>
  <c r="S1592" i="50"/>
  <c r="H1530" i="50"/>
  <c r="I1582" i="50"/>
  <c r="K1592" i="50"/>
  <c r="L1540" i="50" s="1"/>
  <c r="K1530" i="50"/>
  <c r="N1578" i="50"/>
  <c r="T1585" i="50"/>
  <c r="K1590" i="50"/>
  <c r="L1538" i="50" s="1"/>
  <c r="M1543" i="50"/>
  <c r="U1585" i="50"/>
  <c r="P1555" i="50"/>
  <c r="P1553" i="50" s="1"/>
  <c r="P1554" i="50" s="1"/>
  <c r="P1595" i="50"/>
  <c r="M1593" i="50"/>
  <c r="N1541" i="50" s="1"/>
  <c r="S1591" i="50"/>
  <c r="S1585" i="50"/>
  <c r="N1581" i="50"/>
  <c r="P1579" i="50"/>
  <c r="N1555" i="50"/>
  <c r="N1530" i="50"/>
  <c r="N1595" i="50"/>
  <c r="S1593" i="50"/>
  <c r="P1591" i="50"/>
  <c r="V1585" i="50"/>
  <c r="N1582" i="50"/>
  <c r="M1580" i="50"/>
  <c r="L1573" i="50"/>
  <c r="J1543" i="50"/>
  <c r="R1527" i="50"/>
  <c r="I1527" i="50" s="1"/>
  <c r="I1595" i="50"/>
  <c r="V1595" i="50" s="1"/>
  <c r="L1592" i="50"/>
  <c r="M1540" i="50" s="1"/>
  <c r="P1573" i="50"/>
  <c r="P1571" i="50" s="1"/>
  <c r="P1572" i="50" s="1"/>
  <c r="P1585" i="50"/>
  <c r="N1593" i="50"/>
  <c r="L1543" i="50"/>
  <c r="K1580" i="50"/>
  <c r="S1590" i="50"/>
  <c r="L1580" i="50"/>
  <c r="N1573" i="50"/>
  <c r="L1590" i="50"/>
  <c r="M1538" i="50" s="1"/>
  <c r="K1595" i="50"/>
  <c r="I1593" i="50"/>
  <c r="L1591" i="50"/>
  <c r="M1539" i="50" s="1"/>
  <c r="N1584" i="50"/>
  <c r="N1585" i="50" s="1"/>
  <c r="J1581" i="50"/>
  <c r="L1578" i="50"/>
  <c r="J1555" i="50"/>
  <c r="J1530" i="50"/>
  <c r="J1595" i="50"/>
  <c r="L1593" i="50"/>
  <c r="M1541" i="50" s="1"/>
  <c r="K1591" i="50"/>
  <c r="L1539" i="50" s="1"/>
  <c r="R1585" i="50"/>
  <c r="J1582" i="50"/>
  <c r="I1580" i="50"/>
  <c r="M1555" i="50"/>
  <c r="P1534" i="50"/>
  <c r="K1527" i="50"/>
  <c r="U1527" i="50" s="1"/>
  <c r="K1594" i="50"/>
  <c r="L1542" i="50" s="1"/>
  <c r="N1591" i="50"/>
  <c r="M1578" i="50"/>
  <c r="P1590" i="50"/>
  <c r="S1595" i="50"/>
  <c r="K1555" i="50"/>
  <c r="K1581" i="50"/>
  <c r="M1591" i="50"/>
  <c r="N1539" i="50" s="1"/>
  <c r="M1527" i="50"/>
  <c r="M1582" i="50"/>
  <c r="J1578" i="50"/>
  <c r="J1593" i="50"/>
  <c r="K1541" i="50" s="1"/>
  <c r="M1594" i="50"/>
  <c r="N1542" i="50" s="1"/>
  <c r="N1592" i="50"/>
  <c r="N1590" i="50"/>
  <c r="J1584" i="50"/>
  <c r="J1585" i="50" s="1"/>
  <c r="N1580" i="50"/>
  <c r="M1573" i="50"/>
  <c r="P1549" i="50"/>
  <c r="P1547" i="50" s="1"/>
  <c r="P1548" i="50" s="1"/>
  <c r="L1527" i="50"/>
  <c r="S1594" i="50"/>
  <c r="M1592" i="50"/>
  <c r="N1540" i="50" s="1"/>
  <c r="M1590" i="50"/>
  <c r="N1538" i="50" s="1"/>
  <c r="M1581" i="50"/>
  <c r="P1578" i="50"/>
  <c r="P1552" i="50"/>
  <c r="M1530" i="50"/>
  <c r="E1527" i="50"/>
  <c r="K1593" i="50"/>
  <c r="L1541" i="50" s="1"/>
  <c r="J1591" i="50"/>
  <c r="K1539" i="50" s="1"/>
  <c r="I1579" i="50"/>
  <c r="I1591" i="50"/>
  <c r="J1527" i="50"/>
  <c r="V1530" i="50" s="1"/>
  <c r="J1573" i="50"/>
  <c r="L1582" i="50"/>
  <c r="P1592" i="50"/>
  <c r="R1992" i="37"/>
  <c r="R2554" i="37"/>
  <c r="Q2821" i="37"/>
  <c r="R2273" i="37"/>
  <c r="X130" i="62"/>
  <c r="U134" i="62"/>
  <c r="V134" i="62" s="1"/>
  <c r="U128" i="62"/>
  <c r="V128" i="62" s="1"/>
  <c r="W128" i="62"/>
  <c r="U131" i="62"/>
  <c r="V131" i="62" s="1"/>
  <c r="X134" i="62"/>
  <c r="Y129" i="62"/>
  <c r="X131" i="62"/>
  <c r="Y128" i="62"/>
  <c r="Y130" i="62"/>
  <c r="U127" i="62"/>
  <c r="V127" i="62" s="1"/>
  <c r="W127" i="62"/>
  <c r="Y127" i="62"/>
  <c r="U129" i="62"/>
  <c r="V129" i="62" s="1"/>
  <c r="X132" i="62"/>
  <c r="X129" i="62"/>
  <c r="Y131" i="62"/>
  <c r="X133" i="62"/>
  <c r="U136" i="62"/>
  <c r="V136" i="62" s="1"/>
  <c r="X136" i="62"/>
  <c r="W136" i="62"/>
  <c r="Y133" i="62"/>
  <c r="U133" i="62"/>
  <c r="V133" i="62" s="1"/>
  <c r="W132" i="62"/>
  <c r="Y132" i="62"/>
  <c r="P104" i="50"/>
  <c r="E127" i="50"/>
  <c r="E248" i="50" s="1"/>
  <c r="S104" i="50"/>
  <c r="E126" i="50"/>
  <c r="E247" i="50" s="1"/>
  <c r="P103" i="50"/>
  <c r="S103" i="50"/>
  <c r="AL2542" i="37"/>
  <c r="M2551" i="37"/>
  <c r="H2552" i="37"/>
  <c r="H2551" i="37"/>
  <c r="AG2727" i="37"/>
  <c r="AD2729" i="37" s="1"/>
  <c r="AD2738" i="37" s="1"/>
  <c r="AD2747" i="37" s="1"/>
  <c r="AD2773" i="37" s="1"/>
  <c r="AD2782" i="37" s="1"/>
  <c r="AG2674" i="37"/>
  <c r="AD2676" i="37" s="1"/>
  <c r="AD2688" i="37" s="1"/>
  <c r="AG2806" i="37"/>
  <c r="M2552" i="37"/>
  <c r="K2767" i="37"/>
  <c r="K2769" i="37" s="1"/>
  <c r="Q2723" i="37"/>
  <c r="I2599" i="37"/>
  <c r="I2605" i="37" s="1"/>
  <c r="S2683" i="37"/>
  <c r="Q2745" i="37"/>
  <c r="Q2552" i="37"/>
  <c r="J2599" i="37"/>
  <c r="Q2590" i="37"/>
  <c r="N2770" i="37"/>
  <c r="Q2719" i="37"/>
  <c r="Q2705" i="37"/>
  <c r="J2573" i="37"/>
  <c r="J2583" i="37"/>
  <c r="Q2581" i="37"/>
  <c r="S2656" i="37"/>
  <c r="Q2770" i="37"/>
  <c r="Q2789" i="37"/>
  <c r="L2605" i="37"/>
  <c r="Q2744" i="37"/>
  <c r="Q2754" i="37"/>
  <c r="Z2564" i="37"/>
  <c r="X2564" i="37"/>
  <c r="Q2656" i="37"/>
  <c r="Q2809" i="37"/>
  <c r="L2767" i="37"/>
  <c r="L2769" i="37" s="1"/>
  <c r="S2723" i="37"/>
  <c r="K2602" i="37"/>
  <c r="K2604" i="37" s="1"/>
  <c r="Q2602" i="37"/>
  <c r="M2605" i="37"/>
  <c r="M2570" i="37"/>
  <c r="M2572" i="37" s="1"/>
  <c r="J2552" i="37"/>
  <c r="K2551" i="37"/>
  <c r="N2552" i="37"/>
  <c r="Q2780" i="37"/>
  <c r="M2764" i="37"/>
  <c r="E2656" i="37"/>
  <c r="X2542" i="37"/>
  <c r="N2602" i="37"/>
  <c r="N2604" i="37" s="1"/>
  <c r="J2570" i="37"/>
  <c r="J2572" i="37" s="1"/>
  <c r="Q2761" i="37"/>
  <c r="Q2722" i="37"/>
  <c r="S2722" i="37"/>
  <c r="J2605" i="37"/>
  <c r="Q2564" i="37"/>
  <c r="N2605" i="37"/>
  <c r="J2767" i="37"/>
  <c r="J2769" i="37" s="1"/>
  <c r="S2780" i="37"/>
  <c r="N2573" i="37"/>
  <c r="Q2570" i="37"/>
  <c r="T2578" i="37"/>
  <c r="Q2788" i="37"/>
  <c r="N2764" i="37"/>
  <c r="Q2664" i="37"/>
  <c r="E2550" i="37"/>
  <c r="Q2596" i="37"/>
  <c r="K2552" i="37"/>
  <c r="I2551" i="37"/>
  <c r="S2795" i="37"/>
  <c r="Q2714" i="37"/>
  <c r="J2764" i="37"/>
  <c r="J2602" i="37"/>
  <c r="J2604" i="37" s="1"/>
  <c r="N2570" i="37"/>
  <c r="N2572" i="37" s="1"/>
  <c r="Q2665" i="37"/>
  <c r="Q2764" i="37"/>
  <c r="Q2762" i="37" s="1"/>
  <c r="L2602" i="37"/>
  <c r="L2604" i="37" s="1"/>
  <c r="K2605" i="37"/>
  <c r="K2570" i="37"/>
  <c r="K2572" i="37" s="1"/>
  <c r="Q2755" i="37"/>
  <c r="Q2814" i="37"/>
  <c r="Q2810" i="37"/>
  <c r="S2714" i="37"/>
  <c r="J2567" i="37"/>
  <c r="Q2736" i="37"/>
  <c r="Q2795" i="37"/>
  <c r="Q2767" i="37"/>
  <c r="S2715" i="37"/>
  <c r="L2770" i="37"/>
  <c r="Q2757" i="37"/>
  <c r="L2573" i="37"/>
  <c r="H2554" i="37"/>
  <c r="J2551" i="37"/>
  <c r="Q2695" i="37"/>
  <c r="Q2572" i="37"/>
  <c r="Q2801" i="37"/>
  <c r="S2779" i="37"/>
  <c r="V2564" i="37"/>
  <c r="L2764" i="37"/>
  <c r="Q2605" i="37"/>
  <c r="K2599" i="37"/>
  <c r="J2770" i="37"/>
  <c r="Q2718" i="37"/>
  <c r="Q2551" i="37"/>
  <c r="L2551" i="37"/>
  <c r="Q2715" i="37"/>
  <c r="I2567" i="37"/>
  <c r="I2573" i="37" s="1"/>
  <c r="K2770" i="37"/>
  <c r="Q2779" i="37"/>
  <c r="S2695" i="37"/>
  <c r="S2789" i="37"/>
  <c r="I2636" i="37"/>
  <c r="K2567" i="37"/>
  <c r="K2764" i="37"/>
  <c r="L2570" i="37"/>
  <c r="L2572" i="37" s="1"/>
  <c r="M2602" i="37"/>
  <c r="M2604" i="37" s="1"/>
  <c r="I2552" i="37"/>
  <c r="N2767" i="37"/>
  <c r="N2769" i="37" s="1"/>
  <c r="N2599" i="37"/>
  <c r="Q2573" i="37"/>
  <c r="M2767" i="37"/>
  <c r="M2769" i="37" s="1"/>
  <c r="W2564" i="37"/>
  <c r="K2573" i="37"/>
  <c r="Q2735" i="37"/>
  <c r="Q2683" i="37"/>
  <c r="Q2567" i="37"/>
  <c r="Q2565" i="37" s="1"/>
  <c r="S2705" i="37"/>
  <c r="M2573" i="37"/>
  <c r="Q2599" i="37"/>
  <c r="Q2597" i="37" s="1"/>
  <c r="N2551" i="37"/>
  <c r="N2567" i="37"/>
  <c r="Y2564" i="37"/>
  <c r="M2599" i="37"/>
  <c r="I2764" i="37"/>
  <c r="I2770" i="37" s="1"/>
  <c r="L2567" i="37"/>
  <c r="T2542" i="37"/>
  <c r="E2801" i="37"/>
  <c r="M2567" i="37"/>
  <c r="Q2813" i="37"/>
  <c r="M2770" i="37"/>
  <c r="L2599" i="37"/>
  <c r="L2552" i="37"/>
  <c r="AC2581" i="37"/>
  <c r="AD2581" i="37"/>
  <c r="AE2581" i="37"/>
  <c r="AG2581" i="37"/>
  <c r="AH2581" i="37"/>
  <c r="AF2581" i="37"/>
  <c r="AI2581" i="37"/>
  <c r="T178" i="41"/>
  <c r="E296" i="41"/>
  <c r="E311" i="50"/>
  <c r="E125" i="50"/>
  <c r="E246" i="50" s="1"/>
  <c r="S102" i="50"/>
  <c r="P102" i="50"/>
  <c r="H2011" i="37"/>
  <c r="H2005" i="37"/>
  <c r="T175" i="41"/>
  <c r="E293" i="41"/>
  <c r="E308" i="50"/>
  <c r="AG1963" i="37"/>
  <c r="AL1699" i="37"/>
  <c r="K1921" i="37"/>
  <c r="S1880" i="37"/>
  <c r="Q1821" i="37"/>
  <c r="K1759" i="37"/>
  <c r="K1761" i="37" s="1"/>
  <c r="Q1756" i="37"/>
  <c r="Q1754" i="37" s="1"/>
  <c r="M1759" i="37"/>
  <c r="M1761" i="37" s="1"/>
  <c r="AG1831" i="37"/>
  <c r="AD1833" i="37" s="1"/>
  <c r="AD1845" i="37" s="1"/>
  <c r="Q1966" i="37"/>
  <c r="I1921" i="37"/>
  <c r="I1927" i="37" s="1"/>
  <c r="Q1872" i="37"/>
  <c r="K1724" i="37"/>
  <c r="Q1936" i="37"/>
  <c r="T1735" i="37"/>
  <c r="Q1945" i="37"/>
  <c r="M1927" i="37"/>
  <c r="M1921" i="37"/>
  <c r="S1840" i="37"/>
  <c r="M1727" i="37"/>
  <c r="M1729" i="37" s="1"/>
  <c r="J1724" i="37"/>
  <c r="H1708" i="37"/>
  <c r="H1709" i="37"/>
  <c r="AG1884" i="37"/>
  <c r="AD1886" i="37" s="1"/>
  <c r="AD1895" i="37" s="1"/>
  <c r="AD1904" i="37" s="1"/>
  <c r="AD1930" i="37" s="1"/>
  <c r="AD1939" i="37" s="1"/>
  <c r="Q1971" i="37"/>
  <c r="Q1967" i="37"/>
  <c r="Q1852" i="37"/>
  <c r="E1707" i="37"/>
  <c r="N1727" i="37"/>
  <c r="N1729" i="37" s="1"/>
  <c r="J1924" i="37"/>
  <c r="J1926" i="37" s="1"/>
  <c r="K1927" i="37"/>
  <c r="Q1840" i="37"/>
  <c r="N1759" i="37"/>
  <c r="N1761" i="37" s="1"/>
  <c r="J1756" i="37"/>
  <c r="T1699" i="37"/>
  <c r="S1952" i="37"/>
  <c r="J1921" i="37"/>
  <c r="S1872" i="37"/>
  <c r="S1852" i="37"/>
  <c r="X1721" i="37"/>
  <c r="X1699" i="37"/>
  <c r="I1724" i="37"/>
  <c r="I1730" i="37" s="1"/>
  <c r="I1756" i="37"/>
  <c r="I1762" i="37" s="1"/>
  <c r="Q1738" i="37"/>
  <c r="Q1937" i="37"/>
  <c r="Q1724" i="37"/>
  <c r="Q1722" i="37" s="1"/>
  <c r="N1927" i="37"/>
  <c r="S1879" i="37"/>
  <c r="Q1921" i="37"/>
  <c r="Q1919" i="37" s="1"/>
  <c r="M1762" i="37"/>
  <c r="L1708" i="37"/>
  <c r="J1708" i="37"/>
  <c r="M1708" i="37"/>
  <c r="J1927" i="37"/>
  <c r="Q1876" i="37"/>
  <c r="Q1730" i="37"/>
  <c r="M1730" i="37"/>
  <c r="J1727" i="37"/>
  <c r="J1729" i="37" s="1"/>
  <c r="E1958" i="37"/>
  <c r="Q1871" i="37"/>
  <c r="K1762" i="37"/>
  <c r="N1730" i="37"/>
  <c r="Q1727" i="37"/>
  <c r="L1759" i="37"/>
  <c r="L1761" i="37" s="1"/>
  <c r="N1924" i="37"/>
  <c r="N1926" i="37" s="1"/>
  <c r="Q1914" i="37"/>
  <c r="Q1918" i="37"/>
  <c r="Q1762" i="37"/>
  <c r="J1762" i="37"/>
  <c r="Q1893" i="37"/>
  <c r="Q1709" i="37"/>
  <c r="Q1952" i="37"/>
  <c r="J1730" i="37"/>
  <c r="M1924" i="37"/>
  <c r="M1926" i="37" s="1"/>
  <c r="W1721" i="37"/>
  <c r="L1927" i="37"/>
  <c r="E1813" i="37"/>
  <c r="Q1862" i="37"/>
  <c r="Q1747" i="37"/>
  <c r="K1708" i="37"/>
  <c r="I1709" i="37"/>
  <c r="M1709" i="37"/>
  <c r="Q1946" i="37"/>
  <c r="N1762" i="37"/>
  <c r="Q1708" i="37"/>
  <c r="Q1911" i="37"/>
  <c r="L1921" i="37"/>
  <c r="L1724" i="37"/>
  <c r="Q1879" i="37"/>
  <c r="L1756" i="37"/>
  <c r="N1756" i="37"/>
  <c r="Q1924" i="37"/>
  <c r="Q1892" i="37"/>
  <c r="Q1927" i="37"/>
  <c r="Q1759" i="37"/>
  <c r="L1709" i="37"/>
  <c r="N1921" i="37"/>
  <c r="L1727" i="37"/>
  <c r="L1729" i="37" s="1"/>
  <c r="S1946" i="37"/>
  <c r="Q1880" i="37"/>
  <c r="I1793" i="37"/>
  <c r="Q1958" i="37"/>
  <c r="L1924" i="37"/>
  <c r="L1926" i="37" s="1"/>
  <c r="K1730" i="37"/>
  <c r="Q1729" i="37"/>
  <c r="Q1875" i="37"/>
  <c r="Q1822" i="37"/>
  <c r="Q1813" i="37"/>
  <c r="J1759" i="37"/>
  <c r="J1761" i="37" s="1"/>
  <c r="K1709" i="37"/>
  <c r="K1924" i="37"/>
  <c r="K1926" i="37" s="1"/>
  <c r="M1724" i="37"/>
  <c r="S1937" i="37"/>
  <c r="Q1753" i="37"/>
  <c r="Z1721" i="37"/>
  <c r="Q1970" i="37"/>
  <c r="Q1901" i="37"/>
  <c r="K1756" i="37"/>
  <c r="Q1721" i="37"/>
  <c r="J1740" i="37"/>
  <c r="K1727" i="37"/>
  <c r="K1729" i="37" s="1"/>
  <c r="V1721" i="37"/>
  <c r="Q1902" i="37"/>
  <c r="I1708" i="37"/>
  <c r="S1862" i="37"/>
  <c r="N1724" i="37"/>
  <c r="Y1721" i="37"/>
  <c r="N1709" i="37"/>
  <c r="S1813" i="37"/>
  <c r="L1762" i="37"/>
  <c r="H1711" i="37"/>
  <c r="J1709" i="37"/>
  <c r="S1936" i="37"/>
  <c r="L1730" i="37"/>
  <c r="M1756" i="37"/>
  <c r="N1708" i="37"/>
  <c r="S1871" i="37"/>
  <c r="Q1912" i="37"/>
  <c r="AI1738" i="37"/>
  <c r="AC1738" i="37"/>
  <c r="AD1738" i="37"/>
  <c r="AH1738" i="37"/>
  <c r="AG1738" i="37"/>
  <c r="AE1738" i="37"/>
  <c r="AF1738" i="37"/>
  <c r="E310" i="50"/>
  <c r="E295" i="41"/>
  <c r="T177" i="41"/>
  <c r="N1635" i="50"/>
  <c r="M1602" i="50"/>
  <c r="N1628" i="50"/>
  <c r="N1620" i="50"/>
  <c r="N1608" i="50"/>
  <c r="M1637" i="50"/>
  <c r="I1626" i="50"/>
  <c r="I1617" i="50"/>
  <c r="I1606" i="50"/>
  <c r="I1634" i="50"/>
  <c r="J1623" i="50"/>
  <c r="J1613" i="50"/>
  <c r="J1602" i="50"/>
  <c r="I1621" i="50"/>
  <c r="M1610" i="50"/>
  <c r="M1619" i="50"/>
  <c r="N1637" i="50"/>
  <c r="J1626" i="50"/>
  <c r="J1617" i="50"/>
  <c r="J1606" i="50"/>
  <c r="M1625" i="50"/>
  <c r="L1634" i="50"/>
  <c r="E1635" i="50"/>
  <c r="L1630" i="50"/>
  <c r="L1621" i="50"/>
  <c r="L1610" i="50"/>
  <c r="P1638" i="50"/>
  <c r="K1627" i="50"/>
  <c r="P1626" i="50"/>
  <c r="L1638" i="50"/>
  <c r="H1627" i="50"/>
  <c r="H1619" i="50"/>
  <c r="H1607" i="50"/>
  <c r="H1635" i="50"/>
  <c r="M1624" i="50"/>
  <c r="M1614" i="50"/>
  <c r="M1603" i="50"/>
  <c r="N1630" i="50"/>
  <c r="N1621" i="50"/>
  <c r="N1610" i="50"/>
  <c r="K1621" i="50"/>
  <c r="E1638" i="50"/>
  <c r="H1617" i="50"/>
  <c r="I1613" i="50"/>
  <c r="P1630" i="50"/>
  <c r="P1607" i="50"/>
  <c r="L1624" i="50"/>
  <c r="L1603" i="50"/>
  <c r="I1627" i="50"/>
  <c r="K1619" i="50"/>
  <c r="K1635" i="50"/>
  <c r="H1614" i="50"/>
  <c r="I1602" i="50"/>
  <c r="K1628" i="50"/>
  <c r="P1616" i="50"/>
  <c r="J1638" i="50"/>
  <c r="L1617" i="50"/>
  <c r="K1624" i="50"/>
  <c r="M1616" i="50"/>
  <c r="H1638" i="50"/>
  <c r="N1626" i="50"/>
  <c r="N1617" i="50"/>
  <c r="N1606" i="50"/>
  <c r="N1634" i="50"/>
  <c r="I1624" i="50"/>
  <c r="I1614" i="50"/>
  <c r="I1603" i="50"/>
  <c r="J1630" i="50"/>
  <c r="J1621" i="50"/>
  <c r="J1610" i="50"/>
  <c r="I1605" i="50"/>
  <c r="I1625" i="50"/>
  <c r="P1637" i="50"/>
  <c r="P1608" i="50"/>
  <c r="I1635" i="50"/>
  <c r="J1624" i="50"/>
  <c r="J1614" i="50"/>
  <c r="J1603" i="50"/>
  <c r="M1605" i="50"/>
  <c r="M1613" i="50"/>
  <c r="P1641" i="50"/>
  <c r="L1627" i="50"/>
  <c r="L1619" i="50"/>
  <c r="L1607" i="50"/>
  <c r="L1635" i="50"/>
  <c r="P1603" i="50"/>
  <c r="P1606" i="50"/>
  <c r="E1637" i="50"/>
  <c r="H1625" i="50"/>
  <c r="H1616" i="50"/>
  <c r="H1605" i="50"/>
  <c r="M1631" i="50"/>
  <c r="M1622" i="50"/>
  <c r="M1611" i="50"/>
  <c r="N1627" i="50"/>
  <c r="N1619" i="50"/>
  <c r="N1607" i="50"/>
  <c r="K1616" i="50"/>
  <c r="H1631" i="50"/>
  <c r="H1611" i="50"/>
  <c r="K1620" i="50"/>
  <c r="P1623" i="50"/>
  <c r="P1602" i="50"/>
  <c r="L1620" i="50"/>
  <c r="I1607" i="50"/>
  <c r="J1635" i="50"/>
  <c r="K1613" i="50"/>
  <c r="H1628" i="50"/>
  <c r="H1608" i="50"/>
  <c r="K1608" i="50"/>
  <c r="K1637" i="50"/>
  <c r="P1610" i="50"/>
  <c r="L1631" i="50"/>
  <c r="L1611" i="50"/>
  <c r="K1603" i="50"/>
  <c r="K1631" i="50"/>
  <c r="P1622" i="50"/>
  <c r="N1624" i="50"/>
  <c r="N1603" i="50"/>
  <c r="I1622" i="50"/>
  <c r="N1638" i="50"/>
  <c r="J1619" i="50"/>
  <c r="I1610" i="50"/>
  <c r="P1617" i="50"/>
  <c r="J1631" i="50"/>
  <c r="J1611" i="50"/>
  <c r="P1631" i="50"/>
  <c r="J1637" i="50"/>
  <c r="L1616" i="50"/>
  <c r="E1634" i="50"/>
  <c r="M1627" i="50"/>
  <c r="H1623" i="50"/>
  <c r="H1602" i="50"/>
  <c r="M1620" i="50"/>
  <c r="L1637" i="50"/>
  <c r="N1616" i="50"/>
  <c r="K1610" i="50"/>
  <c r="H1606" i="50"/>
  <c r="P1619" i="50"/>
  <c r="L1614" i="50"/>
  <c r="P1627" i="50"/>
  <c r="H1624" i="50"/>
  <c r="K1617" i="50"/>
  <c r="P1605" i="50"/>
  <c r="L1606" i="50"/>
  <c r="M1638" i="50"/>
  <c r="M1623" i="50"/>
  <c r="N1622" i="50"/>
  <c r="I1620" i="50"/>
  <c r="H1637" i="50"/>
  <c r="J1616" i="50"/>
  <c r="I1616" i="50"/>
  <c r="J1628" i="50"/>
  <c r="J1608" i="50"/>
  <c r="P1611" i="50"/>
  <c r="P1634" i="50"/>
  <c r="L1613" i="50"/>
  <c r="K1630" i="50"/>
  <c r="M1607" i="50"/>
  <c r="H1621" i="50"/>
  <c r="K1638" i="50"/>
  <c r="M1617" i="50"/>
  <c r="M1634" i="50"/>
  <c r="N1613" i="50"/>
  <c r="K1605" i="50"/>
  <c r="K1606" i="50"/>
  <c r="P1613" i="50"/>
  <c r="L1608" i="50"/>
  <c r="K1623" i="50"/>
  <c r="H1620" i="50"/>
  <c r="I1623" i="50"/>
  <c r="N1602" i="50"/>
  <c r="P1624" i="50"/>
  <c r="M1635" i="50"/>
  <c r="N1614" i="50"/>
  <c r="I1631" i="50"/>
  <c r="I1611" i="50"/>
  <c r="J1627" i="50"/>
  <c r="J1607" i="50"/>
  <c r="I1630" i="50"/>
  <c r="P1614" i="50"/>
  <c r="J1622" i="50"/>
  <c r="I1637" i="50"/>
  <c r="P1628" i="50"/>
  <c r="L1625" i="50"/>
  <c r="L1605" i="50"/>
  <c r="I1638" i="50"/>
  <c r="K1634" i="50"/>
  <c r="H1613" i="50"/>
  <c r="M1628" i="50"/>
  <c r="M1608" i="50"/>
  <c r="N1625" i="50"/>
  <c r="N1605" i="50"/>
  <c r="H1626" i="50"/>
  <c r="K1626" i="50"/>
  <c r="P1635" i="50"/>
  <c r="K1614" i="50"/>
  <c r="K1607" i="50"/>
  <c r="H1603" i="50"/>
  <c r="P1625" i="50"/>
  <c r="L1626" i="50"/>
  <c r="K1611" i="50"/>
  <c r="I1628" i="50"/>
  <c r="M1630" i="50"/>
  <c r="H1630" i="50"/>
  <c r="N1623" i="50"/>
  <c r="L1628" i="50"/>
  <c r="P1621" i="50"/>
  <c r="N1611" i="50"/>
  <c r="M1621" i="50"/>
  <c r="H1634" i="50"/>
  <c r="P1620" i="50"/>
  <c r="I1608" i="50"/>
  <c r="L1623" i="50"/>
  <c r="H1610" i="50"/>
  <c r="K1625" i="50"/>
  <c r="K1622" i="50"/>
  <c r="L1622" i="50"/>
  <c r="J1605" i="50"/>
  <c r="M1606" i="50"/>
  <c r="N1631" i="50"/>
  <c r="J1625" i="50"/>
  <c r="J1620" i="50"/>
  <c r="L1602" i="50"/>
  <c r="M1626" i="50"/>
  <c r="H1622" i="50"/>
  <c r="K1602" i="50"/>
  <c r="I1619" i="50"/>
  <c r="J1634" i="50"/>
  <c r="N1765" i="50"/>
  <c r="J1754" i="50"/>
  <c r="J1745" i="50"/>
  <c r="J1734" i="50"/>
  <c r="P1758" i="50"/>
  <c r="P1749" i="50"/>
  <c r="P1738" i="50"/>
  <c r="P1748" i="50"/>
  <c r="H1765" i="50"/>
  <c r="L1745" i="50"/>
  <c r="K1763" i="50"/>
  <c r="K1742" i="50"/>
  <c r="J1763" i="50"/>
  <c r="H1745" i="50"/>
  <c r="P1762" i="50"/>
  <c r="L1751" i="50"/>
  <c r="L1741" i="50"/>
  <c r="L1730" i="50"/>
  <c r="K1758" i="50"/>
  <c r="K1749" i="50"/>
  <c r="K1738" i="50"/>
  <c r="I1762" i="50"/>
  <c r="J1741" i="50"/>
  <c r="I1758" i="50"/>
  <c r="I1738" i="50"/>
  <c r="N1755" i="50"/>
  <c r="N1735" i="50"/>
  <c r="H1759" i="50"/>
  <c r="E1765" i="50"/>
  <c r="H1753" i="50"/>
  <c r="H1744" i="50"/>
  <c r="H1733" i="50"/>
  <c r="M1759" i="50"/>
  <c r="M1750" i="50"/>
  <c r="M1739" i="50"/>
  <c r="P1750" i="50"/>
  <c r="M1766" i="50"/>
  <c r="L1748" i="50"/>
  <c r="J1766" i="50"/>
  <c r="K1745" i="50"/>
  <c r="H1756" i="50"/>
  <c r="H1754" i="50"/>
  <c r="M1763" i="50"/>
  <c r="N1752" i="50"/>
  <c r="N1742" i="50"/>
  <c r="N1731" i="50"/>
  <c r="I1759" i="50"/>
  <c r="I1750" i="50"/>
  <c r="I1739" i="50"/>
  <c r="K1765" i="50"/>
  <c r="J1744" i="50"/>
  <c r="H1762" i="50"/>
  <c r="I1741" i="50"/>
  <c r="P1765" i="50"/>
  <c r="N1744" i="50"/>
  <c r="H1731" i="50"/>
  <c r="M1747" i="50"/>
  <c r="I1763" i="50"/>
  <c r="J1752" i="50"/>
  <c r="J1742" i="50"/>
  <c r="J1731" i="50"/>
  <c r="P1755" i="50"/>
  <c r="P1747" i="50"/>
  <c r="P1735" i="50"/>
  <c r="P1763" i="50"/>
  <c r="P1742" i="50"/>
  <c r="L1759" i="50"/>
  <c r="L1739" i="50"/>
  <c r="K1756" i="50"/>
  <c r="K1736" i="50"/>
  <c r="M1744" i="50"/>
  <c r="M1735" i="50"/>
  <c r="L1758" i="50"/>
  <c r="L1749" i="50"/>
  <c r="L1738" i="50"/>
  <c r="P1766" i="50"/>
  <c r="K1755" i="50"/>
  <c r="K1747" i="50"/>
  <c r="K1735" i="50"/>
  <c r="J1755" i="50"/>
  <c r="J1735" i="50"/>
  <c r="I1753" i="50"/>
  <c r="I1733" i="50"/>
  <c r="N1751" i="50"/>
  <c r="N1730" i="50"/>
  <c r="M1758" i="50"/>
  <c r="H1739" i="50"/>
  <c r="K1762" i="50"/>
  <c r="H1751" i="50"/>
  <c r="H1741" i="50"/>
  <c r="H1730" i="50"/>
  <c r="M1756" i="50"/>
  <c r="M1748" i="50"/>
  <c r="M1736" i="50"/>
  <c r="N1766" i="50"/>
  <c r="P1745" i="50"/>
  <c r="E1763" i="50"/>
  <c r="L1742" i="50"/>
  <c r="K1759" i="50"/>
  <c r="K1739" i="50"/>
  <c r="H1736" i="50"/>
  <c r="H1734" i="50"/>
  <c r="N1759" i="50"/>
  <c r="N1750" i="50"/>
  <c r="N1739" i="50"/>
  <c r="I1756" i="50"/>
  <c r="I1748" i="50"/>
  <c r="I1736" i="50"/>
  <c r="J1758" i="50"/>
  <c r="J1738" i="50"/>
  <c r="I1755" i="50"/>
  <c r="I1735" i="50"/>
  <c r="N1758" i="50"/>
  <c r="N1738" i="50"/>
  <c r="M1749" i="50"/>
  <c r="J1759" i="50"/>
  <c r="J1739" i="50"/>
  <c r="P1753" i="50"/>
  <c r="P1733" i="50"/>
  <c r="P1736" i="50"/>
  <c r="L1734" i="50"/>
  <c r="K1731" i="50"/>
  <c r="P1769" i="50"/>
  <c r="L1747" i="50"/>
  <c r="L1763" i="50"/>
  <c r="K1744" i="50"/>
  <c r="J1751" i="50"/>
  <c r="I1749" i="50"/>
  <c r="N1747" i="50"/>
  <c r="M1738" i="50"/>
  <c r="H1758" i="50"/>
  <c r="H1738" i="50"/>
  <c r="M1754" i="50"/>
  <c r="M1734" i="50"/>
  <c r="P1739" i="50"/>
  <c r="L1736" i="50"/>
  <c r="K1734" i="50"/>
  <c r="M1751" i="50"/>
  <c r="N1748" i="50"/>
  <c r="M1765" i="50"/>
  <c r="I1745" i="50"/>
  <c r="J1753" i="50"/>
  <c r="I1751" i="50"/>
  <c r="N1753" i="50"/>
  <c r="M1755" i="50"/>
  <c r="J1756" i="50"/>
  <c r="J1736" i="50"/>
  <c r="P1751" i="50"/>
  <c r="P1730" i="50"/>
  <c r="P1731" i="50"/>
  <c r="H1748" i="50"/>
  <c r="J1765" i="50"/>
  <c r="L1744" i="50"/>
  <c r="E1762" i="50"/>
  <c r="K1741" i="50"/>
  <c r="J1747" i="50"/>
  <c r="I1744" i="50"/>
  <c r="N1741" i="50"/>
  <c r="M1730" i="50"/>
  <c r="H1755" i="50"/>
  <c r="H1735" i="50"/>
  <c r="M1752" i="50"/>
  <c r="M1731" i="50"/>
  <c r="P1734" i="50"/>
  <c r="L1731" i="50"/>
  <c r="H1766" i="50"/>
  <c r="N1745" i="50"/>
  <c r="N1762" i="50"/>
  <c r="I1742" i="50"/>
  <c r="J1749" i="50"/>
  <c r="I1747" i="50"/>
  <c r="N1749" i="50"/>
  <c r="H1750" i="50"/>
  <c r="J1750" i="50"/>
  <c r="I1765" i="50"/>
  <c r="P1744" i="50"/>
  <c r="P1756" i="50"/>
  <c r="L1754" i="50"/>
  <c r="K1752" i="50"/>
  <c r="M1741" i="50"/>
  <c r="L1755" i="50"/>
  <c r="L1735" i="50"/>
  <c r="K1753" i="50"/>
  <c r="K1733" i="50"/>
  <c r="J1730" i="50"/>
  <c r="I1766" i="50"/>
  <c r="L1762" i="50"/>
  <c r="H1749" i="50"/>
  <c r="K1766" i="50"/>
  <c r="M1745" i="50"/>
  <c r="P1759" i="50"/>
  <c r="L1756" i="50"/>
  <c r="K1754" i="50"/>
  <c r="M1753" i="50"/>
  <c r="N1756" i="50"/>
  <c r="N1736" i="50"/>
  <c r="I1754" i="50"/>
  <c r="I1734" i="50"/>
  <c r="J1733" i="50"/>
  <c r="I1730" i="50"/>
  <c r="N1733" i="50"/>
  <c r="J1748" i="50"/>
  <c r="L1750" i="50"/>
  <c r="L1733" i="50"/>
  <c r="M1762" i="50"/>
  <c r="H1763" i="50"/>
  <c r="K1750" i="50"/>
  <c r="I1752" i="50"/>
  <c r="H1752" i="50"/>
  <c r="N1763" i="50"/>
  <c r="H1747" i="50"/>
  <c r="N1734" i="50"/>
  <c r="J1762" i="50"/>
  <c r="K1748" i="50"/>
  <c r="K1751" i="50"/>
  <c r="H1742" i="50"/>
  <c r="M1742" i="50"/>
  <c r="M1733" i="50"/>
  <c r="I1731" i="50"/>
  <c r="L1753" i="50"/>
  <c r="L1752" i="50"/>
  <c r="P1741" i="50"/>
  <c r="L1765" i="50"/>
  <c r="K1730" i="50"/>
  <c r="L1766" i="50"/>
  <c r="P1754" i="50"/>
  <c r="N1754" i="50"/>
  <c r="E1766" i="50"/>
  <c r="P1752" i="50"/>
  <c r="H2573" i="37"/>
  <c r="H2567" i="37"/>
  <c r="T176" i="41"/>
  <c r="E294" i="41"/>
  <c r="E309" i="50"/>
  <c r="H1449" i="37"/>
  <c r="H1443" i="37"/>
  <c r="H1724" i="37"/>
  <c r="H1730" i="37"/>
  <c r="E1381" i="50"/>
  <c r="H1369" i="50"/>
  <c r="H1360" i="50"/>
  <c r="H1349" i="50"/>
  <c r="M1375" i="50"/>
  <c r="M1366" i="50"/>
  <c r="M1355" i="50"/>
  <c r="N1371" i="50"/>
  <c r="N1363" i="50"/>
  <c r="N1351" i="50"/>
  <c r="K1375" i="50"/>
  <c r="K1355" i="50"/>
  <c r="M1371" i="50"/>
  <c r="M1379" i="50"/>
  <c r="N1368" i="50"/>
  <c r="N1358" i="50"/>
  <c r="N1347" i="50"/>
  <c r="I1375" i="50"/>
  <c r="I1366" i="50"/>
  <c r="I1355" i="50"/>
  <c r="N1382" i="50"/>
  <c r="J1371" i="50"/>
  <c r="J1363" i="50"/>
  <c r="J1351" i="50"/>
  <c r="I1379" i="50"/>
  <c r="J1368" i="50"/>
  <c r="J1358" i="50"/>
  <c r="J1347" i="50"/>
  <c r="P1371" i="50"/>
  <c r="P1363" i="50"/>
  <c r="P1351" i="50"/>
  <c r="L1374" i="50"/>
  <c r="L1365" i="50"/>
  <c r="L1354" i="50"/>
  <c r="P1382" i="50"/>
  <c r="K1371" i="50"/>
  <c r="K1363" i="50"/>
  <c r="K1351" i="50"/>
  <c r="K1379" i="50"/>
  <c r="H1368" i="50"/>
  <c r="H1358" i="50"/>
  <c r="H1347" i="50"/>
  <c r="J1382" i="50"/>
  <c r="I1351" i="50"/>
  <c r="M1351" i="50"/>
  <c r="P1379" i="50"/>
  <c r="K1381" i="50"/>
  <c r="I1349" i="50"/>
  <c r="P1366" i="50"/>
  <c r="M1349" i="50"/>
  <c r="I1354" i="50"/>
  <c r="P1381" i="50"/>
  <c r="P1364" i="50"/>
  <c r="L1372" i="50"/>
  <c r="I1374" i="50"/>
  <c r="L1352" i="50"/>
  <c r="K1378" i="50"/>
  <c r="H1367" i="50"/>
  <c r="H1357" i="50"/>
  <c r="H1346" i="50"/>
  <c r="M1372" i="50"/>
  <c r="M1364" i="50"/>
  <c r="M1352" i="50"/>
  <c r="L1381" i="50"/>
  <c r="N1369" i="50"/>
  <c r="N1360" i="50"/>
  <c r="N1349" i="50"/>
  <c r="K1370" i="50"/>
  <c r="K1350" i="50"/>
  <c r="M1357" i="50"/>
  <c r="N1375" i="50"/>
  <c r="N1366" i="50"/>
  <c r="N1355" i="50"/>
  <c r="I1372" i="50"/>
  <c r="I1364" i="50"/>
  <c r="I1352" i="50"/>
  <c r="H1381" i="50"/>
  <c r="J1369" i="50"/>
  <c r="J1360" i="50"/>
  <c r="J1349" i="50"/>
  <c r="J1375" i="50"/>
  <c r="J1366" i="50"/>
  <c r="J1355" i="50"/>
  <c r="I1381" i="50"/>
  <c r="P1369" i="50"/>
  <c r="P1360" i="50"/>
  <c r="P1385" i="50"/>
  <c r="L1371" i="50"/>
  <c r="L1363" i="50"/>
  <c r="L1351" i="50"/>
  <c r="L1379" i="50"/>
  <c r="K1369" i="50"/>
  <c r="K1360" i="50"/>
  <c r="K1349" i="50"/>
  <c r="H1375" i="50"/>
  <c r="H1366" i="50"/>
  <c r="H1355" i="50"/>
  <c r="H1378" i="50"/>
  <c r="L1370" i="50"/>
  <c r="K1372" i="50"/>
  <c r="L1378" i="50"/>
  <c r="M1367" i="50"/>
  <c r="L1368" i="50"/>
  <c r="I1369" i="50"/>
  <c r="P1372" i="50"/>
  <c r="P1350" i="50"/>
  <c r="L1375" i="50"/>
  <c r="J1379" i="50"/>
  <c r="K1347" i="50"/>
  <c r="M1360" i="50"/>
  <c r="M1346" i="50"/>
  <c r="K1352" i="50"/>
  <c r="I1346" i="50"/>
  <c r="M1374" i="50"/>
  <c r="H1365" i="50"/>
  <c r="K1382" i="50"/>
  <c r="M1361" i="50"/>
  <c r="M1378" i="50"/>
  <c r="N1357" i="50"/>
  <c r="K1366" i="50"/>
  <c r="E1379" i="50"/>
  <c r="N1364" i="50"/>
  <c r="M1381" i="50"/>
  <c r="I1361" i="50"/>
  <c r="I1378" i="50"/>
  <c r="J1357" i="50"/>
  <c r="J1372" i="50"/>
  <c r="J1352" i="50"/>
  <c r="P1367" i="50"/>
  <c r="J1381" i="50"/>
  <c r="L1360" i="50"/>
  <c r="E1378" i="50"/>
  <c r="K1357" i="50"/>
  <c r="H1372" i="50"/>
  <c r="H1352" i="50"/>
  <c r="L1361" i="50"/>
  <c r="P1352" i="50"/>
  <c r="L1358" i="50"/>
  <c r="P1347" i="50"/>
  <c r="L1366" i="50"/>
  <c r="P1368" i="50"/>
  <c r="I1360" i="50"/>
  <c r="P1361" i="50"/>
  <c r="L1382" i="50"/>
  <c r="H1363" i="50"/>
  <c r="H1379" i="50"/>
  <c r="M1358" i="50"/>
  <c r="N1374" i="50"/>
  <c r="N1354" i="50"/>
  <c r="K1361" i="50"/>
  <c r="H1382" i="50"/>
  <c r="N1361" i="50"/>
  <c r="N1378" i="50"/>
  <c r="I1358" i="50"/>
  <c r="J1374" i="50"/>
  <c r="J1354" i="50"/>
  <c r="J1370" i="50"/>
  <c r="J1350" i="50"/>
  <c r="P1365" i="50"/>
  <c r="P1378" i="50"/>
  <c r="L1357" i="50"/>
  <c r="K1374" i="50"/>
  <c r="K1354" i="50"/>
  <c r="H1370" i="50"/>
  <c r="H1350" i="50"/>
  <c r="L1350" i="50"/>
  <c r="P1370" i="50"/>
  <c r="L1347" i="50"/>
  <c r="L1355" i="50"/>
  <c r="M1354" i="50"/>
  <c r="P1358" i="50"/>
  <c r="H1374" i="50"/>
  <c r="H1354" i="50"/>
  <c r="M1370" i="50"/>
  <c r="M1350" i="50"/>
  <c r="N1367" i="50"/>
  <c r="N1346" i="50"/>
  <c r="M1363" i="50"/>
  <c r="N1372" i="50"/>
  <c r="N1352" i="50"/>
  <c r="I1370" i="50"/>
  <c r="I1350" i="50"/>
  <c r="J1367" i="50"/>
  <c r="J1346" i="50"/>
  <c r="J1364" i="50"/>
  <c r="J1378" i="50"/>
  <c r="P1357" i="50"/>
  <c r="L1369" i="50"/>
  <c r="L1349" i="50"/>
  <c r="K1367" i="50"/>
  <c r="K1346" i="50"/>
  <c r="H1364" i="50"/>
  <c r="I1371" i="50"/>
  <c r="I1365" i="50"/>
  <c r="P1355" i="50"/>
  <c r="K1364" i="50"/>
  <c r="N1379" i="50"/>
  <c r="K1368" i="50"/>
  <c r="M1369" i="50"/>
  <c r="I1367" i="50"/>
  <c r="H1351" i="50"/>
  <c r="M1382" i="50"/>
  <c r="I1368" i="50"/>
  <c r="J1361" i="50"/>
  <c r="L1346" i="50"/>
  <c r="P1346" i="50"/>
  <c r="M1365" i="50"/>
  <c r="P1349" i="50"/>
  <c r="N1365" i="50"/>
  <c r="H1361" i="50"/>
  <c r="M1368" i="50"/>
  <c r="I1382" i="50"/>
  <c r="I1347" i="50"/>
  <c r="P1374" i="50"/>
  <c r="K1365" i="50"/>
  <c r="K1358" i="50"/>
  <c r="I1363" i="50"/>
  <c r="H1371" i="50"/>
  <c r="N1381" i="50"/>
  <c r="I1357" i="50"/>
  <c r="M1347" i="50"/>
  <c r="N1370" i="50"/>
  <c r="J1365" i="50"/>
  <c r="P1354" i="50"/>
  <c r="E1382" i="50"/>
  <c r="P1375" i="50"/>
  <c r="N1350" i="50"/>
  <c r="L1367" i="50"/>
  <c r="L1364" i="50"/>
  <c r="AE2300" i="37"/>
  <c r="AL2261" i="37"/>
  <c r="M2270" i="37"/>
  <c r="AG2393" i="37"/>
  <c r="AD2395" i="37" s="1"/>
  <c r="AD2407" i="37" s="1"/>
  <c r="S2514" i="37"/>
  <c r="Q2441" i="37"/>
  <c r="L2486" i="37"/>
  <c r="L2488" i="37" s="1"/>
  <c r="Q2292" i="37"/>
  <c r="N2292" i="37"/>
  <c r="J2289" i="37"/>
  <c r="J2291" i="37" s="1"/>
  <c r="Y2283" i="37"/>
  <c r="Q2520" i="37"/>
  <c r="Q2483" i="37"/>
  <c r="Q2481" i="37" s="1"/>
  <c r="M2486" i="37"/>
  <c r="M2488" i="37" s="1"/>
  <c r="I2355" i="37"/>
  <c r="M2489" i="37"/>
  <c r="E2269" i="37"/>
  <c r="Q2289" i="37"/>
  <c r="Q2291" i="37"/>
  <c r="L2483" i="37"/>
  <c r="Q2474" i="37"/>
  <c r="N2324" i="37"/>
  <c r="L2318" i="37"/>
  <c r="J2321" i="37"/>
  <c r="J2323" i="37" s="1"/>
  <c r="J2318" i="37"/>
  <c r="M2321" i="37"/>
  <c r="M2323" i="37" s="1"/>
  <c r="V2283" i="37"/>
  <c r="J2489" i="37"/>
  <c r="I2483" i="37"/>
  <c r="I2489" i="37" s="1"/>
  <c r="S2414" i="37"/>
  <c r="Q2286" i="37"/>
  <c r="Q2284" i="37" s="1"/>
  <c r="N2286" i="37"/>
  <c r="I2286" i="37"/>
  <c r="I2292" i="37" s="1"/>
  <c r="N2289" i="37"/>
  <c r="N2291" i="37" s="1"/>
  <c r="K2270" i="37"/>
  <c r="J2271" i="37"/>
  <c r="H2271" i="37"/>
  <c r="Q2499" i="37"/>
  <c r="Q2532" i="37"/>
  <c r="Q2463" i="37"/>
  <c r="S2441" i="37"/>
  <c r="Q2454" i="37"/>
  <c r="Q2455" i="37"/>
  <c r="Z2283" i="37"/>
  <c r="Q2438" i="37"/>
  <c r="Q2480" i="37"/>
  <c r="Q2464" i="37"/>
  <c r="J2324" i="37"/>
  <c r="Q2315" i="37"/>
  <c r="Q2318" i="37"/>
  <c r="Q2316" i="37" s="1"/>
  <c r="T2297" i="37"/>
  <c r="Q2309" i="37"/>
  <c r="Q2533" i="37"/>
  <c r="J2486" i="37"/>
  <c r="J2488" i="37" s="1"/>
  <c r="E2520" i="37"/>
  <c r="Q2375" i="37"/>
  <c r="X2283" i="37"/>
  <c r="W2283" i="37"/>
  <c r="I2318" i="37"/>
  <c r="I2324" i="37" s="1"/>
  <c r="N2318" i="37"/>
  <c r="Q2486" i="37"/>
  <c r="L2489" i="37"/>
  <c r="Q2384" i="37"/>
  <c r="Q2321" i="37"/>
  <c r="Q2324" i="37"/>
  <c r="Q2424" i="37"/>
  <c r="L2292" i="37"/>
  <c r="H2273" i="37"/>
  <c r="J2270" i="37"/>
  <c r="I2270" i="37"/>
  <c r="Q2442" i="37"/>
  <c r="K2286" i="37"/>
  <c r="T2261" i="37"/>
  <c r="K2489" i="37"/>
  <c r="S2402" i="37"/>
  <c r="S2424" i="37"/>
  <c r="Q2270" i="37"/>
  <c r="S2508" i="37"/>
  <c r="M2483" i="37"/>
  <c r="J2292" i="37"/>
  <c r="E2375" i="37"/>
  <c r="K2483" i="37"/>
  <c r="M2324" i="37"/>
  <c r="X2261" i="37"/>
  <c r="L2321" i="37"/>
  <c r="L2323" i="37" s="1"/>
  <c r="I2271" i="37"/>
  <c r="AG2525" i="37"/>
  <c r="K2486" i="37"/>
  <c r="K2488" i="37" s="1"/>
  <c r="S2375" i="37"/>
  <c r="N2321" i="37"/>
  <c r="N2323" i="37" s="1"/>
  <c r="Q2383" i="37"/>
  <c r="N2489" i="37"/>
  <c r="Q2473" i="37"/>
  <c r="L2289" i="37"/>
  <c r="L2291" i="37" s="1"/>
  <c r="L2324" i="37"/>
  <c r="Q2508" i="37"/>
  <c r="Q2433" i="37"/>
  <c r="Q2437" i="37"/>
  <c r="M2318" i="37"/>
  <c r="S2442" i="37"/>
  <c r="Q2300" i="37"/>
  <c r="Q2271" i="37"/>
  <c r="L2270" i="37"/>
  <c r="AG2446" i="37"/>
  <c r="AD2448" i="37" s="1"/>
  <c r="AD2457" i="37" s="1"/>
  <c r="AD2466" i="37" s="1"/>
  <c r="AD2492" i="37" s="1"/>
  <c r="AD2501" i="37" s="1"/>
  <c r="J2483" i="37"/>
  <c r="K2324" i="37"/>
  <c r="Q2498" i="37"/>
  <c r="Q2283" i="37"/>
  <c r="Q2434" i="37"/>
  <c r="S2499" i="37"/>
  <c r="K2289" i="37"/>
  <c r="K2291" i="37" s="1"/>
  <c r="H2270" i="37"/>
  <c r="Q2402" i="37"/>
  <c r="J2302" i="37"/>
  <c r="Q2414" i="37"/>
  <c r="M2292" i="37"/>
  <c r="K2292" i="37"/>
  <c r="Q2507" i="37"/>
  <c r="Q2476" i="37"/>
  <c r="L2271" i="37"/>
  <c r="M2286" i="37"/>
  <c r="Q2489" i="37"/>
  <c r="Q2528" i="37"/>
  <c r="K2271" i="37"/>
  <c r="N2271" i="37"/>
  <c r="M2271" i="37"/>
  <c r="N2486" i="37"/>
  <c r="N2488" i="37" s="1"/>
  <c r="S2498" i="37"/>
  <c r="Q2529" i="37"/>
  <c r="N2483" i="37"/>
  <c r="K2321" i="37"/>
  <c r="K2323" i="37" s="1"/>
  <c r="M2289" i="37"/>
  <c r="M2291" i="37" s="1"/>
  <c r="S2434" i="37"/>
  <c r="K2318" i="37"/>
  <c r="Q2514" i="37"/>
  <c r="J2286" i="37"/>
  <c r="S2433" i="37"/>
  <c r="N2270" i="37"/>
  <c r="L2286" i="37"/>
  <c r="AH2300" i="37"/>
  <c r="AF2300" i="37"/>
  <c r="AC2300" i="37"/>
  <c r="AI2300" i="37"/>
  <c r="AG2300" i="37"/>
  <c r="AD2300" i="37"/>
  <c r="AG2244" i="37"/>
  <c r="M1990" i="37"/>
  <c r="M1989" i="37"/>
  <c r="H1990" i="37"/>
  <c r="AG2112" i="37"/>
  <c r="AD2114" i="37" s="1"/>
  <c r="AD2126" i="37" s="1"/>
  <c r="AL1980" i="37"/>
  <c r="AG2165" i="37"/>
  <c r="AD2167" i="37" s="1"/>
  <c r="AD2176" i="37" s="1"/>
  <c r="AD2185" i="37" s="1"/>
  <c r="AD2211" i="37" s="1"/>
  <c r="AD2220" i="37" s="1"/>
  <c r="H1989" i="37"/>
  <c r="Q2251" i="37"/>
  <c r="I2202" i="37"/>
  <c r="I2208" i="37" s="1"/>
  <c r="S2160" i="37"/>
  <c r="Q2002" i="37"/>
  <c r="Q2034" i="37"/>
  <c r="L2008" i="37"/>
  <c r="L2010" i="37" s="1"/>
  <c r="Z2002" i="37"/>
  <c r="N2208" i="37"/>
  <c r="Q2208" i="37"/>
  <c r="Q2152" i="37"/>
  <c r="T2016" i="37"/>
  <c r="E2094" i="37"/>
  <c r="Q2094" i="37"/>
  <c r="N2043" i="37"/>
  <c r="V2002" i="37"/>
  <c r="E2239" i="37"/>
  <c r="Q2195" i="37"/>
  <c r="S2121" i="37"/>
  <c r="H1992" i="37"/>
  <c r="Q2019" i="37"/>
  <c r="N2005" i="37"/>
  <c r="Q1990" i="37"/>
  <c r="L2208" i="37"/>
  <c r="Q2010" i="37"/>
  <c r="Q2157" i="37"/>
  <c r="Q2182" i="37"/>
  <c r="J2005" i="37"/>
  <c r="Q2143" i="37"/>
  <c r="N2040" i="37"/>
  <c r="N2042" i="37" s="1"/>
  <c r="K1990" i="37"/>
  <c r="J1989" i="37"/>
  <c r="Q2239" i="37"/>
  <c r="S2217" i="37"/>
  <c r="S2153" i="37"/>
  <c r="S2133" i="37"/>
  <c r="Q2217" i="37"/>
  <c r="M2008" i="37"/>
  <c r="M2010" i="37" s="1"/>
  <c r="E1988" i="37"/>
  <c r="J2043" i="37"/>
  <c r="Q2202" i="37"/>
  <c r="Q2200" i="37" s="1"/>
  <c r="Q2161" i="37"/>
  <c r="Q2193" i="37"/>
  <c r="L2005" i="37"/>
  <c r="K2040" i="37"/>
  <c r="K2042" i="37" s="1"/>
  <c r="N2011" i="37"/>
  <c r="Q2008" i="37"/>
  <c r="Q2226" i="37"/>
  <c r="M2208" i="37"/>
  <c r="Q2205" i="37"/>
  <c r="L2043" i="37"/>
  <c r="K2208" i="37"/>
  <c r="Q2005" i="37"/>
  <c r="Q2003" i="37" s="1"/>
  <c r="X1980" i="37"/>
  <c r="J2040" i="37"/>
  <c r="J2042" i="37" s="1"/>
  <c r="Q2183" i="37"/>
  <c r="I2005" i="37"/>
  <c r="I2011" i="37" s="1"/>
  <c r="Q2153" i="37"/>
  <c r="I2074" i="37"/>
  <c r="M2037" i="37"/>
  <c r="M2011" i="37"/>
  <c r="L2011" i="37"/>
  <c r="K2037" i="37"/>
  <c r="L1989" i="37"/>
  <c r="I1989" i="37"/>
  <c r="S2233" i="37"/>
  <c r="Q2174" i="37"/>
  <c r="Q2133" i="37"/>
  <c r="T1980" i="37"/>
  <c r="Q2233" i="37"/>
  <c r="Q2103" i="37"/>
  <c r="Q2011" i="37"/>
  <c r="Q2121" i="37"/>
  <c r="S2218" i="37"/>
  <c r="Q2028" i="37"/>
  <c r="S2143" i="37"/>
  <c r="M2005" i="37"/>
  <c r="Q2252" i="37"/>
  <c r="Q2247" i="37"/>
  <c r="J2208" i="37"/>
  <c r="L1990" i="37"/>
  <c r="I1990" i="37"/>
  <c r="N1990" i="37"/>
  <c r="N2205" i="37"/>
  <c r="N2207" i="37" s="1"/>
  <c r="L2205" i="37"/>
  <c r="L2207" i="37" s="1"/>
  <c r="K2043" i="37"/>
  <c r="J2037" i="37"/>
  <c r="M2205" i="37"/>
  <c r="M2207" i="37" s="1"/>
  <c r="L2040" i="37"/>
  <c r="L2042" i="37" s="1"/>
  <c r="K2005" i="37"/>
  <c r="N2037" i="37"/>
  <c r="Q2199" i="37"/>
  <c r="J2008" i="37"/>
  <c r="J2010" i="37" s="1"/>
  <c r="Q2037" i="37"/>
  <c r="Q2035" i="37" s="1"/>
  <c r="K2202" i="37"/>
  <c r="Q2227" i="37"/>
  <c r="N2202" i="37"/>
  <c r="K2205" i="37"/>
  <c r="K2207" i="37" s="1"/>
  <c r="J1990" i="37"/>
  <c r="J2202" i="37"/>
  <c r="I2037" i="37"/>
  <c r="I2043" i="37" s="1"/>
  <c r="S2152" i="37"/>
  <c r="K2008" i="37"/>
  <c r="K2010" i="37" s="1"/>
  <c r="Q2173" i="37"/>
  <c r="Q1989" i="37"/>
  <c r="W2002" i="37"/>
  <c r="S2227" i="37"/>
  <c r="Q2156" i="37"/>
  <c r="Q2102" i="37"/>
  <c r="S2094" i="37"/>
  <c r="Y2002" i="37"/>
  <c r="Q2248" i="37"/>
  <c r="Q2160" i="37"/>
  <c r="Q2043" i="37"/>
  <c r="N2008" i="37"/>
  <c r="N2010" i="37" s="1"/>
  <c r="S2161" i="37"/>
  <c r="Q2040" i="37"/>
  <c r="X2002" i="37"/>
  <c r="M2040" i="37"/>
  <c r="M2042" i="37" s="1"/>
  <c r="J2011" i="37"/>
  <c r="J2021" i="37"/>
  <c r="M2043" i="37"/>
  <c r="N1989" i="37"/>
  <c r="Q2218" i="37"/>
  <c r="J2205" i="37"/>
  <c r="J2207" i="37" s="1"/>
  <c r="L2037" i="37"/>
  <c r="K1989" i="37"/>
  <c r="K2011" i="37"/>
  <c r="M2202" i="37"/>
  <c r="L2202" i="37"/>
  <c r="Q2192" i="37"/>
  <c r="AD2019" i="37"/>
  <c r="AG2019" i="37"/>
  <c r="AH2019" i="37"/>
  <c r="AF2019" i="37"/>
  <c r="AC2019" i="37"/>
  <c r="AI2019" i="37"/>
  <c r="AE2019" i="37"/>
  <c r="AF1457" i="37"/>
  <c r="H1428" i="37"/>
  <c r="AG1682" i="37"/>
  <c r="M1428" i="37"/>
  <c r="M1427" i="37"/>
  <c r="AG1603" i="37"/>
  <c r="AD1605" i="37" s="1"/>
  <c r="AD1614" i="37" s="1"/>
  <c r="AD1623" i="37" s="1"/>
  <c r="AD1649" i="37" s="1"/>
  <c r="AD1658" i="37" s="1"/>
  <c r="AL1418" i="37"/>
  <c r="H1427" i="37"/>
  <c r="AG1550" i="37"/>
  <c r="AD1552" i="37" s="1"/>
  <c r="AD1564" i="37" s="1"/>
  <c r="Q1677" i="37"/>
  <c r="K1640" i="37"/>
  <c r="Q1633" i="37"/>
  <c r="Q1481" i="37"/>
  <c r="N1449" i="37"/>
  <c r="M1449" i="37"/>
  <c r="Q1466" i="37"/>
  <c r="Q1457" i="37"/>
  <c r="S1665" i="37"/>
  <c r="M1640" i="37"/>
  <c r="Q1595" i="37"/>
  <c r="Q1541" i="37"/>
  <c r="Q1532" i="37"/>
  <c r="S1559" i="37"/>
  <c r="T1418" i="37"/>
  <c r="Q1664" i="37"/>
  <c r="Q1689" i="37"/>
  <c r="Q1598" i="37"/>
  <c r="K1481" i="37"/>
  <c r="J1449" i="37"/>
  <c r="Q1448" i="37"/>
  <c r="T1454" i="37"/>
  <c r="Q1449" i="37"/>
  <c r="S1590" i="37"/>
  <c r="N1446" i="37"/>
  <c r="N1448" i="37" s="1"/>
  <c r="S1656" i="37"/>
  <c r="Q1440" i="37"/>
  <c r="S1591" i="37"/>
  <c r="Q1621" i="37"/>
  <c r="J1459" i="37"/>
  <c r="L1475" i="37"/>
  <c r="L1427" i="37"/>
  <c r="I1427" i="37"/>
  <c r="Q1685" i="37"/>
  <c r="Q1620" i="37"/>
  <c r="Q1655" i="37"/>
  <c r="I1640" i="37"/>
  <c r="I1646" i="37" s="1"/>
  <c r="J1481" i="37"/>
  <c r="J1478" i="37"/>
  <c r="J1480" i="37" s="1"/>
  <c r="Q1665" i="37"/>
  <c r="L1481" i="37"/>
  <c r="Q1475" i="37"/>
  <c r="Q1473" i="37" s="1"/>
  <c r="Q1446" i="37"/>
  <c r="Y1440" i="37"/>
  <c r="Q1643" i="37"/>
  <c r="L1643" i="37"/>
  <c r="L1645" i="37" s="1"/>
  <c r="Q1581" i="37"/>
  <c r="W1440" i="37"/>
  <c r="Q1428" i="37"/>
  <c r="Q1472" i="37"/>
  <c r="K1478" i="37"/>
  <c r="K1480" i="37" s="1"/>
  <c r="L1640" i="37"/>
  <c r="V1440" i="37"/>
  <c r="S1532" i="37"/>
  <c r="E1677" i="37"/>
  <c r="K1475" i="37"/>
  <c r="J1427" i="37"/>
  <c r="J1646" i="37"/>
  <c r="S1581" i="37"/>
  <c r="Q1591" i="37"/>
  <c r="M1478" i="37"/>
  <c r="M1480" i="37" s="1"/>
  <c r="J1446" i="37"/>
  <c r="J1448" i="37" s="1"/>
  <c r="Q1656" i="37"/>
  <c r="Q1611" i="37"/>
  <c r="Q1540" i="37"/>
  <c r="L1446" i="37"/>
  <c r="L1448" i="37" s="1"/>
  <c r="Z1440" i="37"/>
  <c r="M1446" i="37"/>
  <c r="M1448" i="37" s="1"/>
  <c r="S1671" i="37"/>
  <c r="Q1612" i="37"/>
  <c r="L1646" i="37"/>
  <c r="Q1631" i="37"/>
  <c r="L1478" i="37"/>
  <c r="L1480" i="37" s="1"/>
  <c r="K1449" i="37"/>
  <c r="N1443" i="37"/>
  <c r="Q1686" i="37"/>
  <c r="X1440" i="37"/>
  <c r="M1481" i="37"/>
  <c r="E1532" i="37"/>
  <c r="L1428" i="37"/>
  <c r="K1428" i="37"/>
  <c r="N1640" i="37"/>
  <c r="S1655" i="37"/>
  <c r="N1481" i="37"/>
  <c r="M1443" i="37"/>
  <c r="H1430" i="37"/>
  <c r="K1643" i="37"/>
  <c r="K1645" i="37" s="1"/>
  <c r="S1598" i="37"/>
  <c r="Q1478" i="37"/>
  <c r="E1426" i="37"/>
  <c r="M1475" i="37"/>
  <c r="Q1443" i="37"/>
  <c r="Q1441" i="37" s="1"/>
  <c r="N1643" i="37"/>
  <c r="N1645" i="37" s="1"/>
  <c r="M1646" i="37"/>
  <c r="Q1671" i="37"/>
  <c r="J1475" i="37"/>
  <c r="Q1571" i="37"/>
  <c r="N1475" i="37"/>
  <c r="Q1646" i="37"/>
  <c r="Q1599" i="37"/>
  <c r="I1512" i="37"/>
  <c r="K1427" i="37"/>
  <c r="N1428" i="37"/>
  <c r="Q1590" i="37"/>
  <c r="J1643" i="37"/>
  <c r="J1645" i="37" s="1"/>
  <c r="L1449" i="37"/>
  <c r="S1599" i="37"/>
  <c r="I1443" i="37"/>
  <c r="I1449" i="37" s="1"/>
  <c r="M1643" i="37"/>
  <c r="M1645" i="37" s="1"/>
  <c r="X1418" i="37"/>
  <c r="Q1690" i="37"/>
  <c r="J1428" i="37"/>
  <c r="J1443" i="37"/>
  <c r="Q1594" i="37"/>
  <c r="K1443" i="37"/>
  <c r="S1571" i="37"/>
  <c r="L1443" i="37"/>
  <c r="K1446" i="37"/>
  <c r="K1448" i="37" s="1"/>
  <c r="N1646" i="37"/>
  <c r="I1475" i="37"/>
  <c r="I1481" i="37" s="1"/>
  <c r="I1428" i="37"/>
  <c r="Q1637" i="37"/>
  <c r="Q1630" i="37"/>
  <c r="J1640" i="37"/>
  <c r="Q1559" i="37"/>
  <c r="K1646" i="37"/>
  <c r="N1478" i="37"/>
  <c r="N1480" i="37" s="1"/>
  <c r="Q1640" i="37"/>
  <c r="Q1638" i="37" s="1"/>
  <c r="N1427" i="37"/>
  <c r="Q1427" i="37"/>
  <c r="AD1457" i="37"/>
  <c r="AI1457" i="37"/>
  <c r="AE1457" i="37"/>
  <c r="AC1457" i="37"/>
  <c r="AH1457" i="37"/>
  <c r="AG1457" i="37"/>
  <c r="N1509" i="50"/>
  <c r="J1498" i="50"/>
  <c r="J1489" i="50"/>
  <c r="J1478" i="50"/>
  <c r="P1506" i="50"/>
  <c r="L1495" i="50"/>
  <c r="L1485" i="50"/>
  <c r="L1474" i="50"/>
  <c r="H1502" i="50"/>
  <c r="H1493" i="50"/>
  <c r="H1482" i="50"/>
  <c r="K1510" i="50"/>
  <c r="M1498" i="50"/>
  <c r="M1489" i="50"/>
  <c r="M1478" i="50"/>
  <c r="P1503" i="50"/>
  <c r="N1500" i="50"/>
  <c r="N1492" i="50"/>
  <c r="N1480" i="50"/>
  <c r="M1509" i="50"/>
  <c r="I1498" i="50"/>
  <c r="I1489" i="50"/>
  <c r="I1478" i="50"/>
  <c r="J1497" i="50"/>
  <c r="K1493" i="50"/>
  <c r="J1499" i="50"/>
  <c r="P1478" i="50"/>
  <c r="I1493" i="50"/>
  <c r="K1475" i="50"/>
  <c r="H1478" i="50"/>
  <c r="N1479" i="50"/>
  <c r="J1506" i="50"/>
  <c r="P1485" i="50"/>
  <c r="P1498" i="50"/>
  <c r="J1477" i="50"/>
  <c r="L1496" i="50"/>
  <c r="L1475" i="50"/>
  <c r="N1482" i="50"/>
  <c r="H1475" i="50"/>
  <c r="N1477" i="50"/>
  <c r="M1474" i="50"/>
  <c r="K1495" i="50"/>
  <c r="K1474" i="50"/>
  <c r="P1486" i="50"/>
  <c r="H1506" i="50"/>
  <c r="I1485" i="50"/>
  <c r="K1480" i="50"/>
  <c r="M1506" i="50"/>
  <c r="P1509" i="50"/>
  <c r="P1502" i="50"/>
  <c r="P1482" i="50"/>
  <c r="J1495" i="50"/>
  <c r="J1474" i="50"/>
  <c r="L1494" i="50"/>
  <c r="J1510" i="50"/>
  <c r="K1507" i="50"/>
  <c r="I1507" i="50"/>
  <c r="J1496" i="50"/>
  <c r="J1486" i="50"/>
  <c r="J1475" i="50"/>
  <c r="L1502" i="50"/>
  <c r="L1493" i="50"/>
  <c r="L1482" i="50"/>
  <c r="L1510" i="50"/>
  <c r="H1499" i="50"/>
  <c r="H1491" i="50"/>
  <c r="H1479" i="50"/>
  <c r="H1507" i="50"/>
  <c r="M1496" i="50"/>
  <c r="M1486" i="50"/>
  <c r="M1475" i="50"/>
  <c r="H1510" i="50"/>
  <c r="N1498" i="50"/>
  <c r="N1489" i="50"/>
  <c r="N1478" i="50"/>
  <c r="N1506" i="50"/>
  <c r="I1496" i="50"/>
  <c r="I1486" i="50"/>
  <c r="I1475" i="50"/>
  <c r="L1507" i="50"/>
  <c r="K1488" i="50"/>
  <c r="P1494" i="50"/>
  <c r="N1507" i="50"/>
  <c r="I1488" i="50"/>
  <c r="L1509" i="50"/>
  <c r="L1506" i="50"/>
  <c r="I1510" i="50"/>
  <c r="H1498" i="50"/>
  <c r="P1499" i="50"/>
  <c r="P1479" i="50"/>
  <c r="J1493" i="50"/>
  <c r="M1510" i="50"/>
  <c r="L1492" i="50"/>
  <c r="J1507" i="50"/>
  <c r="H1503" i="50"/>
  <c r="P1510" i="50"/>
  <c r="K1491" i="50"/>
  <c r="I1506" i="50"/>
  <c r="P1480" i="50"/>
  <c r="I1499" i="50"/>
  <c r="I1479" i="50"/>
  <c r="H1500" i="50"/>
  <c r="K1496" i="50"/>
  <c r="M1493" i="50"/>
  <c r="P1497" i="50"/>
  <c r="P1477" i="50"/>
  <c r="J1491" i="50"/>
  <c r="H1509" i="50"/>
  <c r="L1489" i="50"/>
  <c r="N1497" i="50"/>
  <c r="J1503" i="50"/>
  <c r="J1483" i="50"/>
  <c r="L1499" i="50"/>
  <c r="L1479" i="50"/>
  <c r="H1497" i="50"/>
  <c r="H1477" i="50"/>
  <c r="M1494" i="50"/>
  <c r="N1496" i="50"/>
  <c r="N1475" i="50"/>
  <c r="I1494" i="50"/>
  <c r="K1509" i="50"/>
  <c r="K1482" i="50"/>
  <c r="I1502" i="50"/>
  <c r="N1495" i="50"/>
  <c r="K1500" i="50"/>
  <c r="P1495" i="50"/>
  <c r="J1488" i="50"/>
  <c r="L1486" i="50"/>
  <c r="M1495" i="50"/>
  <c r="H1496" i="50"/>
  <c r="K1485" i="50"/>
  <c r="P1475" i="50"/>
  <c r="I1474" i="50"/>
  <c r="H1494" i="50"/>
  <c r="M1482" i="50"/>
  <c r="L1503" i="50"/>
  <c r="N1488" i="50"/>
  <c r="H1480" i="50"/>
  <c r="M1502" i="50"/>
  <c r="J1500" i="50"/>
  <c r="J1480" i="50"/>
  <c r="L1497" i="50"/>
  <c r="L1477" i="50"/>
  <c r="H1495" i="50"/>
  <c r="H1474" i="50"/>
  <c r="M1492" i="50"/>
  <c r="N1510" i="50"/>
  <c r="N1494" i="50"/>
  <c r="I1492" i="50"/>
  <c r="J1502" i="50"/>
  <c r="K1477" i="50"/>
  <c r="I1497" i="50"/>
  <c r="N1485" i="50"/>
  <c r="K1492" i="50"/>
  <c r="P1491" i="50"/>
  <c r="J1482" i="50"/>
  <c r="L1480" i="50"/>
  <c r="H1486" i="50"/>
  <c r="M1485" i="50"/>
  <c r="K1479" i="50"/>
  <c r="E1510" i="50"/>
  <c r="H1483" i="50"/>
  <c r="I1509" i="50"/>
  <c r="P1500" i="50"/>
  <c r="L1498" i="50"/>
  <c r="K1478" i="50"/>
  <c r="N1502" i="50"/>
  <c r="M1491" i="50"/>
  <c r="J1494" i="50"/>
  <c r="P1513" i="50"/>
  <c r="L1491" i="50"/>
  <c r="E1509" i="50"/>
  <c r="H1488" i="50"/>
  <c r="M1503" i="50"/>
  <c r="M1483" i="50"/>
  <c r="M1507" i="50"/>
  <c r="N1486" i="50"/>
  <c r="I1503" i="50"/>
  <c r="I1483" i="50"/>
  <c r="K1502" i="50"/>
  <c r="P1489" i="50"/>
  <c r="I1482" i="50"/>
  <c r="M1497" i="50"/>
  <c r="M1488" i="50"/>
  <c r="P1474" i="50"/>
  <c r="E1507" i="50"/>
  <c r="K1503" i="50"/>
  <c r="K1498" i="50"/>
  <c r="E1506" i="50"/>
  <c r="P1496" i="50"/>
  <c r="I1495" i="50"/>
  <c r="N1499" i="50"/>
  <c r="K1486" i="50"/>
  <c r="P1493" i="50"/>
  <c r="J1485" i="50"/>
  <c r="L1483" i="50"/>
  <c r="M1499" i="50"/>
  <c r="K1494" i="50"/>
  <c r="M1479" i="50"/>
  <c r="K1506" i="50"/>
  <c r="N1503" i="50"/>
  <c r="K1497" i="50"/>
  <c r="M1477" i="50"/>
  <c r="K1489" i="50"/>
  <c r="N1491" i="50"/>
  <c r="L1478" i="50"/>
  <c r="K1499" i="50"/>
  <c r="L1488" i="50"/>
  <c r="I1491" i="50"/>
  <c r="J1492" i="50"/>
  <c r="H1485" i="50"/>
  <c r="N1483" i="50"/>
  <c r="P1483" i="50"/>
  <c r="P1507" i="50"/>
  <c r="N1474" i="50"/>
  <c r="H1492" i="50"/>
  <c r="I1480" i="50"/>
  <c r="N1493" i="50"/>
  <c r="J1509" i="50"/>
  <c r="M1500" i="50"/>
  <c r="I1500" i="50"/>
  <c r="I1477" i="50"/>
  <c r="L1500" i="50"/>
  <c r="P1492" i="50"/>
  <c r="P1488" i="50"/>
  <c r="K1483" i="50"/>
  <c r="M1480" i="50"/>
  <c r="H1489" i="50"/>
  <c r="J1479" i="50"/>
  <c r="P101" i="50"/>
  <c r="S101" i="50"/>
  <c r="E124" i="50"/>
  <c r="E245" i="50" s="1"/>
  <c r="H2286" i="37"/>
  <c r="H2292" i="37"/>
  <c r="Q278" i="34"/>
  <c r="T278" i="34" s="1"/>
  <c r="AA135" i="62" l="1"/>
  <c r="M1518" i="50"/>
  <c r="H1516" i="50"/>
  <c r="L1518" i="50"/>
  <c r="N1515" i="50"/>
  <c r="K1518" i="50"/>
  <c r="N1520" i="50"/>
  <c r="J1518" i="50"/>
  <c r="L1515" i="50"/>
  <c r="I1518" i="50"/>
  <c r="M1520" i="50"/>
  <c r="H1518" i="50"/>
  <c r="J1515" i="50"/>
  <c r="I1520" i="50"/>
  <c r="K1516" i="50"/>
  <c r="J1516" i="50"/>
  <c r="L1520" i="50"/>
  <c r="N1516" i="50"/>
  <c r="I1515" i="50"/>
  <c r="K1520" i="50"/>
  <c r="M1516" i="50"/>
  <c r="H1515" i="50"/>
  <c r="H1520" i="50"/>
  <c r="J1520" i="50"/>
  <c r="L1516" i="50"/>
  <c r="N1518" i="50"/>
  <c r="I1516" i="50"/>
  <c r="M1515" i="50"/>
  <c r="K1515" i="50"/>
  <c r="N1646" i="50"/>
  <c r="I1644" i="50"/>
  <c r="L1646" i="50"/>
  <c r="L1643" i="50"/>
  <c r="M1646" i="50"/>
  <c r="H1644" i="50"/>
  <c r="K1646" i="50"/>
  <c r="M1643" i="50"/>
  <c r="J1646" i="50"/>
  <c r="N1648" i="50"/>
  <c r="I1646" i="50"/>
  <c r="K1643" i="50"/>
  <c r="I1648" i="50"/>
  <c r="M1648" i="50"/>
  <c r="H1646" i="50"/>
  <c r="J1643" i="50"/>
  <c r="J1648" i="50"/>
  <c r="L1648" i="50"/>
  <c r="N1644" i="50"/>
  <c r="I1643" i="50"/>
  <c r="K1648" i="50"/>
  <c r="M1644" i="50"/>
  <c r="H1643" i="50"/>
  <c r="L1644" i="50"/>
  <c r="K1644" i="50"/>
  <c r="H1648" i="50"/>
  <c r="J1644" i="50"/>
  <c r="N1643" i="50"/>
  <c r="K1262" i="50"/>
  <c r="M1259" i="50"/>
  <c r="I1262" i="50"/>
  <c r="J1262" i="50"/>
  <c r="L1259" i="50"/>
  <c r="N1264" i="50"/>
  <c r="M1264" i="50"/>
  <c r="H1262" i="50"/>
  <c r="J1259" i="50"/>
  <c r="I1259" i="50"/>
  <c r="L1264" i="50"/>
  <c r="K1264" i="50"/>
  <c r="M1260" i="50"/>
  <c r="H1259" i="50"/>
  <c r="I1260" i="50"/>
  <c r="J1264" i="50"/>
  <c r="L1260" i="50"/>
  <c r="H1260" i="50"/>
  <c r="I1264" i="50"/>
  <c r="K1260" i="50"/>
  <c r="N1262" i="50"/>
  <c r="M1262" i="50"/>
  <c r="H1264" i="50"/>
  <c r="J1260" i="50"/>
  <c r="L1262" i="50"/>
  <c r="N1259" i="50"/>
  <c r="K1259" i="50"/>
  <c r="N1260" i="50"/>
  <c r="H1776" i="50"/>
  <c r="J1772" i="50"/>
  <c r="M1774" i="50"/>
  <c r="N1774" i="50"/>
  <c r="I1772" i="50"/>
  <c r="L1774" i="50"/>
  <c r="N1771" i="50"/>
  <c r="K1774" i="50"/>
  <c r="M1771" i="50"/>
  <c r="J1774" i="50"/>
  <c r="L1771" i="50"/>
  <c r="H1771" i="50"/>
  <c r="N1776" i="50"/>
  <c r="I1774" i="50"/>
  <c r="K1771" i="50"/>
  <c r="J1776" i="50"/>
  <c r="M1776" i="50"/>
  <c r="H1774" i="50"/>
  <c r="J1771" i="50"/>
  <c r="M1772" i="50"/>
  <c r="L1776" i="50"/>
  <c r="N1772" i="50"/>
  <c r="I1771" i="50"/>
  <c r="K1776" i="50"/>
  <c r="L1772" i="50"/>
  <c r="I1776" i="50"/>
  <c r="K1772" i="50"/>
  <c r="H1772" i="50"/>
  <c r="L1390" i="50"/>
  <c r="N1387" i="50"/>
  <c r="M1392" i="50"/>
  <c r="K1390" i="50"/>
  <c r="M1387" i="50"/>
  <c r="J1390" i="50"/>
  <c r="J1387" i="50"/>
  <c r="N1392" i="50"/>
  <c r="I1390" i="50"/>
  <c r="K1387" i="50"/>
  <c r="H1390" i="50"/>
  <c r="L1392" i="50"/>
  <c r="N1388" i="50"/>
  <c r="I1387" i="50"/>
  <c r="H1392" i="50"/>
  <c r="K1392" i="50"/>
  <c r="M1388" i="50"/>
  <c r="H1387" i="50"/>
  <c r="J1388" i="50"/>
  <c r="J1392" i="50"/>
  <c r="L1388" i="50"/>
  <c r="I1392" i="50"/>
  <c r="K1388" i="50"/>
  <c r="N1390" i="50"/>
  <c r="I1388" i="50"/>
  <c r="M1390" i="50"/>
  <c r="H1388" i="50"/>
  <c r="L1387" i="50"/>
  <c r="AA134" i="62"/>
  <c r="T1402" i="50"/>
  <c r="L1407" i="50" s="1"/>
  <c r="S1658" i="50"/>
  <c r="K1663" i="50" s="1"/>
  <c r="T1658" i="50"/>
  <c r="L1662" i="50" s="1"/>
  <c r="R1146" i="50"/>
  <c r="J1151" i="50" s="1"/>
  <c r="S1146" i="50"/>
  <c r="K1168" i="50" s="1"/>
  <c r="V1146" i="50"/>
  <c r="N1151" i="50" s="1"/>
  <c r="S1274" i="50"/>
  <c r="K1279" i="50" s="1"/>
  <c r="R1274" i="50"/>
  <c r="J1278" i="50" s="1"/>
  <c r="V1658" i="50"/>
  <c r="N1662" i="50" s="1"/>
  <c r="V1274" i="50"/>
  <c r="N1278" i="50" s="1"/>
  <c r="R1658" i="50"/>
  <c r="J1680" i="50" s="1"/>
  <c r="U1530" i="50"/>
  <c r="M1535" i="50" s="1"/>
  <c r="T1146" i="50"/>
  <c r="L1168" i="50" s="1"/>
  <c r="V1402" i="50"/>
  <c r="N1407" i="50" s="1"/>
  <c r="U1402" i="50"/>
  <c r="M1424" i="50" s="1"/>
  <c r="R1402" i="50"/>
  <c r="J1407" i="50" s="1"/>
  <c r="T1274" i="50"/>
  <c r="L1279" i="50" s="1"/>
  <c r="Q2540" i="37"/>
  <c r="Q2259" i="37" s="1"/>
  <c r="Q1978" i="37" s="1"/>
  <c r="Q1697" i="37" s="1"/>
  <c r="N1311" i="50"/>
  <c r="K1308" i="50"/>
  <c r="K1302" i="50"/>
  <c r="L1310" i="50"/>
  <c r="L1305" i="50"/>
  <c r="J1302" i="50"/>
  <c r="M1308" i="50"/>
  <c r="N1310" i="50"/>
  <c r="J1309" i="50"/>
  <c r="N1303" i="50"/>
  <c r="M1302" i="50"/>
  <c r="J1311" i="50"/>
  <c r="M1305" i="50"/>
  <c r="F1274" i="50"/>
  <c r="K1309" i="50"/>
  <c r="L1304" i="50"/>
  <c r="K1311" i="50"/>
  <c r="K1305" i="50"/>
  <c r="N1305" i="50"/>
  <c r="L1308" i="50"/>
  <c r="L1302" i="50"/>
  <c r="N1309" i="50"/>
  <c r="M1310" i="50"/>
  <c r="M1304" i="50"/>
  <c r="H1271" i="50"/>
  <c r="N1308" i="50"/>
  <c r="K1303" i="50"/>
  <c r="K1310" i="50"/>
  <c r="J1303" i="50"/>
  <c r="J1305" i="50"/>
  <c r="K1304" i="50"/>
  <c r="J1304" i="50"/>
  <c r="L1309" i="50"/>
  <c r="L1303" i="50"/>
  <c r="M1311" i="50"/>
  <c r="J1308" i="50"/>
  <c r="N1302" i="50"/>
  <c r="M1309" i="50"/>
  <c r="L1311" i="50"/>
  <c r="J1310" i="50"/>
  <c r="N1304" i="50"/>
  <c r="M1303" i="50"/>
  <c r="R1530" i="50"/>
  <c r="L1181" i="50"/>
  <c r="L1175" i="50"/>
  <c r="K1183" i="50"/>
  <c r="M1175" i="50"/>
  <c r="N1180" i="50"/>
  <c r="K1175" i="50"/>
  <c r="N1176" i="50"/>
  <c r="J1181" i="50"/>
  <c r="N1175" i="50"/>
  <c r="N1177" i="50"/>
  <c r="N1183" i="50"/>
  <c r="K1180" i="50"/>
  <c r="K1174" i="50"/>
  <c r="N1182" i="50"/>
  <c r="M1183" i="50"/>
  <c r="J1180" i="50"/>
  <c r="N1174" i="50"/>
  <c r="L1183" i="50"/>
  <c r="M1180" i="50"/>
  <c r="J1175" i="50"/>
  <c r="J1176" i="50"/>
  <c r="J1183" i="50"/>
  <c r="M1177" i="50"/>
  <c r="F1146" i="50"/>
  <c r="M1181" i="50"/>
  <c r="L1182" i="50"/>
  <c r="L1177" i="50"/>
  <c r="J1174" i="50"/>
  <c r="K1182" i="50"/>
  <c r="K1177" i="50"/>
  <c r="M1174" i="50"/>
  <c r="L1174" i="50"/>
  <c r="M1182" i="50"/>
  <c r="M1176" i="50"/>
  <c r="H1143" i="50"/>
  <c r="J1177" i="50"/>
  <c r="K1181" i="50"/>
  <c r="L1176" i="50"/>
  <c r="L1180" i="50"/>
  <c r="N1181" i="50"/>
  <c r="K1176" i="50"/>
  <c r="J1182" i="50"/>
  <c r="M1151" i="50"/>
  <c r="M1168" i="50"/>
  <c r="M1150" i="50"/>
  <c r="L1437" i="50"/>
  <c r="L1431" i="50"/>
  <c r="M1439" i="50"/>
  <c r="J1436" i="50"/>
  <c r="N1430" i="50"/>
  <c r="M1430" i="50"/>
  <c r="N1438" i="50"/>
  <c r="J1431" i="50"/>
  <c r="K1433" i="50"/>
  <c r="L1436" i="50"/>
  <c r="N1439" i="50"/>
  <c r="K1436" i="50"/>
  <c r="K1430" i="50"/>
  <c r="L1438" i="50"/>
  <c r="L1433" i="50"/>
  <c r="J1430" i="50"/>
  <c r="K1439" i="50"/>
  <c r="N1437" i="50"/>
  <c r="L1430" i="50"/>
  <c r="N1432" i="50"/>
  <c r="J1439" i="50"/>
  <c r="M1433" i="50"/>
  <c r="F1402" i="50"/>
  <c r="K1437" i="50"/>
  <c r="L1432" i="50"/>
  <c r="K1432" i="50"/>
  <c r="M1436" i="50"/>
  <c r="N1433" i="50"/>
  <c r="K1438" i="50"/>
  <c r="J1438" i="50"/>
  <c r="N1431" i="50"/>
  <c r="M1438" i="50"/>
  <c r="M1432" i="50"/>
  <c r="H1399" i="50"/>
  <c r="N1436" i="50"/>
  <c r="K1431" i="50"/>
  <c r="M1431" i="50"/>
  <c r="L1439" i="50"/>
  <c r="J1432" i="50"/>
  <c r="M1437" i="50"/>
  <c r="J1437" i="50"/>
  <c r="J1433" i="50"/>
  <c r="N1552" i="50"/>
  <c r="N1535" i="50"/>
  <c r="N1534" i="50"/>
  <c r="S1530" i="50"/>
  <c r="L1565" i="50"/>
  <c r="L1559" i="50"/>
  <c r="M1567" i="50"/>
  <c r="J1564" i="50"/>
  <c r="N1558" i="50"/>
  <c r="N1565" i="50"/>
  <c r="L1558" i="50"/>
  <c r="M1565" i="50"/>
  <c r="J1566" i="50"/>
  <c r="N1560" i="50"/>
  <c r="N1567" i="50"/>
  <c r="K1564" i="50"/>
  <c r="K1558" i="50"/>
  <c r="L1566" i="50"/>
  <c r="L1561" i="50"/>
  <c r="J1558" i="50"/>
  <c r="N1561" i="50"/>
  <c r="M1559" i="50"/>
  <c r="M1564" i="50"/>
  <c r="J1565" i="50"/>
  <c r="N1559" i="50"/>
  <c r="J1567" i="50"/>
  <c r="M1561" i="50"/>
  <c r="F1530" i="50"/>
  <c r="K1565" i="50"/>
  <c r="L1560" i="50"/>
  <c r="L1567" i="50"/>
  <c r="J1560" i="50"/>
  <c r="K1567" i="50"/>
  <c r="K1561" i="50"/>
  <c r="L1564" i="50"/>
  <c r="K1560" i="50"/>
  <c r="M1566" i="50"/>
  <c r="M1560" i="50"/>
  <c r="H1527" i="50"/>
  <c r="N1564" i="50"/>
  <c r="K1559" i="50"/>
  <c r="N1566" i="50"/>
  <c r="J1559" i="50"/>
  <c r="K1566" i="50"/>
  <c r="J1561" i="50"/>
  <c r="M1558" i="50"/>
  <c r="K1424" i="50"/>
  <c r="K1406" i="50"/>
  <c r="K1407" i="50"/>
  <c r="K1296" i="50"/>
  <c r="K1278" i="50"/>
  <c r="M1279" i="50"/>
  <c r="M1278" i="50"/>
  <c r="M1296" i="50"/>
  <c r="L1663" i="50"/>
  <c r="L1680" i="50"/>
  <c r="L1693" i="50"/>
  <c r="L1687" i="50"/>
  <c r="M1695" i="50"/>
  <c r="J1692" i="50"/>
  <c r="N1686" i="50"/>
  <c r="N1693" i="50"/>
  <c r="K1688" i="50"/>
  <c r="K1695" i="50"/>
  <c r="L1692" i="50"/>
  <c r="J1688" i="50"/>
  <c r="N1695" i="50"/>
  <c r="K1692" i="50"/>
  <c r="K1686" i="50"/>
  <c r="L1694" i="50"/>
  <c r="L1689" i="50"/>
  <c r="J1686" i="50"/>
  <c r="J1693" i="50"/>
  <c r="N1687" i="50"/>
  <c r="N1694" i="50"/>
  <c r="N1689" i="50"/>
  <c r="M1687" i="50"/>
  <c r="J1695" i="50"/>
  <c r="M1689" i="50"/>
  <c r="F1658" i="50"/>
  <c r="K1693" i="50"/>
  <c r="L1688" i="50"/>
  <c r="L1695" i="50"/>
  <c r="M1692" i="50"/>
  <c r="J1687" i="50"/>
  <c r="J1694" i="50"/>
  <c r="J1689" i="50"/>
  <c r="L1686" i="50"/>
  <c r="M1694" i="50"/>
  <c r="M1688" i="50"/>
  <c r="H1655" i="50"/>
  <c r="N1692" i="50"/>
  <c r="K1687" i="50"/>
  <c r="K1694" i="50"/>
  <c r="K1689" i="50"/>
  <c r="M1686" i="50"/>
  <c r="M1693" i="50"/>
  <c r="N1688" i="50"/>
  <c r="AA130" i="62"/>
  <c r="T1530" i="50"/>
  <c r="M1406" i="50"/>
  <c r="M1663" i="50"/>
  <c r="M1680" i="50"/>
  <c r="M1662" i="50"/>
  <c r="M245" i="50"/>
  <c r="H245" i="50"/>
  <c r="K245" i="50"/>
  <c r="N245" i="50"/>
  <c r="J245" i="50"/>
  <c r="I245" i="50"/>
  <c r="L245" i="50"/>
  <c r="L248" i="50"/>
  <c r="N248" i="50"/>
  <c r="J248" i="50"/>
  <c r="M248" i="50"/>
  <c r="I248" i="50"/>
  <c r="H248" i="50"/>
  <c r="K248" i="50"/>
  <c r="M246" i="50"/>
  <c r="L246" i="50"/>
  <c r="H246" i="50"/>
  <c r="K246" i="50"/>
  <c r="N246" i="50"/>
  <c r="J246" i="50"/>
  <c r="I246" i="50"/>
  <c r="K247" i="50"/>
  <c r="N247" i="50"/>
  <c r="M247" i="50"/>
  <c r="I247" i="50"/>
  <c r="L247" i="50"/>
  <c r="H247" i="50"/>
  <c r="J247" i="50"/>
  <c r="AA128" i="62"/>
  <c r="AA131" i="62"/>
  <c r="AA127" i="62"/>
  <c r="I1637" i="37"/>
  <c r="I2480" i="37"/>
  <c r="I2199" i="37"/>
  <c r="I2761" i="37"/>
  <c r="AA129" i="62"/>
  <c r="I1918" i="37"/>
  <c r="AA136" i="62"/>
  <c r="AA133" i="62"/>
  <c r="AA132" i="62"/>
  <c r="AK2208" i="37"/>
  <c r="AK2043" i="37"/>
  <c r="AK2324" i="37"/>
  <c r="AK1457" i="37"/>
  <c r="AI1427" i="37"/>
  <c r="AD1427" i="37"/>
  <c r="AE1427" i="37"/>
  <c r="AC1427" i="37"/>
  <c r="AG1427" i="37"/>
  <c r="AF1427" i="37"/>
  <c r="AH1427" i="37"/>
  <c r="X1445" i="37"/>
  <c r="Z1418" i="37"/>
  <c r="V2261" i="37"/>
  <c r="T1595" i="50" s="1"/>
  <c r="AK2271" i="37"/>
  <c r="X2315" i="37"/>
  <c r="L2315" i="37" s="1"/>
  <c r="X2480" i="37"/>
  <c r="L2480" i="37" s="1"/>
  <c r="L2283" i="37"/>
  <c r="X1918" i="37"/>
  <c r="L1918" i="37" s="1"/>
  <c r="L1721" i="37"/>
  <c r="X1753" i="37"/>
  <c r="L1753" i="37" s="1"/>
  <c r="V2199" i="37"/>
  <c r="J2199" i="37" s="1"/>
  <c r="V2034" i="37"/>
  <c r="J2034" i="37" s="1"/>
  <c r="J2002" i="37"/>
  <c r="N2283" i="37"/>
  <c r="Z2315" i="37"/>
  <c r="N2315" i="37" s="1"/>
  <c r="Z2480" i="37"/>
  <c r="N2480" i="37" s="1"/>
  <c r="AK2489" i="37"/>
  <c r="A1317" i="50"/>
  <c r="A1573" i="50"/>
  <c r="Q295" i="41"/>
  <c r="E343" i="41"/>
  <c r="E388" i="50"/>
  <c r="AK1738" i="37"/>
  <c r="Y1753" i="37"/>
  <c r="M1753" i="37" s="1"/>
  <c r="M1721" i="37"/>
  <c r="Y1918" i="37"/>
  <c r="M1918" i="37" s="1"/>
  <c r="N1721" i="37"/>
  <c r="Z1753" i="37"/>
  <c r="N1753" i="37" s="1"/>
  <c r="Z1918" i="37"/>
  <c r="N1918" i="37" s="1"/>
  <c r="W1918" i="37"/>
  <c r="K1918" i="37" s="1"/>
  <c r="K1721" i="37"/>
  <c r="W1753" i="37"/>
  <c r="K1753" i="37" s="1"/>
  <c r="V1699" i="37"/>
  <c r="T1339" i="50" s="1"/>
  <c r="AK1709" i="37"/>
  <c r="Q293" i="41"/>
  <c r="E341" i="41"/>
  <c r="E386" i="50"/>
  <c r="E389" i="50"/>
  <c r="E344" i="41"/>
  <c r="Q296" i="41"/>
  <c r="AK2573" i="37"/>
  <c r="X2199" i="37"/>
  <c r="L2199" i="37" s="1"/>
  <c r="L2002" i="37"/>
  <c r="X2034" i="37"/>
  <c r="L2034" i="37" s="1"/>
  <c r="N2002" i="37"/>
  <c r="Z2199" i="37"/>
  <c r="N2199" i="37" s="1"/>
  <c r="Z2034" i="37"/>
  <c r="N2034" i="37" s="1"/>
  <c r="Z2261" i="37"/>
  <c r="X2288" i="37"/>
  <c r="A1421" i="50"/>
  <c r="W1472" i="37"/>
  <c r="K1472" i="37" s="1"/>
  <c r="W1637" i="37"/>
  <c r="K1637" i="37" s="1"/>
  <c r="K1440" i="37"/>
  <c r="Y1472" i="37"/>
  <c r="M1472" i="37" s="1"/>
  <c r="Y1637" i="37"/>
  <c r="M1637" i="37" s="1"/>
  <c r="M1440" i="37"/>
  <c r="AK1449" i="37"/>
  <c r="AK2019" i="37"/>
  <c r="W2034" i="37"/>
  <c r="K2034" i="37" s="1"/>
  <c r="K2002" i="37"/>
  <c r="W2199" i="37"/>
  <c r="K2199" i="37" s="1"/>
  <c r="X2007" i="37"/>
  <c r="Z1980" i="37"/>
  <c r="AI1989" i="37"/>
  <c r="AF1989" i="37"/>
  <c r="AD1989" i="37"/>
  <c r="AH1989" i="37"/>
  <c r="AG1989" i="37"/>
  <c r="AC1989" i="37"/>
  <c r="AE1989" i="37"/>
  <c r="AK2300" i="37"/>
  <c r="V2315" i="37"/>
  <c r="J2315" i="37" s="1"/>
  <c r="V2480" i="37"/>
  <c r="J2480" i="37" s="1"/>
  <c r="J2283" i="37"/>
  <c r="Y2480" i="37"/>
  <c r="M2480" i="37" s="1"/>
  <c r="Y2315" i="37"/>
  <c r="M2315" i="37" s="1"/>
  <c r="M2283" i="37"/>
  <c r="A1677" i="50"/>
  <c r="V1918" i="37"/>
  <c r="J1918" i="37" s="1"/>
  <c r="J1721" i="37"/>
  <c r="V1753" i="37"/>
  <c r="J1753" i="37" s="1"/>
  <c r="AK1927" i="37"/>
  <c r="W2596" i="37"/>
  <c r="K2596" i="37" s="1"/>
  <c r="K2564" i="37"/>
  <c r="W2761" i="37"/>
  <c r="K2761" i="37" s="1"/>
  <c r="AK2770" i="37"/>
  <c r="V2761" i="37"/>
  <c r="J2761" i="37" s="1"/>
  <c r="J2564" i="37"/>
  <c r="V2596" i="37"/>
  <c r="J2596" i="37" s="1"/>
  <c r="AI2551" i="37"/>
  <c r="AE2551" i="37"/>
  <c r="AC2551" i="37"/>
  <c r="AG2551" i="37"/>
  <c r="AH2551" i="37"/>
  <c r="AD2551" i="37"/>
  <c r="AF2551" i="37"/>
  <c r="AK2605" i="37"/>
  <c r="P248" i="50"/>
  <c r="P245" i="50"/>
  <c r="A1427" i="50"/>
  <c r="AK1646" i="37"/>
  <c r="AK1481" i="37"/>
  <c r="E342" i="41"/>
  <c r="Q294" i="41"/>
  <c r="E387" i="50"/>
  <c r="A1683" i="50"/>
  <c r="A1549" i="50"/>
  <c r="V2542" i="37"/>
  <c r="T1723" i="50" s="1"/>
  <c r="AK2552" i="37"/>
  <c r="M2564" i="37"/>
  <c r="Y2596" i="37"/>
  <c r="M2596" i="37" s="1"/>
  <c r="Y2761" i="37"/>
  <c r="M2761" i="37" s="1"/>
  <c r="Z2542" i="37"/>
  <c r="X2569" i="37"/>
  <c r="N2564" i="37"/>
  <c r="Z2761" i="37"/>
  <c r="N2761" i="37" s="1"/>
  <c r="Z2596" i="37"/>
  <c r="N2596" i="37" s="1"/>
  <c r="P247" i="50"/>
  <c r="X1472" i="37"/>
  <c r="L1472" i="37" s="1"/>
  <c r="X1637" i="37"/>
  <c r="L1637" i="37" s="1"/>
  <c r="L1440" i="37"/>
  <c r="V1637" i="37"/>
  <c r="J1637" i="37" s="1"/>
  <c r="V1472" i="37"/>
  <c r="J1472" i="37" s="1"/>
  <c r="J1440" i="37"/>
  <c r="Y2034" i="37"/>
  <c r="M2034" i="37" s="1"/>
  <c r="Y2199" i="37"/>
  <c r="M2199" i="37" s="1"/>
  <c r="M2002" i="37"/>
  <c r="AK2292" i="37"/>
  <c r="A1445" i="50"/>
  <c r="N1440" i="37"/>
  <c r="Z1472" i="37"/>
  <c r="N1472" i="37" s="1"/>
  <c r="Z1637" i="37"/>
  <c r="N1637" i="37" s="1"/>
  <c r="V1418" i="37"/>
  <c r="T1211" i="50" s="1"/>
  <c r="AK1428" i="37"/>
  <c r="AK2011" i="37"/>
  <c r="V1980" i="37"/>
  <c r="T1467" i="50" s="1"/>
  <c r="AK1990" i="37"/>
  <c r="AI2270" i="37"/>
  <c r="AD2270" i="37"/>
  <c r="AE2270" i="37"/>
  <c r="AH2270" i="37"/>
  <c r="AF2270" i="37"/>
  <c r="AC2270" i="37"/>
  <c r="AG2270" i="37"/>
  <c r="W2315" i="37"/>
  <c r="K2315" i="37" s="1"/>
  <c r="K2283" i="37"/>
  <c r="W2480" i="37"/>
  <c r="K2480" i="37" s="1"/>
  <c r="A1299" i="50"/>
  <c r="A1293" i="50"/>
  <c r="A1555" i="50"/>
  <c r="AI1708" i="37"/>
  <c r="AF1708" i="37"/>
  <c r="AC1708" i="37"/>
  <c r="AE1708" i="37"/>
  <c r="AH1708" i="37"/>
  <c r="AD1708" i="37"/>
  <c r="AG1708" i="37"/>
  <c r="AK1730" i="37"/>
  <c r="AK1762" i="37"/>
  <c r="X1726" i="37"/>
  <c r="Z1699" i="37"/>
  <c r="P246" i="50"/>
  <c r="AK2581" i="37"/>
  <c r="X2761" i="37"/>
  <c r="L2761" i="37" s="1"/>
  <c r="X2596" i="37"/>
  <c r="L2596" i="37" s="1"/>
  <c r="L2564" i="37"/>
  <c r="Q279" i="34"/>
  <c r="T279" i="34" s="1"/>
  <c r="M1407" i="50" l="1"/>
  <c r="L1150" i="50"/>
  <c r="L1424" i="50"/>
  <c r="L1406" i="50"/>
  <c r="K1662" i="50"/>
  <c r="K1680" i="50"/>
  <c r="N1680" i="50"/>
  <c r="K1150" i="50"/>
  <c r="K1151" i="50"/>
  <c r="J1663" i="50"/>
  <c r="J1662" i="50"/>
  <c r="J1279" i="50"/>
  <c r="J1150" i="50"/>
  <c r="J1168" i="50"/>
  <c r="M1534" i="50"/>
  <c r="N1150" i="50"/>
  <c r="N1168" i="50"/>
  <c r="N1296" i="50"/>
  <c r="M1552" i="50"/>
  <c r="J1296" i="50"/>
  <c r="N1663" i="50"/>
  <c r="N1279" i="50"/>
  <c r="L1151" i="50"/>
  <c r="N1424" i="50"/>
  <c r="L1278" i="50"/>
  <c r="N1406" i="50"/>
  <c r="L1296" i="50"/>
  <c r="J1406" i="50"/>
  <c r="J1424" i="50"/>
  <c r="L1534" i="50"/>
  <c r="L1552" i="50"/>
  <c r="L1535" i="50"/>
  <c r="H1706" i="50"/>
  <c r="H1718" i="50" s="1"/>
  <c r="N1655" i="50"/>
  <c r="H1677" i="50"/>
  <c r="H1666" i="50"/>
  <c r="H1674" i="50" s="1"/>
  <c r="N1399" i="50"/>
  <c r="H1410" i="50"/>
  <c r="H1418" i="50" s="1"/>
  <c r="H1450" i="50"/>
  <c r="H1462" i="50" s="1"/>
  <c r="H1421" i="50"/>
  <c r="J1552" i="50"/>
  <c r="J1534" i="50"/>
  <c r="J1535" i="50"/>
  <c r="H1154" i="50"/>
  <c r="H1162" i="50" s="1"/>
  <c r="H1194" i="50"/>
  <c r="H1206" i="50" s="1"/>
  <c r="N1143" i="50"/>
  <c r="H1165" i="50"/>
  <c r="N1527" i="50"/>
  <c r="H1549" i="50"/>
  <c r="H1578" i="50"/>
  <c r="H1590" i="50" s="1"/>
  <c r="H1538" i="50"/>
  <c r="H1546" i="50" s="1"/>
  <c r="K1535" i="50"/>
  <c r="K1552" i="50"/>
  <c r="K1534" i="50"/>
  <c r="H1282" i="50"/>
  <c r="H1290" i="50" s="1"/>
  <c r="N1271" i="50"/>
  <c r="H1322" i="50"/>
  <c r="H1334" i="50" s="1"/>
  <c r="H1293" i="50"/>
  <c r="J1284" i="50"/>
  <c r="J1285" i="50"/>
  <c r="U1339" i="50"/>
  <c r="J1283" i="50"/>
  <c r="J1286" i="50"/>
  <c r="J1282" i="50"/>
  <c r="J1541" i="50"/>
  <c r="U1595" i="50"/>
  <c r="J1538" i="50"/>
  <c r="J1539" i="50"/>
  <c r="J1540" i="50"/>
  <c r="J1542" i="50"/>
  <c r="J1155" i="50"/>
  <c r="J1154" i="50"/>
  <c r="J1158" i="50"/>
  <c r="U1211" i="50"/>
  <c r="J1156" i="50"/>
  <c r="J1157" i="50"/>
  <c r="J1412" i="50"/>
  <c r="J1414" i="50"/>
  <c r="U1467" i="50"/>
  <c r="J1413" i="50"/>
  <c r="J1411" i="50"/>
  <c r="J1410" i="50"/>
  <c r="J1667" i="50"/>
  <c r="U1723" i="50"/>
  <c r="J1666" i="50"/>
  <c r="J1670" i="50"/>
  <c r="J1669" i="50"/>
  <c r="J1668" i="50"/>
  <c r="X2597" i="37"/>
  <c r="X2598" i="37"/>
  <c r="X2599" i="37"/>
  <c r="L2598" i="37"/>
  <c r="L2597" i="37"/>
  <c r="K2482" i="37"/>
  <c r="W2482" i="37"/>
  <c r="W2483" i="37"/>
  <c r="W2481" i="37"/>
  <c r="K2481" i="37"/>
  <c r="Z1441" i="37"/>
  <c r="N1442" i="37"/>
  <c r="Z1442" i="37"/>
  <c r="Z1443" i="37"/>
  <c r="N1441" i="37"/>
  <c r="V1441" i="37"/>
  <c r="J1441" i="37"/>
  <c r="V1442" i="37"/>
  <c r="J1442" i="37"/>
  <c r="V1443" i="37"/>
  <c r="X1639" i="37"/>
  <c r="X1640" i="37"/>
  <c r="L1638" i="37"/>
  <c r="L1639" i="37"/>
  <c r="X1638" i="37"/>
  <c r="Y2566" i="37"/>
  <c r="M2566" i="37"/>
  <c r="Y2565" i="37"/>
  <c r="Y2567" i="37"/>
  <c r="M2565" i="37"/>
  <c r="V2567" i="37"/>
  <c r="J2566" i="37"/>
  <c r="V2565" i="37"/>
  <c r="J2565" i="37"/>
  <c r="V2566" i="37"/>
  <c r="K2565" i="37"/>
  <c r="K2566" i="37"/>
  <c r="W2566" i="37"/>
  <c r="W2565" i="37"/>
  <c r="W2567" i="37"/>
  <c r="V1722" i="37"/>
  <c r="J1723" i="37"/>
  <c r="J1722" i="37"/>
  <c r="V1723" i="37"/>
  <c r="V1724" i="37"/>
  <c r="M2284" i="37"/>
  <c r="M2285" i="37"/>
  <c r="Y2285" i="37"/>
  <c r="Y2284" i="37"/>
  <c r="Y2286" i="37"/>
  <c r="J2482" i="37"/>
  <c r="V2482" i="37"/>
  <c r="V2481" i="37"/>
  <c r="V2483" i="37"/>
  <c r="J2481" i="37"/>
  <c r="K2201" i="37"/>
  <c r="W2200" i="37"/>
  <c r="K2200" i="37"/>
  <c r="W2202" i="37"/>
  <c r="W2201" i="37"/>
  <c r="W1443" i="37"/>
  <c r="K1441" i="37"/>
  <c r="W1441" i="37"/>
  <c r="W1442" i="37"/>
  <c r="K1442" i="37"/>
  <c r="Z2003" i="37"/>
  <c r="Z2004" i="37"/>
  <c r="N2004" i="37"/>
  <c r="N2003" i="37"/>
  <c r="Z2005" i="37"/>
  <c r="K1919" i="37"/>
  <c r="W1921" i="37"/>
  <c r="K1920" i="37"/>
  <c r="W1920" i="37"/>
  <c r="W1919" i="37"/>
  <c r="Y1920" i="37"/>
  <c r="Y1919" i="37"/>
  <c r="M1919" i="37"/>
  <c r="Y1921" i="37"/>
  <c r="M1920" i="37"/>
  <c r="J2003" i="37"/>
  <c r="V2003" i="37"/>
  <c r="V2004" i="37"/>
  <c r="J2004" i="37"/>
  <c r="V2005" i="37"/>
  <c r="X1755" i="37"/>
  <c r="X1756" i="37"/>
  <c r="L1754" i="37"/>
  <c r="L1755" i="37"/>
  <c r="X1754" i="37"/>
  <c r="L2482" i="37"/>
  <c r="X2481" i="37"/>
  <c r="X2482" i="37"/>
  <c r="L2481" i="37"/>
  <c r="X2483" i="37"/>
  <c r="X2763" i="37"/>
  <c r="L2763" i="37"/>
  <c r="X2764" i="37"/>
  <c r="X2762" i="37"/>
  <c r="L2762" i="37"/>
  <c r="W2285" i="37"/>
  <c r="W2286" i="37"/>
  <c r="K2285" i="37"/>
  <c r="W2284" i="37"/>
  <c r="K2284" i="37"/>
  <c r="I1440" i="37"/>
  <c r="AB1418" i="37"/>
  <c r="V1426" i="37"/>
  <c r="AF1465" i="37"/>
  <c r="AD1426" i="37"/>
  <c r="AC1465" i="37"/>
  <c r="Y1426" i="37"/>
  <c r="AD1465" i="37"/>
  <c r="AI1465" i="37"/>
  <c r="AE1465" i="37"/>
  <c r="X1426" i="37"/>
  <c r="W1426" i="37"/>
  <c r="AC1426" i="37"/>
  <c r="AH1465" i="37"/>
  <c r="AI1426" i="37"/>
  <c r="AG1426" i="37"/>
  <c r="AF1426" i="37"/>
  <c r="T1426" i="37"/>
  <c r="AG1465" i="37"/>
  <c r="AE1426" i="37"/>
  <c r="Z1426" i="37"/>
  <c r="U1426" i="37"/>
  <c r="AH1426" i="37"/>
  <c r="Y2004" i="37"/>
  <c r="M2004" i="37"/>
  <c r="Y2005" i="37"/>
  <c r="Y2003" i="37"/>
  <c r="M2003" i="37"/>
  <c r="J1474" i="37"/>
  <c r="V1473" i="37"/>
  <c r="V1475" i="37"/>
  <c r="V1474" i="37"/>
  <c r="J1473" i="37"/>
  <c r="X1475" i="37"/>
  <c r="L1474" i="37"/>
  <c r="X1474" i="37"/>
  <c r="X1473" i="37"/>
  <c r="L1473" i="37"/>
  <c r="Z2597" i="37"/>
  <c r="Z2598" i="37"/>
  <c r="N2597" i="37"/>
  <c r="N2598" i="37"/>
  <c r="Z2599" i="37"/>
  <c r="X2570" i="37"/>
  <c r="V2570" i="37"/>
  <c r="Y2570" i="37"/>
  <c r="W2570" i="37"/>
  <c r="Z2570" i="37"/>
  <c r="V2764" i="37"/>
  <c r="V2762" i="37"/>
  <c r="J2762" i="37"/>
  <c r="V2763" i="37"/>
  <c r="J2763" i="37"/>
  <c r="W2598" i="37"/>
  <c r="K2598" i="37"/>
  <c r="W2597" i="37"/>
  <c r="K2597" i="37"/>
  <c r="W2599" i="37"/>
  <c r="J1919" i="37"/>
  <c r="J1920" i="37"/>
  <c r="V1919" i="37"/>
  <c r="V1921" i="37"/>
  <c r="V1920" i="37"/>
  <c r="M2317" i="37"/>
  <c r="Y2316" i="37"/>
  <c r="Y2317" i="37"/>
  <c r="Y2318" i="37"/>
  <c r="M2316" i="37"/>
  <c r="J2316" i="37"/>
  <c r="V2318" i="37"/>
  <c r="V2316" i="37"/>
  <c r="J2317" i="37"/>
  <c r="V2317" i="37"/>
  <c r="K2004" i="37"/>
  <c r="W2004" i="37"/>
  <c r="W2005" i="37"/>
  <c r="W2003" i="37"/>
  <c r="K2003" i="37"/>
  <c r="M1441" i="37"/>
  <c r="Y1443" i="37"/>
  <c r="Y1442" i="37"/>
  <c r="M1442" i="37"/>
  <c r="Y1441" i="37"/>
  <c r="K1638" i="37"/>
  <c r="W1640" i="37"/>
  <c r="W1638" i="37"/>
  <c r="K1639" i="37"/>
  <c r="W1639" i="37"/>
  <c r="X2036" i="37"/>
  <c r="X2037" i="37"/>
  <c r="L2036" i="37"/>
  <c r="L2035" i="37"/>
  <c r="X2035" i="37"/>
  <c r="AC1746" i="37"/>
  <c r="I1721" i="37"/>
  <c r="AB1699" i="37"/>
  <c r="V1707" i="37"/>
  <c r="W1707" i="37"/>
  <c r="AH1707" i="37"/>
  <c r="AF1707" i="37"/>
  <c r="AI1746" i="37"/>
  <c r="AF1746" i="37"/>
  <c r="X1707" i="37"/>
  <c r="AC1707" i="37"/>
  <c r="AE1746" i="37"/>
  <c r="U1707" i="37"/>
  <c r="T1707" i="37"/>
  <c r="AG1707" i="37"/>
  <c r="AG1746" i="37"/>
  <c r="AD1746" i="37"/>
  <c r="AE1707" i="37"/>
  <c r="Y1707" i="37"/>
  <c r="AI1707" i="37"/>
  <c r="Z1707" i="37"/>
  <c r="AD1707" i="37"/>
  <c r="AH1746" i="37"/>
  <c r="Z1921" i="37"/>
  <c r="Z1920" i="37"/>
  <c r="Z1919" i="37"/>
  <c r="N1919" i="37"/>
  <c r="N1920" i="37"/>
  <c r="Y1722" i="37"/>
  <c r="M1723" i="37"/>
  <c r="Y1723" i="37"/>
  <c r="Y1724" i="37"/>
  <c r="M1722" i="37"/>
  <c r="Q343" i="41"/>
  <c r="E428" i="50"/>
  <c r="E374" i="41"/>
  <c r="Z2481" i="37"/>
  <c r="Z2482" i="37"/>
  <c r="N2482" i="37"/>
  <c r="N2481" i="37"/>
  <c r="Z2483" i="37"/>
  <c r="V2035" i="37"/>
  <c r="J2036" i="37"/>
  <c r="V2036" i="37"/>
  <c r="J2035" i="37"/>
  <c r="V2037" i="37"/>
  <c r="X1724" i="37"/>
  <c r="L1723" i="37"/>
  <c r="L1722" i="37"/>
  <c r="X1723" i="37"/>
  <c r="X1722" i="37"/>
  <c r="X2317" i="37"/>
  <c r="X2318" i="37"/>
  <c r="X2316" i="37"/>
  <c r="L2316" i="37"/>
  <c r="L2317" i="37"/>
  <c r="K2316" i="37"/>
  <c r="W2318" i="37"/>
  <c r="W2317" i="37"/>
  <c r="K2317" i="37"/>
  <c r="W2316" i="37"/>
  <c r="AH2027" i="37"/>
  <c r="I2002" i="37"/>
  <c r="AB1980" i="37"/>
  <c r="X1988" i="37"/>
  <c r="W1988" i="37"/>
  <c r="AD1988" i="37"/>
  <c r="AE2027" i="37"/>
  <c r="AC1988" i="37"/>
  <c r="AF2027" i="37"/>
  <c r="U1988" i="37"/>
  <c r="AG2027" i="37"/>
  <c r="T1988" i="37"/>
  <c r="AE1988" i="37"/>
  <c r="AG1988" i="37"/>
  <c r="AH1988" i="37"/>
  <c r="AI1988" i="37"/>
  <c r="Z1988" i="37"/>
  <c r="Y1988" i="37"/>
  <c r="AC2027" i="37"/>
  <c r="AD2027" i="37"/>
  <c r="AI2027" i="37"/>
  <c r="V1988" i="37"/>
  <c r="AF1988" i="37"/>
  <c r="Z1640" i="37"/>
  <c r="Z1638" i="37"/>
  <c r="N1638" i="37"/>
  <c r="Z1639" i="37"/>
  <c r="N1639" i="37"/>
  <c r="M2200" i="37"/>
  <c r="Y2201" i="37"/>
  <c r="Y2200" i="37"/>
  <c r="M2201" i="37"/>
  <c r="Y2202" i="37"/>
  <c r="V1638" i="37"/>
  <c r="J1638" i="37"/>
  <c r="V1640" i="37"/>
  <c r="V1639" i="37"/>
  <c r="J1639" i="37"/>
  <c r="Z2764" i="37"/>
  <c r="N2762" i="37"/>
  <c r="Z2763" i="37"/>
  <c r="N2763" i="37"/>
  <c r="Z2762" i="37"/>
  <c r="M2762" i="37"/>
  <c r="Y2764" i="37"/>
  <c r="M2763" i="37"/>
  <c r="Y2763" i="37"/>
  <c r="Y2762" i="37"/>
  <c r="I2564" i="37"/>
  <c r="AB2542" i="37"/>
  <c r="U2550" i="37"/>
  <c r="V2550" i="37"/>
  <c r="AI2550" i="37"/>
  <c r="AD2550" i="37"/>
  <c r="AH2589" i="37"/>
  <c r="T2550" i="37"/>
  <c r="AF2589" i="37"/>
  <c r="AG2550" i="37"/>
  <c r="AC2589" i="37"/>
  <c r="Z2550" i="37"/>
  <c r="AD2589" i="37"/>
  <c r="AE2589" i="37"/>
  <c r="Y2550" i="37"/>
  <c r="X2550" i="37"/>
  <c r="AC2550" i="37"/>
  <c r="AF2550" i="37"/>
  <c r="AI2589" i="37"/>
  <c r="AG2589" i="37"/>
  <c r="W2550" i="37"/>
  <c r="AH2550" i="37"/>
  <c r="AE2550" i="37"/>
  <c r="Y2482" i="37"/>
  <c r="M2482" i="37"/>
  <c r="M2481" i="37"/>
  <c r="Y2481" i="37"/>
  <c r="Y2483" i="37"/>
  <c r="Y2008" i="37"/>
  <c r="Z2008" i="37"/>
  <c r="X2008" i="37"/>
  <c r="W2008" i="37"/>
  <c r="V2008" i="37"/>
  <c r="W2037" i="37"/>
  <c r="W2036" i="37"/>
  <c r="K2035" i="37"/>
  <c r="K2036" i="37"/>
  <c r="W2035" i="37"/>
  <c r="M1639" i="37"/>
  <c r="Y1639" i="37"/>
  <c r="Y1638" i="37"/>
  <c r="Y1640" i="37"/>
  <c r="M1638" i="37"/>
  <c r="W1473" i="37"/>
  <c r="W1474" i="37"/>
  <c r="K1474" i="37"/>
  <c r="K1473" i="37"/>
  <c r="W1475" i="37"/>
  <c r="Z2037" i="37"/>
  <c r="Z2035" i="37"/>
  <c r="N2036" i="37"/>
  <c r="Z2036" i="37"/>
  <c r="N2035" i="37"/>
  <c r="X2004" i="37"/>
  <c r="X2003" i="37"/>
  <c r="L2003" i="37"/>
  <c r="L2004" i="37"/>
  <c r="X2005" i="37"/>
  <c r="E426" i="50"/>
  <c r="Q341" i="41"/>
  <c r="E372" i="41"/>
  <c r="W1754" i="37"/>
  <c r="K1755" i="37"/>
  <c r="K1754" i="37"/>
  <c r="W1755" i="37"/>
  <c r="W1756" i="37"/>
  <c r="Z1755" i="37"/>
  <c r="N1754" i="37"/>
  <c r="Z1756" i="37"/>
  <c r="N1755" i="37"/>
  <c r="Z1754" i="37"/>
  <c r="Y1756" i="37"/>
  <c r="Y1754" i="37"/>
  <c r="M1755" i="37"/>
  <c r="M1754" i="37"/>
  <c r="Y1755" i="37"/>
  <c r="Z2317" i="37"/>
  <c r="N2317" i="37"/>
  <c r="Z2316" i="37"/>
  <c r="Z2318" i="37"/>
  <c r="N2316" i="37"/>
  <c r="J2201" i="37"/>
  <c r="V2201" i="37"/>
  <c r="V2200" i="37"/>
  <c r="J2200" i="37"/>
  <c r="V2202" i="37"/>
  <c r="L1919" i="37"/>
  <c r="L1920" i="37"/>
  <c r="X1919" i="37"/>
  <c r="X1920" i="37"/>
  <c r="X1921" i="37"/>
  <c r="L2565" i="37"/>
  <c r="X2566" i="37"/>
  <c r="X2565" i="37"/>
  <c r="L2566" i="37"/>
  <c r="X2567" i="37"/>
  <c r="Z1727" i="37"/>
  <c r="Y1727" i="37"/>
  <c r="W1727" i="37"/>
  <c r="V1727" i="37"/>
  <c r="X1727" i="37"/>
  <c r="Z1474" i="37"/>
  <c r="N1473" i="37"/>
  <c r="N1474" i="37"/>
  <c r="Z1475" i="37"/>
  <c r="Z1473" i="37"/>
  <c r="M2036" i="37"/>
  <c r="Y2035" i="37"/>
  <c r="Y2036" i="37"/>
  <c r="M2035" i="37"/>
  <c r="Y2037" i="37"/>
  <c r="X1443" i="37"/>
  <c r="X1442" i="37"/>
  <c r="X1441" i="37"/>
  <c r="L1442" i="37"/>
  <c r="L1441" i="37"/>
  <c r="Z2567" i="37"/>
  <c r="N2566" i="37"/>
  <c r="Z2566" i="37"/>
  <c r="N2565" i="37"/>
  <c r="Z2565" i="37"/>
  <c r="M2598" i="37"/>
  <c r="Y2598" i="37"/>
  <c r="Y2599" i="37"/>
  <c r="M2597" i="37"/>
  <c r="Y2597" i="37"/>
  <c r="E373" i="41"/>
  <c r="E427" i="50"/>
  <c r="Q342" i="41"/>
  <c r="V2598" i="37"/>
  <c r="J2598" i="37"/>
  <c r="J2597" i="37"/>
  <c r="V2597" i="37"/>
  <c r="V2599" i="37"/>
  <c r="W2764" i="37"/>
  <c r="K2763" i="37"/>
  <c r="K2762" i="37"/>
  <c r="W2762" i="37"/>
  <c r="W2763" i="37"/>
  <c r="J1754" i="37"/>
  <c r="J1755" i="37"/>
  <c r="V1756" i="37"/>
  <c r="V1754" i="37"/>
  <c r="V1755" i="37"/>
  <c r="V2286" i="37"/>
  <c r="J2284" i="37"/>
  <c r="J2285" i="37"/>
  <c r="V2285" i="37"/>
  <c r="V2284" i="37"/>
  <c r="Y1473" i="37"/>
  <c r="M1474" i="37"/>
  <c r="M1473" i="37"/>
  <c r="Y1475" i="37"/>
  <c r="Y1474" i="37"/>
  <c r="V2289" i="37"/>
  <c r="X2289" i="37"/>
  <c r="Y2289" i="37"/>
  <c r="Z2289" i="37"/>
  <c r="W2289" i="37"/>
  <c r="N2200" i="37"/>
  <c r="N2201" i="37"/>
  <c r="Z2200" i="37"/>
  <c r="Z2201" i="37"/>
  <c r="Z2202" i="37"/>
  <c r="X2202" i="37"/>
  <c r="X2200" i="37"/>
  <c r="X2201" i="37"/>
  <c r="L2200" i="37"/>
  <c r="L2201" i="37"/>
  <c r="Q344" i="41"/>
  <c r="E429" i="50"/>
  <c r="E375" i="41"/>
  <c r="W1723" i="37"/>
  <c r="W1722" i="37"/>
  <c r="K1722" i="37"/>
  <c r="W1724" i="37"/>
  <c r="K1723" i="37"/>
  <c r="Z1723" i="37"/>
  <c r="Z1724" i="37"/>
  <c r="N1723" i="37"/>
  <c r="N1722" i="37"/>
  <c r="Z1722" i="37"/>
  <c r="N2284" i="37"/>
  <c r="N2285" i="37"/>
  <c r="Z2286" i="37"/>
  <c r="Z2285" i="37"/>
  <c r="Z2284" i="37"/>
  <c r="X2286" i="37"/>
  <c r="X2285" i="37"/>
  <c r="X2284" i="37"/>
  <c r="L2285" i="37"/>
  <c r="L2284" i="37"/>
  <c r="V2269" i="37"/>
  <c r="I2283" i="37"/>
  <c r="AB2261" i="37"/>
  <c r="X2269" i="37"/>
  <c r="Z2269" i="37"/>
  <c r="AD2308" i="37"/>
  <c r="AG2308" i="37"/>
  <c r="AG2269" i="37"/>
  <c r="AF2308" i="37"/>
  <c r="AC2308" i="37"/>
  <c r="W2269" i="37"/>
  <c r="AH2308" i="37"/>
  <c r="Y2269" i="37"/>
  <c r="AC2269" i="37"/>
  <c r="AI2269" i="37"/>
  <c r="AE2308" i="37"/>
  <c r="AI2308" i="37"/>
  <c r="T2269" i="37"/>
  <c r="AF2269" i="37"/>
  <c r="AH2269" i="37"/>
  <c r="U2269" i="37"/>
  <c r="AE2269" i="37"/>
  <c r="AD2269" i="37"/>
  <c r="Z1446" i="37"/>
  <c r="X1446" i="37"/>
  <c r="Y1446" i="37"/>
  <c r="V1446" i="37"/>
  <c r="W1446" i="37"/>
  <c r="Q280" i="34"/>
  <c r="T280" i="34" s="1"/>
  <c r="AK2550" i="37" l="1"/>
  <c r="H2476" i="37"/>
  <c r="T2508" i="37"/>
  <c r="T2499" i="37"/>
  <c r="T2434" i="37"/>
  <c r="T2442" i="37"/>
  <c r="T2424" i="37"/>
  <c r="T2402" i="37"/>
  <c r="T2375" i="37"/>
  <c r="T2414" i="37"/>
  <c r="T2514" i="37"/>
  <c r="AK2269" i="37"/>
  <c r="AK2308" i="37"/>
  <c r="AC2424" i="37"/>
  <c r="AC2452" i="37"/>
  <c r="AC2514" i="37"/>
  <c r="AC2528" i="37"/>
  <c r="AC2398" i="37"/>
  <c r="AC2375" i="37"/>
  <c r="AC2437" i="37"/>
  <c r="AC2340" i="37"/>
  <c r="AC2433" i="37"/>
  <c r="AC2383" i="37"/>
  <c r="AC2520" i="37"/>
  <c r="AD2514" i="37"/>
  <c r="AD2528" i="37"/>
  <c r="AD2424" i="37"/>
  <c r="AD2433" i="37"/>
  <c r="AD2434" i="37" s="1"/>
  <c r="AD2437" i="37"/>
  <c r="AD2398" i="37"/>
  <c r="AD2375" i="37"/>
  <c r="AD2340" i="37"/>
  <c r="AD2341" i="37" s="1"/>
  <c r="AD2342" i="37" s="1"/>
  <c r="AD2343" i="37" s="1"/>
  <c r="AD2344" i="37" s="1"/>
  <c r="AD2345" i="37" s="1"/>
  <c r="AD2346" i="37" s="1"/>
  <c r="AD2347" i="37" s="1"/>
  <c r="AD2348" i="37" s="1"/>
  <c r="AD2349" i="37" s="1"/>
  <c r="AD2452" i="37"/>
  <c r="AD2383" i="37"/>
  <c r="AD2384" i="37" s="1"/>
  <c r="AD2520" i="37"/>
  <c r="Q372" i="41"/>
  <c r="E452" i="50"/>
  <c r="AF2733" i="37"/>
  <c r="AF2809" i="37"/>
  <c r="AF2718" i="37"/>
  <c r="AF2705" i="37"/>
  <c r="AF2621" i="37"/>
  <c r="AF2622" i="37" s="1"/>
  <c r="AF2623" i="37" s="1"/>
  <c r="AF2624" i="37" s="1"/>
  <c r="AF2625" i="37" s="1"/>
  <c r="AF2626" i="37" s="1"/>
  <c r="AF2627" i="37" s="1"/>
  <c r="AF2628" i="37" s="1"/>
  <c r="AF2629" i="37" s="1"/>
  <c r="AF2630" i="37" s="1"/>
  <c r="AF2679" i="37"/>
  <c r="AF2714" i="37"/>
  <c r="AF2715" i="37" s="1"/>
  <c r="AF2656" i="37"/>
  <c r="AF2664" i="37"/>
  <c r="AF2665" i="37" s="1"/>
  <c r="AF2795" i="37"/>
  <c r="AF2801" i="37"/>
  <c r="U2424" i="37"/>
  <c r="U2514" i="37"/>
  <c r="U2442" i="37"/>
  <c r="U2508" i="37"/>
  <c r="U2414" i="37"/>
  <c r="U2375" i="37"/>
  <c r="I2476" i="37"/>
  <c r="U2402" i="37"/>
  <c r="U2434" i="37"/>
  <c r="U2499" i="37"/>
  <c r="Y2292" i="37"/>
  <c r="Y2499" i="37"/>
  <c r="M2476" i="37"/>
  <c r="Y2375" i="37"/>
  <c r="Y2424" i="37"/>
  <c r="Y2434" i="37"/>
  <c r="Y2324" i="37"/>
  <c r="Y2402" i="37"/>
  <c r="Y2442" i="37"/>
  <c r="Y2414" i="37"/>
  <c r="Y2514" i="37"/>
  <c r="Y2508" i="37"/>
  <c r="AF2452" i="37"/>
  <c r="AF2437" i="37"/>
  <c r="AF2433" i="37"/>
  <c r="AF2434" i="37" s="1"/>
  <c r="AF2383" i="37"/>
  <c r="AF2384" i="37" s="1"/>
  <c r="AF2340" i="37"/>
  <c r="AF2341" i="37" s="1"/>
  <c r="AF2342" i="37" s="1"/>
  <c r="AF2343" i="37" s="1"/>
  <c r="AF2344" i="37" s="1"/>
  <c r="AF2345" i="37" s="1"/>
  <c r="AF2346" i="37" s="1"/>
  <c r="AF2347" i="37" s="1"/>
  <c r="AF2348" i="37" s="1"/>
  <c r="AF2349" i="37" s="1"/>
  <c r="AF2514" i="37"/>
  <c r="AF2375" i="37"/>
  <c r="AF2398" i="37"/>
  <c r="AF2528" i="37"/>
  <c r="AF2424" i="37"/>
  <c r="AF2520" i="37"/>
  <c r="N2476" i="37"/>
  <c r="Z2442" i="37"/>
  <c r="Z2414" i="37"/>
  <c r="Z2324" i="37"/>
  <c r="Z2499" i="37"/>
  <c r="Z2424" i="37"/>
  <c r="Z2402" i="37"/>
  <c r="Z2292" i="37"/>
  <c r="Z2514" i="37"/>
  <c r="Z2375" i="37"/>
  <c r="Z2508" i="37"/>
  <c r="Z2434" i="37"/>
  <c r="W2573" i="37"/>
  <c r="W2789" i="37"/>
  <c r="W2683" i="37"/>
  <c r="W2705" i="37"/>
  <c r="W2695" i="37"/>
  <c r="W2656" i="37"/>
  <c r="W2795" i="37"/>
  <c r="W2605" i="37"/>
  <c r="W2723" i="37"/>
  <c r="W2715" i="37"/>
  <c r="K2757" i="37"/>
  <c r="W2780" i="37"/>
  <c r="AD2795" i="37"/>
  <c r="AD2733" i="37"/>
  <c r="AD2705" i="37"/>
  <c r="AD2809" i="37"/>
  <c r="AD2679" i="37"/>
  <c r="AD2621" i="37"/>
  <c r="AD2622" i="37" s="1"/>
  <c r="AD2623" i="37" s="1"/>
  <c r="AD2624" i="37" s="1"/>
  <c r="AD2625" i="37" s="1"/>
  <c r="AD2626" i="37" s="1"/>
  <c r="AD2627" i="37" s="1"/>
  <c r="AD2628" i="37" s="1"/>
  <c r="AD2629" i="37" s="1"/>
  <c r="AD2630" i="37" s="1"/>
  <c r="AD2656" i="37"/>
  <c r="AD2714" i="37"/>
  <c r="AD2715" i="37" s="1"/>
  <c r="AD2664" i="37"/>
  <c r="AD2665" i="37" s="1"/>
  <c r="AD2718" i="37"/>
  <c r="AD2801" i="37"/>
  <c r="V2143" i="37"/>
  <c r="V2133" i="37"/>
  <c r="V2094" i="37"/>
  <c r="V2011" i="37"/>
  <c r="V2153" i="37"/>
  <c r="V2218" i="37"/>
  <c r="V2233" i="37"/>
  <c r="J2195" i="37"/>
  <c r="V2161" i="37"/>
  <c r="V2227" i="37"/>
  <c r="V2043" i="37"/>
  <c r="V2121" i="37"/>
  <c r="Y2094" i="37"/>
  <c r="Y2227" i="37"/>
  <c r="Y2233" i="37"/>
  <c r="Y2121" i="37"/>
  <c r="Y2133" i="37"/>
  <c r="Y2143" i="37"/>
  <c r="Y2153" i="37"/>
  <c r="Y2043" i="37"/>
  <c r="Y2011" i="37"/>
  <c r="Y2161" i="37"/>
  <c r="M2195" i="37"/>
  <c r="Y2218" i="37"/>
  <c r="U2121" i="37"/>
  <c r="U2153" i="37"/>
  <c r="U2218" i="37"/>
  <c r="U2094" i="37"/>
  <c r="U2233" i="37"/>
  <c r="U2133" i="37"/>
  <c r="U2143" i="37"/>
  <c r="U2227" i="37"/>
  <c r="U2161" i="37"/>
  <c r="I2195" i="37"/>
  <c r="T1937" i="37"/>
  <c r="T1952" i="37"/>
  <c r="T1872" i="37"/>
  <c r="T1840" i="37"/>
  <c r="T1880" i="37"/>
  <c r="T1813" i="37"/>
  <c r="H1914" i="37"/>
  <c r="T1862" i="37"/>
  <c r="T1946" i="37"/>
  <c r="T1852" i="37"/>
  <c r="X1762" i="37"/>
  <c r="X1937" i="37"/>
  <c r="X1872" i="37"/>
  <c r="X1840" i="37"/>
  <c r="X1862" i="37"/>
  <c r="X1952" i="37"/>
  <c r="X1946" i="37"/>
  <c r="X1730" i="37"/>
  <c r="X1852" i="37"/>
  <c r="X1880" i="37"/>
  <c r="L1914" i="37"/>
  <c r="X1813" i="37"/>
  <c r="U1591" i="37"/>
  <c r="U1665" i="37"/>
  <c r="U1656" i="37"/>
  <c r="U1559" i="37"/>
  <c r="I1633" i="37"/>
  <c r="U1599" i="37"/>
  <c r="U1581" i="37"/>
  <c r="U1571" i="37"/>
  <c r="U1532" i="37"/>
  <c r="U1671" i="37"/>
  <c r="T1671" i="37"/>
  <c r="T1571" i="37"/>
  <c r="T1599" i="37"/>
  <c r="T1591" i="37"/>
  <c r="T1656" i="37"/>
  <c r="H1633" i="37"/>
  <c r="T1665" i="37"/>
  <c r="T1532" i="37"/>
  <c r="T1559" i="37"/>
  <c r="T1581" i="37"/>
  <c r="AH1609" i="37"/>
  <c r="AH1532" i="37"/>
  <c r="AH1581" i="37"/>
  <c r="AH1497" i="37"/>
  <c r="AH1498" i="37" s="1"/>
  <c r="AH1499" i="37" s="1"/>
  <c r="AH1500" i="37" s="1"/>
  <c r="AH1501" i="37" s="1"/>
  <c r="AH1502" i="37" s="1"/>
  <c r="AH1503" i="37" s="1"/>
  <c r="AH1504" i="37" s="1"/>
  <c r="AH1505" i="37" s="1"/>
  <c r="AH1506" i="37" s="1"/>
  <c r="AH1594" i="37"/>
  <c r="AH1685" i="37"/>
  <c r="AH1671" i="37"/>
  <c r="AH1540" i="37"/>
  <c r="AH1541" i="37" s="1"/>
  <c r="AH1555" i="37"/>
  <c r="AH1590" i="37"/>
  <c r="AH1591" i="37" s="1"/>
  <c r="AH1677" i="37"/>
  <c r="AE1671" i="37"/>
  <c r="AE1609" i="37"/>
  <c r="AE1555" i="37"/>
  <c r="AE1532" i="37"/>
  <c r="AE1685" i="37"/>
  <c r="AE1497" i="37"/>
  <c r="AE1498" i="37" s="1"/>
  <c r="AE1499" i="37" s="1"/>
  <c r="AE1500" i="37" s="1"/>
  <c r="AE1501" i="37" s="1"/>
  <c r="AE1502" i="37" s="1"/>
  <c r="AE1503" i="37" s="1"/>
  <c r="AE1504" i="37" s="1"/>
  <c r="AE1505" i="37" s="1"/>
  <c r="AE1506" i="37" s="1"/>
  <c r="AE1540" i="37"/>
  <c r="AE1541" i="37" s="1"/>
  <c r="AE1581" i="37"/>
  <c r="AE1594" i="37"/>
  <c r="AE1590" i="37"/>
  <c r="AE1591" i="37" s="1"/>
  <c r="AE1677" i="37"/>
  <c r="AC1540" i="37"/>
  <c r="AC1594" i="37"/>
  <c r="AC1581" i="37"/>
  <c r="AC1532" i="37"/>
  <c r="AC1590" i="37"/>
  <c r="AC1555" i="37"/>
  <c r="AC1671" i="37"/>
  <c r="AC1609" i="37"/>
  <c r="AK1465" i="37"/>
  <c r="AC1685" i="37"/>
  <c r="AC1497" i="37"/>
  <c r="AC1677" i="37"/>
  <c r="AI2424" i="37"/>
  <c r="AI2528" i="37"/>
  <c r="AI2433" i="37"/>
  <c r="AI2434" i="37" s="1"/>
  <c r="AI2375" i="37"/>
  <c r="AI2514" i="37"/>
  <c r="AI2398" i="37"/>
  <c r="AI2452" i="37"/>
  <c r="AI2340" i="37"/>
  <c r="AI2341" i="37" s="1"/>
  <c r="AI2342" i="37" s="1"/>
  <c r="AI2343" i="37" s="1"/>
  <c r="AI2344" i="37" s="1"/>
  <c r="AI2345" i="37" s="1"/>
  <c r="AI2346" i="37" s="1"/>
  <c r="AI2347" i="37" s="1"/>
  <c r="AI2348" i="37" s="1"/>
  <c r="AI2349" i="37" s="1"/>
  <c r="AI2383" i="37"/>
  <c r="AI2384" i="37" s="1"/>
  <c r="AI2437" i="37"/>
  <c r="AI2520" i="37"/>
  <c r="AG2714" i="37"/>
  <c r="AG2715" i="37" s="1"/>
  <c r="AG2795" i="37"/>
  <c r="AG2621" i="37"/>
  <c r="AG2622" i="37" s="1"/>
  <c r="AG2623" i="37" s="1"/>
  <c r="AG2624" i="37" s="1"/>
  <c r="AG2625" i="37" s="1"/>
  <c r="AG2626" i="37" s="1"/>
  <c r="AG2627" i="37" s="1"/>
  <c r="AG2628" i="37" s="1"/>
  <c r="AG2629" i="37" s="1"/>
  <c r="AG2630" i="37" s="1"/>
  <c r="AG2733" i="37"/>
  <c r="AG2705" i="37"/>
  <c r="AG2679" i="37"/>
  <c r="AG2718" i="37"/>
  <c r="AG2656" i="37"/>
  <c r="AG2664" i="37"/>
  <c r="AG2665" i="37" s="1"/>
  <c r="AG2809" i="37"/>
  <c r="AG2801" i="37"/>
  <c r="X2795" i="37"/>
  <c r="X2656" i="37"/>
  <c r="X2789" i="37"/>
  <c r="X2780" i="37"/>
  <c r="X2715" i="37"/>
  <c r="X2723" i="37"/>
  <c r="X2683" i="37"/>
  <c r="X2605" i="37"/>
  <c r="X2705" i="37"/>
  <c r="L2757" i="37"/>
  <c r="X2695" i="37"/>
  <c r="X2573" i="37"/>
  <c r="Z2780" i="37"/>
  <c r="Z2789" i="37"/>
  <c r="Z2656" i="37"/>
  <c r="Z2715" i="37"/>
  <c r="Z2705" i="37"/>
  <c r="Z2795" i="37"/>
  <c r="Z2695" i="37"/>
  <c r="N2757" i="37"/>
  <c r="Z2605" i="37"/>
  <c r="Z2723" i="37"/>
  <c r="Z2573" i="37"/>
  <c r="Z2683" i="37"/>
  <c r="T2695" i="37"/>
  <c r="H2757" i="37"/>
  <c r="T2715" i="37"/>
  <c r="T2705" i="37"/>
  <c r="T2789" i="37"/>
  <c r="T2683" i="37"/>
  <c r="T2780" i="37"/>
  <c r="T2723" i="37"/>
  <c r="T2795" i="37"/>
  <c r="T2656" i="37"/>
  <c r="V2723" i="37"/>
  <c r="V2780" i="37"/>
  <c r="V2683" i="37"/>
  <c r="V2705" i="37"/>
  <c r="V2573" i="37"/>
  <c r="V2789" i="37"/>
  <c r="J2757" i="37"/>
  <c r="V2605" i="37"/>
  <c r="V2695" i="37"/>
  <c r="V2656" i="37"/>
  <c r="V2715" i="37"/>
  <c r="V2795" i="37"/>
  <c r="AI2247" i="37"/>
  <c r="AI2143" i="37"/>
  <c r="AI2059" i="37"/>
  <c r="AI2060" i="37" s="1"/>
  <c r="AI2061" i="37" s="1"/>
  <c r="AI2062" i="37" s="1"/>
  <c r="AI2063" i="37" s="1"/>
  <c r="AI2064" i="37" s="1"/>
  <c r="AI2065" i="37" s="1"/>
  <c r="AI2066" i="37" s="1"/>
  <c r="AI2067" i="37" s="1"/>
  <c r="AI2068" i="37" s="1"/>
  <c r="AI2152" i="37"/>
  <c r="AI2153" i="37" s="1"/>
  <c r="AI2094" i="37"/>
  <c r="AI2233" i="37"/>
  <c r="AI2117" i="37"/>
  <c r="AI2102" i="37"/>
  <c r="AI2103" i="37" s="1"/>
  <c r="AI2171" i="37"/>
  <c r="AI2156" i="37"/>
  <c r="AI2239" i="37"/>
  <c r="Z2227" i="37"/>
  <c r="Z2153" i="37"/>
  <c r="Z2143" i="37"/>
  <c r="Z2011" i="37"/>
  <c r="Z2218" i="37"/>
  <c r="Z2161" i="37"/>
  <c r="Z2094" i="37"/>
  <c r="Z2233" i="37"/>
  <c r="Z2043" i="37"/>
  <c r="Z2133" i="37"/>
  <c r="N2195" i="37"/>
  <c r="Z2121" i="37"/>
  <c r="AF2171" i="37"/>
  <c r="AF2156" i="37"/>
  <c r="AF2247" i="37"/>
  <c r="AF2102" i="37"/>
  <c r="AF2103" i="37" s="1"/>
  <c r="AF2152" i="37"/>
  <c r="AF2153" i="37" s="1"/>
  <c r="AF2094" i="37"/>
  <c r="AF2233" i="37"/>
  <c r="AF2143" i="37"/>
  <c r="AF2117" i="37"/>
  <c r="AF2059" i="37"/>
  <c r="AF2060" i="37" s="1"/>
  <c r="AF2061" i="37" s="1"/>
  <c r="AF2062" i="37" s="1"/>
  <c r="AF2063" i="37" s="1"/>
  <c r="AF2064" i="37" s="1"/>
  <c r="AF2065" i="37" s="1"/>
  <c r="AF2066" i="37" s="1"/>
  <c r="AF2067" i="37" s="1"/>
  <c r="AF2068" i="37" s="1"/>
  <c r="AF2239" i="37"/>
  <c r="W2218" i="37"/>
  <c r="K2195" i="37"/>
  <c r="W2233" i="37"/>
  <c r="W2161" i="37"/>
  <c r="W2153" i="37"/>
  <c r="W2121" i="37"/>
  <c r="W2043" i="37"/>
  <c r="W2143" i="37"/>
  <c r="W2011" i="37"/>
  <c r="W2227" i="37"/>
  <c r="W2094" i="37"/>
  <c r="W2133" i="37"/>
  <c r="N1914" i="37"/>
  <c r="Z1952" i="37"/>
  <c r="Z1872" i="37"/>
  <c r="Z1840" i="37"/>
  <c r="Z1937" i="37"/>
  <c r="Z1880" i="37"/>
  <c r="Z1762" i="37"/>
  <c r="Z1852" i="37"/>
  <c r="Z1813" i="37"/>
  <c r="Z1862" i="37"/>
  <c r="Z1946" i="37"/>
  <c r="Z1730" i="37"/>
  <c r="AD1813" i="37"/>
  <c r="AD1952" i="37"/>
  <c r="AD1966" i="37"/>
  <c r="AD1875" i="37"/>
  <c r="AD1871" i="37"/>
  <c r="AD1872" i="37" s="1"/>
  <c r="AD1862" i="37"/>
  <c r="AD1821" i="37"/>
  <c r="AD1822" i="37" s="1"/>
  <c r="AD1778" i="37"/>
  <c r="AD1779" i="37" s="1"/>
  <c r="AD1780" i="37" s="1"/>
  <c r="AD1781" i="37" s="1"/>
  <c r="AD1782" i="37" s="1"/>
  <c r="AD1783" i="37" s="1"/>
  <c r="AD1784" i="37" s="1"/>
  <c r="AD1785" i="37" s="1"/>
  <c r="AD1786" i="37" s="1"/>
  <c r="AD1787" i="37" s="1"/>
  <c r="AD1836" i="37"/>
  <c r="AD1890" i="37"/>
  <c r="AD1958" i="37"/>
  <c r="U1872" i="37"/>
  <c r="U1840" i="37"/>
  <c r="U1952" i="37"/>
  <c r="U1852" i="37"/>
  <c r="U1862" i="37"/>
  <c r="U1946" i="37"/>
  <c r="U1880" i="37"/>
  <c r="I1914" i="37"/>
  <c r="U1813" i="37"/>
  <c r="U1937" i="37"/>
  <c r="AF1875" i="37"/>
  <c r="AF1890" i="37"/>
  <c r="AF1862" i="37"/>
  <c r="AF1952" i="37"/>
  <c r="AF1966" i="37"/>
  <c r="AF1836" i="37"/>
  <c r="AF1813" i="37"/>
  <c r="AF1821" i="37"/>
  <c r="AF1822" i="37" s="1"/>
  <c r="AF1871" i="37"/>
  <c r="AF1872" i="37" s="1"/>
  <c r="AF1778" i="37"/>
  <c r="AF1779" i="37" s="1"/>
  <c r="AF1780" i="37" s="1"/>
  <c r="AF1781" i="37" s="1"/>
  <c r="AF1782" i="37" s="1"/>
  <c r="AF1783" i="37" s="1"/>
  <c r="AF1784" i="37" s="1"/>
  <c r="AF1785" i="37" s="1"/>
  <c r="AF1786" i="37" s="1"/>
  <c r="AF1787" i="37" s="1"/>
  <c r="AF1958" i="37"/>
  <c r="W1840" i="37"/>
  <c r="K1914" i="37"/>
  <c r="W1937" i="37"/>
  <c r="W1730" i="37"/>
  <c r="W1872" i="37"/>
  <c r="W1862" i="37"/>
  <c r="W1946" i="37"/>
  <c r="W1813" i="37"/>
  <c r="W1952" i="37"/>
  <c r="W1762" i="37"/>
  <c r="W1852" i="37"/>
  <c r="W1880" i="37"/>
  <c r="Z1665" i="37"/>
  <c r="Z1656" i="37"/>
  <c r="Z1591" i="37"/>
  <c r="Z1449" i="37"/>
  <c r="N1633" i="37"/>
  <c r="Z1571" i="37"/>
  <c r="Z1581" i="37"/>
  <c r="Z1532" i="37"/>
  <c r="Z1671" i="37"/>
  <c r="Z1481" i="37"/>
  <c r="Z1559" i="37"/>
  <c r="Z1599" i="37"/>
  <c r="AK1426" i="37"/>
  <c r="AI1671" i="37"/>
  <c r="AI1581" i="37"/>
  <c r="AI1609" i="37"/>
  <c r="AI1590" i="37"/>
  <c r="AI1591" i="37" s="1"/>
  <c r="AI1685" i="37"/>
  <c r="AI1532" i="37"/>
  <c r="AI1594" i="37"/>
  <c r="AI1497" i="37"/>
  <c r="AI1498" i="37" s="1"/>
  <c r="AI1499" i="37" s="1"/>
  <c r="AI1500" i="37" s="1"/>
  <c r="AI1501" i="37" s="1"/>
  <c r="AI1502" i="37" s="1"/>
  <c r="AI1503" i="37" s="1"/>
  <c r="AI1504" i="37" s="1"/>
  <c r="AI1505" i="37" s="1"/>
  <c r="AI1506" i="37" s="1"/>
  <c r="AI1540" i="37"/>
  <c r="AI1541" i="37" s="1"/>
  <c r="AI1555" i="37"/>
  <c r="AI1677" i="37"/>
  <c r="AE2452" i="37"/>
  <c r="AE2514" i="37"/>
  <c r="AE2528" i="37"/>
  <c r="AE2398" i="37"/>
  <c r="AE2433" i="37"/>
  <c r="AE2434" i="37" s="1"/>
  <c r="AE2340" i="37"/>
  <c r="AE2341" i="37" s="1"/>
  <c r="AE2342" i="37" s="1"/>
  <c r="AE2343" i="37" s="1"/>
  <c r="AE2344" i="37" s="1"/>
  <c r="AE2345" i="37" s="1"/>
  <c r="AE2346" i="37" s="1"/>
  <c r="AE2347" i="37" s="1"/>
  <c r="AE2348" i="37" s="1"/>
  <c r="AE2349" i="37" s="1"/>
  <c r="AE2383" i="37"/>
  <c r="AE2384" i="37" s="1"/>
  <c r="AE2375" i="37"/>
  <c r="AE2424" i="37"/>
  <c r="AE2437" i="37"/>
  <c r="AE2520" i="37"/>
  <c r="AH2375" i="37"/>
  <c r="AH2424" i="37"/>
  <c r="AH2383" i="37"/>
  <c r="AH2384" i="37" s="1"/>
  <c r="AH2398" i="37"/>
  <c r="AH2528" i="37"/>
  <c r="AH2437" i="37"/>
  <c r="AH2514" i="37"/>
  <c r="AH2340" i="37"/>
  <c r="AH2341" i="37" s="1"/>
  <c r="AH2342" i="37" s="1"/>
  <c r="AH2343" i="37" s="1"/>
  <c r="AH2344" i="37" s="1"/>
  <c r="AH2345" i="37" s="1"/>
  <c r="AH2346" i="37" s="1"/>
  <c r="AH2347" i="37" s="1"/>
  <c r="AH2348" i="37" s="1"/>
  <c r="AH2349" i="37" s="1"/>
  <c r="AH2433" i="37"/>
  <c r="AH2434" i="37" s="1"/>
  <c r="AH2452" i="37"/>
  <c r="AH2520" i="37"/>
  <c r="X2499" i="37"/>
  <c r="X2414" i="37"/>
  <c r="X2442" i="37"/>
  <c r="X2424" i="37"/>
  <c r="X2292" i="37"/>
  <c r="X2434" i="37"/>
  <c r="L2476" i="37"/>
  <c r="X2324" i="37"/>
  <c r="X2375" i="37"/>
  <c r="X2508" i="37"/>
  <c r="X2514" i="37"/>
  <c r="X2402" i="37"/>
  <c r="V2514" i="37"/>
  <c r="V2434" i="37"/>
  <c r="V2442" i="37"/>
  <c r="V2402" i="37"/>
  <c r="V2424" i="37"/>
  <c r="V2375" i="37"/>
  <c r="V2499" i="37"/>
  <c r="V2508" i="37"/>
  <c r="V2414" i="37"/>
  <c r="J2476" i="37"/>
  <c r="V2292" i="37"/>
  <c r="V2324" i="37"/>
  <c r="Q375" i="41"/>
  <c r="E455" i="50"/>
  <c r="AI2718" i="37"/>
  <c r="AI2733" i="37"/>
  <c r="AI2714" i="37"/>
  <c r="AI2715" i="37" s="1"/>
  <c r="AI2664" i="37"/>
  <c r="AI2665" i="37" s="1"/>
  <c r="AI2809" i="37"/>
  <c r="AI2679" i="37"/>
  <c r="AI2705" i="37"/>
  <c r="AI2621" i="37"/>
  <c r="AI2622" i="37" s="1"/>
  <c r="AI2623" i="37" s="1"/>
  <c r="AI2624" i="37" s="1"/>
  <c r="AI2625" i="37" s="1"/>
  <c r="AI2626" i="37" s="1"/>
  <c r="AI2627" i="37" s="1"/>
  <c r="AI2628" i="37" s="1"/>
  <c r="AI2629" i="37" s="1"/>
  <c r="AI2630" i="37" s="1"/>
  <c r="AI2656" i="37"/>
  <c r="AI2795" i="37"/>
  <c r="AI2801" i="37"/>
  <c r="Y2573" i="37"/>
  <c r="Y2780" i="37"/>
  <c r="Y2683" i="37"/>
  <c r="Y2789" i="37"/>
  <c r="Y2695" i="37"/>
  <c r="Y2795" i="37"/>
  <c r="M2757" i="37"/>
  <c r="Y2723" i="37"/>
  <c r="Y2705" i="37"/>
  <c r="Y2715" i="37"/>
  <c r="Y2605" i="37"/>
  <c r="Y2656" i="37"/>
  <c r="AC2795" i="37"/>
  <c r="AC2718" i="37"/>
  <c r="AC2705" i="37"/>
  <c r="AK2589" i="37"/>
  <c r="AC2809" i="37"/>
  <c r="AC2733" i="37"/>
  <c r="AC2679" i="37"/>
  <c r="AC2714" i="37"/>
  <c r="AC2656" i="37"/>
  <c r="AC2664" i="37"/>
  <c r="AC2621" i="37"/>
  <c r="AC2801" i="37"/>
  <c r="AH2809" i="37"/>
  <c r="AH2795" i="37"/>
  <c r="AH2656" i="37"/>
  <c r="AH2714" i="37"/>
  <c r="AH2715" i="37" s="1"/>
  <c r="AH2733" i="37"/>
  <c r="AH2718" i="37"/>
  <c r="AH2664" i="37"/>
  <c r="AH2665" i="37" s="1"/>
  <c r="AH2679" i="37"/>
  <c r="AH2705" i="37"/>
  <c r="AH2621" i="37"/>
  <c r="AH2622" i="37" s="1"/>
  <c r="AH2623" i="37" s="1"/>
  <c r="AH2624" i="37" s="1"/>
  <c r="AH2625" i="37" s="1"/>
  <c r="AH2626" i="37" s="1"/>
  <c r="AH2627" i="37" s="1"/>
  <c r="AH2628" i="37" s="1"/>
  <c r="AH2629" i="37" s="1"/>
  <c r="AH2630" i="37" s="1"/>
  <c r="AH2801" i="37"/>
  <c r="U2683" i="37"/>
  <c r="U2789" i="37"/>
  <c r="U2705" i="37"/>
  <c r="U2780" i="37"/>
  <c r="U2715" i="37"/>
  <c r="U2695" i="37"/>
  <c r="U2723" i="37"/>
  <c r="I2757" i="37"/>
  <c r="U2656" i="37"/>
  <c r="U2795" i="37"/>
  <c r="AD2233" i="37"/>
  <c r="AD2247" i="37"/>
  <c r="AD2102" i="37"/>
  <c r="AD2103" i="37" s="1"/>
  <c r="AD2156" i="37"/>
  <c r="AD2059" i="37"/>
  <c r="AD2060" i="37" s="1"/>
  <c r="AD2061" i="37" s="1"/>
  <c r="AD2062" i="37" s="1"/>
  <c r="AD2063" i="37" s="1"/>
  <c r="AD2064" i="37" s="1"/>
  <c r="AD2065" i="37" s="1"/>
  <c r="AD2066" i="37" s="1"/>
  <c r="AD2067" i="37" s="1"/>
  <c r="AD2068" i="37" s="1"/>
  <c r="AD2171" i="37"/>
  <c r="AD2117" i="37"/>
  <c r="AD2143" i="37"/>
  <c r="AD2152" i="37"/>
  <c r="AD2153" i="37" s="1"/>
  <c r="AD2094" i="37"/>
  <c r="AD2239" i="37"/>
  <c r="T2161" i="37"/>
  <c r="T2233" i="37"/>
  <c r="T2227" i="37"/>
  <c r="T2218" i="37"/>
  <c r="T2121" i="37"/>
  <c r="T2133" i="37"/>
  <c r="H2195" i="37"/>
  <c r="T2153" i="37"/>
  <c r="T2143" i="37"/>
  <c r="T2094" i="37"/>
  <c r="AK1988" i="37"/>
  <c r="X2233" i="37"/>
  <c r="X2043" i="37"/>
  <c r="X2218" i="37"/>
  <c r="X2094" i="37"/>
  <c r="X2011" i="37"/>
  <c r="X2133" i="37"/>
  <c r="X2153" i="37"/>
  <c r="L2195" i="37"/>
  <c r="X2161" i="37"/>
  <c r="X2143" i="37"/>
  <c r="X2121" i="37"/>
  <c r="X2227" i="37"/>
  <c r="AH2102" i="37"/>
  <c r="AH2103" i="37" s="1"/>
  <c r="AH2171" i="37"/>
  <c r="AH2117" i="37"/>
  <c r="AH2156" i="37"/>
  <c r="AH2094" i="37"/>
  <c r="AH2247" i="37"/>
  <c r="AH2152" i="37"/>
  <c r="AH2153" i="37" s="1"/>
  <c r="AH2143" i="37"/>
  <c r="AH2233" i="37"/>
  <c r="AH2059" i="37"/>
  <c r="AH2060" i="37" s="1"/>
  <c r="AH2061" i="37" s="1"/>
  <c r="AH2062" i="37" s="1"/>
  <c r="AH2063" i="37" s="1"/>
  <c r="AH2064" i="37" s="1"/>
  <c r="AH2065" i="37" s="1"/>
  <c r="AH2066" i="37" s="1"/>
  <c r="AH2067" i="37" s="1"/>
  <c r="AH2068" i="37" s="1"/>
  <c r="AH2239" i="37"/>
  <c r="E454" i="50"/>
  <c r="Q374" i="41"/>
  <c r="AG1871" i="37"/>
  <c r="AG1872" i="37" s="1"/>
  <c r="AG1890" i="37"/>
  <c r="AG1862" i="37"/>
  <c r="AG1966" i="37"/>
  <c r="AG1952" i="37"/>
  <c r="AG1813" i="37"/>
  <c r="AG1821" i="37"/>
  <c r="AG1822" i="37" s="1"/>
  <c r="AG1836" i="37"/>
  <c r="AG1778" i="37"/>
  <c r="AG1779" i="37" s="1"/>
  <c r="AG1780" i="37" s="1"/>
  <c r="AG1781" i="37" s="1"/>
  <c r="AG1782" i="37" s="1"/>
  <c r="AG1783" i="37" s="1"/>
  <c r="AG1784" i="37" s="1"/>
  <c r="AG1785" i="37" s="1"/>
  <c r="AG1786" i="37" s="1"/>
  <c r="AG1787" i="37" s="1"/>
  <c r="AG1875" i="37"/>
  <c r="AG1958" i="37"/>
  <c r="AE1862" i="37"/>
  <c r="AE1778" i="37"/>
  <c r="AE1779" i="37" s="1"/>
  <c r="AE1780" i="37" s="1"/>
  <c r="AE1781" i="37" s="1"/>
  <c r="AE1782" i="37" s="1"/>
  <c r="AE1783" i="37" s="1"/>
  <c r="AE1784" i="37" s="1"/>
  <c r="AE1785" i="37" s="1"/>
  <c r="AE1786" i="37" s="1"/>
  <c r="AE1787" i="37" s="1"/>
  <c r="AE1952" i="37"/>
  <c r="AE1890" i="37"/>
  <c r="AE1875" i="37"/>
  <c r="AE1821" i="37"/>
  <c r="AE1822" i="37" s="1"/>
  <c r="AE1871" i="37"/>
  <c r="AE1872" i="37" s="1"/>
  <c r="AE1836" i="37"/>
  <c r="AE1813" i="37"/>
  <c r="AE1966" i="37"/>
  <c r="AE1958" i="37"/>
  <c r="AI1871" i="37"/>
  <c r="AI1872" i="37" s="1"/>
  <c r="AI1836" i="37"/>
  <c r="AI1778" i="37"/>
  <c r="AI1779" i="37" s="1"/>
  <c r="AI1780" i="37" s="1"/>
  <c r="AI1781" i="37" s="1"/>
  <c r="AI1782" i="37" s="1"/>
  <c r="AI1783" i="37" s="1"/>
  <c r="AI1784" i="37" s="1"/>
  <c r="AI1785" i="37" s="1"/>
  <c r="AI1786" i="37" s="1"/>
  <c r="AI1787" i="37" s="1"/>
  <c r="AI1875" i="37"/>
  <c r="AI1813" i="37"/>
  <c r="AI1821" i="37"/>
  <c r="AI1822" i="37" s="1"/>
  <c r="AI1890" i="37"/>
  <c r="AI1952" i="37"/>
  <c r="AI1966" i="37"/>
  <c r="AI1862" i="37"/>
  <c r="AI1958" i="37"/>
  <c r="V1872" i="37"/>
  <c r="V1862" i="37"/>
  <c r="J1914" i="37"/>
  <c r="V1880" i="37"/>
  <c r="V1730" i="37"/>
  <c r="V1952" i="37"/>
  <c r="V1840" i="37"/>
  <c r="V1946" i="37"/>
  <c r="V1937" i="37"/>
  <c r="V1813" i="37"/>
  <c r="V1762" i="37"/>
  <c r="V1852" i="37"/>
  <c r="AC1952" i="37"/>
  <c r="AC1890" i="37"/>
  <c r="AC1966" i="37"/>
  <c r="AC1813" i="37"/>
  <c r="AC1778" i="37"/>
  <c r="AC1871" i="37"/>
  <c r="AC1836" i="37"/>
  <c r="AC1821" i="37"/>
  <c r="AC1875" i="37"/>
  <c r="AC1862" i="37"/>
  <c r="AK1746" i="37"/>
  <c r="AC1958" i="37"/>
  <c r="W1656" i="37"/>
  <c r="W1581" i="37"/>
  <c r="W1665" i="37"/>
  <c r="W1671" i="37"/>
  <c r="K1633" i="37"/>
  <c r="W1532" i="37"/>
  <c r="W1559" i="37"/>
  <c r="W1449" i="37"/>
  <c r="W1599" i="37"/>
  <c r="W1571" i="37"/>
  <c r="W1481" i="37"/>
  <c r="W1591" i="37"/>
  <c r="AD1497" i="37"/>
  <c r="AD1498" i="37" s="1"/>
  <c r="AD1499" i="37" s="1"/>
  <c r="AD1500" i="37" s="1"/>
  <c r="AD1501" i="37" s="1"/>
  <c r="AD1502" i="37" s="1"/>
  <c r="AD1503" i="37" s="1"/>
  <c r="AD1504" i="37" s="1"/>
  <c r="AD1505" i="37" s="1"/>
  <c r="AD1506" i="37" s="1"/>
  <c r="AD1671" i="37"/>
  <c r="AD1609" i="37"/>
  <c r="AD1532" i="37"/>
  <c r="AD1594" i="37"/>
  <c r="AD1685" i="37"/>
  <c r="AD1590" i="37"/>
  <c r="AD1591" i="37" s="1"/>
  <c r="AD1540" i="37"/>
  <c r="AD1541" i="37" s="1"/>
  <c r="AD1581" i="37"/>
  <c r="AD1555" i="37"/>
  <c r="AD1677" i="37"/>
  <c r="AF1671" i="37"/>
  <c r="AF1555" i="37"/>
  <c r="AF1532" i="37"/>
  <c r="AF1540" i="37"/>
  <c r="AF1541" i="37" s="1"/>
  <c r="AF1609" i="37"/>
  <c r="AF1594" i="37"/>
  <c r="AF1685" i="37"/>
  <c r="AF1590" i="37"/>
  <c r="AF1591" i="37" s="1"/>
  <c r="AF1497" i="37"/>
  <c r="AF1498" i="37" s="1"/>
  <c r="AF1499" i="37" s="1"/>
  <c r="AF1500" i="37" s="1"/>
  <c r="AF1501" i="37" s="1"/>
  <c r="AF1502" i="37" s="1"/>
  <c r="AF1503" i="37" s="1"/>
  <c r="AF1504" i="37" s="1"/>
  <c r="AF1505" i="37" s="1"/>
  <c r="AF1506" i="37" s="1"/>
  <c r="AF1581" i="37"/>
  <c r="AF1677" i="37"/>
  <c r="W2292" i="37"/>
  <c r="W2402" i="37"/>
  <c r="W2508" i="37"/>
  <c r="W2514" i="37"/>
  <c r="K2476" i="37"/>
  <c r="W2434" i="37"/>
  <c r="W2499" i="37"/>
  <c r="W2442" i="37"/>
  <c r="W2414" i="37"/>
  <c r="W2424" i="37"/>
  <c r="W2375" i="37"/>
  <c r="W2324" i="37"/>
  <c r="AG2520" i="37"/>
  <c r="AG2452" i="37"/>
  <c r="AG2433" i="37"/>
  <c r="AG2434" i="37" s="1"/>
  <c r="AG2437" i="37"/>
  <c r="AG2340" i="37"/>
  <c r="AG2341" i="37" s="1"/>
  <c r="AG2342" i="37" s="1"/>
  <c r="AG2343" i="37" s="1"/>
  <c r="AG2344" i="37" s="1"/>
  <c r="AG2345" i="37" s="1"/>
  <c r="AG2346" i="37" s="1"/>
  <c r="AG2347" i="37" s="1"/>
  <c r="AG2348" i="37" s="1"/>
  <c r="AG2349" i="37" s="1"/>
  <c r="AG2424" i="37"/>
  <c r="AG2514" i="37"/>
  <c r="AG2398" i="37"/>
  <c r="AG2528" i="37"/>
  <c r="AG2383" i="37"/>
  <c r="AG2384" i="37" s="1"/>
  <c r="AG2375" i="37"/>
  <c r="E453" i="50"/>
  <c r="Q373" i="41"/>
  <c r="AE2733" i="37"/>
  <c r="AE2664" i="37"/>
  <c r="AE2665" i="37" s="1"/>
  <c r="AE2718" i="37"/>
  <c r="AE2714" i="37"/>
  <c r="AE2715" i="37" s="1"/>
  <c r="AE2679" i="37"/>
  <c r="AE2656" i="37"/>
  <c r="AE2621" i="37"/>
  <c r="AE2622" i="37" s="1"/>
  <c r="AE2623" i="37" s="1"/>
  <c r="AE2624" i="37" s="1"/>
  <c r="AE2625" i="37" s="1"/>
  <c r="AE2626" i="37" s="1"/>
  <c r="AE2627" i="37" s="1"/>
  <c r="AE2628" i="37" s="1"/>
  <c r="AE2629" i="37" s="1"/>
  <c r="AE2630" i="37" s="1"/>
  <c r="AE2795" i="37"/>
  <c r="AE2705" i="37"/>
  <c r="AE2809" i="37"/>
  <c r="AE2801" i="37"/>
  <c r="AC2247" i="37"/>
  <c r="AC2233" i="37"/>
  <c r="AC2156" i="37"/>
  <c r="AC2117" i="37"/>
  <c r="AC2102" i="37"/>
  <c r="AK2027" i="37"/>
  <c r="AC2094" i="37"/>
  <c r="AC2171" i="37"/>
  <c r="AC2152" i="37"/>
  <c r="AC2059" i="37"/>
  <c r="AC2143" i="37"/>
  <c r="AC2239" i="37"/>
  <c r="AG2152" i="37"/>
  <c r="AG2153" i="37" s="1"/>
  <c r="AG2143" i="37"/>
  <c r="AG2117" i="37"/>
  <c r="AG2171" i="37"/>
  <c r="AG2247" i="37"/>
  <c r="AG2156" i="37"/>
  <c r="AG2102" i="37"/>
  <c r="AG2103" i="37" s="1"/>
  <c r="AG2094" i="37"/>
  <c r="AG2059" i="37"/>
  <c r="AG2060" i="37" s="1"/>
  <c r="AG2061" i="37" s="1"/>
  <c r="AG2062" i="37" s="1"/>
  <c r="AG2063" i="37" s="1"/>
  <c r="AG2064" i="37" s="1"/>
  <c r="AG2065" i="37" s="1"/>
  <c r="AG2066" i="37" s="1"/>
  <c r="AG2067" i="37" s="1"/>
  <c r="AG2068" i="37" s="1"/>
  <c r="AG2233" i="37"/>
  <c r="AG2239" i="37"/>
  <c r="AE2102" i="37"/>
  <c r="AE2103" i="37" s="1"/>
  <c r="AE2059" i="37"/>
  <c r="AE2060" i="37" s="1"/>
  <c r="AE2061" i="37" s="1"/>
  <c r="AE2062" i="37" s="1"/>
  <c r="AE2063" i="37" s="1"/>
  <c r="AE2064" i="37" s="1"/>
  <c r="AE2065" i="37" s="1"/>
  <c r="AE2066" i="37" s="1"/>
  <c r="AE2067" i="37" s="1"/>
  <c r="AE2068" i="37" s="1"/>
  <c r="AE2156" i="37"/>
  <c r="AE2143" i="37"/>
  <c r="AE2247" i="37"/>
  <c r="AE2117" i="37"/>
  <c r="AE2171" i="37"/>
  <c r="AE2233" i="37"/>
  <c r="AE2152" i="37"/>
  <c r="AE2153" i="37" s="1"/>
  <c r="AE2094" i="37"/>
  <c r="AE2239" i="37"/>
  <c r="AH1871" i="37"/>
  <c r="AH1872" i="37" s="1"/>
  <c r="AH1821" i="37"/>
  <c r="AH1822" i="37" s="1"/>
  <c r="AH1890" i="37"/>
  <c r="AH1952" i="37"/>
  <c r="AH1966" i="37"/>
  <c r="AH1862" i="37"/>
  <c r="AH1836" i="37"/>
  <c r="AH1875" i="37"/>
  <c r="AH1778" i="37"/>
  <c r="AH1779" i="37" s="1"/>
  <c r="AH1780" i="37" s="1"/>
  <c r="AH1781" i="37" s="1"/>
  <c r="AH1782" i="37" s="1"/>
  <c r="AH1783" i="37" s="1"/>
  <c r="AH1784" i="37" s="1"/>
  <c r="AH1785" i="37" s="1"/>
  <c r="AH1786" i="37" s="1"/>
  <c r="AH1787" i="37" s="1"/>
  <c r="AH1813" i="37"/>
  <c r="AH1958" i="37"/>
  <c r="Y1946" i="37"/>
  <c r="Y1813" i="37"/>
  <c r="Y1872" i="37"/>
  <c r="Y1840" i="37"/>
  <c r="Y1852" i="37"/>
  <c r="Y1937" i="37"/>
  <c r="M1914" i="37"/>
  <c r="Y1862" i="37"/>
  <c r="Y1730" i="37"/>
  <c r="Y1952" i="37"/>
  <c r="Y1880" i="37"/>
  <c r="Y1762" i="37"/>
  <c r="AK1707" i="37"/>
  <c r="AG1497" i="37"/>
  <c r="AG1498" i="37" s="1"/>
  <c r="AG1499" i="37" s="1"/>
  <c r="AG1500" i="37" s="1"/>
  <c r="AG1501" i="37" s="1"/>
  <c r="AG1502" i="37" s="1"/>
  <c r="AG1503" i="37" s="1"/>
  <c r="AG1504" i="37" s="1"/>
  <c r="AG1505" i="37" s="1"/>
  <c r="AG1506" i="37" s="1"/>
  <c r="AG1594" i="37"/>
  <c r="AG1609" i="37"/>
  <c r="AG1685" i="37"/>
  <c r="AG1590" i="37"/>
  <c r="AG1591" i="37" s="1"/>
  <c r="AG1555" i="37"/>
  <c r="AG1540" i="37"/>
  <c r="AG1541" i="37" s="1"/>
  <c r="AG1532" i="37"/>
  <c r="AG1671" i="37"/>
  <c r="AG1581" i="37"/>
  <c r="AG1677" i="37"/>
  <c r="X1581" i="37"/>
  <c r="X1532" i="37"/>
  <c r="X1591" i="37"/>
  <c r="X1559" i="37"/>
  <c r="X1571" i="37"/>
  <c r="X1449" i="37"/>
  <c r="X1656" i="37"/>
  <c r="X1671" i="37"/>
  <c r="X1481" i="37"/>
  <c r="L1633" i="37"/>
  <c r="X1665" i="37"/>
  <c r="X1599" i="37"/>
  <c r="Y1559" i="37"/>
  <c r="Y1599" i="37"/>
  <c r="Y1656" i="37"/>
  <c r="Y1591" i="37"/>
  <c r="Y1571" i="37"/>
  <c r="Y1665" i="37"/>
  <c r="Y1671" i="37"/>
  <c r="Y1532" i="37"/>
  <c r="Y1449" i="37"/>
  <c r="Y1481" i="37"/>
  <c r="M1633" i="37"/>
  <c r="Y1581" i="37"/>
  <c r="V1571" i="37"/>
  <c r="V1449" i="37"/>
  <c r="V1591" i="37"/>
  <c r="V1559" i="37"/>
  <c r="V1581" i="37"/>
  <c r="V1665" i="37"/>
  <c r="V1532" i="37"/>
  <c r="V1656" i="37"/>
  <c r="V1599" i="37"/>
  <c r="V1671" i="37"/>
  <c r="V1481" i="37"/>
  <c r="J1633" i="37"/>
  <c r="J32" i="50"/>
  <c r="Q281" i="34"/>
  <c r="T281" i="34" s="1"/>
  <c r="AK2705" i="37" l="1"/>
  <c r="AG1686" i="37"/>
  <c r="AG1690" i="37" s="1"/>
  <c r="AG1689" i="37"/>
  <c r="AE2129" i="37"/>
  <c r="AE2118" i="37"/>
  <c r="AG2251" i="37"/>
  <c r="AG2248" i="37"/>
  <c r="AG2252" i="37" s="1"/>
  <c r="AK2152" i="37"/>
  <c r="AC2153" i="37"/>
  <c r="AC2103" i="37"/>
  <c r="AK2103" i="37" s="1"/>
  <c r="AK2102" i="37"/>
  <c r="AC2251" i="37"/>
  <c r="AC2248" i="37"/>
  <c r="AC2252" i="37" s="1"/>
  <c r="AK2247" i="37"/>
  <c r="AF1689" i="37"/>
  <c r="AF1686" i="37"/>
  <c r="AF1690" i="37" s="1"/>
  <c r="AD1686" i="37"/>
  <c r="AD1690" i="37" s="1"/>
  <c r="AD1689" i="37"/>
  <c r="AC1872" i="37"/>
  <c r="AK1871" i="37"/>
  <c r="AE1891" i="37"/>
  <c r="AE1893" i="37" s="1"/>
  <c r="AE1946" i="37" s="1"/>
  <c r="AE1934" i="37"/>
  <c r="AE1935" i="37" s="1"/>
  <c r="AE1937" i="37" s="1"/>
  <c r="AE1899" i="37"/>
  <c r="AE1943" i="37"/>
  <c r="AE1944" i="37" s="1"/>
  <c r="AH2160" i="37"/>
  <c r="AH2161" i="37" s="1"/>
  <c r="AH2157" i="37"/>
  <c r="AI2742" i="37"/>
  <c r="AI2786" i="37"/>
  <c r="AI2787" i="37" s="1"/>
  <c r="AI2777" i="37"/>
  <c r="AI2778" i="37" s="1"/>
  <c r="AI2780" i="37" s="1"/>
  <c r="AI2734" i="37"/>
  <c r="AI2736" i="37" s="1"/>
  <c r="AI2789" i="37" s="1"/>
  <c r="AH2461" i="37"/>
  <c r="AH2496" i="37"/>
  <c r="AH2497" i="37" s="1"/>
  <c r="AH2499" i="37" s="1"/>
  <c r="AH2505" i="37"/>
  <c r="AH2506" i="37" s="1"/>
  <c r="AH2453" i="37"/>
  <c r="AH2455" i="37" s="1"/>
  <c r="AH2508" i="37" s="1"/>
  <c r="AE2453" i="37"/>
  <c r="AE2455" i="37" s="1"/>
  <c r="AE2508" i="37" s="1"/>
  <c r="AE2505" i="37"/>
  <c r="AE2506" i="37" s="1"/>
  <c r="AE2461" i="37"/>
  <c r="AE2496" i="37"/>
  <c r="AE2497" i="37" s="1"/>
  <c r="AE2499" i="37" s="1"/>
  <c r="AD1837" i="37"/>
  <c r="AD1848" i="37"/>
  <c r="AG2810" i="37"/>
  <c r="AG2814" i="37" s="1"/>
  <c r="AG2813" i="37"/>
  <c r="AG2680" i="37"/>
  <c r="AG2691" i="37"/>
  <c r="AC1591" i="37"/>
  <c r="AK1590" i="37"/>
  <c r="AD2453" i="37"/>
  <c r="AD2455" i="37" s="1"/>
  <c r="AD2508" i="37" s="1"/>
  <c r="AD2496" i="37"/>
  <c r="AD2497" i="37" s="1"/>
  <c r="AD2499" i="37" s="1"/>
  <c r="AD2505" i="37"/>
  <c r="AD2506" i="37" s="1"/>
  <c r="AD2461" i="37"/>
  <c r="AD2438" i="37"/>
  <c r="AD2441" i="37"/>
  <c r="AD2442" i="37" s="1"/>
  <c r="AB2340" i="37"/>
  <c r="AA2340" i="37" s="1"/>
  <c r="Z2340" i="37" s="1"/>
  <c r="AC2341" i="37"/>
  <c r="AK2340" i="37"/>
  <c r="AC2529" i="37"/>
  <c r="AC2533" i="37" s="1"/>
  <c r="AC2532" i="37"/>
  <c r="AK2528" i="37"/>
  <c r="AK2239" i="37"/>
  <c r="AC2215" i="37"/>
  <c r="AC2172" i="37"/>
  <c r="AC2224" i="37"/>
  <c r="AK2171" i="37"/>
  <c r="AC2180" i="37"/>
  <c r="AF1598" i="37"/>
  <c r="AF1599" i="37" s="1"/>
  <c r="AF1595" i="37"/>
  <c r="AF1567" i="37"/>
  <c r="AF1556" i="37"/>
  <c r="AD1595" i="37"/>
  <c r="AD1598" i="37"/>
  <c r="AD1599" i="37" s="1"/>
  <c r="AC1876" i="37"/>
  <c r="AC1879" i="37"/>
  <c r="AK1875" i="37"/>
  <c r="AC1779" i="37"/>
  <c r="AB1778" i="37"/>
  <c r="AA1778" i="37" s="1"/>
  <c r="Z1778" i="37" s="1"/>
  <c r="AK1778" i="37"/>
  <c r="AI1879" i="37"/>
  <c r="AI1880" i="37" s="1"/>
  <c r="AI1876" i="37"/>
  <c r="AG1876" i="37"/>
  <c r="AG1879" i="37"/>
  <c r="AG1880" i="37" s="1"/>
  <c r="AH2722" i="37"/>
  <c r="AH2723" i="37" s="1"/>
  <c r="AH2719" i="37"/>
  <c r="AC2742" i="37"/>
  <c r="AC2734" i="37"/>
  <c r="AC2786" i="37"/>
  <c r="AK2733" i="37"/>
  <c r="AC2777" i="37"/>
  <c r="AC2719" i="37"/>
  <c r="AK2718" i="37"/>
  <c r="AC2722" i="37"/>
  <c r="AI2719" i="37"/>
  <c r="AI2722" i="37"/>
  <c r="AI2723" i="37" s="1"/>
  <c r="AH2532" i="37"/>
  <c r="AH2529" i="37"/>
  <c r="AH2533" i="37" s="1"/>
  <c r="AI1653" i="37"/>
  <c r="AI1654" i="37" s="1"/>
  <c r="AI1656" i="37" s="1"/>
  <c r="AI1610" i="37"/>
  <c r="AI1612" i="37" s="1"/>
  <c r="AI1665" i="37" s="1"/>
  <c r="AI1662" i="37"/>
  <c r="AI1663" i="37" s="1"/>
  <c r="AI1618" i="37"/>
  <c r="AF2248" i="37"/>
  <c r="AF2252" i="37" s="1"/>
  <c r="AF2251" i="37"/>
  <c r="AK1677" i="37"/>
  <c r="AK1609" i="37"/>
  <c r="AC1618" i="37"/>
  <c r="AC1653" i="37"/>
  <c r="AC1662" i="37"/>
  <c r="AC1610" i="37"/>
  <c r="AH1689" i="37"/>
  <c r="AH1686" i="37"/>
  <c r="AH1690" i="37" s="1"/>
  <c r="AD2680" i="37"/>
  <c r="AD2691" i="37"/>
  <c r="AK2437" i="37"/>
  <c r="AC2441" i="37"/>
  <c r="AC2438" i="37"/>
  <c r="AH1879" i="37"/>
  <c r="AH1880" i="37" s="1"/>
  <c r="AH1876" i="37"/>
  <c r="AG2129" i="37"/>
  <c r="AG2118" i="37"/>
  <c r="AK2094" i="37"/>
  <c r="AK2156" i="37"/>
  <c r="AC2157" i="37"/>
  <c r="AC2160" i="37"/>
  <c r="AK1813" i="37"/>
  <c r="AH2251" i="37"/>
  <c r="AH2248" i="37"/>
  <c r="AH2252" i="37" s="1"/>
  <c r="AH2734" i="37"/>
  <c r="AH2736" i="37" s="1"/>
  <c r="AH2789" i="37" s="1"/>
  <c r="AH2742" i="37"/>
  <c r="AH2786" i="37"/>
  <c r="AH2787" i="37" s="1"/>
  <c r="AH2777" i="37"/>
  <c r="AH2778" i="37" s="1"/>
  <c r="AH2780" i="37" s="1"/>
  <c r="AK2656" i="37"/>
  <c r="AC2813" i="37"/>
  <c r="AK2809" i="37"/>
  <c r="AC2810" i="37"/>
  <c r="AC2814" i="37" s="1"/>
  <c r="AK2795" i="37"/>
  <c r="AH2410" i="37"/>
  <c r="AH2399" i="37"/>
  <c r="AE2532" i="37"/>
  <c r="AE2529" i="37"/>
  <c r="AE2533" i="37" s="1"/>
  <c r="AI1567" i="37"/>
  <c r="AI1556" i="37"/>
  <c r="AF1837" i="37"/>
  <c r="AF1848" i="37"/>
  <c r="AF1891" i="37"/>
  <c r="AF1893" i="37" s="1"/>
  <c r="AF1946" i="37" s="1"/>
  <c r="AF1934" i="37"/>
  <c r="AF1935" i="37" s="1"/>
  <c r="AF1937" i="37" s="1"/>
  <c r="AF1899" i="37"/>
  <c r="AF1943" i="37"/>
  <c r="AF1944" i="37" s="1"/>
  <c r="AD1970" i="37"/>
  <c r="AD1967" i="37"/>
  <c r="AD1971" i="37" s="1"/>
  <c r="AF2160" i="37"/>
  <c r="AF2161" i="37" s="1"/>
  <c r="AF2157" i="37"/>
  <c r="AI2215" i="37"/>
  <c r="AI2216" i="37" s="1"/>
  <c r="AI2218" i="37" s="1"/>
  <c r="AI2172" i="37"/>
  <c r="AI2174" i="37" s="1"/>
  <c r="AI2227" i="37" s="1"/>
  <c r="AI2224" i="37"/>
  <c r="AI2225" i="37" s="1"/>
  <c r="AI2180" i="37"/>
  <c r="AI2248" i="37"/>
  <c r="AI2252" i="37" s="1"/>
  <c r="AI2251" i="37"/>
  <c r="AG2742" i="37"/>
  <c r="AG2786" i="37"/>
  <c r="AG2787" i="37" s="1"/>
  <c r="AG2734" i="37"/>
  <c r="AG2736" i="37" s="1"/>
  <c r="AG2789" i="37" s="1"/>
  <c r="AG2777" i="37"/>
  <c r="AG2778" i="37" s="1"/>
  <c r="AG2780" i="37" s="1"/>
  <c r="AI2496" i="37"/>
  <c r="AI2497" i="37" s="1"/>
  <c r="AI2499" i="37" s="1"/>
  <c r="AI2505" i="37"/>
  <c r="AI2506" i="37" s="1"/>
  <c r="AI2453" i="37"/>
  <c r="AI2455" i="37" s="1"/>
  <c r="AI2508" i="37" s="1"/>
  <c r="AI2461" i="37"/>
  <c r="AC1498" i="37"/>
  <c r="AK1497" i="37"/>
  <c r="AB1497" i="37"/>
  <c r="AA1497" i="37" s="1"/>
  <c r="Z1497" i="37" s="1"/>
  <c r="AK1671" i="37"/>
  <c r="AK1581" i="37"/>
  <c r="AE1653" i="37"/>
  <c r="AE1654" i="37" s="1"/>
  <c r="AE1656" i="37" s="1"/>
  <c r="AE1662" i="37"/>
  <c r="AE1663" i="37" s="1"/>
  <c r="AE1610" i="37"/>
  <c r="AE1612" i="37" s="1"/>
  <c r="AE1665" i="37" s="1"/>
  <c r="AE1618" i="37"/>
  <c r="AH1556" i="37"/>
  <c r="AH1567" i="37"/>
  <c r="AH1595" i="37"/>
  <c r="AH1598" i="37"/>
  <c r="AH1599" i="37" s="1"/>
  <c r="AH1662" i="37"/>
  <c r="AH1663" i="37" s="1"/>
  <c r="AH1618" i="37"/>
  <c r="AH1653" i="37"/>
  <c r="AH1654" i="37" s="1"/>
  <c r="AH1656" i="37" s="1"/>
  <c r="AH1610" i="37"/>
  <c r="AH1612" i="37" s="1"/>
  <c r="AH1665" i="37" s="1"/>
  <c r="AD2813" i="37"/>
  <c r="AD2810" i="37"/>
  <c r="AD2814" i="37" s="1"/>
  <c r="AF2529" i="37"/>
  <c r="AF2533" i="37" s="1"/>
  <c r="AF2532" i="37"/>
  <c r="AF2496" i="37"/>
  <c r="AF2497" i="37" s="1"/>
  <c r="AF2499" i="37" s="1"/>
  <c r="AF2505" i="37"/>
  <c r="AF2506" i="37" s="1"/>
  <c r="AF2453" i="37"/>
  <c r="AF2455" i="37" s="1"/>
  <c r="AF2508" i="37" s="1"/>
  <c r="AF2461" i="37"/>
  <c r="AF2691" i="37"/>
  <c r="AF2680" i="37"/>
  <c r="AF2810" i="37"/>
  <c r="AF2814" i="37" s="1"/>
  <c r="AF2813" i="37"/>
  <c r="AK2383" i="37"/>
  <c r="AC2384" i="37"/>
  <c r="AK2384" i="37" s="1"/>
  <c r="AK2375" i="37"/>
  <c r="AC2496" i="37"/>
  <c r="AC2505" i="37"/>
  <c r="AK2452" i="37"/>
  <c r="AC2453" i="37"/>
  <c r="AC2461" i="37"/>
  <c r="AG2399" i="37"/>
  <c r="AG2410" i="37"/>
  <c r="AG2441" i="37"/>
  <c r="AG2442" i="37" s="1"/>
  <c r="AG2438" i="37"/>
  <c r="AD1556" i="37"/>
  <c r="AD1567" i="37"/>
  <c r="AK1862" i="37"/>
  <c r="AC1934" i="37"/>
  <c r="AC1899" i="37"/>
  <c r="AC1891" i="37"/>
  <c r="AC1943" i="37"/>
  <c r="AK1890" i="37"/>
  <c r="AI1967" i="37"/>
  <c r="AI1971" i="37" s="1"/>
  <c r="AI1970" i="37"/>
  <c r="AE1837" i="37"/>
  <c r="AE1848" i="37"/>
  <c r="AD2172" i="37"/>
  <c r="AD2174" i="37" s="1"/>
  <c r="AD2227" i="37" s="1"/>
  <c r="AD2180" i="37"/>
  <c r="AD2224" i="37"/>
  <c r="AD2225" i="37" s="1"/>
  <c r="AD2215" i="37"/>
  <c r="AD2216" i="37" s="1"/>
  <c r="AD2218" i="37" s="1"/>
  <c r="AD2248" i="37"/>
  <c r="AD2252" i="37" s="1"/>
  <c r="AD2251" i="37"/>
  <c r="AK2621" i="37"/>
  <c r="AB2621" i="37"/>
  <c r="AA2621" i="37" s="1"/>
  <c r="Z2621" i="37" s="1"/>
  <c r="AC2622" i="37"/>
  <c r="AK2679" i="37"/>
  <c r="AC2691" i="37"/>
  <c r="AC2680" i="37"/>
  <c r="AI2680" i="37"/>
  <c r="AI2691" i="37"/>
  <c r="AH2438" i="37"/>
  <c r="AH2441" i="37"/>
  <c r="AH2442" i="37" s="1"/>
  <c r="AI2118" i="37"/>
  <c r="AI2129" i="37"/>
  <c r="AC1541" i="37"/>
  <c r="AK1541" i="37" s="1"/>
  <c r="AK1540" i="37"/>
  <c r="AD2722" i="37"/>
  <c r="AD2723" i="37" s="1"/>
  <c r="AD2719" i="37"/>
  <c r="AD2786" i="37"/>
  <c r="AD2787" i="37" s="1"/>
  <c r="AD2734" i="37"/>
  <c r="AD2736" i="37" s="1"/>
  <c r="AD2789" i="37" s="1"/>
  <c r="AD2777" i="37"/>
  <c r="AD2778" i="37" s="1"/>
  <c r="AD2780" i="37" s="1"/>
  <c r="AD2742" i="37"/>
  <c r="AG1618" i="37"/>
  <c r="AG1662" i="37"/>
  <c r="AG1663" i="37" s="1"/>
  <c r="AG1653" i="37"/>
  <c r="AG1654" i="37" s="1"/>
  <c r="AG1656" i="37" s="1"/>
  <c r="AG1610" i="37"/>
  <c r="AG1612" i="37" s="1"/>
  <c r="AG1665" i="37" s="1"/>
  <c r="AH1970" i="37"/>
  <c r="AH1967" i="37"/>
  <c r="AH1971" i="37" s="1"/>
  <c r="AE2251" i="37"/>
  <c r="AE2248" i="37"/>
  <c r="AE2252" i="37" s="1"/>
  <c r="AG2215" i="37"/>
  <c r="AG2216" i="37" s="1"/>
  <c r="AG2218" i="37" s="1"/>
  <c r="AG2180" i="37"/>
  <c r="AG2224" i="37"/>
  <c r="AG2225" i="37" s="1"/>
  <c r="AG2172" i="37"/>
  <c r="AG2174" i="37" s="1"/>
  <c r="AG2227" i="37" s="1"/>
  <c r="AC2118" i="37"/>
  <c r="AK2117" i="37"/>
  <c r="AC2129" i="37"/>
  <c r="AE2722" i="37"/>
  <c r="AE2723" i="37" s="1"/>
  <c r="AE2719" i="37"/>
  <c r="AK1952" i="37"/>
  <c r="AG1943" i="37"/>
  <c r="AG1944" i="37" s="1"/>
  <c r="AG1899" i="37"/>
  <c r="AG1891" i="37"/>
  <c r="AG1893" i="37" s="1"/>
  <c r="AG1946" i="37" s="1"/>
  <c r="AG1934" i="37"/>
  <c r="AG1935" i="37" s="1"/>
  <c r="AG1937" i="37" s="1"/>
  <c r="AH2129" i="37"/>
  <c r="AH2118" i="37"/>
  <c r="AC2665" i="37"/>
  <c r="AK2665" i="37" s="1"/>
  <c r="AK2664" i="37"/>
  <c r="AI2810" i="37"/>
  <c r="AI2814" i="37" s="1"/>
  <c r="AI2813" i="37"/>
  <c r="AE2399" i="37"/>
  <c r="AE2410" i="37"/>
  <c r="AI1595" i="37"/>
  <c r="AI1598" i="37"/>
  <c r="AI1599" i="37" s="1"/>
  <c r="AD1879" i="37"/>
  <c r="AD1880" i="37" s="1"/>
  <c r="AD1876" i="37"/>
  <c r="AI2160" i="37"/>
  <c r="AI2161" i="37" s="1"/>
  <c r="AI2157" i="37"/>
  <c r="AK1532" i="37"/>
  <c r="AE1556" i="37"/>
  <c r="AE1567" i="37"/>
  <c r="AF2441" i="37"/>
  <c r="AF2442" i="37" s="1"/>
  <c r="AF2438" i="37"/>
  <c r="AF2722" i="37"/>
  <c r="AF2723" i="37" s="1"/>
  <c r="AF2719" i="37"/>
  <c r="AK2520" i="37"/>
  <c r="AK2514" i="37"/>
  <c r="AG1567" i="37"/>
  <c r="AG1556" i="37"/>
  <c r="AG1598" i="37"/>
  <c r="AG1599" i="37" s="1"/>
  <c r="AG1595" i="37"/>
  <c r="AK2143" i="37"/>
  <c r="AE2810" i="37"/>
  <c r="AE2814" i="37" s="1"/>
  <c r="AE2813" i="37"/>
  <c r="AG2505" i="37"/>
  <c r="AG2506" i="37" s="1"/>
  <c r="AG2461" i="37"/>
  <c r="AG2453" i="37"/>
  <c r="AG2455" i="37" s="1"/>
  <c r="AG2508" i="37" s="1"/>
  <c r="AG2496" i="37"/>
  <c r="AG2497" i="37" s="1"/>
  <c r="AG2499" i="37" s="1"/>
  <c r="AF1662" i="37"/>
  <c r="AF1663" i="37" s="1"/>
  <c r="AF1610" i="37"/>
  <c r="AF1612" i="37" s="1"/>
  <c r="AF1665" i="37" s="1"/>
  <c r="AF1653" i="37"/>
  <c r="AF1654" i="37" s="1"/>
  <c r="AF1656" i="37" s="1"/>
  <c r="AF1618" i="37"/>
  <c r="AK1958" i="37"/>
  <c r="AC1822" i="37"/>
  <c r="AK1822" i="37" s="1"/>
  <c r="AK1821" i="37"/>
  <c r="AI1943" i="37"/>
  <c r="AI1944" i="37" s="1"/>
  <c r="AI1934" i="37"/>
  <c r="AI1935" i="37" s="1"/>
  <c r="AI1937" i="37" s="1"/>
  <c r="AI1899" i="37"/>
  <c r="AI1891" i="37"/>
  <c r="AI1893" i="37" s="1"/>
  <c r="AI1946" i="37" s="1"/>
  <c r="AE1967" i="37"/>
  <c r="AE1971" i="37" s="1"/>
  <c r="AE1970" i="37"/>
  <c r="AH2215" i="37"/>
  <c r="AH2216" i="37" s="1"/>
  <c r="AH2218" i="37" s="1"/>
  <c r="AH2172" i="37"/>
  <c r="AH2174" i="37" s="1"/>
  <c r="AH2227" i="37" s="1"/>
  <c r="AH2180" i="37"/>
  <c r="AH2224" i="37"/>
  <c r="AH2225" i="37" s="1"/>
  <c r="AD2160" i="37"/>
  <c r="AD2161" i="37" s="1"/>
  <c r="AD2157" i="37"/>
  <c r="AH2813" i="37"/>
  <c r="AH2810" i="37"/>
  <c r="AH2814" i="37" s="1"/>
  <c r="AH1848" i="37"/>
  <c r="AH1837" i="37"/>
  <c r="AH1899" i="37"/>
  <c r="AH1934" i="37"/>
  <c r="AH1935" i="37" s="1"/>
  <c r="AH1937" i="37" s="1"/>
  <c r="AH1943" i="37"/>
  <c r="AH1944" i="37" s="1"/>
  <c r="AH1891" i="37"/>
  <c r="AH1893" i="37" s="1"/>
  <c r="AH1946" i="37" s="1"/>
  <c r="AE2215" i="37"/>
  <c r="AE2216" i="37" s="1"/>
  <c r="AE2218" i="37" s="1"/>
  <c r="AE2180" i="37"/>
  <c r="AE2224" i="37"/>
  <c r="AE2225" i="37" s="1"/>
  <c r="AE2172" i="37"/>
  <c r="AE2174" i="37" s="1"/>
  <c r="AE2227" i="37" s="1"/>
  <c r="AE2157" i="37"/>
  <c r="AE2160" i="37"/>
  <c r="AE2161" i="37" s="1"/>
  <c r="AG2160" i="37"/>
  <c r="AG2161" i="37" s="1"/>
  <c r="AG2157" i="37"/>
  <c r="AK2059" i="37"/>
  <c r="AC2060" i="37"/>
  <c r="AB2059" i="37"/>
  <c r="AA2059" i="37" s="1"/>
  <c r="Z2059" i="37" s="1"/>
  <c r="AK2233" i="37"/>
  <c r="AE2680" i="37"/>
  <c r="AE2691" i="37"/>
  <c r="AE2786" i="37"/>
  <c r="AE2787" i="37" s="1"/>
  <c r="AE2777" i="37"/>
  <c r="AE2778" i="37" s="1"/>
  <c r="AE2780" i="37" s="1"/>
  <c r="AE2734" i="37"/>
  <c r="AE2736" i="37" s="1"/>
  <c r="AE2789" i="37" s="1"/>
  <c r="AE2742" i="37"/>
  <c r="AG2532" i="37"/>
  <c r="AG2529" i="37"/>
  <c r="AG2533" i="37" s="1"/>
  <c r="AD1662" i="37"/>
  <c r="AD1663" i="37" s="1"/>
  <c r="AD1610" i="37"/>
  <c r="AD1612" i="37" s="1"/>
  <c r="AD1665" i="37" s="1"/>
  <c r="AD1618" i="37"/>
  <c r="AD1653" i="37"/>
  <c r="AD1654" i="37" s="1"/>
  <c r="AD1656" i="37" s="1"/>
  <c r="AC1848" i="37"/>
  <c r="AC1837" i="37"/>
  <c r="AK1836" i="37"/>
  <c r="AC1970" i="37"/>
  <c r="AC1967" i="37"/>
  <c r="AC1971" i="37" s="1"/>
  <c r="AK1966" i="37"/>
  <c r="AI1848" i="37"/>
  <c r="AI1837" i="37"/>
  <c r="AE1876" i="37"/>
  <c r="AE1879" i="37"/>
  <c r="AE1880" i="37" s="1"/>
  <c r="AG1848" i="37"/>
  <c r="AG1837" i="37"/>
  <c r="AG1967" i="37"/>
  <c r="AG1971" i="37" s="1"/>
  <c r="AG1970" i="37"/>
  <c r="AD2118" i="37"/>
  <c r="AD2129" i="37"/>
  <c r="AH2691" i="37"/>
  <c r="AH2680" i="37"/>
  <c r="AK2801" i="37"/>
  <c r="AC2715" i="37"/>
  <c r="AK2714" i="37"/>
  <c r="AE2441" i="37"/>
  <c r="AE2442" i="37" s="1"/>
  <c r="AE2438" i="37"/>
  <c r="AI1686" i="37"/>
  <c r="AI1690" i="37" s="1"/>
  <c r="AI1689" i="37"/>
  <c r="AF1967" i="37"/>
  <c r="AF1971" i="37" s="1"/>
  <c r="AF1970" i="37"/>
  <c r="AF1879" i="37"/>
  <c r="AF1880" i="37" s="1"/>
  <c r="AF1876" i="37"/>
  <c r="AD1899" i="37"/>
  <c r="AD1891" i="37"/>
  <c r="AD1893" i="37" s="1"/>
  <c r="AD1946" i="37" s="1"/>
  <c r="AD1934" i="37"/>
  <c r="AD1935" i="37" s="1"/>
  <c r="AD1937" i="37" s="1"/>
  <c r="AD1943" i="37"/>
  <c r="AD1944" i="37" s="1"/>
  <c r="AF2118" i="37"/>
  <c r="AF2129" i="37"/>
  <c r="AF2224" i="37"/>
  <c r="AF2225" i="37" s="1"/>
  <c r="AF2180" i="37"/>
  <c r="AF2172" i="37"/>
  <c r="AF2174" i="37" s="1"/>
  <c r="AF2227" i="37" s="1"/>
  <c r="AF2215" i="37"/>
  <c r="AF2216" i="37" s="1"/>
  <c r="AF2218" i="37" s="1"/>
  <c r="AG2719" i="37"/>
  <c r="AG2722" i="37"/>
  <c r="AG2723" i="37" s="1"/>
  <c r="AI2441" i="37"/>
  <c r="AI2442" i="37" s="1"/>
  <c r="AI2438" i="37"/>
  <c r="AI2410" i="37"/>
  <c r="AI2399" i="37"/>
  <c r="AI2529" i="37"/>
  <c r="AI2533" i="37" s="1"/>
  <c r="AI2532" i="37"/>
  <c r="AC1686" i="37"/>
  <c r="AC1690" i="37" s="1"/>
  <c r="AK1685" i="37"/>
  <c r="AC1689" i="37"/>
  <c r="AC1556" i="37"/>
  <c r="AK1555" i="37"/>
  <c r="AC1567" i="37"/>
  <c r="AC1598" i="37"/>
  <c r="AC1595" i="37"/>
  <c r="AK1594" i="37"/>
  <c r="AE1598" i="37"/>
  <c r="AE1599" i="37" s="1"/>
  <c r="AE1595" i="37"/>
  <c r="AE1686" i="37"/>
  <c r="AE1690" i="37" s="1"/>
  <c r="AE1689" i="37"/>
  <c r="AF2399" i="37"/>
  <c r="AF2410" i="37"/>
  <c r="AF2786" i="37"/>
  <c r="AF2787" i="37" s="1"/>
  <c r="AF2777" i="37"/>
  <c r="AF2778" i="37" s="1"/>
  <c r="AF2780" i="37" s="1"/>
  <c r="AF2742" i="37"/>
  <c r="AF2734" i="37"/>
  <c r="AF2736" i="37" s="1"/>
  <c r="AF2789" i="37" s="1"/>
  <c r="AD2399" i="37"/>
  <c r="AD2410" i="37"/>
  <c r="AD2532" i="37"/>
  <c r="AD2529" i="37"/>
  <c r="AD2533" i="37" s="1"/>
  <c r="AK2433" i="37"/>
  <c r="AC2434" i="37"/>
  <c r="AK2398" i="37"/>
  <c r="AC2399" i="37"/>
  <c r="AC2410" i="37"/>
  <c r="AK2424" i="37"/>
  <c r="Q282" i="34"/>
  <c r="T282" i="34" s="1"/>
  <c r="AK1595" i="37" l="1"/>
  <c r="AF2752" i="37"/>
  <c r="AF2753" i="37" s="1"/>
  <c r="AF2755" i="37" s="1"/>
  <c r="AF2743" i="37"/>
  <c r="AF2745" i="37" s="1"/>
  <c r="AF2400" i="37"/>
  <c r="AF2411" i="37"/>
  <c r="AK1556" i="37"/>
  <c r="AC1557" i="37"/>
  <c r="AC1568" i="37"/>
  <c r="AI1838" i="37"/>
  <c r="AI1849" i="37"/>
  <c r="AC1975" i="37"/>
  <c r="AC1976" i="37" s="1"/>
  <c r="AK1970" i="37"/>
  <c r="AC2061" i="37"/>
  <c r="AB2060" i="37"/>
  <c r="AA2060" i="37" s="1"/>
  <c r="Z2060" i="37" s="1"/>
  <c r="AE2190" i="37"/>
  <c r="AE2191" i="37" s="1"/>
  <c r="AE2193" i="37" s="1"/>
  <c r="AE2181" i="37"/>
  <c r="AE2183" i="37" s="1"/>
  <c r="AE2411" i="37"/>
  <c r="AE2400" i="37"/>
  <c r="AG1619" i="37"/>
  <c r="AG1621" i="37" s="1"/>
  <c r="AG1628" i="37"/>
  <c r="AG1629" i="37" s="1"/>
  <c r="AG1631" i="37" s="1"/>
  <c r="AK2691" i="37"/>
  <c r="AH1568" i="37"/>
  <c r="AH1557" i="37"/>
  <c r="AI2181" i="37"/>
  <c r="AI2183" i="37" s="1"/>
  <c r="AI2190" i="37"/>
  <c r="AI2191" i="37" s="1"/>
  <c r="AI2193" i="37" s="1"/>
  <c r="AF1838" i="37"/>
  <c r="AF1849" i="37"/>
  <c r="AK2719" i="37"/>
  <c r="AK2734" i="37"/>
  <c r="AC2736" i="37"/>
  <c r="AC1599" i="37"/>
  <c r="AK1598" i="37"/>
  <c r="AF2130" i="37"/>
  <c r="AF2119" i="37"/>
  <c r="AG2462" i="37"/>
  <c r="AG2464" i="37" s="1"/>
  <c r="AG2471" i="37"/>
  <c r="AG2472" i="37" s="1"/>
  <c r="AG2474" i="37" s="1"/>
  <c r="AH2130" i="37"/>
  <c r="AH2119" i="37"/>
  <c r="AD2190" i="37"/>
  <c r="AD2191" i="37" s="1"/>
  <c r="AD2193" i="37" s="1"/>
  <c r="AD2181" i="37"/>
  <c r="AD2183" i="37" s="1"/>
  <c r="AC1893" i="37"/>
  <c r="AK1891" i="37"/>
  <c r="AC2471" i="37"/>
  <c r="AK2461" i="37"/>
  <c r="AC2462" i="37"/>
  <c r="AC2497" i="37"/>
  <c r="AK2496" i="37"/>
  <c r="AF2462" i="37"/>
  <c r="AF2464" i="37" s="1"/>
  <c r="AF2471" i="37"/>
  <c r="AF2472" i="37" s="1"/>
  <c r="AF2474" i="37" s="1"/>
  <c r="AG2743" i="37"/>
  <c r="AG2745" i="37" s="1"/>
  <c r="AG2752" i="37"/>
  <c r="AG2753" i="37" s="1"/>
  <c r="AG2755" i="37" s="1"/>
  <c r="AI1568" i="37"/>
  <c r="AI1557" i="37"/>
  <c r="AK2410" i="37"/>
  <c r="AD2400" i="37"/>
  <c r="AD2411" i="37"/>
  <c r="AK1567" i="37"/>
  <c r="AI2400" i="37"/>
  <c r="AI2411" i="37"/>
  <c r="AF2181" i="37"/>
  <c r="AF2183" i="37" s="1"/>
  <c r="AF2190" i="37"/>
  <c r="AF2191" i="37" s="1"/>
  <c r="AF2193" i="37" s="1"/>
  <c r="AH2692" i="37"/>
  <c r="AH2681" i="37"/>
  <c r="AC1849" i="37"/>
  <c r="AC1838" i="37"/>
  <c r="AK1837" i="37"/>
  <c r="AG1557" i="37"/>
  <c r="AG1568" i="37"/>
  <c r="AK2129" i="37"/>
  <c r="AD2752" i="37"/>
  <c r="AD2753" i="37" s="1"/>
  <c r="AD2755" i="37" s="1"/>
  <c r="AD2743" i="37"/>
  <c r="AD2745" i="37" s="1"/>
  <c r="AI2681" i="37"/>
  <c r="AI2692" i="37"/>
  <c r="AC2623" i="37"/>
  <c r="AB2622" i="37"/>
  <c r="AA2622" i="37" s="1"/>
  <c r="Z2622" i="37" s="1"/>
  <c r="AC1909" i="37"/>
  <c r="AC1900" i="37"/>
  <c r="AK1899" i="37"/>
  <c r="AD1557" i="37"/>
  <c r="AD1568" i="37"/>
  <c r="AG2400" i="37"/>
  <c r="AG2411" i="37"/>
  <c r="AC2455" i="37"/>
  <c r="AK2453" i="37"/>
  <c r="AI2471" i="37"/>
  <c r="AI2472" i="37" s="1"/>
  <c r="AI2474" i="37" s="1"/>
  <c r="AI2462" i="37"/>
  <c r="AI2464" i="37" s="1"/>
  <c r="AK2813" i="37"/>
  <c r="AC2818" i="37"/>
  <c r="AC2819" i="37" s="1"/>
  <c r="AH2743" i="37"/>
  <c r="AH2745" i="37" s="1"/>
  <c r="AH2752" i="37"/>
  <c r="AH2753" i="37" s="1"/>
  <c r="AH2755" i="37" s="1"/>
  <c r="AC1654" i="37"/>
  <c r="AK1653" i="37"/>
  <c r="AK2722" i="37"/>
  <c r="AC2723" i="37"/>
  <c r="AC1880" i="37"/>
  <c r="AK1879" i="37"/>
  <c r="AF1557" i="37"/>
  <c r="AF1568" i="37"/>
  <c r="AC2225" i="37"/>
  <c r="AK2225" i="37" s="1"/>
  <c r="AK2224" i="37"/>
  <c r="AC2342" i="37"/>
  <c r="AB2341" i="37"/>
  <c r="AA2341" i="37" s="1"/>
  <c r="Z2341" i="37" s="1"/>
  <c r="AD2471" i="37"/>
  <c r="AD2472" i="37" s="1"/>
  <c r="AD2474" i="37" s="1"/>
  <c r="AD2462" i="37"/>
  <c r="AD2464" i="37" s="1"/>
  <c r="AE2471" i="37"/>
  <c r="AE2472" i="37" s="1"/>
  <c r="AE2474" i="37" s="1"/>
  <c r="AE2462" i="37"/>
  <c r="AE2464" i="37" s="1"/>
  <c r="AI2743" i="37"/>
  <c r="AI2745" i="37" s="1"/>
  <c r="AI2752" i="37"/>
  <c r="AI2753" i="37" s="1"/>
  <c r="AI2755" i="37" s="1"/>
  <c r="AD1900" i="37"/>
  <c r="AD1902" i="37" s="1"/>
  <c r="AD1909" i="37"/>
  <c r="AD1910" i="37" s="1"/>
  <c r="AD1912" i="37" s="1"/>
  <c r="AG1849" i="37"/>
  <c r="AG1838" i="37"/>
  <c r="AE2743" i="37"/>
  <c r="AE2745" i="37" s="1"/>
  <c r="AE2752" i="37"/>
  <c r="AE2753" i="37" s="1"/>
  <c r="AE2755" i="37" s="1"/>
  <c r="AH1849" i="37"/>
  <c r="AH1838" i="37"/>
  <c r="AC2130" i="37"/>
  <c r="AC2119" i="37"/>
  <c r="AK2118" i="37"/>
  <c r="AE1838" i="37"/>
  <c r="AE1849" i="37"/>
  <c r="AC1944" i="37"/>
  <c r="AK1944" i="37" s="1"/>
  <c r="AK1943" i="37"/>
  <c r="AC2506" i="37"/>
  <c r="AK2506" i="37" s="1"/>
  <c r="AK2505" i="37"/>
  <c r="AF1909" i="37"/>
  <c r="AF1910" i="37" s="1"/>
  <c r="AF1912" i="37" s="1"/>
  <c r="AF1900" i="37"/>
  <c r="AF1902" i="37" s="1"/>
  <c r="AK2157" i="37"/>
  <c r="AK2441" i="37"/>
  <c r="AC2442" i="37"/>
  <c r="AC1612" i="37"/>
  <c r="AK1610" i="37"/>
  <c r="AI1619" i="37"/>
  <c r="AI1621" i="37" s="1"/>
  <c r="AI1628" i="37"/>
  <c r="AI1629" i="37" s="1"/>
  <c r="AI1631" i="37" s="1"/>
  <c r="AC1780" i="37"/>
  <c r="AB1779" i="37"/>
  <c r="AC2190" i="37"/>
  <c r="AK2180" i="37"/>
  <c r="AC2181" i="37"/>
  <c r="AC2216" i="37"/>
  <c r="AK2215" i="37"/>
  <c r="AD1849" i="37"/>
  <c r="AD1838" i="37"/>
  <c r="AH2462" i="37"/>
  <c r="AH2464" i="37" s="1"/>
  <c r="AH2471" i="37"/>
  <c r="AH2472" i="37" s="1"/>
  <c r="AH2474" i="37" s="1"/>
  <c r="AE1909" i="37"/>
  <c r="AE1910" i="37" s="1"/>
  <c r="AE1912" i="37" s="1"/>
  <c r="AE1900" i="37"/>
  <c r="AE1902" i="37" s="1"/>
  <c r="AE2130" i="37"/>
  <c r="AE2119" i="37"/>
  <c r="AK1689" i="37"/>
  <c r="AC1694" i="37"/>
  <c r="AC1695" i="37" s="1"/>
  <c r="AD2119" i="37"/>
  <c r="AD2130" i="37"/>
  <c r="AD1628" i="37"/>
  <c r="AD1629" i="37" s="1"/>
  <c r="AD1631" i="37" s="1"/>
  <c r="AD1619" i="37"/>
  <c r="AD1621" i="37" s="1"/>
  <c r="AE2681" i="37"/>
  <c r="AE2692" i="37"/>
  <c r="AI1900" i="37"/>
  <c r="AI1902" i="37" s="1"/>
  <c r="AI1909" i="37"/>
  <c r="AI1910" i="37" s="1"/>
  <c r="AI1912" i="37" s="1"/>
  <c r="AE1628" i="37"/>
  <c r="AE1629" i="37" s="1"/>
  <c r="AE1631" i="37" s="1"/>
  <c r="AE1619" i="37"/>
  <c r="AE1621" i="37" s="1"/>
  <c r="AC1499" i="37"/>
  <c r="AB1498" i="37"/>
  <c r="AH2400" i="37"/>
  <c r="AH2411" i="37"/>
  <c r="AD2692" i="37"/>
  <c r="AD2681" i="37"/>
  <c r="AC1663" i="37"/>
  <c r="AK1663" i="37" s="1"/>
  <c r="AK1662" i="37"/>
  <c r="AK2777" i="37"/>
  <c r="AC2778" i="37"/>
  <c r="AC2743" i="37"/>
  <c r="AC2752" i="37"/>
  <c r="AK2742" i="37"/>
  <c r="AK2251" i="37"/>
  <c r="AC2256" i="37"/>
  <c r="AC2257" i="37" s="1"/>
  <c r="AC2400" i="37"/>
  <c r="AK2399" i="37"/>
  <c r="AC2411" i="37"/>
  <c r="AK1848" i="37"/>
  <c r="AH1900" i="37"/>
  <c r="AH1902" i="37" s="1"/>
  <c r="AH1909" i="37"/>
  <c r="AH1910" i="37" s="1"/>
  <c r="AH1912" i="37" s="1"/>
  <c r="AH2181" i="37"/>
  <c r="AH2183" i="37" s="1"/>
  <c r="AH2190" i="37"/>
  <c r="AH2191" i="37" s="1"/>
  <c r="AH2193" i="37" s="1"/>
  <c r="AF1628" i="37"/>
  <c r="AF1629" i="37" s="1"/>
  <c r="AF1631" i="37" s="1"/>
  <c r="AF1619" i="37"/>
  <c r="AF1621" i="37" s="1"/>
  <c r="AE1568" i="37"/>
  <c r="AE1557" i="37"/>
  <c r="AG1909" i="37"/>
  <c r="AG1910" i="37" s="1"/>
  <c r="AG1912" i="37" s="1"/>
  <c r="AG1900" i="37"/>
  <c r="AG1902" i="37" s="1"/>
  <c r="AG2181" i="37"/>
  <c r="AG2183" i="37" s="1"/>
  <c r="AG2190" i="37"/>
  <c r="AG2191" i="37" s="1"/>
  <c r="AG2193" i="37" s="1"/>
  <c r="AI2119" i="37"/>
  <c r="AI2130" i="37"/>
  <c r="AK2680" i="37"/>
  <c r="AC2681" i="37"/>
  <c r="AC2692" i="37"/>
  <c r="AC1935" i="37"/>
  <c r="AK1934" i="37"/>
  <c r="AF2681" i="37"/>
  <c r="AF2692" i="37"/>
  <c r="AH1628" i="37"/>
  <c r="AH1629" i="37" s="1"/>
  <c r="AH1631" i="37" s="1"/>
  <c r="AH1619" i="37"/>
  <c r="AH1621" i="37" s="1"/>
  <c r="AC2161" i="37"/>
  <c r="AK2160" i="37"/>
  <c r="AG2130" i="37"/>
  <c r="AG2119" i="37"/>
  <c r="AK2438" i="37"/>
  <c r="AC1628" i="37"/>
  <c r="AK1618" i="37"/>
  <c r="AC1619" i="37"/>
  <c r="AK2786" i="37"/>
  <c r="AC2787" i="37"/>
  <c r="AK2787" i="37" s="1"/>
  <c r="AK1876" i="37"/>
  <c r="AC2174" i="37"/>
  <c r="AK2172" i="37"/>
  <c r="AC2537" i="37"/>
  <c r="AC2538" i="37" s="1"/>
  <c r="AK2532" i="37"/>
  <c r="AG2681" i="37"/>
  <c r="AG2692" i="37"/>
  <c r="Q283" i="34"/>
  <c r="T283" i="34" s="1"/>
  <c r="AG2131" i="37" l="1"/>
  <c r="AG2120" i="37"/>
  <c r="AG2132" i="37" s="1"/>
  <c r="AE1558" i="37"/>
  <c r="AE1570" i="37" s="1"/>
  <c r="AE1569" i="37"/>
  <c r="AC2412" i="37"/>
  <c r="AK2400" i="37"/>
  <c r="AC2401" i="37"/>
  <c r="AC2753" i="37"/>
  <c r="AK2752" i="37"/>
  <c r="AA1498" i="37"/>
  <c r="Z1498" i="37" s="1"/>
  <c r="AD1850" i="37"/>
  <c r="AD1839" i="37"/>
  <c r="AD1851" i="37" s="1"/>
  <c r="AK2181" i="37"/>
  <c r="AC2183" i="37"/>
  <c r="AK2183" i="37" s="1"/>
  <c r="AC1665" i="37"/>
  <c r="AK1665" i="37" s="1"/>
  <c r="AK1612" i="37"/>
  <c r="AK1849" i="37"/>
  <c r="AD2412" i="37"/>
  <c r="AD2401" i="37"/>
  <c r="AD2413" i="37" s="1"/>
  <c r="AK2462" i="37"/>
  <c r="AC2464" i="37"/>
  <c r="AK2464" i="37" s="1"/>
  <c r="AC1946" i="37"/>
  <c r="AK1946" i="37" s="1"/>
  <c r="AK1893" i="37"/>
  <c r="AH2131" i="37"/>
  <c r="AH2120" i="37"/>
  <c r="AH2132" i="37" s="1"/>
  <c r="AK1568" i="37"/>
  <c r="AG2693" i="37"/>
  <c r="AG2682" i="37"/>
  <c r="AG2694" i="37" s="1"/>
  <c r="AC1937" i="37"/>
  <c r="AK1937" i="37" s="1"/>
  <c r="AK1935" i="37"/>
  <c r="AK2411" i="37"/>
  <c r="AK2778" i="37"/>
  <c r="AC2780" i="37"/>
  <c r="AK2780" i="37" s="1"/>
  <c r="AD2682" i="37"/>
  <c r="AD2694" i="37" s="1"/>
  <c r="AD2693" i="37"/>
  <c r="AE2120" i="37"/>
  <c r="AE2132" i="37" s="1"/>
  <c r="AE2131" i="37"/>
  <c r="AK2190" i="37"/>
  <c r="AC2191" i="37"/>
  <c r="AK2130" i="37"/>
  <c r="AC2624" i="37"/>
  <c r="AB2623" i="37"/>
  <c r="AA2623" i="37" s="1"/>
  <c r="Z2623" i="37" s="1"/>
  <c r="AG1569" i="37"/>
  <c r="AG1558" i="37"/>
  <c r="AG1570" i="37" s="1"/>
  <c r="AH2693" i="37"/>
  <c r="AH2682" i="37"/>
  <c r="AH2694" i="37" s="1"/>
  <c r="AI2412" i="37"/>
  <c r="AI2401" i="37"/>
  <c r="AI2413" i="37" s="1"/>
  <c r="AC1569" i="37"/>
  <c r="AC1558" i="37"/>
  <c r="AK1557" i="37"/>
  <c r="AF2682" i="37"/>
  <c r="AF2694" i="37" s="1"/>
  <c r="AF2693" i="37"/>
  <c r="AC2682" i="37"/>
  <c r="AK2681" i="37"/>
  <c r="AC2693" i="37"/>
  <c r="AB1780" i="37"/>
  <c r="AA1780" i="37" s="1"/>
  <c r="Z1780" i="37" s="1"/>
  <c r="AC1781" i="37"/>
  <c r="AC1910" i="37"/>
  <c r="AK1909" i="37"/>
  <c r="AI2682" i="37"/>
  <c r="AI2694" i="37" s="1"/>
  <c r="AI2693" i="37"/>
  <c r="AC1850" i="37"/>
  <c r="AC1839" i="37"/>
  <c r="AK1838" i="37"/>
  <c r="AC2499" i="37"/>
  <c r="AK2499" i="37" s="1"/>
  <c r="AK2497" i="37"/>
  <c r="AH1558" i="37"/>
  <c r="AH1570" i="37" s="1"/>
  <c r="AH1569" i="37"/>
  <c r="AB2061" i="37"/>
  <c r="AA2061" i="37" s="1"/>
  <c r="Z2061" i="37" s="1"/>
  <c r="AC2062" i="37"/>
  <c r="AI1839" i="37"/>
  <c r="AI1851" i="37" s="1"/>
  <c r="AI1850" i="37"/>
  <c r="AC2227" i="37"/>
  <c r="AK2227" i="37" s="1"/>
  <c r="AK2174" i="37"/>
  <c r="AC1621" i="37"/>
  <c r="AK1621" i="37" s="1"/>
  <c r="AK1619" i="37"/>
  <c r="AK2743" i="37"/>
  <c r="AC2745" i="37"/>
  <c r="AK2745" i="37" s="1"/>
  <c r="AH2412" i="37"/>
  <c r="AH2401" i="37"/>
  <c r="AH2413" i="37" s="1"/>
  <c r="AB1499" i="37"/>
  <c r="AA1499" i="37" s="1"/>
  <c r="Z1499" i="37" s="1"/>
  <c r="AC1500" i="37"/>
  <c r="AE2693" i="37"/>
  <c r="AE2682" i="37"/>
  <c r="AE2694" i="37" s="1"/>
  <c r="AD2120" i="37"/>
  <c r="AD2132" i="37" s="1"/>
  <c r="AD2131" i="37"/>
  <c r="AK2119" i="37"/>
  <c r="AC2120" i="37"/>
  <c r="AC2131" i="37"/>
  <c r="AC2343" i="37"/>
  <c r="AB2342" i="37"/>
  <c r="AA2342" i="37" s="1"/>
  <c r="Z2342" i="37" s="1"/>
  <c r="AF1569" i="37"/>
  <c r="AF1558" i="37"/>
  <c r="AF1570" i="37" s="1"/>
  <c r="AC2508" i="37"/>
  <c r="AK2508" i="37" s="1"/>
  <c r="AK2455" i="37"/>
  <c r="AD1569" i="37"/>
  <c r="AD1558" i="37"/>
  <c r="AD1570" i="37" s="1"/>
  <c r="AK2736" i="37"/>
  <c r="AC2789" i="37"/>
  <c r="AK2789" i="37" s="1"/>
  <c r="AF1850" i="37"/>
  <c r="AF1839" i="37"/>
  <c r="AF1851" i="37" s="1"/>
  <c r="AF2412" i="37"/>
  <c r="AF2401" i="37"/>
  <c r="AF2413" i="37" s="1"/>
  <c r="AK1628" i="37"/>
  <c r="AC1629" i="37"/>
  <c r="AK2692" i="37"/>
  <c r="AI2120" i="37"/>
  <c r="AI2132" i="37" s="1"/>
  <c r="AI2131" i="37"/>
  <c r="AC2218" i="37"/>
  <c r="AK2218" i="37" s="1"/>
  <c r="AK2216" i="37"/>
  <c r="AA1779" i="37"/>
  <c r="Z1779" i="37" s="1"/>
  <c r="AE1839" i="37"/>
  <c r="AE1851" i="37" s="1"/>
  <c r="AE1850" i="37"/>
  <c r="AH1839" i="37"/>
  <c r="AH1851" i="37" s="1"/>
  <c r="AH1850" i="37"/>
  <c r="AG1839" i="37"/>
  <c r="AG1851" i="37" s="1"/>
  <c r="AG1850" i="37"/>
  <c r="AC1656" i="37"/>
  <c r="AK1656" i="37" s="1"/>
  <c r="AK1654" i="37"/>
  <c r="AG2401" i="37"/>
  <c r="AG2413" i="37" s="1"/>
  <c r="AG2412" i="37"/>
  <c r="AC1902" i="37"/>
  <c r="AK1902" i="37" s="1"/>
  <c r="AK1900" i="37"/>
  <c r="AI1569" i="37"/>
  <c r="AI1558" i="37"/>
  <c r="AI1570" i="37" s="1"/>
  <c r="AK2471" i="37"/>
  <c r="AC2472" i="37"/>
  <c r="AF2120" i="37"/>
  <c r="AF2132" i="37" s="1"/>
  <c r="AF2131" i="37"/>
  <c r="AE2412" i="37"/>
  <c r="AE2401" i="37"/>
  <c r="AE2413" i="37" s="1"/>
  <c r="Q284" i="34"/>
  <c r="T284" i="34" s="1"/>
  <c r="AC1851" i="37" l="1"/>
  <c r="AK1851" i="37" s="1"/>
  <c r="AK1839" i="37"/>
  <c r="AC1782" i="37"/>
  <c r="AB1781" i="37"/>
  <c r="AA1781" i="37" s="1"/>
  <c r="Z1781" i="37" s="1"/>
  <c r="AC2474" i="37"/>
  <c r="AK2474" i="37" s="1"/>
  <c r="AK2472" i="37"/>
  <c r="AK1850" i="37"/>
  <c r="AK2191" i="37"/>
  <c r="AC2193" i="37"/>
  <c r="AK2193" i="37" s="1"/>
  <c r="AK2412" i="37"/>
  <c r="AK2131" i="37"/>
  <c r="AB2062" i="37"/>
  <c r="AC2063" i="37"/>
  <c r="AC2694" i="37"/>
  <c r="AK2694" i="37" s="1"/>
  <c r="AK2682" i="37"/>
  <c r="AC1570" i="37"/>
  <c r="AK1570" i="37" s="1"/>
  <c r="AK1558" i="37"/>
  <c r="AC2755" i="37"/>
  <c r="AK2755" i="37" s="1"/>
  <c r="AK2753" i="37"/>
  <c r="AB2343" i="37"/>
  <c r="AA2343" i="37" s="1"/>
  <c r="Z2343" i="37" s="1"/>
  <c r="AC2344" i="37"/>
  <c r="AC1501" i="37"/>
  <c r="AB1500" i="37"/>
  <c r="AA1500" i="37" s="1"/>
  <c r="Z1500" i="37" s="1"/>
  <c r="AC1912" i="37"/>
  <c r="AK1912" i="37" s="1"/>
  <c r="AK1910" i="37"/>
  <c r="AC2132" i="37"/>
  <c r="AK2132" i="37" s="1"/>
  <c r="AK2120" i="37"/>
  <c r="AK1569" i="37"/>
  <c r="AB2624" i="37"/>
  <c r="AA2624" i="37" s="1"/>
  <c r="Z2624" i="37" s="1"/>
  <c r="AC2625" i="37"/>
  <c r="AC2413" i="37"/>
  <c r="AK2413" i="37" s="1"/>
  <c r="AK2401" i="37"/>
  <c r="AC1631" i="37"/>
  <c r="AK1631" i="37" s="1"/>
  <c r="AK1629" i="37"/>
  <c r="AK2693" i="37"/>
  <c r="Q285" i="34"/>
  <c r="T285" i="34" s="1"/>
  <c r="AB1782" i="37" l="1"/>
  <c r="AA1782" i="37" s="1"/>
  <c r="Z1782" i="37" s="1"/>
  <c r="AC1783" i="37"/>
  <c r="AC1502" i="37"/>
  <c r="AB1501" i="37"/>
  <c r="AA1501" i="37" s="1"/>
  <c r="Z1501" i="37" s="1"/>
  <c r="AC2626" i="37"/>
  <c r="AB2625" i="37"/>
  <c r="AA2625" i="37" s="1"/>
  <c r="Z2625" i="37" s="1"/>
  <c r="AA2062" i="37"/>
  <c r="Z2062" i="37" s="1"/>
  <c r="AB2344" i="37"/>
  <c r="AC2345" i="37"/>
  <c r="AB2063" i="37"/>
  <c r="AA2063" i="37" s="1"/>
  <c r="Z2063" i="37" s="1"/>
  <c r="AC2064" i="37"/>
  <c r="Q286" i="34"/>
  <c r="T286" i="34" s="1"/>
  <c r="AB2064" i="37" l="1"/>
  <c r="AC2065" i="37"/>
  <c r="AC1503" i="37"/>
  <c r="AB1502" i="37"/>
  <c r="AA1502" i="37" s="1"/>
  <c r="Z1502" i="37" s="1"/>
  <c r="AB2345" i="37"/>
  <c r="AA2345" i="37" s="1"/>
  <c r="Z2345" i="37" s="1"/>
  <c r="AC2346" i="37"/>
  <c r="AA2344" i="37"/>
  <c r="Z2344" i="37" s="1"/>
  <c r="AC2627" i="37"/>
  <c r="AB2626" i="37"/>
  <c r="AA2626" i="37" s="1"/>
  <c r="Z2626" i="37" s="1"/>
  <c r="AB1783" i="37"/>
  <c r="AA1783" i="37" s="1"/>
  <c r="Z1783" i="37" s="1"/>
  <c r="AC1784" i="37"/>
  <c r="Q287" i="34"/>
  <c r="T287" i="34" s="1"/>
  <c r="AC1785" i="37" l="1"/>
  <c r="AB1784" i="37"/>
  <c r="AC1504" i="37"/>
  <c r="AB1503" i="37"/>
  <c r="AA1503" i="37" s="1"/>
  <c r="Z1503" i="37" s="1"/>
  <c r="AB2065" i="37"/>
  <c r="AA2065" i="37" s="1"/>
  <c r="Z2065" i="37" s="1"/>
  <c r="AC2066" i="37"/>
  <c r="AC2628" i="37"/>
  <c r="AB2627" i="37"/>
  <c r="AB2346" i="37"/>
  <c r="AA2346" i="37" s="1"/>
  <c r="Z2346" i="37" s="1"/>
  <c r="AC2347" i="37"/>
  <c r="AA2064" i="37"/>
  <c r="Z2064" i="37" s="1"/>
  <c r="Q288" i="34"/>
  <c r="T288" i="34" s="1"/>
  <c r="AC1505" i="37" l="1"/>
  <c r="AB1504" i="37"/>
  <c r="AA1504" i="37" s="1"/>
  <c r="Z1504" i="37" s="1"/>
  <c r="AA2627" i="37"/>
  <c r="Z2627" i="37" s="1"/>
  <c r="AC2348" i="37"/>
  <c r="AB2347" i="37"/>
  <c r="AA2347" i="37" s="1"/>
  <c r="Z2347" i="37" s="1"/>
  <c r="AB2628" i="37"/>
  <c r="AA2628" i="37" s="1"/>
  <c r="Z2628" i="37" s="1"/>
  <c r="AC2629" i="37"/>
  <c r="AA1784" i="37"/>
  <c r="Z1784" i="37" s="1"/>
  <c r="AB2066" i="37"/>
  <c r="AA2066" i="37" s="1"/>
  <c r="Z2066" i="37" s="1"/>
  <c r="AC2067" i="37"/>
  <c r="AC1786" i="37"/>
  <c r="AB1785" i="37"/>
  <c r="AA1785" i="37" s="1"/>
  <c r="Z1785" i="37" s="1"/>
  <c r="Q289" i="34"/>
  <c r="T289" i="34" s="1"/>
  <c r="AC2068" i="37" l="1"/>
  <c r="AB2068" i="37" s="1"/>
  <c r="AA2068" i="37" s="1"/>
  <c r="Z2068" i="37" s="1"/>
  <c r="AB2067" i="37"/>
  <c r="AC1787" i="37"/>
  <c r="AB1787" i="37" s="1"/>
  <c r="AB1786" i="37"/>
  <c r="AA1786" i="37" s="1"/>
  <c r="Z1786" i="37" s="1"/>
  <c r="AB2348" i="37"/>
  <c r="AC2349" i="37"/>
  <c r="AB2349" i="37" s="1"/>
  <c r="AA2349" i="37" s="1"/>
  <c r="Z2349" i="37" s="1"/>
  <c r="AB2629" i="37"/>
  <c r="AC2630" i="37"/>
  <c r="AB2630" i="37" s="1"/>
  <c r="AA2630" i="37" s="1"/>
  <c r="Z2630" i="37" s="1"/>
  <c r="AB1505" i="37"/>
  <c r="AA1505" i="37" s="1"/>
  <c r="Z1505" i="37" s="1"/>
  <c r="AC1506" i="37"/>
  <c r="AB1506" i="37" s="1"/>
  <c r="Q290" i="34"/>
  <c r="T290" i="34" s="1"/>
  <c r="AA2067" i="37" l="1"/>
  <c r="Z2067" i="37" s="1"/>
  <c r="AB2069" i="37"/>
  <c r="AA2629" i="37"/>
  <c r="Z2629" i="37" s="1"/>
  <c r="AB2631" i="37"/>
  <c r="AA1787" i="37"/>
  <c r="Z1787" i="37" s="1"/>
  <c r="AB1788" i="37"/>
  <c r="AA1506" i="37"/>
  <c r="Z1506" i="37" s="1"/>
  <c r="AB1507" i="37"/>
  <c r="AA2348" i="37"/>
  <c r="Z2348" i="37" s="1"/>
  <c r="AB2350" i="37"/>
  <c r="Q291" i="34"/>
  <c r="T291" i="34" s="1"/>
  <c r="Q292" i="34" l="1"/>
  <c r="T292" i="34" s="1"/>
  <c r="Q293" i="34" l="1"/>
  <c r="T293" i="34" s="1"/>
  <c r="Q294" i="34" l="1"/>
  <c r="T294" i="34" s="1"/>
  <c r="Q295" i="34" l="1"/>
  <c r="T295" i="34" s="1"/>
  <c r="Q296" i="34" l="1"/>
  <c r="T296" i="34" s="1"/>
  <c r="Q297" i="34" l="1"/>
  <c r="T297" i="34" s="1"/>
  <c r="Q298" i="34" l="1"/>
  <c r="T298" i="34" s="1"/>
  <c r="Q299" i="34" l="1"/>
  <c r="T299" i="34" s="1"/>
  <c r="Q300" i="34" l="1"/>
  <c r="T300" i="34" s="1"/>
  <c r="Q301" i="34" l="1"/>
  <c r="T301" i="34" s="1"/>
  <c r="Q302" i="34" l="1"/>
  <c r="T302" i="34" s="1"/>
  <c r="Q303" i="34" l="1"/>
  <c r="T303" i="34" s="1"/>
  <c r="Q304" i="34" l="1"/>
  <c r="T304" i="34" s="1"/>
  <c r="Q305" i="34" l="1"/>
  <c r="T305" i="34" s="1"/>
  <c r="Q306" i="34" l="1"/>
  <c r="T306" i="34" s="1"/>
  <c r="Q307" i="34" l="1"/>
  <c r="T307" i="34" s="1"/>
  <c r="Q308" i="34" l="1"/>
  <c r="T308" i="34" s="1"/>
  <c r="Q309" i="34" l="1"/>
  <c r="T309" i="34" s="1"/>
  <c r="Q310" i="34" l="1"/>
  <c r="T310" i="34" s="1"/>
  <c r="Q311" i="34" l="1"/>
  <c r="T311" i="34" s="1"/>
  <c r="Q313" i="34" l="1"/>
  <c r="T313" i="34" s="1"/>
  <c r="Q314" i="34" l="1"/>
  <c r="T314" i="34" s="1"/>
  <c r="Q60" i="62" l="1"/>
  <c r="X60" i="62"/>
  <c r="X58" i="62"/>
  <c r="Q58" i="62"/>
  <c r="Q62" i="62"/>
  <c r="X62" i="62"/>
  <c r="X59" i="62"/>
  <c r="Q59" i="62"/>
  <c r="Q66" i="62"/>
  <c r="X66" i="62"/>
  <c r="X61" i="62"/>
  <c r="Q61" i="62"/>
  <c r="Q63" i="62"/>
  <c r="X63" i="62"/>
  <c r="X64" i="62" l="1"/>
  <c r="Q64" i="62"/>
  <c r="Q65" i="62"/>
  <c r="X65" i="62"/>
  <c r="Q57" i="62"/>
  <c r="R58" i="62" s="1"/>
  <c r="X57" i="62"/>
  <c r="I220" i="47" l="1"/>
  <c r="R65" i="62"/>
  <c r="R62" i="62"/>
  <c r="R64" i="62"/>
  <c r="R60" i="62"/>
  <c r="R61" i="62"/>
  <c r="R63" i="62"/>
  <c r="R59" i="62"/>
  <c r="R66" i="62"/>
  <c r="U39" i="62"/>
  <c r="R57" i="62"/>
  <c r="N192" i="62" l="1"/>
  <c r="J191" i="62"/>
  <c r="M194" i="62"/>
  <c r="K190" i="62"/>
  <c r="M191" i="62"/>
  <c r="J193" i="62"/>
  <c r="F191" i="62"/>
  <c r="J194" i="62"/>
  <c r="F194" i="62"/>
  <c r="N190" i="62"/>
  <c r="F192" i="62"/>
  <c r="N193" i="62"/>
  <c r="N191" i="62"/>
  <c r="M193" i="62"/>
  <c r="M190" i="62"/>
  <c r="N194" i="62"/>
  <c r="K194" i="62"/>
  <c r="K191" i="62"/>
  <c r="J190" i="62"/>
  <c r="M192" i="62"/>
  <c r="F193" i="62"/>
  <c r="J192" i="62"/>
  <c r="K193" i="62"/>
  <c r="F190" i="62"/>
  <c r="K192" i="62"/>
  <c r="J195" i="62"/>
  <c r="K195" i="62"/>
  <c r="M195" i="62"/>
  <c r="N195" i="62"/>
  <c r="F195" i="62"/>
  <c r="J196" i="62"/>
  <c r="F196" i="62"/>
  <c r="M196" i="62"/>
  <c r="N196" i="62"/>
  <c r="K196" i="62"/>
  <c r="K197" i="62"/>
  <c r="N197" i="62"/>
  <c r="F197" i="62"/>
  <c r="M197" i="62"/>
  <c r="J197" i="62"/>
  <c r="N198" i="62"/>
  <c r="J198" i="62"/>
  <c r="K198" i="62"/>
  <c r="M198" i="62"/>
  <c r="F198" i="62"/>
  <c r="I1472" i="37"/>
  <c r="I1753" i="37"/>
  <c r="I2315" i="37"/>
  <c r="I2034" i="37"/>
  <c r="I2596" i="37"/>
  <c r="K183" i="62"/>
  <c r="K180" i="62"/>
  <c r="M180" i="62"/>
  <c r="J187" i="62"/>
  <c r="N186" i="62"/>
  <c r="J189" i="62"/>
  <c r="M185" i="62"/>
  <c r="F180" i="62"/>
  <c r="J184" i="62"/>
  <c r="M184" i="62"/>
  <c r="N187" i="62"/>
  <c r="J183" i="62"/>
  <c r="K186" i="62"/>
  <c r="N182" i="62"/>
  <c r="J180" i="62"/>
  <c r="F185" i="62"/>
  <c r="F181" i="62"/>
  <c r="I756" i="50" s="1"/>
  <c r="J179" i="62"/>
  <c r="K188" i="62"/>
  <c r="F189" i="62"/>
  <c r="F187" i="62"/>
  <c r="J185" i="62"/>
  <c r="K185" i="62"/>
  <c r="M188" i="62"/>
  <c r="J188" i="62"/>
  <c r="M189" i="62"/>
  <c r="K179" i="62"/>
  <c r="J181" i="62"/>
  <c r="N183" i="62"/>
  <c r="N181" i="62"/>
  <c r="N189" i="62"/>
  <c r="F182" i="62"/>
  <c r="D39" i="62"/>
  <c r="J182" i="62"/>
  <c r="M187" i="62"/>
  <c r="N180" i="62"/>
  <c r="K181" i="62"/>
  <c r="N184" i="62"/>
  <c r="K189" i="62"/>
  <c r="F188" i="62"/>
  <c r="F179" i="62"/>
  <c r="K182" i="62"/>
  <c r="F183" i="62"/>
  <c r="F186" i="62"/>
  <c r="N185" i="62"/>
  <c r="N188" i="62"/>
  <c r="M186" i="62"/>
  <c r="K187" i="62"/>
  <c r="M179" i="62"/>
  <c r="M183" i="62"/>
  <c r="M181" i="62"/>
  <c r="M182" i="62"/>
  <c r="J186" i="62"/>
  <c r="F184" i="62"/>
  <c r="K184" i="62"/>
  <c r="N179" i="62"/>
  <c r="P52" i="50"/>
  <c r="N815" i="50" l="1"/>
  <c r="M815" i="50"/>
  <c r="L815" i="50"/>
  <c r="K815" i="50"/>
  <c r="J815" i="50"/>
  <c r="N873" i="50"/>
  <c r="L873" i="50"/>
  <c r="H873" i="50"/>
  <c r="K873" i="50"/>
  <c r="J873" i="50"/>
  <c r="I873" i="50"/>
  <c r="M873" i="50"/>
  <c r="K2305" i="50"/>
  <c r="J2305" i="50"/>
  <c r="H131" i="62"/>
  <c r="J2137" i="50"/>
  <c r="K2137" i="50"/>
  <c r="L416" i="47"/>
  <c r="H1159" i="37"/>
  <c r="G1145" i="37"/>
  <c r="G1146" i="37" s="1"/>
  <c r="G1147" i="37" s="1"/>
  <c r="G4" i="37"/>
  <c r="I183" i="62"/>
  <c r="I1137" i="37"/>
  <c r="I1012" i="50"/>
  <c r="I884" i="50"/>
  <c r="I856" i="37"/>
  <c r="I182" i="62"/>
  <c r="M3" i="37"/>
  <c r="I179" i="62"/>
  <c r="H130" i="62"/>
  <c r="H878" i="37"/>
  <c r="G864" i="37"/>
  <c r="G865" i="37" s="1"/>
  <c r="G866" i="37" s="1"/>
  <c r="P778" i="50"/>
  <c r="L762" i="50"/>
  <c r="J759" i="50"/>
  <c r="U762" i="50" s="1"/>
  <c r="P812" i="50"/>
  <c r="P787" i="50"/>
  <c r="P785" i="50" s="1"/>
  <c r="P823" i="50"/>
  <c r="P810" i="50"/>
  <c r="M762" i="50"/>
  <c r="P827" i="50"/>
  <c r="L759" i="50"/>
  <c r="P766" i="50"/>
  <c r="P762" i="50"/>
  <c r="P811" i="50"/>
  <c r="N762" i="50"/>
  <c r="P817" i="50"/>
  <c r="P784" i="50"/>
  <c r="R759" i="50"/>
  <c r="I759" i="50" s="1"/>
  <c r="P822" i="50"/>
  <c r="P802" i="50"/>
  <c r="K759" i="50"/>
  <c r="U759" i="50" s="1"/>
  <c r="P824" i="50"/>
  <c r="R756" i="50"/>
  <c r="E759" i="50"/>
  <c r="P805" i="50"/>
  <c r="P803" i="50" s="1"/>
  <c r="P781" i="50"/>
  <c r="P779" i="50" s="1"/>
  <c r="P780" i="50" s="1"/>
  <c r="I180" i="62"/>
  <c r="I628" i="50"/>
  <c r="I181" i="62"/>
  <c r="L449" i="47"/>
  <c r="I467" i="47" s="1"/>
  <c r="L384" i="47"/>
  <c r="Q405" i="47" s="1"/>
  <c r="J2353" i="50"/>
  <c r="K2353" i="50"/>
  <c r="J2257" i="50"/>
  <c r="K2257" i="50"/>
  <c r="K2077" i="50"/>
  <c r="J2077" i="50"/>
  <c r="K1931" i="50"/>
  <c r="K2197" i="50"/>
  <c r="J1931" i="50"/>
  <c r="J2197" i="50"/>
  <c r="G583" i="37"/>
  <c r="G584" i="37" s="1"/>
  <c r="G585" i="37" s="1"/>
  <c r="H597" i="37"/>
  <c r="H128" i="62"/>
  <c r="H129" i="62"/>
  <c r="K3" i="37"/>
  <c r="I575" i="37"/>
  <c r="I294" i="37"/>
  <c r="R306" i="37" s="1"/>
  <c r="I3" i="37"/>
  <c r="H316" i="37"/>
  <c r="G302" i="37"/>
  <c r="G303" i="37" s="1"/>
  <c r="G304" i="37" s="1"/>
  <c r="J1858" i="50"/>
  <c r="K1858" i="50"/>
  <c r="H127" i="62"/>
  <c r="G3" i="37"/>
  <c r="K1785" i="50"/>
  <c r="J1785" i="50"/>
  <c r="T1556" i="42"/>
  <c r="AL1564" i="42" s="1"/>
  <c r="X1556" i="42"/>
  <c r="X1247" i="42"/>
  <c r="T1076" i="42"/>
  <c r="T1694" i="42"/>
  <c r="AL1702" i="42" s="1"/>
  <c r="T1247" i="42"/>
  <c r="X1694" i="42"/>
  <c r="X1076" i="42"/>
  <c r="K2004" i="50"/>
  <c r="J2004" i="50"/>
  <c r="X459" i="42"/>
  <c r="T459" i="42"/>
  <c r="X1418" i="42"/>
  <c r="T682" i="42"/>
  <c r="T1418" i="42"/>
  <c r="AL1426" i="42" s="1"/>
  <c r="X905" i="42"/>
  <c r="T905" i="42"/>
  <c r="X682" i="42"/>
  <c r="X236" i="42"/>
  <c r="T236" i="42"/>
  <c r="E174" i="41"/>
  <c r="E100" i="50"/>
  <c r="E173" i="41"/>
  <c r="E99" i="50"/>
  <c r="E98" i="50"/>
  <c r="E172" i="41"/>
  <c r="E171" i="41"/>
  <c r="E97" i="50"/>
  <c r="E170" i="41"/>
  <c r="E96" i="50"/>
  <c r="G21" i="37"/>
  <c r="G22" i="37" s="1"/>
  <c r="G23" i="37" s="1"/>
  <c r="H35" i="37"/>
  <c r="M55" i="50"/>
  <c r="L242" i="47"/>
  <c r="I500" i="50"/>
  <c r="L17" i="47"/>
  <c r="L333" i="47"/>
  <c r="T13" i="42"/>
  <c r="X13" i="42"/>
  <c r="L106" i="47"/>
  <c r="L140" i="47"/>
  <c r="E169" i="41"/>
  <c r="L282" i="47"/>
  <c r="E95" i="50"/>
  <c r="I13" i="37"/>
  <c r="R25" i="37" s="1"/>
  <c r="L174" i="47"/>
  <c r="AC21" i="49"/>
  <c r="V20" i="41"/>
  <c r="AE21" i="49"/>
  <c r="AB20" i="41"/>
  <c r="AB21" i="41" s="1"/>
  <c r="AB22" i="41" s="1"/>
  <c r="AB23" i="41" s="1"/>
  <c r="AA20" i="41"/>
  <c r="AA21" i="41" s="1"/>
  <c r="AA22" i="41" s="1"/>
  <c r="AA23" i="41" s="1"/>
  <c r="AD21" i="49"/>
  <c r="X20" i="41"/>
  <c r="X21" i="41" s="1"/>
  <c r="X22" i="41" s="1"/>
  <c r="X23" i="41" s="1"/>
  <c r="AF21" i="49"/>
  <c r="Z20" i="41"/>
  <c r="Z21" i="41" s="1"/>
  <c r="Z22" i="41" s="1"/>
  <c r="Z23" i="41" s="1"/>
  <c r="W20" i="41"/>
  <c r="W21" i="41" s="1"/>
  <c r="W22" i="41" s="1"/>
  <c r="W23" i="41" s="1"/>
  <c r="AG21" i="49"/>
  <c r="AH21" i="49"/>
  <c r="AB21" i="49"/>
  <c r="Y20" i="41"/>
  <c r="Y21" i="41" s="1"/>
  <c r="Y22" i="41" s="1"/>
  <c r="Y23" i="41" s="1"/>
  <c r="D69" i="62"/>
  <c r="G204" i="62" s="1"/>
  <c r="L1071" i="50" l="1"/>
  <c r="K1071" i="50"/>
  <c r="J1071" i="50"/>
  <c r="N1071" i="50"/>
  <c r="M1071" i="50"/>
  <c r="N559" i="50"/>
  <c r="M559" i="50"/>
  <c r="L559" i="50"/>
  <c r="K559" i="50"/>
  <c r="J559" i="50"/>
  <c r="K687" i="50"/>
  <c r="J687" i="50"/>
  <c r="N687" i="50"/>
  <c r="M687" i="50"/>
  <c r="L687" i="50"/>
  <c r="N943" i="50"/>
  <c r="M943" i="50"/>
  <c r="L943" i="50"/>
  <c r="K943" i="50"/>
  <c r="J943" i="50"/>
  <c r="L617" i="50"/>
  <c r="J617" i="50"/>
  <c r="I617" i="50"/>
  <c r="H617" i="50"/>
  <c r="N617" i="50"/>
  <c r="M617" i="50"/>
  <c r="K617" i="50"/>
  <c r="N1001" i="50"/>
  <c r="H1001" i="50"/>
  <c r="M1001" i="50"/>
  <c r="L1001" i="50"/>
  <c r="I1001" i="50"/>
  <c r="K1001" i="50"/>
  <c r="J1001" i="50"/>
  <c r="N1129" i="50"/>
  <c r="J1129" i="50"/>
  <c r="M1129" i="50"/>
  <c r="L1129" i="50"/>
  <c r="K1129" i="50"/>
  <c r="I1129" i="50"/>
  <c r="H1129" i="50"/>
  <c r="L745" i="50"/>
  <c r="M745" i="50"/>
  <c r="K745" i="50"/>
  <c r="J745" i="50"/>
  <c r="I745" i="50"/>
  <c r="H745" i="50"/>
  <c r="N745" i="50"/>
  <c r="L826" i="50"/>
  <c r="M774" i="50" s="1"/>
  <c r="M880" i="50"/>
  <c r="H878" i="50"/>
  <c r="J875" i="50"/>
  <c r="M876" i="50"/>
  <c r="J878" i="50"/>
  <c r="L880" i="50"/>
  <c r="I875" i="50"/>
  <c r="K880" i="50"/>
  <c r="K876" i="50"/>
  <c r="J880" i="50"/>
  <c r="L876" i="50"/>
  <c r="I880" i="50"/>
  <c r="H880" i="50"/>
  <c r="J876" i="50"/>
  <c r="I876" i="50"/>
  <c r="L878" i="50"/>
  <c r="K878" i="50"/>
  <c r="N878" i="50"/>
  <c r="M878" i="50"/>
  <c r="H876" i="50"/>
  <c r="N875" i="50"/>
  <c r="M875" i="50"/>
  <c r="N880" i="50"/>
  <c r="I878" i="50"/>
  <c r="K875" i="50"/>
  <c r="N876" i="50"/>
  <c r="H875" i="50"/>
  <c r="L875" i="50"/>
  <c r="M813" i="50"/>
  <c r="AE48" i="41"/>
  <c r="AE44" i="41"/>
  <c r="AE50" i="41"/>
  <c r="AE49" i="41"/>
  <c r="AE45" i="41"/>
  <c r="AE46" i="41"/>
  <c r="AE47" i="41"/>
  <c r="L813" i="50"/>
  <c r="M358" i="47"/>
  <c r="L358" i="47"/>
  <c r="K358" i="47"/>
  <c r="N358" i="47"/>
  <c r="J358" i="47"/>
  <c r="P1058" i="50"/>
  <c r="L1018" i="50"/>
  <c r="P1079" i="50"/>
  <c r="P1022" i="50"/>
  <c r="P1061" i="50"/>
  <c r="P1059" i="50" s="1"/>
  <c r="P1060" i="50" s="1"/>
  <c r="K1015" i="50"/>
  <c r="U1015" i="50" s="1"/>
  <c r="E1015" i="50"/>
  <c r="L1015" i="50"/>
  <c r="R1015" i="50"/>
  <c r="I1015" i="50" s="1"/>
  <c r="P1037" i="50"/>
  <c r="P1035" i="50" s="1"/>
  <c r="P1036" i="50" s="1"/>
  <c r="R1012" i="50"/>
  <c r="D2425" i="50" s="1"/>
  <c r="D2477" i="50" s="1"/>
  <c r="P1080" i="50"/>
  <c r="P1043" i="50"/>
  <c r="P1041" i="50" s="1"/>
  <c r="P1042" i="50" s="1"/>
  <c r="N1018" i="50"/>
  <c r="J1018" i="50"/>
  <c r="P1018" i="50"/>
  <c r="P1083" i="50"/>
  <c r="P1040" i="50"/>
  <c r="P1078" i="50"/>
  <c r="K1018" i="50"/>
  <c r="P1066" i="50"/>
  <c r="P1034" i="50"/>
  <c r="S1082" i="50"/>
  <c r="P1067" i="50"/>
  <c r="M1018" i="50"/>
  <c r="L1069" i="50"/>
  <c r="P1068" i="50"/>
  <c r="J1015" i="50"/>
  <c r="R1018" i="50" s="1"/>
  <c r="P1073" i="50"/>
  <c r="R1149" i="37"/>
  <c r="Q1314" i="37"/>
  <c r="Q1176" i="37"/>
  <c r="Q1396" i="37"/>
  <c r="S1375" i="37"/>
  <c r="J1146" i="37"/>
  <c r="S1384" i="37"/>
  <c r="Q1340" i="37"/>
  <c r="S1390" i="37"/>
  <c r="Q1349" i="37"/>
  <c r="M1147" i="37"/>
  <c r="Q1200" i="37"/>
  <c r="X1137" i="37"/>
  <c r="Q1313" i="37"/>
  <c r="Q1259" i="37"/>
  <c r="Q1309" i="37"/>
  <c r="AG1401" i="37"/>
  <c r="Q1317" i="37"/>
  <c r="N1147" i="37"/>
  <c r="Q1365" i="37"/>
  <c r="E1145" i="37"/>
  <c r="Q1404" i="37"/>
  <c r="Q1359" i="37"/>
  <c r="Q1357" i="37" s="1"/>
  <c r="Q1165" i="37"/>
  <c r="Q1375" i="37"/>
  <c r="Q1405" i="37"/>
  <c r="Q1330" i="37"/>
  <c r="Q1331" i="37"/>
  <c r="M1146" i="37"/>
  <c r="Q1147" i="37"/>
  <c r="T1137" i="37"/>
  <c r="S1300" i="37"/>
  <c r="Q1408" i="37"/>
  <c r="Q1185" i="37"/>
  <c r="Q1300" i="37"/>
  <c r="K1147" i="37"/>
  <c r="L1147" i="37"/>
  <c r="S1374" i="37"/>
  <c r="N1146" i="37"/>
  <c r="Q1384" i="37"/>
  <c r="S1318" i="37"/>
  <c r="E1396" i="37"/>
  <c r="Q1168" i="37"/>
  <c r="S1290" i="37"/>
  <c r="Q1197" i="37"/>
  <c r="AG1269" i="37"/>
  <c r="AD1271" i="37" s="1"/>
  <c r="AD1283" i="37" s="1"/>
  <c r="Q1278" i="37"/>
  <c r="H1149" i="37"/>
  <c r="K1146" i="37"/>
  <c r="AL1137" i="37"/>
  <c r="Q1146" i="37"/>
  <c r="E1251" i="37"/>
  <c r="Q1409" i="37"/>
  <c r="Q1362" i="37"/>
  <c r="T1173" i="37"/>
  <c r="Q1374" i="37"/>
  <c r="J1178" i="37"/>
  <c r="Q1310" i="37"/>
  <c r="I1231" i="37"/>
  <c r="Q1167" i="37"/>
  <c r="Q1191" i="37"/>
  <c r="I1191" i="37" s="1"/>
  <c r="S1278" i="37"/>
  <c r="Q1159" i="37"/>
  <c r="S1317" i="37"/>
  <c r="Q1162" i="37"/>
  <c r="Q1160" i="37" s="1"/>
  <c r="S1310" i="37"/>
  <c r="L1146" i="37"/>
  <c r="AG1322" i="37"/>
  <c r="AD1324" i="37" s="1"/>
  <c r="AD1333" i="37" s="1"/>
  <c r="AD1342" i="37" s="1"/>
  <c r="AD1368" i="37" s="1"/>
  <c r="AD1377" i="37" s="1"/>
  <c r="Q1194" i="37"/>
  <c r="Q1192" i="37" s="1"/>
  <c r="Q1383" i="37"/>
  <c r="Q1356" i="37"/>
  <c r="I1356" i="37" s="1"/>
  <c r="Q1290" i="37"/>
  <c r="Q1339" i="37"/>
  <c r="J1147" i="37"/>
  <c r="Q1350" i="37"/>
  <c r="Q1260" i="37"/>
  <c r="Q1318" i="37"/>
  <c r="S1251" i="37"/>
  <c r="Q1251" i="37"/>
  <c r="Q1390" i="37"/>
  <c r="Q1352" i="37"/>
  <c r="S1309" i="37"/>
  <c r="Q1416" i="37"/>
  <c r="H1162" i="37"/>
  <c r="H1168" i="37"/>
  <c r="L814" i="50"/>
  <c r="I826" i="50"/>
  <c r="M814" i="50"/>
  <c r="N813" i="50"/>
  <c r="S825" i="50"/>
  <c r="M825" i="50"/>
  <c r="N773" i="50" s="1"/>
  <c r="L825" i="50"/>
  <c r="M773" i="50" s="1"/>
  <c r="M759" i="50"/>
  <c r="K814" i="50"/>
  <c r="N814" i="50"/>
  <c r="I814" i="50"/>
  <c r="S826" i="50"/>
  <c r="J813" i="50"/>
  <c r="H881" i="37"/>
  <c r="H887" i="37"/>
  <c r="R868" i="37"/>
  <c r="Q1081" i="37"/>
  <c r="Q913" i="37"/>
  <c r="Q911" i="37" s="1"/>
  <c r="S1103" i="37"/>
  <c r="Q1127" i="37"/>
  <c r="S1093" i="37"/>
  <c r="Q904" i="37"/>
  <c r="Q1019" i="37"/>
  <c r="AL856" i="37"/>
  <c r="Q1128" i="37"/>
  <c r="Q1075" i="37"/>
  <c r="I1075" i="37" s="1"/>
  <c r="Q1102" i="37"/>
  <c r="Q1049" i="37"/>
  <c r="Q1109" i="37"/>
  <c r="H868" i="37"/>
  <c r="AG1120" i="37"/>
  <c r="N865" i="37"/>
  <c r="Q919" i="37"/>
  <c r="S1036" i="37"/>
  <c r="E970" i="37"/>
  <c r="Q895" i="37"/>
  <c r="Q1094" i="37"/>
  <c r="Q970" i="37"/>
  <c r="S1009" i="37"/>
  <c r="Q866" i="37"/>
  <c r="T856" i="37"/>
  <c r="M866" i="37"/>
  <c r="Q979" i="37"/>
  <c r="Q865" i="37"/>
  <c r="Q887" i="37"/>
  <c r="Q886" i="37"/>
  <c r="Q1068" i="37"/>
  <c r="S1037" i="37"/>
  <c r="E1115" i="37"/>
  <c r="Q1037" i="37"/>
  <c r="M865" i="37"/>
  <c r="Q1058" i="37"/>
  <c r="Q1084" i="37"/>
  <c r="S1109" i="37"/>
  <c r="Q1093" i="37"/>
  <c r="Q1071" i="37"/>
  <c r="S1028" i="37"/>
  <c r="J866" i="37"/>
  <c r="S1019" i="37"/>
  <c r="Q884" i="37"/>
  <c r="T892" i="37"/>
  <c r="AG1041" i="37"/>
  <c r="AD1043" i="37" s="1"/>
  <c r="AD1052" i="37" s="1"/>
  <c r="AD1061" i="37" s="1"/>
  <c r="AD1087" i="37" s="1"/>
  <c r="AD1096" i="37" s="1"/>
  <c r="Q1123" i="37"/>
  <c r="Q878" i="37"/>
  <c r="Q1124" i="37"/>
  <c r="S1029" i="37"/>
  <c r="Q1033" i="37"/>
  <c r="Q910" i="37"/>
  <c r="I910" i="37" s="1"/>
  <c r="Q1009" i="37"/>
  <c r="J865" i="37"/>
  <c r="Q1036" i="37"/>
  <c r="Q1050" i="37"/>
  <c r="Q1069" i="37"/>
  <c r="L865" i="37"/>
  <c r="Q978" i="37"/>
  <c r="N866" i="37"/>
  <c r="AG988" i="37"/>
  <c r="AD990" i="37" s="1"/>
  <c r="AD1002" i="37" s="1"/>
  <c r="Q1032" i="37"/>
  <c r="S970" i="37"/>
  <c r="Q1028" i="37"/>
  <c r="S997" i="37"/>
  <c r="Q1115" i="37"/>
  <c r="K866" i="37"/>
  <c r="X856" i="37"/>
  <c r="Q1103" i="37"/>
  <c r="J897" i="37"/>
  <c r="Q1029" i="37"/>
  <c r="E864" i="37"/>
  <c r="K865" i="37"/>
  <c r="Q997" i="37"/>
  <c r="Q881" i="37"/>
  <c r="Q879" i="37" s="1"/>
  <c r="Q1059" i="37"/>
  <c r="I950" i="37"/>
  <c r="S1094" i="37"/>
  <c r="Q1078" i="37"/>
  <c r="Q1076" i="37" s="1"/>
  <c r="Q916" i="37"/>
  <c r="L866" i="37"/>
  <c r="P930" i="50"/>
  <c r="P940" i="50"/>
  <c r="P906" i="50"/>
  <c r="P915" i="50"/>
  <c r="P913" i="50" s="1"/>
  <c r="P914" i="50" s="1"/>
  <c r="J890" i="50"/>
  <c r="M890" i="50"/>
  <c r="P894" i="50"/>
  <c r="L887" i="50"/>
  <c r="L890" i="50"/>
  <c r="P909" i="50"/>
  <c r="P907" i="50" s="1"/>
  <c r="P908" i="50" s="1"/>
  <c r="P955" i="50"/>
  <c r="E887" i="50"/>
  <c r="P890" i="50"/>
  <c r="P945" i="50"/>
  <c r="K890" i="50"/>
  <c r="P912" i="50"/>
  <c r="P950" i="50"/>
  <c r="K887" i="50"/>
  <c r="U887" i="50" s="1"/>
  <c r="P952" i="50"/>
  <c r="P939" i="50"/>
  <c r="P938" i="50"/>
  <c r="R884" i="50"/>
  <c r="D2424" i="50" s="1"/>
  <c r="D2476" i="50" s="1"/>
  <c r="P933" i="50"/>
  <c r="P931" i="50" s="1"/>
  <c r="P932" i="50" s="1"/>
  <c r="J887" i="50"/>
  <c r="R890" i="50" s="1"/>
  <c r="R887" i="50"/>
  <c r="I887" i="50" s="1"/>
  <c r="N890" i="50"/>
  <c r="P951" i="50"/>
  <c r="N825" i="50"/>
  <c r="K826" i="50"/>
  <c r="L774" i="50" s="1"/>
  <c r="K813" i="50"/>
  <c r="J814" i="50"/>
  <c r="M826" i="50"/>
  <c r="N774" i="50" s="1"/>
  <c r="N826" i="50"/>
  <c r="J826" i="50"/>
  <c r="K774" i="50" s="1"/>
  <c r="J825" i="50"/>
  <c r="K773" i="50" s="1"/>
  <c r="S762" i="50"/>
  <c r="K767" i="50" s="1"/>
  <c r="R762" i="50"/>
  <c r="J767" i="50" s="1"/>
  <c r="R587" i="37"/>
  <c r="T762" i="50"/>
  <c r="L767" i="50" s="1"/>
  <c r="T449" i="47"/>
  <c r="V449" i="47" s="1"/>
  <c r="M784" i="50"/>
  <c r="M767" i="50"/>
  <c r="M766" i="50"/>
  <c r="P804" i="50"/>
  <c r="P786" i="50"/>
  <c r="K825" i="50"/>
  <c r="L773" i="50" s="1"/>
  <c r="N799" i="50"/>
  <c r="K796" i="50"/>
  <c r="K790" i="50"/>
  <c r="L798" i="50"/>
  <c r="L793" i="50"/>
  <c r="J790" i="50"/>
  <c r="M796" i="50"/>
  <c r="N798" i="50"/>
  <c r="J797" i="50"/>
  <c r="N791" i="50"/>
  <c r="L799" i="50"/>
  <c r="M798" i="50"/>
  <c r="H759" i="50"/>
  <c r="K791" i="50"/>
  <c r="J793" i="50"/>
  <c r="J791" i="50"/>
  <c r="L797" i="50"/>
  <c r="L791" i="50"/>
  <c r="M799" i="50"/>
  <c r="N790" i="50"/>
  <c r="J798" i="50"/>
  <c r="M790" i="50"/>
  <c r="J799" i="50"/>
  <c r="M793" i="50"/>
  <c r="F762" i="50"/>
  <c r="K797" i="50"/>
  <c r="L792" i="50"/>
  <c r="K799" i="50"/>
  <c r="K793" i="50"/>
  <c r="N797" i="50"/>
  <c r="L796" i="50"/>
  <c r="K792" i="50"/>
  <c r="N793" i="50"/>
  <c r="M792" i="50"/>
  <c r="N796" i="50"/>
  <c r="K798" i="50"/>
  <c r="J792" i="50"/>
  <c r="M791" i="50"/>
  <c r="J796" i="50"/>
  <c r="M797" i="50"/>
  <c r="N792" i="50"/>
  <c r="L790" i="50"/>
  <c r="V762" i="50"/>
  <c r="D2423" i="50"/>
  <c r="D2475" i="50" s="1"/>
  <c r="P650" i="50"/>
  <c r="L634" i="50"/>
  <c r="J631" i="50"/>
  <c r="U634" i="50" s="1"/>
  <c r="P699" i="50"/>
  <c r="P674" i="50"/>
  <c r="N634" i="50"/>
  <c r="P689" i="50"/>
  <c r="P653" i="50"/>
  <c r="P651" i="50" s="1"/>
  <c r="P652" i="50" s="1"/>
  <c r="P638" i="50"/>
  <c r="K631" i="50"/>
  <c r="U631" i="50" s="1"/>
  <c r="P677" i="50"/>
  <c r="P675" i="50" s="1"/>
  <c r="P634" i="50"/>
  <c r="E631" i="50"/>
  <c r="P694" i="50"/>
  <c r="P683" i="50"/>
  <c r="M634" i="50"/>
  <c r="P696" i="50"/>
  <c r="P695" i="50"/>
  <c r="R631" i="50"/>
  <c r="I631" i="50" s="1"/>
  <c r="P659" i="50"/>
  <c r="P657" i="50" s="1"/>
  <c r="L631" i="50"/>
  <c r="P682" i="50"/>
  <c r="P684" i="50"/>
  <c r="R628" i="50"/>
  <c r="D2422" i="50" s="1"/>
  <c r="D2474" i="50" s="1"/>
  <c r="P656" i="50"/>
  <c r="R503" i="50"/>
  <c r="I503" i="50" s="1"/>
  <c r="T174" i="47"/>
  <c r="V174" i="47" s="1"/>
  <c r="P525" i="50"/>
  <c r="P523" i="50" s="1"/>
  <c r="P524" i="50" s="1"/>
  <c r="P522" i="50"/>
  <c r="L503" i="50"/>
  <c r="P571" i="50"/>
  <c r="P554" i="50"/>
  <c r="P531" i="50"/>
  <c r="P529" i="50" s="1"/>
  <c r="K503" i="50"/>
  <c r="U503" i="50" s="1"/>
  <c r="P566" i="50"/>
  <c r="P546" i="50"/>
  <c r="P567" i="50"/>
  <c r="P561" i="50"/>
  <c r="E503" i="50"/>
  <c r="P568" i="50"/>
  <c r="P528" i="50"/>
  <c r="P549" i="50"/>
  <c r="P547" i="50" s="1"/>
  <c r="P556" i="50"/>
  <c r="P506" i="50"/>
  <c r="P555" i="50"/>
  <c r="P510" i="50"/>
  <c r="J503" i="50"/>
  <c r="R506" i="50" s="1"/>
  <c r="AG707" i="37"/>
  <c r="AD709" i="37" s="1"/>
  <c r="AD721" i="37" s="1"/>
  <c r="S828" i="37"/>
  <c r="S813" i="37"/>
  <c r="Q716" i="37"/>
  <c r="Q689" i="37"/>
  <c r="Q769" i="37"/>
  <c r="Q834" i="37"/>
  <c r="Q797" i="37"/>
  <c r="Q795" i="37" s="1"/>
  <c r="Q747" i="37"/>
  <c r="S689" i="37"/>
  <c r="Q605" i="37"/>
  <c r="Q843" i="37"/>
  <c r="S755" i="37"/>
  <c r="Q790" i="37"/>
  <c r="S728" i="37"/>
  <c r="Q821" i="37"/>
  <c r="Q800" i="37"/>
  <c r="X575" i="37"/>
  <c r="Q842" i="37"/>
  <c r="AG760" i="37"/>
  <c r="AD762" i="37" s="1"/>
  <c r="AD771" i="37" s="1"/>
  <c r="AD780" i="37" s="1"/>
  <c r="AD806" i="37" s="1"/>
  <c r="AD815" i="37" s="1"/>
  <c r="Q755" i="37"/>
  <c r="S716" i="37"/>
  <c r="J616" i="37"/>
  <c r="Q623" i="37"/>
  <c r="Q638" i="37"/>
  <c r="E583" i="37"/>
  <c r="S822" i="37"/>
  <c r="Q768" i="37"/>
  <c r="S812" i="37"/>
  <c r="I669" i="37"/>
  <c r="Q728" i="37"/>
  <c r="T575" i="37"/>
  <c r="Q603" i="37"/>
  <c r="Q629" i="37"/>
  <c r="I629" i="37" s="1"/>
  <c r="S747" i="37"/>
  <c r="N585" i="37"/>
  <c r="AG839" i="37"/>
  <c r="M584" i="37"/>
  <c r="Q813" i="37"/>
  <c r="Q846" i="37"/>
  <c r="Q697" i="37"/>
  <c r="Q788" i="37"/>
  <c r="Q794" i="37"/>
  <c r="I794" i="37" s="1"/>
  <c r="Q751" i="37"/>
  <c r="Q778" i="37"/>
  <c r="Q585" i="37"/>
  <c r="T611" i="37"/>
  <c r="Q847" i="37"/>
  <c r="S748" i="37"/>
  <c r="Q698" i="37"/>
  <c r="Q600" i="37"/>
  <c r="Q598" i="37" s="1"/>
  <c r="Q606" i="37"/>
  <c r="E834" i="37"/>
  <c r="Q738" i="37"/>
  <c r="H587" i="37"/>
  <c r="S738" i="37"/>
  <c r="N584" i="37"/>
  <c r="AL575" i="37"/>
  <c r="Q756" i="37"/>
  <c r="Q635" i="37"/>
  <c r="Q777" i="37"/>
  <c r="Q597" i="37"/>
  <c r="Q828" i="37"/>
  <c r="Q752" i="37"/>
  <c r="S756" i="37"/>
  <c r="Q803" i="37"/>
  <c r="Q822" i="37"/>
  <c r="E689" i="37"/>
  <c r="Q812" i="37"/>
  <c r="Q632" i="37"/>
  <c r="Q630" i="37" s="1"/>
  <c r="Q614" i="37"/>
  <c r="Q748" i="37"/>
  <c r="Q584" i="37"/>
  <c r="Q787" i="37"/>
  <c r="L584" i="37"/>
  <c r="H600" i="37"/>
  <c r="H606" i="37"/>
  <c r="H319" i="37"/>
  <c r="H325" i="37"/>
  <c r="AG426" i="37"/>
  <c r="AD428" i="37" s="1"/>
  <c r="AD440" i="37" s="1"/>
  <c r="AL294" i="37"/>
  <c r="Q475" i="37"/>
  <c r="Q457" i="37"/>
  <c r="Q496" i="37"/>
  <c r="Q324" i="37"/>
  <c r="Q342" i="37"/>
  <c r="Q351" i="37"/>
  <c r="Q349" i="37" s="1"/>
  <c r="Q553" i="37"/>
  <c r="Q408" i="37"/>
  <c r="Q466" i="37"/>
  <c r="Q474" i="37"/>
  <c r="Q507" i="37"/>
  <c r="E553" i="37"/>
  <c r="T294" i="37"/>
  <c r="Q519" i="37"/>
  <c r="S532" i="37"/>
  <c r="Q467" i="37"/>
  <c r="Q497" i="37"/>
  <c r="AG558" i="37"/>
  <c r="Q531" i="37"/>
  <c r="S447" i="37"/>
  <c r="I388" i="37"/>
  <c r="Q333" i="37"/>
  <c r="S541" i="37"/>
  <c r="E302" i="37"/>
  <c r="Q416" i="37"/>
  <c r="Q541" i="37"/>
  <c r="Q447" i="37"/>
  <c r="H306" i="37"/>
  <c r="S466" i="37"/>
  <c r="Q488" i="37"/>
  <c r="S531" i="37"/>
  <c r="Q319" i="37"/>
  <c r="Q317" i="37" s="1"/>
  <c r="Q509" i="37"/>
  <c r="Q547" i="37"/>
  <c r="L303" i="37"/>
  <c r="M303" i="37"/>
  <c r="AG479" i="37"/>
  <c r="AD481" i="37" s="1"/>
  <c r="AD490" i="37" s="1"/>
  <c r="AD499" i="37" s="1"/>
  <c r="AD525" i="37" s="1"/>
  <c r="AD534" i="37" s="1"/>
  <c r="Q471" i="37"/>
  <c r="Q516" i="37"/>
  <c r="Q514" i="37" s="1"/>
  <c r="Q322" i="37"/>
  <c r="S467" i="37"/>
  <c r="Q354" i="37"/>
  <c r="Q303" i="37"/>
  <c r="Q565" i="37"/>
  <c r="E408" i="37"/>
  <c r="Q506" i="37"/>
  <c r="S475" i="37"/>
  <c r="S474" i="37"/>
  <c r="S547" i="37"/>
  <c r="Q304" i="37"/>
  <c r="Q417" i="37"/>
  <c r="Q435" i="37"/>
  <c r="Q540" i="37"/>
  <c r="Q566" i="37"/>
  <c r="J335" i="37"/>
  <c r="Q513" i="37"/>
  <c r="I513" i="37" s="1"/>
  <c r="S408" i="37"/>
  <c r="Q357" i="37"/>
  <c r="Q348" i="37"/>
  <c r="I348" i="37" s="1"/>
  <c r="X294" i="37"/>
  <c r="Q561" i="37"/>
  <c r="Q562" i="37"/>
  <c r="Q325" i="37"/>
  <c r="N304" i="37"/>
  <c r="N303" i="37"/>
  <c r="Q532" i="37"/>
  <c r="Q522" i="37"/>
  <c r="S435" i="37"/>
  <c r="Q470" i="37"/>
  <c r="Q316" i="37"/>
  <c r="S457" i="37"/>
  <c r="Q487" i="37"/>
  <c r="T330" i="37"/>
  <c r="V1247" i="42"/>
  <c r="AL1255" i="42"/>
  <c r="V1076" i="42"/>
  <c r="AL1084" i="42"/>
  <c r="Z1556" i="42"/>
  <c r="X1684" i="42"/>
  <c r="V1694" i="42"/>
  <c r="Z1076" i="42"/>
  <c r="X1206" i="42"/>
  <c r="T2356" i="50"/>
  <c r="S2356" i="50"/>
  <c r="R2356" i="50"/>
  <c r="U2356" i="50"/>
  <c r="V2356" i="50"/>
  <c r="X1377" i="42"/>
  <c r="Z1247" i="42"/>
  <c r="T2308" i="50"/>
  <c r="R2308" i="50"/>
  <c r="S2308" i="50"/>
  <c r="U2308" i="50"/>
  <c r="V2308" i="50"/>
  <c r="Z1694" i="42"/>
  <c r="X1822" i="42" s="1"/>
  <c r="T2260" i="50"/>
  <c r="R2260" i="50"/>
  <c r="S2260" i="50"/>
  <c r="U2260" i="50"/>
  <c r="V2260" i="50"/>
  <c r="S2140" i="50"/>
  <c r="R2140" i="50"/>
  <c r="T2140" i="50"/>
  <c r="U2140" i="50"/>
  <c r="V2140" i="50"/>
  <c r="T2200" i="50"/>
  <c r="R2200" i="50"/>
  <c r="S2200" i="50"/>
  <c r="U2200" i="50"/>
  <c r="V2200" i="50"/>
  <c r="V1556" i="42"/>
  <c r="M2394" i="50"/>
  <c r="H2394" i="50"/>
  <c r="N2394" i="50"/>
  <c r="I2394" i="50"/>
  <c r="K2394" i="50"/>
  <c r="J2394" i="50"/>
  <c r="L2394" i="50"/>
  <c r="L2346" i="50"/>
  <c r="I2346" i="50"/>
  <c r="H2346" i="50"/>
  <c r="N2346" i="50"/>
  <c r="M2346" i="50"/>
  <c r="J2346" i="50"/>
  <c r="K2346" i="50"/>
  <c r="L2298" i="50"/>
  <c r="N2298" i="50"/>
  <c r="J2298" i="50"/>
  <c r="M2298" i="50"/>
  <c r="K2298" i="50"/>
  <c r="L2238" i="50"/>
  <c r="K2238" i="50"/>
  <c r="H2238" i="50"/>
  <c r="M2238" i="50"/>
  <c r="N2238" i="50"/>
  <c r="I2238" i="50"/>
  <c r="J2238" i="50"/>
  <c r="L2178" i="50"/>
  <c r="I2178" i="50"/>
  <c r="N2178" i="50"/>
  <c r="H2178" i="50"/>
  <c r="M2178" i="50"/>
  <c r="K2178" i="50"/>
  <c r="J2178" i="50"/>
  <c r="R1934" i="50"/>
  <c r="T1934" i="50"/>
  <c r="S1934" i="50"/>
  <c r="U1934" i="50"/>
  <c r="V1934" i="50"/>
  <c r="L2118" i="50"/>
  <c r="I2118" i="50"/>
  <c r="K2118" i="50"/>
  <c r="M2118" i="50"/>
  <c r="N2118" i="50"/>
  <c r="H2118" i="50"/>
  <c r="J2118" i="50"/>
  <c r="T2007" i="50"/>
  <c r="R2007" i="50"/>
  <c r="S2007" i="50"/>
  <c r="U2007" i="50"/>
  <c r="V2007" i="50"/>
  <c r="S2080" i="50"/>
  <c r="R2080" i="50"/>
  <c r="T2080" i="50"/>
  <c r="U2080" i="50"/>
  <c r="V2080" i="50"/>
  <c r="S1861" i="50"/>
  <c r="T1861" i="50"/>
  <c r="R1861" i="50"/>
  <c r="U1861" i="50"/>
  <c r="V1861" i="50"/>
  <c r="K2047" i="50"/>
  <c r="H2047" i="50"/>
  <c r="M2047" i="50"/>
  <c r="L2047" i="50"/>
  <c r="N2047" i="50"/>
  <c r="I2047" i="50"/>
  <c r="J2047" i="50"/>
  <c r="N1974" i="50"/>
  <c r="I1974" i="50"/>
  <c r="H1974" i="50"/>
  <c r="M1974" i="50"/>
  <c r="J1974" i="50"/>
  <c r="L1974" i="50"/>
  <c r="K1974" i="50"/>
  <c r="M1901" i="50"/>
  <c r="N1901" i="50"/>
  <c r="I1901" i="50"/>
  <c r="L1901" i="50"/>
  <c r="K1901" i="50"/>
  <c r="H1901" i="50"/>
  <c r="J1901" i="50"/>
  <c r="V1418" i="42"/>
  <c r="X1546" i="42"/>
  <c r="Z1418" i="42"/>
  <c r="V905" i="42"/>
  <c r="AL913" i="42"/>
  <c r="X814" i="42"/>
  <c r="Z682" i="42"/>
  <c r="X1035" i="42"/>
  <c r="Z905" i="42"/>
  <c r="V682" i="42"/>
  <c r="AL690" i="42"/>
  <c r="V459" i="42"/>
  <c r="AL467" i="42"/>
  <c r="X591" i="42"/>
  <c r="Z459" i="42"/>
  <c r="V236" i="42"/>
  <c r="AL244" i="42"/>
  <c r="Z236" i="42"/>
  <c r="X368" i="42"/>
  <c r="T174" i="41"/>
  <c r="AE174" i="41" s="1"/>
  <c r="E292" i="41"/>
  <c r="E307" i="50"/>
  <c r="E123" i="50"/>
  <c r="E244" i="50" s="1"/>
  <c r="P100" i="50"/>
  <c r="S100" i="50"/>
  <c r="D2426" i="50"/>
  <c r="D2478" i="50" s="1"/>
  <c r="P1246" i="50"/>
  <c r="P1237" i="50"/>
  <c r="P1226" i="50"/>
  <c r="P1247" i="50"/>
  <c r="P1219" i="50"/>
  <c r="P1222" i="50"/>
  <c r="P1241" i="50"/>
  <c r="P1232" i="50"/>
  <c r="P1221" i="50"/>
  <c r="P1254" i="50"/>
  <c r="P1253" i="50"/>
  <c r="P1227" i="50"/>
  <c r="P1239" i="50"/>
  <c r="P1229" i="50"/>
  <c r="P1218" i="50"/>
  <c r="P1257" i="50"/>
  <c r="P1240" i="50"/>
  <c r="P1242" i="50"/>
  <c r="P1243" i="50"/>
  <c r="P1251" i="50"/>
  <c r="P1235" i="50"/>
  <c r="P1224" i="50"/>
  <c r="P1236" i="50"/>
  <c r="P1244" i="50"/>
  <c r="P1223" i="50"/>
  <c r="P1238" i="50"/>
  <c r="P1230" i="50"/>
  <c r="P1250" i="50"/>
  <c r="P1233" i="50"/>
  <c r="P1126" i="50"/>
  <c r="P1112" i="50"/>
  <c r="P1091" i="50"/>
  <c r="P1107" i="50"/>
  <c r="P1122" i="50"/>
  <c r="P1095" i="50"/>
  <c r="P1110" i="50"/>
  <c r="P1102" i="50"/>
  <c r="P1113" i="50"/>
  <c r="P1098" i="50"/>
  <c r="P1119" i="50"/>
  <c r="P1109" i="50"/>
  <c r="P1125" i="50"/>
  <c r="P1115" i="50"/>
  <c r="P1090" i="50"/>
  <c r="P1094" i="50"/>
  <c r="P1123" i="50"/>
  <c r="P1093" i="50"/>
  <c r="P1114" i="50"/>
  <c r="P1116" i="50"/>
  <c r="P1111" i="50"/>
  <c r="P1129" i="50"/>
  <c r="P1099" i="50"/>
  <c r="P1096" i="50"/>
  <c r="P1101" i="50"/>
  <c r="P1108" i="50"/>
  <c r="P1104" i="50"/>
  <c r="P1118" i="50"/>
  <c r="P1105" i="50"/>
  <c r="T173" i="41"/>
  <c r="AE173" i="41" s="1"/>
  <c r="E306" i="50"/>
  <c r="E291" i="41"/>
  <c r="E122" i="50"/>
  <c r="E243" i="50" s="1"/>
  <c r="S99" i="50"/>
  <c r="P99" i="50"/>
  <c r="P98" i="50"/>
  <c r="S98" i="50"/>
  <c r="E121" i="50"/>
  <c r="E242" i="50" s="1"/>
  <c r="T172" i="41"/>
  <c r="AE172" i="41" s="1"/>
  <c r="E290" i="41"/>
  <c r="E305" i="50"/>
  <c r="P966" i="50"/>
  <c r="P971" i="50"/>
  <c r="P987" i="50"/>
  <c r="P979" i="50"/>
  <c r="P967" i="50"/>
  <c r="P974" i="50"/>
  <c r="P1001" i="50"/>
  <c r="P986" i="50"/>
  <c r="P968" i="50"/>
  <c r="P991" i="50"/>
  <c r="P985" i="50"/>
  <c r="P976" i="50"/>
  <c r="P965" i="50"/>
  <c r="P963" i="50"/>
  <c r="P995" i="50"/>
  <c r="P997" i="50"/>
  <c r="P988" i="50"/>
  <c r="P983" i="50"/>
  <c r="P973" i="50"/>
  <c r="P962" i="50"/>
  <c r="P994" i="50"/>
  <c r="P982" i="50"/>
  <c r="P980" i="50"/>
  <c r="P970" i="50"/>
  <c r="P984" i="50"/>
  <c r="P981" i="50"/>
  <c r="P990" i="50"/>
  <c r="P977" i="50"/>
  <c r="P998" i="50"/>
  <c r="T171" i="41"/>
  <c r="AE171" i="41" s="1"/>
  <c r="E304" i="50"/>
  <c r="E289" i="41"/>
  <c r="S97" i="50"/>
  <c r="P97" i="50"/>
  <c r="E120" i="50"/>
  <c r="E241" i="50" s="1"/>
  <c r="P866" i="50"/>
  <c r="P853" i="50"/>
  <c r="P839" i="50"/>
  <c r="P856" i="50"/>
  <c r="P837" i="50"/>
  <c r="P852" i="50"/>
  <c r="P854" i="50"/>
  <c r="P870" i="50"/>
  <c r="P851" i="50"/>
  <c r="P873" i="50"/>
  <c r="P862" i="50"/>
  <c r="P834" i="50"/>
  <c r="P867" i="50"/>
  <c r="P857" i="50"/>
  <c r="P842" i="50"/>
  <c r="P860" i="50"/>
  <c r="P840" i="50"/>
  <c r="P845" i="50"/>
  <c r="P859" i="50"/>
  <c r="P863" i="50"/>
  <c r="P843" i="50"/>
  <c r="P848" i="50"/>
  <c r="P869" i="50"/>
  <c r="P858" i="50"/>
  <c r="P846" i="50"/>
  <c r="P849" i="50"/>
  <c r="P835" i="50"/>
  <c r="P855" i="50"/>
  <c r="P838" i="50"/>
  <c r="P96" i="50"/>
  <c r="E119" i="50"/>
  <c r="E240" i="50" s="1"/>
  <c r="S96" i="50"/>
  <c r="T170" i="41"/>
  <c r="AE170" i="41" s="1"/>
  <c r="E303" i="50"/>
  <c r="E288" i="41"/>
  <c r="P715" i="50"/>
  <c r="P742" i="50"/>
  <c r="P728" i="50"/>
  <c r="P726" i="50"/>
  <c r="P718" i="50"/>
  <c r="P745" i="50"/>
  <c r="P727" i="50"/>
  <c r="P717" i="50"/>
  <c r="P706" i="50"/>
  <c r="P721" i="50"/>
  <c r="P712" i="50"/>
  <c r="P707" i="50"/>
  <c r="P710" i="50"/>
  <c r="P738" i="50"/>
  <c r="P734" i="50"/>
  <c r="P725" i="50"/>
  <c r="P714" i="50"/>
  <c r="P735" i="50"/>
  <c r="P724" i="50"/>
  <c r="P730" i="50"/>
  <c r="P741" i="50"/>
  <c r="P731" i="50"/>
  <c r="P723" i="50"/>
  <c r="P711" i="50"/>
  <c r="P739" i="50"/>
  <c r="P732" i="50"/>
  <c r="P729" i="50"/>
  <c r="P720" i="50"/>
  <c r="P709" i="50"/>
  <c r="AE116" i="41"/>
  <c r="AE115" i="41"/>
  <c r="AE114" i="41"/>
  <c r="AE113" i="41"/>
  <c r="AI424" i="47"/>
  <c r="AI425" i="47" s="1"/>
  <c r="AI426" i="47" s="1"/>
  <c r="AI427" i="47" s="1"/>
  <c r="AD424" i="47"/>
  <c r="AD425" i="47" s="1"/>
  <c r="AD426" i="47" s="1"/>
  <c r="AD427" i="47" s="1"/>
  <c r="AH424" i="47"/>
  <c r="AH425" i="47" s="1"/>
  <c r="AH426" i="47" s="1"/>
  <c r="AH427" i="47" s="1"/>
  <c r="AE424" i="47"/>
  <c r="AE425" i="47" s="1"/>
  <c r="AE426" i="47" s="1"/>
  <c r="AE427" i="47" s="1"/>
  <c r="AG424" i="47"/>
  <c r="AG425" i="47" s="1"/>
  <c r="AG426" i="47" s="1"/>
  <c r="AG427" i="47" s="1"/>
  <c r="AC424" i="47"/>
  <c r="AC425" i="47" s="1"/>
  <c r="AC426" i="47" s="1"/>
  <c r="AC427" i="47" s="1"/>
  <c r="Q434" i="47"/>
  <c r="AF424" i="47"/>
  <c r="AF425" i="47" s="1"/>
  <c r="AF426" i="47" s="1"/>
  <c r="AF427" i="47" s="1"/>
  <c r="Q73" i="37"/>
  <c r="Q260" i="37"/>
  <c r="Q281" i="37"/>
  <c r="Q232" i="37"/>
  <c r="I232" i="37" s="1"/>
  <c r="Q154" i="37"/>
  <c r="N22" i="37"/>
  <c r="N23" i="37" s="1"/>
  <c r="N506" i="50" s="1"/>
  <c r="I107" i="37"/>
  <c r="Q228" i="37"/>
  <c r="Q285" i="37"/>
  <c r="Q238" i="37"/>
  <c r="Q135" i="37"/>
  <c r="Q44" i="37"/>
  <c r="Q225" i="37"/>
  <c r="S154" i="37"/>
  <c r="Q284" i="37"/>
  <c r="J54" i="37"/>
  <c r="Q23" i="37"/>
  <c r="Q272" i="37"/>
  <c r="Q215" i="37"/>
  <c r="Q194" i="37"/>
  <c r="S194" i="37"/>
  <c r="Q166" i="37"/>
  <c r="Q207" i="37"/>
  <c r="AG198" i="37"/>
  <c r="AD200" i="37" s="1"/>
  <c r="AD209" i="37" s="1"/>
  <c r="AD218" i="37" s="1"/>
  <c r="AD244" i="37" s="1"/>
  <c r="AD253" i="37" s="1"/>
  <c r="Q216" i="37"/>
  <c r="Q41" i="37"/>
  <c r="Q176" i="37"/>
  <c r="Q127" i="37"/>
  <c r="S166" i="37"/>
  <c r="T13" i="37"/>
  <c r="S186" i="37"/>
  <c r="AL13" i="37"/>
  <c r="Q43" i="37"/>
  <c r="Q136" i="37"/>
  <c r="Q206" i="37"/>
  <c r="Q190" i="37"/>
  <c r="Q185" i="37"/>
  <c r="S266" i="37"/>
  <c r="S127" i="37"/>
  <c r="S176" i="37"/>
  <c r="Q22" i="37"/>
  <c r="S251" i="37"/>
  <c r="Q193" i="37"/>
  <c r="Q259" i="37"/>
  <c r="Q241" i="37"/>
  <c r="Q38" i="37"/>
  <c r="Q36" i="37" s="1"/>
  <c r="T49" i="37"/>
  <c r="Q250" i="37"/>
  <c r="S185" i="37"/>
  <c r="AG277" i="37"/>
  <c r="Q235" i="37"/>
  <c r="Q233" i="37" s="1"/>
  <c r="E21" i="37"/>
  <c r="Q251" i="37"/>
  <c r="AG145" i="37"/>
  <c r="AD147" i="37" s="1"/>
  <c r="AD159" i="37" s="1"/>
  <c r="H25" i="37"/>
  <c r="X13" i="37"/>
  <c r="Q186" i="37"/>
  <c r="E272" i="37"/>
  <c r="S260" i="37"/>
  <c r="Q61" i="37"/>
  <c r="Q226" i="37"/>
  <c r="Q52" i="37"/>
  <c r="Q70" i="37"/>
  <c r="Q68" i="37" s="1"/>
  <c r="Q189" i="37"/>
  <c r="Q280" i="37"/>
  <c r="S250" i="37"/>
  <c r="E127" i="37"/>
  <c r="Q266" i="37"/>
  <c r="Q35" i="37"/>
  <c r="Q67" i="37"/>
  <c r="I67" i="37" s="1"/>
  <c r="S193" i="37"/>
  <c r="Q76" i="37"/>
  <c r="E302" i="50"/>
  <c r="T169" i="41"/>
  <c r="AE169" i="41" s="1"/>
  <c r="E287" i="41"/>
  <c r="AC392" i="47"/>
  <c r="AC398" i="47" s="1"/>
  <c r="AI392" i="47"/>
  <c r="AI398" i="47" s="1"/>
  <c r="AD392" i="47"/>
  <c r="AD398" i="47" s="1"/>
  <c r="AF392" i="47"/>
  <c r="AF398" i="47" s="1"/>
  <c r="AE392" i="47"/>
  <c r="AE398" i="47" s="1"/>
  <c r="AG392" i="47"/>
  <c r="AG398" i="47" s="1"/>
  <c r="E386" i="47"/>
  <c r="AH392" i="47"/>
  <c r="AH398" i="47" s="1"/>
  <c r="E407" i="47"/>
  <c r="Q95" i="47"/>
  <c r="AH32" i="47"/>
  <c r="AH33" i="47" s="1"/>
  <c r="AH34" i="47" s="1"/>
  <c r="AH35" i="47" s="1"/>
  <c r="AH36" i="47" s="1"/>
  <c r="AH37" i="47" s="1"/>
  <c r="AH38" i="47" s="1"/>
  <c r="AH39" i="47" s="1"/>
  <c r="AH40" i="47" s="1"/>
  <c r="AH41" i="47" s="1"/>
  <c r="AH42" i="47" s="1"/>
  <c r="AH43" i="47" s="1"/>
  <c r="AH44" i="47" s="1"/>
  <c r="AH45" i="47" s="1"/>
  <c r="AH46" i="47" s="1"/>
  <c r="AH47" i="47" s="1"/>
  <c r="AH48" i="47" s="1"/>
  <c r="AH49" i="47" s="1"/>
  <c r="AH50" i="47" s="1"/>
  <c r="AH51" i="47" s="1"/>
  <c r="AH52" i="47" s="1"/>
  <c r="AH53" i="47" s="1"/>
  <c r="AH54" i="47" s="1"/>
  <c r="AH55" i="47" s="1"/>
  <c r="AH56" i="47" s="1"/>
  <c r="AH57" i="47" s="1"/>
  <c r="AH58" i="47" s="1"/>
  <c r="AH59" i="47" s="1"/>
  <c r="AH60" i="47" s="1"/>
  <c r="AH61" i="47" s="1"/>
  <c r="AH62" i="47" s="1"/>
  <c r="AH63" i="47" s="1"/>
  <c r="AH64" i="47" s="1"/>
  <c r="AH65" i="47" s="1"/>
  <c r="AH66" i="47" s="1"/>
  <c r="AH67" i="47" s="1"/>
  <c r="AH68" i="47" s="1"/>
  <c r="AH69" i="47" s="1"/>
  <c r="AH70" i="47" s="1"/>
  <c r="AH71" i="47" s="1"/>
  <c r="AH72" i="47" s="1"/>
  <c r="AH73" i="47" s="1"/>
  <c r="AH74" i="47" s="1"/>
  <c r="AH75" i="47" s="1"/>
  <c r="AH76" i="47" s="1"/>
  <c r="AH77" i="47" s="1"/>
  <c r="AH78" i="47" s="1"/>
  <c r="AH79" i="47" s="1"/>
  <c r="AH80" i="47" s="1"/>
  <c r="AH81" i="47" s="1"/>
  <c r="AH82" i="47" s="1"/>
  <c r="AH83" i="47" s="1"/>
  <c r="AH84" i="47" s="1"/>
  <c r="AH85" i="47" s="1"/>
  <c r="AH86" i="47" s="1"/>
  <c r="AH87" i="47" s="1"/>
  <c r="AE32" i="47"/>
  <c r="AE33" i="47" s="1"/>
  <c r="AE34" i="47" s="1"/>
  <c r="AE35" i="47" s="1"/>
  <c r="AE36" i="47" s="1"/>
  <c r="AE37" i="47" s="1"/>
  <c r="AE38" i="47" s="1"/>
  <c r="AE39" i="47" s="1"/>
  <c r="AE40" i="47" s="1"/>
  <c r="AE41" i="47" s="1"/>
  <c r="AE42" i="47" s="1"/>
  <c r="AE43" i="47" s="1"/>
  <c r="AE44" i="47" s="1"/>
  <c r="AE45" i="47" s="1"/>
  <c r="AE46" i="47" s="1"/>
  <c r="AE47" i="47" s="1"/>
  <c r="AE48" i="47" s="1"/>
  <c r="AE49" i="47" s="1"/>
  <c r="AE50" i="47" s="1"/>
  <c r="AE51" i="47" s="1"/>
  <c r="AE52" i="47" s="1"/>
  <c r="AE53" i="47" s="1"/>
  <c r="AE54" i="47" s="1"/>
  <c r="AE55" i="47" s="1"/>
  <c r="AE56" i="47" s="1"/>
  <c r="AE57" i="47" s="1"/>
  <c r="AE58" i="47" s="1"/>
  <c r="AE59" i="47" s="1"/>
  <c r="AE60" i="47" s="1"/>
  <c r="AE61" i="47" s="1"/>
  <c r="AE62" i="47" s="1"/>
  <c r="AE63" i="47" s="1"/>
  <c r="AE64" i="47" s="1"/>
  <c r="AE65" i="47" s="1"/>
  <c r="AE66" i="47" s="1"/>
  <c r="AE67" i="47" s="1"/>
  <c r="AE68" i="47" s="1"/>
  <c r="AE69" i="47" s="1"/>
  <c r="AE70" i="47" s="1"/>
  <c r="AE71" i="47" s="1"/>
  <c r="AE72" i="47" s="1"/>
  <c r="AE73" i="47" s="1"/>
  <c r="AE74" i="47" s="1"/>
  <c r="AE75" i="47" s="1"/>
  <c r="AE76" i="47" s="1"/>
  <c r="AE77" i="47" s="1"/>
  <c r="AE78" i="47" s="1"/>
  <c r="AE79" i="47" s="1"/>
  <c r="AE80" i="47" s="1"/>
  <c r="AE81" i="47" s="1"/>
  <c r="AE82" i="47" s="1"/>
  <c r="AE83" i="47" s="1"/>
  <c r="AE84" i="47" s="1"/>
  <c r="AE85" i="47" s="1"/>
  <c r="AE86" i="47" s="1"/>
  <c r="AE87" i="47" s="1"/>
  <c r="AC32" i="47"/>
  <c r="AC33" i="47" s="1"/>
  <c r="AC34" i="47" s="1"/>
  <c r="AC35" i="47" s="1"/>
  <c r="AC36" i="47" s="1"/>
  <c r="AC37" i="47" s="1"/>
  <c r="AC38" i="47" s="1"/>
  <c r="AC39" i="47" s="1"/>
  <c r="AC40" i="47" s="1"/>
  <c r="AC41" i="47" s="1"/>
  <c r="AC42" i="47" s="1"/>
  <c r="AC43" i="47" s="1"/>
  <c r="AC44" i="47" s="1"/>
  <c r="AC45" i="47" s="1"/>
  <c r="AC46" i="47" s="1"/>
  <c r="AC47" i="47" s="1"/>
  <c r="AC48" i="47" s="1"/>
  <c r="AC49" i="47" s="1"/>
  <c r="AC50" i="47" s="1"/>
  <c r="AC51" i="47" s="1"/>
  <c r="AC52" i="47" s="1"/>
  <c r="AC53" i="47" s="1"/>
  <c r="AC54" i="47" s="1"/>
  <c r="AC55" i="47" s="1"/>
  <c r="AC56" i="47" s="1"/>
  <c r="AC57" i="47" s="1"/>
  <c r="AC58" i="47" s="1"/>
  <c r="AC59" i="47" s="1"/>
  <c r="AC60" i="47" s="1"/>
  <c r="AC61" i="47" s="1"/>
  <c r="AC62" i="47" s="1"/>
  <c r="AC63" i="47" s="1"/>
  <c r="AC64" i="47" s="1"/>
  <c r="AC65" i="47" s="1"/>
  <c r="AC66" i="47" s="1"/>
  <c r="AC67" i="47" s="1"/>
  <c r="AC68" i="47" s="1"/>
  <c r="AC69" i="47" s="1"/>
  <c r="AC70" i="47" s="1"/>
  <c r="AC71" i="47" s="1"/>
  <c r="AC72" i="47" s="1"/>
  <c r="AC73" i="47" s="1"/>
  <c r="AC74" i="47" s="1"/>
  <c r="AC75" i="47" s="1"/>
  <c r="AC76" i="47" s="1"/>
  <c r="AC77" i="47" s="1"/>
  <c r="AC78" i="47" s="1"/>
  <c r="AC79" i="47" s="1"/>
  <c r="AC80" i="47" s="1"/>
  <c r="AC81" i="47" s="1"/>
  <c r="AC82" i="47" s="1"/>
  <c r="AC83" i="47" s="1"/>
  <c r="AC84" i="47" s="1"/>
  <c r="AC85" i="47" s="1"/>
  <c r="AC86" i="47" s="1"/>
  <c r="AC87" i="47" s="1"/>
  <c r="AD32" i="47"/>
  <c r="AD33" i="47" s="1"/>
  <c r="AD34" i="47" s="1"/>
  <c r="AD35" i="47" s="1"/>
  <c r="AD36" i="47" s="1"/>
  <c r="AD37" i="47" s="1"/>
  <c r="AD38" i="47" s="1"/>
  <c r="AD39" i="47" s="1"/>
  <c r="AD40" i="47" s="1"/>
  <c r="AD41" i="47" s="1"/>
  <c r="AD42" i="47" s="1"/>
  <c r="AD43" i="47" s="1"/>
  <c r="AD44" i="47" s="1"/>
  <c r="AD45" i="47" s="1"/>
  <c r="AD46" i="47" s="1"/>
  <c r="AD47" i="47" s="1"/>
  <c r="AD48" i="47" s="1"/>
  <c r="AD49" i="47" s="1"/>
  <c r="AD50" i="47" s="1"/>
  <c r="AD51" i="47" s="1"/>
  <c r="AD52" i="47" s="1"/>
  <c r="AD53" i="47" s="1"/>
  <c r="AD54" i="47" s="1"/>
  <c r="AD55" i="47" s="1"/>
  <c r="AD56" i="47" s="1"/>
  <c r="AD57" i="47" s="1"/>
  <c r="AD58" i="47" s="1"/>
  <c r="AD59" i="47" s="1"/>
  <c r="AD60" i="47" s="1"/>
  <c r="AD61" i="47" s="1"/>
  <c r="AD62" i="47" s="1"/>
  <c r="AD63" i="47" s="1"/>
  <c r="AD64" i="47" s="1"/>
  <c r="AD65" i="47" s="1"/>
  <c r="AD66" i="47" s="1"/>
  <c r="AD67" i="47" s="1"/>
  <c r="AD68" i="47" s="1"/>
  <c r="AD69" i="47" s="1"/>
  <c r="AD70" i="47" s="1"/>
  <c r="AD71" i="47" s="1"/>
  <c r="AD72" i="47" s="1"/>
  <c r="AD73" i="47" s="1"/>
  <c r="AD74" i="47" s="1"/>
  <c r="AD75" i="47" s="1"/>
  <c r="AD76" i="47" s="1"/>
  <c r="AD77" i="47" s="1"/>
  <c r="AD78" i="47" s="1"/>
  <c r="AD79" i="47" s="1"/>
  <c r="AD80" i="47" s="1"/>
  <c r="AD81" i="47" s="1"/>
  <c r="AD82" i="47" s="1"/>
  <c r="AD83" i="47" s="1"/>
  <c r="AD84" i="47" s="1"/>
  <c r="AD85" i="47" s="1"/>
  <c r="AD86" i="47" s="1"/>
  <c r="AD87" i="47" s="1"/>
  <c r="AG32" i="47"/>
  <c r="AG33" i="47" s="1"/>
  <c r="AG34" i="47" s="1"/>
  <c r="AG35" i="47" s="1"/>
  <c r="AG36" i="47" s="1"/>
  <c r="AG37" i="47" s="1"/>
  <c r="AG38" i="47" s="1"/>
  <c r="AG39" i="47" s="1"/>
  <c r="AG40" i="47" s="1"/>
  <c r="AG41" i="47" s="1"/>
  <c r="AG42" i="47" s="1"/>
  <c r="AG43" i="47" s="1"/>
  <c r="AG44" i="47" s="1"/>
  <c r="AG45" i="47" s="1"/>
  <c r="AG46" i="47" s="1"/>
  <c r="AG47" i="47" s="1"/>
  <c r="AG48" i="47" s="1"/>
  <c r="AG49" i="47" s="1"/>
  <c r="AG50" i="47" s="1"/>
  <c r="AG51" i="47" s="1"/>
  <c r="AG52" i="47" s="1"/>
  <c r="AG53" i="47" s="1"/>
  <c r="AG54" i="47" s="1"/>
  <c r="AG55" i="47" s="1"/>
  <c r="AG56" i="47" s="1"/>
  <c r="AG57" i="47" s="1"/>
  <c r="AG58" i="47" s="1"/>
  <c r="AG59" i="47" s="1"/>
  <c r="AG60" i="47" s="1"/>
  <c r="AG61" i="47" s="1"/>
  <c r="AG62" i="47" s="1"/>
  <c r="AG63" i="47" s="1"/>
  <c r="AG64" i="47" s="1"/>
  <c r="AG65" i="47" s="1"/>
  <c r="AG66" i="47" s="1"/>
  <c r="AG67" i="47" s="1"/>
  <c r="AG68" i="47" s="1"/>
  <c r="AG69" i="47" s="1"/>
  <c r="AG70" i="47" s="1"/>
  <c r="AG71" i="47" s="1"/>
  <c r="AG72" i="47" s="1"/>
  <c r="AG73" i="47" s="1"/>
  <c r="AG74" i="47" s="1"/>
  <c r="AG75" i="47" s="1"/>
  <c r="AG76" i="47" s="1"/>
  <c r="AG77" i="47" s="1"/>
  <c r="AG78" i="47" s="1"/>
  <c r="AG79" i="47" s="1"/>
  <c r="AG80" i="47" s="1"/>
  <c r="AG81" i="47" s="1"/>
  <c r="AG82" i="47" s="1"/>
  <c r="AG83" i="47" s="1"/>
  <c r="AG84" i="47" s="1"/>
  <c r="AG85" i="47" s="1"/>
  <c r="AG86" i="47" s="1"/>
  <c r="AG87" i="47" s="1"/>
  <c r="AF32" i="47"/>
  <c r="AF33" i="47" s="1"/>
  <c r="AF34" i="47" s="1"/>
  <c r="AF35" i="47" s="1"/>
  <c r="AF36" i="47" s="1"/>
  <c r="AF37" i="47" s="1"/>
  <c r="AF38" i="47" s="1"/>
  <c r="AF39" i="47" s="1"/>
  <c r="AF40" i="47" s="1"/>
  <c r="AF41" i="47" s="1"/>
  <c r="AF42" i="47" s="1"/>
  <c r="AF43" i="47" s="1"/>
  <c r="AF44" i="47" s="1"/>
  <c r="AF45" i="47" s="1"/>
  <c r="AF46" i="47" s="1"/>
  <c r="AF47" i="47" s="1"/>
  <c r="AF48" i="47" s="1"/>
  <c r="AF49" i="47" s="1"/>
  <c r="AF50" i="47" s="1"/>
  <c r="AF51" i="47" s="1"/>
  <c r="AF52" i="47" s="1"/>
  <c r="AF53" i="47" s="1"/>
  <c r="AF54" i="47" s="1"/>
  <c r="AF55" i="47" s="1"/>
  <c r="AF56" i="47" s="1"/>
  <c r="AF57" i="47" s="1"/>
  <c r="AF58" i="47" s="1"/>
  <c r="AF59" i="47" s="1"/>
  <c r="AF60" i="47" s="1"/>
  <c r="AF61" i="47" s="1"/>
  <c r="AF62" i="47" s="1"/>
  <c r="AF63" i="47" s="1"/>
  <c r="AF64" i="47" s="1"/>
  <c r="AF65" i="47" s="1"/>
  <c r="AF66" i="47" s="1"/>
  <c r="AF67" i="47" s="1"/>
  <c r="AF68" i="47" s="1"/>
  <c r="AF69" i="47" s="1"/>
  <c r="AF70" i="47" s="1"/>
  <c r="AF71" i="47" s="1"/>
  <c r="AF72" i="47" s="1"/>
  <c r="AF73" i="47" s="1"/>
  <c r="AF74" i="47" s="1"/>
  <c r="AF75" i="47" s="1"/>
  <c r="AF76" i="47" s="1"/>
  <c r="AF77" i="47" s="1"/>
  <c r="AF78" i="47" s="1"/>
  <c r="AF79" i="47" s="1"/>
  <c r="AF80" i="47" s="1"/>
  <c r="AF81" i="47" s="1"/>
  <c r="AF82" i="47" s="1"/>
  <c r="AF83" i="47" s="1"/>
  <c r="AF84" i="47" s="1"/>
  <c r="AF85" i="47" s="1"/>
  <c r="AF86" i="47" s="1"/>
  <c r="AF87" i="47" s="1"/>
  <c r="AI32" i="47"/>
  <c r="AI33" i="47" s="1"/>
  <c r="AI34" i="47" s="1"/>
  <c r="AI35" i="47" s="1"/>
  <c r="AI36" i="47" s="1"/>
  <c r="AI37" i="47" s="1"/>
  <c r="AI38" i="47" s="1"/>
  <c r="AI39" i="47" s="1"/>
  <c r="AI40" i="47" s="1"/>
  <c r="AI41" i="47" s="1"/>
  <c r="AI42" i="47" s="1"/>
  <c r="AI43" i="47" s="1"/>
  <c r="AI44" i="47" s="1"/>
  <c r="AI45" i="47" s="1"/>
  <c r="AI46" i="47" s="1"/>
  <c r="AI47" i="47" s="1"/>
  <c r="AI48" i="47" s="1"/>
  <c r="AI49" i="47" s="1"/>
  <c r="AI50" i="47" s="1"/>
  <c r="AI51" i="47" s="1"/>
  <c r="AI52" i="47" s="1"/>
  <c r="AI53" i="47" s="1"/>
  <c r="AI54" i="47" s="1"/>
  <c r="AI55" i="47" s="1"/>
  <c r="AI56" i="47" s="1"/>
  <c r="AI57" i="47" s="1"/>
  <c r="AI58" i="47" s="1"/>
  <c r="AI59" i="47" s="1"/>
  <c r="AI60" i="47" s="1"/>
  <c r="AI61" i="47" s="1"/>
  <c r="AI62" i="47" s="1"/>
  <c r="AI63" i="47" s="1"/>
  <c r="AI64" i="47" s="1"/>
  <c r="AI65" i="47" s="1"/>
  <c r="AI66" i="47" s="1"/>
  <c r="AI67" i="47" s="1"/>
  <c r="AI68" i="47" s="1"/>
  <c r="AI69" i="47" s="1"/>
  <c r="AI70" i="47" s="1"/>
  <c r="AI71" i="47" s="1"/>
  <c r="AI72" i="47" s="1"/>
  <c r="AI73" i="47" s="1"/>
  <c r="AI74" i="47" s="1"/>
  <c r="AI75" i="47" s="1"/>
  <c r="AI76" i="47" s="1"/>
  <c r="AI77" i="47" s="1"/>
  <c r="AI78" i="47" s="1"/>
  <c r="AI79" i="47" s="1"/>
  <c r="AI80" i="47" s="1"/>
  <c r="AI81" i="47" s="1"/>
  <c r="AI82" i="47" s="1"/>
  <c r="AI83" i="47" s="1"/>
  <c r="AI84" i="47" s="1"/>
  <c r="AI85" i="47" s="1"/>
  <c r="AI86" i="47" s="1"/>
  <c r="AI87" i="47" s="1"/>
  <c r="AH456" i="47"/>
  <c r="AH457" i="47" s="1"/>
  <c r="AH458" i="47" s="1"/>
  <c r="AE456" i="47"/>
  <c r="AE457" i="47" s="1"/>
  <c r="AE458" i="47" s="1"/>
  <c r="AF456" i="47"/>
  <c r="AF457" i="47" s="1"/>
  <c r="AF458" i="47" s="1"/>
  <c r="AG456" i="47"/>
  <c r="AG457" i="47" s="1"/>
  <c r="AG458" i="47" s="1"/>
  <c r="AC456" i="47"/>
  <c r="AC457" i="47" s="1"/>
  <c r="AC458" i="47" s="1"/>
  <c r="AI456" i="47"/>
  <c r="AI457" i="47" s="1"/>
  <c r="AI458" i="47" s="1"/>
  <c r="AD456" i="47"/>
  <c r="AD457" i="47" s="1"/>
  <c r="AD458" i="47" s="1"/>
  <c r="AE264" i="41"/>
  <c r="AE381" i="41"/>
  <c r="AE307" i="41"/>
  <c r="V21" i="41"/>
  <c r="V22" i="41" s="1"/>
  <c r="V23" i="41" s="1"/>
  <c r="AE202" i="41"/>
  <c r="AE73" i="41"/>
  <c r="AE178" i="41"/>
  <c r="AE403" i="41"/>
  <c r="AE72" i="41"/>
  <c r="AE175" i="41"/>
  <c r="AE177" i="41"/>
  <c r="AE316" i="41"/>
  <c r="AE265" i="41"/>
  <c r="AE140" i="41"/>
  <c r="AE376" i="41"/>
  <c r="AE129" i="41"/>
  <c r="AE326" i="41"/>
  <c r="AE232" i="41"/>
  <c r="AE199" i="41"/>
  <c r="AE263" i="41"/>
  <c r="AE229" i="41"/>
  <c r="AE400" i="41"/>
  <c r="AE138" i="41"/>
  <c r="AE406" i="41"/>
  <c r="AE233" i="41"/>
  <c r="AE176" i="41"/>
  <c r="AE128" i="41"/>
  <c r="AE324" i="41"/>
  <c r="AE201" i="41"/>
  <c r="AE43" i="41"/>
  <c r="AE223" i="41"/>
  <c r="AE203" i="41"/>
  <c r="AE161" i="41"/>
  <c r="AE317" i="41"/>
  <c r="AE74" i="41"/>
  <c r="AE399" i="41"/>
  <c r="AE200" i="41"/>
  <c r="AE412" i="41"/>
  <c r="AE130" i="41"/>
  <c r="AE139" i="41"/>
  <c r="AE230" i="41"/>
  <c r="AE325" i="41"/>
  <c r="AE231" i="41"/>
  <c r="AE360" i="41"/>
  <c r="AE318" i="41"/>
  <c r="I1728" i="50"/>
  <c r="K1728" i="50"/>
  <c r="M1600" i="50"/>
  <c r="K1600" i="50"/>
  <c r="K1472" i="50"/>
  <c r="L1472" i="50"/>
  <c r="N1344" i="50"/>
  <c r="H1216" i="50"/>
  <c r="J1216" i="50"/>
  <c r="L1088" i="50"/>
  <c r="H1088" i="50"/>
  <c r="L960" i="50"/>
  <c r="K960" i="50"/>
  <c r="M832" i="50"/>
  <c r="N704" i="50"/>
  <c r="I704" i="50"/>
  <c r="S95" i="50"/>
  <c r="L1728" i="50"/>
  <c r="N1728" i="50"/>
  <c r="J1600" i="50"/>
  <c r="H1600" i="50"/>
  <c r="J1472" i="50"/>
  <c r="H1344" i="50"/>
  <c r="I1344" i="50"/>
  <c r="K1216" i="50"/>
  <c r="N1216" i="50"/>
  <c r="N1088" i="50"/>
  <c r="K1088" i="50"/>
  <c r="H960" i="50"/>
  <c r="N832" i="50"/>
  <c r="H832" i="50"/>
  <c r="J704" i="50"/>
  <c r="L704" i="50"/>
  <c r="J1728" i="50"/>
  <c r="M1728" i="50"/>
  <c r="I1600" i="50"/>
  <c r="H1472" i="50"/>
  <c r="I1472" i="50"/>
  <c r="M1344" i="50"/>
  <c r="L1344" i="50"/>
  <c r="I1216" i="50"/>
  <c r="M1216" i="50"/>
  <c r="J1088" i="50"/>
  <c r="M960" i="50"/>
  <c r="J960" i="50"/>
  <c r="K832" i="50"/>
  <c r="I832" i="50"/>
  <c r="M704" i="50"/>
  <c r="H704" i="50"/>
  <c r="H1728" i="50"/>
  <c r="N1600" i="50"/>
  <c r="L1600" i="50"/>
  <c r="N1472" i="50"/>
  <c r="M1472" i="50"/>
  <c r="J1344" i="50"/>
  <c r="K1344" i="50"/>
  <c r="L1216" i="50"/>
  <c r="I1088" i="50"/>
  <c r="M1088" i="50"/>
  <c r="I960" i="50"/>
  <c r="N960" i="50"/>
  <c r="J832" i="50"/>
  <c r="L832" i="50"/>
  <c r="K704" i="50"/>
  <c r="I1828" i="50"/>
  <c r="N1828" i="50"/>
  <c r="L1828" i="50"/>
  <c r="J1828" i="50"/>
  <c r="K1828" i="50"/>
  <c r="P95" i="50"/>
  <c r="M1828" i="50"/>
  <c r="H1828" i="50"/>
  <c r="E118" i="50"/>
  <c r="E239" i="50" s="1"/>
  <c r="Q163" i="47"/>
  <c r="AG147" i="47"/>
  <c r="AG156" i="47" s="1"/>
  <c r="AG157" i="47" s="1"/>
  <c r="E142" i="47"/>
  <c r="AH147" i="47"/>
  <c r="AH156" i="47" s="1"/>
  <c r="AH157" i="47" s="1"/>
  <c r="E165" i="47"/>
  <c r="AD147" i="47"/>
  <c r="AD156" i="47" s="1"/>
  <c r="AD157" i="47" s="1"/>
  <c r="AF147" i="47"/>
  <c r="AF156" i="47" s="1"/>
  <c r="AF157" i="47" s="1"/>
  <c r="AI147" i="47"/>
  <c r="AI156" i="47" s="1"/>
  <c r="AI157" i="47" s="1"/>
  <c r="AC147" i="47"/>
  <c r="AC156" i="47" s="1"/>
  <c r="AC157" i="47" s="1"/>
  <c r="AE147" i="47"/>
  <c r="AE156" i="47" s="1"/>
  <c r="AE157" i="47" s="1"/>
  <c r="V13" i="42"/>
  <c r="AE341" i="47"/>
  <c r="AE347" i="47" s="1"/>
  <c r="AE348" i="47" s="1"/>
  <c r="AE357" i="47" s="1"/>
  <c r="AC341" i="47"/>
  <c r="AC347" i="47" s="1"/>
  <c r="AC348" i="47" s="1"/>
  <c r="AC357" i="47" s="1"/>
  <c r="AH341" i="47"/>
  <c r="AH347" i="47" s="1"/>
  <c r="AH348" i="47" s="1"/>
  <c r="AH357" i="47" s="1"/>
  <c r="Q370" i="47"/>
  <c r="Q363" i="47"/>
  <c r="Q372" i="47"/>
  <c r="AD341" i="47"/>
  <c r="AD347" i="47" s="1"/>
  <c r="AD348" i="47" s="1"/>
  <c r="AD357" i="47" s="1"/>
  <c r="Q358" i="47"/>
  <c r="AF341" i="47"/>
  <c r="AF347" i="47" s="1"/>
  <c r="AF348" i="47" s="1"/>
  <c r="AF357" i="47" s="1"/>
  <c r="AG341" i="47"/>
  <c r="AG347" i="47" s="1"/>
  <c r="AG348" i="47" s="1"/>
  <c r="AG357" i="47" s="1"/>
  <c r="AI341" i="47"/>
  <c r="AI347" i="47" s="1"/>
  <c r="AI348" i="47" s="1"/>
  <c r="AI357" i="47" s="1"/>
  <c r="Q357" i="47"/>
  <c r="P592" i="50"/>
  <c r="P604" i="50"/>
  <c r="P589" i="50"/>
  <c r="P587" i="50"/>
  <c r="I576" i="50"/>
  <c r="H576" i="50"/>
  <c r="J576" i="50"/>
  <c r="P597" i="50"/>
  <c r="N576" i="50"/>
  <c r="P583" i="50"/>
  <c r="P596" i="50"/>
  <c r="P598" i="50"/>
  <c r="P595" i="50"/>
  <c r="P593" i="50"/>
  <c r="P614" i="50"/>
  <c r="P581" i="50"/>
  <c r="P602" i="50"/>
  <c r="P610" i="50"/>
  <c r="P579" i="50"/>
  <c r="R500" i="50"/>
  <c r="D2421" i="50" s="1"/>
  <c r="P582" i="50"/>
  <c r="P590" i="50"/>
  <c r="P599" i="50"/>
  <c r="P586" i="50"/>
  <c r="P600" i="50"/>
  <c r="P578" i="50"/>
  <c r="L576" i="50"/>
  <c r="P611" i="50"/>
  <c r="P607" i="50"/>
  <c r="K576" i="50"/>
  <c r="P613" i="50"/>
  <c r="M576" i="50"/>
  <c r="P603" i="50"/>
  <c r="P606" i="50"/>
  <c r="P617" i="50"/>
  <c r="P584" i="50"/>
  <c r="P601" i="50"/>
  <c r="H44" i="37"/>
  <c r="H38" i="37"/>
  <c r="Q197" i="47"/>
  <c r="AD181" i="47"/>
  <c r="AD189" i="47" s="1"/>
  <c r="AD190" i="47" s="1"/>
  <c r="AD191" i="47" s="1"/>
  <c r="AF181" i="47"/>
  <c r="AF189" i="47" s="1"/>
  <c r="AF190" i="47" s="1"/>
  <c r="AF191" i="47" s="1"/>
  <c r="AI181" i="47"/>
  <c r="AI189" i="47" s="1"/>
  <c r="AI190" i="47" s="1"/>
  <c r="AI191" i="47" s="1"/>
  <c r="AE181" i="47"/>
  <c r="AE189" i="47" s="1"/>
  <c r="AE190" i="47" s="1"/>
  <c r="AE191" i="47" s="1"/>
  <c r="AH181" i="47"/>
  <c r="AH189" i="47" s="1"/>
  <c r="AH190" i="47" s="1"/>
  <c r="AH191" i="47" s="1"/>
  <c r="AG181" i="47"/>
  <c r="AG189" i="47" s="1"/>
  <c r="AG190" i="47" s="1"/>
  <c r="AG191" i="47" s="1"/>
  <c r="AC181" i="47"/>
  <c r="AC189" i="47" s="1"/>
  <c r="AC190" i="47" s="1"/>
  <c r="AC191" i="47" s="1"/>
  <c r="Z13" i="42"/>
  <c r="X145" i="42" s="1"/>
  <c r="AK198" i="49"/>
  <c r="AK68" i="49"/>
  <c r="AK23" i="49"/>
  <c r="AK203" i="49"/>
  <c r="AK57" i="49"/>
  <c r="AK24" i="49"/>
  <c r="AK92" i="49"/>
  <c r="AK93" i="49"/>
  <c r="AK21" i="49"/>
  <c r="AK22" i="49"/>
  <c r="AK73" i="49"/>
  <c r="AK67" i="49"/>
  <c r="AK26" i="49"/>
  <c r="AK74" i="49"/>
  <c r="AK62" i="49"/>
  <c r="AK185" i="49"/>
  <c r="Q319" i="47"/>
  <c r="Q312" i="47"/>
  <c r="J307" i="47"/>
  <c r="Q306" i="47"/>
  <c r="AD290" i="47"/>
  <c r="AD296" i="47" s="1"/>
  <c r="AD297" i="47" s="1"/>
  <c r="AD306" i="47" s="1"/>
  <c r="AF290" i="47"/>
  <c r="AF296" i="47" s="1"/>
  <c r="AF297" i="47" s="1"/>
  <c r="AF306" i="47" s="1"/>
  <c r="AG290" i="47"/>
  <c r="AG296" i="47" s="1"/>
  <c r="AG297" i="47" s="1"/>
  <c r="AG306" i="47" s="1"/>
  <c r="N307" i="47"/>
  <c r="M307" i="47"/>
  <c r="AH290" i="47"/>
  <c r="AH296" i="47" s="1"/>
  <c r="AH297" i="47" s="1"/>
  <c r="AH306" i="47" s="1"/>
  <c r="K307" i="47"/>
  <c r="AC290" i="47"/>
  <c r="AC296" i="47" s="1"/>
  <c r="AC297" i="47" s="1"/>
  <c r="AC306" i="47" s="1"/>
  <c r="Q321" i="47"/>
  <c r="L307" i="47"/>
  <c r="AI290" i="47"/>
  <c r="AI296" i="47" s="1"/>
  <c r="AI297" i="47" s="1"/>
  <c r="AI306" i="47" s="1"/>
  <c r="AE290" i="47"/>
  <c r="AE296" i="47" s="1"/>
  <c r="AE297" i="47" s="1"/>
  <c r="AE306" i="47" s="1"/>
  <c r="Q307" i="47"/>
  <c r="Q129" i="47"/>
  <c r="E131" i="47"/>
  <c r="AI113" i="47"/>
  <c r="AI122" i="47" s="1"/>
  <c r="AI123" i="47" s="1"/>
  <c r="AF113" i="47"/>
  <c r="AF122" i="47" s="1"/>
  <c r="AF123" i="47" s="1"/>
  <c r="AC113" i="47"/>
  <c r="AC122" i="47" s="1"/>
  <c r="AC123" i="47" s="1"/>
  <c r="AD113" i="47"/>
  <c r="AD122" i="47" s="1"/>
  <c r="AD123" i="47" s="1"/>
  <c r="AE113" i="47"/>
  <c r="AE122" i="47" s="1"/>
  <c r="AE123" i="47" s="1"/>
  <c r="AH113" i="47"/>
  <c r="AH122" i="47" s="1"/>
  <c r="AH123" i="47" s="1"/>
  <c r="E108" i="47"/>
  <c r="AG113" i="47"/>
  <c r="AG122" i="47" s="1"/>
  <c r="AG123" i="47" s="1"/>
  <c r="R1788" i="50"/>
  <c r="T1788" i="50"/>
  <c r="S1788" i="50"/>
  <c r="U1788" i="50"/>
  <c r="V1788" i="50"/>
  <c r="X449" i="47"/>
  <c r="Z449" i="47" s="1"/>
  <c r="R335" i="47"/>
  <c r="R374" i="47" s="1"/>
  <c r="E374" i="47" s="1"/>
  <c r="R108" i="47"/>
  <c r="R131" i="47" s="1"/>
  <c r="R176" i="47"/>
  <c r="R232" i="47" s="1"/>
  <c r="E232" i="47" s="1"/>
  <c r="R19" i="47"/>
  <c r="R97" i="47" s="1"/>
  <c r="E97" i="47" s="1"/>
  <c r="R284" i="47"/>
  <c r="R323" i="47" s="1"/>
  <c r="E323" i="47" s="1"/>
  <c r="X174" i="47"/>
  <c r="R244" i="47"/>
  <c r="R272" i="47" s="1"/>
  <c r="R142" i="47"/>
  <c r="R165" i="47" s="1"/>
  <c r="R418" i="47"/>
  <c r="R436" i="47" s="1"/>
  <c r="E436" i="47" s="1"/>
  <c r="R451" i="47"/>
  <c r="R479" i="47" s="1"/>
  <c r="E479" i="47" s="1"/>
  <c r="R386" i="47"/>
  <c r="R407" i="47" s="1"/>
  <c r="Q270" i="47"/>
  <c r="AG255" i="47"/>
  <c r="AG256" i="47" s="1"/>
  <c r="AG257" i="47" s="1"/>
  <c r="AG258" i="47" s="1"/>
  <c r="AG259" i="47" s="1"/>
  <c r="AG260" i="47" s="1"/>
  <c r="AG261" i="47" s="1"/>
  <c r="AG262" i="47" s="1"/>
  <c r="AF255" i="47"/>
  <c r="AF256" i="47" s="1"/>
  <c r="AF257" i="47" s="1"/>
  <c r="AF258" i="47" s="1"/>
  <c r="AF259" i="47" s="1"/>
  <c r="AF260" i="47" s="1"/>
  <c r="AF261" i="47" s="1"/>
  <c r="AF262" i="47" s="1"/>
  <c r="AH255" i="47"/>
  <c r="AH256" i="47" s="1"/>
  <c r="AH257" i="47" s="1"/>
  <c r="AH258" i="47" s="1"/>
  <c r="AH259" i="47" s="1"/>
  <c r="AH260" i="47" s="1"/>
  <c r="AH261" i="47" s="1"/>
  <c r="AH262" i="47" s="1"/>
  <c r="AE255" i="47"/>
  <c r="AE256" i="47" s="1"/>
  <c r="AE257" i="47" s="1"/>
  <c r="AE258" i="47" s="1"/>
  <c r="AE259" i="47" s="1"/>
  <c r="AE260" i="47" s="1"/>
  <c r="AE261" i="47" s="1"/>
  <c r="AE262" i="47" s="1"/>
  <c r="AC255" i="47"/>
  <c r="AC256" i="47" s="1"/>
  <c r="AC257" i="47" s="1"/>
  <c r="AC258" i="47" s="1"/>
  <c r="AC259" i="47" s="1"/>
  <c r="AC260" i="47" s="1"/>
  <c r="AC261" i="47" s="1"/>
  <c r="AC262" i="47" s="1"/>
  <c r="E272" i="47"/>
  <c r="AI255" i="47"/>
  <c r="AI256" i="47" s="1"/>
  <c r="AI257" i="47" s="1"/>
  <c r="AI258" i="47" s="1"/>
  <c r="AI259" i="47" s="1"/>
  <c r="AI260" i="47" s="1"/>
  <c r="AI261" i="47" s="1"/>
  <c r="AI262" i="47" s="1"/>
  <c r="E244" i="47"/>
  <c r="AD255" i="47"/>
  <c r="AD256" i="47" s="1"/>
  <c r="AD257" i="47" s="1"/>
  <c r="AD258" i="47" s="1"/>
  <c r="AD259" i="47" s="1"/>
  <c r="AD260" i="47" s="1"/>
  <c r="AD261" i="47" s="1"/>
  <c r="AD262" i="47" s="1"/>
  <c r="J685" i="50" l="1"/>
  <c r="L752" i="50"/>
  <c r="N748" i="50"/>
  <c r="I747" i="50"/>
  <c r="J752" i="50"/>
  <c r="K752" i="50"/>
  <c r="L748" i="50"/>
  <c r="H752" i="50"/>
  <c r="N752" i="50"/>
  <c r="I752" i="50"/>
  <c r="K748" i="50"/>
  <c r="J748" i="50"/>
  <c r="N750" i="50"/>
  <c r="I748" i="50"/>
  <c r="M750" i="50"/>
  <c r="M747" i="50"/>
  <c r="K747" i="50"/>
  <c r="H748" i="50"/>
  <c r="L747" i="50"/>
  <c r="L750" i="50"/>
  <c r="N747" i="50"/>
  <c r="K750" i="50"/>
  <c r="J750" i="50"/>
  <c r="I750" i="50"/>
  <c r="M752" i="50"/>
  <c r="H750" i="50"/>
  <c r="J747" i="50"/>
  <c r="M748" i="50"/>
  <c r="H747" i="50"/>
  <c r="K1082" i="50"/>
  <c r="L1030" i="50" s="1"/>
  <c r="J1134" i="50"/>
  <c r="L1131" i="50"/>
  <c r="H1134" i="50"/>
  <c r="M1132" i="50"/>
  <c r="N1136" i="50"/>
  <c r="I1134" i="50"/>
  <c r="K1131" i="50"/>
  <c r="M1136" i="50"/>
  <c r="K1136" i="50"/>
  <c r="L1136" i="50"/>
  <c r="N1132" i="50"/>
  <c r="I1131" i="50"/>
  <c r="H1131" i="50"/>
  <c r="J1136" i="50"/>
  <c r="L1132" i="50"/>
  <c r="K1132" i="50"/>
  <c r="L1134" i="50"/>
  <c r="I1136" i="50"/>
  <c r="M1134" i="50"/>
  <c r="H1136" i="50"/>
  <c r="J1132" i="50"/>
  <c r="H1132" i="50"/>
  <c r="N1131" i="50"/>
  <c r="N1134" i="50"/>
  <c r="I1132" i="50"/>
  <c r="K1134" i="50"/>
  <c r="M1131" i="50"/>
  <c r="J1131" i="50"/>
  <c r="K624" i="50"/>
  <c r="M620" i="50"/>
  <c r="H619" i="50"/>
  <c r="I624" i="50"/>
  <c r="M624" i="50"/>
  <c r="J624" i="50"/>
  <c r="K620" i="50"/>
  <c r="N622" i="50"/>
  <c r="H624" i="50"/>
  <c r="J620" i="50"/>
  <c r="I620" i="50"/>
  <c r="M622" i="50"/>
  <c r="H620" i="50"/>
  <c r="N619" i="50"/>
  <c r="L619" i="50"/>
  <c r="I622" i="50"/>
  <c r="H622" i="50"/>
  <c r="L622" i="50"/>
  <c r="K619" i="50"/>
  <c r="K622" i="50"/>
  <c r="M619" i="50"/>
  <c r="J622" i="50"/>
  <c r="N624" i="50"/>
  <c r="L624" i="50"/>
  <c r="N620" i="50"/>
  <c r="I619" i="50"/>
  <c r="L620" i="50"/>
  <c r="J619" i="50"/>
  <c r="J953" i="50"/>
  <c r="K901" i="50" s="1"/>
  <c r="N1008" i="50"/>
  <c r="I1006" i="50"/>
  <c r="K1003" i="50"/>
  <c r="N1004" i="50"/>
  <c r="M1008" i="50"/>
  <c r="H1006" i="50"/>
  <c r="J1003" i="50"/>
  <c r="L1008" i="50"/>
  <c r="J1008" i="50"/>
  <c r="K1008" i="50"/>
  <c r="M1004" i="50"/>
  <c r="H1003" i="50"/>
  <c r="M1003" i="50"/>
  <c r="I1008" i="50"/>
  <c r="K1004" i="50"/>
  <c r="J1004" i="50"/>
  <c r="K1006" i="50"/>
  <c r="H1008" i="50"/>
  <c r="N1006" i="50"/>
  <c r="I1004" i="50"/>
  <c r="N1003" i="50"/>
  <c r="M1006" i="50"/>
  <c r="H1004" i="50"/>
  <c r="L1006" i="50"/>
  <c r="J1006" i="50"/>
  <c r="L1003" i="50"/>
  <c r="I1003" i="50"/>
  <c r="L1004" i="50"/>
  <c r="S1018" i="50"/>
  <c r="K1040" i="50" s="1"/>
  <c r="N941" i="50"/>
  <c r="K954" i="50"/>
  <c r="L902" i="50" s="1"/>
  <c r="U1018" i="50"/>
  <c r="M1023" i="50" s="1"/>
  <c r="Q1135" i="37"/>
  <c r="Q854" i="37" s="1"/>
  <c r="Q573" i="37" s="1"/>
  <c r="Q292" i="37" s="1"/>
  <c r="I1113" i="50" s="1"/>
  <c r="E418" i="47"/>
  <c r="V1018" i="50"/>
  <c r="N1040" i="50" s="1"/>
  <c r="L953" i="50"/>
  <c r="M901" i="50" s="1"/>
  <c r="I1146" i="37"/>
  <c r="I1147" i="37" s="1"/>
  <c r="J1070" i="50"/>
  <c r="M1015" i="50"/>
  <c r="H1146" i="37"/>
  <c r="H1147" i="37" s="1"/>
  <c r="V1137" i="37"/>
  <c r="AK1147" i="37"/>
  <c r="X1164" i="37"/>
  <c r="Z1137" i="37"/>
  <c r="I1082" i="50"/>
  <c r="N1070" i="50"/>
  <c r="L1081" i="50"/>
  <c r="M1029" i="50" s="1"/>
  <c r="M1082" i="50"/>
  <c r="N1030" i="50" s="1"/>
  <c r="N1082" i="50"/>
  <c r="J1069" i="50"/>
  <c r="N1022" i="50"/>
  <c r="L1053" i="50"/>
  <c r="N1046" i="50"/>
  <c r="J1049" i="50"/>
  <c r="K1046" i="50"/>
  <c r="K1048" i="50"/>
  <c r="J1055" i="50"/>
  <c r="L1048" i="50"/>
  <c r="L1052" i="50"/>
  <c r="M1048" i="50"/>
  <c r="M1052" i="50"/>
  <c r="M1047" i="50"/>
  <c r="L1047" i="50"/>
  <c r="K1049" i="50"/>
  <c r="L1046" i="50"/>
  <c r="L1054" i="50"/>
  <c r="J1047" i="50"/>
  <c r="M1049" i="50"/>
  <c r="L1055" i="50"/>
  <c r="J1048" i="50"/>
  <c r="H1015" i="50"/>
  <c r="N1053" i="50"/>
  <c r="N1047" i="50"/>
  <c r="J1052" i="50"/>
  <c r="K1052" i="50"/>
  <c r="J1046" i="50"/>
  <c r="K1053" i="50"/>
  <c r="M1054" i="50"/>
  <c r="N1049" i="50"/>
  <c r="M1055" i="50"/>
  <c r="J1053" i="50"/>
  <c r="N1055" i="50"/>
  <c r="L1049" i="50"/>
  <c r="M1053" i="50"/>
  <c r="F1018" i="50"/>
  <c r="K1054" i="50"/>
  <c r="M1046" i="50"/>
  <c r="N1052" i="50"/>
  <c r="N1054" i="50"/>
  <c r="J1054" i="50"/>
  <c r="N1048" i="50"/>
  <c r="K1055" i="50"/>
  <c r="K1047" i="50"/>
  <c r="M1081" i="50"/>
  <c r="N1029" i="50" s="1"/>
  <c r="T1018" i="50"/>
  <c r="L1082" i="50"/>
  <c r="M1030" i="50" s="1"/>
  <c r="S1081" i="50"/>
  <c r="K1081" i="50"/>
  <c r="L1029" i="50" s="1"/>
  <c r="K1070" i="50"/>
  <c r="J1081" i="50"/>
  <c r="K1029" i="50" s="1"/>
  <c r="K1069" i="50"/>
  <c r="L1070" i="50"/>
  <c r="AC1146" i="37"/>
  <c r="AI1146" i="37"/>
  <c r="AG1146" i="37"/>
  <c r="AF1146" i="37"/>
  <c r="AE1146" i="37"/>
  <c r="AH1146" i="37"/>
  <c r="AD1146" i="37"/>
  <c r="N1081" i="50"/>
  <c r="K1022" i="50"/>
  <c r="J1023" i="50"/>
  <c r="I1070" i="50"/>
  <c r="M1069" i="50"/>
  <c r="J1082" i="50"/>
  <c r="K1030" i="50" s="1"/>
  <c r="N1069" i="50"/>
  <c r="M1070" i="50"/>
  <c r="L942" i="50"/>
  <c r="I954" i="50"/>
  <c r="J941" i="50"/>
  <c r="T890" i="50"/>
  <c r="L895" i="50" s="1"/>
  <c r="U890" i="50"/>
  <c r="M912" i="50" s="1"/>
  <c r="S953" i="50"/>
  <c r="V890" i="50"/>
  <c r="N894" i="50" s="1"/>
  <c r="K941" i="50"/>
  <c r="M953" i="50"/>
  <c r="N901" i="50" s="1"/>
  <c r="M942" i="50"/>
  <c r="S954" i="50"/>
  <c r="N942" i="50"/>
  <c r="L954" i="50"/>
  <c r="M902" i="50" s="1"/>
  <c r="I865" i="37"/>
  <c r="I866" i="37" s="1"/>
  <c r="H865" i="37"/>
  <c r="H866" i="37" s="1"/>
  <c r="S890" i="50"/>
  <c r="K894" i="50" s="1"/>
  <c r="M954" i="50"/>
  <c r="N902" i="50" s="1"/>
  <c r="K942" i="50"/>
  <c r="J954" i="50"/>
  <c r="K902" i="50" s="1"/>
  <c r="I942" i="50"/>
  <c r="N953" i="50"/>
  <c r="J895" i="50"/>
  <c r="J942" i="50"/>
  <c r="M887" i="50"/>
  <c r="L941" i="50"/>
  <c r="M941" i="50"/>
  <c r="N954" i="50"/>
  <c r="K953" i="50"/>
  <c r="L901" i="50" s="1"/>
  <c r="Z856" i="37"/>
  <c r="X883" i="37"/>
  <c r="AK866" i="37"/>
  <c r="V856" i="37"/>
  <c r="AI865" i="37"/>
  <c r="AC865" i="37"/>
  <c r="AF865" i="37"/>
  <c r="AD865" i="37"/>
  <c r="AH865" i="37"/>
  <c r="AG865" i="37"/>
  <c r="AE865" i="37"/>
  <c r="K924" i="50"/>
  <c r="L927" i="50"/>
  <c r="J920" i="50"/>
  <c r="M924" i="50"/>
  <c r="L926" i="50"/>
  <c r="J927" i="50"/>
  <c r="K919" i="50"/>
  <c r="N921" i="50"/>
  <c r="M927" i="50"/>
  <c r="L918" i="50"/>
  <c r="M925" i="50"/>
  <c r="N927" i="50"/>
  <c r="L920" i="50"/>
  <c r="N918" i="50"/>
  <c r="L925" i="50"/>
  <c r="N920" i="50"/>
  <c r="N924" i="50"/>
  <c r="M926" i="50"/>
  <c r="K921" i="50"/>
  <c r="K918" i="50"/>
  <c r="K920" i="50"/>
  <c r="F890" i="50"/>
  <c r="J921" i="50"/>
  <c r="J918" i="50"/>
  <c r="M921" i="50"/>
  <c r="K926" i="50"/>
  <c r="M919" i="50"/>
  <c r="J924" i="50"/>
  <c r="L919" i="50"/>
  <c r="K925" i="50"/>
  <c r="K927" i="50"/>
  <c r="M920" i="50"/>
  <c r="J919" i="50"/>
  <c r="N919" i="50"/>
  <c r="H887" i="50"/>
  <c r="N925" i="50"/>
  <c r="M918" i="50"/>
  <c r="J925" i="50"/>
  <c r="L921" i="50"/>
  <c r="L924" i="50"/>
  <c r="N926" i="50"/>
  <c r="J926" i="50"/>
  <c r="E284" i="47"/>
  <c r="AB449" i="47"/>
  <c r="R634" i="50"/>
  <c r="J639" i="50" s="1"/>
  <c r="N685" i="50"/>
  <c r="K697" i="50"/>
  <c r="L645" i="50" s="1"/>
  <c r="J697" i="50"/>
  <c r="K645" i="50" s="1"/>
  <c r="T634" i="50"/>
  <c r="L639" i="50" s="1"/>
  <c r="M631" i="50"/>
  <c r="S697" i="50"/>
  <c r="V634" i="50"/>
  <c r="N656" i="50" s="1"/>
  <c r="N767" i="50"/>
  <c r="N784" i="50"/>
  <c r="N766" i="50"/>
  <c r="N759" i="50"/>
  <c r="H770" i="50"/>
  <c r="H778" i="50" s="1"/>
  <c r="H810" i="50"/>
  <c r="H822" i="50" s="1"/>
  <c r="H781" i="50"/>
  <c r="P658" i="50"/>
  <c r="P676" i="50"/>
  <c r="M656" i="50"/>
  <c r="M639" i="50"/>
  <c r="M638" i="50"/>
  <c r="N697" i="50"/>
  <c r="K685" i="50"/>
  <c r="L685" i="50"/>
  <c r="L697" i="50"/>
  <c r="M645" i="50" s="1"/>
  <c r="S634" i="50"/>
  <c r="M697" i="50"/>
  <c r="N645" i="50" s="1"/>
  <c r="K662" i="50"/>
  <c r="L664" i="50"/>
  <c r="K665" i="50"/>
  <c r="M662" i="50"/>
  <c r="J665" i="50"/>
  <c r="M665" i="50"/>
  <c r="F634" i="50"/>
  <c r="K663" i="50"/>
  <c r="N664" i="50"/>
  <c r="M664" i="50"/>
  <c r="H631" i="50"/>
  <c r="N662" i="50"/>
  <c r="K664" i="50"/>
  <c r="N665" i="50"/>
  <c r="N663" i="50"/>
  <c r="J664" i="50"/>
  <c r="L663" i="50"/>
  <c r="L665" i="50"/>
  <c r="J662" i="50"/>
  <c r="M663" i="50"/>
  <c r="J663" i="50"/>
  <c r="L662" i="50"/>
  <c r="M685" i="50"/>
  <c r="N570" i="50"/>
  <c r="F506" i="50"/>
  <c r="H503" i="50"/>
  <c r="L244" i="50"/>
  <c r="N244" i="50"/>
  <c r="J244" i="50"/>
  <c r="M244" i="50"/>
  <c r="I244" i="50"/>
  <c r="H244" i="50"/>
  <c r="K244" i="50"/>
  <c r="V220" i="47"/>
  <c r="J220" i="47" s="1"/>
  <c r="Z220" i="47"/>
  <c r="N220" i="47" s="1"/>
  <c r="Y220" i="47"/>
  <c r="M220" i="47" s="1"/>
  <c r="X220" i="47"/>
  <c r="L220" i="47" s="1"/>
  <c r="W220" i="47"/>
  <c r="K220" i="47" s="1"/>
  <c r="M22" i="37"/>
  <c r="M23" i="37" s="1"/>
  <c r="M506" i="50" s="1"/>
  <c r="L22" i="37"/>
  <c r="L23" i="37" s="1"/>
  <c r="L506" i="50" s="1"/>
  <c r="L690" i="42"/>
  <c r="M690" i="42"/>
  <c r="L21" i="42"/>
  <c r="M21" i="42"/>
  <c r="E19" i="47"/>
  <c r="M503" i="50"/>
  <c r="J570" i="50"/>
  <c r="K518" i="50" s="1"/>
  <c r="K558" i="50"/>
  <c r="J558" i="50"/>
  <c r="Z174" i="47"/>
  <c r="N558" i="50"/>
  <c r="M558" i="50"/>
  <c r="L558" i="50"/>
  <c r="Y467" i="47"/>
  <c r="Z467" i="47"/>
  <c r="X467" i="47"/>
  <c r="E451" i="47"/>
  <c r="I584" i="37"/>
  <c r="W467" i="47"/>
  <c r="V467" i="47"/>
  <c r="I570" i="50"/>
  <c r="AG985" i="42"/>
  <c r="AG1003" i="42" s="1"/>
  <c r="AG1019" i="42" s="1"/>
  <c r="L1019" i="42" s="1"/>
  <c r="AI984" i="42"/>
  <c r="AI1002" i="42" s="1"/>
  <c r="AI1018" i="42" s="1"/>
  <c r="N1018" i="42" s="1"/>
  <c r="AE984" i="42"/>
  <c r="AE1002" i="42" s="1"/>
  <c r="AE1018" i="42" s="1"/>
  <c r="J1018" i="42" s="1"/>
  <c r="AG983" i="42"/>
  <c r="AG1001" i="42" s="1"/>
  <c r="AG1017" i="42" s="1"/>
  <c r="L1017" i="42" s="1"/>
  <c r="AI982" i="42"/>
  <c r="AI1000" i="42" s="1"/>
  <c r="AI1016" i="42" s="1"/>
  <c r="N1016" i="42" s="1"/>
  <c r="AE982" i="42"/>
  <c r="AE1000" i="42" s="1"/>
  <c r="AE1016" i="42" s="1"/>
  <c r="J1016" i="42" s="1"/>
  <c r="AG981" i="42"/>
  <c r="AG999" i="42" s="1"/>
  <c r="AG1015" i="42" s="1"/>
  <c r="L1015" i="42" s="1"/>
  <c r="AI980" i="42"/>
  <c r="AI998" i="42" s="1"/>
  <c r="AI1014" i="42" s="1"/>
  <c r="N1014" i="42" s="1"/>
  <c r="AE980" i="42"/>
  <c r="AE998" i="42" s="1"/>
  <c r="AE1014" i="42" s="1"/>
  <c r="J1014" i="42" s="1"/>
  <c r="AG979" i="42"/>
  <c r="AG997" i="42" s="1"/>
  <c r="AG1013" i="42" s="1"/>
  <c r="L1013" i="42" s="1"/>
  <c r="AI978" i="42"/>
  <c r="AI996" i="42" s="1"/>
  <c r="AI1012" i="42" s="1"/>
  <c r="N1012" i="42" s="1"/>
  <c r="AE978" i="42"/>
  <c r="AG977" i="42"/>
  <c r="AG995" i="42" s="1"/>
  <c r="AG1011" i="42" s="1"/>
  <c r="L1011" i="42" s="1"/>
  <c r="AI976" i="42"/>
  <c r="AI994" i="42" s="1"/>
  <c r="AI1010" i="42" s="1"/>
  <c r="N1010" i="42" s="1"/>
  <c r="AC983" i="42"/>
  <c r="AC979" i="42"/>
  <c r="AF985" i="42"/>
  <c r="AF1003" i="42" s="1"/>
  <c r="AF1019" i="42" s="1"/>
  <c r="K1019" i="42" s="1"/>
  <c r="AH984" i="42"/>
  <c r="AH1002" i="42" s="1"/>
  <c r="AH1018" i="42" s="1"/>
  <c r="M1018" i="42" s="1"/>
  <c r="AD984" i="42"/>
  <c r="AD1002" i="42" s="1"/>
  <c r="AD1018" i="42" s="1"/>
  <c r="I1018" i="42" s="1"/>
  <c r="AF983" i="42"/>
  <c r="AF1001" i="42" s="1"/>
  <c r="AF1017" i="42" s="1"/>
  <c r="K1017" i="42" s="1"/>
  <c r="AH982" i="42"/>
  <c r="AH1000" i="42" s="1"/>
  <c r="AH1016" i="42" s="1"/>
  <c r="M1016" i="42" s="1"/>
  <c r="AD982" i="42"/>
  <c r="AD1000" i="42" s="1"/>
  <c r="AD1016" i="42" s="1"/>
  <c r="I1016" i="42" s="1"/>
  <c r="AF981" i="42"/>
  <c r="AF999" i="42" s="1"/>
  <c r="AF1015" i="42" s="1"/>
  <c r="K1015" i="42" s="1"/>
  <c r="AH980" i="42"/>
  <c r="AH998" i="42" s="1"/>
  <c r="AH1014" i="42" s="1"/>
  <c r="M1014" i="42" s="1"/>
  <c r="AD980" i="42"/>
  <c r="AD998" i="42" s="1"/>
  <c r="AD1014" i="42" s="1"/>
  <c r="I1014" i="42" s="1"/>
  <c r="AF979" i="42"/>
  <c r="AF997" i="42" s="1"/>
  <c r="AF1013" i="42" s="1"/>
  <c r="K1013" i="42" s="1"/>
  <c r="AH978" i="42"/>
  <c r="AH996" i="42" s="1"/>
  <c r="AH1012" i="42" s="1"/>
  <c r="AD978" i="42"/>
  <c r="AF977" i="42"/>
  <c r="AH976" i="42"/>
  <c r="AH994" i="42" s="1"/>
  <c r="AH1010" i="42" s="1"/>
  <c r="M1010" i="42" s="1"/>
  <c r="AC982" i="42"/>
  <c r="AC978" i="42"/>
  <c r="AI985" i="42"/>
  <c r="AI1003" i="42" s="1"/>
  <c r="AI1019" i="42" s="1"/>
  <c r="N1019" i="42" s="1"/>
  <c r="AG984" i="42"/>
  <c r="AG1002" i="42" s="1"/>
  <c r="AG1018" i="42" s="1"/>
  <c r="L1018" i="42" s="1"/>
  <c r="AE983" i="42"/>
  <c r="AE1001" i="42" s="1"/>
  <c r="AE1017" i="42" s="1"/>
  <c r="J1017" i="42" s="1"/>
  <c r="AI981" i="42"/>
  <c r="AI999" i="42" s="1"/>
  <c r="AI1015" i="42" s="1"/>
  <c r="N1015" i="42" s="1"/>
  <c r="AG980" i="42"/>
  <c r="AG998" i="42" s="1"/>
  <c r="AG1014" i="42" s="1"/>
  <c r="L1014" i="42" s="1"/>
  <c r="AE979" i="42"/>
  <c r="AE997" i="42" s="1"/>
  <c r="AE1013" i="42" s="1"/>
  <c r="J1013" i="42" s="1"/>
  <c r="AI977" i="42"/>
  <c r="AI995" i="42" s="1"/>
  <c r="AI1011" i="42" s="1"/>
  <c r="N1011" i="42" s="1"/>
  <c r="AG976" i="42"/>
  <c r="AG994" i="42" s="1"/>
  <c r="AG1010" i="42" s="1"/>
  <c r="L1010" i="42" s="1"/>
  <c r="AC981" i="42"/>
  <c r="AE985" i="42"/>
  <c r="AE1003" i="42" s="1"/>
  <c r="AE1019" i="42" s="1"/>
  <c r="J1019" i="42" s="1"/>
  <c r="AI983" i="42"/>
  <c r="AI1001" i="42" s="1"/>
  <c r="AI1017" i="42" s="1"/>
  <c r="N1017" i="42" s="1"/>
  <c r="AG982" i="42"/>
  <c r="AG1000" i="42" s="1"/>
  <c r="AG1016" i="42" s="1"/>
  <c r="L1016" i="42" s="1"/>
  <c r="AE981" i="42"/>
  <c r="AE999" i="42" s="1"/>
  <c r="AE1015" i="42" s="1"/>
  <c r="J1015" i="42" s="1"/>
  <c r="AI979" i="42"/>
  <c r="AI997" i="42" s="1"/>
  <c r="AI1013" i="42" s="1"/>
  <c r="N1013" i="42" s="1"/>
  <c r="AG978" i="42"/>
  <c r="AG996" i="42" s="1"/>
  <c r="AG1012" i="42" s="1"/>
  <c r="AE977" i="42"/>
  <c r="AC985" i="42"/>
  <c r="AC977" i="42"/>
  <c r="AD985" i="42"/>
  <c r="AD1003" i="42" s="1"/>
  <c r="AD1019" i="42" s="1"/>
  <c r="I1019" i="42" s="1"/>
  <c r="AD981" i="42"/>
  <c r="AD999" i="42" s="1"/>
  <c r="AD1015" i="42" s="1"/>
  <c r="I1015" i="42" s="1"/>
  <c r="AF978" i="42"/>
  <c r="AC984" i="42"/>
  <c r="AH985" i="42"/>
  <c r="AH1003" i="42" s="1"/>
  <c r="AH1019" i="42" s="1"/>
  <c r="M1019" i="42" s="1"/>
  <c r="AF984" i="42"/>
  <c r="AF1002" i="42" s="1"/>
  <c r="AF1018" i="42" s="1"/>
  <c r="K1018" i="42" s="1"/>
  <c r="AD983" i="42"/>
  <c r="AD1001" i="42" s="1"/>
  <c r="AD1017" i="42" s="1"/>
  <c r="I1017" i="42" s="1"/>
  <c r="AH981" i="42"/>
  <c r="AH999" i="42" s="1"/>
  <c r="AH1015" i="42" s="1"/>
  <c r="M1015" i="42" s="1"/>
  <c r="AF980" i="42"/>
  <c r="AF998" i="42" s="1"/>
  <c r="AF1014" i="42" s="1"/>
  <c r="K1014" i="42" s="1"/>
  <c r="AD979" i="42"/>
  <c r="AD997" i="42" s="1"/>
  <c r="AD1013" i="42" s="1"/>
  <c r="I1013" i="42" s="1"/>
  <c r="AH977" i="42"/>
  <c r="AH995" i="42" s="1"/>
  <c r="AH1011" i="42" s="1"/>
  <c r="M1011" i="42" s="1"/>
  <c r="AC980" i="42"/>
  <c r="AH983" i="42"/>
  <c r="AH1001" i="42" s="1"/>
  <c r="AH1017" i="42" s="1"/>
  <c r="M1017" i="42" s="1"/>
  <c r="AF982" i="42"/>
  <c r="AF1000" i="42" s="1"/>
  <c r="AF1016" i="42" s="1"/>
  <c r="K1016" i="42" s="1"/>
  <c r="AH979" i="42"/>
  <c r="AH997" i="42" s="1"/>
  <c r="AH1013" i="42" s="1"/>
  <c r="M1013" i="42" s="1"/>
  <c r="AD977" i="42"/>
  <c r="AH1327" i="42"/>
  <c r="AH1345" i="42" s="1"/>
  <c r="AH1361" i="42" s="1"/>
  <c r="M1361" i="42" s="1"/>
  <c r="AD1327" i="42"/>
  <c r="AD1345" i="42" s="1"/>
  <c r="AD1361" i="42" s="1"/>
  <c r="I1361" i="42" s="1"/>
  <c r="AG1326" i="42"/>
  <c r="AG1344" i="42" s="1"/>
  <c r="AG1360" i="42" s="1"/>
  <c r="L1360" i="42" s="1"/>
  <c r="AC1326" i="42"/>
  <c r="AF1325" i="42"/>
  <c r="AF1343" i="42" s="1"/>
  <c r="AF1359" i="42" s="1"/>
  <c r="K1359" i="42" s="1"/>
  <c r="AI1324" i="42"/>
  <c r="AI1342" i="42" s="1"/>
  <c r="AI1358" i="42" s="1"/>
  <c r="N1358" i="42" s="1"/>
  <c r="AE1324" i="42"/>
  <c r="AE1342" i="42" s="1"/>
  <c r="AE1358" i="42" s="1"/>
  <c r="J1358" i="42" s="1"/>
  <c r="AH1323" i="42"/>
  <c r="AH1341" i="42" s="1"/>
  <c r="AH1357" i="42" s="1"/>
  <c r="M1357" i="42" s="1"/>
  <c r="AD1323" i="42"/>
  <c r="AD1341" i="42" s="1"/>
  <c r="AD1357" i="42" s="1"/>
  <c r="I1357" i="42" s="1"/>
  <c r="AG1322" i="42"/>
  <c r="AG1340" i="42" s="1"/>
  <c r="AG1356" i="42" s="1"/>
  <c r="L1356" i="42" s="1"/>
  <c r="AC1322" i="42"/>
  <c r="AF1321" i="42"/>
  <c r="AF1339" i="42" s="1"/>
  <c r="AF1355" i="42" s="1"/>
  <c r="K1355" i="42" s="1"/>
  <c r="AI1320" i="42"/>
  <c r="AI1338" i="42" s="1"/>
  <c r="AI1354" i="42" s="1"/>
  <c r="N1354" i="42" s="1"/>
  <c r="AE1320" i="42"/>
  <c r="AE1338" i="42" s="1"/>
  <c r="AE1354" i="42" s="1"/>
  <c r="J1354" i="42" s="1"/>
  <c r="AH1319" i="42"/>
  <c r="AH1337" i="42" s="1"/>
  <c r="AH1353" i="42" s="1"/>
  <c r="M1353" i="42" s="1"/>
  <c r="AD1319" i="42"/>
  <c r="AD1337" i="42" s="1"/>
  <c r="AD1353" i="42" s="1"/>
  <c r="I1353" i="42" s="1"/>
  <c r="AG1318" i="42"/>
  <c r="AG1336" i="42" s="1"/>
  <c r="AG1352" i="42" s="1"/>
  <c r="L1352" i="42" s="1"/>
  <c r="AC1318" i="42"/>
  <c r="AF1327" i="42"/>
  <c r="AF1345" i="42" s="1"/>
  <c r="AF1361" i="42" s="1"/>
  <c r="K1361" i="42" s="1"/>
  <c r="AH1326" i="42"/>
  <c r="AH1344" i="42" s="1"/>
  <c r="AH1360" i="42" s="1"/>
  <c r="M1360" i="42" s="1"/>
  <c r="AI1325" i="42"/>
  <c r="AI1343" i="42" s="1"/>
  <c r="AI1359" i="42" s="1"/>
  <c r="N1359" i="42" s="1"/>
  <c r="AD1325" i="42"/>
  <c r="AD1343" i="42" s="1"/>
  <c r="AD1359" i="42" s="1"/>
  <c r="I1359" i="42" s="1"/>
  <c r="AF1324" i="42"/>
  <c r="AF1342" i="42" s="1"/>
  <c r="AF1358" i="42" s="1"/>
  <c r="K1358" i="42" s="1"/>
  <c r="AG1323" i="42"/>
  <c r="AG1341" i="42" s="1"/>
  <c r="AG1357" i="42" s="1"/>
  <c r="L1357" i="42" s="1"/>
  <c r="AI1322" i="42"/>
  <c r="AI1340" i="42" s="1"/>
  <c r="AI1356" i="42" s="1"/>
  <c r="N1356" i="42" s="1"/>
  <c r="AD1322" i="42"/>
  <c r="AD1340" i="42" s="1"/>
  <c r="AD1356" i="42" s="1"/>
  <c r="I1356" i="42" s="1"/>
  <c r="AE1321" i="42"/>
  <c r="AE1339" i="42" s="1"/>
  <c r="AE1355" i="42" s="1"/>
  <c r="J1355" i="42" s="1"/>
  <c r="AG1320" i="42"/>
  <c r="AG1338" i="42" s="1"/>
  <c r="AG1354" i="42" s="1"/>
  <c r="L1354" i="42" s="1"/>
  <c r="AI1319" i="42"/>
  <c r="AI1337" i="42" s="1"/>
  <c r="AI1353" i="42" s="1"/>
  <c r="N1353" i="42" s="1"/>
  <c r="AC1319" i="42"/>
  <c r="AE1318" i="42"/>
  <c r="AE1336" i="42" s="1"/>
  <c r="AE1352" i="42" s="1"/>
  <c r="J1352" i="42" s="1"/>
  <c r="AE1327" i="42"/>
  <c r="AE1345" i="42" s="1"/>
  <c r="AE1361" i="42" s="1"/>
  <c r="J1361" i="42" s="1"/>
  <c r="AF1326" i="42"/>
  <c r="AF1344" i="42" s="1"/>
  <c r="AF1360" i="42" s="1"/>
  <c r="K1360" i="42" s="1"/>
  <c r="AH1325" i="42"/>
  <c r="AH1343" i="42" s="1"/>
  <c r="AH1359" i="42" s="1"/>
  <c r="M1359" i="42" s="1"/>
  <c r="AC1325" i="42"/>
  <c r="AD1324" i="42"/>
  <c r="AD1342" i="42" s="1"/>
  <c r="AD1358" i="42" s="1"/>
  <c r="I1358" i="42" s="1"/>
  <c r="AF1323" i="42"/>
  <c r="AF1341" i="42" s="1"/>
  <c r="AF1357" i="42" s="1"/>
  <c r="K1357" i="42" s="1"/>
  <c r="AH1322" i="42"/>
  <c r="AH1340" i="42" s="1"/>
  <c r="AH1356" i="42" s="1"/>
  <c r="M1356" i="42" s="1"/>
  <c r="AI1321" i="42"/>
  <c r="AI1339" i="42" s="1"/>
  <c r="AI1355" i="42" s="1"/>
  <c r="N1355" i="42" s="1"/>
  <c r="AD1321" i="42"/>
  <c r="AD1339" i="42" s="1"/>
  <c r="AD1355" i="42" s="1"/>
  <c r="I1355" i="42" s="1"/>
  <c r="AF1320" i="42"/>
  <c r="AF1338" i="42" s="1"/>
  <c r="AF1354" i="42" s="1"/>
  <c r="K1354" i="42" s="1"/>
  <c r="AG1319" i="42"/>
  <c r="AG1337" i="42" s="1"/>
  <c r="AG1353" i="42" s="1"/>
  <c r="L1353" i="42" s="1"/>
  <c r="AI1318" i="42"/>
  <c r="AI1336" i="42" s="1"/>
  <c r="AI1352" i="42" s="1"/>
  <c r="N1352" i="42" s="1"/>
  <c r="AD1318" i="42"/>
  <c r="AD1336" i="42" s="1"/>
  <c r="AD1352" i="42" s="1"/>
  <c r="I1352" i="42" s="1"/>
  <c r="AI1327" i="42"/>
  <c r="AI1345" i="42" s="1"/>
  <c r="AI1361" i="42" s="1"/>
  <c r="N1361" i="42" s="1"/>
  <c r="AE1326" i="42"/>
  <c r="AE1344" i="42" s="1"/>
  <c r="AE1360" i="42" s="1"/>
  <c r="J1360" i="42" s="1"/>
  <c r="AH1324" i="42"/>
  <c r="AH1342" i="42" s="1"/>
  <c r="AH1358" i="42" s="1"/>
  <c r="M1358" i="42" s="1"/>
  <c r="AE1323" i="42"/>
  <c r="AE1341" i="42" s="1"/>
  <c r="AE1357" i="42" s="1"/>
  <c r="J1357" i="42" s="1"/>
  <c r="AH1321" i="42"/>
  <c r="AH1339" i="42" s="1"/>
  <c r="AH1355" i="42" s="1"/>
  <c r="M1355" i="42" s="1"/>
  <c r="AD1320" i="42"/>
  <c r="AD1338" i="42" s="1"/>
  <c r="AD1354" i="42" s="1"/>
  <c r="I1354" i="42" s="1"/>
  <c r="AH1318" i="42"/>
  <c r="AH1336" i="42" s="1"/>
  <c r="AH1352" i="42" s="1"/>
  <c r="M1352" i="42" s="1"/>
  <c r="AC1327" i="42"/>
  <c r="AG1325" i="42"/>
  <c r="AG1343" i="42" s="1"/>
  <c r="AG1359" i="42" s="1"/>
  <c r="L1359" i="42" s="1"/>
  <c r="AC1324" i="42"/>
  <c r="AF1322" i="42"/>
  <c r="AF1340" i="42" s="1"/>
  <c r="AF1356" i="42" s="1"/>
  <c r="K1356" i="42" s="1"/>
  <c r="AC1321" i="42"/>
  <c r="AF1319" i="42"/>
  <c r="AF1337" i="42" s="1"/>
  <c r="AF1353" i="42" s="1"/>
  <c r="K1353" i="42" s="1"/>
  <c r="AE1325" i="42"/>
  <c r="AE1343" i="42" s="1"/>
  <c r="AE1359" i="42" s="1"/>
  <c r="J1359" i="42" s="1"/>
  <c r="AH1320" i="42"/>
  <c r="AH1338" i="42" s="1"/>
  <c r="AH1354" i="42" s="1"/>
  <c r="M1354" i="42" s="1"/>
  <c r="AG1327" i="42"/>
  <c r="AG1345" i="42" s="1"/>
  <c r="AG1361" i="42" s="1"/>
  <c r="L1361" i="42" s="1"/>
  <c r="AD1326" i="42"/>
  <c r="AD1344" i="42" s="1"/>
  <c r="AD1360" i="42" s="1"/>
  <c r="I1360" i="42" s="1"/>
  <c r="AG1324" i="42"/>
  <c r="AG1342" i="42" s="1"/>
  <c r="AG1358" i="42" s="1"/>
  <c r="L1358" i="42" s="1"/>
  <c r="AC1323" i="42"/>
  <c r="AG1321" i="42"/>
  <c r="AG1339" i="42" s="1"/>
  <c r="AG1355" i="42" s="1"/>
  <c r="L1355" i="42" s="1"/>
  <c r="AC1320" i="42"/>
  <c r="AF1318" i="42"/>
  <c r="AF1336" i="42" s="1"/>
  <c r="AF1352" i="42" s="1"/>
  <c r="K1352" i="42" s="1"/>
  <c r="AI1326" i="42"/>
  <c r="AI1344" i="42" s="1"/>
  <c r="AI1360" i="42" s="1"/>
  <c r="N1360" i="42" s="1"/>
  <c r="AI1323" i="42"/>
  <c r="AI1341" i="42" s="1"/>
  <c r="AI1357" i="42" s="1"/>
  <c r="N1357" i="42" s="1"/>
  <c r="AE1322" i="42"/>
  <c r="AE1340" i="42" s="1"/>
  <c r="AE1356" i="42" s="1"/>
  <c r="J1356" i="42" s="1"/>
  <c r="AE1319" i="42"/>
  <c r="AE1337" i="42" s="1"/>
  <c r="AE1353" i="42" s="1"/>
  <c r="J1353" i="42" s="1"/>
  <c r="AI764" i="42"/>
  <c r="AI782" i="42" s="1"/>
  <c r="AI798" i="42" s="1"/>
  <c r="N798" i="42" s="1"/>
  <c r="AE764" i="42"/>
  <c r="AE782" i="42" s="1"/>
  <c r="AE798" i="42" s="1"/>
  <c r="J798" i="42" s="1"/>
  <c r="AH763" i="42"/>
  <c r="AH781" i="42" s="1"/>
  <c r="AH797" i="42" s="1"/>
  <c r="M797" i="42" s="1"/>
  <c r="AD763" i="42"/>
  <c r="AD781" i="42" s="1"/>
  <c r="AD797" i="42" s="1"/>
  <c r="I797" i="42" s="1"/>
  <c r="AG762" i="42"/>
  <c r="AG780" i="42" s="1"/>
  <c r="AG796" i="42" s="1"/>
  <c r="L796" i="42" s="1"/>
  <c r="AC762" i="42"/>
  <c r="AF761" i="42"/>
  <c r="AF779" i="42" s="1"/>
  <c r="AF795" i="42" s="1"/>
  <c r="K795" i="42" s="1"/>
  <c r="AI760" i="42"/>
  <c r="AI778" i="42" s="1"/>
  <c r="AI794" i="42" s="1"/>
  <c r="N794" i="42" s="1"/>
  <c r="AE760" i="42"/>
  <c r="AE778" i="42" s="1"/>
  <c r="AE794" i="42" s="1"/>
  <c r="J794" i="42" s="1"/>
  <c r="AH764" i="42"/>
  <c r="AH782" i="42" s="1"/>
  <c r="AH798" i="42" s="1"/>
  <c r="M798" i="42" s="1"/>
  <c r="AD764" i="42"/>
  <c r="AD782" i="42" s="1"/>
  <c r="AD798" i="42" s="1"/>
  <c r="I798" i="42" s="1"/>
  <c r="AG763" i="42"/>
  <c r="AG781" i="42" s="1"/>
  <c r="AG797" i="42" s="1"/>
  <c r="L797" i="42" s="1"/>
  <c r="AC763" i="42"/>
  <c r="AF762" i="42"/>
  <c r="AF780" i="42" s="1"/>
  <c r="AF796" i="42" s="1"/>
  <c r="K796" i="42" s="1"/>
  <c r="AI761" i="42"/>
  <c r="AI779" i="42" s="1"/>
  <c r="AI795" i="42" s="1"/>
  <c r="N795" i="42" s="1"/>
  <c r="AE761" i="42"/>
  <c r="AE779" i="42" s="1"/>
  <c r="AE795" i="42" s="1"/>
  <c r="J795" i="42" s="1"/>
  <c r="AH760" i="42"/>
  <c r="AH778" i="42" s="1"/>
  <c r="AH794" i="42" s="1"/>
  <c r="M794" i="42" s="1"/>
  <c r="AD760" i="42"/>
  <c r="AD778" i="42" s="1"/>
  <c r="AD794" i="42" s="1"/>
  <c r="I794" i="42" s="1"/>
  <c r="AG759" i="42"/>
  <c r="AG777" i="42" s="1"/>
  <c r="AG793" i="42" s="1"/>
  <c r="L793" i="42" s="1"/>
  <c r="AC759" i="42"/>
  <c r="AG764" i="42"/>
  <c r="AG782" i="42" s="1"/>
  <c r="AG798" i="42" s="1"/>
  <c r="L798" i="42" s="1"/>
  <c r="AF763" i="42"/>
  <c r="AF781" i="42" s="1"/>
  <c r="AF797" i="42" s="1"/>
  <c r="K797" i="42" s="1"/>
  <c r="AE762" i="42"/>
  <c r="AE780" i="42" s="1"/>
  <c r="AE796" i="42" s="1"/>
  <c r="J796" i="42" s="1"/>
  <c r="AD761" i="42"/>
  <c r="AD779" i="42" s="1"/>
  <c r="AD795" i="42" s="1"/>
  <c r="I795" i="42" s="1"/>
  <c r="AC760" i="42"/>
  <c r="AE759" i="42"/>
  <c r="AE777" i="42" s="1"/>
  <c r="AE793" i="42" s="1"/>
  <c r="J793" i="42" s="1"/>
  <c r="AG758" i="42"/>
  <c r="AG776" i="42" s="1"/>
  <c r="AG792" i="42" s="1"/>
  <c r="L792" i="42" s="1"/>
  <c r="AC758" i="42"/>
  <c r="AF757" i="42"/>
  <c r="AI756" i="42"/>
  <c r="AI774" i="42" s="1"/>
  <c r="AI790" i="42" s="1"/>
  <c r="N790" i="42" s="1"/>
  <c r="AE756" i="42"/>
  <c r="AH755" i="42"/>
  <c r="AH773" i="42" s="1"/>
  <c r="AH789" i="42" s="1"/>
  <c r="M789" i="42" s="1"/>
  <c r="AD755" i="42"/>
  <c r="AD762" i="42"/>
  <c r="AD780" i="42" s="1"/>
  <c r="AD796" i="42" s="1"/>
  <c r="I796" i="42" s="1"/>
  <c r="AC764" i="42"/>
  <c r="AI762" i="42"/>
  <c r="AI780" i="42" s="1"/>
  <c r="AI796" i="42" s="1"/>
  <c r="N796" i="42" s="1"/>
  <c r="AH761" i="42"/>
  <c r="AH779" i="42" s="1"/>
  <c r="AH795" i="42" s="1"/>
  <c r="M795" i="42" s="1"/>
  <c r="AG760" i="42"/>
  <c r="AG778" i="42" s="1"/>
  <c r="AG794" i="42" s="1"/>
  <c r="L794" i="42" s="1"/>
  <c r="AI758" i="42"/>
  <c r="AI776" i="42" s="1"/>
  <c r="AI792" i="42" s="1"/>
  <c r="N792" i="42" s="1"/>
  <c r="AE758" i="42"/>
  <c r="AE776" i="42" s="1"/>
  <c r="AE792" i="42" s="1"/>
  <c r="J792" i="42" s="1"/>
  <c r="AH757" i="42"/>
  <c r="AH775" i="42" s="1"/>
  <c r="AH791" i="42" s="1"/>
  <c r="M791" i="42" s="1"/>
  <c r="AD757" i="42"/>
  <c r="AG756" i="42"/>
  <c r="AG774" i="42" s="1"/>
  <c r="AG790" i="42" s="1"/>
  <c r="L790" i="42" s="1"/>
  <c r="AC756" i="42"/>
  <c r="AF755" i="42"/>
  <c r="AI763" i="42"/>
  <c r="AI781" i="42" s="1"/>
  <c r="AI797" i="42" s="1"/>
  <c r="N797" i="42" s="1"/>
  <c r="AG761" i="42"/>
  <c r="AG779" i="42" s="1"/>
  <c r="AG795" i="42" s="1"/>
  <c r="L795" i="42" s="1"/>
  <c r="AH758" i="42"/>
  <c r="AH776" i="42" s="1"/>
  <c r="AH792" i="42" s="1"/>
  <c r="M792" i="42" s="1"/>
  <c r="AG757" i="42"/>
  <c r="AG775" i="42" s="1"/>
  <c r="AG791" i="42" s="1"/>
  <c r="L791" i="42" s="1"/>
  <c r="AF756" i="42"/>
  <c r="AE755" i="42"/>
  <c r="AF764" i="42"/>
  <c r="AF782" i="42" s="1"/>
  <c r="AF798" i="42" s="1"/>
  <c r="K798" i="42" s="1"/>
  <c r="AE763" i="42"/>
  <c r="AE781" i="42" s="1"/>
  <c r="AE797" i="42" s="1"/>
  <c r="J797" i="42" s="1"/>
  <c r="AC761" i="42"/>
  <c r="AI759" i="42"/>
  <c r="AI777" i="42" s="1"/>
  <c r="AI793" i="42" s="1"/>
  <c r="N793" i="42" s="1"/>
  <c r="AD759" i="42"/>
  <c r="AD777" i="42" s="1"/>
  <c r="AD793" i="42" s="1"/>
  <c r="I793" i="42" s="1"/>
  <c r="AF758" i="42"/>
  <c r="AF776" i="42" s="1"/>
  <c r="AF792" i="42" s="1"/>
  <c r="K792" i="42" s="1"/>
  <c r="AI757" i="42"/>
  <c r="AI775" i="42" s="1"/>
  <c r="AI791" i="42" s="1"/>
  <c r="N791" i="42" s="1"/>
  <c r="AE757" i="42"/>
  <c r="AH756" i="42"/>
  <c r="AH774" i="42" s="1"/>
  <c r="AH790" i="42" s="1"/>
  <c r="M790" i="42" s="1"/>
  <c r="AD756" i="42"/>
  <c r="AG755" i="42"/>
  <c r="AG773" i="42" s="1"/>
  <c r="AG789" i="42" s="1"/>
  <c r="L789" i="42" s="1"/>
  <c r="AC755" i="42"/>
  <c r="AH759" i="42"/>
  <c r="AH777" i="42" s="1"/>
  <c r="AH793" i="42" s="1"/>
  <c r="M793" i="42" s="1"/>
  <c r="AH762" i="42"/>
  <c r="AH780" i="42" s="1"/>
  <c r="AH796" i="42" s="1"/>
  <c r="M796" i="42" s="1"/>
  <c r="AF760" i="42"/>
  <c r="AF778" i="42" s="1"/>
  <c r="AF794" i="42" s="1"/>
  <c r="K794" i="42" s="1"/>
  <c r="AF759" i="42"/>
  <c r="AF777" i="42" s="1"/>
  <c r="AF793" i="42" s="1"/>
  <c r="K793" i="42" s="1"/>
  <c r="AD758" i="42"/>
  <c r="AD776" i="42" s="1"/>
  <c r="AD792" i="42" s="1"/>
  <c r="I792" i="42" s="1"/>
  <c r="AC757" i="42"/>
  <c r="AI755" i="42"/>
  <c r="AI773" i="42" s="1"/>
  <c r="AI789" i="42" s="1"/>
  <c r="N789" i="42" s="1"/>
  <c r="AI1496" i="42"/>
  <c r="AI1514" i="42" s="1"/>
  <c r="AI1530" i="42" s="1"/>
  <c r="N1530" i="42" s="1"/>
  <c r="AE1496" i="42"/>
  <c r="AE1514" i="42" s="1"/>
  <c r="AE1530" i="42" s="1"/>
  <c r="J1530" i="42" s="1"/>
  <c r="AG1495" i="42"/>
  <c r="AG1513" i="42" s="1"/>
  <c r="AG1529" i="42" s="1"/>
  <c r="L1529" i="42" s="1"/>
  <c r="AI1494" i="42"/>
  <c r="AI1512" i="42" s="1"/>
  <c r="AI1528" i="42" s="1"/>
  <c r="N1528" i="42" s="1"/>
  <c r="AE1494" i="42"/>
  <c r="AE1512" i="42" s="1"/>
  <c r="AE1528" i="42" s="1"/>
  <c r="J1528" i="42" s="1"/>
  <c r="AG1493" i="42"/>
  <c r="AG1511" i="42" s="1"/>
  <c r="AG1527" i="42" s="1"/>
  <c r="L1527" i="42" s="1"/>
  <c r="AI1492" i="42"/>
  <c r="AI1510" i="42" s="1"/>
  <c r="AI1526" i="42" s="1"/>
  <c r="N1526" i="42" s="1"/>
  <c r="AE1492" i="42"/>
  <c r="AE1510" i="42" s="1"/>
  <c r="AE1526" i="42" s="1"/>
  <c r="J1526" i="42" s="1"/>
  <c r="AG1491" i="42"/>
  <c r="AG1509" i="42" s="1"/>
  <c r="AG1525" i="42" s="1"/>
  <c r="L1525" i="42" s="1"/>
  <c r="AH1496" i="42"/>
  <c r="AH1514" i="42" s="1"/>
  <c r="AH1530" i="42" s="1"/>
  <c r="M1530" i="42" s="1"/>
  <c r="AD1496" i="42"/>
  <c r="AD1514" i="42" s="1"/>
  <c r="AD1530" i="42" s="1"/>
  <c r="I1530" i="42" s="1"/>
  <c r="AF1495" i="42"/>
  <c r="AF1513" i="42" s="1"/>
  <c r="AF1529" i="42" s="1"/>
  <c r="K1529" i="42" s="1"/>
  <c r="AH1494" i="42"/>
  <c r="AH1512" i="42" s="1"/>
  <c r="AH1528" i="42" s="1"/>
  <c r="M1528" i="42" s="1"/>
  <c r="AD1494" i="42"/>
  <c r="AD1512" i="42" s="1"/>
  <c r="AD1528" i="42" s="1"/>
  <c r="I1528" i="42" s="1"/>
  <c r="AF1493" i="42"/>
  <c r="AF1511" i="42" s="1"/>
  <c r="AF1527" i="42" s="1"/>
  <c r="K1527" i="42" s="1"/>
  <c r="AH1492" i="42"/>
  <c r="AH1510" i="42" s="1"/>
  <c r="AH1526" i="42" s="1"/>
  <c r="M1526" i="42" s="1"/>
  <c r="AD1492" i="42"/>
  <c r="AD1510" i="42" s="1"/>
  <c r="AD1526" i="42" s="1"/>
  <c r="I1526" i="42" s="1"/>
  <c r="AF1491" i="42"/>
  <c r="AF1509" i="42" s="1"/>
  <c r="AF1525" i="42" s="1"/>
  <c r="K1525" i="42" s="1"/>
  <c r="AH1490" i="42"/>
  <c r="AH1508" i="42" s="1"/>
  <c r="AH1524" i="42" s="1"/>
  <c r="M1524" i="42" s="1"/>
  <c r="AD1490" i="42"/>
  <c r="AD1508" i="42" s="1"/>
  <c r="AD1524" i="42" s="1"/>
  <c r="I1524" i="42" s="1"/>
  <c r="AF1489" i="42"/>
  <c r="AH1488" i="42"/>
  <c r="AH1506" i="42" s="1"/>
  <c r="AH1522" i="42" s="1"/>
  <c r="M1522" i="42" s="1"/>
  <c r="AD1488" i="42"/>
  <c r="AF1487" i="42"/>
  <c r="AC1495" i="42"/>
  <c r="AC1492" i="42"/>
  <c r="AC1488" i="42"/>
  <c r="AH1495" i="42"/>
  <c r="AH1513" i="42" s="1"/>
  <c r="AH1529" i="42" s="1"/>
  <c r="M1529" i="42" s="1"/>
  <c r="AF1494" i="42"/>
  <c r="AF1512" i="42" s="1"/>
  <c r="AF1528" i="42" s="1"/>
  <c r="K1528" i="42" s="1"/>
  <c r="AD1493" i="42"/>
  <c r="AD1511" i="42" s="1"/>
  <c r="AD1527" i="42" s="1"/>
  <c r="I1527" i="42" s="1"/>
  <c r="AH1491" i="42"/>
  <c r="AH1509" i="42" s="1"/>
  <c r="AH1525" i="42" s="1"/>
  <c r="M1525" i="42" s="1"/>
  <c r="AG1490" i="42"/>
  <c r="AG1508" i="42" s="1"/>
  <c r="AG1524" i="42" s="1"/>
  <c r="L1524" i="42" s="1"/>
  <c r="AH1489" i="42"/>
  <c r="AH1507" i="42" s="1"/>
  <c r="AH1523" i="42" s="1"/>
  <c r="M1523" i="42" s="1"/>
  <c r="AI1488" i="42"/>
  <c r="AI1506" i="42" s="1"/>
  <c r="AI1522" i="42" s="1"/>
  <c r="N1522" i="42" s="1"/>
  <c r="AI1487" i="42"/>
  <c r="AI1505" i="42" s="1"/>
  <c r="AI1521" i="42" s="1"/>
  <c r="N1521" i="42" s="1"/>
  <c r="AD1487" i="42"/>
  <c r="AC1493" i="42"/>
  <c r="AC1487" i="42"/>
  <c r="AG1496" i="42"/>
  <c r="AG1514" i="42" s="1"/>
  <c r="AG1530" i="42" s="1"/>
  <c r="L1530" i="42" s="1"/>
  <c r="AE1495" i="42"/>
  <c r="AE1513" i="42" s="1"/>
  <c r="AE1529" i="42" s="1"/>
  <c r="J1529" i="42" s="1"/>
  <c r="AI1493" i="42"/>
  <c r="AI1511" i="42" s="1"/>
  <c r="AI1527" i="42" s="1"/>
  <c r="N1527" i="42" s="1"/>
  <c r="AG1492" i="42"/>
  <c r="AG1510" i="42" s="1"/>
  <c r="AG1526" i="42" s="1"/>
  <c r="L1526" i="42" s="1"/>
  <c r="AE1491" i="42"/>
  <c r="AF1490" i="42"/>
  <c r="AF1508" i="42" s="1"/>
  <c r="AF1524" i="42" s="1"/>
  <c r="K1524" i="42" s="1"/>
  <c r="AG1489" i="42"/>
  <c r="AG1507" i="42" s="1"/>
  <c r="AG1523" i="42" s="1"/>
  <c r="L1523" i="42" s="1"/>
  <c r="AG1488" i="42"/>
  <c r="AG1506" i="42" s="1"/>
  <c r="AG1522" i="42" s="1"/>
  <c r="L1522" i="42" s="1"/>
  <c r="AH1487" i="42"/>
  <c r="AH1505" i="42" s="1"/>
  <c r="AH1521" i="42" s="1"/>
  <c r="M1521" i="42" s="1"/>
  <c r="AC1496" i="42"/>
  <c r="AC1491" i="42"/>
  <c r="AD1495" i="42"/>
  <c r="AD1513" i="42" s="1"/>
  <c r="AD1529" i="42" s="1"/>
  <c r="I1529" i="42" s="1"/>
  <c r="AF1492" i="42"/>
  <c r="AF1510" i="42" s="1"/>
  <c r="AF1526" i="42" s="1"/>
  <c r="K1526" i="42" s="1"/>
  <c r="AE1490" i="42"/>
  <c r="AE1508" i="42" s="1"/>
  <c r="AE1524" i="42" s="1"/>
  <c r="J1524" i="42" s="1"/>
  <c r="AF1488" i="42"/>
  <c r="AF1496" i="42"/>
  <c r="AF1514" i="42" s="1"/>
  <c r="AF1530" i="42" s="1"/>
  <c r="K1530" i="42" s="1"/>
  <c r="AH1493" i="42"/>
  <c r="AH1511" i="42" s="1"/>
  <c r="AH1527" i="42" s="1"/>
  <c r="M1527" i="42" s="1"/>
  <c r="AD1491" i="42"/>
  <c r="AD1509" i="42" s="1"/>
  <c r="AD1525" i="42" s="1"/>
  <c r="I1525" i="42" s="1"/>
  <c r="AE1489" i="42"/>
  <c r="AG1487" i="42"/>
  <c r="AG1505" i="42" s="1"/>
  <c r="AG1521" i="42" s="1"/>
  <c r="L1521" i="42" s="1"/>
  <c r="AC1490" i="42"/>
  <c r="AI1495" i="42"/>
  <c r="AI1513" i="42" s="1"/>
  <c r="AI1529" i="42" s="1"/>
  <c r="N1529" i="42" s="1"/>
  <c r="AI1490" i="42"/>
  <c r="AI1508" i="42" s="1"/>
  <c r="AI1524" i="42" s="1"/>
  <c r="N1524" i="42" s="1"/>
  <c r="AC1489" i="42"/>
  <c r="AG1494" i="42"/>
  <c r="AG1512" i="42" s="1"/>
  <c r="AG1528" i="42" s="1"/>
  <c r="L1528" i="42" s="1"/>
  <c r="AI1491" i="42"/>
  <c r="AI1509" i="42" s="1"/>
  <c r="AI1525" i="42" s="1"/>
  <c r="N1525" i="42" s="1"/>
  <c r="AI1489" i="42"/>
  <c r="AI1507" i="42" s="1"/>
  <c r="AI1523" i="42" s="1"/>
  <c r="AE1488" i="42"/>
  <c r="AC1494" i="42"/>
  <c r="AE1493" i="42"/>
  <c r="AE1511" i="42" s="1"/>
  <c r="AE1527" i="42" s="1"/>
  <c r="J1527" i="42" s="1"/>
  <c r="AD1489" i="42"/>
  <c r="AE1487" i="42"/>
  <c r="AI1634" i="42"/>
  <c r="AI1652" i="42" s="1"/>
  <c r="AI1668" i="42" s="1"/>
  <c r="N1668" i="42" s="1"/>
  <c r="AE1634" i="42"/>
  <c r="AE1652" i="42" s="1"/>
  <c r="AE1668" i="42" s="1"/>
  <c r="J1668" i="42" s="1"/>
  <c r="AH1633" i="42"/>
  <c r="AH1651" i="42" s="1"/>
  <c r="AH1667" i="42" s="1"/>
  <c r="M1667" i="42" s="1"/>
  <c r="AD1633" i="42"/>
  <c r="AD1651" i="42" s="1"/>
  <c r="AD1667" i="42" s="1"/>
  <c r="I1667" i="42" s="1"/>
  <c r="AG1632" i="42"/>
  <c r="AG1650" i="42" s="1"/>
  <c r="AG1666" i="42" s="1"/>
  <c r="L1666" i="42" s="1"/>
  <c r="AC1632" i="42"/>
  <c r="AF1631" i="42"/>
  <c r="AF1649" i="42" s="1"/>
  <c r="AF1665" i="42" s="1"/>
  <c r="K1665" i="42" s="1"/>
  <c r="AF1630" i="42"/>
  <c r="AF1648" i="42" s="1"/>
  <c r="AF1664" i="42" s="1"/>
  <c r="K1664" i="42" s="1"/>
  <c r="AI1629" i="42"/>
  <c r="AI1647" i="42" s="1"/>
  <c r="AI1663" i="42" s="1"/>
  <c r="N1663" i="42" s="1"/>
  <c r="AE1629" i="42"/>
  <c r="AE1647" i="42" s="1"/>
  <c r="AE1663" i="42" s="1"/>
  <c r="J1663" i="42" s="1"/>
  <c r="AH1628" i="42"/>
  <c r="AH1646" i="42" s="1"/>
  <c r="AH1662" i="42" s="1"/>
  <c r="M1662" i="42" s="1"/>
  <c r="AD1628" i="42"/>
  <c r="AD1646" i="42" s="1"/>
  <c r="AD1662" i="42" s="1"/>
  <c r="I1662" i="42" s="1"/>
  <c r="AG1627" i="42"/>
  <c r="AG1645" i="42" s="1"/>
  <c r="AG1661" i="42" s="1"/>
  <c r="L1661" i="42" s="1"/>
  <c r="AC1627" i="42"/>
  <c r="AG1626" i="42"/>
  <c r="AG1644" i="42" s="1"/>
  <c r="AG1660" i="42" s="1"/>
  <c r="L1660" i="42" s="1"/>
  <c r="AC1626" i="42"/>
  <c r="AF1625" i="42"/>
  <c r="AF1643" i="42" s="1"/>
  <c r="AF1659" i="42" s="1"/>
  <c r="K1659" i="42" s="1"/>
  <c r="AH1634" i="42"/>
  <c r="AH1652" i="42" s="1"/>
  <c r="AH1668" i="42" s="1"/>
  <c r="M1668" i="42" s="1"/>
  <c r="AD1634" i="42"/>
  <c r="AD1652" i="42" s="1"/>
  <c r="AD1668" i="42" s="1"/>
  <c r="I1668" i="42" s="1"/>
  <c r="AG1633" i="42"/>
  <c r="AG1651" i="42" s="1"/>
  <c r="AG1667" i="42" s="1"/>
  <c r="L1667" i="42" s="1"/>
  <c r="AC1633" i="42"/>
  <c r="AF1632" i="42"/>
  <c r="AF1650" i="42" s="1"/>
  <c r="AF1666" i="42" s="1"/>
  <c r="K1666" i="42" s="1"/>
  <c r="AI1631" i="42"/>
  <c r="AI1649" i="42" s="1"/>
  <c r="AI1665" i="42" s="1"/>
  <c r="N1665" i="42" s="1"/>
  <c r="AE1631" i="42"/>
  <c r="AE1649" i="42" s="1"/>
  <c r="AE1665" i="42" s="1"/>
  <c r="J1665" i="42" s="1"/>
  <c r="AI1630" i="42"/>
  <c r="AI1648" i="42" s="1"/>
  <c r="AI1664" i="42" s="1"/>
  <c r="N1664" i="42" s="1"/>
  <c r="AE1630" i="42"/>
  <c r="AE1648" i="42" s="1"/>
  <c r="AE1664" i="42" s="1"/>
  <c r="J1664" i="42" s="1"/>
  <c r="AH1629" i="42"/>
  <c r="AH1647" i="42" s="1"/>
  <c r="AH1663" i="42" s="1"/>
  <c r="M1663" i="42" s="1"/>
  <c r="AD1629" i="42"/>
  <c r="AD1647" i="42" s="1"/>
  <c r="AD1663" i="42" s="1"/>
  <c r="I1663" i="42" s="1"/>
  <c r="AG1628" i="42"/>
  <c r="AG1646" i="42" s="1"/>
  <c r="AG1662" i="42" s="1"/>
  <c r="L1662" i="42" s="1"/>
  <c r="AC1628" i="42"/>
  <c r="AF1627" i="42"/>
  <c r="AF1645" i="42" s="1"/>
  <c r="AF1661" i="42" s="1"/>
  <c r="K1661" i="42" s="1"/>
  <c r="AF1626" i="42"/>
  <c r="AI1625" i="42"/>
  <c r="AI1643" i="42" s="1"/>
  <c r="AI1659" i="42" s="1"/>
  <c r="N1659" i="42" s="1"/>
  <c r="AE1625" i="42"/>
  <c r="AE1643" i="42" s="1"/>
  <c r="AE1659" i="42" s="1"/>
  <c r="J1659" i="42" s="1"/>
  <c r="AI1633" i="42"/>
  <c r="AI1651" i="42" s="1"/>
  <c r="AI1667" i="42" s="1"/>
  <c r="N1667" i="42" s="1"/>
  <c r="AH1632" i="42"/>
  <c r="AH1650" i="42" s="1"/>
  <c r="AH1666" i="42" s="1"/>
  <c r="M1666" i="42" s="1"/>
  <c r="AG1631" i="42"/>
  <c r="AG1649" i="42" s="1"/>
  <c r="AG1665" i="42" s="1"/>
  <c r="L1665" i="42" s="1"/>
  <c r="AG1630" i="42"/>
  <c r="AG1648" i="42" s="1"/>
  <c r="AG1664" i="42" s="1"/>
  <c r="L1664" i="42" s="1"/>
  <c r="AF1629" i="42"/>
  <c r="AF1647" i="42" s="1"/>
  <c r="AF1663" i="42" s="1"/>
  <c r="K1663" i="42" s="1"/>
  <c r="AE1628" i="42"/>
  <c r="AE1646" i="42" s="1"/>
  <c r="AE1662" i="42" s="1"/>
  <c r="J1662" i="42" s="1"/>
  <c r="AD1627" i="42"/>
  <c r="AD1645" i="42" s="1"/>
  <c r="AD1661" i="42" s="1"/>
  <c r="I1661" i="42" s="1"/>
  <c r="AD1626" i="42"/>
  <c r="AD1644" i="42" s="1"/>
  <c r="AD1660" i="42" s="1"/>
  <c r="I1660" i="42" s="1"/>
  <c r="AC1625" i="42"/>
  <c r="AG1634" i="42"/>
  <c r="AG1652" i="42" s="1"/>
  <c r="AG1668" i="42" s="1"/>
  <c r="L1668" i="42" s="1"/>
  <c r="AF1633" i="42"/>
  <c r="AE1632" i="42"/>
  <c r="AE1650" i="42" s="1"/>
  <c r="AE1666" i="42" s="1"/>
  <c r="J1666" i="42" s="1"/>
  <c r="AD1631" i="42"/>
  <c r="AD1649" i="42" s="1"/>
  <c r="AD1665" i="42" s="1"/>
  <c r="I1665" i="42" s="1"/>
  <c r="AD1630" i="42"/>
  <c r="AD1648" i="42" s="1"/>
  <c r="AD1664" i="42" s="1"/>
  <c r="I1664" i="42" s="1"/>
  <c r="AC1629" i="42"/>
  <c r="AI1627" i="42"/>
  <c r="AI1645" i="42" s="1"/>
  <c r="AI1661" i="42" s="1"/>
  <c r="N1661" i="42" s="1"/>
  <c r="AI1626" i="42"/>
  <c r="AI1644" i="42" s="1"/>
  <c r="AI1660" i="42" s="1"/>
  <c r="N1660" i="42" s="1"/>
  <c r="AH1625" i="42"/>
  <c r="AH1643" i="42" s="1"/>
  <c r="AH1659" i="42" s="1"/>
  <c r="M1659" i="42" s="1"/>
  <c r="AF1634" i="42"/>
  <c r="AF1652" i="42" s="1"/>
  <c r="AF1668" i="42" s="1"/>
  <c r="K1668" i="42" s="1"/>
  <c r="AD1632" i="42"/>
  <c r="AD1650" i="42" s="1"/>
  <c r="AD1666" i="42" s="1"/>
  <c r="I1666" i="42" s="1"/>
  <c r="AC1630" i="42"/>
  <c r="AH1627" i="42"/>
  <c r="AH1645" i="42" s="1"/>
  <c r="AH1661" i="42" s="1"/>
  <c r="M1661" i="42" s="1"/>
  <c r="AG1625" i="42"/>
  <c r="AG1643" i="42" s="1"/>
  <c r="AG1659" i="42" s="1"/>
  <c r="L1659" i="42" s="1"/>
  <c r="AE1633" i="42"/>
  <c r="AE1651" i="42" s="1"/>
  <c r="AE1667" i="42" s="1"/>
  <c r="J1667" i="42" s="1"/>
  <c r="AC1631" i="42"/>
  <c r="AI1628" i="42"/>
  <c r="AI1646" i="42" s="1"/>
  <c r="AI1662" i="42" s="1"/>
  <c r="N1662" i="42" s="1"/>
  <c r="AH1626" i="42"/>
  <c r="AH1644" i="42" s="1"/>
  <c r="AH1660" i="42" s="1"/>
  <c r="M1660" i="42" s="1"/>
  <c r="AI1632" i="42"/>
  <c r="AI1650" i="42" s="1"/>
  <c r="AI1666" i="42" s="1"/>
  <c r="N1666" i="42" s="1"/>
  <c r="AF1628" i="42"/>
  <c r="AC1634" i="42"/>
  <c r="AH1631" i="42"/>
  <c r="AH1649" i="42" s="1"/>
  <c r="AH1665" i="42" s="1"/>
  <c r="M1665" i="42" s="1"/>
  <c r="AG1629" i="42"/>
  <c r="AG1647" i="42" s="1"/>
  <c r="AG1663" i="42" s="1"/>
  <c r="L1663" i="42" s="1"/>
  <c r="AE1627" i="42"/>
  <c r="AE1645" i="42" s="1"/>
  <c r="AE1661" i="42" s="1"/>
  <c r="J1661" i="42" s="1"/>
  <c r="AD1625" i="42"/>
  <c r="AD1643" i="42" s="1"/>
  <c r="AD1659" i="42" s="1"/>
  <c r="I1659" i="42" s="1"/>
  <c r="AH1630" i="42"/>
  <c r="AH1648" i="42" s="1"/>
  <c r="AH1664" i="42" s="1"/>
  <c r="M1664" i="42" s="1"/>
  <c r="AE1626" i="42"/>
  <c r="AE1644" i="42" s="1"/>
  <c r="AE1660" i="42" s="1"/>
  <c r="J1660" i="42" s="1"/>
  <c r="AH1772" i="42"/>
  <c r="AH1790" i="42" s="1"/>
  <c r="AH1806" i="42" s="1"/>
  <c r="M1806" i="42" s="1"/>
  <c r="AD1772" i="42"/>
  <c r="AD1790" i="42" s="1"/>
  <c r="AD1806" i="42" s="1"/>
  <c r="I1806" i="42" s="1"/>
  <c r="AH1771" i="42"/>
  <c r="AH1789" i="42" s="1"/>
  <c r="AH1805" i="42" s="1"/>
  <c r="M1805" i="42" s="1"/>
  <c r="AD1771" i="42"/>
  <c r="AD1789" i="42" s="1"/>
  <c r="AD1805" i="42" s="1"/>
  <c r="I1805" i="42" s="1"/>
  <c r="AH1770" i="42"/>
  <c r="AH1788" i="42" s="1"/>
  <c r="AH1804" i="42" s="1"/>
  <c r="M1804" i="42" s="1"/>
  <c r="AD1770" i="42"/>
  <c r="AD1788" i="42" s="1"/>
  <c r="AD1804" i="42" s="1"/>
  <c r="I1804" i="42" s="1"/>
  <c r="AH1769" i="42"/>
  <c r="AH1787" i="42" s="1"/>
  <c r="AH1803" i="42" s="1"/>
  <c r="M1803" i="42" s="1"/>
  <c r="AD1769" i="42"/>
  <c r="AD1787" i="42" s="1"/>
  <c r="AD1803" i="42" s="1"/>
  <c r="I1803" i="42" s="1"/>
  <c r="AH1768" i="42"/>
  <c r="AH1786" i="42" s="1"/>
  <c r="AH1802" i="42" s="1"/>
  <c r="M1802" i="42" s="1"/>
  <c r="AD1768" i="42"/>
  <c r="AD1786" i="42" s="1"/>
  <c r="AD1802" i="42" s="1"/>
  <c r="I1802" i="42" s="1"/>
  <c r="AH1767" i="42"/>
  <c r="AH1785" i="42" s="1"/>
  <c r="AH1801" i="42" s="1"/>
  <c r="M1801" i="42" s="1"/>
  <c r="AD1767" i="42"/>
  <c r="AD1785" i="42" s="1"/>
  <c r="AD1801" i="42" s="1"/>
  <c r="I1801" i="42" s="1"/>
  <c r="AH1766" i="42"/>
  <c r="AH1784" i="42" s="1"/>
  <c r="AH1800" i="42" s="1"/>
  <c r="M1800" i="42" s="1"/>
  <c r="AD1766" i="42"/>
  <c r="AD1784" i="42" s="1"/>
  <c r="AD1800" i="42" s="1"/>
  <c r="I1800" i="42" s="1"/>
  <c r="AH1765" i="42"/>
  <c r="AH1783" i="42" s="1"/>
  <c r="AH1799" i="42" s="1"/>
  <c r="M1799" i="42" s="1"/>
  <c r="AD1765" i="42"/>
  <c r="AD1783" i="42" s="1"/>
  <c r="AD1799" i="42" s="1"/>
  <c r="I1799" i="42" s="1"/>
  <c r="AG1764" i="42"/>
  <c r="AG1782" i="42" s="1"/>
  <c r="AG1798" i="42" s="1"/>
  <c r="L1798" i="42" s="1"/>
  <c r="AC1764" i="42"/>
  <c r="AG1772" i="42"/>
  <c r="AG1790" i="42" s="1"/>
  <c r="AG1806" i="42" s="1"/>
  <c r="L1806" i="42" s="1"/>
  <c r="AC1772" i="42"/>
  <c r="AG1771" i="42"/>
  <c r="AG1789" i="42" s="1"/>
  <c r="AG1805" i="42" s="1"/>
  <c r="L1805" i="42" s="1"/>
  <c r="AC1771" i="42"/>
  <c r="AG1770" i="42"/>
  <c r="AG1788" i="42" s="1"/>
  <c r="AG1804" i="42" s="1"/>
  <c r="L1804" i="42" s="1"/>
  <c r="AC1770" i="42"/>
  <c r="AG1769" i="42"/>
  <c r="AG1787" i="42" s="1"/>
  <c r="AG1803" i="42" s="1"/>
  <c r="L1803" i="42" s="1"/>
  <c r="AC1769" i="42"/>
  <c r="AG1768" i="42"/>
  <c r="AG1786" i="42" s="1"/>
  <c r="AG1802" i="42" s="1"/>
  <c r="L1802" i="42" s="1"/>
  <c r="AC1768" i="42"/>
  <c r="AG1767" i="42"/>
  <c r="AG1785" i="42" s="1"/>
  <c r="AG1801" i="42" s="1"/>
  <c r="L1801" i="42" s="1"/>
  <c r="AC1767" i="42"/>
  <c r="AG1766" i="42"/>
  <c r="AG1784" i="42" s="1"/>
  <c r="AG1800" i="42" s="1"/>
  <c r="L1800" i="42" s="1"/>
  <c r="AC1766" i="42"/>
  <c r="AG1765" i="42"/>
  <c r="AG1783" i="42" s="1"/>
  <c r="AG1799" i="42" s="1"/>
  <c r="L1799" i="42" s="1"/>
  <c r="AC1765" i="42"/>
  <c r="AF1764" i="42"/>
  <c r="AF1782" i="42" s="1"/>
  <c r="AF1798" i="42" s="1"/>
  <c r="K1798" i="42" s="1"/>
  <c r="AI1763" i="42"/>
  <c r="AI1781" i="42" s="1"/>
  <c r="AI1797" i="42" s="1"/>
  <c r="N1797" i="42" s="1"/>
  <c r="AE1772" i="42"/>
  <c r="AE1790" i="42" s="1"/>
  <c r="AE1806" i="42" s="1"/>
  <c r="J1806" i="42" s="1"/>
  <c r="AE1771" i="42"/>
  <c r="AE1789" i="42" s="1"/>
  <c r="AE1805" i="42" s="1"/>
  <c r="J1805" i="42" s="1"/>
  <c r="AE1770" i="42"/>
  <c r="AE1788" i="42" s="1"/>
  <c r="AE1804" i="42" s="1"/>
  <c r="J1804" i="42" s="1"/>
  <c r="AE1769" i="42"/>
  <c r="AE1787" i="42" s="1"/>
  <c r="AE1803" i="42" s="1"/>
  <c r="J1803" i="42" s="1"/>
  <c r="AE1768" i="42"/>
  <c r="AE1786" i="42" s="1"/>
  <c r="AE1802" i="42" s="1"/>
  <c r="J1802" i="42" s="1"/>
  <c r="AE1767" i="42"/>
  <c r="AE1785" i="42" s="1"/>
  <c r="AE1801" i="42" s="1"/>
  <c r="J1801" i="42" s="1"/>
  <c r="AE1766" i="42"/>
  <c r="AE1784" i="42" s="1"/>
  <c r="AE1800" i="42" s="1"/>
  <c r="J1800" i="42" s="1"/>
  <c r="AE1765" i="42"/>
  <c r="AE1783" i="42" s="1"/>
  <c r="AE1799" i="42" s="1"/>
  <c r="J1799" i="42" s="1"/>
  <c r="AD1764" i="42"/>
  <c r="AD1782" i="42" s="1"/>
  <c r="AD1798" i="42" s="1"/>
  <c r="I1798" i="42" s="1"/>
  <c r="AI1764" i="42"/>
  <c r="AI1782" i="42" s="1"/>
  <c r="AI1798" i="42" s="1"/>
  <c r="N1798" i="42" s="1"/>
  <c r="AI1772" i="42"/>
  <c r="AI1790" i="42" s="1"/>
  <c r="AI1806" i="42" s="1"/>
  <c r="N1806" i="42" s="1"/>
  <c r="AI1770" i="42"/>
  <c r="AI1788" i="42" s="1"/>
  <c r="AI1804" i="42" s="1"/>
  <c r="N1804" i="42" s="1"/>
  <c r="AI1768" i="42"/>
  <c r="AI1786" i="42" s="1"/>
  <c r="AI1802" i="42" s="1"/>
  <c r="N1802" i="42" s="1"/>
  <c r="AI1766" i="42"/>
  <c r="AI1784" i="42" s="1"/>
  <c r="AI1800" i="42" s="1"/>
  <c r="N1800" i="42" s="1"/>
  <c r="AH1764" i="42"/>
  <c r="AH1782" i="42" s="1"/>
  <c r="AH1798" i="42" s="1"/>
  <c r="M1798" i="42" s="1"/>
  <c r="AI1771" i="42"/>
  <c r="AI1789" i="42" s="1"/>
  <c r="AI1805" i="42" s="1"/>
  <c r="N1805" i="42" s="1"/>
  <c r="AI1769" i="42"/>
  <c r="AI1787" i="42" s="1"/>
  <c r="AI1803" i="42" s="1"/>
  <c r="N1803" i="42" s="1"/>
  <c r="AI1767" i="42"/>
  <c r="AI1785" i="42" s="1"/>
  <c r="AI1801" i="42" s="1"/>
  <c r="N1801" i="42" s="1"/>
  <c r="AI1765" i="42"/>
  <c r="AI1783" i="42" s="1"/>
  <c r="AI1799" i="42" s="1"/>
  <c r="N1799" i="42" s="1"/>
  <c r="AF1771" i="42"/>
  <c r="AF1789" i="42" s="1"/>
  <c r="AF1805" i="42" s="1"/>
  <c r="K1805" i="42" s="1"/>
  <c r="AF1769" i="42"/>
  <c r="AF1787" i="42" s="1"/>
  <c r="AF1803" i="42" s="1"/>
  <c r="K1803" i="42" s="1"/>
  <c r="AF1767" i="42"/>
  <c r="AF1785" i="42" s="1"/>
  <c r="AF1801" i="42" s="1"/>
  <c r="K1801" i="42" s="1"/>
  <c r="AF1765" i="42"/>
  <c r="AF1783" i="42" s="1"/>
  <c r="AF1799" i="42" s="1"/>
  <c r="K1799" i="42" s="1"/>
  <c r="AF1772" i="42"/>
  <c r="AF1790" i="42" s="1"/>
  <c r="AF1806" i="42" s="1"/>
  <c r="K1806" i="42" s="1"/>
  <c r="AF1770" i="42"/>
  <c r="AF1788" i="42" s="1"/>
  <c r="AF1804" i="42" s="1"/>
  <c r="K1804" i="42" s="1"/>
  <c r="AF1768" i="42"/>
  <c r="AF1786" i="42" s="1"/>
  <c r="AF1802" i="42" s="1"/>
  <c r="K1802" i="42" s="1"/>
  <c r="AF1766" i="42"/>
  <c r="AF1784" i="42" s="1"/>
  <c r="AF1800" i="42" s="1"/>
  <c r="K1800" i="42" s="1"/>
  <c r="AE1764" i="42"/>
  <c r="AE1782" i="42" s="1"/>
  <c r="AE1798" i="42" s="1"/>
  <c r="J1798" i="42" s="1"/>
  <c r="AF1156" i="42"/>
  <c r="AF1174" i="42" s="1"/>
  <c r="AF1190" i="42" s="1"/>
  <c r="K1190" i="42" s="1"/>
  <c r="AI1155" i="42"/>
  <c r="AI1173" i="42" s="1"/>
  <c r="AI1189" i="42" s="1"/>
  <c r="N1189" i="42" s="1"/>
  <c r="AE1155" i="42"/>
  <c r="AE1173" i="42" s="1"/>
  <c r="AE1189" i="42" s="1"/>
  <c r="J1189" i="42" s="1"/>
  <c r="AH1154" i="42"/>
  <c r="AH1172" i="42" s="1"/>
  <c r="AH1188" i="42" s="1"/>
  <c r="M1188" i="42" s="1"/>
  <c r="AD1154" i="42"/>
  <c r="AD1172" i="42" s="1"/>
  <c r="AD1188" i="42" s="1"/>
  <c r="I1188" i="42" s="1"/>
  <c r="AG1153" i="42"/>
  <c r="AG1171" i="42" s="1"/>
  <c r="AG1187" i="42" s="1"/>
  <c r="L1187" i="42" s="1"/>
  <c r="AC1153" i="42"/>
  <c r="AF1152" i="42"/>
  <c r="AF1170" i="42" s="1"/>
  <c r="AF1186" i="42" s="1"/>
  <c r="K1186" i="42" s="1"/>
  <c r="AI1151" i="42"/>
  <c r="AI1169" i="42" s="1"/>
  <c r="AI1185" i="42" s="1"/>
  <c r="N1185" i="42" s="1"/>
  <c r="AE1151" i="42"/>
  <c r="AE1169" i="42" s="1"/>
  <c r="AE1185" i="42" s="1"/>
  <c r="J1185" i="42" s="1"/>
  <c r="AG1156" i="42"/>
  <c r="AG1174" i="42" s="1"/>
  <c r="AG1190" i="42" s="1"/>
  <c r="L1190" i="42" s="1"/>
  <c r="AH1155" i="42"/>
  <c r="AH1173" i="42" s="1"/>
  <c r="AH1189" i="42" s="1"/>
  <c r="M1189" i="42" s="1"/>
  <c r="AC1155" i="42"/>
  <c r="AE1154" i="42"/>
  <c r="AE1172" i="42" s="1"/>
  <c r="AE1188" i="42" s="1"/>
  <c r="J1188" i="42" s="1"/>
  <c r="AF1153" i="42"/>
  <c r="AF1171" i="42" s="1"/>
  <c r="AF1187" i="42" s="1"/>
  <c r="K1187" i="42" s="1"/>
  <c r="AH1152" i="42"/>
  <c r="AH1170" i="42" s="1"/>
  <c r="AH1186" i="42" s="1"/>
  <c r="M1186" i="42" s="1"/>
  <c r="AC1152" i="42"/>
  <c r="AD1151" i="42"/>
  <c r="AD1169" i="42" s="1"/>
  <c r="AD1185" i="42" s="1"/>
  <c r="I1185" i="42" s="1"/>
  <c r="AG1150" i="42"/>
  <c r="AG1168" i="42" s="1"/>
  <c r="AG1184" i="42" s="1"/>
  <c r="L1184" i="42" s="1"/>
  <c r="AC1150" i="42"/>
  <c r="AF1149" i="42"/>
  <c r="AF1167" i="42" s="1"/>
  <c r="AF1183" i="42" s="1"/>
  <c r="K1183" i="42" s="1"/>
  <c r="AI1148" i="42"/>
  <c r="AI1166" i="42" s="1"/>
  <c r="AI1182" i="42" s="1"/>
  <c r="N1182" i="42" s="1"/>
  <c r="AE1148" i="42"/>
  <c r="AE1166" i="42" s="1"/>
  <c r="AE1182" i="42" s="1"/>
  <c r="J1182" i="42" s="1"/>
  <c r="AH1147" i="42"/>
  <c r="AH1165" i="42" s="1"/>
  <c r="AH1181" i="42" s="1"/>
  <c r="M1181" i="42" s="1"/>
  <c r="AE1156" i="42"/>
  <c r="AE1174" i="42" s="1"/>
  <c r="AE1190" i="42" s="1"/>
  <c r="J1190" i="42" s="1"/>
  <c r="AG1155" i="42"/>
  <c r="AG1173" i="42" s="1"/>
  <c r="AG1189" i="42" s="1"/>
  <c r="L1189" i="42" s="1"/>
  <c r="AI1154" i="42"/>
  <c r="AI1172" i="42" s="1"/>
  <c r="AI1188" i="42" s="1"/>
  <c r="N1188" i="42" s="1"/>
  <c r="AC1154" i="42"/>
  <c r="AE1153" i="42"/>
  <c r="AE1171" i="42" s="1"/>
  <c r="AE1187" i="42" s="1"/>
  <c r="J1187" i="42" s="1"/>
  <c r="AG1152" i="42"/>
  <c r="AG1170" i="42" s="1"/>
  <c r="AG1186" i="42" s="1"/>
  <c r="L1186" i="42" s="1"/>
  <c r="AH1151" i="42"/>
  <c r="AH1169" i="42" s="1"/>
  <c r="AH1185" i="42" s="1"/>
  <c r="M1185" i="42" s="1"/>
  <c r="AC1151" i="42"/>
  <c r="AF1150" i="42"/>
  <c r="AF1168" i="42" s="1"/>
  <c r="AF1184" i="42" s="1"/>
  <c r="K1184" i="42" s="1"/>
  <c r="AI1149" i="42"/>
  <c r="AI1167" i="42" s="1"/>
  <c r="AI1183" i="42" s="1"/>
  <c r="N1183" i="42" s="1"/>
  <c r="AE1149" i="42"/>
  <c r="AE1167" i="42" s="1"/>
  <c r="AE1183" i="42" s="1"/>
  <c r="J1183" i="42" s="1"/>
  <c r="AH1148" i="42"/>
  <c r="AH1166" i="42" s="1"/>
  <c r="AH1182" i="42" s="1"/>
  <c r="M1182" i="42" s="1"/>
  <c r="AD1148" i="42"/>
  <c r="AD1166" i="42" s="1"/>
  <c r="AD1182" i="42" s="1"/>
  <c r="I1182" i="42" s="1"/>
  <c r="AG1147" i="42"/>
  <c r="AG1165" i="42" s="1"/>
  <c r="AG1181" i="42" s="1"/>
  <c r="L1181" i="42" s="1"/>
  <c r="AD1156" i="42"/>
  <c r="AD1174" i="42" s="1"/>
  <c r="AD1190" i="42" s="1"/>
  <c r="I1190" i="42" s="1"/>
  <c r="AG1154" i="42"/>
  <c r="AG1172" i="42" s="1"/>
  <c r="AG1188" i="42" s="1"/>
  <c r="L1188" i="42" s="1"/>
  <c r="AD1153" i="42"/>
  <c r="AD1171" i="42" s="1"/>
  <c r="AD1187" i="42" s="1"/>
  <c r="I1187" i="42" s="1"/>
  <c r="AG1151" i="42"/>
  <c r="AG1169" i="42" s="1"/>
  <c r="AG1185" i="42" s="1"/>
  <c r="L1185" i="42" s="1"/>
  <c r="AE1150" i="42"/>
  <c r="AE1168" i="42" s="1"/>
  <c r="AE1184" i="42" s="1"/>
  <c r="J1184" i="42" s="1"/>
  <c r="AD1149" i="42"/>
  <c r="AD1167" i="42" s="1"/>
  <c r="AD1183" i="42" s="1"/>
  <c r="I1183" i="42" s="1"/>
  <c r="AC1148" i="42"/>
  <c r="AI1156" i="42"/>
  <c r="AI1174" i="42" s="1"/>
  <c r="AI1190" i="42" s="1"/>
  <c r="N1190" i="42" s="1"/>
  <c r="AF1155" i="42"/>
  <c r="AF1173" i="42" s="1"/>
  <c r="AF1189" i="42" s="1"/>
  <c r="K1189" i="42" s="1"/>
  <c r="AI1153" i="42"/>
  <c r="AI1171" i="42" s="1"/>
  <c r="AI1187" i="42" s="1"/>
  <c r="N1187" i="42" s="1"/>
  <c r="AE1152" i="42"/>
  <c r="AE1170" i="42" s="1"/>
  <c r="AE1186" i="42" s="1"/>
  <c r="J1186" i="42" s="1"/>
  <c r="AI1150" i="42"/>
  <c r="AI1168" i="42" s="1"/>
  <c r="AI1184" i="42" s="1"/>
  <c r="N1184" i="42" s="1"/>
  <c r="AH1149" i="42"/>
  <c r="AH1167" i="42" s="1"/>
  <c r="AH1183" i="42" s="1"/>
  <c r="M1183" i="42" s="1"/>
  <c r="AG1148" i="42"/>
  <c r="AG1166" i="42" s="1"/>
  <c r="AG1182" i="42" s="1"/>
  <c r="L1182" i="42" s="1"/>
  <c r="AF1147" i="42"/>
  <c r="AF1165" i="42" s="1"/>
  <c r="AF1181" i="42" s="1"/>
  <c r="K1181" i="42" s="1"/>
  <c r="AH1156" i="42"/>
  <c r="AH1174" i="42" s="1"/>
  <c r="AH1190" i="42" s="1"/>
  <c r="M1190" i="42" s="1"/>
  <c r="AH1153" i="42"/>
  <c r="AH1171" i="42" s="1"/>
  <c r="AH1187" i="42" s="1"/>
  <c r="M1187" i="42" s="1"/>
  <c r="AH1150" i="42"/>
  <c r="AH1168" i="42" s="1"/>
  <c r="AH1184" i="42" s="1"/>
  <c r="M1184" i="42" s="1"/>
  <c r="AF1148" i="42"/>
  <c r="AF1166" i="42" s="1"/>
  <c r="AF1182" i="42" s="1"/>
  <c r="K1182" i="42" s="1"/>
  <c r="AC1156" i="42"/>
  <c r="AF1154" i="42"/>
  <c r="AF1172" i="42" s="1"/>
  <c r="AF1188" i="42" s="1"/>
  <c r="K1188" i="42" s="1"/>
  <c r="AI1152" i="42"/>
  <c r="AI1170" i="42" s="1"/>
  <c r="AI1186" i="42" s="1"/>
  <c r="N1186" i="42" s="1"/>
  <c r="AF1151" i="42"/>
  <c r="AF1169" i="42" s="1"/>
  <c r="AF1185" i="42" s="1"/>
  <c r="K1185" i="42" s="1"/>
  <c r="AD1150" i="42"/>
  <c r="AD1168" i="42" s="1"/>
  <c r="AD1184" i="42" s="1"/>
  <c r="I1184" i="42" s="1"/>
  <c r="AC1149" i="42"/>
  <c r="AI1147" i="42"/>
  <c r="AI1165" i="42" s="1"/>
  <c r="AI1181" i="42" s="1"/>
  <c r="N1181" i="42" s="1"/>
  <c r="AD1155" i="42"/>
  <c r="AD1173" i="42" s="1"/>
  <c r="AD1189" i="42" s="1"/>
  <c r="I1189" i="42" s="1"/>
  <c r="AD1152" i="42"/>
  <c r="AD1170" i="42" s="1"/>
  <c r="AD1186" i="42" s="1"/>
  <c r="I1186" i="42" s="1"/>
  <c r="AG1149" i="42"/>
  <c r="AG1167" i="42" s="1"/>
  <c r="AG1183" i="42" s="1"/>
  <c r="L1183" i="42" s="1"/>
  <c r="AE1147" i="42"/>
  <c r="AE1165" i="42" s="1"/>
  <c r="AE1181" i="42" s="1"/>
  <c r="J1181" i="42" s="1"/>
  <c r="AF318" i="42"/>
  <c r="AF336" i="42" s="1"/>
  <c r="AF352" i="42" s="1"/>
  <c r="K352" i="42" s="1"/>
  <c r="AI318" i="42"/>
  <c r="AI336" i="42" s="1"/>
  <c r="AI352" i="42" s="1"/>
  <c r="N352" i="42" s="1"/>
  <c r="AG318" i="42"/>
  <c r="AG336" i="42" s="1"/>
  <c r="AG352" i="42" s="1"/>
  <c r="L352" i="42" s="1"/>
  <c r="AI317" i="42"/>
  <c r="AI335" i="42" s="1"/>
  <c r="AI351" i="42" s="1"/>
  <c r="N351" i="42" s="1"/>
  <c r="AE317" i="42"/>
  <c r="AE335" i="42" s="1"/>
  <c r="AE351" i="42" s="1"/>
  <c r="J351" i="42" s="1"/>
  <c r="AH316" i="42"/>
  <c r="AH334" i="42" s="1"/>
  <c r="AH350" i="42" s="1"/>
  <c r="M350" i="42" s="1"/>
  <c r="AD316" i="42"/>
  <c r="AD334" i="42" s="1"/>
  <c r="AD350" i="42" s="1"/>
  <c r="I350" i="42" s="1"/>
  <c r="AG315" i="42"/>
  <c r="AG333" i="42" s="1"/>
  <c r="AG349" i="42" s="1"/>
  <c r="L349" i="42" s="1"/>
  <c r="AC315" i="42"/>
  <c r="AF314" i="42"/>
  <c r="AF332" i="42" s="1"/>
  <c r="AF348" i="42" s="1"/>
  <c r="K348" i="42" s="1"/>
  <c r="AI313" i="42"/>
  <c r="AI331" i="42" s="1"/>
  <c r="AI347" i="42" s="1"/>
  <c r="N347" i="42" s="1"/>
  <c r="AE313" i="42"/>
  <c r="AE331" i="42" s="1"/>
  <c r="AE347" i="42" s="1"/>
  <c r="J347" i="42" s="1"/>
  <c r="AH312" i="42"/>
  <c r="AH330" i="42" s="1"/>
  <c r="AH346" i="42" s="1"/>
  <c r="M346" i="42" s="1"/>
  <c r="AD312" i="42"/>
  <c r="AD330" i="42" s="1"/>
  <c r="AD346" i="42" s="1"/>
  <c r="I346" i="42" s="1"/>
  <c r="AG311" i="42"/>
  <c r="AG329" i="42" s="1"/>
  <c r="AG345" i="42" s="1"/>
  <c r="L345" i="42" s="1"/>
  <c r="AI309" i="42"/>
  <c r="AI327" i="42" s="1"/>
  <c r="AI343" i="42" s="1"/>
  <c r="N343" i="42" s="1"/>
  <c r="AD318" i="42"/>
  <c r="AD336" i="42" s="1"/>
  <c r="AD352" i="42" s="1"/>
  <c r="I352" i="42" s="1"/>
  <c r="AC317" i="42"/>
  <c r="AH314" i="42"/>
  <c r="AH332" i="42" s="1"/>
  <c r="AH348" i="42" s="1"/>
  <c r="M348" i="42" s="1"/>
  <c r="AG313" i="42"/>
  <c r="AG331" i="42" s="1"/>
  <c r="AG347" i="42" s="1"/>
  <c r="L347" i="42" s="1"/>
  <c r="AF312" i="42"/>
  <c r="AF330" i="42" s="1"/>
  <c r="AF346" i="42" s="1"/>
  <c r="K346" i="42" s="1"/>
  <c r="AG309" i="42"/>
  <c r="AG327" i="42" s="1"/>
  <c r="AG343" i="42" s="1"/>
  <c r="L343" i="42" s="1"/>
  <c r="AC318" i="42"/>
  <c r="AE316" i="42"/>
  <c r="AE334" i="42" s="1"/>
  <c r="AE350" i="42" s="1"/>
  <c r="J350" i="42" s="1"/>
  <c r="AG314" i="42"/>
  <c r="AG332" i="42" s="1"/>
  <c r="AG348" i="42" s="1"/>
  <c r="L348" i="42" s="1"/>
  <c r="AI312" i="42"/>
  <c r="AI330" i="42" s="1"/>
  <c r="AI346" i="42" s="1"/>
  <c r="N346" i="42" s="1"/>
  <c r="AE318" i="42"/>
  <c r="AE336" i="42" s="1"/>
  <c r="AE352" i="42" s="1"/>
  <c r="J352" i="42" s="1"/>
  <c r="AH317" i="42"/>
  <c r="AH335" i="42" s="1"/>
  <c r="AH351" i="42" s="1"/>
  <c r="M351" i="42" s="1"/>
  <c r="AD317" i="42"/>
  <c r="AD335" i="42" s="1"/>
  <c r="AD351" i="42" s="1"/>
  <c r="I351" i="42" s="1"/>
  <c r="AG316" i="42"/>
  <c r="AG334" i="42" s="1"/>
  <c r="AG350" i="42" s="1"/>
  <c r="L350" i="42" s="1"/>
  <c r="AC316" i="42"/>
  <c r="AF315" i="42"/>
  <c r="AF333" i="42" s="1"/>
  <c r="AF349" i="42" s="1"/>
  <c r="K349" i="42" s="1"/>
  <c r="AI314" i="42"/>
  <c r="AI332" i="42" s="1"/>
  <c r="AI348" i="42" s="1"/>
  <c r="N348" i="42" s="1"/>
  <c r="AE314" i="42"/>
  <c r="AE332" i="42" s="1"/>
  <c r="AE348" i="42" s="1"/>
  <c r="J348" i="42" s="1"/>
  <c r="AH313" i="42"/>
  <c r="AH331" i="42" s="1"/>
  <c r="AH347" i="42" s="1"/>
  <c r="M347" i="42" s="1"/>
  <c r="AD313" i="42"/>
  <c r="AD331" i="42" s="1"/>
  <c r="AD347" i="42" s="1"/>
  <c r="I347" i="42" s="1"/>
  <c r="AG312" i="42"/>
  <c r="AG330" i="42" s="1"/>
  <c r="AG346" i="42" s="1"/>
  <c r="L346" i="42" s="1"/>
  <c r="AC312" i="42"/>
  <c r="AI310" i="42"/>
  <c r="AI328" i="42" s="1"/>
  <c r="AI344" i="42" s="1"/>
  <c r="N344" i="42" s="1"/>
  <c r="AH309" i="42"/>
  <c r="AH327" i="42" s="1"/>
  <c r="AH343" i="42" s="1"/>
  <c r="M343" i="42" s="1"/>
  <c r="AG317" i="42"/>
  <c r="AG335" i="42" s="1"/>
  <c r="AG351" i="42" s="1"/>
  <c r="L351" i="42" s="1"/>
  <c r="AI315" i="42"/>
  <c r="AI333" i="42" s="1"/>
  <c r="AI349" i="42" s="1"/>
  <c r="N349" i="42" s="1"/>
  <c r="AE315" i="42"/>
  <c r="AE333" i="42" s="1"/>
  <c r="AE349" i="42" s="1"/>
  <c r="J349" i="42" s="1"/>
  <c r="AD314" i="42"/>
  <c r="AD332" i="42" s="1"/>
  <c r="AD348" i="42" s="1"/>
  <c r="I348" i="42" s="1"/>
  <c r="AC313" i="42"/>
  <c r="AI311" i="42"/>
  <c r="AI329" i="42" s="1"/>
  <c r="AI345" i="42" s="1"/>
  <c r="N345" i="42" s="1"/>
  <c r="AH310" i="42"/>
  <c r="AH328" i="42" s="1"/>
  <c r="AH344" i="42" s="1"/>
  <c r="M344" i="42" s="1"/>
  <c r="AH318" i="42"/>
  <c r="AH336" i="42" s="1"/>
  <c r="AH352" i="42" s="1"/>
  <c r="M352" i="42" s="1"/>
  <c r="AI316" i="42"/>
  <c r="AI334" i="42" s="1"/>
  <c r="AI350" i="42" s="1"/>
  <c r="N350" i="42" s="1"/>
  <c r="AH315" i="42"/>
  <c r="AH333" i="42" s="1"/>
  <c r="AH349" i="42" s="1"/>
  <c r="M349" i="42" s="1"/>
  <c r="AC314" i="42"/>
  <c r="AE312" i="42"/>
  <c r="AE330" i="42" s="1"/>
  <c r="AE346" i="42" s="1"/>
  <c r="J346" i="42" s="1"/>
  <c r="AG310" i="42"/>
  <c r="AG328" i="42" s="1"/>
  <c r="AG344" i="42" s="1"/>
  <c r="L344" i="42" s="1"/>
  <c r="AF316" i="42"/>
  <c r="AF334" i="42" s="1"/>
  <c r="AF350" i="42" s="1"/>
  <c r="K350" i="42" s="1"/>
  <c r="AF317" i="42"/>
  <c r="AF335" i="42" s="1"/>
  <c r="AF351" i="42" s="1"/>
  <c r="K351" i="42" s="1"/>
  <c r="AD315" i="42"/>
  <c r="AD333" i="42" s="1"/>
  <c r="AD349" i="42" s="1"/>
  <c r="I349" i="42" s="1"/>
  <c r="AF313" i="42"/>
  <c r="AF331" i="42" s="1"/>
  <c r="AF347" i="42" s="1"/>
  <c r="K347" i="42" s="1"/>
  <c r="AH311" i="42"/>
  <c r="AH329" i="42" s="1"/>
  <c r="AH345" i="42" s="1"/>
  <c r="M345" i="42" s="1"/>
  <c r="AH541" i="42"/>
  <c r="AH559" i="42" s="1"/>
  <c r="AH575" i="42" s="1"/>
  <c r="M575" i="42" s="1"/>
  <c r="AD541" i="42"/>
  <c r="AD559" i="42" s="1"/>
  <c r="AD575" i="42" s="1"/>
  <c r="I575" i="42" s="1"/>
  <c r="AG540" i="42"/>
  <c r="AG558" i="42" s="1"/>
  <c r="AG574" i="42" s="1"/>
  <c r="L574" i="42" s="1"/>
  <c r="AC540" i="42"/>
  <c r="AF539" i="42"/>
  <c r="AF557" i="42" s="1"/>
  <c r="AF573" i="42" s="1"/>
  <c r="K573" i="42" s="1"/>
  <c r="AI538" i="42"/>
  <c r="AI556" i="42" s="1"/>
  <c r="AI572" i="42" s="1"/>
  <c r="N572" i="42" s="1"/>
  <c r="AE538" i="42"/>
  <c r="AE556" i="42" s="1"/>
  <c r="AE572" i="42" s="1"/>
  <c r="J572" i="42" s="1"/>
  <c r="AH537" i="42"/>
  <c r="AH555" i="42" s="1"/>
  <c r="AH571" i="42" s="1"/>
  <c r="M571" i="42" s="1"/>
  <c r="AD537" i="42"/>
  <c r="AD555" i="42" s="1"/>
  <c r="AD571" i="42" s="1"/>
  <c r="I571" i="42" s="1"/>
  <c r="AG536" i="42"/>
  <c r="AG554" i="42" s="1"/>
  <c r="AG570" i="42" s="1"/>
  <c r="L570" i="42" s="1"/>
  <c r="AC536" i="42"/>
  <c r="AF535" i="42"/>
  <c r="AF553" i="42" s="1"/>
  <c r="AF569" i="42" s="1"/>
  <c r="K569" i="42" s="1"/>
  <c r="AI534" i="42"/>
  <c r="AI552" i="42" s="1"/>
  <c r="AI568" i="42" s="1"/>
  <c r="N568" i="42" s="1"/>
  <c r="AH533" i="42"/>
  <c r="AH551" i="42" s="1"/>
  <c r="AH567" i="42" s="1"/>
  <c r="M567" i="42" s="1"/>
  <c r="AG532" i="42"/>
  <c r="AG550" i="42" s="1"/>
  <c r="AG566" i="42" s="1"/>
  <c r="L566" i="42" s="1"/>
  <c r="AG541" i="42"/>
  <c r="AG559" i="42" s="1"/>
  <c r="AG575" i="42" s="1"/>
  <c r="L575" i="42" s="1"/>
  <c r="AC541" i="42"/>
  <c r="AF540" i="42"/>
  <c r="AF558" i="42" s="1"/>
  <c r="AF574" i="42" s="1"/>
  <c r="K574" i="42" s="1"/>
  <c r="AI539" i="42"/>
  <c r="AI557" i="42" s="1"/>
  <c r="AI573" i="42" s="1"/>
  <c r="N573" i="42" s="1"/>
  <c r="AE539" i="42"/>
  <c r="AE557" i="42" s="1"/>
  <c r="AE573" i="42" s="1"/>
  <c r="J573" i="42" s="1"/>
  <c r="AH538" i="42"/>
  <c r="AH556" i="42" s="1"/>
  <c r="AH572" i="42" s="1"/>
  <c r="M572" i="42" s="1"/>
  <c r="AD538" i="42"/>
  <c r="AD556" i="42" s="1"/>
  <c r="AD572" i="42" s="1"/>
  <c r="I572" i="42" s="1"/>
  <c r="AG537" i="42"/>
  <c r="AG555" i="42" s="1"/>
  <c r="AG571" i="42" s="1"/>
  <c r="L571" i="42" s="1"/>
  <c r="AC537" i="42"/>
  <c r="AF536" i="42"/>
  <c r="AF554" i="42" s="1"/>
  <c r="AF570" i="42" s="1"/>
  <c r="K570" i="42" s="1"/>
  <c r="AI535" i="42"/>
  <c r="AI553" i="42" s="1"/>
  <c r="AI569" i="42" s="1"/>
  <c r="N569" i="42" s="1"/>
  <c r="AE535" i="42"/>
  <c r="AE553" i="42" s="1"/>
  <c r="AE569" i="42" s="1"/>
  <c r="J569" i="42" s="1"/>
  <c r="AH534" i="42"/>
  <c r="AH552" i="42" s="1"/>
  <c r="AH568" i="42" s="1"/>
  <c r="M568" i="42" s="1"/>
  <c r="AG533" i="42"/>
  <c r="AG551" i="42" s="1"/>
  <c r="AG567" i="42" s="1"/>
  <c r="L567" i="42" s="1"/>
  <c r="AI541" i="42"/>
  <c r="AI559" i="42" s="1"/>
  <c r="AI575" i="42" s="1"/>
  <c r="N575" i="42" s="1"/>
  <c r="AH540" i="42"/>
  <c r="AH558" i="42" s="1"/>
  <c r="AH574" i="42" s="1"/>
  <c r="M574" i="42" s="1"/>
  <c r="AG539" i="42"/>
  <c r="AG557" i="42" s="1"/>
  <c r="AG573" i="42" s="1"/>
  <c r="L573" i="42" s="1"/>
  <c r="AF538" i="42"/>
  <c r="AF556" i="42" s="1"/>
  <c r="AF572" i="42" s="1"/>
  <c r="K572" i="42" s="1"/>
  <c r="AE537" i="42"/>
  <c r="AE555" i="42" s="1"/>
  <c r="AE571" i="42" s="1"/>
  <c r="J571" i="42" s="1"/>
  <c r="AD536" i="42"/>
  <c r="AD554" i="42" s="1"/>
  <c r="AD570" i="42" s="1"/>
  <c r="I570" i="42" s="1"/>
  <c r="AC535" i="42"/>
  <c r="AI533" i="42"/>
  <c r="AI551" i="42" s="1"/>
  <c r="AI567" i="42" s="1"/>
  <c r="N567" i="42" s="1"/>
  <c r="AH532" i="42"/>
  <c r="AH550" i="42" s="1"/>
  <c r="AH566" i="42" s="1"/>
  <c r="M566" i="42" s="1"/>
  <c r="AD540" i="42"/>
  <c r="AD558" i="42" s="1"/>
  <c r="AD574" i="42" s="1"/>
  <c r="I574" i="42" s="1"/>
  <c r="AI537" i="42"/>
  <c r="AI555" i="42" s="1"/>
  <c r="AI571" i="42" s="1"/>
  <c r="N571" i="42" s="1"/>
  <c r="AG535" i="42"/>
  <c r="AG553" i="42" s="1"/>
  <c r="AG569" i="42" s="1"/>
  <c r="L569" i="42" s="1"/>
  <c r="AH539" i="42"/>
  <c r="AH557" i="42" s="1"/>
  <c r="AH573" i="42" s="1"/>
  <c r="M573" i="42" s="1"/>
  <c r="AD535" i="42"/>
  <c r="AD553" i="42" s="1"/>
  <c r="AD569" i="42" s="1"/>
  <c r="I569" i="42" s="1"/>
  <c r="AF541" i="42"/>
  <c r="AF559" i="42" s="1"/>
  <c r="AF575" i="42" s="1"/>
  <c r="K575" i="42" s="1"/>
  <c r="AE540" i="42"/>
  <c r="AE558" i="42" s="1"/>
  <c r="AE574" i="42" s="1"/>
  <c r="J574" i="42" s="1"/>
  <c r="AD539" i="42"/>
  <c r="AD557" i="42" s="1"/>
  <c r="AD573" i="42" s="1"/>
  <c r="I573" i="42" s="1"/>
  <c r="AC538" i="42"/>
  <c r="AI536" i="42"/>
  <c r="AI554" i="42" s="1"/>
  <c r="AI570" i="42" s="1"/>
  <c r="N570" i="42" s="1"/>
  <c r="AH535" i="42"/>
  <c r="AH553" i="42" s="1"/>
  <c r="AH569" i="42" s="1"/>
  <c r="M569" i="42" s="1"/>
  <c r="AG534" i="42"/>
  <c r="AG552" i="42" s="1"/>
  <c r="AG568" i="42" s="1"/>
  <c r="L568" i="42" s="1"/>
  <c r="AE541" i="42"/>
  <c r="AE559" i="42" s="1"/>
  <c r="AE575" i="42" s="1"/>
  <c r="J575" i="42" s="1"/>
  <c r="AC539" i="42"/>
  <c r="AH536" i="42"/>
  <c r="AH554" i="42" s="1"/>
  <c r="AH570" i="42" s="1"/>
  <c r="M570" i="42" s="1"/>
  <c r="AI540" i="42"/>
  <c r="AI558" i="42" s="1"/>
  <c r="AI574" i="42" s="1"/>
  <c r="N574" i="42" s="1"/>
  <c r="AF537" i="42"/>
  <c r="AF555" i="42" s="1"/>
  <c r="AF571" i="42" s="1"/>
  <c r="K571" i="42" s="1"/>
  <c r="AG538" i="42"/>
  <c r="AG556" i="42" s="1"/>
  <c r="AG572" i="42" s="1"/>
  <c r="L572" i="42" s="1"/>
  <c r="AE536" i="42"/>
  <c r="AE554" i="42" s="1"/>
  <c r="AE570" i="42" s="1"/>
  <c r="J570" i="42" s="1"/>
  <c r="AI532" i="42"/>
  <c r="AI550" i="42" s="1"/>
  <c r="AI566" i="42" s="1"/>
  <c r="N566" i="42" s="1"/>
  <c r="I558" i="50"/>
  <c r="L570" i="50"/>
  <c r="M518" i="50" s="1"/>
  <c r="K570" i="50"/>
  <c r="L518" i="50" s="1"/>
  <c r="M570" i="50"/>
  <c r="N518" i="50" s="1"/>
  <c r="L543" i="50"/>
  <c r="M540" i="50"/>
  <c r="K541" i="50"/>
  <c r="J542" i="50"/>
  <c r="L541" i="50"/>
  <c r="K542" i="50"/>
  <c r="N540" i="50"/>
  <c r="M541" i="50"/>
  <c r="N543" i="50"/>
  <c r="K540" i="50"/>
  <c r="N541" i="50"/>
  <c r="M543" i="50"/>
  <c r="K543" i="50"/>
  <c r="J541" i="50"/>
  <c r="L542" i="50"/>
  <c r="N542" i="50"/>
  <c r="J540" i="50"/>
  <c r="L540" i="50"/>
  <c r="J543" i="50"/>
  <c r="M542" i="50"/>
  <c r="P548" i="50"/>
  <c r="P530" i="50"/>
  <c r="J511" i="50"/>
  <c r="J303" i="37"/>
  <c r="V575" i="37"/>
  <c r="T827" i="50" s="1"/>
  <c r="AK585" i="37"/>
  <c r="AI584" i="37"/>
  <c r="AF584" i="37"/>
  <c r="AC584" i="37"/>
  <c r="AG584" i="37"/>
  <c r="AD584" i="37"/>
  <c r="AE584" i="37"/>
  <c r="AH584" i="37"/>
  <c r="H303" i="37"/>
  <c r="K584" i="37"/>
  <c r="Z575" i="37"/>
  <c r="X602" i="37" s="1"/>
  <c r="I303" i="37"/>
  <c r="J584" i="37"/>
  <c r="K303" i="37"/>
  <c r="X321" i="37"/>
  <c r="Z294" i="37"/>
  <c r="E176" i="47"/>
  <c r="AI303" i="37"/>
  <c r="AG303" i="37"/>
  <c r="AH303" i="37"/>
  <c r="AE303" i="37"/>
  <c r="AD303" i="37"/>
  <c r="AF303" i="37"/>
  <c r="AC303" i="37"/>
  <c r="V294" i="37"/>
  <c r="T699" i="50" s="1"/>
  <c r="AI95" i="42"/>
  <c r="AI113" i="42" s="1"/>
  <c r="AI129" i="42" s="1"/>
  <c r="N129" i="42" s="1"/>
  <c r="AE93" i="42"/>
  <c r="AE111" i="42" s="1"/>
  <c r="AE127" i="42" s="1"/>
  <c r="J127" i="42" s="1"/>
  <c r="AG90" i="42"/>
  <c r="AG108" i="42" s="1"/>
  <c r="AG124" i="42" s="1"/>
  <c r="L124" i="42" s="1"/>
  <c r="AH94" i="42"/>
  <c r="AH112" i="42" s="1"/>
  <c r="AH128" i="42" s="1"/>
  <c r="M128" i="42" s="1"/>
  <c r="AH93" i="42"/>
  <c r="AH111" i="42" s="1"/>
  <c r="AH127" i="42" s="1"/>
  <c r="M127" i="42" s="1"/>
  <c r="AD91" i="42"/>
  <c r="AD109" i="42" s="1"/>
  <c r="AD125" i="42" s="1"/>
  <c r="I125" i="42" s="1"/>
  <c r="AC92" i="42"/>
  <c r="AF89" i="42"/>
  <c r="AF107" i="42" s="1"/>
  <c r="AF123" i="42" s="1"/>
  <c r="K123" i="42" s="1"/>
  <c r="AE94" i="42"/>
  <c r="AE112" i="42" s="1"/>
  <c r="AE128" i="42" s="1"/>
  <c r="J128" i="42" s="1"/>
  <c r="AG91" i="42"/>
  <c r="AG109" i="42" s="1"/>
  <c r="AG125" i="42" s="1"/>
  <c r="L125" i="42" s="1"/>
  <c r="AE95" i="42"/>
  <c r="AE113" i="42" s="1"/>
  <c r="AE129" i="42" s="1"/>
  <c r="J129" i="42" s="1"/>
  <c r="AG92" i="42"/>
  <c r="AG110" i="42" s="1"/>
  <c r="AG126" i="42" s="1"/>
  <c r="L126" i="42" s="1"/>
  <c r="AI89" i="42"/>
  <c r="AI107" i="42" s="1"/>
  <c r="AI123" i="42" s="1"/>
  <c r="N123" i="42" s="1"/>
  <c r="AC94" i="42"/>
  <c r="AF93" i="42"/>
  <c r="AF111" i="42" s="1"/>
  <c r="AF127" i="42" s="1"/>
  <c r="K127" i="42" s="1"/>
  <c r="AH95" i="42"/>
  <c r="AH113" i="42" s="1"/>
  <c r="AH129" i="42" s="1"/>
  <c r="M129" i="42" s="1"/>
  <c r="AD93" i="42"/>
  <c r="AD111" i="42" s="1"/>
  <c r="AD127" i="42" s="1"/>
  <c r="I127" i="42" s="1"/>
  <c r="AF90" i="42"/>
  <c r="AF108" i="42" s="1"/>
  <c r="AF124" i="42" s="1"/>
  <c r="K124" i="42" s="1"/>
  <c r="AF95" i="42"/>
  <c r="AF113" i="42" s="1"/>
  <c r="AF129" i="42" s="1"/>
  <c r="K129" i="42" s="1"/>
  <c r="AC95" i="42"/>
  <c r="AG93" i="42"/>
  <c r="AG111" i="42" s="1"/>
  <c r="AG127" i="42" s="1"/>
  <c r="L127" i="42" s="1"/>
  <c r="AI90" i="42"/>
  <c r="AI108" i="42" s="1"/>
  <c r="AI124" i="42" s="1"/>
  <c r="N124" i="42" s="1"/>
  <c r="AC91" i="42"/>
  <c r="AG94" i="42"/>
  <c r="AG112" i="42" s="1"/>
  <c r="AG128" i="42" s="1"/>
  <c r="L128" i="42" s="1"/>
  <c r="AI91" i="42"/>
  <c r="AI109" i="42" s="1"/>
  <c r="AI125" i="42" s="1"/>
  <c r="N125" i="42" s="1"/>
  <c r="AE89" i="42"/>
  <c r="AE107" i="42" s="1"/>
  <c r="AE123" i="42" s="1"/>
  <c r="J123" i="42" s="1"/>
  <c r="AC90" i="42"/>
  <c r="AD92" i="42"/>
  <c r="AD110" i="42" s="1"/>
  <c r="AD126" i="42" s="1"/>
  <c r="I126" i="42" s="1"/>
  <c r="AD95" i="42"/>
  <c r="AD113" i="42" s="1"/>
  <c r="AD129" i="42" s="1"/>
  <c r="I129" i="42" s="1"/>
  <c r="AF92" i="42"/>
  <c r="AF110" i="42" s="1"/>
  <c r="AF126" i="42" s="1"/>
  <c r="K126" i="42" s="1"/>
  <c r="AH89" i="42"/>
  <c r="AH107" i="42" s="1"/>
  <c r="AH123" i="42" s="1"/>
  <c r="M123" i="42" s="1"/>
  <c r="AC93" i="42"/>
  <c r="AH92" i="42"/>
  <c r="AH110" i="42" s="1"/>
  <c r="AH126" i="42" s="1"/>
  <c r="M126" i="42" s="1"/>
  <c r="AG95" i="42"/>
  <c r="AG113" i="42" s="1"/>
  <c r="AG129" i="42" s="1"/>
  <c r="L129" i="42" s="1"/>
  <c r="AI92" i="42"/>
  <c r="AI110" i="42" s="1"/>
  <c r="AI126" i="42" s="1"/>
  <c r="N126" i="42" s="1"/>
  <c r="AE90" i="42"/>
  <c r="AE108" i="42" s="1"/>
  <c r="AE124" i="42" s="1"/>
  <c r="J124" i="42" s="1"/>
  <c r="AD94" i="42"/>
  <c r="AD112" i="42" s="1"/>
  <c r="AD128" i="42" s="1"/>
  <c r="I128" i="42" s="1"/>
  <c r="AI93" i="42"/>
  <c r="AI111" i="42" s="1"/>
  <c r="AI127" i="42" s="1"/>
  <c r="N127" i="42" s="1"/>
  <c r="AE91" i="42"/>
  <c r="AE109" i="42" s="1"/>
  <c r="AE125" i="42" s="1"/>
  <c r="J125" i="42" s="1"/>
  <c r="AD90" i="42"/>
  <c r="AD108" i="42" s="1"/>
  <c r="AD124" i="42" s="1"/>
  <c r="I124" i="42" s="1"/>
  <c r="AF94" i="42"/>
  <c r="AF112" i="42" s="1"/>
  <c r="AF128" i="42" s="1"/>
  <c r="K128" i="42" s="1"/>
  <c r="AH91" i="42"/>
  <c r="AH109" i="42" s="1"/>
  <c r="AH125" i="42" s="1"/>
  <c r="M125" i="42" s="1"/>
  <c r="AD89" i="42"/>
  <c r="AD107" i="42" s="1"/>
  <c r="AD123" i="42" s="1"/>
  <c r="I123" i="42" s="1"/>
  <c r="AC89" i="42"/>
  <c r="AH90" i="42"/>
  <c r="AH108" i="42" s="1"/>
  <c r="AH124" i="42" s="1"/>
  <c r="M124" i="42" s="1"/>
  <c r="AI94" i="42"/>
  <c r="AI112" i="42" s="1"/>
  <c r="AI128" i="42" s="1"/>
  <c r="N128" i="42" s="1"/>
  <c r="AE92" i="42"/>
  <c r="AE110" i="42" s="1"/>
  <c r="AE126" i="42" s="1"/>
  <c r="J126" i="42" s="1"/>
  <c r="AG89" i="42"/>
  <c r="AG107" i="42" s="1"/>
  <c r="AG123" i="42" s="1"/>
  <c r="L123" i="42" s="1"/>
  <c r="AF91" i="42"/>
  <c r="AF109" i="42" s="1"/>
  <c r="AF125" i="42" s="1"/>
  <c r="K125" i="42" s="1"/>
  <c r="M1793" i="50"/>
  <c r="L1793" i="50"/>
  <c r="K1793" i="50"/>
  <c r="N1793" i="50"/>
  <c r="J1793" i="50"/>
  <c r="M1866" i="50"/>
  <c r="M1865" i="50"/>
  <c r="J1866" i="50"/>
  <c r="L1866" i="50"/>
  <c r="N1866" i="50"/>
  <c r="N1865" i="50"/>
  <c r="K1866" i="50"/>
  <c r="L1939" i="50"/>
  <c r="N1939" i="50"/>
  <c r="N1938" i="50"/>
  <c r="J1939" i="50"/>
  <c r="M1939" i="50"/>
  <c r="M1938" i="50"/>
  <c r="K1939" i="50"/>
  <c r="K2361" i="50"/>
  <c r="N2361" i="50"/>
  <c r="L2361" i="50"/>
  <c r="J2361" i="50"/>
  <c r="M2361" i="50"/>
  <c r="M2313" i="50"/>
  <c r="M2312" i="50"/>
  <c r="K2312" i="50"/>
  <c r="K2313" i="50"/>
  <c r="J2313" i="50"/>
  <c r="N2313" i="50"/>
  <c r="N2312" i="50"/>
  <c r="L2312" i="50"/>
  <c r="L2313" i="50"/>
  <c r="N2265" i="50"/>
  <c r="N2264" i="50"/>
  <c r="L2265" i="50"/>
  <c r="M2265" i="50"/>
  <c r="M2264" i="50"/>
  <c r="K2265" i="50"/>
  <c r="J2265" i="50"/>
  <c r="K2205" i="50"/>
  <c r="J2205" i="50"/>
  <c r="N2205" i="50"/>
  <c r="N2204" i="50"/>
  <c r="L2205" i="50"/>
  <c r="M2204" i="50"/>
  <c r="M2205" i="50"/>
  <c r="L2144" i="50"/>
  <c r="L2145" i="50"/>
  <c r="M2145" i="50"/>
  <c r="M2144" i="50"/>
  <c r="J2145" i="50"/>
  <c r="N2145" i="50"/>
  <c r="N2144" i="50"/>
  <c r="K2144" i="50"/>
  <c r="K2145" i="50"/>
  <c r="K2085" i="50"/>
  <c r="M2085" i="50"/>
  <c r="M2084" i="50"/>
  <c r="N2085" i="50"/>
  <c r="N2084" i="50"/>
  <c r="L2085" i="50"/>
  <c r="J2085" i="50"/>
  <c r="T2292" i="50"/>
  <c r="AB1473" i="42"/>
  <c r="AC1426" i="42"/>
  <c r="AB1475" i="42"/>
  <c r="AF1426" i="42"/>
  <c r="AB1474" i="42"/>
  <c r="AB1468" i="42"/>
  <c r="AB1476" i="42"/>
  <c r="AB1469" i="42"/>
  <c r="AD1426" i="42"/>
  <c r="AH1426" i="42"/>
  <c r="AB1470" i="42"/>
  <c r="AE1426" i="42"/>
  <c r="AB1477" i="42"/>
  <c r="AB1471" i="42"/>
  <c r="AG1426" i="42"/>
  <c r="AB1472" i="42"/>
  <c r="AI1426" i="42"/>
  <c r="AB1606" i="42"/>
  <c r="AI1564" i="42"/>
  <c r="AB1609" i="42"/>
  <c r="AB1615" i="42"/>
  <c r="AB1613" i="42"/>
  <c r="AE1564" i="42"/>
  <c r="AC1564" i="42"/>
  <c r="AB1611" i="42"/>
  <c r="AG1564" i="42"/>
  <c r="AB1608" i="42"/>
  <c r="AB1614" i="42"/>
  <c r="AD1564" i="42"/>
  <c r="AB1612" i="42"/>
  <c r="AH1564" i="42"/>
  <c r="AF1564" i="42"/>
  <c r="AB1610" i="42"/>
  <c r="AB1607" i="42"/>
  <c r="AC1702" i="42"/>
  <c r="AB1751" i="42"/>
  <c r="AB1752" i="42"/>
  <c r="AB1745" i="42"/>
  <c r="AG1702" i="42"/>
  <c r="AB1748" i="42"/>
  <c r="AH1702" i="42"/>
  <c r="AB1750" i="42"/>
  <c r="AB1753" i="42"/>
  <c r="AB1747" i="42"/>
  <c r="AE1702" i="42"/>
  <c r="AB1746" i="42"/>
  <c r="AI1702" i="42"/>
  <c r="AB1744" i="42"/>
  <c r="AD1702" i="42"/>
  <c r="AB1749" i="42"/>
  <c r="AF1702" i="42"/>
  <c r="AB1132" i="42"/>
  <c r="AB1135" i="42"/>
  <c r="AB1133" i="42"/>
  <c r="AB1130" i="42"/>
  <c r="AB1137" i="42"/>
  <c r="AB1131" i="42"/>
  <c r="AB1134" i="42"/>
  <c r="AB1136" i="42"/>
  <c r="AB1129" i="42"/>
  <c r="AB1128" i="42"/>
  <c r="T2039" i="50"/>
  <c r="AB738" i="42"/>
  <c r="AB739" i="42"/>
  <c r="AB744" i="42"/>
  <c r="AB737" i="42"/>
  <c r="AB741" i="42"/>
  <c r="AB742" i="42"/>
  <c r="AB743" i="42"/>
  <c r="AB736" i="42"/>
  <c r="AB740" i="42"/>
  <c r="AB745" i="42"/>
  <c r="T1893" i="50"/>
  <c r="AB296" i="42"/>
  <c r="AB291" i="42"/>
  <c r="AB299" i="42"/>
  <c r="AB292" i="42"/>
  <c r="AB294" i="42"/>
  <c r="AB298" i="42"/>
  <c r="AB290" i="42"/>
  <c r="AB293" i="42"/>
  <c r="AB295" i="42"/>
  <c r="AB297" i="42"/>
  <c r="T1966" i="50"/>
  <c r="AB519" i="42"/>
  <c r="AB513" i="42"/>
  <c r="AB521" i="42"/>
  <c r="AB520" i="42"/>
  <c r="AB514" i="42"/>
  <c r="AB518" i="42"/>
  <c r="AB517" i="42"/>
  <c r="AB515" i="42"/>
  <c r="AB516" i="42"/>
  <c r="AB522" i="42"/>
  <c r="T2112" i="50"/>
  <c r="AB965" i="42"/>
  <c r="AB964" i="42"/>
  <c r="AB958" i="42"/>
  <c r="AB963" i="42"/>
  <c r="AB961" i="42"/>
  <c r="AB966" i="42"/>
  <c r="AB959" i="42"/>
  <c r="AB962" i="42"/>
  <c r="AB957" i="42"/>
  <c r="AB960" i="42"/>
  <c r="AB67" i="42"/>
  <c r="AB72" i="42"/>
  <c r="AB74" i="42"/>
  <c r="AB73" i="42"/>
  <c r="AB71" i="42"/>
  <c r="AB69" i="42"/>
  <c r="AB75" i="42"/>
  <c r="AB68" i="42"/>
  <c r="AB76" i="42"/>
  <c r="AB70" i="42"/>
  <c r="AB1303" i="42"/>
  <c r="AB1308" i="42"/>
  <c r="AB1301" i="42"/>
  <c r="AB1305" i="42"/>
  <c r="AB1300" i="42"/>
  <c r="AB1307" i="42"/>
  <c r="AB1299" i="42"/>
  <c r="AB1302" i="42"/>
  <c r="AB1306" i="42"/>
  <c r="AB1304" i="42"/>
  <c r="AB1556" i="42"/>
  <c r="T2340" i="50"/>
  <c r="I1572" i="42"/>
  <c r="S1632" i="42"/>
  <c r="S1631" i="42"/>
  <c r="S1630" i="42"/>
  <c r="S1668" i="42"/>
  <c r="S1626" i="42"/>
  <c r="S1664" i="42"/>
  <c r="S1661" i="42"/>
  <c r="S1629" i="42"/>
  <c r="S1633" i="42"/>
  <c r="S1666" i="42"/>
  <c r="S1628" i="42"/>
  <c r="S1667" i="42"/>
  <c r="S1665" i="42"/>
  <c r="S1627" i="42"/>
  <c r="S1660" i="42"/>
  <c r="S1662" i="42"/>
  <c r="S1659" i="42"/>
  <c r="S1663" i="42"/>
  <c r="S1625" i="42"/>
  <c r="S1634" i="42"/>
  <c r="X1564" i="42"/>
  <c r="V1572" i="42"/>
  <c r="J2312" i="50" s="1"/>
  <c r="W1572" i="42"/>
  <c r="W1564" i="42"/>
  <c r="V1564" i="42"/>
  <c r="X1572" i="42"/>
  <c r="AD1610" i="42"/>
  <c r="AD1611" i="42"/>
  <c r="U1564" i="42"/>
  <c r="AD1608" i="42"/>
  <c r="AD1614" i="42"/>
  <c r="AD1609" i="42"/>
  <c r="AD1613" i="42"/>
  <c r="AD1612" i="42"/>
  <c r="AD1615" i="42"/>
  <c r="Y1564" i="42"/>
  <c r="AE1609" i="42"/>
  <c r="AG1615" i="42"/>
  <c r="AE1612" i="42"/>
  <c r="AF1606" i="42"/>
  <c r="AG1606" i="42"/>
  <c r="AG1614" i="42"/>
  <c r="AF1607" i="42"/>
  <c r="AG1612" i="42"/>
  <c r="AH1608" i="42"/>
  <c r="AH1612" i="42"/>
  <c r="AC1615" i="42"/>
  <c r="AC1614" i="42"/>
  <c r="AC1606" i="42"/>
  <c r="AE1613" i="42"/>
  <c r="AF1608" i="42"/>
  <c r="AE1607" i="42"/>
  <c r="AF1610" i="42"/>
  <c r="AF1609" i="42"/>
  <c r="AG1608" i="42"/>
  <c r="AF1612" i="42"/>
  <c r="AD1607" i="42"/>
  <c r="AH1611" i="42"/>
  <c r="AH1615" i="42"/>
  <c r="AH1606" i="42"/>
  <c r="AC1613" i="42"/>
  <c r="AC1612" i="42"/>
  <c r="AE1614" i="42"/>
  <c r="AE1608" i="42"/>
  <c r="AE1615" i="42"/>
  <c r="AH1613" i="42"/>
  <c r="AC1607" i="42"/>
  <c r="AC1608" i="42"/>
  <c r="AF1615" i="42"/>
  <c r="AE1610" i="42"/>
  <c r="AF1613" i="42"/>
  <c r="Y1572" i="42"/>
  <c r="AC1609" i="42"/>
  <c r="AF1611" i="42"/>
  <c r="AH1610" i="42"/>
  <c r="AC1610" i="42"/>
  <c r="AG1610" i="42"/>
  <c r="AE1611" i="42"/>
  <c r="AG1607" i="42"/>
  <c r="AG1611" i="42"/>
  <c r="AH1614" i="42"/>
  <c r="AC1611" i="42"/>
  <c r="AG1609" i="42"/>
  <c r="AG1613" i="42"/>
  <c r="AH1607" i="42"/>
  <c r="AF1614" i="42"/>
  <c r="AE1606" i="42"/>
  <c r="AD1606" i="42"/>
  <c r="AH1609" i="42"/>
  <c r="Z1564" i="42"/>
  <c r="AI1612" i="42"/>
  <c r="AI1607" i="42"/>
  <c r="AI1615" i="42"/>
  <c r="Z1572" i="42"/>
  <c r="AI1614" i="42"/>
  <c r="AI1610" i="42"/>
  <c r="AI1606" i="42"/>
  <c r="T1564" i="42"/>
  <c r="AI1613" i="42"/>
  <c r="AI1609" i="42"/>
  <c r="AI1608" i="42"/>
  <c r="AI1611" i="42"/>
  <c r="V1823" i="42"/>
  <c r="W1823" i="42"/>
  <c r="X1823" i="42"/>
  <c r="Y1823" i="42"/>
  <c r="Z1823" i="42"/>
  <c r="AB1694" i="42"/>
  <c r="T2388" i="50"/>
  <c r="I1710" i="42"/>
  <c r="G1773" i="42" s="1"/>
  <c r="W1702" i="42"/>
  <c r="V1710" i="42"/>
  <c r="J2360" i="50" s="1"/>
  <c r="W1710" i="42"/>
  <c r="K2360" i="50" s="1"/>
  <c r="X1702" i="42"/>
  <c r="S1770" i="42"/>
  <c r="S1803" i="42"/>
  <c r="S1771" i="42"/>
  <c r="V1702" i="42"/>
  <c r="AD1747" i="42"/>
  <c r="AD1748" i="42"/>
  <c r="U1702" i="42"/>
  <c r="S1767" i="42"/>
  <c r="S1766" i="42"/>
  <c r="S1764" i="42"/>
  <c r="S1772" i="42"/>
  <c r="S1804" i="42"/>
  <c r="S1798" i="42"/>
  <c r="S1805" i="42"/>
  <c r="S1765" i="42"/>
  <c r="S1806" i="42"/>
  <c r="S1768" i="42"/>
  <c r="AD1753" i="42"/>
  <c r="AD1745" i="42"/>
  <c r="AD1746" i="42"/>
  <c r="S1801" i="42"/>
  <c r="X1710" i="42"/>
  <c r="L2360" i="50" s="1"/>
  <c r="AD1752" i="42"/>
  <c r="S1769" i="42"/>
  <c r="AD1744" i="42"/>
  <c r="S1800" i="42"/>
  <c r="S1799" i="42"/>
  <c r="AD1751" i="42"/>
  <c r="S1802" i="42"/>
  <c r="Y1702" i="42"/>
  <c r="AE1751" i="42"/>
  <c r="AG1748" i="42"/>
  <c r="AE1747" i="42"/>
  <c r="AG1746" i="42"/>
  <c r="AE1749" i="42"/>
  <c r="AE1753" i="42"/>
  <c r="AF1748" i="42"/>
  <c r="AD1749" i="42"/>
  <c r="AC1747" i="42"/>
  <c r="AC1744" i="42"/>
  <c r="AH1746" i="42"/>
  <c r="AH1753" i="42"/>
  <c r="AE1752" i="42"/>
  <c r="AF1747" i="42"/>
  <c r="AG1750" i="42"/>
  <c r="AE1748" i="42"/>
  <c r="AF1753" i="42"/>
  <c r="AF1751" i="42"/>
  <c r="AG1751" i="42"/>
  <c r="AF1744" i="42"/>
  <c r="AE1746" i="42"/>
  <c r="AC1753" i="42"/>
  <c r="AC1745" i="42"/>
  <c r="AC1750" i="42"/>
  <c r="AH1752" i="42"/>
  <c r="AH1744" i="42"/>
  <c r="AH1749" i="42"/>
  <c r="AE1745" i="42"/>
  <c r="AE1744" i="42"/>
  <c r="AE1750" i="42"/>
  <c r="AF1745" i="42"/>
  <c r="AD1750" i="42"/>
  <c r="AC1748" i="42"/>
  <c r="AH1747" i="42"/>
  <c r="AG1745" i="42"/>
  <c r="AC1749" i="42"/>
  <c r="AF1746" i="42"/>
  <c r="AG1749" i="42"/>
  <c r="AC1752" i="42"/>
  <c r="AG1747" i="42"/>
  <c r="AG1753" i="42"/>
  <c r="AF1752" i="42"/>
  <c r="AG1752" i="42"/>
  <c r="AC1751" i="42"/>
  <c r="AC1746" i="42"/>
  <c r="AH1750" i="42"/>
  <c r="AH1745" i="42"/>
  <c r="AF1750" i="42"/>
  <c r="AG1744" i="42"/>
  <c r="AH1748" i="42"/>
  <c r="AF1749" i="42"/>
  <c r="Y1710" i="42"/>
  <c r="M2360" i="50" s="1"/>
  <c r="AH1751" i="42"/>
  <c r="AI1751" i="42"/>
  <c r="AI1750" i="42"/>
  <c r="AI1744" i="42"/>
  <c r="AI1748" i="42"/>
  <c r="T1702" i="42"/>
  <c r="AI1747" i="42"/>
  <c r="AI1753" i="42"/>
  <c r="AI1746" i="42"/>
  <c r="Z1710" i="42"/>
  <c r="N2360" i="50" s="1"/>
  <c r="AI1745" i="42"/>
  <c r="Z1702" i="42"/>
  <c r="AI1752" i="42"/>
  <c r="AI1749" i="42"/>
  <c r="AB1076" i="42"/>
  <c r="T2172" i="50"/>
  <c r="I1092" i="42"/>
  <c r="X1092" i="42"/>
  <c r="X1200" i="42" s="1"/>
  <c r="V1092" i="42"/>
  <c r="V1200" i="42" s="1"/>
  <c r="S1182" i="42"/>
  <c r="S1150" i="42"/>
  <c r="S1153" i="42"/>
  <c r="S1181" i="42"/>
  <c r="S1184" i="42"/>
  <c r="W1084" i="42"/>
  <c r="S1155" i="42"/>
  <c r="S1183" i="42"/>
  <c r="S1151" i="42"/>
  <c r="S1188" i="42"/>
  <c r="S1189" i="42"/>
  <c r="W1092" i="42"/>
  <c r="W1200" i="42" s="1"/>
  <c r="AD1131" i="42"/>
  <c r="AD1128" i="42"/>
  <c r="AD1134" i="42"/>
  <c r="X1084" i="42"/>
  <c r="S1149" i="42"/>
  <c r="S1190" i="42"/>
  <c r="S1186" i="42"/>
  <c r="S1156" i="42"/>
  <c r="S1185" i="42"/>
  <c r="AD1132" i="42"/>
  <c r="AD1130" i="42"/>
  <c r="AD1137" i="42"/>
  <c r="V1084" i="42"/>
  <c r="S1152" i="42"/>
  <c r="AD1133" i="42"/>
  <c r="AD1136" i="42"/>
  <c r="S1187" i="42"/>
  <c r="S1147" i="42"/>
  <c r="S1154" i="42"/>
  <c r="S1148" i="42"/>
  <c r="U1084" i="42"/>
  <c r="AG1133" i="42"/>
  <c r="AE1131" i="42"/>
  <c r="AG1134" i="42"/>
  <c r="AF1128" i="42"/>
  <c r="AG1129" i="42"/>
  <c r="AE1128" i="42"/>
  <c r="AG1136" i="42"/>
  <c r="AE1133" i="42"/>
  <c r="AC1131" i="42"/>
  <c r="AC1136" i="42"/>
  <c r="AC1129" i="42"/>
  <c r="AH1128" i="42"/>
  <c r="AH1132" i="42"/>
  <c r="AH1131" i="42"/>
  <c r="AC1225" i="42"/>
  <c r="Y1092" i="42"/>
  <c r="AG1135" i="42"/>
  <c r="AF1132" i="42"/>
  <c r="AE1136" i="42"/>
  <c r="AF1129" i="42"/>
  <c r="AG1130" i="42"/>
  <c r="AF1133" i="42"/>
  <c r="AE1132" i="42"/>
  <c r="AF1131" i="42"/>
  <c r="AG1132" i="42"/>
  <c r="AH1225" i="42"/>
  <c r="AH1232" i="42" s="1"/>
  <c r="AG1128" i="42"/>
  <c r="AG1131" i="42"/>
  <c r="AE1135" i="42"/>
  <c r="AD1135" i="42"/>
  <c r="AC1128" i="42"/>
  <c r="AC1137" i="42"/>
  <c r="AH1136" i="42"/>
  <c r="AH1134" i="42"/>
  <c r="AD1225" i="42"/>
  <c r="AD1232" i="42" s="1"/>
  <c r="AF1137" i="42"/>
  <c r="AF1135" i="42"/>
  <c r="AF1136" i="42"/>
  <c r="AC1135" i="42"/>
  <c r="AH1137" i="42"/>
  <c r="AF1225" i="42"/>
  <c r="AF1232" i="42" s="1"/>
  <c r="AE1225" i="42"/>
  <c r="AE1232" i="42" s="1"/>
  <c r="AG1137" i="42"/>
  <c r="AG1225" i="42"/>
  <c r="AG1232" i="42" s="1"/>
  <c r="AF1134" i="42"/>
  <c r="AE1130" i="42"/>
  <c r="AE1137" i="42"/>
  <c r="AF1130" i="42"/>
  <c r="AC1134" i="42"/>
  <c r="AC1133" i="42"/>
  <c r="AH1129" i="42"/>
  <c r="AH1130" i="42"/>
  <c r="AE1129" i="42"/>
  <c r="AC1130" i="42"/>
  <c r="AH1135" i="42"/>
  <c r="AE1134" i="42"/>
  <c r="AD1129" i="42"/>
  <c r="AC1132" i="42"/>
  <c r="AH1133" i="42"/>
  <c r="Y1084" i="42"/>
  <c r="AI1130" i="42"/>
  <c r="AI1129" i="42"/>
  <c r="AI1225" i="42"/>
  <c r="AI1232" i="42" s="1"/>
  <c r="AI1136" i="42"/>
  <c r="AI1128" i="42"/>
  <c r="AI1137" i="42"/>
  <c r="AI1133" i="42"/>
  <c r="Z1092" i="42"/>
  <c r="T1084" i="42"/>
  <c r="AI1134" i="42"/>
  <c r="AI1135" i="42"/>
  <c r="AI1131" i="42"/>
  <c r="AI1132" i="42"/>
  <c r="Z1084" i="42"/>
  <c r="X1378" i="42"/>
  <c r="V1378" i="42"/>
  <c r="W1378" i="42"/>
  <c r="Y1378" i="42"/>
  <c r="Z1378" i="42"/>
  <c r="X1207" i="42"/>
  <c r="W1207" i="42"/>
  <c r="V1207" i="42"/>
  <c r="Y1207" i="42"/>
  <c r="Z1207" i="42"/>
  <c r="X1685" i="42"/>
  <c r="W1685" i="42"/>
  <c r="V1685" i="42"/>
  <c r="Y1685" i="42"/>
  <c r="Z1685" i="42"/>
  <c r="AB1247" i="42"/>
  <c r="T2232" i="50"/>
  <c r="I1263" i="42"/>
  <c r="J1255" i="42"/>
  <c r="J2200" i="50" s="1"/>
  <c r="X1255" i="42"/>
  <c r="S1318" i="42"/>
  <c r="S1326" i="42"/>
  <c r="S1358" i="42"/>
  <c r="S1356" i="42"/>
  <c r="S1359" i="42"/>
  <c r="W1263" i="42"/>
  <c r="K2204" i="50" s="1"/>
  <c r="K1255" i="42"/>
  <c r="K2200" i="50" s="1"/>
  <c r="I1255" i="42"/>
  <c r="I2200" i="50" s="1"/>
  <c r="S1322" i="42"/>
  <c r="S1324" i="42"/>
  <c r="S1319" i="42"/>
  <c r="S1352" i="42"/>
  <c r="S1323" i="42"/>
  <c r="V1263" i="42"/>
  <c r="J2204" i="50" s="1"/>
  <c r="AD1305" i="42"/>
  <c r="AD1308" i="42"/>
  <c r="AD1300" i="42"/>
  <c r="X1263" i="42"/>
  <c r="L2204" i="50" s="1"/>
  <c r="S1325" i="42"/>
  <c r="S1355" i="42"/>
  <c r="S1354" i="42"/>
  <c r="S1360" i="42"/>
  <c r="S1321" i="42"/>
  <c r="S1357" i="42"/>
  <c r="S1327" i="42"/>
  <c r="S1320" i="42"/>
  <c r="W1255" i="42"/>
  <c r="AD1303" i="42"/>
  <c r="AD1306" i="42"/>
  <c r="V1255" i="42"/>
  <c r="S1361" i="42"/>
  <c r="S1353" i="42"/>
  <c r="AD1304" i="42"/>
  <c r="AD1301" i="42"/>
  <c r="U1255" i="42"/>
  <c r="AG1300" i="42"/>
  <c r="AE1300" i="42"/>
  <c r="AG1304" i="42"/>
  <c r="AG1301" i="42"/>
  <c r="AF1306" i="42"/>
  <c r="AE1301" i="42"/>
  <c r="AF1396" i="42"/>
  <c r="AF1403" i="42" s="1"/>
  <c r="AE1299" i="42"/>
  <c r="AH1396" i="42"/>
  <c r="AH1403" i="42" s="1"/>
  <c r="AD1299" i="42"/>
  <c r="AD1396" i="42"/>
  <c r="AD1403" i="42" s="1"/>
  <c r="AH1304" i="42"/>
  <c r="AH1305" i="42"/>
  <c r="AC1307" i="42"/>
  <c r="AC1302" i="42"/>
  <c r="AC1304" i="42"/>
  <c r="H1255" i="42"/>
  <c r="H2200" i="50" s="1"/>
  <c r="AG1305" i="42"/>
  <c r="AF1301" i="42"/>
  <c r="AG1299" i="42"/>
  <c r="AE1303" i="42"/>
  <c r="AF1300" i="42"/>
  <c r="AG1308" i="42"/>
  <c r="AE1304" i="42"/>
  <c r="AD1307" i="42"/>
  <c r="AE1305" i="42"/>
  <c r="AE1396" i="42"/>
  <c r="AE1403" i="42" s="1"/>
  <c r="AG1307" i="42"/>
  <c r="AG1306" i="42"/>
  <c r="AF1308" i="42"/>
  <c r="AD1302" i="42"/>
  <c r="AH1300" i="42"/>
  <c r="AH1299" i="42"/>
  <c r="AC1308" i="42"/>
  <c r="AF1307" i="42"/>
  <c r="AH1306" i="42"/>
  <c r="AC1299" i="42"/>
  <c r="AG1303" i="42"/>
  <c r="AH1302" i="42"/>
  <c r="AC1300" i="42"/>
  <c r="AE1308" i="42"/>
  <c r="AE1306" i="42"/>
  <c r="AF1303" i="42"/>
  <c r="AE1302" i="42"/>
  <c r="AE1307" i="42"/>
  <c r="AH1308" i="42"/>
  <c r="AH1307" i="42"/>
  <c r="AC1303" i="42"/>
  <c r="AC1305" i="42"/>
  <c r="Y1263" i="42"/>
  <c r="AF1305" i="42"/>
  <c r="AF1302" i="42"/>
  <c r="AF1299" i="42"/>
  <c r="AH1303" i="42"/>
  <c r="AC1301" i="42"/>
  <c r="AC1396" i="42"/>
  <c r="AF1304" i="42"/>
  <c r="AG1302" i="42"/>
  <c r="AG1396" i="42"/>
  <c r="AG1403" i="42" s="1"/>
  <c r="AH1301" i="42"/>
  <c r="AC1306" i="42"/>
  <c r="AI1308" i="42"/>
  <c r="AI1300" i="42"/>
  <c r="AI1303" i="42"/>
  <c r="AI1302" i="42"/>
  <c r="AI1307" i="42"/>
  <c r="Z1263" i="42"/>
  <c r="T1255" i="42"/>
  <c r="AI1306" i="42"/>
  <c r="AI1305" i="42"/>
  <c r="AI1299" i="42"/>
  <c r="AI1396" i="42"/>
  <c r="AI1403" i="42" s="1"/>
  <c r="Y1255" i="42"/>
  <c r="AI1304" i="42"/>
  <c r="AI1301" i="42"/>
  <c r="Z1255" i="42"/>
  <c r="K2012" i="50"/>
  <c r="M2012" i="50"/>
  <c r="J2012" i="50"/>
  <c r="N2012" i="50"/>
  <c r="L2012" i="50"/>
  <c r="AH1054" i="42"/>
  <c r="AH1061" i="42" s="1"/>
  <c r="AE1054" i="42"/>
  <c r="AE1061" i="42" s="1"/>
  <c r="AG1054" i="42"/>
  <c r="AG1061" i="42" s="1"/>
  <c r="AD1054" i="42"/>
  <c r="AD1061" i="42" s="1"/>
  <c r="AC1054" i="42"/>
  <c r="AI1054" i="42"/>
  <c r="AI1061" i="42" s="1"/>
  <c r="AF1054" i="42"/>
  <c r="AF1061" i="42" s="1"/>
  <c r="W467" i="42"/>
  <c r="W475" i="42"/>
  <c r="K1938" i="50" s="1"/>
  <c r="S539" i="42"/>
  <c r="S575" i="42"/>
  <c r="S534" i="42"/>
  <c r="S573" i="42"/>
  <c r="H467" i="42"/>
  <c r="H1934" i="50" s="1"/>
  <c r="Y475" i="42"/>
  <c r="S541" i="42"/>
  <c r="S535" i="42"/>
  <c r="S533" i="42"/>
  <c r="S570" i="42"/>
  <c r="K467" i="42"/>
  <c r="K1934" i="50" s="1"/>
  <c r="S569" i="42"/>
  <c r="J467" i="42"/>
  <c r="J1934" i="50" s="1"/>
  <c r="S532" i="42"/>
  <c r="S537" i="42"/>
  <c r="I467" i="42"/>
  <c r="I1934" i="50" s="1"/>
  <c r="S538" i="42"/>
  <c r="S540" i="42"/>
  <c r="S574" i="42"/>
  <c r="S572" i="42"/>
  <c r="X475" i="42"/>
  <c r="L1938" i="50" s="1"/>
  <c r="S536" i="42"/>
  <c r="S571" i="42"/>
  <c r="Z475" i="42"/>
  <c r="V475" i="42"/>
  <c r="J1938" i="50" s="1"/>
  <c r="U467" i="42"/>
  <c r="X467" i="42"/>
  <c r="AB459" i="42"/>
  <c r="V467" i="42"/>
  <c r="AE516" i="42"/>
  <c r="AG513" i="42"/>
  <c r="AE520" i="42"/>
  <c r="AG521" i="42"/>
  <c r="AF515" i="42"/>
  <c r="AG522" i="42"/>
  <c r="AE521" i="42"/>
  <c r="AG515" i="42"/>
  <c r="AD522" i="42"/>
  <c r="AD620" i="42"/>
  <c r="AC620" i="42"/>
  <c r="AF620" i="42"/>
  <c r="AF516" i="42"/>
  <c r="AG518" i="42"/>
  <c r="AF518" i="42"/>
  <c r="AG517" i="42"/>
  <c r="AF519" i="42"/>
  <c r="AF520" i="42"/>
  <c r="AG516" i="42"/>
  <c r="AD515" i="42"/>
  <c r="AD513" i="42"/>
  <c r="AE518" i="42"/>
  <c r="AF517" i="42"/>
  <c r="AF514" i="42"/>
  <c r="AE620" i="42"/>
  <c r="AE517" i="42"/>
  <c r="AG519" i="42"/>
  <c r="AE522" i="42"/>
  <c r="AF521" i="42"/>
  <c r="Y467" i="42"/>
  <c r="AG514" i="42"/>
  <c r="AE513" i="42"/>
  <c r="AD519" i="42"/>
  <c r="AD517" i="42"/>
  <c r="AD514" i="42"/>
  <c r="AD521" i="42"/>
  <c r="AH517" i="42"/>
  <c r="AH516" i="42"/>
  <c r="AC519" i="42"/>
  <c r="AC520" i="42"/>
  <c r="AE515" i="42"/>
  <c r="AE514" i="42"/>
  <c r="AF522" i="42"/>
  <c r="AH620" i="42"/>
  <c r="AH522" i="42"/>
  <c r="AH521" i="42"/>
  <c r="AH515" i="42"/>
  <c r="AC513" i="42"/>
  <c r="AC516" i="42"/>
  <c r="AF513" i="42"/>
  <c r="AG520" i="42"/>
  <c r="AH518" i="42"/>
  <c r="AH520" i="42"/>
  <c r="AH519" i="42"/>
  <c r="AC514" i="42"/>
  <c r="AC518" i="42"/>
  <c r="AC522" i="42"/>
  <c r="AE519" i="42"/>
  <c r="AC521" i="42"/>
  <c r="AD518" i="42"/>
  <c r="AC515" i="42"/>
  <c r="AD516" i="42"/>
  <c r="AC517" i="42"/>
  <c r="AH514" i="42"/>
  <c r="AG620" i="42"/>
  <c r="AD520" i="42"/>
  <c r="AH513" i="42"/>
  <c r="AI522" i="42"/>
  <c r="AI517" i="42"/>
  <c r="AI516" i="42"/>
  <c r="T467" i="42"/>
  <c r="I475" i="42"/>
  <c r="AI518" i="42"/>
  <c r="AI513" i="42"/>
  <c r="AI620" i="42"/>
  <c r="Z467" i="42"/>
  <c r="AI514" i="42"/>
  <c r="AI519" i="42"/>
  <c r="AI515" i="42"/>
  <c r="AI520" i="42"/>
  <c r="AI521" i="42"/>
  <c r="W1036" i="42"/>
  <c r="Z1036" i="42"/>
  <c r="V1036" i="42"/>
  <c r="Y1036" i="42"/>
  <c r="X1036" i="42"/>
  <c r="Y815" i="42"/>
  <c r="X815" i="42"/>
  <c r="Z815" i="42"/>
  <c r="V815" i="42"/>
  <c r="W815" i="42"/>
  <c r="V1547" i="42"/>
  <c r="X1547" i="42"/>
  <c r="W1547" i="42"/>
  <c r="Y1547" i="42"/>
  <c r="Z1547" i="42"/>
  <c r="U913" i="42"/>
  <c r="Z921" i="42"/>
  <c r="S1011" i="42"/>
  <c r="S1016" i="42"/>
  <c r="H913" i="42"/>
  <c r="H2080" i="50" s="1"/>
  <c r="S982" i="42"/>
  <c r="S981" i="42"/>
  <c r="S980" i="42"/>
  <c r="S1014" i="42"/>
  <c r="S1017" i="42"/>
  <c r="S1010" i="42"/>
  <c r="S977" i="42"/>
  <c r="S985" i="42"/>
  <c r="Y921" i="42"/>
  <c r="J913" i="42"/>
  <c r="J2080" i="50" s="1"/>
  <c r="S1015" i="42"/>
  <c r="S984" i="42"/>
  <c r="S979" i="42"/>
  <c r="V921" i="42"/>
  <c r="J2084" i="50" s="1"/>
  <c r="X921" i="42"/>
  <c r="L2084" i="50" s="1"/>
  <c r="S1013" i="42"/>
  <c r="S1012" i="42"/>
  <c r="W921" i="42"/>
  <c r="K2084" i="50" s="1"/>
  <c r="S1019" i="42"/>
  <c r="I913" i="42"/>
  <c r="I2080" i="50" s="1"/>
  <c r="S983" i="42"/>
  <c r="S1018" i="42"/>
  <c r="K913" i="42"/>
  <c r="K2080" i="50" s="1"/>
  <c r="S976" i="42"/>
  <c r="S978" i="42"/>
  <c r="AE963" i="42"/>
  <c r="AG964" i="42"/>
  <c r="AF961" i="42"/>
  <c r="AE958" i="42"/>
  <c r="AF964" i="42"/>
  <c r="AE966" i="42"/>
  <c r="AF960" i="42"/>
  <c r="AG961" i="42"/>
  <c r="AD963" i="42"/>
  <c r="AD958" i="42"/>
  <c r="AD959" i="42"/>
  <c r="AE964" i="42"/>
  <c r="AF966" i="42"/>
  <c r="AG966" i="42"/>
  <c r="AF965" i="42"/>
  <c r="AG965" i="42"/>
  <c r="AF958" i="42"/>
  <c r="AG963" i="42"/>
  <c r="AD965" i="42"/>
  <c r="AD962" i="42"/>
  <c r="AD961" i="42"/>
  <c r="Y913" i="42"/>
  <c r="AF959" i="42"/>
  <c r="AE965" i="42"/>
  <c r="AE959" i="42"/>
  <c r="AG962" i="42"/>
  <c r="AF962" i="42"/>
  <c r="AG960" i="42"/>
  <c r="AE957" i="42"/>
  <c r="AD964" i="42"/>
  <c r="AD966" i="42"/>
  <c r="AE960" i="42"/>
  <c r="AF963" i="42"/>
  <c r="AD957" i="42"/>
  <c r="X913" i="42"/>
  <c r="AC966" i="42"/>
  <c r="AC962" i="42"/>
  <c r="AH965" i="42"/>
  <c r="AH964" i="42"/>
  <c r="AH960" i="42"/>
  <c r="AF957" i="42"/>
  <c r="AG959" i="42"/>
  <c r="AE962" i="42"/>
  <c r="V913" i="42"/>
  <c r="AC964" i="42"/>
  <c r="AC965" i="42"/>
  <c r="AC963" i="42"/>
  <c r="AH959" i="42"/>
  <c r="AH962" i="42"/>
  <c r="AG958" i="42"/>
  <c r="AE961" i="42"/>
  <c r="W913" i="42"/>
  <c r="AC957" i="42"/>
  <c r="AC958" i="42"/>
  <c r="AC959" i="42"/>
  <c r="AH963" i="42"/>
  <c r="AH961" i="42"/>
  <c r="AC960" i="42"/>
  <c r="AH957" i="42"/>
  <c r="AG957" i="42"/>
  <c r="AD960" i="42"/>
  <c r="AC961" i="42"/>
  <c r="AB905" i="42"/>
  <c r="AH958" i="42"/>
  <c r="AH966" i="42"/>
  <c r="I921" i="42"/>
  <c r="AI965" i="42"/>
  <c r="AI963" i="42"/>
  <c r="AI958" i="42"/>
  <c r="T913" i="42"/>
  <c r="AI959" i="42"/>
  <c r="AI961" i="42"/>
  <c r="Z913" i="42"/>
  <c r="AI966" i="42"/>
  <c r="AI957" i="42"/>
  <c r="AI964" i="42"/>
  <c r="AI960" i="42"/>
  <c r="AI962" i="42"/>
  <c r="W592" i="42"/>
  <c r="Y592" i="42"/>
  <c r="V592" i="42"/>
  <c r="X592" i="42"/>
  <c r="Z592" i="42"/>
  <c r="U690" i="42"/>
  <c r="S793" i="42"/>
  <c r="S761" i="42"/>
  <c r="S760" i="42"/>
  <c r="V698" i="42"/>
  <c r="S764" i="42"/>
  <c r="X698" i="42"/>
  <c r="L2011" i="50" s="1"/>
  <c r="S796" i="42"/>
  <c r="W698" i="42"/>
  <c r="S756" i="42"/>
  <c r="S757" i="42"/>
  <c r="S797" i="42"/>
  <c r="S794" i="42"/>
  <c r="S792" i="42"/>
  <c r="S763" i="42"/>
  <c r="S762" i="42"/>
  <c r="Z698" i="42"/>
  <c r="N2011" i="50" s="1"/>
  <c r="S759" i="42"/>
  <c r="S755" i="42"/>
  <c r="S795" i="42"/>
  <c r="S758" i="42"/>
  <c r="Y698" i="42"/>
  <c r="M2011" i="50" s="1"/>
  <c r="S798" i="42"/>
  <c r="AE740" i="42"/>
  <c r="AF741" i="42"/>
  <c r="AG737" i="42"/>
  <c r="AF742" i="42"/>
  <c r="AG744" i="42"/>
  <c r="AF738" i="42"/>
  <c r="AG738" i="42"/>
  <c r="AF744" i="42"/>
  <c r="AD740" i="42"/>
  <c r="AD737" i="42"/>
  <c r="AD745" i="42"/>
  <c r="W690" i="42"/>
  <c r="AG741" i="42"/>
  <c r="AE745" i="42"/>
  <c r="AF740" i="42"/>
  <c r="AG740" i="42"/>
  <c r="AF743" i="42"/>
  <c r="AG742" i="42"/>
  <c r="AF739" i="42"/>
  <c r="AE744" i="42"/>
  <c r="AF736" i="42"/>
  <c r="AD743" i="42"/>
  <c r="Y690" i="42"/>
  <c r="AG743" i="42"/>
  <c r="AE738" i="42"/>
  <c r="AF843" i="42"/>
  <c r="AE736" i="42"/>
  <c r="AF737" i="42"/>
  <c r="AE742" i="42"/>
  <c r="AG843" i="42"/>
  <c r="AG739" i="42"/>
  <c r="AE737" i="42"/>
  <c r="AF745" i="42"/>
  <c r="AE739" i="42"/>
  <c r="AD741" i="42"/>
  <c r="AD742" i="42"/>
  <c r="AD738" i="42"/>
  <c r="V690" i="42"/>
  <c r="AH843" i="42"/>
  <c r="AC742" i="42"/>
  <c r="AC741" i="42"/>
  <c r="AC745" i="42"/>
  <c r="AH741" i="42"/>
  <c r="AH742" i="42"/>
  <c r="AE843" i="42"/>
  <c r="AC738" i="42"/>
  <c r="AC737" i="42"/>
  <c r="AC739" i="42"/>
  <c r="AH737" i="42"/>
  <c r="AH744" i="42"/>
  <c r="AE743" i="42"/>
  <c r="AG745" i="42"/>
  <c r="AD843" i="42"/>
  <c r="X690" i="42"/>
  <c r="AC744" i="42"/>
  <c r="AC740" i="42"/>
  <c r="AH738" i="42"/>
  <c r="AH743" i="42"/>
  <c r="AH740" i="42"/>
  <c r="AD736" i="42"/>
  <c r="AB682" i="42"/>
  <c r="AH745" i="42"/>
  <c r="AC843" i="42"/>
  <c r="AC743" i="42"/>
  <c r="AH736" i="42"/>
  <c r="AG736" i="42"/>
  <c r="AD739" i="42"/>
  <c r="AD744" i="42"/>
  <c r="AC736" i="42"/>
  <c r="AE741" i="42"/>
  <c r="AH739" i="42"/>
  <c r="T690" i="42"/>
  <c r="I698" i="42"/>
  <c r="AI737" i="42"/>
  <c r="AI744" i="42"/>
  <c r="Z690" i="42"/>
  <c r="AI743" i="42"/>
  <c r="AI738" i="42"/>
  <c r="AI740" i="42"/>
  <c r="AI843" i="42"/>
  <c r="AI739" i="42"/>
  <c r="AI745" i="42"/>
  <c r="AI736" i="42"/>
  <c r="AI741" i="42"/>
  <c r="AI742" i="42"/>
  <c r="AB1418" i="42"/>
  <c r="I1434" i="42"/>
  <c r="V1426" i="42"/>
  <c r="W1426" i="42"/>
  <c r="X1426" i="42"/>
  <c r="U1426" i="42"/>
  <c r="S1523" i="42"/>
  <c r="S1488" i="42"/>
  <c r="S1524" i="42"/>
  <c r="S1493" i="42"/>
  <c r="S1525" i="42"/>
  <c r="Z1434" i="42"/>
  <c r="X1434" i="42"/>
  <c r="L2264" i="50" s="1"/>
  <c r="S1527" i="42"/>
  <c r="Y1434" i="42"/>
  <c r="K1498" i="42"/>
  <c r="K1499" i="42" s="1"/>
  <c r="S1491" i="42"/>
  <c r="S1529" i="42"/>
  <c r="H1498" i="42"/>
  <c r="H1499" i="42" s="1"/>
  <c r="S1526" i="42"/>
  <c r="S1522" i="42"/>
  <c r="S1495" i="42"/>
  <c r="S1530" i="42"/>
  <c r="S1490" i="42"/>
  <c r="I1498" i="42"/>
  <c r="I1499" i="42" s="1"/>
  <c r="S1528" i="42"/>
  <c r="V1434" i="42"/>
  <c r="J2264" i="50" s="1"/>
  <c r="S1521" i="42"/>
  <c r="J1498" i="42"/>
  <c r="J1499" i="42" s="1"/>
  <c r="S1496" i="42"/>
  <c r="S1494" i="42"/>
  <c r="W1434" i="42"/>
  <c r="K2264" i="50" s="1"/>
  <c r="AD1474" i="42"/>
  <c r="S1489" i="42"/>
  <c r="S1492" i="42"/>
  <c r="S1487" i="42"/>
  <c r="AF1470" i="42"/>
  <c r="AE1469" i="42"/>
  <c r="AF1475" i="42"/>
  <c r="AE1476" i="42"/>
  <c r="AG1475" i="42"/>
  <c r="AE1470" i="42"/>
  <c r="AE1468" i="42"/>
  <c r="AF1477" i="42"/>
  <c r="AD1475" i="42"/>
  <c r="AD1470" i="42"/>
  <c r="AC1469" i="42"/>
  <c r="AC1468" i="42"/>
  <c r="AH1476" i="42"/>
  <c r="AH1471" i="42"/>
  <c r="AH1472" i="42"/>
  <c r="AD1469" i="42"/>
  <c r="AF1473" i="42"/>
  <c r="AG1472" i="42"/>
  <c r="AE1473" i="42"/>
  <c r="AE1475" i="42"/>
  <c r="AG1477" i="42"/>
  <c r="AG1476" i="42"/>
  <c r="AF1476" i="42"/>
  <c r="AD1471" i="42"/>
  <c r="AC1475" i="42"/>
  <c r="AC1472" i="42"/>
  <c r="AC1470" i="42"/>
  <c r="AH1468" i="42"/>
  <c r="AH1474" i="42"/>
  <c r="AD1472" i="42"/>
  <c r="AF1474" i="42"/>
  <c r="AG1474" i="42"/>
  <c r="AG1473" i="42"/>
  <c r="AF1472" i="42"/>
  <c r="AE1474" i="42"/>
  <c r="AF1468" i="42"/>
  <c r="AE1471" i="42"/>
  <c r="AG1468" i="42"/>
  <c r="AD1468" i="42"/>
  <c r="AD1477" i="42"/>
  <c r="AC1476" i="42"/>
  <c r="AC1471" i="42"/>
  <c r="AC1477" i="42"/>
  <c r="AH1470" i="42"/>
  <c r="AH1477" i="42"/>
  <c r="AG1469" i="42"/>
  <c r="AC1474" i="42"/>
  <c r="AH1469" i="42"/>
  <c r="AF1471" i="42"/>
  <c r="AC1473" i="42"/>
  <c r="AD1476" i="42"/>
  <c r="AF1469" i="42"/>
  <c r="Y1426" i="42"/>
  <c r="AH1473" i="42"/>
  <c r="AG1470" i="42"/>
  <c r="AE1477" i="42"/>
  <c r="AE1472" i="42"/>
  <c r="AH1475" i="42"/>
  <c r="AG1471" i="42"/>
  <c r="AD1473" i="42"/>
  <c r="AI1473" i="42"/>
  <c r="AI1474" i="42"/>
  <c r="Z1426" i="42"/>
  <c r="AI1471" i="42"/>
  <c r="AI1472" i="42"/>
  <c r="AI1476" i="42"/>
  <c r="T1426" i="42"/>
  <c r="AI1477" i="42"/>
  <c r="AI1469" i="42"/>
  <c r="AI1470" i="42"/>
  <c r="AI1475" i="42"/>
  <c r="AI1468" i="42"/>
  <c r="V369" i="42"/>
  <c r="X369" i="42"/>
  <c r="W369" i="42"/>
  <c r="Y369" i="42"/>
  <c r="Z369" i="42"/>
  <c r="AB236" i="42"/>
  <c r="I252" i="42"/>
  <c r="V252" i="42"/>
  <c r="V362" i="42" s="1"/>
  <c r="S348" i="42"/>
  <c r="S313" i="42"/>
  <c r="S317" i="42"/>
  <c r="S314" i="42"/>
  <c r="S318" i="42"/>
  <c r="X244" i="42"/>
  <c r="S310" i="42"/>
  <c r="S316" i="42"/>
  <c r="S352" i="42"/>
  <c r="S311" i="42"/>
  <c r="W244" i="42"/>
  <c r="X252" i="42"/>
  <c r="X362" i="42" s="1"/>
  <c r="V244" i="42"/>
  <c r="S346" i="42"/>
  <c r="S315" i="42"/>
  <c r="S347" i="42"/>
  <c r="S351" i="42"/>
  <c r="W252" i="42"/>
  <c r="W362" i="42" s="1"/>
  <c r="S350" i="42"/>
  <c r="S312" i="42"/>
  <c r="S349" i="42"/>
  <c r="S309" i="42"/>
  <c r="AD293" i="42"/>
  <c r="AF299" i="42"/>
  <c r="AE297" i="42"/>
  <c r="AE291" i="42"/>
  <c r="AG291" i="42"/>
  <c r="AF290" i="42"/>
  <c r="AE299" i="42"/>
  <c r="AF298" i="42"/>
  <c r="AG299" i="42"/>
  <c r="AD295" i="42"/>
  <c r="AD299" i="42"/>
  <c r="AD290" i="42"/>
  <c r="U244" i="42"/>
  <c r="AC297" i="42"/>
  <c r="AC296" i="42"/>
  <c r="AH291" i="42"/>
  <c r="AH290" i="42"/>
  <c r="AF294" i="42"/>
  <c r="AG293" i="42"/>
  <c r="AG397" i="42"/>
  <c r="AF291" i="42"/>
  <c r="AE293" i="42"/>
  <c r="AF296" i="42"/>
  <c r="AG292" i="42"/>
  <c r="AE294" i="42"/>
  <c r="AD296" i="42"/>
  <c r="AD397" i="42"/>
  <c r="AD294" i="42"/>
  <c r="Y252" i="42"/>
  <c r="AC298" i="42"/>
  <c r="AC299" i="42"/>
  <c r="AH299" i="42"/>
  <c r="AH293" i="42"/>
  <c r="AH296" i="42"/>
  <c r="AE298" i="42"/>
  <c r="AG298" i="42"/>
  <c r="AF297" i="42"/>
  <c r="AG297" i="42"/>
  <c r="AF293" i="42"/>
  <c r="AG296" i="42"/>
  <c r="AF397" i="42"/>
  <c r="AF295" i="42"/>
  <c r="AE295" i="42"/>
  <c r="AD297" i="42"/>
  <c r="AD292" i="42"/>
  <c r="AH397" i="42"/>
  <c r="AC293" i="42"/>
  <c r="AC290" i="42"/>
  <c r="AC295" i="42"/>
  <c r="AH297" i="42"/>
  <c r="AH298" i="42"/>
  <c r="AH292" i="42"/>
  <c r="AE397" i="42"/>
  <c r="AE290" i="42"/>
  <c r="AG295" i="42"/>
  <c r="AE296" i="42"/>
  <c r="AG290" i="42"/>
  <c r="AE292" i="42"/>
  <c r="AF292" i="42"/>
  <c r="AG294" i="42"/>
  <c r="AD298" i="42"/>
  <c r="AD291" i="42"/>
  <c r="AC397" i="42"/>
  <c r="AC294" i="42"/>
  <c r="AC292" i="42"/>
  <c r="AC291" i="42"/>
  <c r="AH295" i="42"/>
  <c r="AH294" i="42"/>
  <c r="Y244" i="42"/>
  <c r="AI397" i="42"/>
  <c r="AI298" i="42"/>
  <c r="AI295" i="42"/>
  <c r="AI290" i="42"/>
  <c r="Z252" i="42"/>
  <c r="T244" i="42"/>
  <c r="AI292" i="42"/>
  <c r="AI297" i="42"/>
  <c r="AI291" i="42"/>
  <c r="AI296" i="42"/>
  <c r="AI293" i="42"/>
  <c r="AI294" i="42"/>
  <c r="AI299" i="42"/>
  <c r="Z244" i="42"/>
  <c r="K1223" i="50"/>
  <c r="K1235" i="50"/>
  <c r="L1251" i="50"/>
  <c r="I1240" i="50"/>
  <c r="H1218" i="50"/>
  <c r="L1253" i="50"/>
  <c r="L1254" i="50"/>
  <c r="N1241" i="50"/>
  <c r="H1246" i="50"/>
  <c r="M1233" i="50"/>
  <c r="K1230" i="50"/>
  <c r="K1244" i="50"/>
  <c r="M1224" i="50"/>
  <c r="K1243" i="50"/>
  <c r="N1229" i="50"/>
  <c r="J1219" i="50"/>
  <c r="N1250" i="50"/>
  <c r="K1238" i="50"/>
  <c r="N1242" i="50"/>
  <c r="H1239" i="50"/>
  <c r="N1227" i="50"/>
  <c r="J1221" i="50"/>
  <c r="H1222" i="50"/>
  <c r="M1247" i="50"/>
  <c r="H1226" i="50"/>
  <c r="M1226" i="50"/>
  <c r="N1253" i="50"/>
  <c r="K1247" i="50"/>
  <c r="K1242" i="50"/>
  <c r="J1227" i="50"/>
  <c r="L1218" i="50"/>
  <c r="L1227" i="50"/>
  <c r="I1247" i="50"/>
  <c r="I1239" i="50"/>
  <c r="L1232" i="50"/>
  <c r="L1240" i="50"/>
  <c r="M1246" i="50"/>
  <c r="J1226" i="50"/>
  <c r="I1246" i="50"/>
  <c r="N1226" i="50"/>
  <c r="L1226" i="50"/>
  <c r="H1253" i="50"/>
  <c r="K1241" i="50"/>
  <c r="K1227" i="50"/>
  <c r="J1246" i="50"/>
  <c r="M1241" i="50"/>
  <c r="N1218" i="50"/>
  <c r="K1246" i="50"/>
  <c r="M1237" i="50"/>
  <c r="L1219" i="50"/>
  <c r="I1238" i="50"/>
  <c r="J1247" i="50"/>
  <c r="I1235" i="50"/>
  <c r="L1229" i="50"/>
  <c r="L1238" i="50"/>
  <c r="I1226" i="50"/>
  <c r="I1222" i="50"/>
  <c r="J1241" i="50"/>
  <c r="K1232" i="50"/>
  <c r="N1219" i="50"/>
  <c r="J1218" i="50"/>
  <c r="L1241" i="50"/>
  <c r="J1237" i="50"/>
  <c r="M1221" i="50"/>
  <c r="K1226" i="50"/>
  <c r="K1240" i="50"/>
  <c r="K1239" i="50"/>
  <c r="K1222" i="50"/>
  <c r="N1239" i="50"/>
  <c r="M1218" i="50"/>
  <c r="M1227" i="50"/>
  <c r="N1246" i="50"/>
  <c r="L1246" i="50"/>
  <c r="M1254" i="50"/>
  <c r="M1232" i="50"/>
  <c r="M1253" i="50"/>
  <c r="J1251" i="50"/>
  <c r="E1251" i="50"/>
  <c r="J1222" i="50"/>
  <c r="J1232" i="50"/>
  <c r="K1221" i="50"/>
  <c r="L1222" i="50"/>
  <c r="I1227" i="50"/>
  <c r="J1238" i="50"/>
  <c r="I1218" i="50"/>
  <c r="L1221" i="50"/>
  <c r="L1230" i="50"/>
  <c r="M1239" i="50"/>
  <c r="L1239" i="50"/>
  <c r="L1247" i="50"/>
  <c r="J1229" i="50"/>
  <c r="J1253" i="50"/>
  <c r="K1218" i="50"/>
  <c r="K1219" i="50"/>
  <c r="K1237" i="50"/>
  <c r="M1235" i="50"/>
  <c r="H1236" i="50"/>
  <c r="N1232" i="50"/>
  <c r="N1237" i="50"/>
  <c r="M1223" i="50"/>
  <c r="N1244" i="50"/>
  <c r="H1238" i="50"/>
  <c r="M1236" i="50"/>
  <c r="H1229" i="50"/>
  <c r="J1223" i="50"/>
  <c r="K1236" i="50"/>
  <c r="I1244" i="50"/>
  <c r="N1238" i="50"/>
  <c r="H1230" i="50"/>
  <c r="H1221" i="50"/>
  <c r="N1240" i="50"/>
  <c r="H1233" i="50"/>
  <c r="M1230" i="50"/>
  <c r="H1223" i="50"/>
  <c r="J1239" i="50"/>
  <c r="J1230" i="50"/>
  <c r="N1221" i="50"/>
  <c r="I1219" i="50"/>
  <c r="H1254" i="50"/>
  <c r="I1232" i="50"/>
  <c r="H1244" i="50"/>
  <c r="M1242" i="50"/>
  <c r="H1237" i="50"/>
  <c r="P244" i="50"/>
  <c r="L1233" i="50"/>
  <c r="L1223" i="50"/>
  <c r="I1223" i="50"/>
  <c r="J1233" i="50"/>
  <c r="A1165" i="50"/>
  <c r="I1254" i="50"/>
  <c r="N1223" i="50"/>
  <c r="I1237" i="50"/>
  <c r="H1247" i="50"/>
  <c r="M1244" i="50"/>
  <c r="L1224" i="50"/>
  <c r="A1171" i="50"/>
  <c r="J1235" i="50"/>
  <c r="J1224" i="50"/>
  <c r="M1243" i="50"/>
  <c r="N1247" i="50"/>
  <c r="N1251" i="50"/>
  <c r="I1221" i="50"/>
  <c r="H1240" i="50"/>
  <c r="M1238" i="50"/>
  <c r="H1232" i="50"/>
  <c r="M1251" i="50"/>
  <c r="H1242" i="50"/>
  <c r="M1240" i="50"/>
  <c r="H1235" i="50"/>
  <c r="I1250" i="50"/>
  <c r="J1240" i="50"/>
  <c r="I1230" i="50"/>
  <c r="N1222" i="50"/>
  <c r="M1229" i="50"/>
  <c r="K1253" i="50"/>
  <c r="K1254" i="50"/>
  <c r="M1250" i="50"/>
  <c r="K1229" i="50"/>
  <c r="L1242" i="50"/>
  <c r="L1235" i="50"/>
  <c r="I1243" i="50"/>
  <c r="J1250" i="50"/>
  <c r="J1242" i="50"/>
  <c r="A1189" i="50"/>
  <c r="N1235" i="50"/>
  <c r="I1233" i="50"/>
  <c r="N1224" i="50"/>
  <c r="L1250" i="50"/>
  <c r="K1250" i="50"/>
  <c r="L1236" i="50"/>
  <c r="I1229" i="50"/>
  <c r="J1243" i="50"/>
  <c r="J1236" i="50"/>
  <c r="I1224" i="50"/>
  <c r="I1241" i="50"/>
  <c r="K1251" i="50"/>
  <c r="H1241" i="50"/>
  <c r="E1254" i="50"/>
  <c r="H1251" i="50"/>
  <c r="H1243" i="50"/>
  <c r="I1251" i="50"/>
  <c r="K1224" i="50"/>
  <c r="N1233" i="50"/>
  <c r="H1224" i="50"/>
  <c r="M1222" i="50"/>
  <c r="Q292" i="41"/>
  <c r="E385" i="50"/>
  <c r="E340" i="41"/>
  <c r="N1230" i="50"/>
  <c r="E1250" i="50"/>
  <c r="J1254" i="50"/>
  <c r="L1243" i="50"/>
  <c r="N1243" i="50"/>
  <c r="I1242" i="50"/>
  <c r="N1236" i="50"/>
  <c r="H1227" i="50"/>
  <c r="K1233" i="50"/>
  <c r="L1244" i="50"/>
  <c r="L1237" i="50"/>
  <c r="H1250" i="50"/>
  <c r="N1254" i="50"/>
  <c r="I1253" i="50"/>
  <c r="J1244" i="50"/>
  <c r="I1236" i="50"/>
  <c r="H1219" i="50"/>
  <c r="E1253" i="50"/>
  <c r="M1219" i="50"/>
  <c r="Q291" i="41"/>
  <c r="E339" i="41"/>
  <c r="E384" i="50"/>
  <c r="M1095" i="50"/>
  <c r="A1043" i="50"/>
  <c r="I1107" i="50"/>
  <c r="K1123" i="50"/>
  <c r="L1116" i="50"/>
  <c r="H1102" i="50"/>
  <c r="N582" i="50"/>
  <c r="P243" i="50"/>
  <c r="A1037" i="50"/>
  <c r="A1061" i="50"/>
  <c r="K985" i="50"/>
  <c r="J603" i="50"/>
  <c r="I590" i="50"/>
  <c r="H579" i="50"/>
  <c r="A915" i="50"/>
  <c r="L990" i="50"/>
  <c r="I968" i="50"/>
  <c r="E335" i="47"/>
  <c r="I981" i="50"/>
  <c r="K995" i="50"/>
  <c r="K988" i="50"/>
  <c r="A933" i="50"/>
  <c r="P242" i="50"/>
  <c r="L614" i="50"/>
  <c r="L974" i="50"/>
  <c r="K971" i="50"/>
  <c r="L962" i="50"/>
  <c r="H962" i="50"/>
  <c r="A909" i="50"/>
  <c r="K987" i="50"/>
  <c r="J983" i="50"/>
  <c r="H979" i="50"/>
  <c r="H974" i="50"/>
  <c r="E338" i="41"/>
  <c r="Q290" i="41"/>
  <c r="E383" i="50"/>
  <c r="A787" i="50"/>
  <c r="A781" i="50"/>
  <c r="Q289" i="41"/>
  <c r="E337" i="41"/>
  <c r="E382" i="50"/>
  <c r="P241" i="50"/>
  <c r="A805" i="50"/>
  <c r="L606" i="50"/>
  <c r="H584" i="50"/>
  <c r="I22" i="37"/>
  <c r="K22" i="37"/>
  <c r="H22" i="37"/>
  <c r="L610" i="50"/>
  <c r="K597" i="50"/>
  <c r="A659" i="50"/>
  <c r="J601" i="50"/>
  <c r="M598" i="50"/>
  <c r="A653" i="50"/>
  <c r="A677" i="50"/>
  <c r="E381" i="50"/>
  <c r="E336" i="41"/>
  <c r="Q288" i="41"/>
  <c r="P240" i="50"/>
  <c r="H581" i="50"/>
  <c r="J584" i="50"/>
  <c r="J606" i="50"/>
  <c r="I613" i="50"/>
  <c r="I593" i="50"/>
  <c r="M603" i="50"/>
  <c r="M601" i="50"/>
  <c r="L592" i="50"/>
  <c r="J614" i="50"/>
  <c r="J598" i="50"/>
  <c r="H586" i="50"/>
  <c r="I587" i="50"/>
  <c r="L596" i="50"/>
  <c r="M604" i="50"/>
  <c r="M595" i="50"/>
  <c r="E611" i="50"/>
  <c r="K590" i="50"/>
  <c r="H603" i="50"/>
  <c r="L593" i="50"/>
  <c r="H589" i="50"/>
  <c r="H597" i="50"/>
  <c r="J607" i="50"/>
  <c r="M596" i="50"/>
  <c r="M607" i="50"/>
  <c r="L600" i="50"/>
  <c r="T506" i="50"/>
  <c r="W146" i="42"/>
  <c r="K601" i="50"/>
  <c r="N597" i="50"/>
  <c r="M597" i="50"/>
  <c r="M586" i="50"/>
  <c r="K586" i="50"/>
  <c r="U506" i="50"/>
  <c r="V506" i="50"/>
  <c r="J578" i="50"/>
  <c r="S506" i="50"/>
  <c r="K584" i="50"/>
  <c r="L613" i="50"/>
  <c r="I611" i="50"/>
  <c r="I578" i="50"/>
  <c r="M599" i="50"/>
  <c r="K593" i="50"/>
  <c r="L583" i="50"/>
  <c r="L598" i="50"/>
  <c r="N593" i="50"/>
  <c r="L611" i="50"/>
  <c r="J611" i="50"/>
  <c r="M600" i="50"/>
  <c r="H611" i="50"/>
  <c r="N603" i="50"/>
  <c r="L587" i="50"/>
  <c r="L603" i="50"/>
  <c r="H590" i="50"/>
  <c r="M579" i="50"/>
  <c r="H602" i="50"/>
  <c r="J595" i="50"/>
  <c r="L589" i="50"/>
  <c r="L604" i="50"/>
  <c r="A525" i="50"/>
  <c r="J360" i="47"/>
  <c r="J359" i="47"/>
  <c r="L309" i="47"/>
  <c r="L308" i="47"/>
  <c r="L359" i="47"/>
  <c r="L360" i="47"/>
  <c r="I597" i="50"/>
  <c r="I604" i="50"/>
  <c r="H607" i="50"/>
  <c r="J590" i="50"/>
  <c r="I601" i="50"/>
  <c r="K602" i="50"/>
  <c r="N578" i="50"/>
  <c r="I596" i="50"/>
  <c r="E614" i="50"/>
  <c r="L597" i="50"/>
  <c r="J589" i="50"/>
  <c r="L582" i="50"/>
  <c r="K611" i="50"/>
  <c r="J583" i="50"/>
  <c r="N586" i="50"/>
  <c r="N611" i="50"/>
  <c r="L581" i="50"/>
  <c r="M582" i="50"/>
  <c r="H606" i="50"/>
  <c r="I595" i="50"/>
  <c r="L584" i="50"/>
  <c r="H613" i="50"/>
  <c r="L578" i="50"/>
  <c r="I581" i="50"/>
  <c r="I592" i="50"/>
  <c r="K614" i="50"/>
  <c r="K607" i="50"/>
  <c r="N601" i="50"/>
  <c r="L607" i="50"/>
  <c r="H583" i="50"/>
  <c r="N598" i="50"/>
  <c r="I614" i="50"/>
  <c r="M590" i="50"/>
  <c r="E613" i="50"/>
  <c r="J592" i="50"/>
  <c r="M611" i="50"/>
  <c r="N600" i="50"/>
  <c r="M583" i="50"/>
  <c r="K613" i="50"/>
  <c r="N614" i="50"/>
  <c r="N579" i="50"/>
  <c r="K595" i="50"/>
  <c r="J599" i="50"/>
  <c r="K606" i="50"/>
  <c r="I607" i="50"/>
  <c r="M602" i="50"/>
  <c r="I584" i="50"/>
  <c r="L595" i="50"/>
  <c r="S570" i="50"/>
  <c r="V13" i="37"/>
  <c r="AK23" i="37"/>
  <c r="N360" i="47"/>
  <c r="N359" i="47"/>
  <c r="K359" i="47"/>
  <c r="K360" i="47"/>
  <c r="M309" i="47"/>
  <c r="M308" i="47"/>
  <c r="J308" i="47"/>
  <c r="J309" i="47"/>
  <c r="Y146" i="42"/>
  <c r="X146" i="42"/>
  <c r="Z146" i="42"/>
  <c r="V146" i="42"/>
  <c r="N595" i="50"/>
  <c r="K604" i="50"/>
  <c r="M613" i="50"/>
  <c r="K592" i="50"/>
  <c r="M584" i="50"/>
  <c r="L601" i="50"/>
  <c r="J587" i="50"/>
  <c r="I610" i="50"/>
  <c r="N606" i="50"/>
  <c r="I583" i="50"/>
  <c r="K596" i="50"/>
  <c r="M578" i="50"/>
  <c r="J613" i="50"/>
  <c r="J602" i="50"/>
  <c r="H582" i="50"/>
  <c r="H595" i="50"/>
  <c r="L599" i="50"/>
  <c r="L602" i="50"/>
  <c r="H592" i="50"/>
  <c r="N590" i="50"/>
  <c r="N581" i="50"/>
  <c r="K587" i="50"/>
  <c r="M587" i="50"/>
  <c r="H599" i="50"/>
  <c r="J582" i="50"/>
  <c r="I603" i="50"/>
  <c r="N592" i="50"/>
  <c r="M610" i="50"/>
  <c r="K578" i="50"/>
  <c r="K603" i="50"/>
  <c r="J610" i="50"/>
  <c r="K582" i="50"/>
  <c r="L586" i="50"/>
  <c r="M606" i="50"/>
  <c r="K599" i="50"/>
  <c r="I586" i="50"/>
  <c r="M614" i="50"/>
  <c r="N589" i="50"/>
  <c r="J593" i="50"/>
  <c r="I600" i="50"/>
  <c r="I602" i="50"/>
  <c r="K600" i="50"/>
  <c r="N584" i="50"/>
  <c r="M593" i="50"/>
  <c r="J600" i="50"/>
  <c r="N602" i="50"/>
  <c r="H587" i="50"/>
  <c r="N599" i="50"/>
  <c r="K579" i="50"/>
  <c r="A531" i="50"/>
  <c r="A549" i="50"/>
  <c r="Q287" i="41"/>
  <c r="E380" i="50"/>
  <c r="E335" i="41"/>
  <c r="D2473" i="50"/>
  <c r="AB174" i="47"/>
  <c r="K308" i="47"/>
  <c r="K309" i="47"/>
  <c r="N308" i="47"/>
  <c r="N309" i="47"/>
  <c r="M359" i="47"/>
  <c r="M360" i="47"/>
  <c r="N604" i="50"/>
  <c r="K589" i="50"/>
  <c r="J586" i="50"/>
  <c r="L590" i="50"/>
  <c r="M589" i="50"/>
  <c r="I606" i="50"/>
  <c r="H600" i="50"/>
  <c r="I582" i="50"/>
  <c r="K581" i="50"/>
  <c r="H610" i="50"/>
  <c r="J596" i="50"/>
  <c r="K598" i="50"/>
  <c r="I599" i="50"/>
  <c r="H614" i="50"/>
  <c r="J597" i="50"/>
  <c r="H598" i="50"/>
  <c r="J579" i="50"/>
  <c r="E610" i="50"/>
  <c r="I598" i="50"/>
  <c r="I589" i="50"/>
  <c r="J604" i="50"/>
  <c r="H578" i="50"/>
  <c r="M581" i="50"/>
  <c r="K610" i="50"/>
  <c r="N583" i="50"/>
  <c r="N607" i="50"/>
  <c r="N613" i="50"/>
  <c r="H601" i="50"/>
  <c r="K583" i="50"/>
  <c r="N596" i="50"/>
  <c r="N587" i="50"/>
  <c r="L579" i="50"/>
  <c r="M592" i="50"/>
  <c r="I579" i="50"/>
  <c r="H604" i="50"/>
  <c r="N610" i="50"/>
  <c r="J581" i="50"/>
  <c r="H596" i="50"/>
  <c r="H593" i="50"/>
  <c r="AH68" i="42"/>
  <c r="AH69" i="42"/>
  <c r="AG70" i="42"/>
  <c r="AE67" i="42"/>
  <c r="AF70" i="42"/>
  <c r="AF74" i="42"/>
  <c r="Z29" i="42"/>
  <c r="N1792" i="50" s="1"/>
  <c r="S89" i="42"/>
  <c r="AH174" i="42"/>
  <c r="AE76" i="42"/>
  <c r="AD72" i="42"/>
  <c r="S125" i="42"/>
  <c r="T21" i="42"/>
  <c r="S124" i="42"/>
  <c r="AI74" i="42"/>
  <c r="AD68" i="42"/>
  <c r="AF73" i="42"/>
  <c r="Y21" i="42"/>
  <c r="AC76" i="42"/>
  <c r="AG69" i="42"/>
  <c r="AG68" i="42"/>
  <c r="Y29" i="42"/>
  <c r="M1792" i="50" s="1"/>
  <c r="AC67" i="42"/>
  <c r="AF72" i="42"/>
  <c r="AE72" i="42"/>
  <c r="AC70" i="42"/>
  <c r="AE73" i="42"/>
  <c r="AG174" i="42"/>
  <c r="AG73" i="42"/>
  <c r="AD75" i="42"/>
  <c r="W21" i="42"/>
  <c r="AI67" i="42"/>
  <c r="AE71" i="42"/>
  <c r="AE68" i="42"/>
  <c r="AC71" i="42"/>
  <c r="AD70" i="42"/>
  <c r="AC73" i="42"/>
  <c r="AF71" i="42"/>
  <c r="AC74" i="42"/>
  <c r="AF67" i="42"/>
  <c r="S93" i="42"/>
  <c r="AB13" i="42"/>
  <c r="AD67" i="42"/>
  <c r="AC75" i="42"/>
  <c r="S86" i="42"/>
  <c r="AE174" i="42"/>
  <c r="S94" i="42"/>
  <c r="S129" i="42"/>
  <c r="AI76" i="42"/>
  <c r="Z21" i="42"/>
  <c r="AE75" i="42"/>
  <c r="AC72" i="42"/>
  <c r="S92" i="42"/>
  <c r="AH75" i="42"/>
  <c r="S91" i="42"/>
  <c r="S88" i="42"/>
  <c r="AG74" i="42"/>
  <c r="AI68" i="42"/>
  <c r="AF174" i="42"/>
  <c r="S127" i="42"/>
  <c r="AD69" i="42"/>
  <c r="AI70" i="42"/>
  <c r="AF75" i="42"/>
  <c r="AI73" i="42"/>
  <c r="AD71" i="42"/>
  <c r="AD73" i="42"/>
  <c r="AH71" i="42"/>
  <c r="AD174" i="42"/>
  <c r="AH73" i="42"/>
  <c r="AI72" i="42"/>
  <c r="AE74" i="42"/>
  <c r="AD74" i="42"/>
  <c r="AG76" i="42"/>
  <c r="AH74" i="42"/>
  <c r="V21" i="42"/>
  <c r="X21" i="42"/>
  <c r="T1820" i="50"/>
  <c r="AI69" i="42"/>
  <c r="AC69" i="42"/>
  <c r="AG72" i="42"/>
  <c r="W29" i="42"/>
  <c r="K1792" i="50" s="1"/>
  <c r="S90" i="42"/>
  <c r="AH72" i="42"/>
  <c r="AI71" i="42"/>
  <c r="AH67" i="42"/>
  <c r="S95" i="42"/>
  <c r="AE70" i="42"/>
  <c r="AC174" i="42"/>
  <c r="AG75" i="42"/>
  <c r="S128" i="42"/>
  <c r="AI174" i="42"/>
  <c r="AG67" i="42"/>
  <c r="AH70" i="42"/>
  <c r="U21" i="42"/>
  <c r="S126" i="42"/>
  <c r="I29" i="42"/>
  <c r="G97" i="42" s="1"/>
  <c r="AF76" i="42"/>
  <c r="S123" i="42"/>
  <c r="AH76" i="42"/>
  <c r="S87" i="42"/>
  <c r="AI75" i="42"/>
  <c r="AG71" i="42"/>
  <c r="AF69" i="42"/>
  <c r="AE69" i="42"/>
  <c r="AD76" i="42"/>
  <c r="AF68" i="42"/>
  <c r="AC68" i="42"/>
  <c r="V29" i="42"/>
  <c r="J1792" i="50" s="1"/>
  <c r="X29" i="42"/>
  <c r="L1792" i="50" s="1"/>
  <c r="P239" i="50"/>
  <c r="J22" i="37"/>
  <c r="AG22" i="37"/>
  <c r="AD22" i="37"/>
  <c r="AH22" i="37"/>
  <c r="AC22" i="37"/>
  <c r="AF22" i="37"/>
  <c r="AE22" i="37"/>
  <c r="AI22" i="37"/>
  <c r="Z13" i="37"/>
  <c r="X40" i="37" s="1"/>
  <c r="N1023" i="50" l="1"/>
  <c r="K1023" i="50"/>
  <c r="M894" i="50"/>
  <c r="M1040" i="50"/>
  <c r="K895" i="50"/>
  <c r="L912" i="50"/>
  <c r="M1022" i="50"/>
  <c r="L894" i="50"/>
  <c r="K912" i="50"/>
  <c r="T1147" i="42"/>
  <c r="T1157" i="42" s="1"/>
  <c r="W1147" i="42"/>
  <c r="W1157" i="42" s="1"/>
  <c r="V1147" i="42"/>
  <c r="V1157" i="42" s="1"/>
  <c r="Z1147" i="42"/>
  <c r="Z1157" i="42" s="1"/>
  <c r="Y1147" i="42"/>
  <c r="Y1157" i="42" s="1"/>
  <c r="U1147" i="42"/>
  <c r="U1157" i="42" s="1"/>
  <c r="X1147" i="42"/>
  <c r="X1157" i="42" s="1"/>
  <c r="V1181" i="42"/>
  <c r="V1191" i="42" s="1"/>
  <c r="X1181" i="42"/>
  <c r="X1191" i="42" s="1"/>
  <c r="Y1181" i="42"/>
  <c r="Y1191" i="42" s="1"/>
  <c r="Z1181" i="42"/>
  <c r="Z1191" i="42" s="1"/>
  <c r="W1181" i="42"/>
  <c r="W1191" i="42" s="1"/>
  <c r="M981" i="50"/>
  <c r="I962" i="50"/>
  <c r="I971" i="50"/>
  <c r="H970" i="50"/>
  <c r="K979" i="50"/>
  <c r="I991" i="50"/>
  <c r="L986" i="50"/>
  <c r="M971" i="50"/>
  <c r="J988" i="50"/>
  <c r="K970" i="50"/>
  <c r="L967" i="50"/>
  <c r="H984" i="50"/>
  <c r="M994" i="50"/>
  <c r="J1113" i="50"/>
  <c r="N1091" i="50"/>
  <c r="I1105" i="50"/>
  <c r="H1098" i="50"/>
  <c r="L1112" i="50"/>
  <c r="J1112" i="50"/>
  <c r="N986" i="50"/>
  <c r="K974" i="50"/>
  <c r="I987" i="50"/>
  <c r="J970" i="50"/>
  <c r="H991" i="50"/>
  <c r="M984" i="50"/>
  <c r="M962" i="50"/>
  <c r="M242" i="50" s="1"/>
  <c r="J967" i="50"/>
  <c r="I980" i="50"/>
  <c r="H976" i="50"/>
  <c r="K983" i="50"/>
  <c r="E997" i="50"/>
  <c r="K968" i="50"/>
  <c r="J982" i="50"/>
  <c r="L988" i="50"/>
  <c r="L1094" i="50"/>
  <c r="I1115" i="50"/>
  <c r="L1093" i="50"/>
  <c r="M1126" i="50"/>
  <c r="N1099" i="50"/>
  <c r="I966" i="50"/>
  <c r="L971" i="50"/>
  <c r="L970" i="50"/>
  <c r="J991" i="50"/>
  <c r="N988" i="50"/>
  <c r="H994" i="50"/>
  <c r="H968" i="50"/>
  <c r="N974" i="50"/>
  <c r="I983" i="50"/>
  <c r="L991" i="50"/>
  <c r="M986" i="50"/>
  <c r="I967" i="50"/>
  <c r="M988" i="50"/>
  <c r="L980" i="50"/>
  <c r="K980" i="50"/>
  <c r="N1119" i="50"/>
  <c r="J1110" i="50"/>
  <c r="H1115" i="50"/>
  <c r="J2144" i="50"/>
  <c r="M895" i="50"/>
  <c r="J968" i="50"/>
  <c r="M967" i="50"/>
  <c r="J979" i="50"/>
  <c r="N984" i="50"/>
  <c r="M980" i="50"/>
  <c r="I976" i="50"/>
  <c r="M991" i="50"/>
  <c r="M997" i="50"/>
  <c r="J976" i="50"/>
  <c r="J986" i="50"/>
  <c r="K990" i="50"/>
  <c r="N979" i="50"/>
  <c r="E994" i="50"/>
  <c r="J984" i="50"/>
  <c r="M990" i="50"/>
  <c r="L997" i="50"/>
  <c r="J995" i="50"/>
  <c r="N980" i="50"/>
  <c r="I997" i="50"/>
  <c r="I974" i="50"/>
  <c r="M995" i="50"/>
  <c r="N965" i="50"/>
  <c r="N976" i="50"/>
  <c r="E998" i="50"/>
  <c r="H963" i="50"/>
  <c r="I973" i="50"/>
  <c r="M973" i="50"/>
  <c r="I984" i="50"/>
  <c r="H988" i="50"/>
  <c r="H1113" i="50"/>
  <c r="H998" i="50"/>
  <c r="N1126" i="50"/>
  <c r="I1126" i="50"/>
  <c r="L1115" i="50"/>
  <c r="J1104" i="50"/>
  <c r="K1093" i="50"/>
  <c r="I1099" i="50"/>
  <c r="M1101" i="50"/>
  <c r="J987" i="50"/>
  <c r="I965" i="50"/>
  <c r="L968" i="50"/>
  <c r="J981" i="50"/>
  <c r="I995" i="50"/>
  <c r="E995" i="50"/>
  <c r="H965" i="50"/>
  <c r="L976" i="50"/>
  <c r="H987" i="50"/>
  <c r="J994" i="50"/>
  <c r="I979" i="50"/>
  <c r="M970" i="50"/>
  <c r="N967" i="50"/>
  <c r="M977" i="50"/>
  <c r="J974" i="50"/>
  <c r="K967" i="50"/>
  <c r="K981" i="50"/>
  <c r="I986" i="50"/>
  <c r="L965" i="50"/>
  <c r="J977" i="50"/>
  <c r="L981" i="50"/>
  <c r="L966" i="50"/>
  <c r="I963" i="50"/>
  <c r="L998" i="50"/>
  <c r="H971" i="50"/>
  <c r="L983" i="50"/>
  <c r="L973" i="50"/>
  <c r="N977" i="50"/>
  <c r="H966" i="50"/>
  <c r="E1123" i="50"/>
  <c r="M1094" i="50"/>
  <c r="L994" i="50"/>
  <c r="L1111" i="50"/>
  <c r="J1101" i="50"/>
  <c r="L1096" i="50"/>
  <c r="J1095" i="50"/>
  <c r="H1093" i="50"/>
  <c r="K1116" i="50"/>
  <c r="N1107" i="50"/>
  <c r="I1091" i="50"/>
  <c r="K1104" i="50"/>
  <c r="J1122" i="50"/>
  <c r="I1125" i="50"/>
  <c r="J1108" i="50"/>
  <c r="N1093" i="50"/>
  <c r="M1114" i="50"/>
  <c r="K1109" i="50"/>
  <c r="I1104" i="50"/>
  <c r="J1118" i="50"/>
  <c r="H1110" i="50"/>
  <c r="J1109" i="50"/>
  <c r="L1125" i="50"/>
  <c r="H1091" i="50"/>
  <c r="I1093" i="50"/>
  <c r="I1098" i="50"/>
  <c r="K1094" i="50"/>
  <c r="H1105" i="50"/>
  <c r="L1113" i="50"/>
  <c r="H1109" i="50"/>
  <c r="L1110" i="50"/>
  <c r="N1105" i="50"/>
  <c r="N1118" i="50"/>
  <c r="H1101" i="50"/>
  <c r="I1101" i="50"/>
  <c r="K1125" i="50"/>
  <c r="M1090" i="50"/>
  <c r="M243" i="50" s="1"/>
  <c r="J1102" i="50"/>
  <c r="M1099" i="50"/>
  <c r="J1099" i="50"/>
  <c r="M1112" i="50"/>
  <c r="K1102" i="50"/>
  <c r="M1107" i="50"/>
  <c r="H1111" i="50"/>
  <c r="L1123" i="50"/>
  <c r="K1115" i="50"/>
  <c r="L1105" i="50"/>
  <c r="L1122" i="50"/>
  <c r="K1114" i="50"/>
  <c r="N1113" i="50"/>
  <c r="J1115" i="50"/>
  <c r="M1102" i="50"/>
  <c r="H1107" i="50"/>
  <c r="M1115" i="50"/>
  <c r="M1116" i="50"/>
  <c r="H1108" i="50"/>
  <c r="M1123" i="50"/>
  <c r="K1096" i="50"/>
  <c r="H1094" i="50"/>
  <c r="M1119" i="50"/>
  <c r="H1119" i="50"/>
  <c r="K1107" i="50"/>
  <c r="M1105" i="50"/>
  <c r="I1090" i="50"/>
  <c r="I243" i="50" s="1"/>
  <c r="J1116" i="50"/>
  <c r="H1123" i="50"/>
  <c r="M1111" i="50"/>
  <c r="H1090" i="50"/>
  <c r="H243" i="50" s="1"/>
  <c r="J1105" i="50"/>
  <c r="K1090" i="50"/>
  <c r="K243" i="50" s="1"/>
  <c r="J1094" i="50"/>
  <c r="N1123" i="50"/>
  <c r="N995" i="50"/>
  <c r="N985" i="50"/>
  <c r="I970" i="50"/>
  <c r="H981" i="50"/>
  <c r="J963" i="50"/>
  <c r="J985" i="50"/>
  <c r="J973" i="50"/>
  <c r="K976" i="50"/>
  <c r="H986" i="50"/>
  <c r="N970" i="50"/>
  <c r="J962" i="50"/>
  <c r="J242" i="50" s="1"/>
  <c r="K965" i="50"/>
  <c r="L982" i="50"/>
  <c r="H982" i="50"/>
  <c r="I988" i="50"/>
  <c r="L963" i="50"/>
  <c r="M979" i="50"/>
  <c r="J971" i="50"/>
  <c r="M998" i="50"/>
  <c r="I998" i="50"/>
  <c r="H967" i="50"/>
  <c r="K994" i="50"/>
  <c r="N997" i="50"/>
  <c r="N991" i="50"/>
  <c r="L863" i="50"/>
  <c r="I1110" i="50"/>
  <c r="K1108" i="50"/>
  <c r="I1116" i="50"/>
  <c r="N1096" i="50"/>
  <c r="H1122" i="50"/>
  <c r="K1111" i="50"/>
  <c r="N1094" i="50"/>
  <c r="M1109" i="50"/>
  <c r="N1095" i="50"/>
  <c r="H1118" i="50"/>
  <c r="L1118" i="50"/>
  <c r="K1101" i="50"/>
  <c r="L1101" i="50"/>
  <c r="M1113" i="50"/>
  <c r="N1115" i="50"/>
  <c r="K1095" i="50"/>
  <c r="K1099" i="50"/>
  <c r="M1122" i="50"/>
  <c r="H1125" i="50"/>
  <c r="J1093" i="50"/>
  <c r="N1116" i="50"/>
  <c r="M1093" i="50"/>
  <c r="I1114" i="50"/>
  <c r="I1108" i="50"/>
  <c r="H1095" i="50"/>
  <c r="N1122" i="50"/>
  <c r="M1110" i="50"/>
  <c r="N1102" i="50"/>
  <c r="L1102" i="50"/>
  <c r="J1126" i="50"/>
  <c r="K1122" i="50"/>
  <c r="L1095" i="50"/>
  <c r="N1111" i="50"/>
  <c r="I1094" i="50"/>
  <c r="I1096" i="50"/>
  <c r="M1096" i="50"/>
  <c r="K1118" i="50"/>
  <c r="K1119" i="50"/>
  <c r="I1119" i="50"/>
  <c r="H1112" i="50"/>
  <c r="K1105" i="50"/>
  <c r="L1091" i="50"/>
  <c r="K1113" i="50"/>
  <c r="M1098" i="50"/>
  <c r="N1090" i="50"/>
  <c r="N243" i="50" s="1"/>
  <c r="N1114" i="50"/>
  <c r="M1104" i="50"/>
  <c r="L1104" i="50"/>
  <c r="I1111" i="50"/>
  <c r="E1125" i="50"/>
  <c r="M1108" i="50"/>
  <c r="J1114" i="50"/>
  <c r="K982" i="50"/>
  <c r="I985" i="50"/>
  <c r="K966" i="50"/>
  <c r="M987" i="50"/>
  <c r="M985" i="50"/>
  <c r="N994" i="50"/>
  <c r="N973" i="50"/>
  <c r="M966" i="50"/>
  <c r="H985" i="50"/>
  <c r="M974" i="50"/>
  <c r="L977" i="50"/>
  <c r="M963" i="50"/>
  <c r="N982" i="50"/>
  <c r="I982" i="50"/>
  <c r="K963" i="50"/>
  <c r="J965" i="50"/>
  <c r="M976" i="50"/>
  <c r="M983" i="50"/>
  <c r="K998" i="50"/>
  <c r="K997" i="50"/>
  <c r="H983" i="50"/>
  <c r="N981" i="50"/>
  <c r="K986" i="50"/>
  <c r="I977" i="50"/>
  <c r="M965" i="50"/>
  <c r="N962" i="50"/>
  <c r="N242" i="50" s="1"/>
  <c r="I994" i="50"/>
  <c r="M968" i="50"/>
  <c r="K977" i="50"/>
  <c r="N966" i="50"/>
  <c r="N1125" i="50"/>
  <c r="J1125" i="50"/>
  <c r="J1123" i="50"/>
  <c r="J1107" i="50"/>
  <c r="N1108" i="50"/>
  <c r="J1098" i="50"/>
  <c r="L1109" i="50"/>
  <c r="L1098" i="50"/>
  <c r="I1118" i="50"/>
  <c r="H1104" i="50"/>
  <c r="N1101" i="50"/>
  <c r="L1090" i="50"/>
  <c r="L243" i="50" s="1"/>
  <c r="L1114" i="50"/>
  <c r="M1118" i="50"/>
  <c r="H1099" i="50"/>
  <c r="L1099" i="50"/>
  <c r="I1122" i="50"/>
  <c r="I1102" i="50"/>
  <c r="N1112" i="50"/>
  <c r="H1114" i="50"/>
  <c r="L1107" i="50"/>
  <c r="I1095" i="50"/>
  <c r="K1112" i="50"/>
  <c r="N1110" i="50"/>
  <c r="M1125" i="50"/>
  <c r="K1098" i="50"/>
  <c r="K1126" i="50"/>
  <c r="I1123" i="50"/>
  <c r="I1112" i="50"/>
  <c r="E1126" i="50"/>
  <c r="N1098" i="50"/>
  <c r="L1126" i="50"/>
  <c r="I1109" i="50"/>
  <c r="H1096" i="50"/>
  <c r="J1096" i="50"/>
  <c r="N1109" i="50"/>
  <c r="J1119" i="50"/>
  <c r="L1119" i="50"/>
  <c r="H1126" i="50"/>
  <c r="L1108" i="50"/>
  <c r="J1091" i="50"/>
  <c r="J1111" i="50"/>
  <c r="E1122" i="50"/>
  <c r="J1090" i="50"/>
  <c r="J243" i="50" s="1"/>
  <c r="N1104" i="50"/>
  <c r="M1091" i="50"/>
  <c r="K1091" i="50"/>
  <c r="K1110" i="50"/>
  <c r="H1116" i="50"/>
  <c r="L985" i="50"/>
  <c r="N968" i="50"/>
  <c r="L979" i="50"/>
  <c r="K984" i="50"/>
  <c r="H973" i="50"/>
  <c r="K973" i="50"/>
  <c r="K962" i="50"/>
  <c r="K242" i="50" s="1"/>
  <c r="H997" i="50"/>
  <c r="N998" i="50"/>
  <c r="H995" i="50"/>
  <c r="L984" i="50"/>
  <c r="M982" i="50"/>
  <c r="N983" i="50"/>
  <c r="N963" i="50"/>
  <c r="J980" i="50"/>
  <c r="N971" i="50"/>
  <c r="H977" i="50"/>
  <c r="J998" i="50"/>
  <c r="J990" i="50"/>
  <c r="I990" i="50"/>
  <c r="J966" i="50"/>
  <c r="J997" i="50"/>
  <c r="L987" i="50"/>
  <c r="N987" i="50"/>
  <c r="H980" i="50"/>
  <c r="H990" i="50"/>
  <c r="K991" i="50"/>
  <c r="N990" i="50"/>
  <c r="L995" i="50"/>
  <c r="L1200" i="42"/>
  <c r="L1201" i="42" s="1"/>
  <c r="N912" i="50"/>
  <c r="I307" i="47"/>
  <c r="I308" i="47" s="1"/>
  <c r="I309" i="47" s="1"/>
  <c r="H358" i="47"/>
  <c r="H359" i="47" s="1"/>
  <c r="H360" i="47" s="1"/>
  <c r="I1018" i="50"/>
  <c r="N895" i="50"/>
  <c r="L1023" i="50"/>
  <c r="L1040" i="50"/>
  <c r="L1022" i="50"/>
  <c r="H1018" i="50"/>
  <c r="V1165" i="37"/>
  <c r="R1073" i="50" s="1"/>
  <c r="Z1165" i="37"/>
  <c r="V1073" i="50" s="1"/>
  <c r="Y1165" i="37"/>
  <c r="U1073" i="50" s="1"/>
  <c r="W1165" i="37"/>
  <c r="S1073" i="50" s="1"/>
  <c r="X1165" i="37"/>
  <c r="T1073" i="50" s="1"/>
  <c r="H1026" i="50"/>
  <c r="H1034" i="50" s="1"/>
  <c r="H1037" i="50"/>
  <c r="N1015" i="50"/>
  <c r="H1066" i="50"/>
  <c r="H1078" i="50" s="1"/>
  <c r="T1083" i="50"/>
  <c r="I1159" i="37"/>
  <c r="AB1137" i="37"/>
  <c r="Z1159" i="37"/>
  <c r="W1159" i="37"/>
  <c r="X1159" i="37"/>
  <c r="V1159" i="37"/>
  <c r="J1022" i="50" s="1"/>
  <c r="Y1145" i="37"/>
  <c r="AH1184" i="37"/>
  <c r="AH1396" i="37" s="1"/>
  <c r="AD1145" i="37"/>
  <c r="AI1184" i="37"/>
  <c r="AI1396" i="37" s="1"/>
  <c r="AF1184" i="37"/>
  <c r="AF1396" i="37" s="1"/>
  <c r="AE1184" i="37"/>
  <c r="AE1396" i="37" s="1"/>
  <c r="AF1145" i="37"/>
  <c r="W1145" i="37"/>
  <c r="AG1184" i="37"/>
  <c r="AG1396" i="37" s="1"/>
  <c r="AH1145" i="37"/>
  <c r="AC1145" i="37"/>
  <c r="U1145" i="37"/>
  <c r="V1145" i="37"/>
  <c r="AI1176" i="37"/>
  <c r="AC1176" i="37"/>
  <c r="AF1176" i="37"/>
  <c r="AD1176" i="37"/>
  <c r="AE1176" i="37"/>
  <c r="AH1176" i="37"/>
  <c r="AI1145" i="37"/>
  <c r="AD1184" i="37"/>
  <c r="AD1396" i="37" s="1"/>
  <c r="AC1184" i="37"/>
  <c r="AC1396" i="37" s="1"/>
  <c r="Z1145" i="37"/>
  <c r="X1145" i="37"/>
  <c r="Y1159" i="37"/>
  <c r="AG1176" i="37"/>
  <c r="T1145" i="37"/>
  <c r="AE1145" i="37"/>
  <c r="AG1145" i="37"/>
  <c r="H307" i="47"/>
  <c r="H308" i="47" s="1"/>
  <c r="H309" i="47" s="1"/>
  <c r="H321" i="47" s="1"/>
  <c r="H584" i="37" s="1"/>
  <c r="H585" i="37" s="1"/>
  <c r="H762" i="50" s="1"/>
  <c r="I358" i="47"/>
  <c r="I359" i="47" s="1"/>
  <c r="I360" i="47" s="1"/>
  <c r="H242" i="50"/>
  <c r="L242" i="50"/>
  <c r="N887" i="50"/>
  <c r="H938" i="50"/>
  <c r="H950" i="50" s="1"/>
  <c r="H898" i="50"/>
  <c r="H906" i="50" s="1"/>
  <c r="H909" i="50"/>
  <c r="H890" i="50"/>
  <c r="Z884" i="37"/>
  <c r="V945" i="50" s="1"/>
  <c r="Y884" i="37"/>
  <c r="U945" i="50" s="1"/>
  <c r="X884" i="37"/>
  <c r="T945" i="50" s="1"/>
  <c r="V884" i="37"/>
  <c r="W884" i="37"/>
  <c r="S945" i="50" s="1"/>
  <c r="I242" i="50"/>
  <c r="I890" i="50"/>
  <c r="T955" i="50"/>
  <c r="AB856" i="37"/>
  <c r="I878" i="37"/>
  <c r="AC895" i="37"/>
  <c r="V878" i="37"/>
  <c r="J894" i="50" s="1"/>
  <c r="AD895" i="37"/>
  <c r="AI895" i="37"/>
  <c r="AF864" i="37"/>
  <c r="AH864" i="37"/>
  <c r="AG864" i="37"/>
  <c r="AH903" i="37"/>
  <c r="AH1115" i="37" s="1"/>
  <c r="AI903" i="37"/>
  <c r="AI1115" i="37" s="1"/>
  <c r="AD903" i="37"/>
  <c r="AD1115" i="37" s="1"/>
  <c r="Y878" i="37"/>
  <c r="AE895" i="37"/>
  <c r="Z864" i="37"/>
  <c r="AG903" i="37"/>
  <c r="AG1115" i="37" s="1"/>
  <c r="X864" i="37"/>
  <c r="AI864" i="37"/>
  <c r="V864" i="37"/>
  <c r="W878" i="37"/>
  <c r="AF895" i="37"/>
  <c r="Z878" i="37"/>
  <c r="Y864" i="37"/>
  <c r="U864" i="37"/>
  <c r="T864" i="37"/>
  <c r="AF903" i="37"/>
  <c r="AF1115" i="37" s="1"/>
  <c r="AC903" i="37"/>
  <c r="AC1115" i="37" s="1"/>
  <c r="X878" i="37"/>
  <c r="AG895" i="37"/>
  <c r="AH895" i="37"/>
  <c r="AC864" i="37"/>
  <c r="AE864" i="37"/>
  <c r="AE903" i="37"/>
  <c r="AE1115" i="37" s="1"/>
  <c r="W864" i="37"/>
  <c r="AD864" i="37"/>
  <c r="R945" i="50"/>
  <c r="T1054" i="42"/>
  <c r="T1070" i="42"/>
  <c r="T1065" i="42"/>
  <c r="Y1054" i="42"/>
  <c r="Y1070" i="42"/>
  <c r="Y1065" i="42"/>
  <c r="V1412" i="42"/>
  <c r="V1407" i="42"/>
  <c r="V1396" i="42"/>
  <c r="Y1225" i="42"/>
  <c r="Y1241" i="42"/>
  <c r="Y1236" i="42"/>
  <c r="U1225" i="42"/>
  <c r="U1241" i="42"/>
  <c r="U1236" i="42"/>
  <c r="V1225" i="42"/>
  <c r="V1241" i="42"/>
  <c r="V1236" i="42"/>
  <c r="Z1070" i="42"/>
  <c r="Z1065" i="42"/>
  <c r="Z1054" i="42"/>
  <c r="X1241" i="42"/>
  <c r="X1236" i="42"/>
  <c r="X1225" i="42"/>
  <c r="W1054" i="42"/>
  <c r="W1070" i="42"/>
  <c r="W1065" i="42"/>
  <c r="V1070" i="42"/>
  <c r="V1065" i="42"/>
  <c r="V1054" i="42"/>
  <c r="Y1412" i="42"/>
  <c r="Y1407" i="42"/>
  <c r="Y1396" i="42"/>
  <c r="X1407" i="42"/>
  <c r="X1396" i="42"/>
  <c r="X1412" i="42"/>
  <c r="Z1225" i="42"/>
  <c r="Z1241" i="42"/>
  <c r="Z1236" i="42"/>
  <c r="X1054" i="42"/>
  <c r="X1070" i="42"/>
  <c r="X1065" i="42"/>
  <c r="U1054" i="42"/>
  <c r="U1070" i="42"/>
  <c r="U1065" i="42"/>
  <c r="Z1412" i="42"/>
  <c r="Z1407" i="42"/>
  <c r="Z1396" i="42"/>
  <c r="T1412" i="42"/>
  <c r="T1396" i="42"/>
  <c r="T1407" i="42"/>
  <c r="U1412" i="42"/>
  <c r="U1407" i="42"/>
  <c r="U1396" i="42"/>
  <c r="W1407" i="42"/>
  <c r="W1396" i="42"/>
  <c r="W1412" i="42"/>
  <c r="T1241" i="42"/>
  <c r="T1236" i="42"/>
  <c r="T1225" i="42"/>
  <c r="W1225" i="42"/>
  <c r="W1241" i="42"/>
  <c r="W1236" i="42"/>
  <c r="Z1523" i="42"/>
  <c r="N1523" i="42"/>
  <c r="N1531" i="42" s="1"/>
  <c r="N1532" i="42" s="1"/>
  <c r="X1012" i="42"/>
  <c r="L1012" i="42"/>
  <c r="L1020" i="42" s="1"/>
  <c r="L1021" i="42" s="1"/>
  <c r="Y1012" i="42"/>
  <c r="M1012" i="42"/>
  <c r="M1020" i="42" s="1"/>
  <c r="M1021" i="42" s="1"/>
  <c r="S1763" i="42"/>
  <c r="Y1763" i="42" s="1"/>
  <c r="Y1773" i="42" s="1"/>
  <c r="N639" i="50"/>
  <c r="I825" i="50"/>
  <c r="J773" i="50" s="1"/>
  <c r="I813" i="50"/>
  <c r="J774" i="50"/>
  <c r="N638" i="50"/>
  <c r="N631" i="50"/>
  <c r="H642" i="50"/>
  <c r="H650" i="50" s="1"/>
  <c r="H682" i="50"/>
  <c r="H694" i="50" s="1"/>
  <c r="H653" i="50"/>
  <c r="I685" i="50"/>
  <c r="I697" i="50"/>
  <c r="J645" i="50" s="1"/>
  <c r="K639" i="50"/>
  <c r="L239" i="50"/>
  <c r="N239" i="50"/>
  <c r="H239" i="50"/>
  <c r="K239" i="50"/>
  <c r="J239" i="50"/>
  <c r="I223" i="47"/>
  <c r="I229" i="47" s="1"/>
  <c r="S569" i="50" s="1"/>
  <c r="Y221" i="47"/>
  <c r="M221" i="47"/>
  <c r="M535" i="50" s="1"/>
  <c r="Y222" i="47"/>
  <c r="M222" i="47"/>
  <c r="Y223" i="47"/>
  <c r="M239" i="50"/>
  <c r="I239" i="50"/>
  <c r="N222" i="47"/>
  <c r="Z221" i="47"/>
  <c r="Z223" i="47"/>
  <c r="N221" i="47"/>
  <c r="Z222" i="47"/>
  <c r="M304" i="37"/>
  <c r="L304" i="37"/>
  <c r="M1788" i="50"/>
  <c r="M97" i="42"/>
  <c r="M98" i="42" s="1"/>
  <c r="L1788" i="50"/>
  <c r="L97" i="42"/>
  <c r="L98" i="42" s="1"/>
  <c r="L585" i="37"/>
  <c r="M585" i="37"/>
  <c r="M766" i="42"/>
  <c r="M767" i="42" s="1"/>
  <c r="M2007" i="50"/>
  <c r="L766" i="42"/>
  <c r="L767" i="42" s="1"/>
  <c r="L2007" i="50"/>
  <c r="J534" i="50"/>
  <c r="M534" i="50"/>
  <c r="K534" i="50"/>
  <c r="N534" i="50"/>
  <c r="L534" i="50"/>
  <c r="H23" i="37"/>
  <c r="H506" i="50" s="1"/>
  <c r="K735" i="50"/>
  <c r="J860" i="50"/>
  <c r="J457" i="47"/>
  <c r="J459" i="47" s="1"/>
  <c r="L457" i="47"/>
  <c r="L459" i="47" s="1"/>
  <c r="L462" i="47" s="1"/>
  <c r="K457" i="47"/>
  <c r="K459" i="47" s="1"/>
  <c r="K462" i="47" s="1"/>
  <c r="H457" i="47"/>
  <c r="H459" i="47" s="1"/>
  <c r="H462" i="47" s="1"/>
  <c r="M457" i="47"/>
  <c r="M459" i="47" s="1"/>
  <c r="M462" i="47" s="1"/>
  <c r="I457" i="47"/>
  <c r="I459" i="47" s="1"/>
  <c r="I462" i="47" s="1"/>
  <c r="N457" i="47"/>
  <c r="N459" i="47" s="1"/>
  <c r="N462" i="47" s="1"/>
  <c r="J585" i="37"/>
  <c r="J762" i="50" s="1"/>
  <c r="AB1489" i="42"/>
  <c r="K342" i="41"/>
  <c r="K427" i="50" s="1"/>
  <c r="AB1156" i="42"/>
  <c r="AB1626" i="42"/>
  <c r="AB1496" i="42"/>
  <c r="AB757" i="42"/>
  <c r="AB1323" i="42"/>
  <c r="AB1148" i="42"/>
  <c r="AB1153" i="42"/>
  <c r="AB1766" i="42"/>
  <c r="AB1768" i="42"/>
  <c r="AB1770" i="42"/>
  <c r="AB1772" i="42"/>
  <c r="AB1628" i="42"/>
  <c r="AB1631" i="42"/>
  <c r="AB1629" i="42"/>
  <c r="AB1488" i="42"/>
  <c r="AB1493" i="42"/>
  <c r="AB1495" i="42"/>
  <c r="AB755" i="42"/>
  <c r="AB764" i="42"/>
  <c r="AB1320" i="42"/>
  <c r="AB756" i="42"/>
  <c r="AB759" i="42"/>
  <c r="AB1318" i="42"/>
  <c r="AB1765" i="42"/>
  <c r="AB1764" i="42"/>
  <c r="AB1632" i="42"/>
  <c r="AB1627" i="42"/>
  <c r="AB1491" i="42"/>
  <c r="AB1490" i="42"/>
  <c r="AB1487" i="42"/>
  <c r="AB761" i="42"/>
  <c r="AB762" i="42"/>
  <c r="AB1321" i="42"/>
  <c r="AB1327" i="42"/>
  <c r="AB1326" i="42"/>
  <c r="AB1150" i="42"/>
  <c r="AB1630" i="42"/>
  <c r="AB758" i="42"/>
  <c r="AB1324" i="42"/>
  <c r="AB1319" i="42"/>
  <c r="AF1644" i="42"/>
  <c r="AF1660" i="42" s="1"/>
  <c r="K1660" i="42" s="1"/>
  <c r="AB1149" i="42"/>
  <c r="AB1151" i="42"/>
  <c r="AB1154" i="42"/>
  <c r="AB1152" i="42"/>
  <c r="AB1155" i="42"/>
  <c r="AB1767" i="42"/>
  <c r="AB1769" i="42"/>
  <c r="AB1771" i="42"/>
  <c r="AB1634" i="42"/>
  <c r="AB1633" i="42"/>
  <c r="AB1625" i="42"/>
  <c r="AB1494" i="42"/>
  <c r="AB1492" i="42"/>
  <c r="AB760" i="42"/>
  <c r="AB763" i="42"/>
  <c r="AB1325" i="42"/>
  <c r="AB1322" i="42"/>
  <c r="AB538" i="42"/>
  <c r="AB983" i="42"/>
  <c r="AB977" i="42"/>
  <c r="AB539" i="42"/>
  <c r="AB314" i="42"/>
  <c r="AB316" i="42"/>
  <c r="AB318" i="42"/>
  <c r="AF1651" i="42"/>
  <c r="AF1667" i="42" s="1"/>
  <c r="K1667" i="42" s="1"/>
  <c r="AB541" i="42"/>
  <c r="AB540" i="42"/>
  <c r="AB978" i="42"/>
  <c r="AB985" i="42"/>
  <c r="AB984" i="42"/>
  <c r="AB312" i="42"/>
  <c r="AB317" i="42"/>
  <c r="AB535" i="42"/>
  <c r="AE1509" i="42"/>
  <c r="AE1525" i="42" s="1"/>
  <c r="J1525" i="42" s="1"/>
  <c r="AF1646" i="42"/>
  <c r="AF1662" i="42" s="1"/>
  <c r="K1662" i="42" s="1"/>
  <c r="AB537" i="42"/>
  <c r="AB536" i="42"/>
  <c r="AB979" i="42"/>
  <c r="AB982" i="42"/>
  <c r="AB981" i="42"/>
  <c r="AB980" i="42"/>
  <c r="AB313" i="42"/>
  <c r="AB315" i="42"/>
  <c r="H293" i="41"/>
  <c r="H386" i="50" s="1"/>
  <c r="H834" i="50"/>
  <c r="H241" i="50" s="1"/>
  <c r="H294" i="41"/>
  <c r="H387" i="50" s="1"/>
  <c r="N729" i="50"/>
  <c r="M731" i="50"/>
  <c r="K866" i="50"/>
  <c r="J373" i="41"/>
  <c r="J453" i="50" s="1"/>
  <c r="H726" i="50"/>
  <c r="N731" i="50"/>
  <c r="M840" i="50"/>
  <c r="E870" i="50"/>
  <c r="I856" i="50"/>
  <c r="K293" i="41"/>
  <c r="K386" i="50" s="1"/>
  <c r="M2843" i="37"/>
  <c r="M2844" i="37" s="1"/>
  <c r="M415" i="41" s="1"/>
  <c r="M416" i="41" s="1"/>
  <c r="N717" i="50"/>
  <c r="K723" i="50"/>
  <c r="J721" i="50"/>
  <c r="L852" i="50"/>
  <c r="K839" i="50"/>
  <c r="M870" i="50"/>
  <c r="H296" i="41"/>
  <c r="H389" i="50" s="1"/>
  <c r="H295" i="41"/>
  <c r="H388" i="50" s="1"/>
  <c r="N375" i="41"/>
  <c r="N455" i="50" s="1"/>
  <c r="H715" i="50"/>
  <c r="L739" i="50"/>
  <c r="K718" i="50"/>
  <c r="I718" i="50"/>
  <c r="K724" i="50"/>
  <c r="L735" i="50"/>
  <c r="N858" i="50"/>
  <c r="N373" i="41"/>
  <c r="N453" i="50" s="1"/>
  <c r="L374" i="41"/>
  <c r="L454" i="50" s="1"/>
  <c r="H344" i="41"/>
  <c r="H429" i="50" s="1"/>
  <c r="I720" i="50"/>
  <c r="I721" i="50"/>
  <c r="H729" i="50"/>
  <c r="N711" i="50"/>
  <c r="K721" i="50"/>
  <c r="L855" i="50"/>
  <c r="I304" i="37"/>
  <c r="I634" i="50" s="1"/>
  <c r="H304" i="37"/>
  <c r="H634" i="50" s="1"/>
  <c r="K304" i="37"/>
  <c r="K634" i="50" s="1"/>
  <c r="J304" i="37"/>
  <c r="J634" i="50" s="1"/>
  <c r="I838" i="50"/>
  <c r="H845" i="50"/>
  <c r="H742" i="50"/>
  <c r="E869" i="50"/>
  <c r="K851" i="50"/>
  <c r="N849" i="50"/>
  <c r="H870" i="50"/>
  <c r="H720" i="50"/>
  <c r="I853" i="50"/>
  <c r="I862" i="50"/>
  <c r="J837" i="50"/>
  <c r="H843" i="50"/>
  <c r="I839" i="50"/>
  <c r="H854" i="50"/>
  <c r="K849" i="50"/>
  <c r="H855" i="50"/>
  <c r="M854" i="50"/>
  <c r="K840" i="50"/>
  <c r="L849" i="50"/>
  <c r="L870" i="50"/>
  <c r="H862" i="50"/>
  <c r="H731" i="50"/>
  <c r="I851" i="50"/>
  <c r="J839" i="50"/>
  <c r="I835" i="50"/>
  <c r="I843" i="50"/>
  <c r="I866" i="50"/>
  <c r="M869" i="50"/>
  <c r="I846" i="50"/>
  <c r="H857" i="50"/>
  <c r="I852" i="50"/>
  <c r="I845" i="50"/>
  <c r="H839" i="50"/>
  <c r="I840" i="50"/>
  <c r="K835" i="50"/>
  <c r="K855" i="50"/>
  <c r="E866" i="50"/>
  <c r="H863" i="50"/>
  <c r="K852" i="50"/>
  <c r="J858" i="50"/>
  <c r="M851" i="50"/>
  <c r="L842" i="50"/>
  <c r="H866" i="50"/>
  <c r="N838" i="50"/>
  <c r="J725" i="50"/>
  <c r="N848" i="50"/>
  <c r="J866" i="50"/>
  <c r="L848" i="50"/>
  <c r="J863" i="50"/>
  <c r="K854" i="50"/>
  <c r="M848" i="50"/>
  <c r="J852" i="50"/>
  <c r="M855" i="50"/>
  <c r="N735" i="50"/>
  <c r="L738" i="50"/>
  <c r="E738" i="50"/>
  <c r="K717" i="50"/>
  <c r="K729" i="50"/>
  <c r="M712" i="50"/>
  <c r="J709" i="50"/>
  <c r="L709" i="50"/>
  <c r="M741" i="50"/>
  <c r="M739" i="50"/>
  <c r="M718" i="50"/>
  <c r="H721" i="50"/>
  <c r="K732" i="50"/>
  <c r="J711" i="50"/>
  <c r="K711" i="50"/>
  <c r="J724" i="50"/>
  <c r="M725" i="50"/>
  <c r="L725" i="50"/>
  <c r="M728" i="50"/>
  <c r="K730" i="50"/>
  <c r="J730" i="50"/>
  <c r="K742" i="50"/>
  <c r="N730" i="50"/>
  <c r="M723" i="50"/>
  <c r="J707" i="50"/>
  <c r="L731" i="50"/>
  <c r="M734" i="50"/>
  <c r="H730" i="50"/>
  <c r="E742" i="50"/>
  <c r="L714" i="50"/>
  <c r="N741" i="50"/>
  <c r="I848" i="50"/>
  <c r="H842" i="50"/>
  <c r="J855" i="50"/>
  <c r="H859" i="50"/>
  <c r="M858" i="50"/>
  <c r="I854" i="50"/>
  <c r="M857" i="50"/>
  <c r="J849" i="50"/>
  <c r="I867" i="50"/>
  <c r="H846" i="50"/>
  <c r="J848" i="50"/>
  <c r="L856" i="50"/>
  <c r="J845" i="50"/>
  <c r="I858" i="50"/>
  <c r="J869" i="50"/>
  <c r="H848" i="50"/>
  <c r="N867" i="50"/>
  <c r="L845" i="50"/>
  <c r="N866" i="50"/>
  <c r="M845" i="50"/>
  <c r="J857" i="50"/>
  <c r="K869" i="50"/>
  <c r="M862" i="50"/>
  <c r="N870" i="50"/>
  <c r="I857" i="50"/>
  <c r="L834" i="50"/>
  <c r="L241" i="50" s="1"/>
  <c r="N860" i="50"/>
  <c r="I860" i="50"/>
  <c r="J853" i="50"/>
  <c r="N842" i="50"/>
  <c r="J840" i="50"/>
  <c r="L853" i="50"/>
  <c r="J859" i="50"/>
  <c r="M835" i="50"/>
  <c r="K846" i="50"/>
  <c r="K856" i="50"/>
  <c r="J842" i="50"/>
  <c r="K845" i="50"/>
  <c r="I834" i="50"/>
  <c r="I241" i="50" s="1"/>
  <c r="N863" i="50"/>
  <c r="N862" i="50"/>
  <c r="N846" i="50"/>
  <c r="M849" i="50"/>
  <c r="N727" i="50"/>
  <c r="K842" i="50"/>
  <c r="N857" i="50"/>
  <c r="K857" i="50"/>
  <c r="I842" i="50"/>
  <c r="L835" i="50"/>
  <c r="N853" i="50"/>
  <c r="M852" i="50"/>
  <c r="M859" i="50"/>
  <c r="K858" i="50"/>
  <c r="H734" i="50"/>
  <c r="M738" i="50"/>
  <c r="J738" i="50"/>
  <c r="K738" i="50"/>
  <c r="H739" i="50"/>
  <c r="K714" i="50"/>
  <c r="J843" i="50"/>
  <c r="N856" i="50"/>
  <c r="J835" i="50"/>
  <c r="L862" i="50"/>
  <c r="H852" i="50"/>
  <c r="L839" i="50"/>
  <c r="N869" i="50"/>
  <c r="M842" i="50"/>
  <c r="N843" i="50"/>
  <c r="I870" i="50"/>
  <c r="K870" i="50"/>
  <c r="H840" i="50"/>
  <c r="N834" i="50"/>
  <c r="N241" i="50" s="1"/>
  <c r="L838" i="50"/>
  <c r="K860" i="50"/>
  <c r="M846" i="50"/>
  <c r="K848" i="50"/>
  <c r="H856" i="50"/>
  <c r="M853" i="50"/>
  <c r="L866" i="50"/>
  <c r="K838" i="50"/>
  <c r="L837" i="50"/>
  <c r="L860" i="50"/>
  <c r="H858" i="50"/>
  <c r="H837" i="50"/>
  <c r="H707" i="50"/>
  <c r="N738" i="50"/>
  <c r="M721" i="50"/>
  <c r="J726" i="50"/>
  <c r="K709" i="50"/>
  <c r="L727" i="50"/>
  <c r="M726" i="50"/>
  <c r="J741" i="50"/>
  <c r="I734" i="50"/>
  <c r="M742" i="50"/>
  <c r="H711" i="50"/>
  <c r="I724" i="50"/>
  <c r="K725" i="50"/>
  <c r="H710" i="50"/>
  <c r="N714" i="50"/>
  <c r="J734" i="50"/>
  <c r="M729" i="50"/>
  <c r="J717" i="50"/>
  <c r="H718" i="50"/>
  <c r="I727" i="50"/>
  <c r="I715" i="50"/>
  <c r="J723" i="50"/>
  <c r="M720" i="50"/>
  <c r="I714" i="50"/>
  <c r="I731" i="50"/>
  <c r="I712" i="50"/>
  <c r="M732" i="50"/>
  <c r="M710" i="50"/>
  <c r="J732" i="50"/>
  <c r="N720" i="50"/>
  <c r="H735" i="50"/>
  <c r="J731" i="50"/>
  <c r="H732" i="50"/>
  <c r="K741" i="50"/>
  <c r="H723" i="50"/>
  <c r="L729" i="50"/>
  <c r="L734" i="50"/>
  <c r="K731" i="50"/>
  <c r="I735" i="50"/>
  <c r="M706" i="50"/>
  <c r="M240" i="50" s="1"/>
  <c r="M373" i="41"/>
  <c r="M453" i="50" s="1"/>
  <c r="I294" i="41"/>
  <c r="I387" i="50" s="1"/>
  <c r="M341" i="41"/>
  <c r="M426" i="50" s="1"/>
  <c r="J342" i="41"/>
  <c r="J427" i="50" s="1"/>
  <c r="N2843" i="37"/>
  <c r="N2844" i="37" s="1"/>
  <c r="N415" i="41" s="1"/>
  <c r="N416" i="41" s="1"/>
  <c r="I344" i="41"/>
  <c r="I429" i="50" s="1"/>
  <c r="M372" i="41"/>
  <c r="M452" i="50" s="1"/>
  <c r="L373" i="41"/>
  <c r="L453" i="50" s="1"/>
  <c r="K343" i="41"/>
  <c r="K428" i="50" s="1"/>
  <c r="J294" i="41"/>
  <c r="J387" i="50" s="1"/>
  <c r="M344" i="41"/>
  <c r="M429" i="50" s="1"/>
  <c r="K344" i="41"/>
  <c r="K429" i="50" s="1"/>
  <c r="I372" i="41"/>
  <c r="I452" i="50" s="1"/>
  <c r="M374" i="41"/>
  <c r="M454" i="50" s="1"/>
  <c r="H341" i="41"/>
  <c r="H426" i="50" s="1"/>
  <c r="I295" i="41"/>
  <c r="I388" i="50" s="1"/>
  <c r="J2843" i="37"/>
  <c r="J2844" i="37" s="1"/>
  <c r="J415" i="41" s="1"/>
  <c r="J416" i="41" s="1"/>
  <c r="N342" i="41"/>
  <c r="N427" i="50" s="1"/>
  <c r="J375" i="41"/>
  <c r="J455" i="50" s="1"/>
  <c r="K2843" i="37"/>
  <c r="K2844" i="37" s="1"/>
  <c r="K415" i="41" s="1"/>
  <c r="K416" i="41" s="1"/>
  <c r="K374" i="41"/>
  <c r="K454" i="50" s="1"/>
  <c r="J341" i="41"/>
  <c r="J426" i="50" s="1"/>
  <c r="I2838" i="37"/>
  <c r="I2839" i="37" s="1"/>
  <c r="I182" i="41" s="1"/>
  <c r="I192" i="41" s="1"/>
  <c r="I321" i="50" s="1"/>
  <c r="L294" i="41"/>
  <c r="L387" i="50" s="1"/>
  <c r="L341" i="41"/>
  <c r="L426" i="50" s="1"/>
  <c r="N296" i="41"/>
  <c r="N389" i="50" s="1"/>
  <c r="I296" i="41"/>
  <c r="I389" i="50" s="1"/>
  <c r="H342" i="41"/>
  <c r="H427" i="50" s="1"/>
  <c r="M293" i="41"/>
  <c r="M386" i="50" s="1"/>
  <c r="J372" i="41"/>
  <c r="J452" i="50" s="1"/>
  <c r="H375" i="41"/>
  <c r="H455" i="50" s="1"/>
  <c r="L296" i="41"/>
  <c r="L389" i="50" s="1"/>
  <c r="H860" i="50"/>
  <c r="I863" i="50"/>
  <c r="J846" i="50"/>
  <c r="H853" i="50"/>
  <c r="K863" i="50"/>
  <c r="L854" i="50"/>
  <c r="J854" i="50"/>
  <c r="N852" i="50"/>
  <c r="L859" i="50"/>
  <c r="I869" i="50"/>
  <c r="L720" i="50"/>
  <c r="H838" i="50"/>
  <c r="J851" i="50"/>
  <c r="L869" i="50"/>
  <c r="N854" i="50"/>
  <c r="H869" i="50"/>
  <c r="M834" i="50"/>
  <c r="M241" i="50" s="1"/>
  <c r="J718" i="50"/>
  <c r="H849" i="50"/>
  <c r="N837" i="50"/>
  <c r="L858" i="50"/>
  <c r="M839" i="50"/>
  <c r="M856" i="50"/>
  <c r="H835" i="50"/>
  <c r="I849" i="50"/>
  <c r="J838" i="50"/>
  <c r="I855" i="50"/>
  <c r="N839" i="50"/>
  <c r="M730" i="50"/>
  <c r="I738" i="50"/>
  <c r="H738" i="50"/>
  <c r="M709" i="50"/>
  <c r="N709" i="50"/>
  <c r="K734" i="50"/>
  <c r="N710" i="50"/>
  <c r="N742" i="50"/>
  <c r="M711" i="50"/>
  <c r="L711" i="50"/>
  <c r="H724" i="50"/>
  <c r="H725" i="50"/>
  <c r="N712" i="50"/>
  <c r="L741" i="50"/>
  <c r="M707" i="50"/>
  <c r="J714" i="50"/>
  <c r="N734" i="50"/>
  <c r="N732" i="50"/>
  <c r="J735" i="50"/>
  <c r="J729" i="50"/>
  <c r="M735" i="50"/>
  <c r="M727" i="50"/>
  <c r="K739" i="50"/>
  <c r="N726" i="50"/>
  <c r="J727" i="50"/>
  <c r="N721" i="50"/>
  <c r="H717" i="50"/>
  <c r="I706" i="50"/>
  <c r="I240" i="50" s="1"/>
  <c r="I726" i="50"/>
  <c r="I742" i="50"/>
  <c r="I741" i="50"/>
  <c r="L742" i="50"/>
  <c r="K715" i="50"/>
  <c r="H727" i="50"/>
  <c r="N739" i="50"/>
  <c r="N707" i="50"/>
  <c r="M714" i="50"/>
  <c r="M715" i="50"/>
  <c r="N723" i="50"/>
  <c r="J374" i="41"/>
  <c r="J454" i="50" s="1"/>
  <c r="L375" i="41"/>
  <c r="L455" i="50" s="1"/>
  <c r="I343" i="41"/>
  <c r="I428" i="50" s="1"/>
  <c r="L295" i="41"/>
  <c r="L388" i="50" s="1"/>
  <c r="L2843" i="37"/>
  <c r="L2844" i="37" s="1"/>
  <c r="L415" i="41" s="1"/>
  <c r="L416" i="41" s="1"/>
  <c r="J293" i="41"/>
  <c r="J386" i="50" s="1"/>
  <c r="N343" i="41"/>
  <c r="N428" i="50" s="1"/>
  <c r="I375" i="41"/>
  <c r="I455" i="50" s="1"/>
  <c r="M343" i="41"/>
  <c r="M428" i="50" s="1"/>
  <c r="J295" i="41"/>
  <c r="J388" i="50" s="1"/>
  <c r="K294" i="41"/>
  <c r="K387" i="50" s="1"/>
  <c r="J344" i="41"/>
  <c r="J429" i="50" s="1"/>
  <c r="M295" i="41"/>
  <c r="M388" i="50" s="1"/>
  <c r="J296" i="41"/>
  <c r="J389" i="50" s="1"/>
  <c r="L372" i="41"/>
  <c r="L452" i="50" s="1"/>
  <c r="H2838" i="37"/>
  <c r="H2839" i="37" s="1"/>
  <c r="H182" i="41" s="1"/>
  <c r="H461" i="41" s="1"/>
  <c r="L2838" i="37"/>
  <c r="L2839" i="37" s="1"/>
  <c r="L182" i="41" s="1"/>
  <c r="L189" i="41" s="1"/>
  <c r="L318" i="50" s="1"/>
  <c r="L293" i="41"/>
  <c r="L386" i="50" s="1"/>
  <c r="N374" i="41"/>
  <c r="N454" i="50" s="1"/>
  <c r="H373" i="41"/>
  <c r="H453" i="50" s="1"/>
  <c r="M296" i="41"/>
  <c r="M389" i="50" s="1"/>
  <c r="H374" i="41"/>
  <c r="H454" i="50" s="1"/>
  <c r="K372" i="41"/>
  <c r="K452" i="50" s="1"/>
  <c r="I728" i="50"/>
  <c r="L706" i="50"/>
  <c r="L240" i="50" s="1"/>
  <c r="J728" i="50"/>
  <c r="L715" i="50"/>
  <c r="N715" i="50"/>
  <c r="J712" i="50"/>
  <c r="H741" i="50"/>
  <c r="I711" i="50"/>
  <c r="L717" i="50"/>
  <c r="J739" i="50"/>
  <c r="L840" i="50"/>
  <c r="K834" i="50"/>
  <c r="K241" i="50" s="1"/>
  <c r="J870" i="50"/>
  <c r="M867" i="50"/>
  <c r="M860" i="50"/>
  <c r="H867" i="50"/>
  <c r="J2838" i="37"/>
  <c r="J2839" i="37" s="1"/>
  <c r="J182" i="41" s="1"/>
  <c r="J192" i="41" s="1"/>
  <c r="J321" i="50" s="1"/>
  <c r="K375" i="41"/>
  <c r="K455" i="50" s="1"/>
  <c r="J343" i="41"/>
  <c r="J428" i="50" s="1"/>
  <c r="H372" i="41"/>
  <c r="H452" i="50" s="1"/>
  <c r="H343" i="41"/>
  <c r="H428" i="50" s="1"/>
  <c r="M294" i="41"/>
  <c r="M387" i="50" s="1"/>
  <c r="K726" i="50"/>
  <c r="I730" i="50"/>
  <c r="E741" i="50"/>
  <c r="H728" i="50"/>
  <c r="K706" i="50"/>
  <c r="K240" i="50" s="1"/>
  <c r="M724" i="50"/>
  <c r="N728" i="50"/>
  <c r="I709" i="50"/>
  <c r="J862" i="50"/>
  <c r="H851" i="50"/>
  <c r="M866" i="50"/>
  <c r="I859" i="50"/>
  <c r="L851" i="50"/>
  <c r="S2" i="37"/>
  <c r="K295" i="41"/>
  <c r="K388" i="50" s="1"/>
  <c r="M292" i="41"/>
  <c r="M385" i="50" s="1"/>
  <c r="I341" i="41"/>
  <c r="I426" i="50" s="1"/>
  <c r="K2838" i="37"/>
  <c r="K2839" i="37" s="1"/>
  <c r="K182" i="41" s="1"/>
  <c r="K189" i="41" s="1"/>
  <c r="K318" i="50" s="1"/>
  <c r="L344" i="41"/>
  <c r="L429" i="50" s="1"/>
  <c r="N2838" i="37"/>
  <c r="N2839" i="37" s="1"/>
  <c r="N182" i="41" s="1"/>
  <c r="N192" i="41" s="1"/>
  <c r="N321" i="50" s="1"/>
  <c r="H2843" i="37"/>
  <c r="N341" i="41"/>
  <c r="N426" i="50" s="1"/>
  <c r="N293" i="41"/>
  <c r="N386" i="50" s="1"/>
  <c r="I373" i="41"/>
  <c r="I453" i="50" s="1"/>
  <c r="I374" i="41"/>
  <c r="I454" i="50" s="1"/>
  <c r="I2843" i="37"/>
  <c r="I2844" i="37" s="1"/>
  <c r="I415" i="41" s="1"/>
  <c r="I416" i="41" s="1"/>
  <c r="N295" i="41"/>
  <c r="N388" i="50" s="1"/>
  <c r="N372" i="41"/>
  <c r="N452" i="50" s="1"/>
  <c r="L718" i="50"/>
  <c r="L726" i="50"/>
  <c r="K720" i="50"/>
  <c r="I717" i="50"/>
  <c r="I723" i="50"/>
  <c r="J710" i="50"/>
  <c r="I710" i="50"/>
  <c r="I729" i="50"/>
  <c r="L730" i="50"/>
  <c r="I707" i="50"/>
  <c r="K710" i="50"/>
  <c r="L710" i="50"/>
  <c r="K712" i="50"/>
  <c r="N725" i="50"/>
  <c r="N724" i="50"/>
  <c r="L728" i="50"/>
  <c r="H709" i="50"/>
  <c r="J715" i="50"/>
  <c r="E867" i="50"/>
  <c r="L867" i="50"/>
  <c r="K867" i="50"/>
  <c r="K853" i="50"/>
  <c r="K859" i="50"/>
  <c r="N855" i="50"/>
  <c r="M289" i="41"/>
  <c r="M382" i="50" s="1"/>
  <c r="M863" i="50"/>
  <c r="J856" i="50"/>
  <c r="J867" i="50"/>
  <c r="M838" i="50"/>
  <c r="K862" i="50"/>
  <c r="L843" i="50"/>
  <c r="N840" i="50"/>
  <c r="J834" i="50"/>
  <c r="J241" i="50" s="1"/>
  <c r="I293" i="41"/>
  <c r="I386" i="50" s="1"/>
  <c r="L342" i="41"/>
  <c r="L427" i="50" s="1"/>
  <c r="K296" i="41"/>
  <c r="K389" i="50" s="1"/>
  <c r="N294" i="41"/>
  <c r="N387" i="50" s="1"/>
  <c r="L343" i="41"/>
  <c r="L428" i="50" s="1"/>
  <c r="M375" i="41"/>
  <c r="M455" i="50" s="1"/>
  <c r="M342" i="41"/>
  <c r="M427" i="50" s="1"/>
  <c r="I342" i="41"/>
  <c r="I427" i="50" s="1"/>
  <c r="K373" i="41"/>
  <c r="K453" i="50" s="1"/>
  <c r="N344" i="41"/>
  <c r="N429" i="50" s="1"/>
  <c r="M2838" i="37"/>
  <c r="M2839" i="37" s="1"/>
  <c r="M182" i="41" s="1"/>
  <c r="M461" i="41" s="1"/>
  <c r="M464" i="41" s="1"/>
  <c r="M471" i="41" s="1"/>
  <c r="K341" i="41"/>
  <c r="K426" i="50" s="1"/>
  <c r="H706" i="50"/>
  <c r="H240" i="50" s="1"/>
  <c r="E739" i="50"/>
  <c r="L712" i="50"/>
  <c r="H712" i="50"/>
  <c r="L707" i="50"/>
  <c r="J742" i="50"/>
  <c r="N706" i="50"/>
  <c r="N240" i="50" s="1"/>
  <c r="H714" i="50"/>
  <c r="K707" i="50"/>
  <c r="I739" i="50"/>
  <c r="L732" i="50"/>
  <c r="K727" i="50"/>
  <c r="M717" i="50"/>
  <c r="N718" i="50"/>
  <c r="I725" i="50"/>
  <c r="L723" i="50"/>
  <c r="L721" i="50"/>
  <c r="K728" i="50"/>
  <c r="I732" i="50"/>
  <c r="J720" i="50"/>
  <c r="M843" i="50"/>
  <c r="K843" i="50"/>
  <c r="L846" i="50"/>
  <c r="K837" i="50"/>
  <c r="N845" i="50"/>
  <c r="N835" i="50"/>
  <c r="N851" i="50"/>
  <c r="J706" i="50"/>
  <c r="J240" i="50" s="1"/>
  <c r="N859" i="50"/>
  <c r="I837" i="50"/>
  <c r="M837" i="50"/>
  <c r="L724" i="50"/>
  <c r="L857" i="50"/>
  <c r="I290" i="41"/>
  <c r="I383" i="50" s="1"/>
  <c r="N288" i="41"/>
  <c r="N381" i="50" s="1"/>
  <c r="L291" i="41"/>
  <c r="L384" i="50" s="1"/>
  <c r="I291" i="41"/>
  <c r="I384" i="50" s="1"/>
  <c r="H514" i="50"/>
  <c r="H522" i="50" s="1"/>
  <c r="H554" i="50"/>
  <c r="H566" i="50" s="1"/>
  <c r="N503" i="50"/>
  <c r="H525" i="50"/>
  <c r="K511" i="50"/>
  <c r="L511" i="50"/>
  <c r="N511" i="50"/>
  <c r="M511" i="50"/>
  <c r="I585" i="37"/>
  <c r="I762" i="50" s="1"/>
  <c r="K585" i="37"/>
  <c r="K762" i="50" s="1"/>
  <c r="Z603" i="37"/>
  <c r="V817" i="50" s="1"/>
  <c r="Y603" i="37"/>
  <c r="U817" i="50" s="1"/>
  <c r="V603" i="37"/>
  <c r="R817" i="50" s="1"/>
  <c r="X603" i="37"/>
  <c r="T817" i="50" s="1"/>
  <c r="W603" i="37"/>
  <c r="S817" i="50" s="1"/>
  <c r="AI622" i="37"/>
  <c r="AI834" i="37" s="1"/>
  <c r="AB575" i="37"/>
  <c r="I597" i="37"/>
  <c r="AH614" i="37"/>
  <c r="AG614" i="37"/>
  <c r="X597" i="37"/>
  <c r="L766" i="50" s="1"/>
  <c r="AC622" i="37"/>
  <c r="AC834" i="37" s="1"/>
  <c r="AC583" i="37"/>
  <c r="U583" i="37"/>
  <c r="AH583" i="37"/>
  <c r="AE583" i="37"/>
  <c r="AI614" i="37"/>
  <c r="AC614" i="37"/>
  <c r="Z597" i="37"/>
  <c r="W597" i="37"/>
  <c r="K766" i="50" s="1"/>
  <c r="Z583" i="37"/>
  <c r="AD622" i="37"/>
  <c r="AD834" i="37" s="1"/>
  <c r="AE622" i="37"/>
  <c r="AE834" i="37" s="1"/>
  <c r="X583" i="37"/>
  <c r="AH622" i="37"/>
  <c r="AH834" i="37" s="1"/>
  <c r="AF614" i="37"/>
  <c r="AG583" i="37"/>
  <c r="V583" i="37"/>
  <c r="AG622" i="37"/>
  <c r="AG834" i="37" s="1"/>
  <c r="T583" i="37"/>
  <c r="AF622" i="37"/>
  <c r="AF834" i="37" s="1"/>
  <c r="W583" i="37"/>
  <c r="Y597" i="37"/>
  <c r="AD614" i="37"/>
  <c r="AE614" i="37"/>
  <c r="V597" i="37"/>
  <c r="J766" i="50" s="1"/>
  <c r="AD583" i="37"/>
  <c r="AI583" i="37"/>
  <c r="Y583" i="37"/>
  <c r="AF583" i="37"/>
  <c r="AC341" i="37"/>
  <c r="AC553" i="37" s="1"/>
  <c r="I316" i="37"/>
  <c r="AB294" i="37"/>
  <c r="Z316" i="37"/>
  <c r="AD333" i="37"/>
  <c r="X316" i="37"/>
  <c r="L638" i="50" s="1"/>
  <c r="AC333" i="37"/>
  <c r="Z302" i="37"/>
  <c r="AD341" i="37"/>
  <c r="AD553" i="37" s="1"/>
  <c r="AG341" i="37"/>
  <c r="AG553" i="37" s="1"/>
  <c r="AF302" i="37"/>
  <c r="AF341" i="37"/>
  <c r="AF553" i="37" s="1"/>
  <c r="V316" i="37"/>
  <c r="J638" i="50" s="1"/>
  <c r="AG333" i="37"/>
  <c r="AI341" i="37"/>
  <c r="AE302" i="37"/>
  <c r="AD302" i="37"/>
  <c r="AC302" i="37"/>
  <c r="AE333" i="37"/>
  <c r="AH333" i="37"/>
  <c r="AF333" i="37"/>
  <c r="AH302" i="37"/>
  <c r="U302" i="37"/>
  <c r="AH341" i="37"/>
  <c r="AH553" i="37" s="1"/>
  <c r="X302" i="37"/>
  <c r="T302" i="37"/>
  <c r="Y316" i="37"/>
  <c r="V302" i="37"/>
  <c r="W316" i="37"/>
  <c r="K638" i="50" s="1"/>
  <c r="AI333" i="37"/>
  <c r="AG302" i="37"/>
  <c r="W302" i="37"/>
  <c r="AI302" i="37"/>
  <c r="Y302" i="37"/>
  <c r="AE341" i="37"/>
  <c r="AE553" i="37" s="1"/>
  <c r="X322" i="37"/>
  <c r="T689" i="50" s="1"/>
  <c r="Z322" i="37"/>
  <c r="V689" i="50" s="1"/>
  <c r="Y322" i="37"/>
  <c r="U689" i="50" s="1"/>
  <c r="W322" i="37"/>
  <c r="S689" i="50" s="1"/>
  <c r="V322" i="37"/>
  <c r="R689" i="50" s="1"/>
  <c r="N535" i="50"/>
  <c r="AB90" i="42"/>
  <c r="AB95" i="42"/>
  <c r="AB91" i="42"/>
  <c r="AB93" i="42"/>
  <c r="AB89" i="42"/>
  <c r="AB92" i="42"/>
  <c r="AB94" i="42"/>
  <c r="L1865" i="50"/>
  <c r="J1865" i="50"/>
  <c r="K1865" i="50"/>
  <c r="AL1614" i="42"/>
  <c r="AA1128" i="42"/>
  <c r="AA1130" i="42"/>
  <c r="AA1752" i="42"/>
  <c r="AA1753" i="42"/>
  <c r="AA1748" i="42"/>
  <c r="AL1751" i="42"/>
  <c r="N1669" i="42"/>
  <c r="N1670" i="42" s="1"/>
  <c r="AA1611" i="42"/>
  <c r="AA1608" i="42"/>
  <c r="M1669" i="42"/>
  <c r="M1670" i="42" s="1"/>
  <c r="AL1612" i="42"/>
  <c r="AA1303" i="42"/>
  <c r="AA1306" i="42"/>
  <c r="AL1133" i="42"/>
  <c r="I1362" i="42"/>
  <c r="I1363" i="42" s="1"/>
  <c r="AC1340" i="42"/>
  <c r="AC1356" i="42" s="1"/>
  <c r="H1356" i="42" s="1"/>
  <c r="AI1406" i="42"/>
  <c r="AI1404" i="42"/>
  <c r="AI1407" i="42" s="1"/>
  <c r="AC1345" i="42"/>
  <c r="AC1361" i="42" s="1"/>
  <c r="H1361" i="42" s="1"/>
  <c r="Y1371" i="42"/>
  <c r="M1371" i="42" s="1"/>
  <c r="M1263" i="42"/>
  <c r="M2212" i="50" s="1"/>
  <c r="AF1404" i="42"/>
  <c r="AF1407" i="42" s="1"/>
  <c r="AF1406" i="42"/>
  <c r="AC1168" i="42"/>
  <c r="AC1184" i="42" s="1"/>
  <c r="H1184" i="42" s="1"/>
  <c r="AF1233" i="42"/>
  <c r="AF1236" i="42" s="1"/>
  <c r="AF1235" i="42"/>
  <c r="AL1136" i="42"/>
  <c r="AA1131" i="42"/>
  <c r="AL1130" i="42"/>
  <c r="I1095" i="42"/>
  <c r="I1212" i="42" s="1"/>
  <c r="S2171" i="50" s="1"/>
  <c r="I2163" i="50" s="1"/>
  <c r="G1158" i="42"/>
  <c r="G1159" i="42" s="1"/>
  <c r="I1200" i="42"/>
  <c r="I1203" i="42" s="1"/>
  <c r="AC1785" i="42"/>
  <c r="AC1801" i="42" s="1"/>
  <c r="H1801" i="42" s="1"/>
  <c r="Y1816" i="42"/>
  <c r="M1710" i="42"/>
  <c r="M2368" i="50" s="1"/>
  <c r="AA1747" i="42"/>
  <c r="AL1753" i="42"/>
  <c r="AC1643" i="42"/>
  <c r="AC1659" i="42" s="1"/>
  <c r="H1659" i="42" s="1"/>
  <c r="Z1678" i="42"/>
  <c r="N1572" i="42"/>
  <c r="N2320" i="50" s="1"/>
  <c r="AC1648" i="42"/>
  <c r="AC1664" i="42" s="1"/>
  <c r="H1664" i="42" s="1"/>
  <c r="AA1612" i="42"/>
  <c r="K1572" i="42"/>
  <c r="K2320" i="50" s="1"/>
  <c r="W1678" i="42"/>
  <c r="K292" i="41"/>
  <c r="K385" i="50" s="1"/>
  <c r="N1362" i="42"/>
  <c r="N1363" i="42" s="1"/>
  <c r="AC1336" i="42"/>
  <c r="AC1352" i="42" s="1"/>
  <c r="H1352" i="42" s="1"/>
  <c r="AC1344" i="42"/>
  <c r="AC1360" i="42" s="1"/>
  <c r="H1360" i="42" s="1"/>
  <c r="AA1301" i="42"/>
  <c r="AC1343" i="42"/>
  <c r="AC1359" i="42" s="1"/>
  <c r="H1359" i="42" s="1"/>
  <c r="AA1299" i="42"/>
  <c r="Z1371" i="42"/>
  <c r="N1371" i="42" s="1"/>
  <c r="N1263" i="42"/>
  <c r="N2212" i="50" s="1"/>
  <c r="AC1337" i="42"/>
  <c r="AC1353" i="42" s="1"/>
  <c r="H1353" i="42" s="1"/>
  <c r="AA1300" i="42"/>
  <c r="AL1396" i="42"/>
  <c r="AC1403" i="42"/>
  <c r="AL1307" i="42"/>
  <c r="AL1302" i="42"/>
  <c r="AL1303" i="42"/>
  <c r="AH1406" i="42"/>
  <c r="AH1404" i="42"/>
  <c r="AH1407" i="42" s="1"/>
  <c r="AL1301" i="42"/>
  <c r="I1403" i="42"/>
  <c r="I1404" i="42" s="1"/>
  <c r="I1329" i="42"/>
  <c r="I1330" i="42" s="1"/>
  <c r="AL1131" i="42"/>
  <c r="AC1167" i="42"/>
  <c r="AC1183" i="42" s="1"/>
  <c r="H1183" i="42" s="1"/>
  <c r="Z1200" i="42"/>
  <c r="N1092" i="42"/>
  <c r="N2152" i="50" s="1"/>
  <c r="AA1136" i="42"/>
  <c r="AC1172" i="42"/>
  <c r="AC1188" i="42" s="1"/>
  <c r="H1188" i="42" s="1"/>
  <c r="AL1132" i="42"/>
  <c r="L1191" i="42"/>
  <c r="L1192" i="42" s="1"/>
  <c r="AL1134" i="42"/>
  <c r="AG1233" i="42"/>
  <c r="AG1236" i="42" s="1"/>
  <c r="AG1235" i="42"/>
  <c r="AL1135" i="42"/>
  <c r="AD1233" i="42"/>
  <c r="AD1236" i="42" s="1"/>
  <c r="AD1235" i="42"/>
  <c r="AA1137" i="42"/>
  <c r="AH1235" i="42"/>
  <c r="AH1233" i="42"/>
  <c r="AH1236" i="42" s="1"/>
  <c r="AL1128" i="42"/>
  <c r="AC1786" i="42"/>
  <c r="AC1802" i="42" s="1"/>
  <c r="H1802" i="42" s="1"/>
  <c r="AL1747" i="42"/>
  <c r="AC1789" i="42"/>
  <c r="AC1805" i="42" s="1"/>
  <c r="H1805" i="42" s="1"/>
  <c r="AC1787" i="42"/>
  <c r="AC1803" i="42" s="1"/>
  <c r="H1803" i="42" s="1"/>
  <c r="AA1746" i="42"/>
  <c r="AL1750" i="42"/>
  <c r="AL1749" i="42"/>
  <c r="I1713" i="42"/>
  <c r="I1828" i="42" s="1"/>
  <c r="S2387" i="50" s="1"/>
  <c r="I2379" i="50" s="1"/>
  <c r="G1774" i="42"/>
  <c r="I1816" i="42"/>
  <c r="AA1609" i="42"/>
  <c r="AC1650" i="42"/>
  <c r="AC1666" i="42" s="1"/>
  <c r="H1666" i="42" s="1"/>
  <c r="AC1652" i="42"/>
  <c r="AC1668" i="42" s="1"/>
  <c r="H1668" i="42" s="1"/>
  <c r="AC1645" i="42"/>
  <c r="AC1661" i="42" s="1"/>
  <c r="H1661" i="42" s="1"/>
  <c r="AL1610" i="42"/>
  <c r="M1572" i="42"/>
  <c r="M2320" i="50" s="1"/>
  <c r="Y1678" i="42"/>
  <c r="AL1608" i="42"/>
  <c r="AA1614" i="42"/>
  <c r="L1572" i="42"/>
  <c r="L2320" i="50" s="1"/>
  <c r="X1678" i="42"/>
  <c r="V1678" i="42"/>
  <c r="J1572" i="42"/>
  <c r="J2320" i="50" s="1"/>
  <c r="M1362" i="42"/>
  <c r="M1363" i="42" s="1"/>
  <c r="AL1304" i="42"/>
  <c r="AC1341" i="42"/>
  <c r="AC1357" i="42" s="1"/>
  <c r="H1357" i="42" s="1"/>
  <c r="AL1305" i="42"/>
  <c r="AC1338" i="42"/>
  <c r="AC1354" i="42" s="1"/>
  <c r="H1354" i="42" s="1"/>
  <c r="AA1307" i="42"/>
  <c r="AA1308" i="42"/>
  <c r="AG1406" i="42"/>
  <c r="AG1404" i="42"/>
  <c r="AG1407" i="42" s="1"/>
  <c r="AL1299" i="42"/>
  <c r="AL1308" i="42"/>
  <c r="AL1300" i="42"/>
  <c r="AA1304" i="42"/>
  <c r="J1362" i="42"/>
  <c r="J1363" i="42" s="1"/>
  <c r="L1362" i="42"/>
  <c r="L1363" i="42" s="1"/>
  <c r="K1362" i="42"/>
  <c r="K1363" i="42" s="1"/>
  <c r="K1403" i="42"/>
  <c r="K1404" i="42" s="1"/>
  <c r="K1329" i="42"/>
  <c r="K1330" i="42" s="1"/>
  <c r="J1403" i="42"/>
  <c r="J1404" i="42" s="1"/>
  <c r="J1329" i="42"/>
  <c r="J1330" i="42" s="1"/>
  <c r="AA1132" i="42"/>
  <c r="AA1135" i="42"/>
  <c r="M1191" i="42"/>
  <c r="M1192" i="42" s="1"/>
  <c r="AC1170" i="42"/>
  <c r="AC1186" i="42" s="1"/>
  <c r="H1186" i="42" s="1"/>
  <c r="AI1235" i="42"/>
  <c r="AI1233" i="42"/>
  <c r="AI1236" i="42" s="1"/>
  <c r="AC1174" i="42"/>
  <c r="AC1190" i="42" s="1"/>
  <c r="H1190" i="42" s="1"/>
  <c r="Y1200" i="42"/>
  <c r="M1092" i="42"/>
  <c r="M2152" i="50" s="1"/>
  <c r="AA1129" i="42"/>
  <c r="N1807" i="42"/>
  <c r="N1808" i="42" s="1"/>
  <c r="AC1784" i="42"/>
  <c r="AC1800" i="42" s="1"/>
  <c r="H1800" i="42" s="1"/>
  <c r="Z1816" i="42"/>
  <c r="N1710" i="42"/>
  <c r="N2368" i="50" s="1"/>
  <c r="AC1783" i="42"/>
  <c r="AC1799" i="42" s="1"/>
  <c r="H1799" i="42" s="1"/>
  <c r="AL1744" i="42"/>
  <c r="AC1782" i="42"/>
  <c r="AC1798" i="42" s="1"/>
  <c r="H1798" i="42" s="1"/>
  <c r="AA1751" i="42"/>
  <c r="AL1745" i="42"/>
  <c r="L1710" i="42"/>
  <c r="L2368" i="50" s="1"/>
  <c r="X1816" i="42"/>
  <c r="K1710" i="42"/>
  <c r="K2368" i="50" s="1"/>
  <c r="W1816" i="42"/>
  <c r="AC1644" i="42"/>
  <c r="AC1660" i="42" s="1"/>
  <c r="H1660" i="42" s="1"/>
  <c r="AA1613" i="42"/>
  <c r="AA1606" i="42"/>
  <c r="AA1615" i="42"/>
  <c r="AC1647" i="42"/>
  <c r="AC1663" i="42" s="1"/>
  <c r="H1663" i="42" s="1"/>
  <c r="AL1613" i="42"/>
  <c r="AL1609" i="42"/>
  <c r="I1669" i="42"/>
  <c r="I1670" i="42" s="1"/>
  <c r="AL1606" i="42"/>
  <c r="N292" i="41"/>
  <c r="N385" i="50" s="1"/>
  <c r="I292" i="41"/>
  <c r="I385" i="50" s="1"/>
  <c r="H292" i="41"/>
  <c r="H385" i="50" s="1"/>
  <c r="AC1342" i="42"/>
  <c r="AC1358" i="42" s="1"/>
  <c r="H1358" i="42" s="1"/>
  <c r="AL1306" i="42"/>
  <c r="AC1339" i="42"/>
  <c r="AC1355" i="42" s="1"/>
  <c r="H1355" i="42" s="1"/>
  <c r="AA1305" i="42"/>
  <c r="AE1406" i="42"/>
  <c r="AE1404" i="42"/>
  <c r="AE1407" i="42" s="1"/>
  <c r="H1329" i="42"/>
  <c r="H1330" i="42" s="1"/>
  <c r="H1403" i="42"/>
  <c r="H1404" i="42" s="1"/>
  <c r="AA1302" i="42"/>
  <c r="AD1404" i="42"/>
  <c r="AD1407" i="42" s="1"/>
  <c r="AD1406" i="42"/>
  <c r="X1371" i="42"/>
  <c r="L1371" i="42" s="1"/>
  <c r="L1263" i="42"/>
  <c r="L2212" i="50" s="1"/>
  <c r="V1371" i="42"/>
  <c r="J1371" i="42" s="1"/>
  <c r="J1263" i="42"/>
  <c r="J2212" i="50" s="1"/>
  <c r="W1371" i="42"/>
  <c r="K1371" i="42" s="1"/>
  <c r="K1263" i="42"/>
  <c r="K2212" i="50" s="1"/>
  <c r="I1266" i="42"/>
  <c r="I1383" i="42" s="1"/>
  <c r="S2231" i="50" s="1"/>
  <c r="I2223" i="50" s="1"/>
  <c r="G1329" i="42"/>
  <c r="G1330" i="42" s="1"/>
  <c r="I1371" i="42"/>
  <c r="I1374" i="42" s="1"/>
  <c r="N1191" i="42"/>
  <c r="N1192" i="42" s="1"/>
  <c r="AC1173" i="42"/>
  <c r="AC1189" i="42" s="1"/>
  <c r="H1189" i="42" s="1"/>
  <c r="AA1134" i="42"/>
  <c r="AL1137" i="42"/>
  <c r="AC1169" i="42"/>
  <c r="AC1185" i="42" s="1"/>
  <c r="H1185" i="42" s="1"/>
  <c r="AC1166" i="42"/>
  <c r="AC1182" i="42" s="1"/>
  <c r="H1182" i="42" s="1"/>
  <c r="AL1129" i="42"/>
  <c r="AC1171" i="42"/>
  <c r="AC1187" i="42" s="1"/>
  <c r="H1187" i="42" s="1"/>
  <c r="AA1133" i="42"/>
  <c r="K1191" i="42"/>
  <c r="AE1233" i="42"/>
  <c r="AE1236" i="42" s="1"/>
  <c r="AE1235" i="42"/>
  <c r="AC1232" i="42"/>
  <c r="AL1225" i="42"/>
  <c r="J1191" i="42"/>
  <c r="AA1749" i="42"/>
  <c r="AC1790" i="42"/>
  <c r="AC1806" i="42" s="1"/>
  <c r="H1806" i="42" s="1"/>
  <c r="AA1745" i="42"/>
  <c r="AL1746" i="42"/>
  <c r="AC1788" i="42"/>
  <c r="AC1804" i="42" s="1"/>
  <c r="H1804" i="42" s="1"/>
  <c r="AA1750" i="42"/>
  <c r="AL1748" i="42"/>
  <c r="AA1744" i="42"/>
  <c r="AL1752" i="42"/>
  <c r="J1710" i="42"/>
  <c r="J2368" i="50" s="1"/>
  <c r="V1816" i="42"/>
  <c r="AC1651" i="42"/>
  <c r="AC1667" i="42" s="1"/>
  <c r="H1667" i="42" s="1"/>
  <c r="AC1646" i="42"/>
  <c r="AC1662" i="42" s="1"/>
  <c r="H1662" i="42" s="1"/>
  <c r="AC1649" i="42"/>
  <c r="AC1665" i="42" s="1"/>
  <c r="H1665" i="42" s="1"/>
  <c r="AA1610" i="42"/>
  <c r="AA1607" i="42"/>
  <c r="AL1615" i="42"/>
  <c r="AL1611" i="42"/>
  <c r="AL1607" i="42"/>
  <c r="L1669" i="42"/>
  <c r="L1670" i="42" s="1"/>
  <c r="J1669" i="42"/>
  <c r="J1670" i="42" s="1"/>
  <c r="I1575" i="42"/>
  <c r="I1690" i="42" s="1"/>
  <c r="S2339" i="50" s="1"/>
  <c r="I2331" i="50" s="1"/>
  <c r="I1678" i="42"/>
  <c r="I1681" i="42" s="1"/>
  <c r="G1636" i="42"/>
  <c r="G1637" i="42" s="1"/>
  <c r="AL1637" i="42" s="1"/>
  <c r="H1061" i="42"/>
  <c r="J1061" i="42"/>
  <c r="I1061" i="42"/>
  <c r="K1061" i="42"/>
  <c r="K2011" i="50"/>
  <c r="J2011" i="50"/>
  <c r="AC1061" i="42"/>
  <c r="AL1054" i="42"/>
  <c r="AH1062" i="42"/>
  <c r="AH1065" i="42" s="1"/>
  <c r="AH1064" i="42"/>
  <c r="AD1064" i="42"/>
  <c r="AD1062" i="42"/>
  <c r="AD1065" i="42" s="1"/>
  <c r="J291" i="41"/>
  <c r="J384" i="50" s="1"/>
  <c r="M291" i="41"/>
  <c r="M384" i="50" s="1"/>
  <c r="L290" i="41"/>
  <c r="L383" i="50" s="1"/>
  <c r="AF1062" i="42"/>
  <c r="AF1065" i="42" s="1"/>
  <c r="AF1064" i="42"/>
  <c r="AG1062" i="42"/>
  <c r="AG1065" i="42" s="1"/>
  <c r="AG1064" i="42"/>
  <c r="AI1064" i="42"/>
  <c r="AI1062" i="42"/>
  <c r="AI1065" i="42" s="1"/>
  <c r="AE1064" i="42"/>
  <c r="AE1062" i="42"/>
  <c r="AE1065" i="42" s="1"/>
  <c r="AL966" i="42"/>
  <c r="AA961" i="42"/>
  <c r="AL964" i="42"/>
  <c r="AL1477" i="42"/>
  <c r="AA514" i="42"/>
  <c r="AA517" i="42"/>
  <c r="AA738" i="42"/>
  <c r="AL960" i="42"/>
  <c r="Z1012" i="42"/>
  <c r="N576" i="42"/>
  <c r="N577" i="42" s="1"/>
  <c r="AC1508" i="42"/>
  <c r="AC1524" i="42" s="1"/>
  <c r="H1524" i="42" s="1"/>
  <c r="AC1510" i="42"/>
  <c r="AC1526" i="42" s="1"/>
  <c r="H1526" i="42" s="1"/>
  <c r="AL1472" i="42"/>
  <c r="AL1469" i="42"/>
  <c r="AL1473" i="42"/>
  <c r="V1540" i="42"/>
  <c r="J1434" i="42"/>
  <c r="J2272" i="50" s="1"/>
  <c r="Y1540" i="42"/>
  <c r="M1434" i="42"/>
  <c r="M2272" i="50" s="1"/>
  <c r="N799" i="42"/>
  <c r="N800" i="42" s="1"/>
  <c r="M799" i="42"/>
  <c r="M800" i="42" s="1"/>
  <c r="AI853" i="42"/>
  <c r="AI867" i="42"/>
  <c r="AI868" i="42" s="1"/>
  <c r="AC782" i="42"/>
  <c r="AC798" i="42" s="1"/>
  <c r="H798" i="42" s="1"/>
  <c r="T895" i="42"/>
  <c r="T887" i="42"/>
  <c r="T899" i="42"/>
  <c r="T843" i="42"/>
  <c r="T891" i="42"/>
  <c r="T883" i="42"/>
  <c r="I701" i="42"/>
  <c r="I820" i="42" s="1"/>
  <c r="S2038" i="50" s="1"/>
  <c r="AA744" i="42"/>
  <c r="AE867" i="42"/>
  <c r="AE868" i="42" s="1"/>
  <c r="AE853" i="42"/>
  <c r="AA741" i="42"/>
  <c r="Y883" i="42"/>
  <c r="Y895" i="42"/>
  <c r="Y891" i="42"/>
  <c r="Y887" i="42"/>
  <c r="Y843" i="42"/>
  <c r="Y899" i="42"/>
  <c r="W891" i="42"/>
  <c r="W899" i="42"/>
  <c r="W843" i="42"/>
  <c r="W895" i="42"/>
  <c r="W883" i="42"/>
  <c r="W887" i="42"/>
  <c r="Y808" i="42"/>
  <c r="V757" i="42"/>
  <c r="Z757" i="42"/>
  <c r="Y757" i="42"/>
  <c r="W757" i="42"/>
  <c r="X757" i="42"/>
  <c r="T757" i="42"/>
  <c r="U757" i="42"/>
  <c r="AC1002" i="42"/>
  <c r="AC1018" i="42" s="1"/>
  <c r="H1018" i="42" s="1"/>
  <c r="AL957" i="42"/>
  <c r="W1029" i="42"/>
  <c r="K921" i="42"/>
  <c r="K2092" i="50" s="1"/>
  <c r="J921" i="42"/>
  <c r="J2092" i="50" s="1"/>
  <c r="V1029" i="42"/>
  <c r="J987" i="42"/>
  <c r="J988" i="42" s="1"/>
  <c r="Y1010" i="42"/>
  <c r="Z1010" i="42"/>
  <c r="AC559" i="42"/>
  <c r="AC575" i="42" s="1"/>
  <c r="H575" i="42" s="1"/>
  <c r="Z620" i="42"/>
  <c r="Z664" i="42"/>
  <c r="Z672" i="42"/>
  <c r="Z676" i="42"/>
  <c r="Z668" i="42"/>
  <c r="Z660" i="42"/>
  <c r="AC555" i="42"/>
  <c r="AC571" i="42" s="1"/>
  <c r="H571" i="42" s="1"/>
  <c r="AC558" i="42"/>
  <c r="AC574" i="42" s="1"/>
  <c r="H574" i="42" s="1"/>
  <c r="AH630" i="42"/>
  <c r="AH644" i="42"/>
  <c r="AH645" i="42" s="1"/>
  <c r="Y676" i="42"/>
  <c r="Y660" i="42"/>
  <c r="Y668" i="42"/>
  <c r="Y620" i="42"/>
  <c r="Y672" i="42"/>
  <c r="Y664" i="42"/>
  <c r="AE644" i="42"/>
  <c r="AE645" i="42" s="1"/>
  <c r="AE630" i="42"/>
  <c r="AL517" i="42"/>
  <c r="AF644" i="42"/>
  <c r="AF645" i="42" s="1"/>
  <c r="AF630" i="42"/>
  <c r="AD644" i="42"/>
  <c r="AD645" i="42" s="1"/>
  <c r="AD630" i="42"/>
  <c r="U668" i="42"/>
  <c r="U660" i="42"/>
  <c r="U676" i="42"/>
  <c r="U664" i="42"/>
  <c r="U620" i="42"/>
  <c r="U672" i="42"/>
  <c r="Z532" i="42"/>
  <c r="X532" i="42"/>
  <c r="U532" i="42"/>
  <c r="T532" i="42"/>
  <c r="W532" i="42"/>
  <c r="Y532" i="42"/>
  <c r="V532" i="42"/>
  <c r="AA293" i="42"/>
  <c r="AL292" i="42"/>
  <c r="AA290" i="42"/>
  <c r="Z1522" i="42"/>
  <c r="AA1468" i="42"/>
  <c r="AC1513" i="42"/>
  <c r="AC1529" i="42" s="1"/>
  <c r="H1529" i="42" s="1"/>
  <c r="M1531" i="42"/>
  <c r="M1532" i="42" s="1"/>
  <c r="AC1514" i="42"/>
  <c r="AC1530" i="42" s="1"/>
  <c r="H1530" i="42" s="1"/>
  <c r="Y1522" i="42"/>
  <c r="Y1523" i="42"/>
  <c r="L1531" i="42"/>
  <c r="L1532" i="42" s="1"/>
  <c r="AA1477" i="42"/>
  <c r="AA1470" i="42"/>
  <c r="G1498" i="42"/>
  <c r="G1499" i="42" s="1"/>
  <c r="AL1499" i="42" s="1"/>
  <c r="I1540" i="42"/>
  <c r="I1543" i="42" s="1"/>
  <c r="AA743" i="42"/>
  <c r="AC781" i="42"/>
  <c r="AC797" i="42" s="1"/>
  <c r="H797" i="42" s="1"/>
  <c r="X883" i="42"/>
  <c r="X891" i="42"/>
  <c r="X899" i="42"/>
  <c r="X895" i="42"/>
  <c r="X887" i="42"/>
  <c r="X843" i="42"/>
  <c r="L799" i="42"/>
  <c r="L800" i="42" s="1"/>
  <c r="W755" i="42"/>
  <c r="U755" i="42"/>
  <c r="Y755" i="42"/>
  <c r="V755" i="42"/>
  <c r="X755" i="42"/>
  <c r="Z755" i="42"/>
  <c r="T755" i="42"/>
  <c r="X808" i="42"/>
  <c r="AA962" i="42"/>
  <c r="AC999" i="42"/>
  <c r="AC1015" i="42" s="1"/>
  <c r="H1015" i="42" s="1"/>
  <c r="AC997" i="42"/>
  <c r="AC1013" i="42" s="1"/>
  <c r="H1013" i="42" s="1"/>
  <c r="AA959" i="42"/>
  <c r="AA958" i="42"/>
  <c r="AC1000" i="42"/>
  <c r="AC1016" i="42" s="1"/>
  <c r="H1016" i="42" s="1"/>
  <c r="G987" i="42"/>
  <c r="G988" i="42" s="1"/>
  <c r="I1029" i="42"/>
  <c r="I1032" i="42" s="1"/>
  <c r="I924" i="42"/>
  <c r="I1041" i="42" s="1"/>
  <c r="S2111" i="50" s="1"/>
  <c r="I2103" i="50" s="1"/>
  <c r="AA964" i="42"/>
  <c r="AL961" i="42"/>
  <c r="U978" i="42"/>
  <c r="Z978" i="42"/>
  <c r="T978" i="42"/>
  <c r="W978" i="42"/>
  <c r="V978" i="42"/>
  <c r="X978" i="42"/>
  <c r="Y978" i="42"/>
  <c r="Y1029" i="42"/>
  <c r="M921" i="42"/>
  <c r="M2092" i="50" s="1"/>
  <c r="Z1029" i="42"/>
  <c r="N921" i="42"/>
  <c r="N2092" i="50" s="1"/>
  <c r="AC553" i="42"/>
  <c r="AC569" i="42" s="1"/>
  <c r="H569" i="42" s="1"/>
  <c r="AC557" i="42"/>
  <c r="AC573" i="42" s="1"/>
  <c r="H573" i="42" s="1"/>
  <c r="AI644" i="42"/>
  <c r="AI645" i="42" s="1"/>
  <c r="AI630" i="42"/>
  <c r="AC556" i="42"/>
  <c r="AC572" i="42" s="1"/>
  <c r="H572" i="42" s="1"/>
  <c r="G543" i="42"/>
  <c r="I585" i="42"/>
  <c r="I588" i="42" s="1"/>
  <c r="AL522" i="42"/>
  <c r="M576" i="42"/>
  <c r="M577" i="42" s="1"/>
  <c r="L576" i="42"/>
  <c r="L577" i="42" s="1"/>
  <c r="AL513" i="42"/>
  <c r="AL516" i="42"/>
  <c r="V668" i="42"/>
  <c r="V660" i="42"/>
  <c r="V672" i="42"/>
  <c r="V676" i="42"/>
  <c r="V664" i="42"/>
  <c r="V620" i="42"/>
  <c r="V585" i="42"/>
  <c r="J475" i="42"/>
  <c r="J1946" i="50" s="1"/>
  <c r="X585" i="42"/>
  <c r="L475" i="42"/>
  <c r="L1946" i="50" s="1"/>
  <c r="J543" i="42"/>
  <c r="Y585" i="42"/>
  <c r="M475" i="42"/>
  <c r="M1946" i="50" s="1"/>
  <c r="W534" i="42"/>
  <c r="Y534" i="42"/>
  <c r="V534" i="42"/>
  <c r="T534" i="42"/>
  <c r="X534" i="42"/>
  <c r="Z534" i="42"/>
  <c r="U534" i="42"/>
  <c r="W585" i="42"/>
  <c r="K475" i="42"/>
  <c r="K1946" i="50" s="1"/>
  <c r="AA1475" i="42"/>
  <c r="AL1470" i="42"/>
  <c r="AC1512" i="42"/>
  <c r="AC1528" i="42" s="1"/>
  <c r="H1528" i="42" s="1"/>
  <c r="AA1474" i="42"/>
  <c r="AA1471" i="42"/>
  <c r="X1523" i="42"/>
  <c r="AA1472" i="42"/>
  <c r="AL1475" i="42"/>
  <c r="AL1474" i="42"/>
  <c r="X1540" i="42"/>
  <c r="L1434" i="42"/>
  <c r="L2272" i="50" s="1"/>
  <c r="I1437" i="42"/>
  <c r="I1552" i="42" s="1"/>
  <c r="S2291" i="50" s="1"/>
  <c r="I2283" i="50" s="1"/>
  <c r="AA742" i="42"/>
  <c r="AC779" i="42"/>
  <c r="AC795" i="42" s="1"/>
  <c r="H795" i="42" s="1"/>
  <c r="AC778" i="42"/>
  <c r="AC794" i="42" s="1"/>
  <c r="H794" i="42" s="1"/>
  <c r="Z887" i="42"/>
  <c r="Z899" i="42"/>
  <c r="Z895" i="42"/>
  <c r="Z883" i="42"/>
  <c r="Z891" i="42"/>
  <c r="Z843" i="42"/>
  <c r="AA737" i="42"/>
  <c r="AH867" i="42"/>
  <c r="AH868" i="42" s="1"/>
  <c r="AH853" i="42"/>
  <c r="AG867" i="42"/>
  <c r="AG868" i="42" s="1"/>
  <c r="AG853" i="42"/>
  <c r="AF867" i="42"/>
  <c r="AF868" i="42" s="1"/>
  <c r="AF853" i="42"/>
  <c r="W756" i="42"/>
  <c r="Z756" i="42"/>
  <c r="V756" i="42"/>
  <c r="U756" i="42"/>
  <c r="T756" i="42"/>
  <c r="Y756" i="42"/>
  <c r="X756" i="42"/>
  <c r="Z1011" i="42"/>
  <c r="Y1011" i="42"/>
  <c r="AC1003" i="42"/>
  <c r="AC1019" i="42" s="1"/>
  <c r="H1019" i="42" s="1"/>
  <c r="AC1001" i="42"/>
  <c r="AC1017" i="42" s="1"/>
  <c r="H1017" i="42" s="1"/>
  <c r="AL963" i="42"/>
  <c r="AL965" i="42"/>
  <c r="AL959" i="42"/>
  <c r="AL962" i="42"/>
  <c r="Y976" i="42"/>
  <c r="U976" i="42"/>
  <c r="T976" i="42"/>
  <c r="V976" i="42"/>
  <c r="W976" i="42"/>
  <c r="Z976" i="42"/>
  <c r="X976" i="42"/>
  <c r="I987" i="42"/>
  <c r="I988" i="42" s="1"/>
  <c r="H987" i="42"/>
  <c r="H988" i="42" s="1"/>
  <c r="AA521" i="42"/>
  <c r="AA519" i="42"/>
  <c r="AA513" i="42"/>
  <c r="AC554" i="42"/>
  <c r="AC570" i="42" s="1"/>
  <c r="H570" i="42" s="1"/>
  <c r="T676" i="42"/>
  <c r="T660" i="42"/>
  <c r="T672" i="42"/>
  <c r="T664" i="42"/>
  <c r="T620" i="42"/>
  <c r="T668" i="42"/>
  <c r="AG630" i="42"/>
  <c r="AG644" i="42"/>
  <c r="AG645" i="42" s="1"/>
  <c r="AA522" i="42"/>
  <c r="AL520" i="42"/>
  <c r="AL521" i="42"/>
  <c r="AL519" i="42"/>
  <c r="I478" i="42"/>
  <c r="I597" i="42" s="1"/>
  <c r="S1965" i="50" s="1"/>
  <c r="I1957" i="50" s="1"/>
  <c r="Z585" i="42"/>
  <c r="N475" i="42"/>
  <c r="N1946" i="50" s="1"/>
  <c r="I543" i="42"/>
  <c r="X533" i="42"/>
  <c r="T533" i="42"/>
  <c r="V533" i="42"/>
  <c r="Z533" i="42"/>
  <c r="W533" i="42"/>
  <c r="Y533" i="42"/>
  <c r="U533" i="42"/>
  <c r="W672" i="42"/>
  <c r="W620" i="42"/>
  <c r="W668" i="42"/>
  <c r="W660" i="42"/>
  <c r="W676" i="42"/>
  <c r="W664" i="42"/>
  <c r="AA1469" i="42"/>
  <c r="AA1476" i="42"/>
  <c r="AC1509" i="42"/>
  <c r="AC1525" i="42" s="1"/>
  <c r="H1525" i="42" s="1"/>
  <c r="AA1473" i="42"/>
  <c r="AC1511" i="42"/>
  <c r="AC1527" i="42" s="1"/>
  <c r="H1527" i="42" s="1"/>
  <c r="X1522" i="42"/>
  <c r="AL1471" i="42"/>
  <c r="AL1476" i="42"/>
  <c r="AL1468" i="42"/>
  <c r="W1487" i="42"/>
  <c r="T1487" i="42"/>
  <c r="U1487" i="42"/>
  <c r="X1487" i="42"/>
  <c r="Y1487" i="42"/>
  <c r="V1487" i="42"/>
  <c r="Z1487" i="42"/>
  <c r="T1489" i="42"/>
  <c r="X1489" i="42"/>
  <c r="Z1489" i="42"/>
  <c r="W1489" i="42"/>
  <c r="Y1489" i="42"/>
  <c r="U1489" i="42"/>
  <c r="V1489" i="42"/>
  <c r="W1540" i="42"/>
  <c r="K1434" i="42"/>
  <c r="K2272" i="50" s="1"/>
  <c r="X1521" i="42"/>
  <c r="Y1521" i="42"/>
  <c r="Z1521" i="42"/>
  <c r="Z1540" i="42"/>
  <c r="N1434" i="42"/>
  <c r="N2272" i="50" s="1"/>
  <c r="T1488" i="42"/>
  <c r="X1488" i="42"/>
  <c r="W1488" i="42"/>
  <c r="U1488" i="42"/>
  <c r="Y1488" i="42"/>
  <c r="Z1488" i="42"/>
  <c r="V1488" i="42"/>
  <c r="AC780" i="42"/>
  <c r="AC796" i="42" s="1"/>
  <c r="H796" i="42" s="1"/>
  <c r="AA739" i="42"/>
  <c r="AC777" i="42"/>
  <c r="AC793" i="42" s="1"/>
  <c r="H793" i="42" s="1"/>
  <c r="AA740" i="42"/>
  <c r="AC776" i="42"/>
  <c r="AC792" i="42" s="1"/>
  <c r="H792" i="42" s="1"/>
  <c r="G766" i="42"/>
  <c r="I808" i="42"/>
  <c r="I811" i="42" s="1"/>
  <c r="AA736" i="42"/>
  <c r="AC853" i="42"/>
  <c r="AC867" i="42"/>
  <c r="AC868" i="42" s="1"/>
  <c r="AL843" i="42"/>
  <c r="AD867" i="42"/>
  <c r="AD868" i="42" s="1"/>
  <c r="AD853" i="42"/>
  <c r="AA745" i="42"/>
  <c r="V883" i="42"/>
  <c r="V891" i="42"/>
  <c r="V887" i="42"/>
  <c r="V899" i="42"/>
  <c r="V895" i="42"/>
  <c r="V843" i="42"/>
  <c r="Z808" i="42"/>
  <c r="N698" i="42"/>
  <c r="W808" i="42"/>
  <c r="V808" i="42"/>
  <c r="U891" i="42"/>
  <c r="U887" i="42"/>
  <c r="U895" i="42"/>
  <c r="U843" i="42"/>
  <c r="U899" i="42"/>
  <c r="U883" i="42"/>
  <c r="N1020" i="42"/>
  <c r="N1021" i="42" s="1"/>
  <c r="AA960" i="42"/>
  <c r="AA957" i="42"/>
  <c r="AC998" i="42"/>
  <c r="AC1014" i="42" s="1"/>
  <c r="H1014" i="42" s="1"/>
  <c r="AA965" i="42"/>
  <c r="AA963" i="42"/>
  <c r="AA966" i="42"/>
  <c r="X1011" i="42"/>
  <c r="AL958" i="42"/>
  <c r="X1010" i="42"/>
  <c r="K987" i="42"/>
  <c r="K988" i="42" s="1"/>
  <c r="X1029" i="42"/>
  <c r="L921" i="42"/>
  <c r="L2092" i="50" s="1"/>
  <c r="U977" i="42"/>
  <c r="W977" i="42"/>
  <c r="Z977" i="42"/>
  <c r="T977" i="42"/>
  <c r="V977" i="42"/>
  <c r="Y977" i="42"/>
  <c r="X977" i="42"/>
  <c r="AA520" i="42"/>
  <c r="AA515" i="42"/>
  <c r="AL514" i="42"/>
  <c r="AL518" i="42"/>
  <c r="AA516" i="42"/>
  <c r="AA518" i="42"/>
  <c r="AL515" i="42"/>
  <c r="AC644" i="42"/>
  <c r="AC645" i="42" s="1"/>
  <c r="AC630" i="42"/>
  <c r="AL620" i="42"/>
  <c r="X668" i="42"/>
  <c r="X676" i="42"/>
  <c r="X672" i="42"/>
  <c r="X664" i="42"/>
  <c r="X620" i="42"/>
  <c r="X660" i="42"/>
  <c r="K543" i="42"/>
  <c r="H543" i="42"/>
  <c r="AA296" i="42"/>
  <c r="L292" i="41"/>
  <c r="L385" i="50" s="1"/>
  <c r="J292" i="41"/>
  <c r="J385" i="50" s="1"/>
  <c r="AA299" i="42"/>
  <c r="AL291" i="42"/>
  <c r="AL298" i="42"/>
  <c r="AA294" i="42"/>
  <c r="AL297" i="42"/>
  <c r="Z453" i="42"/>
  <c r="Z441" i="42"/>
  <c r="Z437" i="42"/>
  <c r="Z445" i="42"/>
  <c r="Z397" i="42"/>
  <c r="Z449" i="42"/>
  <c r="AC332" i="42"/>
  <c r="AC348" i="42" s="1"/>
  <c r="H348" i="42" s="1"/>
  <c r="AC331" i="42"/>
  <c r="AC347" i="42" s="1"/>
  <c r="H347" i="42" s="1"/>
  <c r="Y445" i="42"/>
  <c r="Y441" i="42"/>
  <c r="Y397" i="42"/>
  <c r="Y453" i="42"/>
  <c r="Y449" i="42"/>
  <c r="Y437" i="42"/>
  <c r="AC421" i="42"/>
  <c r="AC422" i="42" s="1"/>
  <c r="AC407" i="42"/>
  <c r="AA298" i="42"/>
  <c r="U441" i="42"/>
  <c r="U397" i="42"/>
  <c r="U453" i="42"/>
  <c r="U445" i="42"/>
  <c r="U437" i="42"/>
  <c r="U449" i="42"/>
  <c r="W449" i="42"/>
  <c r="W437" i="42"/>
  <c r="W445" i="42"/>
  <c r="W397" i="42"/>
  <c r="W441" i="42"/>
  <c r="W453" i="42"/>
  <c r="Y310" i="42"/>
  <c r="Z310" i="42"/>
  <c r="X310" i="42"/>
  <c r="W310" i="42"/>
  <c r="T310" i="42"/>
  <c r="U310" i="42"/>
  <c r="V310" i="42"/>
  <c r="I255" i="42"/>
  <c r="I374" i="42" s="1"/>
  <c r="G320" i="42"/>
  <c r="I362" i="42"/>
  <c r="I365" i="42" s="1"/>
  <c r="N353" i="42"/>
  <c r="N354" i="42" s="1"/>
  <c r="AC334" i="42"/>
  <c r="AC350" i="42" s="1"/>
  <c r="H350" i="42" s="1"/>
  <c r="AC336" i="42"/>
  <c r="AC352" i="42" s="1"/>
  <c r="H352" i="42" s="1"/>
  <c r="M353" i="42"/>
  <c r="M354" i="42" s="1"/>
  <c r="AA295" i="42"/>
  <c r="AA291" i="42"/>
  <c r="AE421" i="42"/>
  <c r="AE422" i="42" s="1"/>
  <c r="AE407" i="42"/>
  <c r="AF421" i="42"/>
  <c r="AF422" i="42" s="1"/>
  <c r="AF407" i="42"/>
  <c r="AL296" i="42"/>
  <c r="Y362" i="42"/>
  <c r="M252" i="42"/>
  <c r="M1873" i="50" s="1"/>
  <c r="T309" i="42"/>
  <c r="V309" i="42"/>
  <c r="U309" i="42"/>
  <c r="Y309" i="42"/>
  <c r="Z309" i="42"/>
  <c r="X309" i="42"/>
  <c r="W309" i="42"/>
  <c r="V311" i="42"/>
  <c r="X311" i="42"/>
  <c r="Y311" i="42"/>
  <c r="U311" i="42"/>
  <c r="W311" i="42"/>
  <c r="T311" i="42"/>
  <c r="Z311" i="42"/>
  <c r="X453" i="42"/>
  <c r="X437" i="42"/>
  <c r="X445" i="42"/>
  <c r="X397" i="42"/>
  <c r="X441" i="42"/>
  <c r="X449" i="42"/>
  <c r="AC330" i="42"/>
  <c r="AC346" i="42" s="1"/>
  <c r="H346" i="42" s="1"/>
  <c r="AC335" i="42"/>
  <c r="AC351" i="42" s="1"/>
  <c r="H351" i="42" s="1"/>
  <c r="T437" i="42"/>
  <c r="T445" i="42"/>
  <c r="T453" i="42"/>
  <c r="T441" i="42"/>
  <c r="T397" i="42"/>
  <c r="T449" i="42"/>
  <c r="AA292" i="42"/>
  <c r="AH421" i="42"/>
  <c r="AH422" i="42" s="1"/>
  <c r="AH407" i="42"/>
  <c r="L353" i="42"/>
  <c r="L354" i="42" s="1"/>
  <c r="AL299" i="42"/>
  <c r="AL290" i="42"/>
  <c r="V449" i="42"/>
  <c r="V397" i="42"/>
  <c r="V453" i="42"/>
  <c r="V445" i="42"/>
  <c r="V437" i="42"/>
  <c r="V441" i="42"/>
  <c r="AL294" i="42"/>
  <c r="Z362" i="42"/>
  <c r="N252" i="42"/>
  <c r="N1873" i="50" s="1"/>
  <c r="AC333" i="42"/>
  <c r="AC349" i="42" s="1"/>
  <c r="H349" i="42" s="1"/>
  <c r="AL397" i="42"/>
  <c r="AI407" i="42"/>
  <c r="AI421" i="42"/>
  <c r="AI422" i="42" s="1"/>
  <c r="AL293" i="42"/>
  <c r="AD407" i="42"/>
  <c r="AD421" i="42"/>
  <c r="AD422" i="42" s="1"/>
  <c r="AG421" i="42"/>
  <c r="AG422" i="42" s="1"/>
  <c r="AG407" i="42"/>
  <c r="AA297" i="42"/>
  <c r="AL295" i="42"/>
  <c r="K288" i="41"/>
  <c r="K381" i="50" s="1"/>
  <c r="H291" i="41"/>
  <c r="H384" i="50" s="1"/>
  <c r="N291" i="41"/>
  <c r="N384" i="50" s="1"/>
  <c r="K291" i="41"/>
  <c r="K384" i="50" s="1"/>
  <c r="L288" i="41"/>
  <c r="L381" i="50" s="1"/>
  <c r="I288" i="41"/>
  <c r="I381" i="50" s="1"/>
  <c r="E425" i="50"/>
  <c r="Q340" i="41"/>
  <c r="E371" i="41"/>
  <c r="J290" i="41"/>
  <c r="J383" i="50" s="1"/>
  <c r="M290" i="41"/>
  <c r="M383" i="50" s="1"/>
  <c r="E370" i="41"/>
  <c r="E424" i="50"/>
  <c r="Q339" i="41"/>
  <c r="J289" i="41"/>
  <c r="J382" i="50" s="1"/>
  <c r="K290" i="41"/>
  <c r="K383" i="50" s="1"/>
  <c r="L289" i="41"/>
  <c r="L382" i="50" s="1"/>
  <c r="I289" i="41"/>
  <c r="I382" i="50" s="1"/>
  <c r="J288" i="41"/>
  <c r="J381" i="50" s="1"/>
  <c r="H290" i="41"/>
  <c r="H383" i="50" s="1"/>
  <c r="N290" i="41"/>
  <c r="N383" i="50" s="1"/>
  <c r="M288" i="41"/>
  <c r="M381" i="50" s="1"/>
  <c r="H288" i="41"/>
  <c r="H381" i="50" s="1"/>
  <c r="Q338" i="41"/>
  <c r="E423" i="50"/>
  <c r="E369" i="41"/>
  <c r="N289" i="41"/>
  <c r="N382" i="50" s="1"/>
  <c r="K289" i="41"/>
  <c r="K382" i="50" s="1"/>
  <c r="E422" i="50"/>
  <c r="Q337" i="41"/>
  <c r="E368" i="41"/>
  <c r="H289" i="41"/>
  <c r="H382" i="50" s="1"/>
  <c r="Q336" i="41"/>
  <c r="E421" i="50"/>
  <c r="E367" i="41"/>
  <c r="J96" i="42"/>
  <c r="I96" i="42"/>
  <c r="K96" i="42"/>
  <c r="H96" i="42"/>
  <c r="I23" i="37"/>
  <c r="I506" i="50" s="1"/>
  <c r="AA68" i="42"/>
  <c r="K23" i="37"/>
  <c r="K506" i="50" s="1"/>
  <c r="AC184" i="42"/>
  <c r="AL174" i="42"/>
  <c r="AC198" i="42"/>
  <c r="AC199" i="42" s="1"/>
  <c r="AA69" i="42"/>
  <c r="V174" i="42"/>
  <c r="V230" i="42"/>
  <c r="V222" i="42"/>
  <c r="V214" i="42"/>
  <c r="V218" i="42"/>
  <c r="V226" i="42"/>
  <c r="AA75" i="42"/>
  <c r="AL70" i="42"/>
  <c r="AG184" i="42"/>
  <c r="AG198" i="42"/>
  <c r="AG199" i="42" s="1"/>
  <c r="X41" i="37"/>
  <c r="T561" i="50" s="1"/>
  <c r="Y41" i="37"/>
  <c r="U561" i="50" s="1"/>
  <c r="V41" i="37"/>
  <c r="R561" i="50" s="1"/>
  <c r="W41" i="37"/>
  <c r="S561" i="50" s="1"/>
  <c r="Z41" i="37"/>
  <c r="V561" i="50" s="1"/>
  <c r="AC107" i="42"/>
  <c r="AC123" i="42" s="1"/>
  <c r="H123" i="42" s="1"/>
  <c r="X139" i="42"/>
  <c r="AL68" i="42"/>
  <c r="AL76" i="42"/>
  <c r="AC112" i="42"/>
  <c r="AC128" i="42" s="1"/>
  <c r="H128" i="42" s="1"/>
  <c r="AE184" i="42"/>
  <c r="AE198" i="42"/>
  <c r="AE199" i="42" s="1"/>
  <c r="AA74" i="42"/>
  <c r="AC109" i="42"/>
  <c r="AC125" i="42" s="1"/>
  <c r="H125" i="42" s="1"/>
  <c r="AC111" i="42"/>
  <c r="AC127" i="42" s="1"/>
  <c r="H127" i="42" s="1"/>
  <c r="AA67" i="42"/>
  <c r="AL72" i="42"/>
  <c r="T214" i="42"/>
  <c r="T226" i="42"/>
  <c r="T174" i="42"/>
  <c r="T230" i="42"/>
  <c r="T222" i="42"/>
  <c r="T218" i="42"/>
  <c r="AH184" i="42"/>
  <c r="AH198" i="42"/>
  <c r="AH199" i="42" s="1"/>
  <c r="V139" i="42"/>
  <c r="AC113" i="42"/>
  <c r="AC129" i="42" s="1"/>
  <c r="H129" i="42" s="1"/>
  <c r="I139" i="42"/>
  <c r="U222" i="42"/>
  <c r="U230" i="42"/>
  <c r="U214" i="42"/>
  <c r="U226" i="42"/>
  <c r="U174" i="42"/>
  <c r="U218" i="42"/>
  <c r="AI198" i="42"/>
  <c r="AI199" i="42" s="1"/>
  <c r="AI184" i="42"/>
  <c r="X214" i="42"/>
  <c r="X222" i="42"/>
  <c r="X226" i="42"/>
  <c r="X230" i="42"/>
  <c r="X174" i="42"/>
  <c r="X218" i="42"/>
  <c r="AD198" i="42"/>
  <c r="AD199" i="42" s="1"/>
  <c r="AD184" i="42"/>
  <c r="AL71" i="42"/>
  <c r="AL73" i="42"/>
  <c r="T88" i="42"/>
  <c r="V88" i="42"/>
  <c r="W88" i="42"/>
  <c r="U88" i="42"/>
  <c r="Y88" i="42"/>
  <c r="X88" i="42"/>
  <c r="Z88" i="42"/>
  <c r="AA72" i="42"/>
  <c r="Y86" i="42"/>
  <c r="Z86" i="42"/>
  <c r="U86" i="42"/>
  <c r="V86" i="42"/>
  <c r="X86" i="42"/>
  <c r="W86" i="42"/>
  <c r="AL74" i="42"/>
  <c r="W222" i="42"/>
  <c r="W230" i="42"/>
  <c r="W218" i="42"/>
  <c r="W214" i="42"/>
  <c r="W174" i="42"/>
  <c r="W226" i="42"/>
  <c r="AA70" i="42"/>
  <c r="AL75" i="42"/>
  <c r="E420" i="50"/>
  <c r="Q335" i="41"/>
  <c r="E366" i="41"/>
  <c r="AI52" i="37"/>
  <c r="AB13" i="37"/>
  <c r="T571" i="50"/>
  <c r="I35" i="37"/>
  <c r="AC52" i="37"/>
  <c r="AD60" i="37"/>
  <c r="AD272" i="37" s="1"/>
  <c r="Y35" i="37"/>
  <c r="M510" i="50" s="1"/>
  <c r="AG21" i="37"/>
  <c r="AH52" i="37"/>
  <c r="AF60" i="37"/>
  <c r="AE60" i="37"/>
  <c r="AE52" i="37"/>
  <c r="AE21" i="37"/>
  <c r="AF52" i="37"/>
  <c r="V35" i="37"/>
  <c r="J510" i="50" s="1"/>
  <c r="Z35" i="37"/>
  <c r="N510" i="50" s="1"/>
  <c r="Y21" i="37"/>
  <c r="AD21" i="37"/>
  <c r="X21" i="37"/>
  <c r="U21" i="37"/>
  <c r="J23" i="37"/>
  <c r="J506" i="50" s="1"/>
  <c r="AH21" i="37"/>
  <c r="AH60" i="37"/>
  <c r="AH272" i="37" s="1"/>
  <c r="AG52" i="37"/>
  <c r="W21" i="37"/>
  <c r="AC60" i="37"/>
  <c r="AG60" i="37"/>
  <c r="AG272" i="37" s="1"/>
  <c r="AC21" i="37"/>
  <c r="W35" i="37"/>
  <c r="K510" i="50" s="1"/>
  <c r="V21" i="37"/>
  <c r="AI60" i="37"/>
  <c r="X35" i="37"/>
  <c r="L510" i="50" s="1"/>
  <c r="AI21" i="37"/>
  <c r="T21" i="37"/>
  <c r="AD52" i="37"/>
  <c r="AF21" i="37"/>
  <c r="Z21" i="37"/>
  <c r="AA71" i="42"/>
  <c r="Y174" i="42"/>
  <c r="Y226" i="42"/>
  <c r="Y222" i="42"/>
  <c r="Y214" i="42"/>
  <c r="Y218" i="42"/>
  <c r="Y230" i="42"/>
  <c r="W87" i="42"/>
  <c r="Y87" i="42"/>
  <c r="X87" i="42"/>
  <c r="U87" i="42"/>
  <c r="Z87" i="42"/>
  <c r="T87" i="42"/>
  <c r="V87" i="42"/>
  <c r="AL69" i="42"/>
  <c r="AC108" i="42"/>
  <c r="AC124" i="42" s="1"/>
  <c r="H124" i="42" s="1"/>
  <c r="W139" i="42"/>
  <c r="AC110" i="42"/>
  <c r="AC126" i="42" s="1"/>
  <c r="H126" i="42" s="1"/>
  <c r="AL67" i="42"/>
  <c r="AF184" i="42"/>
  <c r="AF198" i="42"/>
  <c r="AF199" i="42" s="1"/>
  <c r="Z174" i="42"/>
  <c r="Z226" i="42"/>
  <c r="Z222" i="42"/>
  <c r="Z214" i="42"/>
  <c r="Z218" i="42"/>
  <c r="Z230" i="42"/>
  <c r="AA73" i="42"/>
  <c r="Y139" i="42"/>
  <c r="AA76" i="42"/>
  <c r="Z139" i="42"/>
  <c r="N29" i="42"/>
  <c r="N1800" i="50" s="1"/>
  <c r="H287" i="41"/>
  <c r="I287" i="41"/>
  <c r="N287" i="41"/>
  <c r="K287" i="41"/>
  <c r="J287" i="41"/>
  <c r="M287" i="41"/>
  <c r="L287" i="41"/>
  <c r="L1678" i="42" l="1"/>
  <c r="M1678" i="42"/>
  <c r="K1678" i="42"/>
  <c r="K1679" i="42" s="1"/>
  <c r="N1678" i="42"/>
  <c r="N1680" i="42" s="1"/>
  <c r="AK1396" i="37"/>
  <c r="AK1115" i="37"/>
  <c r="L1202" i="42"/>
  <c r="N1200" i="42"/>
  <c r="N1201" i="42" s="1"/>
  <c r="N2156" i="50" s="1"/>
  <c r="M1200" i="42"/>
  <c r="Y1203" i="42" s="1"/>
  <c r="L1352" i="37"/>
  <c r="X1290" i="37"/>
  <c r="X1310" i="37"/>
  <c r="X1390" i="37"/>
  <c r="X1200" i="37"/>
  <c r="X1300" i="37"/>
  <c r="X1278" i="37"/>
  <c r="X1384" i="37"/>
  <c r="X1375" i="37"/>
  <c r="X1318" i="37"/>
  <c r="X1168" i="37"/>
  <c r="X1251" i="37"/>
  <c r="I1352" i="37"/>
  <c r="U1375" i="37"/>
  <c r="U1290" i="37"/>
  <c r="U1278" i="37"/>
  <c r="U1390" i="37"/>
  <c r="U1310" i="37"/>
  <c r="U1318" i="37"/>
  <c r="U1300" i="37"/>
  <c r="U1251" i="37"/>
  <c r="U1384" i="37"/>
  <c r="K1352" i="37"/>
  <c r="W1390" i="37"/>
  <c r="W1375" i="37"/>
  <c r="W1278" i="37"/>
  <c r="W1310" i="37"/>
  <c r="W1251" i="37"/>
  <c r="W1318" i="37"/>
  <c r="W1384" i="37"/>
  <c r="W1168" i="37"/>
  <c r="W1290" i="37"/>
  <c r="W1200" i="37"/>
  <c r="W1300" i="37"/>
  <c r="AI1274" i="37"/>
  <c r="AI1313" i="37"/>
  <c r="AI1328" i="37"/>
  <c r="AI1390" i="37"/>
  <c r="AI1259" i="37"/>
  <c r="AI1260" i="37" s="1"/>
  <c r="AI1404" i="37"/>
  <c r="AI1309" i="37"/>
  <c r="AI1310" i="37" s="1"/>
  <c r="AI1300" i="37"/>
  <c r="AI1251" i="37"/>
  <c r="AI1216" i="37"/>
  <c r="AI1217" i="37" s="1"/>
  <c r="AI1218" i="37" s="1"/>
  <c r="AI1219" i="37" s="1"/>
  <c r="AI1220" i="37" s="1"/>
  <c r="AI1221" i="37" s="1"/>
  <c r="AI1222" i="37" s="1"/>
  <c r="AI1223" i="37" s="1"/>
  <c r="AI1224" i="37" s="1"/>
  <c r="AI1225" i="37" s="1"/>
  <c r="V1356" i="37"/>
  <c r="J1159" i="37"/>
  <c r="V1191" i="37"/>
  <c r="I1162" i="37"/>
  <c r="I1168" i="37" s="1"/>
  <c r="I1194" i="37"/>
  <c r="I1200" i="37" s="1"/>
  <c r="I1359" i="37"/>
  <c r="I1365" i="37" s="1"/>
  <c r="H1352" i="37"/>
  <c r="T1300" i="37"/>
  <c r="T1318" i="37"/>
  <c r="T1310" i="37"/>
  <c r="T1278" i="37"/>
  <c r="T1375" i="37"/>
  <c r="T1290" i="37"/>
  <c r="T1384" i="37"/>
  <c r="T1390" i="37"/>
  <c r="T1251" i="37"/>
  <c r="N1352" i="37"/>
  <c r="Z1300" i="37"/>
  <c r="Z1278" i="37"/>
  <c r="Z1310" i="37"/>
  <c r="Z1384" i="37"/>
  <c r="Z1251" i="37"/>
  <c r="Z1290" i="37"/>
  <c r="Z1200" i="37"/>
  <c r="Z1375" i="37"/>
  <c r="Z1390" i="37"/>
  <c r="Z1168" i="37"/>
  <c r="Z1318" i="37"/>
  <c r="AK1176" i="37"/>
  <c r="AK1145" i="37"/>
  <c r="X1191" i="37"/>
  <c r="X1356" i="37"/>
  <c r="L1159" i="37"/>
  <c r="AC1216" i="37"/>
  <c r="AC1309" i="37"/>
  <c r="AC1404" i="37"/>
  <c r="AC1274" i="37"/>
  <c r="AC1251" i="37"/>
  <c r="AK1184" i="37"/>
  <c r="AC1313" i="37"/>
  <c r="AC1300" i="37"/>
  <c r="AC1259" i="37"/>
  <c r="AC1390" i="37"/>
  <c r="AC1328" i="37"/>
  <c r="AE1274" i="37"/>
  <c r="AE1216" i="37"/>
  <c r="AE1217" i="37" s="1"/>
  <c r="AE1218" i="37" s="1"/>
  <c r="AE1219" i="37" s="1"/>
  <c r="AE1220" i="37" s="1"/>
  <c r="AE1221" i="37" s="1"/>
  <c r="AE1222" i="37" s="1"/>
  <c r="AE1223" i="37" s="1"/>
  <c r="AE1224" i="37" s="1"/>
  <c r="AE1225" i="37" s="1"/>
  <c r="AE1390" i="37"/>
  <c r="AE1328" i="37"/>
  <c r="AE1404" i="37"/>
  <c r="AE1300" i="37"/>
  <c r="AE1309" i="37"/>
  <c r="AE1310" i="37" s="1"/>
  <c r="AE1313" i="37"/>
  <c r="AE1259" i="37"/>
  <c r="AE1260" i="37" s="1"/>
  <c r="AE1251" i="37"/>
  <c r="AH1313" i="37"/>
  <c r="AH1259" i="37"/>
  <c r="AH1260" i="37" s="1"/>
  <c r="AH1274" i="37"/>
  <c r="AH1309" i="37"/>
  <c r="AH1310" i="37" s="1"/>
  <c r="AH1390" i="37"/>
  <c r="AH1216" i="37"/>
  <c r="AH1217" i="37" s="1"/>
  <c r="AH1218" i="37" s="1"/>
  <c r="AH1219" i="37" s="1"/>
  <c r="AH1220" i="37" s="1"/>
  <c r="AH1221" i="37" s="1"/>
  <c r="AH1222" i="37" s="1"/>
  <c r="AH1223" i="37" s="1"/>
  <c r="AH1224" i="37" s="1"/>
  <c r="AH1225" i="37" s="1"/>
  <c r="AH1404" i="37"/>
  <c r="AH1328" i="37"/>
  <c r="AH1300" i="37"/>
  <c r="AH1251" i="37"/>
  <c r="K1159" i="37"/>
  <c r="W1191" i="37"/>
  <c r="W1356" i="37"/>
  <c r="J1030" i="50"/>
  <c r="I1081" i="50"/>
  <c r="J1029" i="50" s="1"/>
  <c r="I1069" i="50"/>
  <c r="M1159" i="37"/>
  <c r="Y1356" i="37"/>
  <c r="Y1191" i="37"/>
  <c r="AD1390" i="37"/>
  <c r="AD1300" i="37"/>
  <c r="AD1328" i="37"/>
  <c r="AD1259" i="37"/>
  <c r="AD1260" i="37" s="1"/>
  <c r="AD1274" i="37"/>
  <c r="AD1313" i="37"/>
  <c r="AD1216" i="37"/>
  <c r="AD1217" i="37" s="1"/>
  <c r="AD1218" i="37" s="1"/>
  <c r="AD1219" i="37" s="1"/>
  <c r="AD1220" i="37" s="1"/>
  <c r="AD1221" i="37" s="1"/>
  <c r="AD1222" i="37" s="1"/>
  <c r="AD1223" i="37" s="1"/>
  <c r="AD1224" i="37" s="1"/>
  <c r="AD1225" i="37" s="1"/>
  <c r="AD1404" i="37"/>
  <c r="AD1309" i="37"/>
  <c r="AD1310" i="37" s="1"/>
  <c r="AD1251" i="37"/>
  <c r="J1352" i="37"/>
  <c r="V1318" i="37"/>
  <c r="V1390" i="37"/>
  <c r="V1200" i="37"/>
  <c r="V1290" i="37"/>
  <c r="V1278" i="37"/>
  <c r="V1384" i="37"/>
  <c r="V1310" i="37"/>
  <c r="V1251" i="37"/>
  <c r="V1375" i="37"/>
  <c r="V1168" i="37"/>
  <c r="V1300" i="37"/>
  <c r="AG1259" i="37"/>
  <c r="AG1260" i="37" s="1"/>
  <c r="AG1404" i="37"/>
  <c r="AG1313" i="37"/>
  <c r="AG1216" i="37"/>
  <c r="AG1217" i="37" s="1"/>
  <c r="AG1218" i="37" s="1"/>
  <c r="AG1219" i="37" s="1"/>
  <c r="AG1220" i="37" s="1"/>
  <c r="AG1221" i="37" s="1"/>
  <c r="AG1222" i="37" s="1"/>
  <c r="AG1223" i="37" s="1"/>
  <c r="AG1224" i="37" s="1"/>
  <c r="AG1225" i="37" s="1"/>
  <c r="AG1390" i="37"/>
  <c r="AG1274" i="37"/>
  <c r="AG1251" i="37"/>
  <c r="AG1300" i="37"/>
  <c r="AG1309" i="37"/>
  <c r="AG1310" i="37" s="1"/>
  <c r="AG1328" i="37"/>
  <c r="AF1251" i="37"/>
  <c r="AF1313" i="37"/>
  <c r="AF1216" i="37"/>
  <c r="AF1217" i="37" s="1"/>
  <c r="AF1218" i="37" s="1"/>
  <c r="AF1219" i="37" s="1"/>
  <c r="AF1220" i="37" s="1"/>
  <c r="AF1221" i="37" s="1"/>
  <c r="AF1222" i="37" s="1"/>
  <c r="AF1223" i="37" s="1"/>
  <c r="AF1224" i="37" s="1"/>
  <c r="AF1225" i="37" s="1"/>
  <c r="AF1404" i="37"/>
  <c r="AF1274" i="37"/>
  <c r="AF1259" i="37"/>
  <c r="AF1260" i="37" s="1"/>
  <c r="AF1328" i="37"/>
  <c r="AF1300" i="37"/>
  <c r="AF1390" i="37"/>
  <c r="AF1309" i="37"/>
  <c r="AF1310" i="37" s="1"/>
  <c r="M1352" i="37"/>
  <c r="Y1310" i="37"/>
  <c r="Y1251" i="37"/>
  <c r="Y1384" i="37"/>
  <c r="Y1300" i="37"/>
  <c r="Y1290" i="37"/>
  <c r="Y1318" i="37"/>
  <c r="Y1168" i="37"/>
  <c r="Y1390" i="37"/>
  <c r="Y1375" i="37"/>
  <c r="Y1200" i="37"/>
  <c r="Y1278" i="37"/>
  <c r="Z1356" i="37"/>
  <c r="N1159" i="37"/>
  <c r="Z1191" i="37"/>
  <c r="X1075" i="37"/>
  <c r="L878" i="37"/>
  <c r="X910" i="37"/>
  <c r="U970" i="37"/>
  <c r="U1109" i="37"/>
  <c r="U1103" i="37"/>
  <c r="U1029" i="37"/>
  <c r="U1094" i="37"/>
  <c r="U1037" i="37"/>
  <c r="U1019" i="37"/>
  <c r="U997" i="37"/>
  <c r="U1009" i="37"/>
  <c r="I1071" i="37"/>
  <c r="W1075" i="37"/>
  <c r="K878" i="37"/>
  <c r="W910" i="37"/>
  <c r="AG970" i="37"/>
  <c r="AG1032" i="37"/>
  <c r="AG978" i="37"/>
  <c r="AG979" i="37" s="1"/>
  <c r="AG935" i="37"/>
  <c r="AG936" i="37" s="1"/>
  <c r="AG937" i="37" s="1"/>
  <c r="AG938" i="37" s="1"/>
  <c r="AG939" i="37" s="1"/>
  <c r="AG940" i="37" s="1"/>
  <c r="AG941" i="37" s="1"/>
  <c r="AG942" i="37" s="1"/>
  <c r="AG943" i="37" s="1"/>
  <c r="AG944" i="37" s="1"/>
  <c r="AG993" i="37"/>
  <c r="AG1047" i="37"/>
  <c r="AG1109" i="37"/>
  <c r="AG1028" i="37"/>
  <c r="AG1029" i="37" s="1"/>
  <c r="AG1019" i="37"/>
  <c r="AG1123" i="37"/>
  <c r="AD1047" i="37"/>
  <c r="AD1019" i="37"/>
  <c r="AD1109" i="37"/>
  <c r="AD935" i="37"/>
  <c r="AD936" i="37" s="1"/>
  <c r="AD937" i="37" s="1"/>
  <c r="AD938" i="37" s="1"/>
  <c r="AD939" i="37" s="1"/>
  <c r="AD940" i="37" s="1"/>
  <c r="AD941" i="37" s="1"/>
  <c r="AD942" i="37" s="1"/>
  <c r="AD943" i="37" s="1"/>
  <c r="AD944" i="37" s="1"/>
  <c r="AD978" i="37"/>
  <c r="AD979" i="37" s="1"/>
  <c r="AD1028" i="37"/>
  <c r="AD1029" i="37" s="1"/>
  <c r="AD1123" i="37"/>
  <c r="AD970" i="37"/>
  <c r="AD1032" i="37"/>
  <c r="AD993" i="37"/>
  <c r="V1075" i="37"/>
  <c r="J878" i="37"/>
  <c r="V910" i="37"/>
  <c r="J902" i="50"/>
  <c r="I953" i="50"/>
  <c r="J901" i="50" s="1"/>
  <c r="I941" i="50"/>
  <c r="AK864" i="37"/>
  <c r="AC1047" i="37"/>
  <c r="AK903" i="37"/>
  <c r="AC970" i="37"/>
  <c r="AC1028" i="37"/>
  <c r="AC1019" i="37"/>
  <c r="AC993" i="37"/>
  <c r="AC935" i="37"/>
  <c r="AC1123" i="37"/>
  <c r="AC1109" i="37"/>
  <c r="AC978" i="37"/>
  <c r="AC1032" i="37"/>
  <c r="Y997" i="37"/>
  <c r="Y1029" i="37"/>
  <c r="Y1103" i="37"/>
  <c r="Y1037" i="37"/>
  <c r="Y970" i="37"/>
  <c r="Y1094" i="37"/>
  <c r="Y1019" i="37"/>
  <c r="Y1109" i="37"/>
  <c r="M1071" i="37"/>
  <c r="Y887" i="37"/>
  <c r="Y1009" i="37"/>
  <c r="Y919" i="37"/>
  <c r="V1029" i="37"/>
  <c r="V1019" i="37"/>
  <c r="V1103" i="37"/>
  <c r="V919" i="37"/>
  <c r="V887" i="37"/>
  <c r="V1009" i="37"/>
  <c r="V1037" i="37"/>
  <c r="V970" i="37"/>
  <c r="V997" i="37"/>
  <c r="V1094" i="37"/>
  <c r="V1109" i="37"/>
  <c r="J1071" i="37"/>
  <c r="Z1019" i="37"/>
  <c r="Z1037" i="37"/>
  <c r="Z1029" i="37"/>
  <c r="Z970" i="37"/>
  <c r="Z1109" i="37"/>
  <c r="Z1103" i="37"/>
  <c r="N1071" i="37"/>
  <c r="Z1009" i="37"/>
  <c r="Z1094" i="37"/>
  <c r="Z997" i="37"/>
  <c r="Z919" i="37"/>
  <c r="Z887" i="37"/>
  <c r="AI1047" i="37"/>
  <c r="AI978" i="37"/>
  <c r="AI979" i="37" s="1"/>
  <c r="AI993" i="37"/>
  <c r="AI970" i="37"/>
  <c r="AI1109" i="37"/>
  <c r="AI1019" i="37"/>
  <c r="AI1028" i="37"/>
  <c r="AI1029" i="37" s="1"/>
  <c r="AI935" i="37"/>
  <c r="AI936" i="37" s="1"/>
  <c r="AI937" i="37" s="1"/>
  <c r="AI938" i="37" s="1"/>
  <c r="AI939" i="37" s="1"/>
  <c r="AI940" i="37" s="1"/>
  <c r="AI941" i="37" s="1"/>
  <c r="AI942" i="37" s="1"/>
  <c r="AI943" i="37" s="1"/>
  <c r="AI944" i="37" s="1"/>
  <c r="AI1123" i="37"/>
  <c r="AI1032" i="37"/>
  <c r="AK895" i="37"/>
  <c r="W1103" i="37"/>
  <c r="W1019" i="37"/>
  <c r="K1071" i="37"/>
  <c r="W1037" i="37"/>
  <c r="W919" i="37"/>
  <c r="W970" i="37"/>
  <c r="W887" i="37"/>
  <c r="W1029" i="37"/>
  <c r="W1109" i="37"/>
  <c r="W1009" i="37"/>
  <c r="W997" i="37"/>
  <c r="W1094" i="37"/>
  <c r="AF1123" i="37"/>
  <c r="AF993" i="37"/>
  <c r="AF935" i="37"/>
  <c r="AF936" i="37" s="1"/>
  <c r="AF937" i="37" s="1"/>
  <c r="AF938" i="37" s="1"/>
  <c r="AF939" i="37" s="1"/>
  <c r="AF940" i="37" s="1"/>
  <c r="AF941" i="37" s="1"/>
  <c r="AF942" i="37" s="1"/>
  <c r="AF943" i="37" s="1"/>
  <c r="AF944" i="37" s="1"/>
  <c r="AF978" i="37"/>
  <c r="AF979" i="37" s="1"/>
  <c r="AF1019" i="37"/>
  <c r="AF1109" i="37"/>
  <c r="AF1032" i="37"/>
  <c r="AF1047" i="37"/>
  <c r="AF970" i="37"/>
  <c r="AF1028" i="37"/>
  <c r="AF1029" i="37" s="1"/>
  <c r="Z910" i="37"/>
  <c r="N878" i="37"/>
  <c r="Z1075" i="37"/>
  <c r="AH935" i="37"/>
  <c r="AH936" i="37" s="1"/>
  <c r="AH937" i="37" s="1"/>
  <c r="AH938" i="37" s="1"/>
  <c r="AH939" i="37" s="1"/>
  <c r="AH940" i="37" s="1"/>
  <c r="AH941" i="37" s="1"/>
  <c r="AH942" i="37" s="1"/>
  <c r="AH943" i="37" s="1"/>
  <c r="AH944" i="37" s="1"/>
  <c r="AH1123" i="37"/>
  <c r="AH1028" i="37"/>
  <c r="AH1029" i="37" s="1"/>
  <c r="AH970" i="37"/>
  <c r="AH1019" i="37"/>
  <c r="AH993" i="37"/>
  <c r="AH1032" i="37"/>
  <c r="AH1047" i="37"/>
  <c r="AH1109" i="37"/>
  <c r="AH978" i="37"/>
  <c r="AH979" i="37" s="1"/>
  <c r="AE993" i="37"/>
  <c r="AE1032" i="37"/>
  <c r="AE935" i="37"/>
  <c r="AE936" i="37" s="1"/>
  <c r="AE937" i="37" s="1"/>
  <c r="AE938" i="37" s="1"/>
  <c r="AE939" i="37" s="1"/>
  <c r="AE940" i="37" s="1"/>
  <c r="AE941" i="37" s="1"/>
  <c r="AE942" i="37" s="1"/>
  <c r="AE943" i="37" s="1"/>
  <c r="AE944" i="37" s="1"/>
  <c r="AE978" i="37"/>
  <c r="AE979" i="37" s="1"/>
  <c r="AE1028" i="37"/>
  <c r="AE1029" i="37" s="1"/>
  <c r="AE970" i="37"/>
  <c r="AE1109" i="37"/>
  <c r="AE1123" i="37"/>
  <c r="AE1047" i="37"/>
  <c r="AE1019" i="37"/>
  <c r="H1071" i="37"/>
  <c r="T1019" i="37"/>
  <c r="T1037" i="37"/>
  <c r="T970" i="37"/>
  <c r="T1029" i="37"/>
  <c r="T1009" i="37"/>
  <c r="T1103" i="37"/>
  <c r="T1109" i="37"/>
  <c r="T997" i="37"/>
  <c r="T1094" i="37"/>
  <c r="X1109" i="37"/>
  <c r="L1071" i="37"/>
  <c r="X1103" i="37"/>
  <c r="X970" i="37"/>
  <c r="X1037" i="37"/>
  <c r="X919" i="37"/>
  <c r="X1019" i="37"/>
  <c r="X1009" i="37"/>
  <c r="X1029" i="37"/>
  <c r="X1094" i="37"/>
  <c r="X997" i="37"/>
  <c r="X887" i="37"/>
  <c r="Y910" i="37"/>
  <c r="M878" i="37"/>
  <c r="Y1075" i="37"/>
  <c r="I1078" i="37"/>
  <c r="I1084" i="37" s="1"/>
  <c r="I881" i="37"/>
  <c r="I887" i="37" s="1"/>
  <c r="I913" i="37"/>
  <c r="I919" i="37" s="1"/>
  <c r="Z1763" i="42"/>
  <c r="Z1773" i="42" s="1"/>
  <c r="V1763" i="42"/>
  <c r="V1773" i="42" s="1"/>
  <c r="U1763" i="42"/>
  <c r="U1773" i="42" s="1"/>
  <c r="T1763" i="42"/>
  <c r="T1773" i="42" s="1"/>
  <c r="W1763" i="42"/>
  <c r="W1773" i="42" s="1"/>
  <c r="X1763" i="42"/>
  <c r="X1773" i="42" s="1"/>
  <c r="L254" i="50"/>
  <c r="K253" i="50"/>
  <c r="L250" i="50"/>
  <c r="J255" i="50"/>
  <c r="H255" i="50"/>
  <c r="K252" i="50"/>
  <c r="I253" i="50"/>
  <c r="L252" i="50"/>
  <c r="H250" i="50"/>
  <c r="K254" i="50"/>
  <c r="J251" i="50"/>
  <c r="M252" i="50"/>
  <c r="N254" i="50"/>
  <c r="M250" i="50"/>
  <c r="J254" i="50"/>
  <c r="K251" i="50"/>
  <c r="I250" i="50"/>
  <c r="H253" i="50"/>
  <c r="J252" i="50"/>
  <c r="L221" i="47"/>
  <c r="X221" i="47" s="1"/>
  <c r="I254" i="50"/>
  <c r="I251" i="50"/>
  <c r="K221" i="47"/>
  <c r="W221" i="47" s="1"/>
  <c r="J253" i="50"/>
  <c r="N253" i="50"/>
  <c r="J250" i="50"/>
  <c r="M255" i="50"/>
  <c r="N250" i="50"/>
  <c r="I252" i="50"/>
  <c r="K255" i="50"/>
  <c r="K250" i="50"/>
  <c r="I255" i="50"/>
  <c r="L251" i="50"/>
  <c r="M253" i="50"/>
  <c r="N251" i="50"/>
  <c r="H252" i="50"/>
  <c r="M254" i="50"/>
  <c r="H251" i="50"/>
  <c r="L255" i="50"/>
  <c r="N255" i="50"/>
  <c r="N252" i="50"/>
  <c r="L253" i="50"/>
  <c r="H254" i="50"/>
  <c r="M251" i="50"/>
  <c r="J221" i="47"/>
  <c r="V221" i="47" s="1"/>
  <c r="J536" i="50" s="1"/>
  <c r="H2844" i="37"/>
  <c r="H415" i="41" s="1"/>
  <c r="H416" i="41" s="1"/>
  <c r="I470" i="47"/>
  <c r="I476" i="47" s="1"/>
  <c r="S698" i="50" s="1"/>
  <c r="J462" i="47"/>
  <c r="L467" i="47" s="1"/>
  <c r="L668" i="50" s="1"/>
  <c r="M467" i="47"/>
  <c r="M668" i="50" s="1"/>
  <c r="N467" i="47"/>
  <c r="K535" i="50"/>
  <c r="AK304" i="37"/>
  <c r="J467" i="47"/>
  <c r="J668" i="50" s="1"/>
  <c r="K1373" i="42"/>
  <c r="K1372" i="42"/>
  <c r="L1373" i="42"/>
  <c r="L1372" i="42"/>
  <c r="M1372" i="42"/>
  <c r="M1373" i="42"/>
  <c r="J1373" i="42"/>
  <c r="J1372" i="42"/>
  <c r="N1372" i="42"/>
  <c r="N1373" i="42"/>
  <c r="L1679" i="42"/>
  <c r="L1680" i="42"/>
  <c r="M1680" i="42"/>
  <c r="M1679" i="42"/>
  <c r="M2324" i="50" s="1"/>
  <c r="K1680" i="42"/>
  <c r="AK834" i="37"/>
  <c r="K1669" i="42"/>
  <c r="K1670" i="42" s="1"/>
  <c r="J315" i="50"/>
  <c r="L461" i="41"/>
  <c r="L464" i="41" s="1"/>
  <c r="L471" i="41" s="1"/>
  <c r="L192" i="41"/>
  <c r="L321" i="50" s="1"/>
  <c r="L315" i="50"/>
  <c r="M189" i="41"/>
  <c r="M318" i="50" s="1"/>
  <c r="N189" i="41"/>
  <c r="N318" i="50" s="1"/>
  <c r="M315" i="50"/>
  <c r="N461" i="41"/>
  <c r="N464" i="41" s="1"/>
  <c r="N471" i="41" s="1"/>
  <c r="M192" i="41"/>
  <c r="M321" i="50" s="1"/>
  <c r="N315" i="50"/>
  <c r="I461" i="41"/>
  <c r="I463" i="41" s="1"/>
  <c r="I189" i="41"/>
  <c r="I318" i="50" s="1"/>
  <c r="H315" i="50"/>
  <c r="K315" i="50"/>
  <c r="H189" i="41"/>
  <c r="H318" i="50" s="1"/>
  <c r="J189" i="41"/>
  <c r="J318" i="50" s="1"/>
  <c r="I315" i="50"/>
  <c r="K461" i="41"/>
  <c r="K464" i="41" s="1"/>
  <c r="K471" i="41" s="1"/>
  <c r="K216" i="41" s="1"/>
  <c r="K338" i="50" s="1"/>
  <c r="H192" i="41"/>
  <c r="H321" i="50" s="1"/>
  <c r="K192" i="41"/>
  <c r="K321" i="50" s="1"/>
  <c r="J461" i="41"/>
  <c r="J464" i="41" s="1"/>
  <c r="J471" i="41" s="1"/>
  <c r="J216" i="41" s="1"/>
  <c r="J338" i="50" s="1"/>
  <c r="I557" i="50"/>
  <c r="I569" i="50"/>
  <c r="J517" i="50" s="1"/>
  <c r="J518" i="50"/>
  <c r="V629" i="37"/>
  <c r="V794" i="37"/>
  <c r="J597" i="37"/>
  <c r="W716" i="37"/>
  <c r="W728" i="37"/>
  <c r="W756" i="37"/>
  <c r="W822" i="37"/>
  <c r="W748" i="37"/>
  <c r="W813" i="37"/>
  <c r="W689" i="37"/>
  <c r="W738" i="37"/>
  <c r="W828" i="37"/>
  <c r="K790" i="37"/>
  <c r="V813" i="37"/>
  <c r="J790" i="37"/>
  <c r="V689" i="37"/>
  <c r="V738" i="37"/>
  <c r="V828" i="37"/>
  <c r="V716" i="37"/>
  <c r="V756" i="37"/>
  <c r="V748" i="37"/>
  <c r="V822" i="37"/>
  <c r="V728" i="37"/>
  <c r="X813" i="37"/>
  <c r="X748" i="37"/>
  <c r="X728" i="37"/>
  <c r="X689" i="37"/>
  <c r="X738" i="37"/>
  <c r="X828" i="37"/>
  <c r="L790" i="37"/>
  <c r="X822" i="37"/>
  <c r="X716" i="37"/>
  <c r="X756" i="37"/>
  <c r="W794" i="37"/>
  <c r="K597" i="37"/>
  <c r="W629" i="37"/>
  <c r="AC654" i="37"/>
  <c r="AC828" i="37"/>
  <c r="AC766" i="37"/>
  <c r="AK622" i="37"/>
  <c r="AC738" i="37"/>
  <c r="AC689" i="37"/>
  <c r="AC747" i="37"/>
  <c r="AC751" i="37"/>
  <c r="AC712" i="37"/>
  <c r="AC697" i="37"/>
  <c r="AC842" i="37"/>
  <c r="Y813" i="37"/>
  <c r="Y728" i="37"/>
  <c r="Y689" i="37"/>
  <c r="Y756" i="37"/>
  <c r="Y748" i="37"/>
  <c r="Y822" i="37"/>
  <c r="Y716" i="37"/>
  <c r="Y828" i="37"/>
  <c r="Y738" i="37"/>
  <c r="M790" i="37"/>
  <c r="AF766" i="37"/>
  <c r="AF654" i="37"/>
  <c r="AF655" i="37" s="1"/>
  <c r="AF656" i="37" s="1"/>
  <c r="AF657" i="37" s="1"/>
  <c r="AF658" i="37" s="1"/>
  <c r="AF659" i="37" s="1"/>
  <c r="AF660" i="37" s="1"/>
  <c r="AF661" i="37" s="1"/>
  <c r="AF662" i="37" s="1"/>
  <c r="AF663" i="37" s="1"/>
  <c r="AF689" i="37"/>
  <c r="AF712" i="37"/>
  <c r="AF842" i="37"/>
  <c r="AF747" i="37"/>
  <c r="AF748" i="37" s="1"/>
  <c r="AF738" i="37"/>
  <c r="AF697" i="37"/>
  <c r="AF698" i="37" s="1"/>
  <c r="AF751" i="37"/>
  <c r="AF828" i="37"/>
  <c r="AE828" i="37"/>
  <c r="AE689" i="37"/>
  <c r="AE738" i="37"/>
  <c r="AE712" i="37"/>
  <c r="AE842" i="37"/>
  <c r="AE766" i="37"/>
  <c r="AE654" i="37"/>
  <c r="AE655" i="37" s="1"/>
  <c r="AE656" i="37" s="1"/>
  <c r="AE657" i="37" s="1"/>
  <c r="AE658" i="37" s="1"/>
  <c r="AE659" i="37" s="1"/>
  <c r="AE660" i="37" s="1"/>
  <c r="AE661" i="37" s="1"/>
  <c r="AE662" i="37" s="1"/>
  <c r="AE663" i="37" s="1"/>
  <c r="AE697" i="37"/>
  <c r="AE698" i="37" s="1"/>
  <c r="AE747" i="37"/>
  <c r="AE748" i="37" s="1"/>
  <c r="AE751" i="37"/>
  <c r="N597" i="37"/>
  <c r="Z794" i="37"/>
  <c r="Z629" i="37"/>
  <c r="L597" i="37"/>
  <c r="X794" i="37"/>
  <c r="X629" i="37"/>
  <c r="H790" i="37"/>
  <c r="T756" i="37"/>
  <c r="T716" i="37"/>
  <c r="T689" i="37"/>
  <c r="T738" i="37"/>
  <c r="T748" i="37"/>
  <c r="T813" i="37"/>
  <c r="T728" i="37"/>
  <c r="T828" i="37"/>
  <c r="T822" i="37"/>
  <c r="AD751" i="37"/>
  <c r="AD689" i="37"/>
  <c r="AD828" i="37"/>
  <c r="AD697" i="37"/>
  <c r="AD698" i="37" s="1"/>
  <c r="AD842" i="37"/>
  <c r="AD738" i="37"/>
  <c r="AD766" i="37"/>
  <c r="AD654" i="37"/>
  <c r="AD655" i="37" s="1"/>
  <c r="AD656" i="37" s="1"/>
  <c r="AD657" i="37" s="1"/>
  <c r="AD658" i="37" s="1"/>
  <c r="AD659" i="37" s="1"/>
  <c r="AD660" i="37" s="1"/>
  <c r="AD661" i="37" s="1"/>
  <c r="AD662" i="37" s="1"/>
  <c r="AD663" i="37" s="1"/>
  <c r="AD747" i="37"/>
  <c r="AD748" i="37" s="1"/>
  <c r="AD712" i="37"/>
  <c r="AK614" i="37"/>
  <c r="U689" i="37"/>
  <c r="U738" i="37"/>
  <c r="I790" i="37"/>
  <c r="U716" i="37"/>
  <c r="U813" i="37"/>
  <c r="U728" i="37"/>
  <c r="U828" i="37"/>
  <c r="U756" i="37"/>
  <c r="U748" i="37"/>
  <c r="U822" i="37"/>
  <c r="I600" i="37"/>
  <c r="I606" i="37" s="1"/>
  <c r="S822" i="50" s="1"/>
  <c r="I797" i="37"/>
  <c r="I803" i="37" s="1"/>
  <c r="S824" i="50" s="1"/>
  <c r="I632" i="37"/>
  <c r="I638" i="37" s="1"/>
  <c r="S823" i="50" s="1"/>
  <c r="Y794" i="37"/>
  <c r="Y629" i="37"/>
  <c r="M597" i="37"/>
  <c r="AG712" i="37"/>
  <c r="AG654" i="37"/>
  <c r="AG655" i="37" s="1"/>
  <c r="AG656" i="37" s="1"/>
  <c r="AG657" i="37" s="1"/>
  <c r="AG658" i="37" s="1"/>
  <c r="AG659" i="37" s="1"/>
  <c r="AG660" i="37" s="1"/>
  <c r="AG661" i="37" s="1"/>
  <c r="AG662" i="37" s="1"/>
  <c r="AG663" i="37" s="1"/>
  <c r="AG738" i="37"/>
  <c r="AG842" i="37"/>
  <c r="AG828" i="37"/>
  <c r="AG689" i="37"/>
  <c r="AG697" i="37"/>
  <c r="AG698" i="37" s="1"/>
  <c r="AG751" i="37"/>
  <c r="AG747" i="37"/>
  <c r="AG748" i="37" s="1"/>
  <c r="AG766" i="37"/>
  <c r="AH654" i="37"/>
  <c r="AH655" i="37" s="1"/>
  <c r="AH656" i="37" s="1"/>
  <c r="AH657" i="37" s="1"/>
  <c r="AH658" i="37" s="1"/>
  <c r="AH659" i="37" s="1"/>
  <c r="AH660" i="37" s="1"/>
  <c r="AH661" i="37" s="1"/>
  <c r="AH662" i="37" s="1"/>
  <c r="AH663" i="37" s="1"/>
  <c r="AH751" i="37"/>
  <c r="AH712" i="37"/>
  <c r="AH697" i="37"/>
  <c r="AH698" i="37" s="1"/>
  <c r="AH738" i="37"/>
  <c r="AH747" i="37"/>
  <c r="AH748" i="37" s="1"/>
  <c r="AH766" i="37"/>
  <c r="AH689" i="37"/>
  <c r="AH828" i="37"/>
  <c r="AH842" i="37"/>
  <c r="Z822" i="37"/>
  <c r="Z748" i="37"/>
  <c r="Z716" i="37"/>
  <c r="Z738" i="37"/>
  <c r="Z728" i="37"/>
  <c r="Z689" i="37"/>
  <c r="Z828" i="37"/>
  <c r="N790" i="37"/>
  <c r="Z756" i="37"/>
  <c r="Z813" i="37"/>
  <c r="AK583" i="37"/>
  <c r="AI751" i="37"/>
  <c r="AI689" i="37"/>
  <c r="AI738" i="37"/>
  <c r="AI654" i="37"/>
  <c r="AI655" i="37" s="1"/>
  <c r="AI656" i="37" s="1"/>
  <c r="AI657" i="37" s="1"/>
  <c r="AI658" i="37" s="1"/>
  <c r="AI659" i="37" s="1"/>
  <c r="AI660" i="37" s="1"/>
  <c r="AI661" i="37" s="1"/>
  <c r="AI662" i="37" s="1"/>
  <c r="AI663" i="37" s="1"/>
  <c r="AI842" i="37"/>
  <c r="AI697" i="37"/>
  <c r="AI698" i="37" s="1"/>
  <c r="AI766" i="37"/>
  <c r="AI747" i="37"/>
  <c r="AI748" i="37" s="1"/>
  <c r="AI828" i="37"/>
  <c r="AI712" i="37"/>
  <c r="K316" i="37"/>
  <c r="W513" i="37"/>
  <c r="W348" i="37"/>
  <c r="K348" i="37" s="1"/>
  <c r="K656" i="50" s="1"/>
  <c r="X457" i="37"/>
  <c r="X475" i="37"/>
  <c r="X435" i="37"/>
  <c r="X541" i="37"/>
  <c r="X447" i="37"/>
  <c r="X467" i="37"/>
  <c r="X547" i="37"/>
  <c r="X408" i="37"/>
  <c r="X532" i="37"/>
  <c r="L509" i="37"/>
  <c r="J316" i="37"/>
  <c r="V513" i="37"/>
  <c r="V348" i="37"/>
  <c r="J348" i="37" s="1"/>
  <c r="J656" i="50" s="1"/>
  <c r="AD431" i="37"/>
  <c r="AD485" i="37"/>
  <c r="AD466" i="37"/>
  <c r="AD467" i="37" s="1"/>
  <c r="AD457" i="37"/>
  <c r="AD416" i="37"/>
  <c r="AD417" i="37" s="1"/>
  <c r="AD561" i="37"/>
  <c r="AD470" i="37"/>
  <c r="AD408" i="37"/>
  <c r="AD547" i="37"/>
  <c r="AD373" i="37"/>
  <c r="AD374" i="37" s="1"/>
  <c r="AD375" i="37" s="1"/>
  <c r="AD376" i="37" s="1"/>
  <c r="AD377" i="37" s="1"/>
  <c r="AD378" i="37" s="1"/>
  <c r="AD379" i="37" s="1"/>
  <c r="AD380" i="37" s="1"/>
  <c r="AD381" i="37" s="1"/>
  <c r="AD382" i="37" s="1"/>
  <c r="W447" i="37"/>
  <c r="W467" i="37"/>
  <c r="W541" i="37"/>
  <c r="W475" i="37"/>
  <c r="W457" i="37"/>
  <c r="W547" i="37"/>
  <c r="W408" i="37"/>
  <c r="W435" i="37"/>
  <c r="K509" i="37"/>
  <c r="W532" i="37"/>
  <c r="V547" i="37"/>
  <c r="V467" i="37"/>
  <c r="V447" i="37"/>
  <c r="V408" i="37"/>
  <c r="V457" i="37"/>
  <c r="V435" i="37"/>
  <c r="J509" i="37"/>
  <c r="I516" i="37" s="1"/>
  <c r="I522" i="37" s="1"/>
  <c r="S696" i="50" s="1"/>
  <c r="V541" i="37"/>
  <c r="V475" i="37"/>
  <c r="V532" i="37"/>
  <c r="AH547" i="37"/>
  <c r="AH561" i="37"/>
  <c r="AH485" i="37"/>
  <c r="AH416" i="37"/>
  <c r="AH417" i="37" s="1"/>
  <c r="AH470" i="37"/>
  <c r="AH466" i="37"/>
  <c r="AH467" i="37" s="1"/>
  <c r="AH457" i="37"/>
  <c r="AH408" i="37"/>
  <c r="AH431" i="37"/>
  <c r="AH373" i="37"/>
  <c r="AH374" i="37" s="1"/>
  <c r="AH375" i="37" s="1"/>
  <c r="AH376" i="37" s="1"/>
  <c r="AH377" i="37" s="1"/>
  <c r="AH378" i="37" s="1"/>
  <c r="AH379" i="37" s="1"/>
  <c r="AH380" i="37" s="1"/>
  <c r="AH381" i="37" s="1"/>
  <c r="AH382" i="37" s="1"/>
  <c r="AF547" i="37"/>
  <c r="AF457" i="37"/>
  <c r="AF470" i="37"/>
  <c r="AF373" i="37"/>
  <c r="AF374" i="37" s="1"/>
  <c r="AF375" i="37" s="1"/>
  <c r="AF376" i="37" s="1"/>
  <c r="AF377" i="37" s="1"/>
  <c r="AF378" i="37" s="1"/>
  <c r="AF379" i="37" s="1"/>
  <c r="AF380" i="37" s="1"/>
  <c r="AF381" i="37" s="1"/>
  <c r="AF382" i="37" s="1"/>
  <c r="AF485" i="37"/>
  <c r="AF416" i="37"/>
  <c r="AF417" i="37" s="1"/>
  <c r="AF466" i="37"/>
  <c r="AF467" i="37" s="1"/>
  <c r="AF431" i="37"/>
  <c r="AF408" i="37"/>
  <c r="AF561" i="37"/>
  <c r="Z532" i="37"/>
  <c r="Z475" i="37"/>
  <c r="Z467" i="37"/>
  <c r="Z547" i="37"/>
  <c r="Z447" i="37"/>
  <c r="Z435" i="37"/>
  <c r="Z408" i="37"/>
  <c r="N509" i="37"/>
  <c r="Z541" i="37"/>
  <c r="Z457" i="37"/>
  <c r="N316" i="37"/>
  <c r="Z348" i="37"/>
  <c r="N348" i="37" s="1"/>
  <c r="Z513" i="37"/>
  <c r="AC416" i="37"/>
  <c r="AC457" i="37"/>
  <c r="AC547" i="37"/>
  <c r="AC431" i="37"/>
  <c r="AC485" i="37"/>
  <c r="AC408" i="37"/>
  <c r="AC373" i="37"/>
  <c r="AC466" i="37"/>
  <c r="AC470" i="37"/>
  <c r="AC561" i="37"/>
  <c r="AK341" i="37"/>
  <c r="AE485" i="37"/>
  <c r="AE561" i="37"/>
  <c r="AE431" i="37"/>
  <c r="AE470" i="37"/>
  <c r="AE457" i="37"/>
  <c r="AE466" i="37"/>
  <c r="AE467" i="37" s="1"/>
  <c r="AE416" i="37"/>
  <c r="AE417" i="37" s="1"/>
  <c r="AE373" i="37"/>
  <c r="AE374" i="37" s="1"/>
  <c r="AE375" i="37" s="1"/>
  <c r="AE376" i="37" s="1"/>
  <c r="AE377" i="37" s="1"/>
  <c r="AE378" i="37" s="1"/>
  <c r="AE379" i="37" s="1"/>
  <c r="AE380" i="37" s="1"/>
  <c r="AE381" i="37" s="1"/>
  <c r="AE382" i="37" s="1"/>
  <c r="AE408" i="37"/>
  <c r="AE547" i="37"/>
  <c r="Y513" i="37"/>
  <c r="Y348" i="37"/>
  <c r="M348" i="37" s="1"/>
  <c r="M316" i="37"/>
  <c r="U547" i="37"/>
  <c r="U532" i="37"/>
  <c r="U475" i="37"/>
  <c r="U467" i="37"/>
  <c r="U408" i="37"/>
  <c r="U457" i="37"/>
  <c r="I509" i="37"/>
  <c r="U541" i="37"/>
  <c r="U447" i="37"/>
  <c r="U435" i="37"/>
  <c r="AI553" i="37"/>
  <c r="AK553" i="37" s="1"/>
  <c r="AI470" i="37"/>
  <c r="AI457" i="37"/>
  <c r="AI547" i="37"/>
  <c r="AI561" i="37"/>
  <c r="AI408" i="37"/>
  <c r="AI466" i="37"/>
  <c r="AI467" i="37" s="1"/>
  <c r="AI416" i="37"/>
  <c r="AI417" i="37" s="1"/>
  <c r="AI485" i="37"/>
  <c r="AI373" i="37"/>
  <c r="AI374" i="37" s="1"/>
  <c r="AI375" i="37" s="1"/>
  <c r="AI376" i="37" s="1"/>
  <c r="AI377" i="37" s="1"/>
  <c r="AI378" i="37" s="1"/>
  <c r="AI379" i="37" s="1"/>
  <c r="AI380" i="37" s="1"/>
  <c r="AI381" i="37" s="1"/>
  <c r="AI382" i="37" s="1"/>
  <c r="AI431" i="37"/>
  <c r="AK333" i="37"/>
  <c r="Y475" i="37"/>
  <c r="Y467" i="37"/>
  <c r="Y457" i="37"/>
  <c r="Y532" i="37"/>
  <c r="Y541" i="37"/>
  <c r="Y447" i="37"/>
  <c r="Y547" i="37"/>
  <c r="Y408" i="37"/>
  <c r="Y435" i="37"/>
  <c r="M509" i="37"/>
  <c r="T547" i="37"/>
  <c r="T435" i="37"/>
  <c r="T532" i="37"/>
  <c r="T475" i="37"/>
  <c r="H509" i="37"/>
  <c r="T457" i="37"/>
  <c r="T467" i="37"/>
  <c r="T408" i="37"/>
  <c r="T447" i="37"/>
  <c r="T541" i="37"/>
  <c r="AK302" i="37"/>
  <c r="AG416" i="37"/>
  <c r="AG417" i="37" s="1"/>
  <c r="AG485" i="37"/>
  <c r="AG431" i="37"/>
  <c r="AG561" i="37"/>
  <c r="AG466" i="37"/>
  <c r="AG467" i="37" s="1"/>
  <c r="AG408" i="37"/>
  <c r="AG457" i="37"/>
  <c r="AG470" i="37"/>
  <c r="AG373" i="37"/>
  <c r="AG374" i="37" s="1"/>
  <c r="AG375" i="37" s="1"/>
  <c r="AG376" i="37" s="1"/>
  <c r="AG377" i="37" s="1"/>
  <c r="AG378" i="37" s="1"/>
  <c r="AG379" i="37" s="1"/>
  <c r="AG380" i="37" s="1"/>
  <c r="AG381" i="37" s="1"/>
  <c r="AG382" i="37" s="1"/>
  <c r="AG547" i="37"/>
  <c r="X513" i="37"/>
  <c r="X348" i="37"/>
  <c r="L348" i="37" s="1"/>
  <c r="L656" i="50" s="1"/>
  <c r="L316" i="37"/>
  <c r="I319" i="37"/>
  <c r="I325" i="37" s="1"/>
  <c r="S694" i="50" s="1"/>
  <c r="I351" i="37"/>
  <c r="I357" i="37" s="1"/>
  <c r="S695" i="50" s="1"/>
  <c r="AL645" i="42"/>
  <c r="AL868" i="42"/>
  <c r="AL422" i="42"/>
  <c r="AL199" i="42"/>
  <c r="Z1531" i="42"/>
  <c r="AL1330" i="42"/>
  <c r="I2387" i="50"/>
  <c r="AB1651" i="42"/>
  <c r="AB1667" i="42" s="1"/>
  <c r="G1667" i="42" s="1"/>
  <c r="AL1633" i="42"/>
  <c r="AE1239" i="42"/>
  <c r="AE1242" i="42"/>
  <c r="AB1171" i="42"/>
  <c r="AB1187" i="42" s="1"/>
  <c r="G1187" i="42" s="1"/>
  <c r="AL1153" i="42"/>
  <c r="AL1151" i="42"/>
  <c r="AB1169" i="42"/>
  <c r="AB1185" i="42" s="1"/>
  <c r="G1185" i="42" s="1"/>
  <c r="AB1173" i="42"/>
  <c r="AB1189" i="42" s="1"/>
  <c r="G1189" i="42" s="1"/>
  <c r="AL1155" i="42"/>
  <c r="J1264" i="42"/>
  <c r="J2213" i="50" s="1"/>
  <c r="AD1409" i="42"/>
  <c r="AD1412" i="42"/>
  <c r="AL1324" i="42"/>
  <c r="AB1342" i="42"/>
  <c r="AB1358" i="42" s="1"/>
  <c r="G1358" i="42" s="1"/>
  <c r="AL1626" i="42"/>
  <c r="AB1644" i="42"/>
  <c r="AB1660" i="42" s="1"/>
  <c r="G1660" i="42" s="1"/>
  <c r="L1711" i="42"/>
  <c r="L2369" i="50" s="1"/>
  <c r="AL1765" i="42"/>
  <c r="AB1783" i="42"/>
  <c r="AB1799" i="42" s="1"/>
  <c r="G1799" i="42" s="1"/>
  <c r="AB1784" i="42"/>
  <c r="AB1800" i="42" s="1"/>
  <c r="G1800" i="42" s="1"/>
  <c r="AL1766" i="42"/>
  <c r="AB1174" i="42"/>
  <c r="AB1190" i="42" s="1"/>
  <c r="G1190" i="42" s="1"/>
  <c r="AL1156" i="42"/>
  <c r="AL1152" i="42"/>
  <c r="AB1170" i="42"/>
  <c r="AB1186" i="42" s="1"/>
  <c r="G1186" i="42" s="1"/>
  <c r="Y1679" i="42"/>
  <c r="Y1680" i="42"/>
  <c r="M2325" i="50" s="1"/>
  <c r="Y1681" i="42"/>
  <c r="AB1789" i="42"/>
  <c r="AB1805" i="42" s="1"/>
  <c r="G1805" i="42" s="1"/>
  <c r="AL1771" i="42"/>
  <c r="I2171" i="50"/>
  <c r="AH1238" i="42"/>
  <c r="AH1241" i="42"/>
  <c r="AL1149" i="42"/>
  <c r="AB1167" i="42"/>
  <c r="AB1183" i="42" s="1"/>
  <c r="G1183" i="42" s="1"/>
  <c r="Z1266" i="42"/>
  <c r="Z1264" i="42"/>
  <c r="N1370" i="42" s="1"/>
  <c r="Z1265" i="42"/>
  <c r="N2214" i="50" s="1"/>
  <c r="N1265" i="42"/>
  <c r="N1264" i="42"/>
  <c r="N2213" i="50" s="1"/>
  <c r="H1362" i="42"/>
  <c r="H1363" i="42" s="1"/>
  <c r="AL1625" i="42"/>
  <c r="AB1643" i="42"/>
  <c r="AB1659" i="42" s="1"/>
  <c r="G1659" i="42" s="1"/>
  <c r="AL1767" i="42"/>
  <c r="AB1785" i="42"/>
  <c r="AB1801" i="42" s="1"/>
  <c r="G1801" i="42" s="1"/>
  <c r="AF1239" i="42"/>
  <c r="AF1242" i="42"/>
  <c r="AF1410" i="42"/>
  <c r="AF1413" i="42"/>
  <c r="AB1345" i="42"/>
  <c r="AB1361" i="42" s="1"/>
  <c r="G1361" i="42" s="1"/>
  <c r="AL1327" i="42"/>
  <c r="AE1238" i="42"/>
  <c r="AE1241" i="42"/>
  <c r="AL1320" i="42"/>
  <c r="AB1338" i="42"/>
  <c r="AB1354" i="42" s="1"/>
  <c r="G1354" i="42" s="1"/>
  <c r="AB1787" i="42"/>
  <c r="AB1803" i="42" s="1"/>
  <c r="G1803" i="42" s="1"/>
  <c r="AL1769" i="42"/>
  <c r="AH1242" i="42"/>
  <c r="AH1239" i="42"/>
  <c r="AD1242" i="42"/>
  <c r="AD1239" i="42"/>
  <c r="AH1412" i="42"/>
  <c r="AH1409" i="42"/>
  <c r="AC1406" i="42"/>
  <c r="AC1404" i="42"/>
  <c r="AL1403" i="42"/>
  <c r="AL1319" i="42"/>
  <c r="AB1337" i="42"/>
  <c r="AB1353" i="42" s="1"/>
  <c r="G1353" i="42" s="1"/>
  <c r="AB1343" i="42"/>
  <c r="AB1359" i="42" s="1"/>
  <c r="G1359" i="42" s="1"/>
  <c r="AL1325" i="42"/>
  <c r="AF1238" i="42"/>
  <c r="AF1241" i="42"/>
  <c r="AL1631" i="42"/>
  <c r="AB1649" i="42"/>
  <c r="AB1665" i="42" s="1"/>
  <c r="G1665" i="42" s="1"/>
  <c r="AB1788" i="42"/>
  <c r="AB1804" i="42" s="1"/>
  <c r="G1804" i="42" s="1"/>
  <c r="AL1770" i="42"/>
  <c r="AD1410" i="42"/>
  <c r="AD1413" i="42"/>
  <c r="AB1782" i="42"/>
  <c r="AB1798" i="42" s="1"/>
  <c r="G1798" i="42" s="1"/>
  <c r="AL1764" i="42"/>
  <c r="Y1093" i="42"/>
  <c r="M1199" i="42" s="1"/>
  <c r="M1094" i="42"/>
  <c r="Y1095" i="42"/>
  <c r="Y1094" i="42"/>
  <c r="M2154" i="50" s="1"/>
  <c r="M1093" i="42"/>
  <c r="M2153" i="50" s="1"/>
  <c r="L1573" i="42"/>
  <c r="L2321" i="50" s="1"/>
  <c r="M1574" i="42"/>
  <c r="Y1574" i="42"/>
  <c r="M2322" i="50" s="1"/>
  <c r="Y1573" i="42"/>
  <c r="M1677" i="42" s="1"/>
  <c r="M1573" i="42"/>
  <c r="M2321" i="50" s="1"/>
  <c r="Y1575" i="42"/>
  <c r="AG1238" i="42"/>
  <c r="AG1241" i="42"/>
  <c r="N1094" i="42"/>
  <c r="Z1094" i="42"/>
  <c r="N2154" i="50" s="1"/>
  <c r="N1093" i="42"/>
  <c r="N2153" i="50" s="1"/>
  <c r="Z1095" i="42"/>
  <c r="Z1093" i="42"/>
  <c r="N1199" i="42" s="1"/>
  <c r="AB1336" i="42"/>
  <c r="AB1352" i="42" s="1"/>
  <c r="G1352" i="42" s="1"/>
  <c r="AL1318" i="42"/>
  <c r="AL1630" i="42"/>
  <c r="AB1648" i="42"/>
  <c r="AB1664" i="42" s="1"/>
  <c r="G1664" i="42" s="1"/>
  <c r="H1669" i="42"/>
  <c r="H1670" i="42" s="1"/>
  <c r="M1711" i="42"/>
  <c r="M2369" i="50" s="1"/>
  <c r="I2231" i="50"/>
  <c r="M1265" i="42"/>
  <c r="Y1266" i="42"/>
  <c r="Y1264" i="42"/>
  <c r="M1370" i="42" s="1"/>
  <c r="Y1265" i="42"/>
  <c r="M2214" i="50" s="1"/>
  <c r="M1264" i="42"/>
  <c r="M2213" i="50" s="1"/>
  <c r="AI1413" i="42"/>
  <c r="AI1410" i="42"/>
  <c r="I2339" i="50"/>
  <c r="AL1628" i="42"/>
  <c r="AB1646" i="42"/>
  <c r="AB1662" i="42" s="1"/>
  <c r="G1662" i="42" s="1"/>
  <c r="J1711" i="42"/>
  <c r="J2369" i="50" s="1"/>
  <c r="AE1409" i="42"/>
  <c r="AE1412" i="42"/>
  <c r="AL1629" i="42"/>
  <c r="AB1647" i="42"/>
  <c r="AB1663" i="42" s="1"/>
  <c r="G1663" i="42" s="1"/>
  <c r="AI1241" i="42"/>
  <c r="AI1238" i="42"/>
  <c r="AG1412" i="42"/>
  <c r="AG1409" i="42"/>
  <c r="AB1645" i="42"/>
  <c r="AB1661" i="42" s="1"/>
  <c r="G1661" i="42" s="1"/>
  <c r="AL1627" i="42"/>
  <c r="AL1632" i="42"/>
  <c r="AB1650" i="42"/>
  <c r="AB1666" i="42" s="1"/>
  <c r="G1666" i="42" s="1"/>
  <c r="AB1168" i="42"/>
  <c r="AB1184" i="42" s="1"/>
  <c r="G1184" i="42" s="1"/>
  <c r="AL1150" i="42"/>
  <c r="AF1409" i="42"/>
  <c r="AF1412" i="42"/>
  <c r="AB1340" i="42"/>
  <c r="AB1356" i="42" s="1"/>
  <c r="G1356" i="42" s="1"/>
  <c r="AL1322" i="42"/>
  <c r="AB1790" i="42"/>
  <c r="AB1806" i="42" s="1"/>
  <c r="G1806" i="42" s="1"/>
  <c r="AL1772" i="42"/>
  <c r="AC1233" i="42"/>
  <c r="AC1235" i="42"/>
  <c r="AL1232" i="42"/>
  <c r="AB1166" i="42"/>
  <c r="AB1182" i="42" s="1"/>
  <c r="G1182" i="42" s="1"/>
  <c r="AL1148" i="42"/>
  <c r="K1264" i="42"/>
  <c r="K2213" i="50" s="1"/>
  <c r="L1264" i="42"/>
  <c r="L2213" i="50" s="1"/>
  <c r="AE1413" i="42"/>
  <c r="AE1410" i="42"/>
  <c r="AL1321" i="42"/>
  <c r="AB1339" i="42"/>
  <c r="AB1355" i="42" s="1"/>
  <c r="G1355" i="42" s="1"/>
  <c r="K1711" i="42"/>
  <c r="K2369" i="50" s="1"/>
  <c r="N1711" i="42"/>
  <c r="N2369" i="50" s="1"/>
  <c r="AI1242" i="42"/>
  <c r="AI1239" i="42"/>
  <c r="AG1410" i="42"/>
  <c r="AG1413" i="42"/>
  <c r="AB1341" i="42"/>
  <c r="AB1357" i="42" s="1"/>
  <c r="G1357" i="42" s="1"/>
  <c r="AL1323" i="42"/>
  <c r="J1573" i="42"/>
  <c r="J2321" i="50" s="1"/>
  <c r="AB1652" i="42"/>
  <c r="AB1668" i="42" s="1"/>
  <c r="G1668" i="42" s="1"/>
  <c r="AL1634" i="42"/>
  <c r="AB1786" i="42"/>
  <c r="AB1802" i="42" s="1"/>
  <c r="G1802" i="42" s="1"/>
  <c r="AL1768" i="42"/>
  <c r="AD1241" i="42"/>
  <c r="AD1238" i="42"/>
  <c r="AG1239" i="42"/>
  <c r="AG1242" i="42"/>
  <c r="AL1154" i="42"/>
  <c r="AB1172" i="42"/>
  <c r="AB1188" i="42" s="1"/>
  <c r="G1188" i="42" s="1"/>
  <c r="AH1413" i="42"/>
  <c r="AH1410" i="42"/>
  <c r="AB1344" i="42"/>
  <c r="AB1360" i="42" s="1"/>
  <c r="G1360" i="42" s="1"/>
  <c r="AL1326" i="42"/>
  <c r="K1573" i="42"/>
  <c r="K2321" i="50" s="1"/>
  <c r="N1574" i="42"/>
  <c r="Z1573" i="42"/>
  <c r="N1677" i="42" s="1"/>
  <c r="Z1574" i="42"/>
  <c r="N2322" i="50" s="1"/>
  <c r="N1573" i="42"/>
  <c r="N2321" i="50" s="1"/>
  <c r="Z1575" i="42"/>
  <c r="AI1412" i="42"/>
  <c r="AI1409" i="42"/>
  <c r="I2291" i="50"/>
  <c r="I1084" i="42"/>
  <c r="I2140" i="50" s="1"/>
  <c r="AI1071" i="42"/>
  <c r="AI1068" i="42"/>
  <c r="AG1071" i="42"/>
  <c r="AG1068" i="42"/>
  <c r="AI1070" i="42"/>
  <c r="AI1067" i="42"/>
  <c r="AF1070" i="42"/>
  <c r="AF1067" i="42"/>
  <c r="AD1071" i="42"/>
  <c r="AD1068" i="42"/>
  <c r="H1062" i="42"/>
  <c r="AE1071" i="42"/>
  <c r="AE1068" i="42"/>
  <c r="AF1071" i="42"/>
  <c r="AF1068" i="42"/>
  <c r="AD1070" i="42"/>
  <c r="AD1067" i="42"/>
  <c r="AH1070" i="42"/>
  <c r="AH1067" i="42"/>
  <c r="AE1070" i="42"/>
  <c r="AE1067" i="42"/>
  <c r="AG1070" i="42"/>
  <c r="AG1067" i="42"/>
  <c r="AH1071" i="42"/>
  <c r="AH1068" i="42"/>
  <c r="I1062" i="42"/>
  <c r="K1062" i="42"/>
  <c r="J1062" i="42"/>
  <c r="I2111" i="50"/>
  <c r="I2030" i="50"/>
  <c r="I2038" i="50"/>
  <c r="I1965" i="50"/>
  <c r="I1958" i="50" s="1"/>
  <c r="S1892" i="50"/>
  <c r="I1884" i="50" s="1"/>
  <c r="AC1062" i="42"/>
  <c r="AC1064" i="42"/>
  <c r="AC1067" i="42" s="1"/>
  <c r="AL1061" i="42"/>
  <c r="X319" i="42"/>
  <c r="AL867" i="42"/>
  <c r="X765" i="42"/>
  <c r="W765" i="42"/>
  <c r="W319" i="42"/>
  <c r="Z542" i="42"/>
  <c r="Z986" i="42"/>
  <c r="U986" i="42"/>
  <c r="X1497" i="42"/>
  <c r="Z1497" i="42"/>
  <c r="X1020" i="42"/>
  <c r="Z1435" i="42"/>
  <c r="N1539" i="42" s="1"/>
  <c r="N1436" i="42"/>
  <c r="Z1437" i="42"/>
  <c r="Z1436" i="42"/>
  <c r="N2274" i="50" s="1"/>
  <c r="N1435" i="42"/>
  <c r="N2273" i="50" s="1"/>
  <c r="J476" i="42"/>
  <c r="J1947" i="50" s="1"/>
  <c r="AB553" i="42"/>
  <c r="AB569" i="42" s="1"/>
  <c r="G569" i="42" s="1"/>
  <c r="AL535" i="42"/>
  <c r="AB1508" i="42"/>
  <c r="AB1524" i="42" s="1"/>
  <c r="G1524" i="42" s="1"/>
  <c r="AL1490" i="42"/>
  <c r="V319" i="42"/>
  <c r="AC631" i="42"/>
  <c r="AC632" i="42"/>
  <c r="AC659" i="42"/>
  <c r="AL630" i="42"/>
  <c r="AD882" i="42"/>
  <c r="AD886" i="42" s="1"/>
  <c r="AD890" i="42" s="1"/>
  <c r="AD894" i="42" s="1"/>
  <c r="AD898" i="42" s="1"/>
  <c r="AD854" i="42"/>
  <c r="AD855" i="42"/>
  <c r="AD857" i="42" s="1"/>
  <c r="AD859" i="42" s="1"/>
  <c r="AD861" i="42" s="1"/>
  <c r="AC855" i="42"/>
  <c r="AC882" i="42"/>
  <c r="AC854" i="42"/>
  <c r="AL853" i="42"/>
  <c r="Y1531" i="42"/>
  <c r="V1497" i="42"/>
  <c r="T1497" i="42"/>
  <c r="AG632" i="42"/>
  <c r="AG634" i="42" s="1"/>
  <c r="AG636" i="42" s="1"/>
  <c r="AG638" i="42" s="1"/>
  <c r="AG631" i="42"/>
  <c r="AG659" i="42"/>
  <c r="AG663" i="42" s="1"/>
  <c r="AG667" i="42" s="1"/>
  <c r="AG671" i="42" s="1"/>
  <c r="AG675" i="42" s="1"/>
  <c r="AB554" i="42"/>
  <c r="AB570" i="42" s="1"/>
  <c r="G570" i="42" s="1"/>
  <c r="AL536" i="42"/>
  <c r="W986" i="42"/>
  <c r="Y986" i="42"/>
  <c r="AF855" i="42"/>
  <c r="AF857" i="42" s="1"/>
  <c r="AF859" i="42" s="1"/>
  <c r="AF861" i="42" s="1"/>
  <c r="AF854" i="42"/>
  <c r="AF882" i="42"/>
  <c r="AF886" i="42" s="1"/>
  <c r="AF890" i="42" s="1"/>
  <c r="AF894" i="42" s="1"/>
  <c r="AF898" i="42" s="1"/>
  <c r="AH882" i="42"/>
  <c r="AH886" i="42" s="1"/>
  <c r="AH890" i="42" s="1"/>
  <c r="AH894" i="42" s="1"/>
  <c r="AH898" i="42" s="1"/>
  <c r="AH855" i="42"/>
  <c r="AH857" i="42" s="1"/>
  <c r="AH859" i="42" s="1"/>
  <c r="AH861" i="42" s="1"/>
  <c r="AH854" i="42"/>
  <c r="AB779" i="42"/>
  <c r="AB795" i="42" s="1"/>
  <c r="G795" i="42" s="1"/>
  <c r="L476" i="42"/>
  <c r="L1947" i="50" s="1"/>
  <c r="AL538" i="42"/>
  <c r="AB556" i="42"/>
  <c r="AB572" i="42" s="1"/>
  <c r="G572" i="42" s="1"/>
  <c r="AL539" i="42"/>
  <c r="AB557" i="42"/>
  <c r="AB573" i="42" s="1"/>
  <c r="G573" i="42" s="1"/>
  <c r="AL988" i="42"/>
  <c r="V765" i="42"/>
  <c r="T542" i="42"/>
  <c r="AF632" i="42"/>
  <c r="AF634" i="42" s="1"/>
  <c r="AF636" i="42" s="1"/>
  <c r="AF638" i="42" s="1"/>
  <c r="AF631" i="42"/>
  <c r="AF659" i="42"/>
  <c r="AF663" i="42" s="1"/>
  <c r="AF667" i="42" s="1"/>
  <c r="AF671" i="42" s="1"/>
  <c r="AF675" i="42" s="1"/>
  <c r="AH659" i="42"/>
  <c r="AH663" i="42" s="1"/>
  <c r="AH667" i="42" s="1"/>
  <c r="AH671" i="42" s="1"/>
  <c r="AH675" i="42" s="1"/>
  <c r="AH632" i="42"/>
  <c r="AH634" i="42" s="1"/>
  <c r="AH636" i="42" s="1"/>
  <c r="AH638" i="42" s="1"/>
  <c r="AH631" i="42"/>
  <c r="AL541" i="42"/>
  <c r="AB559" i="42"/>
  <c r="AB575" i="42" s="1"/>
  <c r="G575" i="42" s="1"/>
  <c r="Z1020" i="42"/>
  <c r="K922" i="42"/>
  <c r="K2093" i="50" s="1"/>
  <c r="AE855" i="42"/>
  <c r="AE857" i="42" s="1"/>
  <c r="AE859" i="42" s="1"/>
  <c r="AE861" i="42" s="1"/>
  <c r="AE854" i="42"/>
  <c r="AE882" i="42"/>
  <c r="AE886" i="42" s="1"/>
  <c r="AE890" i="42" s="1"/>
  <c r="AE894" i="42" s="1"/>
  <c r="AE898" i="42" s="1"/>
  <c r="AI855" i="42"/>
  <c r="AI857" i="42" s="1"/>
  <c r="AI859" i="42" s="1"/>
  <c r="AI861" i="42" s="1"/>
  <c r="AI854" i="42"/>
  <c r="AI882" i="42"/>
  <c r="AI886" i="42" s="1"/>
  <c r="AI890" i="42" s="1"/>
  <c r="AI894" i="42" s="1"/>
  <c r="AI898" i="42" s="1"/>
  <c r="M1436" i="42"/>
  <c r="Y1435" i="42"/>
  <c r="M1539" i="42" s="1"/>
  <c r="Y1436" i="42"/>
  <c r="M2274" i="50" s="1"/>
  <c r="Y1437" i="42"/>
  <c r="M1435" i="42"/>
  <c r="M2273" i="50" s="1"/>
  <c r="J1435" i="42"/>
  <c r="J2273" i="50" s="1"/>
  <c r="N699" i="42"/>
  <c r="Z699" i="42" s="1"/>
  <c r="AB777" i="42"/>
  <c r="AB793" i="42" s="1"/>
  <c r="G793" i="42" s="1"/>
  <c r="AB778" i="42"/>
  <c r="AB794" i="42" s="1"/>
  <c r="G794" i="42" s="1"/>
  <c r="AB999" i="42"/>
  <c r="AB1015" i="42" s="1"/>
  <c r="G1015" i="42" s="1"/>
  <c r="AL981" i="42"/>
  <c r="W542" i="42"/>
  <c r="AE632" i="42"/>
  <c r="AE634" i="42" s="1"/>
  <c r="AE636" i="42" s="1"/>
  <c r="AE638" i="42" s="1"/>
  <c r="AE659" i="42"/>
  <c r="AE663" i="42" s="1"/>
  <c r="AE667" i="42" s="1"/>
  <c r="AE671" i="42" s="1"/>
  <c r="AE675" i="42" s="1"/>
  <c r="AE631" i="42"/>
  <c r="AB555" i="42"/>
  <c r="AB571" i="42" s="1"/>
  <c r="G571" i="42" s="1"/>
  <c r="AL537" i="42"/>
  <c r="AL644" i="42"/>
  <c r="L922" i="42"/>
  <c r="L2093" i="50" s="1"/>
  <c r="AB776" i="42"/>
  <c r="AB792" i="42" s="1"/>
  <c r="G792" i="42" s="1"/>
  <c r="Y1497" i="42"/>
  <c r="W1497" i="42"/>
  <c r="AB1509" i="42"/>
  <c r="AB1525" i="42" s="1"/>
  <c r="G1525" i="42" s="1"/>
  <c r="AL1491" i="42"/>
  <c r="V986" i="42"/>
  <c r="AL983" i="42"/>
  <c r="AB1001" i="42"/>
  <c r="AB1017" i="42" s="1"/>
  <c r="G1017" i="42" s="1"/>
  <c r="K476" i="42"/>
  <c r="K1947" i="50" s="1"/>
  <c r="M923" i="42"/>
  <c r="M922" i="42"/>
  <c r="M2093" i="50" s="1"/>
  <c r="Y924" i="42"/>
  <c r="Y922" i="42"/>
  <c r="M1028" i="42" s="1"/>
  <c r="Y923" i="42"/>
  <c r="M2094" i="50" s="1"/>
  <c r="AB997" i="42"/>
  <c r="AB1013" i="42" s="1"/>
  <c r="G1013" i="42" s="1"/>
  <c r="AL979" i="42"/>
  <c r="T765" i="42"/>
  <c r="Y765" i="42"/>
  <c r="AB781" i="42"/>
  <c r="AB797" i="42" s="1"/>
  <c r="G797" i="42" s="1"/>
  <c r="AB1514" i="42"/>
  <c r="AB1530" i="42" s="1"/>
  <c r="G1530" i="42" s="1"/>
  <c r="AL1496" i="42"/>
  <c r="AB1513" i="42"/>
  <c r="AB1529" i="42" s="1"/>
  <c r="G1529" i="42" s="1"/>
  <c r="AL1495" i="42"/>
  <c r="V542" i="42"/>
  <c r="U542" i="42"/>
  <c r="AB558" i="42"/>
  <c r="AB574" i="42" s="1"/>
  <c r="G574" i="42" s="1"/>
  <c r="AL540" i="42"/>
  <c r="Y1020" i="42"/>
  <c r="AB782" i="42"/>
  <c r="AB798" i="42" s="1"/>
  <c r="G798" i="42" s="1"/>
  <c r="U1497" i="42"/>
  <c r="AL1493" i="42"/>
  <c r="AB1511" i="42"/>
  <c r="AB1527" i="42" s="1"/>
  <c r="G1527" i="42" s="1"/>
  <c r="AL985" i="42"/>
  <c r="AB1003" i="42"/>
  <c r="AB1019" i="42" s="1"/>
  <c r="G1019" i="42" s="1"/>
  <c r="Y477" i="42"/>
  <c r="M1948" i="50" s="1"/>
  <c r="M477" i="42"/>
  <c r="M476" i="42"/>
  <c r="M1947" i="50" s="1"/>
  <c r="Y476" i="42"/>
  <c r="M584" i="42" s="1"/>
  <c r="Y478" i="42"/>
  <c r="AL980" i="42"/>
  <c r="AB998" i="42"/>
  <c r="AB1014" i="42" s="1"/>
  <c r="G1014" i="42" s="1"/>
  <c r="AB780" i="42"/>
  <c r="AB796" i="42" s="1"/>
  <c r="G796" i="42" s="1"/>
  <c r="X1531" i="42"/>
  <c r="K1435" i="42"/>
  <c r="K2273" i="50" s="1"/>
  <c r="N476" i="42"/>
  <c r="N1947" i="50" s="1"/>
  <c r="Z476" i="42"/>
  <c r="N584" i="42" s="1"/>
  <c r="Z478" i="42"/>
  <c r="N477" i="42"/>
  <c r="Z477" i="42"/>
  <c r="N1948" i="50" s="1"/>
  <c r="X986" i="42"/>
  <c r="T986" i="42"/>
  <c r="AG855" i="42"/>
  <c r="AG857" i="42" s="1"/>
  <c r="AG859" i="42" s="1"/>
  <c r="AG861" i="42" s="1"/>
  <c r="AG854" i="42"/>
  <c r="AG882" i="42"/>
  <c r="AG886" i="42" s="1"/>
  <c r="AG890" i="42" s="1"/>
  <c r="AG894" i="42" s="1"/>
  <c r="AG898" i="42" s="1"/>
  <c r="L1435" i="42"/>
  <c r="L2273" i="50" s="1"/>
  <c r="AB1512" i="42"/>
  <c r="AB1528" i="42" s="1"/>
  <c r="G1528" i="42" s="1"/>
  <c r="AL1494" i="42"/>
  <c r="AI659" i="42"/>
  <c r="AI663" i="42" s="1"/>
  <c r="AI667" i="42" s="1"/>
  <c r="AI671" i="42" s="1"/>
  <c r="AI675" i="42" s="1"/>
  <c r="AI632" i="42"/>
  <c r="AI634" i="42" s="1"/>
  <c r="AI636" i="42" s="1"/>
  <c r="AI638" i="42" s="1"/>
  <c r="AI631" i="42"/>
  <c r="N922" i="42"/>
  <c r="N2093" i="50" s="1"/>
  <c r="Z922" i="42"/>
  <c r="N1028" i="42" s="1"/>
  <c r="N923" i="42"/>
  <c r="Z924" i="42"/>
  <c r="Z923" i="42"/>
  <c r="N2094" i="50" s="1"/>
  <c r="AB1000" i="42"/>
  <c r="AB1016" i="42" s="1"/>
  <c r="G1016" i="42" s="1"/>
  <c r="AL982" i="42"/>
  <c r="Z765" i="42"/>
  <c r="U765" i="42"/>
  <c r="Y542" i="42"/>
  <c r="X542" i="42"/>
  <c r="AD631" i="42"/>
  <c r="AD659" i="42"/>
  <c r="AD663" i="42" s="1"/>
  <c r="AD667" i="42" s="1"/>
  <c r="AD671" i="42" s="1"/>
  <c r="AD675" i="42" s="1"/>
  <c r="AD632" i="42"/>
  <c r="AD634" i="42" s="1"/>
  <c r="AD636" i="42" s="1"/>
  <c r="AD638" i="42" s="1"/>
  <c r="J922" i="42"/>
  <c r="J2093" i="50" s="1"/>
  <c r="AB1002" i="42"/>
  <c r="AB1018" i="42" s="1"/>
  <c r="G1018" i="42" s="1"/>
  <c r="AL984" i="42"/>
  <c r="AB1510" i="42"/>
  <c r="AB1526" i="42" s="1"/>
  <c r="G1526" i="42" s="1"/>
  <c r="AL1492" i="42"/>
  <c r="I244" i="42"/>
  <c r="I1861" i="50" s="1"/>
  <c r="AD408" i="42"/>
  <c r="AD436" i="42"/>
  <c r="AD440" i="42" s="1"/>
  <c r="AD444" i="42" s="1"/>
  <c r="AD448" i="42" s="1"/>
  <c r="AD452" i="42" s="1"/>
  <c r="AD409" i="42"/>
  <c r="AD411" i="42" s="1"/>
  <c r="AD413" i="42" s="1"/>
  <c r="AD415" i="42" s="1"/>
  <c r="AB335" i="42"/>
  <c r="AB351" i="42" s="1"/>
  <c r="G351" i="42" s="1"/>
  <c r="AL317" i="42"/>
  <c r="Y319" i="42"/>
  <c r="Y255" i="42"/>
  <c r="Y254" i="42"/>
  <c r="M1875" i="50" s="1"/>
  <c r="M254" i="42"/>
  <c r="Y253" i="42"/>
  <c r="M361" i="42" s="1"/>
  <c r="M253" i="42"/>
  <c r="M1874" i="50" s="1"/>
  <c r="AB334" i="42"/>
  <c r="AB350" i="42" s="1"/>
  <c r="G350" i="42" s="1"/>
  <c r="AL316" i="42"/>
  <c r="AG409" i="42"/>
  <c r="AG411" i="42" s="1"/>
  <c r="AG413" i="42" s="1"/>
  <c r="AG415" i="42" s="1"/>
  <c r="AG408" i="42"/>
  <c r="AG436" i="42"/>
  <c r="AG440" i="42" s="1"/>
  <c r="AG444" i="42" s="1"/>
  <c r="AG448" i="42" s="1"/>
  <c r="AG452" i="42" s="1"/>
  <c r="U319" i="42"/>
  <c r="AE436" i="42"/>
  <c r="AE440" i="42" s="1"/>
  <c r="AE444" i="42" s="1"/>
  <c r="AE448" i="42" s="1"/>
  <c r="AE452" i="42" s="1"/>
  <c r="AE409" i="42"/>
  <c r="AE411" i="42" s="1"/>
  <c r="AE413" i="42" s="1"/>
  <c r="AE415" i="42" s="1"/>
  <c r="AE408" i="42"/>
  <c r="AB332" i="42"/>
  <c r="AB348" i="42" s="1"/>
  <c r="G348" i="42" s="1"/>
  <c r="AL314" i="42"/>
  <c r="AL421" i="42"/>
  <c r="AB333" i="42"/>
  <c r="AB349" i="42" s="1"/>
  <c r="G349" i="42" s="1"/>
  <c r="AL315" i="42"/>
  <c r="AL312" i="42"/>
  <c r="AB330" i="42"/>
  <c r="AB346" i="42" s="1"/>
  <c r="G346" i="42" s="1"/>
  <c r="AB336" i="42"/>
  <c r="AB352" i="42" s="1"/>
  <c r="G352" i="42" s="1"/>
  <c r="AL318" i="42"/>
  <c r="AC408" i="42"/>
  <c r="AC409" i="42"/>
  <c r="AC436" i="42"/>
  <c r="AL407" i="42"/>
  <c r="AI436" i="42"/>
  <c r="AI440" i="42" s="1"/>
  <c r="AI444" i="42" s="1"/>
  <c r="AI448" i="42" s="1"/>
  <c r="AI452" i="42" s="1"/>
  <c r="AI409" i="42"/>
  <c r="AI411" i="42" s="1"/>
  <c r="AI413" i="42" s="1"/>
  <c r="AI415" i="42" s="1"/>
  <c r="AI408" i="42"/>
  <c r="Z254" i="42"/>
  <c r="N1875" i="50" s="1"/>
  <c r="N254" i="42"/>
  <c r="N253" i="42"/>
  <c r="N1874" i="50" s="1"/>
  <c r="Z253" i="42"/>
  <c r="N361" i="42" s="1"/>
  <c r="Z255" i="42"/>
  <c r="AH436" i="42"/>
  <c r="AH440" i="42" s="1"/>
  <c r="AH444" i="42" s="1"/>
  <c r="AH448" i="42" s="1"/>
  <c r="AH452" i="42" s="1"/>
  <c r="AH409" i="42"/>
  <c r="AH411" i="42" s="1"/>
  <c r="AH413" i="42" s="1"/>
  <c r="AH415" i="42" s="1"/>
  <c r="AH408" i="42"/>
  <c r="Z319" i="42"/>
  <c r="T319" i="42"/>
  <c r="AF409" i="42"/>
  <c r="AF411" i="42" s="1"/>
  <c r="AF413" i="42" s="1"/>
  <c r="AF415" i="42" s="1"/>
  <c r="AF408" i="42"/>
  <c r="AF436" i="42"/>
  <c r="AF440" i="42" s="1"/>
  <c r="AF444" i="42" s="1"/>
  <c r="AF448" i="42" s="1"/>
  <c r="AF452" i="42" s="1"/>
  <c r="AL313" i="42"/>
  <c r="AB331" i="42"/>
  <c r="AB347" i="42" s="1"/>
  <c r="G347" i="42" s="1"/>
  <c r="K252" i="41"/>
  <c r="J435" i="41"/>
  <c r="H340" i="41"/>
  <c r="H425" i="50" s="1"/>
  <c r="L340" i="41"/>
  <c r="L425" i="50" s="1"/>
  <c r="M340" i="41"/>
  <c r="M425" i="50" s="1"/>
  <c r="J340" i="41"/>
  <c r="J425" i="50" s="1"/>
  <c r="K340" i="41"/>
  <c r="K425" i="50" s="1"/>
  <c r="I340" i="41"/>
  <c r="I425" i="50" s="1"/>
  <c r="N340" i="41"/>
  <c r="N425" i="50" s="1"/>
  <c r="E451" i="50"/>
  <c r="Q371" i="41"/>
  <c r="E450" i="50"/>
  <c r="Q370" i="41"/>
  <c r="M339" i="41"/>
  <c r="M424" i="50" s="1"/>
  <c r="N339" i="41"/>
  <c r="N424" i="50" s="1"/>
  <c r="I339" i="41"/>
  <c r="I424" i="50" s="1"/>
  <c r="H339" i="41"/>
  <c r="H424" i="50" s="1"/>
  <c r="L339" i="41"/>
  <c r="L424" i="50" s="1"/>
  <c r="K339" i="41"/>
  <c r="K424" i="50" s="1"/>
  <c r="J339" i="41"/>
  <c r="J424" i="50" s="1"/>
  <c r="E449" i="50"/>
  <c r="Q369" i="41"/>
  <c r="M338" i="41"/>
  <c r="M423" i="50" s="1"/>
  <c r="K338" i="41"/>
  <c r="K423" i="50" s="1"/>
  <c r="N338" i="41"/>
  <c r="N423" i="50" s="1"/>
  <c r="J338" i="41"/>
  <c r="J423" i="50" s="1"/>
  <c r="H338" i="41"/>
  <c r="H423" i="50" s="1"/>
  <c r="L338" i="41"/>
  <c r="L423" i="50" s="1"/>
  <c r="I338" i="41"/>
  <c r="I423" i="50" s="1"/>
  <c r="Q368" i="41"/>
  <c r="E448" i="50"/>
  <c r="K337" i="41"/>
  <c r="K422" i="50" s="1"/>
  <c r="N337" i="41"/>
  <c r="N422" i="50" s="1"/>
  <c r="M337" i="41"/>
  <c r="M422" i="50" s="1"/>
  <c r="H337" i="41"/>
  <c r="H422" i="50" s="1"/>
  <c r="I337" i="41"/>
  <c r="I422" i="50" s="1"/>
  <c r="J337" i="41"/>
  <c r="J422" i="50" s="1"/>
  <c r="L337" i="41"/>
  <c r="L422" i="50" s="1"/>
  <c r="I336" i="41"/>
  <c r="I421" i="50" s="1"/>
  <c r="K336" i="41"/>
  <c r="K421" i="50" s="1"/>
  <c r="L336" i="41"/>
  <c r="L421" i="50" s="1"/>
  <c r="J336" i="41"/>
  <c r="J421" i="50" s="1"/>
  <c r="N336" i="41"/>
  <c r="N421" i="50" s="1"/>
  <c r="H336" i="41"/>
  <c r="H421" i="50" s="1"/>
  <c r="M336" i="41"/>
  <c r="M421" i="50" s="1"/>
  <c r="Q367" i="41"/>
  <c r="E447" i="50"/>
  <c r="K435" i="41"/>
  <c r="K369" i="50" s="1"/>
  <c r="T86" i="42"/>
  <c r="T96" i="42" s="1"/>
  <c r="AE262" i="41"/>
  <c r="L380" i="50"/>
  <c r="L297" i="41"/>
  <c r="N380" i="50"/>
  <c r="N297" i="41"/>
  <c r="AB110" i="42"/>
  <c r="AB126" i="42" s="1"/>
  <c r="G126" i="42" s="1"/>
  <c r="AL92" i="42"/>
  <c r="AB108" i="42"/>
  <c r="AB124" i="42" s="1"/>
  <c r="G124" i="42" s="1"/>
  <c r="AL90" i="42"/>
  <c r="X232" i="37"/>
  <c r="X67" i="37"/>
  <c r="L67" i="37" s="1"/>
  <c r="L528" i="50" s="1"/>
  <c r="L35" i="37"/>
  <c r="AK21" i="37"/>
  <c r="U194" i="37"/>
  <c r="U251" i="37"/>
  <c r="U186" i="37"/>
  <c r="U266" i="37"/>
  <c r="U176" i="37"/>
  <c r="U127" i="37"/>
  <c r="U154" i="37"/>
  <c r="U166" i="37"/>
  <c r="I228" i="37"/>
  <c r="U260" i="37"/>
  <c r="Z67" i="37"/>
  <c r="N67" i="37" s="1"/>
  <c r="Z232" i="37"/>
  <c r="N35" i="37"/>
  <c r="H335" i="41"/>
  <c r="M335" i="41"/>
  <c r="N335" i="41"/>
  <c r="K335" i="41"/>
  <c r="J335" i="41"/>
  <c r="L335" i="41"/>
  <c r="I335" i="41"/>
  <c r="X96" i="42"/>
  <c r="Y96" i="42"/>
  <c r="AB111" i="42"/>
  <c r="AB127" i="42" s="1"/>
  <c r="G127" i="42" s="1"/>
  <c r="AL93" i="42"/>
  <c r="M380" i="50"/>
  <c r="M297" i="41"/>
  <c r="I380" i="50"/>
  <c r="I297" i="41"/>
  <c r="AF186" i="42"/>
  <c r="AF188" i="42" s="1"/>
  <c r="AF190" i="42" s="1"/>
  <c r="AF192" i="42" s="1"/>
  <c r="AF213" i="42"/>
  <c r="AF217" i="42" s="1"/>
  <c r="AF221" i="42" s="1"/>
  <c r="AF225" i="42" s="1"/>
  <c r="AF229" i="42" s="1"/>
  <c r="AF185" i="42"/>
  <c r="AI272" i="37"/>
  <c r="AI189" i="37"/>
  <c r="AI92" i="37"/>
  <c r="AI93" i="37" s="1"/>
  <c r="AI94" i="37" s="1"/>
  <c r="AI95" i="37" s="1"/>
  <c r="AI96" i="37" s="1"/>
  <c r="AI97" i="37" s="1"/>
  <c r="AI98" i="37" s="1"/>
  <c r="AI99" i="37" s="1"/>
  <c r="AI100" i="37" s="1"/>
  <c r="AI101" i="37" s="1"/>
  <c r="AI176" i="37"/>
  <c r="AI135" i="37"/>
  <c r="AI136" i="37" s="1"/>
  <c r="AI266" i="37"/>
  <c r="AI185" i="37"/>
  <c r="AI186" i="37" s="1"/>
  <c r="AI127" i="37"/>
  <c r="AI150" i="37"/>
  <c r="AI280" i="37"/>
  <c r="AI204" i="37"/>
  <c r="AG189" i="37"/>
  <c r="AG266" i="37"/>
  <c r="AG92" i="37"/>
  <c r="AG93" i="37" s="1"/>
  <c r="AG94" i="37" s="1"/>
  <c r="AG95" i="37" s="1"/>
  <c r="AG96" i="37" s="1"/>
  <c r="AG97" i="37" s="1"/>
  <c r="AG98" i="37" s="1"/>
  <c r="AG99" i="37" s="1"/>
  <c r="AG100" i="37" s="1"/>
  <c r="AG101" i="37" s="1"/>
  <c r="AG204" i="37"/>
  <c r="AG135" i="37"/>
  <c r="AG136" i="37" s="1"/>
  <c r="AG176" i="37"/>
  <c r="AG185" i="37"/>
  <c r="AG186" i="37" s="1"/>
  <c r="AG280" i="37"/>
  <c r="AG150" i="37"/>
  <c r="AG127" i="37"/>
  <c r="AH204" i="37"/>
  <c r="AH266" i="37"/>
  <c r="AH127" i="37"/>
  <c r="AH135" i="37"/>
  <c r="AH136" i="37" s="1"/>
  <c r="AH176" i="37"/>
  <c r="AH150" i="37"/>
  <c r="AH92" i="37"/>
  <c r="AH93" i="37" s="1"/>
  <c r="AH94" i="37" s="1"/>
  <c r="AH95" i="37" s="1"/>
  <c r="AH96" i="37" s="1"/>
  <c r="AH97" i="37" s="1"/>
  <c r="AH98" i="37" s="1"/>
  <c r="AH99" i="37" s="1"/>
  <c r="AH100" i="37" s="1"/>
  <c r="AH101" i="37" s="1"/>
  <c r="AH189" i="37"/>
  <c r="AH185" i="37"/>
  <c r="AH186" i="37" s="1"/>
  <c r="AH280" i="37"/>
  <c r="X194" i="37"/>
  <c r="X251" i="37"/>
  <c r="L228" i="37"/>
  <c r="X176" i="37"/>
  <c r="X154" i="37"/>
  <c r="X266" i="37"/>
  <c r="X127" i="37"/>
  <c r="X260" i="37"/>
  <c r="X186" i="37"/>
  <c r="X166" i="37"/>
  <c r="V232" i="37"/>
  <c r="V67" i="37"/>
  <c r="J67" i="37" s="1"/>
  <c r="J528" i="50" s="1"/>
  <c r="AE272" i="37"/>
  <c r="AE135" i="37"/>
  <c r="AE136" i="37" s="1"/>
  <c r="AE150" i="37"/>
  <c r="AE189" i="37"/>
  <c r="AE176" i="37"/>
  <c r="AE185" i="37"/>
  <c r="AE186" i="37" s="1"/>
  <c r="AE92" i="37"/>
  <c r="AE93" i="37" s="1"/>
  <c r="AE94" i="37" s="1"/>
  <c r="AE95" i="37" s="1"/>
  <c r="AE96" i="37" s="1"/>
  <c r="AE97" i="37" s="1"/>
  <c r="AE98" i="37" s="1"/>
  <c r="AE99" i="37" s="1"/>
  <c r="AE100" i="37" s="1"/>
  <c r="AE101" i="37" s="1"/>
  <c r="AE204" i="37"/>
  <c r="AE280" i="37"/>
  <c r="AE266" i="37"/>
  <c r="AE127" i="37"/>
  <c r="Y232" i="37"/>
  <c r="Y67" i="37"/>
  <c r="M35" i="37"/>
  <c r="V96" i="42"/>
  <c r="AB113" i="42"/>
  <c r="AB129" i="42" s="1"/>
  <c r="G129" i="42" s="1"/>
  <c r="AL95" i="42"/>
  <c r="AH186" i="42"/>
  <c r="AH188" i="42" s="1"/>
  <c r="AH190" i="42" s="1"/>
  <c r="AH192" i="42" s="1"/>
  <c r="AH185" i="42"/>
  <c r="AH213" i="42"/>
  <c r="AH217" i="42" s="1"/>
  <c r="AH221" i="42" s="1"/>
  <c r="AH225" i="42" s="1"/>
  <c r="AH229" i="42" s="1"/>
  <c r="AB109" i="42"/>
  <c r="AB125" i="42" s="1"/>
  <c r="G125" i="42" s="1"/>
  <c r="AL91" i="42"/>
  <c r="AE213" i="42"/>
  <c r="AE217" i="42" s="1"/>
  <c r="AE221" i="42" s="1"/>
  <c r="AE225" i="42" s="1"/>
  <c r="AE229" i="42" s="1"/>
  <c r="AE186" i="42"/>
  <c r="AE188" i="42" s="1"/>
  <c r="AE190" i="42" s="1"/>
  <c r="AE192" i="42" s="1"/>
  <c r="AE185" i="42"/>
  <c r="AL198" i="42"/>
  <c r="J380" i="50"/>
  <c r="J297" i="41"/>
  <c r="H380" i="50"/>
  <c r="H297" i="41"/>
  <c r="H463" i="41"/>
  <c r="H464" i="41"/>
  <c r="H471" i="41" s="1"/>
  <c r="H216" i="41" s="1"/>
  <c r="H338" i="50" s="1"/>
  <c r="T194" i="37"/>
  <c r="T266" i="37"/>
  <c r="T260" i="37"/>
  <c r="T166" i="37"/>
  <c r="T127" i="37"/>
  <c r="T186" i="37"/>
  <c r="H228" i="37"/>
  <c r="T251" i="37"/>
  <c r="T154" i="37"/>
  <c r="T176" i="37"/>
  <c r="V194" i="37"/>
  <c r="V166" i="37"/>
  <c r="V176" i="37"/>
  <c r="J228" i="37"/>
  <c r="V251" i="37"/>
  <c r="V266" i="37"/>
  <c r="V127" i="37"/>
  <c r="V154" i="37"/>
  <c r="V260" i="37"/>
  <c r="V186" i="37"/>
  <c r="AC272" i="37"/>
  <c r="AC189" i="37"/>
  <c r="AC135" i="37"/>
  <c r="AC204" i="37"/>
  <c r="AC266" i="37"/>
  <c r="AC92" i="37"/>
  <c r="AC185" i="37"/>
  <c r="AK60" i="37"/>
  <c r="AC127" i="37"/>
  <c r="AC280" i="37"/>
  <c r="AC150" i="37"/>
  <c r="AC176" i="37"/>
  <c r="AF272" i="37"/>
  <c r="AF127" i="37"/>
  <c r="AF204" i="37"/>
  <c r="AF280" i="37"/>
  <c r="AF266" i="37"/>
  <c r="AF135" i="37"/>
  <c r="AF136" i="37" s="1"/>
  <c r="AF150" i="37"/>
  <c r="AF185" i="37"/>
  <c r="AF186" i="37" s="1"/>
  <c r="AF189" i="37"/>
  <c r="AF92" i="37"/>
  <c r="AF93" i="37" s="1"/>
  <c r="AF94" i="37" s="1"/>
  <c r="AF95" i="37" s="1"/>
  <c r="AF96" i="37" s="1"/>
  <c r="AF97" i="37" s="1"/>
  <c r="AF98" i="37" s="1"/>
  <c r="AF99" i="37" s="1"/>
  <c r="AF100" i="37" s="1"/>
  <c r="AF101" i="37" s="1"/>
  <c r="AF176" i="37"/>
  <c r="AD204" i="37"/>
  <c r="AD189" i="37"/>
  <c r="AD185" i="37"/>
  <c r="AD186" i="37" s="1"/>
  <c r="AD92" i="37"/>
  <c r="AD93" i="37" s="1"/>
  <c r="AD94" i="37" s="1"/>
  <c r="AD95" i="37" s="1"/>
  <c r="AD96" i="37" s="1"/>
  <c r="AD97" i="37" s="1"/>
  <c r="AD98" i="37" s="1"/>
  <c r="AD99" i="37" s="1"/>
  <c r="AD100" i="37" s="1"/>
  <c r="AD101" i="37" s="1"/>
  <c r="AD176" i="37"/>
  <c r="AD135" i="37"/>
  <c r="AD136" i="37" s="1"/>
  <c r="AD127" i="37"/>
  <c r="AD280" i="37"/>
  <c r="AD150" i="37"/>
  <c r="AD266" i="37"/>
  <c r="I235" i="37"/>
  <c r="I241" i="37" s="1"/>
  <c r="I70" i="37"/>
  <c r="I76" i="37" s="1"/>
  <c r="I38" i="37"/>
  <c r="I44" i="37" s="1"/>
  <c r="U96" i="42"/>
  <c r="AB112" i="42"/>
  <c r="AB128" i="42" s="1"/>
  <c r="G128" i="42" s="1"/>
  <c r="AL94" i="42"/>
  <c r="J35" i="37"/>
  <c r="K380" i="50"/>
  <c r="K297" i="41"/>
  <c r="Z194" i="37"/>
  <c r="N228" i="37"/>
  <c r="Z260" i="37"/>
  <c r="Z176" i="37"/>
  <c r="Z266" i="37"/>
  <c r="Z186" i="37"/>
  <c r="Z251" i="37"/>
  <c r="Z127" i="37"/>
  <c r="Z154" i="37"/>
  <c r="Z166" i="37"/>
  <c r="W232" i="37"/>
  <c r="W67" i="37"/>
  <c r="K35" i="37"/>
  <c r="W194" i="37"/>
  <c r="W266" i="37"/>
  <c r="W127" i="37"/>
  <c r="K228" i="37"/>
  <c r="W176" i="37"/>
  <c r="W251" i="37"/>
  <c r="W154" i="37"/>
  <c r="W186" i="37"/>
  <c r="W166" i="37"/>
  <c r="W260" i="37"/>
  <c r="Y194" i="37"/>
  <c r="Y251" i="37"/>
  <c r="Y266" i="37"/>
  <c r="Y127" i="37"/>
  <c r="Y154" i="37"/>
  <c r="Y176" i="37"/>
  <c r="Y166" i="37"/>
  <c r="Y260" i="37"/>
  <c r="Y186" i="37"/>
  <c r="M228" i="37"/>
  <c r="AK52" i="37"/>
  <c r="E446" i="50"/>
  <c r="Q366" i="41"/>
  <c r="W96" i="42"/>
  <c r="Z96" i="42"/>
  <c r="AD186" i="42"/>
  <c r="AD188" i="42" s="1"/>
  <c r="AD190" i="42" s="1"/>
  <c r="AD192" i="42" s="1"/>
  <c r="AD185" i="42"/>
  <c r="AD213" i="42"/>
  <c r="AD217" i="42" s="1"/>
  <c r="AD221" i="42" s="1"/>
  <c r="AD225" i="42" s="1"/>
  <c r="AD229" i="42" s="1"/>
  <c r="AI213" i="42"/>
  <c r="AI217" i="42" s="1"/>
  <c r="AI221" i="42" s="1"/>
  <c r="AI225" i="42" s="1"/>
  <c r="AI229" i="42" s="1"/>
  <c r="AI186" i="42"/>
  <c r="AI188" i="42" s="1"/>
  <c r="AI190" i="42" s="1"/>
  <c r="AI192" i="42" s="1"/>
  <c r="AI185" i="42"/>
  <c r="AL89" i="42"/>
  <c r="AB107" i="42"/>
  <c r="AB123" i="42" s="1"/>
  <c r="G123" i="42" s="1"/>
  <c r="AG185" i="42"/>
  <c r="AG213" i="42"/>
  <c r="AG217" i="42" s="1"/>
  <c r="AG221" i="42" s="1"/>
  <c r="AG225" i="42" s="1"/>
  <c r="AG229" i="42" s="1"/>
  <c r="AG186" i="42"/>
  <c r="AG188" i="42" s="1"/>
  <c r="AG190" i="42" s="1"/>
  <c r="AG192" i="42" s="1"/>
  <c r="AC213" i="42"/>
  <c r="AC186" i="42"/>
  <c r="AC188" i="42" s="1"/>
  <c r="AC185" i="42"/>
  <c r="AL184" i="42"/>
  <c r="K2516" i="50"/>
  <c r="J2510" i="50" s="1"/>
  <c r="M1202" i="42" l="1"/>
  <c r="Z1679" i="42"/>
  <c r="N1679" i="42"/>
  <c r="N2324" i="50" s="1"/>
  <c r="Z1680" i="42"/>
  <c r="N2325" i="50" s="1"/>
  <c r="Z1681" i="42"/>
  <c r="I2332" i="50"/>
  <c r="I2340" i="50"/>
  <c r="Z1201" i="42"/>
  <c r="Z1203" i="42"/>
  <c r="Z1202" i="42"/>
  <c r="N2157" i="50" s="1"/>
  <c r="N1202" i="42"/>
  <c r="Y1201" i="42"/>
  <c r="Y1202" i="42"/>
  <c r="M2157" i="50" s="1"/>
  <c r="M1201" i="42"/>
  <c r="M2156" i="50" s="1"/>
  <c r="I2164" i="50"/>
  <c r="I2172" i="50"/>
  <c r="Z1161" i="37"/>
  <c r="Z1160" i="37"/>
  <c r="N1160" i="37"/>
  <c r="Z1162" i="37"/>
  <c r="N1161" i="37"/>
  <c r="AF1408" i="37"/>
  <c r="AF1405" i="37"/>
  <c r="AF1409" i="37" s="1"/>
  <c r="AG1381" i="37"/>
  <c r="AG1382" i="37" s="1"/>
  <c r="AG1329" i="37"/>
  <c r="AG1331" i="37" s="1"/>
  <c r="AG1384" i="37" s="1"/>
  <c r="AG1372" i="37"/>
  <c r="AG1373" i="37" s="1"/>
  <c r="AG1375" i="37" s="1"/>
  <c r="AG1337" i="37"/>
  <c r="AG1275" i="37"/>
  <c r="AG1286" i="37"/>
  <c r="AG1405" i="37"/>
  <c r="AG1409" i="37" s="1"/>
  <c r="AG1408" i="37"/>
  <c r="AD1408" i="37"/>
  <c r="AD1405" i="37"/>
  <c r="AD1409" i="37" s="1"/>
  <c r="AE1317" i="37"/>
  <c r="AE1318" i="37" s="1"/>
  <c r="AE1314" i="37"/>
  <c r="AE1337" i="37"/>
  <c r="AE1329" i="37"/>
  <c r="AE1331" i="37" s="1"/>
  <c r="AE1384" i="37" s="1"/>
  <c r="AE1381" i="37"/>
  <c r="AE1382" i="37" s="1"/>
  <c r="AE1372" i="37"/>
  <c r="AE1373" i="37" s="1"/>
  <c r="AE1375" i="37" s="1"/>
  <c r="AC1337" i="37"/>
  <c r="AC1329" i="37"/>
  <c r="AC1372" i="37"/>
  <c r="AC1381" i="37"/>
  <c r="AK1328" i="37"/>
  <c r="AK1313" i="37"/>
  <c r="AC1317" i="37"/>
  <c r="AC1314" i="37"/>
  <c r="AK1404" i="37"/>
  <c r="AC1405" i="37"/>
  <c r="AC1409" i="37" s="1"/>
  <c r="AC1408" i="37"/>
  <c r="X1161" i="37"/>
  <c r="L1161" i="37"/>
  <c r="X1160" i="37"/>
  <c r="X1162" i="37"/>
  <c r="L1160" i="37"/>
  <c r="S1079" i="50"/>
  <c r="J1160" i="37"/>
  <c r="V1160" i="37" s="1"/>
  <c r="V1161" i="37" s="1"/>
  <c r="V1162" i="37"/>
  <c r="J1162" i="37" s="1"/>
  <c r="J1066" i="50" s="1"/>
  <c r="N1356" i="37"/>
  <c r="AF1329" i="37"/>
  <c r="AF1331" i="37" s="1"/>
  <c r="AF1384" i="37" s="1"/>
  <c r="AF1337" i="37"/>
  <c r="AF1372" i="37"/>
  <c r="AF1373" i="37" s="1"/>
  <c r="AF1375" i="37" s="1"/>
  <c r="AF1381" i="37"/>
  <c r="AF1382" i="37" s="1"/>
  <c r="AD1329" i="37"/>
  <c r="AD1331" i="37" s="1"/>
  <c r="AD1384" i="37" s="1"/>
  <c r="AD1372" i="37"/>
  <c r="AD1373" i="37" s="1"/>
  <c r="AD1375" i="37" s="1"/>
  <c r="AD1337" i="37"/>
  <c r="AD1381" i="37"/>
  <c r="AD1382" i="37" s="1"/>
  <c r="M1191" i="37"/>
  <c r="K1356" i="37"/>
  <c r="AH1317" i="37"/>
  <c r="AH1318" i="37" s="1"/>
  <c r="AH1314" i="37"/>
  <c r="AK1390" i="37"/>
  <c r="AC1310" i="37"/>
  <c r="AK1309" i="37"/>
  <c r="L1356" i="37"/>
  <c r="S1078" i="50"/>
  <c r="J1356" i="37"/>
  <c r="AI1337" i="37"/>
  <c r="AI1381" i="37"/>
  <c r="AI1382" i="37" s="1"/>
  <c r="AI1329" i="37"/>
  <c r="AI1331" i="37" s="1"/>
  <c r="AI1384" i="37" s="1"/>
  <c r="AI1372" i="37"/>
  <c r="AI1373" i="37" s="1"/>
  <c r="AI1375" i="37" s="1"/>
  <c r="AF1314" i="37"/>
  <c r="AF1317" i="37"/>
  <c r="AF1318" i="37" s="1"/>
  <c r="AD1317" i="37"/>
  <c r="AD1318" i="37" s="1"/>
  <c r="AD1314" i="37"/>
  <c r="M1356" i="37"/>
  <c r="K1191" i="37"/>
  <c r="AH1372" i="37"/>
  <c r="AH1373" i="37" s="1"/>
  <c r="AH1375" i="37" s="1"/>
  <c r="AH1381" i="37"/>
  <c r="AH1382" i="37" s="1"/>
  <c r="AH1337" i="37"/>
  <c r="AH1329" i="37"/>
  <c r="AH1331" i="37" s="1"/>
  <c r="AH1384" i="37" s="1"/>
  <c r="AC1260" i="37"/>
  <c r="AK1260" i="37" s="1"/>
  <c r="AK1259" i="37"/>
  <c r="AK1251" i="37"/>
  <c r="AK1216" i="37"/>
  <c r="AB1216" i="37"/>
  <c r="AC1217" i="37"/>
  <c r="L1191" i="37"/>
  <c r="AI1405" i="37"/>
  <c r="AI1409" i="37" s="1"/>
  <c r="AI1408" i="37"/>
  <c r="AI1317" i="37"/>
  <c r="AI1318" i="37" s="1"/>
  <c r="AI1314" i="37"/>
  <c r="N1191" i="37"/>
  <c r="AF1286" i="37"/>
  <c r="AF1275" i="37"/>
  <c r="AG1314" i="37"/>
  <c r="AG1317" i="37"/>
  <c r="AG1318" i="37" s="1"/>
  <c r="AD1275" i="37"/>
  <c r="AD1286" i="37"/>
  <c r="M1161" i="37"/>
  <c r="M1160" i="37"/>
  <c r="Y1162" i="37"/>
  <c r="Y1160" i="37"/>
  <c r="Y1161" i="37"/>
  <c r="W1162" i="37"/>
  <c r="W1160" i="37"/>
  <c r="W1161" i="37"/>
  <c r="K1161" i="37"/>
  <c r="K1160" i="37"/>
  <c r="AH1408" i="37"/>
  <c r="AH1405" i="37"/>
  <c r="AH1409" i="37" s="1"/>
  <c r="AH1286" i="37"/>
  <c r="AH1275" i="37"/>
  <c r="AE1408" i="37"/>
  <c r="AE1405" i="37"/>
  <c r="AE1409" i="37" s="1"/>
  <c r="AE1275" i="37"/>
  <c r="AE1286" i="37"/>
  <c r="AK1300" i="37"/>
  <c r="AC1286" i="37"/>
  <c r="AC1275" i="37"/>
  <c r="AK1274" i="37"/>
  <c r="S1080" i="50"/>
  <c r="J1191" i="37"/>
  <c r="AI1275" i="37"/>
  <c r="AI1286" i="37"/>
  <c r="S951" i="50"/>
  <c r="M1075" i="37"/>
  <c r="AH1005" i="37"/>
  <c r="AH994" i="37"/>
  <c r="AH1127" i="37"/>
  <c r="AH1124" i="37"/>
  <c r="AH1128" i="37" s="1"/>
  <c r="N879" i="37"/>
  <c r="N880" i="37"/>
  <c r="Z879" i="37"/>
  <c r="Z880" i="37"/>
  <c r="Z881" i="37"/>
  <c r="AF1056" i="37"/>
  <c r="AF1100" i="37"/>
  <c r="AF1101" i="37" s="1"/>
  <c r="AF1048" i="37"/>
  <c r="AF1050" i="37" s="1"/>
  <c r="AF1103" i="37" s="1"/>
  <c r="AF1091" i="37"/>
  <c r="AF1092" i="37" s="1"/>
  <c r="AF1094" i="37" s="1"/>
  <c r="AK1032" i="37"/>
  <c r="AC1036" i="37"/>
  <c r="AC1033" i="37"/>
  <c r="AB935" i="37"/>
  <c r="AC936" i="37"/>
  <c r="AK935" i="37"/>
  <c r="AK970" i="37"/>
  <c r="AD1005" i="37"/>
  <c r="AD994" i="37"/>
  <c r="L879" i="37"/>
  <c r="X880" i="37"/>
  <c r="L880" i="37"/>
  <c r="X881" i="37"/>
  <c r="X879" i="37"/>
  <c r="S950" i="50"/>
  <c r="Y880" i="37"/>
  <c r="M880" i="37"/>
  <c r="Y881" i="37"/>
  <c r="M879" i="37"/>
  <c r="Y879" i="37"/>
  <c r="AE1036" i="37"/>
  <c r="AE1037" i="37" s="1"/>
  <c r="AE1033" i="37"/>
  <c r="N910" i="37"/>
  <c r="AF1036" i="37"/>
  <c r="AF1037" i="37" s="1"/>
  <c r="AF1033" i="37"/>
  <c r="AI1005" i="37"/>
  <c r="AI994" i="37"/>
  <c r="AC979" i="37"/>
  <c r="AK979" i="37" s="1"/>
  <c r="AK978" i="37"/>
  <c r="AK993" i="37"/>
  <c r="AC994" i="37"/>
  <c r="AC1005" i="37"/>
  <c r="J910" i="37"/>
  <c r="AD1036" i="37"/>
  <c r="AD1037" i="37" s="1"/>
  <c r="AD1033" i="37"/>
  <c r="AD1056" i="37"/>
  <c r="AD1091" i="37"/>
  <c r="AD1092" i="37" s="1"/>
  <c r="AD1094" i="37" s="1"/>
  <c r="AD1048" i="37"/>
  <c r="AD1050" i="37" s="1"/>
  <c r="AD1103" i="37" s="1"/>
  <c r="AD1100" i="37"/>
  <c r="AD1101" i="37" s="1"/>
  <c r="K910" i="37"/>
  <c r="L1075" i="37"/>
  <c r="S952" i="50"/>
  <c r="M910" i="37"/>
  <c r="AE1048" i="37"/>
  <c r="AE1050" i="37" s="1"/>
  <c r="AE1103" i="37" s="1"/>
  <c r="AE1100" i="37"/>
  <c r="AE1101" i="37" s="1"/>
  <c r="AE1091" i="37"/>
  <c r="AE1092" i="37" s="1"/>
  <c r="AE1094" i="37" s="1"/>
  <c r="AE1056" i="37"/>
  <c r="AE1005" i="37"/>
  <c r="AE994" i="37"/>
  <c r="AH1048" i="37"/>
  <c r="AH1050" i="37" s="1"/>
  <c r="AH1103" i="37" s="1"/>
  <c r="AH1100" i="37"/>
  <c r="AH1101" i="37" s="1"/>
  <c r="AH1056" i="37"/>
  <c r="AH1091" i="37"/>
  <c r="AH1092" i="37" s="1"/>
  <c r="AH1094" i="37" s="1"/>
  <c r="AF1005" i="37"/>
  <c r="AF994" i="37"/>
  <c r="AI1033" i="37"/>
  <c r="AI1036" i="37"/>
  <c r="AI1037" i="37" s="1"/>
  <c r="AK1109" i="37"/>
  <c r="AK1019" i="37"/>
  <c r="AC1048" i="37"/>
  <c r="AC1056" i="37"/>
  <c r="AK1047" i="37"/>
  <c r="AC1091" i="37"/>
  <c r="AC1100" i="37"/>
  <c r="J879" i="37"/>
  <c r="V879" i="37" s="1"/>
  <c r="AG1127" i="37"/>
  <c r="AG1124" i="37"/>
  <c r="AG1128" i="37" s="1"/>
  <c r="AG1091" i="37"/>
  <c r="AG1092" i="37" s="1"/>
  <c r="AG1094" i="37" s="1"/>
  <c r="AG1048" i="37"/>
  <c r="AG1050" i="37" s="1"/>
  <c r="AG1103" i="37" s="1"/>
  <c r="AG1056" i="37"/>
  <c r="AG1100" i="37"/>
  <c r="AG1101" i="37" s="1"/>
  <c r="AG1033" i="37"/>
  <c r="AG1036" i="37"/>
  <c r="AG1037" i="37" s="1"/>
  <c r="K880" i="37"/>
  <c r="W880" i="37"/>
  <c r="K879" i="37"/>
  <c r="W881" i="37"/>
  <c r="W879" i="37"/>
  <c r="AE1124" i="37"/>
  <c r="AE1128" i="37" s="1"/>
  <c r="AE1127" i="37"/>
  <c r="AH1036" i="37"/>
  <c r="AH1037" i="37" s="1"/>
  <c r="AH1033" i="37"/>
  <c r="N1075" i="37"/>
  <c r="AF1127" i="37"/>
  <c r="AF1124" i="37"/>
  <c r="AF1128" i="37" s="1"/>
  <c r="AI1127" i="37"/>
  <c r="AI1124" i="37"/>
  <c r="AI1128" i="37" s="1"/>
  <c r="AI1091" i="37"/>
  <c r="AI1092" i="37" s="1"/>
  <c r="AI1094" i="37" s="1"/>
  <c r="AI1056" i="37"/>
  <c r="AI1100" i="37"/>
  <c r="AI1101" i="37" s="1"/>
  <c r="AI1048" i="37"/>
  <c r="AI1050" i="37" s="1"/>
  <c r="AI1103" i="37" s="1"/>
  <c r="AK1123" i="37"/>
  <c r="AC1124" i="37"/>
  <c r="AC1128" i="37" s="1"/>
  <c r="AC1127" i="37"/>
  <c r="AC1029" i="37"/>
  <c r="AK1028" i="37"/>
  <c r="J1075" i="37"/>
  <c r="AD1124" i="37"/>
  <c r="AD1128" i="37" s="1"/>
  <c r="AD1127" i="37"/>
  <c r="AG1005" i="37"/>
  <c r="AG994" i="37"/>
  <c r="K1075" i="37"/>
  <c r="L910" i="37"/>
  <c r="AL123" i="42"/>
  <c r="L650" i="50"/>
  <c r="M1290" i="50"/>
  <c r="M1674" i="50"/>
  <c r="M906" i="50"/>
  <c r="M1546" i="50"/>
  <c r="M1034" i="50"/>
  <c r="M1162" i="50"/>
  <c r="M1418" i="50"/>
  <c r="M778" i="50"/>
  <c r="J650" i="50"/>
  <c r="K778" i="50"/>
  <c r="J778" i="50"/>
  <c r="M650" i="50"/>
  <c r="L1546" i="50"/>
  <c r="L1290" i="50"/>
  <c r="L1674" i="50"/>
  <c r="L1034" i="50"/>
  <c r="L1162" i="50"/>
  <c r="L1418" i="50"/>
  <c r="L906" i="50"/>
  <c r="J1418" i="50"/>
  <c r="J1290" i="50"/>
  <c r="J906" i="50"/>
  <c r="J1034" i="50"/>
  <c r="J1674" i="50"/>
  <c r="J1546" i="50"/>
  <c r="J1162" i="50"/>
  <c r="N650" i="50"/>
  <c r="K650" i="50"/>
  <c r="N778" i="50"/>
  <c r="K1546" i="50"/>
  <c r="K1674" i="50"/>
  <c r="K1034" i="50"/>
  <c r="K1290" i="50"/>
  <c r="K906" i="50"/>
  <c r="K1418" i="50"/>
  <c r="K1162" i="50"/>
  <c r="N906" i="50"/>
  <c r="N1290" i="50"/>
  <c r="N1162" i="50"/>
  <c r="N1034" i="50"/>
  <c r="N1418" i="50"/>
  <c r="N1674" i="50"/>
  <c r="N1546" i="50"/>
  <c r="L778" i="50"/>
  <c r="I823" i="50"/>
  <c r="J771" i="50" s="1"/>
  <c r="I811" i="50"/>
  <c r="I812" i="50"/>
  <c r="I824" i="50"/>
  <c r="J772" i="50" s="1"/>
  <c r="I822" i="50"/>
  <c r="J770" i="50" s="1"/>
  <c r="I810" i="50"/>
  <c r="S827" i="50"/>
  <c r="I696" i="50"/>
  <c r="J644" i="50" s="1"/>
  <c r="I684" i="50"/>
  <c r="I683" i="50"/>
  <c r="I695" i="50"/>
  <c r="J643" i="50" s="1"/>
  <c r="N468" i="47"/>
  <c r="N669" i="50" s="1"/>
  <c r="N668" i="50"/>
  <c r="I682" i="50"/>
  <c r="I694" i="50"/>
  <c r="S699" i="50"/>
  <c r="I686" i="50"/>
  <c r="I698" i="50"/>
  <c r="J646" i="50" s="1"/>
  <c r="J535" i="50"/>
  <c r="L535" i="50"/>
  <c r="V222" i="47"/>
  <c r="J222" i="47" s="1"/>
  <c r="V223" i="47" s="1"/>
  <c r="J223" i="47" s="1"/>
  <c r="L468" i="47"/>
  <c r="L669" i="50" s="1"/>
  <c r="K467" i="47"/>
  <c r="Y1711" i="42"/>
  <c r="M1815" i="42" s="1"/>
  <c r="Y470" i="47"/>
  <c r="M468" i="47"/>
  <c r="M669" i="50" s="1"/>
  <c r="Z470" i="47"/>
  <c r="M513" i="37"/>
  <c r="N807" i="42"/>
  <c r="N700" i="42"/>
  <c r="Z701" i="42" s="1"/>
  <c r="N528" i="50"/>
  <c r="Z1711" i="42"/>
  <c r="M536" i="50"/>
  <c r="N513" i="37"/>
  <c r="N536" i="50"/>
  <c r="Z468" i="47"/>
  <c r="N670" i="50" s="1"/>
  <c r="L536" i="50"/>
  <c r="K536" i="50"/>
  <c r="J468" i="47"/>
  <c r="N1029" i="42"/>
  <c r="N1030" i="42" s="1"/>
  <c r="I2380" i="50"/>
  <c r="I2388" i="50"/>
  <c r="N1540" i="42"/>
  <c r="N1542" i="42" s="1"/>
  <c r="I2292" i="50"/>
  <c r="I2284" i="50"/>
  <c r="K522" i="50"/>
  <c r="N522" i="50"/>
  <c r="J522" i="50"/>
  <c r="M522" i="50"/>
  <c r="L522" i="50"/>
  <c r="I464" i="41"/>
  <c r="I471" i="41" s="1"/>
  <c r="I216" i="41" s="1"/>
  <c r="I338" i="50" s="1"/>
  <c r="I2104" i="50"/>
  <c r="I2112" i="50"/>
  <c r="I2232" i="50"/>
  <c r="I2224" i="50"/>
  <c r="J463" i="41"/>
  <c r="J470" i="41" s="1"/>
  <c r="J215" i="41" s="1"/>
  <c r="K463" i="41"/>
  <c r="K470" i="41" s="1"/>
  <c r="K215" i="41" s="1"/>
  <c r="K337" i="50" s="1"/>
  <c r="J513" i="37"/>
  <c r="AI843" i="37"/>
  <c r="AI847" i="37" s="1"/>
  <c r="AI846" i="37"/>
  <c r="AI752" i="37"/>
  <c r="AI755" i="37"/>
  <c r="AI756" i="37" s="1"/>
  <c r="AG775" i="37"/>
  <c r="AG819" i="37"/>
  <c r="AG820" i="37" s="1"/>
  <c r="AG767" i="37"/>
  <c r="AG769" i="37" s="1"/>
  <c r="AG822" i="37" s="1"/>
  <c r="AG810" i="37"/>
  <c r="AG811" i="37" s="1"/>
  <c r="AG813" i="37" s="1"/>
  <c r="M629" i="37"/>
  <c r="AD843" i="37"/>
  <c r="AD847" i="37" s="1"/>
  <c r="AD846" i="37"/>
  <c r="AD755" i="37"/>
  <c r="AD756" i="37" s="1"/>
  <c r="AD752" i="37"/>
  <c r="L598" i="37"/>
  <c r="N598" i="37"/>
  <c r="AF755" i="37"/>
  <c r="AF756" i="37" s="1"/>
  <c r="AF752" i="37"/>
  <c r="AF846" i="37"/>
  <c r="AF843" i="37"/>
  <c r="AF847" i="37" s="1"/>
  <c r="AF819" i="37"/>
  <c r="AF820" i="37" s="1"/>
  <c r="AF810" i="37"/>
  <c r="AF811" i="37" s="1"/>
  <c r="AF813" i="37" s="1"/>
  <c r="AF775" i="37"/>
  <c r="AF767" i="37"/>
  <c r="AF769" i="37" s="1"/>
  <c r="AF822" i="37" s="1"/>
  <c r="AC724" i="37"/>
  <c r="AC713" i="37"/>
  <c r="AK712" i="37"/>
  <c r="AK738" i="37"/>
  <c r="AC655" i="37"/>
  <c r="AK654" i="37"/>
  <c r="AB654" i="37"/>
  <c r="K794" i="37"/>
  <c r="J794" i="37"/>
  <c r="AH810" i="37"/>
  <c r="AH811" i="37" s="1"/>
  <c r="AH813" i="37" s="1"/>
  <c r="AH767" i="37"/>
  <c r="AH769" i="37" s="1"/>
  <c r="AH822" i="37" s="1"/>
  <c r="AH819" i="37"/>
  <c r="AH820" i="37" s="1"/>
  <c r="AH775" i="37"/>
  <c r="AH724" i="37"/>
  <c r="AH713" i="37"/>
  <c r="AG713" i="37"/>
  <c r="AG724" i="37"/>
  <c r="M794" i="37"/>
  <c r="AE752" i="37"/>
  <c r="AE755" i="37"/>
  <c r="AE756" i="37" s="1"/>
  <c r="AE775" i="37"/>
  <c r="AE810" i="37"/>
  <c r="AE811" i="37" s="1"/>
  <c r="AE813" i="37" s="1"/>
  <c r="AE819" i="37"/>
  <c r="AE820" i="37" s="1"/>
  <c r="AE767" i="37"/>
  <c r="AE769" i="37" s="1"/>
  <c r="AE822" i="37" s="1"/>
  <c r="AF713" i="37"/>
  <c r="AF724" i="37"/>
  <c r="AK751" i="37"/>
  <c r="AC755" i="37"/>
  <c r="AC752" i="37"/>
  <c r="J629" i="37"/>
  <c r="J784" i="50" s="1"/>
  <c r="AI775" i="37"/>
  <c r="AI767" i="37"/>
  <c r="AI769" i="37" s="1"/>
  <c r="AI822" i="37" s="1"/>
  <c r="AI819" i="37"/>
  <c r="AI820" i="37" s="1"/>
  <c r="AI810" i="37"/>
  <c r="AI811" i="37" s="1"/>
  <c r="AI813" i="37" s="1"/>
  <c r="AH846" i="37"/>
  <c r="AH843" i="37"/>
  <c r="AH847" i="37" s="1"/>
  <c r="AH755" i="37"/>
  <c r="AH756" i="37" s="1"/>
  <c r="AH752" i="37"/>
  <c r="AG755" i="37"/>
  <c r="AG756" i="37" s="1"/>
  <c r="AG752" i="37"/>
  <c r="AG846" i="37"/>
  <c r="AG843" i="37"/>
  <c r="AG847" i="37" s="1"/>
  <c r="AD775" i="37"/>
  <c r="AD767" i="37"/>
  <c r="AD769" i="37" s="1"/>
  <c r="AD822" i="37" s="1"/>
  <c r="AD810" i="37"/>
  <c r="AD811" i="37" s="1"/>
  <c r="AD813" i="37" s="1"/>
  <c r="AD819" i="37"/>
  <c r="AD820" i="37" s="1"/>
  <c r="L629" i="37"/>
  <c r="L784" i="50" s="1"/>
  <c r="N629" i="37"/>
  <c r="AE843" i="37"/>
  <c r="AE847" i="37" s="1"/>
  <c r="AE846" i="37"/>
  <c r="AK842" i="37"/>
  <c r="AC846" i="37"/>
  <c r="AC843" i="37"/>
  <c r="AC847" i="37" s="1"/>
  <c r="AC748" i="37"/>
  <c r="AK747" i="37"/>
  <c r="AC819" i="37"/>
  <c r="AC775" i="37"/>
  <c r="AC767" i="37"/>
  <c r="AK766" i="37"/>
  <c r="AC810" i="37"/>
  <c r="K629" i="37"/>
  <c r="K784" i="50" s="1"/>
  <c r="L513" i="37"/>
  <c r="AI724" i="37"/>
  <c r="AI713" i="37"/>
  <c r="M598" i="37"/>
  <c r="AD713" i="37"/>
  <c r="AD724" i="37"/>
  <c r="L794" i="37"/>
  <c r="N794" i="37"/>
  <c r="AE713" i="37"/>
  <c r="AE724" i="37"/>
  <c r="AC698" i="37"/>
  <c r="AK698" i="37" s="1"/>
  <c r="AK697" i="37"/>
  <c r="AK689" i="37"/>
  <c r="AK828" i="37"/>
  <c r="K598" i="37"/>
  <c r="J598" i="37"/>
  <c r="AG538" i="37"/>
  <c r="AG539" i="37" s="1"/>
  <c r="AG529" i="37"/>
  <c r="AG530" i="37" s="1"/>
  <c r="AG532" i="37" s="1"/>
  <c r="AG494" i="37"/>
  <c r="AG486" i="37"/>
  <c r="AG488" i="37" s="1"/>
  <c r="AG541" i="37" s="1"/>
  <c r="AK547" i="37"/>
  <c r="AH565" i="37"/>
  <c r="AH562" i="37"/>
  <c r="AH566" i="37" s="1"/>
  <c r="AD565" i="37"/>
  <c r="AD562" i="37"/>
  <c r="AD566" i="37" s="1"/>
  <c r="AD538" i="37"/>
  <c r="AD539" i="37" s="1"/>
  <c r="AD529" i="37"/>
  <c r="AD530" i="37" s="1"/>
  <c r="AD532" i="37" s="1"/>
  <c r="AD494" i="37"/>
  <c r="AD486" i="37"/>
  <c r="AD488" i="37" s="1"/>
  <c r="AD541" i="37" s="1"/>
  <c r="L317" i="37"/>
  <c r="AE443" i="37"/>
  <c r="AE432" i="37"/>
  <c r="AC565" i="37"/>
  <c r="AC562" i="37"/>
  <c r="AC566" i="37" s="1"/>
  <c r="AK561" i="37"/>
  <c r="AK408" i="37"/>
  <c r="AK457" i="37"/>
  <c r="N317" i="37"/>
  <c r="AF471" i="37"/>
  <c r="AF474" i="37"/>
  <c r="AF475" i="37" s="1"/>
  <c r="AH432" i="37"/>
  <c r="AH443" i="37"/>
  <c r="AH471" i="37"/>
  <c r="AH474" i="37"/>
  <c r="AH475" i="37" s="1"/>
  <c r="AD432" i="37"/>
  <c r="AD443" i="37"/>
  <c r="J317" i="37"/>
  <c r="AI562" i="37"/>
  <c r="AI566" i="37" s="1"/>
  <c r="AI565" i="37"/>
  <c r="N349" i="37"/>
  <c r="AF432" i="37"/>
  <c r="AF443" i="37"/>
  <c r="L349" i="37"/>
  <c r="AG471" i="37"/>
  <c r="AG474" i="37"/>
  <c r="AG475" i="37" s="1"/>
  <c r="AG565" i="37"/>
  <c r="AG562" i="37"/>
  <c r="AG566" i="37" s="1"/>
  <c r="AI443" i="37"/>
  <c r="AI432" i="37"/>
  <c r="AE565" i="37"/>
  <c r="AE562" i="37"/>
  <c r="AE566" i="37" s="1"/>
  <c r="AC474" i="37"/>
  <c r="AC471" i="37"/>
  <c r="AK470" i="37"/>
  <c r="AC529" i="37"/>
  <c r="AC494" i="37"/>
  <c r="AC538" i="37"/>
  <c r="AC486" i="37"/>
  <c r="AK485" i="37"/>
  <c r="AC417" i="37"/>
  <c r="AK417" i="37" s="1"/>
  <c r="AK416" i="37"/>
  <c r="AF562" i="37"/>
  <c r="AF566" i="37" s="1"/>
  <c r="AF565" i="37"/>
  <c r="K349" i="37"/>
  <c r="AI486" i="37"/>
  <c r="AI488" i="37" s="1"/>
  <c r="AI541" i="37" s="1"/>
  <c r="AI529" i="37"/>
  <c r="AI530" i="37" s="1"/>
  <c r="AI532" i="37" s="1"/>
  <c r="AI494" i="37"/>
  <c r="AI538" i="37"/>
  <c r="AI539" i="37" s="1"/>
  <c r="M349" i="37"/>
  <c r="AE474" i="37"/>
  <c r="AE475" i="37" s="1"/>
  <c r="AE471" i="37"/>
  <c r="AC374" i="37"/>
  <c r="AK373" i="37"/>
  <c r="AB373" i="37"/>
  <c r="K317" i="37"/>
  <c r="AG443" i="37"/>
  <c r="AG432" i="37"/>
  <c r="AI474" i="37"/>
  <c r="AI475" i="37" s="1"/>
  <c r="AI471" i="37"/>
  <c r="M317" i="37"/>
  <c r="AE529" i="37"/>
  <c r="AE530" i="37" s="1"/>
  <c r="AE532" i="37" s="1"/>
  <c r="AE486" i="37"/>
  <c r="AE488" i="37" s="1"/>
  <c r="AE541" i="37" s="1"/>
  <c r="AE538" i="37"/>
  <c r="AE539" i="37" s="1"/>
  <c r="AE494" i="37"/>
  <c r="AC467" i="37"/>
  <c r="AK466" i="37"/>
  <c r="AC443" i="37"/>
  <c r="AC432" i="37"/>
  <c r="AK431" i="37"/>
  <c r="N514" i="37"/>
  <c r="AF538" i="37"/>
  <c r="AF539" i="37" s="1"/>
  <c r="AF529" i="37"/>
  <c r="AF530" i="37" s="1"/>
  <c r="AF532" i="37" s="1"/>
  <c r="AF486" i="37"/>
  <c r="AF488" i="37" s="1"/>
  <c r="AF541" i="37" s="1"/>
  <c r="AF494" i="37"/>
  <c r="AH486" i="37"/>
  <c r="AH488" i="37" s="1"/>
  <c r="AH541" i="37" s="1"/>
  <c r="AH538" i="37"/>
  <c r="AH539" i="37" s="1"/>
  <c r="AH529" i="37"/>
  <c r="AH530" i="37" s="1"/>
  <c r="AH532" i="37" s="1"/>
  <c r="AH494" i="37"/>
  <c r="AD474" i="37"/>
  <c r="AD475" i="37" s="1"/>
  <c r="AD471" i="37"/>
  <c r="J349" i="37"/>
  <c r="K513" i="37"/>
  <c r="J1084" i="42"/>
  <c r="J1192" i="42" s="1"/>
  <c r="J369" i="50"/>
  <c r="I435" i="41"/>
  <c r="I369" i="50" s="1"/>
  <c r="I2031" i="50"/>
  <c r="I2039" i="50"/>
  <c r="G1934" i="50"/>
  <c r="J1942" i="50"/>
  <c r="J1943" i="50" s="1"/>
  <c r="G2356" i="50"/>
  <c r="J2364" i="50"/>
  <c r="J2365" i="50" s="1"/>
  <c r="G2308" i="50"/>
  <c r="J2316" i="50"/>
  <c r="J2317" i="50" s="1"/>
  <c r="G2260" i="50"/>
  <c r="J2268" i="50"/>
  <c r="J2269" i="50" s="1"/>
  <c r="G2200" i="50"/>
  <c r="J2208" i="50"/>
  <c r="J2209" i="50" s="1"/>
  <c r="G2140" i="50"/>
  <c r="J2148" i="50"/>
  <c r="J2149" i="50" s="1"/>
  <c r="G2080" i="50"/>
  <c r="J2088" i="50"/>
  <c r="J2089" i="50" s="1"/>
  <c r="W1711" i="42"/>
  <c r="K1815" i="42" s="1"/>
  <c r="X1573" i="42"/>
  <c r="L1677" i="42" s="1"/>
  <c r="X1264" i="42"/>
  <c r="L1370" i="42" s="1"/>
  <c r="AL1802" i="42"/>
  <c r="AL1184" i="42"/>
  <c r="AL1661" i="42"/>
  <c r="AL1186" i="42"/>
  <c r="AL1185" i="42"/>
  <c r="W1573" i="42"/>
  <c r="K1677" i="42" s="1"/>
  <c r="AL1360" i="42"/>
  <c r="AL1188" i="42"/>
  <c r="V1573" i="42"/>
  <c r="J1677" i="42" s="1"/>
  <c r="AL1357" i="42"/>
  <c r="AL1806" i="42"/>
  <c r="AL1666" i="42"/>
  <c r="Z1373" i="42"/>
  <c r="N2217" i="50" s="1"/>
  <c r="Z1374" i="42"/>
  <c r="N2216" i="50"/>
  <c r="Z1372" i="42"/>
  <c r="AL1354" i="42"/>
  <c r="AL1659" i="42"/>
  <c r="AL1800" i="42"/>
  <c r="AL1182" i="42"/>
  <c r="AL1356" i="42"/>
  <c r="AL1664" i="42"/>
  <c r="AL1665" i="42"/>
  <c r="AL1358" i="42"/>
  <c r="M2216" i="50"/>
  <c r="Y1373" i="42"/>
  <c r="M2217" i="50" s="1"/>
  <c r="Y1374" i="42"/>
  <c r="Y1372" i="42"/>
  <c r="AL1668" i="42"/>
  <c r="AC1241" i="42"/>
  <c r="AL1241" i="42" s="1"/>
  <c r="AL1235" i="42"/>
  <c r="AC1238" i="42"/>
  <c r="AL1238" i="42" s="1"/>
  <c r="AL1663" i="42"/>
  <c r="AL1359" i="42"/>
  <c r="AC1407" i="42"/>
  <c r="AL1404" i="42"/>
  <c r="AL1361" i="42"/>
  <c r="AL1183" i="42"/>
  <c r="AL1805" i="42"/>
  <c r="AL1799" i="42"/>
  <c r="X1711" i="42"/>
  <c r="AL1660" i="42"/>
  <c r="V1264" i="42"/>
  <c r="J1370" i="42" s="1"/>
  <c r="AL1355" i="42"/>
  <c r="W1264" i="42"/>
  <c r="K1370" i="42" s="1"/>
  <c r="AC1236" i="42"/>
  <c r="AL1233" i="42"/>
  <c r="V1711" i="42"/>
  <c r="AL1662" i="42"/>
  <c r="AL1352" i="42"/>
  <c r="AL1798" i="42"/>
  <c r="AL1804" i="42"/>
  <c r="AL1353" i="42"/>
  <c r="AC1409" i="42"/>
  <c r="AL1409" i="42" s="1"/>
  <c r="AL1406" i="42"/>
  <c r="AC1412" i="42"/>
  <c r="AL1412" i="42" s="1"/>
  <c r="AL1803" i="42"/>
  <c r="AL1801" i="42"/>
  <c r="AL1190" i="42"/>
  <c r="AL1189" i="42"/>
  <c r="AL1187" i="42"/>
  <c r="AL1667" i="42"/>
  <c r="W1435" i="42"/>
  <c r="V1435" i="42"/>
  <c r="J1539" i="42" s="1"/>
  <c r="X1435" i="42"/>
  <c r="L1539" i="42" s="1"/>
  <c r="K1084" i="42"/>
  <c r="AL1067" i="42"/>
  <c r="I1232" i="42"/>
  <c r="I1233" i="42" s="1"/>
  <c r="I1158" i="42"/>
  <c r="I1159" i="42" s="1"/>
  <c r="K1092" i="42"/>
  <c r="K2152" i="50" s="1"/>
  <c r="V922" i="42"/>
  <c r="V923" i="42" s="1"/>
  <c r="J2094" i="50" s="1"/>
  <c r="W922" i="42"/>
  <c r="K923" i="42" s="1"/>
  <c r="W924" i="42" s="1"/>
  <c r="K924" i="42" s="1"/>
  <c r="X922" i="42"/>
  <c r="L1028" i="42" s="1"/>
  <c r="G2007" i="50"/>
  <c r="J2443" i="50" s="1"/>
  <c r="J2015" i="50"/>
  <c r="J2016" i="50" s="1"/>
  <c r="W476" i="42"/>
  <c r="X476" i="42"/>
  <c r="L584" i="42" s="1"/>
  <c r="V476" i="42"/>
  <c r="I1892" i="50"/>
  <c r="AL1062" i="42"/>
  <c r="AC1065" i="42"/>
  <c r="AC1068" i="42" s="1"/>
  <c r="AL1068" i="42" s="1"/>
  <c r="AC1070" i="42"/>
  <c r="AL1070" i="42" s="1"/>
  <c r="AL1064" i="42"/>
  <c r="AG856" i="42"/>
  <c r="AG858" i="42" s="1"/>
  <c r="AG860" i="42" s="1"/>
  <c r="AG883" i="42"/>
  <c r="AG887" i="42" s="1"/>
  <c r="AG891" i="42" s="1"/>
  <c r="AG895" i="42" s="1"/>
  <c r="AG899" i="42" s="1"/>
  <c r="AL1014" i="42"/>
  <c r="AL1529" i="42"/>
  <c r="AI883" i="42"/>
  <c r="AI887" i="42" s="1"/>
  <c r="AI891" i="42" s="1"/>
  <c r="AI895" i="42" s="1"/>
  <c r="AI899" i="42" s="1"/>
  <c r="AI856" i="42"/>
  <c r="AI858" i="42" s="1"/>
  <c r="AI860" i="42" s="1"/>
  <c r="AG633" i="42"/>
  <c r="AG635" i="42" s="1"/>
  <c r="AG637" i="42" s="1"/>
  <c r="AG660" i="42"/>
  <c r="AG664" i="42" s="1"/>
  <c r="AG668" i="42" s="1"/>
  <c r="AG672" i="42" s="1"/>
  <c r="AG676" i="42" s="1"/>
  <c r="AC857" i="42"/>
  <c r="AL855" i="42"/>
  <c r="AC663" i="42"/>
  <c r="AL659" i="42"/>
  <c r="AL1524" i="42"/>
  <c r="AI633" i="42"/>
  <c r="AI635" i="42" s="1"/>
  <c r="AI637" i="42" s="1"/>
  <c r="AI660" i="42"/>
  <c r="AI664" i="42" s="1"/>
  <c r="AI668" i="42" s="1"/>
  <c r="AI672" i="42" s="1"/>
  <c r="AI676" i="42" s="1"/>
  <c r="AL1528" i="42"/>
  <c r="AL1527" i="42"/>
  <c r="AL1013" i="42"/>
  <c r="AL1015" i="42"/>
  <c r="AH633" i="42"/>
  <c r="AH635" i="42" s="1"/>
  <c r="AH637" i="42" s="1"/>
  <c r="AH660" i="42"/>
  <c r="AH664" i="42" s="1"/>
  <c r="AH668" i="42" s="1"/>
  <c r="AH672" i="42" s="1"/>
  <c r="AH676" i="42" s="1"/>
  <c r="AF660" i="42"/>
  <c r="AF664" i="42" s="1"/>
  <c r="AF668" i="42" s="1"/>
  <c r="AF672" i="42" s="1"/>
  <c r="AF676" i="42" s="1"/>
  <c r="AF633" i="42"/>
  <c r="AF635" i="42" s="1"/>
  <c r="AF637" i="42" s="1"/>
  <c r="AL573" i="42"/>
  <c r="AC634" i="42"/>
  <c r="AL632" i="42"/>
  <c r="AL569" i="42"/>
  <c r="AL574" i="42"/>
  <c r="AL1530" i="42"/>
  <c r="AL1017" i="42"/>
  <c r="AL571" i="42"/>
  <c r="AL570" i="42"/>
  <c r="AC856" i="42"/>
  <c r="AC883" i="42"/>
  <c r="AL854" i="42"/>
  <c r="AD883" i="42"/>
  <c r="AD887" i="42" s="1"/>
  <c r="AD891" i="42" s="1"/>
  <c r="AD895" i="42" s="1"/>
  <c r="AD899" i="42" s="1"/>
  <c r="AD856" i="42"/>
  <c r="AD858" i="42" s="1"/>
  <c r="AD860" i="42" s="1"/>
  <c r="AC633" i="42"/>
  <c r="AC660" i="42"/>
  <c r="AL631" i="42"/>
  <c r="AL1526" i="42"/>
  <c r="AD633" i="42"/>
  <c r="AD635" i="42" s="1"/>
  <c r="AD637" i="42" s="1"/>
  <c r="AD660" i="42"/>
  <c r="AD664" i="42" s="1"/>
  <c r="AD668" i="42" s="1"/>
  <c r="AD672" i="42" s="1"/>
  <c r="AD676" i="42" s="1"/>
  <c r="AL1018" i="42"/>
  <c r="AL1016" i="42"/>
  <c r="AL1019" i="42"/>
  <c r="AL1525" i="42"/>
  <c r="AE633" i="42"/>
  <c r="AE635" i="42" s="1"/>
  <c r="AE637" i="42" s="1"/>
  <c r="AE660" i="42"/>
  <c r="AE664" i="42" s="1"/>
  <c r="AE668" i="42" s="1"/>
  <c r="AE672" i="42" s="1"/>
  <c r="AE676" i="42" s="1"/>
  <c r="AE856" i="42"/>
  <c r="AE858" i="42" s="1"/>
  <c r="AE860" i="42" s="1"/>
  <c r="AE883" i="42"/>
  <c r="AE887" i="42" s="1"/>
  <c r="AE891" i="42" s="1"/>
  <c r="AE895" i="42" s="1"/>
  <c r="AE899" i="42" s="1"/>
  <c r="AL575" i="42"/>
  <c r="AL572" i="42"/>
  <c r="AH856" i="42"/>
  <c r="AH858" i="42" s="1"/>
  <c r="AH860" i="42" s="1"/>
  <c r="AH883" i="42"/>
  <c r="AH887" i="42" s="1"/>
  <c r="AH891" i="42" s="1"/>
  <c r="AH895" i="42" s="1"/>
  <c r="AH899" i="42" s="1"/>
  <c r="AF883" i="42"/>
  <c r="AF887" i="42" s="1"/>
  <c r="AF891" i="42" s="1"/>
  <c r="AF895" i="42" s="1"/>
  <c r="AF899" i="42" s="1"/>
  <c r="AF856" i="42"/>
  <c r="AF858" i="42" s="1"/>
  <c r="AF860" i="42" s="1"/>
  <c r="AC886" i="42"/>
  <c r="AL882" i="42"/>
  <c r="I320" i="42"/>
  <c r="K244" i="42"/>
  <c r="K1861" i="50" s="1"/>
  <c r="AF410" i="42"/>
  <c r="AF412" i="42" s="1"/>
  <c r="AF414" i="42" s="1"/>
  <c r="AF437" i="42"/>
  <c r="AF441" i="42" s="1"/>
  <c r="AF445" i="42" s="1"/>
  <c r="AF449" i="42" s="1"/>
  <c r="AF453" i="42" s="1"/>
  <c r="AH410" i="42"/>
  <c r="AH412" i="42" s="1"/>
  <c r="AH414" i="42" s="1"/>
  <c r="AH437" i="42"/>
  <c r="AH441" i="42" s="1"/>
  <c r="AH445" i="42" s="1"/>
  <c r="AH449" i="42" s="1"/>
  <c r="AH453" i="42" s="1"/>
  <c r="AI437" i="42"/>
  <c r="AI441" i="42" s="1"/>
  <c r="AI445" i="42" s="1"/>
  <c r="AI449" i="42" s="1"/>
  <c r="AI453" i="42" s="1"/>
  <c r="AI410" i="42"/>
  <c r="AI412" i="42" s="1"/>
  <c r="AI414" i="42" s="1"/>
  <c r="AC440" i="42"/>
  <c r="AL436" i="42"/>
  <c r="AL352" i="42"/>
  <c r="AL349" i="42"/>
  <c r="AE437" i="42"/>
  <c r="AE441" i="42" s="1"/>
  <c r="AE445" i="42" s="1"/>
  <c r="AE449" i="42" s="1"/>
  <c r="AE453" i="42" s="1"/>
  <c r="AE410" i="42"/>
  <c r="AE412" i="42" s="1"/>
  <c r="AE414" i="42" s="1"/>
  <c r="AL350" i="42"/>
  <c r="AL351" i="42"/>
  <c r="AL347" i="42"/>
  <c r="AC411" i="42"/>
  <c r="AL409" i="42"/>
  <c r="AL346" i="42"/>
  <c r="AG410" i="42"/>
  <c r="AG412" i="42" s="1"/>
  <c r="AG414" i="42" s="1"/>
  <c r="AG437" i="42"/>
  <c r="AG441" i="42" s="1"/>
  <c r="AG445" i="42" s="1"/>
  <c r="AG449" i="42" s="1"/>
  <c r="AG453" i="42" s="1"/>
  <c r="AC410" i="42"/>
  <c r="AC437" i="42"/>
  <c r="AL408" i="42"/>
  <c r="AL348" i="42"/>
  <c r="AD410" i="42"/>
  <c r="AD412" i="42" s="1"/>
  <c r="AD414" i="42" s="1"/>
  <c r="AD437" i="42"/>
  <c r="AD441" i="42" s="1"/>
  <c r="AD445" i="42" s="1"/>
  <c r="AD449" i="42" s="1"/>
  <c r="AD453" i="42" s="1"/>
  <c r="H244" i="42"/>
  <c r="H1861" i="50" s="1"/>
  <c r="J21" i="42"/>
  <c r="J1788" i="50" s="1"/>
  <c r="J244" i="42"/>
  <c r="J1861" i="50" s="1"/>
  <c r="K21" i="42"/>
  <c r="N371" i="41"/>
  <c r="N451" i="50" s="1"/>
  <c r="K371" i="41"/>
  <c r="K451" i="50" s="1"/>
  <c r="M371" i="41"/>
  <c r="M451" i="50" s="1"/>
  <c r="J371" i="41"/>
  <c r="J451" i="50" s="1"/>
  <c r="H371" i="41"/>
  <c r="H451" i="50" s="1"/>
  <c r="I371" i="41"/>
  <c r="I451" i="50" s="1"/>
  <c r="L371" i="41"/>
  <c r="L451" i="50" s="1"/>
  <c r="I370" i="41"/>
  <c r="I450" i="50" s="1"/>
  <c r="M370" i="41"/>
  <c r="M450" i="50" s="1"/>
  <c r="J370" i="41"/>
  <c r="J450" i="50" s="1"/>
  <c r="H370" i="41"/>
  <c r="H450" i="50" s="1"/>
  <c r="N370" i="41"/>
  <c r="N450" i="50" s="1"/>
  <c r="K370" i="41"/>
  <c r="K450" i="50" s="1"/>
  <c r="L370" i="41"/>
  <c r="L450" i="50" s="1"/>
  <c r="N369" i="41"/>
  <c r="N449" i="50" s="1"/>
  <c r="J369" i="41"/>
  <c r="J449" i="50" s="1"/>
  <c r="M369" i="41"/>
  <c r="M449" i="50" s="1"/>
  <c r="I369" i="41"/>
  <c r="I449" i="50" s="1"/>
  <c r="K369" i="41"/>
  <c r="K449" i="50" s="1"/>
  <c r="L369" i="41"/>
  <c r="L449" i="50" s="1"/>
  <c r="H369" i="41"/>
  <c r="H449" i="50" s="1"/>
  <c r="L368" i="41"/>
  <c r="L448" i="50" s="1"/>
  <c r="H368" i="41"/>
  <c r="H448" i="50" s="1"/>
  <c r="M368" i="41"/>
  <c r="M448" i="50" s="1"/>
  <c r="N368" i="41"/>
  <c r="N448" i="50" s="1"/>
  <c r="J368" i="41"/>
  <c r="J448" i="50" s="1"/>
  <c r="I368" i="41"/>
  <c r="I448" i="50" s="1"/>
  <c r="K368" i="41"/>
  <c r="K448" i="50" s="1"/>
  <c r="N367" i="41"/>
  <c r="N447" i="50" s="1"/>
  <c r="M367" i="41"/>
  <c r="M447" i="50" s="1"/>
  <c r="L367" i="41"/>
  <c r="L447" i="50" s="1"/>
  <c r="H367" i="41"/>
  <c r="H447" i="50" s="1"/>
  <c r="J367" i="41"/>
  <c r="J447" i="50" s="1"/>
  <c r="K367" i="41"/>
  <c r="K447" i="50" s="1"/>
  <c r="I367" i="41"/>
  <c r="I447" i="50" s="1"/>
  <c r="AK127" i="37"/>
  <c r="AL188" i="42"/>
  <c r="AC190" i="42"/>
  <c r="AL186" i="42"/>
  <c r="AC187" i="42"/>
  <c r="AC189" i="42" s="1"/>
  <c r="AC214" i="42"/>
  <c r="K366" i="41"/>
  <c r="M366" i="41"/>
  <c r="N366" i="41"/>
  <c r="I366" i="41"/>
  <c r="J366" i="41"/>
  <c r="H366" i="41"/>
  <c r="L366" i="41"/>
  <c r="K36" i="37"/>
  <c r="AD190" i="37"/>
  <c r="AD193" i="37"/>
  <c r="AD194" i="37" s="1"/>
  <c r="AF190" i="37"/>
  <c r="AF193" i="37"/>
  <c r="AF194" i="37" s="1"/>
  <c r="AK266" i="37"/>
  <c r="AK272" i="37"/>
  <c r="K67" i="37"/>
  <c r="K528" i="50" s="1"/>
  <c r="S566" i="50"/>
  <c r="AD162" i="37"/>
  <c r="AD151" i="37"/>
  <c r="AD248" i="37"/>
  <c r="AD249" i="37" s="1"/>
  <c r="AD251" i="37" s="1"/>
  <c r="AD205" i="37"/>
  <c r="AD207" i="37" s="1"/>
  <c r="AD260" i="37" s="1"/>
  <c r="AD257" i="37"/>
  <c r="AD258" i="37" s="1"/>
  <c r="AD213" i="37"/>
  <c r="AF281" i="37"/>
  <c r="AF285" i="37" s="1"/>
  <c r="AF284" i="37"/>
  <c r="AK176" i="37"/>
  <c r="AC213" i="37"/>
  <c r="AC248" i="37"/>
  <c r="AK204" i="37"/>
  <c r="AC205" i="37"/>
  <c r="AC257" i="37"/>
  <c r="H470" i="41"/>
  <c r="H215" i="41" s="1"/>
  <c r="H250" i="41" s="1"/>
  <c r="AH281" i="37"/>
  <c r="AH285" i="37" s="1"/>
  <c r="AH284" i="37"/>
  <c r="AG284" i="37"/>
  <c r="AG281" i="37"/>
  <c r="AG285" i="37" s="1"/>
  <c r="AI248" i="37"/>
  <c r="AI249" i="37" s="1"/>
  <c r="AI251" i="37" s="1"/>
  <c r="AI205" i="37"/>
  <c r="AI207" i="37" s="1"/>
  <c r="AI260" i="37" s="1"/>
  <c r="AI213" i="37"/>
  <c r="AI257" i="37"/>
  <c r="AI258" i="37" s="1"/>
  <c r="K345" i="41"/>
  <c r="K430" i="50" s="1"/>
  <c r="K420" i="50"/>
  <c r="N68" i="37"/>
  <c r="Z70" i="37"/>
  <c r="AL126" i="42"/>
  <c r="AI187" i="42"/>
  <c r="AI189" i="42" s="1"/>
  <c r="AI191" i="42" s="1"/>
  <c r="AI214" i="42"/>
  <c r="AI218" i="42" s="1"/>
  <c r="AI222" i="42" s="1"/>
  <c r="AI226" i="42" s="1"/>
  <c r="AI230" i="42" s="1"/>
  <c r="AL185" i="42"/>
  <c r="AD214" i="42"/>
  <c r="AD218" i="42" s="1"/>
  <c r="AD222" i="42" s="1"/>
  <c r="AD226" i="42" s="1"/>
  <c r="AD230" i="42" s="1"/>
  <c r="AD187" i="42"/>
  <c r="AD189" i="42" s="1"/>
  <c r="AD191" i="42" s="1"/>
  <c r="K310" i="41"/>
  <c r="K390" i="50"/>
  <c r="S568" i="50"/>
  <c r="AC284" i="37"/>
  <c r="AC281" i="37"/>
  <c r="AC285" i="37" s="1"/>
  <c r="AK280" i="37"/>
  <c r="AC93" i="37"/>
  <c r="AK92" i="37"/>
  <c r="AB92" i="37"/>
  <c r="AC193" i="37"/>
  <c r="AK189" i="37"/>
  <c r="AC190" i="37"/>
  <c r="J310" i="41"/>
  <c r="J390" i="50"/>
  <c r="AE214" i="42"/>
  <c r="AE218" i="42" s="1"/>
  <c r="AE222" i="42" s="1"/>
  <c r="AE226" i="42" s="1"/>
  <c r="AE230" i="42" s="1"/>
  <c r="AE187" i="42"/>
  <c r="AE189" i="42" s="1"/>
  <c r="AE191" i="42" s="1"/>
  <c r="AL125" i="42"/>
  <c r="AL129" i="42"/>
  <c r="AE162" i="37"/>
  <c r="AE151" i="37"/>
  <c r="J232" i="37"/>
  <c r="AH193" i="37"/>
  <c r="AH194" i="37" s="1"/>
  <c r="AH190" i="37"/>
  <c r="AI162" i="37"/>
  <c r="AI151" i="37"/>
  <c r="L345" i="41"/>
  <c r="L430" i="50" s="1"/>
  <c r="L420" i="50"/>
  <c r="M420" i="50"/>
  <c r="M345" i="41"/>
  <c r="M430" i="50" s="1"/>
  <c r="N36" i="37"/>
  <c r="L68" i="37"/>
  <c r="X70" i="37"/>
  <c r="AL124" i="42"/>
  <c r="M36" i="37"/>
  <c r="AG162" i="37"/>
  <c r="AG151" i="37"/>
  <c r="AG193" i="37"/>
  <c r="AG194" i="37" s="1"/>
  <c r="AG190" i="37"/>
  <c r="AF214" i="42"/>
  <c r="AF218" i="42" s="1"/>
  <c r="AF222" i="42" s="1"/>
  <c r="AF226" i="42" s="1"/>
  <c r="AF230" i="42" s="1"/>
  <c r="AF187" i="42"/>
  <c r="AF189" i="42" s="1"/>
  <c r="AF191" i="42" s="1"/>
  <c r="M310" i="41"/>
  <c r="M390" i="50"/>
  <c r="AL127" i="42"/>
  <c r="J420" i="50"/>
  <c r="J345" i="41"/>
  <c r="J430" i="50" s="1"/>
  <c r="H345" i="41"/>
  <c r="H430" i="50" s="1"/>
  <c r="H420" i="50"/>
  <c r="N232" i="37"/>
  <c r="L232" i="37"/>
  <c r="N310" i="41"/>
  <c r="N390" i="50"/>
  <c r="AG214" i="42"/>
  <c r="AG218" i="42" s="1"/>
  <c r="AG222" i="42" s="1"/>
  <c r="AG226" i="42" s="1"/>
  <c r="AG230" i="42" s="1"/>
  <c r="AG187" i="42"/>
  <c r="AG189" i="42" s="1"/>
  <c r="AG191" i="42" s="1"/>
  <c r="H310" i="41"/>
  <c r="H390" i="50"/>
  <c r="AH214" i="42"/>
  <c r="AH218" i="42" s="1"/>
  <c r="AH222" i="42" s="1"/>
  <c r="AH226" i="42" s="1"/>
  <c r="AH230" i="42" s="1"/>
  <c r="AH187" i="42"/>
  <c r="AH189" i="42" s="1"/>
  <c r="AH191" i="42" s="1"/>
  <c r="M67" i="37"/>
  <c r="AE284" i="37"/>
  <c r="AE281" i="37"/>
  <c r="AE285" i="37" s="1"/>
  <c r="AH151" i="37"/>
  <c r="AH162" i="37"/>
  <c r="AG257" i="37"/>
  <c r="AG258" i="37" s="1"/>
  <c r="AG248" i="37"/>
  <c r="AG249" i="37" s="1"/>
  <c r="AG251" i="37" s="1"/>
  <c r="AG213" i="37"/>
  <c r="AG205" i="37"/>
  <c r="AG207" i="37" s="1"/>
  <c r="AG260" i="37" s="1"/>
  <c r="AC217" i="42"/>
  <c r="AL213" i="42"/>
  <c r="K232" i="37"/>
  <c r="J36" i="37"/>
  <c r="AL128" i="42"/>
  <c r="S567" i="50"/>
  <c r="AD284" i="37"/>
  <c r="AD281" i="37"/>
  <c r="AD285" i="37" s="1"/>
  <c r="AF151" i="37"/>
  <c r="AF162" i="37"/>
  <c r="AF248" i="37"/>
  <c r="AF249" i="37" s="1"/>
  <c r="AF251" i="37" s="1"/>
  <c r="AF205" i="37"/>
  <c r="AF207" i="37" s="1"/>
  <c r="AF260" i="37" s="1"/>
  <c r="AF213" i="37"/>
  <c r="AF257" i="37"/>
  <c r="AF258" i="37" s="1"/>
  <c r="AC151" i="37"/>
  <c r="AC162" i="37"/>
  <c r="AK150" i="37"/>
  <c r="AC186" i="37"/>
  <c r="AK185" i="37"/>
  <c r="AC136" i="37"/>
  <c r="AK136" i="37" s="1"/>
  <c r="AK135" i="37"/>
  <c r="M232" i="37"/>
  <c r="AE205" i="37"/>
  <c r="AE207" i="37" s="1"/>
  <c r="AE260" i="37" s="1"/>
  <c r="AE257" i="37"/>
  <c r="AE258" i="37" s="1"/>
  <c r="AE248" i="37"/>
  <c r="AE249" i="37" s="1"/>
  <c r="AE251" i="37" s="1"/>
  <c r="AE213" i="37"/>
  <c r="AE193" i="37"/>
  <c r="AE194" i="37" s="1"/>
  <c r="AE190" i="37"/>
  <c r="J68" i="37"/>
  <c r="V70" i="37"/>
  <c r="J70" i="37" s="1"/>
  <c r="AH213" i="37"/>
  <c r="AH205" i="37"/>
  <c r="AH207" i="37" s="1"/>
  <c r="AH260" i="37" s="1"/>
  <c r="AH257" i="37"/>
  <c r="AH258" i="37" s="1"/>
  <c r="AH248" i="37"/>
  <c r="AH249" i="37" s="1"/>
  <c r="AH251" i="37" s="1"/>
  <c r="AI284" i="37"/>
  <c r="AI281" i="37"/>
  <c r="AI285" i="37" s="1"/>
  <c r="AI190" i="37"/>
  <c r="AI193" i="37"/>
  <c r="AI194" i="37" s="1"/>
  <c r="I390" i="50"/>
  <c r="I310" i="41"/>
  <c r="I420" i="50"/>
  <c r="I345" i="41"/>
  <c r="I430" i="50" s="1"/>
  <c r="N420" i="50"/>
  <c r="N345" i="41"/>
  <c r="N430" i="50" s="1"/>
  <c r="L36" i="37"/>
  <c r="L310" i="41"/>
  <c r="L390" i="50"/>
  <c r="V1574" i="42" l="1"/>
  <c r="J2322" i="50" s="1"/>
  <c r="K1162" i="37"/>
  <c r="K1066" i="50" s="1"/>
  <c r="AE1276" i="37"/>
  <c r="AE1287" i="37"/>
  <c r="AC1338" i="37"/>
  <c r="AK1337" i="37"/>
  <c r="AC1347" i="37"/>
  <c r="I1068" i="50"/>
  <c r="I1080" i="50"/>
  <c r="J1028" i="50" s="1"/>
  <c r="AK1286" i="37"/>
  <c r="AF1287" i="37"/>
  <c r="AF1276" i="37"/>
  <c r="K1357" i="37"/>
  <c r="W1357" i="37"/>
  <c r="K1358" i="37"/>
  <c r="W1359" i="37"/>
  <c r="W1358" i="37"/>
  <c r="AD1338" i="37"/>
  <c r="AD1340" i="37" s="1"/>
  <c r="AD1347" i="37"/>
  <c r="AD1348" i="37" s="1"/>
  <c r="AD1350" i="37" s="1"/>
  <c r="Z1359" i="37"/>
  <c r="Z1358" i="37"/>
  <c r="N1357" i="37"/>
  <c r="N1358" i="37"/>
  <c r="Z1357" i="37"/>
  <c r="AK1314" i="37"/>
  <c r="AC1382" i="37"/>
  <c r="AK1382" i="37" s="1"/>
  <c r="AK1381" i="37"/>
  <c r="AG1338" i="37"/>
  <c r="AG1340" i="37" s="1"/>
  <c r="AG1347" i="37"/>
  <c r="AG1348" i="37" s="1"/>
  <c r="AG1350" i="37" s="1"/>
  <c r="V1194" i="37"/>
  <c r="J1194" i="37" s="1"/>
  <c r="J1043" i="50" s="1"/>
  <c r="J1192" i="37"/>
  <c r="V1192" i="37" s="1"/>
  <c r="J1040" i="50"/>
  <c r="Y1357" i="37"/>
  <c r="Y1359" i="37"/>
  <c r="M1357" i="37"/>
  <c r="Y1358" i="37"/>
  <c r="M1358" i="37"/>
  <c r="AE1338" i="37"/>
  <c r="AE1340" i="37" s="1"/>
  <c r="AE1347" i="37"/>
  <c r="AE1348" i="37" s="1"/>
  <c r="AE1350" i="37" s="1"/>
  <c r="AG1287" i="37"/>
  <c r="AG1276" i="37"/>
  <c r="AI1276" i="37"/>
  <c r="AI1287" i="37"/>
  <c r="AD1276" i="37"/>
  <c r="AD1287" i="37"/>
  <c r="X1194" i="37"/>
  <c r="L1192" i="37"/>
  <c r="L1193" i="37"/>
  <c r="X1192" i="37"/>
  <c r="X1193" i="37"/>
  <c r="AH1347" i="37"/>
  <c r="AH1348" i="37" s="1"/>
  <c r="AH1350" i="37" s="1"/>
  <c r="AH1338" i="37"/>
  <c r="AH1340" i="37" s="1"/>
  <c r="W1193" i="37"/>
  <c r="K1192" i="37"/>
  <c r="W1194" i="37"/>
  <c r="K1193" i="37"/>
  <c r="W1192" i="37"/>
  <c r="J1357" i="37"/>
  <c r="V1357" i="37" s="1"/>
  <c r="V1358" i="37" s="1"/>
  <c r="V1359" i="37"/>
  <c r="J1359" i="37" s="1"/>
  <c r="X1357" i="37"/>
  <c r="L1358" i="37"/>
  <c r="L1357" i="37"/>
  <c r="X1358" i="37"/>
  <c r="X1359" i="37"/>
  <c r="AF1338" i="37"/>
  <c r="AF1340" i="37" s="1"/>
  <c r="AF1347" i="37"/>
  <c r="AF1348" i="37" s="1"/>
  <c r="AF1350" i="37" s="1"/>
  <c r="J1161" i="37"/>
  <c r="AK1408" i="37"/>
  <c r="AC1413" i="37"/>
  <c r="AC1414" i="37" s="1"/>
  <c r="AC1318" i="37"/>
  <c r="AK1317" i="37"/>
  <c r="AC1373" i="37"/>
  <c r="AK1372" i="37"/>
  <c r="AC1287" i="37"/>
  <c r="AC1276" i="37"/>
  <c r="AK1275" i="37"/>
  <c r="Z1192" i="37"/>
  <c r="Z1193" i="37"/>
  <c r="Z1194" i="37"/>
  <c r="N1193" i="37"/>
  <c r="N1192" i="37"/>
  <c r="AA1216" i="37"/>
  <c r="Z1216" i="37" s="1"/>
  <c r="AI1347" i="37"/>
  <c r="AI1348" i="37" s="1"/>
  <c r="AI1350" i="37" s="1"/>
  <c r="AI1338" i="37"/>
  <c r="AI1340" i="37" s="1"/>
  <c r="AH1276" i="37"/>
  <c r="AH1287" i="37"/>
  <c r="AC1218" i="37"/>
  <c r="AB1217" i="37"/>
  <c r="AA1217" i="37" s="1"/>
  <c r="Z1217" i="37" s="1"/>
  <c r="S1083" i="50"/>
  <c r="I1066" i="50"/>
  <c r="I1078" i="50"/>
  <c r="Y1194" i="37"/>
  <c r="Y1193" i="37"/>
  <c r="M1192" i="37"/>
  <c r="M1193" i="37"/>
  <c r="Y1192" i="37"/>
  <c r="I1067" i="50"/>
  <c r="I1079" i="50"/>
  <c r="J1027" i="50" s="1"/>
  <c r="AC1331" i="37"/>
  <c r="AK1329" i="37"/>
  <c r="V1436" i="42"/>
  <c r="J2274" i="50" s="1"/>
  <c r="K1076" i="37"/>
  <c r="K1077" i="37"/>
  <c r="W1076" i="37"/>
  <c r="W1077" i="37"/>
  <c r="W1078" i="37"/>
  <c r="AK1100" i="37"/>
  <c r="AC1101" i="37"/>
  <c r="AK1101" i="37" s="1"/>
  <c r="AK1048" i="37"/>
  <c r="AC1050" i="37"/>
  <c r="AH1057" i="37"/>
  <c r="AH1059" i="37" s="1"/>
  <c r="AH1066" i="37"/>
  <c r="AH1067" i="37" s="1"/>
  <c r="AH1069" i="37" s="1"/>
  <c r="K912" i="37"/>
  <c r="W912" i="37"/>
  <c r="W911" i="37"/>
  <c r="K911" i="37"/>
  <c r="W913" i="37"/>
  <c r="AD1057" i="37"/>
  <c r="AD1059" i="37" s="1"/>
  <c r="AD1066" i="37"/>
  <c r="AD1067" i="37" s="1"/>
  <c r="AD1069" i="37" s="1"/>
  <c r="V913" i="37"/>
  <c r="J913" i="37" s="1"/>
  <c r="J915" i="50" s="1"/>
  <c r="J911" i="37"/>
  <c r="V911" i="37" s="1"/>
  <c r="V912" i="37" s="1"/>
  <c r="J912" i="50"/>
  <c r="AK1033" i="37"/>
  <c r="AG995" i="37"/>
  <c r="AG1006" i="37"/>
  <c r="AC1132" i="37"/>
  <c r="AC1133" i="37" s="1"/>
  <c r="AK1127" i="37"/>
  <c r="N1076" i="37"/>
  <c r="Z1077" i="37"/>
  <c r="Z1078" i="37"/>
  <c r="N1077" i="37"/>
  <c r="Z1076" i="37"/>
  <c r="V880" i="37"/>
  <c r="J880" i="37" s="1"/>
  <c r="V881" i="37" s="1"/>
  <c r="J881" i="37" s="1"/>
  <c r="AC1092" i="37"/>
  <c r="AK1091" i="37"/>
  <c r="AF995" i="37"/>
  <c r="AF1006" i="37"/>
  <c r="AE1066" i="37"/>
  <c r="AE1067" i="37" s="1"/>
  <c r="AE1069" i="37" s="1"/>
  <c r="AE1057" i="37"/>
  <c r="AE1059" i="37" s="1"/>
  <c r="AK1005" i="37"/>
  <c r="AC1037" i="37"/>
  <c r="AK1036" i="37"/>
  <c r="M1077" i="37"/>
  <c r="M1076" i="37"/>
  <c r="Y1078" i="37"/>
  <c r="Y1077" i="37"/>
  <c r="Y1076" i="37"/>
  <c r="L912" i="37"/>
  <c r="L911" i="37"/>
  <c r="X913" i="37"/>
  <c r="X912" i="37"/>
  <c r="X911" i="37"/>
  <c r="V1078" i="37"/>
  <c r="J1078" i="37" s="1"/>
  <c r="J1076" i="37"/>
  <c r="V1076" i="37" s="1"/>
  <c r="J1077" i="37" s="1"/>
  <c r="AI1066" i="37"/>
  <c r="AI1067" i="37" s="1"/>
  <c r="AI1069" i="37" s="1"/>
  <c r="AI1057" i="37"/>
  <c r="AI1059" i="37" s="1"/>
  <c r="AG1066" i="37"/>
  <c r="AG1067" i="37" s="1"/>
  <c r="AG1069" i="37" s="1"/>
  <c r="AG1057" i="37"/>
  <c r="AG1059" i="37" s="1"/>
  <c r="M911" i="37"/>
  <c r="Y913" i="37"/>
  <c r="Y911" i="37"/>
  <c r="Y912" i="37"/>
  <c r="M912" i="37"/>
  <c r="L1076" i="37"/>
  <c r="X1077" i="37"/>
  <c r="L1077" i="37"/>
  <c r="X1076" i="37"/>
  <c r="X1078" i="37"/>
  <c r="AC995" i="37"/>
  <c r="AK994" i="37"/>
  <c r="AC1006" i="37"/>
  <c r="AI1006" i="37"/>
  <c r="AI995" i="37"/>
  <c r="AD1006" i="37"/>
  <c r="AD995" i="37"/>
  <c r="AC937" i="37"/>
  <c r="AB936" i="37"/>
  <c r="AA936" i="37" s="1"/>
  <c r="Z936" i="37" s="1"/>
  <c r="AF1066" i="37"/>
  <c r="AF1067" i="37" s="1"/>
  <c r="AF1069" i="37" s="1"/>
  <c r="AF1057" i="37"/>
  <c r="AF1059" i="37" s="1"/>
  <c r="AH995" i="37"/>
  <c r="AH1006" i="37"/>
  <c r="I951" i="50"/>
  <c r="J899" i="50" s="1"/>
  <c r="I939" i="50"/>
  <c r="AC1066" i="37"/>
  <c r="AK1056" i="37"/>
  <c r="AC1057" i="37"/>
  <c r="AE995" i="37"/>
  <c r="AE1006" i="37"/>
  <c r="I940" i="50"/>
  <c r="I952" i="50"/>
  <c r="J900" i="50" s="1"/>
  <c r="N912" i="37"/>
  <c r="N911" i="37"/>
  <c r="Z912" i="37"/>
  <c r="Z911" i="37"/>
  <c r="Z913" i="37"/>
  <c r="S955" i="50"/>
  <c r="I950" i="50"/>
  <c r="I938" i="50"/>
  <c r="AA935" i="37"/>
  <c r="Z935" i="37" s="1"/>
  <c r="L651" i="50"/>
  <c r="L779" i="50"/>
  <c r="L907" i="50"/>
  <c r="L1163" i="50"/>
  <c r="L1419" i="50"/>
  <c r="L1547" i="50"/>
  <c r="L1675" i="50"/>
  <c r="L1035" i="50"/>
  <c r="L1291" i="50"/>
  <c r="K1291" i="50"/>
  <c r="K1163" i="50"/>
  <c r="K1419" i="50"/>
  <c r="K1547" i="50"/>
  <c r="K1675" i="50"/>
  <c r="K907" i="50"/>
  <c r="K1035" i="50"/>
  <c r="K651" i="50"/>
  <c r="L657" i="50"/>
  <c r="M802" i="50"/>
  <c r="M1698" i="50"/>
  <c r="M1442" i="50"/>
  <c r="M1570" i="50"/>
  <c r="M1058" i="50"/>
  <c r="M1186" i="50"/>
  <c r="M930" i="50"/>
  <c r="M1314" i="50"/>
  <c r="N1442" i="50"/>
  <c r="N1314" i="50"/>
  <c r="N1570" i="50"/>
  <c r="N1186" i="50"/>
  <c r="N1058" i="50"/>
  <c r="N930" i="50"/>
  <c r="N1698" i="50"/>
  <c r="J1675" i="50"/>
  <c r="J907" i="50"/>
  <c r="J1547" i="50"/>
  <c r="J1163" i="50"/>
  <c r="J1035" i="50"/>
  <c r="J1419" i="50"/>
  <c r="J1291" i="50"/>
  <c r="Y36" i="37"/>
  <c r="M1547" i="50"/>
  <c r="M1675" i="50"/>
  <c r="M907" i="50"/>
  <c r="M1163" i="50"/>
  <c r="M1035" i="50"/>
  <c r="M1291" i="50"/>
  <c r="M1419" i="50"/>
  <c r="Z36" i="37"/>
  <c r="N1547" i="50"/>
  <c r="N1163" i="50"/>
  <c r="N1675" i="50"/>
  <c r="N1419" i="50"/>
  <c r="N1291" i="50"/>
  <c r="N907" i="50"/>
  <c r="N1035" i="50"/>
  <c r="K674" i="50"/>
  <c r="J779" i="50"/>
  <c r="N802" i="50"/>
  <c r="M779" i="50"/>
  <c r="J802" i="50"/>
  <c r="J674" i="50"/>
  <c r="K1058" i="50"/>
  <c r="K1442" i="50"/>
  <c r="K1570" i="50"/>
  <c r="K930" i="50"/>
  <c r="K1314" i="50"/>
  <c r="K1186" i="50"/>
  <c r="K1698" i="50"/>
  <c r="L1442" i="50"/>
  <c r="L1570" i="50"/>
  <c r="L1698" i="50"/>
  <c r="L1058" i="50"/>
  <c r="L1314" i="50"/>
  <c r="L930" i="50"/>
  <c r="L1186" i="50"/>
  <c r="J1186" i="50"/>
  <c r="J1442" i="50"/>
  <c r="J930" i="50"/>
  <c r="J1058" i="50"/>
  <c r="J1570" i="50"/>
  <c r="J1698" i="50"/>
  <c r="J1314" i="50"/>
  <c r="Z68" i="37"/>
  <c r="N530" i="50" s="1"/>
  <c r="J657" i="50"/>
  <c r="J651" i="50"/>
  <c r="K779" i="50"/>
  <c r="L802" i="50"/>
  <c r="K802" i="50"/>
  <c r="N779" i="50"/>
  <c r="I815" i="50"/>
  <c r="G762" i="50"/>
  <c r="I827" i="50"/>
  <c r="J775" i="50"/>
  <c r="Z349" i="37"/>
  <c r="N657" i="50"/>
  <c r="L514" i="37"/>
  <c r="L674" i="50"/>
  <c r="M514" i="37"/>
  <c r="M674" i="50"/>
  <c r="Z514" i="37"/>
  <c r="Y349" i="37"/>
  <c r="Z516" i="37"/>
  <c r="N674" i="50"/>
  <c r="Y598" i="37"/>
  <c r="Z598" i="37"/>
  <c r="G634" i="50"/>
  <c r="J642" i="50"/>
  <c r="J647" i="50" s="1"/>
  <c r="I699" i="50"/>
  <c r="K468" i="47"/>
  <c r="K669" i="50" s="1"/>
  <c r="K668" i="50"/>
  <c r="Y317" i="37"/>
  <c r="M651" i="50"/>
  <c r="Z317" i="37"/>
  <c r="N651" i="50"/>
  <c r="I687" i="50"/>
  <c r="V468" i="47"/>
  <c r="J669" i="50"/>
  <c r="Y516" i="37"/>
  <c r="X468" i="47"/>
  <c r="L670" i="50" s="1"/>
  <c r="M1712" i="42"/>
  <c r="Y1713" i="42" s="1"/>
  <c r="Y468" i="47"/>
  <c r="M670" i="50" s="1"/>
  <c r="N1815" i="42"/>
  <c r="N1712" i="42"/>
  <c r="Z1713" i="42" s="1"/>
  <c r="M528" i="50"/>
  <c r="K1788" i="50"/>
  <c r="M29" i="42"/>
  <c r="J557" i="50"/>
  <c r="J537" i="50"/>
  <c r="W468" i="47"/>
  <c r="K670" i="50" s="1"/>
  <c r="Z1031" i="42"/>
  <c r="N2097" i="50" s="1"/>
  <c r="N1541" i="42"/>
  <c r="N2276" i="50" s="1"/>
  <c r="J1436" i="42"/>
  <c r="V1437" i="42" s="1"/>
  <c r="J1437" i="42" s="1"/>
  <c r="M546" i="50"/>
  <c r="M523" i="50"/>
  <c r="J523" i="50"/>
  <c r="L529" i="50"/>
  <c r="N523" i="50"/>
  <c r="N529" i="50"/>
  <c r="K523" i="50"/>
  <c r="K1436" i="42"/>
  <c r="W1437" i="42" s="1"/>
  <c r="K1539" i="42"/>
  <c r="K546" i="50"/>
  <c r="L546" i="50"/>
  <c r="J546" i="50"/>
  <c r="L523" i="50"/>
  <c r="J529" i="50"/>
  <c r="N546" i="50"/>
  <c r="L1265" i="42"/>
  <c r="X1266" i="42" s="1"/>
  <c r="L1266" i="42" s="1"/>
  <c r="M1266" i="42" s="1"/>
  <c r="N1266" i="42" s="1"/>
  <c r="V477" i="42"/>
  <c r="J1948" i="50" s="1"/>
  <c r="J584" i="42"/>
  <c r="K477" i="42"/>
  <c r="W478" i="42" s="1"/>
  <c r="K478" i="42" s="1"/>
  <c r="K584" i="42"/>
  <c r="I470" i="41"/>
  <c r="I215" i="41" s="1"/>
  <c r="I250" i="41" s="1"/>
  <c r="I269" i="41" s="1"/>
  <c r="J514" i="37"/>
  <c r="J531" i="50"/>
  <c r="J555" i="50"/>
  <c r="V598" i="37"/>
  <c r="V599" i="37" s="1"/>
  <c r="I567" i="50"/>
  <c r="J515" i="50" s="1"/>
  <c r="I555" i="50"/>
  <c r="I568" i="50"/>
  <c r="J516" i="50" s="1"/>
  <c r="I556" i="50"/>
  <c r="I566" i="50"/>
  <c r="I554" i="50"/>
  <c r="N630" i="37"/>
  <c r="N785" i="50" s="1"/>
  <c r="Z632" i="37"/>
  <c r="AI785" i="37"/>
  <c r="AI786" i="37" s="1"/>
  <c r="AI788" i="37" s="1"/>
  <c r="AI776" i="37"/>
  <c r="AI778" i="37" s="1"/>
  <c r="AC756" i="37"/>
  <c r="AK755" i="37"/>
  <c r="AH714" i="37"/>
  <c r="AH725" i="37"/>
  <c r="AB655" i="37"/>
  <c r="AA655" i="37" s="1"/>
  <c r="Z655" i="37" s="1"/>
  <c r="AC656" i="37"/>
  <c r="AK724" i="37"/>
  <c r="X598" i="37"/>
  <c r="W598" i="37"/>
  <c r="N795" i="37"/>
  <c r="Z797" i="37"/>
  <c r="AD725" i="37"/>
  <c r="AD714" i="37"/>
  <c r="AK767" i="37"/>
  <c r="AC769" i="37"/>
  <c r="M795" i="37"/>
  <c r="Y797" i="37"/>
  <c r="K795" i="37"/>
  <c r="W797" i="37"/>
  <c r="AI725" i="37"/>
  <c r="AI714" i="37"/>
  <c r="K630" i="37"/>
  <c r="AC776" i="37"/>
  <c r="AK775" i="37"/>
  <c r="AC785" i="37"/>
  <c r="L630" i="37"/>
  <c r="L785" i="50" s="1"/>
  <c r="AD785" i="37"/>
  <c r="AD786" i="37" s="1"/>
  <c r="AD788" i="37" s="1"/>
  <c r="AD776" i="37"/>
  <c r="AD778" i="37" s="1"/>
  <c r="J630" i="37"/>
  <c r="J785" i="50" s="1"/>
  <c r="AH776" i="37"/>
  <c r="AH778" i="37" s="1"/>
  <c r="AH785" i="37"/>
  <c r="AH786" i="37" s="1"/>
  <c r="AH788" i="37" s="1"/>
  <c r="AA654" i="37"/>
  <c r="Z654" i="37" s="1"/>
  <c r="AF776" i="37"/>
  <c r="AF778" i="37" s="1"/>
  <c r="AF785" i="37"/>
  <c r="AF786" i="37" s="1"/>
  <c r="AF788" i="37" s="1"/>
  <c r="Y632" i="37"/>
  <c r="M630" i="37"/>
  <c r="AG785" i="37"/>
  <c r="AG786" i="37" s="1"/>
  <c r="AG788" i="37" s="1"/>
  <c r="AG776" i="37"/>
  <c r="AG778" i="37" s="1"/>
  <c r="AK443" i="37"/>
  <c r="AE725" i="37"/>
  <c r="AE714" i="37"/>
  <c r="L795" i="37"/>
  <c r="X797" i="37"/>
  <c r="AC811" i="37"/>
  <c r="AK810" i="37"/>
  <c r="AC820" i="37"/>
  <c r="AK820" i="37" s="1"/>
  <c r="AK819" i="37"/>
  <c r="AK846" i="37"/>
  <c r="AC851" i="37"/>
  <c r="AC852" i="37" s="1"/>
  <c r="AK752" i="37"/>
  <c r="AF714" i="37"/>
  <c r="AF725" i="37"/>
  <c r="AE785" i="37"/>
  <c r="AE786" i="37" s="1"/>
  <c r="AE788" i="37" s="1"/>
  <c r="AE776" i="37"/>
  <c r="AE778" i="37" s="1"/>
  <c r="AG714" i="37"/>
  <c r="AG725" i="37"/>
  <c r="J795" i="37"/>
  <c r="V797" i="37"/>
  <c r="J797" i="37" s="1"/>
  <c r="AC725" i="37"/>
  <c r="AC714" i="37"/>
  <c r="AK713" i="37"/>
  <c r="AE504" i="37"/>
  <c r="AE505" i="37" s="1"/>
  <c r="AE507" i="37" s="1"/>
  <c r="AE495" i="37"/>
  <c r="AE497" i="37" s="1"/>
  <c r="AG444" i="37"/>
  <c r="AG433" i="37"/>
  <c r="X514" i="37"/>
  <c r="W317" i="37"/>
  <c r="AC375" i="37"/>
  <c r="AB374" i="37"/>
  <c r="AA374" i="37" s="1"/>
  <c r="Z374" i="37" s="1"/>
  <c r="AC539" i="37"/>
  <c r="AK539" i="37" s="1"/>
  <c r="AK538" i="37"/>
  <c r="AK471" i="37"/>
  <c r="AI433" i="37"/>
  <c r="AI444" i="37"/>
  <c r="X349" i="37"/>
  <c r="AE433" i="37"/>
  <c r="AE444" i="37"/>
  <c r="AG495" i="37"/>
  <c r="AG497" i="37" s="1"/>
  <c r="AG504" i="37"/>
  <c r="AG505" i="37" s="1"/>
  <c r="AG507" i="37" s="1"/>
  <c r="V349" i="37"/>
  <c r="AI495" i="37"/>
  <c r="AI497" i="37" s="1"/>
  <c r="AI504" i="37"/>
  <c r="AI505" i="37" s="1"/>
  <c r="AI507" i="37" s="1"/>
  <c r="AC504" i="37"/>
  <c r="AC495" i="37"/>
  <c r="AK494" i="37"/>
  <c r="AC475" i="37"/>
  <c r="AK474" i="37"/>
  <c r="AF444" i="37"/>
  <c r="AF433" i="37"/>
  <c r="X317" i="37"/>
  <c r="AC433" i="37"/>
  <c r="AC444" i="37"/>
  <c r="AK432" i="37"/>
  <c r="AA373" i="37"/>
  <c r="Z373" i="37" s="1"/>
  <c r="W349" i="37"/>
  <c r="AC530" i="37"/>
  <c r="AK529" i="37"/>
  <c r="AD444" i="37"/>
  <c r="AD433" i="37"/>
  <c r="AH433" i="37"/>
  <c r="AH444" i="37"/>
  <c r="K514" i="37"/>
  <c r="AH504" i="37"/>
  <c r="AH505" i="37" s="1"/>
  <c r="AH507" i="37" s="1"/>
  <c r="AH495" i="37"/>
  <c r="AH497" i="37" s="1"/>
  <c r="AF495" i="37"/>
  <c r="AF497" i="37" s="1"/>
  <c r="AF504" i="37"/>
  <c r="AF505" i="37" s="1"/>
  <c r="AF507" i="37" s="1"/>
  <c r="AC488" i="37"/>
  <c r="AK486" i="37"/>
  <c r="V317" i="37"/>
  <c r="AC570" i="37"/>
  <c r="AC571" i="37" s="1"/>
  <c r="AK565" i="37"/>
  <c r="AD504" i="37"/>
  <c r="AD505" i="37" s="1"/>
  <c r="AD507" i="37" s="1"/>
  <c r="AD495" i="37"/>
  <c r="AD497" i="37" s="1"/>
  <c r="J1232" i="42"/>
  <c r="J1233" i="42" s="1"/>
  <c r="K219" i="41"/>
  <c r="K341" i="50" s="1"/>
  <c r="K250" i="41"/>
  <c r="K269" i="41" s="1"/>
  <c r="J250" i="41"/>
  <c r="J337" i="50"/>
  <c r="J219" i="41"/>
  <c r="J341" i="50" s="1"/>
  <c r="J1158" i="42"/>
  <c r="J1159" i="42" s="1"/>
  <c r="I21" i="42"/>
  <c r="I1885" i="50"/>
  <c r="G1861" i="50"/>
  <c r="J1869" i="50"/>
  <c r="J1870" i="50" s="1"/>
  <c r="X1374" i="42"/>
  <c r="K1712" i="42"/>
  <c r="W1713" i="42" s="1"/>
  <c r="L1574" i="42"/>
  <c r="X1575" i="42" s="1"/>
  <c r="T1480" i="42"/>
  <c r="L1436" i="42"/>
  <c r="X1437" i="42" s="1"/>
  <c r="V1712" i="42"/>
  <c r="J2370" i="50" s="1"/>
  <c r="J1815" i="42"/>
  <c r="T1756" i="42"/>
  <c r="J1712" i="42"/>
  <c r="V1713" i="42" s="1"/>
  <c r="J1713" i="42" s="1"/>
  <c r="K1265" i="42"/>
  <c r="W1266" i="42" s="1"/>
  <c r="K1266" i="42" s="1"/>
  <c r="L1815" i="42"/>
  <c r="L1712" i="42"/>
  <c r="X1713" i="42" s="1"/>
  <c r="T1311" i="42"/>
  <c r="J1265" i="42"/>
  <c r="V1266" i="42" s="1"/>
  <c r="J1266" i="42" s="1"/>
  <c r="V1265" i="42"/>
  <c r="J2214" i="50" s="1"/>
  <c r="AL1236" i="42"/>
  <c r="AC1239" i="42"/>
  <c r="AL1239" i="42" s="1"/>
  <c r="AC1242" i="42"/>
  <c r="AL1242" i="42" s="1"/>
  <c r="K1574" i="42"/>
  <c r="W1575" i="42" s="1"/>
  <c r="G1362" i="42"/>
  <c r="G1363" i="42" s="1"/>
  <c r="AL1407" i="42"/>
  <c r="AC1413" i="42"/>
  <c r="AL1413" i="42" s="1"/>
  <c r="AC1410" i="42"/>
  <c r="AL1410" i="42" s="1"/>
  <c r="G1669" i="42"/>
  <c r="G1670" i="42" s="1"/>
  <c r="T1618" i="42"/>
  <c r="J1574" i="42"/>
  <c r="V1575" i="42" s="1"/>
  <c r="J1575" i="42" s="1"/>
  <c r="J1678" i="42" s="1"/>
  <c r="J1679" i="42" s="1"/>
  <c r="L1092" i="42"/>
  <c r="L2152" i="50" s="1"/>
  <c r="L923" i="42"/>
  <c r="X924" i="42" s="1"/>
  <c r="L924" i="42" s="1"/>
  <c r="M924" i="42" s="1"/>
  <c r="N924" i="42" s="1"/>
  <c r="L477" i="42"/>
  <c r="X478" i="42" s="1"/>
  <c r="L478" i="42" s="1"/>
  <c r="M478" i="42" s="1"/>
  <c r="N478" i="42" s="1"/>
  <c r="T969" i="42"/>
  <c r="K1093" i="42"/>
  <c r="K2153" i="50" s="1"/>
  <c r="K1232" i="42"/>
  <c r="K1233" i="42" s="1"/>
  <c r="K1192" i="42"/>
  <c r="K1158" i="42"/>
  <c r="K1159" i="42" s="1"/>
  <c r="K1028" i="42"/>
  <c r="T525" i="42"/>
  <c r="Z1032" i="42"/>
  <c r="J1028" i="42"/>
  <c r="J923" i="42"/>
  <c r="V924" i="42" s="1"/>
  <c r="J924" i="42" s="1"/>
  <c r="J477" i="42"/>
  <c r="V478" i="42" s="1"/>
  <c r="J478" i="42" s="1"/>
  <c r="N2096" i="50"/>
  <c r="N1031" i="42"/>
  <c r="Z1030" i="42"/>
  <c r="AL1065" i="42"/>
  <c r="AC1071" i="42"/>
  <c r="AL1071" i="42" s="1"/>
  <c r="Z1542" i="42"/>
  <c r="N2277" i="50" s="1"/>
  <c r="Z1543" i="42"/>
  <c r="Z1541" i="42"/>
  <c r="AC890" i="42"/>
  <c r="AL886" i="42"/>
  <c r="AC664" i="42"/>
  <c r="AL660" i="42"/>
  <c r="AC636" i="42"/>
  <c r="AL634" i="42"/>
  <c r="AF995" i="42"/>
  <c r="AF1011" i="42" s="1"/>
  <c r="AE995" i="42"/>
  <c r="AE1011" i="42" s="1"/>
  <c r="AF996" i="42"/>
  <c r="AF1012" i="42" s="1"/>
  <c r="AE996" i="42"/>
  <c r="AE1012" i="42" s="1"/>
  <c r="AD995" i="42"/>
  <c r="AD1011" i="42" s="1"/>
  <c r="AD996" i="42"/>
  <c r="AD1012" i="42" s="1"/>
  <c r="AL857" i="42"/>
  <c r="AC859" i="42"/>
  <c r="AE1506" i="42"/>
  <c r="AE1522" i="42" s="1"/>
  <c r="AE1507" i="42"/>
  <c r="AE1523" i="42" s="1"/>
  <c r="AF1507" i="42"/>
  <c r="AF1523" i="42" s="1"/>
  <c r="AD1506" i="42"/>
  <c r="AD1522" i="42" s="1"/>
  <c r="AF1505" i="42"/>
  <c r="AF1521" i="42" s="1"/>
  <c r="K1521" i="42" s="1"/>
  <c r="AE1505" i="42"/>
  <c r="AE1521" i="42" s="1"/>
  <c r="J1521" i="42" s="1"/>
  <c r="AD1505" i="42"/>
  <c r="AD1521" i="42" s="1"/>
  <c r="I1521" i="42" s="1"/>
  <c r="AF1506" i="42"/>
  <c r="AF1522" i="42" s="1"/>
  <c r="AD1507" i="42"/>
  <c r="AD1523" i="42" s="1"/>
  <c r="AC858" i="42"/>
  <c r="AL856" i="42"/>
  <c r="AC635" i="42"/>
  <c r="AL633" i="42"/>
  <c r="AC887" i="42"/>
  <c r="AL883" i="42"/>
  <c r="AL663" i="42"/>
  <c r="AC667" i="42"/>
  <c r="K320" i="42"/>
  <c r="AL437" i="42"/>
  <c r="AC441" i="42"/>
  <c r="AC412" i="42"/>
  <c r="AL410" i="42"/>
  <c r="AC444" i="42"/>
  <c r="AL440" i="42"/>
  <c r="AL411" i="42"/>
  <c r="AC413" i="42"/>
  <c r="J320" i="42"/>
  <c r="L252" i="42"/>
  <c r="L1873" i="50" s="1"/>
  <c r="K252" i="42"/>
  <c r="K1873" i="50" s="1"/>
  <c r="J97" i="42"/>
  <c r="H320" i="42"/>
  <c r="J252" i="42"/>
  <c r="J1873" i="50" s="1"/>
  <c r="K97" i="42"/>
  <c r="L29" i="42"/>
  <c r="L1800" i="50" s="1"/>
  <c r="AL189" i="42"/>
  <c r="AC191" i="42"/>
  <c r="AL191" i="42" s="1"/>
  <c r="AL190" i="42"/>
  <c r="AC192" i="42"/>
  <c r="AL192" i="42" s="1"/>
  <c r="V36" i="37"/>
  <c r="V37" i="37" s="1"/>
  <c r="W36" i="37"/>
  <c r="M233" i="37"/>
  <c r="Y235" i="37"/>
  <c r="AG223" i="37"/>
  <c r="AG224" i="37" s="1"/>
  <c r="AG226" i="37" s="1"/>
  <c r="AG214" i="37"/>
  <c r="AG216" i="37" s="1"/>
  <c r="AH163" i="37"/>
  <c r="AH152" i="37"/>
  <c r="Y70" i="37"/>
  <c r="M68" i="37"/>
  <c r="M657" i="50" s="1"/>
  <c r="N233" i="37"/>
  <c r="Z235" i="37"/>
  <c r="M399" i="50"/>
  <c r="M330" i="41"/>
  <c r="AK190" i="37"/>
  <c r="AC289" i="37"/>
  <c r="AC290" i="37" s="1"/>
  <c r="AK284" i="37"/>
  <c r="S571" i="50"/>
  <c r="J446" i="50"/>
  <c r="J377" i="41"/>
  <c r="J457" i="50" s="1"/>
  <c r="K446" i="50"/>
  <c r="K377" i="41"/>
  <c r="K457" i="50" s="1"/>
  <c r="X36" i="37"/>
  <c r="AF214" i="37"/>
  <c r="AF216" i="37" s="1"/>
  <c r="AF223" i="37"/>
  <c r="AF224" i="37" s="1"/>
  <c r="AF226" i="37" s="1"/>
  <c r="AF163" i="37"/>
  <c r="AF152" i="37"/>
  <c r="AC221" i="42"/>
  <c r="AL217" i="42"/>
  <c r="H330" i="41"/>
  <c r="H399" i="50"/>
  <c r="L233" i="37"/>
  <c r="AG163" i="37"/>
  <c r="AG152" i="37"/>
  <c r="X68" i="37"/>
  <c r="AI152" i="37"/>
  <c r="AI163" i="37"/>
  <c r="J233" i="37"/>
  <c r="AC94" i="37"/>
  <c r="AB93" i="37"/>
  <c r="AA93" i="37" s="1"/>
  <c r="Z93" i="37" s="1"/>
  <c r="K399" i="50"/>
  <c r="K330" i="41"/>
  <c r="H337" i="50"/>
  <c r="H219" i="41"/>
  <c r="H341" i="50" s="1"/>
  <c r="AC249" i="37"/>
  <c r="AK248" i="37"/>
  <c r="I446" i="50"/>
  <c r="I377" i="41"/>
  <c r="I457" i="50" s="1"/>
  <c r="AC218" i="42"/>
  <c r="AL214" i="42"/>
  <c r="L399" i="50"/>
  <c r="L330" i="41"/>
  <c r="I330" i="41"/>
  <c r="I399" i="50"/>
  <c r="V68" i="37"/>
  <c r="AK162" i="37"/>
  <c r="AE152" i="37"/>
  <c r="AE163" i="37"/>
  <c r="AC194" i="37"/>
  <c r="AK193" i="37"/>
  <c r="AL187" i="42"/>
  <c r="AI223" i="37"/>
  <c r="AI224" i="37" s="1"/>
  <c r="AI226" i="37" s="1"/>
  <c r="AI214" i="37"/>
  <c r="AI216" i="37" s="1"/>
  <c r="AC258" i="37"/>
  <c r="AK258" i="37" s="1"/>
  <c r="AK257" i="37"/>
  <c r="AC223" i="37"/>
  <c r="AC214" i="37"/>
  <c r="AK213" i="37"/>
  <c r="AD223" i="37"/>
  <c r="AD224" i="37" s="1"/>
  <c r="AD226" i="37" s="1"/>
  <c r="AD214" i="37"/>
  <c r="AD216" i="37" s="1"/>
  <c r="AD152" i="37"/>
  <c r="AD163" i="37"/>
  <c r="L446" i="50"/>
  <c r="L377" i="41"/>
  <c r="L457" i="50" s="1"/>
  <c r="N446" i="50"/>
  <c r="N377" i="41"/>
  <c r="N457" i="50" s="1"/>
  <c r="AH223" i="37"/>
  <c r="AH224" i="37" s="1"/>
  <c r="AH226" i="37" s="1"/>
  <c r="AH214" i="37"/>
  <c r="AH216" i="37" s="1"/>
  <c r="AE223" i="37"/>
  <c r="AE224" i="37" s="1"/>
  <c r="AE226" i="37" s="1"/>
  <c r="AE214" i="37"/>
  <c r="AE216" i="37" s="1"/>
  <c r="AC152" i="37"/>
  <c r="AC163" i="37"/>
  <c r="AK151" i="37"/>
  <c r="K233" i="37"/>
  <c r="N330" i="41"/>
  <c r="N399" i="50"/>
  <c r="J399" i="50"/>
  <c r="J330" i="41"/>
  <c r="AA92" i="37"/>
  <c r="Z92" i="37" s="1"/>
  <c r="AC207" i="37"/>
  <c r="AK205" i="37"/>
  <c r="K68" i="37"/>
  <c r="W70" i="37"/>
  <c r="K70" i="37" s="1"/>
  <c r="H446" i="50"/>
  <c r="H377" i="41"/>
  <c r="H457" i="50" s="1"/>
  <c r="M446" i="50"/>
  <c r="M377" i="41"/>
  <c r="M457" i="50" s="1"/>
  <c r="K1713" i="42" l="1"/>
  <c r="L1713" i="42" s="1"/>
  <c r="M1713" i="42" s="1"/>
  <c r="N1713" i="42" s="1"/>
  <c r="K1575" i="42"/>
  <c r="L1575" i="42" s="1"/>
  <c r="M1575" i="42" s="1"/>
  <c r="N1575" i="42" s="1"/>
  <c r="J1358" i="37"/>
  <c r="L1162" i="37"/>
  <c r="L1066" i="50" s="1"/>
  <c r="I1071" i="50"/>
  <c r="J1193" i="37"/>
  <c r="V1193" i="37"/>
  <c r="AK1373" i="37"/>
  <c r="AC1375" i="37"/>
  <c r="AK1375" i="37" s="1"/>
  <c r="AI1288" i="37"/>
  <c r="AI1277" i="37"/>
  <c r="AI1289" i="37" s="1"/>
  <c r="AC1340" i="37"/>
  <c r="AK1340" i="37" s="1"/>
  <c r="AK1338" i="37"/>
  <c r="J1068" i="50"/>
  <c r="J1061" i="50"/>
  <c r="AH1277" i="37"/>
  <c r="AH1289" i="37" s="1"/>
  <c r="AH1288" i="37"/>
  <c r="AC1288" i="37"/>
  <c r="AK1276" i="37"/>
  <c r="AC1277" i="37"/>
  <c r="AD1288" i="37"/>
  <c r="AD1277" i="37"/>
  <c r="AD1289" i="37" s="1"/>
  <c r="AG1288" i="37"/>
  <c r="AG1277" i="37"/>
  <c r="AG1289" i="37" s="1"/>
  <c r="K1359" i="37"/>
  <c r="L1359" i="37" s="1"/>
  <c r="AF1277" i="37"/>
  <c r="AF1289" i="37" s="1"/>
  <c r="AF1288" i="37"/>
  <c r="AC1384" i="37"/>
  <c r="AK1384" i="37" s="1"/>
  <c r="AK1331" i="37"/>
  <c r="G1018" i="50"/>
  <c r="I1083" i="50"/>
  <c r="J1026" i="50"/>
  <c r="J1031" i="50" s="1"/>
  <c r="AC1219" i="37"/>
  <c r="AB1218" i="37"/>
  <c r="AA1218" i="37" s="1"/>
  <c r="Z1218" i="37" s="1"/>
  <c r="AK1287" i="37"/>
  <c r="K1194" i="37"/>
  <c r="K1043" i="50" s="1"/>
  <c r="AC1348" i="37"/>
  <c r="AK1347" i="37"/>
  <c r="AE1288" i="37"/>
  <c r="AE1277" i="37"/>
  <c r="AE1289" i="37" s="1"/>
  <c r="K1437" i="42"/>
  <c r="L1437" i="42" s="1"/>
  <c r="M1437" i="42" s="1"/>
  <c r="N1437" i="42" s="1"/>
  <c r="J938" i="50"/>
  <c r="K881" i="37"/>
  <c r="I943" i="50"/>
  <c r="AE1007" i="37"/>
  <c r="AE996" i="37"/>
  <c r="AE1008" i="37" s="1"/>
  <c r="AH1007" i="37"/>
  <c r="AH996" i="37"/>
  <c r="AH1008" i="37" s="1"/>
  <c r="AC938" i="37"/>
  <c r="AB937" i="37"/>
  <c r="AI996" i="37"/>
  <c r="AI1008" i="37" s="1"/>
  <c r="AI1007" i="37"/>
  <c r="AK995" i="37"/>
  <c r="AC996" i="37"/>
  <c r="AC1007" i="37"/>
  <c r="AF1007" i="37"/>
  <c r="AF996" i="37"/>
  <c r="AF1008" i="37" s="1"/>
  <c r="AG996" i="37"/>
  <c r="AG1008" i="37" s="1"/>
  <c r="AG1007" i="37"/>
  <c r="AK1057" i="37"/>
  <c r="AC1059" i="37"/>
  <c r="AK1059" i="37" s="1"/>
  <c r="AD1007" i="37"/>
  <c r="AD996" i="37"/>
  <c r="AD1008" i="37" s="1"/>
  <c r="V1077" i="37"/>
  <c r="G890" i="50"/>
  <c r="I955" i="50"/>
  <c r="J898" i="50"/>
  <c r="J903" i="50" s="1"/>
  <c r="AK1006" i="37"/>
  <c r="J933" i="50"/>
  <c r="J940" i="50"/>
  <c r="AC1094" i="37"/>
  <c r="AK1094" i="37" s="1"/>
  <c r="AK1092" i="37"/>
  <c r="J912" i="37"/>
  <c r="AC1103" i="37"/>
  <c r="AK1103" i="37" s="1"/>
  <c r="AK1050" i="37"/>
  <c r="K797" i="37"/>
  <c r="L797" i="37" s="1"/>
  <c r="AK1066" i="37"/>
  <c r="AC1067" i="37"/>
  <c r="K913" i="37"/>
  <c r="K915" i="50" s="1"/>
  <c r="K1078" i="37"/>
  <c r="N1169" i="50"/>
  <c r="N1425" i="50"/>
  <c r="L1169" i="50"/>
  <c r="J1041" i="50"/>
  <c r="J1425" i="50"/>
  <c r="N1681" i="50"/>
  <c r="N913" i="50"/>
  <c r="L1297" i="50"/>
  <c r="L913" i="50"/>
  <c r="J913" i="50"/>
  <c r="J1553" i="50"/>
  <c r="N1553" i="50"/>
  <c r="L1425" i="50"/>
  <c r="L1553" i="50"/>
  <c r="J1297" i="50"/>
  <c r="J1169" i="50"/>
  <c r="N1041" i="50"/>
  <c r="N1297" i="50"/>
  <c r="L1041" i="50"/>
  <c r="L1681" i="50"/>
  <c r="J1681" i="50"/>
  <c r="U1522" i="42"/>
  <c r="I1522" i="42"/>
  <c r="V1523" i="42"/>
  <c r="J1523" i="42"/>
  <c r="W1522" i="42"/>
  <c r="K1522" i="42"/>
  <c r="U1523" i="42"/>
  <c r="I1523" i="42"/>
  <c r="V1522" i="42"/>
  <c r="J1522" i="42"/>
  <c r="W1523" i="42"/>
  <c r="K1523" i="42"/>
  <c r="V1011" i="42"/>
  <c r="J1011" i="42"/>
  <c r="U1011" i="42"/>
  <c r="I1011" i="42"/>
  <c r="V1012" i="42"/>
  <c r="J1012" i="42"/>
  <c r="U1012" i="42"/>
  <c r="I1012" i="42"/>
  <c r="W1011" i="42"/>
  <c r="K1011" i="42"/>
  <c r="W1012" i="42"/>
  <c r="K1012" i="42"/>
  <c r="J803" i="50"/>
  <c r="M1315" i="50"/>
  <c r="M931" i="50"/>
  <c r="M1187" i="50"/>
  <c r="M1059" i="50"/>
  <c r="M1571" i="50"/>
  <c r="M1699" i="50"/>
  <c r="M1443" i="50"/>
  <c r="K1443" i="50"/>
  <c r="K931" i="50"/>
  <c r="K1315" i="50"/>
  <c r="K1571" i="50"/>
  <c r="K1059" i="50"/>
  <c r="K1187" i="50"/>
  <c r="K1699" i="50"/>
  <c r="J1571" i="50"/>
  <c r="J1443" i="50"/>
  <c r="J1315" i="50"/>
  <c r="J1699" i="50"/>
  <c r="J931" i="50"/>
  <c r="J1187" i="50"/>
  <c r="J1059" i="50"/>
  <c r="M1681" i="50"/>
  <c r="M1169" i="50"/>
  <c r="M1297" i="50"/>
  <c r="M1425" i="50"/>
  <c r="M1553" i="50"/>
  <c r="M913" i="50"/>
  <c r="M1041" i="50"/>
  <c r="J658" i="50"/>
  <c r="M785" i="50"/>
  <c r="M803" i="50"/>
  <c r="N658" i="50"/>
  <c r="K1169" i="50"/>
  <c r="K1681" i="50"/>
  <c r="K1041" i="50"/>
  <c r="K1297" i="50"/>
  <c r="K1553" i="50"/>
  <c r="K913" i="50"/>
  <c r="K1425" i="50"/>
  <c r="Z233" i="37"/>
  <c r="N676" i="50" s="1"/>
  <c r="N1443" i="50"/>
  <c r="N1059" i="50"/>
  <c r="N1315" i="50"/>
  <c r="N1187" i="50"/>
  <c r="N931" i="50"/>
  <c r="N1699" i="50"/>
  <c r="N1571" i="50"/>
  <c r="L658" i="50"/>
  <c r="N675" i="50"/>
  <c r="L1571" i="50"/>
  <c r="L1059" i="50"/>
  <c r="L1699" i="50"/>
  <c r="L1443" i="50"/>
  <c r="L1315" i="50"/>
  <c r="L1187" i="50"/>
  <c r="L931" i="50"/>
  <c r="K675" i="50"/>
  <c r="L803" i="50"/>
  <c r="K785" i="50"/>
  <c r="K803" i="50"/>
  <c r="N803" i="50"/>
  <c r="L675" i="50"/>
  <c r="N69" i="37"/>
  <c r="K657" i="50"/>
  <c r="AF976" i="42"/>
  <c r="AF994" i="42" s="1"/>
  <c r="AF1010" i="42" s="1"/>
  <c r="AC976" i="42"/>
  <c r="AC994" i="42" s="1"/>
  <c r="AC1010" i="42" s="1"/>
  <c r="H1010" i="42" s="1"/>
  <c r="AD976" i="42"/>
  <c r="AD994" i="42" s="1"/>
  <c r="AD1010" i="42" s="1"/>
  <c r="AE976" i="42"/>
  <c r="AE994" i="42" s="1"/>
  <c r="AE1010" i="42" s="1"/>
  <c r="K1775" i="42"/>
  <c r="H1775" i="42"/>
  <c r="I1775" i="42"/>
  <c r="J1775" i="42"/>
  <c r="G1775" i="42"/>
  <c r="J805" i="50"/>
  <c r="J812" i="50"/>
  <c r="Y630" i="37"/>
  <c r="Y795" i="37"/>
  <c r="N515" i="37"/>
  <c r="V514" i="37"/>
  <c r="J675" i="50"/>
  <c r="Z795" i="37"/>
  <c r="Y514" i="37"/>
  <c r="M675" i="50"/>
  <c r="V469" i="47"/>
  <c r="J469" i="47" s="1"/>
  <c r="V470" i="47" s="1"/>
  <c r="J470" i="47" s="1"/>
  <c r="J670" i="50"/>
  <c r="Y68" i="37"/>
  <c r="M530" i="50" s="1"/>
  <c r="AC1763" i="42"/>
  <c r="AG1763" i="42"/>
  <c r="AG1781" i="42" s="1"/>
  <c r="AG1797" i="42" s="1"/>
  <c r="L1797" i="42" s="1"/>
  <c r="AF1763" i="42"/>
  <c r="AF1781" i="42" s="1"/>
  <c r="AF1797" i="42" s="1"/>
  <c r="K1797" i="42" s="1"/>
  <c r="AE1763" i="42"/>
  <c r="AE1781" i="42" s="1"/>
  <c r="AE1797" i="42" s="1"/>
  <c r="J1797" i="42" s="1"/>
  <c r="AH1763" i="42"/>
  <c r="AH1781" i="42" s="1"/>
  <c r="AH1797" i="42" s="1"/>
  <c r="M1797" i="42" s="1"/>
  <c r="AD1763" i="42"/>
  <c r="AD1781" i="42" s="1"/>
  <c r="AD1797" i="42" s="1"/>
  <c r="I1797" i="42" s="1"/>
  <c r="Z630" i="37"/>
  <c r="N786" i="50" s="1"/>
  <c r="Y233" i="37"/>
  <c r="M1800" i="50"/>
  <c r="I267" i="41"/>
  <c r="I219" i="41"/>
  <c r="I341" i="50" s="1"/>
  <c r="AE534" i="42"/>
  <c r="AE552" i="42" s="1"/>
  <c r="AE568" i="42" s="1"/>
  <c r="J568" i="42" s="1"/>
  <c r="AC532" i="42"/>
  <c r="AC550" i="42" s="1"/>
  <c r="AC566" i="42" s="1"/>
  <c r="H566" i="42" s="1"/>
  <c r="AC533" i="42"/>
  <c r="AF533" i="42"/>
  <c r="AF551" i="42" s="1"/>
  <c r="AF567" i="42" s="1"/>
  <c r="K567" i="42" s="1"/>
  <c r="AF532" i="42"/>
  <c r="AF550" i="42" s="1"/>
  <c r="AF566" i="42" s="1"/>
  <c r="K566" i="42" s="1"/>
  <c r="AE532" i="42"/>
  <c r="AE550" i="42" s="1"/>
  <c r="AE566" i="42" s="1"/>
  <c r="J566" i="42" s="1"/>
  <c r="AF534" i="42"/>
  <c r="AF552" i="42" s="1"/>
  <c r="AF568" i="42" s="1"/>
  <c r="K568" i="42" s="1"/>
  <c r="AC534" i="42"/>
  <c r="AC552" i="42" s="1"/>
  <c r="AC568" i="42" s="1"/>
  <c r="H568" i="42" s="1"/>
  <c r="AD533" i="42"/>
  <c r="AD551" i="42" s="1"/>
  <c r="AD567" i="42" s="1"/>
  <c r="I567" i="42" s="1"/>
  <c r="AD534" i="42"/>
  <c r="AD552" i="42" s="1"/>
  <c r="AD568" i="42" s="1"/>
  <c r="I568" i="42" s="1"/>
  <c r="AE533" i="42"/>
  <c r="AE551" i="42" s="1"/>
  <c r="AE567" i="42" s="1"/>
  <c r="J567" i="42" s="1"/>
  <c r="AD532" i="42"/>
  <c r="AD550" i="42" s="1"/>
  <c r="AD566" i="42" s="1"/>
  <c r="I566" i="42" s="1"/>
  <c r="N547" i="50"/>
  <c r="K529" i="50"/>
  <c r="K547" i="50"/>
  <c r="L547" i="50"/>
  <c r="J547" i="50"/>
  <c r="M529" i="50"/>
  <c r="M547" i="50"/>
  <c r="J524" i="50"/>
  <c r="I365" i="50"/>
  <c r="I268" i="41"/>
  <c r="I337" i="50"/>
  <c r="I270" i="41"/>
  <c r="I438" i="41" s="1"/>
  <c r="I690" i="42" s="1"/>
  <c r="K29" i="42"/>
  <c r="K1800" i="50" s="1"/>
  <c r="M2215" i="50"/>
  <c r="M2223" i="50"/>
  <c r="M2224" i="50" s="1"/>
  <c r="M2225" i="50" s="1"/>
  <c r="M2226" i="50" s="1"/>
  <c r="L2215" i="50"/>
  <c r="L2223" i="50"/>
  <c r="L2224" i="50" s="1"/>
  <c r="L2225" i="50" s="1"/>
  <c r="L2226" i="50" s="1"/>
  <c r="J599" i="37"/>
  <c r="V600" i="37" s="1"/>
  <c r="J600" i="37" s="1"/>
  <c r="X795" i="37"/>
  <c r="L69" i="37"/>
  <c r="L530" i="50"/>
  <c r="J69" i="37"/>
  <c r="J530" i="50"/>
  <c r="W795" i="37"/>
  <c r="I559" i="50"/>
  <c r="G506" i="50"/>
  <c r="I571" i="50"/>
  <c r="J514" i="50"/>
  <c r="J519" i="50" s="1"/>
  <c r="K531" i="50"/>
  <c r="K555" i="50"/>
  <c r="AE726" i="37"/>
  <c r="AE715" i="37"/>
  <c r="AE727" i="37" s="1"/>
  <c r="AC726" i="37"/>
  <c r="AC715" i="37"/>
  <c r="AK714" i="37"/>
  <c r="V630" i="37"/>
  <c r="J786" i="50" s="1"/>
  <c r="X630" i="37"/>
  <c r="L786" i="50" s="1"/>
  <c r="W630" i="37"/>
  <c r="AD726" i="37"/>
  <c r="AD715" i="37"/>
  <c r="AD727" i="37" s="1"/>
  <c r="AK776" i="37"/>
  <c r="AC778" i="37"/>
  <c r="AK778" i="37" s="1"/>
  <c r="AK725" i="37"/>
  <c r="AG715" i="37"/>
  <c r="AG727" i="37" s="1"/>
  <c r="AG726" i="37"/>
  <c r="AF726" i="37"/>
  <c r="AF715" i="37"/>
  <c r="AF727" i="37" s="1"/>
  <c r="AC786" i="37"/>
  <c r="AK785" i="37"/>
  <c r="AH726" i="37"/>
  <c r="AH715" i="37"/>
  <c r="AH727" i="37" s="1"/>
  <c r="V795" i="37"/>
  <c r="AC813" i="37"/>
  <c r="AK813" i="37" s="1"/>
  <c r="AK811" i="37"/>
  <c r="AI726" i="37"/>
  <c r="AI715" i="37"/>
  <c r="AI727" i="37" s="1"/>
  <c r="AC822" i="37"/>
  <c r="AK822" i="37" s="1"/>
  <c r="AK769" i="37"/>
  <c r="AB656" i="37"/>
  <c r="AA656" i="37" s="1"/>
  <c r="Z656" i="37" s="1"/>
  <c r="AC657" i="37"/>
  <c r="V318" i="37"/>
  <c r="J652" i="50" s="1"/>
  <c r="W514" i="37"/>
  <c r="AD434" i="37"/>
  <c r="AD446" i="37" s="1"/>
  <c r="AD445" i="37"/>
  <c r="AF434" i="37"/>
  <c r="AF446" i="37" s="1"/>
  <c r="AF445" i="37"/>
  <c r="AC505" i="37"/>
  <c r="AK504" i="37"/>
  <c r="AE445" i="37"/>
  <c r="AE434" i="37"/>
  <c r="AE446" i="37" s="1"/>
  <c r="AI434" i="37"/>
  <c r="AI446" i="37" s="1"/>
  <c r="AI445" i="37"/>
  <c r="AC541" i="37"/>
  <c r="AK541" i="37" s="1"/>
  <c r="AK488" i="37"/>
  <c r="AK444" i="37"/>
  <c r="AC376" i="37"/>
  <c r="AB375" i="37"/>
  <c r="AG445" i="37"/>
  <c r="AG434" i="37"/>
  <c r="AG446" i="37" s="1"/>
  <c r="AH445" i="37"/>
  <c r="AH434" i="37"/>
  <c r="AH446" i="37" s="1"/>
  <c r="AC532" i="37"/>
  <c r="AK532" i="37" s="1"/>
  <c r="AK530" i="37"/>
  <c r="AC445" i="37"/>
  <c r="AC434" i="37"/>
  <c r="AK433" i="37"/>
  <c r="AC497" i="37"/>
  <c r="AK497" i="37" s="1"/>
  <c r="AK495" i="37"/>
  <c r="V350" i="37"/>
  <c r="J350" i="37" s="1"/>
  <c r="V351" i="37" s="1"/>
  <c r="J351" i="37" s="1"/>
  <c r="K268" i="41"/>
  <c r="K365" i="50"/>
  <c r="K267" i="41"/>
  <c r="K270" i="41"/>
  <c r="K438" i="41" s="1"/>
  <c r="K372" i="50" s="1"/>
  <c r="J270" i="41"/>
  <c r="J438" i="41" s="1"/>
  <c r="J268" i="41"/>
  <c r="J269" i="41"/>
  <c r="J365" i="50"/>
  <c r="J267" i="41"/>
  <c r="I1788" i="50"/>
  <c r="I97" i="42"/>
  <c r="L2216" i="50"/>
  <c r="L1093" i="42"/>
  <c r="X1372" i="42"/>
  <c r="L2324" i="50"/>
  <c r="K2324" i="50"/>
  <c r="V1374" i="42"/>
  <c r="J2216" i="50"/>
  <c r="W1374" i="42"/>
  <c r="K2216" i="50"/>
  <c r="J2324" i="50"/>
  <c r="V1679" i="42"/>
  <c r="H544" i="42"/>
  <c r="K544" i="42"/>
  <c r="W1093" i="42"/>
  <c r="K1199" i="42" s="1"/>
  <c r="AC773" i="42"/>
  <c r="AC789" i="42" s="1"/>
  <c r="H789" i="42" s="1"/>
  <c r="AD775" i="42"/>
  <c r="AD791" i="42" s="1"/>
  <c r="I791" i="42" s="1"/>
  <c r="AF774" i="42"/>
  <c r="AF790" i="42" s="1"/>
  <c r="K790" i="42" s="1"/>
  <c r="AF773" i="42"/>
  <c r="AF789" i="42" s="1"/>
  <c r="K789" i="42" s="1"/>
  <c r="AF775" i="42"/>
  <c r="AF791" i="42" s="1"/>
  <c r="K791" i="42" s="1"/>
  <c r="AC775" i="42"/>
  <c r="AC791" i="42" s="1"/>
  <c r="H791" i="42" s="1"/>
  <c r="I544" i="42"/>
  <c r="J544" i="42"/>
  <c r="G544" i="42"/>
  <c r="AE775" i="42"/>
  <c r="AE791" i="42" s="1"/>
  <c r="J791" i="42" s="1"/>
  <c r="AD774" i="42"/>
  <c r="AD790" i="42" s="1"/>
  <c r="I790" i="42" s="1"/>
  <c r="AE774" i="42"/>
  <c r="AE790" i="42" s="1"/>
  <c r="J790" i="42" s="1"/>
  <c r="G767" i="42"/>
  <c r="AE773" i="42"/>
  <c r="AE789" i="42" s="1"/>
  <c r="J789" i="42" s="1"/>
  <c r="AC774" i="42"/>
  <c r="AC790" i="42" s="1"/>
  <c r="H790" i="42" s="1"/>
  <c r="U1521" i="42"/>
  <c r="U1010" i="42"/>
  <c r="AC891" i="42"/>
  <c r="AL887" i="42"/>
  <c r="AC860" i="42"/>
  <c r="AL860" i="42" s="1"/>
  <c r="AL858" i="42"/>
  <c r="V1521" i="42"/>
  <c r="W1521" i="42"/>
  <c r="AC1507" i="42"/>
  <c r="AC1523" i="42" s="1"/>
  <c r="W1010" i="42"/>
  <c r="AC996" i="42"/>
  <c r="AC1012" i="42" s="1"/>
  <c r="AC1505" i="42"/>
  <c r="AC1521" i="42" s="1"/>
  <c r="H1521" i="42" s="1"/>
  <c r="AC861" i="42"/>
  <c r="AL861" i="42" s="1"/>
  <c r="AL859" i="42"/>
  <c r="AC1506" i="42"/>
  <c r="AC1522" i="42" s="1"/>
  <c r="AC638" i="42"/>
  <c r="AL638" i="42" s="1"/>
  <c r="AL636" i="42"/>
  <c r="AL890" i="42"/>
  <c r="AC894" i="42"/>
  <c r="AC671" i="42"/>
  <c r="AL667" i="42"/>
  <c r="AL635" i="42"/>
  <c r="AC637" i="42"/>
  <c r="AL637" i="42" s="1"/>
  <c r="AC995" i="42"/>
  <c r="AC1011" i="42" s="1"/>
  <c r="AL664" i="42"/>
  <c r="AC668" i="42"/>
  <c r="AL413" i="42"/>
  <c r="AC415" i="42"/>
  <c r="AL415" i="42" s="1"/>
  <c r="AC414" i="42"/>
  <c r="AL414" i="42" s="1"/>
  <c r="AL412" i="42"/>
  <c r="AC445" i="42"/>
  <c r="AL441" i="42"/>
  <c r="AC448" i="42"/>
  <c r="AL444" i="42"/>
  <c r="L253" i="42"/>
  <c r="L1874" i="50" s="1"/>
  <c r="K253" i="42"/>
  <c r="K1874" i="50" s="1"/>
  <c r="J253" i="42"/>
  <c r="AK163" i="37"/>
  <c r="J37" i="37"/>
  <c r="V38" i="37" s="1"/>
  <c r="X233" i="37"/>
  <c r="V233" i="37"/>
  <c r="W68" i="37"/>
  <c r="AC260" i="37"/>
  <c r="AK260" i="37" s="1"/>
  <c r="AK207" i="37"/>
  <c r="J416" i="50"/>
  <c r="J385" i="41"/>
  <c r="N385" i="41"/>
  <c r="N416" i="50"/>
  <c r="V69" i="37"/>
  <c r="AC95" i="37"/>
  <c r="AB94" i="37"/>
  <c r="AC225" i="42"/>
  <c r="AL221" i="42"/>
  <c r="M385" i="41"/>
  <c r="M416" i="50"/>
  <c r="AH164" i="37"/>
  <c r="AH153" i="37"/>
  <c r="AH165" i="37" s="1"/>
  <c r="L70" i="37"/>
  <c r="AD153" i="37"/>
  <c r="AD165" i="37" s="1"/>
  <c r="AD164" i="37"/>
  <c r="AC216" i="37"/>
  <c r="AK216" i="37" s="1"/>
  <c r="AK214" i="37"/>
  <c r="H269" i="41"/>
  <c r="H268" i="41"/>
  <c r="H365" i="50"/>
  <c r="H270" i="41"/>
  <c r="H438" i="41" s="1"/>
  <c r="H267" i="41"/>
  <c r="AF164" i="37"/>
  <c r="AF153" i="37"/>
  <c r="AF165" i="37" s="1"/>
  <c r="W233" i="37"/>
  <c r="AC224" i="37"/>
  <c r="AK223" i="37"/>
  <c r="I385" i="41"/>
  <c r="I416" i="50"/>
  <c r="AI153" i="37"/>
  <c r="AI165" i="37" s="1"/>
  <c r="AI164" i="37"/>
  <c r="H385" i="41"/>
  <c r="H416" i="50"/>
  <c r="AC153" i="37"/>
  <c r="AC164" i="37"/>
  <c r="AK152" i="37"/>
  <c r="AE153" i="37"/>
  <c r="AE165" i="37" s="1"/>
  <c r="AE164" i="37"/>
  <c r="L385" i="41"/>
  <c r="L416" i="50"/>
  <c r="AC222" i="42"/>
  <c r="AL218" i="42"/>
  <c r="AC251" i="37"/>
  <c r="AK251" i="37" s="1"/>
  <c r="AK249" i="37"/>
  <c r="K385" i="41"/>
  <c r="K416" i="50"/>
  <c r="AG153" i="37"/>
  <c r="AG165" i="37" s="1"/>
  <c r="AG164" i="37"/>
  <c r="V1681" i="42" l="1"/>
  <c r="J1681" i="42" s="1"/>
  <c r="M1162" i="37"/>
  <c r="N1162" i="37" s="1"/>
  <c r="N1066" i="50" s="1"/>
  <c r="L1061" i="50"/>
  <c r="L1068" i="50"/>
  <c r="AB1219" i="37"/>
  <c r="AA1219" i="37" s="1"/>
  <c r="Z1219" i="37" s="1"/>
  <c r="AC1220" i="37"/>
  <c r="K1061" i="50"/>
  <c r="K1068" i="50"/>
  <c r="M1359" i="37"/>
  <c r="AC1350" i="37"/>
  <c r="AK1350" i="37" s="1"/>
  <c r="AK1348" i="37"/>
  <c r="AK1288" i="37"/>
  <c r="AC1289" i="37"/>
  <c r="AK1289" i="37" s="1"/>
  <c r="AK1277" i="37"/>
  <c r="L1194" i="37"/>
  <c r="K805" i="50"/>
  <c r="K812" i="50"/>
  <c r="K938" i="50"/>
  <c r="L881" i="37"/>
  <c r="L805" i="50"/>
  <c r="L812" i="50"/>
  <c r="M797" i="37"/>
  <c r="M805" i="50" s="1"/>
  <c r="AK1007" i="37"/>
  <c r="AK996" i="37"/>
  <c r="AC1008" i="37"/>
  <c r="AK1008" i="37" s="1"/>
  <c r="AA937" i="37"/>
  <c r="Z937" i="37" s="1"/>
  <c r="L913" i="37"/>
  <c r="AC939" i="37"/>
  <c r="AB938" i="37"/>
  <c r="AA938" i="37" s="1"/>
  <c r="Z938" i="37" s="1"/>
  <c r="K933" i="50"/>
  <c r="K940" i="50"/>
  <c r="AC1069" i="37"/>
  <c r="AK1069" i="37" s="1"/>
  <c r="AK1067" i="37"/>
  <c r="L1078" i="37"/>
  <c r="W1531" i="42"/>
  <c r="M1540" i="42" s="1"/>
  <c r="Y1542" i="42" s="1"/>
  <c r="M2277" i="50" s="1"/>
  <c r="N914" i="50"/>
  <c r="N1298" i="50"/>
  <c r="L1426" i="50"/>
  <c r="J914" i="50"/>
  <c r="J1426" i="50"/>
  <c r="N1426" i="50"/>
  <c r="L1682" i="50"/>
  <c r="L1042" i="50"/>
  <c r="J1298" i="50"/>
  <c r="J1170" i="50"/>
  <c r="N1170" i="50"/>
  <c r="N1042" i="50"/>
  <c r="L1298" i="50"/>
  <c r="L914" i="50"/>
  <c r="J1682" i="50"/>
  <c r="N1554" i="50"/>
  <c r="N1682" i="50"/>
  <c r="L1170" i="50"/>
  <c r="L1554" i="50"/>
  <c r="J1554" i="50"/>
  <c r="J1042" i="50"/>
  <c r="J780" i="50"/>
  <c r="J1676" i="50"/>
  <c r="J1548" i="50"/>
  <c r="J1420" i="50"/>
  <c r="J908" i="50"/>
  <c r="J1292" i="50"/>
  <c r="J1036" i="50"/>
  <c r="J1164" i="50"/>
  <c r="U1020" i="42"/>
  <c r="J1531" i="42"/>
  <c r="J1532" i="42" s="1"/>
  <c r="K1531" i="42"/>
  <c r="K1532" i="42" s="1"/>
  <c r="I1531" i="42"/>
  <c r="I1532" i="42" s="1"/>
  <c r="U1531" i="42"/>
  <c r="W1020" i="42"/>
  <c r="M1029" i="42" s="1"/>
  <c r="M1030" i="42" s="1"/>
  <c r="M2096" i="50" s="1"/>
  <c r="V1531" i="42"/>
  <c r="T1523" i="42"/>
  <c r="H1523" i="42"/>
  <c r="T1522" i="42"/>
  <c r="H1522" i="42"/>
  <c r="K1010" i="42"/>
  <c r="K1020" i="42" s="1"/>
  <c r="K1021" i="42" s="1"/>
  <c r="T1012" i="42"/>
  <c r="H1012" i="42"/>
  <c r="V1010" i="42"/>
  <c r="V1020" i="42" s="1"/>
  <c r="J1010" i="42"/>
  <c r="T1011" i="42"/>
  <c r="H1011" i="42"/>
  <c r="I1010" i="42"/>
  <c r="I1020" i="42" s="1"/>
  <c r="I1021" i="42" s="1"/>
  <c r="K676" i="50"/>
  <c r="K786" i="50"/>
  <c r="J676" i="50"/>
  <c r="M786" i="50"/>
  <c r="L1572" i="50"/>
  <c r="L1700" i="50"/>
  <c r="L1444" i="50"/>
  <c r="L1188" i="50"/>
  <c r="L932" i="50"/>
  <c r="L1316" i="50"/>
  <c r="L1060" i="50"/>
  <c r="L804" i="50"/>
  <c r="M548" i="50"/>
  <c r="M1700" i="50"/>
  <c r="M1444" i="50"/>
  <c r="M1316" i="50"/>
  <c r="M1060" i="50"/>
  <c r="M1188" i="50"/>
  <c r="M1572" i="50"/>
  <c r="M932" i="50"/>
  <c r="M69" i="37"/>
  <c r="M1426" i="50"/>
  <c r="M1042" i="50"/>
  <c r="M1682" i="50"/>
  <c r="M1554" i="50"/>
  <c r="M1298" i="50"/>
  <c r="M914" i="50"/>
  <c r="M1170" i="50"/>
  <c r="N234" i="37"/>
  <c r="N1572" i="50"/>
  <c r="N932" i="50"/>
  <c r="N1700" i="50"/>
  <c r="N1316" i="50"/>
  <c r="N1444" i="50"/>
  <c r="N1188" i="50"/>
  <c r="N1060" i="50"/>
  <c r="M658" i="50"/>
  <c r="K932" i="50"/>
  <c r="K1188" i="50"/>
  <c r="K1572" i="50"/>
  <c r="K1316" i="50"/>
  <c r="K1444" i="50"/>
  <c r="K1700" i="50"/>
  <c r="K1060" i="50"/>
  <c r="K914" i="50"/>
  <c r="K1682" i="50"/>
  <c r="K1554" i="50"/>
  <c r="K1170" i="50"/>
  <c r="K1426" i="50"/>
  <c r="K1042" i="50"/>
  <c r="K1298" i="50"/>
  <c r="J804" i="50"/>
  <c r="N548" i="50"/>
  <c r="N804" i="50"/>
  <c r="K658" i="50"/>
  <c r="J1316" i="50"/>
  <c r="J1188" i="50"/>
  <c r="J932" i="50"/>
  <c r="J1444" i="50"/>
  <c r="J1572" i="50"/>
  <c r="J1700" i="50"/>
  <c r="J1060" i="50"/>
  <c r="K804" i="50"/>
  <c r="M804" i="50"/>
  <c r="AL1775" i="42"/>
  <c r="L676" i="50"/>
  <c r="V515" i="37"/>
  <c r="J515" i="37"/>
  <c r="V516" i="37" s="1"/>
  <c r="J516" i="37" s="1"/>
  <c r="J684" i="50" s="1"/>
  <c r="J1020" i="42"/>
  <c r="J1021" i="42" s="1"/>
  <c r="AB976" i="42"/>
  <c r="AL976" i="42" s="1"/>
  <c r="M812" i="50"/>
  <c r="J810" i="50"/>
  <c r="N796" i="37"/>
  <c r="M796" i="37"/>
  <c r="J683" i="50"/>
  <c r="J659" i="50"/>
  <c r="M515" i="37"/>
  <c r="M676" i="50"/>
  <c r="M631" i="37"/>
  <c r="J686" i="50"/>
  <c r="J671" i="50"/>
  <c r="J38" i="37"/>
  <c r="J1807" i="42"/>
  <c r="J1808" i="42" s="1"/>
  <c r="K1807" i="42"/>
  <c r="K1808" i="42" s="1"/>
  <c r="I1807" i="42"/>
  <c r="I1808" i="42" s="1"/>
  <c r="L1807" i="42"/>
  <c r="L1808" i="42" s="1"/>
  <c r="M1807" i="42"/>
  <c r="M1808" i="42" s="1"/>
  <c r="AB1763" i="42"/>
  <c r="AC1781" i="42"/>
  <c r="AC1797" i="42" s="1"/>
  <c r="H1797" i="42" s="1"/>
  <c r="N631" i="37"/>
  <c r="AB532" i="42"/>
  <c r="AB550" i="42" s="1"/>
  <c r="AB566" i="42" s="1"/>
  <c r="G566" i="42" s="1"/>
  <c r="AB534" i="42"/>
  <c r="AB552" i="42" s="1"/>
  <c r="AB568" i="42" s="1"/>
  <c r="G568" i="42" s="1"/>
  <c r="AB533" i="42"/>
  <c r="AB551" i="42" s="1"/>
  <c r="AB567" i="42" s="1"/>
  <c r="G567" i="42" s="1"/>
  <c r="K548" i="50"/>
  <c r="L548" i="50"/>
  <c r="I271" i="41"/>
  <c r="I373" i="50" s="1"/>
  <c r="I372" i="50"/>
  <c r="I272" i="41"/>
  <c r="I374" i="50" s="1"/>
  <c r="AC551" i="42"/>
  <c r="AC567" i="42" s="1"/>
  <c r="L796" i="37"/>
  <c r="K2215" i="50"/>
  <c r="K2223" i="50"/>
  <c r="K2224" i="50" s="1"/>
  <c r="K2225" i="50" s="1"/>
  <c r="K2226" i="50" s="1"/>
  <c r="N2215" i="50"/>
  <c r="N2223" i="50"/>
  <c r="N2224" i="50" s="1"/>
  <c r="N2225" i="50" s="1"/>
  <c r="N2226" i="50" s="1"/>
  <c r="J2215" i="50"/>
  <c r="J2223" i="50"/>
  <c r="J2224" i="50" s="1"/>
  <c r="J2225" i="50" s="1"/>
  <c r="J2226" i="50" s="1"/>
  <c r="J318" i="37"/>
  <c r="V319" i="37" s="1"/>
  <c r="J319" i="37" s="1"/>
  <c r="K69" i="37"/>
  <c r="K530" i="50"/>
  <c r="V234" i="37"/>
  <c r="J234" i="37" s="1"/>
  <c r="V235" i="37" s="1"/>
  <c r="J235" i="37" s="1"/>
  <c r="J548" i="50"/>
  <c r="V631" i="37"/>
  <c r="J631" i="37" s="1"/>
  <c r="V632" i="37" s="1"/>
  <c r="J632" i="37" s="1"/>
  <c r="J1579" i="50" s="1"/>
  <c r="K796" i="37"/>
  <c r="L531" i="50"/>
  <c r="L555" i="50"/>
  <c r="M70" i="37"/>
  <c r="N70" i="37" s="1"/>
  <c r="AC727" i="37"/>
  <c r="AK727" i="37" s="1"/>
  <c r="AK715" i="37"/>
  <c r="J796" i="37"/>
  <c r="AK726" i="37"/>
  <c r="AB657" i="37"/>
  <c r="AA657" i="37" s="1"/>
  <c r="Z657" i="37" s="1"/>
  <c r="AC658" i="37"/>
  <c r="AC788" i="37"/>
  <c r="AK788" i="37" s="1"/>
  <c r="AK786" i="37"/>
  <c r="V796" i="37"/>
  <c r="AC446" i="37"/>
  <c r="AK446" i="37" s="1"/>
  <c r="AK434" i="37"/>
  <c r="AA375" i="37"/>
  <c r="Z375" i="37" s="1"/>
  <c r="AK445" i="37"/>
  <c r="AC377" i="37"/>
  <c r="AB376" i="37"/>
  <c r="AA376" i="37" s="1"/>
  <c r="Z376" i="37" s="1"/>
  <c r="AC507" i="37"/>
  <c r="AK507" i="37" s="1"/>
  <c r="AK505" i="37"/>
  <c r="K271" i="41"/>
  <c r="K373" i="50" s="1"/>
  <c r="K272" i="41"/>
  <c r="K374" i="50" s="1"/>
  <c r="K690" i="42"/>
  <c r="J272" i="41"/>
  <c r="J374" i="50" s="1"/>
  <c r="J271" i="41"/>
  <c r="J373" i="50" s="1"/>
  <c r="J372" i="50"/>
  <c r="J690" i="42"/>
  <c r="I2007" i="50"/>
  <c r="I766" i="42"/>
  <c r="I767" i="42" s="1"/>
  <c r="H690" i="42"/>
  <c r="J698" i="42" s="1"/>
  <c r="H372" i="50"/>
  <c r="H271" i="41"/>
  <c r="H373" i="50" s="1"/>
  <c r="H272" i="41"/>
  <c r="H374" i="50" s="1"/>
  <c r="H435" i="41"/>
  <c r="H369" i="50" s="1"/>
  <c r="AB773" i="42"/>
  <c r="AB789" i="42" s="1"/>
  <c r="G789" i="42" s="1"/>
  <c r="H1084" i="42"/>
  <c r="V253" i="42"/>
  <c r="J361" i="42" s="1"/>
  <c r="J1874" i="50"/>
  <c r="X1093" i="42"/>
  <c r="L1199" i="42" s="1"/>
  <c r="L2153" i="50"/>
  <c r="X1679" i="42"/>
  <c r="AL544" i="42"/>
  <c r="W1372" i="42"/>
  <c r="V1373" i="42"/>
  <c r="J2217" i="50" s="1"/>
  <c r="W1679" i="42"/>
  <c r="V1680" i="42"/>
  <c r="J2325" i="50" s="1"/>
  <c r="V1372" i="42"/>
  <c r="L1094" i="42"/>
  <c r="X1095" i="42" s="1"/>
  <c r="K1094" i="42"/>
  <c r="W1095" i="42" s="1"/>
  <c r="I576" i="42"/>
  <c r="I577" i="42" s="1"/>
  <c r="K799" i="42"/>
  <c r="J799" i="42"/>
  <c r="J576" i="42"/>
  <c r="J577" i="42" s="1"/>
  <c r="K576" i="42"/>
  <c r="K577" i="42" s="1"/>
  <c r="AB1505" i="42"/>
  <c r="AB1521" i="42" s="1"/>
  <c r="G1521" i="42" s="1"/>
  <c r="AL1487" i="42"/>
  <c r="AC895" i="42"/>
  <c r="AL891" i="42"/>
  <c r="T1010" i="42"/>
  <c r="H799" i="42"/>
  <c r="AC898" i="42"/>
  <c r="AL898" i="42" s="1"/>
  <c r="AL894" i="42"/>
  <c r="AB1506" i="42"/>
  <c r="AB1522" i="42" s="1"/>
  <c r="G1522" i="42" s="1"/>
  <c r="AL1488" i="42"/>
  <c r="AL671" i="42"/>
  <c r="AC675" i="42"/>
  <c r="AL675" i="42" s="1"/>
  <c r="AL1489" i="42"/>
  <c r="AB1507" i="42"/>
  <c r="AB1523" i="42" s="1"/>
  <c r="G1523" i="42" s="1"/>
  <c r="AC672" i="42"/>
  <c r="AL668" i="42"/>
  <c r="AB995" i="42"/>
  <c r="AB1011" i="42" s="1"/>
  <c r="G1011" i="42" s="1"/>
  <c r="AL977" i="42"/>
  <c r="T1521" i="42"/>
  <c r="AL978" i="42"/>
  <c r="AB996" i="42"/>
  <c r="AB1012" i="42" s="1"/>
  <c r="G1012" i="42" s="1"/>
  <c r="AC452" i="42"/>
  <c r="AL452" i="42" s="1"/>
  <c r="AL448" i="42"/>
  <c r="AC449" i="42"/>
  <c r="AL445" i="42"/>
  <c r="W253" i="42"/>
  <c r="X253" i="42"/>
  <c r="AC226" i="42"/>
  <c r="AL222" i="42"/>
  <c r="AA94" i="37"/>
  <c r="Z94" i="37" s="1"/>
  <c r="K386" i="41"/>
  <c r="K461" i="50" s="1"/>
  <c r="K460" i="50"/>
  <c r="H460" i="50"/>
  <c r="H386" i="41"/>
  <c r="H461" i="50" s="1"/>
  <c r="AK224" i="37"/>
  <c r="AC226" i="37"/>
  <c r="AK226" i="37" s="1"/>
  <c r="AC96" i="37"/>
  <c r="AB95" i="37"/>
  <c r="AA95" i="37" s="1"/>
  <c r="Z95" i="37" s="1"/>
  <c r="L386" i="41"/>
  <c r="L461" i="50" s="1"/>
  <c r="L460" i="50"/>
  <c r="AK164" i="37"/>
  <c r="M386" i="41"/>
  <c r="M461" i="50" s="1"/>
  <c r="M460" i="50"/>
  <c r="N386" i="41"/>
  <c r="N461" i="50" s="1"/>
  <c r="N460" i="50"/>
  <c r="AK153" i="37"/>
  <c r="AC165" i="37"/>
  <c r="AK165" i="37" s="1"/>
  <c r="I460" i="50"/>
  <c r="I386" i="41"/>
  <c r="I461" i="50" s="1"/>
  <c r="AC229" i="42"/>
  <c r="AL229" i="42" s="1"/>
  <c r="AL225" i="42"/>
  <c r="J386" i="41"/>
  <c r="J461" i="50" s="1"/>
  <c r="J460" i="50"/>
  <c r="H1020" i="42" l="1"/>
  <c r="H1021" i="42" s="1"/>
  <c r="L1540" i="42"/>
  <c r="L1541" i="42" s="1"/>
  <c r="L2276" i="50" s="1"/>
  <c r="J1680" i="42"/>
  <c r="J2323" i="50"/>
  <c r="J2331" i="50"/>
  <c r="J2332" i="50" s="1"/>
  <c r="J2333" i="50" s="1"/>
  <c r="J2334" i="50" s="1"/>
  <c r="M1066" i="50"/>
  <c r="H2140" i="50"/>
  <c r="J1092" i="42"/>
  <c r="AC1221" i="37"/>
  <c r="AB1220" i="37"/>
  <c r="J677" i="50"/>
  <c r="M1061" i="50"/>
  <c r="M1068" i="50"/>
  <c r="N1359" i="37"/>
  <c r="L1043" i="50"/>
  <c r="M1194" i="37"/>
  <c r="N797" i="37"/>
  <c r="N805" i="50" s="1"/>
  <c r="M1541" i="42"/>
  <c r="M2276" i="50" s="1"/>
  <c r="Y1543" i="42"/>
  <c r="M1542" i="42"/>
  <c r="H1531" i="42"/>
  <c r="H1532" i="42" s="1"/>
  <c r="Y1541" i="42"/>
  <c r="L938" i="50"/>
  <c r="M881" i="37"/>
  <c r="L915" i="50"/>
  <c r="M913" i="37"/>
  <c r="L940" i="50"/>
  <c r="L933" i="50"/>
  <c r="M1078" i="37"/>
  <c r="AC940" i="37"/>
  <c r="AB939" i="37"/>
  <c r="AA939" i="37" s="1"/>
  <c r="Z939" i="37" s="1"/>
  <c r="J1323" i="50"/>
  <c r="J1067" i="50"/>
  <c r="J1072" i="50" s="1"/>
  <c r="J1073" i="50" s="1"/>
  <c r="J1707" i="50"/>
  <c r="J1451" i="50"/>
  <c r="J939" i="50"/>
  <c r="J944" i="50" s="1"/>
  <c r="J945" i="50" s="1"/>
  <c r="J1195" i="50"/>
  <c r="J781" i="50"/>
  <c r="K1540" i="42"/>
  <c r="K1541" i="42" s="1"/>
  <c r="K2276" i="50" s="1"/>
  <c r="T1020" i="42"/>
  <c r="J1029" i="42" s="1"/>
  <c r="J1030" i="42" s="1"/>
  <c r="J2096" i="50" s="1"/>
  <c r="Y1032" i="42"/>
  <c r="Y1030" i="42"/>
  <c r="Y1031" i="42"/>
  <c r="M2097" i="50" s="1"/>
  <c r="M1031" i="42"/>
  <c r="L1029" i="42"/>
  <c r="L1030" i="42" s="1"/>
  <c r="L2096" i="50" s="1"/>
  <c r="T1531" i="42"/>
  <c r="J1540" i="42" s="1"/>
  <c r="J1541" i="42" s="1"/>
  <c r="J2276" i="50" s="1"/>
  <c r="K1029" i="42"/>
  <c r="K1030" i="42" s="1"/>
  <c r="K2096" i="50" s="1"/>
  <c r="AB994" i="42"/>
  <c r="AB1010" i="42" s="1"/>
  <c r="G1010" i="42" s="1"/>
  <c r="H567" i="42"/>
  <c r="H576" i="42" s="1"/>
  <c r="H577" i="42" s="1"/>
  <c r="J554" i="50"/>
  <c r="J1165" i="50"/>
  <c r="J1549" i="50"/>
  <c r="J1421" i="50"/>
  <c r="J1677" i="50"/>
  <c r="J1037" i="50"/>
  <c r="J1293" i="50"/>
  <c r="J909" i="50"/>
  <c r="J525" i="50"/>
  <c r="J811" i="50"/>
  <c r="J816" i="50" s="1"/>
  <c r="J817" i="50" s="1"/>
  <c r="J787" i="50"/>
  <c r="N812" i="50"/>
  <c r="J653" i="50"/>
  <c r="J682" i="50"/>
  <c r="J688" i="50" s="1"/>
  <c r="J689" i="50" s="1"/>
  <c r="AL1763" i="42"/>
  <c r="AB1781" i="42"/>
  <c r="AB1797" i="42" s="1"/>
  <c r="H1807" i="42"/>
  <c r="H1808" i="42" s="1"/>
  <c r="K766" i="42"/>
  <c r="K767" i="42" s="1"/>
  <c r="M698" i="42"/>
  <c r="AL532" i="42"/>
  <c r="AL533" i="42"/>
  <c r="K254" i="42"/>
  <c r="W255" i="42" s="1"/>
  <c r="K255" i="42" s="1"/>
  <c r="K361" i="42"/>
  <c r="L254" i="42"/>
  <c r="X255" i="42" s="1"/>
  <c r="L255" i="42" s="1"/>
  <c r="M255" i="42" s="1"/>
  <c r="N255" i="42" s="1"/>
  <c r="L361" i="42"/>
  <c r="V254" i="42"/>
  <c r="J1875" i="50" s="1"/>
  <c r="J254" i="42"/>
  <c r="V255" i="42" s="1"/>
  <c r="J255" i="42" s="1"/>
  <c r="J549" i="50"/>
  <c r="J556" i="50"/>
  <c r="M531" i="50"/>
  <c r="M555" i="50"/>
  <c r="N531" i="50"/>
  <c r="N555" i="50"/>
  <c r="AB658" i="37"/>
  <c r="AC659" i="37"/>
  <c r="AC378" i="37"/>
  <c r="AB377" i="37"/>
  <c r="K2007" i="50"/>
  <c r="K800" i="42"/>
  <c r="J800" i="42"/>
  <c r="H800" i="42"/>
  <c r="H2007" i="50"/>
  <c r="J2007" i="50"/>
  <c r="J766" i="42"/>
  <c r="J767" i="42" s="1"/>
  <c r="L698" i="42"/>
  <c r="K698" i="42"/>
  <c r="K699" i="42" s="1"/>
  <c r="H766" i="42"/>
  <c r="H767" i="42" s="1"/>
  <c r="H21" i="42"/>
  <c r="AL21" i="42" s="1"/>
  <c r="H1232" i="42"/>
  <c r="H1233" i="42" s="1"/>
  <c r="H1158" i="42"/>
  <c r="H1159" i="42" s="1"/>
  <c r="AL1159" i="42" s="1"/>
  <c r="J699" i="42"/>
  <c r="AB774" i="42"/>
  <c r="AB790" i="42" s="1"/>
  <c r="AB775" i="42"/>
  <c r="AB791" i="42" s="1"/>
  <c r="AL534" i="42"/>
  <c r="L2156" i="50"/>
  <c r="AL1522" i="42"/>
  <c r="AC899" i="42"/>
  <c r="AL899" i="42" s="1"/>
  <c r="AL895" i="42"/>
  <c r="S568" i="42"/>
  <c r="AC676" i="42"/>
  <c r="AL676" i="42" s="1"/>
  <c r="AL672" i="42"/>
  <c r="AL1012" i="42"/>
  <c r="AL1011" i="42"/>
  <c r="S567" i="42"/>
  <c r="AL566" i="42"/>
  <c r="AL1523" i="42"/>
  <c r="AL1521" i="42"/>
  <c r="AL449" i="42"/>
  <c r="AC453" i="42"/>
  <c r="AL453" i="42" s="1"/>
  <c r="T302" i="42"/>
  <c r="AB96" i="37"/>
  <c r="AA96" i="37" s="1"/>
  <c r="Z96" i="37" s="1"/>
  <c r="AC97" i="37"/>
  <c r="AC230" i="42"/>
  <c r="AL230" i="42" s="1"/>
  <c r="AL226" i="42"/>
  <c r="X1541" i="42" l="1"/>
  <c r="J2152" i="50"/>
  <c r="J1093" i="42"/>
  <c r="J2153" i="50" s="1"/>
  <c r="M1043" i="50"/>
  <c r="N1194" i="37"/>
  <c r="N1043" i="50" s="1"/>
  <c r="N1068" i="50"/>
  <c r="N1061" i="50"/>
  <c r="AA1220" i="37"/>
  <c r="Z1220" i="37" s="1"/>
  <c r="J1165" i="37"/>
  <c r="J1167" i="37" s="1"/>
  <c r="J1168" i="37" s="1"/>
  <c r="J1197" i="37"/>
  <c r="J1199" i="37" s="1"/>
  <c r="J1200" i="37" s="1"/>
  <c r="J1362" i="37"/>
  <c r="AB1221" i="37"/>
  <c r="AA1221" i="37" s="1"/>
  <c r="Z1221" i="37" s="1"/>
  <c r="AC1222" i="37"/>
  <c r="N881" i="37"/>
  <c r="N938" i="50" s="1"/>
  <c r="M938" i="50"/>
  <c r="AB940" i="37"/>
  <c r="AA940" i="37" s="1"/>
  <c r="Z940" i="37" s="1"/>
  <c r="AC941" i="37"/>
  <c r="J916" i="37"/>
  <c r="J918" i="37" s="1"/>
  <c r="J919" i="37" s="1"/>
  <c r="J1081" i="37"/>
  <c r="J884" i="37"/>
  <c r="J886" i="37" s="1"/>
  <c r="J887" i="37" s="1"/>
  <c r="M933" i="50"/>
  <c r="M940" i="50"/>
  <c r="N1078" i="37"/>
  <c r="M915" i="50"/>
  <c r="N913" i="37"/>
  <c r="N915" i="50" s="1"/>
  <c r="J560" i="50"/>
  <c r="J561" i="50" s="1"/>
  <c r="J226" i="47" s="1"/>
  <c r="V229" i="47" s="1"/>
  <c r="AL1010" i="42"/>
  <c r="S1797" i="42"/>
  <c r="T1797" i="42" s="1"/>
  <c r="T1807" i="42" s="1"/>
  <c r="G1797" i="42"/>
  <c r="G1807" i="42" s="1"/>
  <c r="G1808" i="42" s="1"/>
  <c r="S790" i="42"/>
  <c r="G790" i="42"/>
  <c r="S791" i="42"/>
  <c r="G791" i="42"/>
  <c r="Z1797" i="42"/>
  <c r="Z1807" i="42" s="1"/>
  <c r="V1797" i="42"/>
  <c r="V1807" i="42" s="1"/>
  <c r="U1797" i="42"/>
  <c r="U1807" i="42" s="1"/>
  <c r="Y1797" i="42"/>
  <c r="Y1807" i="42" s="1"/>
  <c r="W1797" i="42"/>
  <c r="W1807" i="42" s="1"/>
  <c r="X1797" i="42"/>
  <c r="X1807" i="42" s="1"/>
  <c r="I1819" i="42"/>
  <c r="M699" i="42"/>
  <c r="Y699" i="42" s="1"/>
  <c r="M807" i="42" s="1"/>
  <c r="AL568" i="42"/>
  <c r="AE311" i="42"/>
  <c r="AE329" i="42" s="1"/>
  <c r="AE345" i="42" s="1"/>
  <c r="J345" i="42" s="1"/>
  <c r="AE310" i="42"/>
  <c r="AE328" i="42" s="1"/>
  <c r="AE344" i="42" s="1"/>
  <c r="J344" i="42" s="1"/>
  <c r="AE309" i="42"/>
  <c r="AE327" i="42" s="1"/>
  <c r="AE343" i="42" s="1"/>
  <c r="J343" i="42" s="1"/>
  <c r="AF310" i="42"/>
  <c r="AF328" i="42" s="1"/>
  <c r="AF344" i="42" s="1"/>
  <c r="K344" i="42" s="1"/>
  <c r="AD311" i="42"/>
  <c r="AD329" i="42" s="1"/>
  <c r="AD345" i="42" s="1"/>
  <c r="I345" i="42" s="1"/>
  <c r="AD310" i="42"/>
  <c r="AD328" i="42" s="1"/>
  <c r="AD344" i="42" s="1"/>
  <c r="I344" i="42" s="1"/>
  <c r="AD309" i="42"/>
  <c r="AD327" i="42" s="1"/>
  <c r="AD343" i="42" s="1"/>
  <c r="I343" i="42" s="1"/>
  <c r="AC311" i="42"/>
  <c r="AC310" i="42"/>
  <c r="AC328" i="42" s="1"/>
  <c r="AC344" i="42" s="1"/>
  <c r="H344" i="42" s="1"/>
  <c r="AC309" i="42"/>
  <c r="AF311" i="42"/>
  <c r="AF329" i="42" s="1"/>
  <c r="AF345" i="42" s="1"/>
  <c r="K345" i="42" s="1"/>
  <c r="AF309" i="42"/>
  <c r="AF327" i="42" s="1"/>
  <c r="AF343" i="42" s="1"/>
  <c r="K343" i="42" s="1"/>
  <c r="J29" i="42"/>
  <c r="J1800" i="50" s="1"/>
  <c r="I32" i="42"/>
  <c r="J800" i="37"/>
  <c r="J802" i="37" s="1"/>
  <c r="W796" i="37" s="1"/>
  <c r="J635" i="37"/>
  <c r="J637" i="37" s="1"/>
  <c r="W631" i="37" s="1"/>
  <c r="K631" i="37" s="1"/>
  <c r="W632" i="37" s="1"/>
  <c r="K632" i="37" s="1"/>
  <c r="J603" i="37"/>
  <c r="AB659" i="37"/>
  <c r="AA659" i="37" s="1"/>
  <c r="Z659" i="37" s="1"/>
  <c r="AC660" i="37"/>
  <c r="AA658" i="37"/>
  <c r="Z658" i="37" s="1"/>
  <c r="AA377" i="37"/>
  <c r="Z377" i="37" s="1"/>
  <c r="AC379" i="37"/>
  <c r="AB378" i="37"/>
  <c r="AA378" i="37" s="1"/>
  <c r="Z378" i="37" s="1"/>
  <c r="H1788" i="50"/>
  <c r="W699" i="42"/>
  <c r="K807" i="42" s="1"/>
  <c r="L699" i="42"/>
  <c r="X699" i="42" s="1"/>
  <c r="L807" i="42" s="1"/>
  <c r="H97" i="42"/>
  <c r="V699" i="42"/>
  <c r="J807" i="42" s="1"/>
  <c r="AL567" i="42"/>
  <c r="W1373" i="42"/>
  <c r="K2217" i="50" s="1"/>
  <c r="V1541" i="42"/>
  <c r="W1541" i="42"/>
  <c r="X1201" i="42"/>
  <c r="V1542" i="42"/>
  <c r="J2277" i="50" s="1"/>
  <c r="X1030" i="42"/>
  <c r="W1030" i="42"/>
  <c r="Y567" i="42"/>
  <c r="X567" i="42"/>
  <c r="Z567" i="42"/>
  <c r="U567" i="42"/>
  <c r="V567" i="42"/>
  <c r="W567" i="42"/>
  <c r="T567" i="42"/>
  <c r="Y568" i="42"/>
  <c r="Z568" i="42"/>
  <c r="X568" i="42"/>
  <c r="U568" i="42"/>
  <c r="V568" i="42"/>
  <c r="W568" i="42"/>
  <c r="T568" i="42"/>
  <c r="G1020" i="42"/>
  <c r="G1021" i="42" s="1"/>
  <c r="X790" i="42"/>
  <c r="Z790" i="42"/>
  <c r="Y790" i="42"/>
  <c r="U790" i="42"/>
  <c r="V790" i="42"/>
  <c r="W790" i="42"/>
  <c r="T790" i="42"/>
  <c r="G1531" i="42"/>
  <c r="G1532" i="42" s="1"/>
  <c r="V1031" i="42"/>
  <c r="J2097" i="50" s="1"/>
  <c r="V1030" i="42"/>
  <c r="J1031" i="42" s="1"/>
  <c r="V1032" i="42" s="1"/>
  <c r="J1032" i="42" s="1"/>
  <c r="J2095" i="50" s="1"/>
  <c r="Y791" i="42"/>
  <c r="X791" i="42"/>
  <c r="Z791" i="42"/>
  <c r="W791" i="42"/>
  <c r="U791" i="42"/>
  <c r="V791" i="42"/>
  <c r="T791" i="42"/>
  <c r="G576" i="42"/>
  <c r="G577" i="42" s="1"/>
  <c r="S566" i="42"/>
  <c r="S789" i="42"/>
  <c r="H321" i="42"/>
  <c r="K321" i="42"/>
  <c r="G321" i="42"/>
  <c r="I321" i="42"/>
  <c r="J321" i="42"/>
  <c r="AC98" i="37"/>
  <c r="AB97" i="37"/>
  <c r="V1093" i="42" l="1"/>
  <c r="AB1222" i="37"/>
  <c r="AA1222" i="37" s="1"/>
  <c r="Z1222" i="37" s="1"/>
  <c r="AC1223" i="37"/>
  <c r="J1078" i="50"/>
  <c r="J1079" i="50"/>
  <c r="K1027" i="50" s="1"/>
  <c r="J1364" i="37"/>
  <c r="J1365" i="37"/>
  <c r="J73" i="37"/>
  <c r="V76" i="37" s="1"/>
  <c r="J41" i="37"/>
  <c r="J43" i="37" s="1"/>
  <c r="J44" i="37" s="1"/>
  <c r="J566" i="50" s="1"/>
  <c r="J238" i="37"/>
  <c r="J240" i="37" s="1"/>
  <c r="J241" i="37" s="1"/>
  <c r="J568" i="50" s="1"/>
  <c r="K516" i="50" s="1"/>
  <c r="J228" i="47"/>
  <c r="W222" i="47" s="1"/>
  <c r="K222" i="47" s="1"/>
  <c r="W223" i="47" s="1"/>
  <c r="K223" i="47" s="1"/>
  <c r="N940" i="50"/>
  <c r="N933" i="50"/>
  <c r="J1083" i="37"/>
  <c r="J1084" i="37"/>
  <c r="J951" i="50"/>
  <c r="K899" i="50" s="1"/>
  <c r="AB941" i="37"/>
  <c r="AC942" i="37"/>
  <c r="J950" i="50"/>
  <c r="AL1797" i="42"/>
  <c r="G799" i="42"/>
  <c r="G800" i="42" s="1"/>
  <c r="K1816" i="42"/>
  <c r="K1817" i="42" s="1"/>
  <c r="K2372" i="50" s="1"/>
  <c r="N1816" i="42"/>
  <c r="L1816" i="42"/>
  <c r="L1817" i="42" s="1"/>
  <c r="L2372" i="50" s="1"/>
  <c r="M1816" i="42"/>
  <c r="K787" i="50"/>
  <c r="J605" i="37"/>
  <c r="J606" i="37" s="1"/>
  <c r="J822" i="50" s="1"/>
  <c r="V44" i="37"/>
  <c r="J229" i="47"/>
  <c r="J1816" i="42"/>
  <c r="J1817" i="42" s="1"/>
  <c r="M700" i="42"/>
  <c r="Y701" i="42" s="1"/>
  <c r="N30" i="42"/>
  <c r="M30" i="42"/>
  <c r="J2103" i="50"/>
  <c r="J2104" i="50" s="1"/>
  <c r="J2105" i="50" s="1"/>
  <c r="J2106" i="50" s="1"/>
  <c r="J1542" i="42"/>
  <c r="V1543" i="42" s="1"/>
  <c r="J1543" i="42" s="1"/>
  <c r="AB310" i="42"/>
  <c r="AL310" i="42" s="1"/>
  <c r="AB309" i="42"/>
  <c r="AL309" i="42" s="1"/>
  <c r="AB311" i="42"/>
  <c r="AB329" i="42" s="1"/>
  <c r="AB345" i="42" s="1"/>
  <c r="G345" i="42" s="1"/>
  <c r="J30" i="42"/>
  <c r="J1801" i="50" s="1"/>
  <c r="V606" i="37"/>
  <c r="I151" i="42"/>
  <c r="L30" i="42"/>
  <c r="K30" i="42"/>
  <c r="V638" i="37"/>
  <c r="J638" i="37"/>
  <c r="J823" i="50" s="1"/>
  <c r="K771" i="50" s="1"/>
  <c r="W599" i="37"/>
  <c r="J803" i="37"/>
  <c r="J824" i="50" s="1"/>
  <c r="K772" i="50" s="1"/>
  <c r="AC661" i="37"/>
  <c r="AB660" i="37"/>
  <c r="AC380" i="37"/>
  <c r="AB379" i="37"/>
  <c r="AA379" i="37" s="1"/>
  <c r="Z379" i="37" s="1"/>
  <c r="K700" i="42"/>
  <c r="W701" i="42" s="1"/>
  <c r="L700" i="42"/>
  <c r="X701" i="42" s="1"/>
  <c r="J700" i="42"/>
  <c r="V701" i="42" s="1"/>
  <c r="J701" i="42" s="1"/>
  <c r="T748" i="42"/>
  <c r="AD773" i="42" s="1"/>
  <c r="AD789" i="42" s="1"/>
  <c r="V700" i="42"/>
  <c r="W234" i="37"/>
  <c r="K234" i="37" s="1"/>
  <c r="W235" i="37" s="1"/>
  <c r="K235" i="37" s="1"/>
  <c r="U566" i="42"/>
  <c r="U576" i="42" s="1"/>
  <c r="Y566" i="42"/>
  <c r="Y576" i="42" s="1"/>
  <c r="Z566" i="42"/>
  <c r="Z576" i="42" s="1"/>
  <c r="T566" i="42"/>
  <c r="T576" i="42" s="1"/>
  <c r="X566" i="42"/>
  <c r="X576" i="42" s="1"/>
  <c r="V566" i="42"/>
  <c r="V576" i="42" s="1"/>
  <c r="W566" i="42"/>
  <c r="W576" i="42" s="1"/>
  <c r="U789" i="42"/>
  <c r="U799" i="42" s="1"/>
  <c r="Y789" i="42"/>
  <c r="Y799" i="42" s="1"/>
  <c r="Z789" i="42"/>
  <c r="Z799" i="42" s="1"/>
  <c r="T789" i="42"/>
  <c r="T799" i="42" s="1"/>
  <c r="X789" i="42"/>
  <c r="X799" i="42" s="1"/>
  <c r="V789" i="42"/>
  <c r="V799" i="42" s="1"/>
  <c r="W789" i="42"/>
  <c r="W799" i="42" s="1"/>
  <c r="AC329" i="42"/>
  <c r="AC345" i="42" s="1"/>
  <c r="H345" i="42" s="1"/>
  <c r="AL321" i="42"/>
  <c r="I353" i="42"/>
  <c r="I354" i="42" s="1"/>
  <c r="K353" i="42"/>
  <c r="K354" i="42" s="1"/>
  <c r="AC327" i="42"/>
  <c r="AC343" i="42" s="1"/>
  <c r="H343" i="42" s="1"/>
  <c r="J353" i="42"/>
  <c r="J354" i="42" s="1"/>
  <c r="AA97" i="37"/>
  <c r="Z97" i="37" s="1"/>
  <c r="AC99" i="37"/>
  <c r="AB98" i="37"/>
  <c r="AA98" i="37" s="1"/>
  <c r="Z98" i="37" s="1"/>
  <c r="T1140" i="42" l="1"/>
  <c r="J1199" i="42"/>
  <c r="J1094" i="42"/>
  <c r="V1095" i="42" s="1"/>
  <c r="J1095" i="42" s="1"/>
  <c r="K1095" i="42" s="1"/>
  <c r="L1095" i="42" s="1"/>
  <c r="M1095" i="42" s="1"/>
  <c r="N1095" i="42" s="1"/>
  <c r="V1094" i="42"/>
  <c r="J2154" i="50" s="1"/>
  <c r="AB1223" i="37"/>
  <c r="AA1223" i="37" s="1"/>
  <c r="Z1223" i="37" s="1"/>
  <c r="AC1224" i="37"/>
  <c r="K1026" i="50"/>
  <c r="J1080" i="50"/>
  <c r="K1028" i="50" s="1"/>
  <c r="J75" i="37"/>
  <c r="W69" i="37" s="1"/>
  <c r="X1817" i="42"/>
  <c r="AB942" i="37"/>
  <c r="AA942" i="37" s="1"/>
  <c r="Z942" i="37" s="1"/>
  <c r="AC943" i="37"/>
  <c r="J952" i="50"/>
  <c r="K900" i="50" s="1"/>
  <c r="AA941" i="37"/>
  <c r="Z941" i="37" s="1"/>
  <c r="K898" i="50"/>
  <c r="I789" i="42"/>
  <c r="I799" i="42" s="1"/>
  <c r="I800" i="42" s="1"/>
  <c r="W1817" i="42"/>
  <c r="N1817" i="42"/>
  <c r="N2372" i="50" s="1"/>
  <c r="Z1817" i="42"/>
  <c r="M1817" i="42"/>
  <c r="M2372" i="50" s="1"/>
  <c r="Y1817" i="42"/>
  <c r="K770" i="50"/>
  <c r="K775" i="50" s="1"/>
  <c r="J827" i="50"/>
  <c r="K599" i="37"/>
  <c r="W600" i="37" s="1"/>
  <c r="K600" i="37" s="1"/>
  <c r="J2372" i="50"/>
  <c r="V1818" i="42"/>
  <c r="J2373" i="50" s="1"/>
  <c r="V1817" i="42"/>
  <c r="M1801" i="50"/>
  <c r="Y30" i="42"/>
  <c r="N1801" i="50"/>
  <c r="Z30" i="42"/>
  <c r="AB327" i="42"/>
  <c r="AB343" i="42" s="1"/>
  <c r="G343" i="42" s="1"/>
  <c r="K701" i="42"/>
  <c r="L701" i="42" s="1"/>
  <c r="M701" i="42" s="1"/>
  <c r="N701" i="42" s="1"/>
  <c r="N808" i="42" s="1"/>
  <c r="J2275" i="50"/>
  <c r="J2283" i="50"/>
  <c r="J2284" i="50" s="1"/>
  <c r="J2285" i="50" s="1"/>
  <c r="J2286" i="50" s="1"/>
  <c r="L585" i="42"/>
  <c r="L586" i="42" s="1"/>
  <c r="J585" i="42"/>
  <c r="J586" i="42" s="1"/>
  <c r="J1950" i="50" s="1"/>
  <c r="N585" i="42"/>
  <c r="N587" i="42" s="1"/>
  <c r="K585" i="42"/>
  <c r="J808" i="42"/>
  <c r="M585" i="42"/>
  <c r="AL311" i="42"/>
  <c r="V30" i="42"/>
  <c r="V31" i="42" s="1"/>
  <c r="J1802" i="50" s="1"/>
  <c r="K1801" i="50"/>
  <c r="W30" i="42"/>
  <c r="L1801" i="50"/>
  <c r="X30" i="42"/>
  <c r="K549" i="50"/>
  <c r="K556" i="50"/>
  <c r="K514" i="50"/>
  <c r="AA660" i="37"/>
  <c r="Z660" i="37" s="1"/>
  <c r="AC662" i="37"/>
  <c r="AB661" i="37"/>
  <c r="AA661" i="37" s="1"/>
  <c r="Z661" i="37" s="1"/>
  <c r="AC381" i="37"/>
  <c r="AB380" i="37"/>
  <c r="AA380" i="37" s="1"/>
  <c r="Z380" i="37" s="1"/>
  <c r="AB328" i="42"/>
  <c r="AB344" i="42" s="1"/>
  <c r="H353" i="42"/>
  <c r="H354" i="42" s="1"/>
  <c r="S345" i="42"/>
  <c r="W37" i="37"/>
  <c r="AB99" i="37"/>
  <c r="AA99" i="37" s="1"/>
  <c r="Z99" i="37" s="1"/>
  <c r="AC100" i="37"/>
  <c r="AD1147" i="42" l="1"/>
  <c r="AD1165" i="42" s="1"/>
  <c r="AD1181" i="42" s="1"/>
  <c r="I1181" i="42" s="1"/>
  <c r="AC1147" i="42"/>
  <c r="J1083" i="50"/>
  <c r="U1083" i="50" s="1"/>
  <c r="K1031" i="50"/>
  <c r="AC1225" i="37"/>
  <c r="AB1225" i="37" s="1"/>
  <c r="AB1224" i="37"/>
  <c r="AA1224" i="37" s="1"/>
  <c r="Z1224" i="37" s="1"/>
  <c r="V1083" i="50"/>
  <c r="J76" i="37"/>
  <c r="J567" i="50" s="1"/>
  <c r="K515" i="50" s="1"/>
  <c r="J955" i="50"/>
  <c r="V955" i="50" s="1"/>
  <c r="K903" i="50"/>
  <c r="AB943" i="37"/>
  <c r="AA943" i="37" s="1"/>
  <c r="Z943" i="37" s="1"/>
  <c r="AC944" i="37"/>
  <c r="AB944" i="37" s="1"/>
  <c r="S344" i="42"/>
  <c r="G344" i="42"/>
  <c r="AL344" i="42" s="1"/>
  <c r="J1818" i="42"/>
  <c r="V1819" i="42" s="1"/>
  <c r="J1819" i="42" s="1"/>
  <c r="J2371" i="50" s="1"/>
  <c r="K810" i="50"/>
  <c r="M808" i="42"/>
  <c r="M809" i="42" s="1"/>
  <c r="Y809" i="42" s="1"/>
  <c r="N138" i="42"/>
  <c r="N31" i="42"/>
  <c r="Z32" i="42" s="1"/>
  <c r="M138" i="42"/>
  <c r="M31" i="42"/>
  <c r="Y32" i="42" s="1"/>
  <c r="L808" i="42"/>
  <c r="L809" i="42" s="1"/>
  <c r="K808" i="42"/>
  <c r="K809" i="42" s="1"/>
  <c r="K524" i="50"/>
  <c r="Z587" i="42"/>
  <c r="N1951" i="50" s="1"/>
  <c r="K586" i="42"/>
  <c r="K1950" i="50" s="1"/>
  <c r="N809" i="42"/>
  <c r="N586" i="42"/>
  <c r="N1950" i="50" s="1"/>
  <c r="J809" i="42"/>
  <c r="V809" i="42" s="1"/>
  <c r="M587" i="42"/>
  <c r="M586" i="42"/>
  <c r="M1950" i="50" s="1"/>
  <c r="J138" i="42"/>
  <c r="J31" i="42"/>
  <c r="V32" i="42" s="1"/>
  <c r="J32" i="42" s="1"/>
  <c r="L31" i="42"/>
  <c r="X32" i="42" s="1"/>
  <c r="L138" i="42"/>
  <c r="K31" i="42"/>
  <c r="W32" i="42" s="1"/>
  <c r="K138" i="42"/>
  <c r="T79" i="42"/>
  <c r="AB662" i="37"/>
  <c r="AA662" i="37" s="1"/>
  <c r="Z662" i="37" s="1"/>
  <c r="AC663" i="37"/>
  <c r="AB663" i="37" s="1"/>
  <c r="AC382" i="37"/>
  <c r="AB382" i="37" s="1"/>
  <c r="AB381" i="37"/>
  <c r="AA381" i="37" s="1"/>
  <c r="Z381" i="37" s="1"/>
  <c r="X1373" i="42"/>
  <c r="L2217" i="50" s="1"/>
  <c r="V587" i="42"/>
  <c r="J1951" i="50" s="1"/>
  <c r="Z586" i="42"/>
  <c r="Z588" i="42"/>
  <c r="Y588" i="42"/>
  <c r="Y586" i="42"/>
  <c r="Y587" i="42"/>
  <c r="M1951" i="50" s="1"/>
  <c r="Z809" i="42"/>
  <c r="V586" i="42"/>
  <c r="J587" i="42" s="1"/>
  <c r="L1950" i="50"/>
  <c r="S343" i="42"/>
  <c r="AL343" i="42"/>
  <c r="AL345" i="42"/>
  <c r="W344" i="42"/>
  <c r="Y344" i="42"/>
  <c r="Z344" i="42"/>
  <c r="U344" i="42"/>
  <c r="X344" i="42"/>
  <c r="T344" i="42"/>
  <c r="V344" i="42"/>
  <c r="Y345" i="42"/>
  <c r="X345" i="42"/>
  <c r="T345" i="42"/>
  <c r="V345" i="42"/>
  <c r="U345" i="42"/>
  <c r="Z345" i="42"/>
  <c r="W345" i="42"/>
  <c r="K37" i="37"/>
  <c r="W38" i="37" s="1"/>
  <c r="K38" i="37" s="1"/>
  <c r="AB100" i="37"/>
  <c r="AA100" i="37" s="1"/>
  <c r="Z100" i="37" s="1"/>
  <c r="AC101" i="37"/>
  <c r="AB101" i="37" s="1"/>
  <c r="AB1147" i="42" l="1"/>
  <c r="AC1165" i="42"/>
  <c r="AC1181" i="42" s="1"/>
  <c r="H1181" i="42" s="1"/>
  <c r="I1191" i="42"/>
  <c r="I1192" i="42" s="1"/>
  <c r="U1181" i="42"/>
  <c r="U1191" i="42" s="1"/>
  <c r="K1200" i="42" s="1"/>
  <c r="AA1225" i="37"/>
  <c r="Z1225" i="37" s="1"/>
  <c r="AB1226" i="37"/>
  <c r="G353" i="42"/>
  <c r="G354" i="42" s="1"/>
  <c r="U955" i="50"/>
  <c r="AA944" i="37"/>
  <c r="Z944" i="37" s="1"/>
  <c r="AB945" i="37"/>
  <c r="J2379" i="50"/>
  <c r="J2380" i="50" s="1"/>
  <c r="J2381" i="50" s="1"/>
  <c r="J2382" i="50" s="1"/>
  <c r="AE87" i="42"/>
  <c r="AE105" i="42" s="1"/>
  <c r="AE121" i="42" s="1"/>
  <c r="J121" i="42" s="1"/>
  <c r="AH86" i="42"/>
  <c r="AH104" i="42" s="1"/>
  <c r="AH120" i="42" s="1"/>
  <c r="M120" i="42" s="1"/>
  <c r="AI87" i="42"/>
  <c r="AI105" i="42" s="1"/>
  <c r="AI121" i="42" s="1"/>
  <c r="N121" i="42" s="1"/>
  <c r="AH87" i="42"/>
  <c r="AH105" i="42" s="1"/>
  <c r="AH121" i="42" s="1"/>
  <c r="M121" i="42" s="1"/>
  <c r="AG87" i="42"/>
  <c r="AG105" i="42" s="1"/>
  <c r="AG121" i="42" s="1"/>
  <c r="L121" i="42" s="1"/>
  <c r="AI88" i="42"/>
  <c r="AI106" i="42" s="1"/>
  <c r="AI122" i="42" s="1"/>
  <c r="N122" i="42" s="1"/>
  <c r="AI86" i="42"/>
  <c r="AI104" i="42" s="1"/>
  <c r="AI120" i="42" s="1"/>
  <c r="N120" i="42" s="1"/>
  <c r="AG86" i="42"/>
  <c r="AG104" i="42" s="1"/>
  <c r="AG120" i="42" s="1"/>
  <c r="L120" i="42" s="1"/>
  <c r="AH88" i="42"/>
  <c r="AH106" i="42" s="1"/>
  <c r="AH122" i="42" s="1"/>
  <c r="M122" i="42" s="1"/>
  <c r="AG88" i="42"/>
  <c r="AG106" i="42" s="1"/>
  <c r="AG122" i="42" s="1"/>
  <c r="L122" i="42" s="1"/>
  <c r="K32" i="42"/>
  <c r="L32" i="42" s="1"/>
  <c r="M32" i="42" s="1"/>
  <c r="N32" i="42" s="1"/>
  <c r="V588" i="42"/>
  <c r="J588" i="42" s="1"/>
  <c r="J1949" i="50" s="1"/>
  <c r="V810" i="42"/>
  <c r="J810" i="42" s="1"/>
  <c r="V811" i="42" s="1"/>
  <c r="AF88" i="42"/>
  <c r="AF106" i="42" s="1"/>
  <c r="AF122" i="42" s="1"/>
  <c r="K122" i="42" s="1"/>
  <c r="G98" i="42"/>
  <c r="AD86" i="42"/>
  <c r="AD104" i="42" s="1"/>
  <c r="AD120" i="42" s="1"/>
  <c r="I120" i="42" s="1"/>
  <c r="I98" i="42"/>
  <c r="AC86" i="42"/>
  <c r="AC104" i="42" s="1"/>
  <c r="AC120" i="42" s="1"/>
  <c r="H120" i="42" s="1"/>
  <c r="AC88" i="42"/>
  <c r="AC106" i="42" s="1"/>
  <c r="AC122" i="42" s="1"/>
  <c r="H122" i="42" s="1"/>
  <c r="J98" i="42"/>
  <c r="AE88" i="42"/>
  <c r="AE106" i="42" s="1"/>
  <c r="AE122" i="42" s="1"/>
  <c r="J122" i="42" s="1"/>
  <c r="AF87" i="42"/>
  <c r="AF105" i="42" s="1"/>
  <c r="AF121" i="42" s="1"/>
  <c r="K121" i="42" s="1"/>
  <c r="H98" i="42"/>
  <c r="AC87" i="42"/>
  <c r="AC105" i="42" s="1"/>
  <c r="AC121" i="42" s="1"/>
  <c r="H121" i="42" s="1"/>
  <c r="AF86" i="42"/>
  <c r="AF104" i="42" s="1"/>
  <c r="AF120" i="42" s="1"/>
  <c r="K120" i="42" s="1"/>
  <c r="AD88" i="42"/>
  <c r="AD106" i="42" s="1"/>
  <c r="AD122" i="42" s="1"/>
  <c r="I122" i="42" s="1"/>
  <c r="K98" i="42"/>
  <c r="AE86" i="42"/>
  <c r="AE104" i="42" s="1"/>
  <c r="AE120" i="42" s="1"/>
  <c r="J120" i="42" s="1"/>
  <c r="AD87" i="42"/>
  <c r="AD105" i="42" s="1"/>
  <c r="AD121" i="42" s="1"/>
  <c r="I121" i="42" s="1"/>
  <c r="K554" i="50"/>
  <c r="K525" i="50"/>
  <c r="AA663" i="37"/>
  <c r="Z663" i="37" s="1"/>
  <c r="AB664" i="37"/>
  <c r="AA382" i="37"/>
  <c r="Z382" i="37" s="1"/>
  <c r="AB383" i="37"/>
  <c r="K1846" i="50"/>
  <c r="I1833" i="50"/>
  <c r="N1850" i="50"/>
  <c r="L1834" i="50"/>
  <c r="K1849" i="50"/>
  <c r="I1837" i="50"/>
  <c r="M1847" i="50"/>
  <c r="L1832" i="50"/>
  <c r="I1838" i="50"/>
  <c r="N1842" i="50"/>
  <c r="L1851" i="50"/>
  <c r="M1848" i="50"/>
  <c r="K1834" i="50"/>
  <c r="K1837" i="50"/>
  <c r="I1845" i="50"/>
  <c r="I1848" i="50"/>
  <c r="H1831" i="50"/>
  <c r="N1834" i="50"/>
  <c r="N1835" i="50"/>
  <c r="N1825" i="50"/>
  <c r="N1848" i="50"/>
  <c r="J1842" i="50"/>
  <c r="H1843" i="50"/>
  <c r="L1845" i="50"/>
  <c r="K1825" i="50"/>
  <c r="H1845" i="50"/>
  <c r="K1831" i="50"/>
  <c r="L1844" i="50"/>
  <c r="J1835" i="50"/>
  <c r="J1846" i="50"/>
  <c r="M1825" i="50"/>
  <c r="N1851" i="50"/>
  <c r="J1844" i="50"/>
  <c r="J1830" i="50"/>
  <c r="J249" i="50" s="1"/>
  <c r="H1830" i="50"/>
  <c r="H249" i="50" s="1"/>
  <c r="H1834" i="50"/>
  <c r="L1835" i="50"/>
  <c r="N354" i="41"/>
  <c r="J353" i="41"/>
  <c r="J354" i="41"/>
  <c r="M353" i="41"/>
  <c r="J351" i="41"/>
  <c r="J435" i="50" s="1"/>
  <c r="N350" i="41"/>
  <c r="K355" i="41"/>
  <c r="K437" i="50" s="1"/>
  <c r="H352" i="41"/>
  <c r="H436" i="50" s="1"/>
  <c r="I355" i="41"/>
  <c r="I437" i="50" s="1"/>
  <c r="L351" i="41"/>
  <c r="L435" i="50" s="1"/>
  <c r="J350" i="41"/>
  <c r="L350" i="41"/>
  <c r="I356" i="41"/>
  <c r="I438" i="50" s="1"/>
  <c r="J352" i="41"/>
  <c r="J436" i="50" s="1"/>
  <c r="H351" i="41"/>
  <c r="H435" i="50" s="1"/>
  <c r="I352" i="41"/>
  <c r="I436" i="50" s="1"/>
  <c r="J355" i="41"/>
  <c r="J437" i="50" s="1"/>
  <c r="M356" i="41"/>
  <c r="M438" i="50" s="1"/>
  <c r="H354" i="41"/>
  <c r="H353" i="41"/>
  <c r="N356" i="41"/>
  <c r="N438" i="50" s="1"/>
  <c r="J356" i="41"/>
  <c r="J438" i="50" s="1"/>
  <c r="L356" i="41"/>
  <c r="L438" i="50" s="1"/>
  <c r="M355" i="41"/>
  <c r="M437" i="50" s="1"/>
  <c r="N351" i="41"/>
  <c r="N435" i="50" s="1"/>
  <c r="N355" i="41"/>
  <c r="N437" i="50" s="1"/>
  <c r="N1831" i="50"/>
  <c r="H1838" i="50"/>
  <c r="M1843" i="50"/>
  <c r="L1833" i="50"/>
  <c r="H1847" i="50"/>
  <c r="J1840" i="50"/>
  <c r="N1836" i="50"/>
  <c r="H1844" i="50"/>
  <c r="N1843" i="50"/>
  <c r="K1851" i="50"/>
  <c r="I1847" i="50"/>
  <c r="I1850" i="50"/>
  <c r="M1834" i="50"/>
  <c r="H356" i="41"/>
  <c r="H438" i="50" s="1"/>
  <c r="J1831" i="50"/>
  <c r="I1851" i="50"/>
  <c r="I1835" i="50"/>
  <c r="L1837" i="50"/>
  <c r="L1842" i="50"/>
  <c r="N1849" i="50"/>
  <c r="M1849" i="50"/>
  <c r="N1837" i="50"/>
  <c r="M1837" i="50"/>
  <c r="I1849" i="50"/>
  <c r="I1830" i="50"/>
  <c r="I249" i="50" s="1"/>
  <c r="I1844" i="50"/>
  <c r="N1833" i="50"/>
  <c r="L1830" i="50"/>
  <c r="L249" i="50" s="1"/>
  <c r="I1825" i="50"/>
  <c r="H1835" i="50"/>
  <c r="N1844" i="50"/>
  <c r="M1836" i="50"/>
  <c r="J1834" i="50"/>
  <c r="M1844" i="50"/>
  <c r="J1847" i="50"/>
  <c r="M1845" i="50"/>
  <c r="L1846" i="50"/>
  <c r="L1850" i="50"/>
  <c r="H1850" i="50"/>
  <c r="L1825" i="50"/>
  <c r="L1840" i="50"/>
  <c r="N1846" i="50"/>
  <c r="I1831" i="50"/>
  <c r="J1849" i="50"/>
  <c r="M1832" i="50"/>
  <c r="M1846" i="50"/>
  <c r="I1832" i="50"/>
  <c r="K1832" i="50"/>
  <c r="N1832" i="50"/>
  <c r="K1835" i="50"/>
  <c r="L354" i="41"/>
  <c r="L353" i="41"/>
  <c r="I354" i="41"/>
  <c r="H355" i="41"/>
  <c r="H437" i="50" s="1"/>
  <c r="I351" i="41"/>
  <c r="I435" i="50" s="1"/>
  <c r="N352" i="41"/>
  <c r="N436" i="50" s="1"/>
  <c r="K1840" i="50"/>
  <c r="K1836" i="50"/>
  <c r="H1825" i="50"/>
  <c r="L1836" i="50"/>
  <c r="N1840" i="50"/>
  <c r="L1831" i="50"/>
  <c r="M1840" i="50"/>
  <c r="M1830" i="50"/>
  <c r="M249" i="50" s="1"/>
  <c r="H1840" i="50"/>
  <c r="H1851" i="50"/>
  <c r="M1833" i="50"/>
  <c r="H1832" i="50"/>
  <c r="M351" i="41"/>
  <c r="M435" i="50" s="1"/>
  <c r="J1836" i="50"/>
  <c r="J1825" i="50"/>
  <c r="J1838" i="50"/>
  <c r="J1850" i="50"/>
  <c r="L1838" i="50"/>
  <c r="I1836" i="50"/>
  <c r="J1843" i="50"/>
  <c r="M1850" i="50"/>
  <c r="I1843" i="50"/>
  <c r="M1835" i="50"/>
  <c r="M1838" i="50"/>
  <c r="K1830" i="50"/>
  <c r="K249" i="50" s="1"/>
  <c r="H1833" i="50"/>
  <c r="K1845" i="50"/>
  <c r="I1840" i="50"/>
  <c r="K1842" i="50"/>
  <c r="H1848" i="50"/>
  <c r="H1849" i="50"/>
  <c r="N1845" i="50"/>
  <c r="H1837" i="50"/>
  <c r="N353" i="41"/>
  <c r="N1830" i="50"/>
  <c r="N249" i="50" s="1"/>
  <c r="M1831" i="50"/>
  <c r="J1832" i="50"/>
  <c r="M1842" i="50"/>
  <c r="L1849" i="50"/>
  <c r="M1851" i="50"/>
  <c r="K1844" i="50"/>
  <c r="K1850" i="50"/>
  <c r="K1843" i="50"/>
  <c r="J1833" i="50"/>
  <c r="N1847" i="50"/>
  <c r="J1845" i="50"/>
  <c r="I1846" i="50"/>
  <c r="K1847" i="50"/>
  <c r="L1843" i="50"/>
  <c r="K1838" i="50"/>
  <c r="I1834" i="50"/>
  <c r="I353" i="41"/>
  <c r="M352" i="41"/>
  <c r="M436" i="50" s="1"/>
  <c r="M350" i="41"/>
  <c r="H350" i="41"/>
  <c r="J1848" i="50"/>
  <c r="H1842" i="50"/>
  <c r="J1837" i="50"/>
  <c r="L1847" i="50"/>
  <c r="H1846" i="50"/>
  <c r="H1836" i="50"/>
  <c r="L1848" i="50"/>
  <c r="K1848" i="50"/>
  <c r="J1851" i="50"/>
  <c r="K1833" i="50"/>
  <c r="I1842" i="50"/>
  <c r="N1838" i="50"/>
  <c r="K353" i="41"/>
  <c r="K354" i="41"/>
  <c r="M354" i="41"/>
  <c r="L355" i="41"/>
  <c r="L437" i="50" s="1"/>
  <c r="K351" i="41"/>
  <c r="K435" i="50" s="1"/>
  <c r="K356" i="41"/>
  <c r="K438" i="50" s="1"/>
  <c r="L352" i="41"/>
  <c r="L436" i="50" s="1"/>
  <c r="I350" i="41"/>
  <c r="K350" i="41"/>
  <c r="K352" i="41"/>
  <c r="K436" i="50" s="1"/>
  <c r="J2019" i="50"/>
  <c r="S1819" i="50"/>
  <c r="I1811" i="50" s="1"/>
  <c r="N2019" i="50"/>
  <c r="L2019" i="50"/>
  <c r="M2019" i="50"/>
  <c r="K2019" i="50"/>
  <c r="L2020" i="50"/>
  <c r="K2020" i="50"/>
  <c r="M2020" i="50"/>
  <c r="N2020" i="50"/>
  <c r="J2020" i="50"/>
  <c r="J2021" i="50"/>
  <c r="J1378" i="42"/>
  <c r="J1823" i="42"/>
  <c r="J1547" i="42"/>
  <c r="J1036" i="42"/>
  <c r="M2023" i="50"/>
  <c r="L2023" i="50"/>
  <c r="K2023" i="50"/>
  <c r="N2023" i="50"/>
  <c r="X586" i="42"/>
  <c r="W586" i="42"/>
  <c r="W809" i="42"/>
  <c r="X809" i="42"/>
  <c r="X343" i="42"/>
  <c r="X353" i="42" s="1"/>
  <c r="Y343" i="42"/>
  <c r="Y353" i="42" s="1"/>
  <c r="T343" i="42"/>
  <c r="T353" i="42" s="1"/>
  <c r="V343" i="42"/>
  <c r="V353" i="42" s="1"/>
  <c r="W343" i="42"/>
  <c r="W353" i="42" s="1"/>
  <c r="Z343" i="42"/>
  <c r="Z353" i="42" s="1"/>
  <c r="U343" i="42"/>
  <c r="U353" i="42" s="1"/>
  <c r="AA101" i="37"/>
  <c r="Z101" i="37" s="1"/>
  <c r="AB102" i="37"/>
  <c r="T1181" i="42" l="1"/>
  <c r="T1191" i="42" s="1"/>
  <c r="J1200" i="42" s="1"/>
  <c r="V1203" i="42" s="1"/>
  <c r="J1203" i="42" s="1"/>
  <c r="H1191" i="42"/>
  <c r="H1192" i="42" s="1"/>
  <c r="K1201" i="42"/>
  <c r="K2156" i="50" s="1"/>
  <c r="K1202" i="42"/>
  <c r="W1201" i="42"/>
  <c r="AB1165" i="42"/>
  <c r="AB1181" i="42" s="1"/>
  <c r="AL1147" i="42"/>
  <c r="M130" i="42"/>
  <c r="M131" i="42" s="1"/>
  <c r="L130" i="42"/>
  <c r="L131" i="42" s="1"/>
  <c r="N130" i="42"/>
  <c r="N131" i="42" s="1"/>
  <c r="J1957" i="50"/>
  <c r="J1958" i="50" s="1"/>
  <c r="J1959" i="50" s="1"/>
  <c r="J1960" i="50" s="1"/>
  <c r="J130" i="42"/>
  <c r="J131" i="42" s="1"/>
  <c r="J2024" i="50"/>
  <c r="M362" i="42"/>
  <c r="M363" i="42" s="1"/>
  <c r="N362" i="42"/>
  <c r="N364" i="42" s="1"/>
  <c r="J811" i="42"/>
  <c r="J2022" i="50" s="1"/>
  <c r="K362" i="42"/>
  <c r="K363" i="42" s="1"/>
  <c r="J362" i="42"/>
  <c r="J363" i="42" s="1"/>
  <c r="L362" i="42"/>
  <c r="I130" i="42"/>
  <c r="I131" i="42" s="1"/>
  <c r="AB86" i="42"/>
  <c r="AL86" i="42" s="1"/>
  <c r="K130" i="42"/>
  <c r="K131" i="42" s="1"/>
  <c r="AL98" i="42"/>
  <c r="AB88" i="42"/>
  <c r="AB87" i="42"/>
  <c r="AB105" i="42" s="1"/>
  <c r="AB121" i="42" s="1"/>
  <c r="G121" i="42" s="1"/>
  <c r="H130" i="42"/>
  <c r="H131" i="42" s="1"/>
  <c r="K1378" i="42"/>
  <c r="K1382" i="42" s="1"/>
  <c r="L1378" i="42"/>
  <c r="L1382" i="42" s="1"/>
  <c r="L2218" i="50" s="1"/>
  <c r="J2023" i="50"/>
  <c r="J592" i="42"/>
  <c r="J434" i="50"/>
  <c r="J357" i="41"/>
  <c r="J439" i="50" s="1"/>
  <c r="V1041" i="42"/>
  <c r="J1040" i="42"/>
  <c r="W1031" i="42" s="1"/>
  <c r="K357" i="41"/>
  <c r="K439" i="50" s="1"/>
  <c r="K434" i="50"/>
  <c r="N434" i="50"/>
  <c r="N357" i="41"/>
  <c r="N439" i="50" s="1"/>
  <c r="V1828" i="42"/>
  <c r="J1827" i="42"/>
  <c r="I1819" i="50"/>
  <c r="I1820" i="50" s="1"/>
  <c r="I434" i="50"/>
  <c r="I357" i="41"/>
  <c r="I439" i="50" s="1"/>
  <c r="H357" i="41"/>
  <c r="H439" i="50" s="1"/>
  <c r="H434" i="50"/>
  <c r="V1552" i="42"/>
  <c r="J1551" i="42"/>
  <c r="J1382" i="42"/>
  <c r="V1383" i="42"/>
  <c r="M434" i="50"/>
  <c r="M357" i="41"/>
  <c r="M439" i="50" s="1"/>
  <c r="L434" i="50"/>
  <c r="L357" i="41"/>
  <c r="L439" i="50" s="1"/>
  <c r="G1181" i="42" l="1"/>
  <c r="G1191" i="42" s="1"/>
  <c r="G1192" i="42" s="1"/>
  <c r="J1201" i="42"/>
  <c r="J2156" i="50" s="1"/>
  <c r="J2163" i="50"/>
  <c r="J2164" i="50" s="1"/>
  <c r="J2165" i="50" s="1"/>
  <c r="J2166" i="50" s="1"/>
  <c r="J2155" i="50"/>
  <c r="S121" i="42"/>
  <c r="N363" i="42"/>
  <c r="N1877" i="50" s="1"/>
  <c r="Y363" i="42"/>
  <c r="AB104" i="42"/>
  <c r="AB120" i="42" s="1"/>
  <c r="G120" i="42" s="1"/>
  <c r="J2374" i="50"/>
  <c r="W1818" i="42"/>
  <c r="J1828" i="42"/>
  <c r="J2387" i="50" s="1"/>
  <c r="J2388" i="50" s="1"/>
  <c r="W1712" i="42"/>
  <c r="K2370" i="50" s="1"/>
  <c r="M364" i="42"/>
  <c r="J2030" i="50"/>
  <c r="J2031" i="50" s="1"/>
  <c r="J2032" i="50" s="1"/>
  <c r="J2033" i="50" s="1"/>
  <c r="J2278" i="50"/>
  <c r="W1436" i="42"/>
  <c r="K2274" i="50" s="1"/>
  <c r="J1552" i="42"/>
  <c r="J2291" i="50" s="1"/>
  <c r="J2292" i="50" s="1"/>
  <c r="W1542" i="42"/>
  <c r="K2097" i="50"/>
  <c r="K1031" i="42"/>
  <c r="W1032" i="42" s="1"/>
  <c r="K1032" i="42" s="1"/>
  <c r="L363" i="42"/>
  <c r="L1877" i="50" s="1"/>
  <c r="AL87" i="42"/>
  <c r="AB106" i="42"/>
  <c r="AB122" i="42" s="1"/>
  <c r="G122" i="42" s="1"/>
  <c r="AL88" i="42"/>
  <c r="J2098" i="50"/>
  <c r="J1041" i="42"/>
  <c r="J2111" i="50" s="1"/>
  <c r="W923" i="42"/>
  <c r="K2094" i="50" s="1"/>
  <c r="K2218" i="50"/>
  <c r="K1383" i="42"/>
  <c r="K2231" i="50" s="1"/>
  <c r="X1265" i="42"/>
  <c r="L2214" i="50" s="1"/>
  <c r="J2218" i="50"/>
  <c r="W1265" i="42"/>
  <c r="K2214" i="50" s="1"/>
  <c r="J1383" i="42"/>
  <c r="J2231" i="50" s="1"/>
  <c r="AL121" i="42"/>
  <c r="U121" i="42"/>
  <c r="W121" i="42"/>
  <c r="X121" i="42"/>
  <c r="T121" i="42"/>
  <c r="Y121" i="42"/>
  <c r="V121" i="42"/>
  <c r="Z121" i="42"/>
  <c r="G1788" i="50"/>
  <c r="I1812" i="50"/>
  <c r="J1796" i="50"/>
  <c r="J1797" i="50" s="1"/>
  <c r="W1383" i="42"/>
  <c r="X1383" i="42" s="1"/>
  <c r="Y365" i="42"/>
  <c r="M1877" i="50"/>
  <c r="J596" i="42"/>
  <c r="V597" i="42"/>
  <c r="Y364" i="42"/>
  <c r="M1878" i="50" s="1"/>
  <c r="L1383" i="42"/>
  <c r="L2231" i="50" s="1"/>
  <c r="X363" i="42"/>
  <c r="K1877" i="50"/>
  <c r="J1877" i="50"/>
  <c r="Z365" i="42"/>
  <c r="Z363" i="42"/>
  <c r="Z364" i="42"/>
  <c r="N1878" i="50" s="1"/>
  <c r="V1202" i="42" l="1"/>
  <c r="J2157" i="50" s="1"/>
  <c r="V1201" i="42"/>
  <c r="AL1181" i="42"/>
  <c r="S122" i="42"/>
  <c r="Y122" i="42" s="1"/>
  <c r="S120" i="42"/>
  <c r="G130" i="42"/>
  <c r="G131" i="42" s="1"/>
  <c r="K2373" i="50"/>
  <c r="K1818" i="42"/>
  <c r="W1819" i="42" s="1"/>
  <c r="K1819" i="42" s="1"/>
  <c r="Y120" i="42"/>
  <c r="Z120" i="42"/>
  <c r="W120" i="42"/>
  <c r="V120" i="42"/>
  <c r="X120" i="42"/>
  <c r="AL120" i="42"/>
  <c r="T120" i="42"/>
  <c r="K2364" i="50"/>
  <c r="K2365" i="50" s="1"/>
  <c r="K2277" i="50"/>
  <c r="K1542" i="42"/>
  <c r="W1543" i="42" s="1"/>
  <c r="K1543" i="42" s="1"/>
  <c r="K2268" i="50"/>
  <c r="K2269" i="50" s="1"/>
  <c r="K2095" i="50"/>
  <c r="K2103" i="50"/>
  <c r="K2104" i="50" s="1"/>
  <c r="W122" i="42"/>
  <c r="X122" i="42"/>
  <c r="T122" i="42"/>
  <c r="AL122" i="42"/>
  <c r="Z122" i="42"/>
  <c r="V122" i="42"/>
  <c r="U122" i="42"/>
  <c r="K2088" i="50"/>
  <c r="K2089" i="50" s="1"/>
  <c r="K2208" i="50"/>
  <c r="K2209" i="50" s="1"/>
  <c r="L2208" i="50"/>
  <c r="L2209" i="50" s="1"/>
  <c r="M2208" i="50"/>
  <c r="M2209" i="50" s="1"/>
  <c r="W587" i="42"/>
  <c r="J1952" i="50"/>
  <c r="W477" i="42"/>
  <c r="K1948" i="50" s="1"/>
  <c r="J597" i="42"/>
  <c r="J1965" i="50" s="1"/>
  <c r="K1942" i="50" s="1"/>
  <c r="K1943" i="50" s="1"/>
  <c r="M1378" i="42"/>
  <c r="J1207" i="42"/>
  <c r="J1685" i="42"/>
  <c r="V363" i="42"/>
  <c r="V364" i="42"/>
  <c r="J1878" i="50" s="1"/>
  <c r="W363" i="42"/>
  <c r="I135" i="50" l="1"/>
  <c r="I115" i="50"/>
  <c r="I138" i="50" s="1"/>
  <c r="I2298" i="50"/>
  <c r="U120" i="42"/>
  <c r="U130" i="42" s="1"/>
  <c r="I284" i="49"/>
  <c r="J1202" i="42"/>
  <c r="J1211" i="42" s="1"/>
  <c r="Y130" i="42"/>
  <c r="T130" i="42"/>
  <c r="K2371" i="50"/>
  <c r="K2379" i="50"/>
  <c r="K2380" i="50" s="1"/>
  <c r="K2381" i="50" s="1"/>
  <c r="K2382" i="50" s="1"/>
  <c r="K1823" i="42" s="1"/>
  <c r="W130" i="42"/>
  <c r="Z130" i="42"/>
  <c r="X130" i="42"/>
  <c r="V130" i="42"/>
  <c r="K1951" i="50"/>
  <c r="K587" i="42"/>
  <c r="W588" i="42" s="1"/>
  <c r="K588" i="42" s="1"/>
  <c r="K1957" i="50" s="1"/>
  <c r="K1958" i="50" s="1"/>
  <c r="K1959" i="50" s="1"/>
  <c r="K1960" i="50" s="1"/>
  <c r="K592" i="42" s="1"/>
  <c r="K2105" i="50"/>
  <c r="K2106" i="50" s="1"/>
  <c r="K1036" i="42" s="1"/>
  <c r="K2283" i="50"/>
  <c r="K2284" i="50" s="1"/>
  <c r="K2285" i="50" s="1"/>
  <c r="K2286" i="50" s="1"/>
  <c r="K1547" i="42" s="1"/>
  <c r="K2275" i="50"/>
  <c r="J364" i="42"/>
  <c r="V365" i="42" s="1"/>
  <c r="J365" i="42" s="1"/>
  <c r="I142" i="42"/>
  <c r="V2232" i="50"/>
  <c r="M1382" i="42"/>
  <c r="M2218" i="50" s="1"/>
  <c r="Y1383" i="42"/>
  <c r="V1212" i="42"/>
  <c r="V1690" i="42"/>
  <c r="J1689" i="42"/>
  <c r="J2326" i="50" s="1"/>
  <c r="W1094" i="42"/>
  <c r="K2154" i="50" s="1"/>
  <c r="W1202" i="42"/>
  <c r="K2157" i="50" s="1"/>
  <c r="H135" i="50" l="1"/>
  <c r="H115" i="50"/>
  <c r="H138" i="50" s="1"/>
  <c r="H2298" i="50"/>
  <c r="J2158" i="50"/>
  <c r="J1212" i="42"/>
  <c r="J2171" i="50" s="1"/>
  <c r="K2148" i="50" s="1"/>
  <c r="K2149" i="50" s="1"/>
  <c r="N139" i="42"/>
  <c r="N140" i="42" s="1"/>
  <c r="N1804" i="50" s="1"/>
  <c r="J2433" i="50"/>
  <c r="J2485" i="50" s="1"/>
  <c r="W1828" i="42"/>
  <c r="K1827" i="42"/>
  <c r="K2374" i="50" s="1"/>
  <c r="M139" i="42"/>
  <c r="M140" i="42" s="1"/>
  <c r="M1804" i="50" s="1"/>
  <c r="L139" i="42"/>
  <c r="L140" i="42" s="1"/>
  <c r="L1804" i="50" s="1"/>
  <c r="K1949" i="50"/>
  <c r="K1040" i="42"/>
  <c r="W1041" i="42"/>
  <c r="K1551" i="42"/>
  <c r="W1552" i="42"/>
  <c r="J139" i="42"/>
  <c r="J140" i="42" s="1"/>
  <c r="J1804" i="50" s="1"/>
  <c r="K139" i="42"/>
  <c r="K140" i="42" s="1"/>
  <c r="K1804" i="50" s="1"/>
  <c r="J1884" i="50"/>
  <c r="J1885" i="50" s="1"/>
  <c r="J1886" i="50" s="1"/>
  <c r="J1887" i="50" s="1"/>
  <c r="J1876" i="50"/>
  <c r="K596" i="42"/>
  <c r="K1952" i="50" s="1"/>
  <c r="W597" i="42"/>
  <c r="M1383" i="42"/>
  <c r="M2231" i="50" s="1"/>
  <c r="J1690" i="42"/>
  <c r="J2339" i="50" s="1"/>
  <c r="W1574" i="42"/>
  <c r="K2322" i="50" s="1"/>
  <c r="W1680" i="42"/>
  <c r="K2325" i="50" s="1"/>
  <c r="W1203" i="42"/>
  <c r="K1203" i="42" s="1"/>
  <c r="K597" i="42"/>
  <c r="J369" i="42"/>
  <c r="K2316" i="50" l="1"/>
  <c r="K2317" i="50" s="1"/>
  <c r="J2340" i="50"/>
  <c r="J2172" i="50"/>
  <c r="K2163" i="50"/>
  <c r="K2164" i="50" s="1"/>
  <c r="K2165" i="50" s="1"/>
  <c r="K2166" i="50" s="1"/>
  <c r="K2155" i="50"/>
  <c r="X1712" i="42"/>
  <c r="L2370" i="50" s="1"/>
  <c r="K1828" i="42"/>
  <c r="K2387" i="50" s="1"/>
  <c r="X1818" i="42"/>
  <c r="L2373" i="50" s="1"/>
  <c r="Z140" i="42"/>
  <c r="Y140" i="42"/>
  <c r="X140" i="42"/>
  <c r="X587" i="42"/>
  <c r="L587" i="42" s="1"/>
  <c r="X588" i="42" s="1"/>
  <c r="L588" i="42" s="1"/>
  <c r="M588" i="42" s="1"/>
  <c r="N588" i="42" s="1"/>
  <c r="K2278" i="50"/>
  <c r="X1542" i="42"/>
  <c r="K1552" i="42"/>
  <c r="K2291" i="50" s="1"/>
  <c r="K2292" i="50" s="1"/>
  <c r="X1436" i="42"/>
  <c r="L2274" i="50" s="1"/>
  <c r="K2098" i="50"/>
  <c r="X1031" i="42"/>
  <c r="K1041" i="42"/>
  <c r="K2111" i="50" s="1"/>
  <c r="X923" i="42"/>
  <c r="L2094" i="50" s="1"/>
  <c r="W140" i="42"/>
  <c r="X477" i="42"/>
  <c r="L1948" i="50" s="1"/>
  <c r="V141" i="42"/>
  <c r="J1805" i="50" s="1"/>
  <c r="V140" i="42"/>
  <c r="N2208" i="50"/>
  <c r="N2209" i="50" s="1"/>
  <c r="N1378" i="42"/>
  <c r="N1382" i="42" s="1"/>
  <c r="N2218" i="50" s="1"/>
  <c r="W1681" i="42"/>
  <c r="K1681" i="42" s="1"/>
  <c r="K1965" i="50"/>
  <c r="L1942" i="50" s="1"/>
  <c r="L1943" i="50" s="1"/>
  <c r="V374" i="42"/>
  <c r="J373" i="42"/>
  <c r="J1879" i="50" s="1"/>
  <c r="L2364" i="50" l="1"/>
  <c r="L2365" i="50" s="1"/>
  <c r="K2388" i="50"/>
  <c r="K2323" i="50"/>
  <c r="K2331" i="50"/>
  <c r="K2332" i="50" s="1"/>
  <c r="K2333" i="50" s="1"/>
  <c r="K2334" i="50" s="1"/>
  <c r="L1818" i="42"/>
  <c r="X1819" i="42" s="1"/>
  <c r="L1819" i="42" s="1"/>
  <c r="L2379" i="50" s="1"/>
  <c r="L2380" i="50" s="1"/>
  <c r="L2381" i="50" s="1"/>
  <c r="L2382" i="50" s="1"/>
  <c r="L1823" i="42" s="1"/>
  <c r="L1951" i="50"/>
  <c r="L2088" i="50"/>
  <c r="L2089" i="50" s="1"/>
  <c r="L2268" i="50"/>
  <c r="L2269" i="50" s="1"/>
  <c r="L2097" i="50"/>
  <c r="L1031" i="42"/>
  <c r="X1032" i="42" s="1"/>
  <c r="L1032" i="42" s="1"/>
  <c r="L2277" i="50"/>
  <c r="L1542" i="42"/>
  <c r="X1543" i="42" s="1"/>
  <c r="L1543" i="42" s="1"/>
  <c r="L1949" i="50"/>
  <c r="L1957" i="50"/>
  <c r="L1958" i="50" s="1"/>
  <c r="L1959" i="50" s="1"/>
  <c r="L1960" i="50" s="1"/>
  <c r="J141" i="42"/>
  <c r="V142" i="42" s="1"/>
  <c r="J142" i="42" s="1"/>
  <c r="J1811" i="50" s="1"/>
  <c r="J1812" i="50" s="1"/>
  <c r="J1813" i="50" s="1"/>
  <c r="J1814" i="50" s="1"/>
  <c r="J146" i="42" s="1"/>
  <c r="Z1383" i="42"/>
  <c r="K1685" i="42"/>
  <c r="K1207" i="42"/>
  <c r="W1212" i="42" s="1"/>
  <c r="N1383" i="42"/>
  <c r="W364" i="42"/>
  <c r="J374" i="42"/>
  <c r="W254" i="42"/>
  <c r="K1875" i="50" s="1"/>
  <c r="K2433" i="50" l="1"/>
  <c r="K2485" i="50" s="1"/>
  <c r="L2371" i="50"/>
  <c r="L1827" i="42"/>
  <c r="X1828" i="42"/>
  <c r="L2283" i="50"/>
  <c r="L2284" i="50" s="1"/>
  <c r="L2285" i="50" s="1"/>
  <c r="L2286" i="50" s="1"/>
  <c r="L1547" i="42" s="1"/>
  <c r="L2275" i="50"/>
  <c r="M1543" i="42"/>
  <c r="M1032" i="42"/>
  <c r="L2103" i="50"/>
  <c r="L2104" i="50" s="1"/>
  <c r="L2105" i="50" s="1"/>
  <c r="L2106" i="50" s="1"/>
  <c r="L1036" i="42" s="1"/>
  <c r="L2095" i="50"/>
  <c r="K1878" i="50"/>
  <c r="K364" i="42"/>
  <c r="M1949" i="50"/>
  <c r="M1957" i="50"/>
  <c r="M1958" i="50" s="1"/>
  <c r="J1803" i="50"/>
  <c r="J150" i="42"/>
  <c r="V151" i="42"/>
  <c r="L592" i="42"/>
  <c r="X597" i="42" s="1"/>
  <c r="K1211" i="42"/>
  <c r="K2158" i="50" s="1"/>
  <c r="K1689" i="42"/>
  <c r="K2326" i="50" s="1"/>
  <c r="W1690" i="42"/>
  <c r="N2231" i="50"/>
  <c r="AL1383" i="42"/>
  <c r="X1094" i="42"/>
  <c r="L2154" i="50" s="1"/>
  <c r="X1202" i="42"/>
  <c r="L2157" i="50" s="1"/>
  <c r="J1892" i="50"/>
  <c r="W365" i="42"/>
  <c r="K365" i="42" s="1"/>
  <c r="K1212" i="42" l="1"/>
  <c r="K2171" i="50" s="1"/>
  <c r="L2148" i="50" s="1"/>
  <c r="L2149" i="50" s="1"/>
  <c r="U2232" i="50"/>
  <c r="L2374" i="50"/>
  <c r="Y1712" i="42"/>
  <c r="M2370" i="50" s="1"/>
  <c r="Y1818" i="42"/>
  <c r="L1828" i="42"/>
  <c r="L2387" i="50" s="1"/>
  <c r="L1040" i="42"/>
  <c r="X1041" i="42"/>
  <c r="M2275" i="50"/>
  <c r="M2283" i="50"/>
  <c r="M2284" i="50" s="1"/>
  <c r="N1543" i="42"/>
  <c r="N1032" i="42"/>
  <c r="M2095" i="50"/>
  <c r="M2103" i="50"/>
  <c r="M2104" i="50" s="1"/>
  <c r="X1552" i="42"/>
  <c r="L1551" i="42"/>
  <c r="N1957" i="50"/>
  <c r="N1958" i="50" s="1"/>
  <c r="N1949" i="50"/>
  <c r="J1806" i="50"/>
  <c r="W31" i="42"/>
  <c r="K1802" i="50" s="1"/>
  <c r="J151" i="42"/>
  <c r="J1819" i="50" s="1"/>
  <c r="W141" i="42"/>
  <c r="K141" i="42" s="1"/>
  <c r="K1869" i="50"/>
  <c r="K1870" i="50" s="1"/>
  <c r="J2432" i="50"/>
  <c r="K1876" i="50"/>
  <c r="K1884" i="50"/>
  <c r="K1885" i="50" s="1"/>
  <c r="L596" i="42"/>
  <c r="L1952" i="50" s="1"/>
  <c r="K1690" i="42"/>
  <c r="K2339" i="50" s="1"/>
  <c r="X1574" i="42"/>
  <c r="L2322" i="50" s="1"/>
  <c r="X1680" i="42"/>
  <c r="L2325" i="50" s="1"/>
  <c r="X1203" i="42"/>
  <c r="L1203" i="42" s="1"/>
  <c r="M2364" i="50" l="1"/>
  <c r="M2365" i="50" s="1"/>
  <c r="L2388" i="50"/>
  <c r="L2316" i="50"/>
  <c r="L2317" i="50" s="1"/>
  <c r="K2340" i="50"/>
  <c r="K2172" i="50"/>
  <c r="L2155" i="50"/>
  <c r="L2163" i="50"/>
  <c r="L2164" i="50" s="1"/>
  <c r="L2165" i="50" s="1"/>
  <c r="L2166" i="50" s="1"/>
  <c r="M1203" i="42"/>
  <c r="M2373" i="50"/>
  <c r="M1818" i="42"/>
  <c r="Y1819" i="42" s="1"/>
  <c r="M1819" i="42" s="1"/>
  <c r="J2484" i="50"/>
  <c r="L2278" i="50"/>
  <c r="L1552" i="42"/>
  <c r="L2291" i="50" s="1"/>
  <c r="L2292" i="50" s="1"/>
  <c r="N2103" i="50"/>
  <c r="N2104" i="50" s="1"/>
  <c r="N2095" i="50"/>
  <c r="N2275" i="50"/>
  <c r="N2283" i="50"/>
  <c r="N2284" i="50" s="1"/>
  <c r="L2098" i="50"/>
  <c r="L1041" i="42"/>
  <c r="L2111" i="50" s="1"/>
  <c r="K1886" i="50"/>
  <c r="K1887" i="50" s="1"/>
  <c r="L597" i="42"/>
  <c r="L1965" i="50" s="1"/>
  <c r="M1942" i="50" s="1"/>
  <c r="M1943" i="50" s="1"/>
  <c r="M1959" i="50" s="1"/>
  <c r="M1960" i="50" s="1"/>
  <c r="K1805" i="50"/>
  <c r="W142" i="42"/>
  <c r="K142" i="42" s="1"/>
  <c r="K1796" i="50"/>
  <c r="K1797" i="50" s="1"/>
  <c r="J2431" i="50"/>
  <c r="X1681" i="42"/>
  <c r="L1681" i="42" s="1"/>
  <c r="K369" i="42"/>
  <c r="W374" i="42" s="1"/>
  <c r="L2323" i="50" l="1"/>
  <c r="L2331" i="50"/>
  <c r="L2332" i="50" s="1"/>
  <c r="L2333" i="50" s="1"/>
  <c r="L2334" i="50" s="1"/>
  <c r="M1681" i="42"/>
  <c r="M2155" i="50"/>
  <c r="M2163" i="50"/>
  <c r="M2164" i="50" s="1"/>
  <c r="N1203" i="42"/>
  <c r="M2371" i="50"/>
  <c r="M2379" i="50"/>
  <c r="M2380" i="50" s="1"/>
  <c r="M2381" i="50" s="1"/>
  <c r="M2382" i="50" s="1"/>
  <c r="M1823" i="42" s="1"/>
  <c r="J2483" i="50"/>
  <c r="M2268" i="50"/>
  <c r="M2269" i="50" s="1"/>
  <c r="M2285" i="50" s="1"/>
  <c r="M2286" i="50" s="1"/>
  <c r="M1547" i="42" s="1"/>
  <c r="M2088" i="50"/>
  <c r="M2089" i="50" s="1"/>
  <c r="M2105" i="50" s="1"/>
  <c r="M2106" i="50" s="1"/>
  <c r="M1036" i="42" s="1"/>
  <c r="K1803" i="50"/>
  <c r="K1811" i="50"/>
  <c r="K1812" i="50" s="1"/>
  <c r="K1813" i="50" s="1"/>
  <c r="K1814" i="50" s="1"/>
  <c r="K146" i="42" s="1"/>
  <c r="K373" i="42"/>
  <c r="K1879" i="50" s="1"/>
  <c r="M592" i="42"/>
  <c r="M2323" i="50" l="1"/>
  <c r="M2331" i="50"/>
  <c r="M2332" i="50" s="1"/>
  <c r="N1681" i="42"/>
  <c r="N2163" i="50"/>
  <c r="N2164" i="50" s="1"/>
  <c r="N2155" i="50"/>
  <c r="L2433" i="50"/>
  <c r="L2485" i="50" s="1"/>
  <c r="Y1828" i="42"/>
  <c r="M1827" i="42"/>
  <c r="M1040" i="42"/>
  <c r="Y1041" i="42"/>
  <c r="M1551" i="42"/>
  <c r="Y1552" i="42"/>
  <c r="V2112" i="50"/>
  <c r="V2292" i="50"/>
  <c r="K150" i="42"/>
  <c r="W151" i="42"/>
  <c r="K374" i="42"/>
  <c r="K1892" i="50" s="1"/>
  <c r="X254" i="42"/>
  <c r="L1875" i="50" s="1"/>
  <c r="L1207" i="42"/>
  <c r="L1211" i="42" s="1"/>
  <c r="L2158" i="50" s="1"/>
  <c r="L1685" i="42"/>
  <c r="X364" i="42"/>
  <c r="L364" i="42" s="1"/>
  <c r="V1966" i="50"/>
  <c r="M596" i="42"/>
  <c r="M1952" i="50" s="1"/>
  <c r="Y597" i="42"/>
  <c r="N2331" i="50" l="1"/>
  <c r="N2332" i="50" s="1"/>
  <c r="N2323" i="50"/>
  <c r="Z1712" i="42"/>
  <c r="N2370" i="50" s="1"/>
  <c r="Z1818" i="42"/>
  <c r="M2374" i="50"/>
  <c r="M1828" i="42"/>
  <c r="M2387" i="50" s="1"/>
  <c r="M2388" i="50" s="1"/>
  <c r="M2278" i="50"/>
  <c r="M1552" i="42"/>
  <c r="M2098" i="50"/>
  <c r="M1041" i="42"/>
  <c r="M2111" i="50" s="1"/>
  <c r="K1806" i="50"/>
  <c r="K151" i="42"/>
  <c r="K1819" i="50" s="1"/>
  <c r="X141" i="42"/>
  <c r="X31" i="42"/>
  <c r="L1802" i="50" s="1"/>
  <c r="L1869" i="50"/>
  <c r="L1870" i="50" s="1"/>
  <c r="K2432" i="50"/>
  <c r="X365" i="42"/>
  <c r="L365" i="42" s="1"/>
  <c r="M365" i="42" s="1"/>
  <c r="N365" i="42" s="1"/>
  <c r="L1878" i="50"/>
  <c r="X1212" i="42"/>
  <c r="X1690" i="42"/>
  <c r="L1689" i="42"/>
  <c r="L2326" i="50" s="1"/>
  <c r="L1212" i="42"/>
  <c r="L2171" i="50" s="1"/>
  <c r="M597" i="42"/>
  <c r="M2148" i="50" l="1"/>
  <c r="M2149" i="50" s="1"/>
  <c r="M2165" i="50" s="1"/>
  <c r="M2166" i="50" s="1"/>
  <c r="L2172" i="50"/>
  <c r="N2364" i="50"/>
  <c r="N2365" i="50" s="1"/>
  <c r="N2373" i="50"/>
  <c r="N1818" i="42"/>
  <c r="Z1819" i="42" s="1"/>
  <c r="N1819" i="42" s="1"/>
  <c r="K2484" i="50"/>
  <c r="N2088" i="50"/>
  <c r="N2089" i="50" s="1"/>
  <c r="N2105" i="50" s="1"/>
  <c r="N2106" i="50" s="1"/>
  <c r="N1036" i="42" s="1"/>
  <c r="M2291" i="50"/>
  <c r="M2292" i="50" s="1"/>
  <c r="L1805" i="50"/>
  <c r="L141" i="42"/>
  <c r="X142" i="42" s="1"/>
  <c r="L142" i="42" s="1"/>
  <c r="L1796" i="50"/>
  <c r="L1797" i="50" s="1"/>
  <c r="K2431" i="50"/>
  <c r="L1884" i="50"/>
  <c r="L1885" i="50" s="1"/>
  <c r="L1886" i="50" s="1"/>
  <c r="L1887" i="50" s="1"/>
  <c r="L1876" i="50"/>
  <c r="L1690" i="42"/>
  <c r="L2339" i="50" s="1"/>
  <c r="M1965" i="50"/>
  <c r="N1942" i="50" s="1"/>
  <c r="N1943" i="50" s="1"/>
  <c r="N1959" i="50" s="1"/>
  <c r="N1960" i="50" s="1"/>
  <c r="L369" i="42"/>
  <c r="M2316" i="50" l="1"/>
  <c r="M2317" i="50" s="1"/>
  <c r="M2333" i="50" s="1"/>
  <c r="M2334" i="50" s="1"/>
  <c r="L2340" i="50"/>
  <c r="N2371" i="50"/>
  <c r="N2379" i="50"/>
  <c r="N2380" i="50" s="1"/>
  <c r="N2381" i="50" s="1"/>
  <c r="N2382" i="50" s="1"/>
  <c r="N1823" i="42" s="1"/>
  <c r="K2483" i="50"/>
  <c r="N2268" i="50"/>
  <c r="N2269" i="50" s="1"/>
  <c r="N2285" i="50" s="1"/>
  <c r="N2286" i="50" s="1"/>
  <c r="N1547" i="42" s="1"/>
  <c r="N1040" i="42"/>
  <c r="Z1041" i="42"/>
  <c r="L1803" i="50"/>
  <c r="L1811" i="50"/>
  <c r="L1812" i="50" s="1"/>
  <c r="L1813" i="50" s="1"/>
  <c r="L1814" i="50" s="1"/>
  <c r="L146" i="42" s="1"/>
  <c r="M1876" i="50"/>
  <c r="M1884" i="50"/>
  <c r="M1885" i="50" s="1"/>
  <c r="M1207" i="42"/>
  <c r="Y1212" i="42" s="1"/>
  <c r="M1685" i="42"/>
  <c r="V2172" i="50"/>
  <c r="U2172" i="50"/>
  <c r="N592" i="42"/>
  <c r="X374" i="42"/>
  <c r="L373" i="42"/>
  <c r="L1879" i="50" s="1"/>
  <c r="M2433" i="50" l="1"/>
  <c r="M2485" i="50" s="1"/>
  <c r="Z1828" i="42"/>
  <c r="N1827" i="42"/>
  <c r="N2098" i="50"/>
  <c r="N1041" i="42"/>
  <c r="Z1552" i="42"/>
  <c r="N1551" i="42"/>
  <c r="L150" i="42"/>
  <c r="X151" i="42"/>
  <c r="N1876" i="50"/>
  <c r="N1884" i="50"/>
  <c r="N1885" i="50" s="1"/>
  <c r="V2340" i="50"/>
  <c r="U2340" i="50"/>
  <c r="M1211" i="42"/>
  <c r="M1689" i="42"/>
  <c r="M2326" i="50" s="1"/>
  <c r="Y1690" i="42"/>
  <c r="N596" i="42"/>
  <c r="N1952" i="50" s="1"/>
  <c r="Z597" i="42"/>
  <c r="L374" i="42"/>
  <c r="Y31" i="42" l="1"/>
  <c r="M1802" i="50" s="1"/>
  <c r="Y141" i="42"/>
  <c r="N2374" i="50"/>
  <c r="N1828" i="42"/>
  <c r="N2111" i="50"/>
  <c r="AL1041" i="42"/>
  <c r="N2278" i="50"/>
  <c r="N1552" i="42"/>
  <c r="L1806" i="50"/>
  <c r="L151" i="42"/>
  <c r="L1819" i="50" s="1"/>
  <c r="M1212" i="42"/>
  <c r="M2171" i="50" s="1"/>
  <c r="M2158" i="50"/>
  <c r="M1690" i="42"/>
  <c r="M2339" i="50" s="1"/>
  <c r="N597" i="42"/>
  <c r="L1892" i="50"/>
  <c r="N2316" i="50" l="1"/>
  <c r="N2317" i="50" s="1"/>
  <c r="N2333" i="50" s="1"/>
  <c r="N2334" i="50" s="1"/>
  <c r="M2340" i="50"/>
  <c r="N2148" i="50"/>
  <c r="N2149" i="50" s="1"/>
  <c r="N2165" i="50" s="1"/>
  <c r="N2166" i="50" s="1"/>
  <c r="M2172" i="50"/>
  <c r="U2112" i="50"/>
  <c r="AL1828" i="42"/>
  <c r="N2387" i="50"/>
  <c r="N2388" i="50" s="1"/>
  <c r="M1805" i="50"/>
  <c r="M141" i="42"/>
  <c r="Y142" i="42" s="1"/>
  <c r="M142" i="42" s="1"/>
  <c r="N2291" i="50"/>
  <c r="N2292" i="50" s="1"/>
  <c r="AL1552" i="42"/>
  <c r="M1796" i="50"/>
  <c r="M1797" i="50" s="1"/>
  <c r="M1869" i="50"/>
  <c r="M1870" i="50" s="1"/>
  <c r="M1886" i="50" s="1"/>
  <c r="M1887" i="50" s="1"/>
  <c r="M369" i="42" s="1"/>
  <c r="N1965" i="50"/>
  <c r="N2433" i="50" s="1"/>
  <c r="AL597" i="42"/>
  <c r="L2432" i="50" l="1"/>
  <c r="L2484" i="50" s="1"/>
  <c r="L2431" i="50"/>
  <c r="L2483" i="50" s="1"/>
  <c r="M1811" i="50"/>
  <c r="M1812" i="50" s="1"/>
  <c r="M1813" i="50" s="1"/>
  <c r="M1814" i="50" s="1"/>
  <c r="M146" i="42" s="1"/>
  <c r="M1803" i="50"/>
  <c r="N2485" i="50"/>
  <c r="U1966" i="50"/>
  <c r="U2388" i="50"/>
  <c r="V2388" i="50"/>
  <c r="N1207" i="42"/>
  <c r="Z1212" i="42" s="1"/>
  <c r="N1685" i="42"/>
  <c r="V1893" i="50"/>
  <c r="Y374" i="42"/>
  <c r="M373" i="42"/>
  <c r="M1879" i="50" s="1"/>
  <c r="U2292" i="50" l="1"/>
  <c r="M150" i="42"/>
  <c r="M1806" i="50" s="1"/>
  <c r="Y151" i="42"/>
  <c r="N1211" i="42"/>
  <c r="Z1690" i="42"/>
  <c r="N1689" i="42"/>
  <c r="N2326" i="50" s="1"/>
  <c r="M374" i="42"/>
  <c r="M151" i="42" l="1"/>
  <c r="M1819" i="50" s="1"/>
  <c r="N1796" i="50" s="1"/>
  <c r="N1797" i="50" s="1"/>
  <c r="Z31" i="42"/>
  <c r="N1802" i="50" s="1"/>
  <c r="Z141" i="42"/>
  <c r="N1212" i="42"/>
  <c r="AL1212" i="42" s="1"/>
  <c r="N2158" i="50"/>
  <c r="N1690" i="42"/>
  <c r="M1892" i="50"/>
  <c r="M2431" i="50" l="1"/>
  <c r="M2483" i="50" s="1"/>
  <c r="N1805" i="50"/>
  <c r="N141" i="42"/>
  <c r="Z142" i="42" s="1"/>
  <c r="N142" i="42" s="1"/>
  <c r="N1869" i="50"/>
  <c r="N1870" i="50" s="1"/>
  <c r="N1886" i="50" s="1"/>
  <c r="N1887" i="50" s="1"/>
  <c r="N2171" i="50"/>
  <c r="N2172" i="50" s="1"/>
  <c r="AL1690" i="42"/>
  <c r="N2339" i="50"/>
  <c r="N2340" i="50" s="1"/>
  <c r="N369" i="42"/>
  <c r="M2432" i="50" l="1"/>
  <c r="M2484" i="50" s="1"/>
  <c r="N1803" i="50"/>
  <c r="N1811" i="50"/>
  <c r="N1812" i="50" s="1"/>
  <c r="N1813" i="50" s="1"/>
  <c r="N1814" i="50" s="1"/>
  <c r="N146" i="42" s="1"/>
  <c r="N373" i="42"/>
  <c r="N1879" i="50" s="1"/>
  <c r="Z374" i="42"/>
  <c r="N150" i="42" l="1"/>
  <c r="Z151" i="42"/>
  <c r="N374" i="42"/>
  <c r="N1806" i="50" l="1"/>
  <c r="N151" i="42"/>
  <c r="AL374" i="42"/>
  <c r="N1892" i="50"/>
  <c r="N1819" i="50" l="1"/>
  <c r="N2431" i="50" s="1"/>
  <c r="AL151" i="42"/>
  <c r="G1853" i="42" s="1"/>
  <c r="G1848" i="42" l="1"/>
  <c r="G1847" i="42"/>
  <c r="U1893" i="50"/>
  <c r="N2432" i="50"/>
  <c r="N2484" i="50" s="1"/>
  <c r="G1850" i="42"/>
  <c r="G1852" i="42"/>
  <c r="G1856" i="42"/>
  <c r="G1851" i="42"/>
  <c r="G1849" i="42"/>
  <c r="G1855" i="42"/>
  <c r="G1854" i="42"/>
  <c r="U1820" i="50"/>
  <c r="V1820" i="50"/>
  <c r="N2483" i="50"/>
  <c r="G1857" i="42" l="1"/>
  <c r="X516" i="37"/>
  <c r="W516" i="37"/>
  <c r="K516" i="37" s="1"/>
  <c r="L515" i="37"/>
  <c r="K515" i="37"/>
  <c r="L516" i="37" l="1"/>
  <c r="L677" i="50" s="1"/>
  <c r="K677" i="50"/>
  <c r="K684" i="50"/>
  <c r="M516" i="37" l="1"/>
  <c r="M677" i="50" s="1"/>
  <c r="L684" i="50"/>
  <c r="M684" i="50" l="1"/>
  <c r="N516" i="37"/>
  <c r="N684" i="50" s="1"/>
  <c r="N677" i="50" l="1"/>
  <c r="J815" i="42"/>
  <c r="V820" i="42" s="1"/>
  <c r="J819" i="42" l="1"/>
  <c r="J820" i="42" l="1"/>
  <c r="J2038" i="50" s="1"/>
  <c r="J2039" i="50" s="1"/>
  <c r="J2025" i="50"/>
  <c r="W700" i="42"/>
  <c r="K2021" i="50" s="1"/>
  <c r="W810" i="42"/>
  <c r="K2024" i="50" l="1"/>
  <c r="K810" i="42"/>
  <c r="W811" i="42" s="1"/>
  <c r="K811" i="42" s="1"/>
  <c r="K2015" i="50"/>
  <c r="K2016" i="50" s="1"/>
  <c r="J2434" i="50" l="1"/>
  <c r="J2486" i="50" s="1"/>
  <c r="K2030" i="50"/>
  <c r="K2031" i="50" s="1"/>
  <c r="K2032" i="50" s="1"/>
  <c r="K2033" i="50" s="1"/>
  <c r="K815" i="42" s="1"/>
  <c r="K2022" i="50"/>
  <c r="W820" i="42" l="1"/>
  <c r="K819" i="42"/>
  <c r="X700" i="42" l="1"/>
  <c r="L2021" i="50" s="1"/>
  <c r="K820" i="42"/>
  <c r="K2038" i="50" s="1"/>
  <c r="K2039" i="50" s="1"/>
  <c r="X810" i="42"/>
  <c r="K2025" i="50"/>
  <c r="L810" i="42" l="1"/>
  <c r="X811" i="42" s="1"/>
  <c r="L811" i="42" s="1"/>
  <c r="L2024" i="50"/>
  <c r="L2015" i="50"/>
  <c r="L2016" i="50" l="1"/>
  <c r="L2022" i="50"/>
  <c r="L2030" i="50"/>
  <c r="L2031" i="50" s="1"/>
  <c r="L2032" i="50" l="1"/>
  <c r="L2033" i="50" s="1"/>
  <c r="L815" i="42" s="1"/>
  <c r="X820" i="42" s="1"/>
  <c r="D2439" i="50"/>
  <c r="D2440" i="50"/>
  <c r="D2438" i="50"/>
  <c r="D2437" i="50"/>
  <c r="D2435" i="50"/>
  <c r="D2436" i="50"/>
  <c r="J2437" i="50" l="1"/>
  <c r="J2489" i="50" s="1"/>
  <c r="K2437" i="50"/>
  <c r="K2489" i="50" s="1"/>
  <c r="L2437" i="50"/>
  <c r="L2489" i="50" s="1"/>
  <c r="M2437" i="50"/>
  <c r="M2489" i="50" s="1"/>
  <c r="N2437" i="50"/>
  <c r="N2489" i="50" s="1"/>
  <c r="J2438" i="50"/>
  <c r="J2490" i="50" s="1"/>
  <c r="K2438" i="50"/>
  <c r="K2490" i="50" s="1"/>
  <c r="L2438" i="50"/>
  <c r="L2490" i="50" s="1"/>
  <c r="M2438" i="50"/>
  <c r="M2490" i="50" s="1"/>
  <c r="N2438" i="50"/>
  <c r="N2490" i="50" s="1"/>
  <c r="N2436" i="50"/>
  <c r="N2488" i="50" s="1"/>
  <c r="M2436" i="50"/>
  <c r="M2488" i="50" s="1"/>
  <c r="K2436" i="50"/>
  <c r="K2488" i="50" s="1"/>
  <c r="J2436" i="50"/>
  <c r="J2488" i="50" s="1"/>
  <c r="L2436" i="50"/>
  <c r="L2488" i="50" s="1"/>
  <c r="J2440" i="50"/>
  <c r="J2492" i="50" s="1"/>
  <c r="K2440" i="50"/>
  <c r="K2492" i="50" s="1"/>
  <c r="L2440" i="50"/>
  <c r="L2492" i="50" s="1"/>
  <c r="M2440" i="50"/>
  <c r="M2492" i="50" s="1"/>
  <c r="N2440" i="50"/>
  <c r="N2492" i="50" s="1"/>
  <c r="J2435" i="50"/>
  <c r="J2487" i="50" s="1"/>
  <c r="K2435" i="50"/>
  <c r="K2487" i="50" s="1"/>
  <c r="L2435" i="50"/>
  <c r="L2487" i="50" s="1"/>
  <c r="M2435" i="50"/>
  <c r="M2487" i="50" s="1"/>
  <c r="N2435" i="50"/>
  <c r="N2487" i="50" s="1"/>
  <c r="N2439" i="50"/>
  <c r="N2491" i="50" s="1"/>
  <c r="K2439" i="50"/>
  <c r="K2491" i="50" s="1"/>
  <c r="L2439" i="50"/>
  <c r="L2491" i="50" s="1"/>
  <c r="M2439" i="50"/>
  <c r="M2491" i="50" s="1"/>
  <c r="J2439" i="50"/>
  <c r="J2491" i="50" s="1"/>
  <c r="L819" i="42"/>
  <c r="D2489" i="50"/>
  <c r="D2490" i="50"/>
  <c r="D2488" i="50"/>
  <c r="D2492" i="50"/>
  <c r="D2487" i="50"/>
  <c r="D2491" i="50"/>
  <c r="L2025" i="50" l="1"/>
  <c r="Y700" i="42"/>
  <c r="M2021" i="50" s="1"/>
  <c r="Y810" i="42"/>
  <c r="L820" i="42"/>
  <c r="L2038" i="50" s="1"/>
  <c r="L2039" i="50" s="1"/>
  <c r="M810" i="42" l="1"/>
  <c r="Y811" i="42" s="1"/>
  <c r="M811" i="42" s="1"/>
  <c r="M2024" i="50"/>
  <c r="M2015" i="50"/>
  <c r="M2016" i="50" s="1"/>
  <c r="M2030" i="50" l="1"/>
  <c r="M2031" i="50" s="1"/>
  <c r="M2032" i="50" s="1"/>
  <c r="M2033" i="50" s="1"/>
  <c r="M815" i="42" s="1"/>
  <c r="M2022" i="50"/>
  <c r="M819" i="42" l="1"/>
  <c r="Y820" i="42"/>
  <c r="Z700" i="42" l="1"/>
  <c r="N2021" i="50" s="1"/>
  <c r="Z810" i="42"/>
  <c r="M2025" i="50"/>
  <c r="M820" i="42"/>
  <c r="M2038" i="50" s="1"/>
  <c r="M2039" i="50" s="1"/>
  <c r="N2015" i="50" l="1"/>
  <c r="N2016" i="50" s="1"/>
  <c r="N810" i="42"/>
  <c r="Z811" i="42" s="1"/>
  <c r="N811" i="42" s="1"/>
  <c r="N2024" i="50"/>
  <c r="N2030" i="50" l="1"/>
  <c r="N2031" i="50" s="1"/>
  <c r="N2032" i="50" s="1"/>
  <c r="N2033" i="50" s="1"/>
  <c r="N815" i="42" s="1"/>
  <c r="N2022" i="50"/>
  <c r="X632" i="37"/>
  <c r="L632" i="37" s="1"/>
  <c r="L631" i="37"/>
  <c r="L787" i="50" l="1"/>
  <c r="Z820" i="42"/>
  <c r="N819" i="42"/>
  <c r="M632" i="37"/>
  <c r="M787" i="50" l="1"/>
  <c r="N820" i="42"/>
  <c r="N2038" i="50" s="1"/>
  <c r="N2039" i="50" s="1"/>
  <c r="N2025" i="50"/>
  <c r="N632" i="37"/>
  <c r="N787" i="50" l="1"/>
  <c r="U2039" i="50"/>
  <c r="V2039" i="50"/>
  <c r="W606" i="37" l="1"/>
  <c r="X599" i="37"/>
  <c r="X631" i="37" l="1"/>
  <c r="L599" i="37"/>
  <c r="X600" i="37" s="1"/>
  <c r="L600" i="37" s="1"/>
  <c r="L810" i="50" l="1"/>
  <c r="X606" i="37" l="1"/>
  <c r="X638" i="37"/>
  <c r="Y631" i="37" l="1"/>
  <c r="Y599" i="37"/>
  <c r="M599" i="37" l="1"/>
  <c r="Y600" i="37" s="1"/>
  <c r="M600" i="37" s="1"/>
  <c r="M810" i="50" l="1"/>
  <c r="V827" i="50"/>
  <c r="U827" i="50"/>
  <c r="Y606" i="37" l="1"/>
  <c r="Y638" i="37"/>
  <c r="Z631" i="37" l="1"/>
  <c r="Z599" i="37"/>
  <c r="N599" i="37" l="1"/>
  <c r="Z600" i="37" s="1"/>
  <c r="N600" i="37" s="1"/>
  <c r="N810" i="50" l="1"/>
  <c r="Z638" i="37" l="1"/>
  <c r="Z606" i="37"/>
  <c r="J519" i="37" l="1"/>
  <c r="J522" i="37" s="1"/>
  <c r="J696" i="50" s="1"/>
  <c r="K644" i="50" s="1"/>
  <c r="J322" i="37"/>
  <c r="J473" i="47"/>
  <c r="V476" i="47" s="1"/>
  <c r="J354" i="37"/>
  <c r="V325" i="37" l="1"/>
  <c r="J324" i="37"/>
  <c r="J475" i="47"/>
  <c r="J521" i="37"/>
  <c r="W515" i="37" s="1"/>
  <c r="J356" i="37"/>
  <c r="V357" i="37"/>
  <c r="J476" i="47" l="1"/>
  <c r="J698" i="50" s="1"/>
  <c r="K646" i="50" s="1"/>
  <c r="W469" i="47"/>
  <c r="K469" i="47" s="1"/>
  <c r="W470" i="47" s="1"/>
  <c r="K470" i="47" s="1"/>
  <c r="K537" i="50"/>
  <c r="K557" i="50"/>
  <c r="J569" i="50"/>
  <c r="J571" i="50" s="1"/>
  <c r="J325" i="37"/>
  <c r="J694" i="50" s="1"/>
  <c r="W318" i="37"/>
  <c r="J357" i="37"/>
  <c r="J695" i="50" s="1"/>
  <c r="K643" i="50" s="1"/>
  <c r="W350" i="37"/>
  <c r="K350" i="37" s="1"/>
  <c r="W351" i="37" s="1"/>
  <c r="K351" i="37" s="1"/>
  <c r="K652" i="50" l="1"/>
  <c r="K1292" i="50"/>
  <c r="K1548" i="50"/>
  <c r="K1420" i="50"/>
  <c r="K780" i="50"/>
  <c r="K1164" i="50"/>
  <c r="K1036" i="50"/>
  <c r="K1676" i="50"/>
  <c r="K908" i="50"/>
  <c r="K1195" i="50"/>
  <c r="K1451" i="50"/>
  <c r="K1707" i="50"/>
  <c r="K1579" i="50"/>
  <c r="K1067" i="50"/>
  <c r="K1072" i="50" s="1"/>
  <c r="K1073" i="50" s="1"/>
  <c r="K1323" i="50"/>
  <c r="K939" i="50"/>
  <c r="K944" i="50" s="1"/>
  <c r="K945" i="50" s="1"/>
  <c r="K811" i="50"/>
  <c r="K816" i="50" s="1"/>
  <c r="K817" i="50" s="1"/>
  <c r="J2428" i="50"/>
  <c r="J2480" i="50" s="1"/>
  <c r="J2426" i="50"/>
  <c r="J2478" i="50" s="1"/>
  <c r="J2429" i="50"/>
  <c r="J2481" i="50" s="1"/>
  <c r="J2425" i="50"/>
  <c r="J2477" i="50" s="1"/>
  <c r="J2430" i="50"/>
  <c r="J2482" i="50" s="1"/>
  <c r="J2424" i="50"/>
  <c r="J2476" i="50" s="1"/>
  <c r="K659" i="50"/>
  <c r="K683" i="50"/>
  <c r="K642" i="50"/>
  <c r="K647" i="50" s="1"/>
  <c r="J699" i="50"/>
  <c r="J2422" i="50" s="1"/>
  <c r="K671" i="50"/>
  <c r="K686" i="50"/>
  <c r="K517" i="50"/>
  <c r="K519" i="50" s="1"/>
  <c r="K560" i="50" s="1"/>
  <c r="K561" i="50" s="1"/>
  <c r="K226" i="47" s="1"/>
  <c r="K318" i="37"/>
  <c r="W319" i="37" s="1"/>
  <c r="K319" i="37" s="1"/>
  <c r="K1197" i="37" l="1"/>
  <c r="K1199" i="37" s="1"/>
  <c r="K1200" i="37" s="1"/>
  <c r="K1165" i="37"/>
  <c r="K1167" i="37" s="1"/>
  <c r="K1168" i="37" s="1"/>
  <c r="K1362" i="37"/>
  <c r="K1081" i="37"/>
  <c r="K916" i="37"/>
  <c r="K918" i="37" s="1"/>
  <c r="K919" i="37" s="1"/>
  <c r="K884" i="37"/>
  <c r="K886" i="37" s="1"/>
  <c r="K887" i="37" s="1"/>
  <c r="K800" i="37"/>
  <c r="K603" i="37"/>
  <c r="K605" i="37" s="1"/>
  <c r="K606" i="37" s="1"/>
  <c r="K635" i="37"/>
  <c r="K781" i="50"/>
  <c r="K909" i="50"/>
  <c r="K1293" i="50"/>
  <c r="K1037" i="50"/>
  <c r="K1677" i="50"/>
  <c r="K1165" i="50"/>
  <c r="K1421" i="50"/>
  <c r="K1549" i="50"/>
  <c r="J2423" i="50"/>
  <c r="J2475" i="50" s="1"/>
  <c r="J2427" i="50"/>
  <c r="J2479" i="50" s="1"/>
  <c r="K682" i="50"/>
  <c r="K688" i="50" s="1"/>
  <c r="K689" i="50" s="1"/>
  <c r="K653" i="50"/>
  <c r="J2421" i="50"/>
  <c r="J2473" i="50" s="1"/>
  <c r="W229" i="47"/>
  <c r="K228" i="47"/>
  <c r="X222" i="47" s="1"/>
  <c r="L222" i="47" s="1"/>
  <c r="X223" i="47" s="1"/>
  <c r="L223" i="47" s="1"/>
  <c r="M223" i="47" s="1"/>
  <c r="N223" i="47" s="1"/>
  <c r="K41" i="37"/>
  <c r="K43" i="37" s="1"/>
  <c r="K238" i="37"/>
  <c r="K240" i="37" s="1"/>
  <c r="K73" i="37"/>
  <c r="K473" i="47"/>
  <c r="J2474" i="50"/>
  <c r="K1364" i="37" l="1"/>
  <c r="K1365" i="37"/>
  <c r="K1078" i="50"/>
  <c r="K1079" i="50"/>
  <c r="L1027" i="50" s="1"/>
  <c r="K950" i="50"/>
  <c r="K951" i="50"/>
  <c r="L899" i="50" s="1"/>
  <c r="K1083" i="37"/>
  <c r="K1084" i="37"/>
  <c r="W638" i="37"/>
  <c r="K637" i="37"/>
  <c r="K638" i="37" s="1"/>
  <c r="K822" i="50"/>
  <c r="K803" i="37"/>
  <c r="K802" i="37"/>
  <c r="X796" i="37" s="1"/>
  <c r="K229" i="47"/>
  <c r="K75" i="37"/>
  <c r="W76" i="37"/>
  <c r="K241" i="37"/>
  <c r="X234" i="37"/>
  <c r="L234" i="37" s="1"/>
  <c r="X235" i="37" s="1"/>
  <c r="L235" i="37" s="1"/>
  <c r="W44" i="37"/>
  <c r="K322" i="37"/>
  <c r="K519" i="37"/>
  <c r="K521" i="37" s="1"/>
  <c r="X515" i="37" s="1"/>
  <c r="K354" i="37"/>
  <c r="K356" i="37" s="1"/>
  <c r="W476" i="47"/>
  <c r="K475" i="47"/>
  <c r="X469" i="47" s="1"/>
  <c r="L469" i="47" s="1"/>
  <c r="X470" i="47" s="1"/>
  <c r="L470" i="47" s="1"/>
  <c r="L1026" i="50" l="1"/>
  <c r="K1080" i="50"/>
  <c r="L1028" i="50" s="1"/>
  <c r="K952" i="50"/>
  <c r="L900" i="50" s="1"/>
  <c r="L898" i="50"/>
  <c r="L770" i="50"/>
  <c r="K823" i="50"/>
  <c r="L771" i="50" s="1"/>
  <c r="K824" i="50"/>
  <c r="L772" i="50" s="1"/>
  <c r="L671" i="50"/>
  <c r="L686" i="50"/>
  <c r="W325" i="37"/>
  <c r="K324" i="37"/>
  <c r="K325" i="37" s="1"/>
  <c r="K694" i="50" s="1"/>
  <c r="L549" i="50"/>
  <c r="M235" i="37"/>
  <c r="L556" i="50"/>
  <c r="K568" i="50"/>
  <c r="L516" i="50" s="1"/>
  <c r="X37" i="37"/>
  <c r="K44" i="37"/>
  <c r="K76" i="37"/>
  <c r="X69" i="37"/>
  <c r="W357" i="37"/>
  <c r="K522" i="37"/>
  <c r="K696" i="50" s="1"/>
  <c r="L644" i="50" s="1"/>
  <c r="M470" i="47"/>
  <c r="K357" i="37"/>
  <c r="K695" i="50" s="1"/>
  <c r="L643" i="50" s="1"/>
  <c r="X350" i="37"/>
  <c r="L350" i="37" s="1"/>
  <c r="X351" i="37" s="1"/>
  <c r="L351" i="37" s="1"/>
  <c r="K476" i="47"/>
  <c r="K698" i="50" s="1"/>
  <c r="L646" i="50" s="1"/>
  <c r="K1083" i="50" l="1"/>
  <c r="L1031" i="50"/>
  <c r="K955" i="50"/>
  <c r="L903" i="50"/>
  <c r="K827" i="50"/>
  <c r="L775" i="50"/>
  <c r="L1323" i="50"/>
  <c r="L1707" i="50"/>
  <c r="L939" i="50"/>
  <c r="L1195" i="50"/>
  <c r="L1451" i="50"/>
  <c r="L1067" i="50"/>
  <c r="L1579" i="50"/>
  <c r="L811" i="50"/>
  <c r="M686" i="50"/>
  <c r="M671" i="50"/>
  <c r="L642" i="50"/>
  <c r="L647" i="50" s="1"/>
  <c r="K699" i="50"/>
  <c r="L683" i="50"/>
  <c r="L659" i="50"/>
  <c r="K566" i="50"/>
  <c r="K567" i="50"/>
  <c r="L515" i="50" s="1"/>
  <c r="L37" i="37"/>
  <c r="X38" i="37" s="1"/>
  <c r="L38" i="37" s="1"/>
  <c r="L524" i="50"/>
  <c r="M549" i="50"/>
  <c r="M556" i="50"/>
  <c r="N235" i="37"/>
  <c r="X318" i="37"/>
  <c r="L1420" i="50" s="1"/>
  <c r="N470" i="47"/>
  <c r="L1072" i="50" l="1"/>
  <c r="L1073" i="50" s="1"/>
  <c r="L1197" i="37" s="1"/>
  <c r="L1199" i="37" s="1"/>
  <c r="L1200" i="37" s="1"/>
  <c r="L1362" i="37"/>
  <c r="L816" i="50"/>
  <c r="L817" i="50" s="1"/>
  <c r="L635" i="37" s="1"/>
  <c r="L637" i="37" s="1"/>
  <c r="L638" i="37" s="1"/>
  <c r="L944" i="50"/>
  <c r="L945" i="50" s="1"/>
  <c r="L916" i="37" s="1"/>
  <c r="L918" i="37" s="1"/>
  <c r="L919" i="37" s="1"/>
  <c r="L780" i="50"/>
  <c r="L1676" i="50"/>
  <c r="L1036" i="50"/>
  <c r="L1164" i="50"/>
  <c r="L1292" i="50"/>
  <c r="L908" i="50"/>
  <c r="L1548" i="50"/>
  <c r="N686" i="50"/>
  <c r="N671" i="50"/>
  <c r="L318" i="37"/>
  <c r="X319" i="37" s="1"/>
  <c r="L319" i="37" s="1"/>
  <c r="L1165" i="50" s="1"/>
  <c r="L652" i="50"/>
  <c r="K569" i="50"/>
  <c r="L517" i="50" s="1"/>
  <c r="N556" i="50"/>
  <c r="N549" i="50"/>
  <c r="L525" i="50"/>
  <c r="L554" i="50"/>
  <c r="L514" i="50"/>
  <c r="L537" i="50"/>
  <c r="L557" i="50"/>
  <c r="L1081" i="37" l="1"/>
  <c r="L1083" i="37" s="1"/>
  <c r="L1165" i="37"/>
  <c r="L1167" i="37" s="1"/>
  <c r="L1168" i="37" s="1"/>
  <c r="L1078" i="50" s="1"/>
  <c r="L884" i="37"/>
  <c r="L886" i="37" s="1"/>
  <c r="L887" i="37" s="1"/>
  <c r="L950" i="50" s="1"/>
  <c r="L800" i="37"/>
  <c r="L803" i="37" s="1"/>
  <c r="L603" i="37"/>
  <c r="L605" i="37" s="1"/>
  <c r="L606" i="37" s="1"/>
  <c r="L822" i="50" s="1"/>
  <c r="L1079" i="50"/>
  <c r="M1027" i="50" s="1"/>
  <c r="L1364" i="37"/>
  <c r="L1365" i="37"/>
  <c r="L951" i="50"/>
  <c r="M899" i="50" s="1"/>
  <c r="L823" i="50"/>
  <c r="M771" i="50" s="1"/>
  <c r="L909" i="50"/>
  <c r="L1677" i="50"/>
  <c r="L781" i="50"/>
  <c r="L1421" i="50"/>
  <c r="L1293" i="50"/>
  <c r="L1549" i="50"/>
  <c r="L1037" i="50"/>
  <c r="L682" i="50"/>
  <c r="L688" i="50" s="1"/>
  <c r="L689" i="50" s="1"/>
  <c r="L322" i="37" s="1"/>
  <c r="L324" i="37" s="1"/>
  <c r="L653" i="50"/>
  <c r="K571" i="50"/>
  <c r="K2422" i="50" s="1"/>
  <c r="K2474" i="50" s="1"/>
  <c r="L519" i="50"/>
  <c r="M557" i="50"/>
  <c r="M537" i="50"/>
  <c r="L1084" i="37" l="1"/>
  <c r="L802" i="37"/>
  <c r="Y796" i="37" s="1"/>
  <c r="L1080" i="50"/>
  <c r="M1028" i="50" s="1"/>
  <c r="M1026" i="50"/>
  <c r="L952" i="50"/>
  <c r="M900" i="50" s="1"/>
  <c r="M898" i="50"/>
  <c r="M770" i="50"/>
  <c r="L824" i="50"/>
  <c r="M772" i="50" s="1"/>
  <c r="K2421" i="50"/>
  <c r="K2473" i="50" s="1"/>
  <c r="K2425" i="50"/>
  <c r="K2477" i="50" s="1"/>
  <c r="K2427" i="50"/>
  <c r="K2479" i="50" s="1"/>
  <c r="K2429" i="50"/>
  <c r="K2481" i="50" s="1"/>
  <c r="K2424" i="50"/>
  <c r="K2476" i="50" s="1"/>
  <c r="K2428" i="50"/>
  <c r="K2480" i="50" s="1"/>
  <c r="K2426" i="50"/>
  <c r="K2478" i="50" s="1"/>
  <c r="K2430" i="50"/>
  <c r="K2482" i="50" s="1"/>
  <c r="K2423" i="50"/>
  <c r="K2475" i="50" s="1"/>
  <c r="L560" i="50"/>
  <c r="L561" i="50" s="1"/>
  <c r="L226" i="47" s="1"/>
  <c r="X325" i="37"/>
  <c r="L519" i="37"/>
  <c r="L522" i="37" s="1"/>
  <c r="L696" i="50" s="1"/>
  <c r="M644" i="50" s="1"/>
  <c r="L473" i="47"/>
  <c r="L475" i="47" s="1"/>
  <c r="L354" i="37"/>
  <c r="L1083" i="50" l="1"/>
  <c r="M1031" i="50"/>
  <c r="L955" i="50"/>
  <c r="M903" i="50"/>
  <c r="L827" i="50"/>
  <c r="M775" i="50"/>
  <c r="L228" i="47"/>
  <c r="L229" i="47"/>
  <c r="L41" i="37"/>
  <c r="L43" i="37" s="1"/>
  <c r="L238" i="37"/>
  <c r="L240" i="37" s="1"/>
  <c r="L73" i="37"/>
  <c r="L75" i="37" s="1"/>
  <c r="X229" i="47"/>
  <c r="L476" i="47"/>
  <c r="L698" i="50" s="1"/>
  <c r="M646" i="50" s="1"/>
  <c r="Y469" i="47"/>
  <c r="M469" i="47" s="1"/>
  <c r="Y234" i="37"/>
  <c r="M234" i="37" s="1"/>
  <c r="X44" i="37"/>
  <c r="X76" i="37"/>
  <c r="L356" i="37"/>
  <c r="X357" i="37"/>
  <c r="L325" i="37"/>
  <c r="L694" i="50" s="1"/>
  <c r="Y318" i="37"/>
  <c r="L521" i="37"/>
  <c r="Y515" i="37" s="1"/>
  <c r="X476" i="47"/>
  <c r="L241" i="37" l="1"/>
  <c r="L568" i="50" s="1"/>
  <c r="M516" i="50" s="1"/>
  <c r="M642" i="50"/>
  <c r="L44" i="37"/>
  <c r="L566" i="50" s="1"/>
  <c r="Y37" i="37"/>
  <c r="M318" i="37"/>
  <c r="Y319" i="37" s="1"/>
  <c r="M319" i="37" s="1"/>
  <c r="L357" i="37"/>
  <c r="L695" i="50" s="1"/>
  <c r="M643" i="50" s="1"/>
  <c r="Y350" i="37"/>
  <c r="M350" i="37" s="1"/>
  <c r="Y351" i="37" s="1"/>
  <c r="M351" i="37" s="1"/>
  <c r="L76" i="37"/>
  <c r="L567" i="50" s="1"/>
  <c r="M515" i="50" s="1"/>
  <c r="Y69" i="37"/>
  <c r="L569" i="50"/>
  <c r="M517" i="50" s="1"/>
  <c r="M1195" i="50" l="1"/>
  <c r="M1067" i="50"/>
  <c r="M1072" i="50" s="1"/>
  <c r="M1073" i="50" s="1"/>
  <c r="M939" i="50"/>
  <c r="M944" i="50" s="1"/>
  <c r="M945" i="50" s="1"/>
  <c r="M1451" i="50"/>
  <c r="M1323" i="50"/>
  <c r="M1579" i="50"/>
  <c r="M1707" i="50"/>
  <c r="M811" i="50"/>
  <c r="M816" i="50" s="1"/>
  <c r="M817" i="50" s="1"/>
  <c r="M1548" i="50"/>
  <c r="M1036" i="50"/>
  <c r="M1292" i="50"/>
  <c r="M1420" i="50"/>
  <c r="M1164" i="50"/>
  <c r="M1676" i="50"/>
  <c r="M908" i="50"/>
  <c r="M780" i="50"/>
  <c r="M652" i="50"/>
  <c r="M659" i="50"/>
  <c r="M683" i="50"/>
  <c r="L699" i="50"/>
  <c r="M682" i="50"/>
  <c r="M647" i="50"/>
  <c r="L571" i="50"/>
  <c r="M514" i="50"/>
  <c r="M519" i="50" s="1"/>
  <c r="M37" i="37"/>
  <c r="Y38" i="37" s="1"/>
  <c r="M38" i="37" s="1"/>
  <c r="M653" i="50" s="1"/>
  <c r="M524" i="50"/>
  <c r="M1165" i="37" l="1"/>
  <c r="M1167" i="37" s="1"/>
  <c r="M1168" i="37" s="1"/>
  <c r="M1362" i="37"/>
  <c r="M1197" i="37"/>
  <c r="M1199" i="37" s="1"/>
  <c r="M1200" i="37" s="1"/>
  <c r="M1081" i="37"/>
  <c r="M884" i="37"/>
  <c r="M886" i="37" s="1"/>
  <c r="M887" i="37" s="1"/>
  <c r="M916" i="37"/>
  <c r="M918" i="37" s="1"/>
  <c r="M919" i="37" s="1"/>
  <c r="M635" i="37"/>
  <c r="M637" i="37" s="1"/>
  <c r="M638" i="37" s="1"/>
  <c r="M603" i="37"/>
  <c r="M605" i="37" s="1"/>
  <c r="M606" i="37" s="1"/>
  <c r="M800" i="37"/>
  <c r="L2421" i="50"/>
  <c r="L2473" i="50" s="1"/>
  <c r="L2430" i="50"/>
  <c r="L2482" i="50" s="1"/>
  <c r="L2424" i="50"/>
  <c r="L2476" i="50" s="1"/>
  <c r="L2428" i="50"/>
  <c r="L2480" i="50" s="1"/>
  <c r="L2429" i="50"/>
  <c r="L2481" i="50" s="1"/>
  <c r="L2426" i="50"/>
  <c r="L2478" i="50" s="1"/>
  <c r="L2427" i="50"/>
  <c r="L2479" i="50" s="1"/>
  <c r="L2425" i="50"/>
  <c r="L2477" i="50" s="1"/>
  <c r="L2423" i="50"/>
  <c r="L2475" i="50" s="1"/>
  <c r="M1677" i="50"/>
  <c r="M1037" i="50"/>
  <c r="M1421" i="50"/>
  <c r="M1165" i="50"/>
  <c r="M1549" i="50"/>
  <c r="M1293" i="50"/>
  <c r="M909" i="50"/>
  <c r="M781" i="50"/>
  <c r="M688" i="50"/>
  <c r="M689" i="50" s="1"/>
  <c r="V699" i="50"/>
  <c r="U699" i="50"/>
  <c r="L2422" i="50"/>
  <c r="L2474" i="50" s="1"/>
  <c r="M525" i="50"/>
  <c r="M554" i="50"/>
  <c r="M560" i="50" s="1"/>
  <c r="M561" i="50" s="1"/>
  <c r="M226" i="47" s="1"/>
  <c r="M1079" i="50" l="1"/>
  <c r="N1027" i="50" s="1"/>
  <c r="M1364" i="37"/>
  <c r="M1365" i="37"/>
  <c r="M1078" i="50"/>
  <c r="M951" i="50"/>
  <c r="N899" i="50" s="1"/>
  <c r="M950" i="50"/>
  <c r="M1083" i="37"/>
  <c r="M1084" i="37"/>
  <c r="M802" i="37"/>
  <c r="Z796" i="37" s="1"/>
  <c r="M803" i="37"/>
  <c r="M822" i="50"/>
  <c r="M823" i="50"/>
  <c r="N771" i="50" s="1"/>
  <c r="M228" i="47"/>
  <c r="M229" i="47" s="1"/>
  <c r="Y229" i="47"/>
  <c r="M519" i="37"/>
  <c r="M322" i="37"/>
  <c r="M324" i="37" s="1"/>
  <c r="M354" i="37"/>
  <c r="M473" i="47"/>
  <c r="M238" i="37"/>
  <c r="M240" i="37" s="1"/>
  <c r="M73" i="37"/>
  <c r="M41" i="37"/>
  <c r="M43" i="37" s="1"/>
  <c r="M1080" i="50" l="1"/>
  <c r="N1028" i="50" s="1"/>
  <c r="N1026" i="50"/>
  <c r="N898" i="50"/>
  <c r="M952" i="50"/>
  <c r="N900" i="50" s="1"/>
  <c r="N770" i="50"/>
  <c r="M824" i="50"/>
  <c r="N772" i="50" s="1"/>
  <c r="M569" i="50"/>
  <c r="N517" i="50" s="1"/>
  <c r="Y476" i="47"/>
  <c r="M475" i="47"/>
  <c r="M356" i="37"/>
  <c r="Y357" i="37"/>
  <c r="Y44" i="37"/>
  <c r="M75" i="37"/>
  <c r="Y76" i="37"/>
  <c r="Y325" i="37"/>
  <c r="M241" i="37"/>
  <c r="M568" i="50" s="1"/>
  <c r="N516" i="50" s="1"/>
  <c r="Z234" i="37"/>
  <c r="M521" i="37"/>
  <c r="Z515" i="37" s="1"/>
  <c r="M522" i="37"/>
  <c r="M696" i="50" s="1"/>
  <c r="N644" i="50" s="1"/>
  <c r="M1083" i="50" l="1"/>
  <c r="N1031" i="50"/>
  <c r="M955" i="50"/>
  <c r="N903" i="50"/>
  <c r="M827" i="50"/>
  <c r="N775" i="50"/>
  <c r="N537" i="50"/>
  <c r="N557" i="50"/>
  <c r="M325" i="37"/>
  <c r="M694" i="50" s="1"/>
  <c r="Z318" i="37"/>
  <c r="M44" i="37"/>
  <c r="M566" i="50" s="1"/>
  <c r="Z37" i="37"/>
  <c r="M476" i="47"/>
  <c r="M698" i="50" s="1"/>
  <c r="N646" i="50" s="1"/>
  <c r="Z469" i="47"/>
  <c r="N469" i="47" s="1"/>
  <c r="M76" i="37"/>
  <c r="M567" i="50" s="1"/>
  <c r="N515" i="50" s="1"/>
  <c r="Z69" i="37"/>
  <c r="M357" i="37"/>
  <c r="M695" i="50" s="1"/>
  <c r="N643" i="50" s="1"/>
  <c r="Z350" i="37"/>
  <c r="N350" i="37" s="1"/>
  <c r="Z351" i="37" s="1"/>
  <c r="N351" i="37" s="1"/>
  <c r="N1707" i="50" l="1"/>
  <c r="N1323" i="50"/>
  <c r="N1579" i="50"/>
  <c r="N1451" i="50"/>
  <c r="N939" i="50"/>
  <c r="N944" i="50" s="1"/>
  <c r="N945" i="50" s="1"/>
  <c r="N1195" i="50"/>
  <c r="N1067" i="50"/>
  <c r="N1072" i="50" s="1"/>
  <c r="N1073" i="50" s="1"/>
  <c r="N811" i="50"/>
  <c r="N816" i="50" s="1"/>
  <c r="N817" i="50" s="1"/>
  <c r="N652" i="50"/>
  <c r="N1548" i="50"/>
  <c r="N1164" i="50"/>
  <c r="N908" i="50"/>
  <c r="N1292" i="50"/>
  <c r="N1676" i="50"/>
  <c r="N1420" i="50"/>
  <c r="N1036" i="50"/>
  <c r="N780" i="50"/>
  <c r="N659" i="50"/>
  <c r="N683" i="50"/>
  <c r="N642" i="50"/>
  <c r="N647" i="50" s="1"/>
  <c r="M699" i="50"/>
  <c r="M571" i="50"/>
  <c r="N514" i="50"/>
  <c r="N519" i="50" s="1"/>
  <c r="N37" i="37"/>
  <c r="Z38" i="37" s="1"/>
  <c r="N38" i="37" s="1"/>
  <c r="N524" i="50"/>
  <c r="N318" i="37"/>
  <c r="Z319" i="37" s="1"/>
  <c r="N319" i="37" s="1"/>
  <c r="N1362" i="37" l="1"/>
  <c r="N1197" i="37"/>
  <c r="N1199" i="37" s="1"/>
  <c r="N1200" i="37" s="1"/>
  <c r="N1165" i="37"/>
  <c r="N1167" i="37" s="1"/>
  <c r="N1168" i="37" s="1"/>
  <c r="N916" i="37"/>
  <c r="N918" i="37" s="1"/>
  <c r="N919" i="37" s="1"/>
  <c r="N1081" i="37"/>
  <c r="N884" i="37"/>
  <c r="N886" i="37" s="1"/>
  <c r="N887" i="37" s="1"/>
  <c r="N603" i="37"/>
  <c r="N605" i="37" s="1"/>
  <c r="N606" i="37" s="1"/>
  <c r="N800" i="37"/>
  <c r="N635" i="37"/>
  <c r="N637" i="37" s="1"/>
  <c r="N638" i="37" s="1"/>
  <c r="M2422" i="50"/>
  <c r="M2474" i="50" s="1"/>
  <c r="N909" i="50"/>
  <c r="N1677" i="50"/>
  <c r="N1549" i="50"/>
  <c r="N1293" i="50"/>
  <c r="N1421" i="50"/>
  <c r="N1165" i="50"/>
  <c r="N1037" i="50"/>
  <c r="N781" i="50"/>
  <c r="M2421" i="50"/>
  <c r="M2473" i="50" s="1"/>
  <c r="M2426" i="50"/>
  <c r="M2478" i="50" s="1"/>
  <c r="M2424" i="50"/>
  <c r="M2476" i="50" s="1"/>
  <c r="M2428" i="50"/>
  <c r="M2480" i="50" s="1"/>
  <c r="M2429" i="50"/>
  <c r="M2481" i="50" s="1"/>
  <c r="M2427" i="50"/>
  <c r="M2479" i="50" s="1"/>
  <c r="M2425" i="50"/>
  <c r="M2477" i="50" s="1"/>
  <c r="M2430" i="50"/>
  <c r="M2482" i="50" s="1"/>
  <c r="M2423" i="50"/>
  <c r="M2475" i="50" s="1"/>
  <c r="N682" i="50"/>
  <c r="N688" i="50" s="1"/>
  <c r="N689" i="50" s="1"/>
  <c r="N653" i="50"/>
  <c r="N525" i="50"/>
  <c r="N554" i="50"/>
  <c r="N560" i="50" s="1"/>
  <c r="N561" i="50" s="1"/>
  <c r="N226" i="47" s="1"/>
  <c r="N1078" i="50" l="1"/>
  <c r="AK1168" i="37"/>
  <c r="N1079" i="50"/>
  <c r="AK1200" i="37"/>
  <c r="N1364" i="37"/>
  <c r="N1365" i="37"/>
  <c r="N950" i="50"/>
  <c r="AK887" i="37"/>
  <c r="N1083" i="37"/>
  <c r="N1084" i="37"/>
  <c r="N951" i="50"/>
  <c r="AK919" i="37"/>
  <c r="N823" i="50"/>
  <c r="AK638" i="37"/>
  <c r="N803" i="37"/>
  <c r="N802" i="37"/>
  <c r="N822" i="50"/>
  <c r="AK606" i="37"/>
  <c r="Z229" i="47"/>
  <c r="N228" i="47"/>
  <c r="N229" i="47" s="1"/>
  <c r="N519" i="37"/>
  <c r="N473" i="47"/>
  <c r="N354" i="37"/>
  <c r="N322" i="37"/>
  <c r="N324" i="37" s="1"/>
  <c r="N73" i="37"/>
  <c r="N238" i="37"/>
  <c r="N240" i="37" s="1"/>
  <c r="N241" i="37" s="1"/>
  <c r="N41" i="37"/>
  <c r="N43" i="37" s="1"/>
  <c r="N1080" i="50" l="1"/>
  <c r="N1083" i="50" s="1"/>
  <c r="AK1365" i="37"/>
  <c r="N952" i="50"/>
  <c r="N955" i="50" s="1"/>
  <c r="AK1084" i="37"/>
  <c r="N824" i="50"/>
  <c r="N827" i="50" s="1"/>
  <c r="AK803" i="37"/>
  <c r="N44" i="37"/>
  <c r="Z44" i="37"/>
  <c r="N325" i="37"/>
  <c r="N694" i="50" s="1"/>
  <c r="Z325" i="37"/>
  <c r="N568" i="50"/>
  <c r="AK241" i="37"/>
  <c r="N356" i="37"/>
  <c r="N357" i="37" s="1"/>
  <c r="N695" i="50" s="1"/>
  <c r="Z357" i="37"/>
  <c r="N75" i="37"/>
  <c r="N76" i="37" s="1"/>
  <c r="Z76" i="37"/>
  <c r="N475" i="47"/>
  <c r="N476" i="47" s="1"/>
  <c r="N698" i="50" s="1"/>
  <c r="Z476" i="47"/>
  <c r="N569" i="50"/>
  <c r="N521" i="37"/>
  <c r="N522" i="37"/>
  <c r="N696" i="50" s="1"/>
  <c r="K2443" i="50"/>
  <c r="K2434" i="50" s="1"/>
  <c r="N699" i="50" l="1"/>
  <c r="N567" i="50"/>
  <c r="AK76" i="37"/>
  <c r="AK522" i="37"/>
  <c r="AK357" i="37"/>
  <c r="AK325" i="37"/>
  <c r="N566" i="50"/>
  <c r="AK44" i="37"/>
  <c r="L2443" i="50"/>
  <c r="L2434" i="50" s="1"/>
  <c r="K2486" i="50"/>
  <c r="J2493" i="50"/>
  <c r="J2441" i="50"/>
  <c r="N571" i="50" l="1"/>
  <c r="N2422" i="50" s="1"/>
  <c r="G2848" i="37"/>
  <c r="G2855" i="37"/>
  <c r="G2851" i="37"/>
  <c r="G2854" i="37"/>
  <c r="G2856" i="37"/>
  <c r="G2847" i="37"/>
  <c r="G2852" i="37"/>
  <c r="G2850" i="37"/>
  <c r="G2849" i="37"/>
  <c r="G2853" i="37"/>
  <c r="U571" i="50"/>
  <c r="V571" i="50"/>
  <c r="K2493" i="50"/>
  <c r="K2441" i="50"/>
  <c r="M2443" i="50"/>
  <c r="M2434" i="50" s="1"/>
  <c r="L2486" i="50"/>
  <c r="N2421" i="50" l="1"/>
  <c r="N2473" i="50" s="1"/>
  <c r="N2430" i="50"/>
  <c r="N2482" i="50" s="1"/>
  <c r="N2427" i="50"/>
  <c r="N2479" i="50" s="1"/>
  <c r="N2428" i="50"/>
  <c r="N2480" i="50" s="1"/>
  <c r="N2424" i="50"/>
  <c r="N2476" i="50" s="1"/>
  <c r="N2426" i="50"/>
  <c r="N2478" i="50" s="1"/>
  <c r="N2425" i="50"/>
  <c r="N2477" i="50" s="1"/>
  <c r="N2429" i="50"/>
  <c r="N2481" i="50" s="1"/>
  <c r="N2423" i="50"/>
  <c r="N2475" i="50" s="1"/>
  <c r="G2857" i="37"/>
  <c r="K2514" i="50"/>
  <c r="N2474" i="50"/>
  <c r="L2493" i="50"/>
  <c r="L2441" i="50"/>
  <c r="N2443" i="50"/>
  <c r="M2486" i="50"/>
  <c r="N2434" i="50" l="1"/>
  <c r="N2486" i="50" s="1"/>
  <c r="N2493" i="50" s="1"/>
  <c r="M2493" i="50"/>
  <c r="M2441" i="50"/>
  <c r="N2441" i="5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Fallmann Hubert</author>
  </authors>
  <commentList>
    <comment ref="H422" authorId="0" shapeId="0" xr:uid="{00000000-0006-0000-0300-000001000000}">
      <text>
        <r>
          <rPr>
            <b/>
            <sz val="9"/>
            <color indexed="81"/>
            <rFont val="Tahoma"/>
            <family val="2"/>
          </rPr>
          <t>Needed for heat sub-installation, and for nitric acid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Heller Christian</author>
    <author>Fallmann Hubert</author>
    <author>Heller</author>
  </authors>
  <commentList>
    <comment ref="AA13" authorId="0" shapeId="0" xr:uid="{00000000-0006-0000-0700-000001000000}">
      <text>
        <r>
          <rPr>
            <sz val="9"/>
            <color indexed="81"/>
            <rFont val="Segoe UI"/>
            <family val="2"/>
          </rPr>
          <t>for the first not yet FULL year of operation</t>
        </r>
      </text>
    </comment>
    <comment ref="R25" authorId="1" shapeId="0" xr:uid="{00000000-0006-0000-0700-000002000000}">
      <text>
        <r>
          <rPr>
            <sz val="9"/>
            <color indexed="81"/>
            <rFont val="Tahoma"/>
            <family val="2"/>
          </rPr>
          <t>special reporting, exception = BM 47 (VCM)</t>
        </r>
      </text>
    </comment>
    <comment ref="U38" authorId="2" shapeId="0" xr:uid="{00000000-0006-0000-0700-000003000000}">
      <text>
        <r>
          <rPr>
            <sz val="9"/>
            <color indexed="81"/>
            <rFont val="Tahoma"/>
            <family val="2"/>
          </rPr>
          <t>only if AAL is calculated for that year</t>
        </r>
      </text>
    </comment>
    <comment ref="S185" authorId="2" shapeId="0" xr:uid="{00000000-0006-0000-0700-000004000000}">
      <text>
        <r>
          <rPr>
            <b/>
            <sz val="9"/>
            <color indexed="81"/>
            <rFont val="Tahoma"/>
            <family val="2"/>
          </rPr>
          <t>1= BM applied --&gt; not used for attr. emissions</t>
        </r>
      </text>
    </comment>
    <comment ref="S193" authorId="2" shapeId="0" xr:uid="{00000000-0006-0000-0700-000005000000}">
      <text>
        <r>
          <rPr>
            <b/>
            <sz val="9"/>
            <color indexed="81"/>
            <rFont val="Tahoma"/>
            <family val="2"/>
          </rPr>
          <t>1= BM applied --&gt; not used for attr. emissions</t>
        </r>
      </text>
    </comment>
    <comment ref="S228" authorId="0" shapeId="0" xr:uid="{00000000-0006-0000-0700-000006000000}">
      <text>
        <r>
          <rPr>
            <sz val="9"/>
            <color indexed="81"/>
            <rFont val="Segoe UI"/>
            <family val="2"/>
          </rPr>
          <t>WG rule only applicable as of 2026</t>
        </r>
      </text>
    </comment>
    <comment ref="S250" authorId="2" shapeId="0" xr:uid="{00000000-0006-0000-0700-000007000000}">
      <text>
        <r>
          <rPr>
            <b/>
            <sz val="9"/>
            <color indexed="81"/>
            <rFont val="Tahoma"/>
            <family val="2"/>
          </rPr>
          <t>1= BM applied --&gt; not used for attr. emissions</t>
        </r>
      </text>
    </comment>
    <comment ref="AA294" authorId="0" shapeId="0" xr:uid="{00000000-0006-0000-0700-000008000000}">
      <text>
        <r>
          <rPr>
            <sz val="9"/>
            <color indexed="81"/>
            <rFont val="Segoe UI"/>
            <family val="2"/>
          </rPr>
          <t>for the first not yet FULL year of operation</t>
        </r>
      </text>
    </comment>
    <comment ref="R306" authorId="1" shapeId="0" xr:uid="{00000000-0006-0000-0700-000009000000}">
      <text>
        <r>
          <rPr>
            <sz val="9"/>
            <color indexed="81"/>
            <rFont val="Tahoma"/>
            <family val="2"/>
          </rPr>
          <t>special reporting, exception = BM 47 (VCM)</t>
        </r>
      </text>
    </comment>
    <comment ref="U319" authorId="2" shapeId="0" xr:uid="{00000000-0006-0000-0700-00000A000000}">
      <text>
        <r>
          <rPr>
            <sz val="9"/>
            <color indexed="81"/>
            <rFont val="Tahoma"/>
            <family val="2"/>
          </rPr>
          <t>only if AAL is calculated for that year</t>
        </r>
      </text>
    </comment>
    <comment ref="S466" authorId="2" shapeId="0" xr:uid="{00000000-0006-0000-0700-00000B000000}">
      <text>
        <r>
          <rPr>
            <b/>
            <sz val="9"/>
            <color indexed="81"/>
            <rFont val="Tahoma"/>
            <family val="2"/>
          </rPr>
          <t>1= BM applied --&gt; not used for attr. emissions</t>
        </r>
      </text>
    </comment>
    <comment ref="S474" authorId="2" shapeId="0" xr:uid="{00000000-0006-0000-0700-00000C000000}">
      <text>
        <r>
          <rPr>
            <b/>
            <sz val="9"/>
            <color indexed="81"/>
            <rFont val="Tahoma"/>
            <family val="2"/>
          </rPr>
          <t>1= BM applied --&gt; not used for attr. emissions</t>
        </r>
      </text>
    </comment>
    <comment ref="S509" authorId="0" shapeId="0" xr:uid="{00000000-0006-0000-0700-00000D000000}">
      <text>
        <r>
          <rPr>
            <sz val="9"/>
            <color indexed="81"/>
            <rFont val="Segoe UI"/>
            <family val="2"/>
          </rPr>
          <t>WG rule only applicable as of 2026</t>
        </r>
      </text>
    </comment>
    <comment ref="S531" authorId="2" shapeId="0" xr:uid="{00000000-0006-0000-0700-00000E000000}">
      <text>
        <r>
          <rPr>
            <b/>
            <sz val="9"/>
            <color indexed="81"/>
            <rFont val="Tahoma"/>
            <family val="2"/>
          </rPr>
          <t>1= BM applied --&gt; not used for attr. emissions</t>
        </r>
      </text>
    </comment>
    <comment ref="AA575" authorId="0" shapeId="0" xr:uid="{00000000-0006-0000-0700-00000F000000}">
      <text>
        <r>
          <rPr>
            <sz val="9"/>
            <color indexed="81"/>
            <rFont val="Segoe UI"/>
            <family val="2"/>
          </rPr>
          <t>for the first not yet FULL year of operation</t>
        </r>
      </text>
    </comment>
    <comment ref="R587" authorId="1" shapeId="0" xr:uid="{00000000-0006-0000-0700-000010000000}">
      <text>
        <r>
          <rPr>
            <sz val="9"/>
            <color indexed="81"/>
            <rFont val="Tahoma"/>
            <family val="2"/>
          </rPr>
          <t>special reporting, exception = BM 47 (VCM)</t>
        </r>
      </text>
    </comment>
    <comment ref="U600" authorId="2" shapeId="0" xr:uid="{00000000-0006-0000-0700-000011000000}">
      <text>
        <r>
          <rPr>
            <sz val="9"/>
            <color indexed="81"/>
            <rFont val="Tahoma"/>
            <family val="2"/>
          </rPr>
          <t>only if AAL is calculated for that year</t>
        </r>
      </text>
    </comment>
    <comment ref="S747" authorId="2" shapeId="0" xr:uid="{00000000-0006-0000-0700-000012000000}">
      <text>
        <r>
          <rPr>
            <b/>
            <sz val="9"/>
            <color indexed="81"/>
            <rFont val="Tahoma"/>
            <family val="2"/>
          </rPr>
          <t>1= BM applied --&gt; not used for attr. emissions</t>
        </r>
      </text>
    </comment>
    <comment ref="S755" authorId="2" shapeId="0" xr:uid="{00000000-0006-0000-0700-000013000000}">
      <text>
        <r>
          <rPr>
            <b/>
            <sz val="9"/>
            <color indexed="81"/>
            <rFont val="Tahoma"/>
            <family val="2"/>
          </rPr>
          <t>1= BM applied --&gt; not used for attr. emissions</t>
        </r>
      </text>
    </comment>
    <comment ref="S790" authorId="0" shapeId="0" xr:uid="{00000000-0006-0000-0700-000014000000}">
      <text>
        <r>
          <rPr>
            <sz val="9"/>
            <color indexed="81"/>
            <rFont val="Segoe UI"/>
            <family val="2"/>
          </rPr>
          <t>WG rule only applicable as of 2026</t>
        </r>
      </text>
    </comment>
    <comment ref="S812" authorId="2" shapeId="0" xr:uid="{00000000-0006-0000-0700-000015000000}">
      <text>
        <r>
          <rPr>
            <b/>
            <sz val="9"/>
            <color indexed="81"/>
            <rFont val="Tahoma"/>
            <family val="2"/>
          </rPr>
          <t>1= BM applied --&gt; not used for attr. emissions</t>
        </r>
      </text>
    </comment>
    <comment ref="AA856" authorId="0" shapeId="0" xr:uid="{00000000-0006-0000-0700-000016000000}">
      <text>
        <r>
          <rPr>
            <sz val="9"/>
            <color indexed="81"/>
            <rFont val="Segoe UI"/>
            <family val="2"/>
          </rPr>
          <t>for the first not yet FULL year of operation</t>
        </r>
      </text>
    </comment>
    <comment ref="R868" authorId="1" shapeId="0" xr:uid="{00000000-0006-0000-0700-000017000000}">
      <text>
        <r>
          <rPr>
            <sz val="9"/>
            <color indexed="81"/>
            <rFont val="Tahoma"/>
            <family val="2"/>
          </rPr>
          <t>special reporting, exception = BM 47 (VCM)</t>
        </r>
      </text>
    </comment>
    <comment ref="U881" authorId="2" shapeId="0" xr:uid="{00000000-0006-0000-0700-000018000000}">
      <text>
        <r>
          <rPr>
            <sz val="9"/>
            <color indexed="81"/>
            <rFont val="Tahoma"/>
            <family val="2"/>
          </rPr>
          <t>only if AAL is calculated for that year</t>
        </r>
      </text>
    </comment>
    <comment ref="S1028" authorId="2" shapeId="0" xr:uid="{00000000-0006-0000-0700-000019000000}">
      <text>
        <r>
          <rPr>
            <b/>
            <sz val="9"/>
            <color indexed="81"/>
            <rFont val="Tahoma"/>
            <family val="2"/>
          </rPr>
          <t>1= BM applied --&gt; not used for attr. emissions</t>
        </r>
      </text>
    </comment>
    <comment ref="S1036" authorId="2" shapeId="0" xr:uid="{00000000-0006-0000-0700-00001A000000}">
      <text>
        <r>
          <rPr>
            <b/>
            <sz val="9"/>
            <color indexed="81"/>
            <rFont val="Tahoma"/>
            <family val="2"/>
          </rPr>
          <t>1= BM applied --&gt; not used for attr. emissions</t>
        </r>
      </text>
    </comment>
    <comment ref="S1071" authorId="0" shapeId="0" xr:uid="{00000000-0006-0000-0700-00001B000000}">
      <text>
        <r>
          <rPr>
            <sz val="9"/>
            <color indexed="81"/>
            <rFont val="Segoe UI"/>
            <family val="2"/>
          </rPr>
          <t>WG rule only applicable as of 2026</t>
        </r>
      </text>
    </comment>
    <comment ref="S1093" authorId="2" shapeId="0" xr:uid="{00000000-0006-0000-0700-00001C000000}">
      <text>
        <r>
          <rPr>
            <b/>
            <sz val="9"/>
            <color indexed="81"/>
            <rFont val="Tahoma"/>
            <family val="2"/>
          </rPr>
          <t>1= BM applied --&gt; not used for attr. emissions</t>
        </r>
      </text>
    </comment>
    <comment ref="AA1137" authorId="0" shapeId="0" xr:uid="{00000000-0006-0000-0700-00001D000000}">
      <text>
        <r>
          <rPr>
            <sz val="9"/>
            <color indexed="81"/>
            <rFont val="Segoe UI"/>
            <family val="2"/>
          </rPr>
          <t>for the first not yet FULL year of operation</t>
        </r>
      </text>
    </comment>
    <comment ref="R1149" authorId="1" shapeId="0" xr:uid="{00000000-0006-0000-0700-00001E000000}">
      <text>
        <r>
          <rPr>
            <sz val="9"/>
            <color indexed="81"/>
            <rFont val="Tahoma"/>
            <family val="2"/>
          </rPr>
          <t>special reporting, exception = BM 47 (VCM)</t>
        </r>
      </text>
    </comment>
    <comment ref="U1162" authorId="2" shapeId="0" xr:uid="{00000000-0006-0000-0700-00001F000000}">
      <text>
        <r>
          <rPr>
            <sz val="9"/>
            <color indexed="81"/>
            <rFont val="Tahoma"/>
            <family val="2"/>
          </rPr>
          <t>only if AAL is calculated for that year</t>
        </r>
      </text>
    </comment>
    <comment ref="S1309" authorId="2" shapeId="0" xr:uid="{00000000-0006-0000-0700-000020000000}">
      <text>
        <r>
          <rPr>
            <b/>
            <sz val="9"/>
            <color indexed="81"/>
            <rFont val="Tahoma"/>
            <family val="2"/>
          </rPr>
          <t>1= BM applied --&gt; not used for attr. emissions</t>
        </r>
      </text>
    </comment>
    <comment ref="S1317" authorId="2" shapeId="0" xr:uid="{00000000-0006-0000-0700-000021000000}">
      <text>
        <r>
          <rPr>
            <b/>
            <sz val="9"/>
            <color indexed="81"/>
            <rFont val="Tahoma"/>
            <family val="2"/>
          </rPr>
          <t>1= BM applied --&gt; not used for attr. emissions</t>
        </r>
      </text>
    </comment>
    <comment ref="S1352" authorId="0" shapeId="0" xr:uid="{00000000-0006-0000-0700-000022000000}">
      <text>
        <r>
          <rPr>
            <sz val="9"/>
            <color indexed="81"/>
            <rFont val="Segoe UI"/>
            <family val="2"/>
          </rPr>
          <t>WG rule only applicable as of 2026</t>
        </r>
      </text>
    </comment>
    <comment ref="S1374" authorId="2" shapeId="0" xr:uid="{00000000-0006-0000-0700-000023000000}">
      <text>
        <r>
          <rPr>
            <b/>
            <sz val="9"/>
            <color indexed="81"/>
            <rFont val="Tahoma"/>
            <family val="2"/>
          </rPr>
          <t>1= BM applied --&gt; not used for attr. emissions</t>
        </r>
      </text>
    </comment>
    <comment ref="AA1418" authorId="0" shapeId="0" xr:uid="{00000000-0006-0000-0700-000024000000}">
      <text>
        <r>
          <rPr>
            <sz val="9"/>
            <color indexed="81"/>
            <rFont val="Segoe UI"/>
            <family val="2"/>
          </rPr>
          <t>for the first not yet FULL year of operation</t>
        </r>
      </text>
    </comment>
    <comment ref="R1430" authorId="1" shapeId="0" xr:uid="{00000000-0006-0000-0700-000025000000}">
      <text>
        <r>
          <rPr>
            <sz val="9"/>
            <color indexed="81"/>
            <rFont val="Tahoma"/>
            <family val="2"/>
          </rPr>
          <t>special reporting, exception = BM 47 (VCM)</t>
        </r>
      </text>
    </comment>
    <comment ref="U1443" authorId="2" shapeId="0" xr:uid="{00000000-0006-0000-0700-000026000000}">
      <text>
        <r>
          <rPr>
            <sz val="9"/>
            <color indexed="81"/>
            <rFont val="Tahoma"/>
            <family val="2"/>
          </rPr>
          <t>only if AAL is calculated for that year</t>
        </r>
      </text>
    </comment>
    <comment ref="S1590" authorId="2" shapeId="0" xr:uid="{00000000-0006-0000-0700-000027000000}">
      <text>
        <r>
          <rPr>
            <b/>
            <sz val="9"/>
            <color indexed="81"/>
            <rFont val="Tahoma"/>
            <family val="2"/>
          </rPr>
          <t>1= BM applied --&gt; not used for attr. emissions</t>
        </r>
      </text>
    </comment>
    <comment ref="S1598" authorId="2" shapeId="0" xr:uid="{00000000-0006-0000-0700-000028000000}">
      <text>
        <r>
          <rPr>
            <b/>
            <sz val="9"/>
            <color indexed="81"/>
            <rFont val="Tahoma"/>
            <family val="2"/>
          </rPr>
          <t>1= BM applied --&gt; not used for attr. emissions</t>
        </r>
      </text>
    </comment>
    <comment ref="S1633" authorId="0" shapeId="0" xr:uid="{00000000-0006-0000-0700-000029000000}">
      <text>
        <r>
          <rPr>
            <sz val="9"/>
            <color indexed="81"/>
            <rFont val="Segoe UI"/>
            <family val="2"/>
          </rPr>
          <t>WG rule only applicable as of 2026</t>
        </r>
      </text>
    </comment>
    <comment ref="S1655" authorId="2" shapeId="0" xr:uid="{00000000-0006-0000-0700-00002A000000}">
      <text>
        <r>
          <rPr>
            <b/>
            <sz val="9"/>
            <color indexed="81"/>
            <rFont val="Tahoma"/>
            <family val="2"/>
          </rPr>
          <t>1= BM applied --&gt; not used for attr. emissions</t>
        </r>
      </text>
    </comment>
    <comment ref="AA1699" authorId="0" shapeId="0" xr:uid="{00000000-0006-0000-0700-00002B000000}">
      <text>
        <r>
          <rPr>
            <sz val="9"/>
            <color indexed="81"/>
            <rFont val="Segoe UI"/>
            <family val="2"/>
          </rPr>
          <t>for the first not yet FULL year of operation</t>
        </r>
      </text>
    </comment>
    <comment ref="R1711" authorId="1" shapeId="0" xr:uid="{00000000-0006-0000-0700-00002C000000}">
      <text>
        <r>
          <rPr>
            <sz val="9"/>
            <color indexed="81"/>
            <rFont val="Tahoma"/>
            <family val="2"/>
          </rPr>
          <t>special reporting, exception = BM 47 (VCM)</t>
        </r>
      </text>
    </comment>
    <comment ref="U1724" authorId="2" shapeId="0" xr:uid="{00000000-0006-0000-0700-00002D000000}">
      <text>
        <r>
          <rPr>
            <sz val="9"/>
            <color indexed="81"/>
            <rFont val="Tahoma"/>
            <family val="2"/>
          </rPr>
          <t>only if AAL is calculated for that year</t>
        </r>
      </text>
    </comment>
    <comment ref="S1871" authorId="2" shapeId="0" xr:uid="{00000000-0006-0000-0700-00002E000000}">
      <text>
        <r>
          <rPr>
            <b/>
            <sz val="9"/>
            <color indexed="81"/>
            <rFont val="Tahoma"/>
            <family val="2"/>
          </rPr>
          <t>1= BM applied --&gt; not used for attr. emissions</t>
        </r>
      </text>
    </comment>
    <comment ref="S1879" authorId="2" shapeId="0" xr:uid="{00000000-0006-0000-0700-00002F000000}">
      <text>
        <r>
          <rPr>
            <b/>
            <sz val="9"/>
            <color indexed="81"/>
            <rFont val="Tahoma"/>
            <family val="2"/>
          </rPr>
          <t>1= BM applied --&gt; not used for attr. emissions</t>
        </r>
      </text>
    </comment>
    <comment ref="S1914" authorId="0" shapeId="0" xr:uid="{00000000-0006-0000-0700-000030000000}">
      <text>
        <r>
          <rPr>
            <sz val="9"/>
            <color indexed="81"/>
            <rFont val="Segoe UI"/>
            <family val="2"/>
          </rPr>
          <t>WG rule only applicable as of 2026</t>
        </r>
      </text>
    </comment>
    <comment ref="S1936" authorId="2" shapeId="0" xr:uid="{00000000-0006-0000-0700-000031000000}">
      <text>
        <r>
          <rPr>
            <b/>
            <sz val="9"/>
            <color indexed="81"/>
            <rFont val="Tahoma"/>
            <family val="2"/>
          </rPr>
          <t>1= BM applied --&gt; not used for attr. emissions</t>
        </r>
      </text>
    </comment>
    <comment ref="AA1980" authorId="0" shapeId="0" xr:uid="{00000000-0006-0000-0700-000032000000}">
      <text>
        <r>
          <rPr>
            <sz val="9"/>
            <color indexed="81"/>
            <rFont val="Segoe UI"/>
            <family val="2"/>
          </rPr>
          <t>for the first not yet FULL year of operation</t>
        </r>
      </text>
    </comment>
    <comment ref="R1992" authorId="1" shapeId="0" xr:uid="{00000000-0006-0000-0700-000033000000}">
      <text>
        <r>
          <rPr>
            <sz val="9"/>
            <color indexed="81"/>
            <rFont val="Tahoma"/>
            <family val="2"/>
          </rPr>
          <t>special reporting, exception = BM 47 (VCM)</t>
        </r>
      </text>
    </comment>
    <comment ref="U2005" authorId="2" shapeId="0" xr:uid="{00000000-0006-0000-0700-000034000000}">
      <text>
        <r>
          <rPr>
            <sz val="9"/>
            <color indexed="81"/>
            <rFont val="Tahoma"/>
            <family val="2"/>
          </rPr>
          <t>only if AAL is calculated for that year</t>
        </r>
      </text>
    </comment>
    <comment ref="S2152" authorId="2" shapeId="0" xr:uid="{00000000-0006-0000-0700-000035000000}">
      <text>
        <r>
          <rPr>
            <b/>
            <sz val="9"/>
            <color indexed="81"/>
            <rFont val="Tahoma"/>
            <family val="2"/>
          </rPr>
          <t>1= BM applied --&gt; not used for attr. emissions</t>
        </r>
      </text>
    </comment>
    <comment ref="S2160" authorId="2" shapeId="0" xr:uid="{00000000-0006-0000-0700-000036000000}">
      <text>
        <r>
          <rPr>
            <b/>
            <sz val="9"/>
            <color indexed="81"/>
            <rFont val="Tahoma"/>
            <family val="2"/>
          </rPr>
          <t>1= BM applied --&gt; not used for attr. emissions</t>
        </r>
      </text>
    </comment>
    <comment ref="S2195" authorId="0" shapeId="0" xr:uid="{00000000-0006-0000-0700-000037000000}">
      <text>
        <r>
          <rPr>
            <sz val="9"/>
            <color indexed="81"/>
            <rFont val="Segoe UI"/>
            <family val="2"/>
          </rPr>
          <t>WG rule only applicable as of 2026</t>
        </r>
      </text>
    </comment>
    <comment ref="S2217" authorId="2" shapeId="0" xr:uid="{00000000-0006-0000-0700-000038000000}">
      <text>
        <r>
          <rPr>
            <b/>
            <sz val="9"/>
            <color indexed="81"/>
            <rFont val="Tahoma"/>
            <family val="2"/>
          </rPr>
          <t>1= BM applied --&gt; not used for attr. emissions</t>
        </r>
      </text>
    </comment>
    <comment ref="AA2261" authorId="0" shapeId="0" xr:uid="{00000000-0006-0000-0700-000039000000}">
      <text>
        <r>
          <rPr>
            <sz val="9"/>
            <color indexed="81"/>
            <rFont val="Segoe UI"/>
            <family val="2"/>
          </rPr>
          <t>for the first not yet FULL year of operation</t>
        </r>
      </text>
    </comment>
    <comment ref="R2273" authorId="1" shapeId="0" xr:uid="{00000000-0006-0000-0700-00003A000000}">
      <text>
        <r>
          <rPr>
            <sz val="9"/>
            <color indexed="81"/>
            <rFont val="Tahoma"/>
            <family val="2"/>
          </rPr>
          <t>special reporting, exception = BM 47 (VCM)</t>
        </r>
      </text>
    </comment>
    <comment ref="U2286" authorId="2" shapeId="0" xr:uid="{00000000-0006-0000-0700-00003B000000}">
      <text>
        <r>
          <rPr>
            <sz val="9"/>
            <color indexed="81"/>
            <rFont val="Tahoma"/>
            <family val="2"/>
          </rPr>
          <t>only if AAL is calculated for that year</t>
        </r>
      </text>
    </comment>
    <comment ref="S2433" authorId="2" shapeId="0" xr:uid="{00000000-0006-0000-0700-00003C000000}">
      <text>
        <r>
          <rPr>
            <b/>
            <sz val="9"/>
            <color indexed="81"/>
            <rFont val="Tahoma"/>
            <family val="2"/>
          </rPr>
          <t>1= BM applied --&gt; not used for attr. emissions</t>
        </r>
      </text>
    </comment>
    <comment ref="S2441" authorId="2" shapeId="0" xr:uid="{00000000-0006-0000-0700-00003D000000}">
      <text>
        <r>
          <rPr>
            <b/>
            <sz val="9"/>
            <color indexed="81"/>
            <rFont val="Tahoma"/>
            <family val="2"/>
          </rPr>
          <t>1= BM applied --&gt; not used for attr. emissions</t>
        </r>
      </text>
    </comment>
    <comment ref="S2476" authorId="0" shapeId="0" xr:uid="{00000000-0006-0000-0700-00003E000000}">
      <text>
        <r>
          <rPr>
            <sz val="9"/>
            <color indexed="81"/>
            <rFont val="Segoe UI"/>
            <family val="2"/>
          </rPr>
          <t>WG rule only applicable as of 2026</t>
        </r>
      </text>
    </comment>
    <comment ref="S2498" authorId="2" shapeId="0" xr:uid="{00000000-0006-0000-0700-00003F000000}">
      <text>
        <r>
          <rPr>
            <b/>
            <sz val="9"/>
            <color indexed="81"/>
            <rFont val="Tahoma"/>
            <family val="2"/>
          </rPr>
          <t>1= BM applied --&gt; not used for attr. emissions</t>
        </r>
      </text>
    </comment>
    <comment ref="AA2542" authorId="0" shapeId="0" xr:uid="{00000000-0006-0000-0700-000040000000}">
      <text>
        <r>
          <rPr>
            <sz val="9"/>
            <color indexed="81"/>
            <rFont val="Segoe UI"/>
            <family val="2"/>
          </rPr>
          <t>for the first not yet FULL year of operation</t>
        </r>
      </text>
    </comment>
    <comment ref="R2554" authorId="1" shapeId="0" xr:uid="{00000000-0006-0000-0700-000041000000}">
      <text>
        <r>
          <rPr>
            <sz val="9"/>
            <color indexed="81"/>
            <rFont val="Tahoma"/>
            <family val="2"/>
          </rPr>
          <t>special reporting, exception = BM 47 (VCM)</t>
        </r>
      </text>
    </comment>
    <comment ref="U2567" authorId="2" shapeId="0" xr:uid="{00000000-0006-0000-0700-000042000000}">
      <text>
        <r>
          <rPr>
            <sz val="9"/>
            <color indexed="81"/>
            <rFont val="Tahoma"/>
            <family val="2"/>
          </rPr>
          <t>only if AAL is calculated for that year</t>
        </r>
      </text>
    </comment>
    <comment ref="S2714" authorId="2" shapeId="0" xr:uid="{00000000-0006-0000-0700-000043000000}">
      <text>
        <r>
          <rPr>
            <b/>
            <sz val="9"/>
            <color indexed="81"/>
            <rFont val="Tahoma"/>
            <family val="2"/>
          </rPr>
          <t>1= BM applied --&gt; not used for attr. emissions</t>
        </r>
      </text>
    </comment>
    <comment ref="S2722" authorId="2" shapeId="0" xr:uid="{00000000-0006-0000-0700-000044000000}">
      <text>
        <r>
          <rPr>
            <b/>
            <sz val="9"/>
            <color indexed="81"/>
            <rFont val="Tahoma"/>
            <family val="2"/>
          </rPr>
          <t>1= BM applied --&gt; not used for attr. emissions</t>
        </r>
      </text>
    </comment>
    <comment ref="S2757" authorId="0" shapeId="0" xr:uid="{00000000-0006-0000-0700-000045000000}">
      <text>
        <r>
          <rPr>
            <sz val="9"/>
            <color indexed="81"/>
            <rFont val="Segoe UI"/>
            <family val="2"/>
          </rPr>
          <t>WG rule only applicable as of 2026</t>
        </r>
      </text>
    </comment>
    <comment ref="S2779" authorId="2" shapeId="0" xr:uid="{00000000-0006-0000-0700-000046000000}">
      <text>
        <r>
          <rPr>
            <b/>
            <sz val="9"/>
            <color indexed="81"/>
            <rFont val="Tahoma"/>
            <family val="2"/>
          </rPr>
          <t>1= BM applied --&gt; not used for attr. emissions</t>
        </r>
      </text>
    </comment>
    <comment ref="D2859" authorId="2" shapeId="0" xr:uid="{00000000-0006-0000-0700-000047000000}">
      <text>
        <r>
          <rPr>
            <sz val="9"/>
            <color indexed="81"/>
            <rFont val="Tahoma"/>
            <family val="2"/>
          </rPr>
          <t>INDEX($W:$W;VERGLEICH(MAX(INDIREKT(ADRESSE(1;3)&amp;":"&amp;ADRESSE(ZEILE(D12);3)));$C:$C;0))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Heller Christian</author>
    <author>Heller</author>
  </authors>
  <commentList>
    <comment ref="AA13" authorId="0" shapeId="0" xr:uid="{00000000-0006-0000-0800-000001000000}">
      <text>
        <r>
          <rPr>
            <sz val="9"/>
            <color indexed="81"/>
            <rFont val="Segoe UI"/>
            <family val="2"/>
          </rPr>
          <t>for the first not yet FULL year of operation</t>
        </r>
      </text>
    </comment>
    <comment ref="U142" authorId="1" shapeId="0" xr:uid="{00000000-0006-0000-0800-000002000000}">
      <text>
        <r>
          <rPr>
            <sz val="9"/>
            <color indexed="81"/>
            <rFont val="Tahoma"/>
            <family val="2"/>
          </rPr>
          <t>only if AAL is calculated for that year</t>
        </r>
      </text>
    </comment>
    <comment ref="S213" authorId="1" shapeId="0" xr:uid="{00000000-0006-0000-0800-000003000000}">
      <text>
        <r>
          <rPr>
            <b/>
            <sz val="9"/>
            <color indexed="81"/>
            <rFont val="Tahoma"/>
            <family val="2"/>
          </rPr>
          <t>1= BM applied --&gt; not used for attr. emissions</t>
        </r>
      </text>
    </comment>
    <comment ref="S217" authorId="1" shapeId="0" xr:uid="{00000000-0006-0000-0800-000004000000}">
      <text>
        <r>
          <rPr>
            <b/>
            <sz val="9"/>
            <color indexed="81"/>
            <rFont val="Tahoma"/>
            <family val="2"/>
          </rPr>
          <t>1= BM applied --&gt; not used for attr. emissions</t>
        </r>
      </text>
    </comment>
    <comment ref="S221" authorId="1" shapeId="0" xr:uid="{00000000-0006-0000-0800-000005000000}">
      <text>
        <r>
          <rPr>
            <b/>
            <sz val="9"/>
            <color indexed="81"/>
            <rFont val="Tahoma"/>
            <family val="2"/>
          </rPr>
          <t>1= BM applied --&gt; not used for attr. emissions</t>
        </r>
      </text>
    </comment>
    <comment ref="S225" authorId="1" shapeId="0" xr:uid="{00000000-0006-0000-0800-000006000000}">
      <text>
        <r>
          <rPr>
            <b/>
            <sz val="9"/>
            <color indexed="81"/>
            <rFont val="Tahoma"/>
            <family val="2"/>
          </rPr>
          <t>1= BM applied --&gt; not used for attr. emissions</t>
        </r>
      </text>
    </comment>
    <comment ref="S229" authorId="1" shapeId="0" xr:uid="{00000000-0006-0000-0800-000007000000}">
      <text>
        <r>
          <rPr>
            <b/>
            <sz val="9"/>
            <color indexed="81"/>
            <rFont val="Tahoma"/>
            <family val="2"/>
          </rPr>
          <t>1= BM applied --&gt; not used for attr. emissions</t>
        </r>
      </text>
    </comment>
    <comment ref="AA236" authorId="0" shapeId="0" xr:uid="{00000000-0006-0000-0800-000008000000}">
      <text>
        <r>
          <rPr>
            <sz val="9"/>
            <color indexed="81"/>
            <rFont val="Segoe UI"/>
            <family val="2"/>
          </rPr>
          <t>for the first not yet FULL year of operation</t>
        </r>
      </text>
    </comment>
    <comment ref="U365" authorId="1" shapeId="0" xr:uid="{00000000-0006-0000-0800-000009000000}">
      <text>
        <r>
          <rPr>
            <sz val="9"/>
            <color indexed="81"/>
            <rFont val="Tahoma"/>
            <family val="2"/>
          </rPr>
          <t>only if AAL is calculated for that year</t>
        </r>
      </text>
    </comment>
    <comment ref="S436" authorId="1" shapeId="0" xr:uid="{00000000-0006-0000-0800-00000A000000}">
      <text>
        <r>
          <rPr>
            <b/>
            <sz val="9"/>
            <color indexed="81"/>
            <rFont val="Tahoma"/>
            <family val="2"/>
          </rPr>
          <t>1= BM applied --&gt; not used for attr. emissions</t>
        </r>
      </text>
    </comment>
    <comment ref="S440" authorId="1" shapeId="0" xr:uid="{00000000-0006-0000-0800-00000B000000}">
      <text>
        <r>
          <rPr>
            <b/>
            <sz val="9"/>
            <color indexed="81"/>
            <rFont val="Tahoma"/>
            <family val="2"/>
          </rPr>
          <t>1= BM applied --&gt; not used for attr. emissions</t>
        </r>
      </text>
    </comment>
    <comment ref="S444" authorId="1" shapeId="0" xr:uid="{00000000-0006-0000-0800-00000C000000}">
      <text>
        <r>
          <rPr>
            <b/>
            <sz val="9"/>
            <color indexed="81"/>
            <rFont val="Tahoma"/>
            <family val="2"/>
          </rPr>
          <t>1= BM applied --&gt; not used for attr. emissions</t>
        </r>
      </text>
    </comment>
    <comment ref="S448" authorId="1" shapeId="0" xr:uid="{00000000-0006-0000-0800-00000D000000}">
      <text>
        <r>
          <rPr>
            <b/>
            <sz val="9"/>
            <color indexed="81"/>
            <rFont val="Tahoma"/>
            <family val="2"/>
          </rPr>
          <t>1= BM applied --&gt; not used for attr. emissions</t>
        </r>
      </text>
    </comment>
    <comment ref="S452" authorId="1" shapeId="0" xr:uid="{00000000-0006-0000-0800-00000E000000}">
      <text>
        <r>
          <rPr>
            <b/>
            <sz val="9"/>
            <color indexed="81"/>
            <rFont val="Tahoma"/>
            <family val="2"/>
          </rPr>
          <t>1= BM applied --&gt; not used for attr. emissions</t>
        </r>
      </text>
    </comment>
    <comment ref="AA459" authorId="0" shapeId="0" xr:uid="{00000000-0006-0000-0800-00000F000000}">
      <text>
        <r>
          <rPr>
            <sz val="9"/>
            <color indexed="81"/>
            <rFont val="Segoe UI"/>
            <family val="2"/>
          </rPr>
          <t>for the first not yet FULL year of operation</t>
        </r>
      </text>
    </comment>
    <comment ref="U588" authorId="1" shapeId="0" xr:uid="{00000000-0006-0000-0800-000010000000}">
      <text>
        <r>
          <rPr>
            <sz val="9"/>
            <color indexed="81"/>
            <rFont val="Tahoma"/>
            <family val="2"/>
          </rPr>
          <t>only if AAL is calculated for that year</t>
        </r>
      </text>
    </comment>
    <comment ref="S659" authorId="1" shapeId="0" xr:uid="{00000000-0006-0000-0800-000011000000}">
      <text>
        <r>
          <rPr>
            <b/>
            <sz val="9"/>
            <color indexed="81"/>
            <rFont val="Tahoma"/>
            <family val="2"/>
          </rPr>
          <t>1= BM applied --&gt; not used for attr. emissions</t>
        </r>
      </text>
    </comment>
    <comment ref="S663" authorId="1" shapeId="0" xr:uid="{00000000-0006-0000-0800-000012000000}">
      <text>
        <r>
          <rPr>
            <b/>
            <sz val="9"/>
            <color indexed="81"/>
            <rFont val="Tahoma"/>
            <family val="2"/>
          </rPr>
          <t>1= BM applied --&gt; not used for attr. emissions</t>
        </r>
      </text>
    </comment>
    <comment ref="S667" authorId="1" shapeId="0" xr:uid="{00000000-0006-0000-0800-000013000000}">
      <text>
        <r>
          <rPr>
            <b/>
            <sz val="9"/>
            <color indexed="81"/>
            <rFont val="Tahoma"/>
            <family val="2"/>
          </rPr>
          <t>1= BM applied --&gt; not used for attr. emissions</t>
        </r>
      </text>
    </comment>
    <comment ref="S671" authorId="1" shapeId="0" xr:uid="{00000000-0006-0000-0800-000014000000}">
      <text>
        <r>
          <rPr>
            <b/>
            <sz val="9"/>
            <color indexed="81"/>
            <rFont val="Tahoma"/>
            <family val="2"/>
          </rPr>
          <t>1= BM applied --&gt; not used for attr. emissions</t>
        </r>
      </text>
    </comment>
    <comment ref="S675" authorId="1" shapeId="0" xr:uid="{00000000-0006-0000-0800-000015000000}">
      <text>
        <r>
          <rPr>
            <b/>
            <sz val="9"/>
            <color indexed="81"/>
            <rFont val="Tahoma"/>
            <family val="2"/>
          </rPr>
          <t>1= BM applied --&gt; not used for attr. emissions</t>
        </r>
      </text>
    </comment>
    <comment ref="AA682" authorId="0" shapeId="0" xr:uid="{00000000-0006-0000-0800-000016000000}">
      <text>
        <r>
          <rPr>
            <sz val="9"/>
            <color indexed="81"/>
            <rFont val="Segoe UI"/>
            <family val="2"/>
          </rPr>
          <t>for the first not yet FULL year of operation</t>
        </r>
      </text>
    </comment>
    <comment ref="U811" authorId="1" shapeId="0" xr:uid="{00000000-0006-0000-0800-000017000000}">
      <text>
        <r>
          <rPr>
            <sz val="9"/>
            <color indexed="81"/>
            <rFont val="Tahoma"/>
            <family val="2"/>
          </rPr>
          <t>only if AAL is calculated for that year</t>
        </r>
      </text>
    </comment>
    <comment ref="S882" authorId="1" shapeId="0" xr:uid="{00000000-0006-0000-0800-000018000000}">
      <text>
        <r>
          <rPr>
            <b/>
            <sz val="9"/>
            <color indexed="81"/>
            <rFont val="Tahoma"/>
            <family val="2"/>
          </rPr>
          <t>1= BM applied --&gt; not used for attr. emissions</t>
        </r>
      </text>
    </comment>
    <comment ref="S886" authorId="1" shapeId="0" xr:uid="{00000000-0006-0000-0800-000019000000}">
      <text>
        <r>
          <rPr>
            <b/>
            <sz val="9"/>
            <color indexed="81"/>
            <rFont val="Tahoma"/>
            <family val="2"/>
          </rPr>
          <t>1= BM applied --&gt; not used for attr. emissions</t>
        </r>
      </text>
    </comment>
    <comment ref="S890" authorId="1" shapeId="0" xr:uid="{00000000-0006-0000-0800-00001A000000}">
      <text>
        <r>
          <rPr>
            <b/>
            <sz val="9"/>
            <color indexed="81"/>
            <rFont val="Tahoma"/>
            <family val="2"/>
          </rPr>
          <t>1= BM applied --&gt; not used for attr. emissions</t>
        </r>
      </text>
    </comment>
    <comment ref="S894" authorId="1" shapeId="0" xr:uid="{00000000-0006-0000-0800-00001B000000}">
      <text>
        <r>
          <rPr>
            <b/>
            <sz val="9"/>
            <color indexed="81"/>
            <rFont val="Tahoma"/>
            <family val="2"/>
          </rPr>
          <t>1= BM applied --&gt; not used for attr. emissions</t>
        </r>
      </text>
    </comment>
    <comment ref="S898" authorId="1" shapeId="0" xr:uid="{00000000-0006-0000-0800-00001C000000}">
      <text>
        <r>
          <rPr>
            <b/>
            <sz val="9"/>
            <color indexed="81"/>
            <rFont val="Tahoma"/>
            <family val="2"/>
          </rPr>
          <t>1= BM applied --&gt; not used for attr. emissions</t>
        </r>
      </text>
    </comment>
    <comment ref="AA905" authorId="0" shapeId="0" xr:uid="{00000000-0006-0000-0800-00001D000000}">
      <text>
        <r>
          <rPr>
            <sz val="9"/>
            <color indexed="81"/>
            <rFont val="Segoe UI"/>
            <family val="2"/>
          </rPr>
          <t>for the first not yet FULL year of operation</t>
        </r>
      </text>
    </comment>
    <comment ref="U1032" authorId="1" shapeId="0" xr:uid="{00000000-0006-0000-0800-00001E000000}">
      <text>
        <r>
          <rPr>
            <sz val="9"/>
            <color indexed="81"/>
            <rFont val="Tahoma"/>
            <family val="2"/>
          </rPr>
          <t>only if AAL is calculated for that year</t>
        </r>
      </text>
    </comment>
    <comment ref="S1062" authorId="1" shapeId="0" xr:uid="{00000000-0006-0000-0800-00001F000000}">
      <text>
        <r>
          <rPr>
            <b/>
            <sz val="9"/>
            <color indexed="81"/>
            <rFont val="Tahoma"/>
            <family val="2"/>
          </rPr>
          <t>1= BM applied --&gt; not used for attr. emissions</t>
        </r>
      </text>
    </comment>
    <comment ref="AA1076" authorId="0" shapeId="0" xr:uid="{00000000-0006-0000-0800-000020000000}">
      <text>
        <r>
          <rPr>
            <sz val="9"/>
            <color indexed="81"/>
            <rFont val="Segoe UI"/>
            <family val="2"/>
          </rPr>
          <t>for the first not yet FULL year of operation</t>
        </r>
      </text>
    </comment>
    <comment ref="U1203" authorId="1" shapeId="0" xr:uid="{00000000-0006-0000-0800-000021000000}">
      <text>
        <r>
          <rPr>
            <sz val="9"/>
            <color indexed="81"/>
            <rFont val="Tahoma"/>
            <family val="2"/>
          </rPr>
          <t>only if AAL is calculated for that year</t>
        </r>
      </text>
    </comment>
    <comment ref="S1233" authorId="1" shapeId="0" xr:uid="{00000000-0006-0000-0800-000022000000}">
      <text>
        <r>
          <rPr>
            <b/>
            <sz val="9"/>
            <color indexed="81"/>
            <rFont val="Tahoma"/>
            <family val="2"/>
          </rPr>
          <t>1= BM applied --&gt; not used for attr. emissions</t>
        </r>
      </text>
    </comment>
    <comment ref="AA1247" authorId="0" shapeId="0" xr:uid="{00000000-0006-0000-0800-000023000000}">
      <text>
        <r>
          <rPr>
            <sz val="9"/>
            <color indexed="81"/>
            <rFont val="Segoe UI"/>
            <family val="2"/>
          </rPr>
          <t>for the first not yet FULL year of operation</t>
        </r>
      </text>
    </comment>
    <comment ref="U1374" authorId="1" shapeId="0" xr:uid="{00000000-0006-0000-0800-000024000000}">
      <text>
        <r>
          <rPr>
            <sz val="9"/>
            <color indexed="81"/>
            <rFont val="Tahoma"/>
            <family val="2"/>
          </rPr>
          <t>only if AAL is calculated for that year</t>
        </r>
      </text>
    </comment>
    <comment ref="S1404" authorId="1" shapeId="0" xr:uid="{00000000-0006-0000-0800-000025000000}">
      <text>
        <r>
          <rPr>
            <b/>
            <sz val="9"/>
            <color indexed="81"/>
            <rFont val="Tahoma"/>
            <family val="2"/>
          </rPr>
          <t>1= BM applied --&gt; not used for attr. emissions</t>
        </r>
      </text>
    </comment>
    <comment ref="AA1418" authorId="0" shapeId="0" xr:uid="{00000000-0006-0000-0800-000026000000}">
      <text>
        <r>
          <rPr>
            <sz val="9"/>
            <color indexed="81"/>
            <rFont val="Segoe UI"/>
            <family val="2"/>
          </rPr>
          <t>for the first not yet FULL year of operation</t>
        </r>
      </text>
    </comment>
    <comment ref="U1543" authorId="1" shapeId="0" xr:uid="{00000000-0006-0000-0800-000027000000}">
      <text>
        <r>
          <rPr>
            <sz val="9"/>
            <color indexed="81"/>
            <rFont val="Tahoma"/>
            <family val="2"/>
          </rPr>
          <t>only if AAL is calculated for that year</t>
        </r>
      </text>
    </comment>
    <comment ref="AA1556" authorId="0" shapeId="0" xr:uid="{00000000-0006-0000-0800-000028000000}">
      <text>
        <r>
          <rPr>
            <sz val="9"/>
            <color indexed="81"/>
            <rFont val="Segoe UI"/>
            <family val="2"/>
          </rPr>
          <t>for the first not yet FULL year of operation</t>
        </r>
      </text>
    </comment>
    <comment ref="U1681" authorId="1" shapeId="0" xr:uid="{00000000-0006-0000-0800-000029000000}">
      <text>
        <r>
          <rPr>
            <sz val="9"/>
            <color indexed="81"/>
            <rFont val="Tahoma"/>
            <family val="2"/>
          </rPr>
          <t>only if AAL is calculated for that year</t>
        </r>
      </text>
    </comment>
    <comment ref="AA1694" authorId="0" shapeId="0" xr:uid="{00000000-0006-0000-0800-00002A000000}">
      <text>
        <r>
          <rPr>
            <sz val="9"/>
            <color indexed="81"/>
            <rFont val="Segoe UI"/>
            <family val="2"/>
          </rPr>
          <t>for the first not yet FULL year of operation</t>
        </r>
      </text>
    </comment>
    <comment ref="U1819" authorId="1" shapeId="0" xr:uid="{00000000-0006-0000-0800-00002B000000}">
      <text>
        <r>
          <rPr>
            <sz val="9"/>
            <color indexed="81"/>
            <rFont val="Tahoma"/>
            <family val="2"/>
          </rPr>
          <t>only if AAL is calculated for that year</t>
        </r>
      </text>
    </comment>
    <comment ref="D1859" authorId="1" shapeId="0" xr:uid="{00000000-0006-0000-0800-00002C000000}">
      <text>
        <r>
          <rPr>
            <sz val="9"/>
            <color indexed="81"/>
            <rFont val="Tahoma"/>
            <family val="2"/>
          </rPr>
          <t>INDEX($W:$W;VERGLEICH(MAX(INDIREKT(ADRESSE(1;3)&amp;":"&amp;ADRESSE(ZEILE(D12);3)));$C:$C;0))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Heller Christian</author>
  </authors>
  <commentList>
    <comment ref="AA174" authorId="0" shapeId="0" xr:uid="{00000000-0006-0000-0900-000001000000}">
      <text>
        <r>
          <rPr>
            <sz val="9"/>
            <color indexed="81"/>
            <rFont val="Segoe UI"/>
            <family val="2"/>
          </rPr>
          <t>for the first not yet FULL year of operation</t>
        </r>
      </text>
    </comment>
    <comment ref="AA449" authorId="0" shapeId="0" xr:uid="{00000000-0006-0000-0900-000002000000}">
      <text>
        <r>
          <rPr>
            <sz val="9"/>
            <color indexed="81"/>
            <rFont val="Segoe UI"/>
            <family val="2"/>
          </rPr>
          <t>for the first not yet FULL year of operation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Heller Christian</author>
  </authors>
  <commentList>
    <comment ref="S565" authorId="0" shapeId="0" xr:uid="{00000000-0006-0000-0C00-000001000000}">
      <text>
        <r>
          <rPr>
            <sz val="9"/>
            <color indexed="81"/>
            <rFont val="Segoe UI"/>
            <family val="2"/>
          </rPr>
          <t xml:space="preserve">needed for start after 2020 = where HAL values do not precede annual allocation
</t>
        </r>
      </text>
    </comment>
    <comment ref="U571" authorId="0" shapeId="0" xr:uid="{00000000-0006-0000-0C00-000002000000}">
      <text>
        <r>
          <rPr>
            <sz val="9"/>
            <color indexed="81"/>
            <rFont val="Segoe UI"/>
            <family val="2"/>
          </rPr>
          <t>checks for ALC changes in the current year
OR
New sub &lt;= 1year since first full year</t>
        </r>
      </text>
    </comment>
    <comment ref="V571" authorId="0" shapeId="0" xr:uid="{00000000-0006-0000-0C00-000003000000}">
      <text>
        <r>
          <rPr>
            <sz val="9"/>
            <color indexed="81"/>
            <rFont val="Segoe UI"/>
            <family val="2"/>
          </rPr>
          <t>checks for ALC changes in any year</t>
        </r>
      </text>
    </comment>
    <comment ref="S693" authorId="0" shapeId="0" xr:uid="{00000000-0006-0000-0C00-000004000000}">
      <text>
        <r>
          <rPr>
            <sz val="9"/>
            <color indexed="81"/>
            <rFont val="Segoe UI"/>
            <family val="2"/>
          </rPr>
          <t xml:space="preserve">needed for start after 2020 = where HAL values do not precede annual allocation
</t>
        </r>
      </text>
    </comment>
    <comment ref="U699" authorId="0" shapeId="0" xr:uid="{00000000-0006-0000-0C00-000005000000}">
      <text>
        <r>
          <rPr>
            <sz val="9"/>
            <color indexed="81"/>
            <rFont val="Segoe UI"/>
            <family val="2"/>
          </rPr>
          <t>checks for ALC changes in the current year
OR
New sub &lt;= 1year since first full year</t>
        </r>
      </text>
    </comment>
    <comment ref="V699" authorId="0" shapeId="0" xr:uid="{00000000-0006-0000-0C00-000006000000}">
      <text>
        <r>
          <rPr>
            <sz val="9"/>
            <color indexed="81"/>
            <rFont val="Segoe UI"/>
            <family val="2"/>
          </rPr>
          <t>checks for ALC changes in any year</t>
        </r>
      </text>
    </comment>
    <comment ref="S821" authorId="0" shapeId="0" xr:uid="{00000000-0006-0000-0C00-000007000000}">
      <text>
        <r>
          <rPr>
            <sz val="9"/>
            <color indexed="81"/>
            <rFont val="Segoe UI"/>
            <family val="2"/>
          </rPr>
          <t xml:space="preserve">needed for start after 2020 = where HAL values do not precede annual allocation
</t>
        </r>
      </text>
    </comment>
    <comment ref="U827" authorId="0" shapeId="0" xr:uid="{00000000-0006-0000-0C00-000008000000}">
      <text>
        <r>
          <rPr>
            <sz val="9"/>
            <color indexed="81"/>
            <rFont val="Segoe UI"/>
            <family val="2"/>
          </rPr>
          <t>checks for ALC changes in the current year
OR
New sub &lt;= 1year since first full year</t>
        </r>
      </text>
    </comment>
    <comment ref="V827" authorId="0" shapeId="0" xr:uid="{00000000-0006-0000-0C00-000009000000}">
      <text>
        <r>
          <rPr>
            <sz val="9"/>
            <color indexed="81"/>
            <rFont val="Segoe UI"/>
            <family val="2"/>
          </rPr>
          <t>checks for ALC changes in any year</t>
        </r>
      </text>
    </comment>
    <comment ref="S949" authorId="0" shapeId="0" xr:uid="{00000000-0006-0000-0C00-00000A000000}">
      <text>
        <r>
          <rPr>
            <sz val="9"/>
            <color indexed="81"/>
            <rFont val="Segoe UI"/>
            <family val="2"/>
          </rPr>
          <t xml:space="preserve">needed for start after 2020 = where HAL values do not precede annual allocation
</t>
        </r>
      </text>
    </comment>
    <comment ref="U955" authorId="0" shapeId="0" xr:uid="{00000000-0006-0000-0C00-00000B000000}">
      <text>
        <r>
          <rPr>
            <sz val="9"/>
            <color indexed="81"/>
            <rFont val="Segoe UI"/>
            <family val="2"/>
          </rPr>
          <t>checks for ALC changes in the current year
OR
New sub &lt;= 1year since first full year</t>
        </r>
      </text>
    </comment>
    <comment ref="V955" authorId="0" shapeId="0" xr:uid="{00000000-0006-0000-0C00-00000C000000}">
      <text>
        <r>
          <rPr>
            <sz val="9"/>
            <color indexed="81"/>
            <rFont val="Segoe UI"/>
            <family val="2"/>
          </rPr>
          <t>checks for ALC changes in any year</t>
        </r>
      </text>
    </comment>
    <comment ref="S1077" authorId="0" shapeId="0" xr:uid="{00000000-0006-0000-0C00-00000D000000}">
      <text>
        <r>
          <rPr>
            <sz val="9"/>
            <color indexed="81"/>
            <rFont val="Segoe UI"/>
            <family val="2"/>
          </rPr>
          <t xml:space="preserve">needed for start after 2020 = where HAL values do not precede annual allocation
</t>
        </r>
      </text>
    </comment>
    <comment ref="U1083" authorId="0" shapeId="0" xr:uid="{00000000-0006-0000-0C00-00000E000000}">
      <text>
        <r>
          <rPr>
            <sz val="9"/>
            <color indexed="81"/>
            <rFont val="Segoe UI"/>
            <family val="2"/>
          </rPr>
          <t>checks for ALC changes in the current year
OR
New sub &lt;= 1year since first full year</t>
        </r>
      </text>
    </comment>
    <comment ref="V1083" authorId="0" shapeId="0" xr:uid="{00000000-0006-0000-0C00-00000F000000}">
      <text>
        <r>
          <rPr>
            <sz val="9"/>
            <color indexed="81"/>
            <rFont val="Segoe UI"/>
            <family val="2"/>
          </rPr>
          <t>checks for ALC changes in any year</t>
        </r>
      </text>
    </comment>
    <comment ref="S1205" authorId="0" shapeId="0" xr:uid="{00000000-0006-0000-0C00-000010000000}">
      <text>
        <r>
          <rPr>
            <sz val="9"/>
            <color indexed="81"/>
            <rFont val="Segoe UI"/>
            <family val="2"/>
          </rPr>
          <t xml:space="preserve">needed for start after 2020 = where HAL values do not precede annual allocation
</t>
        </r>
      </text>
    </comment>
    <comment ref="U1211" authorId="0" shapeId="0" xr:uid="{00000000-0006-0000-0C00-000011000000}">
      <text>
        <r>
          <rPr>
            <sz val="9"/>
            <color indexed="81"/>
            <rFont val="Segoe UI"/>
            <family val="2"/>
          </rPr>
          <t>checks for ALC changes in the current year
OR
New sub &lt;= 1year since first full year</t>
        </r>
      </text>
    </comment>
    <comment ref="V1211" authorId="0" shapeId="0" xr:uid="{00000000-0006-0000-0C00-000012000000}">
      <text>
        <r>
          <rPr>
            <sz val="9"/>
            <color indexed="81"/>
            <rFont val="Segoe UI"/>
            <family val="2"/>
          </rPr>
          <t>checks for ALC changes in any year</t>
        </r>
      </text>
    </comment>
    <comment ref="S1333" authorId="0" shapeId="0" xr:uid="{00000000-0006-0000-0C00-000013000000}">
      <text>
        <r>
          <rPr>
            <sz val="9"/>
            <color indexed="81"/>
            <rFont val="Segoe UI"/>
            <family val="2"/>
          </rPr>
          <t xml:space="preserve">needed for start after 2020 = where HAL values do not precede annual allocation
</t>
        </r>
      </text>
    </comment>
    <comment ref="U1339" authorId="0" shapeId="0" xr:uid="{00000000-0006-0000-0C00-000014000000}">
      <text>
        <r>
          <rPr>
            <sz val="9"/>
            <color indexed="81"/>
            <rFont val="Segoe UI"/>
            <family val="2"/>
          </rPr>
          <t>checks for ALC changes in the current year
OR
New sub &lt;= 1year since first full year</t>
        </r>
      </text>
    </comment>
    <comment ref="V1339" authorId="0" shapeId="0" xr:uid="{00000000-0006-0000-0C00-000015000000}">
      <text>
        <r>
          <rPr>
            <sz val="9"/>
            <color indexed="81"/>
            <rFont val="Segoe UI"/>
            <family val="2"/>
          </rPr>
          <t>checks for ALC changes in any year</t>
        </r>
      </text>
    </comment>
    <comment ref="S1461" authorId="0" shapeId="0" xr:uid="{00000000-0006-0000-0C00-000016000000}">
      <text>
        <r>
          <rPr>
            <sz val="9"/>
            <color indexed="81"/>
            <rFont val="Segoe UI"/>
            <family val="2"/>
          </rPr>
          <t xml:space="preserve">needed for start after 2020 = where HAL values do not precede annual allocation
</t>
        </r>
      </text>
    </comment>
    <comment ref="U1467" authorId="0" shapeId="0" xr:uid="{00000000-0006-0000-0C00-000017000000}">
      <text>
        <r>
          <rPr>
            <sz val="9"/>
            <color indexed="81"/>
            <rFont val="Segoe UI"/>
            <family val="2"/>
          </rPr>
          <t>checks for ALC changes in the current year
OR
New sub &lt;= 1year since first full year</t>
        </r>
      </text>
    </comment>
    <comment ref="V1467" authorId="0" shapeId="0" xr:uid="{00000000-0006-0000-0C00-000018000000}">
      <text>
        <r>
          <rPr>
            <sz val="9"/>
            <color indexed="81"/>
            <rFont val="Segoe UI"/>
            <family val="2"/>
          </rPr>
          <t>checks for ALC changes in any year</t>
        </r>
      </text>
    </comment>
    <comment ref="S1589" authorId="0" shapeId="0" xr:uid="{00000000-0006-0000-0C00-000019000000}">
      <text>
        <r>
          <rPr>
            <sz val="9"/>
            <color indexed="81"/>
            <rFont val="Segoe UI"/>
            <family val="2"/>
          </rPr>
          <t xml:space="preserve">needed for start after 2020 = where HAL values do not precede annual allocation
</t>
        </r>
      </text>
    </comment>
    <comment ref="U1595" authorId="0" shapeId="0" xr:uid="{00000000-0006-0000-0C00-00001A000000}">
      <text>
        <r>
          <rPr>
            <sz val="9"/>
            <color indexed="81"/>
            <rFont val="Segoe UI"/>
            <family val="2"/>
          </rPr>
          <t>checks for ALC changes in the current year
OR
New sub &lt;= 1year since first full year</t>
        </r>
      </text>
    </comment>
    <comment ref="V1595" authorId="0" shapeId="0" xr:uid="{00000000-0006-0000-0C00-00001B000000}">
      <text>
        <r>
          <rPr>
            <sz val="9"/>
            <color indexed="81"/>
            <rFont val="Segoe UI"/>
            <family val="2"/>
          </rPr>
          <t>checks for ALC changes in any year</t>
        </r>
      </text>
    </comment>
    <comment ref="S1717" authorId="0" shapeId="0" xr:uid="{00000000-0006-0000-0C00-00001C000000}">
      <text>
        <r>
          <rPr>
            <sz val="9"/>
            <color indexed="81"/>
            <rFont val="Segoe UI"/>
            <family val="2"/>
          </rPr>
          <t xml:space="preserve">needed for start after 2020 = where HAL values do not precede annual allocation
</t>
        </r>
      </text>
    </comment>
    <comment ref="U1723" authorId="0" shapeId="0" xr:uid="{00000000-0006-0000-0C00-00001D000000}">
      <text>
        <r>
          <rPr>
            <sz val="9"/>
            <color indexed="81"/>
            <rFont val="Segoe UI"/>
            <family val="2"/>
          </rPr>
          <t>checks for ALC changes in the current year
OR
New sub &lt;= 1year since first full year</t>
        </r>
      </text>
    </comment>
    <comment ref="V1723" authorId="0" shapeId="0" xr:uid="{00000000-0006-0000-0C00-00001E000000}">
      <text>
        <r>
          <rPr>
            <sz val="9"/>
            <color indexed="81"/>
            <rFont val="Segoe UI"/>
            <family val="2"/>
          </rPr>
          <t>checks for ALC changes in any year</t>
        </r>
      </text>
    </comment>
    <comment ref="S1818" authorId="0" shapeId="0" xr:uid="{00000000-0006-0000-0C00-00001F000000}">
      <text>
        <r>
          <rPr>
            <sz val="9"/>
            <color indexed="81"/>
            <rFont val="Segoe UI"/>
            <family val="2"/>
          </rPr>
          <t xml:space="preserve">needed for start after 2020 = where HAL values do not precede annual allocation
</t>
        </r>
      </text>
    </comment>
    <comment ref="U1820" authorId="0" shapeId="0" xr:uid="{00000000-0006-0000-0C00-000020000000}">
      <text>
        <r>
          <rPr>
            <sz val="9"/>
            <color indexed="81"/>
            <rFont val="Segoe UI"/>
            <family val="2"/>
          </rPr>
          <t>checks for ALC changes in the current year
OR
New sub &lt;= 1year since first full year</t>
        </r>
      </text>
    </comment>
    <comment ref="V1820" authorId="0" shapeId="0" xr:uid="{00000000-0006-0000-0C00-000021000000}">
      <text>
        <r>
          <rPr>
            <sz val="9"/>
            <color indexed="81"/>
            <rFont val="Segoe UI"/>
            <family val="2"/>
          </rPr>
          <t>checks for ALC changes in any year</t>
        </r>
      </text>
    </comment>
    <comment ref="S1891" authorId="0" shapeId="0" xr:uid="{00000000-0006-0000-0C00-000022000000}">
      <text>
        <r>
          <rPr>
            <sz val="9"/>
            <color indexed="81"/>
            <rFont val="Segoe UI"/>
            <family val="2"/>
          </rPr>
          <t xml:space="preserve">needed for start after 2020 = where HAL values do not precede annual allocation
</t>
        </r>
      </text>
    </comment>
    <comment ref="U1893" authorId="0" shapeId="0" xr:uid="{00000000-0006-0000-0C00-000023000000}">
      <text>
        <r>
          <rPr>
            <sz val="9"/>
            <color indexed="81"/>
            <rFont val="Segoe UI"/>
            <family val="2"/>
          </rPr>
          <t>checks for ALC changes in the current year
OR
New sub &lt;= 1year since first full year</t>
        </r>
      </text>
    </comment>
    <comment ref="V1893" authorId="0" shapeId="0" xr:uid="{00000000-0006-0000-0C00-000024000000}">
      <text>
        <r>
          <rPr>
            <sz val="9"/>
            <color indexed="81"/>
            <rFont val="Segoe UI"/>
            <family val="2"/>
          </rPr>
          <t>checks for ALC changes in any year</t>
        </r>
      </text>
    </comment>
    <comment ref="S1964" authorId="0" shapeId="0" xr:uid="{00000000-0006-0000-0C00-000025000000}">
      <text>
        <r>
          <rPr>
            <sz val="9"/>
            <color indexed="81"/>
            <rFont val="Segoe UI"/>
            <family val="2"/>
          </rPr>
          <t xml:space="preserve">needed for start after 2020 = where HAL values do not precede annual allocation
</t>
        </r>
      </text>
    </comment>
    <comment ref="U1966" authorId="0" shapeId="0" xr:uid="{00000000-0006-0000-0C00-000026000000}">
      <text>
        <r>
          <rPr>
            <sz val="9"/>
            <color indexed="81"/>
            <rFont val="Segoe UI"/>
            <family val="2"/>
          </rPr>
          <t>checks for ALC changes in the current year
OR
New sub &lt;= 1year since first full year</t>
        </r>
      </text>
    </comment>
    <comment ref="V1966" authorId="0" shapeId="0" xr:uid="{00000000-0006-0000-0C00-000027000000}">
      <text>
        <r>
          <rPr>
            <sz val="9"/>
            <color indexed="81"/>
            <rFont val="Segoe UI"/>
            <family val="2"/>
          </rPr>
          <t>checks for ALC changes in any year</t>
        </r>
      </text>
    </comment>
    <comment ref="S2037" authorId="0" shapeId="0" xr:uid="{00000000-0006-0000-0C00-000028000000}">
      <text>
        <r>
          <rPr>
            <sz val="9"/>
            <color indexed="81"/>
            <rFont val="Segoe UI"/>
            <family val="2"/>
          </rPr>
          <t xml:space="preserve">needed for start after 2020 = where HAL values do not precede annual allocation
</t>
        </r>
      </text>
    </comment>
    <comment ref="U2039" authorId="0" shapeId="0" xr:uid="{00000000-0006-0000-0C00-000029000000}">
      <text>
        <r>
          <rPr>
            <sz val="9"/>
            <color indexed="81"/>
            <rFont val="Segoe UI"/>
            <family val="2"/>
          </rPr>
          <t>checks for ALC changes in the current year
OR
New sub &lt;= 1year since first full year</t>
        </r>
      </text>
    </comment>
    <comment ref="V2039" authorId="0" shapeId="0" xr:uid="{00000000-0006-0000-0C00-00002A000000}">
      <text>
        <r>
          <rPr>
            <sz val="9"/>
            <color indexed="81"/>
            <rFont val="Segoe UI"/>
            <family val="2"/>
          </rPr>
          <t>checks for ALC changes in any year</t>
        </r>
      </text>
    </comment>
    <comment ref="S2110" authorId="0" shapeId="0" xr:uid="{00000000-0006-0000-0C00-00002B000000}">
      <text>
        <r>
          <rPr>
            <sz val="9"/>
            <color indexed="81"/>
            <rFont val="Segoe UI"/>
            <family val="2"/>
          </rPr>
          <t xml:space="preserve">needed for start after 2020 = where HAL values do not precede annual allocation
</t>
        </r>
      </text>
    </comment>
    <comment ref="U2112" authorId="0" shapeId="0" xr:uid="{00000000-0006-0000-0C00-00002C000000}">
      <text>
        <r>
          <rPr>
            <sz val="9"/>
            <color indexed="81"/>
            <rFont val="Segoe UI"/>
            <family val="2"/>
          </rPr>
          <t>checks for ALC changes in the current year
OR
New sub &lt;= 1year since first full year</t>
        </r>
      </text>
    </comment>
    <comment ref="V2112" authorId="0" shapeId="0" xr:uid="{00000000-0006-0000-0C00-00002D000000}">
      <text>
        <r>
          <rPr>
            <sz val="9"/>
            <color indexed="81"/>
            <rFont val="Segoe UI"/>
            <family val="2"/>
          </rPr>
          <t>checks for ALC changes in any year</t>
        </r>
      </text>
    </comment>
    <comment ref="S2170" authorId="0" shapeId="0" xr:uid="{00000000-0006-0000-0C00-00002E000000}">
      <text>
        <r>
          <rPr>
            <sz val="9"/>
            <color indexed="81"/>
            <rFont val="Segoe UI"/>
            <family val="2"/>
          </rPr>
          <t xml:space="preserve">needed for start after 2020 = where HAL values do not precede annual allocation
</t>
        </r>
      </text>
    </comment>
    <comment ref="U2172" authorId="0" shapeId="0" xr:uid="{00000000-0006-0000-0C00-00002F000000}">
      <text>
        <r>
          <rPr>
            <sz val="9"/>
            <color indexed="81"/>
            <rFont val="Segoe UI"/>
            <family val="2"/>
          </rPr>
          <t>checks for ALC changes in the current year
OR
New sub &lt;= 1year since first full year</t>
        </r>
      </text>
    </comment>
    <comment ref="V2172" authorId="0" shapeId="0" xr:uid="{00000000-0006-0000-0C00-000030000000}">
      <text>
        <r>
          <rPr>
            <sz val="9"/>
            <color indexed="81"/>
            <rFont val="Segoe UI"/>
            <family val="2"/>
          </rPr>
          <t>checks for ALC changes in any year</t>
        </r>
      </text>
    </comment>
    <comment ref="S2230" authorId="0" shapeId="0" xr:uid="{00000000-0006-0000-0C00-000031000000}">
      <text>
        <r>
          <rPr>
            <sz val="9"/>
            <color indexed="81"/>
            <rFont val="Segoe UI"/>
            <family val="2"/>
          </rPr>
          <t xml:space="preserve">needed for start after 2020 = where HAL values do not precede annual allocation
</t>
        </r>
      </text>
    </comment>
    <comment ref="U2232" authorId="0" shapeId="0" xr:uid="{00000000-0006-0000-0C00-000032000000}">
      <text>
        <r>
          <rPr>
            <sz val="9"/>
            <color indexed="81"/>
            <rFont val="Segoe UI"/>
            <family val="2"/>
          </rPr>
          <t>checks for ALC changes in the current year
OR
New sub &lt;= 1year since first full year</t>
        </r>
      </text>
    </comment>
    <comment ref="V2232" authorId="0" shapeId="0" xr:uid="{00000000-0006-0000-0C00-000033000000}">
      <text>
        <r>
          <rPr>
            <sz val="9"/>
            <color indexed="81"/>
            <rFont val="Segoe UI"/>
            <family val="2"/>
          </rPr>
          <t>checks for ALC changes in any year</t>
        </r>
      </text>
    </comment>
    <comment ref="S2290" authorId="0" shapeId="0" xr:uid="{00000000-0006-0000-0C00-000034000000}">
      <text>
        <r>
          <rPr>
            <sz val="9"/>
            <color indexed="81"/>
            <rFont val="Segoe UI"/>
            <family val="2"/>
          </rPr>
          <t xml:space="preserve">needed for start after 2020 = where HAL values do not precede annual allocation
</t>
        </r>
      </text>
    </comment>
    <comment ref="U2292" authorId="0" shapeId="0" xr:uid="{00000000-0006-0000-0C00-000035000000}">
      <text>
        <r>
          <rPr>
            <sz val="9"/>
            <color indexed="81"/>
            <rFont val="Segoe UI"/>
            <family val="2"/>
          </rPr>
          <t>checks for ALC changes in the current year
OR
New sub &lt;= 1year since first full year</t>
        </r>
      </text>
    </comment>
    <comment ref="V2292" authorId="0" shapeId="0" xr:uid="{00000000-0006-0000-0C00-000036000000}">
      <text>
        <r>
          <rPr>
            <sz val="9"/>
            <color indexed="81"/>
            <rFont val="Segoe UI"/>
            <family val="2"/>
          </rPr>
          <t>checks for ALC changes in any year</t>
        </r>
      </text>
    </comment>
    <comment ref="S2338" authorId="0" shapeId="0" xr:uid="{00000000-0006-0000-0C00-000037000000}">
      <text>
        <r>
          <rPr>
            <sz val="9"/>
            <color indexed="81"/>
            <rFont val="Segoe UI"/>
            <family val="2"/>
          </rPr>
          <t xml:space="preserve">needed for start after 2020 = where HAL values do not precede annual allocation
</t>
        </r>
      </text>
    </comment>
    <comment ref="U2340" authorId="0" shapeId="0" xr:uid="{00000000-0006-0000-0C00-000038000000}">
      <text>
        <r>
          <rPr>
            <sz val="9"/>
            <color indexed="81"/>
            <rFont val="Segoe UI"/>
            <family val="2"/>
          </rPr>
          <t>checks for ALC changes in the current year
OR
New sub &lt;= 1year since first full year</t>
        </r>
      </text>
    </comment>
    <comment ref="V2340" authorId="0" shapeId="0" xr:uid="{00000000-0006-0000-0C00-000039000000}">
      <text>
        <r>
          <rPr>
            <sz val="9"/>
            <color indexed="81"/>
            <rFont val="Segoe UI"/>
            <family val="2"/>
          </rPr>
          <t>checks for ALC changes in any year</t>
        </r>
      </text>
    </comment>
    <comment ref="S2386" authorId="0" shapeId="0" xr:uid="{00000000-0006-0000-0C00-00003A000000}">
      <text>
        <r>
          <rPr>
            <sz val="9"/>
            <color indexed="81"/>
            <rFont val="Segoe UI"/>
            <family val="2"/>
          </rPr>
          <t xml:space="preserve">needed for start after 2020 = where HAL values do not precede annual allocation
</t>
        </r>
      </text>
    </comment>
    <comment ref="U2388" authorId="0" shapeId="0" xr:uid="{00000000-0006-0000-0C00-00003B000000}">
      <text>
        <r>
          <rPr>
            <sz val="9"/>
            <color indexed="81"/>
            <rFont val="Segoe UI"/>
            <family val="2"/>
          </rPr>
          <t>checks for ALC changes in the current year
OR
New sub &lt;= 1year since first full year</t>
        </r>
      </text>
    </comment>
    <comment ref="V2388" authorId="0" shapeId="0" xr:uid="{00000000-0006-0000-0C00-00003C000000}">
      <text>
        <r>
          <rPr>
            <sz val="9"/>
            <color indexed="81"/>
            <rFont val="Segoe UI"/>
            <family val="2"/>
          </rPr>
          <t>checks for ALC changes in any year</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Heller</author>
  </authors>
  <commentList>
    <comment ref="A2" authorId="0" shapeId="0" xr:uid="{00000000-0006-0000-0D00-000001000000}">
      <text>
        <r>
          <rPr>
            <sz val="9"/>
            <color indexed="81"/>
            <rFont val="Tahoma"/>
            <family val="2"/>
          </rPr>
          <t xml:space="preserve">FALSE = draft preliminary data collection
TRUE = actual BM values included
</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python.xml><?xml version="1.0" encoding="utf-8"?>
<python xmlns="http://schemas.microsoft.com/office/spreadsheetml/2023/python">
  <environmentDefinition id="{882DD1B0-6546-4DFA-8A08-902A380B44EA}">
    <initialization>
      <code xml:space="preserve">import numpy as np
import pandas as pd
import matplotlib.pyplot as plt
import seaborn as sns
import statsmodels as sm
import excel
import warnings
warnings.simplefilter('ignore')
excel.set_xl_scalar_conversion(excel.convert_to_scalar)
excel.set_xl_array_conversion(excel.convert_to_dataframe)
</code>
    </initialization>
  </environmentDefinition>
</python>
</file>

<file path=xl/sharedStrings.xml><?xml version="1.0" encoding="utf-8"?>
<sst xmlns="http://schemas.openxmlformats.org/spreadsheetml/2006/main" count="9814" uniqueCount="4146">
  <si>
    <t>Reference filename:</t>
  </si>
  <si>
    <t>Information about this file:</t>
  </si>
  <si>
    <t>Version list</t>
  </si>
  <si>
    <t>Languages list</t>
  </si>
  <si>
    <t>Result: Activity levels for dolime expressed as standard pure dolime</t>
  </si>
  <si>
    <t>Therefore here a plausibility check for that data is included.</t>
  </si>
  <si>
    <t>i.</t>
  </si>
  <si>
    <t>ii.</t>
  </si>
  <si>
    <t>iii.</t>
  </si>
  <si>
    <t>Plausibility check:</t>
  </si>
  <si>
    <t>IV</t>
  </si>
  <si>
    <t>Net electricity produced from fuels</t>
  </si>
  <si>
    <t>Indicative expected final amount of free allowances:</t>
  </si>
  <si>
    <t>Calculation of preliminary annual amount of allowances allocated free of charge</t>
  </si>
  <si>
    <t>No error messages are displayed in any of the relevant sections of those sheets.</t>
  </si>
  <si>
    <t>Total preliminary annual amount of allowances allocated free of charge:</t>
  </si>
  <si>
    <t>First GHG permit received when the installation was included in the ETS for the first time:</t>
  </si>
  <si>
    <t>This installation is an incumbent:</t>
  </si>
  <si>
    <t>iv.</t>
  </si>
  <si>
    <t>Name of Competent authority:</t>
  </si>
  <si>
    <t>Please list here all relevant documents which are submitted together with this report</t>
  </si>
  <si>
    <t>Documents supporting this report</t>
  </si>
  <si>
    <t>Please provide file name(s) (if in an electronic format) or document reference number(s) (if hard copy) below:</t>
  </si>
  <si>
    <t>File name/Reference</t>
  </si>
  <si>
    <t>Document description</t>
  </si>
  <si>
    <t>Additional documents will be needed to support this report. Please provide this information in an electronic format wherever possible.</t>
  </si>
  <si>
    <t>You can provide information as Microsoft Word, Excel, or Adobe Acrobat formats.</t>
  </si>
  <si>
    <t>Number</t>
  </si>
  <si>
    <t>EUconst_FuelUseTypes</t>
  </si>
  <si>
    <t>Product name or service type</t>
  </si>
  <si>
    <t>NACE codes can be used instead of PRODCOM if several similar products within the same NACE group are covered.</t>
  </si>
  <si>
    <t>CNTR_ConfirmationOK</t>
  </si>
  <si>
    <t>EUconst_tCO2pTJorT</t>
  </si>
  <si>
    <t>Coated fine paper</t>
  </si>
  <si>
    <t>Tissue</t>
  </si>
  <si>
    <t>Testliner and fluting</t>
  </si>
  <si>
    <t>Uncoated carton board</t>
  </si>
  <si>
    <t>Coated carton board</t>
  </si>
  <si>
    <t>Energy input from fuels</t>
  </si>
  <si>
    <t>Energy content (calculated)</t>
  </si>
  <si>
    <t>Overview and split into use categories</t>
  </si>
  <si>
    <t>EUconst_AbsRel</t>
  </si>
  <si>
    <t>Absolute values</t>
  </si>
  <si>
    <t>Percentages</t>
  </si>
  <si>
    <t>Input method:</t>
  </si>
  <si>
    <t>For fast data entries in simple cases, where most entries will be "100%" or zero, percentages are the better choice.</t>
  </si>
  <si>
    <t>(c)</t>
  </si>
  <si>
    <t>Measurable heat</t>
  </si>
  <si>
    <t>Total net amount of measurable heat produced in the installation:</t>
  </si>
  <si>
    <t>Measurable heat produced</t>
  </si>
  <si>
    <t>Heat used for electricity production</t>
  </si>
  <si>
    <t>Measurable heat imported from installations covered by the EU ETS:</t>
  </si>
  <si>
    <t>Name of installation</t>
  </si>
  <si>
    <t>Total measurable heat</t>
  </si>
  <si>
    <t>(e)</t>
  </si>
  <si>
    <t>(f)</t>
  </si>
  <si>
    <t>Total heat exported to ETS installations</t>
  </si>
  <si>
    <t>However, if more precise information is available (e.g. because steam from different sources can be distinguished due to different pressure levels, etc), you can enter alternative amounts of "non-eligible" heat below. If that amount exceeds the amount stated in (c).iv, the available maximum is used for further calculation.</t>
  </si>
  <si>
    <t>VI</t>
  </si>
  <si>
    <t>Parameter</t>
  </si>
  <si>
    <t>Direct emissions</t>
  </si>
  <si>
    <t>x.</t>
  </si>
  <si>
    <t>xi.</t>
  </si>
  <si>
    <t>xii.</t>
  </si>
  <si>
    <t>Outline of the calculation approach used:</t>
  </si>
  <si>
    <t>Measurable heat consumed for electricity production within the installation (not eligible for heat benchmark):</t>
  </si>
  <si>
    <t xml:space="preserve">Residual Hydrocracking </t>
  </si>
  <si>
    <t xml:space="preserve">Kerosene/ Diesel Hydrotreating </t>
  </si>
  <si>
    <t xml:space="preserve">Residual Hydrotreating </t>
  </si>
  <si>
    <t xml:space="preserve">Hydrogen Production </t>
  </si>
  <si>
    <t xml:space="preserve">Alkylation </t>
  </si>
  <si>
    <t xml:space="preserve">Oxygenate Production </t>
  </si>
  <si>
    <t xml:space="preserve">Propylene Production </t>
  </si>
  <si>
    <t xml:space="preserve">Lube Hydrocracker </t>
  </si>
  <si>
    <t xml:space="preserve">Wax Deoiling </t>
  </si>
  <si>
    <t xml:space="preserve">Lube/Wax Hydrotreating </t>
  </si>
  <si>
    <t>CWT (Refinery products)</t>
  </si>
  <si>
    <t>Tool for calculating the historical activity levels for refinery sub-installations</t>
  </si>
  <si>
    <t>Please enter here the annual throughput data for each CWT function.</t>
  </si>
  <si>
    <t>For the basis the following abbreviations are used:</t>
  </si>
  <si>
    <t>Net fresh feed</t>
  </si>
  <si>
    <t>Reactor feed (includes recycle)</t>
  </si>
  <si>
    <t>Product feed</t>
  </si>
  <si>
    <t>EUconst_EUA</t>
  </si>
  <si>
    <t>EUA</t>
  </si>
  <si>
    <t>EUconst_EUApa</t>
  </si>
  <si>
    <t>EUconst_EUApt</t>
  </si>
  <si>
    <t>Default values</t>
  </si>
  <si>
    <t>EUconst_HALsum</t>
  </si>
  <si>
    <t>HALsum_</t>
  </si>
  <si>
    <t>If your competent authority requires you to hand in a signed paper copy of the report, please use the space below for signature:</t>
  </si>
  <si>
    <t>Version comments</t>
  </si>
  <si>
    <t>Tool for calculating the historical activity levels for steam cracking sub-installations</t>
  </si>
  <si>
    <t>You may choose to report either as tonnes or as 1000 Nm3 (cubic meters under standard conditions). The units must be consistent with those for the NCV below.</t>
  </si>
  <si>
    <t>Relevance of this tool in your installation:</t>
  </si>
  <si>
    <t>Uncorrected Lime production:</t>
  </si>
  <si>
    <t>uncorrected lime production</t>
  </si>
  <si>
    <t>Composition data:</t>
  </si>
  <si>
    <t>m(CaO)</t>
  </si>
  <si>
    <t>m(MgO)</t>
  </si>
  <si>
    <t>Production details</t>
  </si>
  <si>
    <t>"Import" here means that something enters the boundaries of the installation to which this report refers, "export" means something leaving those boundaries.</t>
  </si>
  <si>
    <t>Material and/or energy flows between sub-installations are not relevant, with the exception of heat stemming from nitric acid production.</t>
  </si>
  <si>
    <t>In case the result is negative, it is set to zero.</t>
  </si>
  <si>
    <t>Consistency check with sheet "E_Energy flows":</t>
  </si>
  <si>
    <t>Identification of products included in this product benchmark sub-installation</t>
  </si>
  <si>
    <t>EUconst_FBSubinst</t>
  </si>
  <si>
    <t>EUconst_MsgEnterThisSection</t>
  </si>
  <si>
    <t>Please enter data in this section!</t>
  </si>
  <si>
    <t>Please proceed to the next sub-installation!</t>
  </si>
  <si>
    <t>EUconst_MsgGoToNextSubInst</t>
  </si>
  <si>
    <t>taken from D.II.2.b</t>
  </si>
  <si>
    <t>BM no.</t>
  </si>
  <si>
    <t>Jump info:</t>
  </si>
  <si>
    <t>BM number:</t>
  </si>
  <si>
    <t>EUconst_MsgBackToSheetF</t>
  </si>
  <si>
    <t>Click here to return to sheet F_ProductBM</t>
  </si>
  <si>
    <t>HALspecial_</t>
  </si>
  <si>
    <t>EUconst_CNTR_HALspecial</t>
  </si>
  <si>
    <t>Special reporting?</t>
  </si>
  <si>
    <t>From sheet "H_SpecialBM":</t>
  </si>
  <si>
    <t>Values used for calculation:</t>
  </si>
  <si>
    <t>However, if a message appears under point (b), the appropriate calculation tool has to be used, and its results are automatically copied into this table under (ii).</t>
  </si>
  <si>
    <t>The result of this tool is automatically copied into sheet "F_ProductBM", input line "(a).ii" of the appropriate sub-installation.</t>
  </si>
  <si>
    <t>EUconst_BM</t>
  </si>
  <si>
    <t>Benchmark</t>
  </si>
  <si>
    <t>Electricity</t>
  </si>
  <si>
    <t>Total net amount of electricity produced in the installation</t>
  </si>
  <si>
    <t>Total electricity imported from the grid or from other installations</t>
  </si>
  <si>
    <t>Electricity imported</t>
  </si>
  <si>
    <t>Total electricity exported to the grid or to other installations</t>
  </si>
  <si>
    <t>Other electricity produced</t>
  </si>
  <si>
    <t>Electricity useable</t>
  </si>
  <si>
    <t>You can choose the method for entering the values in the table below under point (c). Available options are: "Absolute values" (enter TJ/year), or "percentages".</t>
  </si>
  <si>
    <t>EUconst_MWhpa</t>
  </si>
  <si>
    <t>EUconst_tpa</t>
  </si>
  <si>
    <t>EUconst_GJpt</t>
  </si>
  <si>
    <t>EUconst_tCO2pTJ</t>
  </si>
  <si>
    <t>EUconst_tCO2pa</t>
  </si>
  <si>
    <t>EUconst_tCO2pt</t>
  </si>
  <si>
    <t>EUconst_TJpa</t>
  </si>
  <si>
    <t>EUconst_tN2Opa</t>
  </si>
  <si>
    <t>EUconst_tCO2eptN2O</t>
  </si>
  <si>
    <t>EUconst_tCO2epa</t>
  </si>
  <si>
    <t>EUconst_tCO2ept</t>
  </si>
  <si>
    <t>EUconst_relOrTJpa</t>
  </si>
  <si>
    <t>EUconst_relOrMWhpa</t>
  </si>
  <si>
    <t>EUconst_relOrtCO2pa</t>
  </si>
  <si>
    <t>List of sub-installations</t>
  </si>
  <si>
    <t>List of technical connections</t>
  </si>
  <si>
    <t>Product benchmark sub-installations</t>
  </si>
  <si>
    <t>Benchmark List</t>
  </si>
  <si>
    <t>Activity (Annex I ETS Directive)</t>
  </si>
  <si>
    <t>No. of BM</t>
  </si>
  <si>
    <t>alternative BM No.</t>
  </si>
  <si>
    <t>Product benchmark</t>
  </si>
  <si>
    <t>Carbon leakage?</t>
  </si>
  <si>
    <t>Exchangeability electricity</t>
  </si>
  <si>
    <t>Refinery products</t>
  </si>
  <si>
    <t>CWT</t>
  </si>
  <si>
    <t xml:space="preserve">Production of coke </t>
  </si>
  <si>
    <t>Coke</t>
  </si>
  <si>
    <t xml:space="preserve">Metal ore (including sulphide ore) roasting or sintering, including pelletisation </t>
  </si>
  <si>
    <t>Sintered ore</t>
  </si>
  <si>
    <t>EAF carbon steel</t>
  </si>
  <si>
    <t>EAF high alloy steel</t>
  </si>
  <si>
    <t>Pre-bake anode</t>
  </si>
  <si>
    <t>[Primary] Aluminium</t>
  </si>
  <si>
    <t xml:space="preserve">Production of cement clinker in rotary kilns with a production capacity exceeding 500 tonnes per day or in other furnaces with a production capacity exceeding 50 tonnes per day </t>
  </si>
  <si>
    <t>Grey cement clinker</t>
  </si>
  <si>
    <t>White cement clinker</t>
  </si>
  <si>
    <t>The results displayed here are by no means legally binding. Please see disclaimer in the introduction of this section.</t>
  </si>
  <si>
    <t>Please continue with point (e)!</t>
  </si>
  <si>
    <t>Please continue with data entry under points (c) and (d)!</t>
  </si>
  <si>
    <t>EUconst_MsgGoOn_cd</t>
  </si>
  <si>
    <t>EUconst_MsgGoOn_e</t>
  </si>
  <si>
    <t>Detail address to be provided by the Member State</t>
  </si>
  <si>
    <t>Information sources:</t>
  </si>
  <si>
    <t>EU Websites:</t>
  </si>
  <si>
    <t xml:space="preserve">http://eur-lex.europa.eu/en/index.htm </t>
  </si>
  <si>
    <t>EU-Legislation:</t>
  </si>
  <si>
    <t>EU ETS general:</t>
  </si>
  <si>
    <t>Other Websites:</t>
  </si>
  <si>
    <t>&lt;to be provided by Member State&gt;</t>
  </si>
  <si>
    <t>Helpdesk:</t>
  </si>
  <si>
    <t>&lt;to be provided by Member State, if relevant&gt;</t>
  </si>
  <si>
    <t>Black bold text:</t>
  </si>
  <si>
    <t>Smaller italic text:</t>
  </si>
  <si>
    <t>Shaded fields indicate that an input in another field makes the input here irrelevant.</t>
  </si>
  <si>
    <t>Grey shaded areas should be filled by Member States before publishing customized version of the template.</t>
  </si>
  <si>
    <t>From the remaining amount of measurable heat, it must be determined how much is consumed within the installation (except for electricity production and product benchmark sub-installations). The amount of "eligible" heat remaining at the end of the previous steps is the upper limit.</t>
  </si>
  <si>
    <t>eligible by origin:</t>
  </si>
  <si>
    <t>non-eligible by origin:</t>
  </si>
  <si>
    <t>Non-ETS heat entered in sheet "F_ProductBM" compared to total amount of non-ETS heat imports entered above under point (c):</t>
  </si>
  <si>
    <t>Non-ETS heat entered in sheet "F_ProductBM" compared to total amount of heat for all product benchmarks:</t>
  </si>
  <si>
    <t>Start (up to section e)</t>
  </si>
  <si>
    <t>amount eligible (i.e. not coming from non-ETS):</t>
  </si>
  <si>
    <t>amount non-eligible</t>
  </si>
  <si>
    <t>amount eligible:</t>
  </si>
  <si>
    <t>Electricity production:</t>
  </si>
  <si>
    <t>AFTER electricity production:</t>
  </si>
  <si>
    <t>Product benchmarks</t>
  </si>
  <si>
    <t>AFTER product benchmarks:</t>
  </si>
  <si>
    <t>AFTER export to ETS installations:</t>
  </si>
  <si>
    <t>Export to ETS installations (considered 100% eligible)</t>
  </si>
  <si>
    <t>Determine relevant data (relevant=full baseline period, all years!)</t>
  </si>
  <si>
    <t>Total emissions</t>
  </si>
  <si>
    <t>Amount for allocation correction:</t>
  </si>
  <si>
    <t>EUconst_CNTR_HEAT</t>
  </si>
  <si>
    <t>HEAT_</t>
  </si>
  <si>
    <t>EUconst_CNTR_VCM</t>
  </si>
  <si>
    <t>VCM_</t>
  </si>
  <si>
    <t>It determines the amount which has to be added to the preliminary annual allocation after having corrected for electricity exchangeability.</t>
  </si>
  <si>
    <t>Result: Amount to be added to the preliminary total allocation for the steam cracking sub-installation:</t>
  </si>
  <si>
    <t>EUconst_CNTR_HVC</t>
  </si>
  <si>
    <t>HVC_</t>
  </si>
  <si>
    <t>If the formula results in a negative value, it is replaced by zero.</t>
  </si>
  <si>
    <t>Heat consumed within the installation</t>
  </si>
  <si>
    <t>Tool for calculating the historical activity levels for lime sub-installations</t>
  </si>
  <si>
    <t>The name of the product benchmark sub-installation is displayed automatically based in the inputs in sheet "A_InstallationData".</t>
  </si>
  <si>
    <t xml:space="preserve">Detailed instructions for data entries in this tool can be found at the first copy of this tool. </t>
  </si>
  <si>
    <t>If for a sub-installation the calculated preliminary annual amount of allowances allocated free of charge results in a negative value, it is set to zero instead.</t>
  </si>
  <si>
    <t>Baseline Period &amp; Eligibility</t>
  </si>
  <si>
    <t>Emissions &amp; Energy Flows</t>
  </si>
  <si>
    <t>Sub-installation Data</t>
  </si>
  <si>
    <t>Preliminary allocation</t>
  </si>
  <si>
    <t>Production data of Ethylene oxide and glycols:</t>
  </si>
  <si>
    <t>Attribution to sub-installations</t>
  </si>
  <si>
    <t>Total amount of process emissions before subtracting an equivalent for the technically usable energy content:</t>
  </si>
  <si>
    <t>Amount of waste gas produced outside product benchmark sub-installations, including for exports:</t>
  </si>
  <si>
    <t>Calculation results can only be considered correct if complete and consistent data is reported in sections above.</t>
  </si>
  <si>
    <t>This Report must be submitted to your Competent Authority to the following address:</t>
  </si>
  <si>
    <t>Column for</t>
  </si>
  <si>
    <t>The following data is required:</t>
  </si>
  <si>
    <t>Production from supplemental feed:</t>
  </si>
  <si>
    <t>Production from supplemental feed</t>
  </si>
  <si>
    <t>Multiplier 
(t CO2 / t)</t>
  </si>
  <si>
    <t>Please use VCM tool in sheet "SpecialBM" for calculating preliminary allocation.</t>
  </si>
  <si>
    <t>Please use steam cracking tool in sheet "SpecialBM" for calculating historical activity levels and preliminary allocation.</t>
  </si>
  <si>
    <t>allowances</t>
  </si>
  <si>
    <t>EUconst_Allowances</t>
  </si>
  <si>
    <t>IX</t>
  </si>
  <si>
    <t>Net amount of measurable heat imported by this sub-installation from other ETS installations;</t>
  </si>
  <si>
    <t>Please enter here the annual production data expressed as tonnes of dolime, without correction for the composition data:</t>
  </si>
  <si>
    <t>uncorrected dolime production</t>
  </si>
  <si>
    <t>Please select here the product benchmark sub-installations relevant at your installation, if any:</t>
  </si>
  <si>
    <t>Please note that the correct entries here are essential for all subsequent inputs dealing with sub-installations.</t>
  </si>
  <si>
    <t>Sub-installations with fall-back approaches</t>
  </si>
  <si>
    <t>Sheet "Summary" - OVERVIEW OF MOST IMPORTANT DATA</t>
  </si>
  <si>
    <t>(n)</t>
  </si>
  <si>
    <t xml:space="preserve">Distillate / Gasoil Hydrocracking </t>
  </si>
  <si>
    <t>Production or processing of non-ferrous metals, including production of alloys, refining, foundry casting, etc., where combustion units with a total rated thermal input (including fuels used as reducing agents) exceeding 20 MW are operated</t>
  </si>
  <si>
    <t>Capture of greenhouse gases from installations covered by this Directive for the purpose of transport and geological storage in a storage site permitted under Directive 2009/31/EC</t>
  </si>
  <si>
    <t>Geological storage of greenhouse gases in a storage site permitted under Directive 2009/31/EC</t>
  </si>
  <si>
    <t>taken from E.I.1.c</t>
  </si>
  <si>
    <t>Needed for G.I.1.a</t>
  </si>
  <si>
    <t>Needed for G.I.2.a</t>
  </si>
  <si>
    <t>Needed for G.I.3.a</t>
  </si>
  <si>
    <t>Needed for G.I.4.a</t>
  </si>
  <si>
    <t>CTRL_InputMethodHeatSubInstSplit</t>
  </si>
  <si>
    <t>a</t>
  </si>
  <si>
    <t>Postcode/ZIP:</t>
  </si>
  <si>
    <t>Email address:</t>
  </si>
  <si>
    <t>Telephone number:</t>
  </si>
  <si>
    <t>Accreditation Member State:</t>
  </si>
  <si>
    <t>Registration number issued by the Accreditation body:</t>
  </si>
  <si>
    <t>In space below you can enter all information which was not suitable for input in other sheets and which you consider important for the competent authority</t>
  </si>
  <si>
    <t>Contact persons:</t>
  </si>
  <si>
    <t>General information:</t>
  </si>
  <si>
    <t>Activities according to Annex I of the EU ETS Directive:</t>
  </si>
  <si>
    <t>Heat exported to ETS installations (not eligible for heat benchmark):</t>
  </si>
  <si>
    <t>Measurable heat imported from installations and entities not covered by the EU ETS (not eligible for heat benchmark):</t>
  </si>
  <si>
    <t>Sub-total:</t>
  </si>
  <si>
    <t>(g)</t>
  </si>
  <si>
    <t>Heat exported to installations or entities not covered by the EU ETS (e.g. district heating networks):</t>
  </si>
  <si>
    <t>Name of receiving entity or installation</t>
  </si>
  <si>
    <t>Total heat exported to outside ETS:</t>
  </si>
  <si>
    <t>(h)</t>
  </si>
  <si>
    <t>Total heat benchmark sub-installations:</t>
  </si>
  <si>
    <t>(i)</t>
  </si>
  <si>
    <t>EUconst_NA</t>
  </si>
  <si>
    <t>Sub-installation type</t>
  </si>
  <si>
    <t>CL exposed?</t>
  </si>
  <si>
    <t>Fall-back Sub-Installation List</t>
  </si>
  <si>
    <t>Sub-inst</t>
  </si>
  <si>
    <t>TJ</t>
  </si>
  <si>
    <t>t CO2e</t>
  </si>
  <si>
    <t>EUconst_TJ</t>
  </si>
  <si>
    <t>EUconst_tCO2e</t>
  </si>
  <si>
    <t>Sorting</t>
  </si>
  <si>
    <t>CWT function</t>
  </si>
  <si>
    <t>Basis (kt/a)</t>
  </si>
  <si>
    <t>CWT factor</t>
  </si>
  <si>
    <t>Atmospheric Crude Distillation</t>
  </si>
  <si>
    <t>F</t>
  </si>
  <si>
    <t>K.</t>
  </si>
  <si>
    <t>Sheet "MSspecific" -  ADDITIONAL DATA REQUIREMENTS BY THE MEMBER STATE</t>
  </si>
  <si>
    <t>To be defined by the Member State</t>
  </si>
  <si>
    <t>Consent to use the data contained in this file:</t>
  </si>
  <si>
    <t>EUconst_ConfirmAllowUseOfData</t>
  </si>
  <si>
    <t xml:space="preserve">Competent authorities must ensure to have a unique ID available before notifying any data to the European Commission. </t>
  </si>
  <si>
    <t>Identification of relevant products or services associated with this sub-installation</t>
  </si>
  <si>
    <t>The table also displays the values of CF(EOE) used for calculation. CF(EOE) is the conversion factor for each substance relative to ethylene oxide.</t>
  </si>
  <si>
    <t>This message is automatically generated based on your inputs in sheet "A_InstallationData", section A.III.1.</t>
  </si>
  <si>
    <t>Installation data</t>
  </si>
  <si>
    <t>BM value</t>
  </si>
  <si>
    <t>non-ETS heat</t>
  </si>
  <si>
    <t>Emissions and Energy Flows</t>
  </si>
  <si>
    <t>Flow direction options are (perspective of the installation to which this report refers):</t>
  </si>
  <si>
    <t>Import (to this installation)</t>
  </si>
  <si>
    <t>Export (from this installation)</t>
  </si>
  <si>
    <t>Yellow fields indicate mandatory inputs. However, if the topic is not relevant for the installation, no input is required.</t>
  </si>
  <si>
    <t>ausblenden</t>
  </si>
  <si>
    <t>For control purposes, the inputs are displayed here in the unit which you have not chosen for input:</t>
  </si>
  <si>
    <t xml:space="preserve">Special care should be taken for attribution of energy input to the two sub-installations which are relevant for allocation purposes: </t>
  </si>
  <si>
    <t>Fuel benchmark sub-installation "CL" (exposed to a significant risk of Carbon Leakage) and "non-CL" (not exposed to carbon leakage risk).</t>
  </si>
  <si>
    <t>For control purposes, the rest (100% minus total of inputs) is displayed in the bottom line. This refers to energy input which is not eligible for allocation.</t>
  </si>
  <si>
    <t>lv</t>
  </si>
  <si>
    <t>Lithuanian</t>
  </si>
  <si>
    <t>lt</t>
  </si>
  <si>
    <t>Hungarian</t>
  </si>
  <si>
    <t>hu</t>
  </si>
  <si>
    <t>Maltese</t>
  </si>
  <si>
    <t>mt</t>
  </si>
  <si>
    <t>Dutch</t>
  </si>
  <si>
    <t>nl</t>
  </si>
  <si>
    <t>Polish</t>
  </si>
  <si>
    <t>pl</t>
  </si>
  <si>
    <t>Portuguese</t>
  </si>
  <si>
    <t>pt</t>
  </si>
  <si>
    <t>Romanian</t>
  </si>
  <si>
    <t>ro</t>
  </si>
  <si>
    <t>Slovak</t>
  </si>
  <si>
    <t>sk</t>
  </si>
  <si>
    <t>Slovenian</t>
  </si>
  <si>
    <t>sl</t>
  </si>
  <si>
    <t>Finnish</t>
  </si>
  <si>
    <t>fi</t>
  </si>
  <si>
    <t>Swedish</t>
  </si>
  <si>
    <t>sv</t>
  </si>
  <si>
    <t>Reference File Name</t>
  </si>
  <si>
    <t>COM</t>
  </si>
  <si>
    <t>AT</t>
  </si>
  <si>
    <t>BE</t>
  </si>
  <si>
    <t>BG</t>
  </si>
  <si>
    <t>CY</t>
  </si>
  <si>
    <t>CZ</t>
  </si>
  <si>
    <t>DK</t>
  </si>
  <si>
    <t>EE</t>
  </si>
  <si>
    <t>FI</t>
  </si>
  <si>
    <t>FR</t>
  </si>
  <si>
    <t>DE</t>
  </si>
  <si>
    <t>EL</t>
  </si>
  <si>
    <t>HU</t>
  </si>
  <si>
    <t>IE</t>
  </si>
  <si>
    <t>IT</t>
  </si>
  <si>
    <t>LV</t>
  </si>
  <si>
    <t>LT</t>
  </si>
  <si>
    <t>LU</t>
  </si>
  <si>
    <t>MT</t>
  </si>
  <si>
    <t>NL</t>
  </si>
  <si>
    <t>PL</t>
  </si>
  <si>
    <t>PT</t>
  </si>
  <si>
    <t>RO</t>
  </si>
  <si>
    <t>SK</t>
  </si>
  <si>
    <t>SI</t>
  </si>
  <si>
    <t>ES</t>
  </si>
  <si>
    <t>SE</t>
  </si>
  <si>
    <t>UK</t>
  </si>
  <si>
    <t>Language version:</t>
  </si>
  <si>
    <t>production of standard pure lime</t>
  </si>
  <si>
    <t>Thermal Cracking</t>
  </si>
  <si>
    <t>P</t>
  </si>
  <si>
    <t>Fluid Catalytic Cracking</t>
  </si>
  <si>
    <t>Naphtha/Gasoline Hydrotreating</t>
  </si>
  <si>
    <t>VGO Hydrotreating</t>
  </si>
  <si>
    <t>Catalytic Reforming</t>
  </si>
  <si>
    <t>C4 Isomerisation</t>
  </si>
  <si>
    <t>Uncorrected process emissions</t>
  </si>
  <si>
    <t>Amount of waste gases used for electricity production and for production of measurable or other heat outside of product benchmark sub-installations, or exported out of the installation;</t>
  </si>
  <si>
    <t>outside product benchmarks</t>
  </si>
  <si>
    <t>Amount of waste gas per year</t>
  </si>
  <si>
    <t>Deduction for waste gases</t>
  </si>
  <si>
    <t>Green fields are used throughout the template for conditional formatting!</t>
  </si>
  <si>
    <t>Other documents:</t>
  </si>
  <si>
    <t>Free space for all kinds of supplemental information</t>
  </si>
  <si>
    <t>EUconst_Negative</t>
  </si>
  <si>
    <t>negative!</t>
  </si>
  <si>
    <t>SUM_CO2</t>
  </si>
  <si>
    <t>SUM_bioCO2</t>
  </si>
  <si>
    <t>SUM_EnergyIN</t>
  </si>
  <si>
    <t>EUconst_SumCO2</t>
  </si>
  <si>
    <t>EUconst_SumBioCO2</t>
  </si>
  <si>
    <t>EUconst_SumEnergyIN</t>
  </si>
  <si>
    <t>EUconst_SumN2O</t>
  </si>
  <si>
    <t>EUconst_SumPFC</t>
  </si>
  <si>
    <t>SUM_N2O</t>
  </si>
  <si>
    <t>SUM_PFC</t>
  </si>
  <si>
    <t>Error messages (emissions)</t>
  </si>
  <si>
    <t>FB1</t>
  </si>
  <si>
    <t>FB2</t>
  </si>
  <si>
    <t>FB3</t>
  </si>
  <si>
    <t>FB4</t>
  </si>
  <si>
    <t>FB5</t>
  </si>
  <si>
    <t>FB6</t>
  </si>
  <si>
    <t>Further guidance as provided by the Member State:</t>
  </si>
  <si>
    <t>Date</t>
  </si>
  <si>
    <t>Name and Signature of 
legally responsible person</t>
  </si>
  <si>
    <t>(a)</t>
  </si>
  <si>
    <t>CONTENTS</t>
  </si>
  <si>
    <t>GUIDELINES AND CONDITIONS</t>
  </si>
  <si>
    <t>Austria</t>
  </si>
  <si>
    <t>Belgium</t>
  </si>
  <si>
    <t>Bulgaria</t>
  </si>
  <si>
    <t>Cyprus</t>
  </si>
  <si>
    <t>Czech Republic</t>
  </si>
  <si>
    <t>Denmark</t>
  </si>
  <si>
    <t>Estonia</t>
  </si>
  <si>
    <t>Finland</t>
  </si>
  <si>
    <t>France</t>
  </si>
  <si>
    <t>Germany</t>
  </si>
  <si>
    <t>Greece</t>
  </si>
  <si>
    <t>Hungary</t>
  </si>
  <si>
    <t>Ireland</t>
  </si>
  <si>
    <t>Italy</t>
  </si>
  <si>
    <t>Latvia</t>
  </si>
  <si>
    <t>Lithuania</t>
  </si>
  <si>
    <t>Luxembourg</t>
  </si>
  <si>
    <t>Malta</t>
  </si>
  <si>
    <t>Netherlands</t>
  </si>
  <si>
    <t>Poland</t>
  </si>
  <si>
    <t>Iceland</t>
  </si>
  <si>
    <t>EUconst_CWTpa</t>
  </si>
  <si>
    <t>Installation names in the drop down list are taken from Section A.IV. Therefore you must ensure that you have entered complete data there.</t>
  </si>
  <si>
    <t xml:space="preserve">This includes the nitric acid producing sub-installations (select "Within installation" as name of installation, if the nitric acid production is part of this installation). </t>
  </si>
  <si>
    <t>Before the amount of heat falling under the heat benchmark sub-installations can be quantified, the amount not eligible for this purpose has to be identified.</t>
  </si>
  <si>
    <t>Amount of heat from non-ETS sources</t>
  </si>
  <si>
    <t>Manual override of (ii)</t>
  </si>
  <si>
    <t>The data is automatically used again in sheet "G_Fall-back". Therefore data entry is mandatory here, if this tool is used.</t>
  </si>
  <si>
    <t>Please enter also data in section D.II.3.a.!</t>
  </si>
  <si>
    <t>EUconst_ERR_MandatoryDII3a</t>
  </si>
  <si>
    <t>EUconst_ERR_MandatoryEII4</t>
  </si>
  <si>
    <t>Please enter also data in section E.II.4!</t>
  </si>
  <si>
    <t>Complete balance of electricity at the installation</t>
  </si>
  <si>
    <t>Other electricity production includes e.g. hydro, wind, solar power, from expansion turbines and other non-ETS processes.</t>
  </si>
  <si>
    <t>Total electricity consumed in the installation</t>
  </si>
  <si>
    <t>Electricity consumed in the installation</t>
  </si>
  <si>
    <t>Jump indicator</t>
  </si>
  <si>
    <t>Please use electricity exchangeability tool below.</t>
  </si>
  <si>
    <t>EUconst_MsgUseElExchTool</t>
  </si>
  <si>
    <t>Jump Address:</t>
  </si>
  <si>
    <t>Please continue with point (d) below.</t>
  </si>
  <si>
    <t>EUconst_MsgGoOn_d</t>
  </si>
  <si>
    <t>EUconst_MsgGoOnIfNotRelevant</t>
  </si>
  <si>
    <t>If not relevant at your installation, continue with the next points.</t>
  </si>
  <si>
    <t>EUconst_Month</t>
  </si>
  <si>
    <t>Month</t>
  </si>
  <si>
    <t>Sub-installation with product benchmark</t>
  </si>
  <si>
    <t>EUconst_BMSubinst</t>
  </si>
  <si>
    <t>Dates must be sorted ascending!</t>
  </si>
  <si>
    <t>EUconst_ERR_DatesSorting</t>
  </si>
  <si>
    <t>Refinery activity level</t>
  </si>
  <si>
    <t>CWT (Aromatics)</t>
  </si>
  <si>
    <t>EUconst_DateMissing</t>
  </si>
  <si>
    <t>Date is missing!</t>
  </si>
  <si>
    <t>Error message</t>
  </si>
  <si>
    <t>The following abbreviations are used in the tables below:</t>
  </si>
  <si>
    <t>CL-exposed</t>
  </si>
  <si>
    <t>Carbon leakage exposure. "True" if the sub-installation serves a sector deemed to be exposed to a significant risk of carbon leakage.</t>
  </si>
  <si>
    <t>Number of the Benchmark</t>
  </si>
  <si>
    <t>If both types of heat input are relevant, "eligible" (self-produced and/or imported form ETS installations) and "non-eligible" (import from non-ETS or produced from a Nitric acid sub-installation), AND if both types of heat use take place, i.e. "eligible" (internal use and/or export to non-ETS) and "non-eligible" (export to ETS-Installations), it is necessary to earmark the eligible and non-eligible cases.</t>
  </si>
  <si>
    <t>A hierarchy of approaches is proposed for this earmarking:</t>
  </si>
  <si>
    <t>If the heat amounts can be clearly earmarked (because of the heat grid connections being clearly defined, or because of the steam pressure levels etc.), eligible and non-eligible heat amounts shall be reported according to this real situation.</t>
  </si>
  <si>
    <t>EUconst_Unit</t>
  </si>
  <si>
    <t>EUconst_GJ</t>
  </si>
  <si>
    <t>GJ</t>
  </si>
  <si>
    <t>EUconst_MWh</t>
  </si>
  <si>
    <t>MWh</t>
  </si>
  <si>
    <t>EUconst_t</t>
  </si>
  <si>
    <t>t</t>
  </si>
  <si>
    <t>EUconst_tCO2</t>
  </si>
  <si>
    <t>t CO2</t>
  </si>
  <si>
    <t>EUconst_tN2O</t>
  </si>
  <si>
    <t>t N2O</t>
  </si>
  <si>
    <t>EUconst_Or</t>
  </si>
  <si>
    <t>or</t>
  </si>
  <si>
    <t>Energy input from fuels, total installation (taken from sheet "D_Emissions", section I):</t>
  </si>
  <si>
    <t>How to use this file</t>
  </si>
  <si>
    <t>http://ec.europa.eu/clima/policies/ets/index_en.htm</t>
  </si>
  <si>
    <t>(j)</t>
  </si>
  <si>
    <t>(k)</t>
  </si>
  <si>
    <t>Figures for control:</t>
  </si>
  <si>
    <t>(l)</t>
  </si>
  <si>
    <t>(m)</t>
  </si>
  <si>
    <t>Sub-installation split - Input method:</t>
  </si>
  <si>
    <t>Attribution of heat sub-installations to Carbon Leakage exposure levels:</t>
  </si>
  <si>
    <t>Use type</t>
  </si>
  <si>
    <t>EUconst_WithinInst</t>
  </si>
  <si>
    <t>Within installation</t>
  </si>
  <si>
    <t>Within installation or export?</t>
  </si>
  <si>
    <t>EUconst_HeatUseTypes</t>
  </si>
  <si>
    <t>Production of goods</t>
  </si>
  <si>
    <t>heating</t>
  </si>
  <si>
    <t>cooling</t>
  </si>
  <si>
    <t>unknown</t>
  </si>
  <si>
    <t>Lube solvent extraction</t>
  </si>
  <si>
    <t>Lube solvent dewaxing</t>
  </si>
  <si>
    <t>Catalytic Wax Isomerisation</t>
  </si>
  <si>
    <t>Solvent Hydrotreating</t>
  </si>
  <si>
    <t>Solvent Fractionation</t>
  </si>
  <si>
    <t>Mol sieve for C10+ paraffins</t>
  </si>
  <si>
    <t>Partial Oxidation of Residual Feeds (POX) for Fuel</t>
  </si>
  <si>
    <t>SG</t>
  </si>
  <si>
    <t>Partial Oxidation of Residual Feeds (POX) for Hydrogen or Methanol</t>
  </si>
  <si>
    <t>Methanol from syngas</t>
  </si>
  <si>
    <t>Air Separation</t>
  </si>
  <si>
    <t>P (MNm3 O2)</t>
  </si>
  <si>
    <t>Fractionation of purchased NGL</t>
  </si>
  <si>
    <t>Flue gas treatment</t>
  </si>
  <si>
    <t>F (MNm3)</t>
  </si>
  <si>
    <t>Treatment and Compression of Fuel Gas for Sales</t>
  </si>
  <si>
    <t>kW</t>
  </si>
  <si>
    <t>Seawater Desalination</t>
  </si>
  <si>
    <t xml:space="preserve">Vacuum Distillation </t>
  </si>
  <si>
    <t xml:space="preserve">Solvent Deasphalting </t>
  </si>
  <si>
    <t xml:space="preserve">Visbreaking </t>
  </si>
  <si>
    <t xml:space="preserve">Delayed Coking </t>
  </si>
  <si>
    <t xml:space="preserve">Fluid Coking </t>
  </si>
  <si>
    <t xml:space="preserve">Flexicoking </t>
  </si>
  <si>
    <t xml:space="preserve">Coke Calcining </t>
  </si>
  <si>
    <t xml:space="preserve">Other Catalytic Cracking </t>
  </si>
  <si>
    <t>List of Sub-installations for drop-downlists:</t>
  </si>
  <si>
    <t>Please indicate here which fall-back sub-installations are relevant at your installation, if any:</t>
  </si>
  <si>
    <t>No.</t>
  </si>
  <si>
    <t>Please enter here the information relevant for identifying technical connections to your installation:</t>
  </si>
  <si>
    <t>This information is needed by the competent authority for ensuring consistency of the data provided, and for avoiding double counting of allocation data.</t>
  </si>
  <si>
    <t>Name of installation or entity</t>
  </si>
  <si>
    <t>Type of entity</t>
  </si>
  <si>
    <t>Type of connection</t>
  </si>
  <si>
    <t>Flow direction</t>
  </si>
  <si>
    <t>phone number</t>
  </si>
  <si>
    <t>email address</t>
  </si>
  <si>
    <t>Installation covered by ETS</t>
  </si>
  <si>
    <t>Installation outside ETS</t>
  </si>
  <si>
    <t>Heat distribution network</t>
  </si>
  <si>
    <t>Waste gas</t>
  </si>
  <si>
    <t>EUconst_ConnectedEntityTypes</t>
  </si>
  <si>
    <t>EUconst_ConnectionTypes</t>
  </si>
  <si>
    <t>Import</t>
  </si>
  <si>
    <t>Export</t>
  </si>
  <si>
    <t>Date of issuance:</t>
  </si>
  <si>
    <t>Permit-ID:</t>
  </si>
  <si>
    <t>Most recent update of the permit, if applicable:</t>
  </si>
  <si>
    <t>Please nominate persons here whom the competent authority can contact in case of questions regarding this report, including its verification.</t>
  </si>
  <si>
    <t>The nominated person should be familiar with this report. Ideally it is the lead verifier involved with this report.</t>
  </si>
  <si>
    <t>Further installation data:</t>
  </si>
  <si>
    <t>Period choosen:</t>
  </si>
  <si>
    <t>Year relevant:</t>
  </si>
  <si>
    <t>Member of period:</t>
  </si>
  <si>
    <t>Table for conditional formatting:</t>
  </si>
  <si>
    <t>Indicator</t>
  </si>
  <si>
    <t>EUconst_CNTR_HAL</t>
  </si>
  <si>
    <t>HAL_</t>
  </si>
  <si>
    <t>EUconst_CNTR_ELEXCH</t>
  </si>
  <si>
    <t>ELEXCH_</t>
  </si>
  <si>
    <t>http://ec.europa.eu/eurostat/ramon/nomenclatures/index.cfm?TargetUrl=LST_CLS_DLD&amp;StrNom=NACE_REV2&amp;StrLanguageCode=EN&amp;StrLayoutCode=HIERARCHIC</t>
  </si>
  <si>
    <t>The direct emissions attributed to this sub-installation;</t>
  </si>
  <si>
    <t>Vinyl chloride monomer (VCM)</t>
  </si>
  <si>
    <t>Please enter here the data required as outlined above.</t>
  </si>
  <si>
    <t>Heat consumption from H2 combustion</t>
  </si>
  <si>
    <t>Net measurable heat imported</t>
  </si>
  <si>
    <t>Measurable heat imported</t>
  </si>
  <si>
    <t>Member State:</t>
  </si>
  <si>
    <t>Incumbent:</t>
  </si>
  <si>
    <t>Starting date:</t>
  </si>
  <si>
    <t>Verifier (company):</t>
  </si>
  <si>
    <t>EPRTR ID:</t>
  </si>
  <si>
    <t>NACE code in 2010 (NACE rev 2):</t>
  </si>
  <si>
    <t>Installation Identifier:</t>
  </si>
  <si>
    <t>Values entered in sheet "F_ProductBM":</t>
  </si>
  <si>
    <t>Sum of exchangable electricity for corroboration use in sheet "E_EnergyFlows":</t>
  </si>
  <si>
    <t>for use in section E.III.1.f</t>
  </si>
  <si>
    <t>Total preliminary free allocation</t>
  </si>
  <si>
    <t>Calculation factors:</t>
  </si>
  <si>
    <t>Value used for calculation</t>
  </si>
  <si>
    <t>EUconst_NotEligible</t>
  </si>
  <si>
    <t>Please select this option for identifying that your installation uses heat from nitric acid production.</t>
  </si>
  <si>
    <t>This information is relevant for the heat balance (sheet "E_EnergyFlows", section II)</t>
  </si>
  <si>
    <t>Please describe the waste gas and the process from which it is produced. Above enter a name for the gas stream, below give a short process description.</t>
  </si>
  <si>
    <t>Navigation area:</t>
  </si>
  <si>
    <t>Table of contents</t>
  </si>
  <si>
    <t>Next sheet</t>
  </si>
  <si>
    <t>Summary</t>
  </si>
  <si>
    <t>Top of sheet</t>
  </si>
  <si>
    <t>End of sheet</t>
  </si>
  <si>
    <t>Previous sheet</t>
  </si>
  <si>
    <t>D.
Emissions</t>
  </si>
  <si>
    <t>A.
Installation Data</t>
  </si>
  <si>
    <t>b</t>
  </si>
  <si>
    <t>E.
Energy flows</t>
  </si>
  <si>
    <t>F. 
Product BM</t>
  </si>
  <si>
    <t>G. 
Fall-back</t>
  </si>
  <si>
    <t>H. 
Special BM</t>
  </si>
  <si>
    <t>I. 
MS specific</t>
  </si>
  <si>
    <t>J. 
Comments</t>
  </si>
  <si>
    <t>K. 
Summary</t>
  </si>
  <si>
    <t>Installation ID</t>
  </si>
  <si>
    <t>Contact persons</t>
  </si>
  <si>
    <t>Verifier</t>
  </si>
  <si>
    <t>Eligibility</t>
  </si>
  <si>
    <t>Further information</t>
  </si>
  <si>
    <t>Sub-installations</t>
  </si>
  <si>
    <t>Technical connections</t>
  </si>
  <si>
    <t>Light grey areas are dedicated for navigation and hyperlinks.</t>
  </si>
  <si>
    <t>Emissions and Energy Input</t>
  </si>
  <si>
    <t>Emissions Attribution</t>
  </si>
  <si>
    <t>Waste gases (1)</t>
  </si>
  <si>
    <t>Waste gases (2)</t>
  </si>
  <si>
    <t>Attribution of Fuels</t>
  </si>
  <si>
    <t>Heat (final result)</t>
  </si>
  <si>
    <t xml:space="preserve">&lt;&lt;&lt; END OF TEMPLATE &gt;&gt;&gt; </t>
  </si>
  <si>
    <t xml:space="preserve">You can enter the figure of 95% either as "0.95" or as "95%". </t>
  </si>
  <si>
    <t>Volume fraction of hydrogen</t>
  </si>
  <si>
    <t>Hydrogen volume fraction VF(H2)</t>
  </si>
  <si>
    <t>Hydrogen (as 100% pure H2)</t>
  </si>
  <si>
    <t>Volume of total production of hydrogen (uncorrected)</t>
  </si>
  <si>
    <t>Due to the very big figures for m3, the figures are to be entered as 1000 Nm3 (norm cubic meters referring to 0°C and 101.325 kPa).</t>
  </si>
  <si>
    <t>Tool for calculating the historical activity levels for synthesis gas sub-installations</t>
  </si>
  <si>
    <t>Volume of total production of synthesis gas (uncorrected)</t>
  </si>
  <si>
    <t>Total synthesis gas production</t>
  </si>
  <si>
    <t xml:space="preserve">You can enter the figure of 50% either as "0.50" or as "50%". </t>
  </si>
  <si>
    <t>Result: Activity levels for synthesis gas referred to as tonnes with 47% hydrogen content</t>
  </si>
  <si>
    <t>Synthesis gas (47% H2 content)</t>
  </si>
  <si>
    <t>Ethylene oxide / glycols</t>
  </si>
  <si>
    <t>Tool for calculating the historical activity levels for ethylene oxide / ethylene glycols sub-installations</t>
  </si>
  <si>
    <t>Tool for calculating the historical activity levels for aromatics sub-installations</t>
  </si>
  <si>
    <t>The activity levels as input in sheet "ProductBM", section (a), under the appropriate sub-installation;</t>
  </si>
  <si>
    <t xml:space="preserve">You are advised to avoid supplying non-relevant information as it can slow down the approval of this report. </t>
  </si>
  <si>
    <t>List of technical connections for drop-downlists:</t>
  </si>
  <si>
    <t>sorted line</t>
  </si>
  <si>
    <t>interim value</t>
  </si>
  <si>
    <t>Name of Transfer Entity</t>
  </si>
  <si>
    <t>Product BM?</t>
  </si>
  <si>
    <t>Net amount measurable heat consumed in the installation and eligible under heat benchmark:</t>
  </si>
  <si>
    <t>Sub-total</t>
  </si>
  <si>
    <t>Please select for each type of sub-installation, if it is relevant in your installation or not. Don't leave the yellow fields empty.</t>
  </si>
  <si>
    <t>Special care must be taken of consistency of data with the units displayed.</t>
  </si>
  <si>
    <t>Error messages are often very short due to the little place available. The most important ones are:</t>
  </si>
  <si>
    <t>Means that data is not sufficient for calculation (e.g. an emission factor is missing in one year)</t>
  </si>
  <si>
    <t>Error messages will occur sometimes when data entries are incomplete. However, the non-appearance of error messages is not a guarantee for correct calculations, as not always a data completeness test is possible. If no result appears in a green field, it can be assumed that some data is still missing.</t>
  </si>
  <si>
    <t>In this calculation no negative values are allowed.</t>
  </si>
  <si>
    <t>These are references to document sections. This means that data in the referenced sections are missing.</t>
  </si>
  <si>
    <t xml:space="preserve">This text gives further explanations. </t>
  </si>
  <si>
    <t>This template has been locked against data entry except for yellow fields. However, for transparency reasons, no password has been set. This allows for complete viewing of all formulae. When using this file for data entry, it is recommended to keep the protection in force. The sheets should only be unprotected for checking the validity of formulae. It is recommended to do this in a separate file.</t>
  </si>
  <si>
    <t>V</t>
  </si>
  <si>
    <t xml:space="preserve">Production of lime or calcination of dolomite or magnesite in rotary kilns or in other furnaces with a production capacity exceeding 50 tonnes per day </t>
  </si>
  <si>
    <t>Lime</t>
  </si>
  <si>
    <t>Dolime</t>
  </si>
  <si>
    <t>Sintered dolime</t>
  </si>
  <si>
    <t>Plaster</t>
  </si>
  <si>
    <t>Dried secondary gypsum</t>
  </si>
  <si>
    <t>Plasterboard</t>
  </si>
  <si>
    <t>reduction of metalloid oxides and non-metal oxides</t>
  </si>
  <si>
    <t>Recovered paper pulp</t>
  </si>
  <si>
    <t>Installation is eligible for free allocation under Article 10a of the EU ETS Directive:</t>
  </si>
  <si>
    <t>Measurable heat consumed for product benchmark sub-installations within the installation  (not eligible for heat benchmark):</t>
  </si>
  <si>
    <t>Heat losses (calculated)</t>
  </si>
  <si>
    <t>If negative values are displayed this means that the heat consumption levels entered above exceed the amount of heat available from production and imports.</t>
  </si>
  <si>
    <t>Measurable heat imported from non-ETS:</t>
  </si>
  <si>
    <t>EUconst_Relevant</t>
  </si>
  <si>
    <t>EUconst_NotRelevant</t>
  </si>
  <si>
    <t>relevant</t>
  </si>
  <si>
    <t>not relevant</t>
  </si>
  <si>
    <t>The production, not the use of the waste gas is relevant for determining the correct sub-installation.</t>
  </si>
  <si>
    <t>Estimation of waste gas emissions</t>
  </si>
  <si>
    <t>Emissions from waste gases</t>
  </si>
  <si>
    <t>Optionally, and for the purpose of consistency checks only, please provide an estimation of the quantity of emissions relating to the waste gas used or exported.</t>
  </si>
  <si>
    <t>EUconst_kNm3pa</t>
  </si>
  <si>
    <t>EUconst_TonnesOrkNm3pa</t>
  </si>
  <si>
    <t>Net calorific value</t>
  </si>
  <si>
    <t>You may choose to report either as GJ/t or as GJ/1000 Nm3. The units must be consistent with those for the amounts above.</t>
  </si>
  <si>
    <t>EUconst_GJperTorKNm3</t>
  </si>
  <si>
    <t>GJ/1000Nm3</t>
  </si>
  <si>
    <t>EUconst_GJperUnit</t>
  </si>
  <si>
    <t>Necessary assumptions:</t>
  </si>
  <si>
    <t>Reference efficiency for production of electricity:</t>
  </si>
  <si>
    <t>using natural gas:</t>
  </si>
  <si>
    <t>using waste gas:</t>
  </si>
  <si>
    <t>Emissions factor for natural gas:</t>
  </si>
  <si>
    <t>Emissions to be subtracted for taking into account the technically usable energy content:</t>
  </si>
  <si>
    <t>Process emissions calculated taking into account the correction for waste gases (=d-i)</t>
  </si>
  <si>
    <t>Result of waste gas tool:</t>
  </si>
  <si>
    <t>A.</t>
  </si>
  <si>
    <t>Sheet "InstallationData" - GENERAL INFORMATION ON THIS REPORT</t>
  </si>
  <si>
    <t>D.</t>
  </si>
  <si>
    <t>Sheet "Emissions" - ATTRIBUTION OF EMISSIONS</t>
  </si>
  <si>
    <t>E.</t>
  </si>
  <si>
    <t>Sheet "EnergyFlows" - DATA ON ENERGY INPUT, MEASURABLE HEAT AND ELECTRICITY</t>
  </si>
  <si>
    <t>F.</t>
  </si>
  <si>
    <t>Sheet "ProductBM" - SUB-INSTALLATION DATA RELATING TO PRODUCT BENCHMARKS</t>
  </si>
  <si>
    <t>G.</t>
  </si>
  <si>
    <t>Sheet "Fall-back" - SUB-INSTALLATION DATA RELATING TO FALL-BACK SUB-INSTALLATIONS</t>
  </si>
  <si>
    <t>H.</t>
  </si>
  <si>
    <t>Sheet "SpecialBM" - SPECIAL DATA FOR SOME PRODUCT BENCHMARKS</t>
  </si>
  <si>
    <t>I.</t>
  </si>
  <si>
    <t>Sheet "Comments" -  COMMENTS AND FURTHER INFORMATION</t>
  </si>
  <si>
    <t>J.</t>
  </si>
  <si>
    <t xml:space="preserve">Additional documentation provided should be clearly referenced, and the file name / reference number provided below. </t>
  </si>
  <si>
    <t>If needed, check with your competent authority if other file formats than the ones mentioned above are acceptable.</t>
  </si>
  <si>
    <t>EUconst_Incomplete</t>
  </si>
  <si>
    <t>incomplete!</t>
  </si>
  <si>
    <t>production of standard pure dolime</t>
  </si>
  <si>
    <t>Total production of high value chemicals (HVC total)</t>
  </si>
  <si>
    <t>Please enter here the annual production data expressed as tonnes HVC (without corrections)</t>
  </si>
  <si>
    <t>HVC total</t>
  </si>
  <si>
    <t>Supplemental feed data:</t>
  </si>
  <si>
    <t>Supplemental feed</t>
  </si>
  <si>
    <t>Ethylene</t>
  </si>
  <si>
    <t>EUconst_ERR_Mandatory_ef</t>
  </si>
  <si>
    <t xml:space="preserve">Manufacture of glass including glass fibre with a melting capacity exceeding 20 tonnes per day </t>
  </si>
  <si>
    <t>Float glass</t>
  </si>
  <si>
    <t>Bottles and jars of colourless glass</t>
  </si>
  <si>
    <t>Bottles and jars of coloured glass</t>
  </si>
  <si>
    <t>Continuous filament glass fibre products</t>
  </si>
  <si>
    <t xml:space="preserve">Manufacture of ceramic products by firing, in particular roofing tiles, bricks, refractory bricks, tiles, stoneware or porcelain, with a production capacity exceeding 75 tonnes per day </t>
  </si>
  <si>
    <t>Facing bricks</t>
  </si>
  <si>
    <t>Pavers</t>
  </si>
  <si>
    <t>Roof tiles</t>
  </si>
  <si>
    <t>Spray dried powder</t>
  </si>
  <si>
    <t xml:space="preserve">Manufacture of mineral wool insulation material using glass, rock or slag with a melting capacity exceeding 20 tonnes per day </t>
  </si>
  <si>
    <t>Mineral wool</t>
  </si>
  <si>
    <t>To the extent feasible, please sort the list with regard to the direct emissions, starting with the activity causing the highest direct emissions.</t>
  </si>
  <si>
    <t>Name of activity (Annex I of the ETS Directive)</t>
  </si>
  <si>
    <t>Activity list</t>
  </si>
  <si>
    <t>Combustion of fuels in installations with a total rated thermal input exceeding 20 MW (except in installations for the incineration of hazardous or municipal waste)</t>
  </si>
  <si>
    <t>Production of glyoxal and glyoxylic acid</t>
  </si>
  <si>
    <t>Production of secondary aluminium where combustion units with a total rated thermal input exceeding 20 MW are operated</t>
  </si>
  <si>
    <t>Make grey?</t>
  </si>
  <si>
    <t>EUconst_OK</t>
  </si>
  <si>
    <t>O.K.</t>
  </si>
  <si>
    <t>controls</t>
  </si>
  <si>
    <t>Version:</t>
  </si>
  <si>
    <t>Info for automatic Version detection</t>
  </si>
  <si>
    <t>Template type:</t>
  </si>
  <si>
    <t>Type list:</t>
  </si>
  <si>
    <t>Language:</t>
  </si>
  <si>
    <t>Issued by:</t>
  </si>
  <si>
    <t>European Commission</t>
  </si>
  <si>
    <t>Bulgarian</t>
  </si>
  <si>
    <t>bg</t>
  </si>
  <si>
    <t>Spanish</t>
  </si>
  <si>
    <t>es</t>
  </si>
  <si>
    <t>Czech</t>
  </si>
  <si>
    <t>cs</t>
  </si>
  <si>
    <t>Danish</t>
  </si>
  <si>
    <t>da</t>
  </si>
  <si>
    <t>German</t>
  </si>
  <si>
    <t>de</t>
  </si>
  <si>
    <t>Estonian</t>
  </si>
  <si>
    <t>et</t>
  </si>
  <si>
    <t>Greek</t>
  </si>
  <si>
    <t>el</t>
  </si>
  <si>
    <t>English</t>
  </si>
  <si>
    <t>en</t>
  </si>
  <si>
    <t>French</t>
  </si>
  <si>
    <t>fr</t>
  </si>
  <si>
    <t>Italian</t>
  </si>
  <si>
    <t>it</t>
  </si>
  <si>
    <t>Latvian</t>
  </si>
  <si>
    <t>EUconst_CNTR_nonETSMeasHeat</t>
  </si>
  <si>
    <t>non-ETS measurable heat</t>
  </si>
  <si>
    <t>Sum of measurable heat from non-ETS imports for further use in sheet "E_EnergyFlows":</t>
  </si>
  <si>
    <t>Number of non-empty relevant cells</t>
  </si>
  <si>
    <t>Search criterion</t>
  </si>
  <si>
    <t>Start of aggregation</t>
  </si>
  <si>
    <t>Measurable heat aggregated</t>
  </si>
  <si>
    <t>for use in section E.II</t>
  </si>
  <si>
    <t>Heat Inputs</t>
  </si>
  <si>
    <t>Ratio of "ETS heat" to "Total heat"</t>
  </si>
  <si>
    <t>If this is not feasible, all uses shall be weighted according to the ratio of inputs (ETS input : total input) as defined above.</t>
  </si>
  <si>
    <t>All heat data should  refer to "net amount of measurable heat" (i.e. heat content of heat flow to user minus heat content of the return flow).</t>
  </si>
  <si>
    <t>In a first step the non-eligible amounts for heat use within the installation are considered.</t>
  </si>
  <si>
    <t xml:space="preserve">This is the amount of heat used for electricity production and heat consumed within product benchmark sub-installations. </t>
  </si>
  <si>
    <t>This amount must be consistent with the amount of waste gas under point (f) below.</t>
  </si>
  <si>
    <t>Only waste gas which is used for the production of heat or electricity is relevant. If the waste gas is flared, only the amount relating to safety flaring is relevant.</t>
  </si>
  <si>
    <t>If you are not sure about the values to enter here, please contact your relevant national statistics office.</t>
  </si>
  <si>
    <t>Hot metal</t>
  </si>
  <si>
    <t>Number of activity</t>
  </si>
  <si>
    <t>Activity missing (A.I.4.a)!</t>
  </si>
  <si>
    <t>EUconst_ERR_ActivityMissing</t>
  </si>
  <si>
    <t>CNTR_Eligible10a</t>
  </si>
  <si>
    <t>Connection Name</t>
  </si>
  <si>
    <t>Entity Type</t>
  </si>
  <si>
    <t>Attribution of emissions to sub-installations (section D.II)</t>
  </si>
  <si>
    <t>Energy input from fuels - split into use categories (Section E.I)</t>
  </si>
  <si>
    <t>Calculation of measurable heat (Section E.II)</t>
  </si>
  <si>
    <t>In several fields you can choose from predefined inputs. For selecting from such a "drop-down list" either click with the mouse on the small arrow appearing at the right border of the cell, or press "Alt-CursorDown" when you have selected the cell. Some fields allow you to input your own text even if such a drop-down list exists. This is the case when drop-down lists contain empty list entries.</t>
  </si>
  <si>
    <t>Colour codes and fonts:</t>
  </si>
  <si>
    <t>This is text describing the input required.</t>
  </si>
  <si>
    <t>This amount of heat is allocated to the consumer of the heat.</t>
  </si>
  <si>
    <t>Type of connection options are:</t>
  </si>
  <si>
    <t>Because both possible sub-installations can be concerned in one installation, or because different waste gases can occur, this "waste gas tool" exists twofold in this template.</t>
  </si>
  <si>
    <t>Please select here to which of the two process emission sub-installations the data in this tool is related.</t>
  </si>
  <si>
    <t>Member State in which the installation is situated:</t>
  </si>
  <si>
    <t>EUconst_MSlist</t>
  </si>
  <si>
    <t>EUconst_MSlistISOcodes</t>
  </si>
  <si>
    <t>Member States may make this information optional if the competent authority is in possession of this information already.</t>
  </si>
  <si>
    <t>Operator Name:</t>
  </si>
  <si>
    <t>The operator is the [natural or legal] person who operates or controls an installation or, where this is provided for in national legislation, to whom decisive economic power over the technical functioning of the installation has been delegated.</t>
  </si>
  <si>
    <t>This information is useful for the competent authorities for consistency checks and alignment of environmental information sources.</t>
  </si>
  <si>
    <t>v.</t>
  </si>
  <si>
    <t>vi.</t>
  </si>
  <si>
    <t>vii.</t>
  </si>
  <si>
    <t>viii.</t>
  </si>
  <si>
    <t>ix.</t>
  </si>
  <si>
    <t>CNTR_ExistSubInstEntries</t>
  </si>
  <si>
    <t>For formatting of connection list:</t>
  </si>
  <si>
    <t>CNTR_ExistConnectionEntries</t>
  </si>
  <si>
    <t>Any error messages?</t>
  </si>
  <si>
    <t>Total:</t>
  </si>
  <si>
    <t>CNTR_HasEntries_A_I:</t>
  </si>
  <si>
    <t>Used for formatting and Error messages.</t>
  </si>
  <si>
    <t>Measurable heat delivered to other sub-installations is to be treated like heat from non-ETS sources.</t>
  </si>
  <si>
    <t>Under this point the "main activity levels" should be reported, i.e. the data which is directly applicable for the calculation of the allocation.</t>
  </si>
  <si>
    <t>Carbon black</t>
  </si>
  <si>
    <t xml:space="preserve">Production of nitric acid </t>
  </si>
  <si>
    <t>Nitric acid</t>
  </si>
  <si>
    <t xml:space="preserve">Production of adipic acid </t>
  </si>
  <si>
    <t>Adipic acid</t>
  </si>
  <si>
    <t xml:space="preserve">Production of ammonia </t>
  </si>
  <si>
    <t>Ammonia</t>
  </si>
  <si>
    <t xml:space="preserve">Production of bulk organic chemicals by cracking, reforming, partial or full oxidation or by similar processes, with a production capacity exceeding 100 tonnes per day </t>
  </si>
  <si>
    <t>Steam cracking</t>
  </si>
  <si>
    <t>Aromatics</t>
  </si>
  <si>
    <t>Styrene</t>
  </si>
  <si>
    <t>Phenol/ acetone</t>
  </si>
  <si>
    <t>Ethylene oxide/ ethylene glycols</t>
  </si>
  <si>
    <t>Vinyl chloride monomer</t>
  </si>
  <si>
    <t>S-PVC</t>
  </si>
  <si>
    <t>E-PVC</t>
  </si>
  <si>
    <t>Hydrogen</t>
  </si>
  <si>
    <t>Synthesis gas</t>
  </si>
  <si>
    <t xml:space="preserve">Production of soda ash (Na2CO3) and sodium bicarbonate (NaHCO3) </t>
  </si>
  <si>
    <t>Soda ash</t>
  </si>
  <si>
    <t>end</t>
  </si>
  <si>
    <t>Product type</t>
  </si>
  <si>
    <t>year</t>
  </si>
  <si>
    <t>EUconst_Year</t>
  </si>
  <si>
    <t>BM number</t>
  </si>
  <si>
    <t>EUconst_Tons</t>
  </si>
  <si>
    <t>General Information on this Template</t>
  </si>
  <si>
    <t>Sub-installation</t>
  </si>
  <si>
    <t>(o)</t>
  </si>
  <si>
    <t>(p)</t>
  </si>
  <si>
    <t>(q)</t>
  </si>
  <si>
    <t>Sum of products</t>
  </si>
  <si>
    <t>CF(EOE)</t>
  </si>
  <si>
    <t>Ethylene oxide</t>
  </si>
  <si>
    <t>Monoethylene glycol</t>
  </si>
  <si>
    <t>Diethylene glycol</t>
  </si>
  <si>
    <t>Triethylene glycol</t>
  </si>
  <si>
    <t>Result: Activity levels for the ethylene oxide / ethylene glycols product benchmark sub-installation:</t>
  </si>
  <si>
    <t>Installation name:</t>
  </si>
  <si>
    <t>Naphtha/Gasoline Hydrotreater</t>
  </si>
  <si>
    <t>Result: Activity levels for the aromatics benchmark expressed as CWT</t>
  </si>
  <si>
    <t>Aromatics activity level</t>
  </si>
  <si>
    <t>Member State specific information:</t>
  </si>
  <si>
    <t>Name of the installation:</t>
  </si>
  <si>
    <t>Operator data:</t>
  </si>
  <si>
    <t>Name:</t>
  </si>
  <si>
    <t>Installation address:</t>
  </si>
  <si>
    <t>Street, Number:</t>
  </si>
  <si>
    <t>ZIP-Code:</t>
  </si>
  <si>
    <t>City:</t>
  </si>
  <si>
    <t>Country:</t>
  </si>
  <si>
    <t>Name of authorized representative:</t>
  </si>
  <si>
    <t>Email:</t>
  </si>
  <si>
    <t>Telephone:</t>
  </si>
  <si>
    <t>Fax:</t>
  </si>
  <si>
    <t>Company Name:</t>
  </si>
  <si>
    <t>Other HVC</t>
  </si>
  <si>
    <t>Result: Activity levels for net HVC</t>
  </si>
  <si>
    <t>Net HVC production levels</t>
  </si>
  <si>
    <t>Tool for calculating the historical activity levels for hydrogen sub-installations</t>
  </si>
  <si>
    <t>Total hydrogen production</t>
  </si>
  <si>
    <t>EUconst_MNm3pa</t>
  </si>
  <si>
    <t>Norway</t>
  </si>
  <si>
    <t>Liechtenstein</t>
  </si>
  <si>
    <t>IS</t>
  </si>
  <si>
    <t>LI</t>
  </si>
  <si>
    <t>NO</t>
  </si>
  <si>
    <t>UBA</t>
  </si>
  <si>
    <t>Name</t>
  </si>
  <si>
    <t>TEXT (Language Version)</t>
  </si>
  <si>
    <t>English Version (Original)</t>
  </si>
  <si>
    <t>Constant</t>
  </si>
  <si>
    <t>Further constants</t>
  </si>
  <si>
    <t>EUconst_ReportingYears</t>
  </si>
  <si>
    <t>End</t>
  </si>
  <si>
    <t>Area for functionalities, Constants etc.</t>
  </si>
  <si>
    <t>II</t>
  </si>
  <si>
    <t>(b)</t>
  </si>
  <si>
    <t>Column Index:</t>
  </si>
  <si>
    <t xml:space="preserve"> %</t>
  </si>
  <si>
    <t>Memo-Item: Biomass emissions</t>
  </si>
  <si>
    <t>Biomass content (as fraction of carbon)</t>
  </si>
  <si>
    <t>(d)</t>
  </si>
  <si>
    <t>Emissions (fossil, calculated)</t>
  </si>
  <si>
    <t>III</t>
  </si>
  <si>
    <t>Unit</t>
  </si>
  <si>
    <t>EUconst_ERR_Mandatory_g</t>
  </si>
  <si>
    <t>EUconst_ERR_Mandatory_abd</t>
  </si>
  <si>
    <t>At least one sub-installation name has been entered more than once. Please correct!</t>
  </si>
  <si>
    <t>EUconst_ERR_DoubleBMentry</t>
  </si>
  <si>
    <t>EUconst_ERR_MissingSubInstEntry</t>
  </si>
  <si>
    <t>Please enter for each sub-installation if it is relevant or not!</t>
  </si>
  <si>
    <t>EUconst_ERR_MissingFallBackEntry</t>
  </si>
  <si>
    <t>Used f. Formatting of navigation panel</t>
  </si>
  <si>
    <t>Green fields show automatically calculated results. Red text indicates error messages (missing data etc).</t>
  </si>
  <si>
    <t>Please enter information under points (b) and (c) above!</t>
  </si>
  <si>
    <t>EUconst_ERR_Mandatory_Bbc</t>
  </si>
  <si>
    <t>Please enter detailed source stream data starting with section II below!</t>
  </si>
  <si>
    <t>EUconst_ERR_StartWithFuels</t>
  </si>
  <si>
    <t>Please go on with entering emission totals in section D.I.2 in sheet 'D_Emissions'!</t>
  </si>
  <si>
    <t>EUconst_ERR_Goto_DI2</t>
  </si>
  <si>
    <t>EUconst_Fuel</t>
  </si>
  <si>
    <t>Fuel</t>
  </si>
  <si>
    <t>The units selected are inconsistent, and calculations based upon related inputs will give wrong results.</t>
  </si>
  <si>
    <t>EUconst_GJpa</t>
  </si>
  <si>
    <t>Total direct emission of the installation</t>
  </si>
  <si>
    <t>No. of Activity</t>
  </si>
  <si>
    <t>Please use CWT tool in sheet "SpecialBM" for calculating historical activity levels.</t>
  </si>
  <si>
    <t>Please use lime tool in sheet "SpecialBM" for calculating historical activity levels.</t>
  </si>
  <si>
    <t>Please use dolime tool in sheet "SpecialBM" for calculating historical activity levels.</t>
  </si>
  <si>
    <t>Please use ethylene oxide / glycols tool in sheet "SpecialBM" for calculating historical activity levels.</t>
  </si>
  <si>
    <t>Please use hydrogen tool in sheet "SpecialBM" for calculating historical activity levels.</t>
  </si>
  <si>
    <t>Please use syngas tool in sheet "SpecialBM" for calculating historical activity levels.</t>
  </si>
  <si>
    <t>EUconst_BaselinePeriods</t>
  </si>
  <si>
    <t># occurances</t>
  </si>
  <si>
    <t>Attribution of emissions to sub-installations</t>
  </si>
  <si>
    <t>Relevant electricity consumption</t>
  </si>
  <si>
    <t>Total direct emissions</t>
  </si>
  <si>
    <t>EUconst_HeatBMvalue</t>
  </si>
  <si>
    <t>EUconst_ElBM</t>
  </si>
  <si>
    <t>Unit of HAL</t>
  </si>
  <si>
    <t>Main activity level:</t>
  </si>
  <si>
    <t>Sum of production levels</t>
  </si>
  <si>
    <t>Special reporting requirements:</t>
  </si>
  <si>
    <t>Some product benchmarks require special information to be reported (e.g. CWT values). If relevant, an automatically generated message will appear here.</t>
  </si>
  <si>
    <t>Message regarding special reporting</t>
  </si>
  <si>
    <t>Please list here to which production processes or services this sub-installation relates. This may include the following items:</t>
  </si>
  <si>
    <t xml:space="preserve">-  </t>
  </si>
  <si>
    <t>Production of goods not covered by product benchmarks within the installation (please provide types of product);</t>
  </si>
  <si>
    <t>Norwegian</t>
  </si>
  <si>
    <t>no</t>
  </si>
  <si>
    <t>VII</t>
  </si>
  <si>
    <t>VIII</t>
  </si>
  <si>
    <t>Total Direct Greenhouse Gas Emissions and Energy Input from Fuels</t>
  </si>
  <si>
    <t>Total N2O emissions</t>
  </si>
  <si>
    <t>Total PFC emissions</t>
  </si>
  <si>
    <t>Total CO2 emissions</t>
  </si>
  <si>
    <t>tCO2e/tN2O</t>
  </si>
  <si>
    <t>Installation level data:</t>
  </si>
  <si>
    <t>Total energy input from fuels</t>
  </si>
  <si>
    <t>A separate balance for the consumption of the "eligible" and "non-eligible" heat is calculated.</t>
  </si>
  <si>
    <t>For the purpose of this template, the following step-by-step approach is used:</t>
  </si>
  <si>
    <t>Heat imported from non-ETS installations or entities:</t>
  </si>
  <si>
    <t>Hydrogen related emissions</t>
  </si>
  <si>
    <t>EUconst_FuelBMvalue</t>
  </si>
  <si>
    <t>Emission related data:</t>
  </si>
  <si>
    <t>Carbon content (mass %)</t>
  </si>
  <si>
    <t>Net calorific value (NCV), if applicable</t>
  </si>
  <si>
    <t>Please make sure that you check this section again after completing the sheet "F_ProductBM", if applicable, in order to avoid non-plausible inputs.</t>
  </si>
  <si>
    <t>You will receive an error message if you do not enter exactly 4 digits.</t>
  </si>
  <si>
    <t>Name of product or group of products</t>
  </si>
  <si>
    <t>PRODCOM 2010</t>
  </si>
  <si>
    <t>A list of PRODCOM 2010 codes can be found at:</t>
  </si>
  <si>
    <t>Process emission type</t>
  </si>
  <si>
    <t>EUconst_ProcessEmissionTypes</t>
  </si>
  <si>
    <t>N2O</t>
  </si>
  <si>
    <t>PFCs</t>
  </si>
  <si>
    <t>reduction of metals compounds</t>
  </si>
  <si>
    <t>removal of impurities</t>
  </si>
  <si>
    <t>decomposition of carbonates</t>
  </si>
  <si>
    <t>Please provide here information on the greenhouse gas emissions permit (=permit issued in accordance with Articles 5 and 6 of the EU ETS Directive).</t>
  </si>
  <si>
    <t>All installations which are not incumbents according to the above criteria will be considered "New entrants" by the competent authority.</t>
  </si>
  <si>
    <t>The EPRTR is the European Pollutant Release and Transfer Register.</t>
  </si>
  <si>
    <t>Please provide the identification code of the installation in the EPRTR, if applicable:</t>
  </si>
  <si>
    <t>Synthesis gas production for POX units</t>
  </si>
  <si>
    <t>Result: Activity levels for the refinery benchmark expressed as CWT</t>
  </si>
  <si>
    <t>Uncorrected Dolime production:</t>
  </si>
  <si>
    <t>Please enter here the annual production data expressed as tonnes of lime, without correction for the composition data:</t>
  </si>
  <si>
    <t>Tool for calculating the historical activity levels for Dolime sub-installations</t>
  </si>
  <si>
    <t>Light yellow fields indicate that an input is optional.</t>
  </si>
  <si>
    <t>Umweltbundesamt</t>
  </si>
  <si>
    <t>Spain</t>
  </si>
  <si>
    <t>Sweden</t>
  </si>
  <si>
    <t>United Kingdom</t>
  </si>
  <si>
    <t>Navigation panels on top of each sheet provide hyperlinks for quick jumps to individual input sections. The first line ("Table of contents", "Previous sheet", "next sheet", "Summary") and the points "Top of sheet" and "End of sheet" are the same for all sheets. Depending on the sheet, further menu items are added. If the background colour of one of the hyperlink areas turns red, this indicates that data is missing in the related section (not in all sheets).</t>
  </si>
  <si>
    <t>EUconst_MsgSeeFirst</t>
  </si>
  <si>
    <t>Please proceed to sheet 'F_ProductBM'!</t>
  </si>
  <si>
    <t>EUconst_MsgProceedF</t>
  </si>
  <si>
    <t>Please proceed to section E.II.2</t>
  </si>
  <si>
    <t>EUconst_MsgProceedEII2</t>
  </si>
  <si>
    <t>EUconst_MsgGoOn</t>
  </si>
  <si>
    <t>Please continue with the next points below</t>
  </si>
  <si>
    <t xml:space="preserve">Production of pulp from timber or other fibrous materials </t>
  </si>
  <si>
    <t>Short fibre kraft pulp</t>
  </si>
  <si>
    <t>Adt</t>
  </si>
  <si>
    <t>Long fibre kraft pulp</t>
  </si>
  <si>
    <t>Sulphite pulp, thermo-mechanical and mechanical pulp</t>
  </si>
  <si>
    <t xml:space="preserve">Production of paper or cardboard with a production capacity exceeding 20 tonnes per day </t>
  </si>
  <si>
    <t>Newsprint</t>
  </si>
  <si>
    <t>Uncoated fine paper</t>
  </si>
  <si>
    <t>EUconst_Inconsistent</t>
  </si>
  <si>
    <t>inconsistent!</t>
  </si>
  <si>
    <t>EUconst_tCO2pkNm3</t>
  </si>
  <si>
    <t>The operator of this installation confirms that the installation is not eligible for free allocation under Article 10a of the EU ETS Directive as an incumbent.</t>
  </si>
  <si>
    <t>Content of CaO</t>
  </si>
  <si>
    <t>Content of MgO</t>
  </si>
  <si>
    <t>Result: Activity levels for lime expressed as standard pure lime</t>
  </si>
  <si>
    <t>This section relates to the process emissions sub-installation of this type:</t>
  </si>
  <si>
    <t>Please confirm if waste gases are relevant for this sub-installation:</t>
  </si>
  <si>
    <t>chemical synthesis</t>
  </si>
  <si>
    <t>carbon containing materials</t>
  </si>
  <si>
    <t>Historic Activity levels and disaggregated production details</t>
  </si>
  <si>
    <t>Portugal</t>
  </si>
  <si>
    <t>Romania</t>
  </si>
  <si>
    <t>Slovakia</t>
  </si>
  <si>
    <t>Slovenia</t>
  </si>
  <si>
    <t>Unique Installation Identifier:</t>
  </si>
  <si>
    <t>Identification of the Installation</t>
  </si>
  <si>
    <t>This name should be the same as has been already used for correspondence with the competent authority.</t>
  </si>
  <si>
    <t>Under which NACE code has your company reported value added for structural business statistics?</t>
  </si>
  <si>
    <t xml:space="preserve">NACE rev 2.0 can be found here: </t>
  </si>
  <si>
    <t>Rest</t>
  </si>
  <si>
    <t>production of mechanical energy, heating or cooling (all uses excluding production of electricity);</t>
  </si>
  <si>
    <t>mechanical energy</t>
  </si>
  <si>
    <t>Total Ethylene oxide equivalents</t>
  </si>
  <si>
    <t>Installation producing Nitric Acid</t>
  </si>
  <si>
    <t>In the column "Type of entity" the following options can be selected:</t>
  </si>
  <si>
    <t>Please list this fact even if the nitric acid production is part of your own installation, not only if your installation is connected to such installation.</t>
  </si>
  <si>
    <t>Special case: Nitric acid production:</t>
  </si>
  <si>
    <t>Individual production levels of products included in this product benchmark sub-installation</t>
  </si>
  <si>
    <t xml:space="preserve">&lt;&lt;&lt; Click here to proceed to next sheet &gt;&gt;&gt; </t>
  </si>
  <si>
    <t>N.A.</t>
  </si>
  <si>
    <t>EUconst_TrueFalse</t>
  </si>
  <si>
    <t>EUconst_TrueFalseNA</t>
  </si>
  <si>
    <t>I</t>
  </si>
  <si>
    <t>Date of start of operation of the installation:</t>
  </si>
  <si>
    <t>The required data on historical production of hydrogen, ethylene and other HVC from supplemental feed expressed as tonnes, taken from IV.1.c above;</t>
  </si>
  <si>
    <t>tonnes</t>
  </si>
  <si>
    <t>-</t>
  </si>
  <si>
    <t>%</t>
  </si>
  <si>
    <t>R</t>
  </si>
  <si>
    <t>C5/C6 Isomerisation</t>
  </si>
  <si>
    <t>Asphalt Manufacture</t>
  </si>
  <si>
    <t>Polymer-Modified Asphalt Blending</t>
  </si>
  <si>
    <t>Sulphur Recovery</t>
  </si>
  <si>
    <t>Aromatic Solvent Extraction</t>
  </si>
  <si>
    <t>Hydrodealkylation</t>
  </si>
  <si>
    <t>TDP/ TDA</t>
  </si>
  <si>
    <t>Cyclohexane production</t>
  </si>
  <si>
    <t>Xylene Isomerisation</t>
  </si>
  <si>
    <t>Paraxylene production</t>
  </si>
  <si>
    <t>Metaxylene production</t>
  </si>
  <si>
    <t>Maleic anhydride production</t>
  </si>
  <si>
    <t>Ethylbenzene production</t>
  </si>
  <si>
    <t>Cumene production</t>
  </si>
  <si>
    <t>Phenol production</t>
  </si>
  <si>
    <t>The operator of this installation confirms that this report may be used by the competent authority and the European Commission.</t>
  </si>
  <si>
    <t>EUconst_Error</t>
  </si>
  <si>
    <t>ERR_</t>
  </si>
  <si>
    <t>Errors?</t>
  </si>
  <si>
    <t>BM1</t>
  </si>
  <si>
    <t>BM2</t>
  </si>
  <si>
    <t>BM3</t>
  </si>
  <si>
    <t>BM4</t>
  </si>
  <si>
    <t>BM5</t>
  </si>
  <si>
    <t>BM6</t>
  </si>
  <si>
    <t>BM7</t>
  </si>
  <si>
    <t>BM8</t>
  </si>
  <si>
    <t>BM9</t>
  </si>
  <si>
    <t>BM10</t>
  </si>
  <si>
    <t>Production or processing of ferrous metals (including ferro-alloys) where combustion units with a total rated thermal input exceeding 20 MW are operated. Processing includes, inter alia, rolling mills, re-heaters, annealing furnaces, smitheries, foundries, coating and pickling</t>
  </si>
  <si>
    <t>Important note: The reporting is done in ktonnes, but the benchmark is expressed in t CO2/CWT, where CWT is expressed in tonnes.</t>
  </si>
  <si>
    <t>Emissions</t>
  </si>
  <si>
    <t>Waste gases</t>
  </si>
  <si>
    <t>EUconst_RelevantNotRelevant</t>
  </si>
  <si>
    <t>Carbon leakage</t>
  </si>
  <si>
    <t>not exposed to carbon leakage</t>
  </si>
  <si>
    <t>EUconst_CLnonCL</t>
  </si>
  <si>
    <t>However, for waste gases a CO2 amount equivalent to natural gas used for the "technically usable energy content" is to be subtracted from the total process emissions.</t>
  </si>
  <si>
    <t>In order to determine the "technically usable energy content" the following information is needed:</t>
  </si>
  <si>
    <t>Type of waste gas:</t>
  </si>
  <si>
    <t>Net calorific value of the waste gas</t>
  </si>
  <si>
    <t>Emission factor of natural gas: 56.1 t CO2/TJ.</t>
  </si>
  <si>
    <t>Net calorific value of the waste gas;</t>
  </si>
  <si>
    <t>Optionally (for consistency checking) the process emissions associated with these waste gas amounts should be reported.</t>
  </si>
  <si>
    <t>Electricity exported</t>
  </si>
  <si>
    <t>EUconst_ConnectionTransferTypes</t>
  </si>
  <si>
    <t>Name of contact person</t>
  </si>
  <si>
    <t>Please enter here further information regarding those connected installations, if relevant:</t>
  </si>
  <si>
    <t>EUconst_ConnectionShortTypes</t>
  </si>
  <si>
    <t>Heat</t>
  </si>
  <si>
    <t>CO2</t>
  </si>
  <si>
    <t>For the aromatics benchmark, which also uses CWT, please use the specific CWT tool for aromatics below (section V of this sheet).</t>
  </si>
  <si>
    <t>EUconst_ConfirmationNotEligible</t>
  </si>
  <si>
    <t>EUconst_ConfirmApplicationForAlloc</t>
  </si>
  <si>
    <t>The operator of this installation confirms that an application for free allocation under Article 10a of the EU ETS Directive is hereby filed.</t>
  </si>
  <si>
    <t>Net heat exported</t>
  </si>
  <si>
    <t>Waste gas exported</t>
  </si>
  <si>
    <t>HeatEx_</t>
  </si>
  <si>
    <t>WasteGasEx_</t>
  </si>
  <si>
    <t>EUconst_CNTR_HeatExport</t>
  </si>
  <si>
    <t>EUconst_CNTR_WGExport</t>
  </si>
  <si>
    <t>FuelInput_</t>
  </si>
  <si>
    <t>EUconst_CNTR_FuelInput</t>
  </si>
  <si>
    <t>Net heat imported</t>
  </si>
  <si>
    <t>EUconst_CNTR_WGExportEF</t>
  </si>
  <si>
    <t>WasteGasExEF_</t>
  </si>
  <si>
    <t>HeatExEF_</t>
  </si>
  <si>
    <t>EUconst_CNTR_HeatExportEF</t>
  </si>
  <si>
    <t>EUconst_CNTR_HeatImport</t>
  </si>
  <si>
    <t>HeatIm_</t>
  </si>
  <si>
    <t>EUconst_CNTR_HeatImportEF</t>
  </si>
  <si>
    <t>HeatImEF_</t>
  </si>
  <si>
    <t>EUconst_CNTR_ElectricityExported</t>
  </si>
  <si>
    <t>ElecEx_</t>
  </si>
  <si>
    <t>EUconst_CNTR_WGImport</t>
  </si>
  <si>
    <t>EUconst_CNTR_WGImportEF</t>
  </si>
  <si>
    <t>WasteGasImEF_</t>
  </si>
  <si>
    <t>WasteGasIm_</t>
  </si>
  <si>
    <t>Waste gas imported</t>
  </si>
  <si>
    <t>Specific EF (imported heat)</t>
  </si>
  <si>
    <t>Specific EF (exported heat)</t>
  </si>
  <si>
    <t>xiii.</t>
  </si>
  <si>
    <t>xiv.</t>
  </si>
  <si>
    <t>xv.</t>
  </si>
  <si>
    <t>xvi.</t>
  </si>
  <si>
    <t>xvii.</t>
  </si>
  <si>
    <t>xviii.</t>
  </si>
  <si>
    <t>xix.</t>
  </si>
  <si>
    <t>xx.</t>
  </si>
  <si>
    <t>xxi.</t>
  </si>
  <si>
    <t>xxii.</t>
  </si>
  <si>
    <t>xxiii.</t>
  </si>
  <si>
    <t>EUconst_CNTR_Emissions</t>
  </si>
  <si>
    <t>make grey?</t>
  </si>
  <si>
    <t>Measurable heat import to and export from this sub-installation</t>
  </si>
  <si>
    <t>EUconst_tCO2pMWh</t>
  </si>
  <si>
    <t>Emissions attributable to heat output</t>
  </si>
  <si>
    <t>Fuel input into CHP</t>
  </si>
  <si>
    <t>Heat output from CHP</t>
  </si>
  <si>
    <t>Electricity output CHP</t>
  </si>
  <si>
    <t>EUconst_NGEFvalue</t>
  </si>
  <si>
    <t>Reference efficiencies</t>
  </si>
  <si>
    <t>Heat production</t>
  </si>
  <si>
    <t>Electricity production</t>
  </si>
  <si>
    <t>Total amount of fuel input into CHP units</t>
  </si>
  <si>
    <t>ARR</t>
  </si>
  <si>
    <t>BM value (2013-2020)</t>
  </si>
  <si>
    <t>Reporting years used:</t>
  </si>
  <si>
    <t>Reporting years (default):</t>
  </si>
  <si>
    <t>Croatia</t>
  </si>
  <si>
    <t>HR</t>
  </si>
  <si>
    <t>IC</t>
  </si>
  <si>
    <t>Croatian</t>
  </si>
  <si>
    <t>hr</t>
  </si>
  <si>
    <t>Icelandic</t>
  </si>
  <si>
    <t>ic</t>
  </si>
  <si>
    <t>Tool for calculating the emissions attributable to heat production in combined heat and power units (CHP)</t>
  </si>
  <si>
    <t>Waste gas produced</t>
  </si>
  <si>
    <t>Import or export of intermediate products covered by product benchmarks</t>
  </si>
  <si>
    <t>Exported amounts:</t>
  </si>
  <si>
    <t>Imported amounts:</t>
  </si>
  <si>
    <t>Is there any import or export of intermediate products covered by product benchmarks?</t>
  </si>
  <si>
    <t>Description of the intermediate products imported or exported</t>
  </si>
  <si>
    <t>Other than CWT?</t>
  </si>
  <si>
    <t>Print area:</t>
  </si>
  <si>
    <t>Net heat imported from nitric acid sub-installation</t>
  </si>
  <si>
    <t>Net heat imported from pulp</t>
  </si>
  <si>
    <t>Total heat imported</t>
  </si>
  <si>
    <t>Total heat exported</t>
  </si>
  <si>
    <t>Amount imported or exported</t>
  </si>
  <si>
    <t>Further source streams - 1</t>
  </si>
  <si>
    <t>Further source streams - 2</t>
  </si>
  <si>
    <t>GHG imported or exported</t>
  </si>
  <si>
    <t>Total amount of pulp produced</t>
  </si>
  <si>
    <t>EUconst_CNTR_HeatImportPulp</t>
  </si>
  <si>
    <t>HeatImPulp_</t>
  </si>
  <si>
    <t>EUconst_CNTR_HeatImportNitric</t>
  </si>
  <si>
    <t>HeatImNitric_</t>
  </si>
  <si>
    <t>Does the installation produce electricity?</t>
  </si>
  <si>
    <t>CNTR_ProdElec</t>
  </si>
  <si>
    <t>EUconst_AllYears</t>
  </si>
  <si>
    <t>Please enter here the annual fuel input into the CHP unit.</t>
  </si>
  <si>
    <t>From fuel input to CHP</t>
  </si>
  <si>
    <t>From flue gas cleaning</t>
  </si>
  <si>
    <t>Total net heat imported</t>
  </si>
  <si>
    <t>Heat from electricity</t>
  </si>
  <si>
    <t>Waste gas balance</t>
  </si>
  <si>
    <t>Waste gases imported from other installations or entities</t>
  </si>
  <si>
    <t>Waste gases exported to other installations or entities</t>
  </si>
  <si>
    <t>Waste gases available</t>
  </si>
  <si>
    <t>Waste gases consumed within fall-back sub-installations</t>
  </si>
  <si>
    <t>Amount of waste gases consumed for the production of electricity</t>
  </si>
  <si>
    <t>Waste gases for electricity</t>
  </si>
  <si>
    <t>Plausibility check</t>
  </si>
  <si>
    <t>Difference (calculated)</t>
  </si>
  <si>
    <t>Amount of waste gases flared other than safety flaring</t>
  </si>
  <si>
    <t>Weighted emission factor</t>
  </si>
  <si>
    <t>Waste gases consumed within product benchmark sub-installations</t>
  </si>
  <si>
    <t>Type of product BM sub-installation</t>
  </si>
  <si>
    <t>Type of fall-back sub-installation</t>
  </si>
  <si>
    <t>produced outside product BM sub-installations</t>
  </si>
  <si>
    <t>Complete balance of waste gases at the installation</t>
  </si>
  <si>
    <t>(r)</t>
  </si>
  <si>
    <t>Fuel input to this sub-installation and relevant emission factor</t>
  </si>
  <si>
    <t>Information about the verifier's accreditation:</t>
  </si>
  <si>
    <t>Name of the national accreditation body:</t>
  </si>
  <si>
    <t>Waste gases produced</t>
  </si>
  <si>
    <t>Waste gases produced within the system boundaries of a product benchmark sub-installation</t>
  </si>
  <si>
    <t>Waste gases produced outside the system boundaries of a product benchmark sub-installation</t>
  </si>
  <si>
    <t>Sum of waste gases available at installation (=c+d-e)</t>
  </si>
  <si>
    <t>D.II.b !</t>
  </si>
  <si>
    <t>The name of the fall-back sub-installation is displayed automatically based on the overall list of possible fall-back installations.</t>
  </si>
  <si>
    <t>Pulp</t>
  </si>
  <si>
    <t xml:space="preserve">Usually this is the production data of the product, e.g. tonnes of grey cement clinker or tonnes of glass bottles, as defined by Annex I of the FAR. </t>
  </si>
  <si>
    <t>After these deductions of heat from the available amount, a new "eligibility ratio" is calculated (point (k)).</t>
  </si>
  <si>
    <t>Heat exports to installations covered by the ETS (section (i) below) must always be considered as heat from eligible sources, because the consumer of the heat will not have the information about eligibility of the upstream produced heat. Thus, for avoiding double counting, the heat must be deducted from the eligible amount in this installation. The amount is to be capped by the total available "eligible" heat of the installation.</t>
  </si>
  <si>
    <t>As default, it is assumed that the whole amount of heat used for electricity production is split between eligible and non-eligible inputs using the ratio calculated under (f).</t>
  </si>
  <si>
    <t>Thereafter the factor determined under (e) is corrected taking into account the remainder of eligible and non-eligible heat. This factor is used for point (m).</t>
  </si>
  <si>
    <t>This is consumption within the installation excluding for purposes listed in points (g) and (h).</t>
  </si>
  <si>
    <t>This table shows calculated heat losses (i.e. the amount of heat not covered by points g,h,k,l and m) for reasons of completeness of the heat balance.</t>
  </si>
  <si>
    <t>This result is calculated as point (o) multiplied with the corrected eligibility ratio determined under (k).</t>
  </si>
  <si>
    <t>Heat benchmark sub-installation "CL" (exposed to a significant risk of Carbon Leakage), "non-CL" (not exposed to carbon leakage risk; which includes heat exported to non-ETS installations and entities but not for district heating) and district heating sub-installation "non-CL".</t>
  </si>
  <si>
    <t>EUconst_CLEFYears</t>
  </si>
  <si>
    <t>EUconst_CLEFDistrict</t>
  </si>
  <si>
    <t>District heating sub-installation</t>
  </si>
  <si>
    <t>EUconst_AllocPrelim</t>
  </si>
  <si>
    <t>AllocPrelim_</t>
  </si>
  <si>
    <t>An installation is an incumbent if it has received a greenhouse gas emission permit for the first time on or before:</t>
  </si>
  <si>
    <t>30 June 2019 for the allocation period 2021-2025, or</t>
  </si>
  <si>
    <t>30 June 2024 for the period 2026-2030.</t>
  </si>
  <si>
    <t>Maximum</t>
  </si>
  <si>
    <t>Name of further source streams - 1:</t>
  </si>
  <si>
    <t>Name of further source streams - 2:</t>
  </si>
  <si>
    <t>If there are more than two source streams imported or exported, multiple source streams should be grouped together and respective names provided.</t>
  </si>
  <si>
    <t>Types of waste gases exported:</t>
  </si>
  <si>
    <t>Types of waste gases imported:</t>
  </si>
  <si>
    <t>Types of waste gases produced:</t>
  </si>
  <si>
    <t>Directive 2003/87/EC, as amended most recently by Directive 2018/410/EU (hereinafter "the EU ETS Directive") requires Member States to allocate allowances for free to installations based on Community-wide and fully-harmonised rules (Article 10a(1)). The Directive can be downloaded from:</t>
  </si>
  <si>
    <t>"Member State" means here: State which participates in the EU ETS, i.e. EU Member States and Iceland, Norway and Liechtenstein.</t>
  </si>
  <si>
    <t>This is the ID used by the competent authority for correspondence with the installation, e.g. for free allocation in earlier periods.</t>
  </si>
  <si>
    <t>For installations which have not been included in the EU ETS before, operators are requested to contact the competent authority to receive such ID.</t>
  </si>
  <si>
    <t>Information on the greenhouse gas emissions permit:</t>
  </si>
  <si>
    <t>Identification code of the installation in the Registry:</t>
  </si>
  <si>
    <t>Unique identifier provided by the competent authority:</t>
  </si>
  <si>
    <t>Primary contact person for technical questions regarding installation data, if different from (a):</t>
  </si>
  <si>
    <t>Authorised representative of the operator in charge of this installation:</t>
  </si>
  <si>
    <t>Authorised representative of the verifier:</t>
  </si>
  <si>
    <t>This information is important for the competent authorities because changes compared to previous ETS phases may have taken place.</t>
  </si>
  <si>
    <t>The data contained in this file will be used by the competent authority for determining the free allocation pursuant to Article 10a of the EU ETS Directive, and by the European Commission for updating benchmark values. Furthermore these data will be notified to the European Commission in part or as a whole, if requested so, for the purpose of scrutinizing the national implementation measures pursuant to Article 11(1) of the EU ETS Directive.</t>
  </si>
  <si>
    <t>Only those cases are relevant, where either measurable heat, waste gases or "transferred CO2" as defined by the Monitoring and Reporting Regulation are transferred.</t>
  </si>
  <si>
    <t>transferred CO2</t>
  </si>
  <si>
    <t>Product name, or heat export other than "district heating"</t>
  </si>
  <si>
    <t>export of heat to installations or other entities (other than district heating). In this case please indicate the use of heat in that installation or entity, if known.</t>
  </si>
  <si>
    <t>Further correction factors</t>
  </si>
  <si>
    <t>For electricity production, heat consumption is split according to the ratio displayed under point (f), unless the amount of heat from non-eligible sources is manually input under (g).iii.</t>
  </si>
  <si>
    <t>For product benchmarks the total amount of measured heat is asked under (g) below. The amount of "non-eligible" heat is taken as sum of inputs in sheet "F_ProductBM", section (f).iii of each sub-installation (shown here below under (i).xii ).</t>
  </si>
  <si>
    <t>Eligibility ratio for the remaining heat calculated under (j):</t>
  </si>
  <si>
    <t>corrected eligibility ratio (=(j).ii / (j).i):</t>
  </si>
  <si>
    <t>Heat losses (=j-l-m)</t>
  </si>
  <si>
    <t>Heat losses (fraction of heat available = e)</t>
  </si>
  <si>
    <t>Compare to (f)</t>
  </si>
  <si>
    <t>The remaining eligible amount can then be attributed to the both heat benchmark sub-installations.</t>
  </si>
  <si>
    <t>Total emissions from CHP</t>
  </si>
  <si>
    <t>Emissions attributable to heat production from CHP</t>
  </si>
  <si>
    <t>FB7</t>
  </si>
  <si>
    <t>Point xii in relation to point xi:</t>
  </si>
  <si>
    <t>Point xii in relation to point (c) above:</t>
  </si>
  <si>
    <t>Waste gas tool</t>
  </si>
  <si>
    <t>The historical activity level expressed in tonnes of ethylene oxide equivalents is calculated using the formula given in the FAR, Annex III point 8.</t>
  </si>
  <si>
    <t>This tool helps you determine the HAL (historical activity levels) for the refinery benchmark (Annex III point 1 of the FAR).</t>
  </si>
  <si>
    <t>For the definition and boundaries of each CWT function please see Annex II point 1 of the FAR.</t>
  </si>
  <si>
    <t>This tool helps you determine the HAL (historical activity levels) for the lime benchmark (Annex III point 2 of the FAR)</t>
  </si>
  <si>
    <t>This tool helps you determine the HAL (historical activity levels) for the Dolime benchmark (Annex III point 3 of the FAR). It is not to be used for "sintered dolime".</t>
  </si>
  <si>
    <t>This tool helps you determine the HAL (historical activity levels) for the aromatics benchmark (Annex III point 5 of the FAR)</t>
  </si>
  <si>
    <t>This tool helps you determine the HAL (historical activity levels) for the hydrogen benchmark (Annex III point 6 of the FAR).</t>
  </si>
  <si>
    <t>This tool helps you determine the HAL (historical activity levels) for the synthesis gas benchmark (Annex III point 7 of the FAR).</t>
  </si>
  <si>
    <t>This tool helps you determine the HAL (historical activity levels) for the ethylene oxide / ethylene glycols benchmark (Annex III point 8 of the FAR).</t>
  </si>
  <si>
    <t>Here the refinery activity level is calculated using the formula given in the FAR, Annex III point 1 (before determining the average value).</t>
  </si>
  <si>
    <t>The result of this tool is used in sheet "F_ProductBM", input line (a).ii of the appropriate sub-installation, from which the average is calculated.</t>
  </si>
  <si>
    <t>Here the corrected lime activity level is calculated using the formula given in the FAR, Annex III point 2 (before determining the average value).</t>
  </si>
  <si>
    <t>Here the corrected dolime activity level is calculated using the formula given in the FAR, Annex III point 3 (before determining the average value).</t>
  </si>
  <si>
    <t>Here the aromatics activity level is calculated using the formula given in the FAR, Annex III point 5 (before determining the average value).</t>
  </si>
  <si>
    <t>Here the corrected activity level (referring to 47% H2) is calculated using the formula given in the FAR, Annex III point 7 (before determining the average value).</t>
  </si>
  <si>
    <t>This tool helps you determine the HAL (historical activity levels) for the steam cracking benchmark (Annex III point 4 of the FAR).</t>
  </si>
  <si>
    <t>Pursuant to Annex III point 4 of the FAR, the following data is required:</t>
  </si>
  <si>
    <t>Here the corrected activity level (net amount HVC) is calculated using the formula given in the FAR, Annex III point 4 (before determining the average value).</t>
  </si>
  <si>
    <t>For the definition and boundaries of each CWT function please see Annex II point 2 of the FAR.</t>
  </si>
  <si>
    <t>Important note:  In accordance with Annex II of the FAR, the units for reporting are kilotonnes throughput.</t>
  </si>
  <si>
    <t>Pursuant to Annex III point 2 of the FAR, the following data is required:</t>
  </si>
  <si>
    <t>Pursuant to Annex III point 3 of the FAR, the following data is required:</t>
  </si>
  <si>
    <t>Cogeneration tool</t>
  </si>
  <si>
    <t>Complete balance of measurable heat at the installation</t>
  </si>
  <si>
    <t>Dont touch!</t>
  </si>
  <si>
    <t>sub-inst-No</t>
  </si>
  <si>
    <t>Specific EF (produced waste gas)</t>
  </si>
  <si>
    <t>Total electricity available for use in the installation (= b+c-d)</t>
  </si>
  <si>
    <t>Heat eligible for heat benchmark sub-installations</t>
  </si>
  <si>
    <t>Please enter here the direct emissions taking into account the following provisions:</t>
  </si>
  <si>
    <t>The direct emissions are monitored in line with the MP approved under the MRR, i.e. taking into account the emissions from calculation based methodologies (using source streams), measurement based methodologies (CEMS) as well as no-tier approaches (“fall-backs”).</t>
  </si>
  <si>
    <t>Control: Other emissions</t>
  </si>
  <si>
    <t>Pursuant to Annex IV, section 2.4(k), the total amount of pulp produced for the short fibre kraft pulp, long fibre kraft pulp, thermo-mechanical pulp and mechanical pulp, sulphite pulp product benchmark sub-installations should be reported.</t>
  </si>
  <si>
    <t>EmInternalSource1_</t>
  </si>
  <si>
    <t>EmInternalSource2_</t>
  </si>
  <si>
    <t>EUconst_CNTR_EmissionsIntSource1</t>
  </si>
  <si>
    <t>EUconst_CNTR_EmissionsIntSource2</t>
  </si>
  <si>
    <t>EUconst_CNTR_CO2Feedstock</t>
  </si>
  <si>
    <t>EmCO2Feedstock_</t>
  </si>
  <si>
    <t>EUconst_SumTransferCO2</t>
  </si>
  <si>
    <t>SUM_Tranfer_CO2</t>
  </si>
  <si>
    <t>Transferred CO2 exported</t>
  </si>
  <si>
    <t>Sum of direct emissions</t>
  </si>
  <si>
    <t>Specific EF (imported waste gas)</t>
  </si>
  <si>
    <t>Specific EF (exported waste gas)</t>
  </si>
  <si>
    <t>Sub-installation level data:</t>
  </si>
  <si>
    <t xml:space="preserve">Measurable heat: where the heat is exclusively produced for one sub-installation, the emissions may be directly attributed here via the fuel’s emissions. </t>
  </si>
  <si>
    <t>make conditional?</t>
  </si>
  <si>
    <t>This is a tool for assigning fuels and emissions of CHPs for the purpose of updating the benchmark values pursuant to Annex VII, chapter 8.</t>
  </si>
  <si>
    <t>Please enter "false" here if there is no CHP relevant at your installation. If this is the case the whole tool is not relevant and will be greyed out.</t>
  </si>
  <si>
    <t>GB</t>
  </si>
  <si>
    <t>GR</t>
  </si>
  <si>
    <t>EUconst_MSlistEUTLcodes</t>
  </si>
  <si>
    <t>Are combined heat and power (CHP) units relevant?</t>
  </si>
  <si>
    <t>EUconst_CNTR_WGProduced</t>
  </si>
  <si>
    <t>WasteGasProd_</t>
  </si>
  <si>
    <t>Types of waste gases flared:</t>
  </si>
  <si>
    <t>Waste gas flared</t>
  </si>
  <si>
    <t>EUconst_CNTR_WGFlared</t>
  </si>
  <si>
    <t>WasteGasFlare_</t>
  </si>
  <si>
    <t>Heat:</t>
  </si>
  <si>
    <t>Emission factor, heat</t>
  </si>
  <si>
    <t>Default efficiencies:</t>
  </si>
  <si>
    <t>These values are dimensionless and automatically calculated from inputs in (a) to (c) above.</t>
  </si>
  <si>
    <t>Efficiencies for heat and electricity</t>
  </si>
  <si>
    <t>If no values are entered there but total emissions under (d) above, default efficiencies from (e) will be used here. Please note that this is only allowed if you provide evidence that the determination of the efficiencies is technically not feasible or would incur unreasonable costs, and values based on technical documentation (design values) of the installation are not available as well.</t>
  </si>
  <si>
    <t>Values should distinguish between emissions from fuel input and from flue gas cleaning.</t>
  </si>
  <si>
    <t>This is the final result of this tool. The values displayed here should be entered in sheets F or G for the attributable emissions for the appropriate sub-installation.</t>
  </si>
  <si>
    <t>For example, this may include attributable emissions to be taken into account for the total direct emissions, or use of the emission factor for any measurable heat imported.</t>
  </si>
  <si>
    <t>https://eur-lex.europa.eu/eli/reg_del/2015/2402/oj</t>
  </si>
  <si>
    <t>Please enter the appropriate values here. Note that the values have to be consistent with the sub-totals for import from non-ETS under point E.II.c in sheet "E_Energy flows".</t>
  </si>
  <si>
    <t>Types of waste gases consumed:</t>
  </si>
  <si>
    <t>Amounts flared</t>
  </si>
  <si>
    <t>Amounts imported</t>
  </si>
  <si>
    <t>Amounts exported</t>
  </si>
  <si>
    <t>Amounts produced</t>
  </si>
  <si>
    <t>Amounts consumed</t>
  </si>
  <si>
    <t>Specific EF (consumed waste gas)</t>
  </si>
  <si>
    <t>Specific EF (flared waste gas)</t>
  </si>
  <si>
    <t>Waste gas consumed</t>
  </si>
  <si>
    <t>EUconst_CNTR_WGConsumed</t>
  </si>
  <si>
    <t>WasteGasCons_</t>
  </si>
  <si>
    <t>Waste gas balance for this sub-installation</t>
  </si>
  <si>
    <t>Are waste gases relevant for this sub-installation?</t>
  </si>
  <si>
    <t>If the answer is "false" the whole section will be greyed out and you can continue with the next points below.</t>
  </si>
  <si>
    <t>Electricity:</t>
  </si>
  <si>
    <t>You may choose to report either as tonnes or as 1000 Nm3. The units must be consistent with those for the NCV and EF below.</t>
  </si>
  <si>
    <t>This includes all types of waste gases that are produced within the system boundaries of this sub-installation and exported from this sub-installation to any other sub-installation as well as to any other installations or entities.</t>
  </si>
  <si>
    <t>Waste gas 1</t>
  </si>
  <si>
    <t>Waste gas 2</t>
  </si>
  <si>
    <t>from section D.IV.</t>
  </si>
  <si>
    <t>Heat from waste gases: this includes measurable heat which is produced from waste gases.</t>
  </si>
  <si>
    <t>Please enter below the amount of measurable heat imported from each of the following sources:</t>
  </si>
  <si>
    <t>Net heat imported (other sources)</t>
  </si>
  <si>
    <t>Heat from product BM</t>
  </si>
  <si>
    <t>Heat from pulp</t>
  </si>
  <si>
    <t>Heat from fuel BM</t>
  </si>
  <si>
    <t>Heat from waste gases</t>
  </si>
  <si>
    <t>Tool for calculating the amount of process emissions if waste gases are produced outside product benchmarks</t>
  </si>
  <si>
    <t>Automatic calculation (to be found in the menu Formula/Calculation options) must be turned on.</t>
  </si>
  <si>
    <t>for E.III:</t>
  </si>
  <si>
    <t>Heat benchmark and district heating sub-installations:</t>
  </si>
  <si>
    <t>Sub-total: remaining total measurable heat, potentially belonging to heat benchmark sub-installations (=e-g-h-i):</t>
  </si>
  <si>
    <t>Total amount of heat potentially part of the heat benchmark or district heating sub-installations (=l+m):</t>
  </si>
  <si>
    <t>Final result: Amount of heat attributable to heat benchmark or district heating sub-installations</t>
  </si>
  <si>
    <t>Difference (as fraction of f)</t>
  </si>
  <si>
    <t>These are auxiliary calculations for the heat balance:</t>
  </si>
  <si>
    <t>E.II.r !</t>
  </si>
  <si>
    <t>Heat from fuel BM: this includes measurable heat recovered from waste heat from fuel BM sub-installations.</t>
  </si>
  <si>
    <t>The following data is taken automatically from sheet "E_EnergyFlows", section E.II.r. Thus, data input is mandatory there.</t>
  </si>
  <si>
    <t>CO2 (waste gas corrected)</t>
  </si>
  <si>
    <t>Please enter here the direct emissions monitored in line with the MP approved under the MRR, i.e. taking into account the emissions from calculation based methodologies (using source streams), measurement based methodologies (CEMS) as well as no-tier approaches (“fall-backs”).</t>
  </si>
  <si>
    <t>indicator for cond. format.</t>
  </si>
  <si>
    <t>Fuel input</t>
  </si>
  <si>
    <t>Fuel input attributable to heat and electricity production</t>
  </si>
  <si>
    <t>Fuel input for heat</t>
  </si>
  <si>
    <t>Fuel input for electricity</t>
  </si>
  <si>
    <t>CTRL_InputMethodFuelDistribution</t>
  </si>
  <si>
    <t>taken from E.II.r</t>
  </si>
  <si>
    <t>E.I.1.c !</t>
  </si>
  <si>
    <t>EUconst_WasteGasCorrFactor</t>
  </si>
  <si>
    <t>This concerns any waste heat recovered and eligible for a heat BM or district heating sub-installation.</t>
  </si>
  <si>
    <t>Electricity produced</t>
  </si>
  <si>
    <t>EUconst_CNTR_AttributedEmissions</t>
  </si>
  <si>
    <t>AttrEmissions_</t>
  </si>
  <si>
    <t>The term "fuel" should be understood as any source stream in accordance with the M&amp;R Regulation that is combustible and for which a net calorific value can be determined. The weighted emission factor corresponds to the accumulated emissions from the fuels divided by the total energy content.</t>
  </si>
  <si>
    <t>Periods during which the CHP is operated in heat-only or electricity-only generation mode (i.e. periods during which only one of the two products was produced) should be excluded and assignment of fuels and emissions should be calculated separately in accordance with the provisions in sections 10.1.2 and 10.1.3 of Annex VII.</t>
  </si>
  <si>
    <t>Cogeneration (1)</t>
  </si>
  <si>
    <t>Cogeneration (2)</t>
  </si>
  <si>
    <t>EUTL-List</t>
  </si>
  <si>
    <t>EUconst_CNTR_HALPulpTotal</t>
  </si>
  <si>
    <t>HALPulpTotal_</t>
  </si>
  <si>
    <t>Please note that emissions associated with imported heat might also be relevant for certain sub-installations. Where this imported heat is produced from CHPs in other installations, this tool might be relevant too, if further information on the relevant data from the supplier is known.</t>
  </si>
  <si>
    <t>Exported amounts should be entered as negative values and correspond to CO2 that is exported and not released to the atmosphere by this sub-installation.</t>
  </si>
  <si>
    <t>In order to avoid any double counting or gaps in attributed emissions when determining the updated benchmarks, Annex IV, section 2.7(d) of the FAR require you to report any import or export of intermediary products covered by any of the product benchmarks listed in Annex I of the FAR.</t>
  </si>
  <si>
    <t>As required by Annex IV, section 3.1(k) of the FAR, please provide here the amount of transferred CO2 imported from or exported to other sub-installations, installations or other entities, in line with the rules set out in the M&amp;R Regulation.</t>
  </si>
  <si>
    <t>Pursuant to Article 21 of the FAR, an amount of emissions has to be deducted from the preliminary annual allocation from product-benchmark sub-installations.</t>
  </si>
  <si>
    <t>Steam cracking tool part 2: Preliminary allocation (Article 19 of the FAR)</t>
  </si>
  <si>
    <t>This tool helps you determine the preliminary allocation for the steam cracking sub-installation (Article 19 of the FAR).</t>
  </si>
  <si>
    <t>The data is automatically taken from section IV.1.c above. The multipliers are taken from Article 19 of the FAR.</t>
  </si>
  <si>
    <t>Calculation based on the formula given in the FAR, Article 19.</t>
  </si>
  <si>
    <t>Vinyl chloride monomer tool: Preliminary allocation (Article 20 of the FAR)</t>
  </si>
  <si>
    <t>This tool helps you determine the preliminary allocation for the vinyl chloride monomer ("VCM") sub-installation (Article 20 of the FAR).</t>
  </si>
  <si>
    <t>Hydrogen related emissions: I.e. historical heat consumption from hydrogen combustion multiplied with the heat benchmark.</t>
  </si>
  <si>
    <t>CNTR_NACEInstallation</t>
  </si>
  <si>
    <t>CNTR_UniqueID</t>
  </si>
  <si>
    <t>1.</t>
  </si>
  <si>
    <t>2.</t>
  </si>
  <si>
    <t>3.</t>
  </si>
  <si>
    <t>4.</t>
  </si>
  <si>
    <t>5.</t>
  </si>
  <si>
    <t>6.</t>
  </si>
  <si>
    <t>EUTL identifier, if applicable</t>
  </si>
  <si>
    <t>EUconst_BM_ARR_Range</t>
  </si>
  <si>
    <t>ARR(min)</t>
  </si>
  <si>
    <t>ARR(max)</t>
  </si>
  <si>
    <t>Benchmark value (EUA/t, min)</t>
  </si>
  <si>
    <t>Benchmark value (EUA/t, max)</t>
  </si>
  <si>
    <t>ElExch-F</t>
  </si>
  <si>
    <t>HVC-Corr</t>
  </si>
  <si>
    <t>VCM-F</t>
  </si>
  <si>
    <t>EUconst_ERR_AttrEmBMapplied</t>
  </si>
  <si>
    <t>no calculation if heatBM or fuelBM needs to be applied:</t>
  </si>
  <si>
    <t>Benchmark value (EUA/t, actual)</t>
  </si>
  <si>
    <t>EUconst_StatusOfDataCollection</t>
  </si>
  <si>
    <t>ARR (actual)</t>
  </si>
  <si>
    <t>Calculation factor for taking into account hydrogen-related emissions in vinylchloride monomer sub-installations in accordance with Article 20 of the FAR</t>
  </si>
  <si>
    <t>Amount to be added to the preliminary annual amount of allowances for steam cracking sub-installations in accordance with Article 19 of the FAR</t>
  </si>
  <si>
    <t>Data resulting from input under "Source streams" (Sheets B+C) or from Emissions summary (section D.I)</t>
  </si>
  <si>
    <t>The attribution of emissions to sub-installations can be found in the summary sheet.</t>
  </si>
  <si>
    <t>EUconst_MsgAttrEm</t>
  </si>
  <si>
    <t>Energy balance</t>
  </si>
  <si>
    <t>Efficiencies</t>
  </si>
  <si>
    <t>Cogeneration tool 1</t>
  </si>
  <si>
    <t>Cogeneration tool 2</t>
  </si>
  <si>
    <t>Special heat import</t>
  </si>
  <si>
    <t>EUconst_CNTR_FuelEF</t>
  </si>
  <si>
    <t>FuelEF_</t>
  </si>
  <si>
    <t>DirEmissions_</t>
  </si>
  <si>
    <t>EUconst_CNTR_WGProducedEF</t>
  </si>
  <si>
    <t>WasteGasProdEF_</t>
  </si>
  <si>
    <t>EUconst_CNTR_WGConsumedEF</t>
  </si>
  <si>
    <t>WasteGasConsEF_</t>
  </si>
  <si>
    <t>EUconst_CNTR_WGFlaredEF</t>
  </si>
  <si>
    <t>WasteGasFlareEF_</t>
  </si>
  <si>
    <t>Further internal source streams imported to or exported from this sub-installation</t>
  </si>
  <si>
    <t>Cogeneration tool - Section D.III</t>
  </si>
  <si>
    <t>Waste gas tool (waste gases not covered by product benchmarks) - Section D.IV</t>
  </si>
  <si>
    <t>Results</t>
  </si>
  <si>
    <t>Start of operation</t>
  </si>
  <si>
    <t>Start date</t>
  </si>
  <si>
    <t>WGflare</t>
  </si>
  <si>
    <t>Amount to be deducted from the preliminary annual amount of allowances in accordance with Article 21 of the FAR</t>
  </si>
  <si>
    <t>Electricity output from CHP</t>
  </si>
  <si>
    <t>The amount of process emissions without this subtraction is referred to as "uncorrected process emissions" below.</t>
  </si>
  <si>
    <t>This is the final result of this tool. The values displayed here should be entered in sheet G for the relevant process emissions sub-installation.</t>
  </si>
  <si>
    <t xml:space="preserve">These are the reference efficiency for heat production in a stand-alone boiler, and the reference efficiency of electricity production without cogeneration. </t>
  </si>
  <si>
    <t>Summary of heat and district heating sub-installations</t>
  </si>
  <si>
    <t>Calculation of the indicative number of allowances</t>
  </si>
  <si>
    <t>Amount to be deducted from the preliminary annual amount of allowances for flared waste gases from 2026 onwards in accordance with the second sub-paragraph of Article 16(5) of the FAR</t>
  </si>
  <si>
    <t>Note that the data entered here is to be checked for double counting with deductions under product benchmark sub-installations (see sheet "F_ProductBM").</t>
  </si>
  <si>
    <t>According to Article 21 of the FAR a CO2 equivalent for non-ETS heat imports is to be deducted from preliminary allocations for product benchmarks. The data needed for that correction is input in sheet "F_ProductBM", section (d) of each sub-installation.</t>
  </si>
  <si>
    <t>This amount can be split into "eligible" and "non-eligible" heat (according to their origin, see introduction to this section above).</t>
  </si>
  <si>
    <t>Started</t>
  </si>
  <si>
    <t>Start of operation of the sub-installation</t>
  </si>
  <si>
    <t>EUconst_CNTR_IntermediateImport</t>
  </si>
  <si>
    <t>EUconst_CNTR_IntermediateExport</t>
  </si>
  <si>
    <t>IntImp_</t>
  </si>
  <si>
    <t>IntExp_</t>
  </si>
  <si>
    <t>Intermediate import:</t>
  </si>
  <si>
    <t>Intermediate export:</t>
  </si>
  <si>
    <t>Does the installation consume waste gases produced outside the boundaries of a product benchmark?</t>
  </si>
  <si>
    <t>The maximum allowed value is the eligible amount identified under point (j).ii.</t>
  </si>
  <si>
    <t>You can choose the method for entering the values in the table below under point (r). Available options are: "Absolute values" (enter TJ/year), or "percentages".</t>
  </si>
  <si>
    <t>Please identify here the amount of measurable heat which is consumed by each sub-installation, where 100% refers to the sum calculated under point (p) above.</t>
  </si>
  <si>
    <t>Information is taken from section D.IV. If relevant, you must ensure that you have entered complete data there.</t>
  </si>
  <si>
    <t>Annual activity levels:</t>
  </si>
  <si>
    <t>The navigation bar above only contains links to sub-installations that are selected as "relevant" in section A.III.2.</t>
  </si>
  <si>
    <t>=</t>
  </si>
  <si>
    <t>+</t>
  </si>
  <si>
    <t>The attributable emissions are determined as follows:</t>
  </si>
  <si>
    <t>+/-</t>
  </si>
  <si>
    <t>Electricity production (reference)</t>
  </si>
  <si>
    <t>Heat production (reference)</t>
  </si>
  <si>
    <t>Sub-installation data relevant for allocation and benchmark update purposes</t>
  </si>
  <si>
    <t>Are further imported or exported internal source streams relevant for this sub-installation?</t>
  </si>
  <si>
    <t>Amount of GHG imported or exported as feedstock</t>
  </si>
  <si>
    <t>Waste gases: emissions from waste gases which are IMPORTED from other installations or sub-installations and consumed in this sub-installation, should not be included here but under point (l) below.</t>
  </si>
  <si>
    <t>Please provide a brief description of the production process with respect to the intermediate products imported or exported.</t>
  </si>
  <si>
    <t>CNTR_ExistProductSubEntries</t>
  </si>
  <si>
    <t>A summary table of attributed emissions can be found in the summary sheet (see link below).</t>
  </si>
  <si>
    <t>For entities not covered by the EU ETS, contact details are mandatory, but the Registry ID is not required.</t>
  </si>
  <si>
    <t>Installation ID used in Registry</t>
  </si>
  <si>
    <t>Default efficiencies below are for natural gas CHPs producing electricity and hot water.</t>
  </si>
  <si>
    <t>This tool exists twofold in this template and each tool should only be used for one CHP. If more CHPs are relevant, a separate template might be used to provide relevant information.</t>
  </si>
  <si>
    <t>Total CO2 emissions: the verified CO2 emissions from source streams and emission sources including from any non-sustainable biomass</t>
  </si>
  <si>
    <t>Biomass emissions: emissions from biomass, either sustainable or for which sustainability criteria do not apply, as if they were non-zero rated</t>
  </si>
  <si>
    <t>Total N2O emissions from emission sources</t>
  </si>
  <si>
    <t>Total PFC emissions from primary aluminium production</t>
  </si>
  <si>
    <t>The best suggested approach for filling this section is to first make the relevant entries under "F_ProductBM" and only then continue with point (i) below.</t>
  </si>
  <si>
    <t>Information is taken from section F.(l).viii. If relevant, you must ensure that you have entered complete data there.</t>
  </si>
  <si>
    <t>Information is taken from section F.(l).v. If relevant, you must ensure that you have entered complete data there.</t>
  </si>
  <si>
    <t>Please make sure that there is no double counting with (b) where imported amounts are included there.</t>
  </si>
  <si>
    <t>That amount is the amount of measurable heat imported from non-ETS installations (including any heat from nitric acid sub-installations) or entities multiplied with the heat benchmark.</t>
  </si>
  <si>
    <t>Upon entries made below, the attributable emissions are calculated in section K.III.2 of the summary sheet.</t>
  </si>
  <si>
    <t>This includes all types of waste gases that are ultimately flared other than safety flaring, either within or outside this sub-installation.</t>
  </si>
  <si>
    <t>Production levels:</t>
  </si>
  <si>
    <t>Are any measurable heat flows produced or consumed in, imported to or exported from this installation?</t>
  </si>
  <si>
    <t>Are any waste gases produced or consumed in, imported to or exported from this installation?</t>
  </si>
  <si>
    <t>Heat from pulp: this includes heat imported from sub-installations producing pulp.</t>
  </si>
  <si>
    <t>Fuel input from waste gases</t>
  </si>
  <si>
    <t>Specific EF (waste gas)</t>
  </si>
  <si>
    <t>Total fuel input</t>
  </si>
  <si>
    <t>Information is taken from corresponding entries in sheet "G_Fall-back". If relevant, you must ensure that you have entered complete data there.</t>
  </si>
  <si>
    <t xml:space="preserve">Measurable heat: where the heat is exclusively produced for this sub-installation, the emissions may be directly attributed here via the fuel’s emissions. </t>
  </si>
  <si>
    <t>Fuel input from waste gases includes the corresponding energy input to produce the measurable heat used by this sub-installation.</t>
  </si>
  <si>
    <t>The term "fuel" should be understood as any source stream in accordance with the M&amp;R Regulation that is combustible and for which a net calorific value can be determined. The weighted emission factor corresponds to the accumulated emissions from the fuels, including those used to produce measurable heat, divided by the total energy content.</t>
  </si>
  <si>
    <t>Specific EF (from pulp)</t>
  </si>
  <si>
    <t>Specific EF (from product BM)</t>
  </si>
  <si>
    <t>Specific EF (from fuelBM)</t>
  </si>
  <si>
    <t>Specific EF (from waste gas)</t>
  </si>
  <si>
    <t>Under iii. and iv. the fuel input from waste gases and the corresponding emission factor has to be entered, respectively.</t>
  </si>
  <si>
    <t>EUconst_CNTR_HeatImportProduct</t>
  </si>
  <si>
    <t>EUconst_CNTR_HeatImportProductEF</t>
  </si>
  <si>
    <t>EUconst_CNTR_HeatImportPulpEF</t>
  </si>
  <si>
    <t>HeatImProd_</t>
  </si>
  <si>
    <t>HeatImProdEF_</t>
  </si>
  <si>
    <t>HeatImPulpEF_</t>
  </si>
  <si>
    <t>HeatImFuel_</t>
  </si>
  <si>
    <t>HeatImFuelEF_</t>
  </si>
  <si>
    <t>EUconst_CNTR_HeatImportFuel</t>
  </si>
  <si>
    <t>EUconst_CNTR_HeatImportFuelEF</t>
  </si>
  <si>
    <t>Total attributed emissions</t>
  </si>
  <si>
    <t>Net heat imported (other)</t>
  </si>
  <si>
    <t>Net heat imported (product BM)</t>
  </si>
  <si>
    <t>Net heat imported (pulp)</t>
  </si>
  <si>
    <t>Net heat imported (fuelBM)</t>
  </si>
  <si>
    <t>Net heat imported (waste gas)</t>
  </si>
  <si>
    <t>For attributing emissions from cogeneration (CHP) to production of heat, the "CHP tool" in section D.III. has to be used.</t>
  </si>
  <si>
    <t>This amount must be consistent with the carbon leakage status selected under point (a) above.</t>
  </si>
  <si>
    <t>These amounts are automatically calculated based on the figures input above. The formula is described in the guidance document No. 8.</t>
  </si>
  <si>
    <t>Sum of waste gases (=a+b)</t>
  </si>
  <si>
    <t>Note that entries there might relate to waste gases produced in other installations from which they are imported.</t>
  </si>
  <si>
    <t>This is to check completeness of the waste gas balance. If different from zero, please check for any inconsistencies in the values listed above.</t>
  </si>
  <si>
    <t>For product BM sub-installations, information is taken automatically from entries in sheet "F_ProductBM".</t>
  </si>
  <si>
    <t>For waste gases produced outside product BM sub-installations and flared for non-safety flaring need to be entered here.</t>
  </si>
  <si>
    <t>It this question is set to "false", entries here are not relevant and you may proceed with the next point below.</t>
  </si>
  <si>
    <t>Total energy input from fuels including from biomass and waste gases</t>
  </si>
  <si>
    <t>end of sum</t>
  </si>
  <si>
    <t>ERR_AttrEmBM_</t>
  </si>
  <si>
    <t>The navigation bar above only contains links to the relevant sub-installations listed in section A.III.1.</t>
  </si>
  <si>
    <t>value needed for conditional formatting</t>
  </si>
  <si>
    <t>EUconst_CNTR_HeatProduced</t>
  </si>
  <si>
    <t>HeatProd_</t>
  </si>
  <si>
    <t xml:space="preserve">Please enter here the measurable heat produced pursuant to section 3.2(a) of Annex IV of the FAR. </t>
  </si>
  <si>
    <t>For attributing fuel input from cogeneration (CHP) to production of measurable heat and electricity, the "CHP tool" in section D.III. has to be used.</t>
  </si>
  <si>
    <t>This sub-section covers the attribution of emissions related to source streams, emissions sources, import and export of measurable heat and waste gases including heat losses in accordance with section 10 of Annex VII of the FAR.</t>
  </si>
  <si>
    <t>Fall-Back sub-installation</t>
  </si>
  <si>
    <t>Intermediate products</t>
  </si>
  <si>
    <t>Transferred CO2</t>
  </si>
  <si>
    <t>Data provided here will impact the attributable emissions in accordance with section 10.1.5 of Annex VII of the FAR.</t>
  </si>
  <si>
    <t>The amounts displayed here reflect the calculation of preliminary annual number of allowances allocated free of charge in accordance with paragraphs 1 to 7 of Article 16 of the FAR, i.e. the factors referred to in Annex V of the FAR (referred to as "Carbon leakage factor" below) have already been applied. Pursuant to Article 16(3) of the FAR, for the district heating sub-installation this factor will be 0.3 for all years.</t>
  </si>
  <si>
    <t>CSCF</t>
  </si>
  <si>
    <t>Cross-sectoral correction factor (CSCF) in accordance with Article 14(6) of the FAR:</t>
  </si>
  <si>
    <t>Unique ID for notification to the Commission:</t>
  </si>
  <si>
    <t>If several different waste gases are relevant in your installation, please submit details in separate files using this tool for more complex cases.</t>
  </si>
  <si>
    <t>This balance is mainly used for consistency checking between related entries made in the "waste gas tool" in section D.IV and the sub-installation level waste gas balances in sheets F and G.</t>
  </si>
  <si>
    <t>EUconst_MinOrMaxOrActual</t>
  </si>
  <si>
    <t>Minimum</t>
  </si>
  <si>
    <t>Actual</t>
  </si>
  <si>
    <t>Data provided here will impact the attributable emissions in accordance with section 10.1.1 of Annex VII of the FAR.</t>
  </si>
  <si>
    <t>Data provided here will impact the attributable emissions in accordance with sections 10.1.2 and 10.1.3 of Annex VII of the FAR.</t>
  </si>
  <si>
    <t>Specific EF (heat export)</t>
  </si>
  <si>
    <t>Intermediate products covered by product benchmarks (Sections 1.6 and 3.1(l) of Annex IV of the FAR)</t>
  </si>
  <si>
    <t>Measurable heat exported: where such heat is recovered from the process and exported, no corrections should be made here. The deduction for the associated emissions will be done based on entries under point (k).v. below.</t>
  </si>
  <si>
    <t>This is the final result of this tool. The values displayed here should be entered in relevant sections in sheets E, F and G.</t>
  </si>
  <si>
    <t xml:space="preserve">The views expressed in this file represent the views of the authors and not necessarily those of the European Commission. </t>
  </si>
  <si>
    <t>Whenever a value of zero is to be reported, it should be entered rather than keeping the cell empty. If a cell is kept empty, the competent authority (CA) does not know if the value has not been reported, is irrelevant or unknown. Values needed for calculations should always be entered (especially if zero, because some formulas don't give results as long as required cells are empty).</t>
  </si>
  <si>
    <t>DISCLAIMER: All formulae have been developed carefully and thoroughly. However, mistakes cannot be fully excluded.
As described above, full transparency for checking the validity of calculations is ensured. Neither the authors of this file nor the European Commission can be held liable for eventual damages resulting from wrong or misleading results of the provided calculations. 
It is the full responsibility of the user of this file (i.e. the operator of an EU ETS installation) to ensure that correct data is reported to the competent authority.</t>
  </si>
  <si>
    <t>Factor to be used for calculation:</t>
  </si>
  <si>
    <t>Important note: The reporting above is done in kilotonnes, but the benchmark is expressed in t CO2/CWT, where CWT is expressed in tonnes.</t>
  </si>
  <si>
    <t>B+C.</t>
  </si>
  <si>
    <t>MSconst_RequirePermitInfo</t>
  </si>
  <si>
    <t>Consistency check with point (k)(i):</t>
  </si>
  <si>
    <t xml:space="preserve">The Guidance can be downloaded from: </t>
  </si>
  <si>
    <t xml:space="preserve">Please note that although some guidance is provided for each of the points below, further information should be sought in Guidance Document No. 5 ("Monitoring and Reporting  in relation to the FAR") which also includes examples. </t>
  </si>
  <si>
    <t>It is important to note that any source streams should only be listed here if they are not already covered by the direct emissions under (g) above to avoid any data gaps or double counting. Emissions associated with waste gases should NOT be listed here but under (l) below.</t>
  </si>
  <si>
    <t>Please enter here information on the so-called internal source streams, that are transferred between sub-installations, i.e. imported to or exported from this sub-installation.</t>
  </si>
  <si>
    <t>For example, if this is the "coke" sub-installation of an integrated iron&amp;steel plant, emissions associated with the consumption of coke occur in the blast furnace and should not be attributed to this (i.e. the "coke") sub-installation. Nevertheless, a part of the emissions will be included under (g) above, because coal entering the coke oven will be one of the source streams attributed there in the first step.</t>
  </si>
  <si>
    <t>The specific emission factors (EF) associated with the heat should take into account the provisions in FAR Annex VII sections 8 and 10, in particular sections 10.1.2 and 10.1.3 thereof.</t>
  </si>
  <si>
    <t>For attributing emissions from cogeneration (CHP) to production of heat, the "CHP tool" in section D.III. of this template has to be used.</t>
  </si>
  <si>
    <t>Net heat imported from pulp sub-installations</t>
  </si>
  <si>
    <t>Data provided here are only used for consistency checking and have no direct impact on either the attributable emissions or the allocation.</t>
  </si>
  <si>
    <t>Data provided here are only used for consistency checking and have no direct impact on the attributable emissions.</t>
  </si>
  <si>
    <t>However, as of 2026, allocation will be reduced with respect to flaring of waste gases other than safety flaring.</t>
  </si>
  <si>
    <t>This includes all types of waste gases that are produced outside the system boundaries of this sub-installation but imported to this sub-installation and used for the production of measurable heat, non-measurable heat (including safety flaring) or mechanical energy (other than for electricity production).</t>
  </si>
  <si>
    <t>xxiv.</t>
  </si>
  <si>
    <t>This includes electricity that is produced directly from this sub-installation as required by Annex IV, section 3.1(i) of the FAR. Any electricity that is produced via intermediate measurable heat should not be listed here but under export of measurable heat under (k).v. above.</t>
  </si>
  <si>
    <t>This section will be greyed out if this is not one of those pulp producing sub-installation. In such case, please continue with the points below.</t>
  </si>
  <si>
    <t>Note that for integrated pulp &amp; paper production special allocation rules apply (Article 16(6) of the FAR).</t>
  </si>
  <si>
    <t>Conversely, if this is the hot metal benchmark sub-installation in an integrated iron&amp;steel plant, coke needs to be listed here as ingoing/imported "internal" source stream with positive amounts.</t>
  </si>
  <si>
    <t>However, in several situations the "direct emissions" in this section are not identical to those reported under the MRR. Such situations include e.g. source streams used for the production of measurable heat, waste gases etc. In other words, care must be taken fill the sections below following strictly the instructions below in order to avoid double counting or omissions.</t>
  </si>
  <si>
    <t>In order to avoid double counting, a correction needs to be made for the coke leaving the coke sub-installation as outgoing "internal source stream". This is done by a negative value of the coke amount figure in case of "export". For giving a complete balance of the emissions of the coal entering the coke sub-installation, emissions associated with the use of coke oven gas (= a waste gas) are already covered under (g) above (as included in the emissions from coal) to the extent the gas is used within this sub-installation. Corrections to account for the exported amounts of the waste gas should not be made here, but under (l).xx. below.</t>
  </si>
  <si>
    <t>Data required for the determination of the benchmark improvement rate pursuant to Article 10a(2) of the EU ETS Directive</t>
  </si>
  <si>
    <t>Wherever fuels are used to produce measurable heat which is consumed in more than one sub-installation (e.g. a central power house at the installation, or a more complex steam network with several heat producing units), the fuels should not be included in the direct emissions of the sub-installation but under point (f).i below.</t>
  </si>
  <si>
    <t>Waste gases: emissions associated with measurable heat produced from waste gases imported from other installations or sub-installations and used in this sub-installation should not be included here, but under point (f).xiii below.</t>
  </si>
  <si>
    <t>The values entered here are used for the waste gas balance in section E.III.h.</t>
  </si>
  <si>
    <t>This value is usually different from the sub-installation's activity level listed under point (a) above, as it takes into account the heat losses in addition to the net amounts of measurable heat consumed or exported to non-ETS entities, and disregards heat imports, which are to be entered under (f) below.</t>
  </si>
  <si>
    <t>Net heat imported (other sources): this includes heat imported from other installations, or, where measurable heat is consumed by more than one sub-installation, heat produced onsite and consumed within this sub-installation. Measurable heat imported from any product BM sub-installation, pulp production, measurable heat recovered from fuel BM sub-installations or from waste gases should not be included here, because separate entry fields are provided for these figures.</t>
  </si>
  <si>
    <t>Heat from product BM: this includes measurable heat exported from product BM sub-installations with the exception of measurable heat from sub-installations producing pulp production or nitric acid.</t>
  </si>
  <si>
    <t>Emissions from the combustion of waste gases should however not be included here but under point (d).iii below.</t>
  </si>
  <si>
    <t>Values for i. and ii. are automatically generated based on entries under (a) and (c) above.</t>
  </si>
  <si>
    <t>Data is taken automatically from corresponding entries in sheets F and G in the light blue boxes under each sub-installation.</t>
  </si>
  <si>
    <t>Emissions associated with further internal source streams</t>
  </si>
  <si>
    <t>Amount of GHG imported and exported as feedstock</t>
  </si>
  <si>
    <t>Emissions associated with imported heat in accordance with sections 10.1.2 and 10.1.3 of Annex VII of the FAR</t>
  </si>
  <si>
    <t>Emissions associated with exported heat in accordance with sections 10.1.2 and 10.1.3 of Annex VII of the FAR</t>
  </si>
  <si>
    <t>Emissions associated with imported waste gases in accordance with section 10.1.5 of Annex VII of the FAR</t>
  </si>
  <si>
    <t>Emissions associated with the relevant electricity consumption for sub-installations for which the exchangeability of the fuels and electricity is relevant.</t>
  </si>
  <si>
    <t>Emissions associated with electricity produced other than via measurable heat.</t>
  </si>
  <si>
    <t>where no emission factor for imported or exported heat is applicable or known, i.e. where no such value has been entered. In such cases default values based on the heat BM will be used for calculating the attributable emissions, once known.</t>
  </si>
  <si>
    <t>where waste gases are imported. In this case the fuel BM will be used, once known.</t>
  </si>
  <si>
    <t>The value "other emissions" is displayed for control purposes. It include emissions related to electricity production, flaring other than safety flaring, and other emissions which do not lead to free allocation.</t>
  </si>
  <si>
    <t>If for at least one sub-installation "not applicable (N.A.)" is shown for any given year, the values for "other emissions" will not be shown either, in order to avoid any confusion.</t>
  </si>
  <si>
    <t>Fuel input to each sub-installation from sheets F and G:</t>
  </si>
  <si>
    <t>Disclaimer: Please note that the values for the preliminary allocation are only indicative taking into account the minimum or maximum benchmark values as explained above. However, where the preliminary allocation also depends on the heat or fuel benchmark value (e.g. ElExch-F or non-ETS heat), which are also subject to change based on this data collection, the indicative value might not even represent the minimum or maximum preliminary number of allowances, but undergo further correction.</t>
  </si>
  <si>
    <t>In this section you can see a summary of preliminary allocation values for the years 2021 to 2025, or 2026 to 2030, respectively, which apply to this installation, and which are based on the data shown in the previous sections based on your entries. The displayed information does not contain any completeness checks. Therefore, the data can only be considered correct if you have ensured that the following conditions are met:</t>
  </si>
  <si>
    <t>Carbon leakage factor for district heating</t>
  </si>
  <si>
    <t>Note: for CL exposed sectors, the CL factor is 1.0000 for all years.</t>
  </si>
  <si>
    <t>Emissions associated with exported waste gases in accordance with section 10.1.5 of Annex VII of the FAR by deducting the energy content multiplied with the emission factor of natural gas and the default correction factor of 0.667</t>
  </si>
  <si>
    <t xml:space="preserve">Where the heat is exclusively produced for one sub-installation and corresponding emissions therefore entered under (g) above, corresponding amounts should not be reported here as imports to avoid double counting. </t>
  </si>
  <si>
    <t>The weighted emission factor should furthermore include emissions from corresponding flue gas cleaning, if applicable.</t>
  </si>
  <si>
    <t>The installation has a heat benchmark or district heating sub-installation?</t>
  </si>
  <si>
    <t>If "TRUE" is displayed here, entries in the section are always relevant. Only where if none of these sub-installation is relevant, the question below has to be answered.</t>
  </si>
  <si>
    <t>Weighted emission factor (=c./d.)</t>
  </si>
  <si>
    <t>Data provided here will be relevant for the update of the specific pulp benchmark.</t>
  </si>
  <si>
    <t>xxv.</t>
  </si>
  <si>
    <t>xxvi.</t>
  </si>
  <si>
    <t>Transferred amount of CO2 exported from the installation, reported as negative values</t>
  </si>
  <si>
    <t>NACE code reported using NACE rev 2 classification:</t>
  </si>
  <si>
    <t>For each type of product, only one sub-installation may be chosen. Similar products which are covered by the same product benchmark in Annex I of the FAR are aggregated.</t>
  </si>
  <si>
    <t>Heat not eligible for sub-installations with heat benchmark</t>
  </si>
  <si>
    <t>Data provided here will impact the attributable emissions in accordance with chapter 10 of Annex VII of the FAR.</t>
  </si>
  <si>
    <t>This includes all types of waste gases that are consumed by this sub-installation for the purpose of the production of measurable heat, non-measurable heat (including safety flaring) or mechanical energy (other than for electricity production). Amounts that are flared other than safety flaring should be reported under the next point below.</t>
  </si>
  <si>
    <t>Where possible sections below are automatically filled with data entered in these sections.</t>
  </si>
  <si>
    <t>The data must also be consistent with the total net measurable heat imported entered under point (k).i below.</t>
  </si>
  <si>
    <t>For the refinery benchmark, which also uses CWT, please use the specific CWT tool for refineries above (section I of this sheet).</t>
  </si>
  <si>
    <t>For the reference efficiencies the appropriate fuel-specific values from the Commission Delegated Regulation (EU) 2015/2402 should be applied without application of the correction factors for climatic conditions in Annex III and avoided grid losses in Annex IV to that Regulation. The Regulation can be downloaded under the following link:</t>
  </si>
  <si>
    <t>Data provided here might impact the update of the specific benchmark.</t>
  </si>
  <si>
    <t>Directly attributable emissions (DirEm*) to this sub-installation</t>
  </si>
  <si>
    <t>Directly attributable emissions (DirEm*)</t>
  </si>
  <si>
    <t>This includes the total amount of heat either produced in, imported from or exported to (sub-)installations covered by the EU ETS or from installations or entities not covered by the EU ETS. The specific emission factors (EF) associated with the heat should take into account the provisions in FAR Annex VII sections 8 and 10, in particular sections 10.1.2 and 10.1.3 thereof.</t>
  </si>
  <si>
    <t>Emissions related to measurable heat produced onsite from units serving more than one sub-installation should also be entered here under "imports" instead of directly attributing the emissions via the fuel's emission factor under point (g) above. The same applies to any heat "imported" from other sub-installations.</t>
  </si>
  <si>
    <t>However, in several situations the "directly attributable emissions" in this section are not identical to those reported under the MRR. Such situations include e.g. source streams used for the production of measurable heat, waste gases etc. In other words, care must be taken when filling the sections below to follow strictly the instructions in order to avoid double counting or omissions.</t>
  </si>
  <si>
    <t>The "directly attributable emissions" are monitored in line with the monitoring plan approved under the MRR, i.e. taking into account the emissions from calculation based methodologies (using source streams), measurement based methodologies (CEMS) as well as no-tier approaches (“fall-backs”).</t>
  </si>
  <si>
    <t>Directly attributable emissions (DirEm* (MP source streams)) to this sub-installation</t>
  </si>
  <si>
    <t>Please enter here the Directly attributable emissions (DirEm* (MP source streams)) to this sub-installation taking into account the following provisions:</t>
  </si>
  <si>
    <t>"Inputs" include measurable heat from a unit onsite (e.g. a central power house at the installation, or a more complex steam network with several heat producing units) that supplies heat to more than one sub-installation. In such case, emissions should also not be attributed here but under point (k).i. below.</t>
  </si>
  <si>
    <t>Wherever fuels are used to produce measurable heat as "input" to more than one sub-installation where the heat is consumed (which includes situations with imports from and exports to other installations), the fuels should not be included in the "directly attributable emissions" of the sub-installation but under point (k) below.</t>
  </si>
  <si>
    <t>Description of the data gap</t>
  </si>
  <si>
    <t>Justification</t>
  </si>
  <si>
    <t>Article 12(2) of the FAR requires to provide justification for any data gaps and description of the method used to close them.</t>
  </si>
  <si>
    <t>Justification for any data gaps</t>
  </si>
  <si>
    <t>Affected data set (AD, EF, Heat, electricity,...)</t>
  </si>
  <si>
    <t>In order to protect formulae against unintended modifications, which usually lead to wrong and misleading results, 
it is of utmost importance NOT TO USE the CUT &amp; PASTE feature.
If you want to move data, first COPY and PASTE them, and thereafter delete the unwanted data in the old (wrong) place.</t>
  </si>
  <si>
    <t>truncated to 250 characters</t>
  </si>
  <si>
    <t>Originals, not truncated</t>
  </si>
  <si>
    <t>Time period</t>
  </si>
  <si>
    <t>Data fields have not been optimized for numerical and other formats. However, sheet protection has been limited so as to allow you to use your own formats. In particular, you may decide about the number of decimal places displayed. The number of places is in principle independent from the precision of calculation. In principle the option "Precision as displayed" of MS Excel should be deactivated. For more details, consult MS Excel's "Help" function on this topic.</t>
  </si>
  <si>
    <t>It is mandatory to answer questions (a), (b) and (d)!</t>
  </si>
  <si>
    <t>Pursuant to the definition given in Articles 2(10) and 2(11) of the FAR, (combustible) waste gases occurring outside the boundaries of product benchmarks are considered process emissions.</t>
  </si>
  <si>
    <t>Assumptions for the different efficiency for the use of waste gas and natural gas. These assumptions are as follows: Efficiency of electricity production with natural gas is 52.5%, with waste gases 35%;</t>
  </si>
  <si>
    <t>Please enter in the table below the amount of energy consumed for each use type, or - depending on input (b) - the percentage of amount (a).</t>
  </si>
  <si>
    <t>PRODCOM codes shall be entered in the form "nnnnnnnn", i.e. without any dots or other delimiters in between. Only if PRODCOM are not available, at least a 4-digit level NACE code should be provided in the form of "nnnn".</t>
  </si>
  <si>
    <t>NACE codes shall be entered at 4-digit level, in the form "nnnn", i.e. without any dots or other delimiters in between.</t>
  </si>
  <si>
    <t>Do not include here any heat imports from "non-eligible" sources, i.e. installations not covered by the EU ETS, or heat produced in nitric acid sub-installations.</t>
  </si>
  <si>
    <t>CWT throughput data</t>
  </si>
  <si>
    <t>Phthalic anhydride production</t>
  </si>
  <si>
    <t>Therefore the results below are multiplied with a factor of 1000, which is not explicitly mentioned in Annex III point 1 of the FAR.</t>
  </si>
  <si>
    <t>Therefore the results below are multiplied with a factor of 1000, which is not explicitly mentioned in Annex III point 5 of the FAR.</t>
  </si>
  <si>
    <t>Please note that percentages for Hydrogen content are to be expressed as Vol-%.</t>
  </si>
  <si>
    <t>Please note that percentages for hydrogen content are to be expressed as Vol-%.</t>
  </si>
  <si>
    <t>Carbon leakage factor for non-CL sectors</t>
  </si>
  <si>
    <t xml:space="preserve">These Free Allocation Rules (hereinafter "the FAR") are contained in the Commission Delegated Regulation (EU) 2019/331 of 19 December 2018 determining transitional Union-wide rules for harmonised free allocation of emission allowances pursuant to Article 10a of Directive 2003/87/EC of the European Parliament and of the Council. They can be downloaded from: </t>
  </si>
  <si>
    <t>Group information:</t>
  </si>
  <si>
    <t>HAL</t>
  </si>
  <si>
    <t>Change compared to HAL</t>
  </si>
  <si>
    <t>years op.</t>
  </si>
  <si>
    <t>prelim AL</t>
  </si>
  <si>
    <t>Preliminary adjustment</t>
  </si>
  <si>
    <t>Actual adjustment (basis for subsequent years)</t>
  </si>
  <si>
    <t>Preliminary adjustment (if relative thresholds exceeded)</t>
  </si>
  <si>
    <t>&gt;15%</t>
  </si>
  <si>
    <t>&gt;15%/5%</t>
  </si>
  <si>
    <t>Actual adjustment (if all thresholds exceeded)</t>
  </si>
  <si>
    <t>&gt;15% for next year</t>
  </si>
  <si>
    <t>Actual value</t>
  </si>
  <si>
    <t>EUconst_CNTR_HALprelim</t>
  </si>
  <si>
    <t>HALprelim_</t>
  </si>
  <si>
    <t>EUconst_CNTR_HALfinal</t>
  </si>
  <si>
    <t>HALfinal_</t>
  </si>
  <si>
    <t>Activity level reported</t>
  </si>
  <si>
    <t>EUconst_CNTR_ELEXCHprelim</t>
  </si>
  <si>
    <t>EUconst_CNTR_ELEXCHfinal</t>
  </si>
  <si>
    <t>ELEXCHfinal_</t>
  </si>
  <si>
    <t>ELEXCHprelim_</t>
  </si>
  <si>
    <t>Preliminary allocation value</t>
  </si>
  <si>
    <t>Reporting year:</t>
  </si>
  <si>
    <t>First full year:</t>
  </si>
  <si>
    <t>Relevant:</t>
  </si>
  <si>
    <t>Base value</t>
  </si>
  <si>
    <t>Cessation date:</t>
  </si>
  <si>
    <t>Cessation year:</t>
  </si>
  <si>
    <t>Date of cessation, if relevant</t>
  </si>
  <si>
    <t>Cessation date</t>
  </si>
  <si>
    <t>EUconst_CNTR_HEATprelim</t>
  </si>
  <si>
    <t>EUconst_CNTR_HEATfinal</t>
  </si>
  <si>
    <t>HEATprelim_</t>
  </si>
  <si>
    <t>HEATfinal_</t>
  </si>
  <si>
    <t>Ceased</t>
  </si>
  <si>
    <t>EUconst_CNTR_HVCprelim</t>
  </si>
  <si>
    <t>EUconst_CNTR_HVCfinal</t>
  </si>
  <si>
    <t>HVCprelim_</t>
  </si>
  <si>
    <t>HVCfinal_</t>
  </si>
  <si>
    <t>Preliminary value</t>
  </si>
  <si>
    <t>Adjustments</t>
  </si>
  <si>
    <t>the relative thresholds (15% and 5% for subsequent changes) of the average activity level compared to the HAL</t>
  </si>
  <si>
    <t>Average annual value</t>
  </si>
  <si>
    <t>Activity level used</t>
  </si>
  <si>
    <t>2021-2025</t>
  </si>
  <si>
    <t>2026-2030</t>
  </si>
  <si>
    <t>EUconst_ReportingYears2</t>
  </si>
  <si>
    <t>Based on the values for HAL and those entered under point a) above, the average activity levels are determined here. The allocation will only be changed if all of the following thresholds in Article 5 of the ALC Regulation are exceeded:</t>
  </si>
  <si>
    <t>prelim value</t>
  </si>
  <si>
    <t>Cond. Form.</t>
  </si>
  <si>
    <t>EnEff_</t>
  </si>
  <si>
    <t>EUconst_CNTR_EnEff</t>
  </si>
  <si>
    <t>EUconst_CNTR_EnEffPct</t>
  </si>
  <si>
    <t>EnEffPct_</t>
  </si>
  <si>
    <t>Determination of any activity level adjustments</t>
  </si>
  <si>
    <t>NIMs value</t>
  </si>
  <si>
    <t>(b.1)</t>
  </si>
  <si>
    <t>Based on the values for HAL and those under point a) above, the average activity levels are determined here. The allocation will only be changed if all of the following thresholds in Articles 5 and 6 of the ALC Regulation are exceeded:</t>
  </si>
  <si>
    <t>Sum of consumption</t>
  </si>
  <si>
    <t>Based on the entries above, the average annual values of the values under i. are determined here. The allocation will only be changed if the relative threshold (15% compared to NIMs value) and the absolute threshold (change leads to more than 100 allowances) set out in Article 6(4) of the ALC Regulation are exceeded.</t>
  </si>
  <si>
    <t>Activity level</t>
  </si>
  <si>
    <t>HVC</t>
  </si>
  <si>
    <t>(b.2)</t>
  </si>
  <si>
    <t>HALAdjPct_</t>
  </si>
  <si>
    <t>EUconst_CNTR_HALAdjPct</t>
  </si>
  <si>
    <t>Parent undertaking</t>
  </si>
  <si>
    <t>Subsidiary undertaking to which this installation belongs, if applicable</t>
  </si>
  <si>
    <t>EUconst_CNTR_NIMsValue</t>
  </si>
  <si>
    <t>NIMsValue_</t>
  </si>
  <si>
    <t>Share of a)</t>
  </si>
  <si>
    <t>EUconst_CNTR_VCMprelim</t>
  </si>
  <si>
    <t>EUconst_CNTR_VCMfinal</t>
  </si>
  <si>
    <t>VCMprelim_</t>
  </si>
  <si>
    <t>VCMfinal_</t>
  </si>
  <si>
    <t>Relevant reporting period</t>
  </si>
  <si>
    <t>EUconst_CNTR_HALinitial</t>
  </si>
  <si>
    <t>HALini_</t>
  </si>
  <si>
    <t>EUconst_AllocInitial</t>
  </si>
  <si>
    <t>AllocIni_</t>
  </si>
  <si>
    <t>EUconst_CNTR_HEATInitial</t>
  </si>
  <si>
    <t>HEATIni_</t>
  </si>
  <si>
    <t>EUconst_CNTR_ELEXCHInitial</t>
  </si>
  <si>
    <t>ELEXCHIni_</t>
  </si>
  <si>
    <t>EUconst_CNTR_HVCInitial</t>
  </si>
  <si>
    <t>HVCIni_</t>
  </si>
  <si>
    <t>VCMIni_</t>
  </si>
  <si>
    <t>EUconst_CNTR_VCMInitial</t>
  </si>
  <si>
    <t>Indicators for NIMs allocation:</t>
  </si>
  <si>
    <t>EUconst_CNTR_100EUA_ActivityLevel</t>
  </si>
  <si>
    <t>EUA100AL_</t>
  </si>
  <si>
    <t>EUconst_CNTR_100EUA_ElExch</t>
  </si>
  <si>
    <t>EUA100ElExch_</t>
  </si>
  <si>
    <t>EUconst_CNTR_100EUA_HEAT</t>
  </si>
  <si>
    <t>EUA100HEAT_</t>
  </si>
  <si>
    <t>EUconst_CNTR_100EUA_HVC</t>
  </si>
  <si>
    <t>EUA100HVC_</t>
  </si>
  <si>
    <t>EUconst_CNTR_100EUA_VCM</t>
  </si>
  <si>
    <t>EUA100VCM_</t>
  </si>
  <si>
    <t>Changes: Activity level</t>
  </si>
  <si>
    <t>Changes: Heat from non-ETS</t>
  </si>
  <si>
    <t>Changes: HVC correction</t>
  </si>
  <si>
    <t>Changes: VCM correction</t>
  </si>
  <si>
    <t>Changes: Waste gas flared</t>
  </si>
  <si>
    <t>2nd sub-period?</t>
  </si>
  <si>
    <t>EUconst_CNTR_100EUA_WGFlare</t>
  </si>
  <si>
    <t>EUA100WGFlare_</t>
  </si>
  <si>
    <t>WG flared</t>
  </si>
  <si>
    <t>Changes: No change (basis)</t>
  </si>
  <si>
    <t>MSconst_RequireEmissionTotals</t>
  </si>
  <si>
    <t>EUconst_CNTR_CARejection</t>
  </si>
  <si>
    <t>CAReject_</t>
  </si>
  <si>
    <t>MSconst_RequireSubAttrEmissions</t>
  </si>
  <si>
    <t>Initial allocation</t>
  </si>
  <si>
    <t>EUconst_LinkManual</t>
  </si>
  <si>
    <t>Manual entry</t>
  </si>
  <si>
    <t>CTRL_InputMethodNIMsvalues</t>
  </si>
  <si>
    <t>Total final free allocation</t>
  </si>
  <si>
    <t>Linear factor for new entrants</t>
  </si>
  <si>
    <t>Adjustments: waste gases flared</t>
  </si>
  <si>
    <t>Adjustments: Heat from non-ETS</t>
  </si>
  <si>
    <t>Change compared to NIMs value</t>
  </si>
  <si>
    <t>Verification report as required by Article 3(3) of the ALC Regulation (mandatory):</t>
  </si>
  <si>
    <t>(b.3)</t>
  </si>
  <si>
    <t>(b.4)</t>
  </si>
  <si>
    <t>EUconst_CNTR_RelThreshold</t>
  </si>
  <si>
    <t>RelThresh_</t>
  </si>
  <si>
    <t>Criterion 1: Operational &gt; 2 years?</t>
  </si>
  <si>
    <t>Criterion 2: Not ceased in year before?</t>
  </si>
  <si>
    <t>Actual values used</t>
  </si>
  <si>
    <t>Rolling average applicability</t>
  </si>
  <si>
    <t>EUconst_CNTR_CARejectionRelevant</t>
  </si>
  <si>
    <t>CARejectRel_</t>
  </si>
  <si>
    <t>EUconst_CNTR_EnEffInitial</t>
  </si>
  <si>
    <t>EnEffIni_</t>
  </si>
  <si>
    <t>Actual adjustment of activity level</t>
  </si>
  <si>
    <t>Latest version of the monitoring methodology plan (MMP):</t>
  </si>
  <si>
    <t>Please provide here the latest version of the MMP which sets out the monitoring methodology which is the basis for this year's report.</t>
  </si>
  <si>
    <t>As a consequence, installations which are not incumbents will be treated as new entrants in this report.</t>
  </si>
  <si>
    <t>CNTR_ReportingYear</t>
  </si>
  <si>
    <t>Year this report is submitted:</t>
  </si>
  <si>
    <t>Emission factor for fuels used for measurable heat and electricity production</t>
  </si>
  <si>
    <t>Fuel EF for electricity</t>
  </si>
  <si>
    <t>Fuel EF for measurable heat</t>
  </si>
  <si>
    <t>Year relevant?</t>
  </si>
  <si>
    <t>EUconst_CessationReason</t>
  </si>
  <si>
    <t>a) The greenhouse gas emissions permit has been withdrawn</t>
  </si>
  <si>
    <t>b) the (sub-)installation is no longer operating</t>
  </si>
  <si>
    <t>make years grey?</t>
  </si>
  <si>
    <t>Reason for cessation</t>
  </si>
  <si>
    <t xml:space="preserve">The “group” comprises the parent undertaking and all its subsidiary undertakings (those undertakings that are controlled by the parent undertaking). </t>
  </si>
  <si>
    <t>Article 22 of Directive 2013/34/EU contains further elements characterising the relationship between a parent undertaking and a subsidiary undertaking (e.g. the parent undertaking has a majority of shareholders’ or members’ voting rights in a subsidiary undertaking, the parent undertaking has the right to appoint or remove a majority of the members of the administrative, management or supervisory board of a subsidiary undertaking and is at the same time a shareholder in or member of that subsidiary undertaking etc.)</t>
  </si>
  <si>
    <t>https://eur-lex.europa.eu/eli/dir/2013/34/oj</t>
  </si>
  <si>
    <t>Sheet A:</t>
  </si>
  <si>
    <t>Sheet B+C.:</t>
  </si>
  <si>
    <t>Sheet D:</t>
  </si>
  <si>
    <t>Sheet E:</t>
  </si>
  <si>
    <t>Sheet F:</t>
  </si>
  <si>
    <t>Sheet G:</t>
  </si>
  <si>
    <t>Sheet H:</t>
  </si>
  <si>
    <t>Contains comments in column P of any sheet?</t>
  </si>
  <si>
    <t>This input is only relevant if the installation is a "new entrant".</t>
  </si>
  <si>
    <t>Report template for allocation to new entrants, allocation level changes and cessations for Phase 4 of the EU ETS</t>
  </si>
  <si>
    <t>Sub-installation (link)</t>
  </si>
  <si>
    <t>Sub-installation (manual)</t>
  </si>
  <si>
    <t>BM Name</t>
  </si>
  <si>
    <t>For formatting</t>
  </si>
  <si>
    <t>Relevant?</t>
  </si>
  <si>
    <t>sub (manual)</t>
  </si>
  <si>
    <t>start</t>
  </si>
  <si>
    <t>cessation</t>
  </si>
  <si>
    <t>Reason</t>
  </si>
  <si>
    <t>sub (link)</t>
  </si>
  <si>
    <t>In order to fill this information in here this template provides two options which can be selected from the drop-down list below.</t>
  </si>
  <si>
    <t>This data collection template has been developed on behalf of the Commission by its consultants (Umweltbundesamt GmbH Austria and SQ Consult) and covers allocation level changes for new entrants, cessations of (sub)installations and activity level changes.</t>
  </si>
  <si>
    <t>Entries here are only relevant, either if you have chosen "manual entry" in section A.II, or new sub-installations started after 30 June 2019.</t>
  </si>
  <si>
    <t>Sub-installations (column E)</t>
  </si>
  <si>
    <t>Sub-installations (column G)</t>
  </si>
  <si>
    <t>Date of cessation</t>
  </si>
  <si>
    <t>Please select the reason for the cessation, if relevant.</t>
  </si>
  <si>
    <t>Carbon Leakage Status</t>
  </si>
  <si>
    <t>Initial allocation from the NIMs baseline data report file</t>
  </si>
  <si>
    <t>Note that no entries should be made in this section. It will either be filled in automatically or this section will not be relevant, depending on your selection in section A.II.</t>
  </si>
  <si>
    <t>Initial allocation (manual entries)</t>
  </si>
  <si>
    <t>Historical activity level (HAL)</t>
  </si>
  <si>
    <t>HVC-corr</t>
  </si>
  <si>
    <t>The first occurrence of that value is in the NIMs baseline data report, summary sheet K, cell F481.</t>
  </si>
  <si>
    <t>The first occurrence of that value is in the NIMs baseline data report, summary sheet K, cell G474.</t>
  </si>
  <si>
    <t>The first occurrence of that value is in the NIMs baseline data report, summary sheet K, cell H474.</t>
  </si>
  <si>
    <t>The first occurrence of that value is in the NIMs baseline data report, summary sheet K, cell J474.</t>
  </si>
  <si>
    <t>The first occurrence of that value is in the NIMs baseline data report, summary sheet K, cell K474.</t>
  </si>
  <si>
    <t>In cases where the Member State made entries of emissions optional, only the total energy input from fuels is mandatory here.</t>
  </si>
  <si>
    <t>Please enter below in line with the principles of the M&amp;R Regulation:</t>
  </si>
  <si>
    <t>Total emissions at installation level (taken from section D.I)</t>
  </si>
  <si>
    <t xml:space="preserve">The attribution of emissions to sub-installations has to be done in sheets F and G for each sub-installation, if made mandatory to report by the Member State. </t>
  </si>
  <si>
    <t>This is the net total amount of heat produced by the CHP.</t>
  </si>
  <si>
    <t>This is the net total amount of electricity (or mechanical energy, where applicable) produced by the CHP.</t>
  </si>
  <si>
    <t>Amount of waste gas flared</t>
  </si>
  <si>
    <t>The status regarding the exposure to significant risk of carbon leakage ("CL") is based on the Commission Delegated Decision (EU) 2019/708.</t>
  </si>
  <si>
    <t>converted to EUA</t>
  </si>
  <si>
    <t>Has process emissions?</t>
  </si>
  <si>
    <t>However, if process emissions sub-installations are relevant, entries are always mandatory here.</t>
  </si>
  <si>
    <t>Linear factor referred to in Article 10a(7) of the EU ETS Directive:</t>
  </si>
  <si>
    <t>Date the sub-installation ceased to operate, if relevant.</t>
  </si>
  <si>
    <t>Criterion 3a: Relative thresholds exceeded?</t>
  </si>
  <si>
    <t>Criterion 3b: Relative thresholds exceeded?</t>
  </si>
  <si>
    <t>Criterion 3c: Relative thresholds exceeded?</t>
  </si>
  <si>
    <t>Criterion 3d: Relative thresholds exceeded?</t>
  </si>
  <si>
    <t>Criterion 3e: Relative thresholds exceeded?</t>
  </si>
  <si>
    <t>It is recommended that you go through the file from start to end. There are a few functions which will guide you through the form which depend on previous input, such as cells changing colour if an input is not needed (see colour codes below). However, sometimes it is relevant to first continue data input in another sheet before going on (e.g. "H_specialBM" needs input before "F_ProductBM" can be finalised in cases where Annex III of the FAR must be applied).</t>
  </si>
  <si>
    <t>Light blue areas are dedicated for data that is mainly relevant for the attribution of emissions to sub-installations.</t>
  </si>
  <si>
    <t>Light orange areas are dedicated for sections where any allocation adjustments are determined.</t>
  </si>
  <si>
    <t>Data from the NIMs baseline data report</t>
  </si>
  <si>
    <t>Mandatory</t>
  </si>
  <si>
    <t>Optional</t>
  </si>
  <si>
    <t>Attribution of emissions</t>
  </si>
  <si>
    <t>MS customise</t>
  </si>
  <si>
    <t>Navigation</t>
  </si>
  <si>
    <t>Olive fields indicate that inputs are based on links to external Excel files, in particular the NIMs baseline data report.</t>
  </si>
  <si>
    <t>Irrelevant</t>
  </si>
  <si>
    <t>Links to data in the NIMs file:</t>
  </si>
  <si>
    <t>Data that is used for this report:</t>
  </si>
  <si>
    <t>Step 1</t>
  </si>
  <si>
    <t>Step 2</t>
  </si>
  <si>
    <t>In order to gather the data from your specific file, in which all your NIMs data is contained, please change the file reference via the "Edit links" function in the "Data" tab of the ribbon of Excel.</t>
  </si>
  <si>
    <t>Select "Edit links" under the "Connection" or "Queries &amp; Connections" group, depending on the Excel version you use.</t>
  </si>
  <si>
    <t>Step 3</t>
  </si>
  <si>
    <t>Step 4</t>
  </si>
  <si>
    <t>You should now see NIMs data below in this sheet and can go back to section A.II and continue.</t>
  </si>
  <si>
    <t>This sheet has the same structure as the summary sheet of the "NIMs baseline data report" template and contains links to an empty template.</t>
  </si>
  <si>
    <t>In the dialog box that opened, select the link to the empty template and then click on "Change Source"</t>
  </si>
  <si>
    <t>Here the NIMs information is gathered by simply referencing your NIMs baseline data report file via the "Edit links" function in the "Data" tab of the Excel ribbon.</t>
  </si>
  <si>
    <t>Method used for NIMs data entries:</t>
  </si>
  <si>
    <t>Manual entry (if selected), or manual override where NIMs data is no longer correct:</t>
  </si>
  <si>
    <t>Further instructions can be found in the "NIMs summary" sheet of this template.</t>
  </si>
  <si>
    <t>Here you have to enter all information and data manually, just as all other information.</t>
  </si>
  <si>
    <t>Cells that contain links to the NIMs file will be greyed out.</t>
  </si>
  <si>
    <t>Cells with manual entries will be made optional, where applicable.</t>
  </si>
  <si>
    <t>IMPORTANT! Please DO NOT make manual changes in any of the cells below in this sheet.</t>
  </si>
  <si>
    <t>Please note that this only works when this present sheet is active. If you try that from any other sheet, the "Change Source" button will be inactive.</t>
  </si>
  <si>
    <t>G.b.3.ii!</t>
  </si>
  <si>
    <t>EUconst_ERR_CADecision</t>
  </si>
  <si>
    <t>has manual entries?</t>
  </si>
  <si>
    <t>ETS coverage (f. formatting)</t>
  </si>
  <si>
    <t>If you have selected "Manual entry" in section A.II, input here is mandatory. Otherwise, this section is optional and input only necessary if the information under a) above is no longer correct.</t>
  </si>
  <si>
    <t>If you have selected "Manual entry" in section A.II, input here is mandatory. Otherwise, this section is optional, unless new sub-installations are relevant.</t>
  </si>
  <si>
    <t>If there are more than five connections, please aggregate them. This may require adjustments to sections A.V.b.</t>
  </si>
  <si>
    <t>If there are more than three connections, please aggregate them. This may require adjustments to sections A.V.b.</t>
  </si>
  <si>
    <t>Please enter here the energy consumption attributable to each product listed under point b) above in line with the methodologies described in the MMP.</t>
  </si>
  <si>
    <t>NIMs data</t>
  </si>
  <si>
    <t>relevant? (link)</t>
  </si>
  <si>
    <t>Confirmation of eligibility for free allocation:</t>
  </si>
  <si>
    <t>Information on this activity level report</t>
  </si>
  <si>
    <t>Fuel EF for total fuel input</t>
  </si>
  <si>
    <t>(b.5)</t>
  </si>
  <si>
    <t>Verifier engaged for this report:</t>
  </si>
  <si>
    <t>Name and address of the verifier:</t>
  </si>
  <si>
    <t>CNTR_SubPeriod:</t>
  </si>
  <si>
    <t>Identification code of the installation in the Registry (EUTL):</t>
  </si>
  <si>
    <t>This is usually a natural number used in the Registry (EUTL).</t>
  </si>
  <si>
    <t>Together with the Member State selected under (a), this Registry ID (unique ID) will result in the Unique ID displayed automatically in (c) below. E.g. if the installation with Registry ID 123456 is situated in Belgium, this will result in "BE000000000123456". If your installation received free allocation in the previous phase of the EU ETS, please ensure that the Unique ID is identical to the one in the previous phase.</t>
  </si>
  <si>
    <t>Reporting details</t>
  </si>
  <si>
    <t>The installation or any sub-installation has ceased operations:</t>
  </si>
  <si>
    <t>CNTR_Incumbent</t>
  </si>
  <si>
    <t>CNTR_Cessation</t>
  </si>
  <si>
    <t>Cond.
form.</t>
  </si>
  <si>
    <t>Relevant? (link)</t>
  </si>
  <si>
    <t>Relevant? (manual)</t>
  </si>
  <si>
    <t>This includes cessation of either the whole installation (pursuant to Article 26 of the FAR) or any sub-installation (pursuant to Article 5(4) of the ALC-R) since the last NIMs application, not just during the last calendar year.</t>
  </si>
  <si>
    <t>Incumbent installation</t>
  </si>
  <si>
    <t>New entrants</t>
  </si>
  <si>
    <t>Please select all relevant sub-installations that already started operation.</t>
  </si>
  <si>
    <t xml:space="preserve">This is the first day the sub-installation had an activity level above zero. </t>
  </si>
  <si>
    <t>This column is not relevant for new entrants.</t>
  </si>
  <si>
    <t>If you have chosen to gather NIMs information via the link to the baseline data report in section A.II. all relevant product benchmark sub-installation appear automatically. Otherwise this column will be greyed out.</t>
  </si>
  <si>
    <t>If the sub-installation has ceased operations, this should be the last day the sub-installation had an activity level above zero.</t>
  </si>
  <si>
    <t>Select your NIMs baseline data report file in the dialog box and click on OK. Please note that updating all linked cells might take a couple of seconds.</t>
  </si>
  <si>
    <t>Step 5</t>
  </si>
  <si>
    <t>Close the "Edit links" dialog box.</t>
  </si>
  <si>
    <t>Step 6</t>
  </si>
  <si>
    <t>(optional) You may now click on "break links" in the dialog box. This will remove all external files and replace them by values.</t>
  </si>
  <si>
    <t>Please note that if you do this, all previous step can no longer be re-done.</t>
  </si>
  <si>
    <t>If the heat is exported, the connected installation or entity as input in sheet A_InstallationData section V can be selected.</t>
  </si>
  <si>
    <t>Prod of goods AND within inst.?</t>
  </si>
  <si>
    <t>Further data from sheet A of the NIMs template:</t>
  </si>
  <si>
    <t>content of free MgO in the produced lime in each year expressed as mass-%</t>
  </si>
  <si>
    <t>content of free CaO in the produced lime in each year expressed as mass-%</t>
  </si>
  <si>
    <t>historical supplemental feed of hydrogen in each year expressed in tonnes of hydrogen</t>
  </si>
  <si>
    <t>content of free CaO in the produced dolime in each year expressed as mass-%</t>
  </si>
  <si>
    <t>content of free MgO in the produced dolime in each year expressed as mass-%</t>
  </si>
  <si>
    <t>historical supplemental feed of ethylene in each year expressed in tonnes of ethylene</t>
  </si>
  <si>
    <t>historical supplemental feed of other high value chemicals than hydrogen and ethylene in each year expressed in tonnes of HVC</t>
  </si>
  <si>
    <t>Please enter here the annual production data of hydrogen referred to historical hydrogen content in each year.</t>
  </si>
  <si>
    <t>Please enter here the historical production volume fraction of pure hydrogen in each year. This is a dimensionless figure.</t>
  </si>
  <si>
    <t>Please enter here the annual production data of synthesis gas referred to historical hydrogen content in each year.</t>
  </si>
  <si>
    <t>Please enter here the annual production data of the different products covered by this benchmark in each year.</t>
  </si>
  <si>
    <t>(d.1)</t>
  </si>
  <si>
    <t>(l.1)</t>
  </si>
  <si>
    <t>Other installations in the EU of the same group (Registry ID), if applicable</t>
  </si>
  <si>
    <t>2=mandatory; 1=optional</t>
  </si>
  <si>
    <t>(NIMs) HAL</t>
  </si>
  <si>
    <t>(NIMs) value</t>
  </si>
  <si>
    <t>Base exist?</t>
  </si>
  <si>
    <t>Section mandatory?</t>
  </si>
  <si>
    <t>Activity levels</t>
  </si>
  <si>
    <t>The specific energy consumption is determined in accordance with section 6.1 of Guidance Document 7 for values satisfying the criteria under point b.1) above.</t>
  </si>
  <si>
    <t xml:space="preserve"> </t>
  </si>
  <si>
    <t>Translation from NIMs file not successful. Please select manually!</t>
  </si>
  <si>
    <t>EUconst_ERR_LinkToNIMs</t>
  </si>
  <si>
    <t>Sub-installations (column H)</t>
  </si>
  <si>
    <t>The rolling average of two years as referred to Art. 2(1) of the ALC-R for activity levels, and to Art. 6(4) for other parameters.</t>
  </si>
  <si>
    <t>If TRUE the rolling average will be calculated for any allocation adjustments. If FALSE, Art. 4(2) of the ALC-R applies.</t>
  </si>
  <si>
    <t>If FALSE the (sub)-installation has ceased in the year before and the allocation will be adjusted to zero, pursuant to Art. 5(4) of the ALC-R.</t>
  </si>
  <si>
    <t>TRUE means that the relative thresholds referred to in Art. 5 of the ALC-R are exceeded and the allocation will be adjusted, compared to the HAL.</t>
  </si>
  <si>
    <t>Preliminary annual number of emission allowances allocated free of charge for the first year of the period in accordance with Article 16(6) of the FAR, i.e. after application of the CL exposure factor and any adjustments due to the ALC-R, but before linear factor or cross-sectoral correction factor are applied.</t>
  </si>
  <si>
    <t>It is mandatory that question A.IV.1.g is answered!</t>
  </si>
  <si>
    <t>You must select at least one sub-installation!</t>
  </si>
  <si>
    <t>Initial NIMs allocation</t>
  </si>
  <si>
    <t>Section 1</t>
  </si>
  <si>
    <t>Value of the benchmark.</t>
  </si>
  <si>
    <t>Adjustments: Absolute threshold</t>
  </si>
  <si>
    <t>Absolute threshold</t>
  </si>
  <si>
    <t>Calculation in accordance with Article 16(1) to (7) of the FAR and Article 5 and 6 of the ALC-R:</t>
  </si>
  <si>
    <t>Calculation in accordance with Article 16(8) of the FAR and Article 5 and 6 of the ALC-R:</t>
  </si>
  <si>
    <t>Sheets "A_InstallationData" and "B+C_SubInstallations" are filled completely.</t>
  </si>
  <si>
    <t>Data has been entered for all relevant years and the relevant sections in sheets F and G are filled.</t>
  </si>
  <si>
    <t>Error?</t>
  </si>
  <si>
    <t>Disclaimer: The results displayed here are indicative only and reflect the requirements according to Article 16(1) of the FAR and Articles 5 and 6 of the ALC-R. No warranty, either expressed or implied, is provided in relation to the accuracy, completeness or reliability of the result. No rights or entitlement to a certain amount of allowances can be derived from the result displayed in this template. For correctness of calculations please see also the disclaimer in the sheet "Guidelines and conditions".</t>
  </si>
  <si>
    <t>The amounts displayed here reflect the calculation of the final total amount of allowances allocated free of charge in accordance with Article 16(8) of the FAR and Articles 5 and 6 of the ALC-R, i.e. allocation values with either the linear factor or the cross-sectoral correction factor applied as appropriate (i.e. the result of point (c) above).</t>
  </si>
  <si>
    <t>Technical connections:</t>
  </si>
  <si>
    <t>Eligibility for free allocation (section A.IV.1):</t>
  </si>
  <si>
    <t>There can be cases where the attributable emissions cannot be calculated for the draft preliminary allocation because the heat BM or fuel BM values are needed for the calculation. In such case, no values for the attributable emissions will be displayed as indicated by "not applicable (N.A.)". Those cases are:</t>
  </si>
  <si>
    <t>Missing?</t>
  </si>
  <si>
    <t>If entries have to be made here, please carefully ensure that the rounding is consistent with the values in your NIMs baseline data report. Please note that in that baseline report rounding to the nearest tonne is only made for the allocation. For all other parameters which are to be entered here, the rounding displayed there might not be the actual digits used. It is therefore recommended to copy "values" from the NIMs in here cell by cell.</t>
  </si>
  <si>
    <t>Please enter in the table below the weighted average emission factor for all fuels, and for the fuels that are used to produce any measurable heat and electricity, respectively. Values entered here do not have any direct impact on either the allocation or the attributed emissions. They are only used for checking plausibility.</t>
  </si>
  <si>
    <t>For attributing fuel input from cogeneration (CHP) to production of measurable heat and electricity, the results of the "CHP tool" in section D.III. can be used.</t>
  </si>
  <si>
    <t>In case the whole installation ceased, please provide the date of cessation of each sub-installation in sheet B+C_SubInstallation, section I.</t>
  </si>
  <si>
    <t>The historic activity level (HAL) will be determined automatically on entries under point a) above and entries in sheet B+C_SubInstallations. For new sub-installations, the HAL will be displayed under v. based on the first full year of operation.</t>
  </si>
  <si>
    <t>Based on the start of normal operation entered in B+C.I, the HAL will either be based on the NIMs value (displayed under ii.) or on the first year of full operation for new sub-installations (displayed under iv.).</t>
  </si>
  <si>
    <t>Result: Initial NIMs allocation parameters</t>
  </si>
  <si>
    <t>This table shows the allocation relevant parameters as for the NIMs, before any allocation changes due to the ALC-R rules. For new entrants or new sub-installations, values will always be zero here.</t>
  </si>
  <si>
    <t>EUconst_ProdBMSub</t>
  </si>
  <si>
    <t>EUconst_FallBackSub</t>
  </si>
  <si>
    <t>#</t>
  </si>
  <si>
    <t>Automatic</t>
  </si>
  <si>
    <t>Eligibility:</t>
  </si>
  <si>
    <t>RepDetails:</t>
  </si>
  <si>
    <t>NIMsData:</t>
  </si>
  <si>
    <t>InstID:</t>
  </si>
  <si>
    <t>FurtherInfo:</t>
  </si>
  <si>
    <t>Contact:</t>
  </si>
  <si>
    <t>Verifier:</t>
  </si>
  <si>
    <t>TechConn:</t>
  </si>
  <si>
    <t>Heat tool greyed out?</t>
  </si>
  <si>
    <t>relevant? (manual)</t>
  </si>
  <si>
    <t>MSconst_RequireFuelEF</t>
  </si>
  <si>
    <t>Average annual activity level (NIMs value)</t>
  </si>
  <si>
    <t>DECLARE_ID_WasteGasSubType</t>
  </si>
  <si>
    <t>The rules for annual adjustments of allocation are contained in the Commission Implementing Regulation (EU) 2019/1842 of 31 October 2019 laying down rules for the application of Directive 2003/87/EC of the European Parliament and of the Council as regards further arrangements for the adjustments to free allocation of emission allowances due to activity level changes (hereinafter "the ALC-R”). They can be downloaded from:</t>
  </si>
  <si>
    <t>An essential element of the ALC-R is the annual data reporting in order to collect all relevant information from operators of installations needed by the Member States for determining any adjustments to the allocation.</t>
  </si>
  <si>
    <r>
      <t>Link to NIMs file</t>
    </r>
    <r>
      <rPr>
        <sz val="8"/>
        <rFont val="Calibri"/>
        <family val="2"/>
      </rPr>
      <t> </t>
    </r>
  </si>
  <si>
    <t>Some of the information that is required in this report has already been provided in the NIMs application. This concerns information about the installation (this sheet) as well as the relevant sub-installations including the allocation-relevant parameters (sheet "B+C. Sub-installations"), such as the historic activity level (HAL).</t>
  </si>
  <si>
    <t>Based on the option you have chosen, the cells in this sheet will be of the following format, where the information is contained in the NIMs summary sheet:</t>
  </si>
  <si>
    <t>Result: Technical connections</t>
  </si>
  <si>
    <r>
      <t>B+C. Sub-installations</t>
    </r>
    <r>
      <rPr>
        <sz val="8"/>
        <rFont val="Calibri"/>
        <family val="2"/>
      </rPr>
      <t> </t>
    </r>
  </si>
  <si>
    <r>
      <t>Sheet "Sub-installations</t>
    </r>
    <r>
      <rPr>
        <sz val="8"/>
        <rFont val="Calibri"/>
        <family val="2"/>
      </rPr>
      <t> </t>
    </r>
    <r>
      <rPr>
        <b/>
        <sz val="14"/>
        <rFont val="Arial"/>
        <family val="2"/>
      </rPr>
      <t>" - IDENTIFICATION OF SUB-INSTALLATIONS AND INITIAL ALLOCATION</t>
    </r>
  </si>
  <si>
    <t>Emission factor (EF)</t>
  </si>
  <si>
    <r>
      <t>BMProducts</t>
    </r>
    <r>
      <rPr>
        <sz val="8"/>
        <rFont val="Calibri"/>
        <family val="2"/>
      </rPr>
      <t> </t>
    </r>
  </si>
  <si>
    <r>
      <t>A.IV.1.f!</t>
    </r>
    <r>
      <rPr>
        <sz val="8"/>
        <rFont val="Calibri"/>
        <family val="2"/>
      </rPr>
      <t> </t>
    </r>
  </si>
  <si>
    <t>Column for comments
(e.g. any changes)</t>
  </si>
  <si>
    <t>OPTIONAL: 
Column for comments
(e.g. any changes)</t>
  </si>
  <si>
    <t>updated to TRUE in all cases to cover all heat consumed or exported</t>
  </si>
  <si>
    <t>Electricity consumption</t>
  </si>
  <si>
    <t>Please enter here the electricity consumed within the system boundaries of this sub-installation. For product benchmarks listed in section 2 of Annex I of the FAR, entries here are mandatory and have to correspond to the related system boundaries indicated in that section.</t>
  </si>
  <si>
    <t>Volume fraction of CO</t>
  </si>
  <si>
    <t>Carbon monoxide (as 100% pure CO)</t>
  </si>
  <si>
    <t>Actual direct emissions (excl. heat-related)</t>
  </si>
  <si>
    <t>Actual net heat export</t>
  </si>
  <si>
    <t>Emissions from actual heat export</t>
  </si>
  <si>
    <t>Total attributable emissions (= i.+iii.)</t>
  </si>
  <si>
    <t>Theoretical emissions for WGS heat export</t>
  </si>
  <si>
    <t>Theoretical additional emissions for WGS</t>
  </si>
  <si>
    <t>Theoretical additional emissions (= v.+vi.)</t>
  </si>
  <si>
    <t>Attributable emissions</t>
  </si>
  <si>
    <t>Please enter here the actual direct emissions of hydrogen production (i.e. excluding heat-related emissions and prior to any carbon capture for use or geological storage, where relevant). For emissions stemming from biomass, the emissions shall be calculated as the energy content from biomass multiplied with the emission factor of natural gas instead of the actual emissions. Therefore, in all cases except for biomass the figures to be entered under i. should be the same as in section F.g.</t>
  </si>
  <si>
    <t>Based on the entries here and above, the theoretical additional emissions for completed water-gas shift (WGS) reaction and related heat recovery are calculated automatically based on the stoichiometric values provided in Annex III of the FAR.</t>
  </si>
  <si>
    <t>HAL H2, actual</t>
  </si>
  <si>
    <t>HAL H2, WGS</t>
  </si>
  <si>
    <t>Total H2 (= i.+ii.)</t>
  </si>
  <si>
    <t>HAL H2 (corrected)</t>
  </si>
  <si>
    <t>Result: Activity levels for hydrogen corrected for complete water-gas shift, where relevant</t>
  </si>
  <si>
    <t>Please enter here the historical production volume fraction of pure hydrogen and carbon monoxide (CO) in each year of the baseline period. This is a dimensionless figure.</t>
  </si>
  <si>
    <t>Please confirm here that you apply for a free allocation of allowances under Article 10a:</t>
  </si>
  <si>
    <t>If the operator confirms point (f) above, it is automatically assumed that this also confirms consent to use data contained in this file.</t>
  </si>
  <si>
    <t>Cessation pro rata factor:</t>
  </si>
  <si>
    <t>Cessation of the whole installation:</t>
  </si>
  <si>
    <t>Draft 1 AL report Phase 4-2</t>
  </si>
  <si>
    <t>ALC P4-2 1st draft</t>
  </si>
  <si>
    <t>Draft 2 AL report Phase 4-2</t>
  </si>
  <si>
    <t>ALC P4-2 2nd draft</t>
  </si>
  <si>
    <t>Draft 3 AL report Phase 4-2</t>
  </si>
  <si>
    <t>ALC P4-2 3rd draft</t>
  </si>
  <si>
    <t>ALC P4-2</t>
  </si>
  <si>
    <t>AL report Phase 4-2</t>
  </si>
  <si>
    <t>EUA300_</t>
  </si>
  <si>
    <t>EUconst_CNTR_300EUA</t>
  </si>
  <si>
    <t>Criterion 4: Difference at least 300 EUA?</t>
  </si>
  <si>
    <t>AllocPrelimChange_</t>
  </si>
  <si>
    <t>EUconst_CNTR_AllocPrelimChange</t>
  </si>
  <si>
    <t xml:space="preserve">Refining of oil </t>
  </si>
  <si>
    <t xml:space="preserve">Production of iron or steel (primary or secondary fusion) including continuous casting, with a capacity exceeding 2,5 tonnes per hour </t>
  </si>
  <si>
    <t>Production of primary aluminium or alumina</t>
  </si>
  <si>
    <t>Drying or calcination of gypsum or production of plaster boards and other gypsum products, with a production capacity of calcined gypsum or dried secondary gypsum exceeding a total of 20 tonnes per day</t>
  </si>
  <si>
    <t>Production of carbon black involving the carbonisation of organic substances such as oils, tars, cracker and distillation residues with a production capacity exceeding 50 tonnes per day</t>
  </si>
  <si>
    <t>Production of hydrogen (H2) and synthesis gas with a production capacity exceeding 5 tonnes per day</t>
  </si>
  <si>
    <t>Transport of greenhouse gases for geological storage in a storage site permitted under Directive 2009/31/EC, with the exclusion of those emissions covered by another activity under this Directive</t>
  </si>
  <si>
    <t>BM main No.</t>
  </si>
  <si>
    <t>Hydrogen, CBAM</t>
  </si>
  <si>
    <t>Hydrogen, non-CBAM</t>
  </si>
  <si>
    <t>Iron casting, CBAM</t>
  </si>
  <si>
    <t>Iron casting, non-CBAM</t>
  </si>
  <si>
    <t>CBAM?</t>
  </si>
  <si>
    <t>Heat benchmark sub-installation (CL | non-CBAM)</t>
  </si>
  <si>
    <t>Heat benchmark sub-installation (non-CL | non-CBAM)</t>
  </si>
  <si>
    <t>Heat benchmark sub-installation (CL | CBAM)</t>
  </si>
  <si>
    <t>Fuel benchmark sub-installation (CL | non-CBAM)</t>
  </si>
  <si>
    <t>Fuel benchmark sub-installation (non-CL | non-CBAM)</t>
  </si>
  <si>
    <t>Fuel benchmark sub-installation (CL | CBAM)</t>
  </si>
  <si>
    <t>Process emissions sub-installation (CL | non-CBAM)</t>
  </si>
  <si>
    <t>Process emissions sub-installation (non-CL | non-CBAM)</t>
  </si>
  <si>
    <t>Process emissions sub-installation (CL | CBAM)</t>
  </si>
  <si>
    <t>TOTAL</t>
  </si>
  <si>
    <t>ETS heat</t>
  </si>
  <si>
    <t>Expected activity level</t>
  </si>
  <si>
    <t>Activity level &gt;15% change?</t>
  </si>
  <si>
    <t>Preliminary values for &gt;300EUA criterion</t>
  </si>
  <si>
    <t>EUconst_CNTR_HALprelim&amp;I12</t>
  </si>
  <si>
    <t>Change compared to HAL (expected)</t>
  </si>
  <si>
    <t>Criterion 3a: Relative threshold exceeded?</t>
  </si>
  <si>
    <t>CN code</t>
  </si>
  <si>
    <t>SUM</t>
  </si>
  <si>
    <t>Inconsistent?</t>
  </si>
  <si>
    <t>Difference in preliminary value</t>
  </si>
  <si>
    <t>Zero-rated biomass emissions</t>
  </si>
  <si>
    <t>CBAM</t>
  </si>
  <si>
    <t>EUconst_CBAMFactor</t>
  </si>
  <si>
    <t>Application &amp; Conditionality</t>
  </si>
  <si>
    <t>Pursuant to Article 22a(1) of the FAR, free allocation shall be reduced by 20% if not all relevant recommendations of the energy audit report or the certified energy management system under Article 8 of Directive 2012/27/EU (the Energy Efficiency Directive) have been implemented.</t>
  </si>
  <si>
    <t>Baseline</t>
  </si>
  <si>
    <t>VIa</t>
  </si>
  <si>
    <t>Entries here are only relevant if you have chosen either "manual entry" in section A.II, or new sub-installations started after 30 June 2024 (i.e. have not been included in the NIMs application).</t>
  </si>
  <si>
    <t>This is the first day the sub-installation had an activity level above zero. This date impacts the allocation only if it is on or after 1 Jan 2023. Entries here are therefore only mandatory if the sub-installation started after this date.</t>
  </si>
  <si>
    <t>CBAM status</t>
  </si>
  <si>
    <t>The status regarding the CBAM status based on CN codes listed in Annex I to Regulation (EU) 2023/956.</t>
  </si>
  <si>
    <t>Expected activity levels</t>
  </si>
  <si>
    <t>Adjustments: Efficiency changes</t>
  </si>
  <si>
    <t>Factor for process emissions</t>
  </si>
  <si>
    <t>Conditionalities</t>
  </si>
  <si>
    <t>Conditionality 1: Outstanding recommendations for energy efficiency improvement measures</t>
  </si>
  <si>
    <t>Conditionality 2: &gt;80th Percentile performers</t>
  </si>
  <si>
    <t>Conditionality 3: +30% for District Heating</t>
  </si>
  <si>
    <t>Conditionality 1: Energy efficiency measures</t>
  </si>
  <si>
    <t>Conditionality 2: Climate neutrality plans</t>
  </si>
  <si>
    <t>Conditionality 3: +30% District heating</t>
  </si>
  <si>
    <t>Applicable conditionalities</t>
  </si>
  <si>
    <t>Non-ETS energy consumption by product to determine expected activity levels</t>
  </si>
  <si>
    <t>EU ETS eligible energy consumption by product to determine expected activity levels</t>
  </si>
  <si>
    <t>Total energy consumption by product to determine expected activity levels</t>
  </si>
  <si>
    <t>CNTR_EnEffCond</t>
  </si>
  <si>
    <t>CBAM status: "True" if the sub-installation is covered by CBAM</t>
  </si>
  <si>
    <t>The activity levels of fall-back sub-installations as determined in accordance with Annex I of the ALC-R</t>
  </si>
  <si>
    <t>TRUE means that the absolute threshold referred to in Art. 6 of the ALC-R (300 EUA) is exceeded and the allocation will be adjusted.</t>
  </si>
  <si>
    <t>Determination of the expected activity level adjustments including any efficiency changes</t>
  </si>
  <si>
    <t>Conditionality applies:</t>
  </si>
  <si>
    <t>Selecting "TRUE" for the baseline period means the conditionality applied and the free allocation will be reduced by 20%. If "FALSE" is the case, entries for all other years will automatically become irrelevant and the conditionality does not apply in any year.</t>
  </si>
  <si>
    <t>CNTR_CNPCond</t>
  </si>
  <si>
    <t>Years after the baseline</t>
  </si>
  <si>
    <t>Applicable?</t>
  </si>
  <si>
    <t>Applied?</t>
  </si>
  <si>
    <t>If the conditionality applied during the baseline, pursuant to Article 3a of the ALC-R it is possible to recover free allocation in subsequent years once all outstanding energy efficiency measures have been taken. Please select "FALSE" for the first year all conditions listed in Article 3a(2) of the ALC-R are met and the conditionality does no longer apply, and all subsequent years will automatically turn "FALSE" as well.</t>
  </si>
  <si>
    <t>Pursuant to Article 22b(1) and (2) of the FAR, free allocation shall be reduced by 20% if a product benchmark sub-installation's greenhouse gas emission levels was higher than the 80th percentile of emission levels for the relevant product benchmarks in the years 2016 and 2017, unless a climate-neutrality plan (CNP) was submitted containing milestones and targets that are later on achieved.</t>
  </si>
  <si>
    <t>Application for free allocation:</t>
  </si>
  <si>
    <t>Pursuant to Article 22b(3) the FAR, installation or district heating company located in a Member State that meets the criteria set out in Article 10b(4), second subparagraph, of ETS Directive can apply for additional 30% free allowances for the district heating sub-installation, provided that the conditions set out in Article 22b(3)(a) to (f) are satisfied.</t>
  </si>
  <si>
    <t>cond. Form.</t>
  </si>
  <si>
    <t>EUconst_MSDHConditionalityList</t>
  </si>
  <si>
    <t>Czechia</t>
  </si>
  <si>
    <t>In column I please indicate whether the relevant sub-installation had greenhouse gas emission levels below the average of the 10 % most efficient for the relevant benchmark in 2021/2022. Please note that this question can only be answered after the updated benchmark values will have been determined. Until then this column is greyed out. Please therefore follow the instructions of your competent authority after the initial submission of this baseline data report.</t>
  </si>
  <si>
    <t>CNTR_DHCond</t>
  </si>
  <si>
    <t>CNTR_10BestCond</t>
  </si>
  <si>
    <t>Conditionality 4: Best performer</t>
  </si>
  <si>
    <t>Total energy input from fuels (D.I)</t>
  </si>
  <si>
    <t>Electricity input for heat production</t>
  </si>
  <si>
    <t>Other energy input (e.g. exothermic heat)</t>
  </si>
  <si>
    <t>Total energy input (sum of the above)</t>
  </si>
  <si>
    <t>Share of zero-rated biomass</t>
  </si>
  <si>
    <t>https://eur-lex.europa.eu/eli/dir/2003/87/2024-03-01</t>
  </si>
  <si>
    <t>https://eur-lex.europa.eu/eli/reg_del/2019/331/2024-01-01</t>
  </si>
  <si>
    <t>https://eur-lex.europa.eu/eli/reg_impl/2019/1842/2022-06-19</t>
  </si>
  <si>
    <t>EUconst_CNTR_H2AdditionalEmissions</t>
  </si>
  <si>
    <t>H2AddEm_</t>
  </si>
  <si>
    <t>EUconst_CNTR_H2ActualPlusTheoretical</t>
  </si>
  <si>
    <t>H2Total_</t>
  </si>
  <si>
    <t>Corrections for benchmark update for special BM, where applicable</t>
  </si>
  <si>
    <t>Hydrogen production (actual + theoretical)</t>
  </si>
  <si>
    <t>Emissions for hydrogen</t>
  </si>
  <si>
    <t>HVC emissions correction</t>
  </si>
  <si>
    <t>VCM emissions correction</t>
  </si>
  <si>
    <t>&gt;=300 EUA criterion satisfied?</t>
  </si>
  <si>
    <t>the absolute threshold, i.e. the change would lead to a difference in the preliminary allocation of at least 300 allowances</t>
  </si>
  <si>
    <t>Based on the entries above, the average annual values of the values under i. are determined here. The allocation will only be changed if the relative threshold (15% compared to NIMs value) and the absolute threshold (change leads to more than 300 allowances) set out in Article 6(4) of the ALC Regulation are exceeded.</t>
  </si>
  <si>
    <t>the relative threshold (15%) of the average activity level compared to the HAL</t>
  </si>
  <si>
    <t>the relative thresholds (15% and 5% for subsequent changes) of the expected activity level compared to the HAL</t>
  </si>
  <si>
    <t>Actual expected activity level</t>
  </si>
  <si>
    <t>(b.6)</t>
  </si>
  <si>
    <t>The CN codes shall be those under Regulation (EEC) No 2658/87, which can be found at:</t>
  </si>
  <si>
    <t>https://eur-lex.europa.eu/eli/reg/1987/2658/2023-06-17</t>
  </si>
  <si>
    <t>Entries here are mandatory for all years if the average annual activity level under point a) changed by more than 15% in at least one year and will only in this case have a direct impact on the allocation.</t>
  </si>
  <si>
    <t>Conditionality 4: Installation being a 'below the average of the 10% best' performer</t>
  </si>
  <si>
    <t>Please enter here any non-ETS energy consumption (e.g. heat imported from installations not covered by the EU ETS) used for the same products as above. Figures here will be used to correct the allocation for the eligible share of energy.</t>
  </si>
  <si>
    <t>It is mandatory that question A.IV.1.a is answered!</t>
  </si>
  <si>
    <t>Please enter in the table below the amount of energy input for heat production, ensuring there is no double-counting between items:</t>
  </si>
  <si>
    <t>i: The total energy input from fuels is taken automatically from results displayed in section D.I.</t>
  </si>
  <si>
    <t>ii: Total electricity input for the PRIMARY purpose of heat production (e.g.  electricity consumed by heat pumps, electric boilers, electric furnaces,...), unless the fuels from which the electricity is produced are already included under i. above. Note that any other electricity consumption for other purposes than heat production (pumps, drivers, etc.) are NOT included here.</t>
  </si>
  <si>
    <t>iv: Result: total energy input, i.e. the sum of the above. This value represents 100% of the energy that is available for the attribution to the fuel benchmark sub-installations, the production of measurable heat, etc. under the next points below.</t>
  </si>
  <si>
    <t>Further guidance on the attribution by product for the calculation of historic efficiency (HistEff) can be found in sections 2.3 and 3 of Guidance Document 7.</t>
  </si>
  <si>
    <t>Reporting year means the actual year the report is submitted. For example, the year "2026" should be selected for reporting activity levels during 2024 and 2025.</t>
  </si>
  <si>
    <t>Installation for municipal waste incineration (i.e. only has a monitoring obligation)</t>
  </si>
  <si>
    <t>Installation for municipal waste incineration</t>
  </si>
  <si>
    <t>Energy input for production of measurable heat not used for product BM or electricity production</t>
  </si>
  <si>
    <t>Energy input for electricity production</t>
  </si>
  <si>
    <t>Energy input to product BM sub-installations</t>
  </si>
  <si>
    <t>Energy input for production of measurable heat</t>
  </si>
  <si>
    <t>Distribution of energy input to different uses</t>
  </si>
  <si>
    <t>Energy input to product BM is the sum of direct energy input and energy input to measurable heat consumed by the sub-installation.</t>
  </si>
  <si>
    <t>Usage type of energy input</t>
  </si>
  <si>
    <t>Memo-item: heat exported from fuel BM</t>
  </si>
  <si>
    <t>taken from sheet G: used for memo-item on measurable heat exported from fuel BM sub</t>
  </si>
  <si>
    <t>Sum of measurable heat available at installation (=a+c+d)</t>
  </si>
  <si>
    <t>"ETS heat" is heat produced in the installation plus heat imported from ETS installations (=a+c).</t>
  </si>
  <si>
    <t xml:space="preserve">"Total heat" is the ETS heat plus heat imported from non-ETS entities and installations (=a+c+d). </t>
  </si>
  <si>
    <t>Heat input ratio (a+c) / (a+c+d):</t>
  </si>
  <si>
    <t>Amounts under iii. from imports</t>
  </si>
  <si>
    <t>Amount of waste gases consumed for the production of measurable heat AND exported to other EU ETS installations</t>
  </si>
  <si>
    <t>This includes only waste gases that are consumed within the installation to produce measurable heat AND this measurable heat is exported to other EU ETS installation. Any waste gas directly exported should not be included here but under point (e) above.</t>
  </si>
  <si>
    <t>Waste gas for heat to other EU ETS</t>
  </si>
  <si>
    <t>Electricity entered as consumed</t>
  </si>
  <si>
    <t>If the answer here is "FALSE", entries below are optional, except for point f) which is always mandatory. You may enter "FALSE" here if electricity is only produced from emergency power units.</t>
  </si>
  <si>
    <t>As required by Annex IV, section 2.4(a) of the FAR, please provide the total energy input from fuels, materials and from electricity for heat production to the sub-installation and a corresponding weighted emission factor, taking into account the related energy content of each fuel which is included in the figure given under point (g), applying the same system boundaries as for point (g).</t>
  </si>
  <si>
    <t>Energy input to this sub-installation and relevant emission factor</t>
  </si>
  <si>
    <t>Energy input</t>
  </si>
  <si>
    <t>https://eur-lex.europa.eu/eli/reg/2010/860/oj</t>
  </si>
  <si>
    <t>As required by FAR Annex IV, section 2.4(a), please provide the energy input from fuels, materials (e.g. exothermic heat) and electricity used for heat production, consistent with the installation-level data entries in section E.I.1.a and a corresponding weighted emission factor taking into account the related energy content.</t>
  </si>
  <si>
    <t>Heat produced from electricity</t>
  </si>
  <si>
    <t>Total energy input (= i. + v. + vii.)</t>
  </si>
  <si>
    <t>This should be the net electricity produced (i.e. after deduction of own consumption for pumps etc.). Please ensure consistency with the values reported under D.III.</t>
  </si>
  <si>
    <t>Note that heat produced from nitric acid sub-installations has to be reported under point (d) as "non-ETS import".</t>
  </si>
  <si>
    <t>Heat from CHP</t>
  </si>
  <si>
    <t>All heat data should refer to "net amount of measurable heat" (i.e. heat content of heat flow to user minus heat content of the return flow).</t>
  </si>
  <si>
    <t>Heat from electricity should include all heat from electric boilers, heat pumps, etc.</t>
  </si>
  <si>
    <t>Heat from boilers etc.</t>
  </si>
  <si>
    <t>Heat from other sources</t>
  </si>
  <si>
    <t>Heat from other sources should include heat from any other remaining sources (e.g. geothermal, solar thermal, ambient heat for heat pumps, exothermic chemical reactions)</t>
  </si>
  <si>
    <t>Heat from boilers etc. should include all heat that is produced from dedicated heat production units (boilers, waste heat recovery, etc.) outside CHPs.</t>
  </si>
  <si>
    <t>Energy input for non-energy purposes</t>
  </si>
  <si>
    <t>Other energy input for non-eligible purposes</t>
  </si>
  <si>
    <t>Other energy input for non-eligible purposes: includes all other uses not included above (e.g. emergency power units, non-safety flaring)</t>
  </si>
  <si>
    <t>Energy input for non-energy purposes: includes all energy containing process material which is not included above (e.g. pore-forming agents)</t>
  </si>
  <si>
    <t>Energy input to fuel BM sub-installations, for the primary purpose of the production of heat</t>
  </si>
  <si>
    <t>This is the sum of entries above b.2 + b.3. The sum can therefore be higher than 100% of the activity level.</t>
  </si>
  <si>
    <t>EU ETS eligible process emissions by product to determine expected activity levels</t>
  </si>
  <si>
    <t>non-eligible</t>
  </si>
  <si>
    <t>eligible</t>
  </si>
  <si>
    <t>The specific emissions are determined in accordance with section 6.1 of Guidance Document 7 for values satisfying the criteria under point b.1) above.</t>
  </si>
  <si>
    <t>This is the final result taking into account any efficiency changes, if applicable.</t>
  </si>
  <si>
    <t>Energy input entered under (a)</t>
  </si>
  <si>
    <t>Under iv. and vi. the electricity input for the primary purpose of heat production and the corresponding emission factor has to be entered, respectively. The EF may however usually not be clearly defined or is not known. Corresponding entries are therefore optional here.</t>
  </si>
  <si>
    <t>Please enter here any non-eligible process emissions (e.g. emissions from raw materials which have already been reported as emitted by the supplier of that material) used for the same products as above. Figures here will be used to correct the allocation for the eligible share of process emissions.</t>
  </si>
  <si>
    <t>Total process emissions by product to determine expected activity levels</t>
  </si>
  <si>
    <t>Please list here to which production processes or services this sub-installation relates.</t>
  </si>
  <si>
    <t>Please enter here the process emissions which are eligible for free allocation.</t>
  </si>
  <si>
    <t>Entries in this report are therefore only relevant in case the installation has a district heating sub-installation listed in sheet B, section I.2. If applicable, entries related to this conditionality will have to be made in sheet B, section I.3.</t>
  </si>
  <si>
    <t>Entries in this report will only be relevant after listing all relevant sub-installations in sheet B, section I.2. Information related to this conditionality will subsequently be relevant in sheet B, section I.4.</t>
  </si>
  <si>
    <t>EUconst_CNTR_ElectricityInput</t>
  </si>
  <si>
    <t>ElectricityInput_</t>
  </si>
  <si>
    <t>EUconst_CNTR_ElectricityEF</t>
  </si>
  <si>
    <t>ElectricityEF_</t>
  </si>
  <si>
    <t>EUconst_CNTR_OtherEnergyInput</t>
  </si>
  <si>
    <t>OtherEnergyInput_</t>
  </si>
  <si>
    <t>EUconst_CNTR_OtherEnergyEF</t>
  </si>
  <si>
    <t>OtherEnergyEF_</t>
  </si>
  <si>
    <t>EUconst_CNTR_TotalEnergyInput</t>
  </si>
  <si>
    <t>TotalEnergyInput_</t>
  </si>
  <si>
    <t>EUconst_CNTR_HeatProducedElectricity</t>
  </si>
  <si>
    <t>HeatProdElec_</t>
  </si>
  <si>
    <t>Period 2026-2030</t>
  </si>
  <si>
    <t>Pursuant to Article 3c of the ALC-R, the full amount of free allocation can only be retained if the milestones and targets set out in the CNP are met and confirmed by a verified climate neutrality report. Please select "FALSE" for 2026-2030 if the conditionality (i.e. the 20% deduction) does not apply, i.e. if the milestones and targets have been met as demonstrated in the verified climate neutrality report submitted by 31 March 2026. If "TRUE" is selected because milestones and targets have not been met, the free allocation will be reduced by 20% for all years of 2026-2030.</t>
  </si>
  <si>
    <t>For example, if all outstanding recommendations have been either fully implemented or equivalent measures have been implement, and all conditions in Article 3a(2) of the ALC-R are met by the time the verified activity level report is submitted due by 31 March 2026, please select "FALSE" as of 2026.</t>
  </si>
  <si>
    <t>iii: The total other energy, including from exothermic heat (i.e. from any exothermic chemical reaction such as partial oxidations or carbothermic reductions), other heat e.g. any ambient heat input for heat pumps, geothermal heat, unless any of this heat is produced from fuels already included under i. above. For example, if steam is recovered from a chemical reaction, the difference between the energy input and output of the process the steam is recovered from should be entered here as exothermic heat, unless this energy is already covered under i. above.</t>
  </si>
  <si>
    <t>Please select "N.A." from the drop-down list where there is no related fuel input and, therefore, no EF applicable.</t>
  </si>
  <si>
    <t>As a memo item and part to be included under point (a)(ii), the sum of the amounts of measurable heat exported from the fuel benchmark sub-installations is displayed here and taken automatically from section G.(5).e.</t>
  </si>
  <si>
    <t>Plausibility check: Sum of electricity input in sheet "F_ProductBM" for consumption of electricity</t>
  </si>
  <si>
    <t>https://eur-lex.europa.eu/eli/reg/2010/860/oj/eng</t>
  </si>
  <si>
    <t>It should be noted that the energy efficiency rule can only be applied in the case of the production of a specific product. Therefore, if no PRODCOM code can be assigned to a product, then this rule cannot apply and the expected activity levels will equal the actual activity levels (i.e. count towards AL remaining), without any adjustment.</t>
  </si>
  <si>
    <t>Memo-item: additional 30% EUA for district heating included in the table above, if applicable</t>
  </si>
  <si>
    <t>Carbon Border Adjustment Mechanism (CBAM) factor</t>
  </si>
  <si>
    <t>Total amount produced (incl. electricity)</t>
  </si>
  <si>
    <t>The production value (NIMs) refers to the average production during the historic NIMs baseline period, as explained in sections 2.3 and 3 of Guidance Document 7.</t>
  </si>
  <si>
    <t>NIMs value refers to the average production during the historic baseline period, as explained in sections 2.3 and 3 of Guidance Document 7.</t>
  </si>
  <si>
    <t>NIMs value refers to the average heat consumption during the historic NIMs baseline period.</t>
  </si>
  <si>
    <t>NIMs value refers to the average emissions during the historic NIMs baseline period.</t>
  </si>
  <si>
    <t>Please select "TRUE" if all of the conditions set out in Article 3d of the ALC-R are met and the additional 30% can be issued. For further guidance, please consult Guidance Document 11, in particular section 2.4 thereof.</t>
  </si>
  <si>
    <t>FB8</t>
  </si>
  <si>
    <t>FB9</t>
  </si>
  <si>
    <t>FB10</t>
  </si>
  <si>
    <t>Where heat from CHP is relevant, please report the net heat (i.e. after deduction of own consumption by the CHP) to ensure consistency with data entries in section D.III (i.e. either only report the CHP heat available for consumers after the CHP, or report the total heat including heat used for electricity production which are reported consistently under (g) below).</t>
  </si>
  <si>
    <t>Average of the expected activity level</t>
  </si>
  <si>
    <t>From here: Updated ALC template</t>
  </si>
  <si>
    <t>b_Guidelines &amp; conditions'!$B$10</t>
  </si>
  <si>
    <t>b_Guidelines &amp; conditions'!$B$12</t>
  </si>
  <si>
    <t>b_Guidelines &amp; conditions'!$B$14</t>
  </si>
  <si>
    <t>b_Guidelines &amp; conditions'!$B$18</t>
  </si>
  <si>
    <t>A_InstallationData'!$K$4</t>
  </si>
  <si>
    <t>A_InstallationData'!$E$12</t>
  </si>
  <si>
    <t>A_InstallationData'!$D$252</t>
  </si>
  <si>
    <t>A_InstallationData'!$D$266</t>
  </si>
  <si>
    <t>A_InstallationData'!$E$267</t>
  </si>
  <si>
    <t>A_InstallationData'!$F$268</t>
  </si>
  <si>
    <t>A_InstallationData'!$E$269</t>
  </si>
  <si>
    <t>A_InstallationData'!$F$269</t>
  </si>
  <si>
    <t>A_InstallationData'!$F$270</t>
  </si>
  <si>
    <t>A_InstallationData'!$E$268; 'A_InstallationData'!$I$272</t>
  </si>
  <si>
    <t>A_InstallationData'!$D$277</t>
  </si>
  <si>
    <t>A_InstallationData'!$E$278</t>
  </si>
  <si>
    <t>A_InstallationData'!$F$279</t>
  </si>
  <si>
    <t>A_InstallationData'!$F$280</t>
  </si>
  <si>
    <t>A_InstallationData'!$E$281</t>
  </si>
  <si>
    <t>A_InstallationData'!$F$281</t>
  </si>
  <si>
    <t>A_InstallationData'!$E$279; 'A_InstallationData'!$H$283</t>
  </si>
  <si>
    <t>A_InstallationData'!$E$280; 'A_InstallationData'!$I$283</t>
  </si>
  <si>
    <t>A_InstallationData'!$E$273; 'A_InstallationData'!$E$284</t>
  </si>
  <si>
    <t>A_InstallationData'!$E$291</t>
  </si>
  <si>
    <t>A_InstallationData'!$E$294</t>
  </si>
  <si>
    <t>A_InstallationData'!$F$333</t>
  </si>
  <si>
    <t>; 'A_InstallationData'!$K$421</t>
  </si>
  <si>
    <t>B+C_SubInstallations'!$I$3</t>
  </si>
  <si>
    <t>B+C_SubInstallations'!$G$16; 'B+C_SubInstallations'!$G$46</t>
  </si>
  <si>
    <t>B+C_SubInstallations'!$G$18; 'B+C_SubInstallations'!$G$48</t>
  </si>
  <si>
    <t>B+C_SubInstallations'!$E$23; 'B+C_SubInstallations'!$E$53</t>
  </si>
  <si>
    <t>B+C_SubInstallations'!$F$23; 'B+C_SubInstallations'!$F$53</t>
  </si>
  <si>
    <t>; 'B+C_SubInstallations'!$S$26; 'B+C_SubInstallations'!$S$56</t>
  </si>
  <si>
    <t>A_InstallationData'!$D$289; 'B+C_SubInstallations'!$D$71</t>
  </si>
  <si>
    <t>A_InstallationData'!$E$290; 'B+C_SubInstallations'!$E$72</t>
  </si>
  <si>
    <t>B+C_SubInstallations'!$E$73</t>
  </si>
  <si>
    <t>A_InstallationData'!$D$293; 'B+C_SubInstallations'!$D$78</t>
  </si>
  <si>
    <t>B+C_SubInstallations'!$E$79</t>
  </si>
  <si>
    <t>; 'B+C_SubInstallations'!$V$125</t>
  </si>
  <si>
    <t>; 'B+C_SubInstallations'!$F$178</t>
  </si>
  <si>
    <t>B+C_SubInstallations'!$K$178</t>
  </si>
  <si>
    <t>; 'B+C_SubInstallations'!$M$178</t>
  </si>
  <si>
    <t>B+C_SubInstallations'!$E$200</t>
  </si>
  <si>
    <t>D_Emissions'!$E$22</t>
  </si>
  <si>
    <t>E_EnergyFlows'!$E$14</t>
  </si>
  <si>
    <t>E_EnergyFlows'!$F$15</t>
  </si>
  <si>
    <t>E_EnergyFlows'!$F$16</t>
  </si>
  <si>
    <t>E_EnergyFlows'!$F$17</t>
  </si>
  <si>
    <t>E_EnergyFlows'!$F$18</t>
  </si>
  <si>
    <t>E_EnergyFlows'!$E$20</t>
  </si>
  <si>
    <t>E_EnergyFlows'!$E$29</t>
  </si>
  <si>
    <t>E_EnergyFlows'!$F$31</t>
  </si>
  <si>
    <t>E_EnergyFlows'!$F$32</t>
  </si>
  <si>
    <t>E_EnergyFlows'!$F$33</t>
  </si>
  <si>
    <t>E_EnergyFlows'!$F$35</t>
  </si>
  <si>
    <t>E_EnergyFlows'!$F$36</t>
  </si>
  <si>
    <t>E_EnergyFlows'!$E$42</t>
  </si>
  <si>
    <t>E_EnergyFlows'!$E$43</t>
  </si>
  <si>
    <t>E_EnergyFlows'!$E$44</t>
  </si>
  <si>
    <t>E_EnergyFlows'!$F$34; 'E_EnergyFlows'!$E$48; 'E_EnergyFlows'!$E$61</t>
  </si>
  <si>
    <t>E_EnergyFlows'!$E$68</t>
  </si>
  <si>
    <t>E_EnergyFlows'!$E$106</t>
  </si>
  <si>
    <t>E_EnergyFlows'!$E$107</t>
  </si>
  <si>
    <t>E_EnergyFlows'!$E$108</t>
  </si>
  <si>
    <t>E_EnergyFlows'!$E$109</t>
  </si>
  <si>
    <t>E_EnergyFlows'!$E$110</t>
  </si>
  <si>
    <t>E_EnergyFlows'!$E$111</t>
  </si>
  <si>
    <t>E_EnergyFlows'!$E$120</t>
  </si>
  <si>
    <t>E_EnergyFlows'!$E$143</t>
  </si>
  <si>
    <t>E_EnergyFlows'!$E$147</t>
  </si>
  <si>
    <t>E_EnergyFlows'!$E$148</t>
  </si>
  <si>
    <t>E_EnergyFlows'!$E$150</t>
  </si>
  <si>
    <t>E_EnergyFlows'!$E$307</t>
  </si>
  <si>
    <t>E_EnergyFlows'!$E$379</t>
  </si>
  <si>
    <t>E_EnergyFlows'!$E$380</t>
  </si>
  <si>
    <t>E_EnergyFlows'!$E$381</t>
  </si>
  <si>
    <t>E_EnergyFlows'!$E$393</t>
  </si>
  <si>
    <t>E_EnergyFlows'!$E$397</t>
  </si>
  <si>
    <t>E_EnergyFlows'!$E$414</t>
  </si>
  <si>
    <t>E_EnergyFlows'!$E$415</t>
  </si>
  <si>
    <t>F_ProductBM'!$E$49; 'F_ProductBM'!$E$330; 'F_ProductBM'!$E$611; 'F_ProductBM'!$E$892; 'F_ProductBM'!$E$1173; 'F_ProductBM'!$E$1454; 'F_ProductBM'!$E$1735; 'F_ProductBM'!$E$2016; 'F_ProductBM'!$E$2297; 'F_ProductBM'!$E$2578</t>
  </si>
  <si>
    <t>F_ProductBM'!$E$50; 'F_ProductBM'!$E$331; 'F_ProductBM'!$E$612; 'F_ProductBM'!$E$893; 'F_ProductBM'!$E$1174; 'F_ProductBM'!$E$1455; 'F_ProductBM'!$E$1736; 'F_ProductBM'!$E$2017; 'F_ProductBM'!$E$2298; 'F_ProductBM'!$E$2579</t>
  </si>
  <si>
    <t>F_ProductBM'!$E$82; 'F_ProductBM'!$E$363; 'F_ProductBM'!$E$644; 'F_ProductBM'!$E$925; 'F_ProductBM'!$E$1206; 'F_ProductBM'!$E$1487; 'F_ProductBM'!$E$1768; 'F_ProductBM'!$E$2049; 'F_ProductBM'!$E$2330; 'F_ProductBM'!$E$2611</t>
  </si>
  <si>
    <t>F_ProductBM'!$E$85; 'F_ProductBM'!$E$366; 'F_ProductBM'!$E$647; 'F_ProductBM'!$E$928; 'F_ProductBM'!$E$1209; 'F_ProductBM'!$E$1490; 'F_ProductBM'!$E$1771; 'F_ProductBM'!$E$2052; 'F_ProductBM'!$E$2333; 'F_ProductBM'!$E$2614</t>
  </si>
  <si>
    <t>F_ProductBM'!$E$130; 'F_ProductBM'!$E$411; 'F_ProductBM'!$E$692; 'F_ProductBM'!$E$973; 'F_ProductBM'!$E$1254; 'F_ProductBM'!$E$1535; 'F_ProductBM'!$E$1816; 'F_ProductBM'!$E$2097; 'F_ProductBM'!$E$2378; 'F_ProductBM'!$E$2659</t>
  </si>
  <si>
    <t>F_ProductBM'!$E$131; 'F_ProductBM'!$E$412; 'F_ProductBM'!$E$693; 'F_ProductBM'!$E$974; 'F_ProductBM'!$E$1255; 'F_ProductBM'!$E$1536; 'F_ProductBM'!$E$1817; 'F_ProductBM'!$E$2098; 'F_ProductBM'!$E$2379; 'F_ProductBM'!$E$2660</t>
  </si>
  <si>
    <t>; 'F_ProductBM'!$E$132; 'F_ProductBM'!$E$413; 'F_ProductBM'!$E$694; 'F_ProductBM'!$E$975; 'F_ProductBM'!$E$1256; 'F_ProductBM'!$E$1537; 'F_ProductBM'!$E$1818; 'F_ProductBM'!$E$2099; 'F_ProductBM'!$E$2380; 'F_ProductBM'!$E$2661</t>
  </si>
  <si>
    <t>F_ProductBM'!$E$135; 'F_ProductBM'!$E$416; 'F_ProductBM'!$E$697; 'F_ProductBM'!$E$978; 'F_ProductBM'!$E$1259; 'F_ProductBM'!$E$1540; 'F_ProductBM'!$E$1821; 'F_ProductBM'!$E$2102; 'F_ProductBM'!$E$2383; 'F_ProductBM'!$E$2664</t>
  </si>
  <si>
    <t>F_ProductBM'!$E$2836</t>
  </si>
  <si>
    <t>F_ProductBM'!$E$2839; 'F_ProductBM'!$E$2844</t>
  </si>
  <si>
    <t>G_Fall-back'!$E$733</t>
  </si>
  <si>
    <t>F_ProductBM'!$E$129; 'F_ProductBM'!$E$410; 'F_ProductBM'!$E$691; 'F_ProductBM'!$E$972; 'F_ProductBM'!$E$1253; 'F_ProductBM'!$E$1534; 'F_ProductBM'!$E$1815; 'F_ProductBM'!$E$2096; 'F_ProductBM'!$E$2377; 'F_ProductBM'!$E$2658; 'G_Fall-back'!$E$176; 'G_Fall-back'!$E$399; 'G_Fall-back'!$E$622; 'G_Fall-back'!$E$845</t>
  </si>
  <si>
    <t>G_Fall-back'!$E$177; 'G_Fall-back'!$E$400; 'G_Fall-back'!$E$623; 'G_Fall-back'!$E$846</t>
  </si>
  <si>
    <t>G_Fall-back'!$E$198; 'G_Fall-back'!$E$421; 'G_Fall-back'!$E$644; 'G_Fall-back'!$E$867</t>
  </si>
  <si>
    <t>G_Fall-back'!$E$79; 'G_Fall-back'!$E$302; 'G_Fall-back'!$E$525; 'G_Fall-back'!$E$748; 'G_Fall-back'!$E$969; 'G_Fall-back'!$E$1140; 'G_Fall-back'!$E$1311</t>
  </si>
  <si>
    <t>G_Fall-back'!$E$82; 'G_Fall-back'!$E$305; 'G_Fall-back'!$E$528; 'G_Fall-back'!$E$972; 'G_Fall-back'!$E$1143; 'G_Fall-back'!$E$1314</t>
  </si>
  <si>
    <t>G_Fall-back'!$C$86; 'G_Fall-back'!$C$309; 'G_Fall-back'!$C$532; 'G_Fall-back'!$C$755; 'G_Fall-back'!$C$976; 'G_Fall-back'!$C$1147; 'G_Fall-back'!$C$1318</t>
  </si>
  <si>
    <t>G_Fall-back'!$E$100; 'G_Fall-back'!$E$323; 'G_Fall-back'!$E$546; 'G_Fall-back'!$E$769; 'G_Fall-back'!$E$990; 'G_Fall-back'!$E$1161; 'G_Fall-back'!$E$1332</t>
  </si>
  <si>
    <t>G_Fall-back'!$E$101; 'G_Fall-back'!$E$324; 'G_Fall-back'!$E$547; 'G_Fall-back'!$E$770; 'G_Fall-back'!$E$991; 'G_Fall-back'!$E$1162; 'G_Fall-back'!$E$1333</t>
  </si>
  <si>
    <t>G_Fall-back'!$E$116; 'G_Fall-back'!$E$339; 'G_Fall-back'!$E$562; 'G_Fall-back'!$E$785; 'G_Fall-back'!$E$1006; 'G_Fall-back'!$E$1177; 'G_Fall-back'!$E$1348</t>
  </si>
  <si>
    <t>; 'G_Fall-back'!$E$85; 'G_Fall-back'!$E$103; 'G_Fall-back'!$E$119; 'G_Fall-back'!$E$308; 'G_Fall-back'!$E$326; 'G_Fall-back'!$E$342; 'G_Fall-back'!$E$531; 'G_Fall-back'!$E$549; 'G_Fall-back'!$E$565; 'G_Fall-back'!$E$754; 'G_Fall-back'!$E$772; 'G_Fall-back'!$E$788; 'G_Fall-back'!$E$975; 'G_Fall-back'!$E$993; 'G_Fall-back'!$E$1009; 'G_Fall-back'!$E$1146; 'G_Fall-back'!$E$1164; 'G_Fall-back'!$E$1180; 'G_Fall-back'!$E$1317; 'G_Fall-back'!$E$1335; 'G_Fall-back'!$E$1351</t>
  </si>
  <si>
    <t>G_Fall-back'!$E$1059; 'G_Fall-back'!$E$1230; 'G_Fall-back'!$E$1401</t>
  </si>
  <si>
    <t>G_Fall-back'!$E$1061; 'G_Fall-back'!$E$1232; 'G_Fall-back'!$E$1403</t>
  </si>
  <si>
    <t>G_Fall-back'!$F$24; 'G_Fall-back'!$F$247; 'G_Fall-back'!$F$470; 'G_Fall-back'!$F$693; 'G_Fall-back'!$F$916; 'G_Fall-back'!$F$1087; 'G_Fall-back'!$F$1258; 'G_Fall-back'!$F$1429; 'G_Fall-back'!$F$1567; 'G_Fall-back'!$F$1705</t>
  </si>
  <si>
    <t>G_Fall-back'!$F$25; 'G_Fall-back'!$F$248; 'G_Fall-back'!$F$471; 'G_Fall-back'!$F$694; 'G_Fall-back'!$F$917; 'G_Fall-back'!$F$1088; 'G_Fall-back'!$F$1259; 'G_Fall-back'!$F$1430; 'G_Fall-back'!$F$1568; 'G_Fall-back'!$F$1706</t>
  </si>
  <si>
    <t>F_ProductBM'!$F$32; 'F_ProductBM'!$F$313; 'F_ProductBM'!$F$594; 'F_ProductBM'!$F$875; 'F_ProductBM'!$F$1156; 'F_ProductBM'!$F$1437; 'F_ProductBM'!$F$1718; 'F_ProductBM'!$F$1999; 'F_ProductBM'!$F$2280; 'F_ProductBM'!$F$2561; 'G_Fall-back'!$F$26; 'G_Fall-back'!$F$249; 'G_Fall-back'!$F$472; 'G_Fall-back'!$F$695; 'G_Fall-back'!$F$918; 'G_Fall-back'!$F$1089; 'G_Fall-back'!$F$1260; 'G_Fall-back'!$F$1431; 'G_Fall-back'!$F$1569; 'G_Fall-back'!$F$1707</t>
  </si>
  <si>
    <t>G_Fall-back'!$E$1443; 'G_Fall-back'!$E$1581; 'G_Fall-back'!$E$1719</t>
  </si>
  <si>
    <t>G_Fall-back'!$E$44; 'G_Fall-back'!$E$267; 'G_Fall-back'!$E$490; 'G_Fall-back'!$E$713; 'G_Fall-back'!$E$935; 'G_Fall-back'!$E$1106; 'G_Fall-back'!$E$1277; 'G_Fall-back'!$E$1446; 'G_Fall-back'!$E$1584; 'G_Fall-back'!$E$1722</t>
  </si>
  <si>
    <t>F_ProductBM'!$E$86; 'F_ProductBM'!$E$367; 'F_ProductBM'!$E$648; 'F_ProductBM'!$E$929; 'F_ProductBM'!$E$1210; 'F_ProductBM'!$E$1491; 'F_ProductBM'!$E$1772; 'F_ProductBM'!$E$2053; 'F_ProductBM'!$E$2334; 'F_ProductBM'!$E$2615; 'G_Fall-back'!$E$47; 'G_Fall-back'!$E$270; 'G_Fall-back'!$E$493; 'G_Fall-back'!$E$716; 'G_Fall-back'!$E$937; 'G_Fall-back'!$E$1108; 'G_Fall-back'!$E$1279; 'G_Fall-back'!$E$1448; 'G_Fall-back'!$E$1586; 'G_Fall-back'!$E$1724</t>
  </si>
  <si>
    <t>F_ProductBM'!$E$87; 'F_ProductBM'!$E$368; 'F_ProductBM'!$E$649; 'F_ProductBM'!$E$930; 'F_ProductBM'!$E$1211; 'F_ProductBM'!$E$1492; 'F_ProductBM'!$E$1773; 'F_ProductBM'!$E$2054; 'F_ProductBM'!$E$2335; 'F_ProductBM'!$E$2616; 'G_Fall-back'!$E$48; 'G_Fall-back'!$E$271; 'G_Fall-back'!$E$494; 'G_Fall-back'!$E$717; 'G_Fall-back'!$E$938; 'G_Fall-back'!$E$1109; 'G_Fall-back'!$E$1280; 'G_Fall-back'!$E$1449; 'G_Fall-back'!$E$1587; 'G_Fall-back'!$E$1725</t>
  </si>
  <si>
    <t>G_Fall-back'!$E$1451; 'G_Fall-back'!$E$1589; 'G_Fall-back'!$E$1727</t>
  </si>
  <si>
    <t>G_Fall-back'!$G$940; 'G_Fall-back'!$G$1111; 'G_Fall-back'!$G$1282; 'G_Fall-back'!$G$1451; 'G_Fall-back'!$G$1589; 'G_Fall-back'!$G$1727</t>
  </si>
  <si>
    <t>F_ProductBM'!$E$91; 'F_ProductBM'!$E$372; 'F_ProductBM'!$E$653; 'F_ProductBM'!$E$934; 'F_ProductBM'!$E$1215; 'F_ProductBM'!$E$1496; 'F_ProductBM'!$E$1777; 'F_ProductBM'!$E$2058; 'F_ProductBM'!$E$2339; 'F_ProductBM'!$E$2620; 'G_Fall-back'!$M$50; 'G_Fall-back'!$M$273; 'G_Fall-back'!$M$496; 'G_Fall-back'!$M$719; 'G_Fall-back'!$M$940; 'G_Fall-back'!$M$1111; 'G_Fall-back'!$M$1282; 'G_Fall-back'!$M$1451; 'G_Fall-back'!$M$1589; 'G_Fall-back'!$M$1727</t>
  </si>
  <si>
    <t>F_ProductBM'!$O$91; 'F_ProductBM'!$O$372; 'F_ProductBM'!$O$653; 'F_ProductBM'!$O$934; 'F_ProductBM'!$O$1215; 'F_ProductBM'!$O$1496; 'F_ProductBM'!$O$1777; 'F_ProductBM'!$O$2058; 'F_ProductBM'!$O$2339; 'F_ProductBM'!$O$2620; 'G_Fall-back'!$N$50; 'G_Fall-back'!$N$273; 'G_Fall-back'!$N$496; 'G_Fall-back'!$N$719; 'G_Fall-back'!$N$940; 'G_Fall-back'!$N$1111; 'G_Fall-back'!$N$1282; 'G_Fall-back'!$N$1451; 'G_Fall-back'!$N$1589; 'G_Fall-back'!$N$1727</t>
  </si>
  <si>
    <t>G_Fall-back'!$E$63; 'G_Fall-back'!$E$286; 'G_Fall-back'!$E$509; 'G_Fall-back'!$E$732; 'G_Fall-back'!$E$953; 'G_Fall-back'!$E$1124; 'G_Fall-back'!$E$1295; 'G_Fall-back'!$E$1464; 'G_Fall-back'!$E$1602; 'G_Fall-back'!$E$1740</t>
  </si>
  <si>
    <t>G_Fall-back'!$E$64; 'G_Fall-back'!$E$287; 'G_Fall-back'!$E$510; 'G_Fall-back'!$E$954; 'G_Fall-back'!$E$1125; 'G_Fall-back'!$E$1296; 'G_Fall-back'!$E$1465; 'G_Fall-back'!$E$1603; 'G_Fall-back'!$E$1741</t>
  </si>
  <si>
    <t>G_Fall-back'!$E$1480; 'G_Fall-back'!$E$1618; 'G_Fall-back'!$E$1756</t>
  </si>
  <si>
    <t>G_Fall-back'!$E$1481; 'G_Fall-back'!$E$1619; 'G_Fall-back'!$E$1757</t>
  </si>
  <si>
    <t>G_Fall-back'!$E$81; 'G_Fall-back'!$E$304; 'G_Fall-back'!$E$527; 'G_Fall-back'!$E$971; 'G_Fall-back'!$E$1142; 'G_Fall-back'!$E$1313; 'G_Fall-back'!$E$1482; 'G_Fall-back'!$E$1620; 'G_Fall-back'!$E$1758</t>
  </si>
  <si>
    <t>G_Fall-back'!$E$1483; 'G_Fall-back'!$E$1621; 'G_Fall-back'!$E$1759</t>
  </si>
  <si>
    <t>G_Fall-back'!$E$83; 'G_Fall-back'!$E$306; 'G_Fall-back'!$E$529; 'G_Fall-back'!$E$973; 'G_Fall-back'!$E$1144; 'G_Fall-back'!$E$1315; 'G_Fall-back'!$E$1484; 'G_Fall-back'!$E$1622; 'G_Fall-back'!$E$1760</t>
  </si>
  <si>
    <t>G_Fall-back'!$C$1487; 'G_Fall-back'!$C$1625; 'G_Fall-back'!$C$1763</t>
  </si>
  <si>
    <t>G_Fall-back'!$E$1501; 'G_Fall-back'!$E$1639; 'G_Fall-back'!$E$1777</t>
  </si>
  <si>
    <t>G_Fall-back'!$E$1502; 'G_Fall-back'!$E$1640; 'G_Fall-back'!$E$1778</t>
  </si>
  <si>
    <t>G_Fall-back'!$C$1505; 'G_Fall-back'!$C$1643; 'G_Fall-back'!$C$1781</t>
  </si>
  <si>
    <t>G_Fall-back'!$E$1517; 'G_Fall-back'!$E$1655; 'G_Fall-back'!$E$1793</t>
  </si>
  <si>
    <t>G_Fall-back'!$E$117; 'G_Fall-back'!$E$340; 'G_Fall-back'!$E$563; 'G_Fall-back'!$E$786; 'G_Fall-back'!$E$1007; 'G_Fall-back'!$E$1178; 'G_Fall-back'!$E$1349; 'G_Fall-back'!$E$1518; 'G_Fall-back'!$E$1656; 'G_Fall-back'!$E$1794</t>
  </si>
  <si>
    <t>; 'G_Fall-back'!$S$85; 'G_Fall-back'!$S$119; 'G_Fall-back'!$S$308; 'G_Fall-back'!$S$342; 'G_Fall-back'!$S$531; 'G_Fall-back'!$S$565; 'G_Fall-back'!$S$754; 'G_Fall-back'!$S$788; 'G_Fall-back'!$S$975; 'G_Fall-back'!$S$1009; 'G_Fall-back'!$S$1146; 'G_Fall-back'!$S$1180; 'G_Fall-back'!$S$1317; 'G_Fall-back'!$S$1351; 'G_Fall-back'!$S$1486; 'G_Fall-back'!$S$1520; 'G_Fall-back'!$S$1624; 'G_Fall-back'!$S$1658; 'G_Fall-back'!$S$1762; 'G_Fall-back'!$S$1796</t>
  </si>
  <si>
    <t>G_Fall-back'!$C$120; 'G_Fall-back'!$C$343; 'G_Fall-back'!$C$566; 'G_Fall-back'!$C$789; 'G_Fall-back'!$C$1010; 'G_Fall-back'!$C$1181; 'G_Fall-back'!$C$1352; 'G_Fall-back'!$C$1521; 'G_Fall-back'!$C$1659; 'G_Fall-back'!$C$1797</t>
  </si>
  <si>
    <t>G_Fall-back'!$E$133; 'G_Fall-back'!$E$356; 'G_Fall-back'!$E$579; 'G_Fall-back'!$E$802; 'G_Fall-back'!$E$1023; 'G_Fall-back'!$E$1194; 'G_Fall-back'!$E$1365; 'G_Fall-back'!$E$1534; 'G_Fall-back'!$E$1672; 'G_Fall-back'!$E$1810</t>
  </si>
  <si>
    <t>G_Fall-back'!$E$1535; 'G_Fall-back'!$E$1673; 'G_Fall-back'!$E$1811</t>
  </si>
  <si>
    <t>G_Fall-back'!$E$137; 'G_Fall-back'!$E$360; 'G_Fall-back'!$E$583; 'G_Fall-back'!$E$806; 'G_Fall-back'!$E$1027; 'G_Fall-back'!$E$1198; 'G_Fall-back'!$E$1369; 'G_Fall-back'!$E$1538; 'G_Fall-back'!$E$1676; 'G_Fall-back'!$E$1814</t>
  </si>
  <si>
    <t>; 'G_Fall-back'!$G$66; 'G_Fall-back'!$G$85; 'G_Fall-back'!$G$103; 'G_Fall-back'!$I$137; 'G_Fall-back'!$I$360; 'G_Fall-back'!$I$583; 'G_Fall-back'!$I$806; 'G_Fall-back'!$I$1027; 'G_Fall-back'!$I$1198; 'G_Fall-back'!$I$1369; 'G_Fall-back'!$I$1538; 'G_Fall-back'!$I$1676; 'G_Fall-back'!$I$1814</t>
  </si>
  <si>
    <t>G_Fall-back'!$E$138; 'G_Fall-back'!$E$361; 'G_Fall-back'!$E$584; 'G_Fall-back'!$E$807; 'G_Fall-back'!$E$1028; 'G_Fall-back'!$E$1199; 'G_Fall-back'!$E$1370; 'G_Fall-back'!$E$1539; 'G_Fall-back'!$E$1677; 'G_Fall-back'!$E$1815</t>
  </si>
  <si>
    <t>G_Fall-back'!$E$139; 'G_Fall-back'!$E$362; 'G_Fall-back'!$E$585; 'G_Fall-back'!$E$808; 'G_Fall-back'!$E$1029; 'G_Fall-back'!$E$1200; 'G_Fall-back'!$E$1371; 'G_Fall-back'!$E$1540; 'G_Fall-back'!$E$1678; 'G_Fall-back'!$E$1816</t>
  </si>
  <si>
    <t>; 'F_ProductBM'!$E$36; 'F_ProductBM'!$E$317; 'F_ProductBM'!$E$598; 'F_ProductBM'!$E$879; 'F_ProductBM'!$E$1160; 'F_ProductBM'!$E$1441; 'F_ProductBM'!$E$1722; 'F_ProductBM'!$E$2003; 'F_ProductBM'!$E$2284; 'F_ProductBM'!$E$2565; 'G_Fall-back'!$E$30; 'G_Fall-back'!$E$140; 'G_Fall-back'!$E$253; 'G_Fall-back'!$E$363; 'G_Fall-back'!$E$476; 'G_Fall-back'!$E$586; 'G_Fall-back'!$E$699; 'G_Fall-back'!$E$809; 'G_Fall-back'!$E$922; 'G_Fall-back'!$E$1030; 'G_Fall-back'!$E$1093; 'G_Fall-back'!$E$1201; 'G_Fall-back'!$E$1264; 'G_Fall-back'!$E$1372; 'G_Fall-back'!$E$1435; 'G_Fall-back'!$E$1541; 'G_Fall-back'!$E$1573; 'G_Fall-back'!$E$1679; 'G_Fall-back'!$E$1711; 'G_Fall-back'!$E$1817</t>
  </si>
  <si>
    <t>G_Fall-back'!$E$148; 'G_Fall-back'!$E$371; 'G_Fall-back'!$E$594; 'G_Fall-back'!$E$817; 'G_Fall-back'!$E$1038; 'G_Fall-back'!$E$1209; 'G_Fall-back'!$E$1380; 'G_Fall-back'!$E$1549; 'G_Fall-back'!$E$1687; 'G_Fall-back'!$E$1825</t>
  </si>
  <si>
    <t>G_Fall-back'!$E$149; 'G_Fall-back'!$E$372; 'G_Fall-back'!$E$595; 'G_Fall-back'!$E$818; 'G_Fall-back'!$E$1039; 'G_Fall-back'!$E$1210; 'G_Fall-back'!$E$1381; 'G_Fall-back'!$E$1550; 'G_Fall-back'!$E$1688; 'G_Fall-back'!$E$1826</t>
  </si>
  <si>
    <t>G_Fall-back'!$E$151; 'G_Fall-back'!$E$374; 'G_Fall-back'!$E$597; 'G_Fall-back'!$E$820; 'G_Fall-back'!$E$1041; 'G_Fall-back'!$E$1212; 'G_Fall-back'!$E$1383; 'G_Fall-back'!$E$1552; 'G_Fall-back'!$E$1690; 'G_Fall-back'!$E$1828</t>
  </si>
  <si>
    <t>H_SpecialBM'!$E$28; 'H_SpecialBM'!$F$80; 'H_SpecialBM'!$F$81</t>
  </si>
  <si>
    <t>H_SpecialBM'!$F$86</t>
  </si>
  <si>
    <t>H_SpecialBM'!$C$325</t>
  </si>
  <si>
    <t>; 'F_ProductBM'!$S$13; 'F_ProductBM'!$S$294; 'F_ProductBM'!$S$575; 'F_ProductBM'!$S$856; 'F_ProductBM'!$S$1137; 'F_ProductBM'!$S$1418; 'F_ProductBM'!$S$1699; 'F_ProductBM'!$S$1980; 'F_ProductBM'!$S$2261; 'F_ProductBM'!$S$2542; 'G_Fall-back'!$S$13; 'G_Fall-back'!$S$236; 'G_Fall-back'!$S$459; 'G_Fall-back'!$S$682; 'G_Fall-back'!$S$905; 'G_Fall-back'!$S$1076; 'G_Fall-back'!$S$1247; 'G_Fall-back'!$S$1418; 'G_Fall-back'!$S$1556; 'G_Fall-back'!$S$1694; 'H_SpecialBM'!$S$174; 'H_SpecialBM'!$S$449</t>
  </si>
  <si>
    <t>H_SpecialBM'!$E$464</t>
  </si>
  <si>
    <t>; 'F_ProductBM'!$E$68; 'F_ProductBM'!$E$233; 'F_ProductBM'!$E$349; 'F_ProductBM'!$E$514; 'F_ProductBM'!$E$630; 'F_ProductBM'!$E$795; 'F_ProductBM'!$E$911; 'F_ProductBM'!$E$1076; 'F_ProductBM'!$E$1192; 'F_ProductBM'!$E$1357; 'F_ProductBM'!$E$1473; 'F_ProductBM'!$E$1638; 'F_ProductBM'!$E$1754; 'F_ProductBM'!$E$1919; 'F_ProductBM'!$E$2035; 'F_ProductBM'!$E$2200; 'F_ProductBM'!$E$2316; 'F_ProductBM'!$E$2481; 'F_ProductBM'!$E$2597; 'F_ProductBM'!$E$2762; 'H_SpecialBM'!$E$221; 'H_SpecialBM'!$E$468</t>
  </si>
  <si>
    <t>; 'F_ProductBM'!$E$38; 'F_ProductBM'!$E$70; 'F_ProductBM'!$E$235; 'F_ProductBM'!$E$319; 'F_ProductBM'!$E$351; 'F_ProductBM'!$E$516; 'F_ProductBM'!$E$600; 'F_ProductBM'!$E$632; 'F_ProductBM'!$E$797; 'F_ProductBM'!$E$881; 'F_ProductBM'!$E$913; 'F_ProductBM'!$E$1078; 'F_ProductBM'!$E$1162; 'F_ProductBM'!$E$1194; 'F_ProductBM'!$E$1359; 'F_ProductBM'!$E$1443; 'F_ProductBM'!$E$1475; 'F_ProductBM'!$E$1640; 'F_ProductBM'!$E$1724; 'F_ProductBM'!$E$1756; 'F_ProductBM'!$E$1921; 'F_ProductBM'!$E$2005; 'F_ProductBM'!$E$2037; 'F_ProductBM'!$E$2202; 'F_ProductBM'!$E$2286; 'F_ProductBM'!$E$2318; 'F_ProductBM'!$E$2483; 'F_ProductBM'!$E$2567; 'F_ProductBM'!$E$2599; 'F_ProductBM'!$E$2764; 'G_Fall-back'!$E$32; 'G_Fall-back'!$E$142; 'G_Fall-back'!$E$255; 'G_Fall-back'!$E$365; 'G_Fall-back'!$E$478; 'G_Fall-back'!$E$588; 'G_Fall-back'!$E$701; 'G_Fall-back'!$E$811; 'G_Fall-back'!$E$924; 'G_Fall-back'!$E$1032; 'G_Fall-back'!$E$1095; 'G_Fall-back'!$E$1203; 'G_Fall-back'!$E$1266; 'G_Fall-back'!$E$1374; 'G_Fall-back'!$E$1437; 'G_Fall-back'!$E$1543; 'G_Fall-back'!$E$1575; 'G_Fall-back'!$E$1681; 'G_Fall-back'!$E$1713; 'G_Fall-back'!$E$1819; 'H_SpecialBM'!$E$223; 'H_SpecialBM'!$E$470</t>
  </si>
  <si>
    <t>F_ProductBM'!$E$41; 'F_ProductBM'!$E$73; 'F_ProductBM'!$E$238; 'F_ProductBM'!$E$322; 'F_ProductBM'!$E$354; 'F_ProductBM'!$E$519; 'F_ProductBM'!$E$603; 'F_ProductBM'!$E$635; 'F_ProductBM'!$E$800; 'F_ProductBM'!$E$884; 'F_ProductBM'!$E$916; 'F_ProductBM'!$E$1081; 'F_ProductBM'!$E$1165; 'F_ProductBM'!$E$1197; 'F_ProductBM'!$E$1362; 'F_ProductBM'!$E$1446; 'F_ProductBM'!$E$1478; 'F_ProductBM'!$E$1643; 'F_ProductBM'!$E$1727; 'F_ProductBM'!$E$1759; 'F_ProductBM'!$E$1924; 'F_ProductBM'!$E$2008; 'F_ProductBM'!$E$2040; 'F_ProductBM'!$E$2205; 'F_ProductBM'!$E$2289; 'F_ProductBM'!$E$2321; 'F_ProductBM'!$E$2486; 'F_ProductBM'!$E$2570; 'F_ProductBM'!$E$2602; 'F_ProductBM'!$E$2767; 'G_Fall-back'!$E$146; 'G_Fall-back'!$E$369; 'G_Fall-back'!$E$592; 'G_Fall-back'!$E$815; 'G_Fall-back'!$E$1036; 'G_Fall-back'!$E$1207; 'G_Fall-back'!$E$1378; 'G_Fall-back'!$E$1547; 'G_Fall-back'!$E$1685; 'G_Fall-back'!$E$1823; 'H_SpecialBM'!$E$226; 'H_SpecialBM'!$E$473</t>
  </si>
  <si>
    <t>; 'H_SpecialBM'!$E$229; 'H_SpecialBM'!$E$476</t>
  </si>
  <si>
    <t>E_EnergyFlows'!$E$23; 'K_Summary'!$E$72</t>
  </si>
  <si>
    <t>K_Summary'!$E$74</t>
  </si>
  <si>
    <t>E_EnergyFlows'!$E$49; 'E_EnergyFlows'!$E$62; 'K_Summary'!$E$223</t>
  </si>
  <si>
    <t>E_EnergyFlows'!$E$50; 'E_EnergyFlows'!$E$63; 'K_Summary'!$E$224</t>
  </si>
  <si>
    <t>E_EnergyFlows'!$E$113; 'K_Summary'!$E$261</t>
  </si>
  <si>
    <t>E_EnergyFlows'!$E$114; 'K_Summary'!$E$262</t>
  </si>
  <si>
    <t>E_EnergyFlows'!$E$116; 'K_Summary'!$E$264</t>
  </si>
  <si>
    <t>E_EnergyFlows'!$E$119; 'E_EnergyFlows'!$E$122; 'K_Summary'!$E$269</t>
  </si>
  <si>
    <t>K_Summary'!$F$481</t>
  </si>
  <si>
    <t>K_Summary'!$F$491</t>
  </si>
  <si>
    <t>K_Summary'!$F$495</t>
  </si>
  <si>
    <t>; 'B+C_SubInstallations'!$T$125; 'K_Summary'!$E$514; 'K_Summary'!$E$642; 'K_Summary'!$E$770; 'K_Summary'!$E$898; 'K_Summary'!$E$1026; 'K_Summary'!$E$1154; 'K_Summary'!$E$1282; 'K_Summary'!$E$1410; 'K_Summary'!$E$1538; 'K_Summary'!$E$1666</t>
  </si>
  <si>
    <t>; 'B+C_SubInstallations'!$U$125; 'G_Fall-back'!$C$104; 'G_Fall-back'!$C$327; 'G_Fall-back'!$C$550; 'G_Fall-back'!$C$773; 'G_Fall-back'!$C$994; 'G_Fall-back'!$C$1165; 'G_Fall-back'!$C$1336; 'K_Summary'!$E$515; 'K_Summary'!$E$643; 'K_Summary'!$E$771; 'K_Summary'!$E$899; 'K_Summary'!$E$1027; 'K_Summary'!$E$1155; 'K_Summary'!$E$1283; 'K_Summary'!$E$1411; 'K_Summary'!$E$1539; 'K_Summary'!$E$1667</t>
  </si>
  <si>
    <t>; 'K_Summary'!$E$516; 'K_Summary'!$E$644; 'K_Summary'!$E$772; 'K_Summary'!$E$900; 'K_Summary'!$E$1028; 'K_Summary'!$E$1156; 'K_Summary'!$E$1284; 'K_Summary'!$E$1412; 'K_Summary'!$E$1540; 'K_Summary'!$E$1668</t>
  </si>
  <si>
    <t>K_Summary'!$E$616; 'K_Summary'!$E$744; 'K_Summary'!$E$872; 'K_Summary'!$E$1000; 'K_Summary'!$E$1128; 'K_Summary'!$E$1256; 'K_Summary'!$E$1384; 'K_Summary'!$E$1512; 'K_Summary'!$E$1640; 'K_Summary'!$E$1768</t>
  </si>
  <si>
    <t>; 'K_Summary'!$E$617; 'K_Summary'!$E$745; 'K_Summary'!$E$873; 'K_Summary'!$E$1001; 'K_Summary'!$E$1129; 'K_Summary'!$E$1257; 'K_Summary'!$E$1385; 'K_Summary'!$E$1513; 'K_Summary'!$E$1641; 'K_Summary'!$E$1769</t>
  </si>
  <si>
    <t>K_Summary'!$E$619; 'K_Summary'!$E$747; 'K_Summary'!$E$875; 'K_Summary'!$E$1003; 'K_Summary'!$E$1131; 'K_Summary'!$E$1259; 'K_Summary'!$E$1387; 'K_Summary'!$E$1515; 'K_Summary'!$E$1643; 'K_Summary'!$E$1771</t>
  </si>
  <si>
    <t>K_Summary'!$E$620; 'K_Summary'!$E$748; 'K_Summary'!$E$876; 'K_Summary'!$E$1004; 'K_Summary'!$E$1132; 'K_Summary'!$E$1260; 'K_Summary'!$E$1388; 'K_Summary'!$E$1516; 'K_Summary'!$E$1644; 'K_Summary'!$E$1772</t>
  </si>
  <si>
    <t>K_Summary'!$E$622; 'K_Summary'!$E$750; 'K_Summary'!$E$878; 'K_Summary'!$E$1006; 'K_Summary'!$E$1134; 'K_Summary'!$E$1262; 'K_Summary'!$E$1390; 'K_Summary'!$E$1518; 'K_Summary'!$E$1646; 'K_Summary'!$E$1774</t>
  </si>
  <si>
    <t>K_Summary'!$E$624; 'K_Summary'!$E$752; 'K_Summary'!$E$880; 'K_Summary'!$E$1008; 'K_Summary'!$E$1136; 'K_Summary'!$E$1264; 'K_Summary'!$E$1392; 'K_Summary'!$E$1520; 'K_Summary'!$E$1648; 'K_Summary'!$E$1776</t>
  </si>
  <si>
    <t>G_Fall-back'!$E$199; 'G_Fall-back'!$E$422; 'G_Fall-back'!$E$645; 'G_Fall-back'!$E$868; 'K_Summary'!$E$1826; 'K_Summary'!$E$1899; 'K_Summary'!$E$1972; 'K_Summary'!$E$2045</t>
  </si>
  <si>
    <t>E_EnergyFlows'!$E$22; 'G_Fall-back'!$E$190; 'G_Fall-back'!$E$413; 'G_Fall-back'!$E$636; 'G_Fall-back'!$E$859; 'K_Summary'!$E$71; 'K_Summary'!$E$1836; 'K_Summary'!$E$1909; 'K_Summary'!$E$1982; 'K_Summary'!$E$2055</t>
  </si>
  <si>
    <t>G_Fall-back'!$E$192; 'G_Fall-back'!$E$415; 'G_Fall-back'!$E$638; 'G_Fall-back'!$E$861; 'K_Summary'!$E$1838; 'K_Summary'!$E$1911; 'K_Summary'!$E$1984; 'K_Summary'!$E$2057</t>
  </si>
  <si>
    <t>E_EnergyFlows'!$E$21; 'G_Fall-back'!$E$188; 'G_Fall-back'!$E$411; 'G_Fall-back'!$E$634; 'G_Fall-back'!$E$857; 'G_Fall-back'!$E$1067; 'G_Fall-back'!$E$1238; 'G_Fall-back'!$E$1409; 'K_Summary'!$E$70; 'K_Summary'!$E$1834; 'K_Summary'!$E$1907; 'K_Summary'!$E$1980; 'K_Summary'!$E$2053; 'K_Summary'!$E$2124; 'K_Summary'!$E$2184; 'K_Summary'!$E$2244</t>
  </si>
  <si>
    <t>; 'G_Fall-back'!$E$189; 'G_Fall-back'!$E$191; 'G_Fall-back'!$E$412; 'G_Fall-back'!$E$414; 'G_Fall-back'!$E$635; 'G_Fall-back'!$E$637; 'G_Fall-back'!$E$858; 'G_Fall-back'!$E$860; 'G_Fall-back'!$E$1068; 'G_Fall-back'!$E$1239; 'G_Fall-back'!$E$1410; 'K_Summary'!$E$1835; 'K_Summary'!$E$1908; 'K_Summary'!$E$1981; 'K_Summary'!$E$2054; 'K_Summary'!$E$2125; 'K_Summary'!$E$2185; 'K_Summary'!$E$2245</t>
  </si>
  <si>
    <t>K_Summary'!$E$1802; 'K_Summary'!$E$1875; 'K_Summary'!$E$1948; 'K_Summary'!$E$2021; 'K_Summary'!$E$2094; 'K_Summary'!$E$2154; 'K_Summary'!$E$2214; 'K_Summary'!$E$2274; 'K_Summary'!$E$2322; 'K_Summary'!$E$2370</t>
  </si>
  <si>
    <t>K_Summary'!$E$1804; 'K_Summary'!$E$1877; 'K_Summary'!$E$1950; 'K_Summary'!$E$2023; 'K_Summary'!$E$2096; 'K_Summary'!$E$2156; 'K_Summary'!$E$2216; 'K_Summary'!$E$2276; 'K_Summary'!$E$2324; 'K_Summary'!$E$2372</t>
  </si>
  <si>
    <t>; 'K_Summary'!$E$1805; 'K_Summary'!$E$1878; 'K_Summary'!$E$1951; 'K_Summary'!$E$2024; 'K_Summary'!$E$2097; 'K_Summary'!$E$2157; 'K_Summary'!$E$2217; 'K_Summary'!$E$2277; 'K_Summary'!$E$2325; 'K_Summary'!$E$2373</t>
  </si>
  <si>
    <t>K_Summary'!$E$553; 'K_Summary'!$E$681; 'K_Summary'!$E$809; 'K_Summary'!$E$937; 'K_Summary'!$E$1065; 'K_Summary'!$E$1193; 'K_Summary'!$E$1321; 'K_Summary'!$E$1449; 'K_Summary'!$E$1577; 'K_Summary'!$E$1705; 'K_Summary'!$E$1810; 'K_Summary'!$E$1883; 'K_Summary'!$E$1956; 'K_Summary'!$E$2029; 'K_Summary'!$E$2102; 'K_Summary'!$E$2162; 'K_Summary'!$E$2222; 'K_Summary'!$E$2282; 'K_Summary'!$E$2330; 'K_Summary'!$E$2378</t>
  </si>
  <si>
    <t>K_Summary'!$D$491; 'K_Summary'!$E$1796; 'K_Summary'!$E$1803; 'K_Summary'!$E$1811; 'K_Summary'!$E$1869; 'K_Summary'!$E$1876; 'K_Summary'!$E$1884; 'K_Summary'!$E$1942; 'K_Summary'!$E$1949; 'K_Summary'!$E$1957; 'K_Summary'!$E$2015; 'K_Summary'!$E$2022; 'K_Summary'!$E$2030; 'K_Summary'!$E$2088; 'K_Summary'!$E$2095; 'K_Summary'!$E$2103; 'K_Summary'!$E$2148; 'K_Summary'!$E$2155; 'K_Summary'!$E$2163; 'K_Summary'!$E$2208; 'K_Summary'!$E$2215; 'K_Summary'!$E$2223; 'K_Summary'!$E$2268; 'K_Summary'!$E$2275; 'K_Summary'!$E$2283; 'K_Summary'!$E$2316; 'K_Summary'!$E$2323; 'K_Summary'!$E$2331; 'K_Summary'!$E$2364; 'K_Summary'!$E$2371; 'K_Summary'!$E$2379</t>
  </si>
  <si>
    <t>K_Summary'!$E$560; 'K_Summary'!$E$688; 'K_Summary'!$E$816; 'K_Summary'!$E$944; 'K_Summary'!$E$1072; 'K_Summary'!$E$1200; 'K_Summary'!$E$1328; 'K_Summary'!$E$1456; 'K_Summary'!$E$1584; 'K_Summary'!$E$1712; 'K_Summary'!$E$1813; 'K_Summary'!$E$1886; 'K_Summary'!$E$1959; 'K_Summary'!$E$2032; 'K_Summary'!$E$2105; 'K_Summary'!$E$2165; 'K_Summary'!$E$2225; 'K_Summary'!$E$2285; 'K_Summary'!$E$2333; 'K_Summary'!$E$2381</t>
  </si>
  <si>
    <t>K_Summary'!$D$495; 'K_Summary'!$E$561; 'K_Summary'!$E$689; 'K_Summary'!$E$817; 'K_Summary'!$E$945; 'K_Summary'!$E$1073; 'K_Summary'!$E$1201; 'K_Summary'!$E$1329; 'K_Summary'!$E$1457; 'K_Summary'!$E$1585; 'K_Summary'!$E$1713; 'K_Summary'!$E$1814; 'K_Summary'!$E$1887; 'K_Summary'!$E$1960; 'K_Summary'!$E$2033; 'K_Summary'!$E$2106; 'K_Summary'!$E$2166; 'K_Summary'!$E$2226; 'K_Summary'!$E$2286; 'K_Summary'!$E$2334; 'K_Summary'!$E$2382</t>
  </si>
  <si>
    <t>; 'G_Fall-back'!$AB$66; 'G_Fall-back'!$AB$85; 'G_Fall-back'!$AB$103; 'G_Fall-back'!$AB$119; 'G_Fall-back'!$AB$289; 'G_Fall-back'!$AB$308; 'G_Fall-back'!$AB$326; 'G_Fall-back'!$AB$342; 'G_Fall-back'!$AB$512; 'G_Fall-back'!$AB$531; 'G_Fall-back'!$AB$549; 'G_Fall-back'!$AB$565; 'G_Fall-back'!$AB$735; 'G_Fall-back'!$AB$754; 'G_Fall-back'!$AB$772; 'G_Fall-back'!$AB$788; 'G_Fall-back'!$AB$956; 'G_Fall-back'!$AB$975; 'G_Fall-back'!$AB$993; 'G_Fall-back'!$AB$1009; 'G_Fall-back'!$AB$1127; 'G_Fall-back'!$AB$1146; 'G_Fall-back'!$AB$1164; 'G_Fall-back'!$AB$1180; 'G_Fall-back'!$AB$1298; 'G_Fall-back'!$AB$1317; 'G_Fall-back'!$AB$1335; 'G_Fall-back'!$AB$1351; 'G_Fall-back'!$AB$1467; 'G_Fall-back'!$AB$1486; 'G_Fall-back'!$AB$1504; 'G_Fall-back'!$AB$1520; 'G_Fall-back'!$AB$1605; 'G_Fall-back'!$AB$1624; 'G_Fall-back'!$AB$1642; 'G_Fall-back'!$AB$1658; 'G_Fall-back'!$AB$1743; 'G_Fall-back'!$AB$1762; 'G_Fall-back'!$AB$1780; 'G_Fall-back'!$AB$1796; 'K_Summary'!$S$565; 'K_Summary'!$S$693; 'K_Summary'!$S$821; 'K_Summary'!$S$949; 'K_Summary'!$S$1077; 'K_Summary'!$S$1205; 'K_Summary'!$S$1333; 'K_Summary'!$S$1461; 'K_Summary'!$S$1589; 'K_Summary'!$S$1717; 'K_Summary'!$S$1818; 'K_Summary'!$S$1891; 'K_Summary'!$S$1964; 'K_Summary'!$S$2037; 'K_Summary'!$S$2110; 'K_Summary'!$S$2170; 'K_Summary'!$S$2230; 'K_Summary'!$S$2290; 'K_Summary'!$S$2338; 'K_Summary'!$S$2386</t>
  </si>
  <si>
    <t>K_Summary'!$E$2415</t>
  </si>
  <si>
    <t>K_Summary'!$E$2416</t>
  </si>
  <si>
    <t>K_Summary'!$E$2445</t>
  </si>
  <si>
    <t>K_Summary'!$E$2447</t>
  </si>
  <si>
    <t>K_Summary'!$E$2449</t>
  </si>
  <si>
    <t>K_Summary'!$E$2451</t>
  </si>
  <si>
    <t>K_Summary'!$E$2453</t>
  </si>
  <si>
    <t>K_Summary'!$D$2493</t>
  </si>
  <si>
    <t>EUwideConstants'!$C$46</t>
  </si>
  <si>
    <t>EUwideConstants'!$G$117</t>
  </si>
  <si>
    <t>EUwideConstants'!$B$122</t>
  </si>
  <si>
    <t>EUwideConstants'!$H$231</t>
  </si>
  <si>
    <t>EUwideConstants'!$H$234</t>
  </si>
  <si>
    <t>EUwideConstants'!$H$236</t>
  </si>
  <si>
    <t>EUwideConstants'!$H$244</t>
  </si>
  <si>
    <t>EUwideConstants'!$H$247</t>
  </si>
  <si>
    <t>EUwideConstants'!$H$253</t>
  </si>
  <si>
    <t>EUwideConstants'!$H$256</t>
  </si>
  <si>
    <t>EUwideConstants'!$F$267</t>
  </si>
  <si>
    <t>EUwideConstants'!$F$268</t>
  </si>
  <si>
    <t>H_SpecialBM'!$D$274; 'EUwideConstants'!$F$311</t>
  </si>
  <si>
    <t>H_SpecialBM'!$I$5; 'H_SpecialBM'!$D$325; 'EUwideConstants'!$F$312</t>
  </si>
  <si>
    <t>B+C_SubInstallations'!$M$26; 'B+C_SubInstallations'!$M$56; 'EUwideConstants'!$I$260; 'EUwideConstants'!$I$317</t>
  </si>
  <si>
    <t>EUwideConstants'!$F$318</t>
  </si>
  <si>
    <t>EUwideConstants'!$F$319</t>
  </si>
  <si>
    <t>EUwideConstants'!$F$320</t>
  </si>
  <si>
    <t>EUwideConstants'!$F$321</t>
  </si>
  <si>
    <t>EUwideConstants'!$F$322</t>
  </si>
  <si>
    <t>EUwideConstants'!$F$323</t>
  </si>
  <si>
    <t>EUwideConstants'!$F$324</t>
  </si>
  <si>
    <t>EUwideConstants'!$F$325</t>
  </si>
  <si>
    <t>EUwideConstants'!$F$326</t>
  </si>
  <si>
    <t>EUwideConstants'!$F$327</t>
  </si>
  <si>
    <t>; 'MSParameters'!$B$1</t>
  </si>
  <si>
    <t>; 'MSParameters'!$C$1</t>
  </si>
  <si>
    <t>https://climate.ec.europa.eu/eu-action/carbon-markets/eu-emissions-trading-system-eu-ets/free-allocation/about-free-allocation_en</t>
  </si>
  <si>
    <t>Version for 2026-2030</t>
  </si>
  <si>
    <t>Selecting "TRUE" means that for the baseline period (the NIMs) the conditionality applied, i.e. either no CNP was submitted or not in compliance with the CNP act, i.e. the 20% allocation reduction applied. "FALSE" means that the emission levels were higher than the 80th percentile, but the allocation was not reduced because a compliant CNP has been submitted.</t>
  </si>
  <si>
    <t>Selecting "TRUE" for the baseline period means the conditionality was applicable, i.e. product benchmark sub-installations did meet the criteria. If "FALSE" is the case, all other entries will automatically become irrelevant and the conditionality does not apply in any year.</t>
  </si>
  <si>
    <t>Non-eligible process emissions by product to determine expected activity levels</t>
  </si>
  <si>
    <t>Electricity consumed</t>
  </si>
  <si>
    <t>Period chosen:</t>
  </si>
  <si>
    <t>Cess pro rata:</t>
  </si>
  <si>
    <t>ERT_ID_AnnexI</t>
  </si>
  <si>
    <t>ERT_ID_TypeOfEntity</t>
  </si>
  <si>
    <t>ERT_ID_TypeOfConnection</t>
  </si>
  <si>
    <t>ERT_ID_Flow</t>
  </si>
  <si>
    <t>ERT_ID_Eligibility</t>
  </si>
  <si>
    <t>https://eur-lex.europa.eu/legal-content/EN/TXT/?uri=CELEX%3A02019R1842-20260101</t>
  </si>
  <si>
    <t>Installation ID (in the format "BE000000000123456") is mandatory if the connected installation is covered by the EU ETS, and if it has already been covered by the EU ETS before 30 June 2019 for the first allocation period, and before 30 June 2024 for the second allocation period.</t>
  </si>
  <si>
    <t>Bug-fix AttrEm for fuel BM</t>
  </si>
  <si>
    <t>Bug-fix:…..</t>
  </si>
  <si>
    <t>This is the Allocation Level Change Template for Phase 4.2 (2026-2030) of the EU ETS. Final version of 15 January 2026 (with updates of 26 January 2026).</t>
  </si>
  <si>
    <t>Съгласно Директива 2003/87/ЕО, последно изменена с Директива 2018/410/ЕС (наричана по-нататък „Директива за СТЕ на ЕС“), държавите членки са длъжни да разпределят безплатно квоти за инсталации въз основа на напълно хармонизирани правила, валидни за цялата Общност (член 10a, параграф 1). Директивата може да бъде изтеглен чрез следния линк:https://eur-lex.europa.eu/eli/dir/2003/87/2018-04-08</t>
  </si>
  <si>
    <t>Тези правила за безплатно разпределение (наричани по-нататък „ПБР“) се съдържат в Делегиран регламент (ЕС) 2019/331 на Комисията от 19 декември 2018 г. за определяне на валидни за целия Съюз преходни правила за хармонизирано безплатно разпределяне на квоти за емисии в съответствие с член 10а от Директива 2003/87/ЕО на Европейския парламент и на Съвета. Те могат да бъде изтеглени чрез следния линк: https://eur-lex.europa.eu/eli/reg_del/2019/331/oj?locale=bg</t>
  </si>
  <si>
    <t xml:space="preserve">Изразените в настоящия файл гледища представляват гледища на неговите автори и не отразяват задължително гледищата на Европейската комисия. </t>
  </si>
  <si>
    <t>УКАЗАНИЯ И УСЛОВИЯ</t>
  </si>
  <si>
    <t>Обща информация за настоящия образец</t>
  </si>
  <si>
    <t>Как да се използва настоящият файл:</t>
  </si>
  <si>
    <t>Трябва да бъде включена функцията „Автоматично изчисление“ (намира се в менюто Формула/Варианти за изчисление).</t>
  </si>
  <si>
    <t>Когато трябва да се посочи нулева стойност, тя трябва да се въведе и клетката да не се оставя празна. Ако дадена клетка не се попълни, компетентният орган (КО) няма да знае дали стойността не е посочена, неприложима е или е неизвестна. Винаги въвеждайте необходимите за изчисленията данни (особено ако са нулеви, тъй като някои формули не извеждат резултати, ако някои от задължителните клетки не са попълнени).</t>
  </si>
  <si>
    <t>В редица полета можете да избирате между предварително формулирани входни данни. За да избирате от такъв „падащ списък“, или щракнете с мишката върху малката стрелка, която се появява при дясната граница на клетката, или, когато сте избрали клетката, натиснете „Alt-стрелка надолу“. Някои полета Ви дават възможност да въвеждате Ваш собствен текст, дори и ако имат такъв падащ списък. В този случай падащите списъци съдържат в себе си празни позиции.</t>
  </si>
  <si>
    <t>При непълни въведени данни понякога се появяват съобщения за грешка. Липсата на такова съобщение, обаче, не представлява гаранция за правилност на изчисленията, тъй като не винаги е възможно да се провери пълнотата на въведените данни. Ако в зеленото поле не се появи резултат, може да се предположи, че някои данни все още липсват.</t>
  </si>
  <si>
    <t>Обръщайте специално внимание на съответствието на данните с означените единици-мерки.</t>
  </si>
  <si>
    <t>Съобщенията за грешки са често много кратки — поради ограниченото място. Най-важните от тях са:</t>
  </si>
  <si>
    <t>Означава, че данните не са достатъчни за изчисленията (напр. в една година липсва емисионен фактор)</t>
  </si>
  <si>
    <t>Избраните единици мерки са несъответстващи и изчисленията на база съответните входни данни ще дадат неверни резултати.</t>
  </si>
  <si>
    <t>При съответното изчисление не се допуска използването на отрицателни стойности.</t>
  </si>
  <si>
    <t>Това са препратки към раздели от документа. Съобщението означава, че в посочените раздели липсват данни.</t>
  </si>
  <si>
    <t>Цветови кодове и шрифтове:</t>
  </si>
  <si>
    <t>Черен удебелен текст:</t>
  </si>
  <si>
    <t>Това е текст, описващ необходимото въвеждане на входни данни.</t>
  </si>
  <si>
    <t>Дребен текст в курсив:</t>
  </si>
  <si>
    <t xml:space="preserve">С такъв вид текст са дадени допълнителни пояснения. </t>
  </si>
  <si>
    <t>Жълтите полета означават, че въвеждането на съответните данни е задължително. Но в случай че съответният въпрос няма отношение към инсталацията, не се изисква въвеждане на входни данни.</t>
  </si>
  <si>
    <t>Светложълтите полета означават, че въвеждането на входни данни е незадължително.</t>
  </si>
  <si>
    <t>Зеленият цвят на полетата показва, че в тях има автоматично изчислени резултати. Червеният текст е използван за съобщения за грешка (липсващи данни и др.).</t>
  </si>
  <si>
    <t>Затъмняването на полета показва, че в тях не следва да се въвеждат данни — поради наличието на въведени данни в друго поле.</t>
  </si>
  <si>
    <t>Засивените зони следва да бъдат попълнени от държавите-членки, преди да публикуват специфична за тях версия на формуляра.</t>
  </si>
  <si>
    <t>Светло сивите зони са предназначени за придвижване и хипервръзки.</t>
  </si>
  <si>
    <t>В зоните с команди за придвижване, намиращи се най-отгоре на всеки работен лист има хиперлинкове, даващи възможност за бързо прескачане в конкретни раздели за въвеждане на данни. Първият ред в тях („Съдържание“, „Предишен работен лист“, „следващ работен лист“, „Обобщение“), както и точките „Начало на работния лист“ и „Край на работния лист“ са едни и същи във всички работни листове. В зависимост от конкретния работен лист, добавени са и допълнителни функции. Ако цветът на фона на някоя от зоните за хиперлинк почервенее, това показва че липсват данни в съответния раздел.</t>
  </si>
  <si>
    <t>Настоящият образец е заключен за въвеждане на данни на други места освен в жълтите полета. Но в интерес на прозрачността не е зададена парола. Това дава възможност да се видят всички формули. Препоръчително е при въвеждането на данни в настоящия файл защитата да остава включена. Снемане на защитата от работните листове би могло да се прави само при проверка на валидността на формулите. Препоръчително е това да се прави с отделен файл.</t>
  </si>
  <si>
    <t>За да се предпазят формулите от непредвидени изменения, които обикновено водят до погрешни и подвеждащи резултати,
Изключително важно е да НЕ използвате функцията CUT &amp; PASTE.  
Ако искате да преместите данни, първо ги копирайте и поставете, а след това изтрийте нежеланите данни на старото (погрешно) място.</t>
  </si>
  <si>
    <t>Полета за данни не са оптимизирани за числени и други формати. Но от друга страна, защитата на работните листове е ограничена, така че да имате възможност да използвате свои собствени формати. По-специално, може да изберете броя на показваните знаци след десетичната точка. По принцип броят на тези знаци е независим от точността на изчислението. По принцип следва да бъде деактивирана опцията на Майкрософт Ексел „Точност съгласно показваното“. За по-подробна информация вижте съответната точка от функцията „Помощ“ („Help“) на Майкрософт Ексел.</t>
  </si>
  <si>
    <t>Специфична информация за съответната държава членка</t>
  </si>
  <si>
    <t>Настоящият доклад трябва да бъде представен на съответния компетентен орган на следния адрес:</t>
  </si>
  <si>
    <t>1000, гр. София, бул. „Княгиня Мария Луиза“ 22</t>
  </si>
  <si>
    <t>Източници на информация:</t>
  </si>
  <si>
    <t>Уебсайтове на ЕС:</t>
  </si>
  <si>
    <t>Законодателство на ЕС:</t>
  </si>
  <si>
    <t>Европейска схема за търговия с емисии – обща информация:</t>
  </si>
  <si>
    <t>Други уебсайтове:</t>
  </si>
  <si>
    <t>&lt;трябва да бъдат предоставени от държавата членка&gt;</t>
  </si>
  <si>
    <t>Център за поддръжка:</t>
  </si>
  <si>
    <t>&lt;трябва да бъдат предоставени от държавата членка, ако е приложимо&gt;</t>
  </si>
  <si>
    <t>Допълнителни указания, дадени от държавата-членка:</t>
  </si>
  <si>
    <t xml:space="preserve">&lt;&lt;&lt; Щракнете тук за да продължите към следващия лист &gt;&gt;&gt; </t>
  </si>
  <si>
    <t>А.</t>
  </si>
  <si>
    <t>Идентификатор на инсталацията</t>
  </si>
  <si>
    <t>Лица за връзка</t>
  </si>
  <si>
    <t>Проверяващ орган</t>
  </si>
  <si>
    <t>Допълнителна информация</t>
  </si>
  <si>
    <t>Условия за допустимост</t>
  </si>
  <si>
    <t>Подинсталации</t>
  </si>
  <si>
    <t>Технически връзки</t>
  </si>
  <si>
    <t>Лист „InstallationData“ („Данни за инсталацията“) — ОБЩА ИНФОРМАЦИЯ ЗА ТОЗИ ДОКЛАД</t>
  </si>
  <si>
    <t>Идентификация на инсталацията</t>
  </si>
  <si>
    <t>Обща информация:</t>
  </si>
  <si>
    <t>Наименование на инсталацията:</t>
  </si>
  <si>
    <t>Това име трябва да съответства на вече използваното име за кореспонденция с компетентния орган.</t>
  </si>
  <si>
    <t>Държава членка, в която се намира инсталацията:</t>
  </si>
  <si>
    <t>Тук „държава членка“ означава: Държава, която участва в СТЕ на ЕС, т.е. държава — членка на ЕС, както и Исландия, Лихтенщайн и Норвегия.</t>
  </si>
  <si>
    <t>Уникален идентификатор, предоставен от компетентния орган:</t>
  </si>
  <si>
    <t>Това е идентификационният номер, който компетентният орган използва за кореспонденция с инсталацията, напр. с цел безплатно разпределение на квоти през по-ранни периоди.</t>
  </si>
  <si>
    <t>При инсталации, които досега не са включвани в СТЕ на ЕС, от операторите се изисква да се обърнат към компетентния орган, за да получат такъв идентификационен номер.</t>
  </si>
  <si>
    <t xml:space="preserve">Компетентните органи трябва да осигурят уникален идентификационен номер, преди да изпратят каквито и да било данни към Европейската комисия. </t>
  </si>
  <si>
    <t>Идентификационен код на инсталацията от регистъра:</t>
  </si>
  <si>
    <t>Уникален идентификационен номер за уведомяване на Комисията:</t>
  </si>
  <si>
    <t>Информация за разрешителното за емисии на парникови газове:</t>
  </si>
  <si>
    <t>Тук посочете информация за разрешителното за емисии на парникови газове (= разрешителното, използвано съгласно член 5 и член 6 от Директивата за СТЕ на ЕС).</t>
  </si>
  <si>
    <t>Държавите членки могат да не изискват тази информация задължително, ако компетентният орган вече разполага с нея.</t>
  </si>
  <si>
    <t>Наименование на компетентния орган:</t>
  </si>
  <si>
    <t>Първо разрешително за емисии на парникови газове, получено при първото включване на инсталацията в СТЕ:</t>
  </si>
  <si>
    <t>Идентификационен номер на разрешителното:</t>
  </si>
  <si>
    <t>Дата на издаване:</t>
  </si>
  <si>
    <t>Последна актуализация на разрешителното, ако е приложимо:</t>
  </si>
  <si>
    <t>Дата на въвеждане на инсталацията в експлоатация:</t>
  </si>
  <si>
    <t>Тази инсталация е работеща:</t>
  </si>
  <si>
    <t>Една инсталация е работеща, ако е получила първо разрешително за емисии на парникови газове на или преди:</t>
  </si>
  <si>
    <t>30 юни 2019 г. за периода 2021—2025 г. или</t>
  </si>
  <si>
    <t>30 юни 2024 г. за периода 2026—2030 г.</t>
  </si>
  <si>
    <t>Всички инсталации, които не са работещи съгласно критериите по-горе, се смятат от компетентния орган за „нови участници“.</t>
  </si>
  <si>
    <t>Данни за оператора:</t>
  </si>
  <si>
    <t>Операторът е [физическо или юридическо] лице, което експлоатира или контролира инсталация или, когато това е предвидено в националното законодателство, на което са делегирани решаващите икономически правомощия във връзка с техническото функциониране на инсталацията.</t>
  </si>
  <si>
    <t>Наименование на оператора:</t>
  </si>
  <si>
    <t>Улица, номер:</t>
  </si>
  <si>
    <t>Пощенски код:</t>
  </si>
  <si>
    <t>Град:</t>
  </si>
  <si>
    <t>Държава:</t>
  </si>
  <si>
    <t>Наименование на упълномощен представител:</t>
  </si>
  <si>
    <t>Електронна поща:</t>
  </si>
  <si>
    <t>Телефон:</t>
  </si>
  <si>
    <t>Факс:</t>
  </si>
  <si>
    <t>Адрес на инсталацията:</t>
  </si>
  <si>
    <t>Лица за връзка:</t>
  </si>
  <si>
    <t>Тук посочете лица, с които компетентният орган може да се свърже при въпроси относно този доклад, включително във връзка с неговата проверка.</t>
  </si>
  <si>
    <t>Упълномощен представител на оператора, който отговаря за инсталацията:</t>
  </si>
  <si>
    <t>Име:</t>
  </si>
  <si>
    <t>Основно лице за връзка по технически въпроси, свързани с данните за инсталацията, ако е различно от а):</t>
  </si>
  <si>
    <t>Наименование на дружеството:</t>
  </si>
  <si>
    <t>Упълномощен представител на проверяващия орган:</t>
  </si>
  <si>
    <t>Посоченото лице трябва да е запознато с настоящия доклад. За предпочитане е това да бъде главният проверител по този доклад.</t>
  </si>
  <si>
    <t>Адрес по електронната поща:</t>
  </si>
  <si>
    <t>Телефонен номер:</t>
  </si>
  <si>
    <t>Информация за акредитацията на проверяващия орган:</t>
  </si>
  <si>
    <t>Акредитираща държава членка:</t>
  </si>
  <si>
    <t>Наименование на националния орган по акредитация:</t>
  </si>
  <si>
    <t>Регистрационен номер, издаден от органа по акредитация:</t>
  </si>
  <si>
    <t>Допълнителни данни за инсталацията:</t>
  </si>
  <si>
    <t>Дейности в съответствие с приложение I към Директивата за СТЕ на ЕС:</t>
  </si>
  <si>
    <t>Тази информация е важна за компетентните органи заради евентуални промени спрямо предходни етапи на СТЕ.</t>
  </si>
  <si>
    <t>Доколкото е възможно, моля, подредете списъка по отношение на преките емисии, като започнете с дейността, която предизвиква най-много преки емисии.</t>
  </si>
  <si>
    <t>Номер</t>
  </si>
  <si>
    <t>Наименование на дейността (приложение I към Директивата за СТЕ)</t>
  </si>
  <si>
    <t>Под кой код от Статистическата класификация на икономическите дейности в ЕС дружеството Ви е докладвало добавена стойност за целите на структурна икономическа статистика?</t>
  </si>
  <si>
    <t>Ако не знаете каква стойност да въведете тук, моля, свържете се с националната статистическа служба във Вашата държава.</t>
  </si>
  <si>
    <t xml:space="preserve">Можете да намерите NACE rev 2.0 на адрес: </t>
  </si>
  <si>
    <t>Кодовете по NACE се въвеждат като 4-цифрени низове във вида „nnnn“, т.е. без точки или други разделителни знаци между тях.</t>
  </si>
  <si>
    <t>Ако не въведете точно 4 цифри, ще се покаже съобщение за грешка.</t>
  </si>
  <si>
    <t>Код по NACE, посочен въз основа на класификацията на NACE, rev 2:</t>
  </si>
  <si>
    <t>Моля, посочете идентификационния код на инсталацията от ЕРИПЗ, ако е приложимо:</t>
  </si>
  <si>
    <t>ЕРИПЗ е Европейският регистър за изпускането и преноса на замърсители.</t>
  </si>
  <si>
    <t>Тази информация е полезна за компетентните власти във връзка с проверките на съответствието и взаимната съгласуваност на източниците на екологична информация.</t>
  </si>
  <si>
    <t>Максимум</t>
  </si>
  <si>
    <t>Съгласие за използване на съдържащите се в настоящия файл данни:</t>
  </si>
  <si>
    <t>Съдържащите се в настоящия файл данни ще бъдат използвани от компетентния орган за определяне на безплатните квоти по член 10а от Директивата за СТЕ на ЕС, както и от Европейската комисия с цел актуализиране на стойностите на параметрите. Освен това при поискване тези данни ще бъдат съобщени, изцяло или частично, на Европейската комисия във връзка с проверяването на националните изпълнителни мерки по член 11, параграф 1 от Директивата за СТЕ на ЕС.</t>
  </si>
  <si>
    <t>Списък на подинсталациите</t>
  </si>
  <si>
    <t>Подинсталации с продуктов показател</t>
  </si>
  <si>
    <t>Тук изберете присъстващите във Вашата инсталация подинсталации с продуктов показател, ако има такива:</t>
  </si>
  <si>
    <t>За всеки вид продукт може да бъде избрана само една подинсталация. Подобните продукти, които попадат в обхвата на един и същ продуктов показател от приложение I към ПБР, се обединяват.</t>
  </si>
  <si>
    <t>Моля имайте предвид, че правилното въвеждане на данни тук е от съществено значение за всички по-нататъшни входни данни за подинсталациите.</t>
  </si>
  <si>
    <t>№</t>
  </si>
  <si>
    <t>Влизане в експлоатация</t>
  </si>
  <si>
    <t>Има ли риск от ИВЕ?</t>
  </si>
  <si>
    <t>Подинсталации с алтернативни подходи („fall-back approaches“)</t>
  </si>
  <si>
    <t>Моля, посочете тук присъстващите във Вашата инсталация алтернативни подинсталации („fall-back sub-installations“), ако има такива:</t>
  </si>
  <si>
    <t>Моля, изберете за всеки вид подинсталация, дали присъства във Вашата инсталация или не. Не оставяйте непопълнени жълти клетки.</t>
  </si>
  <si>
    <t>Вид продукт</t>
  </si>
  <si>
    <t>Вид подинсталация</t>
  </si>
  <si>
    <t>Списък на техническите връзки</t>
  </si>
  <si>
    <t>Моля, въведете тук информацията, необходима за определяне на техническите връзки на Вашата инсталация:</t>
  </si>
  <si>
    <t>Тази информация е необходима на компетентния орган за осигуряване на съответствието на подадените данни, както и за недопускане на двойно отчитане на данни във връзка с предоставянето на емисии.</t>
  </si>
  <si>
    <t>Необходими са само случаите на прехвърляне на измерима топлинна енергия, отпадни газове или „прехвърлен CO2“, както е определено в Регламента относно мониторинга и докладването.</t>
  </si>
  <si>
    <t>„Входящ поток“ („Import“) означава, че нещо влиза в границите на разглежданата инсталация, „изходящ поток“ („export“) означава, че нещо излиза от тях.</t>
  </si>
  <si>
    <t>Материалните и/или енергийни потоци между подинсталациите не са от значение, с изключение на оползотворяването на топлина от производството на азотна киселина.</t>
  </si>
  <si>
    <t>В графа „Вид обект“ могат да се изберат следните опции:</t>
  </si>
  <si>
    <t>Инсталация в обхвата на Схемата за търговия с емисии (ETS)</t>
  </si>
  <si>
    <t>Инсталация извън обхвата на Схемата за търговия с емисии (ETS)</t>
  </si>
  <si>
    <t>Инсталация, произвеждаща азотна киселина</t>
  </si>
  <si>
    <t>Топлопреносна мрежа</t>
  </si>
  <si>
    <t>Специален случай: Производство на азотна киселина:</t>
  </si>
  <si>
    <t>Ако Вашата инсталация използва топлина от производството на азотна киселина, моля изберете тази опция.</t>
  </si>
  <si>
    <t>Моля да отбележите този факт дори и ако производството на азотна киселина става в рамките на Вашата инсталация, а не само ако Вашата инсталация е свързана с подобна инсталация.</t>
  </si>
  <si>
    <t>Тази информация има значение за топлинния баланс (работен лист „E_EnergyFlows“, раздел II)</t>
  </si>
  <si>
    <t>Опциите за видове връзки са:</t>
  </si>
  <si>
    <t>Измерима топлинна енергия</t>
  </si>
  <si>
    <t>Отпаден газ</t>
  </si>
  <si>
    <t>Прехвърлен CO2</t>
  </si>
  <si>
    <t>Междинни продукти, обхванати от производствени показатели (раздели 1.6 и 3.1, параграф л) от приложение IV към ПБР)</t>
  </si>
  <si>
    <t>Опциите за посока на потоците са (от гледна точка на разглежданата инсталация):</t>
  </si>
  <si>
    <t>Входящ поток (към разглежданата инсталация)</t>
  </si>
  <si>
    <t>Изходящ поток (от разглежданата инсталация)</t>
  </si>
  <si>
    <t>Наименование на инсталацията или партньора</t>
  </si>
  <si>
    <t>Вид партньор</t>
  </si>
  <si>
    <t>Вид връзка</t>
  </si>
  <si>
    <t>Посока на потока</t>
  </si>
  <si>
    <t>Моля въведете тук допълнителна информация относно тези свързани инсталации, ако това е необходимо:</t>
  </si>
  <si>
    <t>Ако свързаната инсталация влиза в СТЕ на ЕС и е била обхваната от нея преди 30 юни 2019 г. за първия период на разпределение на квоти и преди 30 юни 2024 г. — за втория период на разпределение, задължително трябва да се посочи нейният идентификатор.</t>
  </si>
  <si>
    <t>Посочването на данни за връзка относно обекти, които не влизат в Схемата на ЕС за търговия с емисии, е задължително.</t>
  </si>
  <si>
    <t>Идентификатор на инсталацията, използван в регистъра</t>
  </si>
  <si>
    <t>Име на лицето за контакти</t>
  </si>
  <si>
    <t>Електронна поща</t>
  </si>
  <si>
    <t>телефонен номер</t>
  </si>
  <si>
    <t>Наименование</t>
  </si>
  <si>
    <t>Емисии и входяща енергия</t>
  </si>
  <si>
    <t>Разпределение на емисиите</t>
  </si>
  <si>
    <t>Комбинирано производство (1)</t>
  </si>
  <si>
    <t>Комбинирано производство (2)</t>
  </si>
  <si>
    <t>Отпадни газове (1)</t>
  </si>
  <si>
    <t>Отпадни газове (2)</t>
  </si>
  <si>
    <t>Лист „Emissions“ („Емисии“) — РАЗПРЕДЕЛЕНИЕ НА ЕМИСИИТЕ</t>
  </si>
  <si>
    <t>Общо преки емисии на парникови газове и вложена енергия от горива</t>
  </si>
  <si>
    <t>Данни за цялата инсталация:</t>
  </si>
  <si>
    <t>Общо емисии на CO2</t>
  </si>
  <si>
    <t>Общо емисии на N2O</t>
  </si>
  <si>
    <t>Емисии на PFC</t>
  </si>
  <si>
    <t>Общо преки емисии</t>
  </si>
  <si>
    <t>Прехвърлен CO2, изходящ поток</t>
  </si>
  <si>
    <t>Общо вложена енергия от горива</t>
  </si>
  <si>
    <t>Разпределяне на емисиите по подинсталации</t>
  </si>
  <si>
    <t>Общи преки емисии от инсталацията</t>
  </si>
  <si>
    <t>Разпределяне по подинсталации</t>
  </si>
  <si>
    <t>В листа с обобщение може да се намери таблица на разпределените емисии (вж. връзката по-долу).</t>
  </si>
  <si>
    <t>Общо емисии на CO2: проверените емисии на CO2 от пораждащи емисии потоци и източници на емисии, включително от неустойчива биомаса</t>
  </si>
  <si>
    <t>Емисии от биомаса: емисиите от биомаса, независимо дали от устойчиви източници или такива, за които не важат критериите за устойчивост, все едно не са с нулева номинална стойност</t>
  </si>
  <si>
    <t>Общо емисии на N2O от източници на емисии</t>
  </si>
  <si>
    <t>Общо емисии на PFC от производството на първичен алуминий</t>
  </si>
  <si>
    <t>Количество прехвърлен CO2, подаден от инсталацията, докладван с отрицателни стойности</t>
  </si>
  <si>
    <t>Общо вложена енергия от горива, включително от биомаса и отпадни газове</t>
  </si>
  <si>
    <t>Инструмент за комбинирано производство</t>
  </si>
  <si>
    <t>Приложими ли са агрегатите за комбинирано производство на топлинна и електрическа енергия (агрегат за КПТЕ)?</t>
  </si>
  <si>
    <t>Това е инструмент за разпределяне на горива и емисии от агрегати за комбинирано производство на топлинна и електрическа енергия с цел актуализиране на стойностите на показателите съгласно глава 8 от приложение VII.</t>
  </si>
  <si>
    <t>Моля въведете „невярно“, ако за Вашата инсталация не се прилага агрегат за комбинирано производство на топлинна и електрическа енергия. Ако това е така, целият инструмент не е приложим и ще бъде защрихован в сиво.</t>
  </si>
  <si>
    <t>Моля, имайте предвид, че емисиите, свързани с получена топлинна енергия, също могат да са приложими при определени подинсталации. Когато тази получена топлинна енергия е произведена от агрегати за комбинирано производство на топлинна и електрическа енергия в други инсталации, този инструмент също може да е необходим, ако е известна и друга информация за съответните данни от доставчика.</t>
  </si>
  <si>
    <t>В настоящия образец този инструмент се използва в два случая, като и в двата случая той трябва да се използва за по един агрегат. Ако се докладват данни за два агрегата, за съответната информация може да се използва отделен образец.</t>
  </si>
  <si>
    <t>Изключват се периодите, през които агрегатът за КПТЕ е работил в режим за производство само на топлинна енергия или само на електроенергия (т.е. периоди, през които е произвеждал само единия от двата продукта), като разпределението на горивата и емисиите се изчислява отделно съгласно разпоредбите на раздели 10.1.2 и 10.1.3 от приложение VII.</t>
  </si>
  <si>
    <t>Инструмент за изчисление на емисиите, свързани с производството на топлинна енергия в агрегати за комбинирано производство на топлинна и електрическа енергия (агрегат за КПТЕ)</t>
  </si>
  <si>
    <t>Общо количество вложено гориво в агрегати за КПТЕ</t>
  </si>
  <si>
    <t>Моля, тук въведете общото годишно количество гориво, вложено в агрегати за КПТЕ.</t>
  </si>
  <si>
    <t>Гориво, вложено в КПТЕ</t>
  </si>
  <si>
    <t>Изходяща топлинна енергия от КПТЕ</t>
  </si>
  <si>
    <t>Изходяща електроенергия от КПТЕ</t>
  </si>
  <si>
    <t>Общо емисии от КПТЕ</t>
  </si>
  <si>
    <t>В стойностите трябва да се разграничават емисиите от вложени горива и от очистване на димни газове.</t>
  </si>
  <si>
    <t>От горива, вложени в КПТЕ</t>
  </si>
  <si>
    <t>От очистване на димни газове</t>
  </si>
  <si>
    <t>Общо емисии</t>
  </si>
  <si>
    <t>Възприети стойности на к.п.д.:</t>
  </si>
  <si>
    <t>Топлинна енергия:</t>
  </si>
  <si>
    <t>Електроенергия:</t>
  </si>
  <si>
    <t>Стойности на к.п.д. за топлинна и електрическа енергия</t>
  </si>
  <si>
    <t>Тези стойности са безразмерни величини и се изчисляват автоматично от данните, въведени в букви a) — c) по-горе.</t>
  </si>
  <si>
    <t>Ако по буква d) по-горе не са въведени други стойности освен общите емисии, тук ще се използват възприетите стойности на к.п.д. от буква e). Моля, имайте предвид, че това се допуска само ако предоставите доказателства, че определянето на стойностите на к.п.д. не е технически осъществимо или би довело до неразумно високи разход и освен това не са налице стойности въз основа на техническата документация (проектни стойности) на инсталацията.</t>
  </si>
  <si>
    <t>Производство на топлинна енергия</t>
  </si>
  <si>
    <t>Производство на електроенергия</t>
  </si>
  <si>
    <t>Референтни стойности на к.п.д.</t>
  </si>
  <si>
    <t xml:space="preserve">Това са съответно референтната стойности на к.п.д. при производството на топлинна енергия в самостоятелен котел и референтната стойност на к.п.д. при производството на електроенергия без комбинирано производство на енергия. </t>
  </si>
  <si>
    <t>За референтните стойности на к.п.д. се прилагат съответните специфични стойности за горивото от Делегиран регламент (ЕС) 2015/2402 на Комисията, без да се прилагат корекционните коефициенти за климатични условия, посочени в приложение III, и за избегнати загуби по мрежата, посочени в приложение IV към същия регламент. Регламентът може да се изтегли на следния адрес:</t>
  </si>
  <si>
    <t>Възприетите стойности на к.п.д. по-долу се отнасят за агрегати за КПТЕ на природен газ за производство на електроенергия и гореща вода.</t>
  </si>
  <si>
    <t>Емисии, свързани с производството на топлинна енергия от агрегати за КПТЕ</t>
  </si>
  <si>
    <t>Това е крайният резултат от този инструмент. Показаните тук стойности трябва да се въведат в листове F или G относно емисиите, които могат да бъдат зададени на съответната подинсталация.</t>
  </si>
  <si>
    <t>Така например това може да включва отчитането в общите преки емисии на емисии, които могат да бъдат зададени, или използването на емисионния фактор за всяка получена измерима топлинна енергия.</t>
  </si>
  <si>
    <t>Резултатите от изчисленията могат да се смятат за точни само ако в раздела по-горе са докладвани пълни и последователни данни.</t>
  </si>
  <si>
    <t>Емисии, свързани с производство на топлинна енергия</t>
  </si>
  <si>
    <t>Емисионен фактор, топлинна енергия:</t>
  </si>
  <si>
    <t>Вложени горива, свързани с производството на топлинна и електрическа енергия</t>
  </si>
  <si>
    <t>Това е крайният резултат от този инструмент. Показаните тук стойности трябва да се въведат в съответните раздели в работни листове E, F и G.</t>
  </si>
  <si>
    <t>Вложени горива за топлинна енергия</t>
  </si>
  <si>
    <t>Вложени горива за електроенергия</t>
  </si>
  <si>
    <t>Инструмент за отпадни газове</t>
  </si>
  <si>
    <t>Консумира ли инсталацията отпадни газове, произведени извън обхвата на продуктов показател?</t>
  </si>
  <si>
    <t>Съгласно определението от член 2, параграф 10 и член 2, параграф 11 от ПБР (запалимите) отпадни газове, отделяни извън обхвата на продуктовите показатели, се считат за технологични емисии.</t>
  </si>
  <si>
    <t>Въпреки това, що се отнася до отпадните газове, количеството CO2, еквивалентно на съответното съдържание в природния газ, използван за „технически използваемо енергийно съдържание“, се изважда от общите технологични емисии.</t>
  </si>
  <si>
    <t>Количеството технологични емисии без въпросното изваждане по-долу се нарича „некоригирани технологични емисии“.</t>
  </si>
  <si>
    <t>За да се определи „технически използваемото енергийно съдържание“, е необходима следната информация:</t>
  </si>
  <si>
    <t>Количество на отпадните газове, използвани при електропроизводство, както и при производство на измерима или друга топлинна енергия извън подинсталациите с продуктов показател, или които са подадени от инсталацията;</t>
  </si>
  <si>
    <t>По избор (с цел проверка на съответствието) може да се отчетат технологичните емисии, свързани с посочените количества отпадни газове.</t>
  </si>
  <si>
    <t>Долната топлина на изгаряне на отпадните газове.</t>
  </si>
  <si>
    <t>Направени допускания по отношение на различните стойности на к.п.д. при използването на отпаден и природен газ. Тези допускания са както следва: стойността на к.п.д. при електропроизводството с природен газ е 52,5 %, а с отпадни газове — 35 %;</t>
  </si>
  <si>
    <t>Емисионен фактор за природния газ: 56,1 t CO2/TJ.</t>
  </si>
  <si>
    <t>Тъй като в една инсталация могат да са налице и двата възможни вида подинсталации или поради това, че може да се генерират различни видове отпадни газове, в настоящия образец посоченият „инструмент за отпадните газове“ е използван в два случая.</t>
  </si>
  <si>
    <t>Инструмент за изчисляване на количеството технологични емисии, ако отпадните газове се генерират извън обхвата на продуктовите показатели</t>
  </si>
  <si>
    <t>Този раздел се отнася до подинсталациите за технологични емисии от този вид:</t>
  </si>
  <si>
    <t>Моля, изберете тук за кой от двата вида подинсталации за технологични емисии се отнасят данните от този инструмент.</t>
  </si>
  <si>
    <t>За точното определяне на подинсталацията е важно генерирането, а не използването на отпадните газове.</t>
  </si>
  <si>
    <t>Моля, потвърдете дали отпадните газове се отнасят за тази подинсталация:</t>
  </si>
  <si>
    <t>Вид отпаден газ:</t>
  </si>
  <si>
    <t>Моля, опишете отпадния газ и процеса, при който той е генериран. Горе впишете наименование за газовия поток, а отдолу опишете накратко технологичния процес.</t>
  </si>
  <si>
    <t>Ако във Вашата инсталация се генерират няколко различни вида газ, моля, дайте подробности в отделни файлове, като използвате този инструмент за по-сложни случаи.</t>
  </si>
  <si>
    <t>Общо количество технологични емисии преди изваждането на еквивалента на технически използваемото енергийно съдържание:</t>
  </si>
  <si>
    <t>Това количество трябва да отговаря на състоянието относно риска от изместване на въглеродни емисии, посочено в буква а) по-горе.</t>
  </si>
  <si>
    <t>Некоригирани технологични емисии</t>
  </si>
  <si>
    <t>Приблизителна стойност на емисиите на отпадни газове</t>
  </si>
  <si>
    <t>По избор и единствено с цел проверка на съответствието можете да посочите приблизителна стойност на количеството емисии, свързани с използвания или подадения извън инсталацията газ.</t>
  </si>
  <si>
    <t>Това количество трябва да съответства на количеството отпадни газове, посочено в буква f) по-горе.</t>
  </si>
  <si>
    <t>Емисии от отпадни газове</t>
  </si>
  <si>
    <t>извън продуктовите показатели</t>
  </si>
  <si>
    <t>Количество отпадни газове, генерирано извън подинсталации с продуктов показател, включително за подаване извън инсталацията:</t>
  </si>
  <si>
    <t>Вземат се предвид само отпадните газове, използвани за производството на топлинна енергия или електроенергия. Ако отпадният газ е резултат от изгаряне във факел, се взема предвид само количеството, свързано с необходимото за безопасността изгаряне във факел.</t>
  </si>
  <si>
    <t>Можете да изберете да докладвате в тонове или в 1000 Nm3 (хиляди нормални кубични метри). Мерните единици трябва да съответстват на използваните за долната топлина на изгаряне (NCV) по-долу.</t>
  </si>
  <si>
    <t>Годишно количество отпадни газове</t>
  </si>
  <si>
    <t>Долната топлина на изгаряне на отпадните газове</t>
  </si>
  <si>
    <t>Можете да изберете да докладвате в GJ/t или GJ/1000 Nm3. Мерните единици трябва да съответстват на използваните за количествата по-горе.</t>
  </si>
  <si>
    <t>Долна топлина на изгаряне</t>
  </si>
  <si>
    <t>Необходими допускания:</t>
  </si>
  <si>
    <t>Референтна стойност на к.п.д. при производството на електроенергия:</t>
  </si>
  <si>
    <t>при използване на природен газ:</t>
  </si>
  <si>
    <t>при използване на отпаден газ:</t>
  </si>
  <si>
    <t>Емисионен фактор за природния газ:</t>
  </si>
  <si>
    <t>Емисии, които трябва да бъдат извадени, с цел отчитане на технически използваемото енергийно съдържание:</t>
  </si>
  <si>
    <t>Тези количества се изчисляват автоматично въз основа на стойностите по-горе. Формулата е описана в обяснителна бележка № 8.</t>
  </si>
  <si>
    <t>Приспадане за отпадни газове</t>
  </si>
  <si>
    <t>Технологични емисии, изчислени с отчитане на корекцията за отпадните газове (=d-i)</t>
  </si>
  <si>
    <t>Това е крайният резултат от този инструмент. Получените тук стойности следва да се въведат в лист G за съответната подинсталация за технологични емисии.</t>
  </si>
  <si>
    <t>Ако резултатът е отрицателен, той се коригира на нула.</t>
  </si>
  <si>
    <t>Резултат от инструмента за отпадни газове:</t>
  </si>
  <si>
    <t>E.
Енергийни потоци</t>
  </si>
  <si>
    <t>Разпределяне на горивата</t>
  </si>
  <si>
    <t>Топлинна енергия (краен резултат)</t>
  </si>
  <si>
    <t>Отпадни газове</t>
  </si>
  <si>
    <t>Електроенергия</t>
  </si>
  <si>
    <t>Вложена енергия от горива</t>
  </si>
  <si>
    <t>Общ преглед и по категории на употреба</t>
  </si>
  <si>
    <t>Вложена енергия от горива, общо за инсталацията (данни, взети от раздел I на работен лист „D_Emissions“ („D_Емисии“):</t>
  </si>
  <si>
    <t>Метод на въвеждане:</t>
  </si>
  <si>
    <t>Можете да изберете метода за въвеждане на стойностите в таблицата по-долу съгласно буква c). Възможните варианти са: „абсолютни стойности“ (впишете TJ/година) или „процентни стойности“.</t>
  </si>
  <si>
    <t>За бързо въвеждане на данни в опростени случаи, при които повечето процентни стойности ще са или 100 % или нула, по-добър вариант е въвеждането на процентни стойности.</t>
  </si>
  <si>
    <t>В таблицата по-долу впишете количеството консумирана енергия за всеки вид потребление или, в зависимост от входящата стойност b) — количеството в проценти а).</t>
  </si>
  <si>
    <t>Работен лист „Енергийни потоци“ — ДАННИ ЗА ВЛОЖЕНАТА ЕНЕРГИЯ, ИЗМЕРИМАТА ТОПЛИННА ЕНЕРГИЯ И ЕЛЕКТРОЕНЕРГИЯТА</t>
  </si>
  <si>
    <t>За задаването на вложени горива в комбинираното производство на енергия (КПТЕ) за производството на измерима топлинна енергия и електроенергия трябва да използвате „Инструмента за КПТЕ“ от раздел D.III.</t>
  </si>
  <si>
    <t xml:space="preserve">Следва да се обърне особено внимание при задаването на входящата енергия на двете подинсталации, които отговарят на условията за разпределяне на безплатни квоти: </t>
  </si>
  <si>
    <t>Подинсталация с горивен показател и риск от „ИВЕ“ (изложена на значителен риск от изместване на въглеродни емисии) и „без риск от ИВЕ“ (неизложена на риск от изместване на въглеродни емисии).</t>
  </si>
  <si>
    <t>За целите на контрола останалото количество (100 % минус общото вложено количество) се показва на най-долния ред. То се отнася за вложената енергия, която не отговаря на условията за разпределение на безплатни квоти.</t>
  </si>
  <si>
    <t>Други</t>
  </si>
  <si>
    <t>В инсталацията има ли подинсталация с топлинен показател или подинсталация на топлофикационна мрежа?</t>
  </si>
  <si>
    <t>Наименованието на подинсталацията с продуктов показател се показва автоматично въз основа на данните, въведени в лист „A_InstallationData“ („А_Данни за инсталацията“).</t>
  </si>
  <si>
    <t>Ако тук се показва „ВЯРНО“, въведените в този раздел данни са необходими във всички случаи. Необходимо е да отговорите на въпроса по-долу само ако нито една от тези инсталации не е приложима.</t>
  </si>
  <si>
    <t>В тази инсталация произвеждат или консумират ли се потоци на измерима топлинна енергия, получават или подават ли се такива към други обекти?</t>
  </si>
  <si>
    <t>Всички данни за топлинната енергия трябва да се отнасят за „общо нетно количество измерима топлинна енергия“ (т.е. топлинното съдържание от топлинния поток към потребителя минус топлинното съдържание на обратния поток).</t>
  </si>
  <si>
    <t>Описание на използвания метод на изчисляване:</t>
  </si>
  <si>
    <t>Ако и двата вида вложена топлинна енергия са приложими — „отговарящите на условията за разпределяне на безплатни квоти“ (самостоятелно производство и/или получаване от инсталации по СТЕ) и „неотговарящите на условията за разпределяне на безплатни квоти“ (получаване от инсталации или обекти извън СТЕ или производство от подинсталации, работещи с азотна киселина) — И ако са налице и двата вида употреба на топлинна енергия, т. е. „отговарящи на условията за разпределяне на безплатни квоти“ (вътрешна употреба и/или подаване извън СТЕ) и „неотговарящи на условията за разпределяне на безплатни квоти“ (подаване към инсталации по СТЕ), е необходимо да се определят отговарящите на условията и неотговарящите на условията случаи.</t>
  </si>
  <si>
    <t>За целите на това определяне се предлага йерархична последователност на подходите.</t>
  </si>
  <si>
    <t>Ако количествата топлинна енергия могат да бъдат ясно определени (поради ясно разграничаване на връзките в топлоенергийната мрежа или поради стойностите на налягането на парата и т.н.), количествата, които отговарят на условията за разпределяне на безплатни квоти, и тези, които не отговарят, се отчитат съгласно тази реална ситуация.</t>
  </si>
  <si>
    <t>Ако това не е възможно, всички употреби се претеглят в съответствие със съотношението на входящите потоци (входящи потоци по СТЕ: общо входящи потоци), както е определено по-горе.</t>
  </si>
  <si>
    <t>За целите на настоящия образец се използва следният поетапен подход:</t>
  </si>
  <si>
    <t>Изчислява се отделен баланс за консумацията на топлинна енергия, която отговаря на условията за разпределяне на безплатни квоти, и на тази, която не отговаря.</t>
  </si>
  <si>
    <t>Консумацията на топлинна енергия за производството на електроенергия се разделя съгласно съотношението, посочено в буква f), освен ако количеството на топлинната енергия от източници, които не отговарят на условията за разпределяне на безплатни квоти, се въведе ръчно в g).iii.</t>
  </si>
  <si>
    <t>Общото количество измерима топлинна енергия за продуктовите показатели трябва да се впише по буква g) по-долу. Количеството топлинна енергия, която не отговаря на условията за разпределяне на безплатни квоти, се взема като сумата от вложените ресурси от работен лист „F_ProductBM“ („F_Продуктов показател“), раздел f).iii на всяка подинсталация (тук е показано по-долу в h).xii).</t>
  </si>
  <si>
    <t>Подаването на топлинна енергия към инсталации, включени в СТЕ (раздел i) по-долу), трябва винаги да се счита за топлинна енергия от източници, които отговарят на условията за разпределяне на безплатни квоти, защото потребителят на енергията няма да има информация дали топлинната енергия, произведена при предходния процес, отговаря на условията. Ето защо, с цел избягване на двойното отчитане, топлинната енергия трябва да се приспадне от отговарящото на условията количество за тази инсталация. Таванът за количеството следва да бъде общата налична от инсталацията топлинна енергия, която отговаря на условията.</t>
  </si>
  <si>
    <t>От останалото количество измерима топлинна енергия трябва да се определи колко се консумира в рамките на инсталацията (освен за производството на електроенергия и за подинсталациите с продуктов показател). Количеството на отговарящата на условията за разпределяне на безплатни квоти топлинна енергия, която остава след предходните стъпки, представлява горната граница.</t>
  </si>
  <si>
    <t>След тези приспадания на топлинна енергия от наличното количество, се изчислява ново съотношение за допустимост (буква k)).</t>
  </si>
  <si>
    <t>След това оставащото количество, което отговаря на условията за разпределяне на безплатни квоти, може да се разпредели на двете подинсталации с топлинен показател.</t>
  </si>
  <si>
    <t>Пълен баланс на измеримата топлинна енергия в инсталацията</t>
  </si>
  <si>
    <t>Въвеждане на данни за топлинната енергия</t>
  </si>
  <si>
    <t>Общо нетно количество измерима топлинна енергия, произведена в инсталацията:</t>
  </si>
  <si>
    <t>Произведена измерима топлинна енергия</t>
  </si>
  <si>
    <t>Измерима топлинна енергия, внесена от инсталации, обхванати от СТЕ на ЕС:</t>
  </si>
  <si>
    <t>Наименованията на инсталациите от падащия списък са взети от раздел A.IV. Затова трябва да се уверите, че там сте въвели пълни данни.</t>
  </si>
  <si>
    <t>Наименование на инсталацията</t>
  </si>
  <si>
    <t>Междинен сбор</t>
  </si>
  <si>
    <t>Измерима топлинна енергия, внесена от инсталации и обекти, необхванати от СТЕ на ЕС (не отговаря на условията за топлинен показател):</t>
  </si>
  <si>
    <t xml:space="preserve">Това включва произвеждащите азотна киселина подинсталации (като наименование на инсталацията изберете „в инсталацията“, ако производството на азотна киселина представлява част от въпросната инсталация). </t>
  </si>
  <si>
    <t>Имайте предвид, че трябва да се направи проверка за двойно отчитане на въвежданите тук данни с приспадането по подинсталациите с продуктов показател (виж работен лист „ProductBM“).</t>
  </si>
  <si>
    <t>Топлинна енергия от ел. енергия</t>
  </si>
  <si>
    <t>Общо измерима топлинна енергия</t>
  </si>
  <si>
    <t>Съотношение „топлинна енергия по СТЕ“ спрямо „общо топлинна енергия“</t>
  </si>
  <si>
    <t>Топлинна енергия, която не отговаря на условията за подинсталации с топлинен показател</t>
  </si>
  <si>
    <t>Преди да се представи количествено топлинната енергия, попадаща в категорията на подинсталациите с топлинен показател, трябва да се определи количеството, което не отговаря на условията за тази цел.</t>
  </si>
  <si>
    <t>Първо се отчитат количествата топлинна енергия, които не отговарят на условията за безплатно разпределяне в инсталацията.</t>
  </si>
  <si>
    <t xml:space="preserve">Това е количеството топлинна енергия, използвано за производство на електроенергия, и топлинната енергия, консумирана в рамките на подинсталациите с продуктов показател. </t>
  </si>
  <si>
    <t>Измерима топлинна енергия, консумирана за производство на електроенергия в инсталацията (неотговаряща на условията за топлинен показател):</t>
  </si>
  <si>
    <t>По презумпция се предполага, че цялото количество топлинна енергия, използвано за производство на електроенергия, е разделено между вложени ресурси, които отговарят на условията, и такива, които не отговарят, като се прилага съотношението, изчислено в буква f).</t>
  </si>
  <si>
    <t>Въпреки това, ако има по-точна информация (напр. поради това, че парата от различни източници може да се разграничи по различните нива на налягането и т.н.), по-долу можете да въведете други количества топлинна енергия, която не отговаря на условията. Ако това количество превишава количеството, посочено в c).iv, за по-нататъшни изчисления се използва наличното максимално количество.</t>
  </si>
  <si>
    <t>Топлинна енергия, използвана за производство на ел. енергия</t>
  </si>
  <si>
    <t>Количество топлинна енергия от източници извън СТЕ</t>
  </si>
  <si>
    <t>Ръчна корекция на ii)</t>
  </si>
  <si>
    <t>Консумирана измерима топлинна енергия за подинсталации с продуктов показател в рамките на инсталацията (неотговарящи на условията за топлинен показател):</t>
  </si>
  <si>
    <t>Съгласно член 21 от ПБР еквивалентът на CO2 на топлинна енергия, получена извън СТЕ, трябва да се приспадне от предварителното разпределяне за продуктовите показатели. Данните, необходими за посочената корекция, се вписват в работен лист „F_ProductBM“, раздел d) за всяка подинсталация.</t>
  </si>
  <si>
    <t>По тази причина тук трябва да се включи и проверка на правдоподобност на тези данни.</t>
  </si>
  <si>
    <t>Стойности, въведени в работен лист „F_ProductBM“:</t>
  </si>
  <si>
    <t>Проверка на правдоподобността на данните:</t>
  </si>
  <si>
    <t>Моля, проверете отново този раздел, след като попълните работен лист „F_ProductBM“, ако това е приложимо, с цел избягване на въвеждането на неправдоподобни данни.</t>
  </si>
  <si>
    <t>Най-добрият препоръчителен подход за попълване на този раздел е първо да се въведат данните по „F_ProductBM“ и едва след това да се премине към буква i) по-долу.</t>
  </si>
  <si>
    <t>Топлинна енергия извън СТЕ, въведена в работен лист „F_ProductBM“, сравнена с общото количество топлинна енергия за всички продуктови показатели:</t>
  </si>
  <si>
    <t>Точка xii във връзка с точка xi:</t>
  </si>
  <si>
    <t>Топлинна енергия извън СТЕ, въведена в работен лист „F_ProductBM“, сравнена с общото количество топлинна енергия, получена от извън СТЕ, въведено по-горе по буква c):</t>
  </si>
  <si>
    <t>Точка xii във връзка с буква c) по-горе:</t>
  </si>
  <si>
    <t>Топлинна енергия, подадена към инсталации по СТЕ (която не отговаря на условията за топлинен показател):</t>
  </si>
  <si>
    <t>Това количество топлинна енергия се разпределя на потребителя на топлинната енергия.</t>
  </si>
  <si>
    <t>Общо топлинна енергия, подадена към инсталации по СТЕ</t>
  </si>
  <si>
    <t>Подинсталации с топлинен показател и подинсталации на топлофикационна мрежа:</t>
  </si>
  <si>
    <t>Междинен сбор: оставащо общо количество измерима топлинна енергия, която потенциално е от подинсталации с топлинен показател (=e-g-h-i):</t>
  </si>
  <si>
    <t>Междинен сбор:</t>
  </si>
  <si>
    <t>Тази сума може да се раздели на топлинна енергия, която отговаря на условията, и такава, която не отговаря (съгласно нейния произход, вж. въведението към този раздел по-горе)</t>
  </si>
  <si>
    <t>След това коефициентът, определен съгласно буква e), се коригира, като се отчита останалото количество топлинна енергия, която отговаря на условията, и такава, която не отговаря. Този коефициент се използва за буква m).</t>
  </si>
  <si>
    <t>отговаря на условията поради своя произход:</t>
  </si>
  <si>
    <t>не отговаря на условията поради своя произход:</t>
  </si>
  <si>
    <t>Съотношение за допустимост за останалата топлинна енергия, изчислена съгласно буква j):</t>
  </si>
  <si>
    <t>коригирано съотношение за допустимост (=(j).ii / (j).i):</t>
  </si>
  <si>
    <t>Нетно количество измерима топлинна енергия, консумирана в инсталацията и отговаряща на условията съгласно топлинния показател:</t>
  </si>
  <si>
    <t>Това представлява консумация в рамките на инсталацията, без да се включват целите, изброени в букви g) и h).</t>
  </si>
  <si>
    <t>Топлинна енергия, консумирана в рамките на инсталацията</t>
  </si>
  <si>
    <t>Топлинна енергия, подадена към инсталации или обекти, необхванати от СТЕ на ЕС (напр. топлофикационни мрежи):</t>
  </si>
  <si>
    <t>Наименование на приемащия обект или инсталация</t>
  </si>
  <si>
    <t>Общо топлинна енергия, изнесена извън СТЕ:</t>
  </si>
  <si>
    <t>Загуба на топлинна енергия (=j-l-m)</t>
  </si>
  <si>
    <t>С цел пълнота на топлинния баланс в тази таблица се показват изчислените загуби на топлинна енергия (т.е. количеството топлинна енергия, което не е обхванато от букви g, h, k, l и m).</t>
  </si>
  <si>
    <t>Ако се показват отрицателни стойности, това означава, че нивата на консумация на топлинна енергия, въведени по-горе, превишават количеството налична топлинна енергия от производство и получаване.</t>
  </si>
  <si>
    <t>Загуби на топлинна енергия (изчислени)</t>
  </si>
  <si>
    <t>Загуби на топлинна енергия (дял на наличната топлинна енергия = e)</t>
  </si>
  <si>
    <t>Общо количество топлинна енергия, която потенциално е част от подинсталациите с топлинен показател или подинсталации на топлофикационна мрежа (=l+m):</t>
  </si>
  <si>
    <t>Общо подинсталации с топлинен показател:</t>
  </si>
  <si>
    <t>Краен резултат: Количество топлинна енергия, която може да се разпредели на подинсталации с топлинен показател или подинсталации на топлофикационна мрежа</t>
  </si>
  <si>
    <t>Този резултат се изчислява като буква o), умножено по коригираното съотношение за допустимост, установено в буква k)</t>
  </si>
  <si>
    <t>Максималната позволена стойност е отговарящото на условията количество, установено в j).ii.</t>
  </si>
  <si>
    <t>Топлинна енергия, която отговаря на условията за подинсталации с топлинен показател</t>
  </si>
  <si>
    <t>Разделяне на подинсталации — метод на въвеждане на данните:</t>
  </si>
  <si>
    <t>Можете да изберете метода за въвеждане на стойностите в таблицата по-долу съгласно буква r). Възможните варианти са: „абсолютни стойности“ (впишете TJ/година) или „процентни стойности“.</t>
  </si>
  <si>
    <t>Разпределяне на подинсталациите с топлинен показател спрямо нивата на риск от изместване на въглеродни емисии:</t>
  </si>
  <si>
    <t>Моля, посочете тук количеството измерима топлинна енергия, консумирано от всяка подинсталация, където 100 % се отнася до сумата, изчислена по буква p) по-горе.</t>
  </si>
  <si>
    <t>Подинсталации с топлинен показател: „риск от ИВЕ“ („изложена на значителен риск от изместване на въглеродни емисии“), „без риск от ИВЕ“ („неизложена на риск от изместване на въглеродни емисии“; това включва топлинна енергия, подадена към инсталации и обекти извън СТЕ, но не към топлофикационни мрежи) и неизложени на риск от изместване на въглеродни емисии подинсталации на топлофикационна мрежа („без риск от ИВЕ“).</t>
  </si>
  <si>
    <t>Данните се използват автоматично отново в работен лист „G_Fall-back“. Затова, ако се използва този инструмент, въвеждането на данните тук е задължително.</t>
  </si>
  <si>
    <t>Данни с цел контрол:</t>
  </si>
  <si>
    <t>Баланс на отпадните газове</t>
  </si>
  <si>
    <t>Пълен баланс на отпадните газове в инсталацията</t>
  </si>
  <si>
    <t>Този баланс се използва главно за проверка за съответствие между съответните данни, въведени в „инструмента за отпадни газове“ в раздел D.IV, и балансите на отпадни газове на ниво подинсталация в листове F и G.</t>
  </si>
  <si>
    <t>Когато е възможно, разделите по-долу се попълват автоматично с въведените в тези раздели данни.</t>
  </si>
  <si>
    <t>В тази инсталация произвеждат, консумират, получават или подават ли се отпадни газове?</t>
  </si>
  <si>
    <t>Ако отговорът на този въпрос е зададен на „невярно“, въвеждането на данни тук не е приложимо и можете да продължите към следващата точка по-долу.</t>
  </si>
  <si>
    <t>Отпадни газове, произведени в системните граници на подинсталация с продуктов показател</t>
  </si>
  <si>
    <t>Информацията се взема от раздел F.(l).v. Ако е приложимо, трябва да се уверите, че там сте въвели пълни данни.</t>
  </si>
  <si>
    <t>Подинсталация</t>
  </si>
  <si>
    <t>Отпадни газове, произведени извън системните граници на подинсталация с продуктов показател</t>
  </si>
  <si>
    <t>Информацията се взема от раздел D.IV.Ако е приложимо, трябва да се уверите, че там сте въвели пълни данни.</t>
  </si>
  <si>
    <t>Имайте предвид, че данните, които трябва да се въведат там, може да са свързани с отпадни газове, произведени в други инсталации, от които те са получени.</t>
  </si>
  <si>
    <t>от раздел D.IV.</t>
  </si>
  <si>
    <t>Отпаден газ 1</t>
  </si>
  <si>
    <t>Отпаден газ 2</t>
  </si>
  <si>
    <t>Сбор на отпадните газове (=a+b)</t>
  </si>
  <si>
    <t>Произведени отпадни газове</t>
  </si>
  <si>
    <t>Отпадни газове, получени от други инсталации или обекти</t>
  </si>
  <si>
    <t>Проверете дали тук и в буква b) не е направено двойно отчитане, когато получените количества са включени там.</t>
  </si>
  <si>
    <t>Отпадни газове, подадени към други инсталации или обекти</t>
  </si>
  <si>
    <t>Сбор на отпадните газове, налични в инсталацията (=c+d-e)</t>
  </si>
  <si>
    <t>Налични отпадни газове</t>
  </si>
  <si>
    <t>Отпадни газове, консумирани в подинсталации с продуктов показател</t>
  </si>
  <si>
    <t>Информацията се взема от раздел F.(l).viii. Ако е приложимо, трябва да се уверите, че там сте въвели пълни данни.</t>
  </si>
  <si>
    <t>Тип подинсталация с продуктов показател</t>
  </si>
  <si>
    <t>Отпадни газове, консумирани в алтернативни подинсталации („fall-back sub-installations“)</t>
  </si>
  <si>
    <t>Информацията се взема от съответните данни в лист „G_Fall-back“. Ако е приложимо, трябва да се уверите, че там сте въвели пълни данни.</t>
  </si>
  <si>
    <t>Тип алтернативна подинсталация („fall-back sub-installation“)</t>
  </si>
  <si>
    <t>Количество отпадни газове, консумирано за производство на електроенергия</t>
  </si>
  <si>
    <t>Отпадни газове за електроенергия</t>
  </si>
  <si>
    <t>Количество отпадни газове резултат от изгаряне във факел, различни от необходимото за безопасността изгаряне във факел</t>
  </si>
  <si>
    <t>За подинсталации с продуктов показател информацията автоматично се взема от данните, въведени в лист „F_ProductBM“ („F_Продуктов показател“).</t>
  </si>
  <si>
    <t>Тук трябва да се въведат данните за отпадните газове, произведени извън подинсталации с продуктов показател и които са резултат от изгаряне във факел за цели, различни от необходимото за безопасността изгаряне във факел.</t>
  </si>
  <si>
    <t>произведени извън подинсталации с продуктов показател</t>
  </si>
  <si>
    <t>Проверка на правдоподобността на данните</t>
  </si>
  <si>
    <t>Това се прави с цел проверка на пълнотата на данните за баланса на отпадните газове. Ако стойността е различна от нула, моля, потърсете несъответствия в изброените по-горе стойности.</t>
  </si>
  <si>
    <t>Разлика (изчислена)</t>
  </si>
  <si>
    <t>Разлика (като дял от f)</t>
  </si>
  <si>
    <t>Пълен баланс на електроенергията в инсталацията</t>
  </si>
  <si>
    <t>В инсталацията произвежда ли се електроенергия?</t>
  </si>
  <si>
    <t>Общо нетно количество електроенергия, произведена в инсталацията</t>
  </si>
  <si>
    <t>Друго производство на електроенергия, напр. водна, вятърна и слънчева енергия, енергия от турборазширители и други процеси извън СТЕ.</t>
  </si>
  <si>
    <t>Нетна електроенергия, произведена от горива</t>
  </si>
  <si>
    <t>Друга произведена електроенергия</t>
  </si>
  <si>
    <t>Общо количество електроенергия, получена от електрическата мрежа или от други инсталации</t>
  </si>
  <si>
    <t>Получена електроенергия</t>
  </si>
  <si>
    <t>Общо количество електроенергия, подадена към електрическата мрежа или към други инсталации</t>
  </si>
  <si>
    <t>Подадена електроенергия</t>
  </si>
  <si>
    <t>Общо налична електроенергия за използване в инсталацията (= b+c-d)</t>
  </si>
  <si>
    <t>Използваема електроенергия</t>
  </si>
  <si>
    <t>Общо количество електроенергия, консумирана в инсталацията</t>
  </si>
  <si>
    <t>Електроенергия, консумирана в инсталацията</t>
  </si>
  <si>
    <t>Сравнение с f)</t>
  </si>
  <si>
    <t>Работен лист „ProductBM“ („Продуктов показател“) — ДАННИ ЗА ПОДИНСТАЛАЦИИТЕ, СВЪРЗАНИ С ПРОДУКТОВИТЕ ПОКАЗАТЕЛИ</t>
  </si>
  <si>
    <t>Навигационната лента по-горе съдържа само връзки към съответните подинсталации, изброени в раздел A.III.1.</t>
  </si>
  <si>
    <t>Исторически равнища на дейност и разбивка на данните за производството</t>
  </si>
  <si>
    <t>По тази точка следва да се отчетат „основните равнища на дейност“, т.е. данните, които се прилагат пряко за изчисляване на разпределението.</t>
  </si>
  <si>
    <t xml:space="preserve">Това обикновено са производствените данни за продукта, напр. тонове клинкер за сив цимент или тонове стъклени бутилки, както е определено в приложение I към ПБР. </t>
  </si>
  <si>
    <t>Въпреки това, ако се покаже съобщение съгласно буква b), трябва да се използва съответният инструмент за изчисляване, а резултатите от него автоматично се копират в тази таблица в ii).</t>
  </si>
  <si>
    <t>Годишни равнища на дейност:</t>
  </si>
  <si>
    <t>От работен лист „H_SpecialBM“ („H_Специфичен показател“):</t>
  </si>
  <si>
    <t>Стойности, използвани за изчислението:</t>
  </si>
  <si>
    <t>Специални изисквания за докладване:</t>
  </si>
  <si>
    <t>При някои продуктови показатели се изисква да се отчита специфична информация (напр. стойности на приведени по CO2 тонове (CWT)). Ако е приложимо, тук ще се покаже автоматично съобщение.</t>
  </si>
  <si>
    <t>Други корекционни коефициенти</t>
  </si>
  <si>
    <t>Параметър</t>
  </si>
  <si>
    <t>Преки емисии</t>
  </si>
  <si>
    <t>Съответно потребление на електроенергия</t>
  </si>
  <si>
    <t>Топлинна енергия, получена от инсталации или обекти извън СТЕ:</t>
  </si>
  <si>
    <t>Съгласно член 21 от ПБР определено количество емисии трябва да се приспадне от предварителното годишно разпределение за подинсталациите с продуктов показател.</t>
  </si>
  <si>
    <t>Това количество е количеството измерима топлинна енергия, внесена от инсталации или обекти извън СТЕ (включително всяка топлинна енергия от подинсталации за производство на азотна киселина), умножено по топлинния показател.</t>
  </si>
  <si>
    <t>Моля, въведете тук съответните стойности. Имайте предвид, че стойностите трябва да съответстват на сумите за енергията, получена от източници извън СТЕ, въведени в точка E.II.c в работен лист „E_Energy flows“ („E_Енергийни потоци“).</t>
  </si>
  <si>
    <t>Освен това данните трябва да съответстват и на общото нетно количество получена измерима топлинна енергия, въведено в k). i по-долу.</t>
  </si>
  <si>
    <t>Измерима топлинна енергия, получена от източници извън СТЕ:</t>
  </si>
  <si>
    <t>Проверка на съответствието с работен лист „E_Energy flows“ („E_Енергийни потоци“):</t>
  </si>
  <si>
    <t>Проверка на съответствието с k).i):</t>
  </si>
  <si>
    <t>Данни за производството</t>
  </si>
  <si>
    <t>Идентификация на продуктите, включени в тази подинсталация с продуктов показател</t>
  </si>
  <si>
    <t>Кодовете по Продком се въвеждат като низове във вида „nnnnnnnn“, т.е. без точки или други разделителни знаци между тях. Само когато липсва код по Продком, се посочва 4-цифрения код по статистическата класификация на икономическите дейности в Европейския съюз (NACE) във вида „nnnn“.</t>
  </si>
  <si>
    <t>Продком списъкът за 2010 г. може да се намери на адрес: http://ec.europa.eu/eurostat/ramon/nomenclatures/index.cfm?TargetUrl=LST_CLS_DLD&amp;StrNom=PRD_2010&amp;StrLanguageCode=EN&amp;StrLayoutCode=HIERARCHIChttp://ec.europa.eu/eurostat/ramon/nomenclatures/index.cfm?TargetUrl=LST_CLS_DLD&amp;StrNom=PRD_2010&amp;StrLanguageCode=EN&amp;StrLayoutCode=HIERARCHIC</t>
  </si>
  <si>
    <t>Индивидуални равнища на производство за продуктите, включени в тази подинсталация с продуктов показател</t>
  </si>
  <si>
    <t>Име на продукта или групата продукти</t>
  </si>
  <si>
    <t>Сума на равнищата на производство</t>
  </si>
  <si>
    <t>Данни, необходими за определяне на нивото на подобрение на продуктовите показатели съгласно 10а, параграф 2 от Директивата за СТЕ на ЕС</t>
  </si>
  <si>
    <t>В този подраздел се обхваща разпределението на емисии по пораждащи емисии потоци, източници на емисии, получена или подадена измерима топлинна енергия и отпадни газове, включително загубите на топлинна енергия съгласно раздел 10 от приложение VII към ПБР.</t>
  </si>
  <si>
    <t xml:space="preserve">Моля, имайте предвид, че въпреки дадените известни насоки по всяка от точките по-долу трябва да потърсите допълнителна информация в обяснителна бележка № 5 („Мониторинг и докладване във връзка с ПБР“), която съдържа и примери. </t>
  </si>
  <si>
    <t>Можете да изтеглите насоките на адрес: https://ec.europa.eu/clima/policies/ets/allowances_en#tab-0-1</t>
  </si>
  <si>
    <t>При въвеждане на данните по-долу емисиите, които могат да бъдат зададени, са изчислени в раздел K.III.2 в листа за обобщение.</t>
  </si>
  <si>
    <t>Емисии, които могат се зададат пряко (DirEm* (пораждащи емисии потоци от плана за мониторинг)) на тази подинсталация</t>
  </si>
  <si>
    <t>Посочените тук данни ще се отразят на емисиите, които могат да бъдат зададени съгласно раздел 10.1.1 от приложение VII към ПБР.</t>
  </si>
  <si>
    <t>Моля, въведете тук емисиите, които могат да се зададат пряко (DirEm* (пораждащи емисии потоци от плана за мониторинг)) на тази подинсталация, като се имат предвид следните уговорки:</t>
  </si>
  <si>
    <t>„емисиите, които могат да се зададат пряко“, се следят в съответствие с плана за мониторинг, одобрен съгласно Регламента относно мониторинга и докладването (РМД), т.е. като се отчитат емисиите, получени по методики, основани на изчисления (като се използват пораждащите емисии потоци), по базиращи се на измервания методики (БИМ), както и по подходи без подреждане („fall-backs“).</t>
  </si>
  <si>
    <t>В някои случая обаче в този раздел „емисиите, които могат да се зададат пряко“, не са същите като отчетените съгласно РМД. Такива случаи са например пораждащи емисии потоци, използвани за производство на измерима топлинна енергия, отпадни газове и др. С други думи, трябва да попълните разделите по-долу много внимателно и да спазите строго инструкциите, за да се избегнат двойно отчитане или пропуски.</t>
  </si>
  <si>
    <t xml:space="preserve">Измерима топлинна енергия: в случай че топлинната енергия е произведена изключително за една подинсталация, емисиите могат да се зададат пряко тук чрез емисиите за горивата. </t>
  </si>
  <si>
    <t>Когато за производството на измерима топлинна енергия са използвани горива като „входящи потоци“ към повече от една подинсталация, в която се консумира топлинната енергия (което включва случаи с входящи и изходящи потоци от и към други инсталации), горивата не трябва да се включват в „емисиите, които могат да се зададат пряко“ на подинсталацията, а в буква k) по-долу.</t>
  </si>
  <si>
    <t>„Входящите потоци“ включват измеримата топлинна енергия от съоръжения в рамките на обекта (напр. централна електростанция в инсталацията или по-сложна мрежа за генериране на пара с няколко съоръжения за производство на топлинна енергия), които доставят топлинна енергия до повече от една подинсталация. В такъв случай емисиите също не трябва да се задават тук, а в точка k).i. по-долу.</t>
  </si>
  <si>
    <t>Подавана навън измерима топлинна енергия: Когато тази топлинна енергия се извлича от процеси или се подава навън, тук не се правят корекции. Приспадането на свързаните емисиите се извършва съгласно данните, въведени в точка k).v. по-долу.</t>
  </si>
  <si>
    <t>Отпадни газове: емисиите от отпадните газове, които са ПОЛУЧЕНИ от други инсталации или подинсталации и са консумирани в подинсталацията, не се включват тук, а се въвеждат в буква l) по-долу.</t>
  </si>
  <si>
    <t>Емисии, които могат да се зададат пряко (DirEm*)</t>
  </si>
  <si>
    <t>Вложени горива в тази подинсталация и съответния емисионен фактор</t>
  </si>
  <si>
    <t>Претегленият емисионен фактор следва също така да включва и емисии от съответното очистване на димни газове, ако е приложимо.</t>
  </si>
  <si>
    <t>Посочените тук данни се използват само с цел проверка на съответствието и нямат пряко отражение върху емисиите, които могат да бъдат зададени, или на разпределението на квотите.</t>
  </si>
  <si>
    <t>Вложени горива</t>
  </si>
  <si>
    <t>Претеглен емисионен фактор</t>
  </si>
  <si>
    <t>Други вътрешни пораждащи емисии потоци, получени или подадени от тази подинсталация</t>
  </si>
  <si>
    <t>Имайте предвид, че всички пораждащи емисии потоци трябва да се изброят тук само ако не са обхванати от преките емисии в буква g) по-горе, за да се избегнат пропуски в данните или двойно отчитане. Емисиите, свързани с отпадните газове, НЕ могат да се изброяват тук, а трябва да се посочват в буква l) по-долу.</t>
  </si>
  <si>
    <t>Тук въведете информация за т.нар. вътрешни пораждащи емисии потоци, които се пренасят между подинсталациите, т.е. са получени или подадени от тази подинсталация.</t>
  </si>
  <si>
    <t>Така например, ако това е подинсталацията за „кокс“ на комбинирана инсталация за чугун и стомана, емисиите, свързани с консумацията на кокс, възникват в доменната пещ и не трябва да се задават на тази подинсталация (т.е. подинсталацията за „кокс“). Въпреки това част от емисиите се включват в буква g) по-горе, защото въглищата, които се вкарват в коксовата пещ, ще са един от зададените на първата стъпка пораждащи емисии потоци.</t>
  </si>
  <si>
    <t>За да се избегне двойно отчитане, коксът, който излиза от коксовата подинсталация, трябва да се коригира като изходящ „вътрешен пораждащ емисии поток“. Това става чрез отрицателна стойност за количеството кокс в случай на „подаване“. За да се получи пълен баланс на емисиите от въглищата, вкарани в коксовата подинсталация, емисиите, свързани с използването на коксов газ (= отпаден газ), са отразени в буква g) по-горе (както е включено в емисиите от въглища), до степента на използване на газа в рамките на подинсталацията. Тук не трябва да се внасят корекции, за да се отчетат подадените количества отпаден газ; това се прави в l).xx. по-долу.</t>
  </si>
  <si>
    <t>И обратно, ако това е подинсталация с показател за течни черни метали в комбинирана инсталация за чугун и стомана, коксът трябва да се посочи тук като входящ/получен „вътрешен“ пораждащ емисии поток с положително количество.</t>
  </si>
  <si>
    <t>За тази подинсталация отнасят ли се други получени или подадени вътрешни пораждащи емисии потоци?</t>
  </si>
  <si>
    <t>Ако има над два получени или подадени пораждащи емисии потока, тези няколко пораждащи емисии потока следва да се групират заедно и да се посочат имената им.</t>
  </si>
  <si>
    <t>Име на други пораждащи емисии потоци — 1:</t>
  </si>
  <si>
    <t>Други пораждащи емисии потоци — 1</t>
  </si>
  <si>
    <t>Получено или подадено количество</t>
  </si>
  <si>
    <t>Долна топлина на изгаряне (NCV), ако е приложимо</t>
  </si>
  <si>
    <t>Въглеродно съдържание (тегловни %)</t>
  </si>
  <si>
    <t>Съдържание на биомаса (като дял от въглеродното съдържание)</t>
  </si>
  <si>
    <t>Емисии (от горива, изчислени)</t>
  </si>
  <si>
    <t>Допълнителна информация за справка: Емисии от биомаса</t>
  </si>
  <si>
    <t>Енергийно съдържание (изчислено)</t>
  </si>
  <si>
    <t>Съобщения за грешка (емисии)</t>
  </si>
  <si>
    <t>Име на други пораждащи емисии потоци — 2:</t>
  </si>
  <si>
    <t>Други пораждащи емисии потоци — 2</t>
  </si>
  <si>
    <t>Количество на парникови газове, които са получени или подадени като суровини</t>
  </si>
  <si>
    <t>Съгласно раздел 3.1, букви к) и л) от приложение IV към ПБР, моля, посочете тук количеството на прехвърления CO2, получен от или подаден към други подинсталации, инсталации или други обекти, съгласно правилата, определени в Регламента относно мониторинга и докладването.</t>
  </si>
  <si>
    <t>Подадените количества трябва да се въведат като отрицателни стойности и да съответстват на подадения CO2, който не е изпуснат в атмосферата от тази подинсталация.</t>
  </si>
  <si>
    <t>Получени или подадени парникови газове</t>
  </si>
  <si>
    <t>Получаване и подаване на измерима топлинна енергия от тази подинсталация</t>
  </si>
  <si>
    <t>Посочените тук данни ще се отразят на емисиите, които могат да бъдат зададени съгласно раздел 10.1.2 и 10.1.3 от приложение VII към ПБР.</t>
  </si>
  <si>
    <t>Това включва общото количество топлинна енергия, произведено във, получено от или подадено към (под)инсталации, обхванати от СТЕ на ЕС, или инсталации или обекти извън СТЕ на ЕС. При специфичните емисионни фактори (EF), свързани с топлинната енергия, трябва да се отчитат разпоредбите на раздели 8 и 10 от приложение VII към ПБР, и по-специално раздели 10.1.2 и 10.1.3.</t>
  </si>
  <si>
    <t>Емисиите, свързани с измерима топлинна енергия, произведена в рамките на обекта от съоръжения, които обслужват повече от една подинсталация, също трябва да се въведат тук под „получени емисии“, вместо да се зададат директно чрез емисионния фактор за горивата от буква g) по-горе. Същото важи и за всяка топлинна енергия, „получена“ от други подинсталации.</t>
  </si>
  <si>
    <t xml:space="preserve">Когато топлинната енергия е произведена изключително за една подинсталация и поради това съответните емисии са вписани в буква g) по-горе, съответните количества не трябва да се докладват тук като „получени“, за да се избегне двойно отчитане. </t>
  </si>
  <si>
    <t>За задаването на емисии от комбинираното производство на енергия (КПТЕ) при производството на топлинна енергия трябва да използвате „Инструмента за КПТЕ“ от раздел D.III от настоящия образец.</t>
  </si>
  <si>
    <t>Общо получена топлинна енергия</t>
  </si>
  <si>
    <t>Нетно количество получена топлинна енергия</t>
  </si>
  <si>
    <t>Специфичен EF (получена топлинна енергия)</t>
  </si>
  <si>
    <t>Специфична получена топлинна енергия</t>
  </si>
  <si>
    <t>Нетно количество топлинна енергия, получена от подинсталации за пулп</t>
  </si>
  <si>
    <t>Нетно количество топлинна енергия, получена от подинсталации за азотна киселина</t>
  </si>
  <si>
    <t>Общо подадена топлинна енергия</t>
  </si>
  <si>
    <t>Нетно количество подадена топлинна енергия</t>
  </si>
  <si>
    <t>Специфичен EF (подадена топлинна енергия)</t>
  </si>
  <si>
    <t>Баланс на отпадните газове за тази инсталация</t>
  </si>
  <si>
    <t>От значение ли са отпадните газове за тази подинсталация?</t>
  </si>
  <si>
    <t>Ако отговорът е „невярно“, целият раздел ще бъде защрихован в сиво и можете да продължите към следващите точки по-долу.</t>
  </si>
  <si>
    <t>Видове произведени отпадни газове:</t>
  </si>
  <si>
    <t>Можете да изберете да подадете данните в тонове или 1000 Nm3. Мерните единици трябва да съответстват на използваните за долна топлина на изгаряне (NCV) и емисионния фактор по-долу.</t>
  </si>
  <si>
    <t>Произведени количества</t>
  </si>
  <si>
    <t>Произведен отпаден газ</t>
  </si>
  <si>
    <t>Специфичен EF (произведен отпаден газ)</t>
  </si>
  <si>
    <t>Видове консумирани отпадни газове:</t>
  </si>
  <si>
    <t>Това включва всички видове отпадни газове, които се консумират от тази подинсталация при производството на измерима топлинна енергия, неизмерима топлинна енергия (включително необходимото за безопасността изгаряне във факел) или механична енергия (различна от тази за електропроизводство). Количествата, резултат от изгаряне във факел, различни от необходимото за безопасността изгаряне във факел, се отчитат в следващата точка по-долу.</t>
  </si>
  <si>
    <t>Консумирани количества</t>
  </si>
  <si>
    <t>Консумиран отпаден газ</t>
  </si>
  <si>
    <t>Специфичен EF (консумиран отпаден газ)</t>
  </si>
  <si>
    <t>Видове отпадни газове резултат от изгаряне във факел:</t>
  </si>
  <si>
    <t>Това включва всички видове отпадни газове, които в крайна сметка са изгорени във факел, различни от необходимото за безопасността изгаряне във факел, в подинсталацията или извън нея.</t>
  </si>
  <si>
    <t>Посочените тук данни се използват само с цел проверка на съответствието и нямат пряко отражение върху емисиите, които могат да бъдат зададени.</t>
  </si>
  <si>
    <t>Въпреки това от 2026 г. квотите ще бъдат намалени по отношение на факелното изгаряне на отпадни газове, различно от необходимото за безопасността изгаряне във факел.</t>
  </si>
  <si>
    <t>Количества, изгорени във факел</t>
  </si>
  <si>
    <t>Изгорен във факел отпаден газ</t>
  </si>
  <si>
    <t>Специфичен EF (изгорен във факел отпаден газ)</t>
  </si>
  <si>
    <t>Видове получени отпадни газове:</t>
  </si>
  <si>
    <t>Посочените тук данни ще се отразят на емисиите, които могат да бъдат зададени съгласно раздел 10.1.5 от приложение VII към ПБР.</t>
  </si>
  <si>
    <t>Това включва всички видове отпадни газове, произведени извън системните граници на тази подинсталация, но получени от нея и използвани за производството на измерима топлинна енергия, неизмерима топлинна енергия (включително необходимото за безопасността изгаряне във факел) или механична енергия (различна от тази за електропроизводство).</t>
  </si>
  <si>
    <t>Получени количества</t>
  </si>
  <si>
    <t>Получен отпаден газ</t>
  </si>
  <si>
    <t>Специфичен EF (получен отпаден газ)</t>
  </si>
  <si>
    <t>Видове подадени отпадни газове:</t>
  </si>
  <si>
    <t>Това включва всички видове отпадни газове, произведени в системните граници на тази подинсталация и подадени от тази инсталация към други подинсталации, както и към всички други инсталации или обекти.</t>
  </si>
  <si>
    <t>Подадени количества</t>
  </si>
  <si>
    <t>Подаден отпаден газ</t>
  </si>
  <si>
    <t>Специфичен EF (подаден отпаден газ)</t>
  </si>
  <si>
    <t>Посочените тук данни ще се отразят на емисиите, които могат да бъдат зададени съгласно раздел 10 от приложение VII към ПБР.</t>
  </si>
  <si>
    <t>Това включва електроенергията, произведена директно от тази подинсталация, съгласно раздел 3.1, буква и) от приложение IV към ПБР. Електроенергията, произведена чрез междинна измерима топлинна енергия, не се посочват тук, а като подадена измерима топлинна енергия в k).v по-горе.</t>
  </si>
  <si>
    <t>Произведена електроенергия</t>
  </si>
  <si>
    <t>Общо количество произведен пулп</t>
  </si>
  <si>
    <t>Съгласно раздел 2.7, буква к) от приложение IV към ПБР се отчита общото количество пулп, произведен за подинсталации с продуктов показател за късовлакнест крафт-пулп, дълговлакнест крафт-пулп, термомеханичен пулп и механичен пулп или сулфитен пулп.</t>
  </si>
  <si>
    <t>Този раздел ще бъде защрихован в сиво, ако тази подинсталация не е една от тези видове подинсталации за производство на пулп. В такъв случай, моля, продължете с точките по-долу.</t>
  </si>
  <si>
    <t>Посочените тук данни ще са необходими при актуализацията на конкретния показател за пулп.</t>
  </si>
  <si>
    <t>Получаване или подаване на междинни продукти, обхванати от продуктови показатели</t>
  </si>
  <si>
    <t>За да се избегне двойно отчитане или пропуски в зададените емисии при определянето на актуализираните показатели, съгласно изискванията на раздел 2.7, буква г) от приложение IV към ПБР е необходимо да подадете данни за получените или подадените междинни продукти, обхванати от който и да било от продуктовите показатели, изброени в приложение I към ПБР.</t>
  </si>
  <si>
    <t>Посочените тук данни могат да се отразят на актуализацията на конкретния показател.</t>
  </si>
  <si>
    <t>Има ли получени или подадени междинни продукти, които са обхванати от продуктови показатели?</t>
  </si>
  <si>
    <t>Получени количества:</t>
  </si>
  <si>
    <t>Подадени количества:</t>
  </si>
  <si>
    <t>Описание на получените или подадените междинни продукти</t>
  </si>
  <si>
    <t>Моля, опишете накратко производствения процес във връзка с получени или подадени междинни продукти.</t>
  </si>
  <si>
    <t>За задаването на емисии от комбинираното производство на енергия (КПТЕ) при производството на топлинна енергия трябва да използвате „Инструмента за КПТЕ“ от раздел D.III.</t>
  </si>
  <si>
    <t>Нетно количество топлинна енергия, получена от пулп</t>
  </si>
  <si>
    <t>Работен лист „Fall-back“ — ДАННИ ЗА АЛТЕРНАТИВНИ ПОДИНСТАЛАЦИИ („FALL-BACK SUB-INSTALLATIONS“)</t>
  </si>
  <si>
    <t>В навигационната лента по-горе се съдържат само връзки към подинсталации, избрани в раздел A.III.2 като „от значение“.</t>
  </si>
  <si>
    <t>Името на алтернативната подинсталация („fall-back sub-installation“) се показва автоматично въз основа на общия списък на възможните алтернативни инсталации.</t>
  </si>
  <si>
    <t>Следните данни се вземат автоматично от раздел E.II.r на лист „E_EnergyFlows“ („E_Енергийни потоци“).Затова въвеждането на данни там е задължително.</t>
  </si>
  <si>
    <t>Основно равнище на дейност:</t>
  </si>
  <si>
    <t>Определяне на съответните продукти или услуги, свързани с тази подинсталация</t>
  </si>
  <si>
    <t>Тук посочете към кои производствени процеси или услуги има отношение тази подинсталация. Това може да включва следните елементи:</t>
  </si>
  <si>
    <t>Производство на стоки, непопадащи в продуктовите показатели в рамките на инсталацията (посочете вида продукти);</t>
  </si>
  <si>
    <t>производство на механична енергия, за отопление или охлаждане (всички употреби без производство на електроенергия);</t>
  </si>
  <si>
    <t>подаване на топлинна енергия към инсталации или други обекти (различни от топлофикационни мрежи). В такъв случай посочете употребата на топлинната енергия в посочената инсталация или обект, ако е известна.</t>
  </si>
  <si>
    <t>Ако са обхванати няколко подобни продукта в рамките на една група по NACE, могат да се използват кодовете по NACE вместо по Продком.</t>
  </si>
  <si>
    <t>Вид употреба</t>
  </si>
  <si>
    <t>В рамките на инсталацията или за подаване?</t>
  </si>
  <si>
    <t>Име на продукта или „топлофикационна мрежа“</t>
  </si>
  <si>
    <t>Равнища на производство:</t>
  </si>
  <si>
    <t>Емисии, които могат се зададат пряко (DirEm*) на тази подинсталация</t>
  </si>
  <si>
    <t>Моля, въведете преките емисии, като вземете предвид следните уговорки:</t>
  </si>
  <si>
    <t>За преките емисии се извършва мониторинг в съответствие с плана за мониторинг, одобрен съгласно Регламента относно мониторинга и докладването (РМД), т.е. като се отчитат емисиите, получени по методики, основани на изчисления (като се използват пораждащите емисии потоци), по базиращи се на измервания методики (БИМ), както и по подходи без подреждане („fall-backs“).</t>
  </si>
  <si>
    <t>В някои случая обаче в този раздел „преките емисии“ не са същите като отчетените съгласно РМД. Такива случаи са например пораждащи емисии потоци, използвани за производство на измерима топлинна енергия, отпадни газове и др. С други думи, моля, попълнете разделите по-долу при строго спазване на инструкциите, за да се избегнат двойно отчитане или пропуски.</t>
  </si>
  <si>
    <t xml:space="preserve">Измерима топлинна енергия: в случай че топлинната енергия е произведена изключително за тази подинсталация, емисиите могат да се зададат пряко тук чрез емисиите от горивата. </t>
  </si>
  <si>
    <t>Когато при производството на измерима топлинна енергия, която се консумира в повече от една подинсталация (напр. централна електростанция в инсталацията или по-сложна мрежа за генериране на пара с няколко съоръжения за производство на топлинна енергия), са използвани горива, горивата не трябва да се включват в преките емисии на подинсталацията, а в точка f).i по-долу.</t>
  </si>
  <si>
    <t>Отпадни газове: емисиите, свързани с измерима топлинна енергия, произведена от отпадните газове, получени от други инсталации или подинсталации и използвани в тази подинсталация, не се включват тук, а се въвеждат в точка f).xiii по-долу.</t>
  </si>
  <si>
    <t>Терминът „гориво“ следва да се тълкува като всеки запалим пораждащ емисии поток съгласно РМД, за който може да се установи долната топлина на изгаряне. Претегленият емисионен фактор съответства на натрупаните емисии от горива, включително тези, използвани за производство на измерима топлинна енергия, разделени на общото енергийно съдържание.</t>
  </si>
  <si>
    <t>Вложените горива от отпадни газове включват съответната вложена енергия за производство на измеримата топлинна енергия, използвана от тази подинсталация.</t>
  </si>
  <si>
    <t>Въведените тук стойности се използват при баланса на отпадните газове в раздел E.III.h.</t>
  </si>
  <si>
    <t>Общо вложени горива</t>
  </si>
  <si>
    <t>Вложени горива от отпадни газове</t>
  </si>
  <si>
    <t>Специфичен EF (отпаден газ)</t>
  </si>
  <si>
    <t xml:space="preserve">Моля, тук въведете измеримата топлинна енергия съгласно раздел 3.2, буква а) от приложение IV към ПБР. </t>
  </si>
  <si>
    <t>Обикновено стойността е различна от равнището на дейност на подинсталацията, посочено в буква a) по-горе, тъй като в него освен нетните количества на измеримата топлинна енергия, консумирана или подадена към обекти извън СТЕ, са съобразени и загубите на топлинна енергия и не се вземат предвид количествата получена топлинна енергия, които се въвеждат в буква f) по-долу.</t>
  </si>
  <si>
    <t>Получавана отвън измерима топлинна енергия</t>
  </si>
  <si>
    <t>Моля, по-долу въведете количеството на измеримата топлинна енергия, получена от всеки от следните източници:</t>
  </si>
  <si>
    <t>Нетно количество получена топлинна енергия (други източници): това включва топлинната енергия, получена от други инсталации или, в случай че измеримата топлинна енергия е консумирана от повече от една подинсталация — топлинната енергия, произведена в рамките на обекта и консумирана в тази подинсталация. Тук не се включва измерима топлинна енергия, получена от която и да било подинсталация с продуктов показател, от производство на пулп, измерима топлинна енергия, извлечена от подинсталации с горивен показател или от отпадни газове, защото тези данни се вписват в отделни полета.</t>
  </si>
  <si>
    <t>Топлинна енергия от подинсталации с продуктов показател: това включва измерима топлинна енергия, подадена от подинсталации с продуктов показател освен измеримата топлинна енергия от подинсталации, които произвеждат пулп или азотна киселина.</t>
  </si>
  <si>
    <t>Топлинна енергия от пулп: това включва топлинна енергия, получена от подинсталации за производство на пулп.</t>
  </si>
  <si>
    <t>Топлинна енергия от подинсталации с горивен показател: това включва измерима топлинна енергия, извлечена от отпадни газове от подинсталации с горивен показател</t>
  </si>
  <si>
    <t>Топлинна енергия от отпадни газове: това включва измерима топлинна енергия, произведена от отпадни газове.</t>
  </si>
  <si>
    <t>Тук не включвайте топлинна енергия, получена от източници „които не отговарят на условията“ т.е. инсталации, които не са обхванати от СТЕ на ЕС, или топлинна енергия, произведена в подинсталации за азотна киселина.</t>
  </si>
  <si>
    <t>При специфичните емисионни фактори (EF), свързани с топлинната енергия, трябва да се отчитат разпоредбите на раздели 8 и 10 от приложение VII към ПБР, и по-специално раздели 10.1.2 и 10.1.3.</t>
  </si>
  <si>
    <t>Нетно количество получена топлинна енергия (други източници)</t>
  </si>
  <si>
    <t>Топлинна енергия от подинсталации с продуктов показател</t>
  </si>
  <si>
    <t>Специфичен EF (от продуктов показател)</t>
  </si>
  <si>
    <t>Топлинна енергия от пулп</t>
  </si>
  <si>
    <t>Специфичен EF (от пулп)</t>
  </si>
  <si>
    <t>Топлинна енергия от подинсталации с горивен показател</t>
  </si>
  <si>
    <t>Специфичен EF (от горивен показател)</t>
  </si>
  <si>
    <t>Топлинна енергия от отпадни газове</t>
  </si>
  <si>
    <t>Специфичен EF (от отпаден газ)</t>
  </si>
  <si>
    <t>Общо нетно количество получена топлинна енергия</t>
  </si>
  <si>
    <t>Моля, тук въведете преките емисии, за които се извършва мониторинг в съответствие с плана за мониторинг, одобрен съгласно Регламента относно мониторинга и докладването (РМД), т.е. като се отчитат емисиите, получени по методики, основани на изчисления (като се използват пораждащите емисии потоци), по базиращи се на измервания методики (БИМ), както и по подходи без подреждане („fall-backs“).</t>
  </si>
  <si>
    <t>Емисиите от горене на отпадни газове обаче не се включват тук, а в точка d).iii по-долу.</t>
  </si>
  <si>
    <t>Стойностите за i. и ii. се генерират автоматично въз основа на данните, въведени в точки a) и c) по-горе.</t>
  </si>
  <si>
    <t>В iii. и iv. трябва да въведете съответно вложеното гориво от отпадни газове и съответния емисионен фактор.</t>
  </si>
  <si>
    <t>Претеглен емисионен фактор (=c./d.)</t>
  </si>
  <si>
    <t>Това включва всяка отпадна топлина, извлечена и отговаряща на условията за подинсталация с топлинен показател или подинсталация на топлофикационна мрежа.</t>
  </si>
  <si>
    <t>Работен лист „SpecialBM“ („Специфичен показател“) — СПЕЦИФИЧНИ ДАННИ ЗА НЯКОИ ПРОДУКТОВИ ПОКАЗАТЕЛИ</t>
  </si>
  <si>
    <t>Приведени по CO2 тонове — CWT (нефтохимически продукти)</t>
  </si>
  <si>
    <t>Инструмент за изчисляване на историческите равнища на дейност за подинсталациионните рафинерии</t>
  </si>
  <si>
    <t>Този инструмент Ви помага при определяне на HAL (исторически равнища на дейност) за продуктовия показател за нефтохимически продукти (приложение III, точка 1 от ПБР).</t>
  </si>
  <si>
    <t>За показателя за ароматни съединения, за който също се прилага CWT, използвайте специфичния инструмент CWT за ароматни съединения (раздел V от настоящия работен лист).</t>
  </si>
  <si>
    <t>Резултатът от този инструмент се копира автоматично в работен лист „F_ProductBM“, ред „a).ii“ за съответната подинсталация.</t>
  </si>
  <si>
    <t>Практическо значение на този инструмент за Вашата инсталация:</t>
  </si>
  <si>
    <t>Това съобщение се генерира автоматично въз основа на въведените от Вас данни в работен лист „A_InstallationData“ („А_Данни за инсталацията“), раздел A.III.1.</t>
  </si>
  <si>
    <t>Данни за количеството обработени материали по CWT</t>
  </si>
  <si>
    <t>Тук въведете данните за годишното количество обработени материали за всяка CWT дейност.</t>
  </si>
  <si>
    <t>За дефиницията и границите на всяка CWT дейност вж. точка 1 от приложение II към ПБР.</t>
  </si>
  <si>
    <t>Използвани са следните съкращения:</t>
  </si>
  <si>
    <t>Нетни сурови захранвани материали</t>
  </si>
  <si>
    <t>Реакторни захранвани материали (вкл. рециклирани)</t>
  </si>
  <si>
    <t>Продуктови захранвани материали</t>
  </si>
  <si>
    <t>Произведен синтетичен газ в агрегатите за частично окисляване</t>
  </si>
  <si>
    <t>Важна забележка:  В съответствие с приложение II към ПБР мерните единици за отчитане са килотона обработен материал.</t>
  </si>
  <si>
    <t>CWT дейност</t>
  </si>
  <si>
    <t>Вид база за коефициента (в kt/г.)</t>
  </si>
  <si>
    <t>CWT коефициент</t>
  </si>
  <si>
    <t>Атмосферна дестилация на суров нефт</t>
  </si>
  <si>
    <t xml:space="preserve">Вакуумна дестилация </t>
  </si>
  <si>
    <t xml:space="preserve">Деасфалтиране с разтворител </t>
  </si>
  <si>
    <t xml:space="preserve">Висбрекинг </t>
  </si>
  <si>
    <t>Термичен крекинг</t>
  </si>
  <si>
    <t xml:space="preserve">Забавено коксуване </t>
  </si>
  <si>
    <t xml:space="preserve">Поточно коксуване </t>
  </si>
  <si>
    <t xml:space="preserve">Флекси-коксуване </t>
  </si>
  <si>
    <t xml:space="preserve">Калциниране на кокс </t>
  </si>
  <si>
    <t>Каталитичен крекинг тип флуид</t>
  </si>
  <si>
    <t xml:space="preserve">Други видове каталитичен крекинг </t>
  </si>
  <si>
    <t xml:space="preserve">Крекинг във водородна среда на дестилат / газьол </t>
  </si>
  <si>
    <t xml:space="preserve">Крекинг във водородна среда на мазут </t>
  </si>
  <si>
    <t>Хидрообезсеряване на лигроин/бензин</t>
  </si>
  <si>
    <t xml:space="preserve">Хидрообезсеряване на керосин / дизелово гориво </t>
  </si>
  <si>
    <t xml:space="preserve">Хидрообезсеряване на мазут </t>
  </si>
  <si>
    <t>Хидрообезсеряване на вакуумно дестилиран газьол</t>
  </si>
  <si>
    <t xml:space="preserve">Производство на водород </t>
  </si>
  <si>
    <t>Каталитичен реформинг</t>
  </si>
  <si>
    <t xml:space="preserve">Алкилиране </t>
  </si>
  <si>
    <t>C4 изомеризация</t>
  </si>
  <si>
    <t>C5/C6 изомеризация</t>
  </si>
  <si>
    <t xml:space="preserve">Производство на обогатени с кислород вещества </t>
  </si>
  <si>
    <t xml:space="preserve">Производство на пропилен </t>
  </si>
  <si>
    <t>Производство на асфалт</t>
  </si>
  <si>
    <t>Смесване на съставките на полимерно модифициран асфалт</t>
  </si>
  <si>
    <t>Улавяне на сярата</t>
  </si>
  <si>
    <t>Екстракция на ароматни съединения чрез разтворители (ASE)</t>
  </si>
  <si>
    <t>Хидродеалкилиране</t>
  </si>
  <si>
    <t>Диспропорциониране/деалкилиране на толуен (TDP/TDA)</t>
  </si>
  <si>
    <t>Производство на циклохексан</t>
  </si>
  <si>
    <t>Изомеризация на ксилен</t>
  </si>
  <si>
    <t>Производство на параксилен</t>
  </si>
  <si>
    <t>Производство на метаксилен</t>
  </si>
  <si>
    <t>Производство на фталов анхидрид</t>
  </si>
  <si>
    <t>Производство на малеинов анхидрид</t>
  </si>
  <si>
    <t>Производство на етилбензен</t>
  </si>
  <si>
    <t>Производство на кумен</t>
  </si>
  <si>
    <t>Производство на фенол</t>
  </si>
  <si>
    <t>Екстракция на смазочно масло с разтворител</t>
  </si>
  <si>
    <t>Отстраняване с разтворител на парафина от смазочно масло</t>
  </si>
  <si>
    <t>Каталитична изомеризация на парафини</t>
  </si>
  <si>
    <t xml:space="preserve">Агрегат за крекинг на смазочно масло във водородна среда </t>
  </si>
  <si>
    <t xml:space="preserve">Обезмасляване на парафини </t>
  </si>
  <si>
    <t xml:space="preserve">Хидрообезсеряване на смазочни масла/парафини </t>
  </si>
  <si>
    <t>Хидрообезсеряване на разтворители</t>
  </si>
  <si>
    <t>Фракциониране на разтворители</t>
  </si>
  <si>
    <t>Моларно сито за парафини C10+</t>
  </si>
  <si>
    <t>Частично окисляване на захранвани тежки фракции за получаване на синтетичен горивен газ</t>
  </si>
  <si>
    <t>Частично окисляване на захранвани тежки фракции за получаване на водород или метанол</t>
  </si>
  <si>
    <t>Получаване на метанол от синтетичен газ</t>
  </si>
  <si>
    <t>Сепарация на въздуха</t>
  </si>
  <si>
    <t>Фракциониране на закупени NGL (течни въглеводороди от природен газ)</t>
  </si>
  <si>
    <t>Очистване на димните газове</t>
  </si>
  <si>
    <t>Третиране и сгъстяване на горивен газ за продажба</t>
  </si>
  <si>
    <t>Обезсоляване на морска вода</t>
  </si>
  <si>
    <t>Резултат: Равнища на дейност за продуктовия показател за нефтохимически продукти, изразени като CWT</t>
  </si>
  <si>
    <t>Тук равнището на дейност за рафинериите се изчислява с помощта на формулата от точка 1 от приложение III към ПБР (преди да се определи статистическата медиана).</t>
  </si>
  <si>
    <t>Важна забележка: Отчитането по-горе се прави в килотонове, но показателят се определя в t CO2/CWT, където CWT се изразява в тонове.</t>
  </si>
  <si>
    <t>По тази причина резултатите по-долу се умножават по коефициент 1000, което не е изрично посочено в точка 1 от приложение III към ПБР.</t>
  </si>
  <si>
    <t>Резултатът от този инструмент се използва в работен лист „F_ProductBM“, ред a).ii за съответната подинсталация, от която е изчислена статистическата медиана.</t>
  </si>
  <si>
    <t>Равнище на дейност на рафинерията</t>
  </si>
  <si>
    <t>Вар</t>
  </si>
  <si>
    <t>Инструмент за изчисляване на историческите равнища на дейност за подинсталациите за вар</t>
  </si>
  <si>
    <t>Този инструмент Ви помага при определяне на HAL (исторически равнища на активност) за продуктовия показател за вар (приложение III, точка 2 от ПБР).</t>
  </si>
  <si>
    <t>Некоригирано производство на вар:</t>
  </si>
  <si>
    <t>Тук въведете данните за годишното производство, изразено в тонове вар, без корекция на данните за състава:</t>
  </si>
  <si>
    <t>некоригирано производство на вар</t>
  </si>
  <si>
    <t>Данни за състава:</t>
  </si>
  <si>
    <t>Съгласно точка 2 от приложение III към ПБР са необходими следните данни:</t>
  </si>
  <si>
    <t>съдържание на свободен CaO във вар, произведена през всяка година от базовия период, изразено в тегловни проценти</t>
  </si>
  <si>
    <t>съдържание на свободен MgO в вар, произведена през всяка година от базовия период, изразено в тегловни проценти</t>
  </si>
  <si>
    <t>Съдържание на CaO</t>
  </si>
  <si>
    <t>Съдържание на MgO</t>
  </si>
  <si>
    <t>Резултат: Равнища на дейност за вар, изразени като стандартна чиста вар</t>
  </si>
  <si>
    <t>Тук коригираното равнище на дейност за вар се изчислява с помощта на формулата от точка 2 от приложение III към ПБР (преди да се определи статистическата медиана).</t>
  </si>
  <si>
    <t>производство на стандартна чиста вар</t>
  </si>
  <si>
    <t>Доломитна вар</t>
  </si>
  <si>
    <t>Инструмент за изчисляване на историческите равнища на дейност за подинсталациите за доломитна вар</t>
  </si>
  <si>
    <t>Този инструмент Ви помага при определяне на HAL (исторически равнища на дейност) за продуктовия показател за доломитна вар (приложение III, точка 3 от ПБР). Той не може да се използва при „синтерована доломитна вар“.</t>
  </si>
  <si>
    <t>Некоригирано производство на доломитна вар:</t>
  </si>
  <si>
    <t>Тук въведете данните за годишното производство, изразено в тонове доломитна вар, без корекция на данните за състава:</t>
  </si>
  <si>
    <t>некоригирано производство на доломитна вар</t>
  </si>
  <si>
    <t>Съгласно точка 3 от приложение III към ПБР са необходими следните данни:</t>
  </si>
  <si>
    <t>съдържание на свободен CaO в доломитната вар, произведена през всяка година от базовия период, изразено в тегловни проценти</t>
  </si>
  <si>
    <t>съдържание на свободен MgO в доломитната вар, произведена през всяка година от базовия период, изразено в тегловни проценти</t>
  </si>
  <si>
    <t>Резултат: Равнища на дейност за доломитна вар, изразени като стандартна чиста доломитна вар</t>
  </si>
  <si>
    <t>Тук коригираното равнище на дейност за доломитна вар се изчислява с помощта на формулата от точка 3 от приложение III към ПБР (преди да се определи статистическата медиана).</t>
  </si>
  <si>
    <t>производство на стандартна чиста доломитна вар</t>
  </si>
  <si>
    <t>Крекинг с водна пара</t>
  </si>
  <si>
    <t>Инструмент за изчисляване на историческите равнища на дейност за подинсталациите за крекинг с водна пара</t>
  </si>
  <si>
    <t>Този инструмент Ви помага при определяне на HAL (исторически равнища на дейност) за продуктовия показател за крекинг с водна пара (приложение III, точка 4 от ПБР).</t>
  </si>
  <si>
    <t>Общо производство на ценни химични вещества (HVC общо)</t>
  </si>
  <si>
    <t>Тук въведете данните за годишното производство, изразено в тонове HVC (без корекции)</t>
  </si>
  <si>
    <t>Общо HVC</t>
  </si>
  <si>
    <t>Данни за допълнителни захранвани материали:</t>
  </si>
  <si>
    <t>Съгласно точка 4 от приложение III към ПБР са необходими следните данни:</t>
  </si>
  <si>
    <t>историческо равнище на допълнително захранвания водород през всяка година от базовия период, изразено в тонове водород</t>
  </si>
  <si>
    <t>историческо равнище на допълнително захранвания етилен през всяка година от базовия период, изразено в тонове етилен</t>
  </si>
  <si>
    <t>историческо равнище на допълнително захранвани други видове ценни химични вещества (различни от водород и етилен) през всяка година от базовия период, изразено в тонове HVC</t>
  </si>
  <si>
    <t>Допълнителни захранвани материали</t>
  </si>
  <si>
    <t>Водород</t>
  </si>
  <si>
    <t>Етилен</t>
  </si>
  <si>
    <t>Други HVC</t>
  </si>
  <si>
    <t>Резултат: Равнища на дейност за нетните HVC</t>
  </si>
  <si>
    <t>Тук коригираното равнище на дейност (нетно количество HVC) се изчислява с помощта на формулата от точка 4 от приложение III към ПБР (преди да се определи статистическата медиана).</t>
  </si>
  <si>
    <t>Нетни равнища на производство на HVC</t>
  </si>
  <si>
    <t>Инструмент за крекинг с водна пара част 2: предварително разпределяне (член 19 от ПБР)</t>
  </si>
  <si>
    <t>С помощта на този инструмент можете да определите предварителното разпределяне за подинсталациите за крекинг с водна пара (член 19 от ПБР).</t>
  </si>
  <si>
    <t>С него се определя количеството, което трябва да се добави към предварителното годишно разпределяне след корекция за заменяемостта на електроенергията.</t>
  </si>
  <si>
    <t>Необходимите данни за историческото производство на водород, етилен и други HVC, получени от допълнителни захранвани материали, изразено в тонове и взето от IV.1.c по-горе;</t>
  </si>
  <si>
    <t>Производство от допълнителни захранвани материали:</t>
  </si>
  <si>
    <t>Данните се вземат автоматично от раздел IV.1.c по-горе. Коефициентите се вземат от член 19 от ПБР.</t>
  </si>
  <si>
    <t>Производство от допълнителни захранвани материали</t>
  </si>
  <si>
    <t>Коефициент</t>
  </si>
  <si>
    <t>Резултат: Количество, което трябва да бъде добавено към предварителното общо разпределено количество за инсталацията за крекинг с водна пара:</t>
  </si>
  <si>
    <t>Изчисление въз основа на формулата от член 19 от ПБР.</t>
  </si>
  <si>
    <t>Количество, чието разпределяне трябва да се коригира:</t>
  </si>
  <si>
    <t>CWT (ароматни съединения)</t>
  </si>
  <si>
    <t>Инструмент за изчисляване на историческите равнища на дейност за подинсталациите за ароматни съединения</t>
  </si>
  <si>
    <t>Този инструмент Ви помага при определяне на HAL (исторически равнища на дейност) за продуктовия показател за ароматни съединения (приложение III, точка 5 от ПБР).</t>
  </si>
  <si>
    <t>За показателя за рафинерии, за който също се прилага CWT, използвайте специфичния инструмент CWT за рафинерии (раздел I от настоящия работен лист).</t>
  </si>
  <si>
    <t>За дефиницията и границите на всяка CWT дейност вж. точка 2 от приложение II към ПБР.</t>
  </si>
  <si>
    <t>Резултат: Равнища на дейност за продуктовия показател за ароматни съединения, изразени като CWT</t>
  </si>
  <si>
    <t>Тук равнището на дейност за ароматните съединения се изчислява с помощта на формулата от точка 5 от приложение III към ПБР (преди да се определи статистическата медиана).</t>
  </si>
  <si>
    <t>Важна забележка: Отчитането се прави в килотонове, но показателят се определя в t CO2/CWT, където CWT се изразява в тонове.</t>
  </si>
  <si>
    <t>По тази причина резултатите по-долу се умножават по коефициент 1000, което не е изрично посочено в точка 5 от приложение III към ПБР.</t>
  </si>
  <si>
    <t>Равнище на дейност за ароматните съединения</t>
  </si>
  <si>
    <t>Инструмент за изчисляване на историческите равнища на дейност за подинсталациите за водород</t>
  </si>
  <si>
    <t>Този инструмент Ви помага при определяне на HAL (исторически равнища на дейност) за продуктовия показател за водород (приложение III, точка 6 от ПБР).</t>
  </si>
  <si>
    <t>Обърнете внимание, че процентите съдържание на водород трябва да бъдат изразени като процентно съдържание в обемни единици.</t>
  </si>
  <si>
    <t>Общ обем производство на водород (некоригиран)</t>
  </si>
  <si>
    <t>Поради много високите стойности в m3, стойностите трябва да се изразят като 1 000 Nm3 (нормални кубични метра при температура 0 °C и налягане 101 325 kPa).</t>
  </si>
  <si>
    <t>Общо производство на водород</t>
  </si>
  <si>
    <t>Обемна част на водород VF(H2)</t>
  </si>
  <si>
    <t xml:space="preserve">Можете да въведете стойността 95 % като „0,95“ или като „95 %“. </t>
  </si>
  <si>
    <t>Обемна част на водород</t>
  </si>
  <si>
    <t>Ако формулата води до отрицателна стойност, тя се заменя с нула.</t>
  </si>
  <si>
    <t>Водород (като 100 % чист H2)</t>
  </si>
  <si>
    <t>Моля, имайте предвид, че процентите за съдържанието на водород трябва да бъдат изразени като обемни проценти.</t>
  </si>
  <si>
    <t xml:space="preserve">Можете да въведете цифрата 50% или като "0.50", или като "50%". </t>
  </si>
  <si>
    <t>Резултат: Равнища на активност на синтетичен газ, посочени като тонове с 47 % съдържание на водород</t>
  </si>
  <si>
    <t>Тук коригираното равнище на активност (отнасящо се до 47 % H2) се изчислява по формулата, дадена в ПБР, приложение III, точка 7 (преди определяне на средната стойност).</t>
  </si>
  <si>
    <t>Етиленов оксид/гликоли</t>
  </si>
  <si>
    <t>Инструмент за изчисляване на историческите равнища на активност за подинсталациите с етиленов оксид/етиленгликол</t>
  </si>
  <si>
    <t>Този инструмент ви помага да определите HAL (исторически нива на активност) за референтния показател за етиленов оксид/етиленгликоли (приложение III, точка 8 от ПБР).</t>
  </si>
  <si>
    <t>Данни за производството на етиленов оксид и гликоли:</t>
  </si>
  <si>
    <t>Таблицата показва също стойностите на CF(EOE), използвани за изчисление. CF(EOE) е коефициентът на преобразуване за всяко вещество по отношение на етиленовия оксид.</t>
  </si>
  <si>
    <t>Етиленов оксид</t>
  </si>
  <si>
    <t>Моноетилен гликол</t>
  </si>
  <si>
    <t>Диетиленгликол</t>
  </si>
  <si>
    <t>Триетиленгликол</t>
  </si>
  <si>
    <t>Сума на продуктите</t>
  </si>
  <si>
    <t>Резултат: Равнища на активност за подинсталацията с продуктов показател за етиленов оксид/етиленгликоли:</t>
  </si>
  <si>
    <t>Историческото равнище на активност, изразено в тонове еквивалент на етиленов оксид, се изчислява по формулата, дадена в ПБР, приложение III, точка 8.</t>
  </si>
  <si>
    <t>Общо еквиваленти на етиленов оксид</t>
  </si>
  <si>
    <t>Инструмент за изчисляване на историческите равнища на дейност на подинсталациите за синтезен газ</t>
  </si>
  <si>
    <t>Синтезен газ</t>
  </si>
  <si>
    <t>Този инструмент ви помага да определите HAL (исторически равнища на активност) за референтния показател за синтезен газ (приложение III, точка 7 от ПБР).</t>
  </si>
  <si>
    <t>Обем на общото производство на синтезен газ (некоригиран)</t>
  </si>
  <si>
    <t>Общо производство на синтезен газ</t>
  </si>
  <si>
    <t>Синтезен газ (съдържание на H2 от 47 %)</t>
  </si>
  <si>
    <t>Винилхлориден мономер (VCM)</t>
  </si>
  <si>
    <t>Инструмент за винилхлориден мономер: предварително разпределяне (член 20 от ПБР)</t>
  </si>
  <si>
    <t>С помощта на този инструмент можете да определите предварителното разпределяне за подинсталациите за винилхлориден мономер (член 20 от ПБР).</t>
  </si>
  <si>
    <t>Необходими са следните данни:</t>
  </si>
  <si>
    <t>равнищата на дейност, въведени в работен лист „ProductBM“, раздел а), за съответната подинсталация;</t>
  </si>
  <si>
    <t>преките емисии, които могат да се зададат на тази подинсталация;</t>
  </si>
  <si>
    <t>Нетно количество измерима топлинна енергия, получена от тази подинсталация от други инсталации по СТЕ;</t>
  </si>
  <si>
    <t>Емисии, свързани с водорода: т. е. историческа консумация на топлинна енергия от изгаряне на въглерод, умножена по топлинния показател.</t>
  </si>
  <si>
    <t>Данни за емисиите:</t>
  </si>
  <si>
    <t>Тук въведете необходимите данни, както е посочено по-горе.</t>
  </si>
  <si>
    <t>Нетно количество получена измерима топлинна енергия</t>
  </si>
  <si>
    <t>Нетна консумация от изгаряне на H2</t>
  </si>
  <si>
    <t>Емисии, свързани с водорода</t>
  </si>
  <si>
    <t>Работен лист „MSspecific“ (Конкретно за държавите членки) — ДОПЪЛНИТЕЛНИ ИЗИСКВАНИЯ ЗА ДАННИ ОТ ДЪРЖАВАТА ЧЛЕНКА</t>
  </si>
  <si>
    <t>Определя се от държавата членка</t>
  </si>
  <si>
    <t>Работен лист „Comments“ („Забележки“) — ЗАБЕЛЕЖКИ И ДОПЪЛНИТЕЛНА ИНФОРМАЦИЯ</t>
  </si>
  <si>
    <t>Придружителни документи към настоящия доклад</t>
  </si>
  <si>
    <t>Тук избройте всички документи, подадени заедно с настоящия доклад</t>
  </si>
  <si>
    <t>В подкрепа на настоящия отчет са необходими допълнителни документи. Винаги когато е възможно, представяйте тази информация в електронна форма.</t>
  </si>
  <si>
    <t>Можете да предоставяте информация в Microsoft Word, Excel или Adobe Acrobat формат.</t>
  </si>
  <si>
    <t>Ако е необходимо, направете справка при Вашия компетентен орган дали се приемат и други файлови формати освен гореспоменатите.</t>
  </si>
  <si>
    <t xml:space="preserve">Към представената допълнителна документация следва да има ясни препратки, а името на файла/опознавателният код да бъде даден(о) по-долу. </t>
  </si>
  <si>
    <t xml:space="preserve">Съветваме Ви да избягвате подаване на несъществена информация, тъй като тя може да забави одобряването на отчета. </t>
  </si>
  <si>
    <t>По-долу впишете име(на) на файлове (ако са в електронна форма) или референтен(ни) номер(а) (ако са на хартия):</t>
  </si>
  <si>
    <t>Име на файл/номер</t>
  </si>
  <si>
    <t>Описание на документа</t>
  </si>
  <si>
    <t>Обосновка при несъответствия на данни</t>
  </si>
  <si>
    <t>Съгласно член 12, параграф 2 от ПБР трябва да впишете обосновка за всички несъответствия на данни, както и описание на метода, използван за отстраняването им.</t>
  </si>
  <si>
    <t>Засегнат набор от данни (Данни за дейността, EF, топлинна енергия, електроенергия...)</t>
  </si>
  <si>
    <t>Описание на пропуските в данните</t>
  </si>
  <si>
    <t>Обосновка</t>
  </si>
  <si>
    <t>Други документи:</t>
  </si>
  <si>
    <t>Свободно място за всякаква друга допълнителна информация</t>
  </si>
  <si>
    <t>В полето по-долу можете да въведете всякаква информация, която не сте могли да въведете в другите работни листове, но която считате са важна за компетентния орган</t>
  </si>
  <si>
    <t>Данни за инсталацията</t>
  </si>
  <si>
    <t>Базов период и условия за допустимост</t>
  </si>
  <si>
    <t>Емисии и енергийни потоци</t>
  </si>
  <si>
    <t>Данни за подинсталацията</t>
  </si>
  <si>
    <t>Предварително разпределяне</t>
  </si>
  <si>
    <t>Работен лист „Summary“ („Обобщение“) — ПРЕГЛЕД НА НАЙ-ВАЖНИТЕ ДАННИ</t>
  </si>
  <si>
    <t>Идентификатор на инсталацията:</t>
  </si>
  <si>
    <t>Държава членка:</t>
  </si>
  <si>
    <t>Проверяващ орган (дружество):</t>
  </si>
  <si>
    <t>Работеща инсталация:</t>
  </si>
  <si>
    <t>Дата на въвеждане в експлоатация:</t>
  </si>
  <si>
    <t>Код по NACE през 2010 г. (NACE rev 2):</t>
  </si>
  <si>
    <t>Идентификация по ЕРИПЗ:</t>
  </si>
  <si>
    <t>Име на връзката</t>
  </si>
  <si>
    <t>Идентификатор EUTL, ако е приложимо</t>
  </si>
  <si>
    <t>Вид обект</t>
  </si>
  <si>
    <t>Инсталацията отговаря на условията за безплатно разпределение на квоти съгласно член 10а от Директивата за СТЕ на ЕС:</t>
  </si>
  <si>
    <t>Данни в резултат от въвеждането в „Source streams“ („Пораждащи емисии потоци“) (работни листове B и C) или от Обобщението за емисиите (раздел D.I)</t>
  </si>
  <si>
    <t>Разпределяне на емисиите по подинсталации (раздел D.II)</t>
  </si>
  <si>
    <t>Данните се вземат автоматично от съответните светлосини полета под всяка подинсталация в раздели F и G.</t>
  </si>
  <si>
    <t>Емисиите, които могат да се зададат, се определят, както следва:</t>
  </si>
  <si>
    <t>Емисии, свързани с други вътрешни пораждащи емисии потоци.</t>
  </si>
  <si>
    <t>Количество на парникови газове, получени и подадени като суровини.</t>
  </si>
  <si>
    <t>Емисии, свързани с получена топлинна енергия съгласно раздел 10.1.2 и 10.1.3 от приложение VII към ПБР.</t>
  </si>
  <si>
    <t>Емисии, свързани с подадена топлинна енергия съгласно раздел 10.1.2 и 10.1.3 от приложение VII към ПБР.</t>
  </si>
  <si>
    <t>Емисии, свързани с получени отпадни газове съгласно раздел 10.1.5 от приложение VII към ПБР.</t>
  </si>
  <si>
    <t>Емисии, свързани с подадени отпадни газове съгласно раздел 10.1.5 от приложение VII към ПБР, които са изчислени, като е приспаднато енергийното съдържание, умножено по емисионния фактор за природен гази възприетата стойност на корекционния коефициент от 0,667.</t>
  </si>
  <si>
    <t>Емисии, свързани с приложимата консумация на електроенергия за подинсталации, за които е приложима заменяемостта на горивата и електроенергията.</t>
  </si>
  <si>
    <t>Емисии, свързани с производството на електроенергия, различно от производството чрез измерима топлинна енергия.</t>
  </si>
  <si>
    <t>емисионният фактор за получената или подадената топлинна енергия не е приложим или не е известен, т.е. не е въведена такава стойност. В такива случаи за изчислението на емисиите, които могат да се зададат, ще се използват възприетите стойности въз основа на топлинния показател, след като станат известни.</t>
  </si>
  <si>
    <t>се получават отпадни газове. В този случай ще се използва горивният показател, щом стане известен.</t>
  </si>
  <si>
    <t>Стойността на „други емисии“ се показва с цел извършване на проверка. В нея се включват емисиите, свързани с производството на електроенергия, изгаряне във факел, различно от необходимото за безопасността изгаряне във факел, и други емисии, които не водят до безплатни квоти.</t>
  </si>
  <si>
    <t>Ако при поне една подинсталация се показва „не е приложимо“ (Н.П.)“ за която и да било година, няма да се показват и стойностите за „други емисии“, за да се избегне объркване.</t>
  </si>
  <si>
    <t>Данни на равнище подинсталация:</t>
  </si>
  <si>
    <t>Проверка: Други емисии</t>
  </si>
  <si>
    <t>Инструмент за комбинирано производство — раздел D.III</t>
  </si>
  <si>
    <t>Инструмент за комбинирано производство 1</t>
  </si>
  <si>
    <t>Енергиен баланс</t>
  </si>
  <si>
    <t>Емисии</t>
  </si>
  <si>
    <t>Стойности на к.п.д.</t>
  </si>
  <si>
    <t>Производство на топлинна енергия (референтно)</t>
  </si>
  <si>
    <t>Производство на електроенергия (референтно)</t>
  </si>
  <si>
    <t>Резултати</t>
  </si>
  <si>
    <t>Инструмент за комбинирано производство 2</t>
  </si>
  <si>
    <t>Инструмент за отпадни газове (отпадни газове, необхванати от продуктови показатели) — раздел D.IV</t>
  </si>
  <si>
    <t>Единица мярка</t>
  </si>
  <si>
    <t>Вложена енергия от горива — разделена по категории на употреба (раздел E.I)</t>
  </si>
  <si>
    <t>Вложено гориво във всяка подинсталация от работни листове F и G:</t>
  </si>
  <si>
    <t>Изчисление на измеримата топлинна енергия (раздел E.II)</t>
  </si>
  <si>
    <t>Обобщение за подинсталациите с топлинен показател и подинсталациите на топлофикационна мрежа</t>
  </si>
  <si>
    <t>Данни за подинсталациите, които имат значение за разпределянето на квоти и актуализирането на показателите</t>
  </si>
  <si>
    <t>Изчисление на предварителния брой квоти</t>
  </si>
  <si>
    <t>В таблиците по-долу са използвани следните съкращения:</t>
  </si>
  <si>
    <t>Риск от ИВЕ</t>
  </si>
  <si>
    <t>Риск от изместване на въглеродни емисии Посочва се „вярно“, ако подинсталацията се използва в сектор, който се смята, че е изложен на значителен риск от изместване на въглеродни емисии.</t>
  </si>
  <si>
    <t>№ на п-л</t>
  </si>
  <si>
    <t>Номер на показателя</t>
  </si>
  <si>
    <t>В/Е</t>
  </si>
  <si>
    <t>Дата на въвеждане на подинсталацията в експлоатация</t>
  </si>
  <si>
    <t>Стойност на п-л</t>
  </si>
  <si>
    <t>топл. ен. извън СТЕ</t>
  </si>
  <si>
    <t>Количество, което трябва да се приспадне от предварителното годишно количество на квотите за емисии в съответствие с член 21 от ПРБ.</t>
  </si>
  <si>
    <t>Количество, което трябва да се приспадне от предварителното годишно количество на квотите за отпадни газове, изгорени във факел, от 2026 г. нататък съгласно член 16, параграф 5, алинея втора от ПРБ</t>
  </si>
  <si>
    <t>Количество, което трябва да се добави към предварителното годишно количество на квотите за емисии за подинсталациите за крекинг с водна пара в съответствие с член 19 от ПРБ</t>
  </si>
  <si>
    <t>Коефициент за отчитане на свързаните с водорода емисии от подинсталациите за винилхлориден мономер в съответствие с член 20 от ПРБ</t>
  </si>
  <si>
    <t>Отказ от отговорност: Моля, имайте предвид, че стойностите за предварителното разпределение са само ориентировъчни, като се вземат предвид минималните или максималните стойности на показателите, както е обяснено по-горе. Когато обаче предварителното разпределение зависи и от стойността на топлинния или горивния показател (напр. ElExch-F или топлинна енергия извън СТЕ), които също подлежат на промяна въз основа на това събиране на данни, индикативната стойност може дори да не представлява минималния или максималния предварителен брой квоти, а да бъде подложена на допълнителна корекция.</t>
  </si>
  <si>
    <t>Общо зададени емисии</t>
  </si>
  <si>
    <t>Междинно получаване:</t>
  </si>
  <si>
    <t>Междинно подаване:</t>
  </si>
  <si>
    <t>Нетно к-во получена топлинна енергия (други)</t>
  </si>
  <si>
    <t>Нетно к-во получена топлинна енергия (прод. п-л)</t>
  </si>
  <si>
    <t>Нетно к-во получена топлинна енергия (пулп)</t>
  </si>
  <si>
    <t>Нетно к-во получена топлинна енергия (горивен п-л)</t>
  </si>
  <si>
    <t>Нетно к-во получена топлинна енергия (отпадни газове)</t>
  </si>
  <si>
    <t>Изчисляване на предварителното годишно количество на квотите за емисии, разпределени безплатно</t>
  </si>
  <si>
    <t>В настоящия раздел можете да видите обобщение на стойностите за предварителното разпределение на квоти съответно за периода 2021—2025 г. или 2026—2030 г., приложими за тази инсталация, които се базират на данните, показани в предходните раздели въз основа на Вашите данни. Показаната информация не съдържа проверки за пълнота. Затова данните може да се считат за верни само ако сте се уверили, че са изпълнени следните условия:</t>
  </si>
  <si>
    <t>Не се показват съобщения за грешки в съответните раздели на тези работни листове.</t>
  </si>
  <si>
    <t>Общо предварително годишно количество на квотите за емисии, разпределени безплатно:</t>
  </si>
  <si>
    <t>Показаните тук количества отразяват изчисляването на предварителния годишен брой квоти за емисии, разпределени безплатно съгласно член 16, параграфи 1—7 от ПБР, т. е. вече е приложен посочения в приложение V от ПБР коефициент (наричан по-долу „коефициент за отчитане на изместване на въглеродни емисии“). Съгласно член 16, параграф 3 от ПБР при подинсталациите на топлофикационни мрежи този коефициент ще бъде 0,3 за всички години.</t>
  </si>
  <si>
    <t>В случай че за дадена подинсталация изчисленото предварително годишно количество квоти за безплатно разпределяне има отрицателна стойност, тя се коригира на нула.</t>
  </si>
  <si>
    <t>Изчислителни коефициенти:</t>
  </si>
  <si>
    <t>Коефициент за отчитане на ИВЕ за сектори, които не са изложени на риск</t>
  </si>
  <si>
    <t>Коефициент за отчитане на ИВЕ за топлофикационни мрежи</t>
  </si>
  <si>
    <t>Забележка: За сектори, изложени на риск от ИВЕ, коефициентът за отчитане на ИВЕ е 1,0000 за всички години.</t>
  </si>
  <si>
    <t>Общо предварително безплатно разпределение на квоти за емисии</t>
  </si>
  <si>
    <t>Индикативно очаквано крайно количество безплатни квоти:</t>
  </si>
  <si>
    <t>Междуотраслов корекционен коефициент (CSCF) съгласно член 14, параграф 6 от ПБР:</t>
  </si>
  <si>
    <t>Стойност, използвана при изчислението</t>
  </si>
  <si>
    <t>Коефициент, който ще се използва при изчислението</t>
  </si>
  <si>
    <t>Показаните тук резултати в никакъв случай не са правно задължителни. Моля, вижте текста за отказ от отговорност в началото на настоящия раздел.</t>
  </si>
  <si>
    <t>Константа</t>
  </si>
  <si>
    <t>Други константи</t>
  </si>
  <si>
    <t>Абсолютни стойности</t>
  </si>
  <si>
    <t>Процентни стойности</t>
  </si>
  <si>
    <t>Не е приложимо</t>
  </si>
  <si>
    <t>Квота за емисии</t>
  </si>
  <si>
    <t>Месец</t>
  </si>
  <si>
    <t>Гориво</t>
  </si>
  <si>
    <t>Показател</t>
  </si>
  <si>
    <t>Подинсталация с продуктов показател</t>
  </si>
  <si>
    <t>Алтернативна подинсталация („Fall-Back sub-installation“)</t>
  </si>
  <si>
    <t>година</t>
  </si>
  <si>
    <t>тона</t>
  </si>
  <si>
    <t>или</t>
  </si>
  <si>
    <t>прехвърлен CO2</t>
  </si>
  <si>
    <t>Междинни продукти</t>
  </si>
  <si>
    <t>Топлинна енергия</t>
  </si>
  <si>
    <t>Получаване</t>
  </si>
  <si>
    <t>Подаване</t>
  </si>
  <si>
    <t>В рамките на инсталацията</t>
  </si>
  <si>
    <t>Производство на стоки</t>
  </si>
  <si>
    <t>механична енергия</t>
  </si>
  <si>
    <t>отопление</t>
  </si>
  <si>
    <t>охлаждане</t>
  </si>
  <si>
    <t>неизвестно</t>
  </si>
  <si>
    <t>перфлуоровъглеводороди (PFC)</t>
  </si>
  <si>
    <t>CO2 (коригиран отпаден газ)</t>
  </si>
  <si>
    <t>редукция на метални съединения</t>
  </si>
  <si>
    <t>отстраняване на примеси</t>
  </si>
  <si>
    <t>разлагане на карбонати</t>
  </si>
  <si>
    <t>химичен синтез</t>
  </si>
  <si>
    <t>въглеродосъдържащи материали</t>
  </si>
  <si>
    <t>редукция на оксиди на металоидни и неметални оксиди</t>
  </si>
  <si>
    <t>от значение в разглеждания случай</t>
  </si>
  <si>
    <t>без значение в разглеждания случай</t>
  </si>
  <si>
    <t>Изместване на въглеродни емисии</t>
  </si>
  <si>
    <t>не подлежи на риск от изместване на въглеродни емисии</t>
  </si>
  <si>
    <t>GJ/1 000 Nm3</t>
  </si>
  <si>
    <t>квоти за емисии</t>
  </si>
  <si>
    <t>Операторът на инсталацията потвърждава, че инсталацията не отговаря на условията за безплатно разпределение на квоти за емисии по реда на член 10а от Директивата за Схемата за търговия с емисии на ЕС.</t>
  </si>
  <si>
    <t>Операторът на инсталацията потвърждава, че с настоящото се подава заявка за безплатни квоти за емисии по реда на член 10а от Директивата за Схемата за търговия с емисии на ЕС.</t>
  </si>
  <si>
    <t>Операторът на инсталацията потвърждава, че настоящият доклад може да бъде използван от компетентните институции и от Европейската комисия.</t>
  </si>
  <si>
    <t>непълно!</t>
  </si>
  <si>
    <t>отрицателна стойност!</t>
  </si>
  <si>
    <t>несъответствие!</t>
  </si>
  <si>
    <t>О.К.</t>
  </si>
  <si>
    <t>измерима топлинна енергия извън СТЕ</t>
  </si>
  <si>
    <t>Австрия</t>
  </si>
  <si>
    <t>Белгия</t>
  </si>
  <si>
    <t>България</t>
  </si>
  <si>
    <t>Кипър</t>
  </si>
  <si>
    <t>Хърватия</t>
  </si>
  <si>
    <t>Дания</t>
  </si>
  <si>
    <t>Естония</t>
  </si>
  <si>
    <t>Финландия</t>
  </si>
  <si>
    <t>Франция</t>
  </si>
  <si>
    <t>Германия</t>
  </si>
  <si>
    <t>Гърция</t>
  </si>
  <si>
    <t>Унгария</t>
  </si>
  <si>
    <t>Исландия</t>
  </si>
  <si>
    <t>Ирландия</t>
  </si>
  <si>
    <t>Италия</t>
  </si>
  <si>
    <t>Латвия</t>
  </si>
  <si>
    <t>Лихтенщайн</t>
  </si>
  <si>
    <t>Литва</t>
  </si>
  <si>
    <t>Люксембург</t>
  </si>
  <si>
    <t>Малта</t>
  </si>
  <si>
    <t>Нидерландия</t>
  </si>
  <si>
    <t>Норвегия</t>
  </si>
  <si>
    <t>Полша</t>
  </si>
  <si>
    <t>Португалия</t>
  </si>
  <si>
    <t>Румъния</t>
  </si>
  <si>
    <t>Словакия</t>
  </si>
  <si>
    <t>Словения</t>
  </si>
  <si>
    <t>Испания</t>
  </si>
  <si>
    <t>Швеция</t>
  </si>
  <si>
    <t>Обединеното кралство</t>
  </si>
  <si>
    <t>Задължително трябва да отговорите на въпроси a), b) и d)!</t>
  </si>
  <si>
    <t>Поне едно име на подинсталация е въведено повече от един път. Моля, поправете!</t>
  </si>
  <si>
    <t>За всеки вид подинсталация, моля, въведете дали присъства в разглеждания случай или не!</t>
  </si>
  <si>
    <t>Моля, въведете информация по букви b) и с) по-горе!</t>
  </si>
  <si>
    <t>Моля въведете подробни данни за пораждащите емисии потоци, като започнете от раздел II по-долу!</t>
  </si>
  <si>
    <t>Моля, продължете да въвеждате сумарните емисии в раздел D.I.2 в работен лист „D_Emissions“!</t>
  </si>
  <si>
    <t>Моля, въведете данни и в раздел E.II.4!</t>
  </si>
  <si>
    <t>Моля, въведете данни и в раздел D.II.3.a.!</t>
  </si>
  <si>
    <t xml:space="preserve">Подробни указания за въвеждането на данни в този модул могат да бъдат намерени в началото на модула. </t>
  </si>
  <si>
    <t>Разпределението на емисии по подинсталации може да се намери в работния лист за обобщение.</t>
  </si>
  <si>
    <t>Моля, преминете към работен лист „F_ProductBM“!</t>
  </si>
  <si>
    <t>Моля, преминете към раздел E.II.2</t>
  </si>
  <si>
    <t>Моля, продължете със следващите точки по-долу</t>
  </si>
  <si>
    <t>Моля, използвайте инструмента за заменяемост на електроенергия по-долу.</t>
  </si>
  <si>
    <t>Моля, преминете към буква d) по-долу.</t>
  </si>
  <si>
    <t>Ако посоченото тук не присъства във Вашата инсталация, преминете към следващите точки.</t>
  </si>
  <si>
    <t>Датите трябва да бъдат подредени във възходящ ред!</t>
  </si>
  <si>
    <t>Липсва вид дейност (A.I.4.a)!</t>
  </si>
  <si>
    <t>Моля, въведете данни в този раздел!</t>
  </si>
  <si>
    <t>Моля, продължете със следващата подинсталация!</t>
  </si>
  <si>
    <t>Щракнете тук за връщане към работен лист „F_ProductBM“</t>
  </si>
  <si>
    <t>Моля, продължете с въвеждането на данните по букви с) и d)!</t>
  </si>
  <si>
    <t>Моля, продължете с буква e)!</t>
  </si>
  <si>
    <t>Минимум</t>
  </si>
  <si>
    <t>Действителни стойности</t>
  </si>
  <si>
    <t>Списък с дейности</t>
  </si>
  <si>
    <t>№ на дейността</t>
  </si>
  <si>
    <t>Дейност (Приложение I към Директивата за СТЕ)</t>
  </si>
  <si>
    <t>Изгаряне на горива в инсталации с обща номинална входяща топлинна мощност над 20 MW (с изключение на инсталациите за изгаряне на опасни или твърди битови отпадъци)</t>
  </si>
  <si>
    <t xml:space="preserve">Производство на кокс </t>
  </si>
  <si>
    <t xml:space="preserve">Пържене и агломерация, включително гранулиране, на метална руда (включително сулфидна руда) </t>
  </si>
  <si>
    <t>Производство или преработка на черни метали (включително феросплави) в случай на използване на горивни съоръжения с обща номинална входяща топлинна мощност над 20 MW. Преработката включва, inter alia, прокатни станове, междинни подгреватели, пещи за отвръщане, ковашки цехове, леярни, цехове за нанасяне на покритие и байцване</t>
  </si>
  <si>
    <t>Продуктов показател</t>
  </si>
  <si>
    <t>Изместване на въглеродни емисии?</t>
  </si>
  <si>
    <t>Клинкер за сив цимент</t>
  </si>
  <si>
    <t>Клинкер за бял цимент</t>
  </si>
  <si>
    <t>Синтерована доломитна вар</t>
  </si>
  <si>
    <t>Бутилки и буркани от безцветно стъкло</t>
  </si>
  <si>
    <t>Бутилки и буркани от цветно стъкло</t>
  </si>
  <si>
    <t>Продукти от стъклени влакна с непрекъсната нишка</t>
  </si>
  <si>
    <t>Изсушен вторичен гипс</t>
  </si>
  <si>
    <t>Гипсокартон</t>
  </si>
  <si>
    <t>Азотна киселина</t>
  </si>
  <si>
    <t>Адипинова киселина</t>
  </si>
  <si>
    <t>Амоняк</t>
  </si>
  <si>
    <t>Стирен</t>
  </si>
  <si>
    <t>Етиленов оксид/ етиленгликоли</t>
  </si>
  <si>
    <t>Винилхлориден мономер</t>
  </si>
  <si>
    <t>Калцинирана сода</t>
  </si>
  <si>
    <t>Съобщение за грешка</t>
  </si>
  <si>
    <t>Липсват данни!</t>
  </si>
  <si>
    <t>Производство на вторичен алуминий, при което се експлоатират горивни инсталации с обща номинална входяща топлинна мощност над 20 MW</t>
  </si>
  <si>
    <t>Производство или преработка на цветни метали, включително производство на сплави, рафиниране, леене в леярни и др., при които се експлоатират горивни инсталации с обща номинална входяща топлинна мощност (включително горива, използвани като редуциращи агенти) над 20 MW</t>
  </si>
  <si>
    <t>Производство на циментов клинкер в ротационни пещи с производствен капацитет над 500 тона дневно или в други пещи с производствен капацитет над 50 тона дневно</t>
  </si>
  <si>
    <t>Производство на вар или калциниране на доломит или магнезит в ротационни пещи или в други пещи с производствен капацитет над 50 тона дневно</t>
  </si>
  <si>
    <t>Производство на стъкло, включително стъклени влакна, с капацитет на топене над 20 тона дневно</t>
  </si>
  <si>
    <t>Производство на керамични продукти чрез изпичане, по-специално покривни керемиди, тухли, огнеупорни тухли, керемиди, каменинови изделия или порцелан, с производствен капацитет над 75 тона дневно</t>
  </si>
  <si>
    <t>Производство на изолационни материали от минерална вата, използващи стъкло, скала или шлака, с капацитет на топене над 20 тона дневно</t>
  </si>
  <si>
    <t>Производство на целулоза от дървен материал или други влакнести материали</t>
  </si>
  <si>
    <t>Производство на хартия или картон с производствен капацитет над 20 тона дневно</t>
  </si>
  <si>
    <t>Производство на азотна киселина</t>
  </si>
  <si>
    <t>Производство на адипинова киселина</t>
  </si>
  <si>
    <t>Производство на глиоксалова и глиоксилова киселина</t>
  </si>
  <si>
    <t>Производство на амоняк</t>
  </si>
  <si>
    <t>Производство на органични химически вещества в насипно или наливно състояние чрез крекинг, реформинг, частично или пълно окисляване или чрез подобни процеси, с производствен капацитет над 100 тона дневно</t>
  </si>
  <si>
    <t>Производство на калцинирана сода (Na2CO3) и натриев бикарбонат (NaHCO3)</t>
  </si>
  <si>
    <t>Улавяне на парникови газове от инсталации, обхванати от настоящата директива, с цел транспортиране и съхранение в геоложки формации на място за съхранение, разрешено съгласно Директива 2009/31/ЕО</t>
  </si>
  <si>
    <t>Съхранение на парникови газове в геоложки обекти, разрешено съгласно Директива 2009/31/ЕО</t>
  </si>
  <si>
    <t>Списък с референтни показатели</t>
  </si>
  <si>
    <t>алтернативен БМ No.</t>
  </si>
  <si>
    <t>Съобщение относно специалното докладване</t>
  </si>
  <si>
    <t>Индикатор за скок</t>
  </si>
  <si>
    <t>С изключение на CWT?</t>
  </si>
  <si>
    <t>Целулоза</t>
  </si>
  <si>
    <t>Стойност на BM (2013—2020 г.)</t>
  </si>
  <si>
    <t>Референтна стойност (EUA/t, max)</t>
  </si>
  <si>
    <t>Референтна стойност (EUA/t, min)</t>
  </si>
  <si>
    <t>Референтна стойност (EUA/t, действителна)</t>
  </si>
  <si>
    <t>Рафинерийни продукти</t>
  </si>
  <si>
    <t>Моля, използвайте инструмента CWT в работен лист „SpecialBM“ за изчисляване на историческите равнища на активност.</t>
  </si>
  <si>
    <t>Кока-кола</t>
  </si>
  <si>
    <t>Синтерована руда</t>
  </si>
  <si>
    <t>Горещ метал</t>
  </si>
  <si>
    <t>Въглеродна стомана EAF</t>
  </si>
  <si>
    <t>EAF високо легирана стомана</t>
  </si>
  <si>
    <t>Предварително печене на анод</t>
  </si>
  <si>
    <t>[Първичен] Алуминий</t>
  </si>
  <si>
    <t>Моля, използвайте инструмента за вар в лист „SpecialBM“ за изчисляване на историческите равнища на активност.</t>
  </si>
  <si>
    <t>Моля, използвайте инструмента за доломитна вар в работен лист „SpecialBM“ за изчисляване на историческите равнища на активност.</t>
  </si>
  <si>
    <t>Флоат стъкло</t>
  </si>
  <si>
    <t>Облицовъчни тухли</t>
  </si>
  <si>
    <t>Павета</t>
  </si>
  <si>
    <t>Покривни плочки</t>
  </si>
  <si>
    <t>Спрей сух прах</t>
  </si>
  <si>
    <t>Минерална вата</t>
  </si>
  <si>
    <t>Гипс</t>
  </si>
  <si>
    <t>Крафт целулоза с къси влакна</t>
  </si>
  <si>
    <t>Адт</t>
  </si>
  <si>
    <t>Следва да се отбележи, че за интегрираното производство на целулоза и ампери се прилагат специални правила за разпределяне (член 16, параграф 6 от ПБР).</t>
  </si>
  <si>
    <t>Дълговлакнеста крафт целулоза</t>
  </si>
  <si>
    <t>Сулфитна целулоза, термомеханична и механична целулоза</t>
  </si>
  <si>
    <t>Оползотворена хартиена маса</t>
  </si>
  <si>
    <t>Вестникарска публикация</t>
  </si>
  <si>
    <t>Фина хартия без покритие</t>
  </si>
  <si>
    <t>Фина хартия с покритие</t>
  </si>
  <si>
    <t>Тъкан</t>
  </si>
  <si>
    <t>Тестлайнер и навълняване</t>
  </si>
  <si>
    <t>Картонена дъска без покритие</t>
  </si>
  <si>
    <t>Картонена дъска с покритие</t>
  </si>
  <si>
    <t>Въглероден сажд</t>
  </si>
  <si>
    <t>Измеримата топлинна енергия, подавана към други подинсталации, трябва да се третира като топлинна енергия от източници извън СТЕ.</t>
  </si>
  <si>
    <t>Моля, използвайте инструмента за крекинг с водна пара в лист „SpecialBM“ за изчисляване на историческите равнища на активност и предварителното разпределение.</t>
  </si>
  <si>
    <t>Ароматни вещества</t>
  </si>
  <si>
    <t>Фенол/ ацетон</t>
  </si>
  <si>
    <t>Моля, използвайте инструмента за етиленов оксид/гликоли в работен лист „SpecialBM“ за изчисляване на историческите равнища на активност.</t>
  </si>
  <si>
    <t>Моля, използвайте инструмента VCM в лист „SpecialBM“ за изчисляване на предварителното разпределение.</t>
  </si>
  <si>
    <t>Моля, използвайте инструмента за водорода в работен лист „SpecialBM“ за изчисляване на историческите равнища на активност.</t>
  </si>
  <si>
    <t>Моля, използвайте инструмента за синтетичен газ в работен лист „SpecialBM“ за изчисляване на историческите равнища на активност.</t>
  </si>
  <si>
    <t>Списък на резервните подинсталации</t>
  </si>
  <si>
    <t>Подинституция</t>
  </si>
  <si>
    <t>Период от време</t>
  </si>
  <si>
    <t>Заменяемост на електроенергията</t>
  </si>
  <si>
    <t>Образец за докладване на разпределянето на квоти на нови участници, промените в равнището на разпределяне и случаите на спиране на експлоатацията на инсталации за фаза 4 на СТЕ на ЕС</t>
  </si>
  <si>
    <t>Година на докладване:</t>
  </si>
  <si>
    <t>Приложим период на докладване</t>
  </si>
  <si>
    <t>Правилата за ежегодни корекции на разпределението на квотите за емисии се съдържат в Регламент за изпълнение (ЕС) 2019/1842 на Комисията от 31 октомври 2019 година за определяне на правила за прилагането на Директива 2003/87/ЕО на Европейския парламент и на Съвета по отношение на допълнителните условия за коригиране на безплатното разпределение на квоти за емисии поради промени в равнището на дейност (наричан по-нататък „ALC-R“). Те могат да бъдат изтеглени чрез следния линк: https://eur-lex.europa.eu/eli/reg_impl/2019/1842/oj?locale=bg</t>
  </si>
  <si>
    <t>Съществен елемент на ALC-R е годишното докладване за данни с цел събиране на цялата относима информация от операторите на инсталации, необходима на държавите членки за определяне на евентуалните корекции на разпределените квоти за емисии.</t>
  </si>
  <si>
    <t>Настоящият образец за събиране на данни е разработен за Комисията от нейните консултанти (Umweltbundesamt GmbH Австрия и SQ Consult) и обхваща промените в равнището на разпределяне на квоти на нови участници, случаите на спиране на експлоатацията на (под)инсталации и промените в равнището на дейност.</t>
  </si>
  <si>
    <t>Препоръчително е при попълване да се движите последователно от началото до края. Има няколко функции, които да Ви насочват във формуляра в зависимост от вече попълнените данни, като например промяна на цвета на клетките, ако в тях не е необходимо въвеждане на данни (вж. цветовите кодове по-долу). Понякога обаче може да е необходимо първо да преминете към въвеждането на данни в друг лист, преди да продължите (напр. „H_specialBM“ („H_Специфичен показател“) трябва да се попълни, преди да може да се завърши „F_ProductBM“ („H_Продуктов показател“), в случаите, в които важи приложение III от ПБР).</t>
  </si>
  <si>
    <t>Автоматично</t>
  </si>
  <si>
    <t>Неотносимо</t>
  </si>
  <si>
    <t>Електронна препратка към файл с националните мерки за изпълнение (НМИ)</t>
  </si>
  <si>
    <t>Маслиненозелените полета показват, че входните данни се основават на електронни препратки към външни файлове във формат Excel, по-специално на доклада с базови данни за НМИ.</t>
  </si>
  <si>
    <t>Задаване на емисии</t>
  </si>
  <si>
    <t>Светлосините области са предвидени за данни, които имат главно значение за задаването на емисии към подинсталации.</t>
  </si>
  <si>
    <t>Корекции</t>
  </si>
  <si>
    <t>Светлооранжевите области са предвидени за раздели, в които се определят евентуалните корекции на разпределянето.</t>
  </si>
  <si>
    <t>Адаптирано за ДЧ</t>
  </si>
  <si>
    <t>Навигация</t>
  </si>
  <si>
    <t>Този лист има същата структура като обобщаващия лист от образеца „NIMs baseline data report“ („Доклад с базови данни за НМИ“) и съдържа електронни препратки към непопълнен образец.</t>
  </si>
  <si>
    <t>Стъпка 1</t>
  </si>
  <si>
    <t>За да съберете данните от Вашия конкретен файл, в който се съдържат всички Ваши данни за НМИ, моля, сменете препратката към файла посредством функционалността „Редактиране на връзки“ в раздел „Данни“ на лентата с инструменти на Excel.</t>
  </si>
  <si>
    <t>Стъпка 2</t>
  </si>
  <si>
    <t>Изберете „Редактиране на връзки“ от групата „Връзки“ или групата „Заявки и връзки“ в зависимост от версията на Excel, която ползвате.</t>
  </si>
  <si>
    <t>Стъпка 3</t>
  </si>
  <si>
    <t>В отворилия се диалогов прозорец изберете електронната препратка към непопълнения образец, след което щракнете върху „Промяна на източника“</t>
  </si>
  <si>
    <t>Моля, имайте предвид, че това работи само когато настоящият лист е активен. Бутонът „Промяна на източника“ ще бъде неактивен, ако се опитате да изпълните това от който и да било друг лист.</t>
  </si>
  <si>
    <t>Стъпка 4</t>
  </si>
  <si>
    <t>Изберете файла с доклада с базови данни за НМИ в диалоговия прозорец и щракнете върху „ОК“. Моля, имайте предвид, че актуализирането на всички свързани клетки може да отнеме няколко секунди.</t>
  </si>
  <si>
    <t>Стъпка 5</t>
  </si>
  <si>
    <t>(незадължително) Сега можете да щракнете върху „Прекъсни връзките“ в диалоговия прозорец. Това ще премахне всички външни файлове и ще ги замени със стойности.</t>
  </si>
  <si>
    <t>Моля, имайте предвид, че ако направите това, всички предходни стъпки вече няма да могат да бъдат изпълнени повторно.</t>
  </si>
  <si>
    <t>Стъпка 6</t>
  </si>
  <si>
    <t>Затворете диалоговия прозорец „Редактиране на връзки“.</t>
  </si>
  <si>
    <t>Вече би следвало да виждате всички данни за НМИ по-долу в този лист и можете да се върнете в раздел А.II и да продължите.</t>
  </si>
  <si>
    <t>ВАЖНО! Моля, НЕ правете ръчно промени в която и да било клетка по-долу в този лист.</t>
  </si>
  <si>
    <t>Допълнителни данни от лист А на образеца с НМИ:</t>
  </si>
  <si>
    <t>Колона за коментари 
(напр. каквито и да е било промени)</t>
  </si>
  <si>
    <t>Подробна отчетна информация</t>
  </si>
  <si>
    <t>Данни за НМИ</t>
  </si>
  <si>
    <t>Година на подаване на настоящия доклад:</t>
  </si>
  <si>
    <t>Инсталацията или която и да е подинсталация е спряна от експлоатация:</t>
  </si>
  <si>
    <t>Това включва спиране на цялата инсталация (по смисъла на член 26 от правилата за безплатно разпределяне на квоти) или на която и да е подинсталация (по смисъла на член 5, параграф 4 от ALC-R) след последното заявление по НМИ, а не само през последната календарна година.</t>
  </si>
  <si>
    <t>В случай на спряна експлоатация на цялата инсталация, моля, посочете датата на спиране за всяка подинсталация в лист „B+C_SubInstallations“ („B+C_Подинсталации“), раздел I.</t>
  </si>
  <si>
    <t>Данни от доклада с базови данни за НМИ</t>
  </si>
  <si>
    <t>Част от информацията, необходима в този доклад, вече е била предоставена в заявлението по НМИ. Това се отнася за информация за инсталацията (този лист), както и за съответните подинсталации, включително на параметрите, които са от значение за разпределението (лист „B+C_SubInstallations“ („B+C_Подинсталации“)), например историческото равнище на дейност (HAL).</t>
  </si>
  <si>
    <t>За да попълните тук тази информация, настоящият образец предлага две възможности, които могат да бъдат избрани от падащия списък по-долу.</t>
  </si>
  <si>
    <t>Метод, използван за въвеждане на данни за НМИ:</t>
  </si>
  <si>
    <t>Тук информацията за НМИ се събира, като просто се реферира към Вашия файл с доклада с базови данни за НМИ чрез функционалността „Редактиране на връзки“ в раздел „Данни“ на лентата с инструменти на Excel.</t>
  </si>
  <si>
    <t>Клетки с данни за ръчно въвеждане ще бъдат незадължителни, когато е приложимо.</t>
  </si>
  <si>
    <t>Допълнителни указания могат да бъдат намерени в лист „NIMs summary“ („Обобщение на НМИ“) в настоящия образец.</t>
  </si>
  <si>
    <t>Тук трябва да въведете ръчно цялата информация и всички данни, както и всяка друга информация.</t>
  </si>
  <si>
    <t>Клетките, които съдържат електронни препратки към файла с НМИ, ще бъдат оцветени в сиво.</t>
  </si>
  <si>
    <t>В зависимост от избраната от Вас възможност клетките в този лист ще имат следния формат, като информацията се съдържа в лист „NIMs summary“ („Обобщение на НМИ“):</t>
  </si>
  <si>
    <t>Електронни препратки към данни във файла с НМИ:</t>
  </si>
  <si>
    <t>Ръчно въвеждане (ако е избрано) или ръчна корекция, в случай че данните за НМИ вече не са верни:</t>
  </si>
  <si>
    <t>Данни, използвани в настоящия доклад:</t>
  </si>
  <si>
    <t>Идентификационен код на инсталацията от регистъра (EUTL):</t>
  </si>
  <si>
    <t>Обикновено това е естествено число, използвано в регистъра (EUTL).</t>
  </si>
  <si>
    <t>Заедно с държавата членка, избрана в а), с въвеждането на този идентификационен номер от регистъра (уникален идентификационен номер) във в) по-долу автоматично ще се покаже уникалният идентификационен номер. Така например, ако инсталацията с идентификационен номер от регистъра 123456 се намира в Белгия, това ще изведе номер „BE000000000123456“. Ако инсталацията Ви е получила безплатно разпределение през предходния етап на СТЕ на ЕС, моля, проверете дали уникалният идентификационен номер е същият като използвания през предходния етап.</t>
  </si>
  <si>
    <t>Въвеждането на тези данни е от значение само ако инсталацията е „нов участник“.</t>
  </si>
  <si>
    <t>Най-скорошна версия на плана на методиката за мониторинг (ПММ):</t>
  </si>
  <si>
    <t>Моля да предоставите тук най-новата версия на ПММ, определящ методиката за мониторинг, на която се основава докладът за тази година.</t>
  </si>
  <si>
    <t>Информация за групата:</t>
  </si>
  <si>
    <t xml:space="preserve">„Групата“ включва предприятието майка и всички негови дъщерни предприятия (тези предприятия, които са контролирани от предприятието майка). </t>
  </si>
  <si>
    <t>Член 22 от Директива 2013/34/ЕС съдържа допълнителни елементи, характеризиращи отношенията между предприятието майка и дъщерното предприятие (например: предприятието майка притежава мнозинството от гласовете на акционерите или съдружниците в дъщерното предприятие; предприятието майка има право да назначава или освобождава мнозинството от членовете на административния, управителния или надзорния орган на дъщерното предприятие и същевременно е акционер или съдружник в това предприятие и т.н.).</t>
  </si>
  <si>
    <t>Предприятие майка</t>
  </si>
  <si>
    <t>Дъщерно предприятие, на което принадлежи настоящата инсталация, ако е приложимо</t>
  </si>
  <si>
    <t>Други инсталации в ЕС на същата група (идентификационен номер от регистъра), ако е приложимо</t>
  </si>
  <si>
    <t>Проверяващ орган, ангажиран за този доклад:</t>
  </si>
  <si>
    <t>Наименование и адрес на проверяващия орган:</t>
  </si>
  <si>
    <t>Информация за настоящия доклад за равнището на дейност</t>
  </si>
  <si>
    <t>Потвърждение на допустимостта за безплатно разпределяне на квоти:</t>
  </si>
  <si>
    <t>Имайте предвид, че в този раздел не следва да се въвеждат никакви данни. В зависимост от Вашия избор в раздел А.II този раздел или ще бъде попълнен автоматично, или няма да е от значение.</t>
  </si>
  <si>
    <t>Ако сте избрали „Ръчно въвеждане“ в раздел А.II., въвеждането на данни тук е задължително. В противен случай този раздел е незадължителен и въвеждането на данни е необходимо само ако информацията в а) по-горе вече не е вярна.</t>
  </si>
  <si>
    <t>Резултат: Технически връзки</t>
  </si>
  <si>
    <t>„B+C_SubInstallations“ („B+C_Подинсталации“)</t>
  </si>
  <si>
    <t>Първоначално разпределение във връзка с НМИ</t>
  </si>
  <si>
    <t>Лист „B+C_SubInstallations“ („B+C_Подинсталации“) — ИДЕНТИФИКАЦИЯ НА ПОДИНСТАЛАЦИИ И ПЪРВОНАЧАЛНО РАЗПРЕДЕЛЕНИЕ</t>
  </si>
  <si>
    <t>Подинсталации (колона Е)</t>
  </si>
  <si>
    <t>Работеща инсталация</t>
  </si>
  <si>
    <t>Ако сте избрали да съберете информация за НМИ посредством електронната препратка към доклада с базови данни в раздел А.II., всички приложими подинсталации с продуктов показател се появяват автоматично. В противен случай тази колона ще бъде оцветена в сиво.</t>
  </si>
  <si>
    <t>Нови участници</t>
  </si>
  <si>
    <t>Тази колона не се отнася за нови участници.</t>
  </si>
  <si>
    <t>Подинсталации (колона G)</t>
  </si>
  <si>
    <t>Моля, изберете всички съответни подинсталации, които вече са въведени в експлоатация.</t>
  </si>
  <si>
    <t xml:space="preserve">Това е първият ден, в който подинсталацията има равнище на дейност над нула. </t>
  </si>
  <si>
    <t>Дата на спиране на експлоатацията</t>
  </si>
  <si>
    <t>Ако подинсталацията е спряна от експлоатация, това следва да е последният ден, в който подинсталацията е имала равнище на дейност над нула.</t>
  </si>
  <si>
    <t>Причина за спиране на експлоатацията</t>
  </si>
  <si>
    <t>Моля, изберете причина за спиране на експлоатацията, ако е относимо.</t>
  </si>
  <si>
    <t>Състояние на изместването на въглеродни емисии</t>
  </si>
  <si>
    <t>Състоянието относно излагането на значителен риск от изместване на въглеродни емисии („ИВЕ“) се определя въз основа на Делегирано решение (ЕС) 2019/708 на Комисията.</t>
  </si>
  <si>
    <t>Подинсталация (електронна препратка)</t>
  </si>
  <si>
    <t>Подинсталация (ръчно)</t>
  </si>
  <si>
    <t>Дата на спиране на експлоатацията, ако е относимо</t>
  </si>
  <si>
    <t>Подинсталации (колона H)</t>
  </si>
  <si>
    <t>от значение? (електронна препратка)</t>
  </si>
  <si>
    <t>от значение? (ръчно)</t>
  </si>
  <si>
    <t>Първоначално разпределение</t>
  </si>
  <si>
    <t>Първоначално разпределение от файла с доклада с базови данни за НМИ</t>
  </si>
  <si>
    <t>Отпадни газове, изгорени във факел</t>
  </si>
  <si>
    <t>Първоначално разпределение (ръчно въвеждане)</t>
  </si>
  <si>
    <t>Ако сте избрали „Ръчно въвеждане“ в раздел А.II., въвеждането на данни тук е задължително. В противен случай този раздел е незадължителен, освен ако няма нови подинсталации от значение.</t>
  </si>
  <si>
    <t>Историческо равнище на дейност (HAL)</t>
  </si>
  <si>
    <t>Данните тук са от значение, ако сте избрали „Ръчно въвеждане“ в раздел А.II или ако нови подинсталации са въведени с експлоатация след 30 юни 2019 г.</t>
  </si>
  <si>
    <t>Тази стойност се среща за първи път в доклада с базови данни за НМИ, лист с обобщение „K_Summary“ („К_Обобщение“), клетка F481.</t>
  </si>
  <si>
    <t>Тази стойност се среща за първи път в доклада с базови данни за НМИ, лист с обобщение „K_Summary“ („K_Обобщение“), клетка G474.</t>
  </si>
  <si>
    <t>Тази стойност се среща за първи път в доклада с базови данни за НМИ, лист с обобщение „K_Summary“ („K_Обобщение“), клетка H474.</t>
  </si>
  <si>
    <t>Тази стойност се среща за първи път в доклада с базови данни за НМИ, лист с обобщение „K_Summary“ („K_Обобщение“), клетка J474.</t>
  </si>
  <si>
    <t>Тази стойност се среща за първи път в доклада с базови данни за НМИ, лист с обобщение „K_Summary“ („K_Обобщение“), клетка K474.</t>
  </si>
  <si>
    <t>Ако е необходимо тук да бъдат въведени стойности, моля, проверете внимателно дали закръгляването съответства на стойностите във Вашия доклад с базови данни за НМИ. Обърнете внимание, че в доклада с базови данни закръгляването до най-близкото число тонове се прави само за разпределението. За всички останали параметри, които следва да бъдат въведени тук, показаното на екрана закръгляване може да не съответства на действително използваните цифри. Поради това е препоръчително „стойностите“ да се поставят тук от НМИ клетка по клетка.</t>
  </si>
  <si>
    <t>Резултат: Параметри на първоначалното разпределение от НМИ</t>
  </si>
  <si>
    <t>Тази таблица показва параметрите от значение при разпределянето по отношение на НМИ преди каквито и да е било промени, произтичащи от правилата на ALC-R. Стойностите тук винаги ще бъдат равни на нула за нови участници или нови подинсталации.</t>
  </si>
  <si>
    <t>Моля, по-долу въведете съответните данни съгласно принципите на регламента относно мониторинга и докладването:</t>
  </si>
  <si>
    <t>В случаите, в които държава членка е направила въвеждането на емисиите незадължително, тук е задължително да се въведе само общо вложената енергия от горива.</t>
  </si>
  <si>
    <t>Ако обаче става въпрос за подинсталации с технологични емисии, въвеждането на данни тук винаги е задължително.</t>
  </si>
  <si>
    <t>Общо емисии на цялата инсталация (взети от раздел D.I)</t>
  </si>
  <si>
    <t xml:space="preserve">Задаването на емисии по подинсталации трябва да се направи в листове F и G за всяка подинсталация, ако държавата членка задължително изисква неговото докладване. </t>
  </si>
  <si>
    <t>Това е общото нетно количество топлинна енергия, произведена от агрегати за КПЕ.</t>
  </si>
  <si>
    <t>Това е общото нетно количество електроенергия (или механична енергия според случая), произведена от агрегати за КПЕ.</t>
  </si>
  <si>
    <t>Емисионен фактор за горива, използвани за производство на измерима топлинна и електрическа енергия</t>
  </si>
  <si>
    <t>Моля, въведете в таблицата по-долу среднопретегления емисионен фактор за всички горива, както и за горивата, използвани съответно за производство на всякаква измерима топлинна и електрическа енергия. Въведените тук стойности нямат никакъв пряк ефект върху разпределянето или върху зададените емисии. Те се използват единствено за проверка на достоверността.</t>
  </si>
  <si>
    <t>За задаването на вложени горива от комбинираното производство на енергия (КПЕ) за производството на измерима топлинна енергия и електроенергия могат да се използват резултатите от „Инструмента за КПЕ“ от раздел D.III.</t>
  </si>
  <si>
    <t>Емисионен фактор (EF)</t>
  </si>
  <si>
    <t>Горивен EF за общо вложени горива</t>
  </si>
  <si>
    <t>Горивен EF за измерима топлинна енергия</t>
  </si>
  <si>
    <t>Горивен EF за електроенергия</t>
  </si>
  <si>
    <t>Ако съществуват повече от три връзки, моля да ги обобщите. Това може да наложи корекции в раздели A.V.b.</t>
  </si>
  <si>
    <t>Ако съществуват повече от пет връзки, моля да ги обобщите. Това може да наложи корекции в раздели A.V.b.</t>
  </si>
  <si>
    <t>НЕЗАДЪЛЖИТЕЛНО:  
Колона за коментари 
(напр. каквито и да е било промени)</t>
  </si>
  <si>
    <t>Равнища на дейност</t>
  </si>
  <si>
    <t>Определяне на корекции на равнището на дейност</t>
  </si>
  <si>
    <t>Историческото равнище на дейността (HAL) ще бъде определено автоматично за данните по буква а) по-горе и данните в лист „B+C_SubInstallations“ („B+C_Подинсталации“). За нови подинсталации HAL ще бъде показано в v. на базата на първата пълна година на експлоатация.</t>
  </si>
  <si>
    <t>На базата на стойностите на HAL и данните, въведени в буква а) по-горе, тук се определят средните равнища на дейност. Разпределението ще бъде променено само ако са надвишени всички долуизброени прагове по член 5 от Регламента за ALC:</t>
  </si>
  <si>
    <t>относителните прагове (15 % и 5 % за последващи промени) за средното равнище на дейност в сравнение с HAL</t>
  </si>
  <si>
    <t>(НМИ) HAL</t>
  </si>
  <si>
    <t>Средно годишно равнище на дейност (стойност в НМИ)</t>
  </si>
  <si>
    <t>Предварителна корекция (ако са надвишени относителните прагове)</t>
  </si>
  <si>
    <t>Действителна корекция (база за следващи години)</t>
  </si>
  <si>
    <t>Действителна корекция (ако са надвишени всички прагове)</t>
  </si>
  <si>
    <t>Действителна стойност</t>
  </si>
  <si>
    <t>На базата на данните по-горе тук се определят средните годишни стойности на стойностите от i. Разпределението ще бъде променено само ако са надвишени относителният праг (15 % в сравнение със стойността в НМИ) и абсолютният праг (промяната води до корекция с повече от 100 квоти), определени в член 6, параграф 4 от Регламента за ALC.</t>
  </si>
  <si>
    <t>(НМИ) стойност</t>
  </si>
  <si>
    <t>Средна годишна стойност</t>
  </si>
  <si>
    <t>Корекции: Топлинна енергия извън СТЕ</t>
  </si>
  <si>
    <t>Количество изгорен във факел отпаден газ</t>
  </si>
  <si>
    <t>Корекции: изгорени във факел отпадни газове</t>
  </si>
  <si>
    <t>На базата на началото на нормална експлоатация, въведено в B+C.I, HAL ще се основава или на стойността в НМИ (показана в ii.), или на първата година на пълна експлоатация за нови подинсталации (посочена в iv.).</t>
  </si>
  <si>
    <t>На базата на стойностите на HAL и тези по буква a) по-горе тук се определят средните равнища на дейност. Разпределението ще бъде променено само ако са надвишени всички долуизброени прагове от членове 5 и 6 от Регламента за ALC:</t>
  </si>
  <si>
    <t>Предварителна корекция</t>
  </si>
  <si>
    <t>Ако топлинната енергия се подава, може да се избере свързаната инсталация или обект, въведени в раздел V на лист „A_InstallationData“(„А_Данни за инсталацията“).</t>
  </si>
  <si>
    <t>Стойност в НМИ</t>
  </si>
  <si>
    <t>Моля, въведете тук енергопотреблението, свързано с всеки продукт, изброен в буква б) по-горе, в съответствие с методиките, описани в ПММ.</t>
  </si>
  <si>
    <t>Общо потребление</t>
  </si>
  <si>
    <t>Дял от a)</t>
  </si>
  <si>
    <t>Конкретното енергопотребление се определя в съответствие с раздел 6.1 от Ръководен документ 7 за стойности, отговарящи на критериите по буква б.1) по-горе.</t>
  </si>
  <si>
    <t>Базова стойност</t>
  </si>
  <si>
    <t>Корекции: Абсолютен праг</t>
  </si>
  <si>
    <t>Абсолютен праг</t>
  </si>
  <si>
    <t>Моля, въведете тук данните за годишното производство на водород, съотнесено към историческото съдържание на водород през всяка година.</t>
  </si>
  <si>
    <t>Моля, въведете тук историческия обем на производството на обемна част чист водород през всяка година. Тази стойност е безразмерна.</t>
  </si>
  <si>
    <t>Моля, въведете тук данните за годишното производство на синтетичен газ, съотнесено към историческото съдържание на водород през всяка година.</t>
  </si>
  <si>
    <t>Моля, въведете тук данните за годишното производство на различните продукти, обхванати от този показател, през всяка година.</t>
  </si>
  <si>
    <t>Доклад от проверката съгласно изискванията на член 3, параграф 3 от Регламента за ALC (задължително):</t>
  </si>
  <si>
    <t>Има ли коментари в колона P в някой от листовете?</t>
  </si>
  <si>
    <t>Лист А:</t>
  </si>
  <si>
    <t>Лист F:</t>
  </si>
  <si>
    <t>Лист B+C.:</t>
  </si>
  <si>
    <t>Лист G:</t>
  </si>
  <si>
    <t>Лист D:</t>
  </si>
  <si>
    <t>Лист H:</t>
  </si>
  <si>
    <t>Лист E:</t>
  </si>
  <si>
    <t>Технически връзки:</t>
  </si>
  <si>
    <t>Допустимост за безплатно разпределяне на квоти (раздел A.IV.1):</t>
  </si>
  <si>
    <t>Може да има случаи, когато емисиите, които могат да бъдат зададени, не могат да се изчислят за проектното предварително разпределение, тъй като за изчисленията са необходими стойностите на топлинния или горивния показател. В такъв случай не се показват стойности за емисиите, които могат да се зададат, което е указано чрез съобщението „не е приложимо (Н.П.)“. Тези случаи са:</t>
  </si>
  <si>
    <t>Спряна експлоатация</t>
  </si>
  <si>
    <t>Дата на спиране на експлоатацията на подинсталацията, ако е приложимо.</t>
  </si>
  <si>
    <t>Стойност на показателя.</t>
  </si>
  <si>
    <t>Пълзящата средна стойност за две години по член 2, параграф 1 от ALC-R за равнищата на дейност и по член 6, параграф 4 за други параметри.</t>
  </si>
  <si>
    <t>Критерий 1: В експлоатация &gt; 2 години?</t>
  </si>
  <si>
    <t>Ако е посочено „ВЯРНО“, пълзящата средна стойност ще бъде изчислена за всички корекции на разпределението. Ако е посочено „НЕВЯРНО“, се прилага член 4, параграф 2 от ALC-R.</t>
  </si>
  <si>
    <t>Критерий 2: Не е спряна от експлоатация през предходната година?</t>
  </si>
  <si>
    <t>Ако е посочено „НЕВЯРНО“, експлоатацията на (под)инсталацията е спряна през предходната година и разпределението ще бъде коригирано на нула съгласно член 5, параграф 4 от ALC-R.</t>
  </si>
  <si>
    <t>Критерий 3a: Надвишени ли са относителните прагове?</t>
  </si>
  <si>
    <t>„ВЯРНО“ означава, че относителните прагове, посочени в член 5 от ALC-R, са надвишени и разпределението ще бъде коригирано, сравнено с HAL.</t>
  </si>
  <si>
    <t>Предварителен годишен брой на квотите за емисии, които се разпределят безплатно за първата година от периода съгласно член 16, параграф 6 от правилата за безплатно разпределяне на квоти, т.е. след прилагане на коефициента за риск от ИВЕ и всички корекции вследствие на ALC-R, но преди да се приложи линейният коефициент или междуотрасловият корекционен коефициент.</t>
  </si>
  <si>
    <t>Докладвано равнище на дейност</t>
  </si>
  <si>
    <t>Приложимост на пълзящата средна стойност</t>
  </si>
  <si>
    <t>Промени: Няма промяна (базова стойност)</t>
  </si>
  <si>
    <t>Стойност на предварително разпределяне</t>
  </si>
  <si>
    <t>Промени: Равнище на дейност</t>
  </si>
  <si>
    <t>Промяна в сравнение с HAL</t>
  </si>
  <si>
    <t>Предварителна стойност</t>
  </si>
  <si>
    <t>Промяна в сравнение със стойността в НМИ</t>
  </si>
  <si>
    <t>Критерий 3б: Надвишени ли са относителните прагове?</t>
  </si>
  <si>
    <t>Промени: Топлинна енергия извън СТЕ</t>
  </si>
  <si>
    <t>Критерий 3в: Надвишени ли са относителните прагове?</t>
  </si>
  <si>
    <t>Промени: Корекция за ценни химически вещества (HVC)</t>
  </si>
  <si>
    <t>Критерий 3г: Надвишени ли са относителните прагове?</t>
  </si>
  <si>
    <t>Промени: Корекция за винилхлориден мономер (VCM)</t>
  </si>
  <si>
    <t>Критерий 3д: Надвишени ли са относителните прагове?</t>
  </si>
  <si>
    <t>Промени: Изгорен във факел отпаден газ</t>
  </si>
  <si>
    <t>Използвани действителни стойности</t>
  </si>
  <si>
    <t>Равнище на дейност</t>
  </si>
  <si>
    <t>Действителна корекция на равнището на дейност</t>
  </si>
  <si>
    <t>Използвано равнище на дейност</t>
  </si>
  <si>
    <t>Листове „A_InstallationData“ („А_Данни за инсталацията“) и „B+C_SubInstallations“ („B+C_Подинсталации“) са изцяло попълнени.</t>
  </si>
  <si>
    <t>Попълнени са данните за всички приложими години и съответните раздели от листове F и G.</t>
  </si>
  <si>
    <t>Отказ от отговорност: Резултатите, показани тук, са само ориентировъчни и отразяват изискванията съгласно член 16, параграф 1 от ПБР и членове 5 и 6 от ALC-R. Не се предоставя никаква гаранция, изрична или подразбираща се, по отношение на точността, пълнотата или надеждността на резултата. От резултата, показан в настоящия образец, не могат да бъдат изведени права или права върху определено количество квоти. За точността на изчисленията, моля, вижте също декларацията за отказ от отговорност в лист „Насоки и условия“.</t>
  </si>
  <si>
    <t>Изчисление съгласно член 16, параграфи 1—7 от правилата за безплатно разпределяне на квоти и членове 5 и 6 от ALC-R:</t>
  </si>
  <si>
    <t>Линеен коефициент, определен в член 10а, параграф 7 от Директивата за СТЕ на ЕС:</t>
  </si>
  <si>
    <t>Линеен коефициент за нови участници</t>
  </si>
  <si>
    <t>Изчисление съгласно член 16, параграф 8 от правилата за безплатно разпределяне на квоти и членове 5 и 6 от ALC-R:</t>
  </si>
  <si>
    <t>Показаните тук количества отразяват изчисленията на общото крайно количество квоти, които се разпределят безплатно съгласно член 16, параграф 8 от правилата за безплатно разпределяне на квоти и член 5 и член 6 от ALC-R, т.е. брой квоти за разпределение след прилагане на линейния коефициент или на междуотрасловия корекционен коефициент, според случая (т.е. резултата от буква в) по-горе).</t>
  </si>
  <si>
    <t>Общо крайно безплатно разпределение</t>
  </si>
  <si>
    <t>Ръчно въвеждане</t>
  </si>
  <si>
    <t>Задължително трябва да отговорите на въпроса в буква д) или буква е)!</t>
  </si>
  <si>
    <t>Задължително трябва да отговорите на въпроса в A.IV.1.g!</t>
  </si>
  <si>
    <t>Трябва да изберете поне една подинсталация!</t>
  </si>
  <si>
    <t>Преводът от файла с НМИ не е успешен. Моля, направете избора ръчно!</t>
  </si>
  <si>
    <t>а) Разрешителното за емисии на парникови газове е отнето</t>
  </si>
  <si>
    <t>б) (под)инсталацията вече не е в експлоатация</t>
  </si>
  <si>
    <t>A.IV.1.f!</t>
  </si>
  <si>
    <t>Моля, въведете тук историческия обем на производството на чист водород и въглероден оксид (СО) за всяка година от базовия период. Това е безразмерна фигура.</t>
  </si>
  <si>
    <t>Обемна част на CO</t>
  </si>
  <si>
    <t>Въглероден оксид (като 100 % чист CO)</t>
  </si>
  <si>
    <t>Емисии, които могат да бъдат приписани</t>
  </si>
  <si>
    <t>Моля, въведете тук действителните преки емисии от производството на водород (т.е. с изключение на емисиите, свързани с топлинната енергия, и преди улавянето на въглерод за използване или съхранение в геоложки обекти, когато е приложимо). За емисиите, произхождащи от биомаса, емисиите се изчисляват като енергийното съдържание на биомасата се умножи по емисионния фактор на природния газ вместо по действителните емисии. Поради това във всички случаи, с изключение на биомасата, стойностите, които се вписват в i., следва да бъдат същите като в раздел Е.ж.</t>
  </si>
  <si>
    <t>Въз основа на точките тук и по-горе теоретичните допълнителни емисии за реакцията на пълно изместване вода-газ (WGS) и свързаното с нея оползотворяване на топлината се изчисляват автоматично въз основа на стехиометричните стойности, посочени в приложение III към ПБР.</t>
  </si>
  <si>
    <t>Действителни преки емисии (с изключение на свързаните с топлинната енергия)</t>
  </si>
  <si>
    <t>Действителен нетен износ на топлинна енергия</t>
  </si>
  <si>
    <t>Емисии от действителното подаване на топлинна енергия</t>
  </si>
  <si>
    <t>Общо емисии, които могат да бъдат приписани (= i.+iii.)</t>
  </si>
  <si>
    <t>Теоретични емисии при експортиране на топлина от WGS</t>
  </si>
  <si>
    <t>Теоретични допълнителни емисии за WGS</t>
  </si>
  <si>
    <t>Теоретични допълнителни емисии (= v.+vi.)</t>
  </si>
  <si>
    <t>HAL H2, действителен</t>
  </si>
  <si>
    <t>Общо H2 (= i.+ii.)</t>
  </si>
  <si>
    <t>HAL H2 (коригиран)</t>
  </si>
  <si>
    <t>Моля, потвърдете тук, че подавате заявление за безплатно разпределяне на квоти съгласно член 10а:</t>
  </si>
  <si>
    <t>Ако операторът потвърди буква е) по-горе, автоматично се приема, че това също потвърждава съгласието за използване на данните, съдържащи се в този файл.</t>
  </si>
  <si>
    <t>Резултат: Нива на активност за водород, коригирани за пълно изместване вода-газ, когато е приложимо</t>
  </si>
  <si>
    <t>Това е образецът за промени в равнището на разпределяне за фаза 4.2 (2026—2030 г.) на СТЕ на ЕС. Окончателна версия от 8 януари 2026 г.</t>
  </si>
  <si>
    <t>Прилагане и обвързаност с условия</t>
  </si>
  <si>
    <t>Година на докладване означава действителната година, през която е подаден докладът. Например за докладване на равнищата на дейност през 2024 г. и 2025 г. следва да бъде избрана годината „2026“.</t>
  </si>
  <si>
    <t>Заявка за безплатно разпределяне на квоти:</t>
  </si>
  <si>
    <t>Обвързаност с условия 1: Неизпълнени препоръки във връзка с мерки за подобряване на енергийната ефективност</t>
  </si>
  <si>
    <t>В съответствие с член 22а, параграф 1 от ПБР безплатното разпределяне на квоти се намалява с 20 %, ако не са изпълнени всички съответни препоръки от доклада от енергийния одит или сертифицираната система за енергийно управление съгласно член 8 от Директива 2012/27/ЕС (Директивата за енергийната ефективност).</t>
  </si>
  <si>
    <t>Базов период</t>
  </si>
  <si>
    <t>Изборът на „ВЯРНО“ за базовия период означава, че е приложена обвързаността с условия и безплатното разпределяне на квоти ще бъде намалено с 20 %. Ако случаят е „НЕВЯРНО“, вписванията за всички останали години автоматично стават безпредметни и обвързаността с условия не се прилага през нито една година.</t>
  </si>
  <si>
    <t>Години след базовия период</t>
  </si>
  <si>
    <t>Ако обвързаността с условия е приложена през базовия период, съгласно член 3а от ALC-R е възможно да се възстанови безплатното разпределяне на квоти през следващите години, след като бъдат предприети всички оставащи мерки за енергийна ефективност. Моля, изберете „НЕВЯРНО“ за първата година, когато всички условия, изброени в член 3а, параграф 2 от ALC-R, са изпълнени и обвързаността с условия вече не се прилага, и всички следващи години автоматично ще преминат на „НЕВЯРНО“.</t>
  </si>
  <si>
    <t>Например, ако всички неизпълнени препоръки са изцяло изпълнени или са приложени еквивалентни мерки и всички условия в член 3а, параграф 2 от ALC-R са изпълнени към момента на подаване на проверения доклад за равнището на дейност, който трябва да бъде представен до 31 март 2026 г., моля, изберете „НЕВЯРНО“, считано от 2026 г.</t>
  </si>
  <si>
    <t>Прилага се обвързаността с условия:</t>
  </si>
  <si>
    <t>Обвързаност с условия 2: оператори с резултат, &gt; от 80-ия процентил</t>
  </si>
  <si>
    <t>Съгласно член 22б, параграф 1 и 2 от ПБР безплатното разпределяне на квоти се намалява с 20 %, ако нивата на емисиите на парникови газове на подинсталация с продуктов показател са били по-високи от 80-ия процентил от нивата на емисиите за съответните продуктови показатели през 2016 г. и 2017 г., освен ако не е представен план за неутралност по отношение на климата, съдържащ ключови етапи и цели, които са постигнати по-късно.</t>
  </si>
  <si>
    <t>Приложима?</t>
  </si>
  <si>
    <t>Изборът на „ВЯРНО“ за базовия период означава, че обвързаността с условия е била приложима, т.е. подинсталациите с продуктов показател са отговаряли на критериите. Ако случаят е „НЕВЯРНО“, всички други вписвания автоматично стават безпредметни и обвързаността с условия не се прилага през нито една година.</t>
  </si>
  <si>
    <t>Приложена?</t>
  </si>
  <si>
    <t>Изборът на „ВЯРНО“ означава, че за базовия период (НМИ) е била приложена обвързаността с условия, т.е. или не е представен план за неутралност по отношение на климата, или не е в съответствие с Акта за плановете за неутралност по отношение на климата, т.е. прилага се намаление на разпределянето с 20 %. „НЕВЯРНО“ означава, че нивата на емисиите са били по-високи от 80-ия процентил, но разпределянето не е било намалено, тъй като е бил подаден съответстващ план за неутралност по отношение на климата.</t>
  </si>
  <si>
    <t>Период 2026—2030 г.</t>
  </si>
  <si>
    <t>Съгласно член 3в от ALC-R пълният размер на безплатното разпределяне на квоти може да бъде запазен само ако ключовите етапи и целите, определени в плана за неутралност по отношение на климата, са изпълнени и потвърдени от проверен доклад за неутралност по отношение на климата. Моля, изберете „НЕВЯРНО“ за периода 2026—2030 г., ако обвързаността с условия (т.е. приспадането от 20 %) не се прилага, т.е. ако ключовите етапи и целите са изпълнени, както е показано в проверения доклад за неутралност по отношение на климата, представен до 31 март 2026 г. Ако е избрано „ВЯРНО“, тъй като ключовите етапи и целите не са постигнати, безплатното разпределяне на квоти ще бъде намалено с 20 % за всички години от периода 2026—2030 г.</t>
  </si>
  <si>
    <t>Обвързаност с условия 3: + 30 % за топлофикационна мрежа</t>
  </si>
  <si>
    <t>В съответствие с член 22б, параграф 3 от ПБР инсталацията или топлофикационното дружество, намиращи се в държава членка, която отговаря на критериите, посочени в член 10б, параграф 4, втора алинея от Директивата за СТЕ, може да подаде заявление за допълнителни 30 % безплатни квоти за подинсталацията на топлофикационна мрежа, ако са изпълнени условията, посочени в член 22б, параграф 3, букви а)—е).</t>
  </si>
  <si>
    <t>Поради това вписванията в настоящия доклад са от значение само в случай че инсталацията има подинсталация на топлофикационна мрежа, посочена в лист Б, раздел I.2. Ако е приложимо, вписванията, свързани с тази обвързаност с условия, ще трябва да бъдат направени в лист Б, раздел I.3.</t>
  </si>
  <si>
    <t>Обвързаност с условия 4: Инсталация, която е под средната стойност на 10-те % най-ефективни инсталации</t>
  </si>
  <si>
    <t>Вписванията в този доклад ще бъдат от значение само след изброяване на всички съответни подинсталации в работен лист Б, раздел I.2. Информацията, свързана с тази обвързаност с условия, впоследствие ще е от значение в лист Б, раздел I.4.</t>
  </si>
  <si>
    <t>Инсталация за изгаряне на битови отпадъци (т.е. има само задължение за мониторинг)</t>
  </si>
  <si>
    <t>Обвързвания с условия</t>
  </si>
  <si>
    <t>Данните тук са от значение само ако сте избрали „Ръчно въвеждане“ в раздел А.II. или за нови подинсталации, въведени в експлоатация след 30 юни 2024 г. (т.е. не са били включени в заявлението по НМИ).</t>
  </si>
  <si>
    <t>Това е първият ден, в който подинсталацията има равнище на дейност над нула. Тази дата влияе на разпределянето само ако е 1 януари 2018 г. или по-късна. Затова данните тук са задължителни само ако подинсталацията е въведена в експлоатация след тази дата.</t>
  </si>
  <si>
    <t>Статус по МКВЕГ</t>
  </si>
  <si>
    <t>Статуса по отношение на статуса по МКВЕГ въз основа на кодовете по КН, изброени в приложение I към Регламент (ЕС) 2023/956.</t>
  </si>
  <si>
    <t>В рамките на МКВЕГ?</t>
  </si>
  <si>
    <t>Моля, изберете „ВЯРНО“, ако са изпълнени всички условия, посочени в член 3г от ALC-R, и могат да бъдат издадени допълнителните 30 %. За допълнителни насоки, моля, направете справка с Ръководство № 11, по-специално раздел 2.4 от него.</t>
  </si>
  <si>
    <t>В колона И посочете дали съответните подинсталации са имали нива на емисии на парникови газове под средната стойност за най-ефективните 10 % подинсталации за съответните показатели през периода 2021—2022 г. Имайте предвид, че на този въпрос може да се отговори едва след като бъдат определени актуализираните стойности на показателите. Дотогава тази колона е защрихована в сиво. Поради това следвайте инструкциите на вашия компетентен орган след първоначалното представяне на настоящия доклад с базови данни.</t>
  </si>
  <si>
    <t>Дата на прекратяване</t>
  </si>
  <si>
    <t>За форматиране</t>
  </si>
  <si>
    <t>Емисии от биомаса с нулев емисионен фактор</t>
  </si>
  <si>
    <t>Въведете в таблицата по-долу количеството вложена енергия за производството на топлинна енергия, като се уверите, че няма двойно отчитане между отделните позиции:</t>
  </si>
  <si>
    <t>i: Общата вложена енергия от горива се взема автоматично от резултатите, показани в раздел D.I.</t>
  </si>
  <si>
    <t>ii: Обща вложена електроенергия за ПЪРВИЧНАТА цел за производство на топлинна енергия (например електроенергия, потребена от термопомпи, електрически котли, електрически пещи и др.), освен ако горивата, с които се произвежда електроенергията, вече са включени в подточка i. по-горе. Имайте предвид, че тук НЕ се включва всяко друго потребление на електроенергия за цели, различни от производството на топлинна енергия (помпи, задвижващи механизми и др.).</t>
  </si>
  <si>
    <t>iii: Общото количество друга енергия, включително от екзотермична топлина (т.е. от всяка екзотермична химична реакция, като частично окисляване или карботермична редукция), друга топлинна енергия, например всякаква топлина от околната среда при термопомпите, геотермална топлина освен ако някой от тези видове топлинна енергия е произведена от горива, които вече са включени в подточка i. по-горе. Например ако в резултат на химична реакция се получава пара, разликата между вложената и изходящата енергия от процеса, при който се получава парата, следва да се въведе тук като екзотермична топлина освен ако тази енергия не е вече обхваната от i. по-горе.</t>
  </si>
  <si>
    <t>iv: Резултат: обща вложена енергия, т.е. сборът от посочените по-горе. Тази стойност представлява 100 % от енергията, налична за задаване на подинсталациите с горивен показател, производството на измерима топлинна енергия и т.н. в следващите точки по-долу.</t>
  </si>
  <si>
    <t>Общо вложена енергия от горива (D.I)</t>
  </si>
  <si>
    <t>Вложена електроенергия за производството на топлинна енергия</t>
  </si>
  <si>
    <t>Друга вложена енергия (например екзотермична топлина)</t>
  </si>
  <si>
    <t>Обща вложена енергия (сбор от посочените по-горе)</t>
  </si>
  <si>
    <t>Разпределение на вложената енергия за различните видове употреба</t>
  </si>
  <si>
    <t>Вложената енергия в подинсталации с продуктов показател представлява сборът на директно вложената енергия и енергията, вложена за генериране на измеримата топлинна енергия, потребена в подинсталацията.</t>
  </si>
  <si>
    <t>Вложена енергия за производството на измерима топлинна енергия, която не е използвана за подинсталации с продуктов показател или за производството на електроенергия</t>
  </si>
  <si>
    <t>Вложена енергия в подинсталации в горивен показател за първичната цел за производство на топлинна енергия</t>
  </si>
  <si>
    <t>Вложена енергия за производството на електроенергия</t>
  </si>
  <si>
    <t>Вложена енергия за неенергийни цели: включва всички съдържащи енергия технологични материали, които не са включени по-горе (напр. порообразуващи агенти)</t>
  </si>
  <si>
    <t>Друга вложена енергия за недопустими цели: включва всички други употреби, които не са включени по-горе (напр. аварийни силови установки, изгаряне във факел за цели, различни от тези на безопасността)</t>
  </si>
  <si>
    <t>Вид използване на вложената енергия</t>
  </si>
  <si>
    <t>Вложена енергия в подинсталации с продуктов показател</t>
  </si>
  <si>
    <t>Вложена енергия за производство на измерима топлинна енергия</t>
  </si>
  <si>
    <t>Вложена енергия за неенергийни цели</t>
  </si>
  <si>
    <t>Друга вложена енергия за недопустими цели</t>
  </si>
  <si>
    <t>Моля, изберете „N.A.“ от падащия списък, когато няма съответни входящи количества гориво и следователно няма приложим емисионен фактор.</t>
  </si>
  <si>
    <t>Всички данни за топлинната енергия следва да се отнасят за „нетно количество измерима топлинна енергия“ (т.е. топлинното съдържание на топлинния поток към потребителя минус топлинното съдържание на обратния поток).</t>
  </si>
  <si>
    <t>Когато топлинната енергия от КПЕ е от значение, моля, докладвайте нетната топлинна енергия (т.е. след приспадане на собственото потребление на КПЕ), за да се осигури съгласуваност с данните, въведени в раздел D.III (т.е. или докладвайте само топлинната енергия от КПЕ, налична за потребителите след КПЕ, или докладвайте общото количество топлинна енергия, включително топлинната енергия, използвана за производство на електроенергия, които се отчитат последователно в буква ж) по-долу).</t>
  </si>
  <si>
    <t>Топлинната енергия от котли и др. следва да включва цялата топлинна енергия, произведена от специализираните съоръжения за производство на топлинна енергия (котли, повторно използване на отпадна топлина и др.) извън КПЕ.</t>
  </si>
  <si>
    <t>Топлинната енергия от електроенергия следва да включва цялата топлинна енергия от електрически котли, термопомпи и др.</t>
  </si>
  <si>
    <t>Топлинната енергия от други източници следва да включва топлинната енергия от други останали източници (например геотермална енергия, слънчева топлинна енергия, топлина от околната среда за термопомпи, екзотермични химични реакции)</t>
  </si>
  <si>
    <t>Имайте предвид, че топлинната енергия от подинсталации, работещи с азотна киселина, трябва да се отчита съгласно буква г) като „получаване на топлинна енергия от извън СТЕ“.</t>
  </si>
  <si>
    <t>Топлинна енергия от КПЕ</t>
  </si>
  <si>
    <t>Топлинна енергия от котли и др.</t>
  </si>
  <si>
    <t>Топлинна енергия от други източници</t>
  </si>
  <si>
    <t>Допълнителна информация за справка: топлинна енергия, подадена от подинсталации с горивен показател</t>
  </si>
  <si>
    <t>Като допълнителна информация за справка и част, която трябва да бъде включена в подточка i., сборът от количествата измерима топлинна енергия, подадена от подинсталациите с горивен показател, се показва в подточка ii.</t>
  </si>
  <si>
    <t>Сума на измеримата топлинна енергия, налична в инсталацията (=a+c+d)</t>
  </si>
  <si>
    <t>„Топлинна енергия по СТЕ“ е топлинната енергия, произведена в инсталацията, плюс топлинната енергия, получена от инсталации в обхвата на СТЕ (=a+c).</t>
  </si>
  <si>
    <t xml:space="preserve">„Обща топлинна енергия“ е топлинната енергия по СТЕ плюс топлинната енергия, получена от обекти и инсталации извън СТЕ (=a+c+d). </t>
  </si>
  <si>
    <t>Съотношение на вложената топлинна енергия (a+c) / (a+c+d):</t>
  </si>
  <si>
    <t>Стойности по подточка iii. от получена енергия</t>
  </si>
  <si>
    <t>Количество отпадни газове, потребено за производството на измерима топлинна енергия И подадено към други инсталации в обхвата на СТЕ на ЕС</t>
  </si>
  <si>
    <t>Това включва само отпадните газове, които се потребяват в рамките на инсталацията за производство на измерима топлинна енергия И тази измерима топлинна енергия се подава към друга инсталация в обхвата на СТЕ на ЕС. Директно подадените отпадни газове не следва да се включват тук, а в буква д) по-горе.</t>
  </si>
  <si>
    <t>Отпадни газове за топлинна енергия към други инсталации в обхвата на СТЕ на ЕС</t>
  </si>
  <si>
    <t>Ако отговорът тук е „НЕВЯРНО“, въвеждането на данни по-долу не е задължително, с изключение на буква е), където това винаги е задължително. Тук можете да впишете „НЕВЯРНО“, ако електроенергията се произвежда само от агрегати за аварийно захранване.</t>
  </si>
  <si>
    <t>Това следва да бъде нетната произведена електроенергия (т.е. след приспадане на собственото потребление на помпи и др.). Моля, осигурете съгласуваност със стойностите, отчетени в D.III.</t>
  </si>
  <si>
    <t>Проверка на правдоподобността на данните: Сума на вложената електроенергия в работен лист „F_ProductBM“ за потреблението на електроенергия</t>
  </si>
  <si>
    <t>Електроенергия, въведена като потребена</t>
  </si>
  <si>
    <t>абсолютния праг, т.е. промяната би довела до разлика в предварителното разпределение от най-малко 300 квоти</t>
  </si>
  <si>
    <t>изпълнен ли е критерият за &gt;=300 квоти за емисии?</t>
  </si>
  <si>
    <t>Потребление на електроенергия</t>
  </si>
  <si>
    <t>Въведете тук електроенергията, потребена в системните граници на тази подинсталация. За продуктовите показатели, изброени в раздел 2 от приложение I към ПБР, въвеждането тук на данни е задължително, като те трябва да съответстват на съответните системни граници, посочени в този раздел.</t>
  </si>
  <si>
    <t>https://eur-lex.europa.eu/eli/reg/2010/860/oj/bul</t>
  </si>
  <si>
    <t>Кодовете по КН са кодовете съгласно Регламент (ЕИО) № 2658/87, които са на разположение на следния адрес:</t>
  </si>
  <si>
    <t>ПРОДКОМ за 2010 г.</t>
  </si>
  <si>
    <t>Код по КН</t>
  </si>
  <si>
    <t>Вложена енергия в тази подинсталация и съответен емисионен фактор</t>
  </si>
  <si>
    <t>Съгласно изискванията в приложение IV, раздел 2.4, буква а) към ПБР посочете общото количество вложена енергия от горива, материали и електроенергия за генериране на топлинна енергия от подинсталацията и съответния претеглен емисионен фактор, като вземете предвид съответното енергийно съдържание на всяко гориво, включено в числовата стойност, посочена в буква ж), и приложите същите системни граници от буква ж).</t>
  </si>
  <si>
    <t>Терминът „гориво“ следва да се тълкува като всеки запалим пораждащ емисии поток съгласно РМД, за който може да се установи долната топлина на изгаряне. Претегленият емисионен фактор съответства на натрупаните емисии от горива, разделени на общото енергийно съдържание.</t>
  </si>
  <si>
    <t>Вложена енергия</t>
  </si>
  <si>
    <t>Сума на измеримата топлинна енергия, получена от източници извън СТЕ, за по-нататъшно използване в работен лист „E_EnergyFlows“:</t>
  </si>
  <si>
    <t>Обобщени данни за измеримата топлинна енергия</t>
  </si>
  <si>
    <t>относителният праг (15 %) за средното равнище на дейност в сравнение с HAL</t>
  </si>
  <si>
    <t>относителните прагове (15 % и 5 % за последващи промени) за очакваното равнище на дейност в сравнение с HAL</t>
  </si>
  <si>
    <t>Следва да се отбележи, че правилото за енергийната ефективност може да се приложи само в случай на производството на конкретен продукт. Следователно, ако за даден продукт не може да бъде определен код по ПРОДКОМ, това правило не може да се прилага и очакваните равнища на дейност ще бъдат равни на действителните равнища на дейност (т.е. ще се отчитат спрямо оставащото AL), без никаква корекция.</t>
  </si>
  <si>
    <t>Стойността в НМИ се отнася до средното производство през историческия базов период, както е обяснено в раздели 2.3 и 3 от Ръководство № 7.</t>
  </si>
  <si>
    <t>Допустимо по СТЕ на ЕС потребление на енергия по продукти за определяне на очакваните равнища на дейност</t>
  </si>
  <si>
    <t>Вписванията тук са задължителни за всички години, ако средното годишно равнище на дейност по буква а) се е променило с повече от 15 % за поне една година и само в този случай ще окаже пряко въздействие върху разпределянето.</t>
  </si>
  <si>
    <t>Стойността в НМИ се отнася до средното потребление на топлинна енергия през историческия базов период (НМИ).</t>
  </si>
  <si>
    <t>Допълнителни насоки относно отнасянето по продукти за изчисляването на историческата ефективност (HistEff) могат да бъдат намерени в раздели 2.3 и 3 от Ръководство № 7.</t>
  </si>
  <si>
    <t>Топлинна енергия по СТЕ</t>
  </si>
  <si>
    <t>Потребление на енергия извън СТЕ на ЕС по продукти за определяне на очакваните равнища на дейност</t>
  </si>
  <si>
    <t>Моля, въведете тук всяко потребление на енергия извън СТЕ на ЕС (напр. топлинна енергия, получена от инсталации, които не са обхванати от СТЕ на ЕС), използвано за същите продукти, както по-горе. Числата тук ще бъдат използвани за коригиране на разпределянето за допустимия дял на енергията.</t>
  </si>
  <si>
    <t>Общо потребление на енергия по продукти за определяне на очакваните равнища на дейност</t>
  </si>
  <si>
    <t>Това е сборът от вписванията по-горе b.2 + b.3. Следователно сумата може да бъде по-висока от 100 % от равнището на дейност.</t>
  </si>
  <si>
    <t>ОБЩО</t>
  </si>
  <si>
    <t>Очаквани равнища на дейност</t>
  </si>
  <si>
    <t>Корекции: Промени в ефективността</t>
  </si>
  <si>
    <t>Промяна в равнището на дейност &gt; 15 %?</t>
  </si>
  <si>
    <t>Средна стойност на очакваното равнище на дейност</t>
  </si>
  <si>
    <t>Определяне на корекциите на очакваното равнище на дейност, включително всякакви промени в ефективността</t>
  </si>
  <si>
    <t>Това е крайният резултат, като се вземат предвид всички промени в ефективността, ако е приложимо.</t>
  </si>
  <si>
    <t>Действително очаквано равнище на дейност</t>
  </si>
  <si>
    <t>Съгласно изискванията в приложение IV, раздел 2.4, буква а) към ПБР посочете вложената енергия от горива, материали (например екзотермична топлина) и електроенергия, използвана за производството на топлинна енергия, в съответствие с данните на равнище инсталация, въведени в раздел E.I.1.a, и съответния претеглен емисионен фактор, като вземете предвид съответното енергийно съдържание.</t>
  </si>
  <si>
    <t>Обща вложена енергия (= i. + v. + vii.)</t>
  </si>
  <si>
    <t>Общо произведено количество (включително електроенергия)</t>
  </si>
  <si>
    <t>Топлинна енергия, произведена от електроенергия</t>
  </si>
  <si>
    <t>Производствената стойност (НМИ) се отнася до средното производство през историческия базов период (НМИ), както е обяснено в раздели 2.3 и 3 от Ръководство № 7.</t>
  </si>
  <si>
    <t>Име на продукт или вид услуга</t>
  </si>
  <si>
    <t>В подточки iv. и vi. трябва да се въведат съответно вложената електроенергия за първичната цел за производство на топлинна енергия и съответният емисионен фактор. Емисионният фактор обаче често може да не е ясно определен или да не е известен. Поради това въвеждането на съответните данни тук не е задължително.</t>
  </si>
  <si>
    <t>Вложена енергия, въведена в буква a)</t>
  </si>
  <si>
    <t>Моля, посочете тук към кои производствени процеси или услуги има отношение тази подинсталация.</t>
  </si>
  <si>
    <t>Вид технологични емисии</t>
  </si>
  <si>
    <t>Допустими по СТЕ на ЕС технологични емисии по продукти за определяне на очакваните равнища на дейност</t>
  </si>
  <si>
    <t>Моля, въведете тук технологичните емисии, които са допустими за безплатно разпределяне на квоти.</t>
  </si>
  <si>
    <t>Стойността в НМИ се отнася до средните емисии през историческия базов период (НМИ).</t>
  </si>
  <si>
    <t>допустими</t>
  </si>
  <si>
    <t>Недопустими по СТЕ на ЕС технологични емисии по продукти за определяне на очакваните равнища на дейност</t>
  </si>
  <si>
    <t>Тук въведете всички недопустими технологични емисии (например емисии от суровини, които вече са докладвани като емисии от доставчика на този материал), използвани за същите продукти, както по-горе. Числата тук ще бъдат използвани за коригиране на разпределянето за допустимия дял на технологични емисии.</t>
  </si>
  <si>
    <t>недопустими</t>
  </si>
  <si>
    <t>Общо технологични емисии по продукти за определяне на очакваните равнища на дейност</t>
  </si>
  <si>
    <t>Специфичните емисии се определят в съответствие с раздел 6.1 от Ръководен документ 7 за стойности, отговарящи на критериите по буква б.1) по-горе.</t>
  </si>
  <si>
    <t>Водород, необхванат от МКВЕГ</t>
  </si>
  <si>
    <t>Водород, обхванат от МКВЕГ</t>
  </si>
  <si>
    <t>На базата на данните по-горе тук се определят средните годишни стойности на стойностите от i. Разпределението ще бъде променено само ако са надвишени относителният праг (15 % в сравнение със стойността в НМИ) и абсолютният праг (промяната води до корекция с повече от 300 квоти), определени в член 6, параграф 4 от Регламента за ALC.</t>
  </si>
  <si>
    <t>Дял на биомасата с нулев емисионен фактор</t>
  </si>
  <si>
    <t>Статус по МКВЕГ: „Вярно“, ако подинсталацията е обхваната от МКВЕГ</t>
  </si>
  <si>
    <t>Очаквано равнище на дейност</t>
  </si>
  <si>
    <t>Равнищата на дейност на подинсталациите с непряк подход за определяне на емисиите, определени в съответствие с приложение I към ALC-R</t>
  </si>
  <si>
    <t>Критерий 4: Разлика от поне 300 квоти за емисии?</t>
  </si>
  <si>
    <t>„ВЯРНО“ означава, че абсолютният праг, посочен в член 6 от ALC-R (300 квоти за емисии), е надвишен и разпределението ще бъде коригирано.</t>
  </si>
  <si>
    <t>Предварителни стойности за критерий &gt; 300 EUA</t>
  </si>
  <si>
    <t>Разлика в предварителната стойност</t>
  </si>
  <si>
    <t>Корекции за актуализиране на показателя при специфичен показател, когато е приложимо</t>
  </si>
  <si>
    <t>Производство на водород (действително + теоретично)</t>
  </si>
  <si>
    <t>Емисии във връзка с водород</t>
  </si>
  <si>
    <t>Корекция на емисиите във връзка с HVC</t>
  </si>
  <si>
    <t>Корекция на емисиите във връзка с VCM</t>
  </si>
  <si>
    <t>Критерий 3a: Надвишен ли е относителният праг?</t>
  </si>
  <si>
    <t>Промяна в сравнение с HAL (очаквана)</t>
  </si>
  <si>
    <t>Коефициент за емисии от процеси</t>
  </si>
  <si>
    <t>Коефициент на Механизма за корекция на въглеродните емисии на границите (МКВЕГ)</t>
  </si>
  <si>
    <t>Приложими обвързаности с условия</t>
  </si>
  <si>
    <t>Обвързаност с условия 1: Мерки за енергийна ефективност</t>
  </si>
  <si>
    <t>Обвързаност с условия 2: Планове за неутралност по отношение на климата</t>
  </si>
  <si>
    <t>Обвързаност с условия 3: + 30 % топлофикационна мрежа</t>
  </si>
  <si>
    <t>Обвързаност с условия 4: Най-ефективна инсталация</t>
  </si>
  <si>
    <t>Допълнителна информация за справка: допълнителни 30 % EUA за топлофикационна мрежа, включени в таблицата по-горе, ако е приложимо</t>
  </si>
  <si>
    <t>Инсталация за изгаряне на битови отпадъци</t>
  </si>
  <si>
    <t>Чехия</t>
  </si>
  <si>
    <t>Задължително трябва да отговорите на въпроса в A.IV.1.a!</t>
  </si>
  <si>
    <t xml:space="preserve">Рафиниране на нефт </t>
  </si>
  <si>
    <t xml:space="preserve">Производство на желязо или стомана (първично или вторично стапяне), включително непрекъснато леене, с капацитет над 2,5 тона на час </t>
  </si>
  <si>
    <t>Производство на първичен алуминий или диалуминиев триоксид</t>
  </si>
  <si>
    <t>Сушене или изпичане на гипс или производство на гипсови панели или други продукти от гипс с производствен капацитет за калциниран гипс или изсушен вторичен гипс, надвишаващ общо 20 тона на ден</t>
  </si>
  <si>
    <t>Производство на сажди с карбонизиране на органични вещества като масла, катран, остатъци от крекинг и дестилация, с производствен капацитет над 50 тона на ден</t>
  </si>
  <si>
    <t>Производство на водород (H2) и синтетичен газ с производствен капацитет над 5 тона на ден</t>
  </si>
  <si>
    <t>Транспортиране на парникови газове за съхранение в геоложки формации в място за съхранение, получило разрешение съгласно Директива 2009/31/ЕО, с изключение на емисиите, обхванати от друга дейност съгласно съответната директива</t>
  </si>
  <si>
    <t>Леене на чугун, в рамките на МКВЕГ</t>
  </si>
  <si>
    <t>Леене на чугун, извън МКВЕГ</t>
  </si>
  <si>
    <t>Подинсталация с топлинен показател (с риск от ИВЕ | извън МКВЕГ)</t>
  </si>
  <si>
    <t>Подинсталация с топлинен показател (без риск от ИВЕ | извън МКВЕГ)</t>
  </si>
  <si>
    <t>Подинсталация с топлинен показател (с риск от ИВЕ | в рамките на МКВЕГ)</t>
  </si>
  <si>
    <t>Подинсталация на топлофикационна мрежа</t>
  </si>
  <si>
    <t>Подинсталация с горивен показател (с риск от ИВЕ | извън МКВЕГ)</t>
  </si>
  <si>
    <t>Подинсталация с горивен показател (без риск от ИВЕ | извън МКВЕГ)</t>
  </si>
  <si>
    <t>Подинсталация с горивен показател (с риск от ИВЕ | в рамките на МКВЕГ)</t>
  </si>
  <si>
    <t>Подинсталация с емисии от процеси (с риск от ИВЕ | извън МКВЕГ)</t>
  </si>
  <si>
    <t>Подинсталация с емисии от процеси (без риск от ИВЕ | извън МКВЕГ)</t>
  </si>
  <si>
    <t>Подинсталация с емисии от процеси (с риск от ИВЕ | в рамките на МКВЕГ)</t>
  </si>
  <si>
    <t xml:space="preserve">Декларация за достоверност на данните
С настоящото удостоверявам верността, точността и пълнотата на информацията, предоставена в този Доклад, както и че няма припокриване между подинсталациите и двойно отчитане. Упражнена е надлежна проверка и предоставените данни представят най-високата постижима точност, както е посочено в член 7 от Делегиран регламент (ЕС)
2019/331 на Комисията от 19 декември 2018 г., така че да се даде възможност за разумна гаранция за целостта и верността на данните.
</t>
  </si>
  <si>
    <t>Навигационно меню:</t>
  </si>
  <si>
    <t>Следващ лист</t>
  </si>
  <si>
    <t>Обобщение</t>
  </si>
  <si>
    <t>Начало на листа</t>
  </si>
  <si>
    <t>Край на листа</t>
  </si>
  <si>
    <t>СЪДЪРЖАНИЕ</t>
  </si>
  <si>
    <t>Езикова версия:</t>
  </si>
  <si>
    <t>Референтно име на файла:</t>
  </si>
  <si>
    <t>Информация за този файл:</t>
  </si>
  <si>
    <t>Име на инсталацията:</t>
  </si>
  <si>
    <t>Уникален идентификатор на инсталацията:</t>
  </si>
  <si>
    <t>Дата</t>
  </si>
  <si>
    <t>Съдържание</t>
  </si>
  <si>
    <t>Предходен лист</t>
  </si>
  <si>
    <t>ОТКАЗ ОТ ОТГОВОРНОСТ: Всички формули са разработени внимателно и задълбочено. Грешки обаче не могат да бъдат напълно изключени. 
Както е описано по-горе, гарантира се пълна прозрачност за проверка на валидността на изчисленията. Нито авторите на това досие, нито Европейската комисия могат да бъдат подведени под отговорност за евентуални вреди, произтичащи от погрешни или подвеждащи резултати от предоставените изчисления.  
Потребителят на този файл (т.е. операторът на инсталация по СТЕ на ЕС) носи пълната отговорност да гарантира, че на компетентния орган се докладват точни данни.</t>
  </si>
  <si>
    <t>Automated BM value and bug correction by UBA Tool March 2026</t>
  </si>
  <si>
    <t>Batch3 corr</t>
  </si>
  <si>
    <t>Име и подпис на
юридически отговорното лице и печат на дружеството</t>
  </si>
  <si>
    <t>ALC P4-2_COM_bg_20260721.xlsx</t>
  </si>
  <si>
    <t>Automated BM value and bug correction by UBA Tool July 2026</t>
  </si>
  <si>
    <t>PrelimAlloc300 corr, BM values corr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</si>
</sst>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0_ ;[Red]\-#,##0\ "/>
    <numFmt numFmtId="165" formatCode="#,##0.00_ ;[Red]\-#,##0.00\ "/>
    <numFmt numFmtId="166" formatCode="0.0000"/>
    <numFmt numFmtId="167" formatCode="0.000"/>
    <numFmt numFmtId="168" formatCode="0.0"/>
    <numFmt numFmtId="169" formatCode="0.0%"/>
    <numFmt numFmtId="170" formatCode="#,##0.000_ ;[Red]\-#,##0.000\ "/>
    <numFmt numFmtId="171" formatCode="#,##0.0000_ ;[Red]\-#,##0.0000\ "/>
    <numFmt numFmtId="172" formatCode="#,##0.000"/>
    <numFmt numFmtId="173" formatCode="#,##0_ ;\-#,##0\ "/>
    <numFmt numFmtId="174" formatCode="#,##0.0000"/>
  </numFmts>
  <fonts count="106" x14ac:knownFonts="1">
    <font>
      <sz val="10"/>
      <name val="Arial"/>
    </font>
    <font>
      <sz val="11"/>
      <color indexed="8"/>
      <name val="Calibri"/>
      <family val="2"/>
    </font>
    <font>
      <sz val="10"/>
      <name val="Arial"/>
      <family val="2"/>
    </font>
    <font>
      <b/>
      <sz val="12"/>
      <color indexed="9"/>
      <name val="Arial"/>
      <family val="2"/>
    </font>
    <font>
      <b/>
      <sz val="10"/>
      <name val="Arial"/>
      <family val="2"/>
    </font>
    <font>
      <sz val="8"/>
      <name val="Arial"/>
      <family val="2"/>
    </font>
    <font>
      <u/>
      <sz val="10"/>
      <color indexed="12"/>
      <name val="Arial"/>
      <family val="2"/>
    </font>
    <font>
      <sz val="8"/>
      <name val="Arial"/>
      <family val="2"/>
    </font>
    <font>
      <b/>
      <sz val="10"/>
      <name val="Arial"/>
      <family val="2"/>
    </font>
    <font>
      <b/>
      <sz val="14"/>
      <name val="Arial"/>
      <family val="2"/>
    </font>
    <font>
      <i/>
      <sz val="8"/>
      <color indexed="6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12"/>
      <name val="Arial"/>
      <family val="2"/>
    </font>
    <font>
      <sz val="10"/>
      <name val="Arial"/>
      <family val="2"/>
    </font>
    <font>
      <b/>
      <u/>
      <sz val="20"/>
      <color indexed="62"/>
      <name val="Arial"/>
      <family val="2"/>
    </font>
    <font>
      <b/>
      <u/>
      <sz val="10"/>
      <color indexed="62"/>
      <name val="Arial"/>
      <family val="2"/>
    </font>
    <font>
      <i/>
      <sz val="8"/>
      <color indexed="14"/>
      <name val="Arial"/>
      <family val="2"/>
    </font>
    <font>
      <b/>
      <sz val="12"/>
      <name val="Arial"/>
      <family val="2"/>
    </font>
    <font>
      <sz val="8"/>
      <name val="Arial"/>
      <family val="2"/>
    </font>
    <font>
      <b/>
      <sz val="11"/>
      <color indexed="18"/>
      <name val="Arial"/>
      <family val="2"/>
    </font>
    <font>
      <sz val="11"/>
      <name val="Arial"/>
      <family val="2"/>
    </font>
    <font>
      <sz val="10"/>
      <name val="Arial"/>
      <family val="2"/>
    </font>
    <font>
      <b/>
      <sz val="11"/>
      <name val="Arial"/>
      <family val="2"/>
    </font>
    <font>
      <b/>
      <u/>
      <sz val="10"/>
      <color indexed="12"/>
      <name val="Arial"/>
      <family val="2"/>
    </font>
    <font>
      <sz val="10"/>
      <color indexed="10"/>
      <name val="Arial"/>
      <family val="2"/>
    </font>
    <font>
      <b/>
      <i/>
      <sz val="8"/>
      <color indexed="62"/>
      <name val="Arial"/>
      <family val="2"/>
    </font>
    <font>
      <b/>
      <sz val="9"/>
      <color indexed="81"/>
      <name val="Tahoma"/>
      <family val="2"/>
    </font>
    <font>
      <b/>
      <sz val="10"/>
      <color indexed="13"/>
      <name val="Arial"/>
      <family val="2"/>
    </font>
    <font>
      <sz val="9"/>
      <name val="Tahoma"/>
      <family val="2"/>
    </font>
    <font>
      <sz val="9"/>
      <color indexed="12"/>
      <name val="Tahoma"/>
      <family val="2"/>
    </font>
    <font>
      <sz val="10"/>
      <color indexed="12"/>
      <name val="Arial"/>
      <family val="2"/>
    </font>
    <font>
      <b/>
      <sz val="10"/>
      <color indexed="10"/>
      <name val="Arial"/>
      <family val="2"/>
    </font>
    <font>
      <b/>
      <i/>
      <sz val="10"/>
      <name val="Arial"/>
      <family val="2"/>
    </font>
    <font>
      <sz val="9"/>
      <color indexed="81"/>
      <name val="Tahoma"/>
      <family val="2"/>
    </font>
    <font>
      <i/>
      <sz val="10"/>
      <color indexed="62"/>
      <name val="Arial"/>
      <family val="2"/>
    </font>
    <font>
      <b/>
      <i/>
      <sz val="10"/>
      <color indexed="62"/>
      <name val="Arial"/>
      <family val="2"/>
    </font>
    <font>
      <sz val="10"/>
      <color indexed="18"/>
      <name val="Arial"/>
      <family val="2"/>
    </font>
    <font>
      <sz val="10"/>
      <color indexed="10"/>
      <name val="Arial"/>
      <family val="2"/>
    </font>
    <font>
      <b/>
      <sz val="10"/>
      <name val="Arial"/>
      <family val="2"/>
    </font>
    <font>
      <sz val="10"/>
      <color indexed="14"/>
      <name val="Arial"/>
      <family val="2"/>
    </font>
    <font>
      <i/>
      <sz val="10"/>
      <name val="Arial"/>
      <family val="2"/>
    </font>
    <font>
      <sz val="9"/>
      <name val="Times New Roman"/>
      <family val="1"/>
    </font>
    <font>
      <b/>
      <sz val="10"/>
      <color indexed="18"/>
      <name val="Arial"/>
      <family val="2"/>
    </font>
    <font>
      <sz val="10"/>
      <color indexed="62"/>
      <name val="Arial"/>
      <family val="2"/>
    </font>
    <font>
      <u/>
      <sz val="10"/>
      <color indexed="62"/>
      <name val="Arial"/>
      <family val="2"/>
    </font>
    <font>
      <i/>
      <u/>
      <sz val="8"/>
      <color indexed="12"/>
      <name val="Arial"/>
      <family val="2"/>
    </font>
    <font>
      <i/>
      <u/>
      <sz val="8"/>
      <color indexed="62"/>
      <name val="Arial"/>
      <family val="2"/>
    </font>
    <font>
      <sz val="10"/>
      <color indexed="62"/>
      <name val="Arial"/>
      <family val="2"/>
    </font>
    <font>
      <b/>
      <i/>
      <u/>
      <sz val="10"/>
      <color indexed="12"/>
      <name val="Arial"/>
      <family val="2"/>
    </font>
    <font>
      <b/>
      <sz val="10"/>
      <color indexed="12"/>
      <name val="Arial"/>
      <family val="2"/>
    </font>
    <font>
      <u/>
      <sz val="10"/>
      <color indexed="12"/>
      <name val="Arial"/>
      <family val="2"/>
    </font>
    <font>
      <sz val="10"/>
      <name val="Arial"/>
      <family val="2"/>
    </font>
    <font>
      <b/>
      <sz val="10"/>
      <color indexed="9"/>
      <name val="Arial"/>
      <family val="2"/>
    </font>
    <font>
      <u/>
      <sz val="8"/>
      <color indexed="12"/>
      <name val="Arial"/>
      <family val="2"/>
    </font>
    <font>
      <b/>
      <sz val="20"/>
      <color indexed="62"/>
      <name val="Arial"/>
      <family val="2"/>
    </font>
    <font>
      <sz val="9"/>
      <color indexed="81"/>
      <name val="Segoe UI"/>
      <family val="2"/>
    </font>
    <font>
      <b/>
      <sz val="18"/>
      <color indexed="62"/>
      <name val="Arial"/>
      <family val="2"/>
    </font>
    <font>
      <b/>
      <sz val="9"/>
      <name val="Arial"/>
      <family val="2"/>
    </font>
    <font>
      <b/>
      <u/>
      <sz val="8"/>
      <color indexed="12"/>
      <name val="Arial"/>
      <family val="2"/>
    </font>
    <font>
      <b/>
      <sz val="14"/>
      <color indexed="8"/>
      <name val="Calibri"/>
      <family val="2"/>
    </font>
    <font>
      <sz val="8"/>
      <name val="Calibri"/>
      <family val="2"/>
    </font>
    <font>
      <sz val="10"/>
      <color theme="1"/>
      <name val="Consolas"/>
      <family val="2"/>
    </font>
    <font>
      <sz val="10"/>
      <color rgb="FFFF0000"/>
      <name val="Arial"/>
      <family val="2"/>
    </font>
    <font>
      <b/>
      <sz val="10"/>
      <color rgb="FFFF0000"/>
      <name val="Arial"/>
      <family val="2"/>
    </font>
    <font>
      <sz val="10"/>
      <color theme="1" tint="0.499984740745262"/>
      <name val="Arial"/>
      <family val="2"/>
    </font>
    <font>
      <b/>
      <sz val="10"/>
      <color theme="1" tint="0.499984740745262"/>
      <name val="Arial"/>
      <family val="2"/>
    </font>
    <font>
      <sz val="10"/>
      <color rgb="FF000099"/>
      <name val="Arial"/>
      <family val="2"/>
    </font>
    <font>
      <b/>
      <sz val="10"/>
      <color rgb="FF000099"/>
      <name val="Arial"/>
      <family val="2"/>
    </font>
    <font>
      <b/>
      <sz val="22"/>
      <color rgb="FFFF0000"/>
      <name val="Arial"/>
      <family val="2"/>
    </font>
    <font>
      <b/>
      <i/>
      <sz val="10"/>
      <color rgb="FFFF0000"/>
      <name val="Arial"/>
      <family val="2"/>
    </font>
    <font>
      <b/>
      <i/>
      <sz val="10"/>
      <color rgb="FF333399"/>
      <name val="Arial"/>
      <family val="2"/>
    </font>
    <font>
      <b/>
      <i/>
      <sz val="10"/>
      <color theme="0"/>
      <name val="Arial"/>
      <family val="2"/>
    </font>
    <font>
      <b/>
      <u/>
      <sz val="20"/>
      <color rgb="FF333399"/>
      <name val="Arial"/>
      <family val="2"/>
    </font>
    <font>
      <b/>
      <sz val="18"/>
      <color rgb="FF333399"/>
      <name val="Arial"/>
      <family val="2"/>
    </font>
    <font>
      <sz val="10"/>
      <color rgb="FF000080"/>
      <name val="Arial"/>
      <family val="2"/>
    </font>
    <font>
      <b/>
      <sz val="12"/>
      <color rgb="FFFF0000"/>
      <name val="Arial"/>
      <family val="2"/>
    </font>
    <font>
      <sz val="10"/>
      <color rgb="FF808080"/>
      <name val="Arial"/>
      <family val="2"/>
    </font>
    <font>
      <sz val="10"/>
      <color rgb="FF333399"/>
      <name val="Arial"/>
      <family val="2"/>
    </font>
    <font>
      <b/>
      <i/>
      <sz val="8"/>
      <color rgb="FF333399"/>
      <name val="Arial"/>
      <family val="2"/>
    </font>
    <font>
      <i/>
      <sz val="8"/>
      <color rgb="FF333399"/>
      <name val="Arial"/>
      <family val="2"/>
    </font>
    <font>
      <b/>
      <sz val="12"/>
      <color rgb="FFFFFFFF"/>
      <name val="Arial"/>
      <family val="2"/>
    </font>
    <font>
      <b/>
      <sz val="11"/>
      <color rgb="FF000080"/>
      <name val="Arial"/>
      <family val="2"/>
    </font>
    <font>
      <b/>
      <sz val="10"/>
      <color rgb="FF333399"/>
      <name val="Arial"/>
      <family val="2"/>
    </font>
    <font>
      <b/>
      <i/>
      <sz val="8"/>
      <color rgb="FF000099"/>
      <name val="Arial"/>
      <family val="2"/>
    </font>
    <font>
      <i/>
      <sz val="8"/>
      <name val="Arial"/>
      <family val="2"/>
    </font>
    <font>
      <b/>
      <sz val="8"/>
      <name val="Arial"/>
      <family val="2"/>
    </font>
    <font>
      <i/>
      <sz val="10"/>
      <color theme="1" tint="0.499984740745262"/>
      <name val="Arial"/>
      <family val="2"/>
    </font>
    <font>
      <sz val="9"/>
      <name val="Arial"/>
      <family val="2"/>
    </font>
    <font>
      <sz val="8"/>
      <color indexed="62"/>
      <name val="Arial"/>
      <family val="2"/>
    </font>
    <font>
      <sz val="10"/>
      <name val="Arial"/>
      <family val="2"/>
      <charset val="204"/>
    </font>
  </fonts>
  <fills count="6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1"/>
        <bgColor indexed="64"/>
      </patternFill>
    </fill>
    <fill>
      <patternFill patternType="solid">
        <fgColor indexed="9"/>
        <bgColor indexed="64"/>
      </patternFill>
    </fill>
    <fill>
      <patternFill patternType="solid">
        <fgColor indexed="12"/>
        <bgColor indexed="64"/>
      </patternFill>
    </fill>
    <fill>
      <patternFill patternType="solid">
        <fgColor indexed="42"/>
        <bgColor indexed="64"/>
      </patternFill>
    </fill>
    <fill>
      <patternFill patternType="solid">
        <fgColor indexed="13"/>
        <bgColor indexed="64"/>
      </patternFill>
    </fill>
    <fill>
      <patternFill patternType="solid">
        <fgColor indexed="26"/>
        <bgColor indexed="64"/>
      </patternFill>
    </fill>
    <fill>
      <patternFill patternType="solid">
        <fgColor indexed="43"/>
        <bgColor indexed="64"/>
      </patternFill>
    </fill>
    <fill>
      <patternFill patternType="solid">
        <fgColor indexed="44"/>
        <bgColor indexed="64"/>
      </patternFill>
    </fill>
    <fill>
      <patternFill patternType="solid">
        <fgColor indexed="57"/>
        <bgColor indexed="64"/>
      </patternFill>
    </fill>
    <fill>
      <patternFill patternType="solid">
        <fgColor indexed="22"/>
        <bgColor indexed="64"/>
      </patternFill>
    </fill>
    <fill>
      <patternFill patternType="solid">
        <fgColor indexed="11"/>
        <bgColor indexed="64"/>
      </patternFill>
    </fill>
    <fill>
      <patternFill patternType="solid">
        <fgColor indexed="27"/>
        <bgColor indexed="64"/>
      </patternFill>
    </fill>
    <fill>
      <patternFill patternType="lightUp"/>
    </fill>
    <fill>
      <patternFill patternType="lightUp">
        <bgColor indexed="9"/>
      </patternFill>
    </fill>
    <fill>
      <patternFill patternType="solid">
        <fgColor rgb="FF92D050"/>
        <bgColor indexed="64"/>
      </patternFill>
    </fill>
    <fill>
      <patternFill patternType="solid">
        <fgColor rgb="FFCCFFFF"/>
        <bgColor indexed="64"/>
      </patternFill>
    </fill>
    <fill>
      <patternFill patternType="solid">
        <fgColor rgb="FFCCFFCC"/>
        <bgColor indexed="64"/>
      </patternFill>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rgb="FFFFFFCC"/>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theme="0" tint="-0.34998626667073579"/>
        <bgColor indexed="64"/>
      </patternFill>
    </fill>
    <fill>
      <patternFill patternType="solid">
        <fgColor theme="7" tint="0.59999389629810485"/>
        <bgColor indexed="64"/>
      </patternFill>
    </fill>
    <fill>
      <patternFill patternType="solid">
        <fgColor rgb="FFFFCC99"/>
        <bgColor indexed="64"/>
      </patternFill>
    </fill>
    <fill>
      <patternFill patternType="solid">
        <fgColor theme="6" tint="0.39997558519241921"/>
        <bgColor indexed="64"/>
      </patternFill>
    </fill>
    <fill>
      <patternFill patternType="solid">
        <fgColor rgb="FFC4D79B"/>
        <bgColor indexed="64"/>
      </patternFill>
    </fill>
    <fill>
      <patternFill patternType="solid">
        <fgColor rgb="FFDCE6F1"/>
        <bgColor indexed="64"/>
      </patternFill>
    </fill>
    <fill>
      <patternFill patternType="solid">
        <fgColor theme="3"/>
        <bgColor indexed="64"/>
      </patternFill>
    </fill>
    <fill>
      <patternFill patternType="solid">
        <fgColor rgb="FFA6A6A6"/>
        <bgColor indexed="64"/>
      </patternFill>
    </fill>
    <fill>
      <patternFill patternType="solid">
        <fgColor rgb="FFFFC000"/>
        <bgColor indexed="64"/>
      </patternFill>
    </fill>
    <fill>
      <patternFill patternType="solid">
        <fgColor rgb="FFFFFFFF"/>
        <bgColor indexed="64"/>
      </patternFill>
    </fill>
    <fill>
      <patternFill patternType="lightUp">
        <fgColor rgb="FF000000"/>
        <bgColor rgb="FFDDDDDD"/>
      </patternFill>
    </fill>
    <fill>
      <patternFill patternType="solid">
        <fgColor rgb="FFBFBFBF"/>
        <bgColor indexed="64"/>
      </patternFill>
    </fill>
    <fill>
      <patternFill patternType="solid">
        <fgColor rgb="FF0000FF"/>
        <bgColor indexed="64"/>
      </patternFill>
    </fill>
    <fill>
      <patternFill patternType="solid">
        <fgColor rgb="FF00FF00"/>
        <bgColor indexed="64"/>
      </patternFill>
    </fill>
    <fill>
      <patternFill patternType="lightUp">
        <bgColor theme="0"/>
      </patternFill>
    </fill>
  </fills>
  <borders count="175">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bottom style="hair">
        <color indexed="64"/>
      </bottom>
      <diagonal/>
    </border>
    <border>
      <left/>
      <right style="thin">
        <color indexed="64"/>
      </right>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top style="thin">
        <color indexed="64"/>
      </top>
      <bottom/>
      <diagonal/>
    </border>
    <border>
      <left/>
      <right style="thin">
        <color indexed="64"/>
      </right>
      <top/>
      <bottom style="hair">
        <color indexed="64"/>
      </bottom>
      <diagonal/>
    </border>
    <border>
      <left/>
      <right style="thin">
        <color indexed="64"/>
      </right>
      <top style="hair">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hair">
        <color indexed="64"/>
      </top>
      <bottom style="medium">
        <color indexed="64"/>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bottom style="medium">
        <color indexed="64"/>
      </bottom>
      <diagonal/>
    </border>
    <border>
      <left style="medium">
        <color indexed="64"/>
      </left>
      <right/>
      <top/>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top style="medium">
        <color indexed="12"/>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hair">
        <color indexed="64"/>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medium">
        <color indexed="64"/>
      </left>
      <right/>
      <top style="hair">
        <color indexed="64"/>
      </top>
      <bottom style="hair">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hair">
        <color indexed="64"/>
      </left>
      <right style="hair">
        <color indexed="64"/>
      </right>
      <top style="medium">
        <color indexed="64"/>
      </top>
      <bottom/>
      <diagonal/>
    </border>
    <border>
      <left style="hair">
        <color indexed="64"/>
      </left>
      <right style="hair">
        <color indexed="64"/>
      </right>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bottom style="hair">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thin">
        <color indexed="64"/>
      </top>
      <bottom/>
      <diagonal/>
    </border>
    <border>
      <left style="thin">
        <color indexed="64"/>
      </left>
      <right/>
      <top style="hair">
        <color indexed="64"/>
      </top>
      <bottom/>
      <diagonal/>
    </border>
    <border>
      <left style="medium">
        <color indexed="64"/>
      </left>
      <right style="thin">
        <color indexed="64"/>
      </right>
      <top style="hair">
        <color indexed="64"/>
      </top>
      <bottom/>
      <diagonal/>
    </border>
    <border>
      <left style="thin">
        <color indexed="64"/>
      </left>
      <right style="medium">
        <color indexed="64"/>
      </right>
      <top/>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diagonal/>
    </border>
    <border>
      <left style="thin">
        <color indexed="64"/>
      </left>
      <right style="medium">
        <color indexed="64"/>
      </right>
      <top style="hair">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medium">
        <color indexed="64"/>
      </right>
      <top/>
      <bottom style="medium">
        <color indexed="64"/>
      </bottom>
      <diagonal/>
    </border>
    <border>
      <left/>
      <right/>
      <top style="hair">
        <color indexed="64"/>
      </top>
      <bottom/>
      <diagonal/>
    </border>
    <border>
      <left/>
      <right style="medium">
        <color indexed="64"/>
      </right>
      <top style="hair">
        <color indexed="64"/>
      </top>
      <bottom style="thin">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hair">
        <color indexed="64"/>
      </bottom>
      <diagonal/>
    </border>
    <border>
      <left/>
      <right style="medium">
        <color indexed="64"/>
      </right>
      <top/>
      <bottom style="hair">
        <color indexed="64"/>
      </bottom>
      <diagonal/>
    </border>
    <border>
      <left/>
      <right/>
      <top/>
      <bottom style="thick">
        <color indexed="64"/>
      </bottom>
      <diagonal/>
    </border>
    <border>
      <left style="medium">
        <color indexed="64"/>
      </left>
      <right style="medium">
        <color indexed="64"/>
      </right>
      <top style="medium">
        <color indexed="64"/>
      </top>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right style="medium">
        <color indexed="64"/>
      </right>
      <top style="hair">
        <color indexed="64"/>
      </top>
      <bottom/>
      <diagonal/>
    </border>
    <border>
      <left/>
      <right style="medium">
        <color indexed="64"/>
      </right>
      <top/>
      <bottom style="thin">
        <color indexed="64"/>
      </bottom>
      <diagonal/>
    </border>
    <border>
      <left style="medium">
        <color indexed="64"/>
      </left>
      <right/>
      <top style="hair">
        <color indexed="64"/>
      </top>
      <bottom style="thin">
        <color indexed="64"/>
      </bottom>
      <diagonal/>
    </border>
    <border>
      <left style="medium">
        <color indexed="64"/>
      </left>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style="medium">
        <color indexed="64"/>
      </left>
      <right style="medium">
        <color indexed="64"/>
      </right>
      <top style="medium">
        <color indexed="64"/>
      </top>
      <bottom style="hair">
        <color indexed="64"/>
      </bottom>
      <diagonal/>
    </border>
    <border>
      <left style="hair">
        <color indexed="64"/>
      </left>
      <right/>
      <top style="medium">
        <color indexed="64"/>
      </top>
      <bottom style="hair">
        <color indexed="64"/>
      </bottom>
      <diagonal/>
    </border>
    <border>
      <left/>
      <right style="hair">
        <color indexed="64"/>
      </right>
      <top style="medium">
        <color indexed="64"/>
      </top>
      <bottom style="hair">
        <color indexed="64"/>
      </bottom>
      <diagonal/>
    </border>
    <border>
      <left style="medium">
        <color theme="1"/>
      </left>
      <right/>
      <top style="medium">
        <color theme="1"/>
      </top>
      <bottom style="thin">
        <color indexed="64"/>
      </bottom>
      <diagonal/>
    </border>
    <border>
      <left/>
      <right/>
      <top style="medium">
        <color theme="1"/>
      </top>
      <bottom style="thin">
        <color indexed="64"/>
      </bottom>
      <diagonal/>
    </border>
    <border>
      <left/>
      <right style="thin">
        <color indexed="64"/>
      </right>
      <top style="medium">
        <color theme="1"/>
      </top>
      <bottom style="thin">
        <color indexed="64"/>
      </bottom>
      <diagonal/>
    </border>
    <border>
      <left style="thin">
        <color indexed="64"/>
      </left>
      <right style="thin">
        <color indexed="64"/>
      </right>
      <top style="medium">
        <color theme="1"/>
      </top>
      <bottom style="thin">
        <color indexed="64"/>
      </bottom>
      <diagonal/>
    </border>
    <border>
      <left style="thin">
        <color indexed="64"/>
      </left>
      <right style="medium">
        <color theme="1"/>
      </right>
      <top style="medium">
        <color theme="1"/>
      </top>
      <bottom style="thin">
        <color indexed="64"/>
      </bottom>
      <diagonal/>
    </border>
    <border>
      <left style="medium">
        <color theme="1"/>
      </left>
      <right/>
      <top style="thin">
        <color indexed="64"/>
      </top>
      <bottom style="medium">
        <color theme="1"/>
      </bottom>
      <diagonal/>
    </border>
    <border>
      <left/>
      <right/>
      <top style="thin">
        <color indexed="64"/>
      </top>
      <bottom style="medium">
        <color theme="1"/>
      </bottom>
      <diagonal/>
    </border>
    <border>
      <left/>
      <right style="thin">
        <color indexed="64"/>
      </right>
      <top style="thin">
        <color indexed="64"/>
      </top>
      <bottom style="medium">
        <color theme="1"/>
      </bottom>
      <diagonal/>
    </border>
    <border>
      <left style="thin">
        <color indexed="64"/>
      </left>
      <right style="thin">
        <color indexed="64"/>
      </right>
      <top style="thin">
        <color indexed="64"/>
      </top>
      <bottom style="medium">
        <color theme="1"/>
      </bottom>
      <diagonal/>
    </border>
    <border>
      <left style="thin">
        <color indexed="64"/>
      </left>
      <right style="medium">
        <color theme="1"/>
      </right>
      <top style="thin">
        <color indexed="64"/>
      </top>
      <bottom style="medium">
        <color theme="1"/>
      </bottom>
      <diagonal/>
    </border>
  </borders>
  <cellStyleXfs count="103">
    <xf numFmtId="0" fontId="0" fillId="0" borderId="0"/>
    <xf numFmtId="0" fontId="11" fillId="2" borderId="0" applyNumberFormat="0" applyBorder="0" applyAlignment="0" applyProtection="0"/>
    <xf numFmtId="0" fontId="1" fillId="2" borderId="0" applyNumberFormat="0" applyBorder="0" applyAlignment="0" applyProtection="0"/>
    <xf numFmtId="0" fontId="11" fillId="3" borderId="0" applyNumberFormat="0" applyBorder="0" applyAlignment="0" applyProtection="0"/>
    <xf numFmtId="0" fontId="1" fillId="3" borderId="0" applyNumberFormat="0" applyBorder="0" applyAlignment="0" applyProtection="0"/>
    <xf numFmtId="0" fontId="11" fillId="4" borderId="0" applyNumberFormat="0" applyBorder="0" applyAlignment="0" applyProtection="0"/>
    <xf numFmtId="0" fontId="1" fillId="4" borderId="0" applyNumberFormat="0" applyBorder="0" applyAlignment="0" applyProtection="0"/>
    <xf numFmtId="0" fontId="11" fillId="5" borderId="0" applyNumberFormat="0" applyBorder="0" applyAlignment="0" applyProtection="0"/>
    <xf numFmtId="0" fontId="1" fillId="5" borderId="0" applyNumberFormat="0" applyBorder="0" applyAlignment="0" applyProtection="0"/>
    <xf numFmtId="0" fontId="11" fillId="6" borderId="0" applyNumberFormat="0" applyBorder="0" applyAlignment="0" applyProtection="0"/>
    <xf numFmtId="0" fontId="1" fillId="6" borderId="0" applyNumberFormat="0" applyBorder="0" applyAlignment="0" applyProtection="0"/>
    <xf numFmtId="0" fontId="11" fillId="7" borderId="0" applyNumberFormat="0" applyBorder="0" applyAlignment="0" applyProtection="0"/>
    <xf numFmtId="0" fontId="1" fillId="7"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1" fillId="8" borderId="0" applyNumberFormat="0" applyBorder="0" applyAlignment="0" applyProtection="0"/>
    <xf numFmtId="0" fontId="1" fillId="8" borderId="0" applyNumberFormat="0" applyBorder="0" applyAlignment="0" applyProtection="0"/>
    <xf numFmtId="0" fontId="11" fillId="9" borderId="0" applyNumberFormat="0" applyBorder="0" applyAlignment="0" applyProtection="0"/>
    <xf numFmtId="0" fontId="1" fillId="9" borderId="0" applyNumberFormat="0" applyBorder="0" applyAlignment="0" applyProtection="0"/>
    <xf numFmtId="0" fontId="11" fillId="10" borderId="0" applyNumberFormat="0" applyBorder="0" applyAlignment="0" applyProtection="0"/>
    <xf numFmtId="0" fontId="1" fillId="10" borderId="0" applyNumberFormat="0" applyBorder="0" applyAlignment="0" applyProtection="0"/>
    <xf numFmtId="0" fontId="11" fillId="5" borderId="0" applyNumberFormat="0" applyBorder="0" applyAlignment="0" applyProtection="0"/>
    <xf numFmtId="0" fontId="1" fillId="5" borderId="0" applyNumberFormat="0" applyBorder="0" applyAlignment="0" applyProtection="0"/>
    <xf numFmtId="0" fontId="11" fillId="8" borderId="0" applyNumberFormat="0" applyBorder="0" applyAlignment="0" applyProtection="0"/>
    <xf numFmtId="0" fontId="1" fillId="8" borderId="0" applyNumberFormat="0" applyBorder="0" applyAlignment="0" applyProtection="0"/>
    <xf numFmtId="0" fontId="11" fillId="11"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0" borderId="0" applyNumberFormat="0" applyFont="0" applyFill="0" applyBorder="0" applyProtection="0">
      <alignment horizontal="left" vertical="center" indent="5"/>
    </xf>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24" fillId="20" borderId="1" applyNumberFormat="0" applyAlignment="0" applyProtection="0"/>
    <xf numFmtId="0" fontId="13" fillId="3" borderId="0" applyNumberFormat="0" applyBorder="0" applyAlignment="0" applyProtection="0"/>
    <xf numFmtId="0" fontId="14" fillId="20" borderId="2" applyNumberFormat="0" applyAlignment="0" applyProtection="0"/>
    <xf numFmtId="0" fontId="14" fillId="20" borderId="2" applyNumberFormat="0" applyAlignment="0" applyProtection="0"/>
    <xf numFmtId="0" fontId="15" fillId="21" borderId="3" applyNumberFormat="0" applyAlignment="0" applyProtection="0"/>
    <xf numFmtId="0" fontId="21" fillId="7" borderId="2" applyNumberFormat="0" applyAlignment="0" applyProtection="0"/>
    <xf numFmtId="0" fontId="26" fillId="0" borderId="4"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7" fillId="4" borderId="0" applyNumberFormat="0" applyBorder="0" applyAlignment="0" applyProtection="0"/>
    <xf numFmtId="0" fontId="18" fillId="0" borderId="5" applyNumberFormat="0" applyFill="0" applyAlignment="0" applyProtection="0"/>
    <xf numFmtId="0" fontId="19" fillId="0" borderId="6" applyNumberFormat="0" applyFill="0" applyAlignment="0" applyProtection="0"/>
    <xf numFmtId="0" fontId="20" fillId="0" borderId="7" applyNumberFormat="0" applyFill="0" applyAlignment="0" applyProtection="0"/>
    <xf numFmtId="0" fontId="20" fillId="0" borderId="0" applyNumberFormat="0" applyFill="0" applyBorder="0" applyAlignment="0" applyProtection="0"/>
    <xf numFmtId="0" fontId="21" fillId="7" borderId="2" applyNumberFormat="0" applyAlignment="0" applyProtection="0"/>
    <xf numFmtId="0" fontId="6" fillId="0" borderId="0" applyNumberFormat="0" applyFill="0" applyBorder="0" applyAlignment="0" applyProtection="0">
      <alignment vertical="top"/>
      <protection locked="0"/>
    </xf>
    <xf numFmtId="0" fontId="22" fillId="0" borderId="8" applyNumberFormat="0" applyFill="0" applyAlignment="0" applyProtection="0"/>
    <xf numFmtId="0" fontId="23" fillId="22" borderId="0" applyNumberFormat="0" applyBorder="0" applyAlignment="0" applyProtection="0"/>
    <xf numFmtId="0" fontId="2" fillId="23" borderId="9" applyNumberFormat="0" applyFont="0" applyAlignment="0" applyProtection="0"/>
    <xf numFmtId="0" fontId="1" fillId="23" borderId="9" applyNumberFormat="0" applyFont="0" applyAlignment="0" applyProtection="0"/>
    <xf numFmtId="0" fontId="24" fillId="20" borderId="1" applyNumberFormat="0" applyAlignment="0" applyProtection="0"/>
    <xf numFmtId="9" fontId="2" fillId="0" borderId="0" applyFont="0" applyFill="0" applyBorder="0" applyAlignment="0" applyProtection="0"/>
    <xf numFmtId="9" fontId="77" fillId="0" borderId="0" applyFont="0" applyFill="0" applyBorder="0" applyAlignment="0" applyProtection="0"/>
    <xf numFmtId="0" fontId="13" fillId="3" borderId="0" applyNumberFormat="0" applyBorder="0" applyAlignment="0" applyProtection="0"/>
    <xf numFmtId="0" fontId="2" fillId="0" borderId="0"/>
    <xf numFmtId="0" fontId="2" fillId="0" borderId="0"/>
    <xf numFmtId="0" fontId="77" fillId="0" borderId="0"/>
    <xf numFmtId="0" fontId="1" fillId="0" borderId="0"/>
    <xf numFmtId="0" fontId="25" fillId="0" borderId="0" applyNumberFormat="0" applyFill="0" applyBorder="0" applyAlignment="0" applyProtection="0"/>
    <xf numFmtId="0" fontId="26" fillId="0" borderId="4" applyNumberFormat="0" applyFill="0" applyAlignment="0" applyProtection="0"/>
    <xf numFmtId="0" fontId="25" fillId="0" borderId="0" applyNumberFormat="0" applyFill="0" applyBorder="0" applyAlignment="0" applyProtection="0"/>
    <xf numFmtId="0" fontId="18" fillId="0" borderId="5" applyNumberFormat="0" applyFill="0" applyAlignment="0" applyProtection="0"/>
    <xf numFmtId="0" fontId="19" fillId="0" borderId="6" applyNumberFormat="0" applyFill="0" applyAlignment="0" applyProtection="0"/>
    <xf numFmtId="0" fontId="20" fillId="0" borderId="7" applyNumberFormat="0" applyFill="0" applyAlignment="0" applyProtection="0"/>
    <xf numFmtId="0" fontId="20" fillId="0" borderId="0" applyNumberFormat="0" applyFill="0" applyBorder="0" applyAlignment="0" applyProtection="0"/>
    <xf numFmtId="0" fontId="22" fillId="0" borderId="8"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15" fillId="21" borderId="3" applyNumberFormat="0" applyAlignment="0" applyProtection="0"/>
    <xf numFmtId="4" fontId="57" fillId="0" borderId="0"/>
  </cellStyleXfs>
  <cellXfs count="3070">
    <xf numFmtId="0" fontId="0" fillId="0" borderId="0" xfId="0"/>
    <xf numFmtId="0" fontId="37" fillId="28" borderId="25" xfId="0" applyFont="1" applyFill="1" applyBorder="1" applyAlignment="1" applyProtection="1">
      <alignment horizontal="center" vertical="top"/>
      <protection locked="0"/>
    </xf>
    <xf numFmtId="10" fontId="37" fillId="29" borderId="13" xfId="0" applyNumberFormat="1" applyFont="1" applyFill="1" applyBorder="1" applyAlignment="1" applyProtection="1">
      <alignment vertical="top"/>
      <protection locked="0"/>
    </xf>
    <xf numFmtId="0" fontId="6" fillId="25" borderId="0" xfId="78" applyFill="1" applyAlignment="1" applyProtection="1"/>
    <xf numFmtId="3" fontId="37" fillId="28" borderId="64" xfId="0" applyNumberFormat="1" applyFont="1" applyFill="1" applyBorder="1" applyAlignment="1" applyProtection="1">
      <alignment vertical="top"/>
      <protection locked="0"/>
    </xf>
    <xf numFmtId="3" fontId="37" fillId="28" borderId="63" xfId="0" applyNumberFormat="1" applyFont="1" applyFill="1" applyBorder="1" applyAlignment="1" applyProtection="1">
      <alignment vertical="top"/>
      <protection locked="0"/>
    </xf>
    <xf numFmtId="171" fontId="37" fillId="28" borderId="13" xfId="0" applyNumberFormat="1" applyFont="1" applyFill="1" applyBorder="1" applyAlignment="1" applyProtection="1">
      <alignment vertical="top"/>
      <protection locked="0"/>
    </xf>
    <xf numFmtId="170" fontId="37" fillId="28" borderId="64" xfId="0" applyNumberFormat="1" applyFont="1" applyFill="1" applyBorder="1" applyAlignment="1" applyProtection="1">
      <alignment vertical="top"/>
      <protection locked="0"/>
    </xf>
    <xf numFmtId="170" fontId="37" fillId="28" borderId="63" xfId="0" applyNumberFormat="1" applyFont="1" applyFill="1" applyBorder="1" applyAlignment="1" applyProtection="1">
      <alignment vertical="top"/>
      <protection locked="0"/>
    </xf>
    <xf numFmtId="164" fontId="37" fillId="28" borderId="88" xfId="0" applyNumberFormat="1" applyFont="1" applyFill="1" applyBorder="1" applyAlignment="1" applyProtection="1">
      <alignment vertical="top"/>
      <protection locked="0"/>
    </xf>
    <xf numFmtId="3" fontId="37" fillId="28" borderId="13" xfId="0" applyNumberFormat="1" applyFont="1" applyFill="1" applyBorder="1" applyAlignment="1" applyProtection="1">
      <alignment vertical="top"/>
      <protection locked="0"/>
    </xf>
    <xf numFmtId="172" fontId="37" fillId="28" borderId="64" xfId="0" applyNumberFormat="1" applyFont="1" applyFill="1" applyBorder="1" applyAlignment="1" applyProtection="1">
      <alignment vertical="top"/>
      <protection locked="0"/>
    </xf>
    <xf numFmtId="172" fontId="37" fillId="28" borderId="63" xfId="0" applyNumberFormat="1" applyFont="1" applyFill="1" applyBorder="1" applyAlignment="1" applyProtection="1">
      <alignment vertical="top"/>
      <protection locked="0"/>
    </xf>
    <xf numFmtId="172" fontId="37" fillId="28" borderId="89" xfId="0" applyNumberFormat="1" applyFont="1" applyFill="1" applyBorder="1" applyAlignment="1" applyProtection="1">
      <alignment vertical="top"/>
      <protection locked="0"/>
    </xf>
    <xf numFmtId="172" fontId="37" fillId="28" borderId="13" xfId="0" applyNumberFormat="1" applyFont="1" applyFill="1" applyBorder="1" applyAlignment="1" applyProtection="1">
      <alignment vertical="top"/>
      <protection locked="0"/>
    </xf>
    <xf numFmtId="165" fontId="37" fillId="27" borderId="64" xfId="84" applyNumberFormat="1" applyFont="1" applyFill="1" applyBorder="1" applyAlignment="1" applyProtection="1">
      <alignment vertical="top"/>
    </xf>
    <xf numFmtId="165" fontId="37" fillId="27" borderId="62" xfId="84" applyNumberFormat="1" applyFont="1" applyFill="1" applyBorder="1" applyAlignment="1" applyProtection="1">
      <alignment vertical="top"/>
    </xf>
    <xf numFmtId="3" fontId="37" fillId="28" borderId="62" xfId="0" applyNumberFormat="1" applyFont="1" applyFill="1" applyBorder="1" applyAlignment="1" applyProtection="1">
      <alignment vertical="top"/>
      <protection locked="0"/>
    </xf>
    <xf numFmtId="165" fontId="37" fillId="28" borderId="52" xfId="0" applyNumberFormat="1" applyFont="1" applyFill="1" applyBorder="1" applyAlignment="1" applyProtection="1">
      <alignment vertical="top"/>
      <protection locked="0"/>
    </xf>
    <xf numFmtId="165" fontId="37" fillId="28" borderId="53" xfId="0" applyNumberFormat="1" applyFont="1" applyFill="1" applyBorder="1" applyAlignment="1" applyProtection="1">
      <alignment vertical="top"/>
      <protection locked="0"/>
    </xf>
    <xf numFmtId="165" fontId="37" fillId="28" borderId="90" xfId="0" applyNumberFormat="1" applyFont="1" applyFill="1" applyBorder="1" applyAlignment="1" applyProtection="1">
      <alignment vertical="top"/>
      <protection locked="0"/>
    </xf>
    <xf numFmtId="165" fontId="37" fillId="28" borderId="91" xfId="0" applyNumberFormat="1" applyFont="1" applyFill="1" applyBorder="1" applyAlignment="1" applyProtection="1">
      <alignment vertical="top"/>
      <protection locked="0"/>
    </xf>
    <xf numFmtId="165" fontId="37" fillId="27" borderId="13" xfId="84" applyNumberFormat="1" applyFont="1" applyFill="1" applyBorder="1" applyAlignment="1" applyProtection="1">
      <alignment vertical="top"/>
    </xf>
    <xf numFmtId="165" fontId="37" fillId="29" borderId="13" xfId="0" applyNumberFormat="1" applyFont="1" applyFill="1" applyBorder="1" applyAlignment="1" applyProtection="1">
      <alignment vertical="top"/>
      <protection locked="0"/>
    </xf>
    <xf numFmtId="165" fontId="37" fillId="28" borderId="13" xfId="0" applyNumberFormat="1" applyFont="1" applyFill="1" applyBorder="1" applyAlignment="1" applyProtection="1">
      <alignment vertical="top"/>
      <protection locked="0"/>
    </xf>
    <xf numFmtId="164" fontId="37" fillId="28" borderId="64" xfId="0" applyNumberFormat="1" applyFont="1" applyFill="1" applyBorder="1" applyAlignment="1" applyProtection="1">
      <alignment vertical="top"/>
      <protection locked="0"/>
    </xf>
    <xf numFmtId="164" fontId="37" fillId="28" borderId="62" xfId="0" applyNumberFormat="1" applyFont="1" applyFill="1" applyBorder="1" applyAlignment="1" applyProtection="1">
      <alignment vertical="top"/>
      <protection locked="0"/>
    </xf>
    <xf numFmtId="164" fontId="37" fillId="28" borderId="13" xfId="0" applyNumberFormat="1" applyFont="1" applyFill="1" applyBorder="1" applyAlignment="1" applyProtection="1">
      <alignment vertical="top"/>
      <protection locked="0"/>
    </xf>
    <xf numFmtId="165" fontId="37" fillId="28" borderId="11" xfId="0" applyNumberFormat="1" applyFont="1" applyFill="1" applyBorder="1" applyAlignment="1" applyProtection="1">
      <alignment vertical="top"/>
      <protection locked="0"/>
    </xf>
    <xf numFmtId="165" fontId="37" fillId="28" borderId="89" xfId="0" applyNumberFormat="1" applyFont="1" applyFill="1" applyBorder="1" applyAlignment="1" applyProtection="1">
      <alignment vertical="top"/>
      <protection locked="0"/>
    </xf>
    <xf numFmtId="165" fontId="37" fillId="28" borderId="64" xfId="0" applyNumberFormat="1" applyFont="1" applyFill="1" applyBorder="1" applyAlignment="1" applyProtection="1">
      <alignment vertical="top"/>
      <protection locked="0"/>
    </xf>
    <xf numFmtId="165" fontId="37" fillId="28" borderId="93" xfId="0" applyNumberFormat="1" applyFont="1" applyFill="1" applyBorder="1" applyAlignment="1" applyProtection="1">
      <alignment vertical="top"/>
      <protection locked="0"/>
    </xf>
    <xf numFmtId="165" fontId="37" fillId="28" borderId="63" xfId="0" applyNumberFormat="1" applyFont="1" applyFill="1" applyBorder="1" applyAlignment="1" applyProtection="1">
      <alignment vertical="top"/>
      <protection locked="0"/>
    </xf>
    <xf numFmtId="165" fontId="37" fillId="28" borderId="62" xfId="0" applyNumberFormat="1" applyFont="1" applyFill="1" applyBorder="1" applyAlignment="1" applyProtection="1">
      <alignment vertical="top"/>
      <protection locked="0"/>
    </xf>
    <xf numFmtId="165" fontId="37" fillId="28" borderId="23" xfId="0" applyNumberFormat="1" applyFont="1" applyFill="1" applyBorder="1" applyAlignment="1" applyProtection="1">
      <alignment vertical="top"/>
      <protection locked="0"/>
    </xf>
    <xf numFmtId="165" fontId="37" fillId="28" borderId="20" xfId="0" applyNumberFormat="1" applyFont="1" applyFill="1" applyBorder="1" applyAlignment="1" applyProtection="1">
      <alignment vertical="top"/>
      <protection locked="0"/>
    </xf>
    <xf numFmtId="165" fontId="37" fillId="28" borderId="19" xfId="0" applyNumberFormat="1" applyFont="1" applyFill="1" applyBorder="1" applyAlignment="1" applyProtection="1">
      <alignment vertical="top"/>
      <protection locked="0"/>
    </xf>
    <xf numFmtId="0" fontId="6" fillId="25" borderId="0" xfId="78" applyFill="1" applyBorder="1" applyAlignment="1" applyProtection="1">
      <alignment horizontal="center" vertical="top"/>
    </xf>
    <xf numFmtId="165" fontId="37" fillId="42" borderId="64" xfId="0" applyNumberFormat="1" applyFont="1" applyFill="1" applyBorder="1" applyAlignment="1" applyProtection="1">
      <alignment vertical="top"/>
      <protection locked="0"/>
    </xf>
    <xf numFmtId="165" fontId="37" fillId="42" borderId="13" xfId="0" applyNumberFormat="1" applyFont="1" applyFill="1" applyBorder="1" applyAlignment="1" applyProtection="1">
      <alignment vertical="top"/>
      <protection locked="0"/>
    </xf>
    <xf numFmtId="165" fontId="37" fillId="42" borderId="62" xfId="0" applyNumberFormat="1" applyFont="1" applyFill="1" applyBorder="1" applyAlignment="1" applyProtection="1">
      <alignment vertical="top"/>
      <protection locked="0"/>
    </xf>
    <xf numFmtId="10" fontId="67" fillId="44" borderId="13" xfId="84" applyNumberFormat="1" applyFont="1" applyFill="1" applyBorder="1" applyProtection="1"/>
    <xf numFmtId="0" fontId="2" fillId="28" borderId="13" xfId="0" applyFont="1" applyFill="1" applyBorder="1" applyAlignment="1" applyProtection="1">
      <alignment horizontal="center" vertical="top"/>
      <protection locked="0"/>
    </xf>
    <xf numFmtId="165" fontId="37" fillId="42" borderId="63" xfId="0" applyNumberFormat="1" applyFont="1" applyFill="1" applyBorder="1" applyAlignment="1" applyProtection="1">
      <alignment vertical="top"/>
      <protection locked="0"/>
    </xf>
    <xf numFmtId="0" fontId="37" fillId="42" borderId="63" xfId="0" applyFont="1" applyFill="1" applyBorder="1" applyAlignment="1" applyProtection="1">
      <alignment horizontal="center" vertical="top"/>
      <protection locked="0"/>
    </xf>
    <xf numFmtId="0" fontId="37" fillId="42" borderId="64" xfId="0" applyFont="1" applyFill="1" applyBorder="1" applyAlignment="1" applyProtection="1">
      <alignment horizontal="center" vertical="top"/>
      <protection locked="0"/>
    </xf>
    <xf numFmtId="165" fontId="37" fillId="42" borderId="105" xfId="0" applyNumberFormat="1" applyFont="1" applyFill="1" applyBorder="1" applyAlignment="1" applyProtection="1">
      <alignment vertical="top"/>
      <protection locked="0"/>
    </xf>
    <xf numFmtId="165" fontId="37" fillId="42" borderId="106" xfId="0" applyNumberFormat="1" applyFont="1" applyFill="1" applyBorder="1" applyAlignment="1" applyProtection="1">
      <alignment vertical="top"/>
      <protection locked="0"/>
    </xf>
    <xf numFmtId="165" fontId="37" fillId="42" borderId="94" xfId="0" applyNumberFormat="1" applyFont="1" applyFill="1" applyBorder="1" applyAlignment="1" applyProtection="1">
      <alignment vertical="top"/>
      <protection locked="0"/>
    </xf>
    <xf numFmtId="0" fontId="37" fillId="45" borderId="64" xfId="0" applyFont="1" applyFill="1" applyBorder="1" applyAlignment="1" applyProtection="1">
      <alignment horizontal="center" vertical="top"/>
      <protection locked="0"/>
    </xf>
    <xf numFmtId="165" fontId="2" fillId="28" borderId="13" xfId="0" applyNumberFormat="1" applyFont="1" applyFill="1" applyBorder="1" applyAlignment="1" applyProtection="1">
      <alignment vertical="top"/>
      <protection locked="0"/>
    </xf>
    <xf numFmtId="165" fontId="2" fillId="28" borderId="63" xfId="0" applyNumberFormat="1" applyFont="1" applyFill="1" applyBorder="1" applyAlignment="1" applyProtection="1">
      <alignment vertical="top"/>
      <protection locked="0"/>
    </xf>
    <xf numFmtId="165" fontId="4" fillId="28" borderId="91" xfId="0" applyNumberFormat="1" applyFont="1" applyFill="1" applyBorder="1" applyAlignment="1" applyProtection="1">
      <alignment vertical="top"/>
      <protection locked="0"/>
    </xf>
    <xf numFmtId="165" fontId="4" fillId="28" borderId="90" xfId="0" applyNumberFormat="1" applyFont="1" applyFill="1" applyBorder="1" applyAlignment="1" applyProtection="1">
      <alignment vertical="top"/>
      <protection locked="0"/>
    </xf>
    <xf numFmtId="165" fontId="4" fillId="28" borderId="53" xfId="0" applyNumberFormat="1" applyFont="1" applyFill="1" applyBorder="1" applyAlignment="1" applyProtection="1">
      <alignment vertical="top"/>
      <protection locked="0"/>
    </xf>
    <xf numFmtId="165" fontId="4" fillId="28" borderId="52" xfId="0" applyNumberFormat="1" applyFont="1" applyFill="1" applyBorder="1" applyAlignment="1" applyProtection="1">
      <alignment vertical="top"/>
      <protection locked="0"/>
    </xf>
    <xf numFmtId="165" fontId="37" fillId="45" borderId="13" xfId="0" applyNumberFormat="1" applyFont="1" applyFill="1" applyBorder="1" applyAlignment="1" applyProtection="1">
      <alignment vertical="top"/>
      <protection locked="0"/>
    </xf>
    <xf numFmtId="0" fontId="2" fillId="42" borderId="62" xfId="0" applyFont="1" applyFill="1" applyBorder="1" applyAlignment="1" applyProtection="1">
      <alignment horizontal="center" vertical="top"/>
      <protection locked="0"/>
    </xf>
    <xf numFmtId="10" fontId="67" fillId="41" borderId="13" xfId="84" applyNumberFormat="1" applyFont="1" applyFill="1" applyBorder="1" applyProtection="1"/>
    <xf numFmtId="165" fontId="37" fillId="28" borderId="67" xfId="0" applyNumberFormat="1" applyFont="1" applyFill="1" applyBorder="1" applyAlignment="1" applyProtection="1">
      <alignment vertical="top"/>
      <protection locked="0"/>
    </xf>
    <xf numFmtId="165" fontId="37" fillId="28" borderId="49" xfId="0" applyNumberFormat="1" applyFont="1" applyFill="1" applyBorder="1" applyAlignment="1" applyProtection="1">
      <alignment vertical="top"/>
      <protection locked="0"/>
    </xf>
    <xf numFmtId="172" fontId="37" fillId="28" borderId="67" xfId="0" applyNumberFormat="1" applyFont="1" applyFill="1" applyBorder="1" applyAlignment="1" applyProtection="1">
      <alignment vertical="top"/>
      <protection locked="0"/>
    </xf>
    <xf numFmtId="172" fontId="37" fillId="28" borderId="121" xfId="0" applyNumberFormat="1" applyFont="1" applyFill="1" applyBorder="1" applyAlignment="1" applyProtection="1">
      <alignment vertical="top"/>
      <protection locked="0"/>
    </xf>
    <xf numFmtId="172" fontId="37" fillId="28" borderId="106" xfId="0" applyNumberFormat="1" applyFont="1" applyFill="1" applyBorder="1" applyAlignment="1" applyProtection="1">
      <alignment vertical="top"/>
      <protection locked="0"/>
    </xf>
    <xf numFmtId="172" fontId="37" fillId="28" borderId="94" xfId="0" applyNumberFormat="1" applyFont="1" applyFill="1" applyBorder="1" applyAlignment="1" applyProtection="1">
      <alignment vertical="top"/>
      <protection locked="0"/>
    </xf>
    <xf numFmtId="172" fontId="37" fillId="28" borderId="49" xfId="0" applyNumberFormat="1" applyFont="1" applyFill="1" applyBorder="1" applyAlignment="1" applyProtection="1">
      <alignment vertical="top"/>
      <protection locked="0"/>
    </xf>
    <xf numFmtId="172" fontId="37" fillId="28" borderId="122" xfId="0" applyNumberFormat="1" applyFont="1" applyFill="1" applyBorder="1" applyAlignment="1" applyProtection="1">
      <alignment vertical="top"/>
      <protection locked="0"/>
    </xf>
    <xf numFmtId="172" fontId="37" fillId="28" borderId="33" xfId="0" applyNumberFormat="1" applyFont="1" applyFill="1" applyBorder="1" applyAlignment="1" applyProtection="1">
      <alignment vertical="top"/>
      <protection locked="0"/>
    </xf>
    <xf numFmtId="172" fontId="37" fillId="28" borderId="123" xfId="0" applyNumberFormat="1" applyFont="1" applyFill="1" applyBorder="1" applyAlignment="1" applyProtection="1">
      <alignment vertical="top"/>
      <protection locked="0"/>
    </xf>
    <xf numFmtId="164" fontId="37" fillId="28" borderId="105" xfId="0" applyNumberFormat="1" applyFont="1" applyFill="1" applyBorder="1" applyAlignment="1" applyProtection="1">
      <alignment vertical="top"/>
      <protection locked="0"/>
    </xf>
    <xf numFmtId="164" fontId="37" fillId="28" borderId="99" xfId="0" applyNumberFormat="1" applyFont="1" applyFill="1" applyBorder="1" applyAlignment="1" applyProtection="1">
      <alignment vertical="top"/>
      <protection locked="0"/>
    </xf>
    <xf numFmtId="164" fontId="37" fillId="28" borderId="94" xfId="0" applyNumberFormat="1" applyFont="1" applyFill="1" applyBorder="1" applyAlignment="1" applyProtection="1">
      <alignment vertical="top"/>
      <protection locked="0"/>
    </xf>
    <xf numFmtId="164" fontId="37" fillId="28" borderId="31" xfId="0" applyNumberFormat="1" applyFont="1" applyFill="1" applyBorder="1" applyAlignment="1" applyProtection="1">
      <alignment vertical="top"/>
      <protection locked="0"/>
    </xf>
    <xf numFmtId="164" fontId="37" fillId="28" borderId="44" xfId="0" applyNumberFormat="1" applyFont="1" applyFill="1" applyBorder="1" applyAlignment="1" applyProtection="1">
      <alignment vertical="top"/>
      <protection locked="0"/>
    </xf>
    <xf numFmtId="164" fontId="37" fillId="28" borderId="123" xfId="0" applyNumberFormat="1" applyFont="1" applyFill="1" applyBorder="1" applyAlignment="1" applyProtection="1">
      <alignment vertical="top"/>
      <protection locked="0"/>
    </xf>
    <xf numFmtId="171" fontId="37" fillId="28" borderId="67" xfId="0" applyNumberFormat="1" applyFont="1" applyFill="1" applyBorder="1" applyAlignment="1" applyProtection="1">
      <alignment vertical="top"/>
      <protection locked="0"/>
    </xf>
    <xf numFmtId="3" fontId="37" fillId="28" borderId="105" xfId="0" applyNumberFormat="1" applyFont="1" applyFill="1" applyBorder="1" applyAlignment="1" applyProtection="1">
      <alignment vertical="top"/>
      <protection locked="0"/>
    </xf>
    <xf numFmtId="3" fontId="37" fillId="28" borderId="106" xfId="0" applyNumberFormat="1" applyFont="1" applyFill="1" applyBorder="1" applyAlignment="1" applyProtection="1">
      <alignment vertical="top"/>
      <protection locked="0"/>
    </xf>
    <xf numFmtId="3" fontId="37" fillId="28" borderId="94" xfId="0" applyNumberFormat="1" applyFont="1" applyFill="1" applyBorder="1" applyAlignment="1" applyProtection="1">
      <alignment vertical="top"/>
      <protection locked="0"/>
    </xf>
    <xf numFmtId="165" fontId="2" fillId="28" borderId="71" xfId="0" applyNumberFormat="1" applyFont="1" applyFill="1" applyBorder="1" applyAlignment="1" applyProtection="1">
      <alignment vertical="top"/>
      <protection locked="0"/>
    </xf>
    <xf numFmtId="0" fontId="2" fillId="28" borderId="10" xfId="0" applyFont="1" applyFill="1" applyBorder="1" applyAlignment="1" applyProtection="1">
      <alignment horizontal="center" vertical="top"/>
      <protection locked="0"/>
    </xf>
    <xf numFmtId="0" fontId="2" fillId="28" borderId="13" xfId="0" applyFont="1" applyFill="1" applyBorder="1" applyAlignment="1" applyProtection="1">
      <alignment vertical="top"/>
      <protection locked="0"/>
    </xf>
    <xf numFmtId="165" fontId="37" fillId="45" borderId="11" xfId="0" applyNumberFormat="1" applyFont="1" applyFill="1" applyBorder="1" applyAlignment="1" applyProtection="1">
      <alignment vertical="top"/>
      <protection locked="0"/>
    </xf>
    <xf numFmtId="0" fontId="2" fillId="45" borderId="13" xfId="0" applyFont="1" applyFill="1" applyBorder="1" applyAlignment="1" applyProtection="1">
      <alignment horizontal="center" vertical="top"/>
      <protection locked="0"/>
    </xf>
    <xf numFmtId="4" fontId="37" fillId="27" borderId="13" xfId="84" applyNumberFormat="1" applyFont="1" applyFill="1" applyBorder="1" applyAlignment="1" applyProtection="1">
      <alignment vertical="top"/>
    </xf>
    <xf numFmtId="0" fontId="6" fillId="24" borderId="0" xfId="78" applyFill="1" applyAlignment="1" applyProtection="1">
      <alignment vertical="top"/>
    </xf>
    <xf numFmtId="10" fontId="67" fillId="44" borderId="67" xfId="84" applyNumberFormat="1" applyFont="1" applyFill="1" applyBorder="1" applyProtection="1"/>
    <xf numFmtId="10" fontId="67" fillId="41" borderId="67" xfId="84" applyNumberFormat="1" applyFont="1" applyFill="1" applyBorder="1" applyProtection="1"/>
    <xf numFmtId="10" fontId="67" fillId="41" borderId="95" xfId="84" applyNumberFormat="1" applyFont="1" applyFill="1" applyBorder="1" applyProtection="1"/>
    <xf numFmtId="10" fontId="67" fillId="41" borderId="68" xfId="84" applyNumberFormat="1" applyFont="1" applyFill="1" applyBorder="1" applyProtection="1"/>
    <xf numFmtId="0" fontId="0" fillId="42" borderId="67" xfId="0" applyFill="1" applyBorder="1" applyProtection="1">
      <protection locked="0"/>
    </xf>
    <xf numFmtId="173" fontId="2" fillId="28" borderId="62" xfId="0" applyNumberFormat="1" applyFont="1" applyFill="1" applyBorder="1" applyAlignment="1" applyProtection="1">
      <alignment horizontal="right" vertical="top"/>
      <protection locked="0"/>
    </xf>
    <xf numFmtId="173" fontId="56" fillId="28" borderId="63" xfId="0" applyNumberFormat="1" applyFont="1" applyFill="1" applyBorder="1" applyAlignment="1" applyProtection="1">
      <alignment horizontal="right" vertical="top"/>
      <protection locked="0"/>
    </xf>
    <xf numFmtId="173" fontId="2" fillId="28" borderId="63" xfId="0" applyNumberFormat="1" applyFont="1" applyFill="1" applyBorder="1" applyAlignment="1" applyProtection="1">
      <alignment horizontal="right" vertical="top"/>
      <protection locked="0"/>
    </xf>
    <xf numFmtId="173" fontId="2" fillId="28" borderId="92" xfId="0" applyNumberFormat="1" applyFont="1" applyFill="1" applyBorder="1" applyAlignment="1" applyProtection="1">
      <alignment horizontal="right" vertical="top"/>
      <protection locked="0"/>
    </xf>
    <xf numFmtId="173" fontId="2" fillId="28" borderId="88" xfId="0" applyNumberFormat="1" applyFont="1" applyFill="1" applyBorder="1" applyAlignment="1" applyProtection="1">
      <alignment horizontal="right" vertical="top"/>
      <protection locked="0"/>
    </xf>
    <xf numFmtId="173" fontId="4" fillId="28" borderId="76" xfId="0" applyNumberFormat="1" applyFont="1" applyFill="1" applyBorder="1" applyAlignment="1" applyProtection="1">
      <alignment horizontal="right" vertical="top"/>
      <protection locked="0"/>
    </xf>
    <xf numFmtId="173" fontId="4" fillId="28" borderId="77" xfId="0" applyNumberFormat="1" applyFont="1" applyFill="1" applyBorder="1" applyAlignment="1" applyProtection="1">
      <alignment horizontal="right" vertical="top"/>
      <protection locked="0"/>
    </xf>
    <xf numFmtId="164" fontId="2" fillId="28" borderId="13" xfId="0" applyNumberFormat="1" applyFont="1" applyFill="1" applyBorder="1" applyAlignment="1" applyProtection="1">
      <alignment vertical="top" shrinkToFit="1"/>
      <protection locked="0"/>
    </xf>
    <xf numFmtId="169" fontId="2" fillId="40" borderId="13" xfId="84" applyNumberFormat="1" applyFont="1" applyFill="1" applyBorder="1" applyAlignment="1" applyProtection="1">
      <alignment vertical="top" shrinkToFit="1"/>
    </xf>
    <xf numFmtId="169" fontId="2" fillId="40" borderId="10" xfId="84" applyNumberFormat="1" applyFont="1" applyFill="1" applyBorder="1" applyAlignment="1" applyProtection="1">
      <alignment vertical="top" shrinkToFit="1"/>
    </xf>
    <xf numFmtId="164" fontId="2" fillId="28" borderId="67" xfId="0" applyNumberFormat="1" applyFont="1" applyFill="1" applyBorder="1" applyAlignment="1" applyProtection="1">
      <alignment vertical="top" shrinkToFit="1"/>
      <protection locked="0"/>
    </xf>
    <xf numFmtId="164" fontId="2" fillId="28" borderId="49" xfId="0" applyNumberFormat="1" applyFont="1" applyFill="1" applyBorder="1" applyAlignment="1" applyProtection="1">
      <alignment vertical="top" shrinkToFit="1"/>
      <protection locked="0"/>
    </xf>
    <xf numFmtId="169" fontId="2" fillId="40" borderId="127" xfId="84" applyNumberFormat="1" applyFont="1" applyFill="1" applyBorder="1" applyAlignment="1" applyProtection="1">
      <alignment vertical="top" shrinkToFit="1"/>
    </xf>
    <xf numFmtId="169" fontId="2" fillId="40" borderId="49" xfId="84" applyNumberFormat="1" applyFont="1" applyFill="1" applyBorder="1" applyAlignment="1" applyProtection="1">
      <alignment vertical="top" shrinkToFit="1"/>
    </xf>
    <xf numFmtId="165" fontId="37" fillId="27" borderId="105" xfId="84" applyNumberFormat="1" applyFont="1" applyFill="1" applyBorder="1" applyAlignment="1" applyProtection="1">
      <alignment vertical="top"/>
    </xf>
    <xf numFmtId="165" fontId="37" fillId="27" borderId="94" xfId="84" applyNumberFormat="1" applyFont="1" applyFill="1" applyBorder="1" applyAlignment="1" applyProtection="1">
      <alignment vertical="top"/>
    </xf>
    <xf numFmtId="165" fontId="37" fillId="27" borderId="31" xfId="84" applyNumberFormat="1" applyFont="1" applyFill="1" applyBorder="1" applyAlignment="1" applyProtection="1">
      <alignment vertical="top"/>
    </xf>
    <xf numFmtId="165" fontId="37" fillId="27" borderId="123" xfId="84" applyNumberFormat="1" applyFont="1" applyFill="1" applyBorder="1" applyAlignment="1" applyProtection="1">
      <alignment vertical="top"/>
    </xf>
    <xf numFmtId="0" fontId="2" fillId="42" borderId="105" xfId="0" applyFont="1" applyFill="1" applyBorder="1" applyAlignment="1" applyProtection="1">
      <alignment vertical="top" wrapText="1"/>
      <protection locked="0"/>
    </xf>
    <xf numFmtId="0" fontId="2" fillId="42" borderId="106" xfId="0" applyFont="1" applyFill="1" applyBorder="1" applyAlignment="1" applyProtection="1">
      <alignment vertical="top" wrapText="1"/>
      <protection locked="0"/>
    </xf>
    <xf numFmtId="0" fontId="37" fillId="42" borderId="106" xfId="0" applyFont="1" applyFill="1" applyBorder="1" applyAlignment="1" applyProtection="1">
      <alignment vertical="top" wrapText="1"/>
      <protection locked="0"/>
    </xf>
    <xf numFmtId="0" fontId="37" fillId="42" borderId="94" xfId="0" applyFont="1" applyFill="1" applyBorder="1" applyAlignment="1" applyProtection="1">
      <alignment vertical="top" wrapText="1"/>
      <protection locked="0"/>
    </xf>
    <xf numFmtId="164" fontId="37" fillId="28" borderId="67" xfId="0" applyNumberFormat="1" applyFont="1" applyFill="1" applyBorder="1" applyAlignment="1" applyProtection="1">
      <alignment vertical="top"/>
      <protection locked="0"/>
    </xf>
    <xf numFmtId="164" fontId="37" fillId="28" borderId="49" xfId="0" applyNumberFormat="1" applyFont="1" applyFill="1" applyBorder="1" applyAlignment="1" applyProtection="1">
      <alignment vertical="top"/>
      <protection locked="0"/>
    </xf>
    <xf numFmtId="165" fontId="37" fillId="45" borderId="67" xfId="0" applyNumberFormat="1" applyFont="1" applyFill="1" applyBorder="1" applyAlignment="1" applyProtection="1">
      <alignment vertical="top"/>
      <protection locked="0"/>
    </xf>
    <xf numFmtId="165" fontId="37" fillId="42" borderId="31" xfId="0" applyNumberFormat="1" applyFont="1" applyFill="1" applyBorder="1" applyAlignment="1" applyProtection="1">
      <alignment vertical="top"/>
      <protection locked="0"/>
    </xf>
    <xf numFmtId="165" fontId="37" fillId="42" borderId="123" xfId="0" applyNumberFormat="1" applyFont="1" applyFill="1" applyBorder="1" applyAlignment="1" applyProtection="1">
      <alignment vertical="top"/>
      <protection locked="0"/>
    </xf>
    <xf numFmtId="165" fontId="37" fillId="45" borderId="49" xfId="0" applyNumberFormat="1" applyFont="1" applyFill="1" applyBorder="1" applyAlignment="1" applyProtection="1">
      <alignment vertical="top"/>
      <protection locked="0"/>
    </xf>
    <xf numFmtId="165" fontId="37" fillId="42" borderId="33" xfId="0" applyNumberFormat="1" applyFont="1" applyFill="1" applyBorder="1" applyAlignment="1" applyProtection="1">
      <alignment vertical="top"/>
      <protection locked="0"/>
    </xf>
    <xf numFmtId="164" fontId="2" fillId="42" borderId="13" xfId="0" applyNumberFormat="1" applyFont="1" applyFill="1" applyBorder="1" applyAlignment="1" applyProtection="1">
      <alignment vertical="top" shrinkToFit="1"/>
      <protection locked="0"/>
    </xf>
    <xf numFmtId="165" fontId="37" fillId="45" borderId="58" xfId="0" applyNumberFormat="1" applyFont="1" applyFill="1" applyBorder="1" applyAlignment="1" applyProtection="1">
      <alignment vertical="top"/>
      <protection locked="0"/>
    </xf>
    <xf numFmtId="169" fontId="2" fillId="40" borderId="129" xfId="84" applyNumberFormat="1" applyFont="1" applyFill="1" applyBorder="1" applyAlignment="1" applyProtection="1">
      <alignment vertical="top" shrinkToFit="1"/>
    </xf>
    <xf numFmtId="169" fontId="2" fillId="40" borderId="58" xfId="84" applyNumberFormat="1" applyFont="1" applyFill="1" applyBorder="1" applyAlignment="1" applyProtection="1">
      <alignment vertical="top" shrinkToFit="1"/>
    </xf>
    <xf numFmtId="165" fontId="2" fillId="42" borderId="106" xfId="0" applyNumberFormat="1" applyFont="1" applyFill="1" applyBorder="1" applyAlignment="1" applyProtection="1">
      <alignment vertical="top"/>
      <protection locked="0"/>
    </xf>
    <xf numFmtId="165" fontId="2" fillId="42" borderId="105" xfId="0" applyNumberFormat="1" applyFont="1" applyFill="1" applyBorder="1" applyAlignment="1" applyProtection="1">
      <alignment vertical="top"/>
      <protection locked="0"/>
    </xf>
    <xf numFmtId="165" fontId="37" fillId="45" borderId="78" xfId="0" applyNumberFormat="1" applyFont="1" applyFill="1" applyBorder="1" applyAlignment="1" applyProtection="1">
      <alignment vertical="top"/>
      <protection locked="0"/>
    </xf>
    <xf numFmtId="165" fontId="37" fillId="45" borderId="117" xfId="0" applyNumberFormat="1" applyFont="1" applyFill="1" applyBorder="1" applyAlignment="1" applyProtection="1">
      <alignment vertical="top"/>
      <protection locked="0"/>
    </xf>
    <xf numFmtId="165" fontId="37" fillId="45" borderId="126" xfId="0" applyNumberFormat="1" applyFont="1" applyFill="1" applyBorder="1" applyAlignment="1" applyProtection="1">
      <alignment vertical="top"/>
      <protection locked="0"/>
    </xf>
    <xf numFmtId="165" fontId="37" fillId="45" borderId="62" xfId="0" applyNumberFormat="1" applyFont="1" applyFill="1" applyBorder="1" applyAlignment="1" applyProtection="1">
      <alignment vertical="top"/>
      <protection locked="0"/>
    </xf>
    <xf numFmtId="165" fontId="37" fillId="45" borderId="105" xfId="0" applyNumberFormat="1" applyFont="1" applyFill="1" applyBorder="1" applyAlignment="1" applyProtection="1">
      <alignment vertical="top"/>
      <protection locked="0"/>
    </xf>
    <xf numFmtId="165" fontId="37" fillId="45" borderId="31" xfId="0" applyNumberFormat="1" applyFont="1" applyFill="1" applyBorder="1" applyAlignment="1" applyProtection="1">
      <alignment vertical="top"/>
      <protection locked="0"/>
    </xf>
    <xf numFmtId="165" fontId="37" fillId="45" borderId="128" xfId="0" applyNumberFormat="1" applyFont="1" applyFill="1" applyBorder="1" applyAlignment="1" applyProtection="1">
      <alignment vertical="top"/>
      <protection locked="0"/>
    </xf>
    <xf numFmtId="165" fontId="37" fillId="45" borderId="63" xfId="0" applyNumberFormat="1" applyFont="1" applyFill="1" applyBorder="1" applyAlignment="1" applyProtection="1">
      <alignment vertical="top"/>
      <protection locked="0"/>
    </xf>
    <xf numFmtId="165" fontId="37" fillId="45" borderId="106" xfId="0" applyNumberFormat="1" applyFont="1" applyFill="1" applyBorder="1" applyAlignment="1" applyProtection="1">
      <alignment vertical="top"/>
      <protection locked="0"/>
    </xf>
    <xf numFmtId="165" fontId="37" fillId="45" borderId="33" xfId="0" applyNumberFormat="1" applyFont="1" applyFill="1" applyBorder="1" applyAlignment="1" applyProtection="1">
      <alignment vertical="top"/>
      <protection locked="0"/>
    </xf>
    <xf numFmtId="165" fontId="37" fillId="45" borderId="93" xfId="0" applyNumberFormat="1" applyFont="1" applyFill="1" applyBorder="1" applyAlignment="1" applyProtection="1">
      <alignment vertical="top"/>
      <protection locked="0"/>
    </xf>
    <xf numFmtId="165" fontId="37" fillId="45" borderId="64" xfId="0" applyNumberFormat="1" applyFont="1" applyFill="1" applyBorder="1" applyAlignment="1" applyProtection="1">
      <alignment vertical="top"/>
      <protection locked="0"/>
    </xf>
    <xf numFmtId="165" fontId="37" fillId="45" borderId="94" xfId="0" applyNumberFormat="1" applyFont="1" applyFill="1" applyBorder="1" applyAlignment="1" applyProtection="1">
      <alignment vertical="top"/>
      <protection locked="0"/>
    </xf>
    <xf numFmtId="165" fontId="37" fillId="45" borderId="123" xfId="0" applyNumberFormat="1" applyFont="1" applyFill="1" applyBorder="1" applyAlignment="1" applyProtection="1">
      <alignment vertical="top"/>
      <protection locked="0"/>
    </xf>
    <xf numFmtId="165" fontId="37" fillId="45" borderId="135" xfId="0" applyNumberFormat="1" applyFont="1" applyFill="1" applyBorder="1" applyAlignment="1" applyProtection="1">
      <alignment vertical="top"/>
      <protection locked="0"/>
    </xf>
    <xf numFmtId="165" fontId="37" fillId="45" borderId="10" xfId="0" applyNumberFormat="1" applyFont="1" applyFill="1" applyBorder="1" applyAlignment="1" applyProtection="1">
      <alignment vertical="top"/>
      <protection locked="0"/>
    </xf>
    <xf numFmtId="165" fontId="37" fillId="45" borderId="103" xfId="0" applyNumberFormat="1" applyFont="1" applyFill="1" applyBorder="1" applyAlignment="1" applyProtection="1">
      <alignment vertical="top"/>
      <protection locked="0"/>
    </xf>
    <xf numFmtId="165" fontId="37" fillId="45" borderId="127" xfId="0" applyNumberFormat="1" applyFont="1" applyFill="1" applyBorder="1" applyAlignment="1" applyProtection="1">
      <alignment vertical="top"/>
      <protection locked="0"/>
    </xf>
    <xf numFmtId="165" fontId="37" fillId="45" borderId="129" xfId="0" applyNumberFormat="1" applyFont="1" applyFill="1" applyBorder="1" applyAlignment="1" applyProtection="1">
      <alignment vertical="top"/>
      <protection locked="0"/>
    </xf>
    <xf numFmtId="0" fontId="37" fillId="45" borderId="14" xfId="0" applyFont="1" applyFill="1" applyBorder="1" applyAlignment="1" applyProtection="1">
      <alignment horizontal="center" vertical="top"/>
      <protection locked="0"/>
    </xf>
    <xf numFmtId="165" fontId="2" fillId="45" borderId="13" xfId="0" applyNumberFormat="1" applyFont="1" applyFill="1" applyBorder="1" applyAlignment="1" applyProtection="1">
      <alignment vertical="top"/>
      <protection locked="0"/>
    </xf>
    <xf numFmtId="165" fontId="2" fillId="45" borderId="67" xfId="0" applyNumberFormat="1" applyFont="1" applyFill="1" applyBorder="1" applyAlignment="1" applyProtection="1">
      <alignment vertical="top"/>
      <protection locked="0"/>
    </xf>
    <xf numFmtId="165" fontId="2" fillId="45" borderId="49" xfId="0" applyNumberFormat="1" applyFont="1" applyFill="1" applyBorder="1" applyAlignment="1" applyProtection="1">
      <alignment vertical="top"/>
      <protection locked="0"/>
    </xf>
    <xf numFmtId="165" fontId="2" fillId="45" borderId="58" xfId="0" applyNumberFormat="1" applyFont="1" applyFill="1" applyBorder="1" applyAlignment="1" applyProtection="1">
      <alignment vertical="top"/>
      <protection locked="0"/>
    </xf>
    <xf numFmtId="164" fontId="37" fillId="45" borderId="62" xfId="0" applyNumberFormat="1" applyFont="1" applyFill="1" applyBorder="1" applyAlignment="1" applyProtection="1">
      <alignment vertical="top"/>
      <protection locked="0"/>
    </xf>
    <xf numFmtId="164" fontId="37" fillId="45" borderId="105" xfId="0" applyNumberFormat="1" applyFont="1" applyFill="1" applyBorder="1" applyAlignment="1" applyProtection="1">
      <alignment vertical="top"/>
      <protection locked="0"/>
    </xf>
    <xf numFmtId="164" fontId="37" fillId="45" borderId="31" xfId="0" applyNumberFormat="1" applyFont="1" applyFill="1" applyBorder="1" applyAlignment="1" applyProtection="1">
      <alignment vertical="top"/>
      <protection locked="0"/>
    </xf>
    <xf numFmtId="164" fontId="37" fillId="45" borderId="128" xfId="0" applyNumberFormat="1" applyFont="1" applyFill="1" applyBorder="1" applyAlignment="1" applyProtection="1">
      <alignment vertical="top"/>
      <protection locked="0"/>
    </xf>
    <xf numFmtId="164" fontId="37" fillId="45" borderId="64" xfId="0" applyNumberFormat="1" applyFont="1" applyFill="1" applyBorder="1" applyAlignment="1" applyProtection="1">
      <alignment vertical="top"/>
      <protection locked="0"/>
    </xf>
    <xf numFmtId="164" fontId="37" fillId="45" borderId="94" xfId="0" applyNumberFormat="1" applyFont="1" applyFill="1" applyBorder="1" applyAlignment="1" applyProtection="1">
      <alignment vertical="top"/>
      <protection locked="0"/>
    </xf>
    <xf numFmtId="164" fontId="37" fillId="45" borderId="123" xfId="0" applyNumberFormat="1" applyFont="1" applyFill="1" applyBorder="1" applyAlignment="1" applyProtection="1">
      <alignment vertical="top"/>
      <protection locked="0"/>
    </xf>
    <xf numFmtId="164" fontId="37" fillId="45" borderId="135" xfId="0" applyNumberFormat="1" applyFont="1" applyFill="1" applyBorder="1" applyAlignment="1" applyProtection="1">
      <alignment vertical="top"/>
      <protection locked="0"/>
    </xf>
    <xf numFmtId="0" fontId="2" fillId="45" borderId="13" xfId="0" applyFont="1" applyFill="1" applyBorder="1" applyAlignment="1" applyProtection="1">
      <alignment vertical="top"/>
      <protection locked="0"/>
    </xf>
    <xf numFmtId="169" fontId="2" fillId="27" borderId="33" xfId="84" applyNumberFormat="1" applyFont="1" applyFill="1" applyBorder="1" applyAlignment="1" applyProtection="1">
      <alignment horizontal="right" vertical="top"/>
    </xf>
    <xf numFmtId="169" fontId="2" fillId="27" borderId="63" xfId="84" applyNumberFormat="1" applyFont="1" applyFill="1" applyBorder="1" applyAlignment="1" applyProtection="1">
      <alignment horizontal="right" vertical="top"/>
    </xf>
    <xf numFmtId="169" fontId="2" fillId="27" borderId="93" xfId="84" applyNumberFormat="1" applyFont="1" applyFill="1" applyBorder="1" applyAlignment="1" applyProtection="1">
      <alignment horizontal="right" vertical="top"/>
    </xf>
    <xf numFmtId="14" fontId="2" fillId="28" borderId="141" xfId="0" applyNumberFormat="1" applyFont="1" applyFill="1" applyBorder="1" applyAlignment="1" applyProtection="1">
      <alignment horizontal="center" vertical="top"/>
      <protection locked="0"/>
    </xf>
    <xf numFmtId="14" fontId="2" fillId="28" borderId="142" xfId="0" applyNumberFormat="1" applyFont="1" applyFill="1" applyBorder="1" applyAlignment="1" applyProtection="1">
      <alignment horizontal="center" vertical="top"/>
      <protection locked="0"/>
    </xf>
    <xf numFmtId="14" fontId="2" fillId="28" borderId="33" xfId="0" applyNumberFormat="1" applyFont="1" applyFill="1" applyBorder="1" applyAlignment="1" applyProtection="1">
      <alignment horizontal="center" vertical="top"/>
      <protection locked="0"/>
    </xf>
    <xf numFmtId="14" fontId="2" fillId="28" borderId="35" xfId="0" applyNumberFormat="1" applyFont="1" applyFill="1" applyBorder="1" applyAlignment="1" applyProtection="1">
      <alignment horizontal="center" vertical="top"/>
      <protection locked="0"/>
    </xf>
    <xf numFmtId="14" fontId="2" fillId="28" borderId="93" xfId="0" applyNumberFormat="1" applyFont="1" applyFill="1" applyBorder="1" applyAlignment="1" applyProtection="1">
      <alignment horizontal="left" vertical="top"/>
      <protection locked="0"/>
    </xf>
    <xf numFmtId="14" fontId="2" fillId="28" borderId="52" xfId="0" applyNumberFormat="1" applyFont="1" applyFill="1" applyBorder="1" applyAlignment="1" applyProtection="1">
      <alignment horizontal="left" vertical="top"/>
      <protection locked="0"/>
    </xf>
    <xf numFmtId="14" fontId="2" fillId="28" borderId="143" xfId="0" applyNumberFormat="1" applyFont="1" applyFill="1" applyBorder="1" applyAlignment="1" applyProtection="1">
      <alignment horizontal="center" vertical="top"/>
      <protection locked="0"/>
    </xf>
    <xf numFmtId="14" fontId="2" fillId="28" borderId="122" xfId="0" applyNumberFormat="1" applyFont="1" applyFill="1" applyBorder="1" applyAlignment="1" applyProtection="1">
      <alignment horizontal="center" vertical="top"/>
      <protection locked="0"/>
    </xf>
    <xf numFmtId="14" fontId="2" fillId="28" borderId="133" xfId="0" applyNumberFormat="1" applyFont="1" applyFill="1" applyBorder="1" applyAlignment="1" applyProtection="1">
      <alignment horizontal="left" vertical="top"/>
      <protection locked="0"/>
    </xf>
    <xf numFmtId="0" fontId="37" fillId="28" borderId="141" xfId="0" applyFont="1" applyFill="1" applyBorder="1" applyAlignment="1" applyProtection="1">
      <alignment horizontal="center" vertical="top"/>
      <protection locked="0"/>
    </xf>
    <xf numFmtId="0" fontId="37" fillId="28" borderId="144" xfId="0" applyFont="1" applyFill="1" applyBorder="1" applyAlignment="1" applyProtection="1">
      <alignment horizontal="center" vertical="top"/>
      <protection locked="0"/>
    </xf>
    <xf numFmtId="0" fontId="37" fillId="28" borderId="142" xfId="0" applyFont="1" applyFill="1" applyBorder="1" applyAlignment="1" applyProtection="1">
      <alignment horizontal="center" vertical="top"/>
      <protection locked="0"/>
    </xf>
    <xf numFmtId="0" fontId="37" fillId="28" borderId="143" xfId="0" applyFont="1" applyFill="1" applyBorder="1" applyAlignment="1" applyProtection="1">
      <alignment horizontal="center" vertical="top"/>
      <protection locked="0"/>
    </xf>
    <xf numFmtId="3" fontId="37" fillId="28" borderId="67" xfId="0" applyNumberFormat="1" applyFont="1" applyFill="1" applyBorder="1" applyAlignment="1" applyProtection="1">
      <alignment vertical="top"/>
      <protection locked="0"/>
    </xf>
    <xf numFmtId="3" fontId="37" fillId="28" borderId="49" xfId="0" applyNumberFormat="1" applyFont="1" applyFill="1" applyBorder="1" applyAlignment="1" applyProtection="1">
      <alignment vertical="top"/>
      <protection locked="0"/>
    </xf>
    <xf numFmtId="0" fontId="2" fillId="42" borderId="14" xfId="0" applyFont="1" applyFill="1" applyBorder="1" applyAlignment="1" applyProtection="1">
      <alignment horizontal="center" vertical="top"/>
      <protection locked="0"/>
    </xf>
    <xf numFmtId="14" fontId="2" fillId="45" borderId="13" xfId="0" applyNumberFormat="1" applyFont="1" applyFill="1" applyBorder="1" applyAlignment="1" applyProtection="1">
      <alignment horizontal="left" vertical="top"/>
      <protection locked="0"/>
    </xf>
    <xf numFmtId="164" fontId="37" fillId="45" borderId="13" xfId="0" applyNumberFormat="1" applyFont="1" applyFill="1" applyBorder="1" applyAlignment="1" applyProtection="1">
      <alignment vertical="top"/>
      <protection locked="0"/>
    </xf>
    <xf numFmtId="164" fontId="37" fillId="45" borderId="58" xfId="0" applyNumberFormat="1" applyFont="1" applyFill="1" applyBorder="1" applyAlignment="1" applyProtection="1">
      <alignment vertical="top"/>
      <protection locked="0"/>
    </xf>
    <xf numFmtId="0" fontId="2" fillId="45" borderId="13" xfId="0" applyFont="1" applyFill="1" applyBorder="1" applyAlignment="1" applyProtection="1">
      <alignment horizontal="left" vertical="top"/>
      <protection locked="0"/>
    </xf>
    <xf numFmtId="4" fontId="2" fillId="27" borderId="13" xfId="84" applyNumberFormat="1" applyFont="1" applyFill="1" applyBorder="1" applyAlignment="1" applyProtection="1">
      <alignment vertical="top"/>
    </xf>
    <xf numFmtId="165" fontId="2" fillId="27" borderId="13" xfId="84" applyNumberFormat="1" applyFont="1" applyFill="1" applyBorder="1" applyAlignment="1" applyProtection="1">
      <alignment vertical="top"/>
    </xf>
    <xf numFmtId="169" fontId="37" fillId="27" borderId="67" xfId="84" applyNumberFormat="1" applyFont="1" applyFill="1" applyBorder="1" applyAlignment="1" applyProtection="1">
      <alignment vertical="top"/>
    </xf>
    <xf numFmtId="169" fontId="37" fillId="27" borderId="49" xfId="84" applyNumberFormat="1" applyFont="1" applyFill="1" applyBorder="1" applyAlignment="1" applyProtection="1">
      <alignment horizontal="right" vertical="top"/>
    </xf>
    <xf numFmtId="169" fontId="37" fillId="27" borderId="67" xfId="84" applyNumberFormat="1" applyFont="1" applyFill="1" applyBorder="1" applyAlignment="1" applyProtection="1">
      <alignment horizontal="right" vertical="top"/>
    </xf>
    <xf numFmtId="169" fontId="37" fillId="27" borderId="13" xfId="84" applyNumberFormat="1" applyFont="1" applyFill="1" applyBorder="1" applyAlignment="1" applyProtection="1">
      <alignment horizontal="right" vertical="top"/>
    </xf>
    <xf numFmtId="3" fontId="0" fillId="42" borderId="62" xfId="0" applyNumberFormat="1" applyFill="1" applyBorder="1" applyAlignment="1" applyProtection="1">
      <alignment horizontal="center" shrinkToFit="1"/>
      <protection locked="0"/>
    </xf>
    <xf numFmtId="3" fontId="0" fillId="42" borderId="63" xfId="0" applyNumberFormat="1" applyFill="1" applyBorder="1" applyAlignment="1" applyProtection="1">
      <alignment horizontal="center" shrinkToFit="1"/>
      <protection locked="0"/>
    </xf>
    <xf numFmtId="3" fontId="0" fillId="42" borderId="64" xfId="0" applyNumberFormat="1" applyFill="1" applyBorder="1" applyAlignment="1" applyProtection="1">
      <alignment horizontal="center" shrinkToFit="1"/>
      <protection locked="0"/>
    </xf>
    <xf numFmtId="166" fontId="37" fillId="42" borderId="62" xfId="0" applyNumberFormat="1" applyFont="1" applyFill="1" applyBorder="1" applyAlignment="1" applyProtection="1">
      <alignment horizontal="center" vertical="top" shrinkToFit="1"/>
      <protection locked="0"/>
    </xf>
    <xf numFmtId="166" fontId="37" fillId="42" borderId="63" xfId="0" applyNumberFormat="1" applyFont="1" applyFill="1" applyBorder="1" applyAlignment="1" applyProtection="1">
      <alignment horizontal="center" vertical="top" shrinkToFit="1"/>
      <protection locked="0"/>
    </xf>
    <xf numFmtId="166" fontId="37" fillId="42" borderId="64" xfId="0" applyNumberFormat="1" applyFont="1" applyFill="1" applyBorder="1" applyAlignment="1" applyProtection="1">
      <alignment horizontal="center" vertical="top" shrinkToFit="1"/>
      <protection locked="0"/>
    </xf>
    <xf numFmtId="165" fontId="37" fillId="42" borderId="67" xfId="0" applyNumberFormat="1" applyFont="1" applyFill="1" applyBorder="1" applyAlignment="1" applyProtection="1">
      <alignment vertical="top"/>
      <protection locked="0"/>
    </xf>
    <xf numFmtId="165" fontId="37" fillId="42" borderId="49" xfId="0" applyNumberFormat="1" applyFont="1" applyFill="1" applyBorder="1" applyAlignment="1" applyProtection="1">
      <alignment vertical="top"/>
      <protection locked="0"/>
    </xf>
    <xf numFmtId="0" fontId="2" fillId="42" borderId="13" xfId="0" applyFont="1" applyFill="1" applyBorder="1" applyAlignment="1" applyProtection="1">
      <alignment horizontal="center" vertical="top"/>
      <protection locked="0"/>
    </xf>
    <xf numFmtId="10" fontId="37" fillId="42" borderId="13" xfId="0" applyNumberFormat="1" applyFont="1" applyFill="1" applyBorder="1" applyAlignment="1" applyProtection="1">
      <alignment vertical="top"/>
      <protection locked="0"/>
    </xf>
    <xf numFmtId="165" fontId="2" fillId="45" borderId="62" xfId="0" applyNumberFormat="1" applyFont="1" applyFill="1" applyBorder="1" applyAlignment="1" applyProtection="1">
      <alignment vertical="top"/>
      <protection locked="0"/>
    </xf>
    <xf numFmtId="165" fontId="2" fillId="45" borderId="63" xfId="0" applyNumberFormat="1" applyFont="1" applyFill="1" applyBorder="1" applyAlignment="1" applyProtection="1">
      <alignment vertical="top"/>
      <protection locked="0"/>
    </xf>
    <xf numFmtId="165" fontId="2" fillId="45" borderId="64" xfId="0" applyNumberFormat="1" applyFont="1" applyFill="1" applyBorder="1" applyAlignment="1" applyProtection="1">
      <alignment vertical="top"/>
      <protection locked="0"/>
    </xf>
    <xf numFmtId="0" fontId="6" fillId="59" borderId="0" xfId="78" applyFill="1" applyAlignment="1" applyProtection="1">
      <alignment vertical="center" wrapText="1"/>
    </xf>
    <xf numFmtId="0" fontId="6" fillId="59" borderId="74" xfId="78" applyFill="1" applyBorder="1" applyAlignment="1" applyProtection="1">
      <alignment vertical="center" wrapText="1"/>
    </xf>
    <xf numFmtId="0" fontId="6" fillId="59" borderId="116" xfId="78" applyFill="1" applyBorder="1" applyAlignment="1" applyProtection="1">
      <alignment vertical="center" wrapText="1"/>
    </xf>
    <xf numFmtId="0" fontId="6" fillId="57" borderId="0" xfId="78" applyFill="1" applyAlignment="1" applyProtection="1">
      <alignment vertical="center" wrapText="1"/>
    </xf>
    <xf numFmtId="10" fontId="78" fillId="44" borderId="73" xfId="84" applyNumberFormat="1" applyFont="1" applyFill="1" applyBorder="1" applyProtection="1"/>
    <xf numFmtId="10" fontId="78" fillId="44" borderId="95" xfId="84" applyNumberFormat="1" applyFont="1" applyFill="1" applyBorder="1" applyProtection="1"/>
    <xf numFmtId="10" fontId="78" fillId="44" borderId="68" xfId="84" applyNumberFormat="1" applyFont="1" applyFill="1" applyBorder="1" applyProtection="1"/>
    <xf numFmtId="165" fontId="37" fillId="42" borderId="26" xfId="0" applyNumberFormat="1" applyFont="1" applyFill="1" applyBorder="1" applyAlignment="1" applyProtection="1">
      <alignment vertical="top"/>
      <protection locked="0"/>
    </xf>
    <xf numFmtId="9" fontId="2" fillId="25" borderId="0" xfId="84" applyFont="1" applyFill="1" applyAlignment="1" applyProtection="1"/>
    <xf numFmtId="171" fontId="2" fillId="28" borderId="13" xfId="0" applyNumberFormat="1" applyFont="1" applyFill="1" applyBorder="1" applyAlignment="1" applyProtection="1">
      <alignment vertical="top"/>
      <protection locked="0"/>
    </xf>
    <xf numFmtId="171" fontId="2" fillId="28" borderId="67" xfId="0" applyNumberFormat="1" applyFont="1" applyFill="1" applyBorder="1" applyAlignment="1" applyProtection="1">
      <alignment vertical="top"/>
      <protection locked="0"/>
    </xf>
    <xf numFmtId="165" fontId="2" fillId="28" borderId="67" xfId="0" applyNumberFormat="1" applyFont="1" applyFill="1" applyBorder="1" applyAlignment="1" applyProtection="1">
      <alignment vertical="top"/>
      <protection locked="0"/>
    </xf>
    <xf numFmtId="10" fontId="2" fillId="24" borderId="0" xfId="84" applyNumberFormat="1" applyFont="1" applyFill="1" applyBorder="1" applyAlignment="1" applyProtection="1">
      <alignment horizontal="center" vertical="top"/>
    </xf>
    <xf numFmtId="9" fontId="2" fillId="24" borderId="0" xfId="84" applyFont="1" applyFill="1" applyBorder="1" applyAlignment="1" applyProtection="1">
      <alignment horizontal="right" vertical="top"/>
    </xf>
    <xf numFmtId="169" fontId="2" fillId="24" borderId="10" xfId="84" applyNumberFormat="1" applyFont="1" applyFill="1" applyBorder="1" applyAlignment="1" applyProtection="1">
      <alignment horizontal="center" vertical="top"/>
    </xf>
    <xf numFmtId="9" fontId="2" fillId="24" borderId="13" xfId="84" applyFont="1" applyFill="1" applyBorder="1" applyAlignment="1" applyProtection="1">
      <alignment horizontal="center" vertical="top"/>
    </xf>
    <xf numFmtId="9" fontId="2" fillId="24" borderId="58" xfId="84" applyFont="1" applyFill="1" applyBorder="1" applyAlignment="1" applyProtection="1">
      <alignment horizontal="center" vertical="top"/>
    </xf>
    <xf numFmtId="0" fontId="4" fillId="25" borderId="0" xfId="78" applyFont="1" applyFill="1" applyBorder="1" applyAlignment="1" applyProtection="1">
      <alignment vertical="top"/>
    </xf>
    <xf numFmtId="0" fontId="39" fillId="46" borderId="74" xfId="78" applyFont="1" applyFill="1" applyBorder="1" applyAlignment="1" applyProtection="1">
      <alignment horizontal="center" vertical="top" wrapText="1"/>
    </xf>
    <xf numFmtId="0" fontId="39" fillId="46" borderId="0" xfId="78" applyFont="1" applyFill="1" applyBorder="1" applyAlignment="1" applyProtection="1">
      <alignment horizontal="center" vertical="top" wrapText="1"/>
    </xf>
    <xf numFmtId="49" fontId="2" fillId="42" borderId="105" xfId="0" applyNumberFormat="1" applyFont="1" applyFill="1" applyBorder="1" applyAlignment="1" applyProtection="1">
      <alignment horizontal="left" vertical="top"/>
      <protection locked="0"/>
    </xf>
    <xf numFmtId="49" fontId="37" fillId="42" borderId="106" xfId="0" applyNumberFormat="1" applyFont="1" applyFill="1" applyBorder="1" applyAlignment="1" applyProtection="1">
      <alignment horizontal="left" vertical="top"/>
      <protection locked="0"/>
    </xf>
    <xf numFmtId="49" fontId="37" fillId="42" borderId="94" xfId="0" applyNumberFormat="1" applyFont="1" applyFill="1" applyBorder="1" applyAlignment="1" applyProtection="1">
      <alignment horizontal="left" vertical="top"/>
      <protection locked="0"/>
    </xf>
    <xf numFmtId="49" fontId="2" fillId="42" borderId="106" xfId="0" applyNumberFormat="1" applyFont="1" applyFill="1" applyBorder="1" applyAlignment="1" applyProtection="1">
      <alignment horizontal="left" vertical="top"/>
      <protection locked="0"/>
    </xf>
    <xf numFmtId="169" fontId="4" fillId="27" borderId="117" xfId="84" applyNumberFormat="1" applyFont="1" applyFill="1" applyBorder="1" applyAlignment="1" applyProtection="1">
      <alignment horizontal="right" vertical="top"/>
    </xf>
    <xf numFmtId="169" fontId="4" fillId="27" borderId="11" xfId="84" applyNumberFormat="1" applyFont="1" applyFill="1" applyBorder="1" applyAlignment="1" applyProtection="1">
      <alignment horizontal="right" vertical="top"/>
    </xf>
    <xf numFmtId="169" fontId="4" fillId="27" borderId="126" xfId="84" applyNumberFormat="1" applyFont="1" applyFill="1" applyBorder="1" applyAlignment="1" applyProtection="1">
      <alignment horizontal="right" vertical="top"/>
    </xf>
    <xf numFmtId="169" fontId="78" fillId="27" borderId="103" xfId="84" applyNumberFormat="1" applyFont="1" applyFill="1" applyBorder="1" applyAlignment="1" applyProtection="1">
      <alignment horizontal="center" vertical="top"/>
    </xf>
    <xf numFmtId="169" fontId="78" fillId="27" borderId="127" xfId="84" applyNumberFormat="1" applyFont="1" applyFill="1" applyBorder="1" applyAlignment="1" applyProtection="1">
      <alignment horizontal="right" vertical="top"/>
    </xf>
    <xf numFmtId="169" fontId="78" fillId="27" borderId="103" xfId="84" applyNumberFormat="1" applyFont="1" applyFill="1" applyBorder="1" applyAlignment="1" applyProtection="1">
      <alignment horizontal="right" vertical="top"/>
    </xf>
    <xf numFmtId="169" fontId="78" fillId="27" borderId="10" xfId="84" applyNumberFormat="1" applyFont="1" applyFill="1" applyBorder="1" applyAlignment="1" applyProtection="1">
      <alignment horizontal="right" vertical="top"/>
    </xf>
    <xf numFmtId="169" fontId="2" fillId="40" borderId="31" xfId="84" applyNumberFormat="1" applyFont="1" applyFill="1" applyBorder="1" applyAlignment="1" applyProtection="1">
      <alignment vertical="top" shrinkToFit="1"/>
    </xf>
    <xf numFmtId="169" fontId="2" fillId="40" borderId="62" xfId="84" applyNumberFormat="1" applyFont="1" applyFill="1" applyBorder="1" applyAlignment="1" applyProtection="1">
      <alignment vertical="top" shrinkToFit="1"/>
    </xf>
    <xf numFmtId="169" fontId="2" fillId="40" borderId="128" xfId="84" applyNumberFormat="1" applyFont="1" applyFill="1" applyBorder="1" applyAlignment="1" applyProtection="1">
      <alignment vertical="top" shrinkToFit="1"/>
    </xf>
    <xf numFmtId="169" fontId="2" fillId="40" borderId="123" xfId="84" applyNumberFormat="1" applyFont="1" applyFill="1" applyBorder="1" applyAlignment="1" applyProtection="1">
      <alignment vertical="top" shrinkToFit="1"/>
    </xf>
    <xf numFmtId="169" fontId="2" fillId="40" borderId="64" xfId="84" applyNumberFormat="1" applyFont="1" applyFill="1" applyBorder="1" applyAlignment="1" applyProtection="1">
      <alignment vertical="top" shrinkToFit="1"/>
    </xf>
    <xf numFmtId="169" fontId="2" fillId="40" borderId="135" xfId="84" applyNumberFormat="1" applyFont="1" applyFill="1" applyBorder="1" applyAlignment="1" applyProtection="1">
      <alignment vertical="top" shrinkToFit="1"/>
    </xf>
    <xf numFmtId="165" fontId="4" fillId="28" borderId="88" xfId="0" applyNumberFormat="1" applyFont="1" applyFill="1" applyBorder="1" applyAlignment="1" applyProtection="1">
      <alignment vertical="top"/>
      <protection locked="0"/>
    </xf>
    <xf numFmtId="165" fontId="4" fillId="28" borderId="132" xfId="0" applyNumberFormat="1" applyFont="1" applyFill="1" applyBorder="1" applyAlignment="1" applyProtection="1">
      <alignment vertical="top"/>
      <protection locked="0"/>
    </xf>
    <xf numFmtId="165" fontId="37" fillId="28" borderId="92" xfId="0" applyNumberFormat="1" applyFont="1" applyFill="1" applyBorder="1" applyAlignment="1" applyProtection="1">
      <alignment vertical="top"/>
      <protection locked="0"/>
    </xf>
    <xf numFmtId="165" fontId="2" fillId="28" borderId="92" xfId="0" applyNumberFormat="1" applyFont="1" applyFill="1" applyBorder="1" applyAlignment="1" applyProtection="1">
      <alignment vertical="top"/>
      <protection locked="0"/>
    </xf>
    <xf numFmtId="165" fontId="37" fillId="28" borderId="134" xfId="0" applyNumberFormat="1" applyFont="1" applyFill="1" applyBorder="1" applyAlignment="1" applyProtection="1">
      <alignment vertical="top"/>
      <protection locked="0"/>
    </xf>
    <xf numFmtId="170" fontId="37" fillId="28" borderId="93" xfId="0" applyNumberFormat="1" applyFont="1" applyFill="1" applyBorder="1" applyAlignment="1" applyProtection="1">
      <alignment vertical="top"/>
      <protection locked="0"/>
    </xf>
    <xf numFmtId="170" fontId="37" fillId="28" borderId="33" xfId="0" applyNumberFormat="1" applyFont="1" applyFill="1" applyBorder="1" applyAlignment="1" applyProtection="1">
      <alignment vertical="top"/>
      <protection locked="0"/>
    </xf>
    <xf numFmtId="170" fontId="37" fillId="28" borderId="135" xfId="0" applyNumberFormat="1" applyFont="1" applyFill="1" applyBorder="1" applyAlignment="1" applyProtection="1">
      <alignment vertical="top"/>
      <protection locked="0"/>
    </xf>
    <xf numFmtId="170" fontId="37" fillId="28" borderId="123" xfId="0" applyNumberFormat="1" applyFont="1" applyFill="1" applyBorder="1" applyAlignment="1" applyProtection="1">
      <alignment vertical="top"/>
      <protection locked="0"/>
    </xf>
    <xf numFmtId="165" fontId="37" fillId="28" borderId="58" xfId="0" applyNumberFormat="1" applyFont="1" applyFill="1" applyBorder="1" applyAlignment="1" applyProtection="1">
      <alignment vertical="top"/>
      <protection locked="0"/>
    </xf>
    <xf numFmtId="171" fontId="37" fillId="28" borderId="58" xfId="0" applyNumberFormat="1" applyFont="1" applyFill="1" applyBorder="1" applyAlignment="1" applyProtection="1">
      <alignment vertical="top"/>
      <protection locked="0"/>
    </xf>
    <xf numFmtId="171" fontId="37" fillId="28" borderId="49" xfId="0" applyNumberFormat="1" applyFont="1" applyFill="1" applyBorder="1" applyAlignment="1" applyProtection="1">
      <alignment vertical="top"/>
      <protection locked="0"/>
    </xf>
    <xf numFmtId="171" fontId="2" fillId="28" borderId="58" xfId="0" applyNumberFormat="1" applyFont="1" applyFill="1" applyBorder="1" applyAlignment="1" applyProtection="1">
      <alignment vertical="top"/>
      <protection locked="0"/>
    </xf>
    <xf numFmtId="171" fontId="2" fillId="28" borderId="49" xfId="0" applyNumberFormat="1" applyFont="1" applyFill="1" applyBorder="1" applyAlignment="1" applyProtection="1">
      <alignment vertical="top"/>
      <protection locked="0"/>
    </xf>
    <xf numFmtId="165" fontId="2" fillId="28" borderId="58" xfId="0" applyNumberFormat="1" applyFont="1" applyFill="1" applyBorder="1" applyAlignment="1" applyProtection="1">
      <alignment vertical="top"/>
      <protection locked="0"/>
    </xf>
    <xf numFmtId="165" fontId="2" fillId="28" borderId="49" xfId="0" applyNumberFormat="1" applyFont="1" applyFill="1" applyBorder="1" applyAlignment="1" applyProtection="1">
      <alignment vertical="top"/>
      <protection locked="0"/>
    </xf>
    <xf numFmtId="3" fontId="37" fillId="28" borderId="128" xfId="0" applyNumberFormat="1" applyFont="1" applyFill="1" applyBorder="1" applyAlignment="1" applyProtection="1">
      <alignment vertical="top"/>
      <protection locked="0"/>
    </xf>
    <xf numFmtId="3" fontId="37" fillId="28" borderId="31" xfId="0" applyNumberFormat="1" applyFont="1" applyFill="1" applyBorder="1" applyAlignment="1" applyProtection="1">
      <alignment vertical="top"/>
      <protection locked="0"/>
    </xf>
    <xf numFmtId="3" fontId="37" fillId="28" borderId="93" xfId="0" applyNumberFormat="1" applyFont="1" applyFill="1" applyBorder="1" applyAlignment="1" applyProtection="1">
      <alignment vertical="top"/>
      <protection locked="0"/>
    </xf>
    <xf numFmtId="3" fontId="37" fillId="28" borderId="33" xfId="0" applyNumberFormat="1" applyFont="1" applyFill="1" applyBorder="1" applyAlignment="1" applyProtection="1">
      <alignment vertical="top"/>
      <protection locked="0"/>
    </xf>
    <xf numFmtId="3" fontId="37" fillId="28" borderId="135" xfId="0" applyNumberFormat="1" applyFont="1" applyFill="1" applyBorder="1" applyAlignment="1" applyProtection="1">
      <alignment vertical="top"/>
      <protection locked="0"/>
    </xf>
    <xf numFmtId="3" fontId="37" fillId="28" borderId="123" xfId="0" applyNumberFormat="1" applyFont="1" applyFill="1" applyBorder="1" applyAlignment="1" applyProtection="1">
      <alignment vertical="top"/>
      <protection locked="0"/>
    </xf>
    <xf numFmtId="164" fontId="37" fillId="28" borderId="58" xfId="0" applyNumberFormat="1" applyFont="1" applyFill="1" applyBorder="1" applyAlignment="1" applyProtection="1">
      <alignment vertical="top"/>
      <protection locked="0"/>
    </xf>
    <xf numFmtId="165" fontId="37" fillId="28" borderId="128" xfId="0" applyNumberFormat="1" applyFont="1" applyFill="1" applyBorder="1" applyAlignment="1" applyProtection="1">
      <alignment vertical="top"/>
      <protection locked="0"/>
    </xf>
    <xf numFmtId="165" fontId="37" fillId="28" borderId="31" xfId="0" applyNumberFormat="1" applyFont="1" applyFill="1" applyBorder="1" applyAlignment="1" applyProtection="1">
      <alignment vertical="top"/>
      <protection locked="0"/>
    </xf>
    <xf numFmtId="165" fontId="37" fillId="28" borderId="135" xfId="0" applyNumberFormat="1" applyFont="1" applyFill="1" applyBorder="1" applyAlignment="1" applyProtection="1">
      <alignment vertical="top"/>
      <protection locked="0"/>
    </xf>
    <xf numFmtId="165" fontId="37" fillId="28" borderId="123" xfId="0" applyNumberFormat="1" applyFont="1" applyFill="1" applyBorder="1" applyAlignment="1" applyProtection="1">
      <alignment vertical="top"/>
      <protection locked="0"/>
    </xf>
    <xf numFmtId="0" fontId="2" fillId="28" borderId="58" xfId="0" applyFont="1" applyFill="1" applyBorder="1" applyAlignment="1" applyProtection="1">
      <alignment vertical="top"/>
      <protection locked="0"/>
    </xf>
    <xf numFmtId="0" fontId="2" fillId="28" borderId="49" xfId="0" applyFont="1" applyFill="1" applyBorder="1" applyAlignment="1" applyProtection="1">
      <alignment vertical="top"/>
      <protection locked="0"/>
    </xf>
    <xf numFmtId="169" fontId="2" fillId="27" borderId="13" xfId="84" applyNumberFormat="1" applyFont="1" applyFill="1" applyBorder="1" applyAlignment="1" applyProtection="1">
      <alignment vertical="top"/>
    </xf>
    <xf numFmtId="165" fontId="2" fillId="42" borderId="106" xfId="0" quotePrefix="1" applyNumberFormat="1" applyFont="1" applyFill="1" applyBorder="1" applyAlignment="1" applyProtection="1">
      <alignment vertical="top"/>
      <protection locked="0"/>
    </xf>
    <xf numFmtId="169" fontId="2" fillId="40" borderId="13" xfId="84" applyNumberFormat="1" applyFont="1" applyFill="1" applyBorder="1" applyAlignment="1" applyProtection="1">
      <alignment horizontal="center" vertical="top"/>
    </xf>
    <xf numFmtId="165" fontId="2" fillId="28" borderId="11" xfId="0" applyNumberFormat="1" applyFont="1" applyFill="1" applyBorder="1" applyAlignment="1" applyProtection="1">
      <alignment vertical="top"/>
      <protection locked="0"/>
    </xf>
    <xf numFmtId="0" fontId="37" fillId="42" borderId="15" xfId="0" applyFont="1" applyFill="1" applyBorder="1" applyAlignment="1" applyProtection="1">
      <alignment horizontal="center" vertical="top"/>
      <protection locked="0"/>
    </xf>
    <xf numFmtId="0" fontId="37" fillId="42" borderId="16" xfId="0" applyFont="1" applyFill="1" applyBorder="1" applyAlignment="1" applyProtection="1">
      <alignment horizontal="center" vertical="top"/>
      <protection locked="0"/>
    </xf>
    <xf numFmtId="0" fontId="2" fillId="42" borderId="15" xfId="0" applyFont="1" applyFill="1" applyBorder="1" applyAlignment="1" applyProtection="1">
      <alignment horizontal="center" vertical="top"/>
      <protection locked="0"/>
    </xf>
    <xf numFmtId="169" fontId="37" fillId="27" borderId="58" xfId="84" applyNumberFormat="1" applyFont="1" applyFill="1" applyBorder="1" applyAlignment="1" applyProtection="1">
      <alignment horizontal="right" vertical="top"/>
    </xf>
    <xf numFmtId="0" fontId="73" fillId="46" borderId="0" xfId="78" applyFont="1" applyFill="1" applyBorder="1" applyAlignment="1" applyProtection="1">
      <alignment horizontal="center" vertical="center" wrapText="1"/>
    </xf>
    <xf numFmtId="0" fontId="2" fillId="28" borderId="95" xfId="0" applyFont="1" applyFill="1" applyBorder="1" applyAlignment="1" applyProtection="1">
      <alignment vertical="top"/>
      <protection locked="0"/>
    </xf>
    <xf numFmtId="0" fontId="6" fillId="24" borderId="0" xfId="78" applyNumberFormat="1" applyFill="1" applyAlignment="1" applyProtection="1">
      <alignment horizontal="left" vertical="top" wrapText="1"/>
    </xf>
    <xf numFmtId="0" fontId="6" fillId="46" borderId="152" xfId="78" applyFill="1" applyBorder="1" applyAlignment="1" applyProtection="1">
      <alignment horizontal="left" vertical="top" wrapText="1"/>
    </xf>
    <xf numFmtId="0" fontId="6" fillId="46" borderId="163" xfId="78" applyFill="1" applyBorder="1" applyAlignment="1" applyProtection="1">
      <alignment horizontal="left" vertical="top" wrapText="1"/>
    </xf>
    <xf numFmtId="169" fontId="2" fillId="24" borderId="13" xfId="84" applyNumberFormat="1" applyFont="1" applyFill="1" applyBorder="1" applyAlignment="1" applyProtection="1">
      <alignment vertical="top"/>
    </xf>
    <xf numFmtId="0" fontId="6" fillId="25" borderId="0" xfId="78" applyFill="1" applyAlignment="1" applyProtection="1">
      <alignment horizontal="left" vertical="top" wrapText="1"/>
    </xf>
    <xf numFmtId="0" fontId="4" fillId="46" borderId="74" xfId="0" applyFont="1" applyFill="1" applyBorder="1"/>
    <xf numFmtId="0" fontId="0" fillId="46" borderId="74" xfId="0" applyFill="1" applyBorder="1"/>
    <xf numFmtId="0" fontId="0" fillId="25" borderId="0" xfId="0" applyFill="1"/>
    <xf numFmtId="0" fontId="0" fillId="46" borderId="28" xfId="0" applyFill="1" applyBorder="1" applyAlignment="1">
      <alignment horizontal="center" vertical="top" wrapText="1"/>
    </xf>
    <xf numFmtId="0" fontId="0" fillId="46" borderId="0" xfId="0" applyFill="1" applyAlignment="1">
      <alignment horizontal="center" vertical="top" wrapText="1"/>
    </xf>
    <xf numFmtId="0" fontId="0" fillId="25" borderId="0" xfId="0" applyFill="1" applyAlignment="1">
      <alignment horizontal="center"/>
    </xf>
    <xf numFmtId="0" fontId="31" fillId="25" borderId="0" xfId="0" applyFont="1" applyFill="1"/>
    <xf numFmtId="0" fontId="0" fillId="25" borderId="0" xfId="0" applyFill="1" applyAlignment="1">
      <alignment horizontal="center" vertical="center"/>
    </xf>
    <xf numFmtId="0" fontId="0" fillId="25" borderId="0" xfId="0" applyFill="1" applyAlignment="1">
      <alignment vertical="center"/>
    </xf>
    <xf numFmtId="0" fontId="30" fillId="25" borderId="0" xfId="0" applyFont="1" applyFill="1"/>
    <xf numFmtId="0" fontId="72" fillId="25" borderId="0" xfId="0" applyFont="1" applyFill="1" applyAlignment="1">
      <alignment vertical="center"/>
    </xf>
    <xf numFmtId="0" fontId="30" fillId="25" borderId="0" xfId="0" applyFont="1" applyFill="1" applyAlignment="1">
      <alignment vertical="center"/>
    </xf>
    <xf numFmtId="0" fontId="70" fillId="25" borderId="0" xfId="0" applyFont="1" applyFill="1" applyAlignment="1">
      <alignment vertical="center"/>
    </xf>
    <xf numFmtId="0" fontId="78" fillId="25" borderId="0" xfId="0" applyFont="1" applyFill="1"/>
    <xf numFmtId="0" fontId="0" fillId="25" borderId="0" xfId="0" applyFill="1" applyAlignment="1">
      <alignment horizontal="center" vertical="top"/>
    </xf>
    <xf numFmtId="0" fontId="9" fillId="25" borderId="0" xfId="0" applyFont="1" applyFill="1" applyAlignment="1">
      <alignment vertical="top"/>
    </xf>
    <xf numFmtId="0" fontId="0" fillId="25" borderId="0" xfId="0" applyFill="1" applyAlignment="1">
      <alignment vertical="top"/>
    </xf>
    <xf numFmtId="0" fontId="28" fillId="25" borderId="0" xfId="0" applyFont="1" applyFill="1" applyAlignment="1">
      <alignment horizontal="center" vertical="top"/>
    </xf>
    <xf numFmtId="0" fontId="4" fillId="25" borderId="0" xfId="0" applyFont="1" applyFill="1" applyAlignment="1">
      <alignment horizontal="center" vertical="top"/>
    </xf>
    <xf numFmtId="0" fontId="2" fillId="25" borderId="0" xfId="0" applyFont="1" applyFill="1" applyAlignment="1">
      <alignment horizontal="center" vertical="top"/>
    </xf>
    <xf numFmtId="0" fontId="2" fillId="25" borderId="0" xfId="0" applyFont="1" applyFill="1" applyAlignment="1">
      <alignment vertical="top"/>
    </xf>
    <xf numFmtId="0" fontId="0" fillId="25" borderId="100" xfId="0" applyFill="1" applyBorder="1" applyAlignment="1">
      <alignment vertical="top"/>
    </xf>
    <xf numFmtId="0" fontId="0" fillId="25" borderId="51" xfId="0" applyFill="1" applyBorder="1" applyAlignment="1">
      <alignment vertical="top"/>
    </xf>
    <xf numFmtId="0" fontId="0" fillId="25" borderId="70" xfId="0" applyFill="1" applyBorder="1" applyAlignment="1">
      <alignment vertical="top"/>
    </xf>
    <xf numFmtId="0" fontId="0" fillId="27" borderId="51" xfId="0" applyFill="1" applyBorder="1" applyAlignment="1">
      <alignment vertical="top"/>
    </xf>
    <xf numFmtId="0" fontId="0" fillId="27" borderId="101" xfId="0" applyFill="1" applyBorder="1" applyAlignment="1">
      <alignment vertical="top"/>
    </xf>
    <xf numFmtId="0" fontId="0" fillId="25" borderId="65" xfId="0" applyFill="1" applyBorder="1" applyAlignment="1">
      <alignment vertical="top"/>
    </xf>
    <xf numFmtId="0" fontId="0" fillId="25" borderId="39" xfId="0" applyFill="1" applyBorder="1" applyAlignment="1">
      <alignment vertical="top"/>
    </xf>
    <xf numFmtId="0" fontId="0" fillId="25" borderId="47" xfId="0" applyFill="1" applyBorder="1" applyAlignment="1">
      <alignment vertical="top"/>
    </xf>
    <xf numFmtId="0" fontId="0" fillId="27" borderId="39" xfId="0" applyFill="1" applyBorder="1" applyAlignment="1">
      <alignment vertical="top"/>
    </xf>
    <xf numFmtId="0" fontId="0" fillId="27" borderId="40" xfId="0" applyFill="1" applyBorder="1" applyAlignment="1">
      <alignment vertical="top"/>
    </xf>
    <xf numFmtId="0" fontId="4" fillId="25" borderId="0" xfId="0" applyFont="1" applyFill="1" applyAlignment="1">
      <alignment vertical="top"/>
    </xf>
    <xf numFmtId="0" fontId="0" fillId="25" borderId="107" xfId="0" applyFill="1" applyBorder="1" applyAlignment="1">
      <alignment vertical="top"/>
    </xf>
    <xf numFmtId="0" fontId="0" fillId="25" borderId="15" xfId="0" applyFill="1" applyBorder="1" applyAlignment="1">
      <alignment vertical="top"/>
    </xf>
    <xf numFmtId="0" fontId="0" fillId="25" borderId="20" xfId="0" applyFill="1" applyBorder="1" applyAlignment="1">
      <alignment vertical="top"/>
    </xf>
    <xf numFmtId="0" fontId="0" fillId="27" borderId="15" xfId="0" applyFill="1" applyBorder="1" applyAlignment="1">
      <alignment vertical="top"/>
    </xf>
    <xf numFmtId="0" fontId="0" fillId="27" borderId="34" xfId="0" applyFill="1" applyBorder="1" applyAlignment="1">
      <alignment vertical="top"/>
    </xf>
    <xf numFmtId="0" fontId="2" fillId="25" borderId="56" xfId="0" applyFont="1" applyFill="1" applyBorder="1"/>
    <xf numFmtId="0" fontId="0" fillId="25" borderId="36" xfId="0" applyFill="1" applyBorder="1" applyAlignment="1">
      <alignment vertical="top"/>
    </xf>
    <xf numFmtId="0" fontId="0" fillId="25" borderId="48" xfId="0" applyFill="1" applyBorder="1" applyAlignment="1">
      <alignment vertical="top"/>
    </xf>
    <xf numFmtId="0" fontId="2" fillId="40" borderId="36" xfId="0" applyFont="1" applyFill="1" applyBorder="1"/>
    <xf numFmtId="0" fontId="0" fillId="40" borderId="36" xfId="0" applyFill="1" applyBorder="1" applyAlignment="1">
      <alignment vertical="top"/>
    </xf>
    <xf numFmtId="0" fontId="0" fillId="40" borderId="37" xfId="0" applyFill="1" applyBorder="1" applyAlignment="1">
      <alignment vertical="top"/>
    </xf>
    <xf numFmtId="0" fontId="0" fillId="25" borderId="12" xfId="0" applyFill="1" applyBorder="1" applyAlignment="1">
      <alignment vertical="top"/>
    </xf>
    <xf numFmtId="0" fontId="0" fillId="41" borderId="0" xfId="0" applyFill="1"/>
    <xf numFmtId="0" fontId="3" fillId="26" borderId="0" xfId="0" applyFont="1" applyFill="1" applyAlignment="1">
      <alignment horizontal="left"/>
    </xf>
    <xf numFmtId="0" fontId="52" fillId="25" borderId="0" xfId="0" applyFont="1" applyFill="1" applyAlignment="1">
      <alignment horizontal="left" vertical="top"/>
    </xf>
    <xf numFmtId="0" fontId="0" fillId="25" borderId="0" xfId="0" applyFill="1" applyAlignment="1">
      <alignment horizontal="left" vertical="top"/>
    </xf>
    <xf numFmtId="0" fontId="58" fillId="25" borderId="0" xfId="0" applyFont="1" applyFill="1" applyAlignment="1">
      <alignment horizontal="center" vertical="top"/>
    </xf>
    <xf numFmtId="0" fontId="78" fillId="25" borderId="25" xfId="0" applyFont="1" applyFill="1" applyBorder="1" applyAlignment="1">
      <alignment horizontal="left" vertical="top"/>
    </xf>
    <xf numFmtId="0" fontId="0" fillId="41" borderId="0" xfId="0" applyFill="1" applyAlignment="1">
      <alignment vertical="top"/>
    </xf>
    <xf numFmtId="164" fontId="0" fillId="25" borderId="0" xfId="0" applyNumberFormat="1" applyFill="1" applyAlignment="1">
      <alignment vertical="top"/>
    </xf>
    <xf numFmtId="0" fontId="2" fillId="39" borderId="0" xfId="87" applyFill="1" applyAlignment="1">
      <alignment vertical="top"/>
    </xf>
    <xf numFmtId="0" fontId="5" fillId="25" borderId="0" xfId="0" applyFont="1" applyFill="1"/>
    <xf numFmtId="0" fontId="2" fillId="25" borderId="0" xfId="0" applyFont="1" applyFill="1"/>
    <xf numFmtId="0" fontId="2" fillId="41" borderId="0" xfId="87" applyFill="1" applyAlignment="1">
      <alignment vertical="top"/>
    </xf>
    <xf numFmtId="0" fontId="0" fillId="25" borderId="57" xfId="0" applyFill="1" applyBorder="1"/>
    <xf numFmtId="0" fontId="0" fillId="25" borderId="28" xfId="0" applyFill="1" applyBorder="1"/>
    <xf numFmtId="0" fontId="2" fillId="25" borderId="28" xfId="0" applyFont="1" applyFill="1" applyBorder="1"/>
    <xf numFmtId="0" fontId="2" fillId="25" borderId="30" xfId="0" applyFont="1" applyFill="1" applyBorder="1"/>
    <xf numFmtId="0" fontId="0" fillId="25" borderId="66" xfId="0" applyFill="1" applyBorder="1"/>
    <xf numFmtId="0" fontId="37" fillId="39" borderId="0" xfId="0" applyFont="1" applyFill="1" applyAlignment="1">
      <alignment vertical="top"/>
    </xf>
    <xf numFmtId="0" fontId="2" fillId="25" borderId="66" xfId="0" applyFont="1" applyFill="1" applyBorder="1" applyAlignment="1">
      <alignment vertical="top"/>
    </xf>
    <xf numFmtId="0" fontId="41" fillId="41" borderId="0" xfId="0" quotePrefix="1" applyFont="1" applyFill="1" applyAlignment="1">
      <alignment horizontal="right" vertical="top" wrapText="1"/>
    </xf>
    <xf numFmtId="0" fontId="10" fillId="41" borderId="0" xfId="0" applyFont="1" applyFill="1" applyAlignment="1">
      <alignment horizontal="left" vertical="top" wrapText="1"/>
    </xf>
    <xf numFmtId="0" fontId="10" fillId="41" borderId="38" xfId="0" applyFont="1" applyFill="1" applyBorder="1" applyAlignment="1">
      <alignment horizontal="left" vertical="top" wrapText="1"/>
    </xf>
    <xf numFmtId="0" fontId="2" fillId="41" borderId="0" xfId="0" applyFont="1" applyFill="1"/>
    <xf numFmtId="0" fontId="37" fillId="41" borderId="0" xfId="0" applyFont="1" applyFill="1" applyAlignment="1">
      <alignment vertical="top"/>
    </xf>
    <xf numFmtId="0" fontId="85" fillId="25" borderId="0" xfId="0" applyFont="1" applyFill="1"/>
    <xf numFmtId="0" fontId="85" fillId="25" borderId="38" xfId="0" applyFont="1" applyFill="1" applyBorder="1"/>
    <xf numFmtId="0" fontId="0" fillId="25" borderId="65" xfId="0" applyFill="1" applyBorder="1"/>
    <xf numFmtId="0" fontId="0" fillId="25" borderId="39" xfId="0" applyFill="1" applyBorder="1"/>
    <xf numFmtId="0" fontId="2" fillId="25" borderId="39" xfId="0" applyFont="1" applyFill="1" applyBorder="1"/>
    <xf numFmtId="0" fontId="2" fillId="25" borderId="40" xfId="0" applyFont="1" applyFill="1" applyBorder="1"/>
    <xf numFmtId="0" fontId="3" fillId="26" borderId="0" xfId="0" applyFont="1" applyFill="1"/>
    <xf numFmtId="0" fontId="35" fillId="25" borderId="0" xfId="0" applyFont="1" applyFill="1" applyAlignment="1">
      <alignment horizontal="center"/>
    </xf>
    <xf numFmtId="0" fontId="35" fillId="25" borderId="0" xfId="0" applyFont="1" applyFill="1" applyAlignment="1">
      <alignment vertical="top"/>
    </xf>
    <xf numFmtId="0" fontId="0" fillId="0" borderId="0" xfId="0" applyAlignment="1">
      <alignment vertical="top"/>
    </xf>
    <xf numFmtId="0" fontId="2" fillId="25" borderId="0" xfId="0" applyFont="1" applyFill="1" applyAlignment="1">
      <alignment horizontal="right" vertical="top"/>
    </xf>
    <xf numFmtId="0" fontId="2" fillId="27" borderId="67" xfId="0" applyFont="1" applyFill="1" applyBorder="1" applyAlignment="1">
      <alignment vertical="top"/>
    </xf>
    <xf numFmtId="0" fontId="2" fillId="27" borderId="26" xfId="0" applyFont="1" applyFill="1" applyBorder="1" applyAlignment="1">
      <alignment vertical="top"/>
    </xf>
    <xf numFmtId="0" fontId="4" fillId="25" borderId="0" xfId="0" applyFont="1" applyFill="1" applyAlignment="1">
      <alignment horizontal="right" vertical="top"/>
    </xf>
    <xf numFmtId="0" fontId="2" fillId="41" borderId="0" xfId="0" applyFont="1" applyFill="1" applyAlignment="1">
      <alignment vertical="top"/>
    </xf>
    <xf numFmtId="0" fontId="2" fillId="40" borderId="67" xfId="0" applyFont="1" applyFill="1" applyBorder="1" applyAlignment="1">
      <alignment vertical="top"/>
    </xf>
    <xf numFmtId="49" fontId="2" fillId="40" borderId="26" xfId="0" applyNumberFormat="1" applyFont="1" applyFill="1" applyBorder="1" applyAlignment="1">
      <alignment vertical="top"/>
    </xf>
    <xf numFmtId="49" fontId="2" fillId="40" borderId="25" xfId="0" applyNumberFormat="1" applyFont="1" applyFill="1" applyBorder="1" applyAlignment="1">
      <alignment vertical="top"/>
    </xf>
    <xf numFmtId="0" fontId="2" fillId="25" borderId="0" xfId="0" applyFont="1" applyFill="1" applyAlignment="1">
      <alignment horizontal="left" vertical="top"/>
    </xf>
    <xf numFmtId="0" fontId="2" fillId="40" borderId="13" xfId="0" applyFont="1" applyFill="1" applyBorder="1" applyAlignment="1">
      <alignment horizontal="left" vertical="top"/>
    </xf>
    <xf numFmtId="0" fontId="2" fillId="40" borderId="13" xfId="0" applyFont="1" applyFill="1" applyBorder="1" applyAlignment="1">
      <alignment horizontal="right" vertical="top"/>
    </xf>
    <xf numFmtId="49" fontId="2" fillId="25" borderId="78" xfId="0" applyNumberFormat="1" applyFont="1" applyFill="1" applyBorder="1" applyAlignment="1">
      <alignment vertical="top"/>
    </xf>
    <xf numFmtId="49" fontId="2" fillId="25" borderId="12" xfId="0" applyNumberFormat="1" applyFont="1" applyFill="1" applyBorder="1" applyAlignment="1">
      <alignment vertical="top"/>
    </xf>
    <xf numFmtId="0" fontId="2" fillId="27" borderId="25" xfId="0" applyFont="1" applyFill="1" applyBorder="1" applyAlignment="1">
      <alignment vertical="top"/>
    </xf>
    <xf numFmtId="0" fontId="0" fillId="40" borderId="67" xfId="0" applyFill="1" applyBorder="1" applyAlignment="1">
      <alignment vertical="top"/>
    </xf>
    <xf numFmtId="0" fontId="0" fillId="40" borderId="26" xfId="0" applyFill="1" applyBorder="1" applyAlignment="1">
      <alignment vertical="top"/>
    </xf>
    <xf numFmtId="0" fontId="0" fillId="40" borderId="25" xfId="0" applyFill="1" applyBorder="1" applyAlignment="1">
      <alignment vertical="top"/>
    </xf>
    <xf numFmtId="0" fontId="32" fillId="25" borderId="0" xfId="0" applyFont="1" applyFill="1" applyAlignment="1">
      <alignment vertical="top"/>
    </xf>
    <xf numFmtId="0" fontId="2" fillId="25" borderId="78" xfId="0" applyFont="1" applyFill="1" applyBorder="1" applyAlignment="1">
      <alignment vertical="top"/>
    </xf>
    <xf numFmtId="0" fontId="2" fillId="41" borderId="12" xfId="0" applyFont="1" applyFill="1" applyBorder="1" applyAlignment="1">
      <alignment vertical="top"/>
    </xf>
    <xf numFmtId="0" fontId="2" fillId="25" borderId="24" xfId="0" applyFont="1" applyFill="1" applyBorder="1" applyAlignment="1">
      <alignment vertical="top"/>
    </xf>
    <xf numFmtId="0" fontId="2" fillId="40" borderId="25" xfId="0" applyFont="1" applyFill="1" applyBorder="1" applyAlignment="1">
      <alignment vertical="top"/>
    </xf>
    <xf numFmtId="0" fontId="2" fillId="40" borderId="26" xfId="0" applyFont="1" applyFill="1" applyBorder="1" applyAlignment="1">
      <alignment vertical="top"/>
    </xf>
    <xf numFmtId="0" fontId="2" fillId="27" borderId="13" xfId="0" applyFont="1" applyFill="1" applyBorder="1" applyAlignment="1">
      <alignment vertical="top"/>
    </xf>
    <xf numFmtId="0" fontId="4" fillId="27" borderId="74" xfId="0" applyFont="1" applyFill="1" applyBorder="1" applyAlignment="1">
      <alignment vertical="top"/>
    </xf>
    <xf numFmtId="0" fontId="2" fillId="40" borderId="13" xfId="0" applyFont="1" applyFill="1" applyBorder="1" applyAlignment="1">
      <alignment vertical="top"/>
    </xf>
    <xf numFmtId="0" fontId="4" fillId="25" borderId="18" xfId="0" applyFont="1" applyFill="1" applyBorder="1" applyAlignment="1">
      <alignment vertical="top"/>
    </xf>
    <xf numFmtId="0" fontId="4" fillId="25" borderId="11" xfId="0" applyFont="1" applyFill="1" applyBorder="1" applyAlignment="1">
      <alignment horizontal="right" vertical="top"/>
    </xf>
    <xf numFmtId="0" fontId="2" fillId="25" borderId="25" xfId="0" applyFont="1" applyFill="1" applyBorder="1" applyAlignment="1">
      <alignment vertical="top"/>
    </xf>
    <xf numFmtId="0" fontId="4" fillId="25" borderId="12" xfId="0" applyFont="1" applyFill="1" applyBorder="1" applyAlignment="1">
      <alignment vertical="top"/>
    </xf>
    <xf numFmtId="0" fontId="4" fillId="25" borderId="18" xfId="0" applyFont="1" applyFill="1" applyBorder="1" applyAlignment="1">
      <alignment horizontal="center" vertical="top"/>
    </xf>
    <xf numFmtId="0" fontId="4" fillId="25" borderId="88" xfId="0" applyFont="1" applyFill="1" applyBorder="1" applyAlignment="1">
      <alignment horizontal="right" vertical="top"/>
    </xf>
    <xf numFmtId="0" fontId="2" fillId="25" borderId="14" xfId="0" applyFont="1" applyFill="1" applyBorder="1" applyAlignment="1">
      <alignment vertical="top"/>
    </xf>
    <xf numFmtId="0" fontId="2" fillId="25" borderId="19" xfId="0" applyFont="1" applyFill="1" applyBorder="1" applyAlignment="1">
      <alignment horizontal="center" vertical="top"/>
    </xf>
    <xf numFmtId="164" fontId="2" fillId="27" borderId="62" xfId="0" applyNumberFormat="1" applyFont="1" applyFill="1" applyBorder="1" applyAlignment="1">
      <alignment horizontal="right" vertical="top"/>
    </xf>
    <xf numFmtId="0" fontId="56" fillId="25" borderId="15" xfId="0" applyFont="1" applyFill="1" applyBorder="1" applyAlignment="1">
      <alignment vertical="top"/>
    </xf>
    <xf numFmtId="0" fontId="56" fillId="25" borderId="20" xfId="0" applyFont="1" applyFill="1" applyBorder="1" applyAlignment="1">
      <alignment horizontal="center" vertical="top"/>
    </xf>
    <xf numFmtId="164" fontId="56" fillId="27" borderId="63" xfId="0" applyNumberFormat="1" applyFont="1" applyFill="1" applyBorder="1" applyAlignment="1">
      <alignment horizontal="right" vertical="top"/>
    </xf>
    <xf numFmtId="0" fontId="2" fillId="25" borderId="15" xfId="0" applyFont="1" applyFill="1" applyBorder="1" applyAlignment="1">
      <alignment vertical="top"/>
    </xf>
    <xf numFmtId="0" fontId="2" fillId="25" borderId="20" xfId="0" applyFont="1" applyFill="1" applyBorder="1" applyAlignment="1">
      <alignment horizontal="center" vertical="top"/>
    </xf>
    <xf numFmtId="164" fontId="2" fillId="27" borderId="63" xfId="0" applyNumberFormat="1" applyFont="1" applyFill="1" applyBorder="1" applyAlignment="1">
      <alignment horizontal="right" vertical="top"/>
    </xf>
    <xf numFmtId="0" fontId="2" fillId="25" borderId="16" xfId="0" applyFont="1" applyFill="1" applyBorder="1" applyAlignment="1">
      <alignment vertical="top"/>
    </xf>
    <xf numFmtId="0" fontId="2" fillId="25" borderId="23" xfId="0" applyFont="1" applyFill="1" applyBorder="1" applyAlignment="1">
      <alignment horizontal="center" vertical="top"/>
    </xf>
    <xf numFmtId="164" fontId="2" fillId="27" borderId="92" xfId="0" applyNumberFormat="1" applyFont="1" applyFill="1" applyBorder="1" applyAlignment="1">
      <alignment horizontal="right" vertical="top"/>
    </xf>
    <xf numFmtId="0" fontId="2" fillId="25" borderId="24" xfId="0" applyFont="1" applyFill="1" applyBorder="1" applyAlignment="1">
      <alignment horizontal="center" vertical="top"/>
    </xf>
    <xf numFmtId="164" fontId="2" fillId="27" borderId="26" xfId="0" applyNumberFormat="1" applyFont="1" applyFill="1" applyBorder="1" applyAlignment="1">
      <alignment horizontal="right" vertical="top"/>
    </xf>
    <xf numFmtId="164" fontId="2" fillId="27" borderId="13" xfId="0" applyNumberFormat="1" applyFont="1" applyFill="1" applyBorder="1" applyAlignment="1">
      <alignment horizontal="right" vertical="top"/>
    </xf>
    <xf numFmtId="0" fontId="2" fillId="25" borderId="21" xfId="0" applyFont="1" applyFill="1" applyBorder="1" applyAlignment="1">
      <alignment vertical="top"/>
    </xf>
    <xf numFmtId="0" fontId="2" fillId="25" borderId="18" xfId="0" applyFont="1" applyFill="1" applyBorder="1" applyAlignment="1">
      <alignment horizontal="center" vertical="top"/>
    </xf>
    <xf numFmtId="164" fontId="2" fillId="27" borderId="69" xfId="0" applyNumberFormat="1" applyFont="1" applyFill="1" applyBorder="1" applyAlignment="1">
      <alignment horizontal="right" vertical="top"/>
    </xf>
    <xf numFmtId="164" fontId="2" fillId="27" borderId="60" xfId="0" applyNumberFormat="1" applyFont="1" applyFill="1" applyBorder="1" applyAlignment="1">
      <alignment horizontal="right" vertical="top"/>
    </xf>
    <xf numFmtId="0" fontId="4" fillId="25" borderId="114" xfId="0" applyFont="1" applyFill="1" applyBorder="1" applyAlignment="1">
      <alignment vertical="top"/>
    </xf>
    <xf numFmtId="0" fontId="4" fillId="25" borderId="97" xfId="0" applyFont="1" applyFill="1" applyBorder="1" applyAlignment="1">
      <alignment vertical="top"/>
    </xf>
    <xf numFmtId="0" fontId="4" fillId="25" borderId="115" xfId="0" applyFont="1" applyFill="1" applyBorder="1" applyAlignment="1">
      <alignment horizontal="center" vertical="top"/>
    </xf>
    <xf numFmtId="164" fontId="4" fillId="27" borderId="76" xfId="0" applyNumberFormat="1" applyFont="1" applyFill="1" applyBorder="1" applyAlignment="1">
      <alignment horizontal="right" vertical="top"/>
    </xf>
    <xf numFmtId="164" fontId="4" fillId="27" borderId="77" xfId="0" applyNumberFormat="1" applyFont="1" applyFill="1" applyBorder="1" applyAlignment="1">
      <alignment horizontal="right" vertical="top"/>
    </xf>
    <xf numFmtId="165" fontId="4" fillId="27" borderId="76" xfId="0" applyNumberFormat="1" applyFont="1" applyFill="1" applyBorder="1" applyAlignment="1">
      <alignment horizontal="right" vertical="top"/>
    </xf>
    <xf numFmtId="165" fontId="4" fillId="27" borderId="77" xfId="0" applyNumberFormat="1" applyFont="1" applyFill="1" applyBorder="1" applyAlignment="1">
      <alignment horizontal="right" vertical="top"/>
    </xf>
    <xf numFmtId="0" fontId="2" fillId="25" borderId="41" xfId="0" applyFont="1" applyFill="1" applyBorder="1" applyAlignment="1">
      <alignment vertical="top"/>
    </xf>
    <xf numFmtId="0" fontId="2" fillId="25" borderId="41" xfId="0" applyFont="1" applyFill="1" applyBorder="1" applyAlignment="1">
      <alignment horizontal="center" vertical="top"/>
    </xf>
    <xf numFmtId="165" fontId="2" fillId="40" borderId="71" xfId="0" applyNumberFormat="1" applyFont="1" applyFill="1" applyBorder="1" applyAlignment="1">
      <alignment vertical="top"/>
    </xf>
    <xf numFmtId="0" fontId="2" fillId="25" borderId="25" xfId="0" applyFont="1" applyFill="1" applyBorder="1" applyAlignment="1">
      <alignment horizontal="center" vertical="top"/>
    </xf>
    <xf numFmtId="165" fontId="2" fillId="40" borderId="13" xfId="0" applyNumberFormat="1" applyFont="1" applyFill="1" applyBorder="1" applyAlignment="1">
      <alignment vertical="top"/>
    </xf>
    <xf numFmtId="165" fontId="2" fillId="27" borderId="13" xfId="0" applyNumberFormat="1" applyFont="1" applyFill="1" applyBorder="1" applyAlignment="1">
      <alignment vertical="top"/>
    </xf>
    <xf numFmtId="0" fontId="2" fillId="25" borderId="25" xfId="0" quotePrefix="1" applyFont="1" applyFill="1" applyBorder="1" applyAlignment="1">
      <alignment horizontal="center" vertical="top"/>
    </xf>
    <xf numFmtId="0" fontId="10" fillId="25" borderId="0" xfId="0" applyFont="1" applyFill="1" applyAlignment="1">
      <alignment vertical="top"/>
    </xf>
    <xf numFmtId="0" fontId="2" fillId="25" borderId="0" xfId="0" quotePrefix="1" applyFont="1" applyFill="1" applyAlignment="1">
      <alignment horizontal="right" vertical="top"/>
    </xf>
    <xf numFmtId="0" fontId="10" fillId="25" borderId="0" xfId="0" quotePrefix="1" applyFont="1" applyFill="1" applyAlignment="1">
      <alignment horizontal="right" vertical="top"/>
    </xf>
    <xf numFmtId="0" fontId="5" fillId="40" borderId="14" xfId="0" applyFont="1" applyFill="1" applyBorder="1" applyAlignment="1">
      <alignment vertical="top"/>
    </xf>
    <xf numFmtId="0" fontId="2" fillId="41" borderId="19" xfId="0" applyFont="1" applyFill="1" applyBorder="1" applyAlignment="1">
      <alignment horizontal="center" vertical="top"/>
    </xf>
    <xf numFmtId="164" fontId="2" fillId="27" borderId="62" xfId="0" applyNumberFormat="1" applyFont="1" applyFill="1" applyBorder="1" applyAlignment="1">
      <alignment vertical="top"/>
    </xf>
    <xf numFmtId="0" fontId="5" fillId="40" borderId="15" xfId="0" applyFont="1" applyFill="1" applyBorder="1" applyAlignment="1">
      <alignment vertical="top"/>
    </xf>
    <xf numFmtId="0" fontId="2" fillId="41" borderId="22" xfId="0" applyFont="1" applyFill="1" applyBorder="1" applyAlignment="1">
      <alignment horizontal="center" vertical="top"/>
    </xf>
    <xf numFmtId="164" fontId="2" fillId="27" borderId="89" xfId="0" applyNumberFormat="1" applyFont="1" applyFill="1" applyBorder="1" applyAlignment="1">
      <alignment vertical="top"/>
    </xf>
    <xf numFmtId="0" fontId="5" fillId="40" borderId="16" xfId="0" applyFont="1" applyFill="1" applyBorder="1" applyAlignment="1">
      <alignment vertical="top"/>
    </xf>
    <xf numFmtId="0" fontId="2" fillId="41" borderId="24" xfId="0" applyFont="1" applyFill="1" applyBorder="1" applyAlignment="1">
      <alignment horizontal="center" vertical="top"/>
    </xf>
    <xf numFmtId="164" fontId="2" fillId="27" borderId="64" xfId="0" applyNumberFormat="1" applyFont="1" applyFill="1" applyBorder="1" applyAlignment="1">
      <alignment vertical="top"/>
    </xf>
    <xf numFmtId="0" fontId="5" fillId="25" borderId="14" xfId="0" applyFont="1" applyFill="1" applyBorder="1" applyAlignment="1">
      <alignment vertical="top"/>
    </xf>
    <xf numFmtId="0" fontId="5" fillId="25" borderId="15" xfId="0" applyFont="1" applyFill="1" applyBorder="1" applyAlignment="1">
      <alignment vertical="top"/>
    </xf>
    <xf numFmtId="0" fontId="2" fillId="41" borderId="104" xfId="0" applyFont="1" applyFill="1" applyBorder="1" applyAlignment="1">
      <alignment horizontal="center" vertical="top"/>
    </xf>
    <xf numFmtId="164" fontId="2" fillId="27" borderId="92" xfId="0" applyNumberFormat="1" applyFont="1" applyFill="1" applyBorder="1" applyAlignment="1">
      <alignment vertical="top"/>
    </xf>
    <xf numFmtId="0" fontId="2" fillId="41" borderId="20" xfId="0" applyFont="1" applyFill="1" applyBorder="1" applyAlignment="1">
      <alignment horizontal="center" vertical="top"/>
    </xf>
    <xf numFmtId="164" fontId="2" fillId="27" borderId="63" xfId="0" applyNumberFormat="1" applyFont="1" applyFill="1" applyBorder="1" applyAlignment="1">
      <alignment vertical="top"/>
    </xf>
    <xf numFmtId="0" fontId="5" fillId="25" borderId="139" xfId="0" applyFont="1" applyFill="1" applyBorder="1" applyAlignment="1">
      <alignment vertical="top"/>
    </xf>
    <xf numFmtId="0" fontId="101" fillId="25" borderId="100" xfId="0" applyFont="1" applyFill="1" applyBorder="1" applyAlignment="1">
      <alignment vertical="top"/>
    </xf>
    <xf numFmtId="0" fontId="101" fillId="25" borderId="51" xfId="0" applyFont="1" applyFill="1" applyBorder="1" applyAlignment="1">
      <alignment vertical="top"/>
    </xf>
    <xf numFmtId="0" fontId="4" fillId="41" borderId="70" xfId="0" applyFont="1" applyFill="1" applyBorder="1" applyAlignment="1">
      <alignment horizontal="center" vertical="top"/>
    </xf>
    <xf numFmtId="164" fontId="4" fillId="27" borderId="91" xfId="0" applyNumberFormat="1" applyFont="1" applyFill="1" applyBorder="1" applyAlignment="1">
      <alignment vertical="top"/>
    </xf>
    <xf numFmtId="164" fontId="4" fillId="27" borderId="90" xfId="0" applyNumberFormat="1" applyFont="1" applyFill="1" applyBorder="1" applyAlignment="1">
      <alignment vertical="top"/>
    </xf>
    <xf numFmtId="0" fontId="101" fillId="25" borderId="107" xfId="0" applyFont="1" applyFill="1" applyBorder="1" applyAlignment="1">
      <alignment vertical="top"/>
    </xf>
    <xf numFmtId="0" fontId="101" fillId="25" borderId="15" xfId="0" applyFont="1" applyFill="1" applyBorder="1" applyAlignment="1">
      <alignment vertical="top"/>
    </xf>
    <xf numFmtId="0" fontId="4" fillId="41" borderId="20" xfId="0" applyFont="1" applyFill="1" applyBorder="1" applyAlignment="1">
      <alignment horizontal="center" vertical="top"/>
    </xf>
    <xf numFmtId="164" fontId="4" fillId="27" borderId="63" xfId="0" applyNumberFormat="1" applyFont="1" applyFill="1" applyBorder="1" applyAlignment="1">
      <alignment vertical="top"/>
    </xf>
    <xf numFmtId="164" fontId="4" fillId="27" borderId="93" xfId="0" applyNumberFormat="1" applyFont="1" applyFill="1" applyBorder="1" applyAlignment="1">
      <alignment vertical="top"/>
    </xf>
    <xf numFmtId="0" fontId="101" fillId="25" borderId="56" xfId="0" applyFont="1" applyFill="1" applyBorder="1" applyAlignment="1">
      <alignment vertical="top"/>
    </xf>
    <xf numFmtId="0" fontId="101" fillId="25" borderId="36" xfId="0" applyFont="1" applyFill="1" applyBorder="1" applyAlignment="1">
      <alignment vertical="top"/>
    </xf>
    <xf numFmtId="0" fontId="4" fillId="41" borderId="48" xfId="0" applyFont="1" applyFill="1" applyBorder="1" applyAlignment="1">
      <alignment horizontal="center" vertical="top"/>
    </xf>
    <xf numFmtId="164" fontId="4" fillId="27" borderId="53" xfId="0" applyNumberFormat="1" applyFont="1" applyFill="1" applyBorder="1" applyAlignment="1">
      <alignment vertical="top"/>
    </xf>
    <xf numFmtId="164" fontId="4" fillId="27" borderId="52" xfId="0" applyNumberFormat="1" applyFont="1" applyFill="1" applyBorder="1" applyAlignment="1">
      <alignment vertical="top"/>
    </xf>
    <xf numFmtId="164" fontId="2" fillId="27" borderId="11" xfId="0" applyNumberFormat="1" applyFont="1" applyFill="1" applyBorder="1" applyAlignment="1">
      <alignment vertical="top"/>
    </xf>
    <xf numFmtId="0" fontId="10" fillId="25" borderId="0" xfId="0" applyFont="1" applyFill="1" applyAlignment="1">
      <alignment horizontal="left" vertical="top"/>
    </xf>
    <xf numFmtId="0" fontId="4" fillId="25" borderId="12" xfId="0" applyFont="1" applyFill="1" applyBorder="1" applyAlignment="1">
      <alignment horizontal="left" vertical="top"/>
    </xf>
    <xf numFmtId="165" fontId="2" fillId="27" borderId="62" xfId="0" applyNumberFormat="1" applyFont="1" applyFill="1" applyBorder="1" applyAlignment="1">
      <alignment vertical="top"/>
    </xf>
    <xf numFmtId="165" fontId="2" fillId="27" borderId="89" xfId="0" applyNumberFormat="1" applyFont="1" applyFill="1" applyBorder="1" applyAlignment="1">
      <alignment vertical="top"/>
    </xf>
    <xf numFmtId="0" fontId="2" fillId="41" borderId="23" xfId="0" applyFont="1" applyFill="1" applyBorder="1" applyAlignment="1">
      <alignment horizontal="center" vertical="top"/>
    </xf>
    <xf numFmtId="165" fontId="2" fillId="27" borderId="64" xfId="0" applyNumberFormat="1" applyFont="1" applyFill="1" applyBorder="1" applyAlignment="1">
      <alignment vertical="top"/>
    </xf>
    <xf numFmtId="0" fontId="5" fillId="25" borderId="17" xfId="0" applyFont="1" applyFill="1" applyBorder="1" applyAlignment="1">
      <alignment vertical="top"/>
    </xf>
    <xf numFmtId="165" fontId="2" fillId="27" borderId="92" xfId="0" applyNumberFormat="1" applyFont="1" applyFill="1" applyBorder="1" applyAlignment="1">
      <alignment vertical="top"/>
    </xf>
    <xf numFmtId="0" fontId="5" fillId="0" borderId="15" xfId="0" applyFont="1" applyBorder="1" applyAlignment="1">
      <alignment vertical="top"/>
    </xf>
    <xf numFmtId="165" fontId="4" fillId="27" borderId="91" xfId="0" applyNumberFormat="1" applyFont="1" applyFill="1" applyBorder="1" applyAlignment="1">
      <alignment vertical="top"/>
    </xf>
    <xf numFmtId="165" fontId="4" fillId="27" borderId="90" xfId="0" applyNumberFormat="1" applyFont="1" applyFill="1" applyBorder="1" applyAlignment="1">
      <alignment vertical="top"/>
    </xf>
    <xf numFmtId="0" fontId="101" fillId="0" borderId="15" xfId="0" applyFont="1" applyBorder="1" applyAlignment="1">
      <alignment vertical="top"/>
    </xf>
    <xf numFmtId="165" fontId="4" fillId="27" borderId="63" xfId="0" applyNumberFormat="1" applyFont="1" applyFill="1" applyBorder="1" applyAlignment="1">
      <alignment vertical="top"/>
    </xf>
    <xf numFmtId="165" fontId="4" fillId="27" borderId="93" xfId="0" applyNumberFormat="1" applyFont="1" applyFill="1" applyBorder="1" applyAlignment="1">
      <alignment vertical="top"/>
    </xf>
    <xf numFmtId="0" fontId="101" fillId="0" borderId="36" xfId="0" applyFont="1" applyBorder="1" applyAlignment="1">
      <alignment vertical="top"/>
    </xf>
    <xf numFmtId="165" fontId="4" fillId="27" borderId="53" xfId="0" applyNumberFormat="1" applyFont="1" applyFill="1" applyBorder="1" applyAlignment="1">
      <alignment vertical="top"/>
    </xf>
    <xf numFmtId="165" fontId="4" fillId="27" borderId="52" xfId="0" applyNumberFormat="1" applyFont="1" applyFill="1" applyBorder="1" applyAlignment="1">
      <alignment vertical="top"/>
    </xf>
    <xf numFmtId="165" fontId="2" fillId="27" borderId="11" xfId="0" applyNumberFormat="1" applyFont="1" applyFill="1" applyBorder="1" applyAlignment="1">
      <alignment vertical="top"/>
    </xf>
    <xf numFmtId="0" fontId="2" fillId="40" borderId="13" xfId="0" applyFont="1" applyFill="1" applyBorder="1" applyAlignment="1">
      <alignment horizontal="center" vertical="top"/>
    </xf>
    <xf numFmtId="0" fontId="0" fillId="0" borderId="12" xfId="0" applyBorder="1" applyAlignment="1">
      <alignment vertical="top"/>
    </xf>
    <xf numFmtId="4" fontId="2" fillId="40" borderId="13" xfId="0" applyNumberFormat="1" applyFont="1" applyFill="1" applyBorder="1" applyAlignment="1">
      <alignment vertical="top"/>
    </xf>
    <xf numFmtId="0" fontId="2" fillId="25" borderId="14" xfId="0" applyFont="1" applyFill="1" applyBorder="1" applyAlignment="1">
      <alignment horizontal="center" vertical="top"/>
    </xf>
    <xf numFmtId="4" fontId="2" fillId="40" borderId="62" xfId="0" applyNumberFormat="1" applyFont="1" applyFill="1" applyBorder="1" applyAlignment="1">
      <alignment vertical="top"/>
    </xf>
    <xf numFmtId="0" fontId="2" fillId="25" borderId="16" xfId="0" applyFont="1" applyFill="1" applyBorder="1" applyAlignment="1">
      <alignment horizontal="center" vertical="top"/>
    </xf>
    <xf numFmtId="4" fontId="2" fillId="40" borderId="64" xfId="0" applyNumberFormat="1" applyFont="1" applyFill="1" applyBorder="1" applyAlignment="1">
      <alignment vertical="top"/>
    </xf>
    <xf numFmtId="0" fontId="2" fillId="25" borderId="14" xfId="0" quotePrefix="1" applyFont="1" applyFill="1" applyBorder="1" applyAlignment="1">
      <alignment horizontal="center" vertical="top"/>
    </xf>
    <xf numFmtId="171" fontId="2" fillId="27" borderId="62" xfId="0" applyNumberFormat="1" applyFont="1" applyFill="1" applyBorder="1" applyAlignment="1">
      <alignment vertical="top"/>
    </xf>
    <xf numFmtId="0" fontId="2" fillId="25" borderId="16" xfId="0" quotePrefix="1" applyFont="1" applyFill="1" applyBorder="1" applyAlignment="1">
      <alignment horizontal="center" vertical="top"/>
    </xf>
    <xf numFmtId="171" fontId="2" fillId="27" borderId="64" xfId="0" applyNumberFormat="1" applyFont="1" applyFill="1" applyBorder="1" applyAlignment="1">
      <alignment vertical="top"/>
    </xf>
    <xf numFmtId="10" fontId="2" fillId="40" borderId="62" xfId="0" applyNumberFormat="1" applyFont="1" applyFill="1" applyBorder="1" applyAlignment="1">
      <alignment vertical="top"/>
    </xf>
    <xf numFmtId="10" fontId="2" fillId="40" borderId="64" xfId="0" applyNumberFormat="1" applyFont="1" applyFill="1" applyBorder="1" applyAlignment="1">
      <alignment vertical="top"/>
    </xf>
    <xf numFmtId="0" fontId="4" fillId="25" borderId="25" xfId="0" applyFont="1" applyFill="1" applyBorder="1" applyAlignment="1">
      <alignment vertical="top"/>
    </xf>
    <xf numFmtId="0" fontId="4" fillId="25" borderId="25" xfId="0" applyFont="1" applyFill="1" applyBorder="1" applyAlignment="1">
      <alignment horizontal="center" vertical="top"/>
    </xf>
    <xf numFmtId="4" fontId="4" fillId="27" borderId="13" xfId="0" applyNumberFormat="1" applyFont="1" applyFill="1" applyBorder="1" applyAlignment="1">
      <alignment vertical="top"/>
    </xf>
    <xf numFmtId="0" fontId="2" fillId="40" borderId="67" xfId="0" applyFont="1" applyFill="1" applyBorder="1"/>
    <xf numFmtId="0" fontId="2" fillId="40" borderId="25" xfId="0" applyFont="1" applyFill="1" applyBorder="1"/>
    <xf numFmtId="0" fontId="2" fillId="40" borderId="26" xfId="0" applyFont="1" applyFill="1" applyBorder="1"/>
    <xf numFmtId="0" fontId="0" fillId="0" borderId="18" xfId="0" applyBorder="1" applyAlignment="1">
      <alignment vertical="top"/>
    </xf>
    <xf numFmtId="0" fontId="2" fillId="25" borderId="12" xfId="0" applyFont="1" applyFill="1" applyBorder="1" applyAlignment="1">
      <alignment vertical="top"/>
    </xf>
    <xf numFmtId="3" fontId="2" fillId="40" borderId="13" xfId="0" applyNumberFormat="1" applyFont="1" applyFill="1" applyBorder="1" applyAlignment="1">
      <alignment vertical="top"/>
    </xf>
    <xf numFmtId="0" fontId="2" fillId="41" borderId="25" xfId="0" applyFont="1" applyFill="1" applyBorder="1" applyAlignment="1">
      <alignment horizontal="center" vertical="top"/>
    </xf>
    <xf numFmtId="3" fontId="4" fillId="27" borderId="13" xfId="0" applyNumberFormat="1" applyFont="1" applyFill="1" applyBorder="1" applyAlignment="1">
      <alignment vertical="top"/>
    </xf>
    <xf numFmtId="0" fontId="4" fillId="25" borderId="26" xfId="0" applyFont="1" applyFill="1" applyBorder="1" applyAlignment="1">
      <alignment horizontal="center" vertical="top"/>
    </xf>
    <xf numFmtId="0" fontId="2" fillId="25" borderId="17" xfId="0" applyFont="1" applyFill="1" applyBorder="1" applyAlignment="1">
      <alignment vertical="top"/>
    </xf>
    <xf numFmtId="0" fontId="2" fillId="25" borderId="17" xfId="0" applyFont="1" applyFill="1" applyBorder="1" applyAlignment="1">
      <alignment horizontal="right" vertical="top"/>
    </xf>
    <xf numFmtId="10" fontId="2" fillId="40" borderId="13" xfId="0" applyNumberFormat="1" applyFont="1" applyFill="1" applyBorder="1" applyAlignment="1">
      <alignment vertical="top"/>
    </xf>
    <xf numFmtId="0" fontId="4" fillId="25" borderId="0" xfId="0" applyFont="1" applyFill="1" applyAlignment="1">
      <alignment vertical="center"/>
    </xf>
    <xf numFmtId="0" fontId="0" fillId="0" borderId="0" xfId="0" applyAlignment="1">
      <alignment vertical="center"/>
    </xf>
    <xf numFmtId="0" fontId="2" fillId="41" borderId="25" xfId="0" applyFont="1" applyFill="1" applyBorder="1" applyAlignment="1">
      <alignment vertical="top"/>
    </xf>
    <xf numFmtId="0" fontId="2" fillId="25" borderId="21" xfId="0" applyFont="1" applyFill="1" applyBorder="1" applyAlignment="1">
      <alignment horizontal="center" vertical="top"/>
    </xf>
    <xf numFmtId="165" fontId="2" fillId="27" borderId="88" xfId="0" applyNumberFormat="1" applyFont="1" applyFill="1" applyBorder="1" applyAlignment="1">
      <alignment vertical="top"/>
    </xf>
    <xf numFmtId="0" fontId="4" fillId="25" borderId="100" xfId="0" applyFont="1" applyFill="1" applyBorder="1" applyAlignment="1">
      <alignment vertical="center"/>
    </xf>
    <xf numFmtId="0" fontId="0" fillId="0" borderId="51" xfId="0" applyBorder="1" applyAlignment="1">
      <alignment vertical="center"/>
    </xf>
    <xf numFmtId="0" fontId="2" fillId="25" borderId="51" xfId="0" applyFont="1" applyFill="1" applyBorder="1" applyAlignment="1">
      <alignment horizontal="center" vertical="top"/>
    </xf>
    <xf numFmtId="0" fontId="4" fillId="25" borderId="107" xfId="0" applyFont="1" applyFill="1" applyBorder="1" applyAlignment="1">
      <alignment vertical="center"/>
    </xf>
    <xf numFmtId="0" fontId="4" fillId="25" borderId="15" xfId="0" applyFont="1" applyFill="1" applyBorder="1" applyAlignment="1">
      <alignment vertical="center"/>
    </xf>
    <xf numFmtId="0" fontId="2" fillId="25" borderId="15" xfId="0" applyFont="1" applyFill="1" applyBorder="1" applyAlignment="1">
      <alignment horizontal="center" vertical="top"/>
    </xf>
    <xf numFmtId="0" fontId="4" fillId="25" borderId="56" xfId="0" applyFont="1" applyFill="1" applyBorder="1" applyAlignment="1">
      <alignment vertical="center"/>
    </xf>
    <xf numFmtId="0" fontId="0" fillId="0" borderId="36" xfId="0" applyBorder="1" applyAlignment="1">
      <alignment vertical="center"/>
    </xf>
    <xf numFmtId="0" fontId="2" fillId="25" borderId="36" xfId="0" applyFont="1" applyFill="1" applyBorder="1" applyAlignment="1">
      <alignment horizontal="center" vertical="top"/>
    </xf>
    <xf numFmtId="0" fontId="2" fillId="25" borderId="12" xfId="0" applyFont="1" applyFill="1" applyBorder="1" applyAlignment="1">
      <alignment vertical="center"/>
    </xf>
    <xf numFmtId="0" fontId="2" fillId="25" borderId="12" xfId="0" applyFont="1" applyFill="1" applyBorder="1" applyAlignment="1">
      <alignment horizontal="center" vertical="top"/>
    </xf>
    <xf numFmtId="0" fontId="2" fillId="40" borderId="14" xfId="0" applyFont="1" applyFill="1" applyBorder="1" applyAlignment="1">
      <alignment vertical="top"/>
    </xf>
    <xf numFmtId="0" fontId="2" fillId="40" borderId="15" xfId="0" applyFont="1" applyFill="1" applyBorder="1" applyAlignment="1">
      <alignment vertical="top"/>
    </xf>
    <xf numFmtId="4" fontId="2" fillId="40" borderId="63" xfId="0" applyNumberFormat="1" applyFont="1" applyFill="1" applyBorder="1" applyAlignment="1">
      <alignment vertical="top"/>
    </xf>
    <xf numFmtId="0" fontId="2" fillId="40" borderId="16" xfId="0" applyFont="1" applyFill="1" applyBorder="1" applyAlignment="1">
      <alignment vertical="top"/>
    </xf>
    <xf numFmtId="0" fontId="4" fillId="57" borderId="0" xfId="0" applyFont="1" applyFill="1" applyAlignment="1">
      <alignment vertical="center"/>
    </xf>
    <xf numFmtId="0" fontId="4" fillId="25" borderId="12" xfId="0" applyFont="1" applyFill="1" applyBorder="1" applyAlignment="1">
      <alignment horizontal="center" vertical="top"/>
    </xf>
    <xf numFmtId="0" fontId="2" fillId="25" borderId="25" xfId="0" applyFont="1" applyFill="1" applyBorder="1" applyAlignment="1">
      <alignment vertical="center"/>
    </xf>
    <xf numFmtId="0" fontId="102" fillId="25" borderId="25" xfId="0" applyFont="1" applyFill="1" applyBorder="1" applyAlignment="1">
      <alignment vertical="top"/>
    </xf>
    <xf numFmtId="0" fontId="4" fillId="25" borderId="12" xfId="0" applyFont="1" applyFill="1" applyBorder="1" applyAlignment="1">
      <alignment vertical="center"/>
    </xf>
    <xf numFmtId="0" fontId="0" fillId="0" borderId="12" xfId="0" applyBorder="1" applyAlignment="1">
      <alignment vertical="center"/>
    </xf>
    <xf numFmtId="165" fontId="2" fillId="40" borderId="62" xfId="0" applyNumberFormat="1" applyFont="1" applyFill="1" applyBorder="1" applyAlignment="1">
      <alignment vertical="top"/>
    </xf>
    <xf numFmtId="165" fontId="2" fillId="40" borderId="63" xfId="0" applyNumberFormat="1" applyFont="1" applyFill="1" applyBorder="1" applyAlignment="1">
      <alignment vertical="top"/>
    </xf>
    <xf numFmtId="165" fontId="2" fillId="40" borderId="64" xfId="0" applyNumberFormat="1" applyFont="1" applyFill="1" applyBorder="1" applyAlignment="1">
      <alignment vertical="top"/>
    </xf>
    <xf numFmtId="0" fontId="2" fillId="25" borderId="26" xfId="0" applyFont="1" applyFill="1" applyBorder="1" applyAlignment="1">
      <alignment horizontal="center" vertical="top"/>
    </xf>
    <xf numFmtId="165" fontId="2" fillId="40" borderId="19" xfId="0" applyNumberFormat="1" applyFont="1" applyFill="1" applyBorder="1" applyAlignment="1">
      <alignment vertical="top"/>
    </xf>
    <xf numFmtId="165" fontId="2" fillId="40" borderId="20" xfId="0" applyNumberFormat="1" applyFont="1" applyFill="1" applyBorder="1" applyAlignment="1">
      <alignment vertical="top"/>
    </xf>
    <xf numFmtId="165" fontId="2" fillId="40" borderId="23" xfId="0" applyNumberFormat="1" applyFont="1" applyFill="1" applyBorder="1" applyAlignment="1">
      <alignment vertical="top"/>
    </xf>
    <xf numFmtId="165" fontId="2" fillId="27" borderId="26" xfId="0" applyNumberFormat="1" applyFont="1" applyFill="1" applyBorder="1" applyAlignment="1">
      <alignment vertical="top"/>
    </xf>
    <xf numFmtId="0" fontId="2" fillId="25" borderId="26" xfId="0" quotePrefix="1" applyFont="1" applyFill="1" applyBorder="1" applyAlignment="1">
      <alignment horizontal="center" vertical="top"/>
    </xf>
    <xf numFmtId="0" fontId="0" fillId="25" borderId="0" xfId="0" applyFill="1" applyAlignment="1">
      <alignment horizontal="right"/>
    </xf>
    <xf numFmtId="0" fontId="2" fillId="40" borderId="17" xfId="0" applyFont="1" applyFill="1" applyBorder="1" applyAlignment="1">
      <alignment vertical="top"/>
    </xf>
    <xf numFmtId="0" fontId="2" fillId="25" borderId="22" xfId="0" applyFont="1" applyFill="1" applyBorder="1" applyAlignment="1">
      <alignment horizontal="center" vertical="top"/>
    </xf>
    <xf numFmtId="4" fontId="2" fillId="40" borderId="89" xfId="0" applyNumberFormat="1" applyFont="1" applyFill="1" applyBorder="1" applyAlignment="1">
      <alignment vertical="top"/>
    </xf>
    <xf numFmtId="165" fontId="2" fillId="40" borderId="89" xfId="0" applyNumberFormat="1" applyFont="1" applyFill="1" applyBorder="1" applyAlignment="1">
      <alignment vertical="top"/>
    </xf>
    <xf numFmtId="4" fontId="2" fillId="27" borderId="11" xfId="0" applyNumberFormat="1" applyFont="1" applyFill="1" applyBorder="1" applyAlignment="1">
      <alignment vertical="top"/>
    </xf>
    <xf numFmtId="0" fontId="0" fillId="0" borderId="25" xfId="0" applyBorder="1" applyAlignment="1">
      <alignment vertical="center"/>
    </xf>
    <xf numFmtId="0" fontId="2" fillId="25" borderId="14" xfId="0" applyFont="1" applyFill="1" applyBorder="1" applyAlignment="1">
      <alignment vertical="center"/>
    </xf>
    <xf numFmtId="0" fontId="0" fillId="0" borderId="14" xfId="0" applyBorder="1" applyAlignment="1">
      <alignment vertical="center"/>
    </xf>
    <xf numFmtId="0" fontId="2" fillId="25" borderId="16" xfId="0" applyFont="1" applyFill="1" applyBorder="1" applyAlignment="1">
      <alignment vertical="center"/>
    </xf>
    <xf numFmtId="0" fontId="0" fillId="0" borderId="16" xfId="0" applyBorder="1" applyAlignment="1">
      <alignment vertical="center"/>
    </xf>
    <xf numFmtId="0" fontId="4" fillId="25" borderId="25" xfId="0" applyFont="1" applyFill="1" applyBorder="1" applyAlignment="1">
      <alignment vertical="center"/>
    </xf>
    <xf numFmtId="165" fontId="4" fillId="27" borderId="13" xfId="0" applyNumberFormat="1" applyFont="1" applyFill="1" applyBorder="1" applyAlignment="1">
      <alignment vertical="top"/>
    </xf>
    <xf numFmtId="0" fontId="0" fillId="0" borderId="25" xfId="0" applyBorder="1" applyAlignment="1">
      <alignment vertical="top"/>
    </xf>
    <xf numFmtId="0" fontId="35" fillId="25" borderId="0" xfId="0" applyFont="1" applyFill="1" applyAlignment="1">
      <alignment vertical="center"/>
    </xf>
    <xf numFmtId="0" fontId="4" fillId="25" borderId="0" xfId="0" applyFont="1" applyFill="1" applyAlignment="1">
      <alignment horizontal="left" vertical="top"/>
    </xf>
    <xf numFmtId="0" fontId="4" fillId="25" borderId="109" xfId="0" applyFont="1" applyFill="1" applyBorder="1" applyAlignment="1">
      <alignment vertical="top"/>
    </xf>
    <xf numFmtId="0" fontId="4" fillId="25" borderId="41" xfId="0" applyFont="1" applyFill="1" applyBorder="1" applyAlignment="1">
      <alignment vertical="top"/>
    </xf>
    <xf numFmtId="0" fontId="4" fillId="0" borderId="46" xfId="0" applyFont="1" applyBorder="1" applyAlignment="1">
      <alignment horizontal="center" vertical="top"/>
    </xf>
    <xf numFmtId="4" fontId="2" fillId="27" borderId="71" xfId="0" applyNumberFormat="1" applyFont="1" applyFill="1" applyBorder="1" applyAlignment="1">
      <alignment vertical="top"/>
    </xf>
    <xf numFmtId="4" fontId="2" fillId="27" borderId="72" xfId="0" applyNumberFormat="1" applyFont="1" applyFill="1" applyBorder="1" applyAlignment="1">
      <alignment vertical="top"/>
    </xf>
    <xf numFmtId="0" fontId="4" fillId="25" borderId="110" xfId="0" applyFont="1" applyFill="1" applyBorder="1" applyAlignment="1">
      <alignment vertical="top"/>
    </xf>
    <xf numFmtId="0" fontId="4" fillId="0" borderId="26" xfId="0" applyFont="1" applyBorder="1" applyAlignment="1">
      <alignment horizontal="center" vertical="top"/>
    </xf>
    <xf numFmtId="4" fontId="2" fillId="27" borderId="58" xfId="0" applyNumberFormat="1" applyFont="1" applyFill="1" applyBorder="1" applyAlignment="1">
      <alignment vertical="top"/>
    </xf>
    <xf numFmtId="4" fontId="2" fillId="40" borderId="10" xfId="0" applyNumberFormat="1" applyFont="1" applyFill="1" applyBorder="1" applyAlignment="1">
      <alignment vertical="top"/>
    </xf>
    <xf numFmtId="4" fontId="2" fillId="27" borderId="129" xfId="0" applyNumberFormat="1" applyFont="1" applyFill="1" applyBorder="1" applyAlignment="1">
      <alignment vertical="top"/>
    </xf>
    <xf numFmtId="0" fontId="4" fillId="25" borderId="111" xfId="0" applyFont="1" applyFill="1" applyBorder="1" applyAlignment="1">
      <alignment vertical="top"/>
    </xf>
    <xf numFmtId="0" fontId="4" fillId="25" borderId="120" xfId="0" applyFont="1" applyFill="1" applyBorder="1" applyAlignment="1">
      <alignment vertical="top"/>
    </xf>
    <xf numFmtId="0" fontId="4" fillId="0" borderId="69" xfId="0" applyFont="1" applyBorder="1" applyAlignment="1">
      <alignment horizontal="center" vertical="top"/>
    </xf>
    <xf numFmtId="4" fontId="2" fillId="27" borderId="60" xfId="0" applyNumberFormat="1" applyFont="1" applyFill="1" applyBorder="1" applyAlignment="1">
      <alignment vertical="top"/>
    </xf>
    <xf numFmtId="4" fontId="2" fillId="27" borderId="61" xfId="0" applyNumberFormat="1" applyFont="1" applyFill="1" applyBorder="1" applyAlignment="1">
      <alignment vertical="top"/>
    </xf>
    <xf numFmtId="0" fontId="4" fillId="25" borderId="99" xfId="0" applyFont="1" applyFill="1" applyBorder="1" applyAlignment="1">
      <alignment horizontal="right" vertical="top"/>
    </xf>
    <xf numFmtId="0" fontId="2" fillId="25" borderId="99" xfId="0" applyFont="1" applyFill="1" applyBorder="1"/>
    <xf numFmtId="0" fontId="2" fillId="40" borderId="14" xfId="0" applyFont="1" applyFill="1" applyBorder="1" applyAlignment="1">
      <alignment vertical="center"/>
    </xf>
    <xf numFmtId="0" fontId="2" fillId="40" borderId="15" xfId="0" applyFont="1" applyFill="1" applyBorder="1" applyAlignment="1">
      <alignment vertical="center"/>
    </xf>
    <xf numFmtId="0" fontId="2" fillId="40" borderId="16" xfId="0" applyFont="1" applyFill="1" applyBorder="1" applyAlignment="1">
      <alignment vertical="center"/>
    </xf>
    <xf numFmtId="0" fontId="2" fillId="0" borderId="14" xfId="0" applyFont="1" applyBorder="1" applyAlignment="1">
      <alignment vertical="center"/>
    </xf>
    <xf numFmtId="0" fontId="2" fillId="0" borderId="15" xfId="0" applyFont="1" applyBorder="1" applyAlignment="1">
      <alignment vertical="center"/>
    </xf>
    <xf numFmtId="0" fontId="2" fillId="25" borderId="99" xfId="0" applyFont="1" applyFill="1" applyBorder="1" applyAlignment="1">
      <alignment vertical="top"/>
    </xf>
    <xf numFmtId="165" fontId="2" fillId="40" borderId="11" xfId="0" applyNumberFormat="1" applyFont="1" applyFill="1" applyBorder="1" applyAlignment="1">
      <alignment vertical="top"/>
    </xf>
    <xf numFmtId="0" fontId="0" fillId="25" borderId="87" xfId="0" applyFill="1" applyBorder="1"/>
    <xf numFmtId="0" fontId="10" fillId="25" borderId="17" xfId="0" applyFont="1" applyFill="1" applyBorder="1" applyAlignment="1">
      <alignment vertical="top"/>
    </xf>
    <xf numFmtId="0" fontId="10" fillId="25" borderId="15" xfId="0" applyFont="1" applyFill="1" applyBorder="1" applyAlignment="1">
      <alignment vertical="top"/>
    </xf>
    <xf numFmtId="0" fontId="0" fillId="0" borderId="15" xfId="0" applyBorder="1" applyAlignment="1">
      <alignment vertical="top"/>
    </xf>
    <xf numFmtId="0" fontId="10" fillId="41" borderId="0" xfId="0" applyFont="1" applyFill="1" applyAlignment="1">
      <alignment vertical="top"/>
    </xf>
    <xf numFmtId="0" fontId="10" fillId="49" borderId="15" xfId="0" applyFont="1" applyFill="1" applyBorder="1" applyAlignment="1">
      <alignment vertical="top"/>
    </xf>
    <xf numFmtId="0" fontId="48" fillId="34" borderId="114" xfId="0" applyFont="1" applyFill="1" applyBorder="1" applyAlignment="1">
      <alignment vertical="center"/>
    </xf>
    <xf numFmtId="0" fontId="48" fillId="34" borderId="97" xfId="0" applyFont="1" applyFill="1" applyBorder="1" applyAlignment="1">
      <alignment vertical="center"/>
    </xf>
    <xf numFmtId="0" fontId="48" fillId="34" borderId="96" xfId="0" applyFont="1" applyFill="1" applyBorder="1" applyAlignment="1">
      <alignment vertical="center"/>
    </xf>
    <xf numFmtId="0" fontId="35" fillId="25" borderId="0" xfId="0" applyFont="1" applyFill="1"/>
    <xf numFmtId="0" fontId="35" fillId="25" borderId="18" xfId="0" applyFont="1" applyFill="1" applyBorder="1"/>
    <xf numFmtId="0" fontId="38" fillId="27" borderId="67" xfId="0" applyFont="1" applyFill="1" applyBorder="1"/>
    <xf numFmtId="0" fontId="38" fillId="27" borderId="25" xfId="0" applyFont="1" applyFill="1" applyBorder="1"/>
    <xf numFmtId="0" fontId="38" fillId="27" borderId="26" xfId="0" applyFont="1" applyFill="1" applyBorder="1"/>
    <xf numFmtId="0" fontId="2" fillId="25" borderId="13" xfId="0" applyFont="1" applyFill="1" applyBorder="1" applyAlignment="1">
      <alignment horizontal="center" vertical="top"/>
    </xf>
    <xf numFmtId="0" fontId="2" fillId="25" borderId="13" xfId="0" applyFont="1" applyFill="1" applyBorder="1" applyAlignment="1">
      <alignment horizontal="right" vertical="top"/>
    </xf>
    <xf numFmtId="0" fontId="2" fillId="25" borderId="67" xfId="0" applyFont="1" applyFill="1" applyBorder="1" applyAlignment="1">
      <alignment horizontal="right" vertical="top"/>
    </xf>
    <xf numFmtId="0" fontId="2" fillId="25" borderId="109" xfId="0" applyFont="1" applyFill="1" applyBorder="1" applyAlignment="1">
      <alignment horizontal="left" vertical="top"/>
    </xf>
    <xf numFmtId="0" fontId="2" fillId="25" borderId="42" xfId="0" applyFont="1" applyFill="1" applyBorder="1" applyAlignment="1">
      <alignment horizontal="right" vertical="top"/>
    </xf>
    <xf numFmtId="0" fontId="2" fillId="27" borderId="13" xfId="0" applyFont="1" applyFill="1" applyBorder="1" applyAlignment="1">
      <alignment horizontal="center" vertical="top"/>
    </xf>
    <xf numFmtId="14" fontId="2" fillId="40" borderId="13" xfId="0" applyNumberFormat="1" applyFont="1" applyFill="1" applyBorder="1" applyAlignment="1">
      <alignment horizontal="right" vertical="top"/>
    </xf>
    <xf numFmtId="0" fontId="2" fillId="27" borderId="67" xfId="0" applyFont="1" applyFill="1" applyBorder="1" applyAlignment="1">
      <alignment horizontal="right" vertical="top"/>
    </xf>
    <xf numFmtId="166" fontId="2" fillId="27" borderId="110" xfId="0" applyNumberFormat="1" applyFont="1" applyFill="1" applyBorder="1" applyAlignment="1">
      <alignment horizontal="right" vertical="top"/>
    </xf>
    <xf numFmtId="0" fontId="2" fillId="25" borderId="50" xfId="0" applyFont="1" applyFill="1" applyBorder="1" applyAlignment="1">
      <alignment vertical="top"/>
    </xf>
    <xf numFmtId="0" fontId="2" fillId="39" borderId="0" xfId="87" applyFill="1" applyAlignment="1">
      <alignment horizontal="right" vertical="top"/>
    </xf>
    <xf numFmtId="0" fontId="2" fillId="39" borderId="13" xfId="87" applyFill="1" applyBorder="1" applyAlignment="1">
      <alignment horizontal="center" vertical="top"/>
    </xf>
    <xf numFmtId="0" fontId="2" fillId="25" borderId="13" xfId="0" applyFont="1" applyFill="1" applyBorder="1" applyAlignment="1">
      <alignment vertical="top"/>
    </xf>
    <xf numFmtId="164" fontId="2" fillId="40" borderId="67" xfId="0" applyNumberFormat="1" applyFont="1" applyFill="1" applyBorder="1" applyAlignment="1">
      <alignment horizontal="right" vertical="top"/>
    </xf>
    <xf numFmtId="171" fontId="2" fillId="27" borderId="13" xfId="0" applyNumberFormat="1" applyFont="1" applyFill="1" applyBorder="1" applyAlignment="1">
      <alignment horizontal="right" vertical="top"/>
    </xf>
    <xf numFmtId="166" fontId="2" fillId="27" borderId="111" xfId="0" applyNumberFormat="1" applyFont="1" applyFill="1" applyBorder="1" applyAlignment="1">
      <alignment horizontal="right" vertical="top"/>
    </xf>
    <xf numFmtId="0" fontId="2" fillId="25" borderId="125" xfId="0" applyFont="1" applyFill="1" applyBorder="1" applyAlignment="1">
      <alignment vertical="top"/>
    </xf>
    <xf numFmtId="0" fontId="2" fillId="39" borderId="13" xfId="87" applyFill="1" applyBorder="1" applyAlignment="1">
      <alignment vertical="top"/>
    </xf>
    <xf numFmtId="0" fontId="4" fillId="25" borderId="13" xfId="0" applyFont="1" applyFill="1" applyBorder="1" applyAlignment="1">
      <alignment horizontal="center" vertical="top"/>
    </xf>
    <xf numFmtId="0" fontId="2" fillId="25" borderId="67" xfId="0" applyFont="1" applyFill="1" applyBorder="1" applyAlignment="1">
      <alignment vertical="top"/>
    </xf>
    <xf numFmtId="0" fontId="2" fillId="25" borderId="26" xfId="0" applyFont="1" applyFill="1" applyBorder="1" applyAlignment="1">
      <alignment vertical="top"/>
    </xf>
    <xf numFmtId="0" fontId="2" fillId="41" borderId="13" xfId="0" applyFont="1" applyFill="1" applyBorder="1" applyAlignment="1">
      <alignment vertical="top"/>
    </xf>
    <xf numFmtId="0" fontId="2" fillId="41" borderId="26" xfId="0" applyFont="1" applyFill="1" applyBorder="1" applyAlignment="1">
      <alignment horizontal="center" vertical="top"/>
    </xf>
    <xf numFmtId="164" fontId="2" fillId="40" borderId="13" xfId="0" applyNumberFormat="1" applyFont="1" applyFill="1" applyBorder="1" applyAlignment="1">
      <alignment horizontal="right" vertical="top"/>
    </xf>
    <xf numFmtId="0" fontId="2" fillId="25" borderId="119" xfId="0" applyFont="1" applyFill="1" applyBorder="1" applyAlignment="1">
      <alignment vertical="top"/>
    </xf>
    <xf numFmtId="0" fontId="2" fillId="25" borderId="69" xfId="0" applyFont="1" applyFill="1" applyBorder="1" applyAlignment="1">
      <alignment vertical="top"/>
    </xf>
    <xf numFmtId="164" fontId="4" fillId="27" borderId="114" xfId="0" applyNumberFormat="1" applyFont="1" applyFill="1" applyBorder="1" applyAlignment="1">
      <alignment vertical="top"/>
    </xf>
    <xf numFmtId="0" fontId="2" fillId="27" borderId="96" xfId="0" applyFont="1" applyFill="1" applyBorder="1" applyAlignment="1">
      <alignment vertical="top"/>
    </xf>
    <xf numFmtId="3" fontId="4" fillId="27" borderId="114" xfId="0" applyNumberFormat="1" applyFont="1" applyFill="1" applyBorder="1" applyAlignment="1">
      <alignment vertical="top"/>
    </xf>
    <xf numFmtId="0" fontId="2" fillId="41" borderId="96" xfId="0" applyFont="1" applyFill="1" applyBorder="1" applyAlignment="1">
      <alignment vertical="top"/>
    </xf>
    <xf numFmtId="0" fontId="2" fillId="43" borderId="0" xfId="0" applyFont="1" applyFill="1" applyAlignment="1">
      <alignment horizontal="right" vertical="top"/>
    </xf>
    <xf numFmtId="0" fontId="2" fillId="43" borderId="0" xfId="0" applyFont="1" applyFill="1" applyAlignment="1">
      <alignment vertical="top"/>
    </xf>
    <xf numFmtId="0" fontId="4" fillId="43" borderId="12" xfId="0" applyFont="1" applyFill="1" applyBorder="1" applyAlignment="1">
      <alignment horizontal="center" vertical="top"/>
    </xf>
    <xf numFmtId="0" fontId="4" fillId="43" borderId="18" xfId="0" applyFont="1" applyFill="1" applyBorder="1" applyAlignment="1">
      <alignment horizontal="right" vertical="top"/>
    </xf>
    <xf numFmtId="0" fontId="4" fillId="43" borderId="88" xfId="0" applyFont="1" applyFill="1" applyBorder="1" applyAlignment="1">
      <alignment horizontal="right" vertical="top"/>
    </xf>
    <xf numFmtId="0" fontId="4" fillId="43" borderId="25" xfId="0" applyFont="1" applyFill="1" applyBorder="1" applyAlignment="1">
      <alignment vertical="top"/>
    </xf>
    <xf numFmtId="0" fontId="4" fillId="43" borderId="25" xfId="0" applyFont="1" applyFill="1" applyBorder="1" applyAlignment="1">
      <alignment horizontal="center" vertical="top"/>
    </xf>
    <xf numFmtId="3" fontId="4" fillId="40" borderId="75" xfId="0" applyNumberFormat="1" applyFont="1" applyFill="1" applyBorder="1" applyAlignment="1">
      <alignment vertical="top"/>
    </xf>
    <xf numFmtId="3" fontId="4" fillId="40" borderId="76" xfId="0" applyNumberFormat="1" applyFont="1" applyFill="1" applyBorder="1" applyAlignment="1">
      <alignment vertical="top"/>
    </xf>
    <xf numFmtId="3" fontId="4" fillId="40" borderId="77" xfId="0" applyNumberFormat="1" applyFont="1" applyFill="1" applyBorder="1" applyAlignment="1">
      <alignment vertical="top"/>
    </xf>
    <xf numFmtId="4" fontId="2" fillId="43" borderId="0" xfId="0" applyNumberFormat="1" applyFont="1" applyFill="1" applyAlignment="1">
      <alignment horizontal="right" vertical="top"/>
    </xf>
    <xf numFmtId="0" fontId="2" fillId="43" borderId="14" xfId="0" applyFont="1" applyFill="1" applyBorder="1" applyAlignment="1">
      <alignment vertical="top"/>
    </xf>
    <xf numFmtId="0" fontId="2" fillId="43" borderId="19" xfId="0" applyFont="1" applyFill="1" applyBorder="1" applyAlignment="1">
      <alignment horizontal="center" vertical="top"/>
    </xf>
    <xf numFmtId="0" fontId="2" fillId="43" borderId="16" xfId="0" applyFont="1" applyFill="1" applyBorder="1" applyAlignment="1">
      <alignment vertical="top"/>
    </xf>
    <xf numFmtId="0" fontId="2" fillId="43" borderId="23" xfId="0" applyFont="1" applyFill="1" applyBorder="1" applyAlignment="1">
      <alignment horizontal="center" vertical="top"/>
    </xf>
    <xf numFmtId="4" fontId="2" fillId="43" borderId="0" xfId="0" applyNumberFormat="1" applyFont="1" applyFill="1" applyAlignment="1">
      <alignment vertical="top"/>
    </xf>
    <xf numFmtId="0" fontId="2" fillId="43" borderId="25" xfId="0" applyFont="1" applyFill="1" applyBorder="1" applyAlignment="1">
      <alignment vertical="top"/>
    </xf>
    <xf numFmtId="0" fontId="2" fillId="43" borderId="26" xfId="0" applyFont="1" applyFill="1" applyBorder="1" applyAlignment="1">
      <alignment horizontal="center" vertical="top"/>
    </xf>
    <xf numFmtId="0" fontId="2" fillId="43" borderId="0" xfId="0" applyFont="1" applyFill="1" applyAlignment="1">
      <alignment horizontal="left" vertical="top"/>
    </xf>
    <xf numFmtId="3" fontId="2" fillId="43" borderId="0" xfId="0" applyNumberFormat="1" applyFont="1" applyFill="1" applyAlignment="1">
      <alignment vertical="top"/>
    </xf>
    <xf numFmtId="0" fontId="98" fillId="43" borderId="12" xfId="0" applyFont="1" applyFill="1" applyBorder="1" applyAlignment="1">
      <alignment vertical="top"/>
    </xf>
    <xf numFmtId="0" fontId="2" fillId="41" borderId="0" xfId="0" applyFont="1" applyFill="1" applyAlignment="1">
      <alignment horizontal="right" vertical="top"/>
    </xf>
    <xf numFmtId="0" fontId="2" fillId="0" borderId="0" xfId="0" applyFont="1" applyAlignment="1">
      <alignment vertical="top"/>
    </xf>
    <xf numFmtId="0" fontId="35" fillId="25" borderId="18" xfId="0" applyFont="1" applyFill="1" applyBorder="1" applyAlignment="1">
      <alignment vertical="top"/>
    </xf>
    <xf numFmtId="0" fontId="38" fillId="27" borderId="67" xfId="0" applyFont="1" applyFill="1" applyBorder="1" applyAlignment="1">
      <alignment vertical="top" shrinkToFit="1"/>
    </xf>
    <xf numFmtId="0" fontId="38" fillId="27" borderId="25" xfId="0" applyFont="1" applyFill="1" applyBorder="1" applyAlignment="1">
      <alignment vertical="top" shrinkToFit="1"/>
    </xf>
    <xf numFmtId="0" fontId="38" fillId="27" borderId="50" xfId="0" applyFont="1" applyFill="1" applyBorder="1" applyAlignment="1">
      <alignment vertical="top" shrinkToFit="1"/>
    </xf>
    <xf numFmtId="0" fontId="38" fillId="27" borderId="114" xfId="0" applyFont="1" applyFill="1" applyBorder="1"/>
    <xf numFmtId="0" fontId="38" fillId="27" borderId="96" xfId="0" applyFont="1" applyFill="1" applyBorder="1"/>
    <xf numFmtId="0" fontId="2" fillId="25" borderId="67" xfId="0" applyFont="1" applyFill="1" applyBorder="1" applyAlignment="1">
      <alignment horizontal="center" vertical="top"/>
    </xf>
    <xf numFmtId="14" fontId="2" fillId="40" borderId="13" xfId="0" applyNumberFormat="1" applyFont="1" applyFill="1" applyBorder="1" applyAlignment="1">
      <alignment horizontal="center" vertical="top"/>
    </xf>
    <xf numFmtId="164" fontId="2" fillId="40" borderId="67" xfId="0" applyNumberFormat="1" applyFont="1" applyFill="1" applyBorder="1" applyAlignment="1">
      <alignment horizontal="center" vertical="top"/>
    </xf>
    <xf numFmtId="2" fontId="2" fillId="27" borderId="110" xfId="0" applyNumberFormat="1" applyFont="1" applyFill="1" applyBorder="1" applyAlignment="1">
      <alignment horizontal="right" vertical="top"/>
    </xf>
    <xf numFmtId="2" fontId="2" fillId="27" borderId="111" xfId="0" applyNumberFormat="1" applyFont="1" applyFill="1" applyBorder="1" applyAlignment="1">
      <alignment horizontal="right" vertical="top"/>
    </xf>
    <xf numFmtId="164" fontId="2" fillId="27" borderId="13" xfId="0" applyNumberFormat="1" applyFont="1" applyFill="1" applyBorder="1" applyAlignment="1">
      <alignment vertical="top"/>
    </xf>
    <xf numFmtId="0" fontId="2" fillId="25" borderId="103" xfId="0" applyFont="1" applyFill="1" applyBorder="1" applyAlignment="1">
      <alignment vertical="top"/>
    </xf>
    <xf numFmtId="4" fontId="4" fillId="40" borderId="75" xfId="0" applyNumberFormat="1" applyFont="1" applyFill="1" applyBorder="1" applyAlignment="1">
      <alignment vertical="top"/>
    </xf>
    <xf numFmtId="4" fontId="4" fillId="40" borderId="76" xfId="0" applyNumberFormat="1" applyFont="1" applyFill="1" applyBorder="1" applyAlignment="1">
      <alignment vertical="top"/>
    </xf>
    <xf numFmtId="4" fontId="4" fillId="40" borderId="77" xfId="0" applyNumberFormat="1" applyFont="1" applyFill="1" applyBorder="1" applyAlignment="1">
      <alignment vertical="top"/>
    </xf>
    <xf numFmtId="0" fontId="2" fillId="43" borderId="25" xfId="0" applyFont="1" applyFill="1" applyBorder="1" applyAlignment="1">
      <alignment horizontal="center" vertical="top"/>
    </xf>
    <xf numFmtId="4" fontId="2" fillId="40" borderId="71" xfId="0" applyNumberFormat="1" applyFont="1" applyFill="1" applyBorder="1" applyAlignment="1">
      <alignment vertical="top"/>
    </xf>
    <xf numFmtId="0" fontId="4" fillId="43" borderId="24" xfId="0" applyFont="1" applyFill="1" applyBorder="1" applyAlignment="1">
      <alignment horizontal="right" vertical="top"/>
    </xf>
    <xf numFmtId="0" fontId="4" fillId="43" borderId="11" xfId="0" applyFont="1" applyFill="1" applyBorder="1" applyAlignment="1">
      <alignment horizontal="right" vertical="top"/>
    </xf>
    <xf numFmtId="0" fontId="41" fillId="25" borderId="0" xfId="0" applyFont="1" applyFill="1" applyAlignment="1">
      <alignment vertical="top"/>
    </xf>
    <xf numFmtId="0" fontId="4" fillId="0" borderId="0" xfId="0" applyFont="1" applyAlignment="1">
      <alignment vertical="top"/>
    </xf>
    <xf numFmtId="171" fontId="2" fillId="25" borderId="13" xfId="0" applyNumberFormat="1" applyFont="1" applyFill="1" applyBorder="1" applyAlignment="1">
      <alignment vertical="top"/>
    </xf>
    <xf numFmtId="0" fontId="4" fillId="25" borderId="24" xfId="0" applyFont="1" applyFill="1" applyBorder="1" applyAlignment="1">
      <alignment vertical="top"/>
    </xf>
    <xf numFmtId="0" fontId="4" fillId="25" borderId="11" xfId="0" applyFont="1" applyFill="1" applyBorder="1" applyAlignment="1">
      <alignment horizontal="center" vertical="top"/>
    </xf>
    <xf numFmtId="0" fontId="2" fillId="25" borderId="39" xfId="0" applyFont="1" applyFill="1" applyBorder="1" applyAlignment="1">
      <alignment horizontal="center" vertical="top"/>
    </xf>
    <xf numFmtId="0" fontId="2" fillId="25" borderId="10" xfId="0" applyFont="1" applyFill="1" applyBorder="1" applyAlignment="1">
      <alignment vertical="top"/>
    </xf>
    <xf numFmtId="164" fontId="2" fillId="27" borderId="60" xfId="0" applyNumberFormat="1" applyFont="1" applyFill="1" applyBorder="1" applyAlignment="1">
      <alignment vertical="top"/>
    </xf>
    <xf numFmtId="0" fontId="2" fillId="25" borderId="71" xfId="0" applyFont="1" applyFill="1" applyBorder="1" applyAlignment="1">
      <alignment vertical="top"/>
    </xf>
    <xf numFmtId="164" fontId="2" fillId="27" borderId="10" xfId="0" applyNumberFormat="1" applyFont="1" applyFill="1" applyBorder="1" applyAlignment="1">
      <alignment vertical="top"/>
    </xf>
    <xf numFmtId="0" fontId="2" fillId="25" borderId="47" xfId="0" applyFont="1" applyFill="1" applyBorder="1" applyAlignment="1">
      <alignment horizontal="center" vertical="top"/>
    </xf>
    <xf numFmtId="0" fontId="2" fillId="25" borderId="60" xfId="0" applyFont="1" applyFill="1" applyBorder="1" applyAlignment="1">
      <alignment vertical="top"/>
    </xf>
    <xf numFmtId="0" fontId="2" fillId="25" borderId="11" xfId="0" applyFont="1" applyFill="1" applyBorder="1" applyAlignment="1">
      <alignment vertical="top"/>
    </xf>
    <xf numFmtId="164" fontId="4" fillId="27" borderId="11" xfId="0" applyNumberFormat="1" applyFont="1" applyFill="1" applyBorder="1" applyAlignment="1">
      <alignment vertical="top"/>
    </xf>
    <xf numFmtId="0" fontId="103" fillId="25" borderId="0" xfId="0" applyFont="1" applyFill="1" applyAlignment="1">
      <alignment horizontal="right" vertical="center"/>
    </xf>
    <xf numFmtId="0" fontId="0" fillId="0" borderId="26" xfId="0" applyBorder="1" applyAlignment="1">
      <alignment vertical="top"/>
    </xf>
    <xf numFmtId="171" fontId="2" fillId="40" borderId="13" xfId="0" applyNumberFormat="1" applyFont="1" applyFill="1" applyBorder="1" applyAlignment="1">
      <alignment vertical="top"/>
    </xf>
    <xf numFmtId="171" fontId="2" fillId="27" borderId="13" xfId="0" applyNumberFormat="1" applyFont="1" applyFill="1" applyBorder="1" applyAlignment="1">
      <alignment vertical="top"/>
    </xf>
    <xf numFmtId="0" fontId="2" fillId="41" borderId="148" xfId="87" applyFill="1" applyBorder="1" applyAlignment="1">
      <alignment vertical="top"/>
    </xf>
    <xf numFmtId="0" fontId="2" fillId="25" borderId="0" xfId="0" applyFont="1" applyFill="1" applyAlignment="1">
      <alignment horizontal="right" vertical="top" indent="1"/>
    </xf>
    <xf numFmtId="0" fontId="4" fillId="25" borderId="18" xfId="0" applyFont="1" applyFill="1" applyBorder="1" applyAlignment="1">
      <alignment horizontal="right" indent="1"/>
    </xf>
    <xf numFmtId="164" fontId="2" fillId="25" borderId="19" xfId="0" applyNumberFormat="1" applyFont="1" applyFill="1" applyBorder="1" applyAlignment="1">
      <alignment horizontal="right" vertical="top" indent="1"/>
    </xf>
    <xf numFmtId="164" fontId="2" fillId="25" borderId="20" xfId="0" applyNumberFormat="1" applyFont="1" applyFill="1" applyBorder="1" applyAlignment="1">
      <alignment horizontal="right" vertical="top" indent="1"/>
    </xf>
    <xf numFmtId="164" fontId="2" fillId="25" borderId="23" xfId="0" applyNumberFormat="1" applyFont="1" applyFill="1" applyBorder="1" applyAlignment="1">
      <alignment horizontal="right" vertical="top" indent="1"/>
    </xf>
    <xf numFmtId="0" fontId="4" fillId="25" borderId="24" xfId="0" applyFont="1" applyFill="1" applyBorder="1" applyAlignment="1">
      <alignment horizontal="right"/>
    </xf>
    <xf numFmtId="164" fontId="2" fillId="25" borderId="22" xfId="0" applyNumberFormat="1" applyFont="1" applyFill="1" applyBorder="1" applyAlignment="1">
      <alignment horizontal="right" vertical="top" indent="1"/>
    </xf>
    <xf numFmtId="0" fontId="37" fillId="24" borderId="0" xfId="0" applyFont="1" applyFill="1" applyAlignment="1">
      <alignment vertical="top"/>
    </xf>
    <xf numFmtId="0" fontId="2" fillId="39" borderId="0" xfId="0" applyFont="1" applyFill="1"/>
    <xf numFmtId="0" fontId="2" fillId="39" borderId="10" xfId="0" applyFont="1" applyFill="1" applyBorder="1" applyAlignment="1">
      <alignment horizontal="center" vertical="top"/>
    </xf>
    <xf numFmtId="0" fontId="2" fillId="39" borderId="11" xfId="0" applyFont="1" applyFill="1" applyBorder="1" applyAlignment="1">
      <alignment horizontal="center"/>
    </xf>
    <xf numFmtId="0" fontId="37" fillId="25" borderId="0" xfId="0" applyFont="1" applyFill="1" applyAlignment="1">
      <alignment vertical="top"/>
    </xf>
    <xf numFmtId="0" fontId="37" fillId="24" borderId="0" xfId="0" applyFont="1" applyFill="1" applyAlignment="1">
      <alignment vertical="center"/>
    </xf>
    <xf numFmtId="0" fontId="37" fillId="25" borderId="0" xfId="0" applyFont="1" applyFill="1" applyAlignment="1">
      <alignment vertical="center"/>
    </xf>
    <xf numFmtId="0" fontId="4" fillId="25" borderId="0" xfId="0" applyFont="1" applyFill="1" applyAlignment="1">
      <alignment horizontal="center" vertical="center"/>
    </xf>
    <xf numFmtId="0" fontId="2" fillId="25" borderId="0" xfId="0" applyFont="1" applyFill="1" applyAlignment="1">
      <alignment vertical="center"/>
    </xf>
    <xf numFmtId="0" fontId="2" fillId="39" borderId="0" xfId="0" applyFont="1" applyFill="1" applyAlignment="1">
      <alignment vertical="center"/>
    </xf>
    <xf numFmtId="0" fontId="4" fillId="39" borderId="74" xfId="0" applyFont="1" applyFill="1" applyBorder="1" applyAlignment="1">
      <alignment horizontal="center" vertical="center"/>
    </xf>
    <xf numFmtId="0" fontId="37" fillId="39" borderId="0" xfId="0" applyFont="1" applyFill="1" applyAlignment="1">
      <alignment vertical="center"/>
    </xf>
    <xf numFmtId="0" fontId="37" fillId="41" borderId="0" xfId="0" applyFont="1" applyFill="1" applyAlignment="1">
      <alignment vertical="center"/>
    </xf>
    <xf numFmtId="0" fontId="37" fillId="25" borderId="57" xfId="0" applyFont="1" applyFill="1" applyBorder="1" applyAlignment="1">
      <alignment vertical="top"/>
    </xf>
    <xf numFmtId="0" fontId="37" fillId="25" borderId="28" xfId="0" applyFont="1" applyFill="1" applyBorder="1" applyAlignment="1">
      <alignment vertical="top"/>
    </xf>
    <xf numFmtId="0" fontId="37" fillId="25" borderId="30" xfId="0" applyFont="1" applyFill="1" applyBorder="1" applyAlignment="1">
      <alignment vertical="top"/>
    </xf>
    <xf numFmtId="0" fontId="78" fillId="25" borderId="0" xfId="0" applyFont="1" applyFill="1" applyAlignment="1">
      <alignment vertical="top"/>
    </xf>
    <xf numFmtId="0" fontId="2" fillId="39" borderId="0" xfId="0" applyFont="1" applyFill="1" applyAlignment="1">
      <alignment vertical="top"/>
    </xf>
    <xf numFmtId="0" fontId="37" fillId="25" borderId="66" xfId="0" applyFont="1" applyFill="1" applyBorder="1" applyAlignment="1">
      <alignment vertical="top"/>
    </xf>
    <xf numFmtId="0" fontId="37" fillId="25" borderId="38" xfId="0" applyFont="1" applyFill="1" applyBorder="1" applyAlignment="1">
      <alignment vertical="top"/>
    </xf>
    <xf numFmtId="0" fontId="0" fillId="25" borderId="38" xfId="0" applyFill="1" applyBorder="1"/>
    <xf numFmtId="0" fontId="4" fillId="39" borderId="74" xfId="0" quotePrefix="1" applyFont="1" applyFill="1" applyBorder="1" applyAlignment="1">
      <alignment horizontal="center"/>
    </xf>
    <xf numFmtId="0" fontId="37" fillId="39" borderId="13" xfId="0" applyFont="1" applyFill="1" applyBorder="1" applyAlignment="1">
      <alignment vertical="top"/>
    </xf>
    <xf numFmtId="0" fontId="41" fillId="41" borderId="139" xfId="0" quotePrefix="1" applyFont="1" applyFill="1" applyBorder="1" applyAlignment="1">
      <alignment horizontal="right" vertical="top" wrapText="1"/>
    </xf>
    <xf numFmtId="0" fontId="41" fillId="41" borderId="17" xfId="0" quotePrefix="1" applyFont="1" applyFill="1" applyBorder="1" applyAlignment="1">
      <alignment horizontal="right" vertical="top" wrapText="1"/>
    </xf>
    <xf numFmtId="0" fontId="10" fillId="41" borderId="17" xfId="0" applyFont="1" applyFill="1" applyBorder="1" applyAlignment="1">
      <alignment horizontal="left" vertical="top" wrapText="1"/>
    </xf>
    <xf numFmtId="0" fontId="10" fillId="41" borderId="147" xfId="0" applyFont="1" applyFill="1" applyBorder="1" applyAlignment="1">
      <alignment horizontal="left" vertical="top" wrapText="1"/>
    </xf>
    <xf numFmtId="0" fontId="37" fillId="25" borderId="65" xfId="0" applyFont="1" applyFill="1" applyBorder="1" applyAlignment="1">
      <alignment vertical="top"/>
    </xf>
    <xf numFmtId="0" fontId="37" fillId="25" borderId="39" xfId="0" applyFont="1" applyFill="1" applyBorder="1" applyAlignment="1">
      <alignment vertical="top"/>
    </xf>
    <xf numFmtId="0" fontId="37" fillId="25" borderId="40" xfId="0" applyFont="1" applyFill="1" applyBorder="1" applyAlignment="1">
      <alignment vertical="top"/>
    </xf>
    <xf numFmtId="0" fontId="8" fillId="25" borderId="0" xfId="0" applyFont="1" applyFill="1" applyAlignment="1">
      <alignment horizontal="center" vertical="top"/>
    </xf>
    <xf numFmtId="0" fontId="37" fillId="0" borderId="0" xfId="0" applyFont="1" applyAlignment="1">
      <alignment vertical="top"/>
    </xf>
    <xf numFmtId="0" fontId="4" fillId="25" borderId="0" xfId="0" applyFont="1" applyFill="1" applyAlignment="1">
      <alignment vertical="top" wrapText="1"/>
    </xf>
    <xf numFmtId="0" fontId="2" fillId="39" borderId="13" xfId="0" applyFont="1" applyFill="1" applyBorder="1" applyAlignment="1">
      <alignment vertical="top"/>
    </xf>
    <xf numFmtId="0" fontId="8" fillId="25" borderId="0" xfId="0" applyFont="1" applyFill="1" applyAlignment="1">
      <alignment vertical="top"/>
    </xf>
    <xf numFmtId="0" fontId="2" fillId="24" borderId="0" xfId="0" applyFont="1" applyFill="1" applyAlignment="1">
      <alignment vertical="top"/>
    </xf>
    <xf numFmtId="14" fontId="80" fillId="52" borderId="13" xfId="0" applyNumberFormat="1" applyFont="1" applyFill="1" applyBorder="1" applyAlignment="1">
      <alignment horizontal="left" vertical="top"/>
    </xf>
    <xf numFmtId="14" fontId="2" fillId="40" borderId="13" xfId="0" applyNumberFormat="1" applyFont="1" applyFill="1" applyBorder="1" applyAlignment="1">
      <alignment horizontal="left" vertical="top"/>
    </xf>
    <xf numFmtId="0" fontId="2" fillId="39" borderId="0" xfId="0" applyFont="1" applyFill="1" applyAlignment="1">
      <alignment horizontal="right" vertical="top"/>
    </xf>
    <xf numFmtId="0" fontId="2" fillId="25" borderId="0" xfId="0" applyFont="1" applyFill="1" applyAlignment="1">
      <alignment horizontal="right" indent="1"/>
    </xf>
    <xf numFmtId="0" fontId="2" fillId="25" borderId="13" xfId="0" applyFont="1" applyFill="1" applyBorder="1" applyAlignment="1">
      <alignment horizontal="left" vertical="top" wrapText="1"/>
    </xf>
    <xf numFmtId="0" fontId="0" fillId="25" borderId="19" xfId="0" applyFill="1" applyBorder="1" applyAlignment="1">
      <alignment horizontal="center"/>
    </xf>
    <xf numFmtId="0" fontId="0" fillId="25" borderId="20" xfId="0" applyFill="1" applyBorder="1" applyAlignment="1">
      <alignment horizontal="center"/>
    </xf>
    <xf numFmtId="0" fontId="0" fillId="25" borderId="23" xfId="0" applyFill="1" applyBorder="1" applyAlignment="1">
      <alignment horizontal="center"/>
    </xf>
    <xf numFmtId="0" fontId="55" fillId="25" borderId="0" xfId="0" applyFont="1" applyFill="1" applyAlignment="1">
      <alignment vertical="top"/>
    </xf>
    <xf numFmtId="0" fontId="8" fillId="25" borderId="24" xfId="0" applyFont="1" applyFill="1" applyBorder="1" applyAlignment="1">
      <alignment vertical="top"/>
    </xf>
    <xf numFmtId="0" fontId="2" fillId="25" borderId="12" xfId="0" applyFont="1" applyFill="1" applyBorder="1"/>
    <xf numFmtId="0" fontId="2" fillId="25" borderId="12" xfId="0" applyFont="1" applyFill="1" applyBorder="1" applyAlignment="1">
      <alignment horizontal="left" vertical="top"/>
    </xf>
    <xf numFmtId="0" fontId="37" fillId="25" borderId="12" xfId="0" applyFont="1" applyFill="1" applyBorder="1" applyAlignment="1">
      <alignment vertical="top"/>
    </xf>
    <xf numFmtId="0" fontId="8" fillId="25" borderId="19" xfId="0" applyFont="1" applyFill="1" applyBorder="1" applyAlignment="1">
      <alignment horizontal="right" vertical="top" indent="1"/>
    </xf>
    <xf numFmtId="0" fontId="8" fillId="25" borderId="20" xfId="0" applyFont="1" applyFill="1" applyBorder="1" applyAlignment="1">
      <alignment horizontal="right" vertical="top" indent="1"/>
    </xf>
    <xf numFmtId="0" fontId="8" fillId="25" borderId="23" xfId="0" applyFont="1" applyFill="1" applyBorder="1" applyAlignment="1">
      <alignment horizontal="right" vertical="top" indent="1"/>
    </xf>
    <xf numFmtId="0" fontId="37" fillId="39" borderId="73" xfId="0" applyFont="1" applyFill="1" applyBorder="1" applyAlignment="1">
      <alignment vertical="top"/>
    </xf>
    <xf numFmtId="0" fontId="37" fillId="39" borderId="95" xfId="0" applyFont="1" applyFill="1" applyBorder="1" applyAlignment="1">
      <alignment vertical="top"/>
    </xf>
    <xf numFmtId="0" fontId="37" fillId="39" borderId="68" xfId="0" applyFont="1" applyFill="1" applyBorder="1" applyAlignment="1">
      <alignment vertical="top"/>
    </xf>
    <xf numFmtId="0" fontId="2" fillId="25" borderId="18" xfId="0" applyFont="1" applyFill="1" applyBorder="1" applyAlignment="1">
      <alignment horizontal="left" vertical="top" wrapText="1"/>
    </xf>
    <xf numFmtId="0" fontId="2" fillId="39" borderId="0" xfId="0" applyFont="1" applyFill="1" applyAlignment="1">
      <alignment horizontal="center" vertical="top"/>
    </xf>
    <xf numFmtId="0" fontId="2" fillId="25" borderId="38" xfId="0" applyFont="1" applyFill="1" applyBorder="1"/>
    <xf numFmtId="0" fontId="41" fillId="25" borderId="0" xfId="0" quotePrefix="1" applyFont="1" applyFill="1" applyAlignment="1">
      <alignment horizontal="right" vertical="top"/>
    </xf>
    <xf numFmtId="0" fontId="41" fillId="25" borderId="139" xfId="0" quotePrefix="1" applyFont="1" applyFill="1" applyBorder="1" applyAlignment="1">
      <alignment horizontal="right" vertical="top"/>
    </xf>
    <xf numFmtId="0" fontId="4" fillId="39" borderId="0" xfId="0" applyFont="1" applyFill="1" applyAlignment="1">
      <alignment horizontal="left" vertical="top"/>
    </xf>
    <xf numFmtId="0" fontId="10" fillId="25" borderId="17" xfId="0" quotePrefix="1" applyFont="1" applyFill="1" applyBorder="1" applyAlignment="1">
      <alignment horizontal="right" vertical="top"/>
    </xf>
    <xf numFmtId="0" fontId="4" fillId="25" borderId="38" xfId="0" applyFont="1" applyFill="1" applyBorder="1" applyAlignment="1">
      <alignment horizontal="center"/>
    </xf>
    <xf numFmtId="0" fontId="4" fillId="25" borderId="44" xfId="0" applyFont="1" applyFill="1" applyBorder="1" applyAlignment="1">
      <alignment horizontal="right" vertical="top"/>
    </xf>
    <xf numFmtId="0" fontId="4" fillId="25" borderId="18" xfId="0" applyFont="1" applyFill="1" applyBorder="1" applyAlignment="1">
      <alignment horizontal="right" vertical="top"/>
    </xf>
    <xf numFmtId="0" fontId="4" fillId="25" borderId="0" xfId="0" applyFont="1" applyFill="1"/>
    <xf numFmtId="0" fontId="0" fillId="51" borderId="58" xfId="0" applyFill="1" applyBorder="1"/>
    <xf numFmtId="0" fontId="0" fillId="41" borderId="49" xfId="0" applyFill="1" applyBorder="1"/>
    <xf numFmtId="0" fontId="0" fillId="41" borderId="13" xfId="0" applyFill="1" applyBorder="1"/>
    <xf numFmtId="0" fontId="2" fillId="40" borderId="58" xfId="0" applyFont="1" applyFill="1" applyBorder="1"/>
    <xf numFmtId="0" fontId="2" fillId="40" borderId="49" xfId="0" applyFont="1" applyFill="1" applyBorder="1"/>
    <xf numFmtId="0" fontId="2" fillId="40" borderId="13" xfId="0" applyFont="1" applyFill="1" applyBorder="1"/>
    <xf numFmtId="0" fontId="41" fillId="25" borderId="15" xfId="0" quotePrefix="1" applyFont="1" applyFill="1" applyBorder="1" applyAlignment="1">
      <alignment horizontal="right" vertical="top"/>
    </xf>
    <xf numFmtId="0" fontId="0" fillId="51" borderId="95" xfId="0" applyFill="1" applyBorder="1"/>
    <xf numFmtId="0" fontId="2" fillId="40" borderId="95" xfId="0" applyFont="1" applyFill="1" applyBorder="1"/>
    <xf numFmtId="0" fontId="10" fillId="25" borderId="0" xfId="0" applyFont="1" applyFill="1" applyAlignment="1">
      <alignment horizontal="left" vertical="top" wrapText="1"/>
    </xf>
    <xf numFmtId="0" fontId="2" fillId="24" borderId="0" xfId="0" applyFont="1" applyFill="1"/>
    <xf numFmtId="0" fontId="4" fillId="0" borderId="0" xfId="0" applyFont="1" applyAlignment="1">
      <alignment horizontal="left" vertical="top" wrapText="1"/>
    </xf>
    <xf numFmtId="0" fontId="2" fillId="39" borderId="0" xfId="0" applyFont="1" applyFill="1" applyAlignment="1">
      <alignment horizontal="left" vertical="top"/>
    </xf>
    <xf numFmtId="0" fontId="37" fillId="25" borderId="0" xfId="0" applyFont="1" applyFill="1" applyAlignment="1">
      <alignment horizontal="center" vertical="top"/>
    </xf>
    <xf numFmtId="164" fontId="37" fillId="25" borderId="19" xfId="0" applyNumberFormat="1" applyFont="1" applyFill="1" applyBorder="1" applyAlignment="1">
      <alignment horizontal="right" vertical="top" indent="1"/>
    </xf>
    <xf numFmtId="0" fontId="37" fillId="39" borderId="0" xfId="0" applyFont="1" applyFill="1" applyAlignment="1">
      <alignment horizontal="center" vertical="top"/>
    </xf>
    <xf numFmtId="0" fontId="37" fillId="39" borderId="73" xfId="0" applyFont="1" applyFill="1" applyBorder="1" applyAlignment="1">
      <alignment horizontal="center" vertical="top"/>
    </xf>
    <xf numFmtId="164" fontId="37" fillId="25" borderId="20" xfId="0" applyNumberFormat="1" applyFont="1" applyFill="1" applyBorder="1" applyAlignment="1">
      <alignment horizontal="right" vertical="top" indent="1"/>
    </xf>
    <xf numFmtId="0" fontId="37" fillId="39" borderId="95" xfId="0" applyFont="1" applyFill="1" applyBorder="1" applyAlignment="1">
      <alignment horizontal="center" vertical="top"/>
    </xf>
    <xf numFmtId="164" fontId="37" fillId="25" borderId="23" xfId="0" applyNumberFormat="1" applyFont="1" applyFill="1" applyBorder="1" applyAlignment="1">
      <alignment horizontal="right" vertical="top" indent="1"/>
    </xf>
    <xf numFmtId="0" fontId="37" fillId="39" borderId="68" xfId="0" applyFont="1" applyFill="1" applyBorder="1" applyAlignment="1">
      <alignment horizontal="center" vertical="top"/>
    </xf>
    <xf numFmtId="0" fontId="37" fillId="25" borderId="21" xfId="0" applyFont="1" applyFill="1" applyBorder="1" applyAlignment="1">
      <alignment vertical="top"/>
    </xf>
    <xf numFmtId="0" fontId="2" fillId="39" borderId="0" xfId="0" applyFont="1" applyFill="1" applyAlignment="1">
      <alignment horizontal="center"/>
    </xf>
    <xf numFmtId="164" fontId="37" fillId="25" borderId="22" xfId="0" applyNumberFormat="1" applyFont="1" applyFill="1" applyBorder="1" applyAlignment="1">
      <alignment horizontal="right" vertical="top" indent="1"/>
    </xf>
    <xf numFmtId="0" fontId="4" fillId="0" borderId="57" xfId="0" applyFont="1" applyBorder="1" applyAlignment="1">
      <alignment vertical="top"/>
    </xf>
    <xf numFmtId="0" fontId="37" fillId="0" borderId="28" xfId="0" applyFont="1" applyBorder="1" applyAlignment="1">
      <alignment vertical="top"/>
    </xf>
    <xf numFmtId="0" fontId="37" fillId="0" borderId="30" xfId="0" applyFont="1" applyBorder="1" applyAlignment="1">
      <alignment vertical="top"/>
    </xf>
    <xf numFmtId="0" fontId="37" fillId="0" borderId="49" xfId="0" applyFont="1" applyBorder="1" applyAlignment="1">
      <alignment vertical="top"/>
    </xf>
    <xf numFmtId="0" fontId="37" fillId="0" borderId="13" xfId="0" applyFont="1" applyBorder="1" applyAlignment="1">
      <alignment vertical="top"/>
    </xf>
    <xf numFmtId="0" fontId="37" fillId="0" borderId="13" xfId="0" applyFont="1" applyBorder="1" applyAlignment="1">
      <alignment horizontal="center" vertical="top"/>
    </xf>
    <xf numFmtId="0" fontId="37" fillId="0" borderId="58" xfId="0" applyFont="1" applyBorder="1" applyAlignment="1">
      <alignment horizontal="center" vertical="top"/>
    </xf>
    <xf numFmtId="0" fontId="2" fillId="0" borderId="49" xfId="0" applyFont="1" applyBorder="1" applyAlignment="1">
      <alignment vertical="top"/>
    </xf>
    <xf numFmtId="0" fontId="2" fillId="0" borderId="13" xfId="0" applyFont="1" applyBorder="1" applyAlignment="1">
      <alignment vertical="top"/>
    </xf>
    <xf numFmtId="0" fontId="2" fillId="0" borderId="13" xfId="0" applyFont="1" applyBorder="1" applyAlignment="1">
      <alignment horizontal="center" vertical="top"/>
    </xf>
    <xf numFmtId="0" fontId="2" fillId="0" borderId="58" xfId="0" applyFont="1" applyBorder="1" applyAlignment="1">
      <alignment horizontal="center" vertical="top"/>
    </xf>
    <xf numFmtId="0" fontId="2" fillId="34" borderId="13" xfId="0" applyFont="1" applyFill="1" applyBorder="1" applyAlignment="1">
      <alignment vertical="top"/>
    </xf>
    <xf numFmtId="0" fontId="2" fillId="34" borderId="58" xfId="0" applyFont="1" applyFill="1" applyBorder="1" applyAlignment="1">
      <alignment vertical="top"/>
    </xf>
    <xf numFmtId="0" fontId="2" fillId="0" borderId="59" xfId="0" applyFont="1" applyBorder="1" applyAlignment="1">
      <alignment vertical="top"/>
    </xf>
    <xf numFmtId="0" fontId="2" fillId="0" borderId="60" xfId="0" applyFont="1" applyBorder="1" applyAlignment="1">
      <alignment vertical="top"/>
    </xf>
    <xf numFmtId="0" fontId="2" fillId="34" borderId="60" xfId="0" applyFont="1" applyFill="1" applyBorder="1" applyAlignment="1">
      <alignment vertical="top"/>
    </xf>
    <xf numFmtId="0" fontId="2" fillId="34" borderId="61" xfId="0" applyFont="1" applyFill="1" applyBorder="1" applyAlignment="1">
      <alignment vertical="top"/>
    </xf>
    <xf numFmtId="0" fontId="37" fillId="27" borderId="74" xfId="0" applyFont="1" applyFill="1" applyBorder="1" applyAlignment="1">
      <alignment vertical="top"/>
    </xf>
    <xf numFmtId="14" fontId="37" fillId="0" borderId="0" xfId="0" applyNumberFormat="1" applyFont="1" applyAlignment="1">
      <alignment vertical="top"/>
    </xf>
    <xf numFmtId="0" fontId="37" fillId="0" borderId="43" xfId="0" applyFont="1" applyBorder="1" applyAlignment="1">
      <alignment vertical="top"/>
    </xf>
    <xf numFmtId="0" fontId="37" fillId="0" borderId="41" xfId="0" applyFont="1" applyBorder="1" applyAlignment="1">
      <alignment vertical="top"/>
    </xf>
    <xf numFmtId="0" fontId="37" fillId="0" borderId="46" xfId="0" applyFont="1" applyBorder="1" applyAlignment="1">
      <alignment horizontal="center" vertical="top"/>
    </xf>
    <xf numFmtId="0" fontId="2" fillId="0" borderId="71" xfId="0" applyFont="1" applyBorder="1" applyAlignment="1">
      <alignment vertical="top"/>
    </xf>
    <xf numFmtId="0" fontId="37" fillId="0" borderId="71" xfId="0" applyFont="1" applyBorder="1" applyAlignment="1">
      <alignment vertical="top"/>
    </xf>
    <xf numFmtId="0" fontId="37" fillId="0" borderId="46" xfId="0" applyFont="1" applyBorder="1" applyAlignment="1">
      <alignment vertical="top"/>
    </xf>
    <xf numFmtId="0" fontId="37" fillId="0" borderId="42" xfId="0" applyFont="1" applyBorder="1" applyAlignment="1">
      <alignment vertical="top"/>
    </xf>
    <xf numFmtId="0" fontId="37" fillId="0" borderId="25" xfId="0" applyFont="1" applyBorder="1" applyAlignment="1">
      <alignment vertical="top"/>
    </xf>
    <xf numFmtId="0" fontId="37" fillId="0" borderId="26" xfId="0" applyFont="1" applyBorder="1" applyAlignment="1">
      <alignment horizontal="center" vertical="top"/>
    </xf>
    <xf numFmtId="0" fontId="48" fillId="40" borderId="25" xfId="0" applyFont="1" applyFill="1" applyBorder="1" applyAlignment="1">
      <alignment vertical="top"/>
    </xf>
    <xf numFmtId="0" fontId="37" fillId="0" borderId="26" xfId="0" applyFont="1" applyBorder="1" applyAlignment="1">
      <alignment vertical="top"/>
    </xf>
    <xf numFmtId="0" fontId="37" fillId="0" borderId="50" xfId="0" applyFont="1" applyBorder="1" applyAlignment="1">
      <alignment vertical="top"/>
    </xf>
    <xf numFmtId="164" fontId="37" fillId="0" borderId="44" xfId="0" applyNumberFormat="1" applyFont="1" applyBorder="1" applyAlignment="1">
      <alignment vertical="top"/>
    </xf>
    <xf numFmtId="0" fontId="37" fillId="0" borderId="0" xfId="0" applyFont="1" applyAlignment="1">
      <alignment horizontal="center" vertical="top"/>
    </xf>
    <xf numFmtId="0" fontId="37" fillId="0" borderId="18" xfId="0" applyFont="1" applyBorder="1" applyAlignment="1">
      <alignment horizontal="center" vertical="top"/>
    </xf>
    <xf numFmtId="0" fontId="37" fillId="40" borderId="0" xfId="0" applyFont="1" applyFill="1" applyAlignment="1">
      <alignment vertical="top"/>
    </xf>
    <xf numFmtId="0" fontId="37" fillId="40" borderId="88" xfId="0" applyFont="1" applyFill="1" applyBorder="1" applyAlignment="1">
      <alignment vertical="top"/>
    </xf>
    <xf numFmtId="0" fontId="37" fillId="0" borderId="18" xfId="0" applyFont="1" applyBorder="1" applyAlignment="1">
      <alignment vertical="top"/>
    </xf>
    <xf numFmtId="0" fontId="37" fillId="0" borderId="38" xfId="0" applyFont="1" applyBorder="1" applyAlignment="1">
      <alignment vertical="top"/>
    </xf>
    <xf numFmtId="164" fontId="37" fillId="0" borderId="45" xfId="0" applyNumberFormat="1" applyFont="1" applyBorder="1" applyAlignment="1">
      <alignment vertical="top"/>
    </xf>
    <xf numFmtId="0" fontId="37" fillId="0" borderId="39" xfId="0" applyFont="1" applyBorder="1" applyAlignment="1">
      <alignment horizontal="center" vertical="top"/>
    </xf>
    <xf numFmtId="0" fontId="37" fillId="0" borderId="47" xfId="0" applyFont="1" applyBorder="1" applyAlignment="1">
      <alignment horizontal="center" vertical="top"/>
    </xf>
    <xf numFmtId="0" fontId="37" fillId="40" borderId="39" xfId="0" applyFont="1" applyFill="1" applyBorder="1" applyAlignment="1">
      <alignment vertical="top"/>
    </xf>
    <xf numFmtId="0" fontId="37" fillId="0" borderId="39" xfId="0" applyFont="1" applyBorder="1" applyAlignment="1">
      <alignment vertical="top"/>
    </xf>
    <xf numFmtId="0" fontId="37" fillId="40" borderId="118" xfId="0" applyFont="1" applyFill="1" applyBorder="1" applyAlignment="1">
      <alignment vertical="top"/>
    </xf>
    <xf numFmtId="0" fontId="37" fillId="0" borderId="47" xfId="0" applyFont="1" applyBorder="1" applyAlignment="1">
      <alignment vertical="top"/>
    </xf>
    <xf numFmtId="0" fontId="37" fillId="0" borderId="40" xfId="0" applyFont="1" applyBorder="1" applyAlignment="1">
      <alignment vertical="top"/>
    </xf>
    <xf numFmtId="0" fontId="37" fillId="27" borderId="13" xfId="0" applyFont="1" applyFill="1" applyBorder="1" applyAlignment="1">
      <alignment vertical="top"/>
    </xf>
    <xf numFmtId="0" fontId="0" fillId="35" borderId="0" xfId="0" applyFill="1"/>
    <xf numFmtId="0" fontId="0" fillId="35" borderId="0" xfId="0" applyFill="1" applyAlignment="1">
      <alignment horizontal="center"/>
    </xf>
    <xf numFmtId="0" fontId="0" fillId="39" borderId="0" xfId="0" applyFill="1"/>
    <xf numFmtId="0" fontId="2" fillId="24" borderId="10" xfId="0" applyFont="1" applyFill="1" applyBorder="1" applyAlignment="1">
      <alignment horizontal="center" vertical="top"/>
    </xf>
    <xf numFmtId="0" fontId="50" fillId="25" borderId="0" xfId="0" applyFont="1" applyFill="1" applyAlignment="1">
      <alignment horizontal="left" vertical="top"/>
    </xf>
    <xf numFmtId="0" fontId="2" fillId="24" borderId="11" xfId="0" applyFont="1" applyFill="1" applyBorder="1" applyAlignment="1">
      <alignment horizontal="center"/>
    </xf>
    <xf numFmtId="0" fontId="41" fillId="25" borderId="0" xfId="0" applyFont="1" applyFill="1" applyAlignment="1">
      <alignment vertical="top" wrapText="1"/>
    </xf>
    <xf numFmtId="0" fontId="41" fillId="25" borderId="17" xfId="0" applyFont="1" applyFill="1" applyBorder="1" applyAlignment="1">
      <alignment horizontal="left" vertical="top" wrapText="1"/>
    </xf>
    <xf numFmtId="0" fontId="41" fillId="25" borderId="17" xfId="0" applyFont="1" applyFill="1" applyBorder="1" applyAlignment="1">
      <alignment vertical="top" wrapText="1"/>
    </xf>
    <xf numFmtId="0" fontId="0" fillId="39" borderId="0" xfId="0" applyFill="1" applyAlignment="1">
      <alignment vertical="center"/>
    </xf>
    <xf numFmtId="0" fontId="4" fillId="25" borderId="18" xfId="0" applyFont="1" applyFill="1" applyBorder="1" applyAlignment="1">
      <alignment horizontal="right" wrapText="1"/>
    </xf>
    <xf numFmtId="0" fontId="4" fillId="0" borderId="74" xfId="0" applyFont="1" applyBorder="1" applyAlignment="1">
      <alignment wrapText="1"/>
    </xf>
    <xf numFmtId="0" fontId="4" fillId="0" borderId="75" xfId="0" applyFont="1" applyBorder="1" applyAlignment="1">
      <alignment wrapText="1"/>
    </xf>
    <xf numFmtId="0" fontId="4" fillId="0" borderId="77" xfId="0" applyFont="1" applyBorder="1" applyAlignment="1">
      <alignment wrapText="1"/>
    </xf>
    <xf numFmtId="0" fontId="4" fillId="25" borderId="74" xfId="0" applyFont="1" applyFill="1" applyBorder="1" applyAlignment="1">
      <alignment horizontal="center" wrapText="1"/>
    </xf>
    <xf numFmtId="0" fontId="37" fillId="25" borderId="0" xfId="0" applyFont="1" applyFill="1" applyAlignment="1">
      <alignment vertical="top" wrapText="1"/>
    </xf>
    <xf numFmtId="0" fontId="37" fillId="39" borderId="10" xfId="0" applyFont="1" applyFill="1" applyBorder="1" applyAlignment="1">
      <alignment horizontal="center" vertical="top" wrapText="1"/>
    </xf>
    <xf numFmtId="0" fontId="2" fillId="39" borderId="10" xfId="0" applyFont="1" applyFill="1" applyBorder="1" applyAlignment="1">
      <alignment horizontal="center" vertical="top" wrapText="1"/>
    </xf>
    <xf numFmtId="0" fontId="2" fillId="39" borderId="0" xfId="0" applyFont="1" applyFill="1" applyAlignment="1">
      <alignment horizontal="right" vertical="top" wrapText="1"/>
    </xf>
    <xf numFmtId="164" fontId="37" fillId="25" borderId="19" xfId="0" applyNumberFormat="1" applyFont="1" applyFill="1" applyBorder="1" applyAlignment="1">
      <alignment horizontal="right" vertical="top"/>
    </xf>
    <xf numFmtId="0" fontId="37" fillId="27" borderId="143" xfId="0" applyFont="1" applyFill="1" applyBorder="1" applyAlignment="1">
      <alignment horizontal="center" vertical="top"/>
    </xf>
    <xf numFmtId="0" fontId="40" fillId="27" borderId="156" xfId="0" applyFont="1" applyFill="1" applyBorder="1" applyAlignment="1">
      <alignment vertical="top"/>
    </xf>
    <xf numFmtId="0" fontId="37" fillId="39" borderId="109" xfId="0" applyFont="1" applyFill="1" applyBorder="1" applyAlignment="1">
      <alignment horizontal="center" vertical="top"/>
    </xf>
    <xf numFmtId="0" fontId="37" fillId="39" borderId="73" xfId="0" applyFont="1" applyFill="1" applyBorder="1" applyAlignment="1">
      <alignment horizontal="left" vertical="top"/>
    </xf>
    <xf numFmtId="0" fontId="37" fillId="44" borderId="11" xfId="0" applyFont="1" applyFill="1" applyBorder="1" applyAlignment="1">
      <alignment horizontal="center" vertical="top"/>
    </xf>
    <xf numFmtId="0" fontId="37" fillId="39" borderId="11" xfId="0" applyFont="1" applyFill="1" applyBorder="1" applyAlignment="1">
      <alignment horizontal="center" vertical="top"/>
    </xf>
    <xf numFmtId="164" fontId="37" fillId="25" borderId="20" xfId="0" applyNumberFormat="1" applyFont="1" applyFill="1" applyBorder="1" applyAlignment="1">
      <alignment horizontal="right" vertical="top"/>
    </xf>
    <xf numFmtId="0" fontId="37" fillId="27" borderId="141" xfId="0" applyFont="1" applyFill="1" applyBorder="1" applyAlignment="1">
      <alignment horizontal="center" vertical="top"/>
    </xf>
    <xf numFmtId="0" fontId="40" fillId="27" borderId="107" xfId="0" applyFont="1" applyFill="1" applyBorder="1" applyAlignment="1">
      <alignment vertical="top"/>
    </xf>
    <xf numFmtId="0" fontId="37" fillId="39" borderId="110" xfId="0" applyFont="1" applyFill="1" applyBorder="1" applyAlignment="1">
      <alignment horizontal="center" vertical="top"/>
    </xf>
    <xf numFmtId="0" fontId="37" fillId="39" borderId="95" xfId="0" applyFont="1" applyFill="1" applyBorder="1" applyAlignment="1">
      <alignment horizontal="left" vertical="top"/>
    </xf>
    <xf numFmtId="164" fontId="37" fillId="25" borderId="23" xfId="0" applyNumberFormat="1" applyFont="1" applyFill="1" applyBorder="1" applyAlignment="1">
      <alignment horizontal="right" vertical="top"/>
    </xf>
    <xf numFmtId="0" fontId="37" fillId="27" borderId="142" xfId="0" applyFont="1" applyFill="1" applyBorder="1" applyAlignment="1">
      <alignment horizontal="center" vertical="top"/>
    </xf>
    <xf numFmtId="0" fontId="40" fillId="27" borderId="155" xfId="0" applyFont="1" applyFill="1" applyBorder="1" applyAlignment="1">
      <alignment vertical="top"/>
    </xf>
    <xf numFmtId="0" fontId="37" fillId="39" borderId="111" xfId="0" applyFont="1" applyFill="1" applyBorder="1" applyAlignment="1">
      <alignment horizontal="center" vertical="top"/>
    </xf>
    <xf numFmtId="0" fontId="37" fillId="39" borderId="68" xfId="0" applyFont="1" applyFill="1" applyBorder="1" applyAlignment="1">
      <alignment horizontal="left" vertical="top"/>
    </xf>
    <xf numFmtId="0" fontId="37" fillId="39" borderId="112" xfId="0" applyFont="1" applyFill="1" applyBorder="1" applyAlignment="1">
      <alignment vertical="top"/>
    </xf>
    <xf numFmtId="0" fontId="37" fillId="39" borderId="113" xfId="0" applyFont="1" applyFill="1" applyBorder="1" applyAlignment="1">
      <alignment vertical="top"/>
    </xf>
    <xf numFmtId="0" fontId="54" fillId="25" borderId="24" xfId="0" applyFont="1" applyFill="1" applyBorder="1" applyAlignment="1">
      <alignment horizontal="right" wrapText="1"/>
    </xf>
    <xf numFmtId="0" fontId="54" fillId="25" borderId="74" xfId="0" applyFont="1" applyFill="1" applyBorder="1" applyAlignment="1">
      <alignment horizontal="center" wrapText="1"/>
    </xf>
    <xf numFmtId="0" fontId="37" fillId="39" borderId="60" xfId="0" applyFont="1" applyFill="1" applyBorder="1" applyAlignment="1">
      <alignment horizontal="center" vertical="top"/>
    </xf>
    <xf numFmtId="0" fontId="80" fillId="51" borderId="143" xfId="0" applyFont="1" applyFill="1" applyBorder="1" applyAlignment="1">
      <alignment horizontal="center" vertical="top"/>
    </xf>
    <xf numFmtId="0" fontId="37" fillId="25" borderId="143" xfId="0" applyFont="1" applyFill="1" applyBorder="1" applyAlignment="1">
      <alignment horizontal="center" vertical="top"/>
    </xf>
    <xf numFmtId="164" fontId="37" fillId="39" borderId="73" xfId="0" applyNumberFormat="1" applyFont="1" applyFill="1" applyBorder="1" applyAlignment="1">
      <alignment horizontal="center" vertical="top"/>
    </xf>
    <xf numFmtId="0" fontId="37" fillId="39" borderId="13" xfId="0" applyFont="1" applyFill="1" applyBorder="1" applyAlignment="1">
      <alignment horizontal="center" vertical="top"/>
    </xf>
    <xf numFmtId="164" fontId="37" fillId="25" borderId="22" xfId="0" applyNumberFormat="1" applyFont="1" applyFill="1" applyBorder="1" applyAlignment="1">
      <alignment horizontal="right" vertical="top"/>
    </xf>
    <xf numFmtId="0" fontId="37" fillId="25" borderId="121" xfId="0" applyFont="1" applyFill="1" applyBorder="1" applyAlignment="1">
      <alignment horizontal="left"/>
    </xf>
    <xf numFmtId="0" fontId="0" fillId="0" borderId="147" xfId="0" applyBorder="1" applyAlignment="1">
      <alignment horizontal="left"/>
    </xf>
    <xf numFmtId="164" fontId="37" fillId="39" borderId="145" xfId="0" applyNumberFormat="1" applyFont="1" applyFill="1" applyBorder="1" applyAlignment="1">
      <alignment horizontal="center" vertical="top"/>
    </xf>
    <xf numFmtId="0" fontId="37" fillId="39" borderId="145" xfId="0" applyFont="1" applyFill="1" applyBorder="1" applyAlignment="1">
      <alignment horizontal="center" vertical="top"/>
    </xf>
    <xf numFmtId="0" fontId="37" fillId="39" borderId="145" xfId="0" applyFont="1" applyFill="1" applyBorder="1" applyAlignment="1">
      <alignment horizontal="left" vertical="top"/>
    </xf>
    <xf numFmtId="0" fontId="80" fillId="51" borderId="141" xfId="0" applyFont="1" applyFill="1" applyBorder="1" applyAlignment="1">
      <alignment horizontal="center" vertical="top"/>
    </xf>
    <xf numFmtId="0" fontId="37" fillId="25" borderId="141" xfId="0" applyFont="1" applyFill="1" applyBorder="1" applyAlignment="1">
      <alignment horizontal="center" vertical="top"/>
    </xf>
    <xf numFmtId="0" fontId="80" fillId="51" borderId="144" xfId="0" applyFont="1" applyFill="1" applyBorder="1" applyAlignment="1">
      <alignment horizontal="center" vertical="top"/>
    </xf>
    <xf numFmtId="0" fontId="80" fillId="51" borderId="142" xfId="0" applyFont="1" applyFill="1" applyBorder="1" applyAlignment="1">
      <alignment horizontal="center" vertical="top"/>
    </xf>
    <xf numFmtId="0" fontId="37" fillId="25" borderId="142" xfId="0" applyFont="1" applyFill="1" applyBorder="1" applyAlignment="1">
      <alignment horizontal="center" vertical="top"/>
    </xf>
    <xf numFmtId="0" fontId="37" fillId="39" borderId="10" xfId="0" applyFont="1" applyFill="1" applyBorder="1" applyAlignment="1">
      <alignment vertical="top"/>
    </xf>
    <xf numFmtId="0" fontId="37" fillId="25" borderId="18" xfId="0" applyFont="1" applyFill="1" applyBorder="1" applyAlignment="1">
      <alignment vertical="top"/>
    </xf>
    <xf numFmtId="0" fontId="4" fillId="39" borderId="0" xfId="0" applyFont="1" applyFill="1"/>
    <xf numFmtId="0" fontId="4" fillId="25" borderId="0" xfId="0" applyFont="1" applyFill="1" applyAlignment="1">
      <alignment horizontal="left" wrapText="1"/>
    </xf>
    <xf numFmtId="0" fontId="4" fillId="25" borderId="88" xfId="0" applyFont="1" applyFill="1" applyBorder="1" applyAlignment="1">
      <alignment horizontal="center" wrapText="1"/>
    </xf>
    <xf numFmtId="0" fontId="4" fillId="41" borderId="88" xfId="0" applyFont="1" applyFill="1" applyBorder="1" applyAlignment="1">
      <alignment horizontal="center" wrapText="1"/>
    </xf>
    <xf numFmtId="0" fontId="2" fillId="41" borderId="11" xfId="0" applyFont="1" applyFill="1" applyBorder="1" applyAlignment="1">
      <alignment horizontal="center"/>
    </xf>
    <xf numFmtId="0" fontId="2" fillId="25" borderId="11" xfId="0" applyFont="1" applyFill="1" applyBorder="1" applyAlignment="1">
      <alignment horizontal="center" wrapText="1"/>
    </xf>
    <xf numFmtId="0" fontId="2" fillId="41" borderId="11" xfId="0" quotePrefix="1" applyFont="1" applyFill="1" applyBorder="1" applyAlignment="1">
      <alignment horizontal="center"/>
    </xf>
    <xf numFmtId="0" fontId="2" fillId="25" borderId="11" xfId="0" quotePrefix="1" applyFont="1" applyFill="1" applyBorder="1" applyAlignment="1">
      <alignment horizontal="center"/>
    </xf>
    <xf numFmtId="0" fontId="2" fillId="39" borderId="13" xfId="0" applyFont="1" applyFill="1" applyBorder="1" applyAlignment="1">
      <alignment vertical="center"/>
    </xf>
    <xf numFmtId="3" fontId="80" fillId="51" borderId="62" xfId="0" applyNumberFormat="1" applyFont="1" applyFill="1" applyBorder="1" applyAlignment="1">
      <alignment horizontal="center" shrinkToFit="1"/>
    </xf>
    <xf numFmtId="166" fontId="80" fillId="41" borderId="62" xfId="0" applyNumberFormat="1" applyFont="1" applyFill="1" applyBorder="1" applyAlignment="1">
      <alignment horizontal="center" vertical="top" shrinkToFit="1"/>
    </xf>
    <xf numFmtId="166" fontId="80" fillId="51" borderId="62" xfId="0" applyNumberFormat="1" applyFont="1" applyFill="1" applyBorder="1" applyAlignment="1">
      <alignment horizontal="center" vertical="top" shrinkToFit="1"/>
    </xf>
    <xf numFmtId="0" fontId="37" fillId="44" borderId="13" xfId="0" applyFont="1" applyFill="1" applyBorder="1" applyAlignment="1">
      <alignment vertical="top"/>
    </xf>
    <xf numFmtId="3" fontId="80" fillId="51" borderId="63" xfId="0" applyNumberFormat="1" applyFont="1" applyFill="1" applyBorder="1" applyAlignment="1">
      <alignment horizontal="center" shrinkToFit="1"/>
    </xf>
    <xf numFmtId="166" fontId="80" fillId="41" borderId="63" xfId="0" applyNumberFormat="1" applyFont="1" applyFill="1" applyBorder="1" applyAlignment="1">
      <alignment horizontal="center" vertical="top" shrinkToFit="1"/>
    </xf>
    <xf numFmtId="166" fontId="80" fillId="51" borderId="63" xfId="0" applyNumberFormat="1" applyFont="1" applyFill="1" applyBorder="1" applyAlignment="1">
      <alignment horizontal="center" vertical="top" shrinkToFit="1"/>
    </xf>
    <xf numFmtId="3" fontId="80" fillId="51" borderId="64" xfId="0" applyNumberFormat="1" applyFont="1" applyFill="1" applyBorder="1" applyAlignment="1">
      <alignment horizontal="center" shrinkToFit="1"/>
    </xf>
    <xf numFmtId="166" fontId="80" fillId="41" borderId="64" xfId="0" applyNumberFormat="1" applyFont="1" applyFill="1" applyBorder="1" applyAlignment="1">
      <alignment horizontal="center" vertical="top" shrinkToFit="1"/>
    </xf>
    <xf numFmtId="166" fontId="80" fillId="51" borderId="64" xfId="0" applyNumberFormat="1" applyFont="1" applyFill="1" applyBorder="1" applyAlignment="1">
      <alignment horizontal="center" vertical="top" shrinkToFit="1"/>
    </xf>
    <xf numFmtId="0" fontId="37" fillId="36" borderId="103" xfId="0" applyFont="1" applyFill="1" applyBorder="1" applyAlignment="1">
      <alignment vertical="top"/>
    </xf>
    <xf numFmtId="0" fontId="37" fillId="36" borderId="21" xfId="0" applyFont="1" applyFill="1" applyBorder="1" applyAlignment="1">
      <alignment vertical="top"/>
    </xf>
    <xf numFmtId="0" fontId="37" fillId="62" borderId="21" xfId="0" applyFont="1" applyFill="1" applyBorder="1" applyAlignment="1">
      <alignment vertical="top"/>
    </xf>
    <xf numFmtId="0" fontId="37" fillId="36" borderId="102" xfId="0" applyFont="1" applyFill="1" applyBorder="1" applyAlignment="1">
      <alignment horizontal="center" vertical="top"/>
    </xf>
    <xf numFmtId="0" fontId="37" fillId="36" borderId="99" xfId="0" applyFont="1" applyFill="1" applyBorder="1" applyAlignment="1">
      <alignment vertical="top"/>
    </xf>
    <xf numFmtId="0" fontId="37" fillId="36" borderId="0" xfId="0" applyFont="1" applyFill="1" applyAlignment="1">
      <alignment vertical="top"/>
    </xf>
    <xf numFmtId="0" fontId="37" fillId="62" borderId="0" xfId="0" applyFont="1" applyFill="1" applyAlignment="1">
      <alignment vertical="top"/>
    </xf>
    <xf numFmtId="0" fontId="37" fillId="36" borderId="18" xfId="0" applyFont="1" applyFill="1" applyBorder="1" applyAlignment="1">
      <alignment horizontal="center" vertical="top"/>
    </xf>
    <xf numFmtId="0" fontId="37" fillId="36" borderId="78" xfId="0" applyFont="1" applyFill="1" applyBorder="1" applyAlignment="1">
      <alignment vertical="top"/>
    </xf>
    <xf numFmtId="0" fontId="37" fillId="36" borderId="12" xfId="0" applyFont="1" applyFill="1" applyBorder="1" applyAlignment="1">
      <alignment vertical="top"/>
    </xf>
    <xf numFmtId="0" fontId="37" fillId="62" borderId="12" xfId="0" applyFont="1" applyFill="1" applyBorder="1" applyAlignment="1">
      <alignment vertical="top"/>
    </xf>
    <xf numFmtId="0" fontId="37" fillId="36" borderId="24" xfId="0" applyFont="1" applyFill="1" applyBorder="1" applyAlignment="1">
      <alignment horizontal="center" vertical="top"/>
    </xf>
    <xf numFmtId="0" fontId="41" fillId="25" borderId="139" xfId="0" applyFont="1" applyFill="1" applyBorder="1" applyAlignment="1">
      <alignment horizontal="left" vertical="top" wrapText="1"/>
    </xf>
    <xf numFmtId="0" fontId="41" fillId="25" borderId="0" xfId="0" applyFont="1" applyFill="1" applyAlignment="1">
      <alignment horizontal="left" vertical="top" wrapText="1"/>
    </xf>
    <xf numFmtId="0" fontId="4" fillId="25" borderId="88" xfId="0" applyFont="1" applyFill="1" applyBorder="1" applyAlignment="1">
      <alignment horizontal="center"/>
    </xf>
    <xf numFmtId="0" fontId="4" fillId="41" borderId="88" xfId="0" applyFont="1" applyFill="1" applyBorder="1" applyAlignment="1">
      <alignment horizontal="center"/>
    </xf>
    <xf numFmtId="0" fontId="2" fillId="39" borderId="10" xfId="0" applyFont="1" applyFill="1" applyBorder="1" applyAlignment="1">
      <alignment vertical="top"/>
    </xf>
    <xf numFmtId="0" fontId="37" fillId="40" borderId="62" xfId="0" applyFont="1" applyFill="1" applyBorder="1" applyAlignment="1">
      <alignment horizontal="center"/>
    </xf>
    <xf numFmtId="166" fontId="37" fillId="41" borderId="62" xfId="0" applyNumberFormat="1" applyFont="1" applyFill="1" applyBorder="1" applyAlignment="1">
      <alignment horizontal="center" vertical="top" shrinkToFit="1"/>
    </xf>
    <xf numFmtId="0" fontId="0" fillId="40" borderId="63" xfId="0" applyFill="1" applyBorder="1" applyAlignment="1">
      <alignment horizontal="center"/>
    </xf>
    <xf numFmtId="166" fontId="37" fillId="41" borderId="63" xfId="0" applyNumberFormat="1" applyFont="1" applyFill="1" applyBorder="1" applyAlignment="1">
      <alignment horizontal="center" vertical="top" shrinkToFit="1"/>
    </xf>
    <xf numFmtId="0" fontId="0" fillId="40" borderId="64" xfId="0" applyFill="1" applyBorder="1" applyAlignment="1">
      <alignment horizontal="center"/>
    </xf>
    <xf numFmtId="166" fontId="37" fillId="41" borderId="64" xfId="0" applyNumberFormat="1" applyFont="1" applyFill="1" applyBorder="1" applyAlignment="1">
      <alignment horizontal="center" vertical="top" shrinkToFit="1"/>
    </xf>
    <xf numFmtId="0" fontId="0" fillId="0" borderId="62" xfId="0" applyBorder="1" applyAlignment="1">
      <alignment horizontal="center"/>
    </xf>
    <xf numFmtId="0" fontId="0" fillId="0" borderId="63" xfId="0" applyBorder="1" applyAlignment="1">
      <alignment horizontal="center"/>
    </xf>
    <xf numFmtId="0" fontId="0" fillId="0" borderId="64" xfId="0" applyBorder="1" applyAlignment="1">
      <alignment horizontal="center"/>
    </xf>
    <xf numFmtId="0" fontId="2" fillId="41" borderId="11" xfId="0" applyFont="1" applyFill="1" applyBorder="1" applyAlignment="1">
      <alignment horizontal="center" wrapText="1"/>
    </xf>
    <xf numFmtId="3" fontId="0" fillId="40" borderId="62" xfId="0" applyNumberFormat="1" applyFill="1" applyBorder="1" applyAlignment="1">
      <alignment horizontal="center" shrinkToFit="1"/>
    </xf>
    <xf numFmtId="166" fontId="37" fillId="40" borderId="62" xfId="0" applyNumberFormat="1" applyFont="1" applyFill="1" applyBorder="1" applyAlignment="1">
      <alignment horizontal="center" vertical="top" shrinkToFit="1"/>
    </xf>
    <xf numFmtId="3" fontId="0" fillId="40" borderId="63" xfId="0" applyNumberFormat="1" applyFill="1" applyBorder="1" applyAlignment="1">
      <alignment horizontal="center" shrinkToFit="1"/>
    </xf>
    <xf numFmtId="166" fontId="37" fillId="40" borderId="63" xfId="0" applyNumberFormat="1" applyFont="1" applyFill="1" applyBorder="1" applyAlignment="1">
      <alignment horizontal="center" vertical="top" shrinkToFit="1"/>
    </xf>
    <xf numFmtId="3" fontId="0" fillId="40" borderId="64" xfId="0" applyNumberFormat="1" applyFill="1" applyBorder="1" applyAlignment="1">
      <alignment horizontal="center" shrinkToFit="1"/>
    </xf>
    <xf numFmtId="166" fontId="37" fillId="40" borderId="64" xfId="0" applyNumberFormat="1" applyFont="1" applyFill="1" applyBorder="1" applyAlignment="1">
      <alignment horizontal="center" vertical="top" shrinkToFit="1"/>
    </xf>
    <xf numFmtId="0" fontId="37" fillId="0" borderId="27" xfId="0" applyFont="1" applyBorder="1" applyAlignment="1">
      <alignment vertical="top"/>
    </xf>
    <xf numFmtId="0" fontId="37" fillId="0" borderId="29" xfId="0" applyFont="1" applyBorder="1" applyAlignment="1">
      <alignment vertical="top"/>
    </xf>
    <xf numFmtId="0" fontId="37" fillId="0" borderId="98" xfId="0" applyFont="1" applyBorder="1" applyAlignment="1">
      <alignment vertical="top"/>
    </xf>
    <xf numFmtId="0" fontId="2" fillId="0" borderId="98" xfId="0" applyFont="1" applyBorder="1" applyAlignment="1">
      <alignment vertical="top"/>
    </xf>
    <xf numFmtId="0" fontId="2" fillId="0" borderId="29" xfId="0" applyFont="1" applyBorder="1" applyAlignment="1">
      <alignment vertical="top"/>
    </xf>
    <xf numFmtId="164" fontId="37" fillId="0" borderId="31" xfId="0" applyNumberFormat="1" applyFont="1" applyBorder="1" applyAlignment="1">
      <alignment vertical="top"/>
    </xf>
    <xf numFmtId="0" fontId="37" fillId="40" borderId="105" xfId="0" applyFont="1" applyFill="1" applyBorder="1" applyAlignment="1">
      <alignment vertical="top"/>
    </xf>
    <xf numFmtId="0" fontId="37" fillId="0" borderId="14" xfId="0" applyFont="1" applyBorder="1" applyAlignment="1">
      <alignment vertical="top"/>
    </xf>
    <xf numFmtId="0" fontId="37" fillId="27" borderId="19" xfId="0" applyFont="1" applyFill="1" applyBorder="1" applyAlignment="1">
      <alignment vertical="top"/>
    </xf>
    <xf numFmtId="0" fontId="37" fillId="0" borderId="14" xfId="0" applyFont="1" applyBorder="1" applyAlignment="1">
      <alignment horizontal="center" vertical="top"/>
    </xf>
    <xf numFmtId="14" fontId="37" fillId="40" borderId="62" xfId="0" applyNumberFormat="1" applyFont="1" applyFill="1" applyBorder="1" applyAlignment="1">
      <alignment horizontal="center" vertical="top"/>
    </xf>
    <xf numFmtId="0" fontId="37" fillId="40" borderId="19" xfId="0" applyFont="1" applyFill="1" applyBorder="1" applyAlignment="1">
      <alignment horizontal="center" vertical="top"/>
    </xf>
    <xf numFmtId="0" fontId="37" fillId="0" borderId="32" xfId="0" applyFont="1" applyBorder="1" applyAlignment="1">
      <alignment vertical="top"/>
    </xf>
    <xf numFmtId="0" fontId="37" fillId="27" borderId="32" xfId="0" applyFont="1" applyFill="1" applyBorder="1" applyAlignment="1">
      <alignment vertical="top"/>
    </xf>
    <xf numFmtId="164" fontId="37" fillId="0" borderId="33" xfId="0" applyNumberFormat="1" applyFont="1" applyBorder="1" applyAlignment="1">
      <alignment vertical="top"/>
    </xf>
    <xf numFmtId="0" fontId="37" fillId="40" borderId="106" xfId="0" applyFont="1" applyFill="1" applyBorder="1" applyAlignment="1">
      <alignment vertical="top"/>
    </xf>
    <xf numFmtId="0" fontId="37" fillId="0" borderId="15" xfId="0" applyFont="1" applyBorder="1" applyAlignment="1">
      <alignment vertical="top"/>
    </xf>
    <xf numFmtId="0" fontId="37" fillId="27" borderId="20" xfId="0" applyFont="1" applyFill="1" applyBorder="1" applyAlignment="1">
      <alignment vertical="top"/>
    </xf>
    <xf numFmtId="0" fontId="37" fillId="0" borderId="15" xfId="0" applyFont="1" applyBorder="1" applyAlignment="1">
      <alignment horizontal="center" vertical="top"/>
    </xf>
    <xf numFmtId="14" fontId="37" fillId="40" borderId="63" xfId="0" applyNumberFormat="1" applyFont="1" applyFill="1" applyBorder="1" applyAlignment="1">
      <alignment horizontal="center" vertical="top"/>
    </xf>
    <xf numFmtId="0" fontId="37" fillId="40" borderId="20" xfId="0" applyFont="1" applyFill="1" applyBorder="1" applyAlignment="1">
      <alignment horizontal="center" vertical="top"/>
    </xf>
    <xf numFmtId="0" fontId="37" fillId="0" borderId="34" xfId="0" applyFont="1" applyBorder="1" applyAlignment="1">
      <alignment vertical="top"/>
    </xf>
    <xf numFmtId="0" fontId="37" fillId="27" borderId="34" xfId="0" applyFont="1" applyFill="1" applyBorder="1" applyAlignment="1">
      <alignment vertical="top"/>
    </xf>
    <xf numFmtId="14" fontId="0" fillId="25" borderId="0" xfId="0" applyNumberFormat="1" applyFill="1"/>
    <xf numFmtId="164" fontId="37" fillId="0" borderId="35" xfId="0" applyNumberFormat="1" applyFont="1" applyBorder="1" applyAlignment="1">
      <alignment vertical="top"/>
    </xf>
    <xf numFmtId="0" fontId="37" fillId="40" borderId="124" xfId="0" applyFont="1" applyFill="1" applyBorder="1" applyAlignment="1">
      <alignment vertical="top"/>
    </xf>
    <xf numFmtId="0" fontId="37" fillId="0" borderId="36" xfId="0" applyFont="1" applyBorder="1" applyAlignment="1">
      <alignment vertical="top"/>
    </xf>
    <xf numFmtId="0" fontId="37" fillId="27" borderId="48" xfId="0" applyFont="1" applyFill="1" applyBorder="1" applyAlignment="1">
      <alignment vertical="top"/>
    </xf>
    <xf numFmtId="0" fontId="37" fillId="0" borderId="36" xfId="0" applyFont="1" applyBorder="1" applyAlignment="1">
      <alignment horizontal="center" vertical="top"/>
    </xf>
    <xf numFmtId="14" fontId="37" fillId="40" borderId="53" xfId="0" applyNumberFormat="1" applyFont="1" applyFill="1" applyBorder="1" applyAlignment="1">
      <alignment horizontal="center" vertical="top"/>
    </xf>
    <xf numFmtId="0" fontId="37" fillId="40" borderId="48" xfId="0" applyFont="1" applyFill="1" applyBorder="1" applyAlignment="1">
      <alignment horizontal="center" vertical="top"/>
    </xf>
    <xf numFmtId="0" fontId="37" fillId="0" borderId="37" xfId="0" applyFont="1" applyBorder="1" applyAlignment="1">
      <alignment vertical="top"/>
    </xf>
    <xf numFmtId="0" fontId="37" fillId="27" borderId="37" xfId="0" applyFont="1" applyFill="1" applyBorder="1" applyAlignment="1">
      <alignment vertical="top"/>
    </xf>
    <xf numFmtId="0" fontId="0" fillId="41" borderId="0" xfId="0" applyFill="1" applyAlignment="1">
      <alignment horizontal="center"/>
    </xf>
    <xf numFmtId="0" fontId="86" fillId="25" borderId="0" xfId="0" applyFont="1" applyFill="1" applyAlignment="1">
      <alignment vertical="top" wrapText="1"/>
    </xf>
    <xf numFmtId="0" fontId="4" fillId="39" borderId="88" xfId="0" applyFont="1" applyFill="1" applyBorder="1" applyAlignment="1">
      <alignment horizontal="right" vertical="top"/>
    </xf>
    <xf numFmtId="0" fontId="2" fillId="39" borderId="0" xfId="0" applyFont="1" applyFill="1" applyAlignment="1">
      <alignment horizontal="right"/>
    </xf>
    <xf numFmtId="0" fontId="4" fillId="39" borderId="75" xfId="0" applyFont="1" applyFill="1" applyBorder="1" applyAlignment="1">
      <alignment vertical="top"/>
    </xf>
    <xf numFmtId="0" fontId="4" fillId="39" borderId="115" xfId="0" applyFont="1" applyFill="1" applyBorder="1" applyAlignment="1">
      <alignment vertical="top"/>
    </xf>
    <xf numFmtId="0" fontId="4" fillId="39" borderId="96" xfId="0" applyFont="1" applyFill="1" applyBorder="1" applyAlignment="1">
      <alignment vertical="top"/>
    </xf>
    <xf numFmtId="0" fontId="37" fillId="25" borderId="19" xfId="0" applyFont="1" applyFill="1" applyBorder="1" applyAlignment="1">
      <alignment horizontal="center" vertical="top"/>
    </xf>
    <xf numFmtId="0" fontId="37" fillId="24" borderId="13" xfId="0" applyFont="1" applyFill="1" applyBorder="1" applyAlignment="1">
      <alignment vertical="top"/>
    </xf>
    <xf numFmtId="173" fontId="37" fillId="39" borderId="137" xfId="0" applyNumberFormat="1" applyFont="1" applyFill="1" applyBorder="1" applyAlignment="1">
      <alignment horizontal="right" vertical="top"/>
    </xf>
    <xf numFmtId="173" fontId="37" fillId="39" borderId="91" xfId="0" applyNumberFormat="1" applyFont="1" applyFill="1" applyBorder="1" applyAlignment="1">
      <alignment horizontal="right" vertical="top"/>
    </xf>
    <xf numFmtId="173" fontId="37" fillId="39" borderId="90" xfId="0" applyNumberFormat="1" applyFont="1" applyFill="1" applyBorder="1" applyAlignment="1">
      <alignment horizontal="right" vertical="top"/>
    </xf>
    <xf numFmtId="0" fontId="2" fillId="39" borderId="13" xfId="0" applyFont="1" applyFill="1" applyBorder="1" applyAlignment="1">
      <alignment horizontal="center" vertical="top"/>
    </xf>
    <xf numFmtId="173" fontId="56" fillId="39" borderId="33" xfId="0" applyNumberFormat="1" applyFont="1" applyFill="1" applyBorder="1" applyAlignment="1">
      <alignment horizontal="right" vertical="top"/>
    </xf>
    <xf numFmtId="173" fontId="56" fillId="39" borderId="63" xfId="0" applyNumberFormat="1" applyFont="1" applyFill="1" applyBorder="1" applyAlignment="1">
      <alignment horizontal="right" vertical="top"/>
    </xf>
    <xf numFmtId="173" fontId="56" fillId="39" borderId="93" xfId="0" applyNumberFormat="1" applyFont="1" applyFill="1" applyBorder="1" applyAlignment="1">
      <alignment horizontal="right" vertical="top"/>
    </xf>
    <xf numFmtId="0" fontId="37" fillId="25" borderId="20" xfId="0" applyFont="1" applyFill="1" applyBorder="1" applyAlignment="1">
      <alignment horizontal="center" vertical="top"/>
    </xf>
    <xf numFmtId="173" fontId="37" fillId="39" borderId="33" xfId="0" applyNumberFormat="1" applyFont="1" applyFill="1" applyBorder="1" applyAlignment="1">
      <alignment horizontal="right" vertical="top"/>
    </xf>
    <xf numFmtId="173" fontId="37" fillId="39" borderId="63" xfId="0" applyNumberFormat="1" applyFont="1" applyFill="1" applyBorder="1" applyAlignment="1">
      <alignment horizontal="right" vertical="top"/>
    </xf>
    <xf numFmtId="173" fontId="37" fillId="39" borderId="93" xfId="0" applyNumberFormat="1" applyFont="1" applyFill="1" applyBorder="1" applyAlignment="1">
      <alignment horizontal="right" vertical="top"/>
    </xf>
    <xf numFmtId="0" fontId="37" fillId="25" borderId="23" xfId="0" applyFont="1" applyFill="1" applyBorder="1" applyAlignment="1">
      <alignment horizontal="center" vertical="top"/>
    </xf>
    <xf numFmtId="173" fontId="37" fillId="39" borderId="131" xfId="0" applyNumberFormat="1" applyFont="1" applyFill="1" applyBorder="1" applyAlignment="1">
      <alignment horizontal="right" vertical="top"/>
    </xf>
    <xf numFmtId="173" fontId="37" fillId="39" borderId="92" xfId="0" applyNumberFormat="1" applyFont="1" applyFill="1" applyBorder="1" applyAlignment="1">
      <alignment horizontal="right" vertical="top"/>
    </xf>
    <xf numFmtId="173" fontId="37" fillId="39" borderId="134" xfId="0" applyNumberFormat="1" applyFont="1" applyFill="1" applyBorder="1" applyAlignment="1">
      <alignment horizontal="right" vertical="top"/>
    </xf>
    <xf numFmtId="173" fontId="2" fillId="27" borderId="13" xfId="0" applyNumberFormat="1" applyFont="1" applyFill="1" applyBorder="1" applyAlignment="1">
      <alignment horizontal="right" vertical="top"/>
    </xf>
    <xf numFmtId="173" fontId="4" fillId="27" borderId="13" xfId="0" applyNumberFormat="1" applyFont="1" applyFill="1" applyBorder="1" applyAlignment="1">
      <alignment horizontal="right" vertical="top"/>
    </xf>
    <xf numFmtId="173" fontId="37" fillId="39" borderId="75" xfId="0" applyNumberFormat="1" applyFont="1" applyFill="1" applyBorder="1" applyAlignment="1">
      <alignment horizontal="right" vertical="top"/>
    </xf>
    <xf numFmtId="173" fontId="37" fillId="39" borderId="115" xfId="0" applyNumberFormat="1" applyFont="1" applyFill="1" applyBorder="1" applyAlignment="1">
      <alignment horizontal="right" vertical="top"/>
    </xf>
    <xf numFmtId="173" fontId="37" fillId="39" borderId="76" xfId="0" applyNumberFormat="1" applyFont="1" applyFill="1" applyBorder="1" applyAlignment="1">
      <alignment horizontal="right" vertical="top"/>
    </xf>
    <xf numFmtId="173" fontId="37" fillId="39" borderId="77" xfId="0" applyNumberFormat="1" applyFont="1" applyFill="1" applyBorder="1" applyAlignment="1">
      <alignment horizontal="right" vertical="top"/>
    </xf>
    <xf numFmtId="173" fontId="37" fillId="39" borderId="45" xfId="0" applyNumberFormat="1" applyFont="1" applyFill="1" applyBorder="1" applyAlignment="1">
      <alignment horizontal="right" vertical="top"/>
    </xf>
    <xf numFmtId="173" fontId="37" fillId="39" borderId="47" xfId="0" applyNumberFormat="1" applyFont="1" applyFill="1" applyBorder="1" applyAlignment="1">
      <alignment horizontal="right" vertical="top"/>
    </xf>
    <xf numFmtId="173" fontId="37" fillId="39" borderId="118" xfId="0" applyNumberFormat="1" applyFont="1" applyFill="1" applyBorder="1" applyAlignment="1">
      <alignment horizontal="right" vertical="top"/>
    </xf>
    <xf numFmtId="173" fontId="37" fillId="39" borderId="138" xfId="0" applyNumberFormat="1" applyFont="1" applyFill="1" applyBorder="1" applyAlignment="1">
      <alignment horizontal="right" vertical="top"/>
    </xf>
    <xf numFmtId="173" fontId="4" fillId="27" borderId="76" xfId="0" applyNumberFormat="1" applyFont="1" applyFill="1" applyBorder="1" applyAlignment="1">
      <alignment horizontal="right" vertical="top"/>
    </xf>
    <xf numFmtId="173" fontId="4" fillId="27" borderId="77" xfId="0" applyNumberFormat="1" applyFont="1" applyFill="1" applyBorder="1" applyAlignment="1">
      <alignment horizontal="right" vertical="top"/>
    </xf>
    <xf numFmtId="173" fontId="4" fillId="39" borderId="75" xfId="0" applyNumberFormat="1" applyFont="1" applyFill="1" applyBorder="1" applyAlignment="1">
      <alignment horizontal="right" vertical="top"/>
    </xf>
    <xf numFmtId="173" fontId="4" fillId="39" borderId="76" xfId="0" applyNumberFormat="1" applyFont="1" applyFill="1" applyBorder="1" applyAlignment="1">
      <alignment horizontal="right" vertical="top"/>
    </xf>
    <xf numFmtId="173" fontId="4" fillId="39" borderId="77" xfId="0" applyNumberFormat="1" applyFont="1" applyFill="1" applyBorder="1" applyAlignment="1">
      <alignment horizontal="right" vertical="top"/>
    </xf>
    <xf numFmtId="0" fontId="4" fillId="25" borderId="12" xfId="0" applyFont="1" applyFill="1" applyBorder="1" applyAlignment="1">
      <alignment vertical="top" wrapText="1"/>
    </xf>
    <xf numFmtId="0" fontId="4" fillId="25" borderId="24" xfId="0" applyFont="1" applyFill="1" applyBorder="1" applyAlignment="1">
      <alignment horizontal="center" vertical="top"/>
    </xf>
    <xf numFmtId="0" fontId="0" fillId="0" borderId="12" xfId="0" applyBorder="1" applyAlignment="1">
      <alignment vertical="top" wrapText="1"/>
    </xf>
    <xf numFmtId="0" fontId="37" fillId="25" borderId="25" xfId="0" applyFont="1" applyFill="1" applyBorder="1" applyAlignment="1">
      <alignment horizontal="center" vertical="top"/>
    </xf>
    <xf numFmtId="0" fontId="2" fillId="44" borderId="73" xfId="0" applyFont="1" applyFill="1" applyBorder="1" applyAlignment="1">
      <alignment vertical="top"/>
    </xf>
    <xf numFmtId="0" fontId="37" fillId="24" borderId="108" xfId="0" applyFont="1" applyFill="1" applyBorder="1" applyAlignment="1">
      <alignment vertical="top"/>
    </xf>
    <xf numFmtId="0" fontId="2" fillId="24" borderId="95" xfId="0" applyFont="1" applyFill="1" applyBorder="1" applyAlignment="1">
      <alignment vertical="top"/>
    </xf>
    <xf numFmtId="165" fontId="37" fillId="40" borderId="13" xfId="0" applyNumberFormat="1" applyFont="1" applyFill="1" applyBorder="1" applyAlignment="1">
      <alignment vertical="top"/>
    </xf>
    <xf numFmtId="0" fontId="2" fillId="25" borderId="18" xfId="0" applyFont="1" applyFill="1" applyBorder="1" applyAlignment="1">
      <alignment horizontal="right" vertical="top"/>
    </xf>
    <xf numFmtId="10" fontId="37" fillId="41" borderId="13" xfId="0" applyNumberFormat="1" applyFont="1" applyFill="1" applyBorder="1" applyAlignment="1">
      <alignment vertical="top"/>
    </xf>
    <xf numFmtId="171" fontId="37" fillId="27" borderId="13" xfId="0" applyNumberFormat="1" applyFont="1" applyFill="1" applyBorder="1" applyAlignment="1">
      <alignment vertical="top"/>
    </xf>
    <xf numFmtId="165" fontId="37" fillId="27" borderId="13" xfId="0" applyNumberFormat="1" applyFont="1" applyFill="1" applyBorder="1" applyAlignment="1">
      <alignment vertical="top"/>
    </xf>
    <xf numFmtId="0" fontId="47" fillId="25" borderId="0" xfId="0" applyFont="1" applyFill="1" applyAlignment="1">
      <alignment vertical="top"/>
    </xf>
    <xf numFmtId="0" fontId="37" fillId="24" borderId="13" xfId="0" applyFont="1" applyFill="1" applyBorder="1" applyAlignment="1">
      <alignment horizontal="center" vertical="top"/>
    </xf>
    <xf numFmtId="0" fontId="2" fillId="24" borderId="68" xfId="0" applyFont="1" applyFill="1" applyBorder="1" applyAlignment="1">
      <alignment vertical="top"/>
    </xf>
    <xf numFmtId="0" fontId="4" fillId="25" borderId="0" xfId="0" quotePrefix="1" applyFont="1" applyFill="1" applyAlignment="1">
      <alignment horizontal="center" vertical="top"/>
    </xf>
    <xf numFmtId="0" fontId="37" fillId="24" borderId="95" xfId="0" applyFont="1" applyFill="1" applyBorder="1" applyAlignment="1">
      <alignment vertical="top"/>
    </xf>
    <xf numFmtId="0" fontId="4" fillId="24" borderId="0" xfId="0" applyFont="1" applyFill="1" applyAlignment="1">
      <alignment horizontal="right" vertical="top"/>
    </xf>
    <xf numFmtId="0" fontId="4" fillId="24" borderId="0" xfId="0" applyFont="1" applyFill="1" applyAlignment="1">
      <alignment vertical="top"/>
    </xf>
    <xf numFmtId="0" fontId="37" fillId="27" borderId="25" xfId="0" applyFont="1" applyFill="1" applyBorder="1" applyAlignment="1">
      <alignment horizontal="center" vertical="top"/>
    </xf>
    <xf numFmtId="0" fontId="37" fillId="24" borderId="67" xfId="0" applyFont="1" applyFill="1" applyBorder="1" applyAlignment="1">
      <alignment vertical="top"/>
    </xf>
    <xf numFmtId="0" fontId="37" fillId="41" borderId="0" xfId="0" applyFont="1" applyFill="1" applyAlignment="1">
      <alignment vertical="top" wrapText="1"/>
    </xf>
    <xf numFmtId="0" fontId="37" fillId="25" borderId="17" xfId="0" applyFont="1" applyFill="1" applyBorder="1" applyAlignment="1">
      <alignment horizontal="right" vertical="top"/>
    </xf>
    <xf numFmtId="0" fontId="37" fillId="25" borderId="17" xfId="0" applyFont="1" applyFill="1" applyBorder="1" applyAlignment="1">
      <alignment vertical="top"/>
    </xf>
    <xf numFmtId="0" fontId="37" fillId="25" borderId="13" xfId="0" applyFont="1" applyFill="1" applyBorder="1" applyAlignment="1">
      <alignment vertical="top"/>
    </xf>
    <xf numFmtId="0" fontId="37" fillId="25" borderId="26" xfId="0" applyFont="1" applyFill="1" applyBorder="1" applyAlignment="1">
      <alignment horizontal="center" vertical="top"/>
    </xf>
    <xf numFmtId="0" fontId="0" fillId="0" borderId="0" xfId="0" applyAlignment="1">
      <alignment vertical="top" wrapText="1"/>
    </xf>
    <xf numFmtId="0" fontId="0" fillId="0" borderId="18" xfId="0" applyBorder="1" applyAlignment="1">
      <alignment vertical="top" wrapText="1"/>
    </xf>
    <xf numFmtId="0" fontId="37" fillId="24" borderId="68" xfId="0" applyFont="1" applyFill="1" applyBorder="1" applyAlignment="1">
      <alignment vertical="top"/>
    </xf>
    <xf numFmtId="0" fontId="2" fillId="0" borderId="58" xfId="0" applyFont="1" applyBorder="1" applyAlignment="1">
      <alignment vertical="top"/>
    </xf>
    <xf numFmtId="0" fontId="2" fillId="0" borderId="61" xfId="0" applyFont="1" applyBorder="1" applyAlignment="1">
      <alignment vertical="top"/>
    </xf>
    <xf numFmtId="0" fontId="4" fillId="25" borderId="57" xfId="0" applyFont="1" applyFill="1" applyBorder="1" applyAlignment="1">
      <alignment vertical="top"/>
    </xf>
    <xf numFmtId="0" fontId="4" fillId="25" borderId="28" xfId="0" applyFont="1" applyFill="1" applyBorder="1" applyAlignment="1">
      <alignment vertical="top"/>
    </xf>
    <xf numFmtId="0" fontId="4" fillId="0" borderId="70" xfId="0" applyFont="1" applyBorder="1" applyAlignment="1">
      <alignment horizontal="center" vertical="top"/>
    </xf>
    <xf numFmtId="0" fontId="4" fillId="27" borderId="55" xfId="0" applyFont="1" applyFill="1" applyBorder="1" applyAlignment="1">
      <alignment vertical="top"/>
    </xf>
    <xf numFmtId="0" fontId="4" fillId="27" borderId="54" xfId="0" applyFont="1" applyFill="1" applyBorder="1" applyAlignment="1">
      <alignment vertical="top"/>
    </xf>
    <xf numFmtId="0" fontId="4" fillId="25" borderId="66" xfId="0" applyFont="1" applyFill="1" applyBorder="1" applyAlignment="1">
      <alignment vertical="top"/>
    </xf>
    <xf numFmtId="0" fontId="4" fillId="0" borderId="18" xfId="0" applyFont="1" applyBorder="1" applyAlignment="1">
      <alignment horizontal="center" vertical="top"/>
    </xf>
    <xf numFmtId="0" fontId="4" fillId="27" borderId="88" xfId="0" applyFont="1" applyFill="1" applyBorder="1" applyAlignment="1">
      <alignment vertical="top"/>
    </xf>
    <xf numFmtId="0" fontId="4" fillId="27" borderId="132" xfId="0" applyFont="1" applyFill="1" applyBorder="1" applyAlignment="1">
      <alignment vertical="top"/>
    </xf>
    <xf numFmtId="0" fontId="4" fillId="25" borderId="56" xfId="0" applyFont="1" applyFill="1" applyBorder="1" applyAlignment="1">
      <alignment vertical="top"/>
    </xf>
    <xf numFmtId="0" fontId="4" fillId="25" borderId="36" xfId="0" applyFont="1" applyFill="1" applyBorder="1" applyAlignment="1">
      <alignment vertical="top"/>
    </xf>
    <xf numFmtId="0" fontId="4" fillId="0" borderId="48" xfId="0" applyFont="1" applyBorder="1" applyAlignment="1">
      <alignment horizontal="center" vertical="top"/>
    </xf>
    <xf numFmtId="0" fontId="4" fillId="27" borderId="53" xfId="0" applyFont="1" applyFill="1" applyBorder="1" applyAlignment="1">
      <alignment vertical="top"/>
    </xf>
    <xf numFmtId="0" fontId="4" fillId="27" borderId="52" xfId="0" applyFont="1" applyFill="1" applyBorder="1" applyAlignment="1">
      <alignment vertical="top"/>
    </xf>
    <xf numFmtId="0" fontId="4" fillId="39" borderId="13" xfId="0" applyFont="1" applyFill="1" applyBorder="1" applyAlignment="1">
      <alignment vertical="top"/>
    </xf>
    <xf numFmtId="0" fontId="2" fillId="44" borderId="11" xfId="0" applyFont="1" applyFill="1" applyBorder="1" applyAlignment="1">
      <alignment horizontal="center" vertical="top"/>
    </xf>
    <xf numFmtId="0" fontId="37" fillId="39" borderId="11" xfId="0" applyFont="1" applyFill="1" applyBorder="1" applyAlignment="1">
      <alignment vertical="top"/>
    </xf>
    <xf numFmtId="0" fontId="40" fillId="27" borderId="13" xfId="0" applyFont="1" applyFill="1" applyBorder="1"/>
    <xf numFmtId="0" fontId="2" fillId="27" borderId="26" xfId="0" applyFont="1" applyFill="1" applyBorder="1" applyAlignment="1">
      <alignment horizontal="center" vertical="top"/>
    </xf>
    <xf numFmtId="0" fontId="2" fillId="39" borderId="108" xfId="0" applyFont="1" applyFill="1" applyBorder="1" applyAlignment="1">
      <alignment vertical="top"/>
    </xf>
    <xf numFmtId="0" fontId="4" fillId="27" borderId="70" xfId="0" applyFont="1" applyFill="1" applyBorder="1" applyAlignment="1">
      <alignment horizontal="center" vertical="top"/>
    </xf>
    <xf numFmtId="0" fontId="2" fillId="39" borderId="102" xfId="0" applyFont="1" applyFill="1" applyBorder="1" applyAlignment="1">
      <alignment horizontal="center" vertical="top"/>
    </xf>
    <xf numFmtId="0" fontId="4" fillId="27" borderId="18" xfId="0" applyFont="1" applyFill="1" applyBorder="1" applyAlignment="1">
      <alignment horizontal="center" vertical="top"/>
    </xf>
    <xf numFmtId="0" fontId="2" fillId="44" borderId="108" xfId="0" applyFont="1" applyFill="1" applyBorder="1" applyAlignment="1">
      <alignment vertical="top"/>
    </xf>
    <xf numFmtId="0" fontId="2" fillId="39" borderId="18" xfId="0" applyFont="1" applyFill="1" applyBorder="1" applyAlignment="1">
      <alignment horizontal="center" vertical="top"/>
    </xf>
    <xf numFmtId="0" fontId="4" fillId="27" borderId="48" xfId="0" applyFont="1" applyFill="1" applyBorder="1" applyAlignment="1">
      <alignment horizontal="center" vertical="top"/>
    </xf>
    <xf numFmtId="0" fontId="2" fillId="44" borderId="68" xfId="0" applyFont="1" applyFill="1" applyBorder="1" applyAlignment="1">
      <alignment vertical="top"/>
    </xf>
    <xf numFmtId="0" fontId="2" fillId="39" borderId="24" xfId="0" applyFont="1" applyFill="1" applyBorder="1" applyAlignment="1">
      <alignment horizontal="center" vertical="top"/>
    </xf>
    <xf numFmtId="0" fontId="2" fillId="27" borderId="46" xfId="0" applyFont="1" applyFill="1" applyBorder="1" applyAlignment="1">
      <alignment horizontal="center" vertical="top"/>
    </xf>
    <xf numFmtId="0" fontId="2" fillId="27" borderId="24" xfId="0" applyFont="1" applyFill="1" applyBorder="1" applyAlignment="1">
      <alignment horizontal="center" vertical="top"/>
    </xf>
    <xf numFmtId="0" fontId="2" fillId="39" borderId="108" xfId="0" applyFont="1" applyFill="1" applyBorder="1"/>
    <xf numFmtId="0" fontId="2" fillId="39" borderId="73" xfId="0" applyFont="1" applyFill="1" applyBorder="1" applyAlignment="1">
      <alignment vertical="top"/>
    </xf>
    <xf numFmtId="165" fontId="4" fillId="27" borderId="88" xfId="0" applyNumberFormat="1" applyFont="1" applyFill="1" applyBorder="1" applyAlignment="1">
      <alignment vertical="top"/>
    </xf>
    <xf numFmtId="165" fontId="4" fillId="27" borderId="132" xfId="0" applyNumberFormat="1" applyFont="1" applyFill="1" applyBorder="1" applyAlignment="1">
      <alignment vertical="top"/>
    </xf>
    <xf numFmtId="0" fontId="2" fillId="39" borderId="68" xfId="0" applyFont="1" applyFill="1" applyBorder="1" applyAlignment="1">
      <alignment vertical="top"/>
    </xf>
    <xf numFmtId="165" fontId="2" fillId="27" borderId="71" xfId="0" applyNumberFormat="1" applyFont="1" applyFill="1" applyBorder="1" applyAlignment="1">
      <alignment vertical="top"/>
    </xf>
    <xf numFmtId="0" fontId="2" fillId="41" borderId="14" xfId="0" applyFont="1" applyFill="1" applyBorder="1" applyAlignment="1">
      <alignment horizontal="center" vertical="top"/>
    </xf>
    <xf numFmtId="0" fontId="2" fillId="41" borderId="15" xfId="0" applyFont="1" applyFill="1" applyBorder="1" applyAlignment="1">
      <alignment horizontal="center" vertical="top"/>
    </xf>
    <xf numFmtId="0" fontId="2" fillId="41" borderId="16" xfId="0" applyFont="1" applyFill="1" applyBorder="1" applyAlignment="1">
      <alignment horizontal="center" vertical="top"/>
    </xf>
    <xf numFmtId="0" fontId="41" fillId="25" borderId="0" xfId="0" applyFont="1" applyFill="1" applyAlignment="1">
      <alignment vertical="center"/>
    </xf>
    <xf numFmtId="0" fontId="37" fillId="25" borderId="0" xfId="0" applyFont="1" applyFill="1" applyAlignment="1">
      <alignment horizontal="right" vertical="top"/>
    </xf>
    <xf numFmtId="0" fontId="37" fillId="25" borderId="14" xfId="0" applyFont="1" applyFill="1" applyBorder="1" applyAlignment="1">
      <alignment horizontal="center" vertical="top"/>
    </xf>
    <xf numFmtId="0" fontId="37" fillId="44" borderId="73" xfId="0" applyFont="1" applyFill="1" applyBorder="1" applyAlignment="1">
      <alignment vertical="top"/>
    </xf>
    <xf numFmtId="0" fontId="37" fillId="25" borderId="15" xfId="0" applyFont="1" applyFill="1" applyBorder="1" applyAlignment="1">
      <alignment horizontal="center" vertical="top"/>
    </xf>
    <xf numFmtId="0" fontId="37" fillId="25" borderId="16" xfId="0" applyFont="1" applyFill="1" applyBorder="1" applyAlignment="1">
      <alignment horizontal="center" vertical="top"/>
    </xf>
    <xf numFmtId="0" fontId="37" fillId="39" borderId="108" xfId="0" applyFont="1" applyFill="1" applyBorder="1" applyAlignment="1">
      <alignment vertical="top"/>
    </xf>
    <xf numFmtId="0" fontId="37" fillId="25" borderId="25" xfId="0" applyFont="1" applyFill="1" applyBorder="1" applyAlignment="1">
      <alignment vertical="center" wrapText="1"/>
    </xf>
    <xf numFmtId="165" fontId="37" fillId="27" borderId="26" xfId="0" applyNumberFormat="1" applyFont="1" applyFill="1" applyBorder="1" applyAlignment="1">
      <alignment vertical="top"/>
    </xf>
    <xf numFmtId="0" fontId="37" fillId="25" borderId="26" xfId="0" quotePrefix="1" applyFont="1" applyFill="1" applyBorder="1" applyAlignment="1">
      <alignment horizontal="center" vertical="top"/>
    </xf>
    <xf numFmtId="0" fontId="37" fillId="41" borderId="19" xfId="0" applyFont="1" applyFill="1" applyBorder="1" applyAlignment="1">
      <alignment horizontal="center" vertical="top"/>
    </xf>
    <xf numFmtId="0" fontId="37" fillId="39" borderId="10" xfId="0" applyFont="1" applyFill="1" applyBorder="1" applyAlignment="1">
      <alignment horizontal="center" vertical="top"/>
    </xf>
    <xf numFmtId="0" fontId="37" fillId="41" borderId="20" xfId="0" applyFont="1" applyFill="1" applyBorder="1" applyAlignment="1">
      <alignment horizontal="center" vertical="top"/>
    </xf>
    <xf numFmtId="0" fontId="37" fillId="39" borderId="88" xfId="0" applyFont="1" applyFill="1" applyBorder="1" applyAlignment="1">
      <alignment horizontal="center" vertical="top"/>
    </xf>
    <xf numFmtId="0" fontId="37" fillId="44" borderId="95" xfId="0" applyFont="1" applyFill="1" applyBorder="1" applyAlignment="1">
      <alignment vertical="top"/>
    </xf>
    <xf numFmtId="0" fontId="37" fillId="41" borderId="23" xfId="0" applyFont="1" applyFill="1" applyBorder="1" applyAlignment="1">
      <alignment horizontal="center" vertical="top"/>
    </xf>
    <xf numFmtId="0" fontId="37" fillId="44" borderId="68" xfId="0" applyFont="1" applyFill="1" applyBorder="1" applyAlignment="1">
      <alignment vertical="top"/>
    </xf>
    <xf numFmtId="0" fontId="37" fillId="25" borderId="22" xfId="0" applyFont="1" applyFill="1" applyBorder="1" applyAlignment="1">
      <alignment horizontal="center" vertical="top"/>
    </xf>
    <xf numFmtId="0" fontId="37" fillId="25" borderId="24" xfId="0" applyFont="1" applyFill="1" applyBorder="1" applyAlignment="1">
      <alignment horizontal="center" vertical="top"/>
    </xf>
    <xf numFmtId="165" fontId="37" fillId="27" borderId="11" xfId="0" applyNumberFormat="1" applyFont="1" applyFill="1" applyBorder="1" applyAlignment="1">
      <alignment vertical="top"/>
    </xf>
    <xf numFmtId="165" fontId="37" fillId="27" borderId="62" xfId="0" applyNumberFormat="1" applyFont="1" applyFill="1" applyBorder="1" applyAlignment="1">
      <alignment vertical="top"/>
    </xf>
    <xf numFmtId="165" fontId="37" fillId="27" borderId="64" xfId="0" applyNumberFormat="1" applyFont="1" applyFill="1" applyBorder="1" applyAlignment="1">
      <alignment vertical="top"/>
    </xf>
    <xf numFmtId="0" fontId="0" fillId="0" borderId="12" xfId="0" applyBorder="1" applyAlignment="1">
      <alignment vertical="center" wrapText="1"/>
    </xf>
    <xf numFmtId="0" fontId="2" fillId="25" borderId="26" xfId="0" applyFont="1" applyFill="1" applyBorder="1" applyAlignment="1">
      <alignment horizontal="center" vertical="center"/>
    </xf>
    <xf numFmtId="0" fontId="37" fillId="27" borderId="51" xfId="0" applyFont="1" applyFill="1" applyBorder="1" applyAlignment="1">
      <alignment horizontal="center" vertical="top"/>
    </xf>
    <xf numFmtId="0" fontId="37" fillId="27" borderId="15" xfId="0" applyFont="1" applyFill="1" applyBorder="1" applyAlignment="1">
      <alignment horizontal="center" vertical="top"/>
    </xf>
    <xf numFmtId="0" fontId="37" fillId="27" borderId="139" xfId="0" applyFont="1" applyFill="1" applyBorder="1" applyAlignment="1">
      <alignment horizontal="center" vertical="top"/>
    </xf>
    <xf numFmtId="0" fontId="37" fillId="27" borderId="36" xfId="0" applyFont="1" applyFill="1" applyBorder="1" applyAlignment="1">
      <alignment horizontal="center" vertical="top"/>
    </xf>
    <xf numFmtId="0" fontId="4" fillId="25" borderId="41" xfId="0" applyFont="1" applyFill="1" applyBorder="1" applyAlignment="1">
      <alignment vertical="center" wrapText="1"/>
    </xf>
    <xf numFmtId="0" fontId="0" fillId="0" borderId="41" xfId="0" applyBorder="1" applyAlignment="1">
      <alignment vertical="center" wrapText="1"/>
    </xf>
    <xf numFmtId="0" fontId="37" fillId="25" borderId="28" xfId="0" applyFont="1" applyFill="1" applyBorder="1" applyAlignment="1">
      <alignment horizontal="center" vertical="top"/>
    </xf>
    <xf numFmtId="165" fontId="37" fillId="25" borderId="28" xfId="0" applyNumberFormat="1" applyFont="1" applyFill="1" applyBorder="1" applyAlignment="1">
      <alignment vertical="top"/>
    </xf>
    <xf numFmtId="0" fontId="37" fillId="39" borderId="25" xfId="0" applyFont="1" applyFill="1" applyBorder="1" applyAlignment="1">
      <alignment vertical="top"/>
    </xf>
    <xf numFmtId="0" fontId="37" fillId="27" borderId="14" xfId="0" applyFont="1" applyFill="1" applyBorder="1" applyAlignment="1">
      <alignment horizontal="center" vertical="top"/>
    </xf>
    <xf numFmtId="165" fontId="37" fillId="27" borderId="63" xfId="0" applyNumberFormat="1" applyFont="1" applyFill="1" applyBorder="1" applyAlignment="1">
      <alignment vertical="top"/>
    </xf>
    <xf numFmtId="0" fontId="37" fillId="27" borderId="20" xfId="0" applyFont="1" applyFill="1" applyBorder="1" applyAlignment="1">
      <alignment horizontal="center" vertical="top"/>
    </xf>
    <xf numFmtId="0" fontId="37" fillId="27" borderId="23" xfId="0" applyFont="1" applyFill="1" applyBorder="1" applyAlignment="1">
      <alignment horizontal="center" vertical="top"/>
    </xf>
    <xf numFmtId="0" fontId="2" fillId="40" borderId="167" xfId="0" applyFont="1" applyFill="1" applyBorder="1" applyAlignment="1">
      <alignment horizontal="center" vertical="center"/>
    </xf>
    <xf numFmtId="165" fontId="4" fillId="27" borderId="168" xfId="0" applyNumberFormat="1" applyFont="1" applyFill="1" applyBorder="1" applyAlignment="1">
      <alignment vertical="top"/>
    </xf>
    <xf numFmtId="165" fontId="4" fillId="27" borderId="169" xfId="0" applyNumberFormat="1" applyFont="1" applyFill="1" applyBorder="1" applyAlignment="1">
      <alignment vertical="top"/>
    </xf>
    <xf numFmtId="0" fontId="2" fillId="40" borderId="172" xfId="0" applyFont="1" applyFill="1" applyBorder="1" applyAlignment="1">
      <alignment horizontal="center" vertical="center"/>
    </xf>
    <xf numFmtId="165" fontId="4" fillId="27" borderId="173" xfId="0" applyNumberFormat="1" applyFont="1" applyFill="1" applyBorder="1" applyAlignment="1">
      <alignment vertical="top"/>
    </xf>
    <xf numFmtId="165" fontId="4" fillId="27" borderId="174" xfId="0" applyNumberFormat="1" applyFont="1" applyFill="1" applyBorder="1" applyAlignment="1">
      <alignment vertical="top"/>
    </xf>
    <xf numFmtId="165" fontId="37" fillId="40" borderId="62" xfId="0" applyNumberFormat="1" applyFont="1" applyFill="1" applyBorder="1" applyAlignment="1">
      <alignment vertical="top"/>
    </xf>
    <xf numFmtId="165" fontId="37" fillId="40" borderId="63" xfId="0" applyNumberFormat="1" applyFont="1" applyFill="1" applyBorder="1" applyAlignment="1">
      <alignment vertical="top"/>
    </xf>
    <xf numFmtId="165" fontId="37" fillId="40" borderId="64" xfId="0" applyNumberFormat="1" applyFont="1" applyFill="1" applyBorder="1" applyAlignment="1">
      <alignment vertical="top"/>
    </xf>
    <xf numFmtId="0" fontId="37" fillId="39" borderId="67" xfId="0" applyFont="1" applyFill="1" applyBorder="1" applyAlignment="1">
      <alignment vertical="top"/>
    </xf>
    <xf numFmtId="0" fontId="37" fillId="25" borderId="12" xfId="0" applyFont="1" applyFill="1" applyBorder="1" applyAlignment="1">
      <alignment horizontal="center" vertical="top"/>
    </xf>
    <xf numFmtId="0" fontId="2" fillId="39" borderId="74" xfId="0" applyFont="1" applyFill="1" applyBorder="1" applyAlignment="1">
      <alignment vertical="top"/>
    </xf>
    <xf numFmtId="0" fontId="4" fillId="25" borderId="100" xfId="0" applyFont="1" applyFill="1" applyBorder="1" applyAlignment="1">
      <alignment vertical="top"/>
    </xf>
    <xf numFmtId="0" fontId="4" fillId="25" borderId="51" xfId="0" applyFont="1" applyFill="1" applyBorder="1" applyAlignment="1">
      <alignment vertical="top"/>
    </xf>
    <xf numFmtId="0" fontId="4" fillId="27" borderId="91" xfId="0" applyFont="1" applyFill="1" applyBorder="1" applyAlignment="1">
      <alignment vertical="top"/>
    </xf>
    <xf numFmtId="0" fontId="4" fillId="27" borderId="90" xfId="0" applyFont="1" applyFill="1" applyBorder="1" applyAlignment="1">
      <alignment vertical="top"/>
    </xf>
    <xf numFmtId="0" fontId="4" fillId="25" borderId="107" xfId="0" applyFont="1" applyFill="1" applyBorder="1" applyAlignment="1">
      <alignment vertical="top"/>
    </xf>
    <xf numFmtId="0" fontId="4" fillId="25" borderId="15" xfId="0" applyFont="1" applyFill="1" applyBorder="1" applyAlignment="1">
      <alignment vertical="top"/>
    </xf>
    <xf numFmtId="0" fontId="4" fillId="0" borderId="20" xfId="0" applyFont="1" applyBorder="1" applyAlignment="1">
      <alignment horizontal="center" vertical="top"/>
    </xf>
    <xf numFmtId="0" fontId="4" fillId="27" borderId="63" xfId="0" applyFont="1" applyFill="1" applyBorder="1" applyAlignment="1">
      <alignment vertical="top"/>
    </xf>
    <xf numFmtId="0" fontId="4" fillId="27" borderId="93" xfId="0" applyFont="1" applyFill="1" applyBorder="1" applyAlignment="1">
      <alignment vertical="top"/>
    </xf>
    <xf numFmtId="0" fontId="4" fillId="25" borderId="139" xfId="0" applyFont="1" applyFill="1" applyBorder="1" applyAlignment="1">
      <alignment vertical="top"/>
    </xf>
    <xf numFmtId="0" fontId="4" fillId="0" borderId="29" xfId="0" applyFont="1" applyBorder="1" applyAlignment="1">
      <alignment horizontal="center" vertical="top"/>
    </xf>
    <xf numFmtId="0" fontId="2" fillId="0" borderId="0" xfId="0" applyFont="1"/>
    <xf numFmtId="0" fontId="47" fillId="0" borderId="0" xfId="0" applyFont="1" applyAlignment="1">
      <alignment vertical="top"/>
    </xf>
    <xf numFmtId="0" fontId="37" fillId="0" borderId="10" xfId="0" applyFont="1" applyBorder="1" applyAlignment="1">
      <alignment vertical="top"/>
    </xf>
    <xf numFmtId="0" fontId="37" fillId="27" borderId="43" xfId="0" applyFont="1" applyFill="1" applyBorder="1" applyAlignment="1">
      <alignment vertical="top"/>
    </xf>
    <xf numFmtId="0" fontId="37" fillId="27" borderId="28" xfId="0" applyFont="1" applyFill="1" applyBorder="1" applyAlignment="1">
      <alignment vertical="top"/>
    </xf>
    <xf numFmtId="0" fontId="37" fillId="27" borderId="71" xfId="0" applyFont="1" applyFill="1" applyBorder="1" applyAlignment="1">
      <alignment horizontal="center" vertical="top"/>
    </xf>
    <xf numFmtId="0" fontId="37" fillId="27" borderId="71" xfId="0" applyFont="1" applyFill="1" applyBorder="1" applyAlignment="1">
      <alignment vertical="top"/>
    </xf>
    <xf numFmtId="0" fontId="37" fillId="27" borderId="72" xfId="0" applyFont="1" applyFill="1" applyBorder="1" applyAlignment="1">
      <alignment vertical="top"/>
    </xf>
    <xf numFmtId="0" fontId="37" fillId="27" borderId="65" xfId="0" applyFont="1" applyFill="1" applyBorder="1" applyAlignment="1">
      <alignment vertical="top"/>
    </xf>
    <xf numFmtId="0" fontId="37" fillId="27" borderId="39" xfId="0" applyFont="1" applyFill="1" applyBorder="1" applyAlignment="1">
      <alignment vertical="top"/>
    </xf>
    <xf numFmtId="0" fontId="37" fillId="27" borderId="60" xfId="0" applyFont="1" applyFill="1" applyBorder="1" applyAlignment="1">
      <alignment horizontal="center" vertical="top"/>
    </xf>
    <xf numFmtId="0" fontId="37" fillId="27" borderId="60" xfId="0" applyFont="1" applyFill="1" applyBorder="1" applyAlignment="1">
      <alignment vertical="top"/>
    </xf>
    <xf numFmtId="0" fontId="37" fillId="27" borderId="61" xfId="0" applyFont="1" applyFill="1" applyBorder="1" applyAlignment="1">
      <alignment vertical="top"/>
    </xf>
    <xf numFmtId="0" fontId="2" fillId="27" borderId="91" xfId="0" applyFont="1" applyFill="1" applyBorder="1" applyAlignment="1">
      <alignment vertical="top"/>
    </xf>
    <xf numFmtId="0" fontId="2" fillId="27" borderId="90" xfId="0" applyFont="1" applyFill="1" applyBorder="1" applyAlignment="1">
      <alignment vertical="top"/>
    </xf>
    <xf numFmtId="0" fontId="2" fillId="39" borderId="13" xfId="0" applyFont="1" applyFill="1" applyBorder="1"/>
    <xf numFmtId="0" fontId="2" fillId="27" borderId="63" xfId="0" applyFont="1" applyFill="1" applyBorder="1" applyAlignment="1">
      <alignment vertical="top"/>
    </xf>
    <xf numFmtId="0" fontId="2" fillId="27" borderId="93" xfId="0" applyFont="1" applyFill="1" applyBorder="1" applyAlignment="1">
      <alignment vertical="top"/>
    </xf>
    <xf numFmtId="0" fontId="2" fillId="27" borderId="53" xfId="0" applyFont="1" applyFill="1" applyBorder="1" applyAlignment="1">
      <alignment vertical="top"/>
    </xf>
    <xf numFmtId="0" fontId="2" fillId="27" borderId="52" xfId="0" applyFont="1" applyFill="1" applyBorder="1" applyAlignment="1">
      <alignment vertical="top"/>
    </xf>
    <xf numFmtId="0" fontId="2" fillId="35" borderId="0" xfId="88" applyFill="1" applyAlignment="1">
      <alignment horizontal="right" vertical="top"/>
    </xf>
    <xf numFmtId="0" fontId="0" fillId="44" borderId="13" xfId="0" applyFill="1" applyBorder="1" applyAlignment="1">
      <alignment vertical="top"/>
    </xf>
    <xf numFmtId="0" fontId="2" fillId="24" borderId="0" xfId="0" applyFont="1" applyFill="1" applyAlignment="1">
      <alignment horizontal="center" vertical="top"/>
    </xf>
    <xf numFmtId="0" fontId="5" fillId="25" borderId="0" xfId="0" applyFont="1" applyFill="1" applyAlignment="1">
      <alignment vertical="top"/>
    </xf>
    <xf numFmtId="0" fontId="2" fillId="24" borderId="88" xfId="0" applyFont="1" applyFill="1" applyBorder="1" applyAlignment="1">
      <alignment horizontal="center" vertical="top"/>
    </xf>
    <xf numFmtId="0" fontId="3" fillId="26" borderId="0" xfId="0" applyFont="1" applyFill="1" applyAlignment="1">
      <alignment horizontal="left" vertical="top"/>
    </xf>
    <xf numFmtId="0" fontId="2" fillId="24" borderId="74" xfId="0" applyFont="1" applyFill="1" applyBorder="1" applyAlignment="1">
      <alignment vertical="top"/>
    </xf>
    <xf numFmtId="0" fontId="37" fillId="24" borderId="97" xfId="0" applyFont="1" applyFill="1" applyBorder="1" applyAlignment="1">
      <alignment vertical="top"/>
    </xf>
    <xf numFmtId="0" fontId="37" fillId="24" borderId="74" xfId="0" applyFont="1" applyFill="1" applyBorder="1" applyAlignment="1">
      <alignment horizontal="center" vertical="top"/>
    </xf>
    <xf numFmtId="0" fontId="37" fillId="24" borderId="96" xfId="0" applyFont="1" applyFill="1" applyBorder="1" applyAlignment="1">
      <alignment vertical="top"/>
    </xf>
    <xf numFmtId="0" fontId="35" fillId="25" borderId="0" xfId="0" applyFont="1" applyFill="1" applyAlignment="1">
      <alignment horizontal="center" vertical="top"/>
    </xf>
    <xf numFmtId="0" fontId="2" fillId="24" borderId="0" xfId="0" applyFont="1" applyFill="1" applyAlignment="1">
      <alignment horizontal="right" vertical="top"/>
    </xf>
    <xf numFmtId="14" fontId="2" fillId="24" borderId="13" xfId="0" applyNumberFormat="1" applyFont="1" applyFill="1" applyBorder="1" applyAlignment="1">
      <alignment horizontal="center" vertical="top"/>
    </xf>
    <xf numFmtId="0" fontId="2" fillId="24" borderId="13" xfId="0" applyFont="1" applyFill="1" applyBorder="1" applyAlignment="1">
      <alignment horizontal="center" vertical="top"/>
    </xf>
    <xf numFmtId="0" fontId="37" fillId="44" borderId="74" xfId="0" applyFont="1" applyFill="1" applyBorder="1" applyAlignment="1">
      <alignment vertical="top"/>
    </xf>
    <xf numFmtId="0" fontId="37" fillId="24" borderId="47" xfId="0" applyFont="1" applyFill="1" applyBorder="1" applyAlignment="1">
      <alignment vertical="top"/>
    </xf>
    <xf numFmtId="0" fontId="78" fillId="44" borderId="75" xfId="0" applyFont="1" applyFill="1" applyBorder="1" applyAlignment="1">
      <alignment vertical="top"/>
    </xf>
    <xf numFmtId="0" fontId="78" fillId="44" borderId="76" xfId="0" applyFont="1" applyFill="1" applyBorder="1" applyAlignment="1">
      <alignment vertical="top"/>
    </xf>
    <xf numFmtId="0" fontId="78" fillId="44" borderId="77" xfId="0" applyFont="1" applyFill="1" applyBorder="1" applyAlignment="1">
      <alignment vertical="top"/>
    </xf>
    <xf numFmtId="0" fontId="2" fillId="24" borderId="67" xfId="0" applyFont="1" applyFill="1" applyBorder="1" applyAlignment="1">
      <alignment vertical="top"/>
    </xf>
    <xf numFmtId="0" fontId="2" fillId="44" borderId="75" xfId="0" applyFont="1" applyFill="1" applyBorder="1" applyAlignment="1">
      <alignment horizontal="center" vertical="top"/>
    </xf>
    <xf numFmtId="0" fontId="2" fillId="24" borderId="76" xfId="0" applyFont="1" applyFill="1" applyBorder="1" applyAlignment="1">
      <alignment horizontal="center" vertical="top"/>
    </xf>
    <xf numFmtId="0" fontId="2" fillId="24" borderId="77" xfId="0" applyFont="1" applyFill="1" applyBorder="1" applyAlignment="1">
      <alignment horizontal="center" vertical="top"/>
    </xf>
    <xf numFmtId="164" fontId="37" fillId="27" borderId="13" xfId="0" applyNumberFormat="1" applyFont="1" applyFill="1" applyBorder="1" applyAlignment="1">
      <alignment vertical="top" shrinkToFit="1"/>
    </xf>
    <xf numFmtId="164" fontId="37" fillId="27" borderId="67" xfId="0" applyNumberFormat="1" applyFont="1" applyFill="1" applyBorder="1" applyAlignment="1">
      <alignment vertical="top" shrinkToFit="1"/>
    </xf>
    <xf numFmtId="164" fontId="37" fillId="27" borderId="49" xfId="0" applyNumberFormat="1" applyFont="1" applyFill="1" applyBorder="1" applyAlignment="1">
      <alignment vertical="top" shrinkToFit="1"/>
    </xf>
    <xf numFmtId="164" fontId="37" fillId="40" borderId="13" xfId="0" applyNumberFormat="1" applyFont="1" applyFill="1" applyBorder="1" applyAlignment="1">
      <alignment vertical="top" shrinkToFit="1"/>
    </xf>
    <xf numFmtId="0" fontId="2" fillId="24" borderId="13" xfId="0" applyFont="1" applyFill="1" applyBorder="1" applyAlignment="1">
      <alignment vertical="top"/>
    </xf>
    <xf numFmtId="0" fontId="10" fillId="41" borderId="0" xfId="0" quotePrefix="1" applyFont="1" applyFill="1" applyAlignment="1">
      <alignment horizontal="right" vertical="top" wrapText="1"/>
    </xf>
    <xf numFmtId="0" fontId="2" fillId="50" borderId="57" xfId="0" applyFont="1" applyFill="1" applyBorder="1" applyAlignment="1">
      <alignment vertical="top"/>
    </xf>
    <xf numFmtId="0" fontId="10" fillId="50" borderId="28" xfId="0" quotePrefix="1" applyFont="1" applyFill="1" applyBorder="1" applyAlignment="1">
      <alignment horizontal="right" vertical="top" wrapText="1"/>
    </xf>
    <xf numFmtId="0" fontId="10" fillId="50" borderId="28" xfId="0" applyFont="1" applyFill="1" applyBorder="1" applyAlignment="1">
      <alignment vertical="top" wrapText="1"/>
    </xf>
    <xf numFmtId="0" fontId="2" fillId="50" borderId="28" xfId="0" applyFont="1" applyFill="1" applyBorder="1" applyAlignment="1">
      <alignment vertical="top" wrapText="1"/>
    </xf>
    <xf numFmtId="0" fontId="2" fillId="50" borderId="30" xfId="0" applyFont="1" applyFill="1" applyBorder="1" applyAlignment="1">
      <alignment vertical="top" wrapText="1"/>
    </xf>
    <xf numFmtId="0" fontId="4" fillId="50" borderId="66" xfId="0" applyFont="1" applyFill="1" applyBorder="1" applyAlignment="1">
      <alignment horizontal="center" vertical="top"/>
    </xf>
    <xf numFmtId="0" fontId="4" fillId="50" borderId="0" xfId="0" applyFont="1" applyFill="1" applyAlignment="1">
      <alignment vertical="top"/>
    </xf>
    <xf numFmtId="0" fontId="2" fillId="50" borderId="0" xfId="0" applyFont="1" applyFill="1" applyAlignment="1">
      <alignment vertical="top"/>
    </xf>
    <xf numFmtId="0" fontId="4" fillId="50" borderId="0" xfId="0" applyFont="1" applyFill="1" applyAlignment="1">
      <alignment horizontal="center" vertical="top"/>
    </xf>
    <xf numFmtId="0" fontId="4" fillId="50" borderId="78" xfId="0" applyFont="1" applyFill="1" applyBorder="1" applyAlignment="1">
      <alignment horizontal="center" vertical="top"/>
    </xf>
    <xf numFmtId="0" fontId="4" fillId="50" borderId="44" xfId="0" applyFont="1" applyFill="1" applyBorder="1" applyAlignment="1">
      <alignment horizontal="right" vertical="top"/>
    </xf>
    <xf numFmtId="0" fontId="4" fillId="50" borderId="88" xfId="0" applyFont="1" applyFill="1" applyBorder="1" applyAlignment="1">
      <alignment horizontal="right" vertical="top"/>
    </xf>
    <xf numFmtId="0" fontId="4" fillId="50" borderId="126" xfId="0" applyFont="1" applyFill="1" applyBorder="1" applyAlignment="1">
      <alignment horizontal="right" vertical="top"/>
    </xf>
    <xf numFmtId="0" fontId="2" fillId="24" borderId="57" xfId="0" applyFont="1" applyFill="1" applyBorder="1" applyAlignment="1">
      <alignment vertical="top"/>
    </xf>
    <xf numFmtId="0" fontId="4" fillId="24" borderId="71" xfId="0" applyFont="1" applyFill="1" applyBorder="1" applyAlignment="1">
      <alignment vertical="top"/>
    </xf>
    <xf numFmtId="0" fontId="4" fillId="24" borderId="72" xfId="0" applyFont="1" applyFill="1" applyBorder="1" applyAlignment="1">
      <alignment vertical="top"/>
    </xf>
    <xf numFmtId="0" fontId="2" fillId="50" borderId="66" xfId="0" applyFont="1" applyFill="1" applyBorder="1" applyAlignment="1">
      <alignment horizontal="right" vertical="top"/>
    </xf>
    <xf numFmtId="0" fontId="2" fillId="50" borderId="25" xfId="0" applyFont="1" applyFill="1" applyBorder="1" applyAlignment="1">
      <alignment vertical="top"/>
    </xf>
    <xf numFmtId="0" fontId="2" fillId="40" borderId="25" xfId="0" applyFont="1" applyFill="1" applyBorder="1" applyAlignment="1">
      <alignment horizontal="center" vertical="top"/>
    </xf>
    <xf numFmtId="3" fontId="2" fillId="40" borderId="67" xfId="0" applyNumberFormat="1" applyFont="1" applyFill="1" applyBorder="1" applyAlignment="1">
      <alignment vertical="top"/>
    </xf>
    <xf numFmtId="3" fontId="2" fillId="40" borderId="49" xfId="0" applyNumberFormat="1" applyFont="1" applyFill="1" applyBorder="1" applyAlignment="1">
      <alignment vertical="top" shrinkToFit="1"/>
    </xf>
    <xf numFmtId="3" fontId="2" fillId="40" borderId="13" xfId="0" applyNumberFormat="1" applyFont="1" applyFill="1" applyBorder="1" applyAlignment="1">
      <alignment vertical="top" shrinkToFit="1"/>
    </xf>
    <xf numFmtId="3" fontId="2" fillId="40" borderId="58" xfId="0" applyNumberFormat="1" applyFont="1" applyFill="1" applyBorder="1" applyAlignment="1">
      <alignment vertical="top" shrinkToFit="1"/>
    </xf>
    <xf numFmtId="0" fontId="2" fillId="24" borderId="66" xfId="0" applyFont="1" applyFill="1" applyBorder="1" applyAlignment="1">
      <alignment horizontal="right" vertical="top" indent="1"/>
    </xf>
    <xf numFmtId="0" fontId="2" fillId="24" borderId="58" xfId="0" applyFont="1" applyFill="1" applyBorder="1" applyAlignment="1">
      <alignment horizontal="center" vertical="top"/>
    </xf>
    <xf numFmtId="0" fontId="2" fillId="50" borderId="66" xfId="0" applyFont="1" applyFill="1" applyBorder="1" applyAlignment="1">
      <alignment vertical="top"/>
    </xf>
    <xf numFmtId="0" fontId="2" fillId="50" borderId="21" xfId="0" applyFont="1" applyFill="1" applyBorder="1" applyAlignment="1">
      <alignment vertical="top"/>
    </xf>
    <xf numFmtId="0" fontId="2" fillId="50" borderId="21" xfId="0" quotePrefix="1" applyFont="1" applyFill="1" applyBorder="1" applyAlignment="1">
      <alignment horizontal="center" vertical="top"/>
    </xf>
    <xf numFmtId="169" fontId="2" fillId="50" borderId="21" xfId="0" applyNumberFormat="1" applyFont="1" applyFill="1" applyBorder="1" applyAlignment="1">
      <alignment vertical="top"/>
    </xf>
    <xf numFmtId="0" fontId="2" fillId="39" borderId="58" xfId="0" applyFont="1" applyFill="1" applyBorder="1" applyAlignment="1">
      <alignment vertical="top"/>
    </xf>
    <xf numFmtId="0" fontId="2" fillId="50" borderId="25" xfId="0" quotePrefix="1" applyFont="1" applyFill="1" applyBorder="1" applyAlignment="1">
      <alignment horizontal="center" vertical="top"/>
    </xf>
    <xf numFmtId="169" fontId="2" fillId="50" borderId="25" xfId="0" applyNumberFormat="1" applyFont="1" applyFill="1" applyBorder="1" applyAlignment="1">
      <alignment vertical="top"/>
    </xf>
    <xf numFmtId="169" fontId="2" fillId="40" borderId="49" xfId="0" applyNumberFormat="1" applyFont="1" applyFill="1" applyBorder="1" applyAlignment="1">
      <alignment vertical="top" shrinkToFit="1"/>
    </xf>
    <xf numFmtId="169" fontId="2" fillId="40" borderId="13" xfId="0" applyNumberFormat="1" applyFont="1" applyFill="1" applyBorder="1" applyAlignment="1">
      <alignment vertical="top" shrinkToFit="1"/>
    </xf>
    <xf numFmtId="169" fontId="2" fillId="40" borderId="58" xfId="0" applyNumberFormat="1" applyFont="1" applyFill="1" applyBorder="1" applyAlignment="1">
      <alignment vertical="top" shrinkToFit="1"/>
    </xf>
    <xf numFmtId="3" fontId="2" fillId="39" borderId="13" xfId="0" applyNumberFormat="1" applyFont="1" applyFill="1" applyBorder="1" applyAlignment="1">
      <alignment vertical="top"/>
    </xf>
    <xf numFmtId="3" fontId="2" fillId="39" borderId="58" xfId="0" applyNumberFormat="1" applyFont="1" applyFill="1" applyBorder="1" applyAlignment="1">
      <alignment vertical="top"/>
    </xf>
    <xf numFmtId="0" fontId="37" fillId="50" borderId="0" xfId="0" applyFont="1" applyFill="1" applyAlignment="1">
      <alignment vertical="top"/>
    </xf>
    <xf numFmtId="0" fontId="37" fillId="50" borderId="38" xfId="0" applyFont="1" applyFill="1" applyBorder="1" applyAlignment="1">
      <alignment vertical="top"/>
    </xf>
    <xf numFmtId="0" fontId="2" fillId="24" borderId="66" xfId="0" applyFont="1" applyFill="1" applyBorder="1" applyAlignment="1">
      <alignment vertical="top"/>
    </xf>
    <xf numFmtId="0" fontId="37" fillId="24" borderId="38" xfId="0" applyFont="1" applyFill="1" applyBorder="1" applyAlignment="1">
      <alignment vertical="top"/>
    </xf>
    <xf numFmtId="0" fontId="4" fillId="50" borderId="12" xfId="0" applyFont="1" applyFill="1" applyBorder="1" applyAlignment="1">
      <alignment vertical="top"/>
    </xf>
    <xf numFmtId="0" fontId="37" fillId="24" borderId="66" xfId="0" applyFont="1" applyFill="1" applyBorder="1" applyAlignment="1">
      <alignment vertical="top"/>
    </xf>
    <xf numFmtId="0" fontId="2" fillId="24" borderId="38" xfId="0" applyFont="1" applyFill="1" applyBorder="1" applyAlignment="1">
      <alignment horizontal="center" vertical="top"/>
    </xf>
    <xf numFmtId="0" fontId="2" fillId="40" borderId="49" xfId="0" applyFont="1" applyFill="1" applyBorder="1" applyAlignment="1">
      <alignment vertical="top"/>
    </xf>
    <xf numFmtId="0" fontId="2" fillId="40" borderId="58" xfId="0" applyFont="1" applyFill="1" applyBorder="1" applyAlignment="1">
      <alignment vertical="top"/>
    </xf>
    <xf numFmtId="0" fontId="2" fillId="50" borderId="38" xfId="0" applyFont="1" applyFill="1" applyBorder="1" applyAlignment="1">
      <alignment vertical="top"/>
    </xf>
    <xf numFmtId="9" fontId="2" fillId="50" borderId="25" xfId="0" applyNumberFormat="1" applyFont="1" applyFill="1" applyBorder="1" applyAlignment="1">
      <alignment vertical="top"/>
    </xf>
    <xf numFmtId="169" fontId="4" fillId="40" borderId="75" xfId="0" applyNumberFormat="1" applyFont="1" applyFill="1" applyBorder="1" applyAlignment="1">
      <alignment vertical="top"/>
    </xf>
    <xf numFmtId="169" fontId="4" fillId="40" borderId="76" xfId="0" applyNumberFormat="1" applyFont="1" applyFill="1" applyBorder="1" applyAlignment="1">
      <alignment vertical="top"/>
    </xf>
    <xf numFmtId="169" fontId="4" fillId="40" borderId="77" xfId="0" applyNumberFormat="1" applyFont="1" applyFill="1" applyBorder="1" applyAlignment="1">
      <alignment vertical="top"/>
    </xf>
    <xf numFmtId="0" fontId="4" fillId="24" borderId="11" xfId="0" applyFont="1" applyFill="1" applyBorder="1" applyAlignment="1">
      <alignment vertical="top"/>
    </xf>
    <xf numFmtId="0" fontId="4" fillId="24" borderId="126" xfId="0" applyFont="1" applyFill="1" applyBorder="1" applyAlignment="1">
      <alignment vertical="top"/>
    </xf>
    <xf numFmtId="0" fontId="80" fillId="39" borderId="59" xfId="0" applyFont="1" applyFill="1" applyBorder="1" applyAlignment="1">
      <alignment vertical="top"/>
    </xf>
    <xf numFmtId="0" fontId="2" fillId="39" borderId="60" xfId="0" applyFont="1" applyFill="1" applyBorder="1" applyAlignment="1">
      <alignment vertical="top"/>
    </xf>
    <xf numFmtId="0" fontId="2" fillId="39" borderId="61" xfId="0" applyFont="1" applyFill="1" applyBorder="1" applyAlignment="1">
      <alignment vertical="top"/>
    </xf>
    <xf numFmtId="0" fontId="2" fillId="50" borderId="65" xfId="0" applyFont="1" applyFill="1" applyBorder="1" applyAlignment="1">
      <alignment vertical="top"/>
    </xf>
    <xf numFmtId="0" fontId="2" fillId="50" borderId="39" xfId="0" applyFont="1" applyFill="1" applyBorder="1" applyAlignment="1">
      <alignment vertical="top"/>
    </xf>
    <xf numFmtId="0" fontId="2" fillId="50" borderId="40" xfId="0" applyFont="1" applyFill="1" applyBorder="1" applyAlignment="1">
      <alignment vertical="top"/>
    </xf>
    <xf numFmtId="0" fontId="2" fillId="41" borderId="25" xfId="0" applyFont="1" applyFill="1" applyBorder="1" applyAlignment="1">
      <alignment vertical="top" wrapText="1"/>
    </xf>
    <xf numFmtId="0" fontId="37" fillId="41" borderId="25" xfId="0" applyFont="1" applyFill="1" applyBorder="1" applyAlignment="1">
      <alignment vertical="top" wrapText="1"/>
    </xf>
    <xf numFmtId="0" fontId="37" fillId="41" borderId="26" xfId="0" applyFont="1" applyFill="1" applyBorder="1" applyAlignment="1">
      <alignment horizontal="center" vertical="top"/>
    </xf>
    <xf numFmtId="0" fontId="2" fillId="44" borderId="59" xfId="0" applyFont="1" applyFill="1" applyBorder="1" applyAlignment="1">
      <alignment vertical="top"/>
    </xf>
    <xf numFmtId="0" fontId="2" fillId="24" borderId="60" xfId="0" applyFont="1" applyFill="1" applyBorder="1" applyAlignment="1">
      <alignment vertical="top"/>
    </xf>
    <xf numFmtId="0" fontId="2" fillId="24" borderId="61" xfId="0" applyFont="1" applyFill="1" applyBorder="1" applyAlignment="1">
      <alignment vertical="top"/>
    </xf>
    <xf numFmtId="4" fontId="37" fillId="24" borderId="71" xfId="0" applyNumberFormat="1" applyFont="1" applyFill="1" applyBorder="1" applyAlignment="1">
      <alignment vertical="top"/>
    </xf>
    <xf numFmtId="0" fontId="37" fillId="25" borderId="14" xfId="0" applyFont="1" applyFill="1" applyBorder="1" applyAlignment="1">
      <alignment vertical="top" wrapText="1"/>
    </xf>
    <xf numFmtId="0" fontId="37" fillId="41" borderId="14" xfId="0" applyFont="1" applyFill="1" applyBorder="1" applyAlignment="1">
      <alignment horizontal="center" vertical="top"/>
    </xf>
    <xf numFmtId="0" fontId="2" fillId="41" borderId="12" xfId="0" applyFont="1" applyFill="1" applyBorder="1" applyAlignment="1">
      <alignment vertical="top" wrapText="1"/>
    </xf>
    <xf numFmtId="0" fontId="37" fillId="41" borderId="12" xfId="0" applyFont="1" applyFill="1" applyBorder="1" applyAlignment="1">
      <alignment vertical="top" wrapText="1"/>
    </xf>
    <xf numFmtId="0" fontId="37" fillId="41" borderId="12" xfId="0" applyFont="1" applyFill="1" applyBorder="1" applyAlignment="1">
      <alignment horizontal="center" vertical="top"/>
    </xf>
    <xf numFmtId="0" fontId="47" fillId="24" borderId="0" xfId="0" applyFont="1" applyFill="1" applyAlignment="1">
      <alignment vertical="top"/>
    </xf>
    <xf numFmtId="0" fontId="0" fillId="50" borderId="28" xfId="0" applyFill="1" applyBorder="1" applyAlignment="1">
      <alignment vertical="top" wrapText="1"/>
    </xf>
    <xf numFmtId="0" fontId="0" fillId="50" borderId="30" xfId="0" applyFill="1" applyBorder="1" applyAlignment="1">
      <alignment vertical="top" wrapText="1"/>
    </xf>
    <xf numFmtId="0" fontId="2" fillId="50" borderId="25" xfId="0" applyFont="1" applyFill="1" applyBorder="1" applyAlignment="1">
      <alignment horizontal="center" vertical="top"/>
    </xf>
    <xf numFmtId="3" fontId="2" fillId="40" borderId="127" xfId="0" applyNumberFormat="1" applyFont="1" applyFill="1" applyBorder="1" applyAlignment="1">
      <alignment vertical="top" shrinkToFit="1"/>
    </xf>
    <xf numFmtId="3" fontId="2" fillId="40" borderId="10" xfId="0" applyNumberFormat="1" applyFont="1" applyFill="1" applyBorder="1" applyAlignment="1">
      <alignment vertical="top" shrinkToFit="1"/>
    </xf>
    <xf numFmtId="3" fontId="2" fillId="40" borderId="129" xfId="0" applyNumberFormat="1" applyFont="1" applyFill="1" applyBorder="1" applyAlignment="1">
      <alignment vertical="top" shrinkToFit="1"/>
    </xf>
    <xf numFmtId="164" fontId="2" fillId="24" borderId="13" xfId="0" applyNumberFormat="1" applyFont="1" applyFill="1" applyBorder="1" applyAlignment="1">
      <alignment vertical="top"/>
    </xf>
    <xf numFmtId="4" fontId="2" fillId="39" borderId="13" xfId="0" applyNumberFormat="1" applyFont="1" applyFill="1" applyBorder="1" applyAlignment="1">
      <alignment vertical="top"/>
    </xf>
    <xf numFmtId="4" fontId="2" fillId="39" borderId="58" xfId="0" applyNumberFormat="1" applyFont="1" applyFill="1" applyBorder="1" applyAlignment="1">
      <alignment vertical="top"/>
    </xf>
    <xf numFmtId="0" fontId="37" fillId="50" borderId="65" xfId="0" applyFont="1" applyFill="1" applyBorder="1" applyAlignment="1">
      <alignment vertical="top"/>
    </xf>
    <xf numFmtId="0" fontId="37" fillId="50" borderId="39" xfId="0" applyFont="1" applyFill="1" applyBorder="1" applyAlignment="1">
      <alignment vertical="top"/>
    </xf>
    <xf numFmtId="0" fontId="47" fillId="50" borderId="39" xfId="0" applyFont="1" applyFill="1" applyBorder="1" applyAlignment="1">
      <alignment vertical="top"/>
    </xf>
    <xf numFmtId="0" fontId="37" fillId="50" borderId="40" xfId="0" applyFont="1" applyFill="1" applyBorder="1" applyAlignment="1">
      <alignment vertical="top"/>
    </xf>
    <xf numFmtId="0" fontId="4" fillId="25" borderId="99" xfId="0" applyFont="1" applyFill="1" applyBorder="1" applyAlignment="1">
      <alignment horizontal="center" vertical="top" wrapText="1"/>
    </xf>
    <xf numFmtId="0" fontId="4" fillId="25" borderId="78" xfId="0" applyFont="1" applyFill="1" applyBorder="1" applyAlignment="1">
      <alignment vertical="top" wrapText="1"/>
    </xf>
    <xf numFmtId="0" fontId="2" fillId="24" borderId="103" xfId="0" applyFont="1" applyFill="1" applyBorder="1" applyAlignment="1">
      <alignment vertical="top"/>
    </xf>
    <xf numFmtId="0" fontId="37" fillId="24" borderId="43" xfId="0" applyFont="1" applyFill="1" applyBorder="1" applyAlignment="1">
      <alignment vertical="top"/>
    </xf>
    <xf numFmtId="0" fontId="37" fillId="24" borderId="71" xfId="0" applyFont="1" applyFill="1" applyBorder="1" applyAlignment="1">
      <alignment vertical="top"/>
    </xf>
    <xf numFmtId="0" fontId="37" fillId="44" borderId="72" xfId="0" applyFont="1" applyFill="1" applyBorder="1" applyAlignment="1">
      <alignment vertical="top"/>
    </xf>
    <xf numFmtId="0" fontId="2" fillId="24" borderId="46" xfId="0" applyFont="1" applyFill="1" applyBorder="1" applyAlignment="1">
      <alignment horizontal="center" vertical="top"/>
    </xf>
    <xf numFmtId="0" fontId="2" fillId="24" borderId="71" xfId="0" applyFont="1" applyFill="1" applyBorder="1" applyAlignment="1">
      <alignment horizontal="center" vertical="top"/>
    </xf>
    <xf numFmtId="0" fontId="2" fillId="24" borderId="72" xfId="0" applyFont="1" applyFill="1" applyBorder="1" applyAlignment="1">
      <alignment horizontal="center" vertical="top"/>
    </xf>
    <xf numFmtId="0" fontId="37" fillId="24" borderId="49" xfId="0" applyFont="1" applyFill="1" applyBorder="1" applyAlignment="1">
      <alignment vertical="top"/>
    </xf>
    <xf numFmtId="0" fontId="37" fillId="24" borderId="58" xfId="0" applyFont="1" applyFill="1" applyBorder="1" applyAlignment="1">
      <alignment vertical="top"/>
    </xf>
    <xf numFmtId="0" fontId="37" fillId="24" borderId="26" xfId="0" applyFont="1" applyFill="1" applyBorder="1" applyAlignment="1">
      <alignment vertical="top"/>
    </xf>
    <xf numFmtId="0" fontId="37" fillId="24" borderId="59" xfId="0" applyFont="1" applyFill="1" applyBorder="1" applyAlignment="1">
      <alignment vertical="top"/>
    </xf>
    <xf numFmtId="0" fontId="37" fillId="24" borderId="60" xfId="0" applyFont="1" applyFill="1" applyBorder="1" applyAlignment="1">
      <alignment vertical="top"/>
    </xf>
    <xf numFmtId="0" fontId="37" fillId="24" borderId="61" xfId="0" applyFont="1" applyFill="1" applyBorder="1" applyAlignment="1">
      <alignment vertical="top"/>
    </xf>
    <xf numFmtId="0" fontId="37" fillId="24" borderId="69" xfId="0" applyFont="1" applyFill="1" applyBorder="1" applyAlignment="1">
      <alignment vertical="top"/>
    </xf>
    <xf numFmtId="0" fontId="37" fillId="25" borderId="26" xfId="0" applyFont="1" applyFill="1" applyBorder="1" applyAlignment="1">
      <alignment vertical="top"/>
    </xf>
    <xf numFmtId="0" fontId="37" fillId="25" borderId="67" xfId="0" applyFont="1" applyFill="1" applyBorder="1" applyAlignment="1">
      <alignment vertical="top" wrapText="1"/>
    </xf>
    <xf numFmtId="0" fontId="37" fillId="25" borderId="25" xfId="0" applyFont="1" applyFill="1" applyBorder="1" applyAlignment="1">
      <alignment vertical="top" wrapText="1"/>
    </xf>
    <xf numFmtId="165" fontId="37" fillId="27" borderId="94" xfId="0" applyNumberFormat="1" applyFont="1" applyFill="1" applyBorder="1" applyAlignment="1">
      <alignment vertical="top"/>
    </xf>
    <xf numFmtId="165" fontId="37" fillId="27" borderId="123" xfId="0" applyNumberFormat="1" applyFont="1" applyFill="1" applyBorder="1" applyAlignment="1">
      <alignment vertical="top"/>
    </xf>
    <xf numFmtId="0" fontId="0" fillId="43" borderId="57" xfId="0" applyFill="1" applyBorder="1" applyAlignment="1">
      <alignment vertical="top"/>
    </xf>
    <xf numFmtId="0" fontId="0" fillId="43" borderId="28" xfId="0" applyFill="1" applyBorder="1" applyAlignment="1">
      <alignment vertical="top"/>
    </xf>
    <xf numFmtId="0" fontId="2" fillId="43" borderId="28" xfId="0" applyFont="1" applyFill="1" applyBorder="1" applyAlignment="1">
      <alignment vertical="top"/>
    </xf>
    <xf numFmtId="0" fontId="2" fillId="43" borderId="30" xfId="0" applyFont="1" applyFill="1" applyBorder="1" applyAlignment="1">
      <alignment vertical="top"/>
    </xf>
    <xf numFmtId="0" fontId="0" fillId="43" borderId="66" xfId="0" applyFill="1" applyBorder="1" applyAlignment="1">
      <alignment vertical="top"/>
    </xf>
    <xf numFmtId="0" fontId="37" fillId="43" borderId="66" xfId="0" applyFont="1" applyFill="1" applyBorder="1" applyAlignment="1">
      <alignment vertical="top"/>
    </xf>
    <xf numFmtId="0" fontId="37" fillId="43" borderId="0" xfId="0" applyFont="1" applyFill="1" applyAlignment="1">
      <alignment vertical="top"/>
    </xf>
    <xf numFmtId="0" fontId="37" fillId="43" borderId="38" xfId="0" applyFont="1" applyFill="1" applyBorder="1" applyAlignment="1">
      <alignment vertical="top"/>
    </xf>
    <xf numFmtId="0" fontId="0" fillId="43" borderId="0" xfId="0" applyFill="1" applyAlignment="1">
      <alignment vertical="top"/>
    </xf>
    <xf numFmtId="0" fontId="4" fillId="43" borderId="0" xfId="0" applyFont="1" applyFill="1" applyAlignment="1">
      <alignment horizontal="center" vertical="top"/>
    </xf>
    <xf numFmtId="0" fontId="10" fillId="43" borderId="0" xfId="0" quotePrefix="1" applyFont="1" applyFill="1" applyAlignment="1">
      <alignment horizontal="right" vertical="top" wrapText="1"/>
    </xf>
    <xf numFmtId="0" fontId="4" fillId="43" borderId="18" xfId="0" applyFont="1" applyFill="1" applyBorder="1" applyAlignment="1">
      <alignment horizontal="center" vertical="top"/>
    </xf>
    <xf numFmtId="0" fontId="4" fillId="43" borderId="99" xfId="0" applyFont="1" applyFill="1" applyBorder="1" applyAlignment="1">
      <alignment horizontal="right" vertical="top"/>
    </xf>
    <xf numFmtId="0" fontId="4" fillId="43" borderId="44" xfId="0" applyFont="1" applyFill="1" applyBorder="1" applyAlignment="1">
      <alignment horizontal="right" vertical="top"/>
    </xf>
    <xf numFmtId="0" fontId="4" fillId="43" borderId="132" xfId="0" applyFont="1" applyFill="1" applyBorder="1" applyAlignment="1">
      <alignment horizontal="right" vertical="top"/>
    </xf>
    <xf numFmtId="0" fontId="4" fillId="24" borderId="28" xfId="0" applyFont="1" applyFill="1" applyBorder="1" applyAlignment="1">
      <alignment vertical="top"/>
    </xf>
    <xf numFmtId="0" fontId="4" fillId="24" borderId="30" xfId="0" applyFont="1" applyFill="1" applyBorder="1" applyAlignment="1">
      <alignment vertical="top"/>
    </xf>
    <xf numFmtId="0" fontId="4" fillId="24" borderId="59" xfId="0" applyFont="1" applyFill="1" applyBorder="1" applyAlignment="1">
      <alignment horizontal="left" vertical="top"/>
    </xf>
    <xf numFmtId="0" fontId="2" fillId="43" borderId="38" xfId="0" applyFont="1" applyFill="1" applyBorder="1" applyAlignment="1">
      <alignment vertical="top"/>
    </xf>
    <xf numFmtId="0" fontId="4" fillId="43" borderId="12" xfId="0" applyFont="1" applyFill="1" applyBorder="1" applyAlignment="1">
      <alignment vertical="top" wrapText="1"/>
    </xf>
    <xf numFmtId="0" fontId="0" fillId="43" borderId="12" xfId="0" applyFill="1" applyBorder="1" applyAlignment="1">
      <alignment vertical="top" wrapText="1"/>
    </xf>
    <xf numFmtId="0" fontId="37" fillId="43" borderId="26" xfId="0" applyFont="1" applyFill="1" applyBorder="1" applyAlignment="1">
      <alignment horizontal="center" vertical="top"/>
    </xf>
    <xf numFmtId="0" fontId="37" fillId="43" borderId="24" xfId="0" applyFont="1" applyFill="1" applyBorder="1" applyAlignment="1">
      <alignment horizontal="center" vertical="top"/>
    </xf>
    <xf numFmtId="0" fontId="2" fillId="43" borderId="0" xfId="0" applyFont="1" applyFill="1" applyAlignment="1">
      <alignment horizontal="left" vertical="top" wrapText="1"/>
    </xf>
    <xf numFmtId="0" fontId="0" fillId="43" borderId="0" xfId="0" applyFill="1" applyAlignment="1">
      <alignment vertical="top" wrapText="1"/>
    </xf>
    <xf numFmtId="0" fontId="0" fillId="43" borderId="38" xfId="0" applyFill="1" applyBorder="1" applyAlignment="1">
      <alignment vertical="top" wrapText="1"/>
    </xf>
    <xf numFmtId="0" fontId="0" fillId="43" borderId="38" xfId="0" applyFill="1" applyBorder="1" applyAlignment="1">
      <alignment vertical="top"/>
    </xf>
    <xf numFmtId="0" fontId="10" fillId="43" borderId="0" xfId="0" applyFont="1" applyFill="1" applyAlignment="1">
      <alignment vertical="top" wrapText="1"/>
    </xf>
    <xf numFmtId="0" fontId="37" fillId="43" borderId="19" xfId="0" applyFont="1" applyFill="1" applyBorder="1" applyAlignment="1">
      <alignment horizontal="center" vertical="top"/>
    </xf>
    <xf numFmtId="0" fontId="37" fillId="43" borderId="15" xfId="0" applyFont="1" applyFill="1" applyBorder="1" applyAlignment="1">
      <alignment horizontal="center" vertical="top"/>
    </xf>
    <xf numFmtId="0" fontId="37" fillId="43" borderId="20" xfId="0" applyFont="1" applyFill="1" applyBorder="1" applyAlignment="1">
      <alignment horizontal="center" vertical="top"/>
    </xf>
    <xf numFmtId="0" fontId="37" fillId="43" borderId="23" xfId="0" applyFont="1" applyFill="1" applyBorder="1" applyAlignment="1">
      <alignment horizontal="center" vertical="top"/>
    </xf>
    <xf numFmtId="0" fontId="37" fillId="43" borderId="22" xfId="0" applyFont="1" applyFill="1" applyBorder="1" applyAlignment="1">
      <alignment horizontal="center" vertical="top"/>
    </xf>
    <xf numFmtId="164" fontId="37" fillId="27" borderId="89" xfId="0" applyNumberFormat="1" applyFont="1" applyFill="1" applyBorder="1" applyAlignment="1">
      <alignment vertical="top"/>
    </xf>
    <xf numFmtId="164" fontId="37" fillId="27" borderId="121" xfId="0" applyNumberFormat="1" applyFont="1" applyFill="1" applyBorder="1" applyAlignment="1">
      <alignment vertical="top"/>
    </xf>
    <xf numFmtId="164" fontId="37" fillId="27" borderId="122" xfId="0" applyNumberFormat="1" applyFont="1" applyFill="1" applyBorder="1" applyAlignment="1">
      <alignment vertical="top"/>
    </xf>
    <xf numFmtId="164" fontId="37" fillId="27" borderId="133" xfId="0" applyNumberFormat="1" applyFont="1" applyFill="1" applyBorder="1" applyAlignment="1">
      <alignment vertical="top"/>
    </xf>
    <xf numFmtId="0" fontId="56" fillId="43" borderId="104" xfId="0" applyFont="1" applyFill="1" applyBorder="1" applyAlignment="1">
      <alignment horizontal="center" vertical="top"/>
    </xf>
    <xf numFmtId="164" fontId="56" fillId="27" borderId="92" xfId="0" applyNumberFormat="1" applyFont="1" applyFill="1" applyBorder="1" applyAlignment="1">
      <alignment vertical="top"/>
    </xf>
    <xf numFmtId="164" fontId="56" fillId="27" borderId="130" xfId="0" applyNumberFormat="1" applyFont="1" applyFill="1" applyBorder="1" applyAlignment="1">
      <alignment vertical="top"/>
    </xf>
    <xf numFmtId="164" fontId="56" fillId="27" borderId="131" xfId="0" applyNumberFormat="1" applyFont="1" applyFill="1" applyBorder="1" applyAlignment="1">
      <alignment vertical="top"/>
    </xf>
    <xf numFmtId="164" fontId="56" fillId="27" borderId="134" xfId="0" applyNumberFormat="1" applyFont="1" applyFill="1" applyBorder="1" applyAlignment="1">
      <alignment vertical="top"/>
    </xf>
    <xf numFmtId="0" fontId="37" fillId="43" borderId="16" xfId="0" applyFont="1" applyFill="1" applyBorder="1" applyAlignment="1">
      <alignment horizontal="center" vertical="top"/>
    </xf>
    <xf numFmtId="165" fontId="37" fillId="27" borderId="135" xfId="0" applyNumberFormat="1" applyFont="1" applyFill="1" applyBorder="1" applyAlignment="1">
      <alignment vertical="top"/>
    </xf>
    <xf numFmtId="0" fontId="37" fillId="43" borderId="102" xfId="0" applyFont="1" applyFill="1" applyBorder="1" applyAlignment="1">
      <alignment vertical="top"/>
    </xf>
    <xf numFmtId="0" fontId="78" fillId="27" borderId="13" xfId="0" applyFont="1" applyFill="1" applyBorder="1" applyAlignment="1">
      <alignment horizontal="left" vertical="top"/>
    </xf>
    <xf numFmtId="0" fontId="78" fillId="27" borderId="67" xfId="0" applyFont="1" applyFill="1" applyBorder="1" applyAlignment="1">
      <alignment horizontal="left" vertical="top"/>
    </xf>
    <xf numFmtId="0" fontId="78" fillId="27" borderId="49" xfId="0" applyFont="1" applyFill="1" applyBorder="1" applyAlignment="1">
      <alignment horizontal="left" vertical="top"/>
    </xf>
    <xf numFmtId="0" fontId="78" fillId="27" borderId="58" xfId="0" applyFont="1" applyFill="1" applyBorder="1" applyAlignment="1">
      <alignment horizontal="left" vertical="top"/>
    </xf>
    <xf numFmtId="0" fontId="2" fillId="44" borderId="49" xfId="0" applyFont="1" applyFill="1" applyBorder="1" applyAlignment="1">
      <alignment vertical="top"/>
    </xf>
    <xf numFmtId="0" fontId="10" fillId="43" borderId="38" xfId="0" applyFont="1" applyFill="1" applyBorder="1" applyAlignment="1">
      <alignment vertical="top" wrapText="1"/>
    </xf>
    <xf numFmtId="0" fontId="37" fillId="27" borderId="16" xfId="0" applyFont="1" applyFill="1" applyBorder="1" applyAlignment="1">
      <alignment horizontal="center" vertical="top"/>
    </xf>
    <xf numFmtId="165" fontId="37" fillId="40" borderId="10" xfId="0" applyNumberFormat="1" applyFont="1" applyFill="1" applyBorder="1" applyAlignment="1">
      <alignment vertical="top"/>
    </xf>
    <xf numFmtId="165" fontId="37" fillId="40" borderId="103" xfId="0" applyNumberFormat="1" applyFont="1" applyFill="1" applyBorder="1" applyAlignment="1">
      <alignment vertical="top"/>
    </xf>
    <xf numFmtId="165" fontId="37" fillId="40" borderId="127" xfId="0" applyNumberFormat="1" applyFont="1" applyFill="1" applyBorder="1" applyAlignment="1">
      <alignment vertical="top"/>
    </xf>
    <xf numFmtId="165" fontId="37" fillId="40" borderId="129" xfId="0" applyNumberFormat="1" applyFont="1" applyFill="1" applyBorder="1" applyAlignment="1">
      <alignment vertical="top"/>
    </xf>
    <xf numFmtId="0" fontId="4" fillId="43" borderId="0" xfId="0" applyFont="1" applyFill="1" applyAlignment="1">
      <alignment vertical="top" wrapText="1"/>
    </xf>
    <xf numFmtId="0" fontId="37" fillId="43" borderId="25" xfId="0" applyFont="1" applyFill="1" applyBorder="1" applyAlignment="1">
      <alignment horizontal="center" vertical="top"/>
    </xf>
    <xf numFmtId="0" fontId="37" fillId="40" borderId="13" xfId="0" applyFont="1" applyFill="1" applyBorder="1" applyAlignment="1">
      <alignment vertical="top"/>
    </xf>
    <xf numFmtId="0" fontId="37" fillId="40" borderId="67" xfId="0" applyFont="1" applyFill="1" applyBorder="1" applyAlignment="1">
      <alignment vertical="top"/>
    </xf>
    <xf numFmtId="0" fontId="37" fillId="40" borderId="49" xfId="0" applyFont="1" applyFill="1" applyBorder="1" applyAlignment="1">
      <alignment vertical="top"/>
    </xf>
    <xf numFmtId="0" fontId="0" fillId="50" borderId="57" xfId="0" applyFill="1" applyBorder="1" applyAlignment="1">
      <alignment vertical="top"/>
    </xf>
    <xf numFmtId="0" fontId="0" fillId="50" borderId="28" xfId="0" applyFill="1" applyBorder="1" applyAlignment="1">
      <alignment vertical="top"/>
    </xf>
    <xf numFmtId="0" fontId="4" fillId="50" borderId="28" xfId="0" applyFont="1" applyFill="1" applyBorder="1" applyAlignment="1">
      <alignment vertical="top" wrapText="1"/>
    </xf>
    <xf numFmtId="0" fontId="2" fillId="50" borderId="28" xfId="0" applyFont="1" applyFill="1" applyBorder="1" applyAlignment="1">
      <alignment vertical="top"/>
    </xf>
    <xf numFmtId="0" fontId="2" fillId="50" borderId="30" xfId="0" applyFont="1" applyFill="1" applyBorder="1" applyAlignment="1">
      <alignment vertical="top"/>
    </xf>
    <xf numFmtId="0" fontId="2" fillId="50" borderId="25" xfId="0" applyFont="1" applyFill="1" applyBorder="1" applyAlignment="1">
      <alignment horizontal="left" vertical="top" wrapText="1"/>
    </xf>
    <xf numFmtId="0" fontId="2" fillId="24" borderId="66" xfId="0" applyFont="1" applyFill="1" applyBorder="1" applyAlignment="1">
      <alignment horizontal="right" vertical="top"/>
    </xf>
    <xf numFmtId="0" fontId="0" fillId="50" borderId="65" xfId="0" applyFill="1" applyBorder="1" applyAlignment="1">
      <alignment vertical="top"/>
    </xf>
    <xf numFmtId="0" fontId="0" fillId="50" borderId="39" xfId="0" applyFill="1" applyBorder="1" applyAlignment="1">
      <alignment vertical="top"/>
    </xf>
    <xf numFmtId="0" fontId="4" fillId="50" borderId="39" xfId="0" applyFont="1" applyFill="1" applyBorder="1" applyAlignment="1">
      <alignment vertical="top" wrapText="1"/>
    </xf>
    <xf numFmtId="165" fontId="37" fillId="40" borderId="67" xfId="0" applyNumberFormat="1" applyFont="1" applyFill="1" applyBorder="1" applyAlignment="1">
      <alignment vertical="top"/>
    </xf>
    <xf numFmtId="165" fontId="37" fillId="40" borderId="49" xfId="0" applyNumberFormat="1" applyFont="1" applyFill="1" applyBorder="1" applyAlignment="1">
      <alignment vertical="top"/>
    </xf>
    <xf numFmtId="165" fontId="37" fillId="40" borderId="58" xfId="0" applyNumberFormat="1" applyFont="1" applyFill="1" applyBorder="1" applyAlignment="1">
      <alignment vertical="top"/>
    </xf>
    <xf numFmtId="0" fontId="2" fillId="43" borderId="38" xfId="0" applyFont="1" applyFill="1" applyBorder="1" applyAlignment="1">
      <alignment horizontal="left" vertical="top"/>
    </xf>
    <xf numFmtId="0" fontId="2" fillId="43" borderId="38" xfId="0" applyFont="1" applyFill="1" applyBorder="1" applyAlignment="1">
      <alignment horizontal="right" vertical="top"/>
    </xf>
    <xf numFmtId="165" fontId="37" fillId="24" borderId="0" xfId="0" applyNumberFormat="1" applyFont="1" applyFill="1" applyAlignment="1">
      <alignment vertical="top"/>
    </xf>
    <xf numFmtId="0" fontId="10" fillId="43" borderId="0" xfId="0" applyFont="1" applyFill="1" applyAlignment="1">
      <alignment vertical="top"/>
    </xf>
    <xf numFmtId="0" fontId="0" fillId="43" borderId="65" xfId="0" applyFill="1" applyBorder="1" applyAlignment="1">
      <alignment vertical="top"/>
    </xf>
    <xf numFmtId="0" fontId="0" fillId="43" borderId="39" xfId="0" applyFill="1" applyBorder="1" applyAlignment="1">
      <alignment vertical="top"/>
    </xf>
    <xf numFmtId="0" fontId="2" fillId="43" borderId="39" xfId="0" applyFont="1" applyFill="1" applyBorder="1" applyAlignment="1">
      <alignment vertical="top"/>
    </xf>
    <xf numFmtId="0" fontId="2" fillId="43" borderId="40" xfId="0" applyFont="1" applyFill="1" applyBorder="1" applyAlignment="1">
      <alignment vertical="top"/>
    </xf>
    <xf numFmtId="0" fontId="0" fillId="25" borderId="87" xfId="0" applyFill="1" applyBorder="1" applyAlignment="1">
      <alignment vertical="top"/>
    </xf>
    <xf numFmtId="0" fontId="0" fillId="39" borderId="87" xfId="0" applyFill="1" applyBorder="1" applyAlignment="1">
      <alignment vertical="top"/>
    </xf>
    <xf numFmtId="0" fontId="84" fillId="25" borderId="0" xfId="0" applyFont="1" applyFill="1" applyAlignment="1">
      <alignment horizontal="center" vertical="center" wrapText="1"/>
    </xf>
    <xf numFmtId="0" fontId="0" fillId="41" borderId="0" xfId="0" applyFill="1" applyAlignment="1">
      <alignment vertical="center"/>
    </xf>
    <xf numFmtId="0" fontId="4" fillId="24" borderId="74" xfId="0" applyFont="1" applyFill="1" applyBorder="1" applyAlignment="1">
      <alignment vertical="top"/>
    </xf>
    <xf numFmtId="0" fontId="4" fillId="0" borderId="75" xfId="0" applyFont="1" applyBorder="1" applyAlignment="1">
      <alignment vertical="top"/>
    </xf>
    <xf numFmtId="0" fontId="4" fillId="0" borderId="76" xfId="0" applyFont="1" applyBorder="1" applyAlignment="1">
      <alignment vertical="top"/>
    </xf>
    <xf numFmtId="0" fontId="4" fillId="0" borderId="76" xfId="0" applyFont="1" applyBorder="1" applyAlignment="1">
      <alignment horizontal="center" vertical="top"/>
    </xf>
    <xf numFmtId="0" fontId="4" fillId="27" borderId="76" xfId="0" applyFont="1" applyFill="1" applyBorder="1" applyAlignment="1">
      <alignment vertical="top"/>
    </xf>
    <xf numFmtId="0" fontId="4" fillId="27" borderId="77" xfId="0" applyFont="1" applyFill="1" applyBorder="1" applyAlignment="1">
      <alignment vertical="top"/>
    </xf>
    <xf numFmtId="0" fontId="2" fillId="24" borderId="0" xfId="0" applyFont="1" applyFill="1" applyAlignment="1">
      <alignment horizontal="center"/>
    </xf>
    <xf numFmtId="0" fontId="2" fillId="24" borderId="13" xfId="0" applyFont="1" applyFill="1" applyBorder="1" applyAlignment="1">
      <alignment horizontal="center"/>
    </xf>
    <xf numFmtId="165" fontId="37" fillId="27" borderId="67" xfId="0" applyNumberFormat="1" applyFont="1" applyFill="1" applyBorder="1" applyAlignment="1">
      <alignment vertical="top"/>
    </xf>
    <xf numFmtId="165" fontId="37" fillId="27" borderId="49" xfId="0" applyNumberFormat="1" applyFont="1" applyFill="1" applyBorder="1" applyAlignment="1">
      <alignment vertical="top"/>
    </xf>
    <xf numFmtId="0" fontId="2" fillId="24" borderId="67" xfId="0" applyFont="1" applyFill="1" applyBorder="1"/>
    <xf numFmtId="0" fontId="2" fillId="24" borderId="0" xfId="0" applyFont="1" applyFill="1" applyAlignment="1">
      <alignment horizontal="right"/>
    </xf>
    <xf numFmtId="0" fontId="2" fillId="44" borderId="75" xfId="0" applyFont="1" applyFill="1" applyBorder="1"/>
    <xf numFmtId="0" fontId="2" fillId="44" borderId="76" xfId="0" applyFont="1" applyFill="1" applyBorder="1"/>
    <xf numFmtId="0" fontId="2" fillId="44" borderId="77" xfId="0" applyFont="1" applyFill="1" applyBorder="1"/>
    <xf numFmtId="4" fontId="2" fillId="40" borderId="67" xfId="0" applyNumberFormat="1" applyFont="1" applyFill="1" applyBorder="1" applyAlignment="1">
      <alignment vertical="top"/>
    </xf>
    <xf numFmtId="4" fontId="2" fillId="40" borderId="49" xfId="0" applyNumberFormat="1" applyFont="1" applyFill="1" applyBorder="1" applyAlignment="1">
      <alignment vertical="top" shrinkToFit="1"/>
    </xf>
    <xf numFmtId="4" fontId="2" fillId="40" borderId="13" xfId="0" applyNumberFormat="1" applyFont="1" applyFill="1" applyBorder="1" applyAlignment="1">
      <alignment vertical="top" shrinkToFit="1"/>
    </xf>
    <xf numFmtId="4" fontId="2" fillId="40" borderId="58" xfId="0" applyNumberFormat="1" applyFont="1" applyFill="1" applyBorder="1" applyAlignment="1">
      <alignment vertical="top" shrinkToFit="1"/>
    </xf>
    <xf numFmtId="0" fontId="2" fillId="24" borderId="129" xfId="0" applyFont="1" applyFill="1" applyBorder="1" applyAlignment="1">
      <alignment horizontal="center" vertical="top"/>
    </xf>
    <xf numFmtId="0" fontId="2" fillId="24" borderId="65" xfId="0" applyFont="1" applyFill="1" applyBorder="1" applyAlignment="1">
      <alignment horizontal="right" vertical="top"/>
    </xf>
    <xf numFmtId="3" fontId="2" fillId="39" borderId="60" xfId="0" applyNumberFormat="1" applyFont="1" applyFill="1" applyBorder="1" applyAlignment="1">
      <alignment vertical="top"/>
    </xf>
    <xf numFmtId="3" fontId="2" fillId="39" borderId="61" xfId="0" applyNumberFormat="1" applyFont="1" applyFill="1" applyBorder="1" applyAlignment="1">
      <alignment vertical="top"/>
    </xf>
    <xf numFmtId="0" fontId="0" fillId="50" borderId="65" xfId="0" applyFill="1" applyBorder="1"/>
    <xf numFmtId="0" fontId="0" fillId="50" borderId="39" xfId="0" applyFill="1" applyBorder="1"/>
    <xf numFmtId="0" fontId="0" fillId="50" borderId="40" xfId="0" applyFill="1" applyBorder="1"/>
    <xf numFmtId="0" fontId="10" fillId="25" borderId="0" xfId="0" applyFont="1" applyFill="1" applyAlignment="1">
      <alignment horizontal="right" vertical="top"/>
    </xf>
    <xf numFmtId="0" fontId="78" fillId="39" borderId="0" xfId="0" applyFont="1" applyFill="1" applyAlignment="1">
      <alignment vertical="top"/>
    </xf>
    <xf numFmtId="0" fontId="37" fillId="25" borderId="0" xfId="0" applyFont="1" applyFill="1"/>
    <xf numFmtId="0" fontId="4" fillId="25" borderId="0" xfId="0" applyFont="1" applyFill="1" applyAlignment="1">
      <alignment horizontal="center"/>
    </xf>
    <xf numFmtId="0" fontId="4" fillId="25" borderId="24" xfId="0" applyFont="1" applyFill="1" applyBorder="1" applyAlignment="1">
      <alignment horizontal="center"/>
    </xf>
    <xf numFmtId="0" fontId="4" fillId="25" borderId="78" xfId="0" applyFont="1" applyFill="1" applyBorder="1" applyAlignment="1">
      <alignment wrapText="1"/>
    </xf>
    <xf numFmtId="0" fontId="4" fillId="25" borderId="12" xfId="0" applyFont="1" applyFill="1" applyBorder="1" applyAlignment="1">
      <alignment horizontal="center"/>
    </xf>
    <xf numFmtId="0" fontId="4" fillId="25" borderId="99" xfId="0" applyFont="1" applyFill="1" applyBorder="1" applyAlignment="1">
      <alignment horizontal="right" wrapText="1"/>
    </xf>
    <xf numFmtId="0" fontId="4" fillId="25" borderId="44" xfId="0" applyFont="1" applyFill="1" applyBorder="1" applyAlignment="1">
      <alignment horizontal="right"/>
    </xf>
    <xf numFmtId="0" fontId="4" fillId="25" borderId="99" xfId="0" applyFont="1" applyFill="1" applyBorder="1" applyAlignment="1">
      <alignment horizontal="right"/>
    </xf>
    <xf numFmtId="0" fontId="4" fillId="25" borderId="88" xfId="0" applyFont="1" applyFill="1" applyBorder="1" applyAlignment="1">
      <alignment horizontal="right"/>
    </xf>
    <xf numFmtId="0" fontId="37" fillId="24" borderId="0" xfId="0" applyFont="1" applyFill="1"/>
    <xf numFmtId="0" fontId="37" fillId="39" borderId="0" xfId="0" applyFont="1" applyFill="1"/>
    <xf numFmtId="0" fontId="37" fillId="41" borderId="0" xfId="0" applyFont="1" applyFill="1"/>
    <xf numFmtId="0" fontId="37" fillId="27" borderId="105" xfId="0" applyFont="1" applyFill="1" applyBorder="1" applyAlignment="1">
      <alignment vertical="top" wrapText="1"/>
    </xf>
    <xf numFmtId="0" fontId="78" fillId="44" borderId="43" xfId="0" applyFont="1" applyFill="1" applyBorder="1" applyAlignment="1">
      <alignment horizontal="center" vertical="top"/>
    </xf>
    <xf numFmtId="0" fontId="78" fillId="44" borderId="71" xfId="0" applyFont="1" applyFill="1" applyBorder="1" applyAlignment="1">
      <alignment horizontal="center" vertical="top"/>
    </xf>
    <xf numFmtId="0" fontId="78" fillId="24" borderId="71" xfId="0" applyFont="1" applyFill="1" applyBorder="1" applyAlignment="1">
      <alignment horizontal="center" vertical="top"/>
    </xf>
    <xf numFmtId="0" fontId="78" fillId="39" borderId="71" xfId="0" applyFont="1" applyFill="1" applyBorder="1" applyAlignment="1">
      <alignment horizontal="center" vertical="top"/>
    </xf>
    <xf numFmtId="0" fontId="78" fillId="39" borderId="72" xfId="0" applyFont="1" applyFill="1" applyBorder="1" applyAlignment="1">
      <alignment horizontal="center" vertical="top"/>
    </xf>
    <xf numFmtId="0" fontId="37" fillId="27" borderId="106" xfId="0" applyFont="1" applyFill="1" applyBorder="1" applyAlignment="1">
      <alignment vertical="top" wrapText="1"/>
    </xf>
    <xf numFmtId="0" fontId="78" fillId="24" borderId="49" xfId="0" applyFont="1" applyFill="1" applyBorder="1" applyAlignment="1">
      <alignment horizontal="center" vertical="top"/>
    </xf>
    <xf numFmtId="0" fontId="78" fillId="24" borderId="13" xfId="0" applyFont="1" applyFill="1" applyBorder="1" applyAlignment="1">
      <alignment horizontal="center" vertical="top"/>
    </xf>
    <xf numFmtId="0" fontId="78" fillId="39" borderId="13" xfId="0" applyFont="1" applyFill="1" applyBorder="1" applyAlignment="1">
      <alignment horizontal="center" vertical="top"/>
    </xf>
    <xf numFmtId="0" fontId="78" fillId="39" borderId="58" xfId="0" applyFont="1" applyFill="1" applyBorder="1" applyAlignment="1">
      <alignment horizontal="center" vertical="top"/>
    </xf>
    <xf numFmtId="0" fontId="37" fillId="27" borderId="94" xfId="0" applyFont="1" applyFill="1" applyBorder="1" applyAlignment="1">
      <alignment vertical="top" wrapText="1"/>
    </xf>
    <xf numFmtId="0" fontId="78" fillId="24" borderId="59" xfId="0" applyFont="1" applyFill="1" applyBorder="1" applyAlignment="1">
      <alignment horizontal="center" vertical="top"/>
    </xf>
    <xf numFmtId="0" fontId="78" fillId="24" borderId="60" xfId="0" applyFont="1" applyFill="1" applyBorder="1" applyAlignment="1">
      <alignment horizontal="center" vertical="top"/>
    </xf>
    <xf numFmtId="0" fontId="78" fillId="39" borderId="60" xfId="0" applyFont="1" applyFill="1" applyBorder="1" applyAlignment="1">
      <alignment horizontal="center" vertical="top"/>
    </xf>
    <xf numFmtId="0" fontId="78" fillId="39" borderId="61" xfId="0" applyFont="1" applyFill="1" applyBorder="1" applyAlignment="1">
      <alignment horizontal="center" vertical="top"/>
    </xf>
    <xf numFmtId="0" fontId="37" fillId="40" borderId="16" xfId="0" applyFont="1" applyFill="1" applyBorder="1" applyAlignment="1">
      <alignment horizontal="center" vertical="top"/>
    </xf>
    <xf numFmtId="0" fontId="0" fillId="39" borderId="13" xfId="0" applyFill="1" applyBorder="1" applyAlignment="1">
      <alignment horizontal="center"/>
    </xf>
    <xf numFmtId="0" fontId="79" fillId="25" borderId="0" xfId="0" applyFont="1" applyFill="1" applyAlignment="1">
      <alignment vertical="top"/>
    </xf>
    <xf numFmtId="166" fontId="37" fillId="24" borderId="43" xfId="0" applyNumberFormat="1" applyFont="1" applyFill="1" applyBorder="1" applyAlignment="1">
      <alignment vertical="top"/>
    </xf>
    <xf numFmtId="2" fontId="37" fillId="24" borderId="71" xfId="0" applyNumberFormat="1" applyFont="1" applyFill="1" applyBorder="1" applyAlignment="1">
      <alignment vertical="top"/>
    </xf>
    <xf numFmtId="2" fontId="37" fillId="24" borderId="72" xfId="0" applyNumberFormat="1" applyFont="1" applyFill="1" applyBorder="1" applyAlignment="1">
      <alignment vertical="top"/>
    </xf>
    <xf numFmtId="0" fontId="2" fillId="24" borderId="25" xfId="0" applyFont="1" applyFill="1" applyBorder="1" applyAlignment="1">
      <alignment vertical="top"/>
    </xf>
    <xf numFmtId="0" fontId="78" fillId="24" borderId="43" xfId="0" applyFont="1" applyFill="1" applyBorder="1" applyAlignment="1">
      <alignment horizontal="center" vertical="top"/>
    </xf>
    <xf numFmtId="0" fontId="37" fillId="41" borderId="15" xfId="0" applyFont="1" applyFill="1" applyBorder="1" applyAlignment="1">
      <alignment horizontal="center" vertical="top"/>
    </xf>
    <xf numFmtId="166" fontId="37" fillId="24" borderId="49" xfId="0" applyNumberFormat="1" applyFont="1" applyFill="1" applyBorder="1" applyAlignment="1">
      <alignment vertical="top"/>
    </xf>
    <xf numFmtId="2" fontId="37" fillId="24" borderId="13" xfId="0" applyNumberFormat="1" applyFont="1" applyFill="1" applyBorder="1" applyAlignment="1">
      <alignment vertical="top"/>
    </xf>
    <xf numFmtId="2" fontId="37" fillId="24" borderId="58" xfId="0" applyNumberFormat="1" applyFont="1" applyFill="1" applyBorder="1" applyAlignment="1">
      <alignment vertical="top"/>
    </xf>
    <xf numFmtId="0" fontId="78" fillId="24" borderId="58" xfId="0" applyFont="1" applyFill="1" applyBorder="1" applyAlignment="1">
      <alignment horizontal="center" vertical="top"/>
    </xf>
    <xf numFmtId="0" fontId="37" fillId="41" borderId="16" xfId="0" applyFont="1" applyFill="1" applyBorder="1" applyAlignment="1">
      <alignment horizontal="center" vertical="top"/>
    </xf>
    <xf numFmtId="166" fontId="37" fillId="24" borderId="59" xfId="0" applyNumberFormat="1" applyFont="1" applyFill="1" applyBorder="1" applyAlignment="1">
      <alignment vertical="top"/>
    </xf>
    <xf numFmtId="2" fontId="37" fillId="24" borderId="60" xfId="0" applyNumberFormat="1" applyFont="1" applyFill="1" applyBorder="1" applyAlignment="1">
      <alignment vertical="top"/>
    </xf>
    <xf numFmtId="2" fontId="37" fillId="24" borderId="61" xfId="0" applyNumberFormat="1" applyFont="1" applyFill="1" applyBorder="1" applyAlignment="1">
      <alignment vertical="top"/>
    </xf>
    <xf numFmtId="0" fontId="78" fillId="24" borderId="61" xfId="0" applyFont="1" applyFill="1" applyBorder="1" applyAlignment="1">
      <alignment horizontal="center" vertical="top"/>
    </xf>
    <xf numFmtId="0" fontId="2" fillId="25" borderId="67" xfId="0" applyFont="1" applyFill="1" applyBorder="1" applyAlignment="1">
      <alignment vertical="top" wrapText="1"/>
    </xf>
    <xf numFmtId="2" fontId="37" fillId="24" borderId="75" xfId="0" applyNumberFormat="1" applyFont="1" applyFill="1" applyBorder="1" applyAlignment="1">
      <alignment vertical="top"/>
    </xf>
    <xf numFmtId="2" fontId="37" fillId="24" borderId="76" xfId="0" applyNumberFormat="1" applyFont="1" applyFill="1" applyBorder="1" applyAlignment="1">
      <alignment vertical="top"/>
    </xf>
    <xf numFmtId="2" fontId="37" fillId="24" borderId="77" xfId="0" applyNumberFormat="1" applyFont="1" applyFill="1" applyBorder="1" applyAlignment="1">
      <alignment vertical="top"/>
    </xf>
    <xf numFmtId="0" fontId="37" fillId="25" borderId="25" xfId="0" applyFont="1" applyFill="1" applyBorder="1" applyAlignment="1">
      <alignment vertical="top"/>
    </xf>
    <xf numFmtId="0" fontId="2" fillId="25" borderId="25" xfId="0" applyFont="1" applyFill="1" applyBorder="1" applyAlignment="1">
      <alignment vertical="top" wrapText="1"/>
    </xf>
    <xf numFmtId="0" fontId="37" fillId="41" borderId="25" xfId="0" applyFont="1" applyFill="1" applyBorder="1" applyAlignment="1">
      <alignment horizontal="center" vertical="top"/>
    </xf>
    <xf numFmtId="165" fontId="2" fillId="40" borderId="105" xfId="0" applyNumberFormat="1" applyFont="1" applyFill="1" applyBorder="1" applyAlignment="1">
      <alignment vertical="top"/>
    </xf>
    <xf numFmtId="165" fontId="37" fillId="40" borderId="31" xfId="0" applyNumberFormat="1" applyFont="1" applyFill="1" applyBorder="1" applyAlignment="1">
      <alignment vertical="top"/>
    </xf>
    <xf numFmtId="165" fontId="37" fillId="40" borderId="105" xfId="0" applyNumberFormat="1" applyFont="1" applyFill="1" applyBorder="1" applyAlignment="1">
      <alignment vertical="top"/>
    </xf>
    <xf numFmtId="165" fontId="2" fillId="40" borderId="106" xfId="0" applyNumberFormat="1" applyFont="1" applyFill="1" applyBorder="1" applyAlignment="1">
      <alignment vertical="top"/>
    </xf>
    <xf numFmtId="165" fontId="37" fillId="40" borderId="33" xfId="0" applyNumberFormat="1" applyFont="1" applyFill="1" applyBorder="1" applyAlignment="1">
      <alignment vertical="top"/>
    </xf>
    <xf numFmtId="165" fontId="37" fillId="40" borderId="106" xfId="0" applyNumberFormat="1" applyFont="1" applyFill="1" applyBorder="1" applyAlignment="1">
      <alignment vertical="top"/>
    </xf>
    <xf numFmtId="165" fontId="37" fillId="40" borderId="94" xfId="0" applyNumberFormat="1" applyFont="1" applyFill="1" applyBorder="1" applyAlignment="1">
      <alignment vertical="top"/>
    </xf>
    <xf numFmtId="165" fontId="37" fillId="40" borderId="123" xfId="0" applyNumberFormat="1" applyFont="1" applyFill="1" applyBorder="1" applyAlignment="1">
      <alignment vertical="top"/>
    </xf>
    <xf numFmtId="2" fontId="37" fillId="24" borderId="10" xfId="0" applyNumberFormat="1" applyFont="1" applyFill="1" applyBorder="1" applyAlignment="1">
      <alignment vertical="top"/>
    </xf>
    <xf numFmtId="2" fontId="37" fillId="24" borderId="129" xfId="0" applyNumberFormat="1" applyFont="1" applyFill="1" applyBorder="1" applyAlignment="1">
      <alignment vertical="top"/>
    </xf>
    <xf numFmtId="0" fontId="37" fillId="50" borderId="57" xfId="0" applyFont="1" applyFill="1" applyBorder="1" applyAlignment="1">
      <alignment vertical="top"/>
    </xf>
    <xf numFmtId="0" fontId="37" fillId="50" borderId="28" xfId="0" applyFont="1" applyFill="1" applyBorder="1" applyAlignment="1">
      <alignment vertical="top"/>
    </xf>
    <xf numFmtId="0" fontId="47" fillId="50" borderId="28" xfId="0" applyFont="1" applyFill="1" applyBorder="1" applyAlignment="1">
      <alignment vertical="top"/>
    </xf>
    <xf numFmtId="0" fontId="37" fillId="50" borderId="30" xfId="0" applyFont="1" applyFill="1" applyBorder="1" applyAlignment="1">
      <alignment vertical="top"/>
    </xf>
    <xf numFmtId="0" fontId="4" fillId="50" borderId="132" xfId="0" applyFont="1" applyFill="1" applyBorder="1" applyAlignment="1">
      <alignment horizontal="right" vertical="top"/>
    </xf>
    <xf numFmtId="4" fontId="2" fillId="40" borderId="127" xfId="0" applyNumberFormat="1" applyFont="1" applyFill="1" applyBorder="1" applyAlignment="1">
      <alignment vertical="top" shrinkToFit="1"/>
    </xf>
    <xf numFmtId="4" fontId="2" fillId="40" borderId="10" xfId="0" applyNumberFormat="1" applyFont="1" applyFill="1" applyBorder="1" applyAlignment="1">
      <alignment vertical="top" shrinkToFit="1"/>
    </xf>
    <xf numFmtId="4" fontId="2" fillId="40" borderId="129" xfId="0" applyNumberFormat="1" applyFont="1" applyFill="1" applyBorder="1" applyAlignment="1">
      <alignment vertical="top" shrinkToFit="1"/>
    </xf>
    <xf numFmtId="0" fontId="4" fillId="24" borderId="88" xfId="0" applyFont="1" applyFill="1" applyBorder="1" applyAlignment="1">
      <alignment vertical="top"/>
    </xf>
    <xf numFmtId="0" fontId="4" fillId="24" borderId="132" xfId="0" applyFont="1" applyFill="1" applyBorder="1" applyAlignment="1">
      <alignment vertical="top"/>
    </xf>
    <xf numFmtId="0" fontId="2" fillId="40" borderId="26" xfId="0" applyFont="1" applyFill="1" applyBorder="1" applyAlignment="1">
      <alignment horizontal="center" vertical="top"/>
    </xf>
    <xf numFmtId="4" fontId="2" fillId="40" borderId="103" xfId="0" applyNumberFormat="1" applyFont="1" applyFill="1" applyBorder="1" applyAlignment="1">
      <alignment vertical="top" shrinkToFit="1"/>
    </xf>
    <xf numFmtId="4" fontId="2" fillId="40" borderId="67" xfId="0" applyNumberFormat="1" applyFont="1" applyFill="1" applyBorder="1" applyAlignment="1">
      <alignment vertical="top" shrinkToFit="1"/>
    </xf>
    <xf numFmtId="0" fontId="2" fillId="39" borderId="38" xfId="0" applyFont="1" applyFill="1" applyBorder="1" applyAlignment="1">
      <alignment vertical="top"/>
    </xf>
    <xf numFmtId="0" fontId="0" fillId="50" borderId="66" xfId="0" applyFill="1" applyBorder="1"/>
    <xf numFmtId="0" fontId="0" fillId="50" borderId="50" xfId="0" applyFill="1" applyBorder="1" applyAlignment="1">
      <alignment vertical="top"/>
    </xf>
    <xf numFmtId="0" fontId="2" fillId="39" borderId="59" xfId="0" applyFont="1" applyFill="1" applyBorder="1" applyAlignment="1">
      <alignment vertical="top"/>
    </xf>
    <xf numFmtId="0" fontId="0" fillId="43" borderId="57" xfId="0" applyFill="1" applyBorder="1"/>
    <xf numFmtId="0" fontId="0" fillId="43" borderId="28" xfId="0" applyFill="1" applyBorder="1"/>
    <xf numFmtId="0" fontId="2" fillId="43" borderId="28" xfId="0" applyFont="1" applyFill="1" applyBorder="1"/>
    <xf numFmtId="0" fontId="2" fillId="43" borderId="30" xfId="0" applyFont="1" applyFill="1" applyBorder="1"/>
    <xf numFmtId="0" fontId="0" fillId="43" borderId="66" xfId="0" applyFill="1" applyBorder="1"/>
    <xf numFmtId="0" fontId="0" fillId="43" borderId="0" xfId="0" applyFill="1"/>
    <xf numFmtId="0" fontId="2" fillId="43" borderId="38" xfId="0" applyFont="1" applyFill="1" applyBorder="1" applyAlignment="1">
      <alignment horizontal="left"/>
    </xf>
    <xf numFmtId="0" fontId="2" fillId="24" borderId="57" xfId="0" applyFont="1" applyFill="1" applyBorder="1"/>
    <xf numFmtId="0" fontId="2" fillId="24" borderId="13" xfId="0" applyFont="1" applyFill="1" applyBorder="1"/>
    <xf numFmtId="0" fontId="4" fillId="24" borderId="59" xfId="0" applyFont="1" applyFill="1" applyBorder="1" applyAlignment="1">
      <alignment horizontal="left"/>
    </xf>
    <xf numFmtId="0" fontId="2" fillId="43" borderId="0" xfId="0" applyFont="1" applyFill="1"/>
    <xf numFmtId="0" fontId="2" fillId="43" borderId="38" xfId="0" applyFont="1" applyFill="1" applyBorder="1"/>
    <xf numFmtId="0" fontId="37" fillId="24" borderId="18" xfId="0" applyFont="1" applyFill="1" applyBorder="1" applyAlignment="1">
      <alignment vertical="top"/>
    </xf>
    <xf numFmtId="0" fontId="2" fillId="43" borderId="0" xfId="0" applyFont="1" applyFill="1" applyAlignment="1">
      <alignment horizontal="right"/>
    </xf>
    <xf numFmtId="165" fontId="37" fillId="40" borderId="11" xfId="0" applyNumberFormat="1" applyFont="1" applyFill="1" applyBorder="1" applyAlignment="1">
      <alignment vertical="top"/>
    </xf>
    <xf numFmtId="165" fontId="37" fillId="40" borderId="126" xfId="0" applyNumberFormat="1" applyFont="1" applyFill="1" applyBorder="1" applyAlignment="1">
      <alignment vertical="top"/>
    </xf>
    <xf numFmtId="0" fontId="0" fillId="43" borderId="0" xfId="0" applyFill="1" applyAlignment="1">
      <alignment horizontal="right"/>
    </xf>
    <xf numFmtId="0" fontId="2" fillId="44" borderId="13" xfId="0" applyFont="1" applyFill="1" applyBorder="1"/>
    <xf numFmtId="0" fontId="4" fillId="24" borderId="13" xfId="0" applyFont="1" applyFill="1" applyBorder="1" applyAlignment="1">
      <alignment horizontal="left"/>
    </xf>
    <xf numFmtId="0" fontId="0" fillId="43" borderId="65" xfId="0" applyFill="1" applyBorder="1"/>
    <xf numFmtId="0" fontId="0" fillId="43" borderId="39" xfId="0" applyFill="1" applyBorder="1"/>
    <xf numFmtId="0" fontId="2" fillId="43" borderId="39" xfId="0" applyFont="1" applyFill="1" applyBorder="1"/>
    <xf numFmtId="0" fontId="2" fillId="43" borderId="40" xfId="0" applyFont="1" applyFill="1" applyBorder="1"/>
    <xf numFmtId="165" fontId="2" fillId="40" borderId="58" xfId="0" applyNumberFormat="1" applyFont="1" applyFill="1" applyBorder="1" applyAlignment="1">
      <alignment vertical="top"/>
    </xf>
    <xf numFmtId="0" fontId="0" fillId="43" borderId="38" xfId="0" applyFill="1" applyBorder="1"/>
    <xf numFmtId="0" fontId="4" fillId="24" borderId="0" xfId="0" applyFont="1" applyFill="1" applyAlignment="1">
      <alignment horizontal="left"/>
    </xf>
    <xf numFmtId="0" fontId="0" fillId="46" borderId="0" xfId="0" applyFill="1" applyAlignment="1">
      <alignment horizontal="center" vertical="center" wrapText="1"/>
    </xf>
    <xf numFmtId="0" fontId="4" fillId="24" borderId="13" xfId="0" applyFont="1" applyFill="1" applyBorder="1" applyAlignment="1">
      <alignment horizontal="center" vertical="top"/>
    </xf>
    <xf numFmtId="0" fontId="10" fillId="25" borderId="0" xfId="0" applyFont="1" applyFill="1" applyAlignment="1">
      <alignment horizontal="right" vertical="top" indent="1"/>
    </xf>
    <xf numFmtId="0" fontId="4" fillId="25" borderId="12" xfId="0" applyFont="1" applyFill="1" applyBorder="1" applyAlignment="1">
      <alignment horizontal="right" vertical="top" indent="1"/>
    </xf>
    <xf numFmtId="0" fontId="4" fillId="25" borderId="78" xfId="0" applyFont="1" applyFill="1" applyBorder="1" applyAlignment="1">
      <alignment horizontal="right" vertical="top"/>
    </xf>
    <xf numFmtId="0" fontId="4" fillId="25" borderId="117" xfId="0" applyFont="1" applyFill="1" applyBorder="1" applyAlignment="1">
      <alignment horizontal="right" vertical="top"/>
    </xf>
    <xf numFmtId="0" fontId="37" fillId="24" borderId="88" xfId="0" applyFont="1" applyFill="1" applyBorder="1" applyAlignment="1">
      <alignment vertical="top"/>
    </xf>
    <xf numFmtId="2" fontId="37" fillId="25" borderId="25" xfId="0" applyNumberFormat="1" applyFont="1" applyFill="1" applyBorder="1" applyAlignment="1">
      <alignment horizontal="right" vertical="top" indent="1"/>
    </xf>
    <xf numFmtId="0" fontId="37" fillId="44" borderId="43" xfId="0" applyFont="1" applyFill="1" applyBorder="1" applyAlignment="1">
      <alignment vertical="top"/>
    </xf>
    <xf numFmtId="0" fontId="37" fillId="24" borderId="72" xfId="0" applyFont="1" applyFill="1" applyBorder="1" applyAlignment="1">
      <alignment vertical="top"/>
    </xf>
    <xf numFmtId="0" fontId="37" fillId="25" borderId="17" xfId="0" applyFont="1" applyFill="1" applyBorder="1" applyAlignment="1">
      <alignment horizontal="center" vertical="top"/>
    </xf>
    <xf numFmtId="2" fontId="37" fillId="25" borderId="17" xfId="0" applyNumberFormat="1" applyFont="1" applyFill="1" applyBorder="1" applyAlignment="1">
      <alignment horizontal="right" vertical="top" indent="1"/>
    </xf>
    <xf numFmtId="0" fontId="2" fillId="24" borderId="49" xfId="0" applyFont="1" applyFill="1" applyBorder="1"/>
    <xf numFmtId="0" fontId="2" fillId="24" borderId="58" xfId="0" applyFont="1" applyFill="1" applyBorder="1"/>
    <xf numFmtId="0" fontId="37" fillId="25" borderId="15" xfId="0" applyFont="1" applyFill="1" applyBorder="1" applyAlignment="1">
      <alignment vertical="top" wrapText="1"/>
    </xf>
    <xf numFmtId="2" fontId="37" fillId="25" borderId="15" xfId="0" applyNumberFormat="1" applyFont="1" applyFill="1" applyBorder="1" applyAlignment="1">
      <alignment horizontal="right" vertical="top" indent="1"/>
    </xf>
    <xf numFmtId="0" fontId="37" fillId="41" borderId="16" xfId="0" applyFont="1" applyFill="1" applyBorder="1" applyAlignment="1">
      <alignment vertical="top" wrapText="1"/>
    </xf>
    <xf numFmtId="2" fontId="37" fillId="25" borderId="16" xfId="0" applyNumberFormat="1" applyFont="1" applyFill="1" applyBorder="1" applyAlignment="1">
      <alignment horizontal="right" vertical="top" indent="1"/>
    </xf>
    <xf numFmtId="0" fontId="2" fillId="24" borderId="59" xfId="0" applyFont="1" applyFill="1" applyBorder="1"/>
    <xf numFmtId="0" fontId="2" fillId="24" borderId="60" xfId="0" applyFont="1" applyFill="1" applyBorder="1"/>
    <xf numFmtId="0" fontId="2" fillId="24" borderId="61" xfId="0" applyFont="1" applyFill="1" applyBorder="1"/>
    <xf numFmtId="164" fontId="37" fillId="27" borderId="13" xfId="0" applyNumberFormat="1" applyFont="1" applyFill="1" applyBorder="1" applyAlignment="1">
      <alignment vertical="top"/>
    </xf>
    <xf numFmtId="164" fontId="37" fillId="27" borderId="67" xfId="0" applyNumberFormat="1" applyFont="1" applyFill="1" applyBorder="1" applyAlignment="1">
      <alignment vertical="top"/>
    </xf>
    <xf numFmtId="164" fontId="37" fillId="27" borderId="49" xfId="0" applyNumberFormat="1" applyFont="1" applyFill="1" applyBorder="1" applyAlignment="1">
      <alignment vertical="top"/>
    </xf>
    <xf numFmtId="0" fontId="2" fillId="24" borderId="66" xfId="0" applyFont="1" applyFill="1" applyBorder="1"/>
    <xf numFmtId="0" fontId="2" fillId="24" borderId="38" xfId="0" applyFont="1" applyFill="1" applyBorder="1"/>
    <xf numFmtId="0" fontId="4" fillId="25" borderId="126" xfId="0" applyFont="1" applyFill="1" applyBorder="1" applyAlignment="1">
      <alignment horizontal="right" vertical="top"/>
    </xf>
    <xf numFmtId="164" fontId="37" fillId="27" borderId="58" xfId="0" applyNumberFormat="1" applyFont="1" applyFill="1" applyBorder="1" applyAlignment="1">
      <alignment vertical="top"/>
    </xf>
    <xf numFmtId="0" fontId="4" fillId="25" borderId="12" xfId="0" applyFont="1" applyFill="1" applyBorder="1" applyAlignment="1">
      <alignment wrapText="1"/>
    </xf>
    <xf numFmtId="0" fontId="54" fillId="25" borderId="12" xfId="0" applyFont="1" applyFill="1" applyBorder="1" applyAlignment="1">
      <alignment horizontal="center" wrapText="1"/>
    </xf>
    <xf numFmtId="0" fontId="4" fillId="25" borderId="11" xfId="0" applyFont="1" applyFill="1" applyBorder="1" applyAlignment="1">
      <alignment horizontal="right"/>
    </xf>
    <xf numFmtId="0" fontId="4" fillId="25" borderId="78" xfId="0" applyFont="1" applyFill="1" applyBorder="1" applyAlignment="1">
      <alignment horizontal="right"/>
    </xf>
    <xf numFmtId="0" fontId="4" fillId="25" borderId="117" xfId="0" applyFont="1" applyFill="1" applyBorder="1" applyAlignment="1">
      <alignment horizontal="right"/>
    </xf>
    <xf numFmtId="164" fontId="37" fillId="27" borderId="62" xfId="0" applyNumberFormat="1" applyFont="1" applyFill="1" applyBorder="1" applyAlignment="1">
      <alignment vertical="top"/>
    </xf>
    <xf numFmtId="164" fontId="37" fillId="27" borderId="105" xfId="0" applyNumberFormat="1" applyFont="1" applyFill="1" applyBorder="1" applyAlignment="1">
      <alignment vertical="top"/>
    </xf>
    <xf numFmtId="164" fontId="37" fillId="27" borderId="31" xfId="0" applyNumberFormat="1" applyFont="1" applyFill="1" applyBorder="1" applyAlignment="1">
      <alignment vertical="top"/>
    </xf>
    <xf numFmtId="164" fontId="37" fillId="27" borderId="88" xfId="0" applyNumberFormat="1" applyFont="1" applyFill="1" applyBorder="1" applyAlignment="1">
      <alignment vertical="top"/>
    </xf>
    <xf numFmtId="164" fontId="37" fillId="27" borderId="99" xfId="0" applyNumberFormat="1" applyFont="1" applyFill="1" applyBorder="1" applyAlignment="1">
      <alignment vertical="top"/>
    </xf>
    <xf numFmtId="164" fontId="37" fillId="27" borderId="44" xfId="0" applyNumberFormat="1" applyFont="1" applyFill="1" applyBorder="1" applyAlignment="1">
      <alignment vertical="top"/>
    </xf>
    <xf numFmtId="164" fontId="37" fillId="27" borderId="64" xfId="0" applyNumberFormat="1" applyFont="1" applyFill="1" applyBorder="1" applyAlignment="1">
      <alignment vertical="top"/>
    </xf>
    <xf numFmtId="164" fontId="37" fillId="27" borderId="94" xfId="0" applyNumberFormat="1" applyFont="1" applyFill="1" applyBorder="1" applyAlignment="1">
      <alignment vertical="top"/>
    </xf>
    <xf numFmtId="164" fontId="37" fillId="27" borderId="123" xfId="0" applyNumberFormat="1" applyFont="1" applyFill="1" applyBorder="1" applyAlignment="1">
      <alignment vertical="top"/>
    </xf>
    <xf numFmtId="0" fontId="0" fillId="50" borderId="0" xfId="0" applyFill="1"/>
    <xf numFmtId="0" fontId="4" fillId="50" borderId="11" xfId="0" applyFont="1" applyFill="1" applyBorder="1" applyAlignment="1">
      <alignment horizontal="right" vertical="top"/>
    </xf>
    <xf numFmtId="0" fontId="4" fillId="50" borderId="78" xfId="0" applyFont="1" applyFill="1" applyBorder="1" applyAlignment="1">
      <alignment horizontal="right" vertical="top"/>
    </xf>
    <xf numFmtId="0" fontId="4" fillId="50" borderId="117" xfId="0" applyFont="1" applyFill="1" applyBorder="1" applyAlignment="1">
      <alignment horizontal="right" vertical="top"/>
    </xf>
    <xf numFmtId="0" fontId="2" fillId="50" borderId="66" xfId="0" applyFont="1" applyFill="1" applyBorder="1"/>
    <xf numFmtId="164" fontId="2" fillId="27" borderId="67" xfId="0" applyNumberFormat="1" applyFont="1" applyFill="1" applyBorder="1" applyAlignment="1">
      <alignment vertical="top"/>
    </xf>
    <xf numFmtId="164" fontId="2" fillId="27" borderId="49" xfId="0" applyNumberFormat="1" applyFont="1" applyFill="1" applyBorder="1" applyAlignment="1">
      <alignment vertical="top"/>
    </xf>
    <xf numFmtId="164" fontId="2" fillId="27" borderId="58" xfId="0" applyNumberFormat="1" applyFont="1" applyFill="1" applyBorder="1" applyAlignment="1">
      <alignment vertical="top"/>
    </xf>
    <xf numFmtId="0" fontId="2" fillId="50" borderId="0" xfId="0" applyFont="1" applyFill="1"/>
    <xf numFmtId="0" fontId="2" fillId="50" borderId="38" xfId="0" applyFont="1" applyFill="1" applyBorder="1"/>
    <xf numFmtId="4" fontId="2" fillId="39" borderId="60" xfId="0" applyNumberFormat="1" applyFont="1" applyFill="1" applyBorder="1" applyAlignment="1">
      <alignment vertical="top"/>
    </xf>
    <xf numFmtId="4" fontId="2" fillId="39" borderId="61" xfId="0" applyNumberFormat="1" applyFont="1" applyFill="1" applyBorder="1" applyAlignment="1">
      <alignment vertical="top"/>
    </xf>
    <xf numFmtId="0" fontId="2" fillId="50" borderId="39" xfId="0" applyFont="1" applyFill="1" applyBorder="1"/>
    <xf numFmtId="0" fontId="2" fillId="50" borderId="40" xfId="0" applyFont="1" applyFill="1" applyBorder="1"/>
    <xf numFmtId="0" fontId="37" fillId="25" borderId="25" xfId="0" quotePrefix="1" applyFont="1" applyFill="1" applyBorder="1" applyAlignment="1">
      <alignment horizontal="center" vertical="top"/>
    </xf>
    <xf numFmtId="0" fontId="2" fillId="24" borderId="49" xfId="0" applyFont="1" applyFill="1" applyBorder="1" applyAlignment="1">
      <alignment vertical="top"/>
    </xf>
    <xf numFmtId="0" fontId="2" fillId="24" borderId="58" xfId="0" applyFont="1" applyFill="1" applyBorder="1" applyAlignment="1">
      <alignment vertical="top"/>
    </xf>
    <xf numFmtId="0" fontId="2" fillId="24" borderId="38" xfId="0" applyFont="1" applyFill="1" applyBorder="1" applyAlignment="1">
      <alignment vertical="top"/>
    </xf>
    <xf numFmtId="165" fontId="2" fillId="40" borderId="49" xfId="0" applyNumberFormat="1" applyFont="1" applyFill="1" applyBorder="1" applyAlignment="1">
      <alignment vertical="top"/>
    </xf>
    <xf numFmtId="165" fontId="2" fillId="40" borderId="67" xfId="0" applyNumberFormat="1" applyFont="1" applyFill="1" applyBorder="1" applyAlignment="1">
      <alignment vertical="top"/>
    </xf>
    <xf numFmtId="0" fontId="2" fillId="24" borderId="59" xfId="0" applyFont="1" applyFill="1" applyBorder="1" applyAlignment="1">
      <alignment vertical="top"/>
    </xf>
    <xf numFmtId="165" fontId="2" fillId="25" borderId="0" xfId="0" applyNumberFormat="1" applyFont="1" applyFill="1" applyAlignment="1">
      <alignment vertical="top"/>
    </xf>
    <xf numFmtId="165" fontId="37" fillId="27" borderId="58" xfId="0" applyNumberFormat="1" applyFont="1" applyFill="1" applyBorder="1" applyAlignment="1">
      <alignment vertical="top"/>
    </xf>
    <xf numFmtId="0" fontId="37" fillId="25" borderId="11" xfId="0" applyFont="1" applyFill="1" applyBorder="1" applyAlignment="1">
      <alignment horizontal="center" vertical="top"/>
    </xf>
    <xf numFmtId="167" fontId="37" fillId="25" borderId="62" xfId="0" applyNumberFormat="1" applyFont="1" applyFill="1" applyBorder="1" applyAlignment="1">
      <alignment horizontal="center" vertical="top"/>
    </xf>
    <xf numFmtId="167" fontId="37" fillId="25" borderId="63" xfId="0" applyNumberFormat="1" applyFont="1" applyFill="1" applyBorder="1" applyAlignment="1">
      <alignment horizontal="center" vertical="top"/>
    </xf>
    <xf numFmtId="167" fontId="37" fillId="25" borderId="64" xfId="0" applyNumberFormat="1" applyFont="1" applyFill="1" applyBorder="1" applyAlignment="1">
      <alignment horizontal="center" vertical="top"/>
    </xf>
    <xf numFmtId="3" fontId="37" fillId="27" borderId="64" xfId="0" applyNumberFormat="1" applyFont="1" applyFill="1" applyBorder="1" applyAlignment="1">
      <alignment vertical="top"/>
    </xf>
    <xf numFmtId="3" fontId="37" fillId="27" borderId="135" xfId="0" applyNumberFormat="1" applyFont="1" applyFill="1" applyBorder="1" applyAlignment="1">
      <alignment vertical="top"/>
    </xf>
    <xf numFmtId="3" fontId="37" fillId="27" borderId="123" xfId="0" applyNumberFormat="1" applyFont="1" applyFill="1" applyBorder="1" applyAlignment="1">
      <alignment vertical="top"/>
    </xf>
    <xf numFmtId="3" fontId="37" fillId="27" borderId="94" xfId="0" applyNumberFormat="1" applyFont="1" applyFill="1" applyBorder="1" applyAlignment="1">
      <alignment vertical="top"/>
    </xf>
    <xf numFmtId="165" fontId="37" fillId="40" borderId="89" xfId="0" applyNumberFormat="1" applyFont="1" applyFill="1" applyBorder="1" applyAlignment="1">
      <alignment vertical="top"/>
    </xf>
    <xf numFmtId="165" fontId="37" fillId="40" borderId="121" xfId="0" applyNumberFormat="1" applyFont="1" applyFill="1" applyBorder="1" applyAlignment="1">
      <alignment vertical="top"/>
    </xf>
    <xf numFmtId="165" fontId="37" fillId="40" borderId="122" xfId="0" applyNumberFormat="1" applyFont="1" applyFill="1" applyBorder="1" applyAlignment="1">
      <alignment vertical="top"/>
    </xf>
    <xf numFmtId="0" fontId="0" fillId="25" borderId="25" xfId="0" applyFill="1" applyBorder="1" applyAlignment="1">
      <alignment vertical="top"/>
    </xf>
    <xf numFmtId="166" fontId="0" fillId="40" borderId="13" xfId="0" applyNumberFormat="1" applyFill="1" applyBorder="1" applyAlignment="1">
      <alignment vertical="top"/>
    </xf>
    <xf numFmtId="166" fontId="0" fillId="40" borderId="67" xfId="0" applyNumberFormat="1" applyFill="1" applyBorder="1" applyAlignment="1">
      <alignment vertical="top"/>
    </xf>
    <xf numFmtId="166" fontId="0" fillId="40" borderId="49" xfId="0" applyNumberFormat="1" applyFill="1" applyBorder="1" applyAlignment="1">
      <alignment vertical="top"/>
    </xf>
    <xf numFmtId="166" fontId="0" fillId="40" borderId="26" xfId="0" applyNumberFormat="1" applyFill="1" applyBorder="1" applyAlignment="1">
      <alignment vertical="top"/>
    </xf>
    <xf numFmtId="174" fontId="2" fillId="40" borderId="67" xfId="0" applyNumberFormat="1" applyFont="1" applyFill="1" applyBorder="1" applyAlignment="1">
      <alignment vertical="top"/>
    </xf>
    <xf numFmtId="174" fontId="2" fillId="40" borderId="127" xfId="0" applyNumberFormat="1" applyFont="1" applyFill="1" applyBorder="1" applyAlignment="1">
      <alignment vertical="top" shrinkToFit="1"/>
    </xf>
    <xf numFmtId="174" fontId="2" fillId="40" borderId="10" xfId="0" applyNumberFormat="1" applyFont="1" applyFill="1" applyBorder="1" applyAlignment="1">
      <alignment vertical="top" shrinkToFit="1"/>
    </xf>
    <xf numFmtId="174" fontId="2" fillId="40" borderId="129" xfId="0" applyNumberFormat="1" applyFont="1" applyFill="1" applyBorder="1" applyAlignment="1">
      <alignment vertical="top" shrinkToFit="1"/>
    </xf>
    <xf numFmtId="0" fontId="2" fillId="44" borderId="13" xfId="0" applyFont="1" applyFill="1" applyBorder="1" applyAlignment="1">
      <alignment horizontal="center" vertical="top"/>
    </xf>
    <xf numFmtId="0" fontId="37" fillId="24" borderId="66" xfId="0" applyFont="1" applyFill="1" applyBorder="1" applyAlignment="1">
      <alignment horizontal="right" vertical="top"/>
    </xf>
    <xf numFmtId="174" fontId="2" fillId="40" borderId="49" xfId="0" applyNumberFormat="1" applyFont="1" applyFill="1" applyBorder="1" applyAlignment="1">
      <alignment vertical="top" shrinkToFit="1"/>
    </xf>
    <xf numFmtId="174" fontId="2" fillId="40" borderId="13" xfId="0" applyNumberFormat="1" applyFont="1" applyFill="1" applyBorder="1" applyAlignment="1">
      <alignment vertical="top" shrinkToFit="1"/>
    </xf>
    <xf numFmtId="174" fontId="2" fillId="40" borderId="58" xfId="0" applyNumberFormat="1" applyFont="1" applyFill="1" applyBorder="1" applyAlignment="1">
      <alignment vertical="top" shrinkToFit="1"/>
    </xf>
    <xf numFmtId="174" fontId="2" fillId="39" borderId="13" xfId="0" applyNumberFormat="1" applyFont="1" applyFill="1" applyBorder="1" applyAlignment="1">
      <alignment vertical="top"/>
    </xf>
    <xf numFmtId="174" fontId="2" fillId="39" borderId="58" xfId="0" applyNumberFormat="1" applyFont="1" applyFill="1" applyBorder="1" applyAlignment="1">
      <alignment vertical="top"/>
    </xf>
    <xf numFmtId="174" fontId="4" fillId="40" borderId="75" xfId="0" applyNumberFormat="1" applyFont="1" applyFill="1" applyBorder="1" applyAlignment="1">
      <alignment vertical="top"/>
    </xf>
    <xf numFmtId="174" fontId="4" fillId="40" borderId="76" xfId="0" applyNumberFormat="1" applyFont="1" applyFill="1" applyBorder="1" applyAlignment="1">
      <alignment vertical="top"/>
    </xf>
    <xf numFmtId="174" fontId="4" fillId="40" borderId="77" xfId="0" applyNumberFormat="1" applyFont="1" applyFill="1" applyBorder="1" applyAlignment="1">
      <alignment vertical="top"/>
    </xf>
    <xf numFmtId="0" fontId="4" fillId="46" borderId="114" xfId="0" applyFont="1" applyFill="1" applyBorder="1"/>
    <xf numFmtId="0" fontId="0" fillId="25" borderId="0" xfId="0" applyFill="1" applyAlignment="1">
      <alignment wrapText="1"/>
    </xf>
    <xf numFmtId="0" fontId="4" fillId="25" borderId="24" xfId="0" applyFont="1" applyFill="1" applyBorder="1" applyAlignment="1">
      <alignment wrapText="1"/>
    </xf>
    <xf numFmtId="0" fontId="0" fillId="40" borderId="13" xfId="0" applyFill="1" applyBorder="1" applyAlignment="1">
      <alignment horizontal="center"/>
    </xf>
    <xf numFmtId="0" fontId="4" fillId="25" borderId="24" xfId="0" applyFont="1" applyFill="1" applyBorder="1" applyAlignment="1">
      <alignment horizontal="left" vertical="top"/>
    </xf>
    <xf numFmtId="0" fontId="35" fillId="25" borderId="12" xfId="0" applyFont="1" applyFill="1" applyBorder="1" applyAlignment="1">
      <alignment horizontal="center"/>
    </xf>
    <xf numFmtId="0" fontId="37" fillId="29" borderId="0" xfId="0" applyFont="1" applyFill="1" applyAlignment="1">
      <alignment vertical="top"/>
    </xf>
    <xf numFmtId="49" fontId="2" fillId="25" borderId="0" xfId="0" applyNumberFormat="1" applyFont="1" applyFill="1" applyAlignment="1">
      <alignment horizontal="left" vertical="top"/>
    </xf>
    <xf numFmtId="0" fontId="37" fillId="44" borderId="73" xfId="0" applyFont="1" applyFill="1" applyBorder="1" applyAlignment="1">
      <alignment horizontal="center" vertical="top"/>
    </xf>
    <xf numFmtId="0" fontId="37" fillId="44" borderId="95" xfId="0" applyFont="1" applyFill="1" applyBorder="1" applyAlignment="1">
      <alignment horizontal="center" vertical="top"/>
    </xf>
    <xf numFmtId="0" fontId="37" fillId="44" borderId="68" xfId="0" applyFont="1" applyFill="1" applyBorder="1" applyAlignment="1">
      <alignment horizontal="center" vertical="top"/>
    </xf>
    <xf numFmtId="0" fontId="35" fillId="25" borderId="0" xfId="0" applyFont="1" applyFill="1" applyAlignment="1">
      <alignment horizontal="left" vertical="top" wrapText="1"/>
    </xf>
    <xf numFmtId="164" fontId="37" fillId="27" borderId="62" xfId="0" applyNumberFormat="1" applyFont="1" applyFill="1" applyBorder="1" applyAlignment="1">
      <alignment horizontal="right" vertical="top"/>
    </xf>
    <xf numFmtId="164" fontId="37" fillId="27" borderId="63" xfId="0" applyNumberFormat="1" applyFont="1" applyFill="1" applyBorder="1" applyAlignment="1">
      <alignment horizontal="right" vertical="top"/>
    </xf>
    <xf numFmtId="164" fontId="37" fillId="27" borderId="92" xfId="0" applyNumberFormat="1" applyFont="1" applyFill="1" applyBorder="1" applyAlignment="1">
      <alignment horizontal="right" vertical="top"/>
    </xf>
    <xf numFmtId="164" fontId="37" fillId="27" borderId="26" xfId="0" applyNumberFormat="1" applyFont="1" applyFill="1" applyBorder="1" applyAlignment="1">
      <alignment horizontal="right" vertical="top"/>
    </xf>
    <xf numFmtId="164" fontId="37" fillId="27" borderId="13" xfId="0" applyNumberFormat="1" applyFont="1" applyFill="1" applyBorder="1" applyAlignment="1">
      <alignment horizontal="right" vertical="top"/>
    </xf>
    <xf numFmtId="164" fontId="37" fillId="27" borderId="69" xfId="0" applyNumberFormat="1" applyFont="1" applyFill="1" applyBorder="1" applyAlignment="1">
      <alignment horizontal="right" vertical="top"/>
    </xf>
    <xf numFmtId="164" fontId="37" fillId="27" borderId="60" xfId="0" applyNumberFormat="1" applyFont="1" applyFill="1" applyBorder="1" applyAlignment="1">
      <alignment horizontal="right" vertical="top"/>
    </xf>
    <xf numFmtId="0" fontId="2" fillId="25" borderId="41" xfId="0" applyFont="1" applyFill="1" applyBorder="1" applyAlignment="1">
      <alignment horizontal="center" vertical="top" wrapText="1"/>
    </xf>
    <xf numFmtId="0" fontId="2" fillId="25" borderId="25" xfId="0" applyFont="1" applyFill="1" applyBorder="1" applyAlignment="1">
      <alignment horizontal="center" vertical="top" wrapText="1"/>
    </xf>
    <xf numFmtId="0" fontId="10" fillId="25" borderId="0" xfId="0" quotePrefix="1" applyFont="1" applyFill="1" applyAlignment="1">
      <alignment horizontal="right" vertical="top" wrapText="1"/>
    </xf>
    <xf numFmtId="0" fontId="37" fillId="24" borderId="73" xfId="0" applyFont="1" applyFill="1" applyBorder="1" applyAlignment="1">
      <alignment vertical="top"/>
    </xf>
    <xf numFmtId="0" fontId="37" fillId="24" borderId="102" xfId="0" applyFont="1" applyFill="1" applyBorder="1" applyAlignment="1">
      <alignment horizontal="center" vertical="top"/>
    </xf>
    <xf numFmtId="0" fontId="37" fillId="41" borderId="22" xfId="0" applyFont="1" applyFill="1" applyBorder="1" applyAlignment="1">
      <alignment horizontal="center" vertical="top"/>
    </xf>
    <xf numFmtId="165" fontId="37" fillId="27" borderId="89" xfId="0" applyNumberFormat="1" applyFont="1" applyFill="1" applyBorder="1" applyAlignment="1">
      <alignment vertical="top"/>
    </xf>
    <xf numFmtId="0" fontId="37" fillId="24" borderId="18" xfId="0" applyFont="1" applyFill="1" applyBorder="1" applyAlignment="1">
      <alignment horizontal="center" vertical="top"/>
    </xf>
    <xf numFmtId="0" fontId="37" fillId="41" borderId="24" xfId="0" applyFont="1" applyFill="1" applyBorder="1" applyAlignment="1">
      <alignment horizontal="center" vertical="top"/>
    </xf>
    <xf numFmtId="0" fontId="37" fillId="24" borderId="24" xfId="0" applyFont="1" applyFill="1" applyBorder="1" applyAlignment="1">
      <alignment horizontal="center" vertical="top"/>
    </xf>
    <xf numFmtId="0" fontId="37" fillId="41" borderId="104" xfId="0" applyFont="1" applyFill="1" applyBorder="1" applyAlignment="1">
      <alignment horizontal="center" vertical="top"/>
    </xf>
    <xf numFmtId="165" fontId="37" fillId="27" borderId="92" xfId="0" applyNumberFormat="1" applyFont="1" applyFill="1" applyBorder="1" applyAlignment="1">
      <alignment vertical="top"/>
    </xf>
    <xf numFmtId="0" fontId="37" fillId="41" borderId="70" xfId="0" applyFont="1" applyFill="1" applyBorder="1" applyAlignment="1">
      <alignment horizontal="center" vertical="top"/>
    </xf>
    <xf numFmtId="165" fontId="37" fillId="27" borderId="91" xfId="0" applyNumberFormat="1" applyFont="1" applyFill="1" applyBorder="1" applyAlignment="1">
      <alignment vertical="top"/>
    </xf>
    <xf numFmtId="165" fontId="37" fillId="27" borderId="90" xfId="0" applyNumberFormat="1" applyFont="1" applyFill="1" applyBorder="1" applyAlignment="1">
      <alignment vertical="top"/>
    </xf>
    <xf numFmtId="0" fontId="37" fillId="44" borderId="162" xfId="0" applyFont="1" applyFill="1" applyBorder="1" applyAlignment="1">
      <alignment vertical="top"/>
    </xf>
    <xf numFmtId="0" fontId="37" fillId="24" borderId="117" xfId="0" applyFont="1" applyFill="1" applyBorder="1" applyAlignment="1">
      <alignment horizontal="center" vertical="top"/>
    </xf>
    <xf numFmtId="0" fontId="37" fillId="44" borderId="141" xfId="0" applyFont="1" applyFill="1" applyBorder="1" applyAlignment="1">
      <alignment vertical="top"/>
    </xf>
    <xf numFmtId="0" fontId="37" fillId="44" borderId="142" xfId="0" applyFont="1" applyFill="1" applyBorder="1" applyAlignment="1">
      <alignment vertical="top"/>
    </xf>
    <xf numFmtId="0" fontId="2" fillId="24" borderId="108" xfId="0" applyFont="1" applyFill="1" applyBorder="1"/>
    <xf numFmtId="0" fontId="37" fillId="24" borderId="116" xfId="0" applyFont="1" applyFill="1" applyBorder="1" applyAlignment="1">
      <alignment vertical="top"/>
    </xf>
    <xf numFmtId="4" fontId="37" fillId="40" borderId="13" xfId="0" applyNumberFormat="1" applyFont="1" applyFill="1" applyBorder="1" applyAlignment="1">
      <alignment vertical="top"/>
    </xf>
    <xf numFmtId="4" fontId="37" fillId="40" borderId="62" xfId="0" applyNumberFormat="1" applyFont="1" applyFill="1" applyBorder="1" applyAlignment="1">
      <alignment vertical="top"/>
    </xf>
    <xf numFmtId="4" fontId="37" fillId="40" borderId="64" xfId="0" applyNumberFormat="1" applyFont="1" applyFill="1" applyBorder="1" applyAlignment="1">
      <alignment vertical="top"/>
    </xf>
    <xf numFmtId="171" fontId="37" fillId="27" borderId="62" xfId="0" applyNumberFormat="1" applyFont="1" applyFill="1" applyBorder="1" applyAlignment="1">
      <alignment vertical="top"/>
    </xf>
    <xf numFmtId="171" fontId="37" fillId="27" borderId="64" xfId="0" applyNumberFormat="1" applyFont="1" applyFill="1" applyBorder="1" applyAlignment="1">
      <alignment vertical="top"/>
    </xf>
    <xf numFmtId="10" fontId="37" fillId="40" borderId="62" xfId="0" applyNumberFormat="1" applyFont="1" applyFill="1" applyBorder="1" applyAlignment="1">
      <alignment vertical="top"/>
    </xf>
    <xf numFmtId="10" fontId="37" fillId="40" borderId="64" xfId="0" applyNumberFormat="1" applyFont="1" applyFill="1" applyBorder="1" applyAlignment="1">
      <alignment vertical="top"/>
    </xf>
    <xf numFmtId="10" fontId="37" fillId="40" borderId="13" xfId="0" applyNumberFormat="1" applyFont="1" applyFill="1" applyBorder="1" applyAlignment="1">
      <alignment vertical="top"/>
    </xf>
    <xf numFmtId="0" fontId="37" fillId="25" borderId="21" xfId="0" applyFont="1" applyFill="1" applyBorder="1" applyAlignment="1">
      <alignment horizontal="center" vertical="top"/>
    </xf>
    <xf numFmtId="0" fontId="37" fillId="25" borderId="51" xfId="0" applyFont="1" applyFill="1" applyBorder="1" applyAlignment="1">
      <alignment horizontal="center" vertical="top"/>
    </xf>
    <xf numFmtId="0" fontId="4" fillId="25" borderId="107" xfId="0" applyFont="1" applyFill="1" applyBorder="1" applyAlignment="1">
      <alignment horizontal="left" vertical="top" wrapText="1"/>
    </xf>
    <xf numFmtId="0" fontId="0" fillId="0" borderId="15" xfId="0" applyBorder="1" applyAlignment="1">
      <alignment horizontal="left" vertical="top" wrapText="1"/>
    </xf>
    <xf numFmtId="0" fontId="37" fillId="25" borderId="36" xfId="0" applyFont="1" applyFill="1" applyBorder="1" applyAlignment="1">
      <alignment horizontal="center" vertical="top"/>
    </xf>
    <xf numFmtId="4" fontId="37" fillId="40" borderId="63" xfId="0" applyNumberFormat="1" applyFont="1" applyFill="1" applyBorder="1" applyAlignment="1">
      <alignment vertical="top"/>
    </xf>
    <xf numFmtId="165" fontId="37" fillId="40" borderId="19" xfId="0" applyNumberFormat="1" applyFont="1" applyFill="1" applyBorder="1" applyAlignment="1">
      <alignment vertical="top"/>
    </xf>
    <xf numFmtId="165" fontId="37" fillId="40" borderId="20" xfId="0" applyNumberFormat="1" applyFont="1" applyFill="1" applyBorder="1" applyAlignment="1">
      <alignment vertical="top"/>
    </xf>
    <xf numFmtId="165" fontId="37" fillId="40" borderId="23" xfId="0" applyNumberFormat="1" applyFont="1" applyFill="1" applyBorder="1" applyAlignment="1">
      <alignment vertical="top"/>
    </xf>
    <xf numFmtId="4" fontId="37" fillId="40" borderId="89" xfId="0" applyNumberFormat="1" applyFont="1" applyFill="1" applyBorder="1" applyAlignment="1">
      <alignment vertical="top"/>
    </xf>
    <xf numFmtId="4" fontId="37" fillId="27" borderId="11" xfId="0" applyNumberFormat="1" applyFont="1" applyFill="1" applyBorder="1" applyAlignment="1">
      <alignment vertical="top"/>
    </xf>
    <xf numFmtId="0" fontId="4" fillId="0" borderId="102" xfId="0" applyFont="1" applyBorder="1" applyAlignment="1">
      <alignment horizontal="center" vertical="top"/>
    </xf>
    <xf numFmtId="0" fontId="4" fillId="40" borderId="167" xfId="0" applyFont="1" applyFill="1" applyBorder="1" applyAlignment="1">
      <alignment horizontal="center" vertical="center"/>
    </xf>
    <xf numFmtId="4" fontId="4" fillId="27" borderId="71" xfId="0" applyNumberFormat="1" applyFont="1" applyFill="1" applyBorder="1" applyAlignment="1">
      <alignment vertical="top"/>
    </xf>
    <xf numFmtId="4" fontId="4" fillId="27" borderId="72" xfId="0" applyNumberFormat="1" applyFont="1" applyFill="1" applyBorder="1" applyAlignment="1">
      <alignment vertical="top"/>
    </xf>
    <xf numFmtId="0" fontId="4" fillId="40" borderId="172" xfId="0" applyFont="1" applyFill="1" applyBorder="1" applyAlignment="1">
      <alignment horizontal="center" vertical="center"/>
    </xf>
    <xf numFmtId="4" fontId="4" fillId="27" borderId="60" xfId="0" applyNumberFormat="1" applyFont="1" applyFill="1" applyBorder="1" applyAlignment="1">
      <alignment vertical="top"/>
    </xf>
    <xf numFmtId="4" fontId="4" fillId="27" borderId="61" xfId="0" applyNumberFormat="1" applyFont="1" applyFill="1" applyBorder="1" applyAlignment="1">
      <alignment vertical="top"/>
    </xf>
    <xf numFmtId="0" fontId="0" fillId="0" borderId="0" xfId="0" applyAlignment="1">
      <alignment vertical="center" wrapText="1"/>
    </xf>
    <xf numFmtId="0" fontId="4" fillId="25" borderId="0" xfId="0" applyFont="1" applyFill="1" applyAlignment="1">
      <alignment vertical="center" wrapText="1"/>
    </xf>
    <xf numFmtId="0" fontId="2" fillId="24" borderId="0" xfId="0" applyFont="1" applyFill="1" applyAlignment="1">
      <alignment wrapText="1"/>
    </xf>
    <xf numFmtId="0" fontId="2" fillId="24" borderId="0" xfId="0" applyFont="1" applyFill="1" applyAlignment="1">
      <alignment vertical="top" wrapText="1"/>
    </xf>
    <xf numFmtId="0" fontId="2" fillId="41" borderId="0" xfId="0" applyFont="1" applyFill="1" applyAlignment="1">
      <alignment vertical="top" wrapText="1"/>
    </xf>
    <xf numFmtId="0" fontId="35" fillId="40" borderId="74" xfId="0" applyFont="1" applyFill="1" applyBorder="1" applyAlignment="1">
      <alignment horizontal="center"/>
    </xf>
    <xf numFmtId="0" fontId="38" fillId="40" borderId="74" xfId="0" applyFont="1" applyFill="1" applyBorder="1" applyAlignment="1">
      <alignment vertical="top"/>
    </xf>
    <xf numFmtId="3" fontId="2" fillId="24" borderId="0" xfId="0" applyNumberFormat="1" applyFont="1" applyFill="1"/>
    <xf numFmtId="164" fontId="2" fillId="27" borderId="13" xfId="0" applyNumberFormat="1" applyFont="1" applyFill="1" applyBorder="1" applyAlignment="1">
      <alignment horizontal="center" vertical="top"/>
    </xf>
    <xf numFmtId="166" fontId="2" fillId="40" borderId="67" xfId="0" applyNumberFormat="1" applyFont="1" applyFill="1" applyBorder="1" applyAlignment="1">
      <alignment horizontal="right" vertical="top"/>
    </xf>
    <xf numFmtId="0" fontId="4" fillId="25" borderId="88" xfId="0" applyFont="1" applyFill="1" applyBorder="1" applyAlignment="1">
      <alignment horizontal="center" vertical="top"/>
    </xf>
    <xf numFmtId="0" fontId="2" fillId="24" borderId="43" xfId="0" applyFont="1" applyFill="1" applyBorder="1" applyAlignment="1">
      <alignment vertical="top"/>
    </xf>
    <xf numFmtId="0" fontId="2" fillId="24" borderId="71" xfId="0" applyFont="1" applyFill="1" applyBorder="1" applyAlignment="1">
      <alignment vertical="top"/>
    </xf>
    <xf numFmtId="0" fontId="2" fillId="24" borderId="72" xfId="0" applyFont="1" applyFill="1" applyBorder="1" applyAlignment="1">
      <alignment vertical="top"/>
    </xf>
    <xf numFmtId="164" fontId="80" fillId="27" borderId="13" xfId="0" applyNumberFormat="1" applyFont="1" applyFill="1" applyBorder="1" applyAlignment="1">
      <alignment horizontal="right" vertical="top"/>
    </xf>
    <xf numFmtId="164" fontId="2" fillId="27" borderId="49" xfId="0" applyNumberFormat="1" applyFont="1" applyFill="1" applyBorder="1" applyAlignment="1">
      <alignment horizontal="right" vertical="top"/>
    </xf>
    <xf numFmtId="0" fontId="35" fillId="25" borderId="57" xfId="0" applyFont="1" applyFill="1" applyBorder="1" applyAlignment="1">
      <alignment horizontal="center"/>
    </xf>
    <xf numFmtId="0" fontId="35" fillId="25" borderId="28" xfId="0" applyFont="1" applyFill="1" applyBorder="1" applyAlignment="1">
      <alignment horizontal="center"/>
    </xf>
    <xf numFmtId="0" fontId="35" fillId="25" borderId="30" xfId="0" applyFont="1" applyFill="1" applyBorder="1" applyAlignment="1">
      <alignment horizontal="center"/>
    </xf>
    <xf numFmtId="0" fontId="35" fillId="25" borderId="66" xfId="0" applyFont="1" applyFill="1" applyBorder="1" applyAlignment="1">
      <alignment horizontal="center"/>
    </xf>
    <xf numFmtId="0" fontId="81" fillId="25" borderId="12" xfId="0" applyFont="1" applyFill="1" applyBorder="1" applyAlignment="1">
      <alignment horizontal="center" vertical="top"/>
    </xf>
    <xf numFmtId="0" fontId="82" fillId="25" borderId="14" xfId="0" applyFont="1" applyFill="1" applyBorder="1" applyAlignment="1">
      <alignment horizontal="left"/>
    </xf>
    <xf numFmtId="0" fontId="35" fillId="25" borderId="14" xfId="0" applyFont="1" applyFill="1" applyBorder="1" applyAlignment="1">
      <alignment horizontal="center"/>
    </xf>
    <xf numFmtId="0" fontId="4" fillId="25" borderId="14" xfId="0" applyFont="1" applyFill="1" applyBorder="1" applyAlignment="1">
      <alignment horizontal="center" vertical="top"/>
    </xf>
    <xf numFmtId="0" fontId="82" fillId="27" borderId="31" xfId="0" applyFont="1" applyFill="1" applyBorder="1" applyAlignment="1">
      <alignment horizontal="center" vertical="top"/>
    </xf>
    <xf numFmtId="0" fontId="82" fillId="27" borderId="62" xfId="0" applyFont="1" applyFill="1" applyBorder="1" applyAlignment="1">
      <alignment horizontal="center" vertical="top"/>
    </xf>
    <xf numFmtId="0" fontId="82" fillId="27" borderId="128" xfId="0" applyFont="1" applyFill="1" applyBorder="1" applyAlignment="1">
      <alignment horizontal="center" vertical="top"/>
    </xf>
    <xf numFmtId="0" fontId="82" fillId="25" borderId="16" xfId="0" applyFont="1" applyFill="1" applyBorder="1" applyAlignment="1">
      <alignment vertical="top"/>
    </xf>
    <xf numFmtId="0" fontId="35" fillId="25" borderId="16" xfId="0" applyFont="1" applyFill="1" applyBorder="1" applyAlignment="1">
      <alignment horizontal="center"/>
    </xf>
    <xf numFmtId="0" fontId="83" fillId="25" borderId="16" xfId="0" applyFont="1" applyFill="1" applyBorder="1" applyAlignment="1">
      <alignment horizontal="center" vertical="top"/>
    </xf>
    <xf numFmtId="0" fontId="82" fillId="27" borderId="123" xfId="0" applyFont="1" applyFill="1" applyBorder="1" applyAlignment="1">
      <alignment horizontal="center" vertical="top"/>
    </xf>
    <xf numFmtId="0" fontId="82" fillId="27" borderId="64" xfId="0" applyFont="1" applyFill="1" applyBorder="1" applyAlignment="1">
      <alignment horizontal="center" vertical="top"/>
    </xf>
    <xf numFmtId="0" fontId="82" fillId="27" borderId="135" xfId="0" applyFont="1" applyFill="1" applyBorder="1" applyAlignment="1">
      <alignment horizontal="center" vertical="top"/>
    </xf>
    <xf numFmtId="0" fontId="35" fillId="25" borderId="38" xfId="0" applyFont="1" applyFill="1" applyBorder="1" applyAlignment="1">
      <alignment horizontal="center"/>
    </xf>
    <xf numFmtId="0" fontId="4" fillId="25" borderId="132" xfId="0" applyFont="1" applyFill="1" applyBorder="1" applyAlignment="1">
      <alignment horizontal="right" vertical="top"/>
    </xf>
    <xf numFmtId="164" fontId="80" fillId="27" borderId="49" xfId="0" applyNumberFormat="1" applyFont="1" applyFill="1" applyBorder="1" applyAlignment="1">
      <alignment horizontal="right" vertical="top"/>
    </xf>
    <xf numFmtId="164" fontId="80" fillId="27" borderId="58" xfId="0" applyNumberFormat="1" applyFont="1" applyFill="1" applyBorder="1" applyAlignment="1">
      <alignment horizontal="right" vertical="top"/>
    </xf>
    <xf numFmtId="0" fontId="80" fillId="41" borderId="14" xfId="0" applyFont="1" applyFill="1" applyBorder="1" applyAlignment="1">
      <alignment vertical="top"/>
    </xf>
    <xf numFmtId="164" fontId="80" fillId="27" borderId="31" xfId="0" applyNumberFormat="1" applyFont="1" applyFill="1" applyBorder="1" applyAlignment="1">
      <alignment horizontal="right" vertical="top"/>
    </xf>
    <xf numFmtId="164" fontId="80" fillId="27" borderId="62" xfId="0" applyNumberFormat="1" applyFont="1" applyFill="1" applyBorder="1" applyAlignment="1">
      <alignment horizontal="right" vertical="top"/>
    </xf>
    <xf numFmtId="164" fontId="80" fillId="27" borderId="128" xfId="0" applyNumberFormat="1" applyFont="1" applyFill="1" applyBorder="1" applyAlignment="1">
      <alignment horizontal="right" vertical="top"/>
    </xf>
    <xf numFmtId="0" fontId="80" fillId="41" borderId="15" xfId="0" applyFont="1" applyFill="1" applyBorder="1" applyAlignment="1">
      <alignment vertical="top"/>
    </xf>
    <xf numFmtId="164" fontId="80" fillId="40" borderId="33" xfId="0" applyNumberFormat="1" applyFont="1" applyFill="1" applyBorder="1" applyAlignment="1">
      <alignment horizontal="right" vertical="top"/>
    </xf>
    <xf numFmtId="164" fontId="80" fillId="40" borderId="63" xfId="0" applyNumberFormat="1" applyFont="1" applyFill="1" applyBorder="1" applyAlignment="1">
      <alignment horizontal="right" vertical="top"/>
    </xf>
    <xf numFmtId="164" fontId="80" fillId="40" borderId="93" xfId="0" applyNumberFormat="1" applyFont="1" applyFill="1" applyBorder="1" applyAlignment="1">
      <alignment horizontal="right" vertical="top"/>
    </xf>
    <xf numFmtId="0" fontId="80" fillId="41" borderId="16" xfId="0" applyFont="1" applyFill="1" applyBorder="1" applyAlignment="1">
      <alignment vertical="top"/>
    </xf>
    <xf numFmtId="171" fontId="80" fillId="27" borderId="117" xfId="0" applyNumberFormat="1" applyFont="1" applyFill="1" applyBorder="1" applyAlignment="1">
      <alignment horizontal="right" vertical="top"/>
    </xf>
    <xf numFmtId="171" fontId="80" fillId="27" borderId="11" xfId="0" applyNumberFormat="1" applyFont="1" applyFill="1" applyBorder="1" applyAlignment="1">
      <alignment horizontal="right" vertical="top"/>
    </xf>
    <xf numFmtId="171" fontId="80" fillId="27" borderId="126" xfId="0" applyNumberFormat="1" applyFont="1" applyFill="1" applyBorder="1" applyAlignment="1">
      <alignment horizontal="right" vertical="top"/>
    </xf>
    <xf numFmtId="0" fontId="80" fillId="41" borderId="25" xfId="0" applyFont="1" applyFill="1" applyBorder="1" applyAlignment="1">
      <alignment vertical="top"/>
    </xf>
    <xf numFmtId="164" fontId="2" fillId="27" borderId="58" xfId="0" applyNumberFormat="1" applyFont="1" applyFill="1" applyBorder="1" applyAlignment="1">
      <alignment horizontal="right" vertical="top"/>
    </xf>
    <xf numFmtId="0" fontId="2" fillId="40" borderId="14" xfId="0" applyFont="1" applyFill="1" applyBorder="1" applyAlignment="1">
      <alignment horizontal="center" vertical="top"/>
    </xf>
    <xf numFmtId="0" fontId="81" fillId="25" borderId="14" xfId="0" applyFont="1" applyFill="1" applyBorder="1" applyAlignment="1">
      <alignment horizontal="center" vertical="top"/>
    </xf>
    <xf numFmtId="164" fontId="2" fillId="27" borderId="31" xfId="0" applyNumberFormat="1" applyFont="1" applyFill="1" applyBorder="1" applyAlignment="1">
      <alignment horizontal="right" vertical="top"/>
    </xf>
    <xf numFmtId="164" fontId="2" fillId="27" borderId="128" xfId="0" applyNumberFormat="1" applyFont="1" applyFill="1" applyBorder="1" applyAlignment="1">
      <alignment horizontal="right" vertical="top"/>
    </xf>
    <xf numFmtId="0" fontId="4" fillId="25" borderId="17" xfId="0" applyFont="1" applyFill="1" applyBorder="1" applyAlignment="1">
      <alignment horizontal="center" vertical="top"/>
    </xf>
    <xf numFmtId="0" fontId="81" fillId="25" borderId="15" xfId="0" applyFont="1" applyFill="1" applyBorder="1" applyAlignment="1">
      <alignment horizontal="center" vertical="top"/>
    </xf>
    <xf numFmtId="0" fontId="82" fillId="25" borderId="15" xfId="0" applyFont="1" applyFill="1" applyBorder="1" applyAlignment="1">
      <alignment vertical="top"/>
    </xf>
    <xf numFmtId="0" fontId="83" fillId="25" borderId="17" xfId="0" applyFont="1" applyFill="1" applyBorder="1" applyAlignment="1">
      <alignment horizontal="center" vertical="top"/>
    </xf>
    <xf numFmtId="0" fontId="83" fillId="25" borderId="15" xfId="0" applyFont="1" applyFill="1" applyBorder="1" applyAlignment="1">
      <alignment horizontal="center" vertical="top"/>
    </xf>
    <xf numFmtId="0" fontId="82" fillId="27" borderId="33" xfId="0" applyFont="1" applyFill="1" applyBorder="1" applyAlignment="1">
      <alignment horizontal="center" vertical="top"/>
    </xf>
    <xf numFmtId="0" fontId="82" fillId="27" borderId="63" xfId="0" applyFont="1" applyFill="1" applyBorder="1" applyAlignment="1">
      <alignment horizontal="center" vertical="top"/>
    </xf>
    <xf numFmtId="0" fontId="82" fillId="27" borderId="93" xfId="0" applyFont="1" applyFill="1" applyBorder="1" applyAlignment="1">
      <alignment horizontal="center" vertical="top"/>
    </xf>
    <xf numFmtId="0" fontId="2" fillId="40" borderId="16" xfId="0" applyFont="1" applyFill="1" applyBorder="1" applyAlignment="1">
      <alignment horizontal="center" vertical="top"/>
    </xf>
    <xf numFmtId="164" fontId="2" fillId="27" borderId="123" xfId="0" applyNumberFormat="1" applyFont="1" applyFill="1" applyBorder="1" applyAlignment="1">
      <alignment horizontal="right" vertical="top"/>
    </xf>
    <xf numFmtId="164" fontId="2" fillId="27" borderId="64" xfId="0" applyNumberFormat="1" applyFont="1" applyFill="1" applyBorder="1" applyAlignment="1">
      <alignment horizontal="right" vertical="top"/>
    </xf>
    <xf numFmtId="164" fontId="2" fillId="27" borderId="135" xfId="0" applyNumberFormat="1" applyFont="1" applyFill="1" applyBorder="1" applyAlignment="1">
      <alignment horizontal="right" vertical="top"/>
    </xf>
    <xf numFmtId="0" fontId="80" fillId="25" borderId="0" xfId="0" applyFont="1" applyFill="1" applyAlignment="1">
      <alignment vertical="top"/>
    </xf>
    <xf numFmtId="0" fontId="2" fillId="25" borderId="38" xfId="0" applyFont="1" applyFill="1" applyBorder="1" applyAlignment="1">
      <alignment vertical="top"/>
    </xf>
    <xf numFmtId="164" fontId="2" fillId="40" borderId="31" xfId="0" applyNumberFormat="1" applyFont="1" applyFill="1" applyBorder="1" applyAlignment="1">
      <alignment horizontal="right" vertical="top"/>
    </xf>
    <xf numFmtId="164" fontId="2" fillId="40" borderId="62" xfId="0" applyNumberFormat="1" applyFont="1" applyFill="1" applyBorder="1" applyAlignment="1">
      <alignment horizontal="right" vertical="top"/>
    </xf>
    <xf numFmtId="164" fontId="2" fillId="40" borderId="128" xfId="0" applyNumberFormat="1" applyFont="1" applyFill="1" applyBorder="1" applyAlignment="1">
      <alignment horizontal="right" vertical="top"/>
    </xf>
    <xf numFmtId="0" fontId="4" fillId="25" borderId="15" xfId="0" applyFont="1" applyFill="1" applyBorder="1" applyAlignment="1">
      <alignment horizontal="center" vertical="top"/>
    </xf>
    <xf numFmtId="164" fontId="2" fillId="40" borderId="123" xfId="0" applyNumberFormat="1" applyFont="1" applyFill="1" applyBorder="1" applyAlignment="1">
      <alignment horizontal="right" vertical="top"/>
    </xf>
    <xf numFmtId="164" fontId="2" fillId="40" borderId="64" xfId="0" applyNumberFormat="1" applyFont="1" applyFill="1" applyBorder="1" applyAlignment="1">
      <alignment horizontal="right" vertical="top"/>
    </xf>
    <xf numFmtId="164" fontId="2" fillId="40" borderId="135" xfId="0" applyNumberFormat="1" applyFont="1" applyFill="1" applyBorder="1" applyAlignment="1">
      <alignment horizontal="right" vertical="top"/>
    </xf>
    <xf numFmtId="171" fontId="2" fillId="27" borderId="31" xfId="0" applyNumberFormat="1" applyFont="1" applyFill="1" applyBorder="1" applyAlignment="1">
      <alignment horizontal="right" vertical="top"/>
    </xf>
    <xf numFmtId="171" fontId="2" fillId="27" borderId="62" xfId="0" applyNumberFormat="1" applyFont="1" applyFill="1" applyBorder="1" applyAlignment="1">
      <alignment horizontal="right" vertical="top"/>
    </xf>
    <xf numFmtId="171" fontId="2" fillId="27" borderId="128" xfId="0" applyNumberFormat="1" applyFont="1" applyFill="1" applyBorder="1" applyAlignment="1">
      <alignment horizontal="right" vertical="top"/>
    </xf>
    <xf numFmtId="171" fontId="2" fillId="27" borderId="123" xfId="0" applyNumberFormat="1" applyFont="1" applyFill="1" applyBorder="1" applyAlignment="1">
      <alignment horizontal="right" vertical="top"/>
    </xf>
    <xf numFmtId="171" fontId="2" fillId="27" borderId="64" xfId="0" applyNumberFormat="1" applyFont="1" applyFill="1" applyBorder="1" applyAlignment="1">
      <alignment horizontal="right" vertical="top"/>
    </xf>
    <xf numFmtId="171" fontId="2" fillId="27" borderId="135" xfId="0" applyNumberFormat="1" applyFont="1" applyFill="1" applyBorder="1" applyAlignment="1">
      <alignment horizontal="right" vertical="top"/>
    </xf>
    <xf numFmtId="0" fontId="35" fillId="25" borderId="65" xfId="0" applyFont="1" applyFill="1" applyBorder="1" applyAlignment="1">
      <alignment horizontal="center"/>
    </xf>
    <xf numFmtId="0" fontId="2" fillId="25" borderId="39" xfId="0" applyFont="1" applyFill="1" applyBorder="1" applyAlignment="1">
      <alignment vertical="top"/>
    </xf>
    <xf numFmtId="0" fontId="80" fillId="25" borderId="39" xfId="0" applyFont="1" applyFill="1" applyBorder="1" applyAlignment="1">
      <alignment vertical="top"/>
    </xf>
    <xf numFmtId="0" fontId="2" fillId="25" borderId="40" xfId="0" applyFont="1" applyFill="1" applyBorder="1" applyAlignment="1">
      <alignment vertical="top"/>
    </xf>
    <xf numFmtId="0" fontId="2" fillId="25" borderId="57" xfId="0" applyFont="1" applyFill="1" applyBorder="1" applyAlignment="1">
      <alignment vertical="top"/>
    </xf>
    <xf numFmtId="0" fontId="2" fillId="25" borderId="28" xfId="0" applyFont="1" applyFill="1" applyBorder="1" applyAlignment="1">
      <alignment vertical="top"/>
    </xf>
    <xf numFmtId="0" fontId="80" fillId="41" borderId="28" xfId="0" applyFont="1" applyFill="1" applyBorder="1" applyAlignment="1">
      <alignment vertical="top"/>
    </xf>
    <xf numFmtId="0" fontId="2" fillId="25" borderId="30" xfId="0" applyFont="1" applyFill="1" applyBorder="1" applyAlignment="1">
      <alignment vertical="top"/>
    </xf>
    <xf numFmtId="0" fontId="81" fillId="25" borderId="0" xfId="0" applyFont="1" applyFill="1" applyAlignment="1">
      <alignment vertical="top"/>
    </xf>
    <xf numFmtId="0" fontId="81" fillId="25" borderId="108" xfId="0" applyFont="1" applyFill="1" applyBorder="1" applyAlignment="1">
      <alignment horizontal="center" vertical="top"/>
    </xf>
    <xf numFmtId="0" fontId="81" fillId="25" borderId="117" xfId="0" applyFont="1" applyFill="1" applyBorder="1" applyAlignment="1">
      <alignment horizontal="right" vertical="top"/>
    </xf>
    <xf numFmtId="0" fontId="81" fillId="25" borderId="11" xfId="0" applyFont="1" applyFill="1" applyBorder="1" applyAlignment="1">
      <alignment horizontal="right" vertical="top"/>
    </xf>
    <xf numFmtId="0" fontId="81" fillId="25" borderId="126" xfId="0" applyFont="1" applyFill="1" applyBorder="1" applyAlignment="1">
      <alignment horizontal="right" vertical="top"/>
    </xf>
    <xf numFmtId="0" fontId="80" fillId="25" borderId="14" xfId="0" applyFont="1" applyFill="1" applyBorder="1" applyAlignment="1">
      <alignment vertical="top"/>
    </xf>
    <xf numFmtId="0" fontId="80" fillId="40" borderId="14" xfId="0" applyFont="1" applyFill="1" applyBorder="1" applyAlignment="1">
      <alignment horizontal="center" vertical="top"/>
    </xf>
    <xf numFmtId="164" fontId="80" fillId="27" borderId="146" xfId="0" applyNumberFormat="1" applyFont="1" applyFill="1" applyBorder="1" applyAlignment="1">
      <alignment horizontal="right" vertical="top"/>
    </xf>
    <xf numFmtId="0" fontId="80" fillId="25" borderId="17" xfId="0" applyFont="1" applyFill="1" applyBorder="1" applyAlignment="1">
      <alignment vertical="top"/>
    </xf>
    <xf numFmtId="0" fontId="80" fillId="25" borderId="17" xfId="0" applyFont="1" applyFill="1" applyBorder="1" applyAlignment="1">
      <alignment horizontal="center" vertical="top"/>
    </xf>
    <xf numFmtId="164" fontId="80" fillId="27" borderId="143" xfId="0" applyNumberFormat="1" applyFont="1" applyFill="1" applyBorder="1" applyAlignment="1">
      <alignment horizontal="right" vertical="top"/>
    </xf>
    <xf numFmtId="164" fontId="80" fillId="27" borderId="122" xfId="0" applyNumberFormat="1" applyFont="1" applyFill="1" applyBorder="1" applyAlignment="1">
      <alignment horizontal="right" vertical="top"/>
    </xf>
    <xf numFmtId="164" fontId="80" fillId="27" borderId="89" xfId="0" applyNumberFormat="1" applyFont="1" applyFill="1" applyBorder="1" applyAlignment="1">
      <alignment horizontal="right" vertical="top"/>
    </xf>
    <xf numFmtId="164" fontId="80" fillId="27" borderId="133" xfId="0" applyNumberFormat="1" applyFont="1" applyFill="1" applyBorder="1" applyAlignment="1">
      <alignment horizontal="right" vertical="top"/>
    </xf>
    <xf numFmtId="0" fontId="80" fillId="25" borderId="15" xfId="0" applyFont="1" applyFill="1" applyBorder="1" applyAlignment="1">
      <alignment vertical="top"/>
    </xf>
    <xf numFmtId="0" fontId="80" fillId="25" borderId="15" xfId="0" applyFont="1" applyFill="1" applyBorder="1" applyAlignment="1">
      <alignment horizontal="center" vertical="top"/>
    </xf>
    <xf numFmtId="164" fontId="80" fillId="27" borderId="141" xfId="0" applyNumberFormat="1" applyFont="1" applyFill="1" applyBorder="1" applyAlignment="1">
      <alignment horizontal="right" vertical="top"/>
    </xf>
    <xf numFmtId="0" fontId="80" fillId="25" borderId="16" xfId="0" applyFont="1" applyFill="1" applyBorder="1" applyAlignment="1">
      <alignment vertical="top"/>
    </xf>
    <xf numFmtId="0" fontId="80" fillId="25" borderId="16" xfId="0" applyFont="1" applyFill="1" applyBorder="1" applyAlignment="1">
      <alignment horizontal="center" vertical="top"/>
    </xf>
    <xf numFmtId="171" fontId="80" fillId="27" borderId="145" xfId="0" applyNumberFormat="1" applyFont="1" applyFill="1" applyBorder="1" applyAlignment="1">
      <alignment horizontal="right" vertical="top"/>
    </xf>
    <xf numFmtId="0" fontId="80" fillId="25" borderId="25" xfId="0" applyFont="1" applyFill="1" applyBorder="1" applyAlignment="1">
      <alignment vertical="top"/>
    </xf>
    <xf numFmtId="0" fontId="80" fillId="25" borderId="25" xfId="0" applyFont="1" applyFill="1" applyBorder="1" applyAlignment="1">
      <alignment horizontal="center" vertical="top"/>
    </xf>
    <xf numFmtId="164" fontId="80" fillId="40" borderId="95" xfId="0" applyNumberFormat="1" applyFont="1" applyFill="1" applyBorder="1" applyAlignment="1">
      <alignment horizontal="right" vertical="top"/>
    </xf>
    <xf numFmtId="0" fontId="82" fillId="41" borderId="25" xfId="0" applyFont="1" applyFill="1" applyBorder="1" applyAlignment="1">
      <alignment vertical="top"/>
    </xf>
    <xf numFmtId="173" fontId="2" fillId="27" borderId="49" xfId="0" applyNumberFormat="1" applyFont="1" applyFill="1" applyBorder="1" applyAlignment="1">
      <alignment horizontal="right" vertical="top"/>
    </xf>
    <xf numFmtId="173" fontId="2" fillId="27" borderId="58" xfId="0" applyNumberFormat="1" applyFont="1" applyFill="1" applyBorder="1" applyAlignment="1">
      <alignment horizontal="right" vertical="top"/>
    </xf>
    <xf numFmtId="164" fontId="80" fillId="39" borderId="0" xfId="0" applyNumberFormat="1" applyFont="1" applyFill="1" applyAlignment="1">
      <alignment horizontal="right" vertical="top"/>
    </xf>
    <xf numFmtId="0" fontId="82" fillId="25" borderId="25" xfId="0" applyFont="1" applyFill="1" applyBorder="1" applyAlignment="1">
      <alignment vertical="top"/>
    </xf>
    <xf numFmtId="0" fontId="82" fillId="25" borderId="25" xfId="0" quotePrefix="1" applyFont="1" applyFill="1" applyBorder="1" applyAlignment="1">
      <alignment horizontal="center" vertical="top"/>
    </xf>
    <xf numFmtId="0" fontId="82" fillId="27" borderId="49" xfId="0" applyFont="1" applyFill="1" applyBorder="1" applyAlignment="1">
      <alignment horizontal="center" vertical="top"/>
    </xf>
    <xf numFmtId="0" fontId="82" fillId="27" borderId="13" xfId="0" applyFont="1" applyFill="1" applyBorder="1" applyAlignment="1">
      <alignment horizontal="center" vertical="top"/>
    </xf>
    <xf numFmtId="0" fontId="82" fillId="27" borderId="58" xfId="0" applyFont="1" applyFill="1" applyBorder="1" applyAlignment="1">
      <alignment horizontal="center" vertical="top"/>
    </xf>
    <xf numFmtId="0" fontId="2" fillId="25" borderId="65" xfId="0" applyFont="1" applyFill="1" applyBorder="1" applyAlignment="1">
      <alignment vertical="top"/>
    </xf>
    <xf numFmtId="0" fontId="4" fillId="25" borderId="108" xfId="0" applyFont="1" applyFill="1" applyBorder="1" applyAlignment="1">
      <alignment horizontal="center" vertical="top"/>
    </xf>
    <xf numFmtId="164" fontId="80" fillId="39" borderId="62" xfId="0" applyNumberFormat="1" applyFont="1" applyFill="1" applyBorder="1" applyAlignment="1">
      <alignment horizontal="right" vertical="top"/>
    </xf>
    <xf numFmtId="0" fontId="2" fillId="25" borderId="17" xfId="0" applyFont="1" applyFill="1" applyBorder="1" applyAlignment="1">
      <alignment horizontal="center" vertical="top"/>
    </xf>
    <xf numFmtId="164" fontId="2" fillId="27" borderId="122" xfId="0" applyNumberFormat="1" applyFont="1" applyFill="1" applyBorder="1" applyAlignment="1">
      <alignment horizontal="right" vertical="top"/>
    </xf>
    <xf numFmtId="164" fontId="2" fillId="27" borderId="89" xfId="0" applyNumberFormat="1" applyFont="1" applyFill="1" applyBorder="1" applyAlignment="1">
      <alignment horizontal="right" vertical="top"/>
    </xf>
    <xf numFmtId="164" fontId="2" fillId="27" borderId="133" xfId="0" applyNumberFormat="1" applyFont="1" applyFill="1" applyBorder="1" applyAlignment="1">
      <alignment horizontal="right" vertical="top"/>
    </xf>
    <xf numFmtId="164" fontId="80" fillId="39" borderId="89" xfId="0" applyNumberFormat="1" applyFont="1" applyFill="1" applyBorder="1" applyAlignment="1">
      <alignment horizontal="right" vertical="top"/>
    </xf>
    <xf numFmtId="164" fontId="2" fillId="40" borderId="33" xfId="0" applyNumberFormat="1" applyFont="1" applyFill="1" applyBorder="1" applyAlignment="1">
      <alignment horizontal="right" vertical="top"/>
    </xf>
    <xf numFmtId="164" fontId="2" fillId="40" borderId="63" xfId="0" applyNumberFormat="1" applyFont="1" applyFill="1" applyBorder="1" applyAlignment="1">
      <alignment horizontal="right" vertical="top"/>
    </xf>
    <xf numFmtId="164" fontId="2" fillId="40" borderId="93" xfId="0" applyNumberFormat="1" applyFont="1" applyFill="1" applyBorder="1" applyAlignment="1">
      <alignment horizontal="right" vertical="top"/>
    </xf>
    <xf numFmtId="164" fontId="80" fillId="39" borderId="63" xfId="0" applyNumberFormat="1" applyFont="1" applyFill="1" applyBorder="1" applyAlignment="1">
      <alignment horizontal="right" vertical="top"/>
    </xf>
    <xf numFmtId="171" fontId="2" fillId="27" borderId="117" xfId="0" applyNumberFormat="1" applyFont="1" applyFill="1" applyBorder="1" applyAlignment="1">
      <alignment horizontal="right" vertical="top"/>
    </xf>
    <xf numFmtId="171" fontId="2" fillId="27" borderId="11" xfId="0" applyNumberFormat="1" applyFont="1" applyFill="1" applyBorder="1" applyAlignment="1">
      <alignment horizontal="right" vertical="top"/>
    </xf>
    <xf numFmtId="171" fontId="2" fillId="27" borderId="126" xfId="0" applyNumberFormat="1" applyFont="1" applyFill="1" applyBorder="1" applyAlignment="1">
      <alignment horizontal="right" vertical="top"/>
    </xf>
    <xf numFmtId="171" fontId="80" fillId="39" borderId="11" xfId="0" applyNumberFormat="1" applyFont="1" applyFill="1" applyBorder="1" applyAlignment="1">
      <alignment horizontal="right" vertical="top"/>
    </xf>
    <xf numFmtId="164" fontId="80" fillId="39" borderId="13" xfId="0" applyNumberFormat="1" applyFont="1" applyFill="1" applyBorder="1" applyAlignment="1">
      <alignment horizontal="right" vertical="top"/>
    </xf>
    <xf numFmtId="0" fontId="2" fillId="43" borderId="57" xfId="0" applyFont="1" applyFill="1" applyBorder="1" applyAlignment="1">
      <alignment horizontal="right" vertical="top"/>
    </xf>
    <xf numFmtId="0" fontId="2" fillId="43" borderId="28" xfId="0" applyFont="1" applyFill="1" applyBorder="1" applyAlignment="1">
      <alignment horizontal="right" vertical="top"/>
    </xf>
    <xf numFmtId="0" fontId="2" fillId="43" borderId="66" xfId="0" applyFont="1" applyFill="1" applyBorder="1" applyAlignment="1">
      <alignment horizontal="right" vertical="top"/>
    </xf>
    <xf numFmtId="0" fontId="4" fillId="43" borderId="0" xfId="0" applyFont="1" applyFill="1" applyAlignment="1">
      <alignment horizontal="right" vertical="top"/>
    </xf>
    <xf numFmtId="4" fontId="4" fillId="40" borderId="136" xfId="0" applyNumberFormat="1" applyFont="1" applyFill="1" applyBorder="1" applyAlignment="1">
      <alignment vertical="top"/>
    </xf>
    <xf numFmtId="4" fontId="2" fillId="43" borderId="38" xfId="0" applyNumberFormat="1" applyFont="1" applyFill="1" applyBorder="1" applyAlignment="1">
      <alignment horizontal="right" vertical="top"/>
    </xf>
    <xf numFmtId="4" fontId="2" fillId="40" borderId="105" xfId="0" applyNumberFormat="1" applyFont="1" applyFill="1" applyBorder="1" applyAlignment="1">
      <alignment vertical="top"/>
    </xf>
    <xf numFmtId="4" fontId="2" fillId="40" borderId="31" xfId="0" applyNumberFormat="1" applyFont="1" applyFill="1" applyBorder="1" applyAlignment="1">
      <alignment vertical="top"/>
    </xf>
    <xf numFmtId="4" fontId="2" fillId="40" borderId="128" xfId="0" applyNumberFormat="1" applyFont="1" applyFill="1" applyBorder="1" applyAlignment="1">
      <alignment vertical="top"/>
    </xf>
    <xf numFmtId="0" fontId="2" fillId="24" borderId="10" xfId="0" applyFont="1" applyFill="1" applyBorder="1"/>
    <xf numFmtId="4" fontId="2" fillId="40" borderId="94" xfId="0" applyNumberFormat="1" applyFont="1" applyFill="1" applyBorder="1" applyAlignment="1">
      <alignment vertical="top"/>
    </xf>
    <xf numFmtId="4" fontId="2" fillId="40" borderId="123" xfId="0" applyNumberFormat="1" applyFont="1" applyFill="1" applyBorder="1" applyAlignment="1">
      <alignment vertical="top"/>
    </xf>
    <xf numFmtId="4" fontId="2" fillId="40" borderId="135" xfId="0" applyNumberFormat="1" applyFont="1" applyFill="1" applyBorder="1" applyAlignment="1">
      <alignment vertical="top"/>
    </xf>
    <xf numFmtId="4" fontId="2" fillId="43" borderId="38" xfId="0" applyNumberFormat="1" applyFont="1" applyFill="1" applyBorder="1" applyAlignment="1">
      <alignment vertical="top"/>
    </xf>
    <xf numFmtId="4" fontId="2" fillId="40" borderId="49" xfId="0" applyNumberFormat="1" applyFont="1" applyFill="1" applyBorder="1" applyAlignment="1">
      <alignment vertical="top"/>
    </xf>
    <xf numFmtId="4" fontId="2" fillId="40" borderId="58" xfId="0" applyNumberFormat="1" applyFont="1" applyFill="1" applyBorder="1" applyAlignment="1">
      <alignment vertical="top"/>
    </xf>
    <xf numFmtId="0" fontId="2" fillId="43" borderId="16" xfId="0" applyFont="1" applyFill="1" applyBorder="1" applyAlignment="1">
      <alignment vertical="top" wrapText="1"/>
    </xf>
    <xf numFmtId="0" fontId="2" fillId="43" borderId="25" xfId="0" applyFont="1" applyFill="1" applyBorder="1" applyAlignment="1">
      <alignment vertical="top" wrapText="1"/>
    </xf>
    <xf numFmtId="3" fontId="2" fillId="40" borderId="58" xfId="0" applyNumberFormat="1" applyFont="1" applyFill="1" applyBorder="1" applyAlignment="1">
      <alignment vertical="top"/>
    </xf>
    <xf numFmtId="3" fontId="2" fillId="43" borderId="38" xfId="0" applyNumberFormat="1" applyFont="1" applyFill="1" applyBorder="1" applyAlignment="1">
      <alignment vertical="top"/>
    </xf>
    <xf numFmtId="0" fontId="2" fillId="43" borderId="65" xfId="0" applyFont="1" applyFill="1" applyBorder="1" applyAlignment="1">
      <alignment horizontal="right" vertical="top"/>
    </xf>
    <xf numFmtId="0" fontId="2" fillId="43" borderId="39" xfId="0" applyFont="1" applyFill="1" applyBorder="1" applyAlignment="1">
      <alignment horizontal="right" vertical="top"/>
    </xf>
    <xf numFmtId="3" fontId="2" fillId="43" borderId="39" xfId="0" applyNumberFormat="1" applyFont="1" applyFill="1" applyBorder="1" applyAlignment="1">
      <alignment vertical="top"/>
    </xf>
    <xf numFmtId="168" fontId="2" fillId="40" borderId="67" xfId="0" applyNumberFormat="1" applyFont="1" applyFill="1" applyBorder="1" applyAlignment="1">
      <alignment horizontal="right" vertical="top"/>
    </xf>
    <xf numFmtId="0" fontId="4" fillId="25" borderId="99" xfId="0" applyFont="1" applyFill="1" applyBorder="1" applyAlignment="1">
      <alignment horizontal="center" vertical="top"/>
    </xf>
    <xf numFmtId="165" fontId="80" fillId="27" borderId="67" xfId="0" applyNumberFormat="1" applyFont="1" applyFill="1" applyBorder="1" applyAlignment="1">
      <alignment horizontal="right" vertical="top"/>
    </xf>
    <xf numFmtId="165" fontId="2" fillId="27" borderId="49" xfId="0" applyNumberFormat="1" applyFont="1" applyFill="1" applyBorder="1" applyAlignment="1">
      <alignment horizontal="right" vertical="top"/>
    </xf>
    <xf numFmtId="165" fontId="2" fillId="40" borderId="67" xfId="0" applyNumberFormat="1" applyFont="1" applyFill="1" applyBorder="1" applyAlignment="1">
      <alignment horizontal="right" vertical="top"/>
    </xf>
    <xf numFmtId="165" fontId="2" fillId="27" borderId="13" xfId="0" applyNumberFormat="1" applyFont="1" applyFill="1" applyBorder="1" applyAlignment="1">
      <alignment horizontal="right" vertical="top"/>
    </xf>
    <xf numFmtId="165" fontId="2" fillId="27" borderId="58" xfId="0" applyNumberFormat="1" applyFont="1" applyFill="1" applyBorder="1" applyAlignment="1">
      <alignment horizontal="right" vertical="top"/>
    </xf>
    <xf numFmtId="165" fontId="2" fillId="27" borderId="31" xfId="0" applyNumberFormat="1" applyFont="1" applyFill="1" applyBorder="1" applyAlignment="1">
      <alignment horizontal="right" vertical="top"/>
    </xf>
    <xf numFmtId="165" fontId="2" fillId="27" borderId="62" xfId="0" applyNumberFormat="1" applyFont="1" applyFill="1" applyBorder="1" applyAlignment="1">
      <alignment horizontal="right" vertical="top"/>
    </xf>
    <xf numFmtId="165" fontId="2" fillId="27" borderId="128" xfId="0" applyNumberFormat="1" applyFont="1" applyFill="1" applyBorder="1" applyAlignment="1">
      <alignment horizontal="right" vertical="top"/>
    </xf>
    <xf numFmtId="0" fontId="82" fillId="25" borderId="139" xfId="0" applyFont="1" applyFill="1" applyBorder="1" applyAlignment="1">
      <alignment vertical="top"/>
    </xf>
    <xf numFmtId="0" fontId="83" fillId="25" borderId="139" xfId="0" applyFont="1" applyFill="1" applyBorder="1" applyAlignment="1">
      <alignment horizontal="center" vertical="top"/>
    </xf>
    <xf numFmtId="0" fontId="82" fillId="27" borderId="131" xfId="0" applyFont="1" applyFill="1" applyBorder="1" applyAlignment="1">
      <alignment horizontal="center" vertical="top"/>
    </xf>
    <xf numFmtId="0" fontId="82" fillId="27" borderId="92" xfId="0" applyFont="1" applyFill="1" applyBorder="1" applyAlignment="1">
      <alignment horizontal="center" vertical="top"/>
    </xf>
    <xf numFmtId="0" fontId="82" fillId="27" borderId="134" xfId="0" applyFont="1" applyFill="1" applyBorder="1" applyAlignment="1">
      <alignment horizontal="center" vertical="top"/>
    </xf>
    <xf numFmtId="0" fontId="82" fillId="25" borderId="16" xfId="0" quotePrefix="1" applyFont="1" applyFill="1" applyBorder="1" applyAlignment="1">
      <alignment horizontal="center" vertical="top"/>
    </xf>
    <xf numFmtId="0" fontId="82" fillId="41" borderId="16" xfId="0" applyFont="1" applyFill="1" applyBorder="1" applyAlignment="1">
      <alignment vertical="top"/>
    </xf>
    <xf numFmtId="0" fontId="2" fillId="41" borderId="12" xfId="0" quotePrefix="1" applyFont="1" applyFill="1" applyBorder="1" applyAlignment="1">
      <alignment horizontal="center" vertical="top"/>
    </xf>
    <xf numFmtId="164" fontId="80" fillId="41" borderId="154" xfId="0" applyNumberFormat="1" applyFont="1" applyFill="1" applyBorder="1" applyAlignment="1">
      <alignment horizontal="right" vertical="top"/>
    </xf>
    <xf numFmtId="0" fontId="80" fillId="41" borderId="39" xfId="0" applyFont="1" applyFill="1" applyBorder="1" applyAlignment="1">
      <alignment vertical="top"/>
    </xf>
    <xf numFmtId="0" fontId="80" fillId="41" borderId="0" xfId="0" applyFont="1" applyFill="1" applyAlignment="1">
      <alignment vertical="top"/>
    </xf>
    <xf numFmtId="0" fontId="81" fillId="25" borderId="145" xfId="0" applyFont="1" applyFill="1" applyBorder="1" applyAlignment="1">
      <alignment horizontal="center" vertical="top"/>
    </xf>
    <xf numFmtId="0" fontId="80" fillId="40" borderId="25" xfId="0" applyFont="1" applyFill="1" applyBorder="1" applyAlignment="1">
      <alignment horizontal="center" vertical="top"/>
    </xf>
    <xf numFmtId="165" fontId="80" fillId="27" borderId="49" xfId="0" applyNumberFormat="1" applyFont="1" applyFill="1" applyBorder="1" applyAlignment="1">
      <alignment horizontal="right" vertical="top"/>
    </xf>
    <xf numFmtId="165" fontId="80" fillId="27" borderId="13" xfId="0" applyNumberFormat="1" applyFont="1" applyFill="1" applyBorder="1" applyAlignment="1">
      <alignment horizontal="right" vertical="top"/>
    </xf>
    <xf numFmtId="165" fontId="80" fillId="27" borderId="58" xfId="0" applyNumberFormat="1" applyFont="1" applyFill="1" applyBorder="1" applyAlignment="1">
      <alignment horizontal="right" vertical="top"/>
    </xf>
    <xf numFmtId="164" fontId="80" fillId="40" borderId="49" xfId="0" applyNumberFormat="1" applyFont="1" applyFill="1" applyBorder="1" applyAlignment="1">
      <alignment horizontal="right" vertical="top"/>
    </xf>
    <xf numFmtId="0" fontId="4" fillId="25" borderId="145" xfId="0" applyFont="1" applyFill="1" applyBorder="1" applyAlignment="1">
      <alignment horizontal="center" vertical="top"/>
    </xf>
    <xf numFmtId="4" fontId="4" fillId="40" borderId="71" xfId="0" applyNumberFormat="1" applyFont="1" applyFill="1" applyBorder="1" applyAlignment="1">
      <alignment vertical="top"/>
    </xf>
    <xf numFmtId="4" fontId="4" fillId="40" borderId="72" xfId="0" applyNumberFormat="1" applyFont="1" applyFill="1" applyBorder="1" applyAlignment="1">
      <alignment vertical="top"/>
    </xf>
    <xf numFmtId="4" fontId="4" fillId="40" borderId="43" xfId="0" applyNumberFormat="1" applyFont="1" applyFill="1" applyBorder="1" applyAlignment="1">
      <alignment vertical="top"/>
    </xf>
    <xf numFmtId="0" fontId="2" fillId="53" borderId="57" xfId="0" applyFont="1" applyFill="1" applyBorder="1" applyAlignment="1">
      <alignment vertical="top"/>
    </xf>
    <xf numFmtId="0" fontId="2" fillId="53" borderId="66" xfId="0" applyFont="1" applyFill="1" applyBorder="1" applyAlignment="1">
      <alignment vertical="top"/>
    </xf>
    <xf numFmtId="0" fontId="2" fillId="53" borderId="0" xfId="0" applyFont="1" applyFill="1" applyAlignment="1">
      <alignment vertical="top"/>
    </xf>
    <xf numFmtId="0" fontId="4" fillId="43" borderId="25" xfId="0" applyFont="1" applyFill="1" applyBorder="1" applyAlignment="1">
      <alignment vertical="top" wrapText="1"/>
    </xf>
    <xf numFmtId="0" fontId="2" fillId="43" borderId="14" xfId="0" applyFont="1" applyFill="1" applyBorder="1" applyAlignment="1">
      <alignment vertical="top" wrapText="1"/>
    </xf>
    <xf numFmtId="0" fontId="37" fillId="43" borderId="14" xfId="0" applyFont="1" applyFill="1" applyBorder="1" applyAlignment="1">
      <alignment vertical="top" wrapText="1"/>
    </xf>
    <xf numFmtId="0" fontId="37" fillId="43" borderId="16" xfId="0" applyFont="1" applyFill="1" applyBorder="1" applyAlignment="1">
      <alignment vertical="top" wrapText="1"/>
    </xf>
    <xf numFmtId="0" fontId="37" fillId="43" borderId="25" xfId="0" applyFont="1" applyFill="1" applyBorder="1" applyAlignment="1">
      <alignment vertical="top" wrapText="1"/>
    </xf>
    <xf numFmtId="0" fontId="2" fillId="53" borderId="65" xfId="0" applyFont="1" applyFill="1" applyBorder="1" applyAlignment="1">
      <alignment vertical="top"/>
    </xf>
    <xf numFmtId="0" fontId="10" fillId="25" borderId="0" xfId="0" applyFont="1" applyFill="1" applyAlignment="1">
      <alignment vertical="top" wrapText="1"/>
    </xf>
    <xf numFmtId="0" fontId="2" fillId="24" borderId="0" xfId="0" applyFont="1" applyFill="1" applyAlignment="1">
      <alignment vertical="center"/>
    </xf>
    <xf numFmtId="0" fontId="2" fillId="41" borderId="0" xfId="0" applyFont="1" applyFill="1" applyAlignment="1">
      <alignment vertical="center"/>
    </xf>
    <xf numFmtId="0" fontId="2" fillId="25" borderId="28" xfId="0" applyFont="1" applyFill="1" applyBorder="1" applyAlignment="1">
      <alignment horizontal="center" vertical="top"/>
    </xf>
    <xf numFmtId="164" fontId="2" fillId="27" borderId="71" xfId="0" applyNumberFormat="1" applyFont="1" applyFill="1" applyBorder="1" applyAlignment="1">
      <alignment vertical="top"/>
    </xf>
    <xf numFmtId="171" fontId="2" fillId="25" borderId="0" xfId="0" applyNumberFormat="1" applyFont="1" applyFill="1" applyAlignment="1">
      <alignment vertical="top"/>
    </xf>
    <xf numFmtId="0" fontId="4" fillId="25" borderId="24" xfId="0" applyFont="1" applyFill="1" applyBorder="1" applyAlignment="1">
      <alignment horizontal="right" vertical="top"/>
    </xf>
    <xf numFmtId="171" fontId="2" fillId="24" borderId="0" xfId="0" applyNumberFormat="1" applyFont="1" applyFill="1" applyAlignment="1">
      <alignment vertical="top"/>
    </xf>
    <xf numFmtId="171" fontId="2" fillId="41" borderId="13" xfId="0" applyNumberFormat="1" applyFont="1" applyFill="1" applyBorder="1" applyAlignment="1">
      <alignment vertical="top"/>
    </xf>
    <xf numFmtId="0" fontId="37" fillId="24" borderId="0" xfId="0" applyFont="1" applyFill="1" applyAlignment="1">
      <alignment horizontal="center" vertical="center"/>
    </xf>
    <xf numFmtId="0" fontId="2" fillId="25" borderId="0" xfId="0" applyFont="1" applyFill="1" applyAlignment="1">
      <alignment horizontal="center" vertical="center"/>
    </xf>
    <xf numFmtId="0" fontId="2" fillId="24" borderId="0" xfId="0" applyFont="1" applyFill="1" applyAlignment="1">
      <alignment horizontal="center" vertical="center"/>
    </xf>
    <xf numFmtId="0" fontId="37" fillId="41" borderId="0" xfId="0" applyFont="1" applyFill="1" applyAlignment="1">
      <alignment horizontal="center" vertical="center"/>
    </xf>
    <xf numFmtId="0" fontId="39" fillId="25" borderId="0" xfId="0" applyFont="1" applyFill="1"/>
    <xf numFmtId="0" fontId="2" fillId="0" borderId="0" xfId="87" applyAlignment="1">
      <alignment horizontal="right" vertical="top"/>
    </xf>
    <xf numFmtId="0" fontId="37" fillId="0" borderId="0" xfId="0" applyFont="1" applyAlignment="1">
      <alignment horizontal="right" vertical="top"/>
    </xf>
    <xf numFmtId="0" fontId="37" fillId="61" borderId="57" xfId="0" applyFont="1" applyFill="1" applyBorder="1" applyAlignment="1">
      <alignment vertical="top"/>
    </xf>
    <xf numFmtId="0" fontId="37" fillId="61" borderId="28" xfId="0" applyFont="1" applyFill="1" applyBorder="1" applyAlignment="1">
      <alignment vertical="top"/>
    </xf>
    <xf numFmtId="0" fontId="37" fillId="61" borderId="30" xfId="0" applyFont="1" applyFill="1" applyBorder="1" applyAlignment="1">
      <alignment vertical="top"/>
    </xf>
    <xf numFmtId="0" fontId="37" fillId="61" borderId="66" xfId="0" applyFont="1" applyFill="1" applyBorder="1" applyAlignment="1">
      <alignment vertical="top"/>
    </xf>
    <xf numFmtId="0" fontId="37" fillId="61" borderId="0" xfId="0" applyFont="1" applyFill="1" applyAlignment="1">
      <alignment vertical="top"/>
    </xf>
    <xf numFmtId="0" fontId="4" fillId="61" borderId="0" xfId="0" applyFont="1" applyFill="1" applyAlignment="1">
      <alignment vertical="top"/>
    </xf>
    <xf numFmtId="0" fontId="4" fillId="40" borderId="74" xfId="0" applyFont="1" applyFill="1" applyBorder="1" applyAlignment="1">
      <alignment horizontal="center" vertical="top"/>
    </xf>
    <xf numFmtId="0" fontId="2" fillId="61" borderId="0" xfId="0" applyFont="1" applyFill="1" applyAlignment="1">
      <alignment vertical="top" wrapText="1"/>
    </xf>
    <xf numFmtId="0" fontId="37" fillId="61" borderId="38" xfId="0" applyFont="1" applyFill="1" applyBorder="1" applyAlignment="1">
      <alignment vertical="top"/>
    </xf>
    <xf numFmtId="0" fontId="2" fillId="61" borderId="0" xfId="0" applyFont="1" applyFill="1" applyAlignment="1">
      <alignment vertical="top"/>
    </xf>
    <xf numFmtId="0" fontId="37" fillId="61" borderId="65" xfId="0" applyFont="1" applyFill="1" applyBorder="1" applyAlignment="1">
      <alignment vertical="top"/>
    </xf>
    <xf numFmtId="0" fontId="37" fillId="61" borderId="39" xfId="0" applyFont="1" applyFill="1" applyBorder="1" applyAlignment="1">
      <alignment vertical="top"/>
    </xf>
    <xf numFmtId="0" fontId="37" fillId="61" borderId="40" xfId="0" applyFont="1" applyFill="1" applyBorder="1" applyAlignment="1">
      <alignment vertical="top"/>
    </xf>
    <xf numFmtId="0" fontId="4" fillId="0" borderId="12" xfId="0" applyFont="1" applyBorder="1"/>
    <xf numFmtId="0" fontId="0" fillId="0" borderId="12" xfId="0" applyBorder="1"/>
    <xf numFmtId="0" fontId="2" fillId="38" borderId="0" xfId="0" applyFont="1" applyFill="1"/>
    <xf numFmtId="166" fontId="2" fillId="47" borderId="0" xfId="0" applyNumberFormat="1" applyFont="1" applyFill="1" applyAlignment="1">
      <alignment vertical="top"/>
    </xf>
    <xf numFmtId="0" fontId="0" fillId="24" borderId="0" xfId="0" applyFill="1"/>
    <xf numFmtId="0" fontId="0" fillId="24" borderId="0" xfId="0" applyFill="1" applyAlignment="1">
      <alignment horizontal="center"/>
    </xf>
    <xf numFmtId="167" fontId="37" fillId="24" borderId="0" xfId="0" applyNumberFormat="1" applyFont="1" applyFill="1" applyAlignment="1">
      <alignment vertical="top"/>
    </xf>
    <xf numFmtId="10" fontId="37" fillId="24" borderId="0" xfId="0" applyNumberFormat="1" applyFont="1" applyFill="1" applyAlignment="1">
      <alignment vertical="top"/>
    </xf>
    <xf numFmtId="0" fontId="0" fillId="38" borderId="0" xfId="0" applyFill="1"/>
    <xf numFmtId="166" fontId="37" fillId="24" borderId="0" xfId="0" applyNumberFormat="1" applyFont="1" applyFill="1" applyAlignment="1">
      <alignment vertical="top"/>
    </xf>
    <xf numFmtId="166" fontId="2" fillId="24" borderId="0" xfId="0" applyNumberFormat="1" applyFont="1" applyFill="1" applyAlignment="1">
      <alignment vertical="top"/>
    </xf>
    <xf numFmtId="0" fontId="43" fillId="26" borderId="0" xfId="0" applyFont="1" applyFill="1"/>
    <xf numFmtId="0" fontId="79" fillId="26" borderId="0" xfId="0" applyFont="1" applyFill="1"/>
    <xf numFmtId="0" fontId="44" fillId="24" borderId="0" xfId="0" applyFont="1" applyFill="1" applyAlignment="1">
      <alignment horizontal="left"/>
    </xf>
    <xf numFmtId="0" fontId="0" fillId="39" borderId="13" xfId="0" applyFill="1" applyBorder="1" applyAlignment="1">
      <alignment wrapText="1"/>
    </xf>
    <xf numFmtId="0" fontId="2" fillId="39" borderId="13" xfId="0" applyFont="1" applyFill="1" applyBorder="1" applyAlignment="1">
      <alignment wrapText="1"/>
    </xf>
    <xf numFmtId="0" fontId="46" fillId="39" borderId="13" xfId="0" applyFont="1" applyFill="1" applyBorder="1" applyAlignment="1">
      <alignment wrapText="1"/>
    </xf>
    <xf numFmtId="0" fontId="0" fillId="44" borderId="13" xfId="0" applyFill="1" applyBorder="1" applyAlignment="1">
      <alignment wrapText="1"/>
    </xf>
    <xf numFmtId="0" fontId="2" fillId="44" borderId="10" xfId="0" applyFont="1" applyFill="1" applyBorder="1" applyAlignment="1">
      <alignment wrapText="1"/>
    </xf>
    <xf numFmtId="0" fontId="0" fillId="0" borderId="0" xfId="0" applyAlignment="1">
      <alignment wrapText="1"/>
    </xf>
    <xf numFmtId="0" fontId="44" fillId="39" borderId="13" xfId="0" applyFont="1" applyFill="1" applyBorder="1" applyAlignment="1">
      <alignment horizontal="left"/>
    </xf>
    <xf numFmtId="0" fontId="0" fillId="39" borderId="13" xfId="0" applyFill="1" applyBorder="1"/>
    <xf numFmtId="0" fontId="46" fillId="39" borderId="13" xfId="0" applyFont="1" applyFill="1" applyBorder="1"/>
    <xf numFmtId="166" fontId="0" fillId="44" borderId="13" xfId="0" applyNumberFormat="1" applyFill="1" applyBorder="1"/>
    <xf numFmtId="167" fontId="0" fillId="39" borderId="26" xfId="0" applyNumberFormat="1" applyFill="1" applyBorder="1"/>
    <xf numFmtId="167" fontId="0" fillId="39" borderId="13" xfId="0" applyNumberFormat="1" applyFill="1" applyBorder="1"/>
    <xf numFmtId="167" fontId="79" fillId="44" borderId="13" xfId="0" applyNumberFormat="1" applyFont="1" applyFill="1" applyBorder="1"/>
    <xf numFmtId="0" fontId="40" fillId="39" borderId="13" xfId="0" applyFont="1" applyFill="1" applyBorder="1"/>
    <xf numFmtId="0" fontId="45" fillId="0" borderId="0" xfId="0" applyFont="1" applyAlignment="1">
      <alignment horizontal="left"/>
    </xf>
    <xf numFmtId="0" fontId="45" fillId="0" borderId="0" xfId="0" applyFont="1" applyAlignment="1">
      <alignment horizontal="left" indent="1"/>
    </xf>
    <xf numFmtId="0" fontId="0" fillId="44" borderId="10" xfId="0" applyFill="1" applyBorder="1" applyAlignment="1">
      <alignment wrapText="1"/>
    </xf>
    <xf numFmtId="0" fontId="37" fillId="39" borderId="13" xfId="0" applyFont="1" applyFill="1" applyBorder="1" applyAlignment="1">
      <alignment horizontal="left" vertical="top"/>
    </xf>
    <xf numFmtId="168" fontId="79" fillId="44" borderId="13" xfId="0" applyNumberFormat="1" applyFont="1" applyFill="1" applyBorder="1"/>
    <xf numFmtId="0" fontId="2" fillId="39" borderId="13" xfId="0" applyFont="1" applyFill="1" applyBorder="1" applyAlignment="1">
      <alignment horizontal="left" vertical="top"/>
    </xf>
    <xf numFmtId="0" fontId="0" fillId="55" borderId="0" xfId="0" applyFill="1"/>
    <xf numFmtId="0" fontId="26" fillId="0" borderId="12" xfId="90" applyFont="1" applyBorder="1" applyAlignment="1">
      <alignment vertical="top"/>
    </xf>
    <xf numFmtId="0" fontId="26" fillId="0" borderId="12" xfId="90" applyFont="1" applyBorder="1"/>
    <xf numFmtId="0" fontId="1" fillId="0" borderId="0" xfId="90" applyAlignment="1">
      <alignment vertical="top"/>
    </xf>
    <xf numFmtId="0" fontId="1" fillId="0" borderId="0" xfId="90"/>
    <xf numFmtId="0" fontId="9" fillId="25" borderId="0" xfId="0" applyFont="1" applyFill="1" applyAlignment="1">
      <alignment horizontal="left" vertical="top"/>
    </xf>
    <xf numFmtId="0" fontId="4" fillId="25" borderId="0" xfId="0" applyFont="1" applyFill="1" applyAlignment="1">
      <alignment horizontal="left" vertical="top" wrapText="1"/>
    </xf>
    <xf numFmtId="0" fontId="0" fillId="25" borderId="21" xfId="0" applyFill="1" applyBorder="1" applyAlignment="1">
      <alignment horizontal="left" vertical="top" wrapText="1"/>
    </xf>
    <xf numFmtId="0" fontId="9" fillId="25" borderId="0" xfId="0" applyFont="1" applyFill="1" applyAlignment="1">
      <alignment horizontal="left" vertical="top" wrapText="1"/>
    </xf>
    <xf numFmtId="0" fontId="3" fillId="26" borderId="0" xfId="0" applyFont="1" applyFill="1" applyAlignment="1">
      <alignment horizontal="left" vertical="top" wrapText="1"/>
    </xf>
    <xf numFmtId="0" fontId="52" fillId="25" borderId="0" xfId="0" applyFont="1" applyFill="1" applyAlignment="1">
      <alignment horizontal="left" vertical="top" wrapText="1"/>
    </xf>
    <xf numFmtId="0" fontId="52" fillId="25" borderId="67" xfId="0" applyFont="1" applyFill="1" applyBorder="1" applyAlignment="1">
      <alignment horizontal="left" vertical="top" wrapText="1"/>
    </xf>
    <xf numFmtId="0" fontId="60" fillId="25" borderId="0" xfId="0" applyFont="1" applyFill="1" applyAlignment="1">
      <alignment horizontal="left" vertical="top" wrapText="1"/>
    </xf>
    <xf numFmtId="0" fontId="59" fillId="25" borderId="0" xfId="0" applyFont="1" applyFill="1" applyAlignment="1">
      <alignment horizontal="left" vertical="top" wrapText="1"/>
    </xf>
    <xf numFmtId="0" fontId="10" fillId="25" borderId="12" xfId="0" applyFont="1" applyFill="1" applyBorder="1" applyAlignment="1">
      <alignment horizontal="left" vertical="top" wrapText="1"/>
    </xf>
    <xf numFmtId="0" fontId="59" fillId="25" borderId="99" xfId="0" applyFont="1" applyFill="1" applyBorder="1" applyAlignment="1">
      <alignment horizontal="left" vertical="top" wrapText="1"/>
    </xf>
    <xf numFmtId="0" fontId="40" fillId="25" borderId="0" xfId="0" applyFont="1" applyFill="1" applyAlignment="1">
      <alignment horizontal="left" vertical="top" wrapText="1"/>
    </xf>
    <xf numFmtId="0" fontId="4" fillId="34" borderId="114" xfId="0" applyFont="1" applyFill="1" applyBorder="1" applyAlignment="1">
      <alignment horizontal="left" vertical="top" wrapText="1"/>
    </xf>
    <xf numFmtId="0" fontId="0" fillId="25" borderId="0" xfId="0" applyFill="1" applyAlignment="1">
      <alignment horizontal="left" vertical="top" wrapText="1"/>
    </xf>
    <xf numFmtId="0" fontId="0" fillId="48" borderId="103" xfId="0" applyFill="1" applyBorder="1" applyAlignment="1">
      <alignment horizontal="left" vertical="top" wrapText="1"/>
    </xf>
    <xf numFmtId="0" fontId="33" fillId="25" borderId="0" xfId="0" applyFont="1" applyFill="1" applyAlignment="1">
      <alignment horizontal="left" vertical="top" wrapText="1"/>
    </xf>
    <xf numFmtId="0" fontId="0" fillId="48" borderId="0" xfId="0" applyFill="1" applyAlignment="1">
      <alignment horizontal="left" vertical="top" wrapText="1"/>
    </xf>
    <xf numFmtId="0" fontId="4" fillId="46" borderId="57" xfId="0" applyFont="1" applyFill="1" applyBorder="1" applyAlignment="1">
      <alignment horizontal="left" vertical="top" wrapText="1"/>
    </xf>
    <xf numFmtId="0" fontId="2" fillId="25" borderId="0" xfId="0" applyFont="1" applyFill="1" applyAlignment="1">
      <alignment horizontal="left" vertical="top" wrapText="1"/>
    </xf>
    <xf numFmtId="0" fontId="8" fillId="25" borderId="12" xfId="0" applyFont="1" applyFill="1" applyBorder="1" applyAlignment="1">
      <alignment horizontal="left" vertical="top" wrapText="1"/>
    </xf>
    <xf numFmtId="0" fontId="2" fillId="25" borderId="14" xfId="0" applyFont="1" applyFill="1" applyBorder="1" applyAlignment="1">
      <alignment horizontal="left" vertical="top" wrapText="1"/>
    </xf>
    <xf numFmtId="0" fontId="2" fillId="25" borderId="16" xfId="0" applyFont="1" applyFill="1" applyBorder="1" applyAlignment="1">
      <alignment horizontal="left" vertical="top" wrapText="1"/>
    </xf>
    <xf numFmtId="0" fontId="8" fillId="25" borderId="0" xfId="0" applyFont="1" applyFill="1" applyAlignment="1">
      <alignment horizontal="left" vertical="top" wrapText="1"/>
    </xf>
    <xf numFmtId="0" fontId="2" fillId="25" borderId="15" xfId="0" applyFont="1" applyFill="1" applyBorder="1" applyAlignment="1">
      <alignment horizontal="left" vertical="top" wrapText="1"/>
    </xf>
    <xf numFmtId="0" fontId="51" fillId="25" borderId="0" xfId="0" applyFont="1" applyFill="1" applyAlignment="1">
      <alignment horizontal="left" vertical="top" wrapText="1"/>
    </xf>
    <xf numFmtId="0" fontId="4" fillId="25" borderId="18" xfId="0" applyFont="1" applyFill="1" applyBorder="1" applyAlignment="1">
      <alignment horizontal="left" vertical="top" wrapText="1"/>
    </xf>
    <xf numFmtId="0" fontId="4" fillId="25" borderId="78" xfId="0" applyFont="1" applyFill="1" applyBorder="1" applyAlignment="1">
      <alignment horizontal="left" vertical="top" wrapText="1"/>
    </xf>
    <xf numFmtId="0" fontId="4" fillId="0" borderId="11" xfId="0" applyFont="1" applyBorder="1" applyAlignment="1">
      <alignment horizontal="left" vertical="top" wrapText="1"/>
    </xf>
    <xf numFmtId="0" fontId="54" fillId="25" borderId="78" xfId="0" applyFont="1" applyFill="1" applyBorder="1" applyAlignment="1">
      <alignment horizontal="left" vertical="top" wrapText="1"/>
    </xf>
    <xf numFmtId="0" fontId="4" fillId="0" borderId="78" xfId="0" applyFont="1" applyBorder="1" applyAlignment="1">
      <alignment horizontal="left" vertical="top" wrapText="1"/>
    </xf>
    <xf numFmtId="0" fontId="68" fillId="26" borderId="76" xfId="0" applyFont="1" applyFill="1" applyBorder="1" applyAlignment="1">
      <alignment horizontal="left" vertical="top"/>
    </xf>
    <xf numFmtId="0" fontId="4" fillId="25" borderId="12" xfId="0" applyFont="1" applyFill="1" applyBorder="1" applyAlignment="1">
      <alignment horizontal="left" vertical="top" wrapText="1"/>
    </xf>
    <xf numFmtId="0" fontId="37" fillId="25" borderId="14" xfId="0" applyFont="1" applyFill="1" applyBorder="1" applyAlignment="1">
      <alignment horizontal="left" vertical="top" wrapText="1"/>
    </xf>
    <xf numFmtId="0" fontId="37" fillId="25" borderId="15" xfId="0" applyFont="1" applyFill="1" applyBorder="1" applyAlignment="1">
      <alignment horizontal="left" vertical="top" wrapText="1"/>
    </xf>
    <xf numFmtId="0" fontId="37" fillId="25" borderId="16" xfId="0" applyFont="1" applyFill="1" applyBorder="1" applyAlignment="1">
      <alignment horizontal="left" vertical="top" wrapText="1"/>
    </xf>
    <xf numFmtId="0" fontId="2" fillId="41" borderId="25" xfId="0" applyFont="1" applyFill="1" applyBorder="1" applyAlignment="1">
      <alignment horizontal="left" vertical="top" wrapText="1"/>
    </xf>
    <xf numFmtId="0" fontId="2" fillId="25" borderId="21" xfId="0" applyFont="1" applyFill="1" applyBorder="1" applyAlignment="1">
      <alignment horizontal="left" vertical="top" wrapText="1"/>
    </xf>
    <xf numFmtId="0" fontId="4" fillId="25" borderId="114" xfId="0" applyFont="1" applyFill="1" applyBorder="1" applyAlignment="1">
      <alignment horizontal="left" vertical="top" wrapText="1"/>
    </xf>
    <xf numFmtId="0" fontId="37" fillId="25" borderId="25" xfId="0" applyFont="1" applyFill="1" applyBorder="1" applyAlignment="1">
      <alignment horizontal="left" vertical="top" wrapText="1"/>
    </xf>
    <xf numFmtId="0" fontId="37" fillId="41" borderId="0" xfId="0" applyFont="1" applyFill="1" applyAlignment="1">
      <alignment horizontal="left" vertical="top" wrapText="1"/>
    </xf>
    <xf numFmtId="0" fontId="2" fillId="25" borderId="17" xfId="0" applyFont="1" applyFill="1" applyBorder="1" applyAlignment="1">
      <alignment horizontal="left" vertical="top" wrapText="1"/>
    </xf>
    <xf numFmtId="0" fontId="2" fillId="41" borderId="12" xfId="0" applyFont="1" applyFill="1" applyBorder="1" applyAlignment="1">
      <alignment horizontal="left" vertical="top" wrapText="1"/>
    </xf>
    <xf numFmtId="0" fontId="4" fillId="25" borderId="25" xfId="0" applyFont="1" applyFill="1" applyBorder="1" applyAlignment="1">
      <alignment horizontal="left" vertical="top" wrapText="1"/>
    </xf>
    <xf numFmtId="0" fontId="4" fillId="25" borderId="41" xfId="0" applyFont="1" applyFill="1" applyBorder="1" applyAlignment="1">
      <alignment horizontal="left" vertical="top" wrapText="1"/>
    </xf>
    <xf numFmtId="0" fontId="2" fillId="0" borderId="14" xfId="0" applyFont="1" applyBorder="1" applyAlignment="1">
      <alignment horizontal="left" vertical="top" wrapText="1"/>
    </xf>
    <xf numFmtId="0" fontId="2" fillId="0" borderId="15" xfId="0" applyFont="1" applyBorder="1" applyAlignment="1">
      <alignment horizontal="left" vertical="top" wrapText="1"/>
    </xf>
    <xf numFmtId="0" fontId="87" fillId="54" borderId="0" xfId="0" quotePrefix="1" applyFont="1" applyFill="1" applyAlignment="1">
      <alignment horizontal="left" vertical="top" wrapText="1"/>
    </xf>
    <xf numFmtId="0" fontId="37" fillId="27" borderId="25" xfId="0" applyFont="1" applyFill="1" applyBorder="1" applyAlignment="1">
      <alignment horizontal="left" vertical="top" wrapText="1"/>
    </xf>
    <xf numFmtId="0" fontId="37" fillId="25" borderId="13" xfId="0" applyFont="1" applyFill="1" applyBorder="1" applyAlignment="1">
      <alignment horizontal="left" vertical="top" wrapText="1"/>
    </xf>
    <xf numFmtId="0" fontId="35" fillId="43" borderId="0" xfId="0" applyFont="1" applyFill="1" applyAlignment="1">
      <alignment horizontal="left" vertical="top" wrapText="1"/>
    </xf>
    <xf numFmtId="0" fontId="4" fillId="43" borderId="0" xfId="0" applyFont="1" applyFill="1" applyAlignment="1">
      <alignment horizontal="left" vertical="top" wrapText="1"/>
    </xf>
    <xf numFmtId="0" fontId="41" fillId="43" borderId="0" xfId="0" applyFont="1" applyFill="1" applyAlignment="1">
      <alignment horizontal="left" vertical="top" wrapText="1"/>
    </xf>
    <xf numFmtId="0" fontId="10" fillId="43" borderId="0" xfId="0" quotePrefix="1" applyFont="1" applyFill="1" applyAlignment="1">
      <alignment horizontal="left" vertical="top" wrapText="1"/>
    </xf>
    <xf numFmtId="0" fontId="10" fillId="43" borderId="0" xfId="0" applyFont="1" applyFill="1" applyAlignment="1">
      <alignment horizontal="left" vertical="top" wrapText="1"/>
    </xf>
    <xf numFmtId="0" fontId="4" fillId="43" borderId="12" xfId="0" applyFont="1" applyFill="1" applyBorder="1" applyAlignment="1">
      <alignment horizontal="left" vertical="top" wrapText="1"/>
    </xf>
    <xf numFmtId="0" fontId="2" fillId="43" borderId="25" xfId="0" applyFont="1" applyFill="1" applyBorder="1" applyAlignment="1">
      <alignment horizontal="left" vertical="top" wrapText="1"/>
    </xf>
    <xf numFmtId="0" fontId="2" fillId="43" borderId="12" xfId="0" applyFont="1" applyFill="1" applyBorder="1" applyAlignment="1">
      <alignment horizontal="left" vertical="top" wrapText="1"/>
    </xf>
    <xf numFmtId="0" fontId="2" fillId="43" borderId="14" xfId="0" applyFont="1" applyFill="1" applyBorder="1" applyAlignment="1">
      <alignment horizontal="left" vertical="top" wrapText="1"/>
    </xf>
    <xf numFmtId="0" fontId="37" fillId="43" borderId="15" xfId="0" applyFont="1" applyFill="1" applyBorder="1" applyAlignment="1">
      <alignment horizontal="left" vertical="top" wrapText="1"/>
    </xf>
    <xf numFmtId="0" fontId="37" fillId="43" borderId="16" xfId="0" applyFont="1" applyFill="1" applyBorder="1" applyAlignment="1">
      <alignment horizontal="left" vertical="top" wrapText="1"/>
    </xf>
    <xf numFmtId="0" fontId="37" fillId="43" borderId="14" xfId="0" applyFont="1" applyFill="1" applyBorder="1" applyAlignment="1">
      <alignment horizontal="left" vertical="top" wrapText="1"/>
    </xf>
    <xf numFmtId="0" fontId="56" fillId="43" borderId="15" xfId="0" applyFont="1" applyFill="1" applyBorder="1" applyAlignment="1">
      <alignment horizontal="left" vertical="top" wrapText="1"/>
    </xf>
    <xf numFmtId="0" fontId="37" fillId="43" borderId="21" xfId="0" applyFont="1" applyFill="1" applyBorder="1" applyAlignment="1">
      <alignment horizontal="left" vertical="top" wrapText="1"/>
    </xf>
    <xf numFmtId="0" fontId="4" fillId="43" borderId="0" xfId="0" applyFont="1" applyFill="1" applyAlignment="1">
      <alignment horizontal="left" vertical="top"/>
    </xf>
    <xf numFmtId="0" fontId="37" fillId="25" borderId="17" xfId="0" applyFont="1" applyFill="1" applyBorder="1" applyAlignment="1">
      <alignment horizontal="left" vertical="top" wrapText="1"/>
    </xf>
    <xf numFmtId="0" fontId="54" fillId="25" borderId="12" xfId="0" applyFont="1" applyFill="1" applyBorder="1" applyAlignment="1">
      <alignment horizontal="left" vertical="top" wrapText="1"/>
    </xf>
    <xf numFmtId="0" fontId="4" fillId="25" borderId="11" xfId="0" applyFont="1" applyFill="1" applyBorder="1" applyAlignment="1">
      <alignment horizontal="left" vertical="top" wrapText="1"/>
    </xf>
    <xf numFmtId="0" fontId="35" fillId="25" borderId="12" xfId="0" applyFont="1" applyFill="1" applyBorder="1" applyAlignment="1">
      <alignment horizontal="left" vertical="top" wrapText="1"/>
    </xf>
    <xf numFmtId="0" fontId="2" fillId="25" borderId="78" xfId="0" applyFont="1" applyFill="1" applyBorder="1" applyAlignment="1">
      <alignment horizontal="left" vertical="top" wrapText="1"/>
    </xf>
    <xf numFmtId="0" fontId="10" fillId="25" borderId="17" xfId="0" applyFont="1" applyFill="1" applyBorder="1" applyAlignment="1">
      <alignment horizontal="left" vertical="top" wrapText="1"/>
    </xf>
    <xf numFmtId="0" fontId="10" fillId="25" borderId="15" xfId="0" applyFont="1" applyFill="1" applyBorder="1" applyAlignment="1">
      <alignment horizontal="left" vertical="top"/>
    </xf>
    <xf numFmtId="0" fontId="10" fillId="25" borderId="15" xfId="0" applyFont="1" applyFill="1" applyBorder="1" applyAlignment="1">
      <alignment horizontal="left" vertical="top" wrapText="1"/>
    </xf>
    <xf numFmtId="0" fontId="48" fillId="34" borderId="114" xfId="0" applyFont="1" applyFill="1" applyBorder="1" applyAlignment="1">
      <alignment horizontal="left" vertical="top" wrapText="1"/>
    </xf>
    <xf numFmtId="0" fontId="4" fillId="43" borderId="25" xfId="0" applyFont="1" applyFill="1" applyBorder="1" applyAlignment="1">
      <alignment horizontal="left" vertical="top" wrapText="1"/>
    </xf>
    <xf numFmtId="0" fontId="4" fillId="0" borderId="12" xfId="0" applyFont="1" applyBorder="1" applyAlignment="1">
      <alignment horizontal="left" vertical="top"/>
    </xf>
    <xf numFmtId="0" fontId="0" fillId="24" borderId="0" xfId="0" applyFill="1" applyAlignment="1">
      <alignment horizontal="left" vertical="top"/>
    </xf>
    <xf numFmtId="0" fontId="2" fillId="24" borderId="0" xfId="0" applyFont="1" applyFill="1" applyAlignment="1">
      <alignment horizontal="left" vertical="top"/>
    </xf>
    <xf numFmtId="0" fontId="44" fillId="24" borderId="0" xfId="0" applyFont="1" applyFill="1" applyAlignment="1">
      <alignment horizontal="left" vertical="top"/>
    </xf>
    <xf numFmtId="0" fontId="0" fillId="39" borderId="13" xfId="0" applyFill="1" applyBorder="1" applyAlignment="1">
      <alignment horizontal="left" vertical="top" wrapText="1"/>
    </xf>
    <xf numFmtId="0" fontId="46" fillId="39" borderId="13" xfId="0" applyFont="1" applyFill="1" applyBorder="1" applyAlignment="1">
      <alignment horizontal="left" vertical="top" wrapText="1"/>
    </xf>
    <xf numFmtId="0" fontId="0" fillId="44" borderId="13" xfId="0" applyFill="1" applyBorder="1" applyAlignment="1">
      <alignment horizontal="left" vertical="top" wrapText="1"/>
    </xf>
    <xf numFmtId="0" fontId="2" fillId="39" borderId="13" xfId="0" applyFont="1" applyFill="1" applyBorder="1" applyAlignment="1">
      <alignment horizontal="left" vertical="top" wrapText="1"/>
    </xf>
    <xf numFmtId="0" fontId="4" fillId="39" borderId="11" xfId="0" applyFont="1" applyFill="1" applyBorder="1" applyAlignment="1">
      <alignment horizontal="left" vertical="top" wrapText="1"/>
    </xf>
    <xf numFmtId="0" fontId="88" fillId="57" borderId="0" xfId="0" applyFont="1" applyFill="1" applyAlignment="1">
      <alignment vertical="center" wrapText="1"/>
    </xf>
    <xf numFmtId="0" fontId="90" fillId="57" borderId="0" xfId="0" applyFont="1" applyFill="1" applyAlignment="1">
      <alignment vertical="center" wrapText="1"/>
    </xf>
    <xf numFmtId="0" fontId="2" fillId="40" borderId="114" xfId="0" applyFont="1" applyFill="1" applyBorder="1" applyAlignment="1">
      <alignment vertical="center" wrapText="1"/>
    </xf>
    <xf numFmtId="0" fontId="2" fillId="58" borderId="65" xfId="0" applyFont="1" applyFill="1" applyBorder="1" applyAlignment="1">
      <alignment vertical="center" wrapText="1"/>
    </xf>
    <xf numFmtId="0" fontId="92" fillId="52" borderId="65" xfId="0" applyFont="1" applyFill="1" applyBorder="1" applyAlignment="1">
      <alignment vertical="center" wrapText="1"/>
    </xf>
    <xf numFmtId="0" fontId="93" fillId="57" borderId="0" xfId="0" applyFont="1" applyFill="1" applyAlignment="1">
      <alignment vertical="center" wrapText="1"/>
    </xf>
    <xf numFmtId="0" fontId="2" fillId="53" borderId="30" xfId="0" applyFont="1" applyFill="1" applyBorder="1" applyAlignment="1">
      <alignment vertical="center" wrapText="1"/>
    </xf>
    <xf numFmtId="0" fontId="2" fillId="55" borderId="0" xfId="0" applyFont="1" applyFill="1" applyAlignment="1">
      <alignment vertical="center" wrapText="1"/>
    </xf>
    <xf numFmtId="0" fontId="2" fillId="59" borderId="0" xfId="0" applyFont="1" applyFill="1" applyAlignment="1">
      <alignment vertical="center" wrapText="1"/>
    </xf>
    <xf numFmtId="0" fontId="86" fillId="57" borderId="0" xfId="0" applyFont="1" applyFill="1" applyAlignment="1">
      <alignment vertical="center" wrapText="1"/>
    </xf>
    <xf numFmtId="0" fontId="94" fillId="57" borderId="0" xfId="0" applyFont="1" applyFill="1" applyAlignment="1">
      <alignment vertical="center" wrapText="1"/>
    </xf>
    <xf numFmtId="0" fontId="95" fillId="57" borderId="0" xfId="0" applyFont="1" applyFill="1" applyAlignment="1">
      <alignment vertical="center" wrapText="1"/>
    </xf>
    <xf numFmtId="0" fontId="9" fillId="57" borderId="0" xfId="0" applyFont="1" applyFill="1" applyAlignment="1">
      <alignment vertical="center" wrapText="1"/>
    </xf>
    <xf numFmtId="0" fontId="73" fillId="59" borderId="149" xfId="0" applyFont="1" applyFill="1" applyBorder="1" applyAlignment="1">
      <alignment vertical="center" wrapText="1"/>
    </xf>
    <xf numFmtId="0" fontId="4" fillId="57" borderId="0" xfId="0" applyFont="1" applyFill="1" applyAlignment="1">
      <alignment vertical="center" wrapText="1"/>
    </xf>
    <xf numFmtId="0" fontId="96" fillId="60" borderId="0" xfId="0" applyFont="1" applyFill="1" applyAlignment="1">
      <alignment vertical="center" wrapText="1"/>
    </xf>
    <xf numFmtId="0" fontId="95" fillId="57" borderId="28" xfId="0" applyFont="1" applyFill="1" applyBorder="1" applyAlignment="1">
      <alignment vertical="center" wrapText="1"/>
    </xf>
    <xf numFmtId="0" fontId="5" fillId="57" borderId="0" xfId="0" applyFont="1" applyFill="1" applyAlignment="1">
      <alignment vertical="center" wrapText="1"/>
    </xf>
    <xf numFmtId="0" fontId="2" fillId="57" borderId="74" xfId="0" applyFont="1" applyFill="1" applyBorder="1" applyAlignment="1">
      <alignment vertical="center" wrapText="1"/>
    </xf>
    <xf numFmtId="0" fontId="2" fillId="57" borderId="65" xfId="0" applyFont="1" applyFill="1" applyBorder="1" applyAlignment="1">
      <alignment vertical="center" wrapText="1"/>
    </xf>
    <xf numFmtId="0" fontId="2" fillId="57" borderId="116" xfId="0" applyFont="1" applyFill="1" applyBorder="1" applyAlignment="1">
      <alignment vertical="center" wrapText="1"/>
    </xf>
    <xf numFmtId="0" fontId="97" fillId="57" borderId="0" xfId="0" applyFont="1" applyFill="1" applyAlignment="1">
      <alignment vertical="center" wrapText="1"/>
    </xf>
    <xf numFmtId="0" fontId="4" fillId="59" borderId="57" xfId="0" applyFont="1" applyFill="1" applyBorder="1" applyAlignment="1">
      <alignment vertical="center" wrapText="1"/>
    </xf>
    <xf numFmtId="0" fontId="94" fillId="57" borderId="39" xfId="0" applyFont="1" applyFill="1" applyBorder="1" applyAlignment="1">
      <alignment vertical="center" wrapText="1"/>
    </xf>
    <xf numFmtId="0" fontId="95" fillId="57" borderId="39" xfId="0" applyFont="1" applyFill="1" applyBorder="1" applyAlignment="1">
      <alignment vertical="center" wrapText="1"/>
    </xf>
    <xf numFmtId="0" fontId="4" fillId="57" borderId="65" xfId="0" applyFont="1" applyFill="1" applyBorder="1" applyAlignment="1">
      <alignment vertical="center" wrapText="1"/>
    </xf>
    <xf numFmtId="0" fontId="4" fillId="0" borderId="116" xfId="0" applyFont="1" applyBorder="1" applyAlignment="1">
      <alignment vertical="center" wrapText="1"/>
    </xf>
    <xf numFmtId="0" fontId="4" fillId="57" borderId="116" xfId="0" applyFont="1" applyFill="1" applyBorder="1" applyAlignment="1">
      <alignment vertical="center" wrapText="1"/>
    </xf>
    <xf numFmtId="0" fontId="94" fillId="57" borderId="28" xfId="0" applyFont="1" applyFill="1" applyBorder="1" applyAlignment="1">
      <alignment vertical="center" wrapText="1"/>
    </xf>
    <xf numFmtId="0" fontId="98" fillId="57" borderId="0" xfId="0" applyFont="1" applyFill="1" applyAlignment="1">
      <alignment vertical="center" wrapText="1"/>
    </xf>
    <xf numFmtId="0" fontId="4" fillId="57" borderId="39" xfId="0" applyFont="1" applyFill="1" applyBorder="1" applyAlignment="1">
      <alignment vertical="center" wrapText="1"/>
    </xf>
    <xf numFmtId="0" fontId="2" fillId="57" borderId="39" xfId="0" applyFont="1" applyFill="1" applyBorder="1" applyAlignment="1">
      <alignment vertical="center" wrapText="1"/>
    </xf>
    <xf numFmtId="0" fontId="2" fillId="53" borderId="97" xfId="0" applyFont="1" applyFill="1" applyBorder="1" applyAlignment="1">
      <alignment vertical="center" wrapText="1"/>
    </xf>
    <xf numFmtId="0" fontId="4" fillId="50" borderId="39" xfId="0" applyFont="1" applyFill="1" applyBorder="1" applyAlignment="1">
      <alignment vertical="center" wrapText="1"/>
    </xf>
    <xf numFmtId="0" fontId="2" fillId="57" borderId="114" xfId="0" applyFont="1" applyFill="1" applyBorder="1" applyAlignment="1">
      <alignment vertical="center" wrapText="1"/>
    </xf>
    <xf numFmtId="0" fontId="4" fillId="50" borderId="0" xfId="0" applyFont="1" applyFill="1" applyAlignment="1">
      <alignment vertical="center" wrapText="1"/>
    </xf>
    <xf numFmtId="0" fontId="99" fillId="57" borderId="39" xfId="0" applyFont="1" applyFill="1" applyBorder="1" applyAlignment="1">
      <alignment vertical="center" wrapText="1"/>
    </xf>
    <xf numFmtId="0" fontId="48" fillId="61" borderId="114" xfId="0" applyFont="1" applyFill="1" applyBorder="1" applyAlignment="1">
      <alignment vertical="center" wrapText="1"/>
    </xf>
    <xf numFmtId="0" fontId="10" fillId="41" borderId="0" xfId="0" applyFont="1" applyFill="1" applyAlignment="1">
      <alignment vertical="top" wrapText="1"/>
    </xf>
    <xf numFmtId="0" fontId="51" fillId="25" borderId="0" xfId="0" applyFont="1" applyFill="1" applyAlignment="1">
      <alignment vertical="top" wrapText="1"/>
    </xf>
    <xf numFmtId="0" fontId="75" fillId="56" borderId="0" xfId="90" applyFont="1" applyFill="1" applyAlignment="1">
      <alignment vertical="top"/>
    </xf>
    <xf numFmtId="0" fontId="1" fillId="0" borderId="0" xfId="90" quotePrefix="1"/>
    <xf numFmtId="0" fontId="91" fillId="24" borderId="0" xfId="0" applyFont="1" applyFill="1" applyAlignment="1">
      <alignment horizontal="left" vertical="top" wrapText="1"/>
    </xf>
    <xf numFmtId="0" fontId="104" fillId="41" borderId="0" xfId="0" applyFont="1" applyFill="1" applyAlignment="1">
      <alignment horizontal="left" vertical="top" wrapText="1"/>
    </xf>
    <xf numFmtId="0" fontId="35" fillId="25" borderId="0" xfId="0" quotePrefix="1" applyFont="1" applyFill="1" applyAlignment="1">
      <alignment horizontal="left" vertical="top" wrapText="1"/>
    </xf>
    <xf numFmtId="0" fontId="10" fillId="41" borderId="139" xfId="0" applyFont="1" applyFill="1" applyBorder="1" applyAlignment="1">
      <alignment horizontal="left" vertical="top" wrapText="1"/>
    </xf>
    <xf numFmtId="0" fontId="10" fillId="41" borderId="15" xfId="0" applyFont="1" applyFill="1" applyBorder="1" applyAlignment="1">
      <alignment horizontal="left" vertical="top" wrapText="1"/>
    </xf>
    <xf numFmtId="0" fontId="4" fillId="25" borderId="74" xfId="0" applyFont="1" applyFill="1" applyBorder="1" applyAlignment="1">
      <alignment horizontal="left" wrapText="1"/>
    </xf>
    <xf numFmtId="0" fontId="56" fillId="25" borderId="15" xfId="0" applyFont="1" applyFill="1" applyBorder="1" applyAlignment="1">
      <alignment horizontal="left" vertical="top" wrapText="1"/>
    </xf>
    <xf numFmtId="0" fontId="2" fillId="25" borderId="25" xfId="0" applyFont="1" applyFill="1" applyBorder="1" applyAlignment="1">
      <alignment horizontal="left" vertical="center" wrapText="1"/>
    </xf>
    <xf numFmtId="0" fontId="4" fillId="25" borderId="0" xfId="0" applyFont="1" applyFill="1" applyAlignment="1">
      <alignment horizontal="left" vertical="center" wrapText="1"/>
    </xf>
    <xf numFmtId="0" fontId="4" fillId="25" borderId="12" xfId="0" applyFont="1" applyFill="1" applyBorder="1" applyAlignment="1">
      <alignment horizontal="left" vertical="center" wrapText="1"/>
    </xf>
    <xf numFmtId="0" fontId="2" fillId="41" borderId="120" xfId="0" applyFont="1" applyFill="1" applyBorder="1" applyAlignment="1">
      <alignment horizontal="left" vertical="center" wrapText="1"/>
    </xf>
    <xf numFmtId="0" fontId="10" fillId="25" borderId="0" xfId="0" applyFont="1" applyFill="1" applyAlignment="1">
      <alignment horizontal="left" vertical="center" wrapText="1"/>
    </xf>
    <xf numFmtId="0" fontId="2" fillId="25" borderId="14" xfId="0" applyFont="1" applyFill="1" applyBorder="1" applyAlignment="1">
      <alignment horizontal="left" vertical="center" wrapText="1"/>
    </xf>
    <xf numFmtId="0" fontId="2" fillId="25" borderId="15" xfId="0" applyFont="1" applyFill="1" applyBorder="1" applyAlignment="1">
      <alignment horizontal="left" vertical="center" wrapText="1"/>
    </xf>
    <xf numFmtId="0" fontId="2" fillId="25" borderId="16" xfId="0" applyFont="1" applyFill="1" applyBorder="1" applyAlignment="1">
      <alignment horizontal="left" vertical="center" wrapText="1"/>
    </xf>
    <xf numFmtId="0" fontId="4" fillId="57" borderId="0" xfId="0" applyFont="1" applyFill="1" applyAlignment="1">
      <alignment horizontal="left" vertical="center" wrapText="1"/>
    </xf>
    <xf numFmtId="0" fontId="4" fillId="25" borderId="99" xfId="0" applyFont="1" applyFill="1" applyBorder="1" applyAlignment="1">
      <alignment horizontal="left" vertical="top" wrapText="1"/>
    </xf>
    <xf numFmtId="0" fontId="4" fillId="50" borderId="0" xfId="0" applyFont="1" applyFill="1" applyAlignment="1">
      <alignment horizontal="left" vertical="top" wrapText="1"/>
    </xf>
    <xf numFmtId="0" fontId="10" fillId="50" borderId="0" xfId="0" applyFont="1" applyFill="1" applyAlignment="1">
      <alignment horizontal="left" vertical="top" wrapText="1"/>
    </xf>
    <xf numFmtId="0" fontId="2" fillId="25" borderId="25" xfId="0" applyFont="1" applyFill="1" applyBorder="1" applyAlignment="1">
      <alignment horizontal="left" vertical="top" wrapText="1"/>
    </xf>
    <xf numFmtId="0" fontId="99" fillId="25" borderId="15" xfId="0" applyFont="1" applyFill="1" applyBorder="1" applyAlignment="1">
      <alignment horizontal="left" vertical="top" wrapText="1"/>
    </xf>
    <xf numFmtId="0" fontId="4" fillId="0" borderId="0" xfId="0" applyFont="1"/>
    <xf numFmtId="0" fontId="0" fillId="0" borderId="79" xfId="0" applyBorder="1"/>
    <xf numFmtId="0" fontId="0" fillId="30" borderId="80" xfId="0" applyFill="1" applyBorder="1"/>
    <xf numFmtId="0" fontId="0" fillId="0" borderId="81" xfId="0" applyBorder="1"/>
    <xf numFmtId="14" fontId="0" fillId="32" borderId="82" xfId="0" applyNumberFormat="1" applyFill="1" applyBorder="1" applyAlignment="1">
      <alignment horizontal="left"/>
    </xf>
    <xf numFmtId="0" fontId="0" fillId="27" borderId="74" xfId="0" applyFill="1" applyBorder="1"/>
    <xf numFmtId="0" fontId="0" fillId="0" borderId="83" xfId="0" applyBorder="1"/>
    <xf numFmtId="0" fontId="0" fillId="31" borderId="84" xfId="0" applyFill="1" applyBorder="1"/>
    <xf numFmtId="0" fontId="0" fillId="0" borderId="85" xfId="0" applyBorder="1"/>
    <xf numFmtId="0" fontId="0" fillId="33" borderId="86" xfId="0" applyFill="1" applyBorder="1"/>
    <xf numFmtId="0" fontId="2" fillId="30" borderId="0" xfId="0" applyFont="1" applyFill="1"/>
    <xf numFmtId="0" fontId="0" fillId="30" borderId="0" xfId="0" applyFill="1"/>
    <xf numFmtId="0" fontId="4" fillId="0" borderId="67" xfId="0" applyFont="1" applyBorder="1"/>
    <xf numFmtId="0" fontId="4" fillId="0" borderId="25" xfId="0" applyFont="1" applyBorder="1"/>
    <xf numFmtId="14" fontId="0" fillId="32" borderId="10" xfId="0" applyNumberFormat="1" applyFill="1" applyBorder="1" applyAlignment="1">
      <alignment horizontal="center"/>
    </xf>
    <xf numFmtId="0" fontId="0" fillId="27" borderId="10" xfId="0" applyFill="1" applyBorder="1"/>
    <xf numFmtId="0" fontId="2" fillId="27" borderId="103" xfId="0" applyFont="1" applyFill="1" applyBorder="1"/>
    <xf numFmtId="14" fontId="0" fillId="32" borderId="88" xfId="0" applyNumberFormat="1" applyFill="1" applyBorder="1" applyAlignment="1">
      <alignment horizontal="center"/>
    </xf>
    <xf numFmtId="0" fontId="0" fillId="27" borderId="88" xfId="0" applyFill="1" applyBorder="1"/>
    <xf numFmtId="0" fontId="2" fillId="27" borderId="99" xfId="0" applyFont="1" applyFill="1" applyBorder="1"/>
    <xf numFmtId="14" fontId="0" fillId="32" borderId="11" xfId="0" applyNumberFormat="1" applyFill="1" applyBorder="1" applyAlignment="1">
      <alignment horizontal="center"/>
    </xf>
    <xf numFmtId="0" fontId="0" fillId="27" borderId="11" xfId="0" applyFill="1" applyBorder="1"/>
    <xf numFmtId="0" fontId="0" fillId="27" borderId="78" xfId="0" applyFill="1" applyBorder="1"/>
    <xf numFmtId="0" fontId="0" fillId="31" borderId="0" xfId="0" applyFill="1"/>
    <xf numFmtId="0" fontId="2" fillId="33" borderId="0" xfId="0" applyFont="1" applyFill="1" applyAlignment="1">
      <alignment horizontal="left" vertical="top" wrapText="1"/>
    </xf>
    <xf numFmtId="0" fontId="37" fillId="29" borderId="0" xfId="0" applyFont="1" applyFill="1" applyAlignment="1" applyProtection="1">
      <alignment vertical="top"/>
      <protection locked="0"/>
    </xf>
    <xf numFmtId="0" fontId="26" fillId="0" borderId="12" xfId="90" applyFont="1" applyBorder="1" applyAlignment="1">
      <alignment vertical="top" wrapText="1"/>
    </xf>
    <xf numFmtId="0" fontId="4" fillId="46" borderId="74" xfId="0" applyFont="1" applyFill="1" applyBorder="1" applyAlignment="1">
      <alignment horizontal="left" vertical="top" wrapText="1"/>
    </xf>
    <xf numFmtId="0" fontId="0" fillId="25" borderId="100" xfId="0" applyFill="1" applyBorder="1" applyAlignment="1">
      <alignment horizontal="left" vertical="top" wrapText="1"/>
    </xf>
    <xf numFmtId="0" fontId="0" fillId="25" borderId="65" xfId="0" applyFill="1" applyBorder="1" applyAlignment="1">
      <alignment horizontal="left" vertical="top" wrapText="1"/>
    </xf>
    <xf numFmtId="0" fontId="0" fillId="25" borderId="107" xfId="0" applyFill="1" applyBorder="1" applyAlignment="1">
      <alignment horizontal="left" vertical="top" wrapText="1"/>
    </xf>
    <xf numFmtId="0" fontId="8" fillId="25" borderId="24" xfId="0" applyFont="1" applyFill="1" applyBorder="1" applyAlignment="1">
      <alignment horizontal="left" vertical="top" wrapText="1"/>
    </xf>
    <xf numFmtId="0" fontId="68" fillId="26" borderId="76" xfId="0" applyFont="1" applyFill="1" applyBorder="1" applyAlignment="1">
      <alignment horizontal="left" vertical="top" wrapText="1"/>
    </xf>
    <xf numFmtId="0" fontId="2" fillId="25" borderId="11" xfId="0" applyFont="1" applyFill="1" applyBorder="1" applyAlignment="1">
      <alignment horizontal="left" vertical="top" wrapText="1"/>
    </xf>
    <xf numFmtId="0" fontId="4" fillId="0" borderId="12" xfId="0" applyFont="1" applyBorder="1" applyAlignment="1">
      <alignment horizontal="left" vertical="top" wrapText="1"/>
    </xf>
    <xf numFmtId="0" fontId="0" fillId="24" borderId="0" xfId="0" applyFill="1" applyAlignment="1">
      <alignment horizontal="left" vertical="top" wrapText="1"/>
    </xf>
    <xf numFmtId="0" fontId="2" fillId="24" borderId="0" xfId="0" applyFont="1" applyFill="1" applyAlignment="1">
      <alignment horizontal="left" vertical="top" wrapText="1"/>
    </xf>
    <xf numFmtId="0" fontId="37" fillId="24" borderId="0" xfId="0" applyFont="1" applyFill="1" applyAlignment="1">
      <alignment horizontal="left" vertical="top" wrapText="1"/>
    </xf>
    <xf numFmtId="0" fontId="2" fillId="39" borderId="0" xfId="0" applyFont="1" applyFill="1" applyAlignment="1">
      <alignment horizontal="left" vertical="top" wrapText="1"/>
    </xf>
    <xf numFmtId="0" fontId="43" fillId="26" borderId="0" xfId="0" applyFont="1" applyFill="1" applyAlignment="1">
      <alignment horizontal="left" vertical="top" wrapText="1"/>
    </xf>
    <xf numFmtId="0" fontId="44" fillId="24" borderId="0" xfId="0" applyFont="1" applyFill="1" applyAlignment="1">
      <alignment horizontal="left" vertical="top" wrapText="1"/>
    </xf>
    <xf numFmtId="0" fontId="40" fillId="39" borderId="13" xfId="0" applyFont="1" applyFill="1" applyBorder="1" applyAlignment="1">
      <alignment horizontal="left" vertical="top" wrapText="1"/>
    </xf>
    <xf numFmtId="0" fontId="89" fillId="57" borderId="0" xfId="0" applyFont="1" applyFill="1" applyAlignment="1">
      <alignment vertical="center" wrapText="1"/>
    </xf>
    <xf numFmtId="0" fontId="2" fillId="50" borderId="38" xfId="0" applyFont="1" applyFill="1" applyBorder="1" applyAlignment="1">
      <alignment vertical="center" wrapText="1"/>
    </xf>
    <xf numFmtId="0" fontId="85" fillId="57" borderId="0" xfId="0" applyFont="1" applyFill="1" applyAlignment="1">
      <alignment vertical="center" wrapText="1"/>
    </xf>
    <xf numFmtId="0" fontId="4" fillId="50" borderId="65" xfId="0" applyFont="1" applyFill="1" applyBorder="1" applyAlignment="1">
      <alignment vertical="center" wrapText="1"/>
    </xf>
    <xf numFmtId="0" fontId="2" fillId="50" borderId="39" xfId="0" applyFont="1" applyFill="1" applyBorder="1" applyAlignment="1">
      <alignment vertical="center" wrapText="1"/>
    </xf>
    <xf numFmtId="0" fontId="4" fillId="57" borderId="66" xfId="0" applyFont="1" applyFill="1" applyBorder="1" applyAlignment="1">
      <alignment vertical="center" wrapText="1"/>
    </xf>
    <xf numFmtId="0" fontId="2" fillId="57" borderId="0" xfId="0" applyFont="1" applyFill="1" applyAlignment="1">
      <alignment vertical="center" wrapText="1"/>
    </xf>
    <xf numFmtId="0" fontId="95" fillId="57" borderId="97" xfId="0" applyFont="1" applyFill="1" applyBorder="1" applyAlignment="1">
      <alignment vertical="center" wrapText="1"/>
    </xf>
    <xf numFmtId="0" fontId="2" fillId="57" borderId="97" xfId="0" applyFont="1" applyFill="1" applyBorder="1" applyAlignment="1">
      <alignment vertical="center" wrapText="1"/>
    </xf>
    <xf numFmtId="0" fontId="82" fillId="57" borderId="39" xfId="0" applyFont="1" applyFill="1" applyBorder="1" applyAlignment="1">
      <alignment vertical="center" wrapText="1"/>
    </xf>
    <xf numFmtId="0" fontId="2" fillId="39" borderId="0" xfId="0" applyFont="1" applyFill="1" applyAlignment="1">
      <alignment vertical="center" wrapText="1"/>
    </xf>
    <xf numFmtId="0" fontId="75" fillId="56" borderId="0" xfId="90" applyFont="1" applyFill="1" applyAlignment="1">
      <alignment vertical="top" wrapText="1"/>
    </xf>
    <xf numFmtId="0" fontId="41" fillId="25" borderId="0" xfId="0" quotePrefix="1" applyFont="1" applyFill="1" applyAlignment="1">
      <alignment horizontal="left" vertical="top" wrapText="1"/>
    </xf>
    <xf numFmtId="0" fontId="41" fillId="25" borderId="139" xfId="0" quotePrefix="1" applyFont="1" applyFill="1" applyBorder="1" applyAlignment="1">
      <alignment horizontal="left" vertical="top" wrapText="1"/>
    </xf>
    <xf numFmtId="0" fontId="41" fillId="25" borderId="15" xfId="0" quotePrefix="1" applyFont="1" applyFill="1" applyBorder="1" applyAlignment="1">
      <alignment horizontal="left" vertical="top" wrapText="1"/>
    </xf>
    <xf numFmtId="0" fontId="2" fillId="0" borderId="98" xfId="0" applyFont="1" applyBorder="1" applyAlignment="1">
      <alignment horizontal="left" vertical="top" wrapText="1"/>
    </xf>
    <xf numFmtId="0" fontId="2" fillId="0" borderId="0" xfId="0" applyFont="1" applyAlignment="1">
      <alignment horizontal="left" vertical="top" wrapText="1"/>
    </xf>
    <xf numFmtId="0" fontId="61" fillId="25" borderId="0" xfId="78" applyFont="1" applyFill="1" applyAlignment="1" applyProtection="1">
      <alignment horizontal="left" vertical="top" wrapText="1"/>
    </xf>
    <xf numFmtId="0" fontId="4" fillId="0" borderId="75" xfId="0" applyFont="1" applyBorder="1" applyAlignment="1">
      <alignment horizontal="left" vertical="top" wrapText="1"/>
    </xf>
    <xf numFmtId="0" fontId="4" fillId="25" borderId="13" xfId="0" applyFont="1" applyFill="1" applyBorder="1" applyAlignment="1">
      <alignment horizontal="left" vertical="center" textRotation="90" wrapText="1"/>
    </xf>
    <xf numFmtId="0" fontId="3" fillId="26" borderId="0" xfId="0" applyFont="1" applyFill="1" applyAlignment="1">
      <alignment horizontal="left" wrapText="1"/>
    </xf>
    <xf numFmtId="0" fontId="81" fillId="25" borderId="0" xfId="0" applyFont="1" applyFill="1" applyAlignment="1">
      <alignment horizontal="left" vertical="top" wrapText="1"/>
    </xf>
    <xf numFmtId="0" fontId="98" fillId="43" borderId="12" xfId="0" applyFont="1" applyFill="1" applyBorder="1" applyAlignment="1">
      <alignment horizontal="left" vertical="top" wrapText="1"/>
    </xf>
    <xf numFmtId="0" fontId="82" fillId="25" borderId="139" xfId="0" applyFont="1" applyFill="1" applyBorder="1" applyAlignment="1">
      <alignment horizontal="left" vertical="top" wrapText="1"/>
    </xf>
    <xf numFmtId="0" fontId="2" fillId="25" borderId="12" xfId="0" applyFont="1" applyFill="1" applyBorder="1" applyAlignment="1">
      <alignment horizontal="left" vertical="top" wrapText="1"/>
    </xf>
    <xf numFmtId="0" fontId="102" fillId="25" borderId="0" xfId="0" applyFont="1" applyFill="1" applyAlignment="1">
      <alignment horizontal="left" vertical="top" wrapText="1"/>
    </xf>
    <xf numFmtId="0" fontId="0" fillId="24" borderId="0" xfId="0" applyFill="1" applyAlignment="1">
      <alignment horizontal="left" wrapText="1"/>
    </xf>
    <xf numFmtId="0" fontId="2" fillId="24" borderId="0" xfId="0" applyFont="1" applyFill="1" applyAlignment="1">
      <alignment horizontal="left" wrapText="1"/>
    </xf>
    <xf numFmtId="0" fontId="44" fillId="24" borderId="0" xfId="0" applyFont="1" applyFill="1" applyAlignment="1">
      <alignment horizontal="left" wrapText="1"/>
    </xf>
    <xf numFmtId="0" fontId="0" fillId="39" borderId="13" xfId="0" applyFill="1" applyBorder="1" applyAlignment="1">
      <alignment horizontal="left" wrapText="1"/>
    </xf>
    <xf numFmtId="0" fontId="37" fillId="39" borderId="13" xfId="0" applyFont="1" applyFill="1" applyBorder="1" applyAlignment="1">
      <alignment horizontal="left" vertical="top" wrapText="1"/>
    </xf>
    <xf numFmtId="0" fontId="2" fillId="25" borderId="18" xfId="0" applyFont="1" applyFill="1" applyBorder="1" applyAlignment="1">
      <alignment horizontal="left" vertical="top"/>
    </xf>
    <xf numFmtId="0" fontId="2" fillId="41" borderId="0" xfId="0" applyFont="1" applyFill="1" applyAlignment="1">
      <alignment horizontal="left" vertical="top" wrapText="1"/>
    </xf>
    <xf numFmtId="0" fontId="2" fillId="25" borderId="17" xfId="0" applyFont="1" applyFill="1" applyBorder="1" applyAlignment="1">
      <alignment horizontal="left" vertical="top"/>
    </xf>
    <xf numFmtId="0" fontId="2" fillId="27" borderId="25" xfId="0" applyFont="1" applyFill="1" applyBorder="1" applyAlignment="1">
      <alignment horizontal="left" vertical="top" wrapText="1"/>
    </xf>
    <xf numFmtId="0" fontId="2" fillId="43" borderId="15" xfId="0" applyFont="1" applyFill="1" applyBorder="1" applyAlignment="1">
      <alignment horizontal="left" vertical="top" wrapText="1"/>
    </xf>
    <xf numFmtId="0" fontId="2" fillId="43" borderId="16" xfId="0" applyFont="1" applyFill="1" applyBorder="1" applyAlignment="1">
      <alignment horizontal="left" vertical="top" wrapText="1"/>
    </xf>
    <xf numFmtId="0" fontId="2" fillId="43" borderId="21" xfId="0" applyFont="1" applyFill="1" applyBorder="1" applyAlignment="1">
      <alignment horizontal="left" vertical="top" wrapText="1"/>
    </xf>
    <xf numFmtId="0" fontId="4" fillId="25" borderId="18" xfId="0" applyFont="1" applyFill="1" applyBorder="1" applyAlignment="1">
      <alignment horizontal="left" vertical="top"/>
    </xf>
    <xf numFmtId="0" fontId="2" fillId="25" borderId="13" xfId="0" applyFont="1" applyFill="1" applyBorder="1" applyAlignment="1">
      <alignment horizontal="left" vertical="top"/>
    </xf>
    <xf numFmtId="0" fontId="2" fillId="25" borderId="11" xfId="0" applyFont="1" applyFill="1" applyBorder="1" applyAlignment="1">
      <alignment horizontal="left" vertical="top"/>
    </xf>
    <xf numFmtId="0" fontId="35" fillId="25" borderId="0" xfId="0" applyFont="1" applyFill="1" applyAlignment="1">
      <alignment horizontal="left" vertical="top"/>
    </xf>
    <xf numFmtId="0" fontId="105" fillId="24" borderId="0" xfId="0" applyFont="1" applyFill="1" applyAlignment="1">
      <alignment horizontal="left" vertical="top" wrapText="1"/>
    </xf>
    <xf numFmtId="0" fontId="105" fillId="39" borderId="13" xfId="0" applyFont="1" applyFill="1" applyBorder="1" applyAlignment="1">
      <alignment horizontal="left" vertical="top" wrapText="1"/>
    </xf>
    <xf numFmtId="0" fontId="89" fillId="57" borderId="0" xfId="0" applyFont="1" applyFill="1" applyAlignment="1">
      <alignment vertical="center"/>
    </xf>
    <xf numFmtId="0" fontId="2" fillId="57" borderId="114" xfId="0" applyFont="1" applyFill="1" applyBorder="1" applyAlignment="1">
      <alignment vertical="center"/>
    </xf>
    <xf numFmtId="0" fontId="2" fillId="50" borderId="38" xfId="0" applyFont="1" applyFill="1" applyBorder="1" applyAlignment="1">
      <alignment vertical="center"/>
    </xf>
    <xf numFmtId="0" fontId="4" fillId="57" borderId="108" xfId="0" applyFont="1" applyFill="1" applyBorder="1" applyAlignment="1">
      <alignment vertical="center" wrapText="1"/>
    </xf>
    <xf numFmtId="0" fontId="4" fillId="57" borderId="108" xfId="0" applyFont="1" applyFill="1" applyBorder="1" applyAlignment="1">
      <alignment vertical="center"/>
    </xf>
    <xf numFmtId="0" fontId="95" fillId="57" borderId="0" xfId="0" applyFont="1" applyFill="1" applyAlignment="1">
      <alignment vertical="center"/>
    </xf>
    <xf numFmtId="0" fontId="94" fillId="57" borderId="28" xfId="0" applyFont="1" applyFill="1" applyBorder="1" applyAlignment="1">
      <alignment vertical="center"/>
    </xf>
    <xf numFmtId="0" fontId="95" fillId="57" borderId="28" xfId="0" applyFont="1" applyFill="1" applyBorder="1" applyAlignment="1">
      <alignment vertical="center"/>
    </xf>
    <xf numFmtId="0" fontId="4" fillId="50" borderId="65" xfId="0" applyFont="1" applyFill="1" applyBorder="1" applyAlignment="1">
      <alignment vertical="center"/>
    </xf>
    <xf numFmtId="0" fontId="2" fillId="50" borderId="39" xfId="0" applyFont="1" applyFill="1" applyBorder="1" applyAlignment="1">
      <alignment vertical="center"/>
    </xf>
    <xf numFmtId="0" fontId="4" fillId="50" borderId="39" xfId="0" applyFont="1" applyFill="1" applyBorder="1" applyAlignment="1">
      <alignment vertical="center"/>
    </xf>
    <xf numFmtId="0" fontId="4" fillId="50" borderId="0" xfId="0" applyFont="1" applyFill="1" applyAlignment="1">
      <alignment vertical="center"/>
    </xf>
    <xf numFmtId="0" fontId="4" fillId="57" borderId="66" xfId="0" applyFont="1" applyFill="1" applyBorder="1" applyAlignment="1">
      <alignment vertical="center"/>
    </xf>
    <xf numFmtId="0" fontId="2" fillId="57" borderId="0" xfId="0" applyFont="1" applyFill="1" applyAlignment="1">
      <alignment vertical="center"/>
    </xf>
    <xf numFmtId="0" fontId="95" fillId="57" borderId="97" xfId="0" applyFont="1" applyFill="1" applyBorder="1" applyAlignment="1">
      <alignment vertical="center"/>
    </xf>
    <xf numFmtId="0" fontId="2" fillId="57" borderId="39" xfId="0" applyFont="1" applyFill="1" applyBorder="1" applyAlignment="1">
      <alignment vertical="center"/>
    </xf>
    <xf numFmtId="0" fontId="4" fillId="57" borderId="39" xfId="0" applyFont="1" applyFill="1" applyBorder="1" applyAlignment="1">
      <alignment vertical="center"/>
    </xf>
    <xf numFmtId="0" fontId="2" fillId="57" borderId="97" xfId="0" applyFont="1" applyFill="1" applyBorder="1" applyAlignment="1">
      <alignment vertical="center"/>
    </xf>
    <xf numFmtId="0" fontId="82" fillId="57" borderId="39" xfId="0" applyFont="1" applyFill="1" applyBorder="1" applyAlignment="1">
      <alignment vertical="center"/>
    </xf>
    <xf numFmtId="0" fontId="2" fillId="57" borderId="116" xfId="0" applyFont="1" applyFill="1" applyBorder="1" applyAlignment="1">
      <alignment vertical="center"/>
    </xf>
    <xf numFmtId="0" fontId="4" fillId="25" borderId="13" xfId="0" applyFont="1" applyFill="1" applyBorder="1" applyAlignment="1">
      <alignment horizontal="left" vertical="top" wrapText="1"/>
    </xf>
    <xf numFmtId="0" fontId="4" fillId="46" borderId="74" xfId="0" applyFont="1" applyFill="1" applyBorder="1" applyAlignment="1">
      <alignment horizontal="left" vertical="top"/>
    </xf>
    <xf numFmtId="0" fontId="0" fillId="25" borderId="100" xfId="0" applyFill="1" applyBorder="1" applyAlignment="1">
      <alignment horizontal="left" vertical="top"/>
    </xf>
    <xf numFmtId="0" fontId="0" fillId="25" borderId="65" xfId="0" applyFill="1" applyBorder="1" applyAlignment="1">
      <alignment horizontal="left" vertical="top"/>
    </xf>
    <xf numFmtId="0" fontId="0" fillId="25" borderId="107" xfId="0" applyFill="1" applyBorder="1" applyAlignment="1">
      <alignment horizontal="left" vertical="top"/>
    </xf>
    <xf numFmtId="0" fontId="105" fillId="25" borderId="21" xfId="0" applyFont="1" applyFill="1" applyBorder="1" applyAlignment="1">
      <alignment horizontal="left" vertical="top" wrapText="1"/>
    </xf>
    <xf numFmtId="0" fontId="105" fillId="27" borderId="39" xfId="0" applyFont="1" applyFill="1" applyBorder="1" applyAlignment="1">
      <alignment vertical="top"/>
    </xf>
    <xf numFmtId="0" fontId="6" fillId="25" borderId="0" xfId="78" applyFill="1" applyBorder="1" applyAlignment="1" applyProtection="1">
      <alignment vertical="top"/>
    </xf>
    <xf numFmtId="0" fontId="6" fillId="0" borderId="0" xfId="78" applyBorder="1" applyAlignment="1" applyProtection="1">
      <alignment vertical="top"/>
    </xf>
    <xf numFmtId="0" fontId="30" fillId="25" borderId="0" xfId="0" applyFont="1" applyFill="1" applyAlignment="1">
      <alignment horizontal="left" vertical="center" wrapText="1"/>
    </xf>
    <xf numFmtId="0" fontId="0" fillId="0" borderId="0" xfId="0" applyAlignment="1">
      <alignment vertical="top"/>
    </xf>
    <xf numFmtId="0" fontId="39" fillId="46" borderId="57" xfId="78" applyFont="1" applyFill="1" applyBorder="1" applyAlignment="1" applyProtection="1">
      <alignment horizontal="center" vertical="top" wrapText="1"/>
    </xf>
    <xf numFmtId="0" fontId="39" fillId="46" borderId="28" xfId="78" applyFont="1" applyFill="1" applyBorder="1" applyAlignment="1" applyProtection="1">
      <alignment horizontal="center" vertical="top" wrapText="1"/>
    </xf>
    <xf numFmtId="0" fontId="39" fillId="46" borderId="30" xfId="78" applyFont="1" applyFill="1" applyBorder="1" applyAlignment="1" applyProtection="1">
      <alignment horizontal="center" vertical="top" wrapText="1"/>
    </xf>
    <xf numFmtId="0" fontId="39" fillId="46" borderId="66" xfId="78" applyFont="1" applyFill="1" applyBorder="1" applyAlignment="1" applyProtection="1">
      <alignment horizontal="center" vertical="top" wrapText="1"/>
    </xf>
    <xf numFmtId="0" fontId="39" fillId="46" borderId="0" xfId="78" applyFont="1" applyFill="1" applyBorder="1" applyAlignment="1" applyProtection="1">
      <alignment horizontal="center" vertical="top" wrapText="1"/>
    </xf>
    <xf numFmtId="0" fontId="39" fillId="46" borderId="38" xfId="78" applyFont="1" applyFill="1" applyBorder="1" applyAlignment="1" applyProtection="1">
      <alignment horizontal="center" vertical="top" wrapText="1"/>
    </xf>
    <xf numFmtId="0" fontId="6" fillId="0" borderId="0" xfId="78" applyAlignment="1" applyProtection="1">
      <alignment vertical="top"/>
    </xf>
    <xf numFmtId="0" fontId="0" fillId="46" borderId="57" xfId="0" applyFill="1" applyBorder="1" applyAlignment="1">
      <alignment horizontal="center" vertical="top" wrapText="1"/>
    </xf>
    <xf numFmtId="0" fontId="0" fillId="46" borderId="28" xfId="0" applyFill="1" applyBorder="1" applyAlignment="1">
      <alignment horizontal="center" vertical="top" wrapText="1"/>
    </xf>
    <xf numFmtId="0" fontId="0" fillId="25" borderId="21" xfId="0" applyFill="1" applyBorder="1" applyAlignment="1">
      <alignment horizontal="center" vertical="top" wrapText="1"/>
    </xf>
    <xf numFmtId="0" fontId="0" fillId="0" borderId="21" xfId="0" applyBorder="1" applyAlignment="1">
      <alignment vertical="top" wrapText="1"/>
    </xf>
    <xf numFmtId="0" fontId="4" fillId="25" borderId="0" xfId="78" applyFont="1" applyFill="1" applyBorder="1" applyAlignment="1" applyProtection="1">
      <alignment vertical="top"/>
    </xf>
    <xf numFmtId="0" fontId="4" fillId="0" borderId="0" xfId="0" applyFont="1" applyAlignment="1">
      <alignment vertical="top"/>
    </xf>
    <xf numFmtId="0" fontId="6" fillId="25" borderId="0" xfId="78" applyFill="1" applyBorder="1" applyAlignment="1" applyProtection="1">
      <alignment vertical="top" wrapText="1"/>
    </xf>
    <xf numFmtId="0" fontId="4" fillId="25" borderId="0" xfId="0" applyFont="1" applyFill="1" applyAlignment="1">
      <alignment vertical="top" wrapText="1"/>
    </xf>
    <xf numFmtId="0" fontId="29" fillId="25" borderId="0" xfId="0" applyFont="1" applyFill="1" applyAlignment="1">
      <alignment vertical="top" wrapText="1"/>
    </xf>
    <xf numFmtId="0" fontId="6" fillId="25" borderId="0" xfId="78" applyFill="1" applyBorder="1" applyAlignment="1" applyProtection="1">
      <alignment horizontal="left" vertical="top"/>
    </xf>
    <xf numFmtId="0" fontId="6" fillId="0" borderId="0" xfId="78" applyBorder="1" applyAlignment="1" applyProtection="1">
      <alignment horizontal="left" vertical="top"/>
    </xf>
    <xf numFmtId="0" fontId="0" fillId="46" borderId="149" xfId="0" applyFill="1" applyBorder="1" applyAlignment="1">
      <alignment horizontal="center" vertical="center" wrapText="1"/>
    </xf>
    <xf numFmtId="0" fontId="0" fillId="46" borderId="108" xfId="0" applyFill="1" applyBorder="1" applyAlignment="1">
      <alignment horizontal="center" vertical="center" wrapText="1"/>
    </xf>
    <xf numFmtId="0" fontId="0" fillId="46" borderId="116" xfId="0" applyFill="1" applyBorder="1" applyAlignment="1">
      <alignment horizontal="center" vertical="center" wrapText="1"/>
    </xf>
    <xf numFmtId="0" fontId="39" fillId="46" borderId="74" xfId="78" applyFont="1" applyFill="1" applyBorder="1" applyAlignment="1" applyProtection="1">
      <alignment horizontal="center" vertical="top" wrapText="1"/>
    </xf>
    <xf numFmtId="0" fontId="0" fillId="46" borderId="66" xfId="0" applyFill="1" applyBorder="1" applyAlignment="1">
      <alignment horizontal="center" vertical="top" wrapText="1"/>
    </xf>
    <xf numFmtId="0" fontId="0" fillId="46" borderId="0" xfId="0" applyFill="1" applyAlignment="1">
      <alignment horizontal="center" vertical="top" wrapText="1"/>
    </xf>
    <xf numFmtId="0" fontId="70" fillId="25" borderId="114" xfId="0" applyFont="1" applyFill="1" applyBorder="1" applyAlignment="1">
      <alignment horizontal="center" vertical="center"/>
    </xf>
    <xf numFmtId="0" fontId="70" fillId="25" borderId="97" xfId="0" applyFont="1" applyFill="1" applyBorder="1" applyAlignment="1">
      <alignment horizontal="center" vertical="center"/>
    </xf>
    <xf numFmtId="0" fontId="70" fillId="25" borderId="96" xfId="0" applyFont="1" applyFill="1" applyBorder="1" applyAlignment="1">
      <alignment horizontal="center" vertical="center"/>
    </xf>
    <xf numFmtId="0" fontId="52" fillId="25" borderId="0" xfId="0" applyFont="1" applyFill="1" applyAlignment="1">
      <alignment horizontal="left" vertical="top" wrapText="1"/>
    </xf>
    <xf numFmtId="0" fontId="0" fillId="0" borderId="0" xfId="0" applyAlignment="1">
      <alignment horizontal="left" vertical="top" wrapText="1"/>
    </xf>
    <xf numFmtId="0" fontId="6" fillId="41" borderId="0" xfId="78" applyNumberFormat="1" applyFill="1" applyAlignment="1" applyProtection="1">
      <alignment horizontal="left" vertical="top" wrapText="1"/>
    </xf>
    <xf numFmtId="0" fontId="6" fillId="41" borderId="0" xfId="78" applyFill="1" applyAlignment="1" applyProtection="1">
      <alignment horizontal="left" vertical="top" wrapText="1"/>
    </xf>
    <xf numFmtId="0" fontId="6" fillId="25" borderId="0" xfId="78" applyFill="1" applyAlignment="1" applyProtection="1">
      <alignment horizontal="left" vertical="top"/>
    </xf>
    <xf numFmtId="0" fontId="6" fillId="0" borderId="0" xfId="78" applyAlignment="1" applyProtection="1">
      <alignment horizontal="left" vertical="top"/>
    </xf>
    <xf numFmtId="0" fontId="3" fillId="26" borderId="0" xfId="0" applyFont="1" applyFill="1" applyAlignment="1">
      <alignment vertical="top" wrapText="1"/>
    </xf>
    <xf numFmtId="0" fontId="2" fillId="48" borderId="0" xfId="0" applyFont="1" applyFill="1" applyAlignment="1">
      <alignment horizontal="center" vertical="top" wrapText="1"/>
    </xf>
    <xf numFmtId="0" fontId="2" fillId="46" borderId="0" xfId="0" applyFont="1" applyFill="1" applyAlignment="1">
      <alignment horizontal="center" vertical="top" wrapText="1"/>
    </xf>
    <xf numFmtId="0" fontId="60" fillId="25" borderId="0" xfId="0" applyFont="1" applyFill="1" applyAlignment="1">
      <alignment vertical="top" wrapText="1"/>
    </xf>
    <xf numFmtId="0" fontId="0" fillId="0" borderId="0" xfId="0" applyAlignment="1">
      <alignment vertical="top" wrapText="1"/>
    </xf>
    <xf numFmtId="0" fontId="2" fillId="37" borderId="67" xfId="0" applyFont="1" applyFill="1" applyBorder="1" applyAlignment="1">
      <alignment horizontal="center" vertical="top" wrapText="1"/>
    </xf>
    <xf numFmtId="0" fontId="2" fillId="0" borderId="26" xfId="0" applyFont="1" applyBorder="1" applyAlignment="1">
      <alignment horizontal="center" vertical="top" wrapText="1"/>
    </xf>
    <xf numFmtId="0" fontId="2" fillId="28" borderId="67" xfId="0" applyFont="1" applyFill="1" applyBorder="1" applyAlignment="1" applyProtection="1">
      <alignment horizontal="center" vertical="top" wrapText="1"/>
      <protection locked="0"/>
    </xf>
    <xf numFmtId="0" fontId="2" fillId="0" borderId="26" xfId="0" applyFont="1" applyBorder="1" applyAlignment="1" applyProtection="1">
      <alignment horizontal="center" vertical="top" wrapText="1"/>
      <protection locked="0"/>
    </xf>
    <xf numFmtId="164" fontId="2" fillId="29" borderId="67" xfId="0" applyNumberFormat="1" applyFont="1" applyFill="1" applyBorder="1" applyAlignment="1" applyProtection="1">
      <alignment horizontal="center" vertical="top" wrapText="1"/>
      <protection locked="0"/>
    </xf>
    <xf numFmtId="0" fontId="10" fillId="25" borderId="12" xfId="0" applyFont="1" applyFill="1" applyBorder="1" applyAlignment="1">
      <alignment vertical="top" wrapText="1"/>
    </xf>
    <xf numFmtId="0" fontId="0" fillId="0" borderId="12" xfId="0" applyBorder="1" applyAlignment="1">
      <alignment vertical="top" wrapText="1"/>
    </xf>
    <xf numFmtId="0" fontId="52" fillId="25" borderId="67" xfId="0" applyFont="1" applyFill="1" applyBorder="1" applyAlignment="1">
      <alignment horizontal="left" vertical="top" wrapText="1"/>
    </xf>
    <xf numFmtId="0" fontId="0" fillId="0" borderId="25" xfId="0" applyBorder="1" applyAlignment="1">
      <alignment horizontal="left" vertical="top" wrapText="1"/>
    </xf>
    <xf numFmtId="0" fontId="9" fillId="25" borderId="0" xfId="0" applyFont="1" applyFill="1" applyAlignment="1">
      <alignment vertical="top" wrapText="1"/>
    </xf>
    <xf numFmtId="0" fontId="0" fillId="25" borderId="0" xfId="0" applyFill="1" applyAlignment="1">
      <alignment horizontal="left" vertical="top" wrapText="1"/>
    </xf>
    <xf numFmtId="0" fontId="59" fillId="25" borderId="0" xfId="0" applyFont="1" applyFill="1" applyAlignment="1">
      <alignment vertical="top" wrapText="1"/>
    </xf>
    <xf numFmtId="0" fontId="91" fillId="24" borderId="0" xfId="0" applyFont="1" applyFill="1" applyAlignment="1">
      <alignment horizontal="left" vertical="top" wrapText="1"/>
    </xf>
    <xf numFmtId="0" fontId="6" fillId="46" borderId="0" xfId="78" applyFill="1" applyAlignment="1" applyProtection="1">
      <alignment vertical="top"/>
    </xf>
    <xf numFmtId="0" fontId="0" fillId="25" borderId="0" xfId="0" applyFill="1" applyAlignment="1">
      <alignment vertical="top" wrapText="1"/>
    </xf>
    <xf numFmtId="0" fontId="6" fillId="25" borderId="0" xfId="78" applyFill="1" applyAlignment="1" applyProtection="1">
      <alignment vertical="top" wrapText="1"/>
    </xf>
    <xf numFmtId="0" fontId="2" fillId="43" borderId="102" xfId="0" quotePrefix="1" applyFont="1" applyFill="1" applyBorder="1" applyAlignment="1">
      <alignment horizontal="center" vertical="top" wrapText="1"/>
    </xf>
    <xf numFmtId="0" fontId="2" fillId="43" borderId="103" xfId="0" quotePrefix="1" applyFont="1" applyFill="1" applyBorder="1" applyAlignment="1">
      <alignment horizontal="center" vertical="top" wrapText="1"/>
    </xf>
    <xf numFmtId="0" fontId="2" fillId="50" borderId="18" xfId="0" applyFont="1" applyFill="1" applyBorder="1" applyAlignment="1">
      <alignment horizontal="center" vertical="top"/>
    </xf>
    <xf numFmtId="0" fontId="2" fillId="50" borderId="99" xfId="0" applyFont="1" applyFill="1" applyBorder="1" applyAlignment="1">
      <alignment horizontal="center" vertical="top"/>
    </xf>
    <xf numFmtId="164" fontId="2" fillId="27" borderId="67" xfId="0" applyNumberFormat="1" applyFont="1" applyFill="1" applyBorder="1" applyAlignment="1">
      <alignment horizontal="center" vertical="top" wrapText="1"/>
    </xf>
    <xf numFmtId="0" fontId="4" fillId="34" borderId="114" xfId="0" applyFont="1" applyFill="1" applyBorder="1" applyAlignment="1">
      <alignment horizontal="left" vertical="center" wrapText="1"/>
    </xf>
    <xf numFmtId="0" fontId="4" fillId="34" borderId="97" xfId="0" applyFont="1" applyFill="1" applyBorder="1" applyAlignment="1">
      <alignment horizontal="left" vertical="center" wrapText="1"/>
    </xf>
    <xf numFmtId="0" fontId="33" fillId="25" borderId="0" xfId="0" applyFont="1" applyFill="1" applyAlignment="1">
      <alignment horizontal="left" vertical="top" wrapText="1"/>
    </xf>
    <xf numFmtId="0" fontId="0" fillId="48" borderId="0" xfId="0" applyFill="1" applyAlignment="1">
      <alignment horizontal="left" vertical="top" wrapText="1"/>
    </xf>
    <xf numFmtId="0" fontId="40" fillId="25" borderId="0" xfId="0" applyFont="1" applyFill="1" applyAlignment="1">
      <alignment horizontal="left" vertical="top" wrapText="1"/>
    </xf>
    <xf numFmtId="0" fontId="40" fillId="0" borderId="0" xfId="0" applyFont="1" applyAlignment="1">
      <alignment horizontal="left" vertical="top" wrapText="1"/>
    </xf>
    <xf numFmtId="0" fontId="80" fillId="51" borderId="67" xfId="0" applyFont="1" applyFill="1" applyBorder="1" applyAlignment="1">
      <alignment horizontal="center" vertical="top" wrapText="1"/>
    </xf>
    <xf numFmtId="0" fontId="80" fillId="51" borderId="26" xfId="0" applyFont="1" applyFill="1" applyBorder="1" applyAlignment="1">
      <alignment horizontal="center" vertical="top" wrapText="1"/>
    </xf>
    <xf numFmtId="0" fontId="59" fillId="25" borderId="99" xfId="0" applyFont="1" applyFill="1" applyBorder="1" applyAlignment="1">
      <alignment vertical="top" wrapText="1"/>
    </xf>
    <xf numFmtId="0" fontId="33" fillId="25" borderId="0" xfId="0" applyFont="1" applyFill="1" applyAlignment="1">
      <alignment vertical="top" wrapText="1"/>
    </xf>
    <xf numFmtId="0" fontId="0" fillId="48" borderId="103" xfId="0" applyFill="1" applyBorder="1" applyAlignment="1">
      <alignment horizontal="center" vertical="top" wrapText="1"/>
    </xf>
    <xf numFmtId="0" fontId="0" fillId="48" borderId="21" xfId="0" applyFill="1" applyBorder="1" applyAlignment="1">
      <alignment horizontal="center" vertical="top" wrapText="1"/>
    </xf>
    <xf numFmtId="0" fontId="0" fillId="48" borderId="102" xfId="0" applyFill="1" applyBorder="1" applyAlignment="1">
      <alignment horizontal="center" vertical="top" wrapText="1"/>
    </xf>
    <xf numFmtId="0" fontId="0" fillId="48" borderId="99" xfId="0" applyFill="1" applyBorder="1" applyAlignment="1">
      <alignment horizontal="center" vertical="top" wrapText="1"/>
    </xf>
    <xf numFmtId="0" fontId="0" fillId="48" borderId="0" xfId="0" applyFill="1" applyAlignment="1">
      <alignment horizontal="center" vertical="top" wrapText="1"/>
    </xf>
    <xf numFmtId="0" fontId="0" fillId="48" borderId="18" xfId="0" applyFill="1" applyBorder="1" applyAlignment="1">
      <alignment horizontal="center" vertical="top" wrapText="1"/>
    </xf>
    <xf numFmtId="0" fontId="0" fillId="48" borderId="78" xfId="0" applyFill="1" applyBorder="1" applyAlignment="1">
      <alignment horizontal="center" vertical="top" wrapText="1"/>
    </xf>
    <xf numFmtId="0" fontId="0" fillId="48" borderId="12" xfId="0" applyFill="1" applyBorder="1" applyAlignment="1">
      <alignment horizontal="center" vertical="top" wrapText="1"/>
    </xf>
    <xf numFmtId="0" fontId="0" fillId="48" borderId="24" xfId="0" applyFill="1" applyBorder="1" applyAlignment="1">
      <alignment horizontal="center" vertical="top" wrapText="1"/>
    </xf>
    <xf numFmtId="0" fontId="51" fillId="41" borderId="0" xfId="0" applyFont="1" applyFill="1" applyAlignment="1">
      <alignment horizontal="left" vertical="top" wrapText="1"/>
    </xf>
    <xf numFmtId="0" fontId="51" fillId="41" borderId="38" xfId="0" applyFont="1" applyFill="1" applyBorder="1" applyAlignment="1">
      <alignment horizontal="left" vertical="top" wrapText="1"/>
    </xf>
    <xf numFmtId="0" fontId="10" fillId="41" borderId="0" xfId="0" applyFont="1" applyFill="1" applyAlignment="1">
      <alignment horizontal="center" vertical="top" wrapText="1"/>
    </xf>
    <xf numFmtId="0" fontId="10" fillId="41" borderId="0" xfId="0" applyFont="1" applyFill="1" applyAlignment="1">
      <alignment horizontal="left" vertical="top" wrapText="1"/>
    </xf>
    <xf numFmtId="0" fontId="10" fillId="41" borderId="38" xfId="0" applyFont="1" applyFill="1" applyBorder="1" applyAlignment="1">
      <alignment horizontal="left" vertical="top" wrapText="1"/>
    </xf>
    <xf numFmtId="0" fontId="0" fillId="0" borderId="18" xfId="0" applyBorder="1" applyAlignment="1">
      <alignment vertical="top" wrapText="1"/>
    </xf>
    <xf numFmtId="0" fontId="2" fillId="40" borderId="67" xfId="0" applyFont="1" applyFill="1" applyBorder="1" applyAlignment="1">
      <alignment horizontal="left" vertical="top"/>
    </xf>
    <xf numFmtId="0" fontId="2" fillId="40" borderId="25" xfId="0" applyFont="1" applyFill="1" applyBorder="1" applyAlignment="1">
      <alignment horizontal="left" vertical="top"/>
    </xf>
    <xf numFmtId="0" fontId="2" fillId="40" borderId="26" xfId="0" applyFont="1" applyFill="1" applyBorder="1" applyAlignment="1">
      <alignment horizontal="left" vertical="top"/>
    </xf>
    <xf numFmtId="0" fontId="85" fillId="25" borderId="0" xfId="0" applyFont="1" applyFill="1" applyAlignment="1">
      <alignment horizontal="left"/>
    </xf>
    <xf numFmtId="0" fontId="41" fillId="41" borderId="0" xfId="0" applyFont="1" applyFill="1" applyAlignment="1">
      <alignment horizontal="left" vertical="top" wrapText="1"/>
    </xf>
    <xf numFmtId="0" fontId="41" fillId="41" borderId="38" xfId="0" applyFont="1" applyFill="1" applyBorder="1" applyAlignment="1">
      <alignment horizontal="left" vertical="top" wrapText="1"/>
    </xf>
    <xf numFmtId="0" fontId="74" fillId="46" borderId="0" xfId="78" applyFont="1" applyFill="1" applyBorder="1" applyAlignment="1" applyProtection="1">
      <alignment horizontal="left" vertical="center" wrapText="1"/>
    </xf>
    <xf numFmtId="0" fontId="74" fillId="46" borderId="38" xfId="78" applyFont="1" applyFill="1" applyBorder="1" applyAlignment="1" applyProtection="1">
      <alignment horizontal="left" vertical="center" wrapText="1"/>
    </xf>
    <xf numFmtId="0" fontId="2" fillId="25" borderId="14" xfId="0" applyFont="1" applyFill="1" applyBorder="1" applyAlignment="1">
      <alignment vertical="top" wrapText="1"/>
    </xf>
    <xf numFmtId="0" fontId="0" fillId="0" borderId="14" xfId="0" applyBorder="1" applyAlignment="1">
      <alignment vertical="top" wrapText="1"/>
    </xf>
    <xf numFmtId="0" fontId="0" fillId="0" borderId="19" xfId="0" applyBorder="1" applyAlignment="1">
      <alignment vertical="top" wrapText="1"/>
    </xf>
    <xf numFmtId="0" fontId="2" fillId="40" borderId="105" xfId="0" applyFont="1" applyFill="1" applyBorder="1" applyAlignment="1">
      <alignment horizontal="left" vertical="top"/>
    </xf>
    <xf numFmtId="0" fontId="2" fillId="40" borderId="14" xfId="0" applyFont="1" applyFill="1" applyBorder="1" applyAlignment="1">
      <alignment horizontal="left" vertical="top"/>
    </xf>
    <xf numFmtId="0" fontId="2" fillId="25" borderId="15" xfId="0" applyFont="1" applyFill="1" applyBorder="1" applyAlignment="1">
      <alignment vertical="top" wrapText="1"/>
    </xf>
    <xf numFmtId="0" fontId="0" fillId="0" borderId="15" xfId="0" applyBorder="1" applyAlignment="1">
      <alignment vertical="top" wrapText="1"/>
    </xf>
    <xf numFmtId="0" fontId="0" fillId="0" borderId="20" xfId="0" applyBorder="1" applyAlignment="1">
      <alignment vertical="top" wrapText="1"/>
    </xf>
    <xf numFmtId="49" fontId="2" fillId="40" borderId="106" xfId="0" applyNumberFormat="1" applyFont="1" applyFill="1" applyBorder="1" applyAlignment="1">
      <alignment horizontal="left" vertical="top"/>
    </xf>
    <xf numFmtId="49" fontId="2" fillId="40" borderId="15" xfId="0" applyNumberFormat="1" applyFont="1" applyFill="1" applyBorder="1" applyAlignment="1">
      <alignment horizontal="left" vertical="top"/>
    </xf>
    <xf numFmtId="0" fontId="2" fillId="25" borderId="0" xfId="0" applyFont="1" applyFill="1" applyAlignment="1">
      <alignment horizontal="right" vertical="top" wrapText="1"/>
    </xf>
    <xf numFmtId="0" fontId="0" fillId="0" borderId="0" xfId="0" applyAlignment="1">
      <alignment horizontal="right" vertical="top" wrapText="1"/>
    </xf>
    <xf numFmtId="0" fontId="0" fillId="0" borderId="18" xfId="0" applyBorder="1" applyAlignment="1">
      <alignment horizontal="right" vertical="top" wrapText="1"/>
    </xf>
    <xf numFmtId="0" fontId="4" fillId="25" borderId="18" xfId="0" applyFont="1" applyFill="1" applyBorder="1" applyAlignment="1">
      <alignment vertical="top" wrapText="1"/>
    </xf>
    <xf numFmtId="0" fontId="2" fillId="25" borderId="16" xfId="0" applyFont="1" applyFill="1" applyBorder="1" applyAlignment="1">
      <alignment vertical="top" wrapText="1"/>
    </xf>
    <xf numFmtId="0" fontId="0" fillId="0" borderId="16" xfId="0" applyBorder="1" applyAlignment="1">
      <alignment vertical="top" wrapText="1"/>
    </xf>
    <xf numFmtId="0" fontId="0" fillId="0" borderId="23" xfId="0" applyBorder="1" applyAlignment="1">
      <alignment vertical="top" wrapText="1"/>
    </xf>
    <xf numFmtId="49" fontId="2" fillId="40" borderId="94" xfId="0" applyNumberFormat="1" applyFont="1" applyFill="1" applyBorder="1" applyAlignment="1">
      <alignment horizontal="left" vertical="top"/>
    </xf>
    <xf numFmtId="49" fontId="2" fillId="40" borderId="16" xfId="0" applyNumberFormat="1" applyFont="1" applyFill="1" applyBorder="1" applyAlignment="1">
      <alignment horizontal="left" vertical="top"/>
    </xf>
    <xf numFmtId="0" fontId="35" fillId="25" borderId="0" xfId="0" applyFont="1" applyFill="1" applyAlignment="1">
      <alignment vertical="top" wrapText="1"/>
    </xf>
    <xf numFmtId="0" fontId="4" fillId="25" borderId="78" xfId="0" applyFont="1" applyFill="1" applyBorder="1" applyAlignment="1">
      <alignment wrapText="1"/>
    </xf>
    <xf numFmtId="0" fontId="0" fillId="0" borderId="12" xfId="0" applyBorder="1" applyAlignment="1">
      <alignment wrapText="1"/>
    </xf>
    <xf numFmtId="0" fontId="0" fillId="0" borderId="24" xfId="0" applyBorder="1" applyAlignment="1">
      <alignment wrapText="1"/>
    </xf>
    <xf numFmtId="0" fontId="2" fillId="40" borderId="106" xfId="0" applyFont="1" applyFill="1" applyBorder="1" applyAlignment="1">
      <alignment horizontal="left" vertical="top"/>
    </xf>
    <xf numFmtId="0" fontId="2" fillId="40" borderId="15" xfId="0" applyFont="1" applyFill="1" applyBorder="1" applyAlignment="1">
      <alignment horizontal="left" vertical="top"/>
    </xf>
    <xf numFmtId="0" fontId="2" fillId="40" borderId="20" xfId="0" applyFont="1" applyFill="1" applyBorder="1" applyAlignment="1">
      <alignment horizontal="left" vertical="top"/>
    </xf>
    <xf numFmtId="0" fontId="0" fillId="40" borderId="20" xfId="0" applyFill="1" applyBorder="1" applyAlignment="1">
      <alignment horizontal="left" vertical="top"/>
    </xf>
    <xf numFmtId="0" fontId="2" fillId="40" borderId="106" xfId="0" applyFont="1" applyFill="1" applyBorder="1" applyAlignment="1">
      <alignment vertical="top"/>
    </xf>
    <xf numFmtId="0" fontId="0" fillId="40" borderId="15" xfId="0" applyFill="1" applyBorder="1" applyAlignment="1">
      <alignment vertical="top"/>
    </xf>
    <xf numFmtId="0" fontId="2" fillId="40" borderId="19" xfId="0" applyFont="1" applyFill="1" applyBorder="1" applyAlignment="1">
      <alignment horizontal="left" vertical="top"/>
    </xf>
    <xf numFmtId="0" fontId="0" fillId="40" borderId="19" xfId="0" applyFill="1" applyBorder="1" applyAlignment="1">
      <alignment horizontal="left" vertical="top"/>
    </xf>
    <xf numFmtId="0" fontId="2" fillId="40" borderId="105" xfId="0" applyFont="1" applyFill="1" applyBorder="1" applyAlignment="1">
      <alignment vertical="top"/>
    </xf>
    <xf numFmtId="0" fontId="0" fillId="40" borderId="14" xfId="0" applyFill="1" applyBorder="1" applyAlignment="1">
      <alignment vertical="top"/>
    </xf>
    <xf numFmtId="0" fontId="2" fillId="40" borderId="94" xfId="0" applyFont="1" applyFill="1" applyBorder="1" applyAlignment="1">
      <alignment horizontal="left" vertical="top"/>
    </xf>
    <xf numFmtId="0" fontId="2" fillId="40" borderId="16" xfId="0" applyFont="1" applyFill="1" applyBorder="1" applyAlignment="1">
      <alignment horizontal="left" vertical="top"/>
    </xf>
    <xf numFmtId="0" fontId="2" fillId="40" borderId="23" xfId="0" applyFont="1" applyFill="1" applyBorder="1" applyAlignment="1">
      <alignment horizontal="left" vertical="top"/>
    </xf>
    <xf numFmtId="0" fontId="0" fillId="40" borderId="23" xfId="0" applyFill="1" applyBorder="1" applyAlignment="1">
      <alignment horizontal="left" vertical="top"/>
    </xf>
    <xf numFmtId="0" fontId="2" fillId="40" borderId="94" xfId="0" applyFont="1" applyFill="1" applyBorder="1" applyAlignment="1">
      <alignment vertical="top"/>
    </xf>
    <xf numFmtId="0" fontId="0" fillId="40" borderId="16" xfId="0" applyFill="1" applyBorder="1" applyAlignment="1">
      <alignment vertical="top"/>
    </xf>
    <xf numFmtId="49" fontId="4" fillId="40" borderId="106" xfId="0" applyNumberFormat="1" applyFont="1" applyFill="1" applyBorder="1" applyAlignment="1">
      <alignment vertical="top"/>
    </xf>
    <xf numFmtId="49" fontId="4" fillId="40" borderId="20" xfId="0" applyNumberFormat="1" applyFont="1" applyFill="1" applyBorder="1" applyAlignment="1">
      <alignment vertical="top"/>
    </xf>
    <xf numFmtId="0" fontId="4" fillId="0" borderId="78" xfId="0" applyFont="1" applyBorder="1" applyAlignment="1">
      <alignment wrapText="1"/>
    </xf>
    <xf numFmtId="0" fontId="4" fillId="25" borderId="12" xfId="0" applyFont="1" applyFill="1" applyBorder="1" applyAlignment="1">
      <alignment wrapText="1"/>
    </xf>
    <xf numFmtId="0" fontId="4" fillId="40" borderId="105" xfId="0" applyFont="1" applyFill="1" applyBorder="1" applyAlignment="1">
      <alignment vertical="top"/>
    </xf>
    <xf numFmtId="0" fontId="4" fillId="40" borderId="19" xfId="0" applyFont="1" applyFill="1" applyBorder="1" applyAlignment="1">
      <alignment vertical="top"/>
    </xf>
    <xf numFmtId="49" fontId="4" fillId="40" borderId="94" xfId="0" applyNumberFormat="1" applyFont="1" applyFill="1" applyBorder="1" applyAlignment="1">
      <alignment vertical="top"/>
    </xf>
    <xf numFmtId="49" fontId="4" fillId="40" borderId="23" xfId="0" applyNumberFormat="1" applyFont="1" applyFill="1" applyBorder="1" applyAlignment="1">
      <alignment vertical="top"/>
    </xf>
    <xf numFmtId="0" fontId="4" fillId="46" borderId="114" xfId="0" applyFont="1" applyFill="1" applyBorder="1" applyAlignment="1">
      <alignment horizontal="center"/>
    </xf>
    <xf numFmtId="0" fontId="4" fillId="46" borderId="96" xfId="0" applyFont="1" applyFill="1" applyBorder="1" applyAlignment="1">
      <alignment horizontal="center"/>
    </xf>
    <xf numFmtId="0" fontId="4" fillId="25" borderId="0" xfId="0" applyFont="1" applyFill="1" applyAlignment="1">
      <alignment vertical="center" wrapText="1"/>
    </xf>
    <xf numFmtId="0" fontId="0" fillId="0" borderId="0" xfId="0" applyAlignment="1">
      <alignment vertical="center" wrapText="1"/>
    </xf>
    <xf numFmtId="0" fontId="4" fillId="28" borderId="114" xfId="0" applyFont="1" applyFill="1" applyBorder="1" applyAlignment="1" applyProtection="1">
      <alignment horizontal="center" vertical="top"/>
      <protection locked="0"/>
    </xf>
    <xf numFmtId="0" fontId="4" fillId="28" borderId="97" xfId="0" applyFont="1" applyFill="1" applyBorder="1" applyAlignment="1" applyProtection="1">
      <alignment horizontal="center" vertical="top"/>
      <protection locked="0"/>
    </xf>
    <xf numFmtId="0" fontId="4" fillId="28" borderId="96" xfId="0" applyFont="1" applyFill="1" applyBorder="1" applyAlignment="1" applyProtection="1">
      <alignment horizontal="center" vertical="top"/>
      <protection locked="0"/>
    </xf>
    <xf numFmtId="0" fontId="10" fillId="41" borderId="0" xfId="0" applyFont="1" applyFill="1" applyAlignment="1">
      <alignment vertical="top" wrapText="1"/>
    </xf>
    <xf numFmtId="0" fontId="10" fillId="41" borderId="139" xfId="0" applyFont="1" applyFill="1" applyBorder="1" applyAlignment="1">
      <alignment horizontal="left" vertical="top" wrapText="1"/>
    </xf>
    <xf numFmtId="0" fontId="10" fillId="41" borderId="153" xfId="0" applyFont="1" applyFill="1" applyBorder="1" applyAlignment="1">
      <alignment horizontal="left" vertical="top" wrapText="1"/>
    </xf>
    <xf numFmtId="0" fontId="4" fillId="42" borderId="114" xfId="0" applyFont="1" applyFill="1" applyBorder="1" applyAlignment="1" applyProtection="1">
      <alignment horizontal="center" vertical="top"/>
      <protection locked="0"/>
    </xf>
    <xf numFmtId="0" fontId="4" fillId="42" borderId="97" xfId="0" applyFont="1" applyFill="1" applyBorder="1" applyAlignment="1" applyProtection="1">
      <alignment horizontal="center" vertical="top"/>
      <protection locked="0"/>
    </xf>
    <xf numFmtId="0" fontId="4" fillId="42" borderId="96" xfId="0" applyFont="1" applyFill="1" applyBorder="1" applyAlignment="1" applyProtection="1">
      <alignment horizontal="center" vertical="top"/>
      <protection locked="0"/>
    </xf>
    <xf numFmtId="0" fontId="80" fillId="51" borderId="106" xfId="0" applyFont="1" applyFill="1" applyBorder="1" applyAlignment="1">
      <alignment vertical="top"/>
    </xf>
    <xf numFmtId="0" fontId="80" fillId="51" borderId="15" xfId="0" applyFont="1" applyFill="1" applyBorder="1" applyAlignment="1">
      <alignment vertical="top"/>
    </xf>
    <xf numFmtId="0" fontId="80" fillId="51" borderId="20" xfId="0" applyFont="1" applyFill="1" applyBorder="1" applyAlignment="1">
      <alignment vertical="top"/>
    </xf>
    <xf numFmtId="0" fontId="2" fillId="25" borderId="20" xfId="0" applyFont="1" applyFill="1" applyBorder="1" applyAlignment="1">
      <alignment vertical="top" wrapText="1"/>
    </xf>
    <xf numFmtId="49" fontId="2" fillId="28" borderId="106" xfId="0" applyNumberFormat="1" applyFont="1" applyFill="1" applyBorder="1" applyAlignment="1" applyProtection="1">
      <alignment horizontal="left" vertical="top"/>
      <protection locked="0"/>
    </xf>
    <xf numFmtId="49" fontId="2" fillId="0" borderId="15" xfId="0" applyNumberFormat="1" applyFont="1" applyBorder="1" applyAlignment="1" applyProtection="1">
      <alignment horizontal="left" vertical="top"/>
      <protection locked="0"/>
    </xf>
    <xf numFmtId="49" fontId="2" fillId="0" borderId="20" xfId="0" applyNumberFormat="1" applyFont="1" applyBorder="1" applyAlignment="1" applyProtection="1">
      <alignment horizontal="left" vertical="top"/>
      <protection locked="0"/>
    </xf>
    <xf numFmtId="0" fontId="0" fillId="0" borderId="38" xfId="0" applyBorder="1" applyAlignment="1">
      <alignment vertical="top" wrapText="1"/>
    </xf>
    <xf numFmtId="0" fontId="4" fillId="42" borderId="114" xfId="0" applyFont="1" applyFill="1" applyBorder="1" applyAlignment="1" applyProtection="1">
      <alignment horizontal="center"/>
      <protection locked="0"/>
    </xf>
    <xf numFmtId="0" fontId="4" fillId="42" borderId="97" xfId="0" applyFont="1" applyFill="1" applyBorder="1" applyAlignment="1" applyProtection="1">
      <alignment horizontal="center"/>
      <protection locked="0"/>
    </xf>
    <xf numFmtId="0" fontId="4" fillId="42" borderId="96" xfId="0" applyFont="1" applyFill="1" applyBorder="1" applyAlignment="1" applyProtection="1">
      <alignment horizontal="center"/>
      <protection locked="0"/>
    </xf>
    <xf numFmtId="0" fontId="5" fillId="41" borderId="0" xfId="0" applyFont="1" applyFill="1" applyAlignment="1">
      <alignment horizontal="right" vertical="top" wrapText="1"/>
    </xf>
    <xf numFmtId="0" fontId="5" fillId="41" borderId="18" xfId="0" applyFont="1" applyFill="1" applyBorder="1" applyAlignment="1">
      <alignment horizontal="right" vertical="top" wrapText="1"/>
    </xf>
    <xf numFmtId="0" fontId="2" fillId="25" borderId="19" xfId="0" applyFont="1" applyFill="1" applyBorder="1" applyAlignment="1">
      <alignment vertical="top" wrapText="1"/>
    </xf>
    <xf numFmtId="0" fontId="2" fillId="42" borderId="67" xfId="0" applyFont="1" applyFill="1" applyBorder="1" applyAlignment="1" applyProtection="1">
      <alignment horizontal="left" vertical="top"/>
      <protection locked="0"/>
    </xf>
    <xf numFmtId="0" fontId="2" fillId="42" borderId="25" xfId="0" applyFont="1" applyFill="1" applyBorder="1" applyAlignment="1" applyProtection="1">
      <alignment horizontal="left" vertical="top"/>
      <protection locked="0"/>
    </xf>
    <xf numFmtId="0" fontId="2" fillId="42" borderId="26" xfId="0" applyFont="1" applyFill="1" applyBorder="1" applyAlignment="1" applyProtection="1">
      <alignment horizontal="left" vertical="top"/>
      <protection locked="0"/>
    </xf>
    <xf numFmtId="49" fontId="2" fillId="29" borderId="94" xfId="0" applyNumberFormat="1" applyFont="1" applyFill="1" applyBorder="1" applyAlignment="1" applyProtection="1">
      <alignment horizontal="left" vertical="top"/>
      <protection locked="0"/>
    </xf>
    <xf numFmtId="49" fontId="2" fillId="29" borderId="16" xfId="0" applyNumberFormat="1" applyFont="1" applyFill="1" applyBorder="1" applyAlignment="1" applyProtection="1">
      <alignment horizontal="left" vertical="top"/>
      <protection locked="0"/>
    </xf>
    <xf numFmtId="49" fontId="2" fillId="29" borderId="23" xfId="0" applyNumberFormat="1" applyFont="1" applyFill="1" applyBorder="1" applyAlignment="1" applyProtection="1">
      <alignment horizontal="left" vertical="top"/>
      <protection locked="0"/>
    </xf>
    <xf numFmtId="0" fontId="2" fillId="25" borderId="67" xfId="0" applyFont="1" applyFill="1" applyBorder="1" applyAlignment="1">
      <alignment horizontal="left" wrapText="1"/>
    </xf>
    <xf numFmtId="0" fontId="2" fillId="25" borderId="25" xfId="0" applyFont="1" applyFill="1" applyBorder="1" applyAlignment="1">
      <alignment horizontal="left" wrapText="1"/>
    </xf>
    <xf numFmtId="0" fontId="2" fillId="25" borderId="26" xfId="0" applyFont="1" applyFill="1" applyBorder="1" applyAlignment="1">
      <alignment horizontal="left" wrapText="1"/>
    </xf>
    <xf numFmtId="49" fontId="2" fillId="28" borderId="67" xfId="0" applyNumberFormat="1" applyFont="1" applyFill="1" applyBorder="1" applyAlignment="1" applyProtection="1">
      <alignment horizontal="left" vertical="top"/>
      <protection locked="0"/>
    </xf>
    <xf numFmtId="49" fontId="2" fillId="0" borderId="25" xfId="0" applyNumberFormat="1" applyFont="1" applyBorder="1" applyAlignment="1" applyProtection="1">
      <alignment horizontal="left" vertical="top"/>
      <protection locked="0"/>
    </xf>
    <xf numFmtId="49" fontId="2" fillId="0" borderId="26" xfId="0" applyNumberFormat="1" applyFont="1" applyBorder="1" applyAlignment="1" applyProtection="1">
      <alignment horizontal="left" vertical="top"/>
      <protection locked="0"/>
    </xf>
    <xf numFmtId="49" fontId="2" fillId="42" borderId="105" xfId="0" applyNumberFormat="1" applyFont="1" applyFill="1" applyBorder="1" applyAlignment="1" applyProtection="1">
      <alignment horizontal="left" vertical="top"/>
      <protection locked="0"/>
    </xf>
    <xf numFmtId="49" fontId="2" fillId="0" borderId="14" xfId="0" applyNumberFormat="1" applyFont="1" applyBorder="1" applyAlignment="1" applyProtection="1">
      <alignment horizontal="left" vertical="top"/>
      <protection locked="0"/>
    </xf>
    <xf numFmtId="49" fontId="2" fillId="0" borderId="19" xfId="0" applyNumberFormat="1" applyFont="1" applyBorder="1" applyAlignment="1" applyProtection="1">
      <alignment horizontal="left" vertical="top"/>
      <protection locked="0"/>
    </xf>
    <xf numFmtId="49" fontId="2" fillId="40" borderId="20" xfId="0" applyNumberFormat="1" applyFont="1" applyFill="1" applyBorder="1" applyAlignment="1">
      <alignment horizontal="left" vertical="top"/>
    </xf>
    <xf numFmtId="0" fontId="2" fillId="41" borderId="16" xfId="0" applyFont="1" applyFill="1" applyBorder="1" applyAlignment="1">
      <alignment vertical="top" wrapText="1"/>
    </xf>
    <xf numFmtId="0" fontId="80" fillId="51" borderId="105" xfId="0" applyFont="1" applyFill="1" applyBorder="1" applyAlignment="1">
      <alignment horizontal="left" vertical="top"/>
    </xf>
    <xf numFmtId="0" fontId="80" fillId="51" borderId="14" xfId="0" applyFont="1" applyFill="1" applyBorder="1" applyAlignment="1">
      <alignment horizontal="left" vertical="top"/>
    </xf>
    <xf numFmtId="0" fontId="80" fillId="51" borderId="19" xfId="0" applyFont="1" applyFill="1" applyBorder="1" applyAlignment="1">
      <alignment horizontal="left" vertical="top"/>
    </xf>
    <xf numFmtId="49" fontId="2" fillId="42" borderId="64" xfId="0" applyNumberFormat="1" applyFont="1" applyFill="1" applyBorder="1" applyAlignment="1" applyProtection="1">
      <alignment horizontal="left" vertical="top"/>
      <protection locked="0"/>
    </xf>
    <xf numFmtId="0" fontId="80" fillId="51" borderId="67" xfId="0" applyFont="1" applyFill="1" applyBorder="1" applyAlignment="1">
      <alignment horizontal="left" vertical="top"/>
    </xf>
    <xf numFmtId="0" fontId="80" fillId="51" borderId="25" xfId="0" applyFont="1" applyFill="1" applyBorder="1" applyAlignment="1">
      <alignment horizontal="left" vertical="top"/>
    </xf>
    <xf numFmtId="0" fontId="80" fillId="51" borderId="26" xfId="0" applyFont="1" applyFill="1" applyBorder="1" applyAlignment="1">
      <alignment horizontal="left" vertical="top"/>
    </xf>
    <xf numFmtId="0" fontId="37" fillId="42" borderId="94" xfId="0" applyFont="1" applyFill="1" applyBorder="1" applyAlignment="1" applyProtection="1">
      <alignment horizontal="left" vertical="top"/>
      <protection locked="0"/>
    </xf>
    <xf numFmtId="0" fontId="37" fillId="42" borderId="23" xfId="0" applyFont="1" applyFill="1" applyBorder="1" applyAlignment="1" applyProtection="1">
      <alignment horizontal="left" vertical="top"/>
      <protection locked="0"/>
    </xf>
    <xf numFmtId="0" fontId="37" fillId="42" borderId="106" xfId="0" applyFont="1" applyFill="1" applyBorder="1" applyAlignment="1" applyProtection="1">
      <alignment horizontal="left" vertical="top"/>
      <protection locked="0"/>
    </xf>
    <xf numFmtId="0" fontId="37" fillId="42" borderId="20" xfId="0" applyFont="1" applyFill="1" applyBorder="1" applyAlignment="1" applyProtection="1">
      <alignment horizontal="left" vertical="top"/>
      <protection locked="0"/>
    </xf>
    <xf numFmtId="0" fontId="37" fillId="42" borderId="15" xfId="0" applyFont="1" applyFill="1" applyBorder="1" applyAlignment="1" applyProtection="1">
      <alignment horizontal="left" vertical="top"/>
      <protection locked="0"/>
    </xf>
    <xf numFmtId="49" fontId="4" fillId="28" borderId="106" xfId="0" applyNumberFormat="1" applyFont="1" applyFill="1" applyBorder="1" applyAlignment="1" applyProtection="1">
      <alignment vertical="top"/>
      <protection locked="0"/>
    </xf>
    <xf numFmtId="49" fontId="4" fillId="28" borderId="20" xfId="0" applyNumberFormat="1" applyFont="1" applyFill="1" applyBorder="1" applyAlignment="1" applyProtection="1">
      <alignment vertical="top"/>
      <protection locked="0"/>
    </xf>
    <xf numFmtId="49" fontId="37" fillId="42" borderId="106" xfId="0" applyNumberFormat="1" applyFont="1" applyFill="1" applyBorder="1" applyAlignment="1" applyProtection="1">
      <alignment horizontal="left" vertical="top"/>
      <protection locked="0"/>
    </xf>
    <xf numFmtId="49" fontId="37" fillId="42" borderId="20" xfId="0" applyNumberFormat="1" applyFont="1" applyFill="1" applyBorder="1" applyAlignment="1" applyProtection="1">
      <alignment horizontal="left" vertical="top"/>
      <protection locked="0"/>
    </xf>
    <xf numFmtId="0" fontId="37" fillId="28" borderId="106" xfId="0" applyFont="1" applyFill="1" applyBorder="1" applyAlignment="1" applyProtection="1">
      <alignment vertical="top"/>
      <protection locked="0"/>
    </xf>
    <xf numFmtId="0" fontId="0" fillId="0" borderId="20" xfId="0" applyBorder="1" applyAlignment="1" applyProtection="1">
      <alignment vertical="top"/>
      <protection locked="0"/>
    </xf>
    <xf numFmtId="0" fontId="2" fillId="42" borderId="106" xfId="0" applyFont="1" applyFill="1" applyBorder="1" applyAlignment="1" applyProtection="1">
      <alignment horizontal="left" vertical="top"/>
      <protection locked="0"/>
    </xf>
    <xf numFmtId="0" fontId="0" fillId="0" borderId="23" xfId="0" applyBorder="1" applyAlignment="1" applyProtection="1">
      <alignment horizontal="left" vertical="top"/>
      <protection locked="0"/>
    </xf>
    <xf numFmtId="49" fontId="4" fillId="28" borderId="94" xfId="0" applyNumberFormat="1" applyFont="1" applyFill="1" applyBorder="1" applyAlignment="1" applyProtection="1">
      <alignment vertical="top"/>
      <protection locked="0"/>
    </xf>
    <xf numFmtId="49" fontId="4" fillId="28" borderId="23" xfId="0" applyNumberFormat="1" applyFont="1" applyFill="1" applyBorder="1" applyAlignment="1" applyProtection="1">
      <alignment vertical="top"/>
      <protection locked="0"/>
    </xf>
    <xf numFmtId="0" fontId="37" fillId="42" borderId="16" xfId="0" applyFont="1" applyFill="1" applyBorder="1" applyAlignment="1" applyProtection="1">
      <alignment horizontal="left" vertical="top"/>
      <protection locked="0"/>
    </xf>
    <xf numFmtId="0" fontId="2" fillId="42" borderId="94" xfId="0" applyFont="1" applyFill="1" applyBorder="1" applyAlignment="1" applyProtection="1">
      <alignment horizontal="left" vertical="top"/>
      <protection locked="0"/>
    </xf>
    <xf numFmtId="0" fontId="2" fillId="42" borderId="105" xfId="0" applyFont="1" applyFill="1" applyBorder="1" applyAlignment="1" applyProtection="1">
      <alignment horizontal="left" vertical="top"/>
      <protection locked="0"/>
    </xf>
    <xf numFmtId="0" fontId="37" fillId="42" borderId="14" xfId="0" applyFont="1" applyFill="1" applyBorder="1" applyAlignment="1" applyProtection="1">
      <alignment horizontal="left" vertical="top"/>
      <protection locked="0"/>
    </xf>
    <xf numFmtId="0" fontId="37" fillId="42" borderId="19" xfId="0" applyFont="1" applyFill="1" applyBorder="1" applyAlignment="1" applyProtection="1">
      <alignment horizontal="left" vertical="top"/>
      <protection locked="0"/>
    </xf>
    <xf numFmtId="0" fontId="37" fillId="42" borderId="105" xfId="0" applyFont="1" applyFill="1" applyBorder="1" applyAlignment="1" applyProtection="1">
      <alignment horizontal="left" vertical="top"/>
      <protection locked="0"/>
    </xf>
    <xf numFmtId="0" fontId="0" fillId="0" borderId="19" xfId="0" applyBorder="1" applyAlignment="1" applyProtection="1">
      <alignment horizontal="left" vertical="top"/>
      <protection locked="0"/>
    </xf>
    <xf numFmtId="0" fontId="37" fillId="28" borderId="94" xfId="0" applyFont="1" applyFill="1" applyBorder="1" applyAlignment="1" applyProtection="1">
      <alignment vertical="top"/>
      <protection locked="0"/>
    </xf>
    <xf numFmtId="0" fontId="0" fillId="0" borderId="23" xfId="0" applyBorder="1" applyAlignment="1" applyProtection="1">
      <alignment vertical="top"/>
      <protection locked="0"/>
    </xf>
    <xf numFmtId="0" fontId="0" fillId="0" borderId="20" xfId="0" applyBorder="1" applyAlignment="1" applyProtection="1">
      <alignment horizontal="left" vertical="top"/>
      <protection locked="0"/>
    </xf>
    <xf numFmtId="49" fontId="37" fillId="42" borderId="105" xfId="0" applyNumberFormat="1" applyFont="1" applyFill="1" applyBorder="1" applyAlignment="1" applyProtection="1">
      <alignment horizontal="left" vertical="top"/>
      <protection locked="0"/>
    </xf>
    <xf numFmtId="49" fontId="37" fillId="42" borderId="19" xfId="0" applyNumberFormat="1" applyFont="1" applyFill="1" applyBorder="1" applyAlignment="1" applyProtection="1">
      <alignment horizontal="left" vertical="top"/>
      <protection locked="0"/>
    </xf>
    <xf numFmtId="49" fontId="4" fillId="28" borderId="105" xfId="0" applyNumberFormat="1" applyFont="1" applyFill="1" applyBorder="1" applyAlignment="1" applyProtection="1">
      <alignment vertical="top"/>
      <protection locked="0"/>
    </xf>
    <xf numFmtId="49" fontId="4" fillId="28" borderId="19" xfId="0" applyNumberFormat="1" applyFont="1" applyFill="1" applyBorder="1" applyAlignment="1" applyProtection="1">
      <alignment vertical="top"/>
      <protection locked="0"/>
    </xf>
    <xf numFmtId="0" fontId="2" fillId="40" borderId="15" xfId="0" applyFont="1" applyFill="1" applyBorder="1" applyAlignment="1">
      <alignment vertical="top"/>
    </xf>
    <xf numFmtId="0" fontId="2" fillId="40" borderId="20" xfId="0" applyFont="1" applyFill="1" applyBorder="1" applyAlignment="1">
      <alignment vertical="top"/>
    </xf>
    <xf numFmtId="0" fontId="10" fillId="25" borderId="0" xfId="0" applyFont="1" applyFill="1" applyAlignment="1">
      <alignment horizontal="left" vertical="top" wrapText="1"/>
    </xf>
    <xf numFmtId="0" fontId="2" fillId="28" borderId="106" xfId="0" applyFont="1" applyFill="1" applyBorder="1" applyAlignment="1" applyProtection="1">
      <alignment vertical="top"/>
      <protection locked="0"/>
    </xf>
    <xf numFmtId="0" fontId="2" fillId="28" borderId="15" xfId="0" applyFont="1" applyFill="1" applyBorder="1" applyAlignment="1" applyProtection="1">
      <alignment vertical="top"/>
      <protection locked="0"/>
    </xf>
    <xf numFmtId="0" fontId="2" fillId="28" borderId="20" xfId="0" applyFont="1" applyFill="1" applyBorder="1" applyAlignment="1" applyProtection="1">
      <alignment vertical="top"/>
      <protection locked="0"/>
    </xf>
    <xf numFmtId="0" fontId="80" fillId="51" borderId="13" xfId="0" applyFont="1" applyFill="1" applyBorder="1" applyAlignment="1">
      <alignment horizontal="center" vertical="top"/>
    </xf>
    <xf numFmtId="49" fontId="2" fillId="45" borderId="13" xfId="0" applyNumberFormat="1" applyFont="1" applyFill="1" applyBorder="1" applyAlignment="1" applyProtection="1">
      <alignment horizontal="center" vertical="top"/>
      <protection locked="0"/>
    </xf>
    <xf numFmtId="0" fontId="2" fillId="52" borderId="106" xfId="0" applyFont="1" applyFill="1" applyBorder="1" applyAlignment="1">
      <alignment horizontal="left" vertical="top"/>
    </xf>
    <xf numFmtId="0" fontId="2" fillId="52" borderId="20" xfId="0" applyFont="1" applyFill="1" applyBorder="1" applyAlignment="1">
      <alignment horizontal="left" vertical="top"/>
    </xf>
    <xf numFmtId="0" fontId="2" fillId="52" borderId="106" xfId="0" applyFont="1" applyFill="1" applyBorder="1" applyAlignment="1">
      <alignment vertical="top"/>
    </xf>
    <xf numFmtId="0" fontId="0" fillId="52" borderId="15" xfId="0" applyFill="1" applyBorder="1" applyAlignment="1">
      <alignment vertical="top"/>
    </xf>
    <xf numFmtId="0" fontId="2" fillId="52" borderId="15" xfId="0" applyFont="1" applyFill="1" applyBorder="1" applyAlignment="1">
      <alignment horizontal="left" vertical="top"/>
    </xf>
    <xf numFmtId="0" fontId="0" fillId="52" borderId="20" xfId="0" applyFill="1" applyBorder="1" applyAlignment="1">
      <alignment horizontal="left" vertical="top"/>
    </xf>
    <xf numFmtId="0" fontId="37" fillId="28" borderId="67" xfId="0" applyFont="1" applyFill="1" applyBorder="1" applyAlignment="1" applyProtection="1">
      <alignment horizontal="left" vertical="top"/>
      <protection locked="0"/>
    </xf>
    <xf numFmtId="0" fontId="37" fillId="28" borderId="25" xfId="0" applyFont="1" applyFill="1" applyBorder="1" applyAlignment="1" applyProtection="1">
      <alignment horizontal="left" vertical="top"/>
      <protection locked="0"/>
    </xf>
    <xf numFmtId="0" fontId="37" fillId="28" borderId="26" xfId="0" applyFont="1" applyFill="1" applyBorder="1" applyAlignment="1" applyProtection="1">
      <alignment horizontal="left" vertical="top"/>
      <protection locked="0"/>
    </xf>
    <xf numFmtId="0" fontId="51" fillId="25" borderId="0" xfId="0" applyFont="1" applyFill="1" applyAlignment="1">
      <alignment horizontal="left" vertical="top" wrapText="1"/>
    </xf>
    <xf numFmtId="0" fontId="35" fillId="25" borderId="0" xfId="0" quotePrefix="1" applyFont="1" applyFill="1" applyAlignment="1">
      <alignment vertical="top" wrapText="1"/>
    </xf>
    <xf numFmtId="49" fontId="2" fillId="42" borderId="63" xfId="0" applyNumberFormat="1" applyFont="1" applyFill="1" applyBorder="1" applyAlignment="1" applyProtection="1">
      <alignment horizontal="left" vertical="top"/>
      <protection locked="0"/>
    </xf>
    <xf numFmtId="0" fontId="80" fillId="51" borderId="106" xfId="0" applyFont="1" applyFill="1" applyBorder="1" applyAlignment="1">
      <alignment horizontal="left" vertical="top"/>
    </xf>
    <xf numFmtId="0" fontId="80" fillId="51" borderId="15" xfId="0" applyFont="1" applyFill="1" applyBorder="1" applyAlignment="1">
      <alignment horizontal="left" vertical="top"/>
    </xf>
    <xf numFmtId="0" fontId="80" fillId="51" borderId="20" xfId="0" applyFont="1" applyFill="1" applyBorder="1" applyAlignment="1">
      <alignment horizontal="left" vertical="top"/>
    </xf>
    <xf numFmtId="0" fontId="2" fillId="25" borderId="13" xfId="0" applyFont="1" applyFill="1" applyBorder="1" applyAlignment="1">
      <alignment horizontal="left" vertical="top" wrapText="1"/>
    </xf>
    <xf numFmtId="0" fontId="2" fillId="25" borderId="67" xfId="0" applyFont="1" applyFill="1" applyBorder="1" applyAlignment="1">
      <alignment horizontal="left" vertical="top" wrapText="1"/>
    </xf>
    <xf numFmtId="49" fontId="2" fillId="40" borderId="23" xfId="0" applyNumberFormat="1" applyFont="1" applyFill="1" applyBorder="1" applyAlignment="1">
      <alignment horizontal="left" vertical="top"/>
    </xf>
    <xf numFmtId="0" fontId="2" fillId="51" borderId="13" xfId="0" applyFont="1" applyFill="1" applyBorder="1" applyAlignment="1">
      <alignment horizontal="center" vertical="top"/>
    </xf>
    <xf numFmtId="0" fontId="0" fillId="0" borderId="18" xfId="0" applyBorder="1" applyAlignment="1">
      <alignment vertical="center" wrapText="1"/>
    </xf>
    <xf numFmtId="0" fontId="41" fillId="25" borderId="0" xfId="0" applyFont="1" applyFill="1" applyAlignment="1">
      <alignment vertical="top" wrapText="1"/>
    </xf>
    <xf numFmtId="0" fontId="4" fillId="0" borderId="0" xfId="0" applyFont="1" applyAlignment="1">
      <alignment vertical="top" wrapText="1"/>
    </xf>
    <xf numFmtId="0" fontId="10" fillId="42" borderId="13" xfId="0" applyFont="1" applyFill="1" applyBorder="1" applyAlignment="1" applyProtection="1">
      <alignment horizontal="center" vertical="top" wrapText="1"/>
      <protection locked="0"/>
    </xf>
    <xf numFmtId="0" fontId="10" fillId="40" borderId="13" xfId="0" applyFont="1" applyFill="1" applyBorder="1" applyAlignment="1">
      <alignment horizontal="center" vertical="top" wrapText="1"/>
    </xf>
    <xf numFmtId="0" fontId="4" fillId="25" borderId="0" xfId="0" applyFont="1" applyFill="1" applyAlignment="1">
      <alignment horizontal="left" vertical="top" wrapText="1"/>
    </xf>
    <xf numFmtId="0" fontId="4" fillId="25" borderId="38" xfId="0" applyFont="1" applyFill="1" applyBorder="1" applyAlignment="1">
      <alignment horizontal="left" vertical="top" wrapText="1"/>
    </xf>
    <xf numFmtId="0" fontId="2" fillId="25" borderId="0" xfId="0" applyFont="1" applyFill="1" applyAlignment="1">
      <alignment vertical="top" wrapText="1"/>
    </xf>
    <xf numFmtId="0" fontId="39" fillId="46" borderId="96" xfId="78" applyFont="1" applyFill="1" applyBorder="1" applyAlignment="1" applyProtection="1">
      <alignment horizontal="center" vertical="top" wrapText="1"/>
    </xf>
    <xf numFmtId="0" fontId="6" fillId="46" borderId="150" xfId="78" applyFill="1" applyBorder="1" applyAlignment="1" applyProtection="1">
      <alignment horizontal="center" vertical="top" wrapText="1"/>
    </xf>
    <xf numFmtId="0" fontId="4" fillId="46" borderId="57" xfId="0" applyFont="1" applyFill="1" applyBorder="1" applyAlignment="1">
      <alignment horizontal="center" vertical="center" wrapText="1"/>
    </xf>
    <xf numFmtId="0" fontId="29" fillId="46" borderId="28" xfId="0" applyFont="1" applyFill="1" applyBorder="1" applyAlignment="1">
      <alignment horizontal="center" vertical="center" wrapText="1"/>
    </xf>
    <xf numFmtId="0" fontId="29" fillId="46" borderId="30" xfId="0" applyFont="1" applyFill="1" applyBorder="1" applyAlignment="1">
      <alignment horizontal="center" vertical="center" wrapText="1"/>
    </xf>
    <xf numFmtId="0" fontId="0" fillId="46" borderId="66" xfId="0" applyFill="1" applyBorder="1" applyAlignment="1">
      <alignment horizontal="center" vertical="center" wrapText="1"/>
    </xf>
    <xf numFmtId="0" fontId="0" fillId="46" borderId="0" xfId="0" applyFill="1" applyAlignment="1">
      <alignment horizontal="center" vertical="center" wrapText="1"/>
    </xf>
    <xf numFmtId="0" fontId="0" fillId="46" borderId="38" xfId="0" applyFill="1" applyBorder="1" applyAlignment="1">
      <alignment horizontal="center" vertical="center" wrapText="1"/>
    </xf>
    <xf numFmtId="0" fontId="0" fillId="46" borderId="65" xfId="0" applyFill="1" applyBorder="1" applyAlignment="1">
      <alignment horizontal="center" vertical="center" wrapText="1"/>
    </xf>
    <xf numFmtId="0" fontId="0" fillId="46" borderId="39" xfId="0" applyFill="1" applyBorder="1" applyAlignment="1">
      <alignment horizontal="center" vertical="center" wrapText="1"/>
    </xf>
    <xf numFmtId="0" fontId="0" fillId="46" borderId="40" xfId="0" applyFill="1" applyBorder="1" applyAlignment="1">
      <alignment horizontal="center" vertical="center" wrapText="1"/>
    </xf>
    <xf numFmtId="0" fontId="39" fillId="46" borderId="116" xfId="78" applyFont="1" applyFill="1" applyBorder="1" applyAlignment="1" applyProtection="1">
      <alignment horizontal="center" vertical="top" wrapText="1"/>
    </xf>
    <xf numFmtId="0" fontId="6" fillId="46" borderId="151" xfId="78" applyFill="1" applyBorder="1" applyAlignment="1" applyProtection="1">
      <alignment horizontal="center" vertical="top" wrapText="1"/>
    </xf>
    <xf numFmtId="0" fontId="6" fillId="46" borderId="83" xfId="78" applyFill="1" applyBorder="1" applyAlignment="1" applyProtection="1">
      <alignment horizontal="center" vertical="top" wrapText="1"/>
    </xf>
    <xf numFmtId="0" fontId="6" fillId="46" borderId="152" xfId="78" applyFill="1" applyBorder="1" applyAlignment="1" applyProtection="1">
      <alignment horizontal="center" vertical="top" wrapText="1"/>
    </xf>
    <xf numFmtId="0" fontId="80" fillId="52" borderId="67" xfId="0" applyFont="1" applyFill="1" applyBorder="1" applyAlignment="1">
      <alignment horizontal="left" vertical="top"/>
    </xf>
    <xf numFmtId="0" fontId="80" fillId="52" borderId="25" xfId="0" applyFont="1" applyFill="1" applyBorder="1" applyAlignment="1">
      <alignment horizontal="left" vertical="top"/>
    </xf>
    <xf numFmtId="0" fontId="80" fillId="52" borderId="26" xfId="0" applyFont="1" applyFill="1" applyBorder="1" applyAlignment="1">
      <alignment horizontal="left" vertical="top"/>
    </xf>
    <xf numFmtId="0" fontId="104" fillId="41" borderId="0" xfId="0" applyFont="1" applyFill="1" applyAlignment="1">
      <alignment vertical="top" wrapText="1"/>
    </xf>
    <xf numFmtId="0" fontId="2" fillId="0" borderId="0" xfId="0" applyFont="1" applyAlignment="1">
      <alignment vertical="top" wrapText="1"/>
    </xf>
    <xf numFmtId="0" fontId="9" fillId="28" borderId="114" xfId="0" applyFont="1" applyFill="1" applyBorder="1" applyAlignment="1" applyProtection="1">
      <alignment horizontal="center" vertical="center"/>
      <protection locked="0"/>
    </xf>
    <xf numFmtId="0" fontId="9" fillId="28" borderId="97" xfId="0" applyFont="1" applyFill="1" applyBorder="1" applyAlignment="1" applyProtection="1">
      <alignment horizontal="center" vertical="center"/>
      <protection locked="0"/>
    </xf>
    <xf numFmtId="0" fontId="9" fillId="28" borderId="96" xfId="0" applyFont="1" applyFill="1" applyBorder="1" applyAlignment="1" applyProtection="1">
      <alignment horizontal="center" vertical="center"/>
      <protection locked="0"/>
    </xf>
    <xf numFmtId="0" fontId="2" fillId="25" borderId="17" xfId="0" applyFont="1" applyFill="1" applyBorder="1" applyAlignment="1">
      <alignment vertical="top" wrapText="1"/>
    </xf>
    <xf numFmtId="0" fontId="0" fillId="0" borderId="17" xfId="0" applyBorder="1" applyAlignment="1">
      <alignment vertical="top" wrapText="1"/>
    </xf>
    <xf numFmtId="0" fontId="0" fillId="0" borderId="22" xfId="0" applyBorder="1" applyAlignment="1">
      <alignment vertical="top" wrapText="1"/>
    </xf>
    <xf numFmtId="49" fontId="2" fillId="29" borderId="105" xfId="0" applyNumberFormat="1" applyFont="1" applyFill="1" applyBorder="1" applyAlignment="1" applyProtection="1">
      <alignment horizontal="left" vertical="top"/>
      <protection locked="0"/>
    </xf>
    <xf numFmtId="49" fontId="2" fillId="29" borderId="14" xfId="0" applyNumberFormat="1" applyFont="1" applyFill="1" applyBorder="1" applyAlignment="1" applyProtection="1">
      <alignment horizontal="left" vertical="top"/>
      <protection locked="0"/>
    </xf>
    <xf numFmtId="49" fontId="2" fillId="29" borderId="19" xfId="0" applyNumberFormat="1" applyFont="1" applyFill="1" applyBorder="1" applyAlignment="1" applyProtection="1">
      <alignment horizontal="left" vertical="top"/>
      <protection locked="0"/>
    </xf>
    <xf numFmtId="0" fontId="8" fillId="25" borderId="12" xfId="0" applyFont="1" applyFill="1" applyBorder="1" applyAlignment="1">
      <alignment vertical="top" wrapText="1"/>
    </xf>
    <xf numFmtId="49" fontId="2" fillId="40" borderId="67" xfId="0" applyNumberFormat="1" applyFont="1" applyFill="1" applyBorder="1" applyAlignment="1">
      <alignment horizontal="left" vertical="top"/>
    </xf>
    <xf numFmtId="0" fontId="0" fillId="0" borderId="0" xfId="0" applyAlignment="1">
      <alignment wrapText="1"/>
    </xf>
    <xf numFmtId="0" fontId="80" fillId="51" borderId="105" xfId="0" applyFont="1" applyFill="1" applyBorder="1" applyAlignment="1">
      <alignment vertical="top"/>
    </xf>
    <xf numFmtId="0" fontId="80" fillId="51" borderId="14" xfId="0" applyFont="1" applyFill="1" applyBorder="1"/>
    <xf numFmtId="0" fontId="80" fillId="51" borderId="19" xfId="0" applyFont="1" applyFill="1" applyBorder="1"/>
    <xf numFmtId="0" fontId="2" fillId="28" borderId="94" xfId="0" applyFont="1" applyFill="1" applyBorder="1" applyAlignment="1" applyProtection="1">
      <alignment vertical="top"/>
      <protection locked="0"/>
    </xf>
    <xf numFmtId="0" fontId="2" fillId="28" borderId="16" xfId="0" applyFont="1" applyFill="1" applyBorder="1" applyAlignment="1" applyProtection="1">
      <alignment vertical="top"/>
      <protection locked="0"/>
    </xf>
    <xf numFmtId="0" fontId="2" fillId="28" borderId="23" xfId="0" applyFont="1" applyFill="1" applyBorder="1" applyAlignment="1" applyProtection="1">
      <alignment vertical="top"/>
      <protection locked="0"/>
    </xf>
    <xf numFmtId="0" fontId="80" fillId="51" borderId="94" xfId="0" applyFont="1" applyFill="1" applyBorder="1" applyAlignment="1">
      <alignment vertical="top"/>
    </xf>
    <xf numFmtId="0" fontId="80" fillId="51" borderId="16" xfId="0" applyFont="1" applyFill="1" applyBorder="1" applyAlignment="1">
      <alignment vertical="top"/>
    </xf>
    <xf numFmtId="0" fontId="80" fillId="51" borderId="23" xfId="0" applyFont="1" applyFill="1" applyBorder="1" applyAlignment="1">
      <alignment vertical="top"/>
    </xf>
    <xf numFmtId="0" fontId="2" fillId="28" borderId="105" xfId="0" applyFont="1" applyFill="1" applyBorder="1" applyAlignment="1" applyProtection="1">
      <alignment vertical="top"/>
      <protection locked="0"/>
    </xf>
    <xf numFmtId="0" fontId="2" fillId="0" borderId="14" xfId="0" applyFont="1" applyBorder="1" applyProtection="1">
      <protection locked="0"/>
    </xf>
    <xf numFmtId="0" fontId="2" fillId="0" borderId="19" xfId="0" applyFont="1" applyBorder="1" applyProtection="1">
      <protection locked="0"/>
    </xf>
    <xf numFmtId="0" fontId="62" fillId="25" borderId="0" xfId="0" applyFont="1" applyFill="1" applyAlignment="1">
      <alignment horizontal="left" vertical="top" wrapText="1"/>
    </xf>
    <xf numFmtId="0" fontId="73" fillId="46" borderId="149" xfId="78" applyFont="1" applyFill="1" applyBorder="1" applyAlignment="1" applyProtection="1">
      <alignment horizontal="center" vertical="center" wrapText="1"/>
    </xf>
    <xf numFmtId="0" fontId="73" fillId="46" borderId="108" xfId="78" applyFont="1" applyFill="1" applyBorder="1" applyAlignment="1" applyProtection="1">
      <alignment horizontal="center" vertical="center" wrapText="1"/>
    </xf>
    <xf numFmtId="0" fontId="73" fillId="46" borderId="116" xfId="78" applyFont="1" applyFill="1" applyBorder="1" applyAlignment="1" applyProtection="1">
      <alignment horizontal="center" vertical="center" wrapText="1"/>
    </xf>
    <xf numFmtId="0" fontId="2" fillId="25" borderId="23" xfId="0" applyFont="1" applyFill="1" applyBorder="1" applyAlignment="1">
      <alignment vertical="top" wrapText="1"/>
    </xf>
    <xf numFmtId="0" fontId="2" fillId="40" borderId="14" xfId="0" applyFont="1" applyFill="1" applyBorder="1"/>
    <xf numFmtId="0" fontId="2" fillId="40" borderId="19" xfId="0" applyFont="1" applyFill="1" applyBorder="1"/>
    <xf numFmtId="49" fontId="2" fillId="28" borderId="94" xfId="0" applyNumberFormat="1" applyFont="1" applyFill="1" applyBorder="1" applyAlignment="1" applyProtection="1">
      <alignment horizontal="left" vertical="top"/>
      <protection locked="0"/>
    </xf>
    <xf numFmtId="49" fontId="2" fillId="0" borderId="16" xfId="0" applyNumberFormat="1" applyFont="1" applyBorder="1" applyAlignment="1" applyProtection="1">
      <alignment horizontal="left" vertical="top"/>
      <protection locked="0"/>
    </xf>
    <xf numFmtId="49" fontId="2" fillId="0" borderId="23" xfId="0" applyNumberFormat="1" applyFont="1" applyBorder="1" applyAlignment="1" applyProtection="1">
      <alignment horizontal="left" vertical="top"/>
      <protection locked="0"/>
    </xf>
    <xf numFmtId="0" fontId="8" fillId="25" borderId="0" xfId="0" applyFont="1" applyFill="1" applyAlignment="1">
      <alignment vertical="top" wrapText="1"/>
    </xf>
    <xf numFmtId="0" fontId="80" fillId="51" borderId="94" xfId="0" applyFont="1" applyFill="1" applyBorder="1" applyAlignment="1">
      <alignment horizontal="left" vertical="top"/>
    </xf>
    <xf numFmtId="0" fontId="80" fillId="51" borderId="16" xfId="0" applyFont="1" applyFill="1" applyBorder="1" applyAlignment="1">
      <alignment horizontal="left" vertical="top"/>
    </xf>
    <xf numFmtId="0" fontId="80" fillId="51" borderId="23" xfId="0" applyFont="1" applyFill="1" applyBorder="1" applyAlignment="1">
      <alignment horizontal="left" vertical="top"/>
    </xf>
    <xf numFmtId="0" fontId="2" fillId="40" borderId="13" xfId="0" applyFont="1" applyFill="1" applyBorder="1" applyAlignment="1">
      <alignment horizontal="center" vertical="top"/>
    </xf>
    <xf numFmtId="0" fontId="37" fillId="28" borderId="105" xfId="0" applyFont="1" applyFill="1" applyBorder="1" applyAlignment="1" applyProtection="1">
      <alignment vertical="top"/>
      <protection locked="0"/>
    </xf>
    <xf numFmtId="0" fontId="0" fillId="0" borderId="19" xfId="0" applyBorder="1" applyAlignment="1" applyProtection="1">
      <alignment vertical="top"/>
      <protection locked="0"/>
    </xf>
    <xf numFmtId="0" fontId="2" fillId="52" borderId="105" xfId="0" applyFont="1" applyFill="1" applyBorder="1" applyAlignment="1">
      <alignment horizontal="left" vertical="top"/>
    </xf>
    <xf numFmtId="0" fontId="2" fillId="52" borderId="14" xfId="0" applyFont="1" applyFill="1" applyBorder="1" applyAlignment="1">
      <alignment horizontal="left" vertical="top"/>
    </xf>
    <xf numFmtId="0" fontId="2" fillId="52" borderId="19" xfId="0" applyFont="1" applyFill="1" applyBorder="1" applyAlignment="1">
      <alignment horizontal="left" vertical="top"/>
    </xf>
    <xf numFmtId="0" fontId="2" fillId="40" borderId="16" xfId="0" applyFont="1" applyFill="1" applyBorder="1" applyAlignment="1">
      <alignment vertical="top"/>
    </xf>
    <xf numFmtId="0" fontId="2" fillId="40" borderId="23" xfId="0" applyFont="1" applyFill="1" applyBorder="1" applyAlignment="1">
      <alignment vertical="top"/>
    </xf>
    <xf numFmtId="0" fontId="0" fillId="52" borderId="19" xfId="0" applyFill="1" applyBorder="1" applyAlignment="1">
      <alignment horizontal="left" vertical="top"/>
    </xf>
    <xf numFmtId="0" fontId="2" fillId="25" borderId="0" xfId="0" applyFont="1" applyFill="1" applyAlignment="1">
      <alignment horizontal="left" vertical="top" wrapText="1"/>
    </xf>
    <xf numFmtId="0" fontId="2" fillId="25" borderId="18" xfId="0" applyFont="1" applyFill="1" applyBorder="1" applyAlignment="1">
      <alignment horizontal="left" vertical="top" wrapText="1"/>
    </xf>
    <xf numFmtId="49" fontId="2" fillId="28" borderId="13" xfId="0" applyNumberFormat="1" applyFont="1" applyFill="1" applyBorder="1" applyAlignment="1" applyProtection="1">
      <alignment horizontal="center" vertical="top"/>
      <protection locked="0"/>
    </xf>
    <xf numFmtId="0" fontId="37" fillId="40" borderId="67" xfId="0" applyFont="1" applyFill="1" applyBorder="1" applyAlignment="1">
      <alignment horizontal="left" vertical="top"/>
    </xf>
    <xf numFmtId="0" fontId="37" fillId="40" borderId="25" xfId="0" applyFont="1" applyFill="1" applyBorder="1" applyAlignment="1">
      <alignment horizontal="left" vertical="top"/>
    </xf>
    <xf numFmtId="0" fontId="37" fillId="40" borderId="26" xfId="0" applyFont="1" applyFill="1" applyBorder="1" applyAlignment="1">
      <alignment horizontal="left" vertical="top"/>
    </xf>
    <xf numFmtId="49" fontId="2" fillId="40" borderId="121" xfId="0" applyNumberFormat="1" applyFont="1" applyFill="1" applyBorder="1" applyAlignment="1">
      <alignment horizontal="left" vertical="top"/>
    </xf>
    <xf numFmtId="49" fontId="2" fillId="40" borderId="17" xfId="0" applyNumberFormat="1" applyFont="1" applyFill="1" applyBorder="1" applyAlignment="1">
      <alignment horizontal="left" vertical="top"/>
    </xf>
    <xf numFmtId="49" fontId="2" fillId="40" borderId="22" xfId="0" applyNumberFormat="1" applyFont="1" applyFill="1" applyBorder="1" applyAlignment="1">
      <alignment horizontal="left" vertical="top"/>
    </xf>
    <xf numFmtId="0" fontId="69" fillId="25" borderId="0" xfId="78" applyFont="1" applyFill="1" applyAlignment="1" applyProtection="1">
      <alignment vertical="center" wrapText="1"/>
    </xf>
    <xf numFmtId="0" fontId="5" fillId="0" borderId="0" xfId="0" applyFont="1" applyAlignment="1">
      <alignment vertical="center" wrapText="1"/>
    </xf>
    <xf numFmtId="49" fontId="2" fillId="42" borderId="62" xfId="0" applyNumberFormat="1" applyFont="1" applyFill="1" applyBorder="1" applyAlignment="1" applyProtection="1">
      <alignment horizontal="left" vertical="top"/>
      <protection locked="0"/>
    </xf>
    <xf numFmtId="49" fontId="2" fillId="42" borderId="13" xfId="0" applyNumberFormat="1" applyFont="1" applyFill="1" applyBorder="1" applyAlignment="1" applyProtection="1">
      <alignment horizontal="left" vertical="top"/>
      <protection locked="0"/>
    </xf>
    <xf numFmtId="49" fontId="2" fillId="0" borderId="13" xfId="0" applyNumberFormat="1" applyFont="1" applyBorder="1" applyAlignment="1" applyProtection="1">
      <alignment horizontal="left" vertical="top"/>
      <protection locked="0"/>
    </xf>
    <xf numFmtId="0" fontId="2" fillId="25" borderId="13" xfId="0" applyFont="1" applyFill="1" applyBorder="1" applyAlignment="1">
      <alignment vertical="top" wrapText="1"/>
    </xf>
    <xf numFmtId="0" fontId="0" fillId="0" borderId="13" xfId="0" applyBorder="1" applyAlignment="1">
      <alignment vertical="top" wrapText="1"/>
    </xf>
    <xf numFmtId="49" fontId="2" fillId="29" borderId="106" xfId="0" applyNumberFormat="1" applyFont="1" applyFill="1" applyBorder="1" applyAlignment="1" applyProtection="1">
      <alignment horizontal="left" vertical="top"/>
      <protection locked="0"/>
    </xf>
    <xf numFmtId="49" fontId="2" fillId="29" borderId="15" xfId="0" applyNumberFormat="1" applyFont="1" applyFill="1" applyBorder="1" applyAlignment="1" applyProtection="1">
      <alignment horizontal="left" vertical="top"/>
      <protection locked="0"/>
    </xf>
    <xf numFmtId="49" fontId="2" fillId="29" borderId="20" xfId="0" applyNumberFormat="1" applyFont="1" applyFill="1" applyBorder="1" applyAlignment="1" applyProtection="1">
      <alignment horizontal="left" vertical="top"/>
      <protection locked="0"/>
    </xf>
    <xf numFmtId="0" fontId="10" fillId="41" borderId="139" xfId="0" applyFont="1" applyFill="1" applyBorder="1" applyAlignment="1">
      <alignment vertical="top" wrapText="1"/>
    </xf>
    <xf numFmtId="0" fontId="0" fillId="0" borderId="139" xfId="0" applyBorder="1" applyAlignment="1">
      <alignment vertical="top" wrapText="1"/>
    </xf>
    <xf numFmtId="0" fontId="10" fillId="41" borderId="17" xfId="0" applyFont="1" applyFill="1" applyBorder="1" applyAlignment="1">
      <alignment vertical="top" wrapText="1"/>
    </xf>
    <xf numFmtId="0" fontId="10" fillId="41" borderId="15" xfId="0" applyFont="1" applyFill="1" applyBorder="1" applyAlignment="1">
      <alignment vertical="top" wrapText="1"/>
    </xf>
    <xf numFmtId="0" fontId="2" fillId="52" borderId="105" xfId="0" applyFont="1" applyFill="1" applyBorder="1" applyAlignment="1">
      <alignment vertical="top"/>
    </xf>
    <xf numFmtId="0" fontId="0" fillId="52" borderId="14" xfId="0" applyFill="1" applyBorder="1" applyAlignment="1">
      <alignment vertical="top"/>
    </xf>
    <xf numFmtId="0" fontId="2" fillId="52" borderId="94" xfId="0" applyFont="1" applyFill="1" applyBorder="1" applyAlignment="1">
      <alignment horizontal="left" vertical="top"/>
    </xf>
    <xf numFmtId="0" fontId="2" fillId="52" borderId="16" xfId="0" applyFont="1" applyFill="1" applyBorder="1" applyAlignment="1">
      <alignment horizontal="left" vertical="top"/>
    </xf>
    <xf numFmtId="0" fontId="2" fillId="52" borderId="23" xfId="0" applyFont="1" applyFill="1" applyBorder="1" applyAlignment="1">
      <alignment horizontal="left" vertical="top"/>
    </xf>
    <xf numFmtId="0" fontId="0" fillId="52" borderId="23" xfId="0" applyFill="1" applyBorder="1" applyAlignment="1">
      <alignment horizontal="left" vertical="top"/>
    </xf>
    <xf numFmtId="0" fontId="2" fillId="52" borderId="94" xfId="0" applyFont="1" applyFill="1" applyBorder="1" applyAlignment="1">
      <alignment vertical="top"/>
    </xf>
    <xf numFmtId="0" fontId="0" fillId="52" borderId="16" xfId="0" applyFill="1" applyBorder="1" applyAlignment="1">
      <alignment vertical="top"/>
    </xf>
    <xf numFmtId="0" fontId="2" fillId="28" borderId="26" xfId="0" applyFont="1" applyFill="1" applyBorder="1" applyAlignment="1" applyProtection="1">
      <alignment horizontal="center" vertical="top"/>
      <protection locked="0"/>
    </xf>
    <xf numFmtId="0" fontId="2" fillId="28" borderId="13" xfId="0" applyFont="1" applyFill="1" applyBorder="1" applyAlignment="1" applyProtection="1">
      <alignment horizontal="center" vertical="top"/>
      <protection locked="0"/>
    </xf>
    <xf numFmtId="0" fontId="0" fillId="41" borderId="26" xfId="0" applyFill="1" applyBorder="1" applyAlignment="1">
      <alignment horizontal="center"/>
    </xf>
    <xf numFmtId="0" fontId="0" fillId="41" borderId="13" xfId="0" applyFill="1" applyBorder="1" applyAlignment="1">
      <alignment horizontal="center"/>
    </xf>
    <xf numFmtId="49" fontId="4" fillId="52" borderId="106" xfId="0" applyNumberFormat="1" applyFont="1" applyFill="1" applyBorder="1" applyAlignment="1">
      <alignment vertical="top"/>
    </xf>
    <xf numFmtId="49" fontId="4" fillId="52" borderId="20" xfId="0" applyNumberFormat="1" applyFont="1" applyFill="1" applyBorder="1" applyAlignment="1">
      <alignment vertical="top"/>
    </xf>
    <xf numFmtId="49" fontId="2" fillId="52" borderId="106" xfId="0" applyNumberFormat="1" applyFont="1" applyFill="1" applyBorder="1" applyAlignment="1">
      <alignment horizontal="left" vertical="top"/>
    </xf>
    <xf numFmtId="49" fontId="2" fillId="52" borderId="15" xfId="0" applyNumberFormat="1" applyFont="1" applyFill="1" applyBorder="1" applyAlignment="1">
      <alignment horizontal="left" vertical="top"/>
    </xf>
    <xf numFmtId="0" fontId="4" fillId="52" borderId="105" xfId="0" applyFont="1" applyFill="1" applyBorder="1" applyAlignment="1">
      <alignment vertical="top"/>
    </xf>
    <xf numFmtId="0" fontId="4" fillId="52" borderId="19" xfId="0" applyFont="1" applyFill="1" applyBorder="1" applyAlignment="1">
      <alignment vertical="top"/>
    </xf>
    <xf numFmtId="49" fontId="4" fillId="52" borderId="94" xfId="0" applyNumberFormat="1" applyFont="1" applyFill="1" applyBorder="1" applyAlignment="1">
      <alignment vertical="top"/>
    </xf>
    <xf numFmtId="49" fontId="4" fillId="52" borderId="23" xfId="0" applyNumberFormat="1" applyFont="1" applyFill="1" applyBorder="1" applyAlignment="1">
      <alignment vertical="top"/>
    </xf>
    <xf numFmtId="49" fontId="2" fillId="52" borderId="94" xfId="0" applyNumberFormat="1" applyFont="1" applyFill="1" applyBorder="1" applyAlignment="1">
      <alignment horizontal="left" vertical="top"/>
    </xf>
    <xf numFmtId="49" fontId="2" fillId="52" borderId="16" xfId="0" applyNumberFormat="1" applyFont="1" applyFill="1" applyBorder="1" applyAlignment="1">
      <alignment horizontal="left" vertical="top"/>
    </xf>
    <xf numFmtId="0" fontId="4" fillId="0" borderId="0" xfId="0" applyFont="1" applyAlignment="1">
      <alignment horizontal="left" vertical="top" wrapText="1"/>
    </xf>
    <xf numFmtId="0" fontId="4" fillId="25" borderId="99" xfId="0" applyFont="1" applyFill="1" applyBorder="1" applyAlignment="1">
      <alignment wrapText="1"/>
    </xf>
    <xf numFmtId="0" fontId="0" fillId="0" borderId="18" xfId="0" applyBorder="1" applyAlignment="1">
      <alignment wrapText="1"/>
    </xf>
    <xf numFmtId="49" fontId="37" fillId="42" borderId="94" xfId="0" applyNumberFormat="1" applyFont="1" applyFill="1" applyBorder="1" applyAlignment="1" applyProtection="1">
      <alignment horizontal="left" vertical="top"/>
      <protection locked="0"/>
    </xf>
    <xf numFmtId="49" fontId="37" fillId="42" borderId="23" xfId="0" applyNumberFormat="1" applyFont="1" applyFill="1" applyBorder="1" applyAlignment="1" applyProtection="1">
      <alignment horizontal="left" vertical="top"/>
      <protection locked="0"/>
    </xf>
    <xf numFmtId="0" fontId="80" fillId="51" borderId="105" xfId="0" applyFont="1" applyFill="1" applyBorder="1" applyAlignment="1">
      <alignment horizontal="left"/>
    </xf>
    <xf numFmtId="0" fontId="80" fillId="51" borderId="14" xfId="0" applyFont="1" applyFill="1" applyBorder="1" applyAlignment="1">
      <alignment horizontal="left"/>
    </xf>
    <xf numFmtId="0" fontId="80" fillId="51" borderId="19" xfId="0" applyFont="1" applyFill="1" applyBorder="1" applyAlignment="1">
      <alignment horizontal="left"/>
    </xf>
    <xf numFmtId="0" fontId="37" fillId="40" borderId="106" xfId="0" applyFont="1" applyFill="1" applyBorder="1" applyAlignment="1">
      <alignment horizontal="left"/>
    </xf>
    <xf numFmtId="0" fontId="0" fillId="0" borderId="15" xfId="0" applyBorder="1" applyAlignment="1">
      <alignment horizontal="left"/>
    </xf>
    <xf numFmtId="0" fontId="0" fillId="0" borderId="20" xfId="0" applyBorder="1" applyAlignment="1">
      <alignment horizontal="left"/>
    </xf>
    <xf numFmtId="0" fontId="37" fillId="25" borderId="106" xfId="0" applyFont="1" applyFill="1" applyBorder="1" applyAlignment="1">
      <alignment horizontal="left" wrapText="1"/>
    </xf>
    <xf numFmtId="0" fontId="0" fillId="0" borderId="15" xfId="0" applyBorder="1" applyAlignment="1">
      <alignment horizontal="left" wrapText="1"/>
    </xf>
    <xf numFmtId="0" fontId="0" fillId="0" borderId="20" xfId="0" applyBorder="1" applyAlignment="1">
      <alignment horizontal="left" wrapText="1"/>
    </xf>
    <xf numFmtId="0" fontId="37" fillId="40" borderId="106" xfId="0" applyFont="1" applyFill="1" applyBorder="1" applyAlignment="1">
      <alignment horizontal="left" wrapText="1"/>
    </xf>
    <xf numFmtId="0" fontId="37" fillId="40" borderId="105" xfId="0" applyFont="1" applyFill="1" applyBorder="1" applyAlignment="1">
      <alignment horizontal="left"/>
    </xf>
    <xf numFmtId="0" fontId="37" fillId="40" borderId="14" xfId="0" applyFont="1" applyFill="1" applyBorder="1" applyAlignment="1">
      <alignment horizontal="left"/>
    </xf>
    <xf numFmtId="0" fontId="37" fillId="40" borderId="19" xfId="0" applyFont="1" applyFill="1" applyBorder="1" applyAlignment="1">
      <alignment horizontal="left"/>
    </xf>
    <xf numFmtId="0" fontId="37" fillId="25" borderId="94" xfId="0" applyFont="1" applyFill="1" applyBorder="1" applyAlignment="1">
      <alignment horizontal="left" wrapText="1"/>
    </xf>
    <xf numFmtId="0" fontId="0" fillId="0" borderId="16" xfId="0" applyBorder="1" applyAlignment="1">
      <alignment horizontal="left" wrapText="1"/>
    </xf>
    <xf numFmtId="0" fontId="0" fillId="0" borderId="23" xfId="0" applyBorder="1" applyAlignment="1">
      <alignment horizontal="left" wrapText="1"/>
    </xf>
    <xf numFmtId="0" fontId="4" fillId="25" borderId="99" xfId="0" applyFont="1" applyFill="1" applyBorder="1" applyAlignment="1">
      <alignment horizontal="left" wrapText="1"/>
    </xf>
    <xf numFmtId="0" fontId="4" fillId="25" borderId="0" xfId="0" applyFont="1" applyFill="1" applyAlignment="1">
      <alignment horizontal="left" wrapText="1"/>
    </xf>
    <xf numFmtId="0" fontId="4" fillId="25" borderId="18" xfId="0" applyFont="1" applyFill="1" applyBorder="1" applyAlignment="1">
      <alignment horizontal="left" wrapText="1"/>
    </xf>
    <xf numFmtId="0" fontId="37" fillId="25" borderId="106" xfId="0" applyFont="1" applyFill="1" applyBorder="1" applyAlignment="1">
      <alignment horizontal="left"/>
    </xf>
    <xf numFmtId="0" fontId="37" fillId="25" borderId="94" xfId="0" applyFont="1" applyFill="1" applyBorder="1" applyAlignment="1">
      <alignment horizontal="left"/>
    </xf>
    <xf numFmtId="0" fontId="0" fillId="0" borderId="16" xfId="0" applyBorder="1" applyAlignment="1">
      <alignment horizontal="left"/>
    </xf>
    <xf numFmtId="0" fontId="0" fillId="0" borderId="23" xfId="0" applyBorder="1" applyAlignment="1">
      <alignment horizontal="left"/>
    </xf>
    <xf numFmtId="0" fontId="37" fillId="40" borderId="94" xfId="0" applyFont="1" applyFill="1" applyBorder="1" applyAlignment="1">
      <alignment horizontal="left"/>
    </xf>
    <xf numFmtId="0" fontId="37" fillId="25" borderId="105" xfId="0" applyFont="1" applyFill="1" applyBorder="1" applyAlignment="1">
      <alignment horizontal="left"/>
    </xf>
    <xf numFmtId="0" fontId="0" fillId="0" borderId="14" xfId="0" applyBorder="1" applyAlignment="1">
      <alignment horizontal="left"/>
    </xf>
    <xf numFmtId="0" fontId="0" fillId="0" borderId="19" xfId="0" applyBorder="1" applyAlignment="1">
      <alignment horizontal="left"/>
    </xf>
    <xf numFmtId="0" fontId="41" fillId="25" borderId="139" xfId="0" applyFont="1" applyFill="1" applyBorder="1" applyAlignment="1">
      <alignment horizontal="left" vertical="top" wrapText="1"/>
    </xf>
    <xf numFmtId="0" fontId="37" fillId="40" borderId="105" xfId="0" applyFont="1" applyFill="1" applyBorder="1" applyAlignment="1">
      <alignment horizontal="left" wrapText="1"/>
    </xf>
    <xf numFmtId="0" fontId="37" fillId="40" borderId="14" xfId="0" applyFont="1" applyFill="1" applyBorder="1" applyAlignment="1">
      <alignment horizontal="left" wrapText="1"/>
    </xf>
    <xf numFmtId="0" fontId="0" fillId="0" borderId="19" xfId="0" applyBorder="1" applyAlignment="1">
      <alignment horizontal="left" wrapText="1"/>
    </xf>
    <xf numFmtId="0" fontId="4" fillId="25" borderId="78" xfId="0" applyFont="1" applyFill="1" applyBorder="1" applyAlignment="1">
      <alignment horizontal="left" wrapText="1"/>
    </xf>
    <xf numFmtId="0" fontId="4" fillId="25" borderId="12" xfId="0" applyFont="1" applyFill="1" applyBorder="1" applyAlignment="1">
      <alignment horizontal="left" wrapText="1"/>
    </xf>
    <xf numFmtId="0" fontId="4" fillId="25" borderId="24" xfId="0" applyFont="1" applyFill="1" applyBorder="1" applyAlignment="1">
      <alignment horizontal="left" wrapText="1"/>
    </xf>
    <xf numFmtId="0" fontId="40" fillId="27" borderId="67" xfId="0" applyFont="1" applyFill="1" applyBorder="1" applyAlignment="1">
      <alignment vertical="top" wrapText="1"/>
    </xf>
    <xf numFmtId="0" fontId="40" fillId="0" borderId="25" xfId="0" applyFont="1" applyBorder="1" applyAlignment="1">
      <alignment vertical="top" wrapText="1"/>
    </xf>
    <xf numFmtId="0" fontId="40" fillId="0" borderId="26" xfId="0" applyFont="1" applyBorder="1" applyAlignment="1">
      <alignment vertical="top" wrapText="1"/>
    </xf>
    <xf numFmtId="0" fontId="80" fillId="51" borderId="106" xfId="0" applyFont="1" applyFill="1" applyBorder="1" applyAlignment="1">
      <alignment horizontal="left" wrapText="1"/>
    </xf>
    <xf numFmtId="0" fontId="80" fillId="51" borderId="20" xfId="0" applyFont="1" applyFill="1" applyBorder="1" applyAlignment="1">
      <alignment horizontal="left" wrapText="1"/>
    </xf>
    <xf numFmtId="0" fontId="10" fillId="25" borderId="17" xfId="0" applyFont="1" applyFill="1" applyBorder="1" applyAlignment="1">
      <alignment vertical="top" wrapText="1"/>
    </xf>
    <xf numFmtId="0" fontId="10" fillId="41" borderId="17" xfId="0" applyFont="1" applyFill="1" applyBorder="1" applyAlignment="1">
      <alignment horizontal="left" vertical="top" wrapText="1"/>
    </xf>
    <xf numFmtId="0" fontId="37" fillId="28" borderId="106" xfId="0" applyFont="1" applyFill="1" applyBorder="1" applyAlignment="1" applyProtection="1">
      <alignment horizontal="left" wrapText="1"/>
      <protection locked="0"/>
    </xf>
    <xf numFmtId="0" fontId="0" fillId="0" borderId="34" xfId="0" applyBorder="1" applyAlignment="1" applyProtection="1">
      <alignment horizontal="left" wrapText="1"/>
      <protection locked="0"/>
    </xf>
    <xf numFmtId="0" fontId="6" fillId="46" borderId="163" xfId="78" applyFill="1" applyBorder="1" applyAlignment="1" applyProtection="1">
      <alignment horizontal="center" vertical="top" wrapText="1"/>
    </xf>
    <xf numFmtId="0" fontId="6" fillId="46" borderId="164" xfId="78" applyFill="1" applyBorder="1" applyAlignment="1" applyProtection="1">
      <alignment horizontal="center" vertical="top" wrapText="1"/>
    </xf>
    <xf numFmtId="0" fontId="6" fillId="46" borderId="157" xfId="78" applyFill="1" applyBorder="1" applyAlignment="1" applyProtection="1">
      <alignment horizontal="center" vertical="top" wrapText="1"/>
    </xf>
    <xf numFmtId="0" fontId="6" fillId="46" borderId="158" xfId="78" applyFill="1" applyBorder="1" applyAlignment="1" applyProtection="1">
      <alignment horizontal="center" vertical="top" wrapText="1"/>
    </xf>
    <xf numFmtId="0" fontId="80" fillId="51" borderId="105" xfId="0" applyFont="1" applyFill="1" applyBorder="1" applyAlignment="1">
      <alignment horizontal="left" wrapText="1"/>
    </xf>
    <xf numFmtId="0" fontId="80" fillId="51" borderId="19" xfId="0" applyFont="1" applyFill="1" applyBorder="1" applyAlignment="1">
      <alignment horizontal="left" wrapText="1"/>
    </xf>
    <xf numFmtId="0" fontId="0" fillId="0" borderId="34" xfId="0" applyBorder="1" applyAlignment="1">
      <alignment horizontal="left"/>
    </xf>
    <xf numFmtId="0" fontId="0" fillId="0" borderId="24" xfId="0" applyBorder="1" applyAlignment="1">
      <alignment horizontal="left" wrapText="1"/>
    </xf>
    <xf numFmtId="0" fontId="4" fillId="41" borderId="88" xfId="0" applyFont="1" applyFill="1" applyBorder="1" applyAlignment="1">
      <alignment horizontal="center" wrapText="1"/>
    </xf>
    <xf numFmtId="0" fontId="4" fillId="25" borderId="11" xfId="0" applyFont="1" applyFill="1" applyBorder="1" applyAlignment="1">
      <alignment horizontal="center" wrapText="1"/>
    </xf>
    <xf numFmtId="0" fontId="40" fillId="27" borderId="78" xfId="0" applyFont="1" applyFill="1" applyBorder="1" applyAlignment="1">
      <alignment horizontal="left" vertical="top"/>
    </xf>
    <xf numFmtId="0" fontId="40" fillId="27" borderId="12" xfId="0" applyFont="1" applyFill="1" applyBorder="1" applyAlignment="1">
      <alignment horizontal="left" vertical="top"/>
    </xf>
    <xf numFmtId="0" fontId="40" fillId="27" borderId="24" xfId="0" applyFont="1" applyFill="1" applyBorder="1" applyAlignment="1">
      <alignment horizontal="left" vertical="top"/>
    </xf>
    <xf numFmtId="0" fontId="54" fillId="25" borderId="78" xfId="0" applyFont="1" applyFill="1" applyBorder="1" applyAlignment="1">
      <alignment horizontal="left" wrapText="1"/>
    </xf>
    <xf numFmtId="0" fontId="54" fillId="25" borderId="154" xfId="0" applyFont="1" applyFill="1" applyBorder="1" applyAlignment="1">
      <alignment horizontal="left" wrapText="1"/>
    </xf>
    <xf numFmtId="0" fontId="4" fillId="25" borderId="154" xfId="0" applyFont="1" applyFill="1" applyBorder="1" applyAlignment="1">
      <alignment horizontal="left" wrapText="1"/>
    </xf>
    <xf numFmtId="0" fontId="80" fillId="51" borderId="94" xfId="0" applyFont="1" applyFill="1" applyBorder="1" applyAlignment="1">
      <alignment horizontal="left" wrapText="1"/>
    </xf>
    <xf numFmtId="0" fontId="80" fillId="51" borderId="23" xfId="0" applyFont="1" applyFill="1" applyBorder="1" applyAlignment="1">
      <alignment horizontal="left" wrapText="1"/>
    </xf>
    <xf numFmtId="0" fontId="37" fillId="28" borderId="94" xfId="0" applyFont="1" applyFill="1" applyBorder="1" applyAlignment="1" applyProtection="1">
      <alignment horizontal="left" wrapText="1"/>
      <protection locked="0"/>
    </xf>
    <xf numFmtId="0" fontId="0" fillId="0" borderId="140" xfId="0" applyBorder="1" applyAlignment="1" applyProtection="1">
      <alignment horizontal="left" wrapText="1"/>
      <protection locked="0"/>
    </xf>
    <xf numFmtId="0" fontId="80" fillId="51" borderId="106" xfId="0" applyFont="1" applyFill="1" applyBorder="1" applyAlignment="1">
      <alignment horizontal="left"/>
    </xf>
    <xf numFmtId="0" fontId="80" fillId="51" borderId="15" xfId="0" applyFont="1" applyFill="1" applyBorder="1" applyAlignment="1">
      <alignment horizontal="left"/>
    </xf>
    <xf numFmtId="0" fontId="37" fillId="28" borderId="105" xfId="0" applyFont="1" applyFill="1" applyBorder="1" applyAlignment="1" applyProtection="1">
      <alignment horizontal="left" wrapText="1"/>
      <protection locked="0"/>
    </xf>
    <xf numFmtId="0" fontId="37" fillId="28" borderId="32" xfId="0" applyFont="1" applyFill="1" applyBorder="1" applyAlignment="1" applyProtection="1">
      <alignment horizontal="left" wrapText="1"/>
      <protection locked="0"/>
    </xf>
    <xf numFmtId="0" fontId="41" fillId="41" borderId="0" xfId="0" applyFont="1" applyFill="1" applyAlignment="1">
      <alignment horizontal="left" vertical="center" wrapText="1"/>
    </xf>
    <xf numFmtId="0" fontId="37" fillId="40" borderId="94" xfId="0" applyFont="1" applyFill="1" applyBorder="1" applyAlignment="1">
      <alignment horizontal="left" wrapText="1"/>
    </xf>
    <xf numFmtId="0" fontId="37" fillId="25" borderId="105" xfId="0" applyFont="1" applyFill="1" applyBorder="1" applyAlignment="1">
      <alignment horizontal="left" wrapText="1"/>
    </xf>
    <xf numFmtId="0" fontId="37" fillId="25" borderId="14" xfId="0" applyFont="1" applyFill="1" applyBorder="1" applyAlignment="1">
      <alignment horizontal="left" wrapText="1"/>
    </xf>
    <xf numFmtId="0" fontId="80" fillId="51" borderId="94" xfId="0" applyFont="1" applyFill="1" applyBorder="1" applyAlignment="1">
      <alignment horizontal="left"/>
    </xf>
    <xf numFmtId="0" fontId="80" fillId="51" borderId="16" xfId="0" applyFont="1" applyFill="1" applyBorder="1" applyAlignment="1">
      <alignment horizontal="left"/>
    </xf>
    <xf numFmtId="49" fontId="2" fillId="28" borderId="67" xfId="0" applyNumberFormat="1" applyFont="1" applyFill="1" applyBorder="1" applyAlignment="1" applyProtection="1">
      <alignment horizontal="center" vertical="top"/>
      <protection locked="0"/>
    </xf>
    <xf numFmtId="49" fontId="2" fillId="28" borderId="25" xfId="0" applyNumberFormat="1" applyFont="1" applyFill="1" applyBorder="1" applyAlignment="1" applyProtection="1">
      <alignment horizontal="center" vertical="top"/>
      <protection locked="0"/>
    </xf>
    <xf numFmtId="49" fontId="2" fillId="28" borderId="26" xfId="0" applyNumberFormat="1" applyFont="1" applyFill="1" applyBorder="1" applyAlignment="1" applyProtection="1">
      <alignment horizontal="center" vertical="top"/>
      <protection locked="0"/>
    </xf>
    <xf numFmtId="0" fontId="0" fillId="0" borderId="32" xfId="0" applyBorder="1" applyAlignment="1">
      <alignment horizontal="left"/>
    </xf>
    <xf numFmtId="0" fontId="0" fillId="0" borderId="140" xfId="0" applyBorder="1" applyAlignment="1">
      <alignment horizontal="left"/>
    </xf>
    <xf numFmtId="0" fontId="53" fillId="27" borderId="78" xfId="0" applyFont="1" applyFill="1" applyBorder="1" applyAlignment="1">
      <alignment horizontal="left" vertical="top"/>
    </xf>
    <xf numFmtId="0" fontId="53" fillId="27" borderId="12" xfId="0" applyFont="1" applyFill="1" applyBorder="1" applyAlignment="1">
      <alignment horizontal="left" vertical="top"/>
    </xf>
    <xf numFmtId="0" fontId="53" fillId="27" borderId="24" xfId="0" applyFont="1" applyFill="1" applyBorder="1" applyAlignment="1">
      <alignment horizontal="left" vertical="top"/>
    </xf>
    <xf numFmtId="0" fontId="98" fillId="25" borderId="0" xfId="0" applyFont="1" applyFill="1" applyAlignment="1">
      <alignment horizontal="left" vertical="top" wrapText="1"/>
    </xf>
    <xf numFmtId="0" fontId="2" fillId="25" borderId="17" xfId="0" applyFont="1" applyFill="1" applyBorder="1" applyAlignment="1">
      <alignment horizontal="left" vertical="top" wrapText="1"/>
    </xf>
    <xf numFmtId="0" fontId="2" fillId="25" borderId="22" xfId="0" applyFont="1" applyFill="1" applyBorder="1" applyAlignment="1">
      <alignment horizontal="left" vertical="top" wrapText="1"/>
    </xf>
    <xf numFmtId="0" fontId="37" fillId="25" borderId="25" xfId="0" applyFont="1" applyFill="1" applyBorder="1" applyAlignment="1">
      <alignment horizontal="left" vertical="top" wrapText="1"/>
    </xf>
    <xf numFmtId="0" fontId="37" fillId="25" borderId="17" xfId="0" applyFont="1" applyFill="1" applyBorder="1" applyAlignment="1">
      <alignment horizontal="left" vertical="top" wrapText="1"/>
    </xf>
    <xf numFmtId="0" fontId="0" fillId="0" borderId="17" xfId="0" applyBorder="1" applyAlignment="1">
      <alignment horizontal="left" vertical="top" wrapText="1"/>
    </xf>
    <xf numFmtId="0" fontId="0" fillId="0" borderId="22" xfId="0" applyBorder="1" applyAlignment="1">
      <alignment horizontal="left" vertical="top" wrapText="1"/>
    </xf>
    <xf numFmtId="0" fontId="4" fillId="25" borderId="12" xfId="0" applyFont="1" applyFill="1" applyBorder="1" applyAlignment="1">
      <alignment horizontal="left" vertical="top" wrapText="1"/>
    </xf>
    <xf numFmtId="0" fontId="0" fillId="0" borderId="12" xfId="0" applyBorder="1" applyAlignment="1">
      <alignment horizontal="left" vertical="top" wrapText="1"/>
    </xf>
    <xf numFmtId="0" fontId="2" fillId="28" borderId="67" xfId="0" applyFont="1" applyFill="1" applyBorder="1" applyAlignment="1" applyProtection="1">
      <alignment horizontal="left" vertical="top" wrapText="1"/>
      <protection locked="0"/>
    </xf>
    <xf numFmtId="0" fontId="0" fillId="0" borderId="25" xfId="0" applyBorder="1" applyAlignment="1" applyProtection="1">
      <alignment horizontal="left" vertical="top" wrapText="1"/>
      <protection locked="0"/>
    </xf>
    <xf numFmtId="0" fontId="0" fillId="0" borderId="26" xfId="0" applyBorder="1" applyAlignment="1" applyProtection="1">
      <alignment horizontal="left" vertical="top" wrapText="1"/>
      <protection locked="0"/>
    </xf>
    <xf numFmtId="0" fontId="2" fillId="28" borderId="103" xfId="0" applyFont="1" applyFill="1" applyBorder="1" applyAlignment="1" applyProtection="1">
      <alignment horizontal="left" vertical="top" wrapText="1"/>
      <protection locked="0"/>
    </xf>
    <xf numFmtId="0" fontId="0" fillId="0" borderId="21" xfId="0" applyBorder="1" applyAlignment="1" applyProtection="1">
      <alignment horizontal="left" vertical="top" wrapText="1"/>
      <protection locked="0"/>
    </xf>
    <xf numFmtId="0" fontId="0" fillId="0" borderId="102" xfId="0" applyBorder="1" applyAlignment="1" applyProtection="1">
      <alignment horizontal="left" vertical="top" wrapText="1"/>
      <protection locked="0"/>
    </xf>
    <xf numFmtId="0" fontId="0" fillId="0" borderId="78" xfId="0"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0" fillId="0" borderId="24" xfId="0" applyBorder="1" applyAlignment="1" applyProtection="1">
      <alignment horizontal="left" vertical="top" wrapText="1"/>
      <protection locked="0"/>
    </xf>
    <xf numFmtId="0" fontId="35" fillId="25" borderId="0" xfId="0" applyFont="1" applyFill="1" applyAlignment="1">
      <alignment horizontal="left" vertical="top" wrapText="1"/>
    </xf>
    <xf numFmtId="0" fontId="39" fillId="46" borderId="0" xfId="78" applyFont="1" applyFill="1" applyAlignment="1" applyProtection="1">
      <alignment horizontal="left" vertical="top" wrapText="1"/>
    </xf>
    <xf numFmtId="0" fontId="0" fillId="0" borderId="18" xfId="0" applyBorder="1" applyAlignment="1">
      <alignment horizontal="left" vertical="top" wrapText="1"/>
    </xf>
    <xf numFmtId="0" fontId="36" fillId="28" borderId="67" xfId="0" applyFont="1" applyFill="1" applyBorder="1" applyAlignment="1" applyProtection="1">
      <alignment horizontal="left" vertical="top" wrapText="1"/>
      <protection locked="0"/>
    </xf>
    <xf numFmtId="0" fontId="38" fillId="28" borderId="67" xfId="0" applyFont="1" applyFill="1" applyBorder="1" applyAlignment="1" applyProtection="1">
      <alignment horizontal="left" vertical="top" wrapText="1"/>
      <protection locked="0"/>
    </xf>
    <xf numFmtId="0" fontId="2" fillId="41" borderId="25" xfId="0" applyFont="1" applyFill="1" applyBorder="1" applyAlignment="1">
      <alignment horizontal="left" vertical="top" wrapText="1"/>
    </xf>
    <xf numFmtId="0" fontId="2" fillId="28" borderId="67" xfId="0" applyFont="1" applyFill="1" applyBorder="1" applyAlignment="1" applyProtection="1">
      <alignment horizontal="left" vertical="top"/>
      <protection locked="0"/>
    </xf>
    <xf numFmtId="0" fontId="2" fillId="0" borderId="25" xfId="0" applyFont="1" applyBorder="1" applyAlignment="1" applyProtection="1">
      <alignment horizontal="left" vertical="top"/>
      <protection locked="0"/>
    </xf>
    <xf numFmtId="0" fontId="2" fillId="0" borderId="26" xfId="0" applyFont="1" applyBorder="1" applyAlignment="1" applyProtection="1">
      <alignment horizontal="left" vertical="top"/>
      <protection locked="0"/>
    </xf>
    <xf numFmtId="0" fontId="2" fillId="0" borderId="21" xfId="0" applyFont="1" applyBorder="1" applyAlignment="1" applyProtection="1">
      <alignment horizontal="left" vertical="top" wrapText="1"/>
      <protection locked="0"/>
    </xf>
    <xf numFmtId="0" fontId="2" fillId="0" borderId="102" xfId="0" applyFont="1" applyBorder="1" applyAlignment="1" applyProtection="1">
      <alignment horizontal="left" vertical="top" wrapText="1"/>
      <protection locked="0"/>
    </xf>
    <xf numFmtId="0" fontId="2" fillId="0" borderId="78" xfId="0" applyFont="1" applyBorder="1" applyAlignment="1" applyProtection="1">
      <alignment horizontal="left" vertical="top" wrapText="1"/>
      <protection locked="0"/>
    </xf>
    <xf numFmtId="0" fontId="2" fillId="0" borderId="12" xfId="0" applyFont="1" applyBorder="1" applyAlignment="1" applyProtection="1">
      <alignment horizontal="left" vertical="top" wrapText="1"/>
      <protection locked="0"/>
    </xf>
    <xf numFmtId="0" fontId="2" fillId="0" borderId="24" xfId="0" applyFont="1" applyBorder="1" applyAlignment="1" applyProtection="1">
      <alignment horizontal="left" vertical="top" wrapText="1"/>
      <protection locked="0"/>
    </xf>
    <xf numFmtId="0" fontId="38" fillId="28" borderId="67" xfId="0" applyFont="1" applyFill="1" applyBorder="1" applyAlignment="1" applyProtection="1">
      <alignment horizontal="left"/>
      <protection locked="0"/>
    </xf>
    <xf numFmtId="0" fontId="38" fillId="28" borderId="25" xfId="0" applyFont="1" applyFill="1" applyBorder="1" applyAlignment="1" applyProtection="1">
      <alignment horizontal="left"/>
      <protection locked="0"/>
    </xf>
    <xf numFmtId="0" fontId="38" fillId="28" borderId="26" xfId="0" applyFont="1" applyFill="1" applyBorder="1" applyAlignment="1" applyProtection="1">
      <alignment horizontal="left"/>
      <protection locked="0"/>
    </xf>
    <xf numFmtId="0" fontId="4" fillId="25" borderId="18" xfId="0" applyFont="1" applyFill="1" applyBorder="1" applyAlignment="1">
      <alignment horizontal="left" vertical="top" wrapText="1"/>
    </xf>
    <xf numFmtId="0" fontId="37" fillId="25" borderId="14" xfId="0" applyFont="1" applyFill="1" applyBorder="1" applyAlignment="1">
      <alignment horizontal="left" vertical="top" wrapText="1"/>
    </xf>
    <xf numFmtId="0" fontId="0" fillId="0" borderId="14" xfId="0" applyBorder="1" applyAlignment="1">
      <alignment horizontal="left" vertical="top" wrapText="1"/>
    </xf>
    <xf numFmtId="0" fontId="37" fillId="25" borderId="15" xfId="0" applyFont="1" applyFill="1" applyBorder="1" applyAlignment="1">
      <alignment horizontal="left" vertical="top" wrapText="1"/>
    </xf>
    <xf numFmtId="0" fontId="0" fillId="0" borderId="15" xfId="0" applyBorder="1" applyAlignment="1">
      <alignment horizontal="left" vertical="top" wrapText="1"/>
    </xf>
    <xf numFmtId="0" fontId="37" fillId="41" borderId="16" xfId="0" applyFont="1" applyFill="1" applyBorder="1" applyAlignment="1">
      <alignment horizontal="left" vertical="top" wrapText="1"/>
    </xf>
    <xf numFmtId="0" fontId="0" fillId="0" borderId="16" xfId="0" applyBorder="1" applyAlignment="1">
      <alignment horizontal="left" vertical="top" wrapText="1"/>
    </xf>
    <xf numFmtId="0" fontId="2" fillId="25" borderId="120" xfId="0" applyFont="1" applyFill="1" applyBorder="1" applyAlignment="1">
      <alignment horizontal="left" vertical="top" wrapText="1"/>
    </xf>
    <xf numFmtId="0" fontId="0" fillId="0" borderId="120" xfId="0" applyBorder="1" applyAlignment="1">
      <alignment horizontal="left" vertical="top" wrapText="1"/>
    </xf>
    <xf numFmtId="0" fontId="4" fillId="25" borderId="114" xfId="0" applyFont="1" applyFill="1" applyBorder="1" applyAlignment="1">
      <alignment horizontal="left" vertical="top" wrapText="1"/>
    </xf>
    <xf numFmtId="0" fontId="0" fillId="0" borderId="97" xfId="0" applyBorder="1" applyAlignment="1">
      <alignment horizontal="left" vertical="top" wrapText="1"/>
    </xf>
    <xf numFmtId="0" fontId="39" fillId="46" borderId="0" xfId="78" applyFont="1" applyFill="1" applyAlignment="1" applyProtection="1">
      <alignment vertical="top" wrapText="1"/>
    </xf>
    <xf numFmtId="0" fontId="36" fillId="28" borderId="67" xfId="0" applyFont="1" applyFill="1" applyBorder="1" applyAlignment="1" applyProtection="1">
      <alignment horizontal="left"/>
      <protection locked="0"/>
    </xf>
    <xf numFmtId="0" fontId="36" fillId="28" borderId="25" xfId="0" applyFont="1" applyFill="1" applyBorder="1" applyAlignment="1" applyProtection="1">
      <alignment horizontal="left"/>
      <protection locked="0"/>
    </xf>
    <xf numFmtId="0" fontId="36" fillId="28" borderId="26" xfId="0" applyFont="1" applyFill="1" applyBorder="1" applyAlignment="1" applyProtection="1">
      <alignment horizontal="left"/>
      <protection locked="0"/>
    </xf>
    <xf numFmtId="0" fontId="6" fillId="25" borderId="0" xfId="78" applyFill="1" applyAlignment="1" applyProtection="1">
      <alignment horizontal="left" vertical="top" wrapText="1"/>
    </xf>
    <xf numFmtId="0" fontId="56" fillId="25" borderId="15" xfId="0" applyFont="1" applyFill="1" applyBorder="1" applyAlignment="1">
      <alignment horizontal="left" vertical="top" wrapText="1"/>
    </xf>
    <xf numFmtId="0" fontId="56" fillId="0" borderId="0" xfId="0" applyFont="1" applyAlignment="1">
      <alignment vertical="top" wrapText="1"/>
    </xf>
    <xf numFmtId="0" fontId="56" fillId="0" borderId="0" xfId="0" applyFont="1" applyAlignment="1">
      <alignment vertical="top"/>
    </xf>
    <xf numFmtId="0" fontId="10" fillId="25" borderId="0" xfId="0" applyFont="1" applyFill="1" applyAlignment="1">
      <alignment vertical="top"/>
    </xf>
    <xf numFmtId="0" fontId="2" fillId="25" borderId="15" xfId="0" applyFont="1" applyFill="1" applyBorder="1" applyAlignment="1">
      <alignment horizontal="left" vertical="center" wrapText="1"/>
    </xf>
    <xf numFmtId="0" fontId="0" fillId="0" borderId="15" xfId="0" applyBorder="1" applyAlignment="1">
      <alignment horizontal="left" vertical="center" wrapText="1"/>
    </xf>
    <xf numFmtId="0" fontId="37" fillId="25" borderId="100" xfId="0" applyFont="1" applyFill="1" applyBorder="1" applyAlignment="1">
      <alignment horizontal="left" vertical="center" wrapText="1"/>
    </xf>
    <xf numFmtId="0" fontId="0" fillId="0" borderId="51" xfId="0" applyBorder="1" applyAlignment="1">
      <alignment horizontal="left" vertical="center" wrapText="1"/>
    </xf>
    <xf numFmtId="0" fontId="10" fillId="25" borderId="0" xfId="0" applyFont="1" applyFill="1" applyAlignment="1">
      <alignment vertical="center" wrapText="1"/>
    </xf>
    <xf numFmtId="0" fontId="4" fillId="25" borderId="0" xfId="0" applyFont="1" applyFill="1" applyAlignment="1">
      <alignment horizontal="left" vertical="center" wrapText="1"/>
    </xf>
    <xf numFmtId="0" fontId="0" fillId="0" borderId="0" xfId="0" applyAlignment="1">
      <alignment horizontal="left" vertical="center" wrapText="1"/>
    </xf>
    <xf numFmtId="0" fontId="37" fillId="25" borderId="56" xfId="0" applyFont="1" applyFill="1" applyBorder="1" applyAlignment="1">
      <alignment horizontal="left" vertical="center" wrapText="1"/>
    </xf>
    <xf numFmtId="0" fontId="0" fillId="0" borderId="36" xfId="0" applyBorder="1" applyAlignment="1">
      <alignment horizontal="left" vertical="center" wrapText="1"/>
    </xf>
    <xf numFmtId="0" fontId="37" fillId="25" borderId="105" xfId="0" applyFont="1" applyFill="1" applyBorder="1" applyAlignment="1">
      <alignment horizontal="left" vertical="center" wrapText="1"/>
    </xf>
    <xf numFmtId="0" fontId="0" fillId="0" borderId="14" xfId="0" applyBorder="1" applyAlignment="1">
      <alignment horizontal="left" vertical="center" wrapText="1"/>
    </xf>
    <xf numFmtId="0" fontId="37" fillId="25" borderId="106" xfId="0" applyFont="1" applyFill="1" applyBorder="1" applyAlignment="1">
      <alignment horizontal="left" vertical="center" wrapText="1"/>
    </xf>
    <xf numFmtId="0" fontId="37" fillId="25" borderId="94" xfId="0" applyFont="1" applyFill="1" applyBorder="1" applyAlignment="1">
      <alignment horizontal="left" vertical="center" wrapText="1"/>
    </xf>
    <xf numFmtId="0" fontId="0" fillId="0" borderId="16" xfId="0" applyBorder="1" applyAlignment="1">
      <alignment horizontal="left" vertical="center" wrapText="1"/>
    </xf>
    <xf numFmtId="0" fontId="10" fillId="25" borderId="0" xfId="0" applyFont="1" applyFill="1" applyAlignment="1">
      <alignment horizontal="left" vertical="center" wrapText="1"/>
    </xf>
    <xf numFmtId="0" fontId="37" fillId="42" borderId="15" xfId="0" applyFont="1" applyFill="1" applyBorder="1" applyAlignment="1" applyProtection="1">
      <alignment horizontal="left" vertical="center" wrapText="1"/>
      <protection locked="0"/>
    </xf>
    <xf numFmtId="0" fontId="0" fillId="0" borderId="15" xfId="0" applyBorder="1" applyAlignment="1" applyProtection="1">
      <alignment horizontal="left" vertical="center" wrapText="1"/>
      <protection locked="0"/>
    </xf>
    <xf numFmtId="0" fontId="37" fillId="42" borderId="16" xfId="0" applyFont="1" applyFill="1" applyBorder="1" applyAlignment="1" applyProtection="1">
      <alignment horizontal="left" vertical="center" wrapText="1"/>
      <protection locked="0"/>
    </xf>
    <xf numFmtId="0" fontId="0" fillId="0" borderId="16" xfId="0" applyBorder="1" applyAlignment="1" applyProtection="1">
      <alignment horizontal="left" vertical="center" wrapText="1"/>
      <protection locked="0"/>
    </xf>
    <xf numFmtId="0" fontId="37" fillId="25" borderId="25" xfId="0" applyFont="1" applyFill="1" applyBorder="1" applyAlignment="1">
      <alignment horizontal="left" vertical="center" wrapText="1"/>
    </xf>
    <xf numFmtId="0" fontId="0" fillId="0" borderId="25" xfId="0" applyBorder="1" applyAlignment="1">
      <alignment horizontal="left" vertical="center" wrapText="1"/>
    </xf>
    <xf numFmtId="0" fontId="2" fillId="25" borderId="25" xfId="0" applyFont="1" applyFill="1" applyBorder="1" applyAlignment="1">
      <alignment horizontal="left" vertical="center" wrapText="1"/>
    </xf>
    <xf numFmtId="0" fontId="2" fillId="25" borderId="14" xfId="0" applyFont="1" applyFill="1" applyBorder="1" applyAlignment="1">
      <alignment horizontal="left" vertical="center" wrapText="1"/>
    </xf>
    <xf numFmtId="0" fontId="4" fillId="25" borderId="12" xfId="0" applyFont="1" applyFill="1" applyBorder="1" applyAlignment="1">
      <alignment horizontal="left" vertical="center" wrapText="1"/>
    </xf>
    <xf numFmtId="0" fontId="0" fillId="0" borderId="12" xfId="0" applyBorder="1" applyAlignment="1">
      <alignment horizontal="left" vertical="center" wrapText="1"/>
    </xf>
    <xf numFmtId="0" fontId="37" fillId="25" borderId="107" xfId="0" applyFont="1" applyFill="1" applyBorder="1" applyAlignment="1">
      <alignment horizontal="left" vertical="center"/>
    </xf>
    <xf numFmtId="0" fontId="0" fillId="0" borderId="15" xfId="0" applyBorder="1" applyAlignment="1">
      <alignment horizontal="left" vertical="center"/>
    </xf>
    <xf numFmtId="0" fontId="4" fillId="25" borderId="25" xfId="0" applyFont="1" applyFill="1" applyBorder="1" applyAlignment="1">
      <alignment horizontal="left" vertical="center" wrapText="1"/>
    </xf>
    <xf numFmtId="0" fontId="37" fillId="42" borderId="14" xfId="0" applyFont="1" applyFill="1" applyBorder="1" applyAlignment="1" applyProtection="1">
      <alignment horizontal="left" vertical="center" wrapText="1"/>
      <protection locked="0"/>
    </xf>
    <xf numFmtId="0" fontId="0" fillId="0" borderId="14" xfId="0" applyBorder="1" applyAlignment="1" applyProtection="1">
      <alignment horizontal="left" vertical="center" wrapText="1"/>
      <protection locked="0"/>
    </xf>
    <xf numFmtId="0" fontId="10" fillId="25" borderId="12" xfId="0" applyFont="1" applyFill="1" applyBorder="1" applyAlignment="1">
      <alignment horizontal="left" vertical="center" wrapText="1"/>
    </xf>
    <xf numFmtId="0" fontId="37" fillId="40" borderId="14" xfId="0" applyFont="1" applyFill="1" applyBorder="1" applyAlignment="1">
      <alignment horizontal="left" vertical="center" wrapText="1"/>
    </xf>
    <xf numFmtId="0" fontId="6" fillId="46" borderId="67" xfId="0" applyFont="1" applyFill="1" applyBorder="1" applyAlignment="1">
      <alignment horizontal="left" vertical="top" wrapText="1"/>
    </xf>
    <xf numFmtId="0" fontId="6" fillId="46" borderId="25" xfId="0" applyFont="1" applyFill="1" applyBorder="1" applyAlignment="1">
      <alignment horizontal="left" vertical="top" wrapText="1"/>
    </xf>
    <xf numFmtId="0" fontId="6" fillId="46" borderId="26" xfId="0" applyFont="1" applyFill="1" applyBorder="1" applyAlignment="1">
      <alignment horizontal="left" vertical="top" wrapText="1"/>
    </xf>
    <xf numFmtId="0" fontId="37" fillId="40" borderId="15" xfId="0" applyFont="1" applyFill="1" applyBorder="1" applyAlignment="1">
      <alignment horizontal="left" vertical="center" wrapText="1"/>
    </xf>
    <xf numFmtId="0" fontId="61" fillId="46" borderId="0" xfId="78" applyFont="1" applyFill="1" applyBorder="1" applyAlignment="1" applyProtection="1">
      <alignment horizontal="left" vertical="center" wrapText="1"/>
    </xf>
    <xf numFmtId="0" fontId="37" fillId="40" borderId="16" xfId="0" applyFont="1" applyFill="1" applyBorder="1" applyAlignment="1">
      <alignment horizontal="left" vertical="center" wrapText="1"/>
    </xf>
    <xf numFmtId="0" fontId="56" fillId="0" borderId="0" xfId="0" applyFont="1" applyAlignment="1">
      <alignment vertical="center" wrapText="1"/>
    </xf>
    <xf numFmtId="0" fontId="3" fillId="26" borderId="0" xfId="0" applyFont="1" applyFill="1" applyAlignment="1">
      <alignment vertical="center" wrapText="1"/>
    </xf>
    <xf numFmtId="0" fontId="4" fillId="25" borderId="12" xfId="0" applyFont="1" applyFill="1" applyBorder="1" applyAlignment="1">
      <alignment horizontal="left" vertical="center"/>
    </xf>
    <xf numFmtId="0" fontId="0" fillId="0" borderId="12" xfId="0" applyBorder="1" applyAlignment="1">
      <alignment horizontal="left" vertical="center"/>
    </xf>
    <xf numFmtId="0" fontId="4" fillId="25" borderId="18" xfId="0" applyFont="1" applyFill="1" applyBorder="1" applyAlignment="1">
      <alignment vertical="center" wrapText="1"/>
    </xf>
    <xf numFmtId="0" fontId="0" fillId="28" borderId="67" xfId="0" applyFill="1" applyBorder="1" applyAlignment="1" applyProtection="1">
      <alignment horizontal="left"/>
      <protection locked="0"/>
    </xf>
    <xf numFmtId="0" fontId="0" fillId="28" borderId="26" xfId="0" applyFill="1" applyBorder="1" applyAlignment="1" applyProtection="1">
      <alignment horizontal="left"/>
      <protection locked="0"/>
    </xf>
    <xf numFmtId="0" fontId="2" fillId="25" borderId="165" xfId="0" applyFont="1" applyFill="1" applyBorder="1" applyAlignment="1">
      <alignment horizontal="left" vertical="center" wrapText="1"/>
    </xf>
    <xf numFmtId="0" fontId="0" fillId="0" borderId="166" xfId="0" applyBorder="1" applyAlignment="1">
      <alignment horizontal="left" vertical="center" wrapText="1"/>
    </xf>
    <xf numFmtId="0" fontId="2" fillId="25" borderId="170" xfId="0" applyFont="1" applyFill="1" applyBorder="1" applyAlignment="1">
      <alignment horizontal="left" vertical="center" wrapText="1"/>
    </xf>
    <xf numFmtId="0" fontId="0" fillId="0" borderId="171" xfId="0" applyBorder="1" applyAlignment="1">
      <alignment horizontal="left" vertical="center" wrapText="1"/>
    </xf>
    <xf numFmtId="0" fontId="41" fillId="25" borderId="0" xfId="0" applyFont="1" applyFill="1" applyAlignment="1">
      <alignment vertical="center" wrapText="1"/>
    </xf>
    <xf numFmtId="0" fontId="37" fillId="25" borderId="15" xfId="0" applyFont="1" applyFill="1" applyBorder="1" applyAlignment="1">
      <alignment horizontal="left" vertical="center" wrapText="1"/>
    </xf>
    <xf numFmtId="0" fontId="37" fillId="41" borderId="16" xfId="0" applyFont="1" applyFill="1" applyBorder="1" applyAlignment="1">
      <alignment horizontal="left" vertical="center" wrapText="1"/>
    </xf>
    <xf numFmtId="0" fontId="2" fillId="0" borderId="14" xfId="0" applyFont="1" applyBorder="1" applyAlignment="1">
      <alignment horizontal="left" vertical="center" wrapText="1"/>
    </xf>
    <xf numFmtId="0" fontId="37" fillId="25" borderId="14" xfId="0" applyFont="1" applyFill="1" applyBorder="1" applyAlignment="1">
      <alignment horizontal="left" vertical="center" wrapText="1"/>
    </xf>
    <xf numFmtId="0" fontId="35" fillId="25" borderId="0" xfId="0" applyFont="1" applyFill="1" applyAlignment="1">
      <alignment horizontal="left" vertical="center" wrapText="1"/>
    </xf>
    <xf numFmtId="0" fontId="2" fillId="41" borderId="120" xfId="0" applyFont="1" applyFill="1" applyBorder="1" applyAlignment="1">
      <alignment horizontal="left" vertical="center" wrapText="1"/>
    </xf>
    <xf numFmtId="0" fontId="0" fillId="0" borderId="120" xfId="0" applyBorder="1" applyAlignment="1">
      <alignment horizontal="left" vertical="center" wrapText="1"/>
    </xf>
    <xf numFmtId="0" fontId="4" fillId="25" borderId="100" xfId="0" applyFont="1" applyFill="1" applyBorder="1" applyAlignment="1">
      <alignment horizontal="left" vertical="center" wrapText="1"/>
    </xf>
    <xf numFmtId="0" fontId="2" fillId="25" borderId="16" xfId="0" applyFont="1" applyFill="1" applyBorder="1" applyAlignment="1">
      <alignment horizontal="left" vertical="center" wrapText="1"/>
    </xf>
    <xf numFmtId="0" fontId="4" fillId="25" borderId="56" xfId="0" applyFont="1" applyFill="1" applyBorder="1" applyAlignment="1">
      <alignment horizontal="left" vertical="center" wrapText="1"/>
    </xf>
    <xf numFmtId="0" fontId="102" fillId="25" borderId="25" xfId="0" applyFont="1" applyFill="1" applyBorder="1" applyAlignment="1">
      <alignment horizontal="left" vertical="center" wrapText="1"/>
    </xf>
    <xf numFmtId="0" fontId="102" fillId="0" borderId="25" xfId="0" applyFont="1" applyBorder="1" applyAlignment="1">
      <alignment horizontal="left" vertical="center" wrapText="1"/>
    </xf>
    <xf numFmtId="0" fontId="61" fillId="46" borderId="0" xfId="78" applyFont="1" applyFill="1" applyAlignment="1" applyProtection="1">
      <alignment horizontal="left" vertical="top" wrapText="1"/>
    </xf>
    <xf numFmtId="0" fontId="2" fillId="41" borderId="25" xfId="0" applyFont="1" applyFill="1" applyBorder="1" applyAlignment="1">
      <alignment horizontal="left" vertical="center" wrapText="1"/>
    </xf>
    <xf numFmtId="0" fontId="10" fillId="25" borderId="0" xfId="0" applyFont="1" applyFill="1" applyAlignment="1">
      <alignment vertical="top" wrapText="1"/>
    </xf>
    <xf numFmtId="0" fontId="63" fillId="25" borderId="0" xfId="0" applyFont="1" applyFill="1" applyAlignment="1">
      <alignment vertical="top" wrapText="1"/>
    </xf>
    <xf numFmtId="0" fontId="35" fillId="25" borderId="0" xfId="0" applyFont="1" applyFill="1" applyAlignment="1">
      <alignment vertical="center" wrapText="1"/>
    </xf>
    <xf numFmtId="0" fontId="2" fillId="41" borderId="41" xfId="0" applyFont="1" applyFill="1" applyBorder="1" applyAlignment="1">
      <alignment horizontal="left" vertical="center" wrapText="1"/>
    </xf>
    <xf numFmtId="0" fontId="0" fillId="0" borderId="41" xfId="0" applyBorder="1" applyAlignment="1">
      <alignment horizontal="left" vertical="center" wrapText="1"/>
    </xf>
    <xf numFmtId="0" fontId="4" fillId="25" borderId="107" xfId="0" applyFont="1" applyFill="1" applyBorder="1" applyAlignment="1">
      <alignment horizontal="left" vertical="center" wrapText="1"/>
    </xf>
    <xf numFmtId="0" fontId="4" fillId="25" borderId="15" xfId="0" applyFont="1" applyFill="1" applyBorder="1" applyAlignment="1">
      <alignment horizontal="left" vertical="center" wrapText="1"/>
    </xf>
    <xf numFmtId="0" fontId="2" fillId="0" borderId="16" xfId="0" applyFont="1" applyBorder="1" applyAlignment="1">
      <alignment horizontal="left" vertical="center" wrapText="1"/>
    </xf>
    <xf numFmtId="0" fontId="63" fillId="0" borderId="0" xfId="0" applyFont="1" applyAlignment="1">
      <alignment vertical="top" wrapText="1"/>
    </xf>
    <xf numFmtId="0" fontId="63" fillId="0" borderId="0" xfId="0" applyFont="1" applyAlignment="1">
      <alignment vertical="top"/>
    </xf>
    <xf numFmtId="0" fontId="6" fillId="46" borderId="81" xfId="78" applyFill="1" applyBorder="1" applyAlignment="1" applyProtection="1">
      <alignment horizontal="center" vertical="top" wrapText="1"/>
    </xf>
    <xf numFmtId="0" fontId="6" fillId="46" borderId="159" xfId="78" applyFill="1" applyBorder="1" applyAlignment="1" applyProtection="1">
      <alignment horizontal="center" vertical="top" wrapText="1"/>
    </xf>
    <xf numFmtId="0" fontId="0" fillId="46" borderId="152" xfId="0" applyFill="1" applyBorder="1" applyAlignment="1">
      <alignment horizontal="center" vertical="top" wrapText="1"/>
    </xf>
    <xf numFmtId="0" fontId="4" fillId="25" borderId="39" xfId="0" applyFont="1" applyFill="1" applyBorder="1" applyAlignment="1">
      <alignment horizontal="left" vertical="center" wrapText="1"/>
    </xf>
    <xf numFmtId="0" fontId="0" fillId="0" borderId="39" xfId="0" applyBorder="1" applyAlignment="1">
      <alignment horizontal="left" vertical="center" wrapText="1"/>
    </xf>
    <xf numFmtId="0" fontId="4" fillId="57" borderId="0" xfId="0" applyFont="1" applyFill="1" applyAlignment="1">
      <alignment vertical="center" wrapText="1"/>
    </xf>
    <xf numFmtId="0" fontId="37" fillId="45" borderId="14" xfId="0" applyFont="1" applyFill="1" applyBorder="1" applyAlignment="1" applyProtection="1">
      <alignment horizontal="left" vertical="top" wrapText="1"/>
      <protection locked="0"/>
    </xf>
    <xf numFmtId="0" fontId="0" fillId="0" borderId="14" xfId="0" applyBorder="1" applyAlignment="1" applyProtection="1">
      <alignment horizontal="left" vertical="top" wrapText="1"/>
      <protection locked="0"/>
    </xf>
    <xf numFmtId="0" fontId="37" fillId="45" borderId="16" xfId="0" applyFont="1" applyFill="1" applyBorder="1" applyAlignment="1" applyProtection="1">
      <alignment horizontal="left" vertical="top" wrapText="1"/>
      <protection locked="0"/>
    </xf>
    <xf numFmtId="0" fontId="0" fillId="0" borderId="16" xfId="0" applyBorder="1" applyAlignment="1" applyProtection="1">
      <alignment horizontal="left" vertical="top" wrapText="1"/>
      <protection locked="0"/>
    </xf>
    <xf numFmtId="0" fontId="4" fillId="43" borderId="12" xfId="0" applyFont="1" applyFill="1" applyBorder="1" applyAlignment="1">
      <alignment horizontal="left" vertical="top" wrapText="1"/>
    </xf>
    <xf numFmtId="0" fontId="2" fillId="45" borderId="103" xfId="0" applyFont="1" applyFill="1" applyBorder="1" applyAlignment="1" applyProtection="1">
      <alignment horizontal="left" vertical="top"/>
      <protection locked="0"/>
    </xf>
    <xf numFmtId="0" fontId="2" fillId="45" borderId="21" xfId="0" applyFont="1" applyFill="1" applyBorder="1" applyAlignment="1" applyProtection="1">
      <alignment horizontal="left" vertical="top"/>
      <protection locked="0"/>
    </xf>
    <xf numFmtId="0" fontId="2" fillId="45" borderId="102" xfId="0" applyFont="1" applyFill="1" applyBorder="1" applyAlignment="1" applyProtection="1">
      <alignment horizontal="left" vertical="top"/>
      <protection locked="0"/>
    </xf>
    <xf numFmtId="0" fontId="2" fillId="45" borderId="78" xfId="0" applyFont="1" applyFill="1" applyBorder="1" applyAlignment="1" applyProtection="1">
      <alignment horizontal="left" vertical="top"/>
      <protection locked="0"/>
    </xf>
    <xf numFmtId="0" fontId="2" fillId="45" borderId="12" xfId="0" applyFont="1" applyFill="1" applyBorder="1" applyAlignment="1" applyProtection="1">
      <alignment horizontal="left" vertical="top"/>
      <protection locked="0"/>
    </xf>
    <xf numFmtId="0" fontId="2" fillId="45" borderId="24" xfId="0" applyFont="1" applyFill="1" applyBorder="1" applyAlignment="1" applyProtection="1">
      <alignment horizontal="left" vertical="top"/>
      <protection locked="0"/>
    </xf>
    <xf numFmtId="0" fontId="10" fillId="43" borderId="0" xfId="0" applyFont="1" applyFill="1" applyAlignment="1">
      <alignment horizontal="left" vertical="top" wrapText="1"/>
    </xf>
    <xf numFmtId="0" fontId="0" fillId="0" borderId="38" xfId="0" applyBorder="1" applyAlignment="1">
      <alignment horizontal="left" vertical="top" wrapText="1"/>
    </xf>
    <xf numFmtId="0" fontId="41" fillId="43" borderId="12" xfId="0" applyFont="1" applyFill="1" applyBorder="1" applyAlignment="1">
      <alignment horizontal="left" vertical="top" wrapText="1"/>
    </xf>
    <xf numFmtId="0" fontId="0" fillId="0" borderId="154" xfId="0" applyBorder="1" applyAlignment="1">
      <alignment horizontal="left" vertical="top" wrapText="1"/>
    </xf>
    <xf numFmtId="0" fontId="2" fillId="40" borderId="25" xfId="0" applyFont="1" applyFill="1" applyBorder="1" applyAlignment="1">
      <alignment horizontal="left" vertical="top" wrapText="1"/>
    </xf>
    <xf numFmtId="0" fontId="4" fillId="43" borderId="0" xfId="0" applyFont="1" applyFill="1" applyAlignment="1">
      <alignment horizontal="left" vertical="top" wrapText="1"/>
    </xf>
    <xf numFmtId="0" fontId="41" fillId="43" borderId="0" xfId="0" applyFont="1" applyFill="1" applyAlignment="1">
      <alignment horizontal="left" vertical="top" wrapText="1"/>
    </xf>
    <xf numFmtId="0" fontId="2" fillId="43" borderId="0" xfId="0" applyFont="1" applyFill="1" applyAlignment="1">
      <alignment horizontal="left" vertical="top" wrapText="1"/>
    </xf>
    <xf numFmtId="0" fontId="2" fillId="43" borderId="14" xfId="0" applyFont="1" applyFill="1" applyBorder="1" applyAlignment="1">
      <alignment horizontal="left" vertical="top" wrapText="1"/>
    </xf>
    <xf numFmtId="0" fontId="2" fillId="43" borderId="16" xfId="0" applyFont="1" applyFill="1" applyBorder="1" applyAlignment="1">
      <alignment horizontal="left" vertical="top" wrapText="1"/>
    </xf>
    <xf numFmtId="0" fontId="2" fillId="43" borderId="25" xfId="0" applyFont="1" applyFill="1" applyBorder="1" applyAlignment="1">
      <alignment horizontal="left" vertical="top" wrapText="1"/>
    </xf>
    <xf numFmtId="0" fontId="2" fillId="45" borderId="67" xfId="0" applyFont="1" applyFill="1" applyBorder="1" applyAlignment="1" applyProtection="1">
      <alignment horizontal="left" vertical="top" wrapText="1"/>
      <protection locked="0"/>
    </xf>
    <xf numFmtId="0" fontId="2" fillId="50" borderId="25" xfId="0" applyFont="1" applyFill="1" applyBorder="1" applyAlignment="1">
      <alignment horizontal="left" vertical="top" wrapText="1"/>
    </xf>
    <xf numFmtId="0" fontId="4" fillId="50" borderId="12" xfId="0" applyFont="1" applyFill="1" applyBorder="1" applyAlignment="1">
      <alignment horizontal="left" vertical="top" wrapText="1"/>
    </xf>
    <xf numFmtId="0" fontId="0" fillId="0" borderId="50" xfId="0" applyBorder="1" applyAlignment="1">
      <alignment horizontal="left" vertical="top" wrapText="1"/>
    </xf>
    <xf numFmtId="0" fontId="61" fillId="46" borderId="0" xfId="78" applyFont="1" applyFill="1" applyBorder="1" applyAlignment="1" applyProtection="1">
      <alignment horizontal="left" vertical="top" wrapText="1"/>
    </xf>
    <xf numFmtId="0" fontId="0" fillId="46" borderId="0" xfId="0" applyFill="1" applyAlignment="1">
      <alignment horizontal="left" vertical="top" wrapText="1"/>
    </xf>
    <xf numFmtId="0" fontId="0" fillId="46" borderId="38" xfId="0" applyFill="1" applyBorder="1" applyAlignment="1">
      <alignment horizontal="left" vertical="top" wrapText="1"/>
    </xf>
    <xf numFmtId="0" fontId="37" fillId="43" borderId="16" xfId="0" applyFont="1" applyFill="1" applyBorder="1" applyAlignment="1">
      <alignment horizontal="left" vertical="top" wrapText="1"/>
    </xf>
    <xf numFmtId="0" fontId="37" fillId="43" borderId="21" xfId="0" applyFont="1" applyFill="1" applyBorder="1" applyAlignment="1">
      <alignment horizontal="left" vertical="top" wrapText="1"/>
    </xf>
    <xf numFmtId="0" fontId="0" fillId="0" borderId="21" xfId="0" applyBorder="1" applyAlignment="1">
      <alignment horizontal="left" vertical="top" wrapText="1"/>
    </xf>
    <xf numFmtId="0" fontId="37" fillId="43" borderId="15" xfId="0" applyFont="1" applyFill="1" applyBorder="1" applyAlignment="1">
      <alignment horizontal="left" vertical="top" wrapText="1"/>
    </xf>
    <xf numFmtId="0" fontId="37" fillId="43" borderId="14" xfId="0" applyFont="1" applyFill="1" applyBorder="1" applyAlignment="1">
      <alignment horizontal="left" vertical="top" wrapText="1"/>
    </xf>
    <xf numFmtId="0" fontId="56" fillId="43" borderId="15" xfId="0" applyFont="1" applyFill="1" applyBorder="1" applyAlignment="1">
      <alignment horizontal="left" vertical="top" wrapText="1"/>
    </xf>
    <xf numFmtId="0" fontId="2" fillId="45" borderId="25" xfId="0" applyFont="1" applyFill="1" applyBorder="1" applyAlignment="1" applyProtection="1">
      <alignment horizontal="left" vertical="top" wrapText="1"/>
      <protection locked="0"/>
    </xf>
    <xf numFmtId="0" fontId="2" fillId="45" borderId="26" xfId="0" applyFont="1" applyFill="1" applyBorder="1" applyAlignment="1" applyProtection="1">
      <alignment horizontal="left" vertical="top" wrapText="1"/>
      <protection locked="0"/>
    </xf>
    <xf numFmtId="0" fontId="10" fillId="43" borderId="0" xfId="0" quotePrefix="1" applyFont="1" applyFill="1" applyAlignment="1">
      <alignment horizontal="left" vertical="top" wrapText="1"/>
    </xf>
    <xf numFmtId="0" fontId="10" fillId="43" borderId="38" xfId="0" quotePrefix="1" applyFont="1" applyFill="1" applyBorder="1" applyAlignment="1">
      <alignment horizontal="left" vertical="top" wrapText="1"/>
    </xf>
    <xf numFmtId="0" fontId="10" fillId="43" borderId="0" xfId="0" applyFont="1" applyFill="1" applyAlignment="1">
      <alignment vertical="top" wrapText="1"/>
    </xf>
    <xf numFmtId="0" fontId="2" fillId="43" borderId="0" xfId="0" applyFont="1" applyFill="1" applyAlignment="1">
      <alignment vertical="top" wrapText="1"/>
    </xf>
    <xf numFmtId="0" fontId="2" fillId="43" borderId="38" xfId="0" applyFont="1" applyFill="1" applyBorder="1" applyAlignment="1">
      <alignment vertical="top" wrapText="1"/>
    </xf>
    <xf numFmtId="0" fontId="58" fillId="43" borderId="0" xfId="0" applyFont="1" applyFill="1" applyAlignment="1">
      <alignment vertical="top" wrapText="1"/>
    </xf>
    <xf numFmtId="0" fontId="2" fillId="43" borderId="18" xfId="0" applyFont="1" applyFill="1" applyBorder="1" applyAlignment="1">
      <alignment vertical="top" wrapText="1"/>
    </xf>
    <xf numFmtId="0" fontId="38" fillId="27" borderId="67" xfId="0" applyFont="1" applyFill="1" applyBorder="1" applyAlignment="1">
      <alignment vertical="top" wrapText="1"/>
    </xf>
    <xf numFmtId="0" fontId="0" fillId="0" borderId="25" xfId="0" applyBorder="1" applyAlignment="1">
      <alignment vertical="top" wrapText="1"/>
    </xf>
    <xf numFmtId="0" fontId="0" fillId="0" borderId="50" xfId="0" applyBorder="1" applyAlignment="1">
      <alignment vertical="top" wrapText="1"/>
    </xf>
    <xf numFmtId="0" fontId="87" fillId="54" borderId="0" xfId="0" quotePrefix="1" applyFont="1" applyFill="1" applyAlignment="1">
      <alignment horizontal="left" vertical="top" wrapText="1"/>
    </xf>
    <xf numFmtId="0" fontId="87" fillId="54" borderId="38" xfId="0" quotePrefix="1" applyFont="1" applyFill="1" applyBorder="1" applyAlignment="1">
      <alignment horizontal="left" vertical="top" wrapText="1"/>
    </xf>
    <xf numFmtId="0" fontId="6" fillId="46" borderId="0" xfId="78" applyFill="1" applyBorder="1" applyAlignment="1" applyProtection="1">
      <alignment horizontal="left" vertical="top" wrapText="1"/>
    </xf>
    <xf numFmtId="0" fontId="64" fillId="46" borderId="0" xfId="78" applyFont="1" applyFill="1" applyBorder="1" applyAlignment="1" applyProtection="1">
      <alignment horizontal="left" vertical="top" wrapText="1"/>
    </xf>
    <xf numFmtId="0" fontId="4" fillId="43" borderId="0" xfId="0" applyFont="1" applyFill="1" applyAlignment="1">
      <alignment vertical="top" wrapText="1"/>
    </xf>
    <xf numFmtId="0" fontId="0" fillId="43" borderId="0" xfId="0" applyFill="1" applyAlignment="1">
      <alignment vertical="top" wrapText="1"/>
    </xf>
    <xf numFmtId="0" fontId="0" fillId="43" borderId="38" xfId="0" applyFill="1" applyBorder="1" applyAlignment="1">
      <alignment vertical="top" wrapText="1"/>
    </xf>
    <xf numFmtId="0" fontId="41" fillId="43" borderId="0" xfId="0" applyFont="1" applyFill="1" applyAlignment="1">
      <alignment vertical="top" wrapText="1"/>
    </xf>
    <xf numFmtId="0" fontId="4" fillId="43" borderId="38" xfId="0" applyFont="1" applyFill="1" applyBorder="1" applyAlignment="1">
      <alignment vertical="top" wrapText="1"/>
    </xf>
    <xf numFmtId="0" fontId="61" fillId="25" borderId="0" xfId="78" applyFont="1" applyFill="1" applyAlignment="1" applyProtection="1">
      <alignment horizontal="left" vertical="top"/>
    </xf>
    <xf numFmtId="0" fontId="100" fillId="0" borderId="0" xfId="0" applyFont="1" applyAlignment="1">
      <alignment vertical="top"/>
    </xf>
    <xf numFmtId="0" fontId="35" fillId="43" borderId="0" xfId="0" applyFont="1" applyFill="1" applyAlignment="1">
      <alignment vertical="top" wrapText="1"/>
    </xf>
    <xf numFmtId="0" fontId="6" fillId="46" borderId="67" xfId="0" applyFont="1" applyFill="1" applyBorder="1" applyAlignment="1">
      <alignment vertical="top" wrapText="1"/>
    </xf>
    <xf numFmtId="0" fontId="0" fillId="46" borderId="25" xfId="0" applyFill="1" applyBorder="1" applyAlignment="1">
      <alignment vertical="top" wrapText="1"/>
    </xf>
    <xf numFmtId="0" fontId="0" fillId="46" borderId="26" xfId="0" applyFill="1" applyBorder="1" applyAlignment="1">
      <alignment vertical="top" wrapText="1"/>
    </xf>
    <xf numFmtId="0" fontId="2" fillId="41" borderId="0" xfId="0" applyFont="1" applyFill="1" applyAlignment="1">
      <alignment vertical="top" wrapText="1"/>
    </xf>
    <xf numFmtId="0" fontId="37" fillId="27" borderId="25" xfId="0" applyFont="1" applyFill="1" applyBorder="1" applyAlignment="1">
      <alignment horizontal="left" vertical="top" wrapText="1"/>
    </xf>
    <xf numFmtId="0" fontId="6" fillId="46" borderId="25" xfId="0" applyFont="1" applyFill="1" applyBorder="1" applyAlignment="1">
      <alignment vertical="top" wrapText="1"/>
    </xf>
    <xf numFmtId="0" fontId="6" fillId="46" borderId="26" xfId="0" applyFont="1" applyFill="1" applyBorder="1" applyAlignment="1">
      <alignment vertical="top" wrapText="1"/>
    </xf>
    <xf numFmtId="0" fontId="0" fillId="0" borderId="26" xfId="0" applyBorder="1" applyAlignment="1">
      <alignment vertical="top" wrapText="1"/>
    </xf>
    <xf numFmtId="0" fontId="6" fillId="46" borderId="38" xfId="78" applyFill="1" applyBorder="1" applyAlignment="1" applyProtection="1">
      <alignment horizontal="left" vertical="top" wrapText="1"/>
    </xf>
    <xf numFmtId="0" fontId="0" fillId="46" borderId="139" xfId="0" applyFill="1" applyBorder="1" applyAlignment="1">
      <alignment horizontal="center" vertical="top" wrapText="1"/>
    </xf>
    <xf numFmtId="0" fontId="0" fillId="46" borderId="158" xfId="0" applyFill="1" applyBorder="1" applyAlignment="1">
      <alignment horizontal="center" vertical="top" wrapText="1"/>
    </xf>
    <xf numFmtId="0" fontId="6" fillId="46" borderId="152" xfId="78" applyFill="1" applyBorder="1" applyAlignment="1" applyProtection="1">
      <alignment horizontal="left" vertical="top"/>
    </xf>
    <xf numFmtId="0" fontId="66" fillId="46" borderId="152" xfId="0" applyFont="1" applyFill="1" applyBorder="1" applyAlignment="1">
      <alignment horizontal="left" vertical="top"/>
    </xf>
    <xf numFmtId="0" fontId="0" fillId="46" borderId="159" xfId="0" applyFill="1" applyBorder="1" applyAlignment="1">
      <alignment horizontal="center" vertical="top" wrapText="1"/>
    </xf>
    <xf numFmtId="0" fontId="0" fillId="46" borderId="17" xfId="0" applyFill="1" applyBorder="1" applyAlignment="1">
      <alignment horizontal="center" vertical="top"/>
    </xf>
    <xf numFmtId="0" fontId="0" fillId="46" borderId="160" xfId="0" applyFill="1" applyBorder="1" applyAlignment="1">
      <alignment horizontal="center" vertical="top"/>
    </xf>
    <xf numFmtId="0" fontId="0" fillId="46" borderId="161" xfId="0" applyFill="1" applyBorder="1" applyAlignment="1">
      <alignment horizontal="center" vertical="top" wrapText="1"/>
    </xf>
    <xf numFmtId="0" fontId="66" fillId="46" borderId="159" xfId="0" applyFont="1" applyFill="1" applyBorder="1" applyAlignment="1">
      <alignment horizontal="left" vertical="top"/>
    </xf>
    <xf numFmtId="0" fontId="66" fillId="46" borderId="158" xfId="0" applyFont="1" applyFill="1" applyBorder="1" applyAlignment="1">
      <alignment horizontal="left" vertical="top"/>
    </xf>
    <xf numFmtId="0" fontId="6" fillId="46" borderId="160" xfId="78" applyFill="1" applyBorder="1" applyAlignment="1" applyProtection="1">
      <alignment horizontal="left" vertical="top"/>
    </xf>
    <xf numFmtId="0" fontId="66" fillId="46" borderId="152" xfId="0" applyFont="1" applyFill="1" applyBorder="1" applyAlignment="1">
      <alignment horizontal="left" vertical="top" wrapText="1"/>
    </xf>
    <xf numFmtId="0" fontId="4" fillId="46" borderId="57" xfId="0" applyFont="1" applyFill="1" applyBorder="1" applyAlignment="1">
      <alignment horizontal="center" vertical="top" wrapText="1"/>
    </xf>
    <xf numFmtId="0" fontId="29" fillId="46" borderId="28" xfId="0" applyFont="1" applyFill="1" applyBorder="1" applyAlignment="1">
      <alignment horizontal="center" vertical="top" wrapText="1"/>
    </xf>
    <xf numFmtId="0" fontId="29" fillId="46" borderId="30" xfId="0" applyFont="1" applyFill="1" applyBorder="1" applyAlignment="1">
      <alignment horizontal="center" vertical="top" wrapText="1"/>
    </xf>
    <xf numFmtId="0" fontId="0" fillId="46" borderId="38" xfId="0" applyFill="1" applyBorder="1" applyAlignment="1">
      <alignment horizontal="center" vertical="top" wrapText="1"/>
    </xf>
    <xf numFmtId="0" fontId="0" fillId="46" borderId="65" xfId="0" applyFill="1" applyBorder="1" applyAlignment="1">
      <alignment horizontal="center" vertical="top" wrapText="1"/>
    </xf>
    <xf numFmtId="0" fontId="0" fillId="46" borderId="39" xfId="0" applyFill="1" applyBorder="1" applyAlignment="1">
      <alignment horizontal="center" vertical="top" wrapText="1"/>
    </xf>
    <xf numFmtId="0" fontId="0" fillId="46" borderId="40" xfId="0" applyFill="1" applyBorder="1" applyAlignment="1">
      <alignment horizontal="center" vertical="top" wrapText="1"/>
    </xf>
    <xf numFmtId="0" fontId="4" fillId="50" borderId="0" xfId="0" applyFont="1" applyFill="1" applyAlignment="1">
      <alignment vertical="top" wrapText="1"/>
    </xf>
    <xf numFmtId="0" fontId="0" fillId="50" borderId="0" xfId="0" applyFill="1" applyAlignment="1">
      <alignment vertical="top" wrapText="1"/>
    </xf>
    <xf numFmtId="0" fontId="0" fillId="50" borderId="38" xfId="0" applyFill="1" applyBorder="1" applyAlignment="1">
      <alignment vertical="top" wrapText="1"/>
    </xf>
    <xf numFmtId="0" fontId="2" fillId="50" borderId="25" xfId="0" applyFont="1" applyFill="1" applyBorder="1" applyAlignment="1">
      <alignment horizontal="left" vertical="top"/>
    </xf>
    <xf numFmtId="0" fontId="2" fillId="50" borderId="50" xfId="0" applyFont="1" applyFill="1" applyBorder="1" applyAlignment="1">
      <alignment horizontal="left" vertical="top"/>
    </xf>
    <xf numFmtId="0" fontId="10" fillId="50" borderId="0" xfId="0" applyFont="1" applyFill="1" applyAlignment="1">
      <alignment vertical="top" wrapText="1"/>
    </xf>
    <xf numFmtId="0" fontId="0" fillId="0" borderId="25" xfId="0" applyBorder="1" applyAlignment="1">
      <alignment horizontal="left" vertical="top"/>
    </xf>
    <xf numFmtId="0" fontId="2" fillId="50" borderId="14" xfId="0" applyFont="1" applyFill="1" applyBorder="1" applyAlignment="1">
      <alignment horizontal="left" vertical="top"/>
    </xf>
    <xf numFmtId="0" fontId="0" fillId="0" borderId="14" xfId="0" applyBorder="1" applyAlignment="1">
      <alignment horizontal="left" vertical="top"/>
    </xf>
    <xf numFmtId="0" fontId="0" fillId="0" borderId="32" xfId="0" applyBorder="1" applyAlignment="1">
      <alignment horizontal="left" vertical="top"/>
    </xf>
    <xf numFmtId="0" fontId="2" fillId="50" borderId="16" xfId="0" applyFont="1" applyFill="1" applyBorder="1" applyAlignment="1">
      <alignment horizontal="left" vertical="top"/>
    </xf>
    <xf numFmtId="0" fontId="0" fillId="0" borderId="16" xfId="0" applyBorder="1" applyAlignment="1">
      <alignment horizontal="left" vertical="top"/>
    </xf>
    <xf numFmtId="0" fontId="0" fillId="0" borderId="140" xfId="0" applyBorder="1" applyAlignment="1">
      <alignment horizontal="left" vertical="top"/>
    </xf>
    <xf numFmtId="0" fontId="61" fillId="0" borderId="0" xfId="78" applyFont="1" applyAlignment="1" applyProtection="1"/>
    <xf numFmtId="0" fontId="4" fillId="25" borderId="78" xfId="0" applyFont="1" applyFill="1" applyBorder="1" applyAlignment="1">
      <alignment vertical="top" wrapText="1"/>
    </xf>
    <xf numFmtId="0" fontId="0" fillId="0" borderId="24" xfId="0" applyBorder="1" applyAlignment="1">
      <alignment vertical="top" wrapText="1"/>
    </xf>
    <xf numFmtId="0" fontId="4" fillId="25" borderId="99" xfId="0" applyFont="1" applyFill="1" applyBorder="1" applyAlignment="1">
      <alignment horizontal="left" vertical="top" wrapText="1"/>
    </xf>
    <xf numFmtId="49" fontId="2" fillId="28" borderId="105" xfId="0" applyNumberFormat="1" applyFont="1" applyFill="1" applyBorder="1" applyAlignment="1" applyProtection="1">
      <alignment vertical="top"/>
      <protection locked="0"/>
    </xf>
    <xf numFmtId="49" fontId="2" fillId="28" borderId="14" xfId="0" applyNumberFormat="1" applyFont="1" applyFill="1" applyBorder="1" applyAlignment="1" applyProtection="1">
      <alignment vertical="top"/>
      <protection locked="0"/>
    </xf>
    <xf numFmtId="49" fontId="2" fillId="28" borderId="19" xfId="0" applyNumberFormat="1" applyFont="1" applyFill="1" applyBorder="1" applyAlignment="1" applyProtection="1">
      <alignment vertical="top"/>
      <protection locked="0"/>
    </xf>
    <xf numFmtId="0" fontId="4" fillId="25" borderId="13" xfId="0" applyFont="1" applyFill="1" applyBorder="1" applyAlignment="1">
      <alignment horizontal="center" vertical="center" textRotation="90"/>
    </xf>
    <xf numFmtId="49" fontId="37" fillId="42" borderId="106" xfId="0" applyNumberFormat="1" applyFont="1" applyFill="1" applyBorder="1" applyAlignment="1" applyProtection="1">
      <alignment vertical="top"/>
      <protection locked="0"/>
    </xf>
    <xf numFmtId="49" fontId="37" fillId="42" borderId="15" xfId="0" applyNumberFormat="1" applyFont="1" applyFill="1" applyBorder="1" applyAlignment="1" applyProtection="1">
      <alignment vertical="top"/>
      <protection locked="0"/>
    </xf>
    <xf numFmtId="49" fontId="37" fillId="42" borderId="20" xfId="0" applyNumberFormat="1" applyFont="1" applyFill="1" applyBorder="1" applyAlignment="1" applyProtection="1">
      <alignment vertical="top"/>
      <protection locked="0"/>
    </xf>
    <xf numFmtId="49" fontId="37" fillId="42" borderId="94" xfId="0" applyNumberFormat="1" applyFont="1" applyFill="1" applyBorder="1" applyAlignment="1" applyProtection="1">
      <alignment vertical="top"/>
      <protection locked="0"/>
    </xf>
    <xf numFmtId="49" fontId="37" fillId="42" borderId="16" xfId="0" applyNumberFormat="1" applyFont="1" applyFill="1" applyBorder="1" applyAlignment="1" applyProtection="1">
      <alignment vertical="top"/>
      <protection locked="0"/>
    </xf>
    <xf numFmtId="49" fontId="37" fillId="42" borderId="23" xfId="0" applyNumberFormat="1" applyFont="1" applyFill="1" applyBorder="1" applyAlignment="1" applyProtection="1">
      <alignment vertical="top"/>
      <protection locked="0"/>
    </xf>
    <xf numFmtId="49" fontId="2" fillId="42" borderId="106" xfId="0" applyNumberFormat="1" applyFont="1" applyFill="1" applyBorder="1" applyAlignment="1" applyProtection="1">
      <alignment vertical="top"/>
      <protection locked="0"/>
    </xf>
    <xf numFmtId="49" fontId="2" fillId="42" borderId="15" xfId="0" applyNumberFormat="1" applyFont="1" applyFill="1" applyBorder="1" applyAlignment="1" applyProtection="1">
      <alignment vertical="top"/>
      <protection locked="0"/>
    </xf>
    <xf numFmtId="49" fontId="2" fillId="42" borderId="20" xfId="0" applyNumberFormat="1" applyFont="1" applyFill="1" applyBorder="1" applyAlignment="1" applyProtection="1">
      <alignment vertical="top"/>
      <protection locked="0"/>
    </xf>
    <xf numFmtId="0" fontId="10" fillId="43" borderId="39" xfId="0" applyFont="1" applyFill="1" applyBorder="1" applyAlignment="1">
      <alignment vertical="top" wrapText="1"/>
    </xf>
    <xf numFmtId="0" fontId="0" fillId="43" borderId="39" xfId="0" applyFill="1" applyBorder="1" applyAlignment="1">
      <alignment vertical="top" wrapText="1"/>
    </xf>
    <xf numFmtId="0" fontId="0" fillId="43" borderId="40" xfId="0" applyFill="1" applyBorder="1" applyAlignment="1">
      <alignment vertical="top" wrapText="1"/>
    </xf>
    <xf numFmtId="0" fontId="38" fillId="27" borderId="114" xfId="0" applyFont="1" applyFill="1" applyBorder="1" applyAlignment="1">
      <alignment horizontal="center"/>
    </xf>
    <xf numFmtId="0" fontId="38" fillId="27" borderId="96" xfId="0" applyFont="1" applyFill="1" applyBorder="1" applyAlignment="1">
      <alignment horizontal="center"/>
    </xf>
    <xf numFmtId="0" fontId="2" fillId="46" borderId="67" xfId="0" applyFont="1" applyFill="1" applyBorder="1" applyAlignment="1">
      <alignment horizontal="left" vertical="top"/>
    </xf>
    <xf numFmtId="0" fontId="2" fillId="46" borderId="25" xfId="0" applyFont="1" applyFill="1" applyBorder="1" applyAlignment="1">
      <alignment horizontal="left" vertical="top"/>
    </xf>
    <xf numFmtId="0" fontId="2" fillId="46" borderId="12" xfId="0" applyFont="1" applyFill="1" applyBorder="1" applyAlignment="1">
      <alignment horizontal="left" vertical="top"/>
    </xf>
    <xf numFmtId="0" fontId="2" fillId="46" borderId="24" xfId="0" applyFont="1" applyFill="1" applyBorder="1" applyAlignment="1">
      <alignment horizontal="left" vertical="top"/>
    </xf>
    <xf numFmtId="0" fontId="61" fillId="46" borderId="0" xfId="78" applyFont="1" applyFill="1" applyAlignment="1" applyProtection="1">
      <alignment vertical="top" wrapText="1"/>
    </xf>
    <xf numFmtId="0" fontId="0" fillId="41" borderId="0" xfId="0" applyFill="1" applyAlignment="1">
      <alignment vertical="top" wrapText="1"/>
    </xf>
    <xf numFmtId="0" fontId="41" fillId="43" borderId="0" xfId="0" quotePrefix="1" applyFont="1" applyFill="1" applyAlignment="1">
      <alignment horizontal="left" vertical="top" wrapText="1"/>
    </xf>
    <xf numFmtId="0" fontId="41" fillId="43" borderId="38" xfId="0" quotePrefix="1" applyFont="1" applyFill="1" applyBorder="1" applyAlignment="1">
      <alignment horizontal="left" vertical="top" wrapText="1"/>
    </xf>
    <xf numFmtId="0" fontId="4" fillId="43" borderId="25" xfId="0" applyFont="1" applyFill="1" applyBorder="1" applyAlignment="1">
      <alignment horizontal="left" vertical="top" wrapText="1"/>
    </xf>
    <xf numFmtId="0" fontId="0" fillId="43" borderId="25" xfId="0" applyFill="1" applyBorder="1" applyAlignment="1">
      <alignment horizontal="left" vertical="top" wrapText="1"/>
    </xf>
    <xf numFmtId="0" fontId="10" fillId="43" borderId="38" xfId="0" applyFont="1" applyFill="1" applyBorder="1" applyAlignment="1">
      <alignment vertical="top" wrapText="1"/>
    </xf>
    <xf numFmtId="0" fontId="4" fillId="43" borderId="38" xfId="0" applyFont="1" applyFill="1" applyBorder="1" applyAlignment="1">
      <alignment horizontal="left" vertical="top" wrapText="1"/>
    </xf>
    <xf numFmtId="0" fontId="87" fillId="54" borderId="0" xfId="0" quotePrefix="1" applyFont="1" applyFill="1" applyAlignment="1">
      <alignment horizontal="left" vertical="center" wrapText="1"/>
    </xf>
    <xf numFmtId="0" fontId="37" fillId="42" borderId="94" xfId="0" applyFont="1" applyFill="1" applyBorder="1" applyAlignment="1" applyProtection="1">
      <alignment vertical="top"/>
      <protection locked="0"/>
    </xf>
    <xf numFmtId="0" fontId="0" fillId="42" borderId="16" xfId="0" applyFill="1" applyBorder="1" applyAlignment="1" applyProtection="1">
      <alignment vertical="top"/>
      <protection locked="0"/>
    </xf>
    <xf numFmtId="49" fontId="0" fillId="28" borderId="16" xfId="0" applyNumberFormat="1" applyFill="1" applyBorder="1" applyAlignment="1" applyProtection="1">
      <alignment vertical="top"/>
      <protection locked="0"/>
    </xf>
    <xf numFmtId="49" fontId="0" fillId="28" borderId="23" xfId="0" applyNumberFormat="1" applyFill="1" applyBorder="1" applyAlignment="1" applyProtection="1">
      <alignment vertical="top"/>
      <protection locked="0"/>
    </xf>
    <xf numFmtId="0" fontId="37" fillId="42" borderId="106" xfId="0" applyFont="1" applyFill="1" applyBorder="1" applyAlignment="1" applyProtection="1">
      <alignment vertical="top"/>
      <protection locked="0"/>
    </xf>
    <xf numFmtId="0" fontId="0" fillId="42" borderId="15" xfId="0" applyFill="1" applyBorder="1" applyAlignment="1" applyProtection="1">
      <alignment vertical="top"/>
      <protection locked="0"/>
    </xf>
    <xf numFmtId="49" fontId="0" fillId="28" borderId="15" xfId="0" applyNumberFormat="1" applyFill="1" applyBorder="1" applyAlignment="1" applyProtection="1">
      <alignment vertical="top"/>
      <protection locked="0"/>
    </xf>
    <xf numFmtId="49" fontId="0" fillId="28" borderId="20" xfId="0" applyNumberFormat="1" applyFill="1" applyBorder="1" applyAlignment="1" applyProtection="1">
      <alignment vertical="top"/>
      <protection locked="0"/>
    </xf>
    <xf numFmtId="49" fontId="2" fillId="42" borderId="106" xfId="0" applyNumberFormat="1" applyFont="1" applyFill="1" applyBorder="1" applyAlignment="1" applyProtection="1">
      <alignment horizontal="left" vertical="top"/>
      <protection locked="0"/>
    </xf>
    <xf numFmtId="0" fontId="37" fillId="42" borderId="105" xfId="0" applyFont="1" applyFill="1" applyBorder="1" applyAlignment="1" applyProtection="1">
      <alignment vertical="top"/>
      <protection locked="0"/>
    </xf>
    <xf numFmtId="0" fontId="0" fillId="42" borderId="14" xfId="0" applyFill="1" applyBorder="1" applyAlignment="1" applyProtection="1">
      <alignment vertical="top"/>
      <protection locked="0"/>
    </xf>
    <xf numFmtId="49" fontId="2" fillId="28" borderId="103" xfId="0" applyNumberFormat="1" applyFont="1" applyFill="1" applyBorder="1" applyAlignment="1" applyProtection="1">
      <alignment horizontal="left" vertical="top"/>
      <protection locked="0"/>
    </xf>
    <xf numFmtId="49" fontId="0" fillId="28" borderId="21" xfId="0" applyNumberFormat="1" applyFill="1" applyBorder="1" applyAlignment="1" applyProtection="1">
      <alignment vertical="top"/>
      <protection locked="0"/>
    </xf>
    <xf numFmtId="49" fontId="0" fillId="28" borderId="102" xfId="0" applyNumberFormat="1" applyFill="1" applyBorder="1" applyAlignment="1" applyProtection="1">
      <alignment vertical="top"/>
      <protection locked="0"/>
    </xf>
    <xf numFmtId="0" fontId="69" fillId="46" borderId="158" xfId="0" applyFont="1" applyFill="1" applyBorder="1" applyAlignment="1">
      <alignment horizontal="left"/>
    </xf>
    <xf numFmtId="0" fontId="69" fillId="46" borderId="152" xfId="0" applyFont="1" applyFill="1" applyBorder="1" applyAlignment="1">
      <alignment horizontal="left"/>
    </xf>
    <xf numFmtId="0" fontId="39" fillId="46" borderId="0" xfId="78" applyNumberFormat="1" applyFont="1" applyFill="1" applyAlignment="1" applyProtection="1">
      <alignment vertical="top" wrapText="1"/>
    </xf>
    <xf numFmtId="0" fontId="65" fillId="46" borderId="67" xfId="0" applyFont="1" applyFill="1" applyBorder="1" applyAlignment="1">
      <alignment vertical="top" wrapText="1"/>
    </xf>
    <xf numFmtId="0" fontId="65" fillId="46" borderId="25" xfId="0" applyFont="1" applyFill="1" applyBorder="1" applyAlignment="1">
      <alignment vertical="top" wrapText="1"/>
    </xf>
    <xf numFmtId="0" fontId="65" fillId="46" borderId="26" xfId="0" applyFont="1" applyFill="1" applyBorder="1" applyAlignment="1">
      <alignment vertical="top" wrapText="1"/>
    </xf>
    <xf numFmtId="0" fontId="4" fillId="50" borderId="12" xfId="0" applyFont="1" applyFill="1" applyBorder="1" applyAlignment="1">
      <alignment horizontal="left" vertical="top"/>
    </xf>
    <xf numFmtId="0" fontId="6" fillId="46" borderId="160" xfId="78" applyFill="1" applyBorder="1" applyAlignment="1" applyProtection="1">
      <alignment horizontal="center" vertical="top" wrapText="1"/>
    </xf>
    <xf numFmtId="0" fontId="38" fillId="27" borderId="67" xfId="0" applyFont="1" applyFill="1" applyBorder="1" applyAlignment="1">
      <alignment horizontal="left"/>
    </xf>
    <xf numFmtId="0" fontId="38" fillId="27" borderId="25" xfId="0" applyFont="1" applyFill="1" applyBorder="1" applyAlignment="1">
      <alignment horizontal="left"/>
    </xf>
    <xf numFmtId="0" fontId="38" fillId="27" borderId="26" xfId="0" applyFont="1" applyFill="1" applyBorder="1" applyAlignment="1">
      <alignment horizontal="left"/>
    </xf>
    <xf numFmtId="0" fontId="0" fillId="0" borderId="12" xfId="0" applyBorder="1" applyAlignment="1">
      <alignment horizontal="left" vertical="top"/>
    </xf>
    <xf numFmtId="0" fontId="0" fillId="0" borderId="50" xfId="0" applyBorder="1" applyAlignment="1">
      <alignment horizontal="left" vertical="top"/>
    </xf>
    <xf numFmtId="0" fontId="0" fillId="0" borderId="154" xfId="0" applyBorder="1" applyAlignment="1">
      <alignment horizontal="left" vertical="top"/>
    </xf>
    <xf numFmtId="0" fontId="39" fillId="46" borderId="0" xfId="78" applyNumberFormat="1" applyFont="1" applyFill="1" applyBorder="1" applyAlignment="1" applyProtection="1">
      <alignment vertical="top" wrapText="1"/>
    </xf>
    <xf numFmtId="0" fontId="35" fillId="25" borderId="12" xfId="0" applyFont="1" applyFill="1" applyBorder="1" applyAlignment="1">
      <alignment horizontal="left" vertical="top" wrapText="1"/>
    </xf>
    <xf numFmtId="0" fontId="2" fillId="29" borderId="15" xfId="0" applyFont="1" applyFill="1" applyBorder="1" applyAlignment="1" applyProtection="1">
      <alignment horizontal="left" vertical="top"/>
      <protection locked="0"/>
    </xf>
    <xf numFmtId="0" fontId="0" fillId="29" borderId="20" xfId="0" applyFill="1" applyBorder="1" applyAlignment="1" applyProtection="1">
      <alignment horizontal="left" vertical="top"/>
      <protection locked="0"/>
    </xf>
    <xf numFmtId="0" fontId="2" fillId="29" borderId="106" xfId="0" applyFont="1" applyFill="1" applyBorder="1" applyAlignment="1" applyProtection="1">
      <alignment horizontal="left" vertical="top"/>
      <protection locked="0"/>
    </xf>
    <xf numFmtId="0" fontId="0" fillId="29" borderId="15" xfId="0" applyFill="1" applyBorder="1" applyAlignment="1" applyProtection="1">
      <alignment horizontal="left" vertical="top"/>
      <protection locked="0"/>
    </xf>
    <xf numFmtId="0" fontId="2" fillId="29" borderId="14" xfId="0" applyFont="1" applyFill="1" applyBorder="1" applyAlignment="1" applyProtection="1">
      <alignment horizontal="left" vertical="top"/>
      <protection locked="0"/>
    </xf>
    <xf numFmtId="0" fontId="0" fillId="29" borderId="19" xfId="0" applyFill="1" applyBorder="1" applyAlignment="1" applyProtection="1">
      <alignment horizontal="left" vertical="top"/>
      <protection locked="0"/>
    </xf>
    <xf numFmtId="0" fontId="2" fillId="29" borderId="16" xfId="0" applyFont="1" applyFill="1" applyBorder="1" applyAlignment="1" applyProtection="1">
      <alignment horizontal="left" vertical="top"/>
      <protection locked="0"/>
    </xf>
    <xf numFmtId="0" fontId="0" fillId="29" borderId="23" xfId="0" applyFill="1" applyBorder="1" applyAlignment="1" applyProtection="1">
      <alignment horizontal="left" vertical="top"/>
      <protection locked="0"/>
    </xf>
    <xf numFmtId="0" fontId="2" fillId="29" borderId="94" xfId="0" applyFont="1" applyFill="1" applyBorder="1" applyAlignment="1" applyProtection="1">
      <alignment horizontal="left" vertical="top"/>
      <protection locked="0"/>
    </xf>
    <xf numFmtId="0" fontId="0" fillId="29" borderId="16" xfId="0" applyFill="1" applyBorder="1" applyAlignment="1" applyProtection="1">
      <alignment horizontal="left" vertical="top"/>
      <protection locked="0"/>
    </xf>
    <xf numFmtId="0" fontId="2" fillId="29" borderId="105" xfId="0" applyFont="1" applyFill="1" applyBorder="1" applyAlignment="1" applyProtection="1">
      <alignment horizontal="left" vertical="top"/>
      <protection locked="0"/>
    </xf>
    <xf numFmtId="0" fontId="0" fillId="29" borderId="14" xfId="0" applyFill="1" applyBorder="1" applyAlignment="1" applyProtection="1">
      <alignment horizontal="left" vertical="top"/>
      <protection locked="0"/>
    </xf>
    <xf numFmtId="0" fontId="4" fillId="25" borderId="12" xfId="0" applyFont="1" applyFill="1" applyBorder="1" applyAlignment="1">
      <alignment vertical="top" wrapText="1"/>
    </xf>
    <xf numFmtId="0" fontId="2" fillId="28" borderId="14" xfId="0" applyFont="1" applyFill="1" applyBorder="1" applyAlignment="1" applyProtection="1">
      <alignment horizontal="left" vertical="top"/>
      <protection locked="0"/>
    </xf>
    <xf numFmtId="0" fontId="2" fillId="28" borderId="105" xfId="0" applyFont="1" applyFill="1" applyBorder="1" applyAlignment="1" applyProtection="1">
      <alignment horizontal="left" vertical="top"/>
      <protection locked="0"/>
    </xf>
    <xf numFmtId="0" fontId="0" fillId="0" borderId="14" xfId="0" applyBorder="1" applyAlignment="1" applyProtection="1">
      <alignment horizontal="left" vertical="top"/>
      <protection locked="0"/>
    </xf>
    <xf numFmtId="0" fontId="0" fillId="42" borderId="67" xfId="0" applyFill="1" applyBorder="1" applyAlignment="1" applyProtection="1">
      <alignment horizontal="left"/>
      <protection locked="0"/>
    </xf>
    <xf numFmtId="0" fontId="0" fillId="42" borderId="26" xfId="0" applyFill="1" applyBorder="1" applyAlignment="1" applyProtection="1">
      <alignment horizontal="left"/>
      <protection locked="0"/>
    </xf>
    <xf numFmtId="0" fontId="0" fillId="42" borderId="13" xfId="0" applyFill="1" applyBorder="1" applyAlignment="1" applyProtection="1">
      <alignment horizontal="left"/>
      <protection locked="0"/>
    </xf>
    <xf numFmtId="0" fontId="4" fillId="25" borderId="165" xfId="0" applyFont="1" applyFill="1" applyBorder="1" applyAlignment="1">
      <alignment horizontal="left" vertical="center" wrapText="1"/>
    </xf>
    <xf numFmtId="0" fontId="4" fillId="0" borderId="166" xfId="0" applyFont="1" applyBorder="1" applyAlignment="1">
      <alignment horizontal="left" vertical="center" wrapText="1"/>
    </xf>
    <xf numFmtId="0" fontId="4" fillId="25" borderId="170" xfId="0" applyFont="1" applyFill="1" applyBorder="1" applyAlignment="1">
      <alignment horizontal="left" vertical="center" wrapText="1"/>
    </xf>
    <xf numFmtId="0" fontId="4" fillId="0" borderId="171" xfId="0" applyFont="1" applyBorder="1" applyAlignment="1">
      <alignment horizontal="left" vertical="center" wrapText="1"/>
    </xf>
    <xf numFmtId="0" fontId="35" fillId="25" borderId="18" xfId="0" applyFont="1" applyFill="1" applyBorder="1" applyAlignment="1">
      <alignment vertical="top" wrapText="1"/>
    </xf>
    <xf numFmtId="0" fontId="38" fillId="27" borderId="67" xfId="0" applyFont="1" applyFill="1" applyBorder="1" applyAlignment="1">
      <alignment horizontal="left" vertical="top" wrapText="1"/>
    </xf>
    <xf numFmtId="0" fontId="38" fillId="27" borderId="25" xfId="0" applyFont="1" applyFill="1" applyBorder="1" applyAlignment="1">
      <alignment horizontal="left" vertical="top" wrapText="1"/>
    </xf>
    <xf numFmtId="0" fontId="38" fillId="27" borderId="50" xfId="0" applyFont="1" applyFill="1" applyBorder="1" applyAlignment="1">
      <alignment horizontal="left" vertical="top" wrapText="1"/>
    </xf>
    <xf numFmtId="0" fontId="2" fillId="25" borderId="13" xfId="0" applyFont="1" applyFill="1" applyBorder="1" applyAlignment="1">
      <alignment horizontal="center" vertical="top"/>
    </xf>
    <xf numFmtId="0" fontId="2" fillId="0" borderId="25" xfId="0" applyFont="1" applyBorder="1" applyAlignment="1">
      <alignment horizontal="left" vertical="top" wrapText="1"/>
    </xf>
    <xf numFmtId="0" fontId="102" fillId="25" borderId="0" xfId="0" applyFont="1" applyFill="1" applyAlignment="1">
      <alignment horizontal="right" vertical="top"/>
    </xf>
    <xf numFmtId="0" fontId="102" fillId="25" borderId="18" xfId="0" applyFont="1" applyFill="1" applyBorder="1" applyAlignment="1">
      <alignment horizontal="right" vertical="top"/>
    </xf>
    <xf numFmtId="0" fontId="37" fillId="40" borderId="15" xfId="0" applyFont="1" applyFill="1" applyBorder="1" applyAlignment="1">
      <alignment horizontal="left" vertical="top" wrapText="1"/>
    </xf>
    <xf numFmtId="0" fontId="4" fillId="25" borderId="111" xfId="0" applyFont="1" applyFill="1" applyBorder="1" applyAlignment="1">
      <alignment horizontal="left" vertical="top" wrapText="1"/>
    </xf>
    <xf numFmtId="0" fontId="37" fillId="40" borderId="16" xfId="0" applyFont="1" applyFill="1" applyBorder="1" applyAlignment="1">
      <alignment horizontal="left" vertical="top" wrapText="1"/>
    </xf>
    <xf numFmtId="0" fontId="2" fillId="41" borderId="41" xfId="0" applyFont="1" applyFill="1" applyBorder="1" applyAlignment="1">
      <alignment horizontal="left" vertical="top" wrapText="1"/>
    </xf>
    <xf numFmtId="0" fontId="0" fillId="0" borderId="41" xfId="0" applyBorder="1" applyAlignment="1">
      <alignment horizontal="left" vertical="top" wrapText="1"/>
    </xf>
    <xf numFmtId="0" fontId="4" fillId="25" borderId="56" xfId="0" applyFont="1" applyFill="1" applyBorder="1" applyAlignment="1">
      <alignment horizontal="left" vertical="top" wrapText="1"/>
    </xf>
    <xf numFmtId="0" fontId="0" fillId="0" borderId="36" xfId="0" applyBorder="1" applyAlignment="1">
      <alignment horizontal="left" vertical="top" wrapText="1"/>
    </xf>
    <xf numFmtId="0" fontId="4" fillId="25" borderId="100" xfId="0" applyFont="1" applyFill="1" applyBorder="1" applyAlignment="1">
      <alignment horizontal="left" vertical="top" wrapText="1"/>
    </xf>
    <xf numFmtId="0" fontId="0" fillId="0" borderId="51" xfId="0" applyBorder="1" applyAlignment="1">
      <alignment horizontal="left" vertical="top" wrapText="1"/>
    </xf>
    <xf numFmtId="0" fontId="2" fillId="41" borderId="120" xfId="0" applyFont="1" applyFill="1" applyBorder="1" applyAlignment="1">
      <alignment horizontal="left" vertical="top" wrapText="1"/>
    </xf>
    <xf numFmtId="0" fontId="37" fillId="25" borderId="139" xfId="0" applyFont="1" applyFill="1" applyBorder="1" applyAlignment="1">
      <alignment horizontal="left" vertical="top" wrapText="1"/>
    </xf>
    <xf numFmtId="0" fontId="0" fillId="0" borderId="139" xfId="0" applyBorder="1" applyAlignment="1">
      <alignment horizontal="left" vertical="top" wrapText="1"/>
    </xf>
    <xf numFmtId="0" fontId="4" fillId="0" borderId="51" xfId="0" applyFont="1" applyBorder="1" applyAlignment="1">
      <alignment horizontal="left" vertical="top" wrapText="1"/>
    </xf>
    <xf numFmtId="0" fontId="2" fillId="27" borderId="67" xfId="0" applyFont="1" applyFill="1" applyBorder="1" applyAlignment="1">
      <alignment horizontal="left" vertical="top" wrapText="1"/>
    </xf>
    <xf numFmtId="0" fontId="2" fillId="27" borderId="26" xfId="0" applyFont="1" applyFill="1" applyBorder="1" applyAlignment="1">
      <alignment horizontal="left" vertical="top" wrapText="1"/>
    </xf>
    <xf numFmtId="0" fontId="4" fillId="25" borderId="110" xfId="0" applyFont="1" applyFill="1" applyBorder="1" applyAlignment="1">
      <alignment horizontal="left" vertical="top" wrapText="1"/>
    </xf>
    <xf numFmtId="0" fontId="2" fillId="41" borderId="16" xfId="0" applyFont="1" applyFill="1" applyBorder="1" applyAlignment="1">
      <alignment horizontal="left" vertical="top" wrapText="1"/>
    </xf>
    <xf numFmtId="0" fontId="10" fillId="25" borderId="15" xfId="0" applyFont="1" applyFill="1" applyBorder="1" applyAlignment="1">
      <alignment vertical="top" wrapText="1"/>
    </xf>
    <xf numFmtId="0" fontId="99" fillId="25" borderId="15" xfId="0" applyFont="1" applyFill="1" applyBorder="1" applyAlignment="1">
      <alignment vertical="top" wrapText="1"/>
    </xf>
    <xf numFmtId="0" fontId="10" fillId="25" borderId="15" xfId="0" applyFont="1" applyFill="1" applyBorder="1" applyAlignment="1">
      <alignment vertical="top"/>
    </xf>
    <xf numFmtId="0" fontId="48" fillId="34" borderId="114" xfId="0" applyFont="1" applyFill="1" applyBorder="1" applyAlignment="1">
      <alignment horizontal="left" vertical="center" wrapText="1"/>
    </xf>
    <xf numFmtId="0" fontId="48" fillId="34" borderId="97" xfId="0" applyFont="1" applyFill="1" applyBorder="1" applyAlignment="1">
      <alignment horizontal="left" vertical="center" wrapText="1"/>
    </xf>
    <xf numFmtId="0" fontId="48" fillId="34" borderId="96" xfId="0" applyFont="1" applyFill="1" applyBorder="1" applyAlignment="1">
      <alignment horizontal="left" vertical="center" wrapText="1"/>
    </xf>
    <xf numFmtId="0" fontId="0" fillId="0" borderId="15" xfId="0" applyBorder="1" applyAlignment="1">
      <alignment vertical="top"/>
    </xf>
    <xf numFmtId="0" fontId="38" fillId="27" borderId="25" xfId="0" applyFont="1" applyFill="1" applyBorder="1" applyAlignment="1">
      <alignment vertical="top" wrapText="1"/>
    </xf>
    <xf numFmtId="0" fontId="38" fillId="27" borderId="26" xfId="0" applyFont="1" applyFill="1" applyBorder="1" applyAlignment="1">
      <alignment vertical="top" wrapText="1"/>
    </xf>
    <xf numFmtId="0" fontId="2" fillId="25" borderId="13" xfId="0" applyFont="1" applyFill="1" applyBorder="1" applyAlignment="1">
      <alignment horizontal="left" vertical="top"/>
    </xf>
    <xf numFmtId="0" fontId="0" fillId="0" borderId="13" xfId="0" applyBorder="1" applyAlignment="1">
      <alignment horizontal="left" vertical="top"/>
    </xf>
    <xf numFmtId="0" fontId="2" fillId="25" borderId="71" xfId="0" applyFont="1" applyFill="1" applyBorder="1" applyAlignment="1">
      <alignment horizontal="left" vertical="top"/>
    </xf>
    <xf numFmtId="0" fontId="2" fillId="25" borderId="10" xfId="0" applyFont="1" applyFill="1" applyBorder="1" applyAlignment="1">
      <alignment horizontal="left" vertical="top"/>
    </xf>
    <xf numFmtId="0" fontId="0" fillId="0" borderId="10" xfId="0" applyBorder="1" applyAlignment="1">
      <alignment horizontal="left" vertical="top"/>
    </xf>
    <xf numFmtId="0" fontId="48" fillId="34" borderId="114" xfId="0" applyFont="1" applyFill="1" applyBorder="1" applyAlignment="1">
      <alignment horizontal="left" vertical="top" wrapText="1"/>
    </xf>
    <xf numFmtId="0" fontId="48" fillId="34" borderId="97" xfId="0" applyFont="1" applyFill="1" applyBorder="1" applyAlignment="1">
      <alignment horizontal="left" vertical="top" wrapText="1"/>
    </xf>
    <xf numFmtId="0" fontId="48" fillId="34" borderId="96" xfId="0" applyFont="1" applyFill="1" applyBorder="1" applyAlignment="1">
      <alignment horizontal="left" vertical="top" wrapText="1"/>
    </xf>
    <xf numFmtId="0" fontId="0" fillId="0" borderId="71" xfId="0" applyBorder="1" applyAlignment="1">
      <alignment horizontal="left" vertical="top"/>
    </xf>
    <xf numFmtId="0" fontId="39" fillId="46" borderId="114" xfId="78" applyFont="1" applyFill="1" applyBorder="1" applyAlignment="1" applyProtection="1">
      <alignment horizontal="center" vertical="center" wrapText="1"/>
    </xf>
    <xf numFmtId="0" fontId="39" fillId="46" borderId="97" xfId="78" applyFont="1" applyFill="1" applyBorder="1" applyAlignment="1" applyProtection="1">
      <alignment horizontal="center" vertical="center" wrapText="1"/>
    </xf>
    <xf numFmtId="0" fontId="39" fillId="46" borderId="96" xfId="78" applyFont="1" applyFill="1" applyBorder="1" applyAlignment="1" applyProtection="1">
      <alignment horizontal="center" vertical="center" wrapText="1"/>
    </xf>
    <xf numFmtId="0" fontId="2" fillId="27" borderId="67" xfId="0" applyFont="1" applyFill="1" applyBorder="1" applyAlignment="1">
      <alignment vertical="top" wrapText="1"/>
    </xf>
    <xf numFmtId="0" fontId="2" fillId="40" borderId="25" xfId="0" applyFont="1" applyFill="1" applyBorder="1" applyAlignment="1">
      <alignment vertical="top" wrapText="1"/>
    </xf>
    <xf numFmtId="0" fontId="2" fillId="27" borderId="26" xfId="0" applyFont="1" applyFill="1" applyBorder="1" applyAlignment="1">
      <alignment vertical="top" wrapText="1"/>
    </xf>
    <xf numFmtId="0" fontId="4" fillId="46" borderId="74" xfId="0" applyFont="1" applyFill="1" applyBorder="1" applyAlignment="1">
      <alignment horizontal="center" vertical="top" wrapText="1"/>
    </xf>
    <xf numFmtId="0" fontId="2" fillId="25" borderId="78" xfId="0" applyFont="1" applyFill="1" applyBorder="1" applyAlignment="1">
      <alignment vertical="top" wrapText="1"/>
    </xf>
    <xf numFmtId="0" fontId="2" fillId="41" borderId="12" xfId="0" applyFont="1" applyFill="1" applyBorder="1" applyAlignment="1">
      <alignment vertical="top" wrapText="1"/>
    </xf>
    <xf numFmtId="0" fontId="2" fillId="25" borderId="24" xfId="0" applyFont="1" applyFill="1" applyBorder="1" applyAlignment="1">
      <alignment vertical="top" wrapText="1"/>
    </xf>
    <xf numFmtId="0" fontId="2" fillId="40" borderId="13" xfId="0" applyFont="1" applyFill="1" applyBorder="1" applyAlignment="1">
      <alignment horizontal="left" vertical="top"/>
    </xf>
    <xf numFmtId="49" fontId="2" fillId="40" borderId="13" xfId="0" applyNumberFormat="1" applyFont="1" applyFill="1" applyBorder="1" applyAlignment="1">
      <alignment horizontal="left" vertical="top"/>
    </xf>
    <xf numFmtId="0" fontId="2" fillId="27" borderId="10" xfId="0" applyFont="1" applyFill="1" applyBorder="1" applyAlignment="1">
      <alignment horizontal="left" vertical="top"/>
    </xf>
    <xf numFmtId="49" fontId="2" fillId="40" borderId="26" xfId="0" applyNumberFormat="1" applyFont="1" applyFill="1" applyBorder="1" applyAlignment="1">
      <alignment horizontal="left" vertical="top"/>
    </xf>
    <xf numFmtId="0" fontId="4" fillId="25" borderId="107" xfId="0" applyFont="1" applyFill="1" applyBorder="1" applyAlignment="1">
      <alignment horizontal="left" vertical="top" wrapText="1"/>
    </xf>
    <xf numFmtId="0" fontId="37" fillId="40" borderId="14" xfId="0" applyFont="1" applyFill="1" applyBorder="1" applyAlignment="1">
      <alignment horizontal="left" vertical="top" wrapText="1"/>
    </xf>
    <xf numFmtId="0" fontId="2" fillId="25" borderId="12" xfId="0" applyFont="1" applyFill="1" applyBorder="1" applyAlignment="1">
      <alignment horizontal="left" vertical="top"/>
    </xf>
    <xf numFmtId="0" fontId="2" fillId="25" borderId="24" xfId="0" applyFont="1" applyFill="1" applyBorder="1" applyAlignment="1">
      <alignment horizontal="left" vertical="top"/>
    </xf>
    <xf numFmtId="0" fontId="0" fillId="0" borderId="24" xfId="0" applyBorder="1" applyAlignment="1">
      <alignment horizontal="left" vertical="top"/>
    </xf>
    <xf numFmtId="0" fontId="2" fillId="25" borderId="60" xfId="0" applyFont="1" applyFill="1" applyBorder="1" applyAlignment="1">
      <alignment horizontal="left" vertical="top"/>
    </xf>
    <xf numFmtId="0" fontId="0" fillId="0" borderId="60" xfId="0" applyBorder="1" applyAlignment="1">
      <alignment horizontal="left" vertical="top"/>
    </xf>
    <xf numFmtId="0" fontId="4" fillId="25" borderId="0" xfId="0" applyFont="1" applyFill="1" applyAlignment="1">
      <alignment horizontal="left" vertical="top"/>
    </xf>
    <xf numFmtId="0" fontId="0" fillId="0" borderId="0" xfId="0" applyAlignment="1">
      <alignment horizontal="left" vertical="top"/>
    </xf>
    <xf numFmtId="0" fontId="0" fillId="0" borderId="18" xfId="0" applyBorder="1" applyAlignment="1">
      <alignment horizontal="left" vertical="top"/>
    </xf>
    <xf numFmtId="0" fontId="2" fillId="25" borderId="11" xfId="0" applyFont="1" applyFill="1" applyBorder="1" applyAlignment="1">
      <alignment horizontal="left" vertical="top"/>
    </xf>
    <xf numFmtId="0" fontId="0" fillId="0" borderId="11" xfId="0" applyBorder="1" applyAlignment="1">
      <alignment horizontal="left" vertical="top"/>
    </xf>
    <xf numFmtId="0" fontId="2" fillId="25" borderId="14" xfId="0" applyFont="1" applyFill="1" applyBorder="1" applyAlignment="1">
      <alignment horizontal="left" vertical="top" wrapText="1"/>
    </xf>
    <xf numFmtId="0" fontId="37" fillId="41" borderId="41" xfId="0" applyFont="1" applyFill="1" applyBorder="1" applyAlignment="1">
      <alignment horizontal="left" vertical="top" wrapText="1"/>
    </xf>
    <xf numFmtId="0" fontId="4" fillId="25" borderId="25" xfId="0" applyFont="1" applyFill="1" applyBorder="1" applyAlignment="1">
      <alignment horizontal="left" vertical="top" wrapText="1"/>
    </xf>
    <xf numFmtId="0" fontId="2" fillId="43" borderId="12" xfId="0" applyFont="1" applyFill="1" applyBorder="1" applyAlignment="1">
      <alignment horizontal="left" vertical="top" wrapText="1"/>
    </xf>
    <xf numFmtId="0" fontId="98" fillId="43" borderId="12" xfId="0" applyFont="1" applyFill="1" applyBorder="1" applyAlignment="1">
      <alignment horizontal="left" vertical="top"/>
    </xf>
    <xf numFmtId="0" fontId="2" fillId="0" borderId="14" xfId="0" applyFont="1" applyBorder="1" applyAlignment="1">
      <alignment horizontal="left" vertical="top" wrapText="1"/>
    </xf>
    <xf numFmtId="0" fontId="2" fillId="0" borderId="16" xfId="0" applyFont="1" applyBorder="1" applyAlignment="1">
      <alignment horizontal="left" vertical="top" wrapText="1"/>
    </xf>
    <xf numFmtId="0" fontId="4" fillId="25" borderId="109" xfId="0" applyFont="1" applyFill="1" applyBorder="1" applyAlignment="1">
      <alignment horizontal="left" vertical="top" wrapText="1"/>
    </xf>
    <xf numFmtId="0" fontId="4" fillId="27" borderId="10" xfId="0" applyFont="1" applyFill="1" applyBorder="1" applyAlignment="1">
      <alignment horizontal="center" vertical="top"/>
    </xf>
    <xf numFmtId="0" fontId="36" fillId="40" borderId="67" xfId="0" applyFont="1" applyFill="1" applyBorder="1" applyAlignment="1">
      <alignment horizontal="left"/>
    </xf>
    <xf numFmtId="0" fontId="36" fillId="40" borderId="25" xfId="0" applyFont="1" applyFill="1" applyBorder="1" applyAlignment="1">
      <alignment horizontal="left"/>
    </xf>
    <xf numFmtId="0" fontId="36" fillId="40" borderId="26" xfId="0" applyFont="1" applyFill="1" applyBorder="1" applyAlignment="1">
      <alignment horizontal="left"/>
    </xf>
    <xf numFmtId="0" fontId="2" fillId="25" borderId="41" xfId="0" applyFont="1" applyFill="1" applyBorder="1" applyAlignment="1">
      <alignment horizontal="left" vertical="top" wrapText="1"/>
    </xf>
    <xf numFmtId="0" fontId="2" fillId="25" borderId="25" xfId="0" applyFont="1" applyFill="1" applyBorder="1" applyAlignment="1">
      <alignment horizontal="left" vertical="top" wrapText="1"/>
    </xf>
  </cellXfs>
  <cellStyles count="103">
    <cellStyle name="20% - Accent1" xfId="1" xr:uid="{00000000-0005-0000-0000-000000000000}"/>
    <cellStyle name="20% - Accent1 2" xfId="2" xr:uid="{00000000-0005-0000-0000-000001000000}"/>
    <cellStyle name="20% - Accent2" xfId="3" xr:uid="{00000000-0005-0000-0000-000002000000}"/>
    <cellStyle name="20% - Accent2 2" xfId="4" xr:uid="{00000000-0005-0000-0000-000003000000}"/>
    <cellStyle name="20% - Accent3" xfId="5" xr:uid="{00000000-0005-0000-0000-000004000000}"/>
    <cellStyle name="20% - Accent3 2" xfId="6" xr:uid="{00000000-0005-0000-0000-000005000000}"/>
    <cellStyle name="20% - Accent4" xfId="7" xr:uid="{00000000-0005-0000-0000-000006000000}"/>
    <cellStyle name="20% - Accent4 2" xfId="8" xr:uid="{00000000-0005-0000-0000-000007000000}"/>
    <cellStyle name="20% - Accent5" xfId="9" xr:uid="{00000000-0005-0000-0000-000008000000}"/>
    <cellStyle name="20% - Accent5 2" xfId="10" xr:uid="{00000000-0005-0000-0000-000009000000}"/>
    <cellStyle name="20% - Accent6" xfId="11" xr:uid="{00000000-0005-0000-0000-00000A000000}"/>
    <cellStyle name="20% - Accent6 2" xfId="12" xr:uid="{00000000-0005-0000-0000-00000B000000}"/>
    <cellStyle name="20% - Akzent1" xfId="13" xr:uid="{00000000-0005-0000-0000-00000C000000}"/>
    <cellStyle name="20% - Akzent2" xfId="14" xr:uid="{00000000-0005-0000-0000-00000D000000}"/>
    <cellStyle name="20% - Akzent3" xfId="15" xr:uid="{00000000-0005-0000-0000-00000E000000}"/>
    <cellStyle name="20% - Akzent4" xfId="16" xr:uid="{00000000-0005-0000-0000-00000F000000}"/>
    <cellStyle name="20% - Akzent5" xfId="17" xr:uid="{00000000-0005-0000-0000-000010000000}"/>
    <cellStyle name="20% - Akzent6" xfId="18" xr:uid="{00000000-0005-0000-0000-000011000000}"/>
    <cellStyle name="40% - Accent1" xfId="19" xr:uid="{00000000-0005-0000-0000-000012000000}"/>
    <cellStyle name="40% - Accent1 2" xfId="20" xr:uid="{00000000-0005-0000-0000-000013000000}"/>
    <cellStyle name="40% - Accent2" xfId="21" xr:uid="{00000000-0005-0000-0000-000014000000}"/>
    <cellStyle name="40% - Accent2 2" xfId="22" xr:uid="{00000000-0005-0000-0000-000015000000}"/>
    <cellStyle name="40% - Accent3" xfId="23" xr:uid="{00000000-0005-0000-0000-000016000000}"/>
    <cellStyle name="40% - Accent3 2" xfId="24" xr:uid="{00000000-0005-0000-0000-000017000000}"/>
    <cellStyle name="40% - Accent4" xfId="25" xr:uid="{00000000-0005-0000-0000-000018000000}"/>
    <cellStyle name="40% - Accent4 2" xfId="26" xr:uid="{00000000-0005-0000-0000-000019000000}"/>
    <cellStyle name="40% - Accent5" xfId="27" xr:uid="{00000000-0005-0000-0000-00001A000000}"/>
    <cellStyle name="40% - Accent5 2" xfId="28" xr:uid="{00000000-0005-0000-0000-00001B000000}"/>
    <cellStyle name="40% - Accent6" xfId="29" xr:uid="{00000000-0005-0000-0000-00001C000000}"/>
    <cellStyle name="40% - Accent6 2" xfId="30" xr:uid="{00000000-0005-0000-0000-00001D000000}"/>
    <cellStyle name="40% - Akzent1" xfId="31" xr:uid="{00000000-0005-0000-0000-00001E000000}"/>
    <cellStyle name="40% - Akzent2" xfId="32" xr:uid="{00000000-0005-0000-0000-00001F000000}"/>
    <cellStyle name="40% - Akzent3" xfId="33" xr:uid="{00000000-0005-0000-0000-000020000000}"/>
    <cellStyle name="40% - Akzent4" xfId="34" xr:uid="{00000000-0005-0000-0000-000021000000}"/>
    <cellStyle name="40% - Akzent5" xfId="35" xr:uid="{00000000-0005-0000-0000-000022000000}"/>
    <cellStyle name="40% - Akzent6" xfId="36" xr:uid="{00000000-0005-0000-0000-000023000000}"/>
    <cellStyle name="5x indented GHG Textfiels" xfId="37" xr:uid="{00000000-0005-0000-0000-000024000000}"/>
    <cellStyle name="60% - Accent1" xfId="38" xr:uid="{00000000-0005-0000-0000-000025000000}"/>
    <cellStyle name="60% - Accent2" xfId="39" xr:uid="{00000000-0005-0000-0000-000026000000}"/>
    <cellStyle name="60% - Accent3" xfId="40" xr:uid="{00000000-0005-0000-0000-000027000000}"/>
    <cellStyle name="60% - Accent4" xfId="41" xr:uid="{00000000-0005-0000-0000-000028000000}"/>
    <cellStyle name="60% - Accent5" xfId="42" xr:uid="{00000000-0005-0000-0000-000029000000}"/>
    <cellStyle name="60% - Accent6" xfId="43" xr:uid="{00000000-0005-0000-0000-00002A000000}"/>
    <cellStyle name="60% - Akzent1" xfId="44" xr:uid="{00000000-0005-0000-0000-00002B000000}"/>
    <cellStyle name="60% - Akzent2" xfId="45" xr:uid="{00000000-0005-0000-0000-00002C000000}"/>
    <cellStyle name="60% - Akzent3" xfId="46" xr:uid="{00000000-0005-0000-0000-00002D000000}"/>
    <cellStyle name="60% - Akzent4" xfId="47" xr:uid="{00000000-0005-0000-0000-00002E000000}"/>
    <cellStyle name="60% - Akzent5" xfId="48" xr:uid="{00000000-0005-0000-0000-00002F000000}"/>
    <cellStyle name="60% - Akzent6" xfId="49" xr:uid="{00000000-0005-0000-0000-000030000000}"/>
    <cellStyle name="Accent1" xfId="50" xr:uid="{00000000-0005-0000-0000-000031000000}"/>
    <cellStyle name="Accent2" xfId="51" xr:uid="{00000000-0005-0000-0000-000032000000}"/>
    <cellStyle name="Accent3" xfId="52" xr:uid="{00000000-0005-0000-0000-000033000000}"/>
    <cellStyle name="Accent4" xfId="53" xr:uid="{00000000-0005-0000-0000-000034000000}"/>
    <cellStyle name="Accent5" xfId="54" xr:uid="{00000000-0005-0000-0000-000035000000}"/>
    <cellStyle name="Accent6" xfId="55" xr:uid="{00000000-0005-0000-0000-000036000000}"/>
    <cellStyle name="Akzent1" xfId="56" xr:uid="{00000000-0005-0000-0000-000037000000}"/>
    <cellStyle name="Akzent2" xfId="57" xr:uid="{00000000-0005-0000-0000-000038000000}"/>
    <cellStyle name="Akzent3" xfId="58" xr:uid="{00000000-0005-0000-0000-000039000000}"/>
    <cellStyle name="Akzent4" xfId="59" xr:uid="{00000000-0005-0000-0000-00003A000000}"/>
    <cellStyle name="Akzent5" xfId="60" xr:uid="{00000000-0005-0000-0000-00003B000000}"/>
    <cellStyle name="Akzent6" xfId="61" xr:uid="{00000000-0005-0000-0000-00003C000000}"/>
    <cellStyle name="Ausgabe" xfId="62" xr:uid="{00000000-0005-0000-0000-00003D000000}"/>
    <cellStyle name="Bad" xfId="63" xr:uid="{00000000-0005-0000-0000-00003E000000}"/>
    <cellStyle name="Berechnung" xfId="64" xr:uid="{00000000-0005-0000-0000-00003F000000}"/>
    <cellStyle name="Calculation" xfId="65" xr:uid="{00000000-0005-0000-0000-000040000000}"/>
    <cellStyle name="Check Cell" xfId="66" xr:uid="{00000000-0005-0000-0000-000041000000}"/>
    <cellStyle name="Eingabe" xfId="67" xr:uid="{00000000-0005-0000-0000-000042000000}"/>
    <cellStyle name="Ergebnis" xfId="68" xr:uid="{00000000-0005-0000-0000-000043000000}"/>
    <cellStyle name="Erklärender Text" xfId="69" xr:uid="{00000000-0005-0000-0000-000044000000}"/>
    <cellStyle name="Explanatory Text" xfId="70" xr:uid="{00000000-0005-0000-0000-000045000000}"/>
    <cellStyle name="Good" xfId="71" xr:uid="{00000000-0005-0000-0000-000046000000}"/>
    <cellStyle name="Gut" xfId="72" xr:uid="{00000000-0005-0000-0000-000047000000}"/>
    <cellStyle name="Heading 1" xfId="73" xr:uid="{00000000-0005-0000-0000-000048000000}"/>
    <cellStyle name="Heading 2" xfId="74" xr:uid="{00000000-0005-0000-0000-000049000000}"/>
    <cellStyle name="Heading 3" xfId="75" xr:uid="{00000000-0005-0000-0000-00004A000000}"/>
    <cellStyle name="Heading 4" xfId="76" xr:uid="{00000000-0005-0000-0000-00004B000000}"/>
    <cellStyle name="Input" xfId="77" xr:uid="{00000000-0005-0000-0000-00004D000000}"/>
    <cellStyle name="Linked Cell" xfId="79" xr:uid="{00000000-0005-0000-0000-00004E000000}"/>
    <cellStyle name="Neutral" xfId="80" xr:uid="{00000000-0005-0000-0000-00004F000000}"/>
    <cellStyle name="Note" xfId="81" xr:uid="{00000000-0005-0000-0000-000051000000}"/>
    <cellStyle name="Notiz" xfId="82" xr:uid="{00000000-0005-0000-0000-000052000000}"/>
    <cellStyle name="Output" xfId="83" xr:uid="{00000000-0005-0000-0000-000053000000}"/>
    <cellStyle name="Prozent 2" xfId="85" xr:uid="{00000000-0005-0000-0000-000055000000}"/>
    <cellStyle name="Schlecht" xfId="86" xr:uid="{00000000-0005-0000-0000-000056000000}"/>
    <cellStyle name="Standard 2" xfId="87" xr:uid="{00000000-0005-0000-0000-000057000000}"/>
    <cellStyle name="Standard 3" xfId="88" xr:uid="{00000000-0005-0000-0000-000058000000}"/>
    <cellStyle name="Standard 4" xfId="89" xr:uid="{00000000-0005-0000-0000-000059000000}"/>
    <cellStyle name="Standard_Outline NIMs template 10-09-30" xfId="90" xr:uid="{00000000-0005-0000-0000-00005A000000}"/>
    <cellStyle name="Title" xfId="91" xr:uid="{00000000-0005-0000-0000-00005B000000}"/>
    <cellStyle name="Total" xfId="92" xr:uid="{00000000-0005-0000-0000-00005C000000}"/>
    <cellStyle name="Überschrift" xfId="93" xr:uid="{00000000-0005-0000-0000-00005D000000}"/>
    <cellStyle name="Überschrift 1" xfId="94" xr:uid="{00000000-0005-0000-0000-00005E000000}"/>
    <cellStyle name="Überschrift 2" xfId="95" xr:uid="{00000000-0005-0000-0000-00005F000000}"/>
    <cellStyle name="Überschrift 3" xfId="96" xr:uid="{00000000-0005-0000-0000-000060000000}"/>
    <cellStyle name="Überschrift 4" xfId="97" xr:uid="{00000000-0005-0000-0000-000061000000}"/>
    <cellStyle name="Verknüpfte Zelle" xfId="98" xr:uid="{00000000-0005-0000-0000-000062000000}"/>
    <cellStyle name="Warnender Text" xfId="99" xr:uid="{00000000-0005-0000-0000-000063000000}"/>
    <cellStyle name="Warning Text" xfId="100" xr:uid="{00000000-0005-0000-0000-000064000000}"/>
    <cellStyle name="Zelle überprüfen" xfId="101" xr:uid="{00000000-0005-0000-0000-000065000000}"/>
    <cellStyle name="Нормален" xfId="0" builtinId="0"/>
    <cellStyle name="Обычный_CRF2002 (1)" xfId="102" xr:uid="{00000000-0005-0000-0000-000066000000}"/>
    <cellStyle name="Процент" xfId="84" builtinId="5"/>
    <cellStyle name="Хипервръзка" xfId="78" builtinId="8"/>
  </cellStyles>
  <dxfs count="896">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indexed="10"/>
        </patternFill>
      </fill>
    </dxf>
    <dxf>
      <font>
        <b/>
        <i val="0"/>
      </font>
    </dxf>
    <dxf>
      <font>
        <b/>
        <i val="0"/>
      </font>
    </dxf>
    <dxf>
      <font>
        <b/>
        <i val="0"/>
      </font>
    </dxf>
    <dxf>
      <font>
        <b/>
        <i val="0"/>
      </font>
    </dxf>
    <dxf>
      <font>
        <b/>
        <i val="0"/>
        <color rgb="FF000099"/>
      </font>
    </dxf>
    <dxf>
      <font>
        <b/>
        <i val="0"/>
      </font>
    </dxf>
    <dxf>
      <font>
        <b/>
        <i val="0"/>
      </font>
    </dxf>
    <dxf>
      <font>
        <b/>
        <i val="0"/>
      </font>
    </dxf>
    <dxf>
      <font>
        <b/>
        <i val="0"/>
      </font>
    </dxf>
    <dxf>
      <font>
        <b/>
        <i val="0"/>
      </font>
    </dxf>
    <dxf>
      <font>
        <b/>
        <i val="0"/>
      </font>
    </dxf>
    <dxf>
      <font>
        <b/>
        <i val="0"/>
        <color rgb="FF000099"/>
      </font>
    </dxf>
    <dxf>
      <font>
        <b/>
        <i val="0"/>
      </font>
    </dxf>
    <dxf>
      <font>
        <b/>
        <i val="0"/>
      </font>
    </dxf>
    <dxf>
      <font>
        <b/>
        <i val="0"/>
      </font>
    </dxf>
    <dxf>
      <font>
        <b/>
        <i val="0"/>
      </font>
    </dxf>
    <dxf>
      <font>
        <b/>
        <i val="0"/>
      </font>
    </dxf>
    <dxf>
      <font>
        <b/>
        <i val="0"/>
      </font>
    </dxf>
    <dxf>
      <font>
        <b/>
        <i val="0"/>
        <color rgb="FF000099"/>
      </font>
    </dxf>
    <dxf>
      <font>
        <b/>
        <i val="0"/>
      </font>
    </dxf>
    <dxf>
      <font>
        <b/>
        <i val="0"/>
      </font>
    </dxf>
    <dxf>
      <font>
        <b/>
        <i val="0"/>
      </font>
    </dxf>
    <dxf>
      <font>
        <b/>
        <i val="0"/>
      </font>
    </dxf>
    <dxf>
      <font>
        <b/>
        <i val="0"/>
      </font>
    </dxf>
    <dxf>
      <font>
        <b/>
        <i val="0"/>
      </font>
    </dxf>
    <dxf>
      <font>
        <b/>
        <i val="0"/>
        <color rgb="FF000099"/>
      </font>
    </dxf>
    <dxf>
      <font>
        <b/>
        <i val="0"/>
      </font>
    </dxf>
    <dxf>
      <font>
        <b/>
        <i val="0"/>
      </font>
    </dxf>
    <dxf>
      <font>
        <b/>
        <i val="0"/>
      </font>
    </dxf>
    <dxf>
      <font>
        <b/>
        <i val="0"/>
      </font>
    </dxf>
    <dxf>
      <font>
        <b/>
        <i val="0"/>
      </font>
    </dxf>
    <dxf>
      <font>
        <b/>
        <i val="0"/>
      </font>
    </dxf>
    <dxf>
      <font>
        <b/>
        <i val="0"/>
        <color rgb="FF000099"/>
      </font>
    </dxf>
    <dxf>
      <font>
        <b/>
        <i val="0"/>
      </font>
    </dxf>
    <dxf>
      <font>
        <b/>
        <i val="0"/>
      </font>
    </dxf>
    <dxf>
      <font>
        <b/>
        <i val="0"/>
      </font>
    </dxf>
    <dxf>
      <font>
        <b/>
        <i val="0"/>
      </font>
    </dxf>
    <dxf>
      <font>
        <b/>
        <i val="0"/>
      </font>
    </dxf>
    <dxf>
      <font>
        <b/>
        <i val="0"/>
      </font>
    </dxf>
    <dxf>
      <font>
        <b/>
        <i val="0"/>
        <color rgb="FF000099"/>
      </font>
    </dxf>
    <dxf>
      <font>
        <b/>
        <i val="0"/>
      </font>
    </dxf>
    <dxf>
      <font>
        <b/>
        <i val="0"/>
      </font>
    </dxf>
    <dxf>
      <font>
        <b/>
        <i val="0"/>
      </font>
    </dxf>
    <dxf>
      <font>
        <b/>
        <i val="0"/>
      </font>
    </dxf>
    <dxf>
      <font>
        <b/>
        <i val="0"/>
      </font>
    </dxf>
    <dxf>
      <font>
        <b/>
        <i val="0"/>
      </font>
    </dxf>
    <dxf>
      <font>
        <b/>
        <i val="0"/>
        <color rgb="FF000099"/>
      </font>
    </dxf>
    <dxf>
      <font>
        <b/>
        <i val="0"/>
      </font>
    </dxf>
    <dxf>
      <font>
        <b/>
        <i val="0"/>
      </font>
    </dxf>
    <dxf>
      <font>
        <b/>
        <i val="0"/>
      </font>
    </dxf>
    <dxf>
      <font>
        <b/>
        <i val="0"/>
      </font>
    </dxf>
    <dxf>
      <font>
        <b/>
        <i val="0"/>
      </font>
    </dxf>
    <dxf>
      <font>
        <b/>
        <i val="0"/>
      </font>
    </dxf>
    <dxf>
      <font>
        <b/>
        <i val="0"/>
        <color rgb="FF000099"/>
      </font>
    </dxf>
    <dxf>
      <font>
        <b/>
        <i val="0"/>
      </font>
    </dxf>
    <dxf>
      <font>
        <b/>
        <i val="0"/>
      </font>
    </dxf>
    <dxf>
      <font>
        <b/>
        <i val="0"/>
      </font>
    </dxf>
    <dxf>
      <font>
        <b/>
        <i val="0"/>
      </font>
    </dxf>
    <dxf>
      <font>
        <b/>
        <i val="0"/>
      </font>
    </dxf>
    <dxf>
      <font>
        <b/>
        <i val="0"/>
      </font>
    </dxf>
    <dxf>
      <font>
        <b/>
        <i val="0"/>
        <color rgb="FF000099"/>
      </font>
    </dxf>
    <dxf>
      <font>
        <b/>
        <i val="0"/>
      </font>
    </dxf>
    <dxf>
      <font>
        <b/>
        <i val="0"/>
      </font>
    </dxf>
    <dxf>
      <font>
        <b/>
        <i val="0"/>
      </font>
    </dxf>
    <dxf>
      <font>
        <b/>
        <i val="0"/>
      </font>
    </dxf>
    <dxf>
      <font>
        <b/>
        <i val="0"/>
      </font>
    </dxf>
    <dxf>
      <font>
        <b/>
        <i val="0"/>
      </font>
    </dxf>
    <dxf>
      <font>
        <b/>
        <i val="0"/>
        <color rgb="FF000099"/>
      </font>
    </dxf>
    <dxf>
      <font>
        <b/>
        <i val="0"/>
      </font>
    </dxf>
    <dxf>
      <font>
        <b/>
        <i val="0"/>
      </font>
    </dxf>
    <dxf>
      <font>
        <b/>
        <i val="0"/>
      </font>
    </dxf>
    <dxf>
      <font>
        <b/>
        <i val="0"/>
      </font>
    </dxf>
    <dxf>
      <font>
        <b/>
        <i val="0"/>
      </font>
    </dxf>
    <dxf>
      <font>
        <b/>
        <i val="0"/>
      </font>
    </dxf>
    <dxf>
      <font>
        <b/>
        <i val="0"/>
        <color rgb="FF000099"/>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color rgb="FF000099"/>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color rgb="FF000099"/>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color rgb="FF000099"/>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color rgb="FF000099"/>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color rgb="FF000099"/>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color rgb="FF000099"/>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color rgb="FF000099"/>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color rgb="FF000099"/>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color rgb="FF000099"/>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rgb="FFFF0000"/>
      </font>
    </dxf>
    <dxf>
      <font>
        <color theme="0" tint="-0.34998626667073579"/>
      </font>
    </dxf>
    <dxf>
      <font>
        <color rgb="FFFF0000"/>
      </font>
    </dxf>
    <dxf>
      <font>
        <color theme="0" tint="-0.34998626667073579"/>
      </font>
    </dxf>
    <dxf>
      <font>
        <color theme="0" tint="-0.34998626667073579"/>
      </font>
    </dxf>
    <dxf>
      <font>
        <color rgb="FFFF0000"/>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rgb="FFFF0000"/>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rgb="FFFF0000"/>
      </font>
    </dxf>
    <dxf>
      <font>
        <color rgb="FFFF0000"/>
      </font>
    </dxf>
    <dxf>
      <fill>
        <patternFill patternType="lightUp">
          <bgColor indexed="65"/>
        </patternFill>
      </fill>
    </dxf>
    <dxf>
      <font>
        <condense val="0"/>
        <extend val="0"/>
        <color indexed="10"/>
      </font>
    </dxf>
    <dxf>
      <font>
        <condense val="0"/>
        <extend val="0"/>
        <color indexed="10"/>
      </font>
    </dxf>
    <dxf>
      <fill>
        <patternFill patternType="lightUp">
          <bgColor indexed="65"/>
        </patternFill>
      </fill>
    </dxf>
    <dxf>
      <font>
        <b/>
        <i val="0"/>
      </font>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ill>
        <patternFill patternType="lightUp">
          <bgColor auto="1"/>
        </patternFill>
      </fill>
    </dxf>
    <dxf>
      <fill>
        <patternFill patternType="lightUp">
          <bgColor indexed="65"/>
        </patternFill>
      </fill>
    </dxf>
    <dxf>
      <fill>
        <patternFill>
          <bgColor rgb="FFFFFF00"/>
        </patternFill>
      </fill>
    </dxf>
    <dxf>
      <fill>
        <patternFill>
          <bgColor rgb="FFFFFF00"/>
        </patternFill>
      </fill>
    </dxf>
    <dxf>
      <fill>
        <patternFill patternType="lightUp">
          <bgColor indexed="65"/>
        </patternFill>
      </fill>
    </dxf>
    <dxf>
      <fill>
        <patternFill patternType="lightUp">
          <bgColor indexed="65"/>
        </patternFill>
      </fill>
    </dxf>
    <dxf>
      <fill>
        <patternFill>
          <bgColor rgb="FFFFFF00"/>
        </patternFill>
      </fill>
    </dxf>
    <dxf>
      <fill>
        <patternFill>
          <bgColor rgb="FFFFFF00"/>
        </patternFill>
      </fill>
    </dxf>
    <dxf>
      <fill>
        <patternFill patternType="lightUp">
          <bgColor indexed="65"/>
        </patternFill>
      </fill>
    </dxf>
    <dxf>
      <fill>
        <patternFill patternType="lightUp">
          <bgColor indexed="65"/>
        </patternFill>
      </fill>
    </dxf>
    <dxf>
      <fill>
        <patternFill>
          <bgColor rgb="FFFFFF00"/>
        </patternFill>
      </fill>
    </dxf>
    <dxf>
      <fill>
        <patternFill>
          <bgColor rgb="FFFFFF00"/>
        </patternFill>
      </fill>
    </dxf>
    <dxf>
      <fill>
        <patternFill patternType="lightUp">
          <bgColor indexed="65"/>
        </patternFill>
      </fill>
    </dxf>
    <dxf>
      <fill>
        <patternFill patternType="lightUp">
          <bgColor indexed="65"/>
        </patternFill>
      </fill>
    </dxf>
    <dxf>
      <fill>
        <patternFill>
          <bgColor rgb="FFFFFF00"/>
        </patternFill>
      </fill>
    </dxf>
    <dxf>
      <fill>
        <patternFill patternType="lightUp">
          <bgColor indexed="65"/>
        </patternFill>
      </fill>
    </dxf>
    <dxf>
      <fill>
        <patternFill>
          <bgColor rgb="FFFFFF00"/>
        </patternFill>
      </fill>
    </dxf>
    <dxf>
      <fill>
        <patternFill patternType="lightUp">
          <bgColor indexed="65"/>
        </patternFill>
      </fill>
    </dxf>
    <dxf>
      <fill>
        <patternFill>
          <bgColor rgb="FFFFFF00"/>
        </patternFill>
      </fill>
    </dxf>
    <dxf>
      <fill>
        <patternFill patternType="lightUp">
          <bgColor indexed="65"/>
        </patternFill>
      </fill>
    </dxf>
    <dxf>
      <fill>
        <patternFill>
          <bgColor rgb="FFFFFF00"/>
        </patternFill>
      </fill>
    </dxf>
    <dxf>
      <fill>
        <patternFill patternType="lightUp">
          <bgColor indexed="65"/>
        </patternFill>
      </fill>
    </dxf>
    <dxf>
      <fill>
        <patternFill patternType="lightUp">
          <bgColor indexed="65"/>
        </patternFill>
      </fill>
    </dxf>
    <dxf>
      <fill>
        <patternFill>
          <bgColor rgb="FFFFFFCC"/>
        </patternFill>
      </fill>
    </dxf>
    <dxf>
      <fill>
        <patternFill patternType="lightUp">
          <bgColor indexed="65"/>
        </patternFill>
      </fill>
    </dxf>
    <dxf>
      <fill>
        <patternFill>
          <bgColor rgb="FFFFFFCC"/>
        </patternFill>
      </fill>
    </dxf>
    <dxf>
      <fill>
        <patternFill patternType="lightUp">
          <bgColor indexed="65"/>
        </patternFill>
      </fill>
    </dxf>
    <dxf>
      <fill>
        <patternFill patternType="lightUp">
          <bgColor indexed="65"/>
        </patternFill>
      </fill>
    </dxf>
    <dxf>
      <fill>
        <patternFill>
          <bgColor rgb="FFFFFFCC"/>
        </patternFill>
      </fill>
    </dxf>
    <dxf>
      <fill>
        <patternFill>
          <bgColor rgb="FFFFFFCC"/>
        </patternFill>
      </fill>
    </dxf>
    <dxf>
      <fill>
        <patternFill patternType="lightUp">
          <bgColor indexed="65"/>
        </patternFill>
      </fill>
    </dxf>
    <dxf>
      <fill>
        <patternFill patternType="lightUp">
          <bgColor indexed="65"/>
        </patternFill>
      </fill>
    </dxf>
    <dxf>
      <fill>
        <patternFill>
          <bgColor rgb="FFFFFFCC"/>
        </patternFill>
      </fill>
    </dxf>
    <dxf>
      <fill>
        <patternFill patternType="lightUp">
          <bgColor indexed="65"/>
        </patternFill>
      </fill>
    </dxf>
    <dxf>
      <fill>
        <patternFill>
          <bgColor rgb="FFFFFFCC"/>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rgb="FFFFFFCC"/>
        </patternFill>
      </fill>
    </dxf>
    <dxf>
      <fill>
        <patternFill patternType="lightUp">
          <bgColor indexed="65"/>
        </patternFill>
      </fill>
    </dxf>
    <dxf>
      <fill>
        <patternFill>
          <bgColor rgb="FFFFFFCC"/>
        </patternFill>
      </fill>
    </dxf>
    <dxf>
      <fill>
        <patternFill patternType="lightUp">
          <bgColor indexed="65"/>
        </patternFill>
      </fill>
    </dxf>
    <dxf>
      <fill>
        <patternFill patternType="lightUp">
          <bgColor indexed="65"/>
        </patternFill>
      </fill>
    </dxf>
    <dxf>
      <fill>
        <patternFill>
          <bgColor rgb="FFFFFFCC"/>
        </patternFill>
      </fill>
    </dxf>
    <dxf>
      <fill>
        <patternFill patternType="lightUp">
          <bgColor indexed="65"/>
        </patternFill>
      </fill>
    </dxf>
    <dxf>
      <fill>
        <patternFill>
          <bgColor rgb="FFFFFFCC"/>
        </patternFill>
      </fill>
    </dxf>
    <dxf>
      <fill>
        <patternFill patternType="lightUp">
          <bgColor indexed="65"/>
        </patternFill>
      </fill>
    </dxf>
    <dxf>
      <fill>
        <patternFill>
          <bgColor rgb="FFFFFFCC"/>
        </patternFill>
      </fill>
    </dxf>
    <dxf>
      <fill>
        <patternFill patternType="lightUp">
          <bgColor indexed="65"/>
        </patternFill>
      </fill>
    </dxf>
    <dxf>
      <fill>
        <patternFill>
          <bgColor rgb="FFFFFFCC"/>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rgb="FFFFFFCC"/>
        </patternFill>
      </fill>
    </dxf>
    <dxf>
      <fill>
        <patternFill>
          <bgColor rgb="FFFFFFCC"/>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rgb="FFFFFFCC"/>
        </patternFill>
      </fill>
    </dxf>
    <dxf>
      <fill>
        <patternFill patternType="lightUp">
          <bgColor indexed="65"/>
        </patternFill>
      </fill>
    </dxf>
    <dxf>
      <fill>
        <patternFill>
          <bgColor rgb="FFFFFFCC"/>
        </patternFill>
      </fill>
    </dxf>
    <dxf>
      <fill>
        <patternFill patternType="lightUp">
          <bgColor indexed="65"/>
        </patternFill>
      </fill>
    </dxf>
    <dxf>
      <fill>
        <patternFill patternType="lightUp">
          <bgColor indexed="65"/>
        </patternFill>
      </fill>
    </dxf>
    <dxf>
      <fill>
        <patternFill>
          <bgColor rgb="FFFFFFCC"/>
        </patternFill>
      </fill>
    </dxf>
    <dxf>
      <fill>
        <patternFill patternType="lightUp">
          <bgColor indexed="65"/>
        </patternFill>
      </fill>
    </dxf>
    <dxf>
      <fill>
        <patternFill>
          <bgColor rgb="FFFFFFCC"/>
        </patternFill>
      </fill>
    </dxf>
    <dxf>
      <fill>
        <patternFill patternType="lightUp">
          <bgColor indexed="65"/>
        </patternFill>
      </fill>
    </dxf>
    <dxf>
      <fill>
        <patternFill>
          <bgColor rgb="FFFFFFCC"/>
        </patternFill>
      </fill>
    </dxf>
    <dxf>
      <fill>
        <patternFill patternType="lightUp">
          <bgColor indexed="65"/>
        </patternFill>
      </fill>
    </dxf>
    <dxf>
      <fill>
        <patternFill>
          <bgColor rgb="FFFFFFCC"/>
        </patternFill>
      </fill>
    </dxf>
    <dxf>
      <fill>
        <patternFill patternType="lightUp">
          <bgColor indexed="65"/>
        </patternFill>
      </fill>
    </dxf>
    <dxf>
      <fill>
        <patternFill>
          <bgColor rgb="FFFF0000"/>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indexed="10"/>
        </patternFill>
      </fill>
    </dxf>
    <dxf>
      <fill>
        <patternFill>
          <bgColor rgb="FFFF0000"/>
        </patternFill>
      </fill>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ill>
        <patternFill>
          <bgColor rgb="FFFFFF00"/>
        </patternFill>
      </fill>
    </dxf>
    <dxf>
      <fill>
        <patternFill patternType="lightUp">
          <bgColor indexed="65"/>
        </patternFill>
      </fill>
    </dxf>
    <dxf>
      <fill>
        <patternFill>
          <bgColor rgb="FFFFFF00"/>
        </patternFill>
      </fill>
    </dxf>
    <dxf>
      <fill>
        <patternFill patternType="lightUp">
          <bgColor indexed="65"/>
        </patternFill>
      </fill>
    </dxf>
    <dxf>
      <fill>
        <patternFill patternType="lightUp">
          <bgColor indexed="65"/>
        </patternFill>
      </fill>
    </dxf>
    <dxf>
      <fill>
        <patternFill>
          <bgColor rgb="FFFFFF00"/>
        </patternFill>
      </fill>
    </dxf>
    <dxf>
      <fill>
        <patternFill>
          <bgColor rgb="FFFFFF00"/>
        </patternFill>
      </fill>
    </dxf>
    <dxf>
      <fill>
        <patternFill patternType="lightUp">
          <bgColor indexed="65"/>
        </patternFill>
      </fill>
    </dxf>
    <dxf>
      <fill>
        <patternFill>
          <bgColor rgb="FFFFFF00"/>
        </patternFill>
      </fill>
    </dxf>
    <dxf>
      <fill>
        <patternFill patternType="lightUp">
          <bgColor indexed="65"/>
        </patternFill>
      </fill>
    </dxf>
    <dxf>
      <fill>
        <patternFill>
          <bgColor rgb="FFFFFF00"/>
        </patternFill>
      </fill>
    </dxf>
    <dxf>
      <fill>
        <patternFill patternType="lightUp">
          <bgColor indexed="65"/>
        </patternFill>
      </fill>
    </dxf>
    <dxf>
      <fill>
        <patternFill>
          <bgColor rgb="FFFFFF00"/>
        </patternFill>
      </fill>
    </dxf>
    <dxf>
      <fill>
        <patternFill>
          <bgColor rgb="FFFFFF00"/>
        </patternFill>
      </fill>
    </dxf>
    <dxf>
      <fill>
        <patternFill patternType="lightUp">
          <bgColor indexed="65"/>
        </patternFill>
      </fill>
    </dxf>
    <dxf>
      <fill>
        <patternFill patternType="lightUp">
          <bgColor indexed="65"/>
        </patternFill>
      </fill>
    </dxf>
    <dxf>
      <fill>
        <patternFill>
          <bgColor rgb="FFFFFF00"/>
        </patternFill>
      </fill>
    </dxf>
    <dxf>
      <fill>
        <patternFill>
          <bgColor rgb="FFFFFF00"/>
        </patternFill>
      </fill>
    </dxf>
    <dxf>
      <fill>
        <patternFill patternType="lightUp">
          <bgColor indexed="65"/>
        </patternFill>
      </fill>
    </dxf>
    <dxf>
      <fill>
        <patternFill patternType="lightUp">
          <bgColor indexed="65"/>
        </patternFill>
      </fill>
    </dxf>
    <dxf>
      <fill>
        <patternFill>
          <bgColor rgb="FFFFFF00"/>
        </patternFill>
      </fill>
    </dxf>
    <dxf>
      <fill>
        <patternFill>
          <bgColor rgb="FFFFFF00"/>
        </patternFill>
      </fill>
    </dxf>
    <dxf>
      <fill>
        <patternFill>
          <bgColor rgb="FFFFFF00"/>
        </patternFill>
      </fill>
    </dxf>
    <dxf>
      <fill>
        <patternFill patternType="lightUp">
          <bgColor indexed="65"/>
        </patternFill>
      </fill>
    </dxf>
    <dxf>
      <fill>
        <patternFill>
          <bgColor rgb="FFFFFF00"/>
        </patternFill>
      </fill>
    </dxf>
    <dxf>
      <fill>
        <patternFill patternType="lightUp">
          <bgColor indexed="65"/>
        </patternFill>
      </fill>
    </dxf>
    <dxf>
      <fill>
        <patternFill>
          <bgColor rgb="FFFFFF00"/>
        </patternFill>
      </fill>
    </dxf>
    <dxf>
      <fill>
        <patternFill patternType="lightUp">
          <bgColor indexed="65"/>
        </patternFill>
      </fill>
    </dxf>
    <dxf>
      <fill>
        <patternFill>
          <bgColor rgb="FFFFFF00"/>
        </patternFill>
      </fill>
    </dxf>
    <dxf>
      <fill>
        <patternFill patternType="lightUp">
          <bgColor indexed="65"/>
        </patternFill>
      </fill>
    </dxf>
    <dxf>
      <fill>
        <patternFill patternType="lightUp">
          <bgColor indexed="65"/>
        </patternFill>
      </fill>
    </dxf>
    <dxf>
      <fill>
        <patternFill>
          <bgColor rgb="FFFFFF00"/>
        </patternFill>
      </fill>
    </dxf>
    <dxf>
      <fill>
        <patternFill>
          <bgColor rgb="FFFFFF00"/>
        </patternFill>
      </fill>
    </dxf>
    <dxf>
      <fill>
        <patternFill patternType="lightUp">
          <bgColor indexed="65"/>
        </patternFill>
      </fill>
    </dxf>
    <dxf>
      <fill>
        <patternFill>
          <bgColor rgb="FFFFFF00"/>
        </patternFill>
      </fill>
    </dxf>
    <dxf>
      <fill>
        <patternFill>
          <bgColor rgb="FFFFFF00"/>
        </patternFill>
      </fill>
    </dxf>
    <dxf>
      <fill>
        <patternFill patternType="lightUp">
          <bgColor indexed="65"/>
        </patternFill>
      </fill>
    </dxf>
    <dxf>
      <fill>
        <patternFill patternType="lightUp">
          <bgColor indexed="65"/>
        </patternFill>
      </fill>
    </dxf>
    <dxf>
      <fill>
        <patternFill>
          <bgColor rgb="FFFFFF00"/>
        </patternFill>
      </fill>
    </dxf>
    <dxf>
      <fill>
        <patternFill patternType="lightUp">
          <bgColor indexed="65"/>
        </patternFill>
      </fill>
    </dxf>
    <dxf>
      <fill>
        <patternFill>
          <bgColor rgb="FFFFFF00"/>
        </patternFill>
      </fill>
    </dxf>
    <dxf>
      <fill>
        <patternFill patternType="lightUp">
          <bgColor indexed="65"/>
        </patternFill>
      </fill>
    </dxf>
    <dxf>
      <fill>
        <patternFill>
          <bgColor rgb="FFFFFF00"/>
        </patternFill>
      </fill>
    </dxf>
    <dxf>
      <fill>
        <patternFill>
          <bgColor rgb="FFFFFF00"/>
        </patternFill>
      </fill>
    </dxf>
    <dxf>
      <fill>
        <patternFill>
          <bgColor rgb="FFFFFF00"/>
        </patternFill>
      </fill>
    </dxf>
    <dxf>
      <fill>
        <patternFill patternType="lightUp">
          <bgColor indexed="65"/>
        </patternFill>
      </fill>
    </dxf>
    <dxf>
      <fill>
        <patternFill>
          <bgColor rgb="FFFFFF00"/>
        </patternFill>
      </fill>
    </dxf>
    <dxf>
      <fill>
        <patternFill patternType="lightUp">
          <bgColor indexed="65"/>
        </patternFill>
      </fill>
    </dxf>
    <dxf>
      <fill>
        <patternFill>
          <bgColor rgb="FFFFFF00"/>
        </patternFill>
      </fill>
    </dxf>
    <dxf>
      <fill>
        <patternFill patternType="lightUp">
          <bgColor indexed="65"/>
        </patternFill>
      </fill>
    </dxf>
    <dxf>
      <fill>
        <patternFill>
          <bgColor rgb="FFFFFF00"/>
        </patternFill>
      </fill>
    </dxf>
    <dxf>
      <fill>
        <patternFill patternType="lightUp">
          <bgColor indexed="65"/>
        </patternFill>
      </fill>
    </dxf>
    <dxf>
      <fill>
        <patternFill patternType="lightUp">
          <bgColor indexed="65"/>
        </patternFill>
      </fill>
    </dxf>
    <dxf>
      <fill>
        <patternFill>
          <bgColor rgb="FFFFFF00"/>
        </patternFill>
      </fill>
    </dxf>
    <dxf>
      <fill>
        <patternFill>
          <bgColor rgb="FFFFFF00"/>
        </patternFill>
      </fill>
    </dxf>
    <dxf>
      <fill>
        <patternFill>
          <bgColor rgb="FFFFFF00"/>
        </patternFill>
      </fill>
    </dxf>
    <dxf>
      <fill>
        <patternFill patternType="lightUp">
          <bgColor indexed="65"/>
        </patternFill>
      </fill>
    </dxf>
    <dxf>
      <fill>
        <patternFill>
          <bgColor rgb="FFFFFF00"/>
        </patternFill>
      </fill>
    </dxf>
    <dxf>
      <fill>
        <patternFill patternType="lightUp">
          <bgColor indexed="65"/>
        </patternFill>
      </fill>
    </dxf>
    <dxf>
      <fill>
        <patternFill patternType="lightUp">
          <bgColor indexed="65"/>
        </patternFill>
      </fill>
    </dxf>
    <dxf>
      <fill>
        <patternFill>
          <bgColor rgb="FFFFFF00"/>
        </patternFill>
      </fill>
    </dxf>
    <dxf>
      <fill>
        <patternFill>
          <bgColor rgb="FFFFFF00"/>
        </patternFill>
      </fill>
    </dxf>
    <dxf>
      <fill>
        <patternFill patternType="lightUp">
          <bgColor indexed="65"/>
        </patternFill>
      </fill>
    </dxf>
    <dxf>
      <fill>
        <patternFill patternType="lightUp">
          <bgColor indexed="65"/>
        </patternFill>
      </fill>
    </dxf>
    <dxf>
      <fill>
        <patternFill>
          <bgColor rgb="FFFFFF00"/>
        </patternFill>
      </fill>
    </dxf>
    <dxf>
      <fill>
        <patternFill>
          <bgColor rgb="FFFFFF00"/>
        </patternFill>
      </fill>
    </dxf>
    <dxf>
      <fill>
        <patternFill patternType="lightUp">
          <bgColor indexed="65"/>
        </patternFill>
      </fill>
    </dxf>
    <dxf>
      <fill>
        <patternFill>
          <bgColor rgb="FFFFFF00"/>
        </patternFill>
      </fill>
    </dxf>
    <dxf>
      <fill>
        <patternFill>
          <bgColor rgb="FFFFFF00"/>
        </patternFill>
      </fill>
    </dxf>
    <dxf>
      <fill>
        <patternFill patternType="lightUp">
          <bgColor indexed="65"/>
        </patternFill>
      </fill>
    </dxf>
    <dxf>
      <fill>
        <patternFill patternType="lightUp">
          <bgColor indexed="65"/>
        </patternFill>
      </fill>
    </dxf>
    <dxf>
      <fill>
        <patternFill>
          <bgColor rgb="FFFFFF00"/>
        </patternFill>
      </fill>
    </dxf>
    <dxf>
      <fill>
        <patternFill patternType="lightUp">
          <bgColor indexed="65"/>
        </patternFill>
      </fill>
    </dxf>
    <dxf>
      <fill>
        <patternFill>
          <bgColor rgb="FFFFFF00"/>
        </patternFill>
      </fill>
    </dxf>
    <dxf>
      <fill>
        <patternFill>
          <bgColor rgb="FFFFFF00"/>
        </patternFill>
      </fill>
    </dxf>
    <dxf>
      <fill>
        <patternFill patternType="lightUp">
          <bgColor indexed="65"/>
        </patternFill>
      </fill>
    </dxf>
    <dxf>
      <fill>
        <patternFill>
          <bgColor rgb="FFFFFF00"/>
        </patternFill>
      </fill>
    </dxf>
    <dxf>
      <fill>
        <patternFill>
          <bgColor rgb="FFFFFF00"/>
        </patternFill>
      </fill>
    </dxf>
    <dxf>
      <fill>
        <patternFill patternType="lightUp">
          <bgColor indexed="65"/>
        </patternFill>
      </fill>
    </dxf>
    <dxf>
      <fill>
        <patternFill patternType="lightUp">
          <bgColor indexed="65"/>
        </patternFill>
      </fill>
    </dxf>
    <dxf>
      <fill>
        <patternFill>
          <bgColor rgb="FFFFFF00"/>
        </patternFill>
      </fill>
    </dxf>
    <dxf>
      <fill>
        <patternFill>
          <bgColor rgb="FFFFFF00"/>
        </patternFill>
      </fill>
    </dxf>
    <dxf>
      <fill>
        <patternFill patternType="lightUp">
          <bgColor indexed="65"/>
        </patternFill>
      </fill>
    </dxf>
    <dxf>
      <fill>
        <patternFill>
          <bgColor rgb="FFFFFF00"/>
        </patternFill>
      </fill>
    </dxf>
    <dxf>
      <fill>
        <patternFill patternType="lightUp">
          <bgColor indexed="65"/>
        </patternFill>
      </fill>
    </dxf>
    <dxf>
      <fill>
        <patternFill patternType="lightUp">
          <bgColor indexed="65"/>
        </patternFill>
      </fill>
    </dxf>
    <dxf>
      <fill>
        <patternFill>
          <bgColor rgb="FFFFFF00"/>
        </patternFill>
      </fill>
    </dxf>
    <dxf>
      <fill>
        <patternFill>
          <bgColor rgb="FFFFFF00"/>
        </patternFill>
      </fill>
    </dxf>
    <dxf>
      <fill>
        <patternFill patternType="lightUp">
          <bgColor indexed="65"/>
        </patternFill>
      </fill>
    </dxf>
    <dxf>
      <fill>
        <patternFill>
          <bgColor rgb="FFFFFF00"/>
        </patternFill>
      </fill>
    </dxf>
    <dxf>
      <fill>
        <patternFill>
          <bgColor rgb="FFFFFF00"/>
        </patternFill>
      </fill>
    </dxf>
    <dxf>
      <fill>
        <patternFill patternType="lightUp">
          <bgColor indexed="65"/>
        </patternFill>
      </fill>
    </dxf>
    <dxf>
      <fill>
        <patternFill>
          <bgColor rgb="FFFFFF00"/>
        </patternFill>
      </fill>
    </dxf>
    <dxf>
      <fill>
        <patternFill patternType="lightUp">
          <bgColor indexed="65"/>
        </patternFill>
      </fill>
    </dxf>
    <dxf>
      <fill>
        <patternFill>
          <bgColor rgb="FFFFFF00"/>
        </patternFill>
      </fill>
    </dxf>
    <dxf>
      <fill>
        <patternFill patternType="lightUp">
          <bgColor indexed="65"/>
        </patternFill>
      </fill>
    </dxf>
    <dxf>
      <fill>
        <patternFill patternType="lightUp">
          <bgColor indexed="65"/>
        </patternFill>
      </fill>
    </dxf>
    <dxf>
      <fill>
        <patternFill>
          <bgColor rgb="FFFFFF00"/>
        </patternFill>
      </fill>
    </dxf>
    <dxf>
      <fill>
        <patternFill>
          <bgColor rgb="FFFFFF00"/>
        </patternFill>
      </fill>
    </dxf>
    <dxf>
      <fill>
        <patternFill patternType="lightUp">
          <bgColor indexed="65"/>
        </patternFill>
      </fill>
    </dxf>
    <dxf>
      <fill>
        <patternFill>
          <bgColor rgb="FFFFFF00"/>
        </patternFill>
      </fill>
    </dxf>
    <dxf>
      <fill>
        <patternFill patternType="lightUp">
          <bgColor indexed="65"/>
        </patternFill>
      </fill>
    </dxf>
    <dxf>
      <fill>
        <patternFill>
          <bgColor rgb="FFFFFF00"/>
        </patternFill>
      </fill>
    </dxf>
    <dxf>
      <fill>
        <patternFill patternType="lightUp">
          <bgColor indexed="65"/>
        </patternFill>
      </fill>
    </dxf>
    <dxf>
      <fill>
        <patternFill>
          <bgColor rgb="FFFFFF00"/>
        </patternFill>
      </fill>
    </dxf>
    <dxf>
      <fill>
        <patternFill>
          <bgColor rgb="FFFFFF00"/>
        </patternFill>
      </fill>
    </dxf>
    <dxf>
      <fill>
        <patternFill patternType="lightUp">
          <bgColor indexed="65"/>
        </patternFill>
      </fill>
    </dxf>
    <dxf>
      <fill>
        <patternFill patternType="lightUp">
          <bgColor indexed="65"/>
        </patternFill>
      </fill>
    </dxf>
    <dxf>
      <fill>
        <patternFill>
          <bgColor rgb="FFFFFF00"/>
        </patternFill>
      </fill>
    </dxf>
    <dxf>
      <fill>
        <patternFill>
          <bgColor rgb="FFFFFF00"/>
        </patternFill>
      </fill>
    </dxf>
    <dxf>
      <fill>
        <patternFill patternType="lightUp">
          <bgColor indexed="65"/>
        </patternFill>
      </fill>
    </dxf>
    <dxf>
      <fill>
        <patternFill patternType="lightUp">
          <bgColor indexed="65"/>
        </patternFill>
      </fill>
    </dxf>
    <dxf>
      <fill>
        <patternFill>
          <bgColor rgb="FFFFFF00"/>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rgb="FFFFFF00"/>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rgb="FFFFFF00"/>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rgb="FFFFFF00"/>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rgb="FFFFFF00"/>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rgb="FFFFFF00"/>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rgb="FFFFFF00"/>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rgb="FFFFFF00"/>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rgb="FFFFFF00"/>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rgb="FFFFFF00"/>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rgb="FFFF0000"/>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indexed="10"/>
        </patternFill>
      </fill>
    </dxf>
    <dxf>
      <fill>
        <patternFill>
          <bgColor rgb="FFFF0000"/>
        </patternFill>
      </fill>
    </dxf>
    <dxf>
      <fill>
        <patternFill patternType="lightUp">
          <bgColor indexed="65"/>
        </patternFill>
      </fill>
    </dxf>
    <dxf>
      <fill>
        <patternFill>
          <bgColor rgb="FFFF0000"/>
        </patternFill>
      </fill>
    </dxf>
    <dxf>
      <fill>
        <patternFill>
          <bgColor rgb="FFFF0000"/>
        </patternFill>
      </fill>
    </dxf>
    <dxf>
      <fill>
        <patternFill patternType="lightUp">
          <bgColor indexed="65"/>
        </patternFill>
      </fill>
    </dxf>
    <dxf>
      <fill>
        <patternFill patternType="solid">
          <bgColor rgb="FFFFFFCC"/>
        </patternFill>
      </fill>
    </dxf>
    <dxf>
      <fill>
        <patternFill patternType="lightUp">
          <bgColor indexed="65"/>
        </patternFill>
      </fill>
    </dxf>
    <dxf>
      <font>
        <b/>
        <i val="0"/>
        <color rgb="FFFF0000"/>
      </font>
    </dxf>
    <dxf>
      <fill>
        <patternFill patternType="lightUp">
          <bgColor indexed="9"/>
        </patternFill>
      </fill>
    </dxf>
    <dxf>
      <fill>
        <patternFill patternType="lightUp">
          <bgColor indexed="65"/>
        </patternFill>
      </fill>
    </dxf>
    <dxf>
      <fill>
        <patternFill patternType="lightUp">
          <bgColor indexed="65"/>
        </patternFill>
      </fill>
    </dxf>
    <dxf>
      <fill>
        <patternFill>
          <bgColor rgb="FFFFFF00"/>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rgb="FFFF0000"/>
        </patternFill>
      </fill>
    </dxf>
    <dxf>
      <fill>
        <patternFill>
          <bgColor rgb="FFFF0000"/>
        </patternFill>
      </fill>
    </dxf>
    <dxf>
      <fill>
        <patternFill patternType="lightUp">
          <bgColor indexed="65"/>
        </patternFill>
      </fill>
    </dxf>
    <dxf>
      <font>
        <b/>
        <i val="0"/>
        <condense val="0"/>
        <extend val="0"/>
        <color indexed="10"/>
      </font>
    </dxf>
    <dxf>
      <font>
        <b/>
        <i val="0"/>
        <condense val="0"/>
        <extend val="0"/>
        <color indexed="10"/>
      </font>
    </dxf>
    <dxf>
      <fill>
        <patternFill>
          <bgColor rgb="FFFF0000"/>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indexed="26"/>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solid">
          <fgColor indexed="64"/>
          <bgColor rgb="FFFFFFCC"/>
        </patternFill>
      </fill>
    </dxf>
    <dxf>
      <fill>
        <patternFill patternType="lightUp">
          <bgColor indexed="65"/>
        </patternFill>
      </fill>
    </dxf>
    <dxf>
      <fill>
        <patternFill>
          <bgColor rgb="FFFF0000"/>
        </patternFill>
      </fill>
    </dxf>
    <dxf>
      <fill>
        <patternFill>
          <bgColor rgb="FFFF0000"/>
        </patternFill>
      </fill>
    </dxf>
    <dxf>
      <font>
        <b/>
        <i val="0"/>
      </font>
    </dxf>
    <dxf>
      <fill>
        <patternFill patternType="lightUp">
          <bgColor indexed="65"/>
        </patternFill>
      </fill>
    </dxf>
    <dxf>
      <fill>
        <patternFill patternType="lightUp">
          <bgColor auto="1"/>
        </patternFill>
      </fill>
    </dxf>
    <dxf>
      <fill>
        <patternFill patternType="lightUp">
          <bgColor auto="1"/>
        </patternFill>
      </fill>
    </dxf>
    <dxf>
      <fill>
        <patternFill>
          <bgColor rgb="FFFF0000"/>
        </patternFill>
      </fill>
    </dxf>
    <dxf>
      <font>
        <b/>
        <i val="0"/>
      </font>
    </dxf>
    <dxf>
      <fill>
        <patternFill patternType="lightUp">
          <bgColor indexed="65"/>
        </patternFill>
      </fill>
    </dxf>
    <dxf>
      <fill>
        <patternFill patternType="lightUp">
          <bgColor indexed="65"/>
        </patternFill>
      </fill>
    </dxf>
    <dxf>
      <fill>
        <patternFill>
          <bgColor rgb="FFFFFFCC"/>
        </patternFill>
      </fill>
    </dxf>
    <dxf>
      <fill>
        <patternFill>
          <bgColor indexed="10"/>
        </patternFill>
      </fill>
    </dxf>
    <dxf>
      <fill>
        <patternFill patternType="lightUp">
          <bgColor indexed="65"/>
        </patternFill>
      </fill>
    </dxf>
    <dxf>
      <fill>
        <patternFill>
          <bgColor rgb="FFFFFFCC"/>
        </patternFill>
      </fill>
    </dxf>
    <dxf>
      <fill>
        <patternFill patternType="solid">
          <bgColor rgb="FFFFFFCC"/>
        </patternFill>
      </fill>
    </dxf>
    <dxf>
      <fill>
        <patternFill patternType="lightUp">
          <bgColor indexed="65"/>
        </patternFill>
      </fill>
    </dxf>
    <dxf>
      <fill>
        <patternFill>
          <bgColor indexed="10"/>
        </patternFill>
      </fill>
    </dxf>
    <dxf>
      <fill>
        <patternFill patternType="lightUp">
          <bgColor indexed="65"/>
        </patternFill>
      </fill>
    </dxf>
    <dxf>
      <fill>
        <patternFill patternType="lightUp">
          <bgColor indexed="65"/>
        </patternFill>
      </fill>
    </dxf>
    <dxf>
      <fill>
        <patternFill>
          <bgColor indexed="10"/>
        </patternFill>
      </fill>
    </dxf>
    <dxf>
      <fill>
        <patternFill>
          <bgColor rgb="FFFF0000"/>
        </patternFill>
      </fill>
    </dxf>
    <dxf>
      <fill>
        <patternFill>
          <bgColor rgb="FFFF0000"/>
        </patternFill>
      </fill>
    </dxf>
    <dxf>
      <fill>
        <patternFill patternType="lightUp">
          <bgColor indexed="65"/>
        </patternFill>
      </fill>
    </dxf>
    <dxf>
      <fill>
        <patternFill patternType="lightUp">
          <bgColor indexed="65"/>
        </patternFill>
      </fill>
    </dxf>
    <dxf>
      <fill>
        <patternFill>
          <bgColor rgb="FFFFFFCC"/>
        </patternFill>
      </fill>
    </dxf>
    <dxf>
      <fill>
        <patternFill>
          <bgColor indexed="10"/>
        </patternFill>
      </fill>
    </dxf>
    <dxf>
      <fill>
        <patternFill>
          <bgColor rgb="FFFF0000"/>
        </patternFill>
      </fill>
    </dxf>
    <dxf>
      <fill>
        <patternFill>
          <bgColor rgb="FFFFFFCC"/>
        </patternFill>
      </fill>
    </dxf>
    <dxf>
      <fill>
        <patternFill patternType="lightUp">
          <bgColor indexed="65"/>
        </patternFill>
      </fill>
    </dxf>
    <dxf>
      <fill>
        <patternFill patternType="lightUp">
          <bgColor auto="1"/>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bgColor indexed="26"/>
        </patternFill>
      </fill>
    </dxf>
    <dxf>
      <fill>
        <patternFill patternType="lightUp">
          <bgColor indexed="65"/>
        </patternFill>
      </fill>
    </dxf>
    <dxf>
      <fill>
        <patternFill patternType="lightUp">
          <bgColor indexed="65"/>
        </patternFill>
      </fill>
    </dxf>
    <dxf>
      <fill>
        <patternFill patternType="lightUp">
          <bgColor indexed="65"/>
        </patternFill>
      </fill>
    </dxf>
    <dxf>
      <fill>
        <patternFill patternType="lightUp">
          <bgColor indexed="65"/>
        </patternFill>
      </fill>
    </dxf>
    <dxf>
      <font>
        <color rgb="FFFF0000"/>
      </font>
    </dxf>
    <dxf>
      <fill>
        <patternFill patternType="lightUp">
          <bgColor indexed="65"/>
        </patternFill>
      </fill>
    </dxf>
    <dxf>
      <fill>
        <patternFill patternType="lightUp">
          <bgColor auto="1"/>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patternType="solid">
          <bgColor rgb="FFFFFF00"/>
        </patternFill>
      </fill>
    </dxf>
    <dxf>
      <fill>
        <patternFill patternType="lightUp">
          <bgColor indexed="65"/>
        </patternFill>
      </fill>
    </dxf>
    <dxf>
      <fill>
        <patternFill>
          <bgColor rgb="FFFFFFCC"/>
        </patternFill>
      </fill>
    </dxf>
    <dxf>
      <fill>
        <patternFill>
          <bgColor rgb="FFFFFFCC"/>
        </patternFill>
      </fill>
    </dxf>
    <dxf>
      <font>
        <color rgb="FFFF0000"/>
      </font>
    </dxf>
    <dxf>
      <font>
        <b/>
        <i val="0"/>
      </font>
    </dxf>
    <dxf>
      <fill>
        <patternFill>
          <bgColor rgb="FFFF0000"/>
        </patternFill>
      </fill>
    </dxf>
    <dxf>
      <fill>
        <patternFill>
          <bgColor rgb="FFFF0000"/>
        </patternFill>
      </fill>
    </dxf>
    <dxf>
      <fill>
        <patternFill patternType="lightUp">
          <bgColor auto="1"/>
        </patternFill>
      </fill>
    </dxf>
    <dxf>
      <fill>
        <patternFill>
          <bgColor rgb="FFFFFFCC"/>
        </patternFill>
      </fill>
    </dxf>
    <dxf>
      <fill>
        <patternFill patternType="lightUp">
          <bgColor auto="1"/>
        </patternFill>
      </fill>
    </dxf>
    <dxf>
      <fill>
        <patternFill>
          <bgColor indexed="13"/>
        </patternFill>
      </fill>
    </dxf>
    <dxf>
      <font>
        <b/>
        <i val="0"/>
      </font>
    </dxf>
    <dxf>
      <fill>
        <patternFill patternType="lightUp">
          <bgColor auto="1"/>
        </patternFill>
      </fill>
    </dxf>
    <dxf>
      <fill>
        <patternFill>
          <bgColor rgb="FFFFFFCC"/>
        </patternFill>
      </fill>
    </dxf>
    <dxf>
      <fill>
        <patternFill>
          <bgColor rgb="FFFF0000"/>
        </patternFill>
      </fill>
    </dxf>
    <dxf>
      <fill>
        <patternFill>
          <bgColor indexed="10"/>
        </patternFill>
      </fill>
    </dxf>
    <dxf>
      <fill>
        <patternFill patternType="lightUp">
          <fgColor indexed="64"/>
          <bgColor indexed="9"/>
        </patternFill>
      </fill>
    </dxf>
    <dxf>
      <fill>
        <patternFill>
          <bgColor rgb="FFFFFFCC"/>
        </patternFill>
      </fill>
    </dxf>
    <dxf>
      <fill>
        <patternFill patternType="lightUp">
          <bgColor indexed="65"/>
        </patternFill>
      </fill>
    </dxf>
    <dxf>
      <font>
        <color rgb="FFFF0000"/>
      </font>
    </dxf>
    <dxf>
      <fill>
        <patternFill>
          <bgColor rgb="FFFFFFCC"/>
        </patternFill>
      </fill>
    </dxf>
    <dxf>
      <fill>
        <patternFill patternType="lightUp">
          <bgColor indexed="65"/>
        </patternFill>
      </fill>
    </dxf>
    <dxf>
      <fill>
        <patternFill>
          <bgColor indexed="26"/>
        </patternFill>
      </fill>
    </dxf>
    <dxf>
      <fill>
        <patternFill patternType="lightUp">
          <bgColor indexed="65"/>
        </patternFill>
      </fill>
    </dxf>
    <dxf>
      <fill>
        <patternFill>
          <bgColor indexed="10"/>
        </patternFill>
      </fill>
    </dxf>
    <dxf>
      <fill>
        <patternFill>
          <bgColor indexed="53"/>
        </patternFill>
      </fill>
    </dxf>
    <dxf>
      <font>
        <color theme="0" tint="-0.34998626667073579"/>
      </font>
    </dxf>
    <dxf>
      <font>
        <color rgb="FFFF0000"/>
      </font>
    </dxf>
    <dxf>
      <font>
        <color theme="0" tint="-0.34998626667073579"/>
      </font>
    </dxf>
    <dxf>
      <font>
        <color rgb="FFFF0000"/>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rgb="FFFF0000"/>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theme="0" tint="-0.34998626667073579"/>
      </font>
    </dxf>
    <dxf>
      <font>
        <color rgb="FFFF0000"/>
      </font>
    </dxf>
    <dxf>
      <font>
        <color theme="0" tint="-0.34998626667073579"/>
      </font>
    </dxf>
    <dxf>
      <font>
        <color theme="0" tint="-0.34998626667073579"/>
      </font>
    </dxf>
    <dxf>
      <font>
        <color rgb="FFFF0000"/>
      </font>
    </dxf>
    <dxf>
      <fill>
        <patternFill patternType="lightUp">
          <bgColor indexed="65"/>
        </patternFill>
      </fill>
    </dxf>
    <dxf>
      <font>
        <condense val="0"/>
        <extend val="0"/>
        <color indexed="10"/>
      </font>
    </dxf>
    <dxf>
      <font>
        <condense val="0"/>
        <extend val="0"/>
        <color indexed="10"/>
      </font>
    </dxf>
  </dxfs>
  <tableStyles count="0" defaultTableStyle="TableStyleMedium9" defaultPivotStyle="PivotStyleLight16"/>
  <colors>
    <mruColors>
      <color rgb="FFCCFFFF"/>
      <color rgb="FFCCFFCC"/>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 Id="rId27" Type="http://schemas.microsoft.com/office/2023/09/relationships/Python" Target="pyth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0</xdr:colOff>
      <xdr:row>4</xdr:row>
      <xdr:rowOff>0</xdr:rowOff>
    </xdr:from>
    <xdr:to>
      <xdr:col>10</xdr:col>
      <xdr:colOff>419100</xdr:colOff>
      <xdr:row>4</xdr:row>
      <xdr:rowOff>1000125</xdr:rowOff>
    </xdr:to>
    <xdr:pic>
      <xdr:nvPicPr>
        <xdr:cNvPr id="2" name="Grafik 1">
          <a:extLst>
            <a:ext uri="{FF2B5EF4-FFF2-40B4-BE49-F238E27FC236}">
              <a16:creationId xmlns:a16="http://schemas.microsoft.com/office/drawing/2014/main" id="{033251D7-B299-4865-AFC5-605564DB851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t="18968"/>
        <a:stretch>
          <a:fillRect/>
        </a:stretch>
      </xdr:blipFill>
      <xdr:spPr bwMode="auto">
        <a:xfrm>
          <a:off x="3467100" y="1152525"/>
          <a:ext cx="29622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Panova\Downloads\BDR_template_COM_bg_2024%20update_final_20240402c422663b2c556fcc4459c8b9176e1a7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_Contents"/>
      <sheetName val="b_Guidelines &amp; conditions"/>
      <sheetName val="A_InstallationData"/>
      <sheetName val="B+C_Emissions_Y1"/>
      <sheetName val="B+C_Emissions_Y2"/>
      <sheetName val="B+C_Emissions_Y3"/>
      <sheetName val="B+C_Emissions_Y4"/>
      <sheetName val="B+C_Emissions_Y5"/>
      <sheetName val="D_Emissions"/>
      <sheetName val="E_EnergyFlows"/>
      <sheetName val="F_ProductBM"/>
      <sheetName val="G_Fall-back"/>
      <sheetName val="H_SpecialBM"/>
      <sheetName val="I_MSspecific"/>
      <sheetName val="J_Comments"/>
      <sheetName val="K_Summary"/>
      <sheetName val="EUwideConstants"/>
      <sheetName val="MSParameters"/>
      <sheetName val="Translations"/>
      <sheetName val="VersionDocument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8">
          <cell r="C8" t="str">
            <v>I</v>
          </cell>
          <cell r="D8" t="str">
            <v>Данни за инсталацията</v>
          </cell>
        </row>
        <row r="10">
          <cell r="C10">
            <v>1</v>
          </cell>
          <cell r="D10" t="str">
            <v>Обща информация (раздел A.I):</v>
          </cell>
        </row>
        <row r="12">
          <cell r="E12" t="str">
            <v>Идентификационен номер на инсталацията:</v>
          </cell>
          <cell r="H12" t="str">
            <v/>
          </cell>
          <cell r="K12" t="str">
            <v>Държава членка:</v>
          </cell>
          <cell r="M12" t="str">
            <v/>
          </cell>
        </row>
        <row r="13">
          <cell r="E13" t="str">
            <v>Наименование на инсталацията:</v>
          </cell>
          <cell r="H13" t="str">
            <v/>
          </cell>
        </row>
        <row r="14">
          <cell r="E14" t="str">
            <v>Име на оператора:</v>
          </cell>
          <cell r="H14" t="str">
            <v/>
          </cell>
        </row>
        <row r="15">
          <cell r="E15" t="str">
            <v>Верификатор (дружество):</v>
          </cell>
          <cell r="H15" t="str">
            <v/>
          </cell>
        </row>
        <row r="17">
          <cell r="E17" t="str">
            <v>Участвала в СТЕ преди:</v>
          </cell>
          <cell r="H17" t="str">
            <v/>
          </cell>
          <cell r="K17" t="str">
            <v>Малък емитер (член 27):</v>
          </cell>
          <cell r="M17" t="str">
            <v/>
          </cell>
        </row>
        <row r="18">
          <cell r="E18" t="str">
            <v>Работеща инсталация:</v>
          </cell>
          <cell r="H18" t="str">
            <v/>
          </cell>
          <cell r="K18" t="str">
            <v>Болница:</v>
          </cell>
          <cell r="M18" t="str">
            <v/>
          </cell>
        </row>
        <row r="19">
          <cell r="E19" t="str">
            <v>Дата на въвеждане в експлоатация:</v>
          </cell>
          <cell r="H19" t="str">
            <v/>
          </cell>
          <cell r="K19" t="str">
            <v>Малък емитер (член 27а):</v>
          </cell>
          <cell r="M19" t="str">
            <v/>
          </cell>
        </row>
        <row r="20">
          <cell r="K20" t="str">
            <v>Единици &lt; 300 ч:</v>
          </cell>
          <cell r="M20" t="str">
            <v/>
          </cell>
        </row>
        <row r="21">
          <cell r="E21" t="str">
            <v>Код по NACE през 2010 г. (NACE rev 2):</v>
          </cell>
          <cell r="H21" t="str">
            <v/>
          </cell>
          <cell r="K21" t="str">
            <v>Идентификация по ЕРИПЗ:</v>
          </cell>
          <cell r="M21" t="str">
            <v/>
          </cell>
        </row>
        <row r="23">
          <cell r="E23" t="str">
            <v>Дейности в съответствие с Приложение I към Директивата за СТЕ на ЕС:</v>
          </cell>
          <cell r="M23" t="str">
            <v>Номинална входяща топлинна мощност (MW)</v>
          </cell>
        </row>
        <row r="24">
          <cell r="E24" t="str">
            <v>1.</v>
          </cell>
          <cell r="F24" t="str">
            <v/>
          </cell>
          <cell r="M24" t="str">
            <v/>
          </cell>
        </row>
        <row r="25">
          <cell r="E25" t="str">
            <v>2.</v>
          </cell>
          <cell r="F25" t="str">
            <v/>
          </cell>
          <cell r="M25" t="str">
            <v/>
          </cell>
        </row>
        <row r="26">
          <cell r="E26" t="str">
            <v>3.</v>
          </cell>
          <cell r="F26" t="str">
            <v/>
          </cell>
          <cell r="M26" t="str">
            <v/>
          </cell>
        </row>
        <row r="27">
          <cell r="E27" t="str">
            <v>4.</v>
          </cell>
          <cell r="F27" t="str">
            <v/>
          </cell>
          <cell r="M27" t="str">
            <v/>
          </cell>
        </row>
        <row r="28">
          <cell r="E28" t="str">
            <v>5.</v>
          </cell>
          <cell r="F28" t="str">
            <v/>
          </cell>
          <cell r="M28" t="str">
            <v/>
          </cell>
        </row>
        <row r="29">
          <cell r="E29" t="str">
            <v>6.</v>
          </cell>
          <cell r="F29" t="str">
            <v/>
          </cell>
          <cell r="M29" t="str">
            <v/>
          </cell>
        </row>
        <row r="31">
          <cell r="C31">
            <v>2</v>
          </cell>
          <cell r="D31" t="str">
            <v>Технически връзки (раздел A.IV):</v>
          </cell>
        </row>
        <row r="32">
          <cell r="E32" t="str">
            <v>Име на връзката</v>
          </cell>
          <cell r="I32" t="str">
            <v>Идентификатор EUTL, ако е приложимо</v>
          </cell>
          <cell r="L32" t="str">
            <v>Вид обект</v>
          </cell>
        </row>
        <row r="33">
          <cell r="D33">
            <v>1</v>
          </cell>
          <cell r="E33" t="str">
            <v/>
          </cell>
          <cell r="I33" t="str">
            <v/>
          </cell>
          <cell r="L33" t="str">
            <v/>
          </cell>
        </row>
        <row r="34">
          <cell r="D34">
            <v>2</v>
          </cell>
          <cell r="E34" t="str">
            <v/>
          </cell>
          <cell r="I34" t="str">
            <v/>
          </cell>
          <cell r="L34" t="str">
            <v/>
          </cell>
        </row>
        <row r="35">
          <cell r="D35">
            <v>3</v>
          </cell>
          <cell r="E35" t="str">
            <v/>
          </cell>
          <cell r="I35" t="str">
            <v/>
          </cell>
          <cell r="L35" t="str">
            <v/>
          </cell>
        </row>
        <row r="36">
          <cell r="D36">
            <v>4</v>
          </cell>
          <cell r="E36" t="str">
            <v/>
          </cell>
          <cell r="I36" t="str">
            <v/>
          </cell>
          <cell r="L36" t="str">
            <v/>
          </cell>
        </row>
        <row r="37">
          <cell r="D37">
            <v>5</v>
          </cell>
          <cell r="E37" t="str">
            <v/>
          </cell>
          <cell r="I37" t="str">
            <v/>
          </cell>
          <cell r="L37" t="str">
            <v/>
          </cell>
        </row>
        <row r="38">
          <cell r="D38">
            <v>6</v>
          </cell>
          <cell r="E38" t="str">
            <v/>
          </cell>
          <cell r="I38" t="str">
            <v/>
          </cell>
          <cell r="L38" t="str">
            <v/>
          </cell>
        </row>
        <row r="39">
          <cell r="D39">
            <v>7</v>
          </cell>
          <cell r="E39" t="str">
            <v/>
          </cell>
          <cell r="I39" t="str">
            <v/>
          </cell>
          <cell r="L39" t="str">
            <v/>
          </cell>
        </row>
        <row r="40">
          <cell r="D40">
            <v>8</v>
          </cell>
          <cell r="E40" t="str">
            <v/>
          </cell>
          <cell r="I40" t="str">
            <v/>
          </cell>
          <cell r="L40" t="str">
            <v/>
          </cell>
        </row>
        <row r="41">
          <cell r="D41">
            <v>9</v>
          </cell>
          <cell r="E41" t="str">
            <v/>
          </cell>
          <cell r="I41" t="str">
            <v/>
          </cell>
          <cell r="L41" t="str">
            <v/>
          </cell>
        </row>
        <row r="42">
          <cell r="D42">
            <v>10</v>
          </cell>
          <cell r="E42" t="str">
            <v/>
          </cell>
          <cell r="I42" t="str">
            <v/>
          </cell>
          <cell r="L42" t="str">
            <v/>
          </cell>
        </row>
        <row r="44">
          <cell r="C44" t="str">
            <v>II</v>
          </cell>
          <cell r="D44" t="str">
            <v>Базов период и условия за допустимост</v>
          </cell>
        </row>
        <row r="46">
          <cell r="C46">
            <v>1</v>
          </cell>
          <cell r="D46" t="str">
            <v>Условия за допустимост за безплатно разпределяне на квоти (раздел A.II.1):</v>
          </cell>
        </row>
        <row r="48">
          <cell r="E48" t="str">
            <v>Задължително е данните в A.II.1 да бъдат потвърдени!</v>
          </cell>
        </row>
        <row r="49">
          <cell r="E49" t="str">
            <v/>
          </cell>
        </row>
        <row r="51">
          <cell r="C51">
            <v>2</v>
          </cell>
          <cell r="D51" t="str">
            <v>Обвързаност с условия (раздели A.II.2—A.III.4)</v>
          </cell>
        </row>
        <row r="53">
          <cell r="D53" t="str">
            <v>(a)</v>
          </cell>
          <cell r="E53" t="str">
            <v>Резултат от обвързаност с условия 1 и 2 (намаление с 20 % на безплатното разпределяне на квоти)</v>
          </cell>
        </row>
        <row r="55">
          <cell r="E55" t="str">
            <v>Обвързаност с условия по член 22а (EnEff) (енергийна ефективност)</v>
          </cell>
          <cell r="I55" t="b">
            <v>0</v>
          </cell>
        </row>
        <row r="56">
          <cell r="E56" t="str">
            <v>Обвързаност с условия по член 22б, параграф 1 (80-и процентил)</v>
          </cell>
          <cell r="I56" t="b">
            <v>0</v>
          </cell>
          <cell r="L56" t="str">
            <v>Резултат: прилага се правилото за 20 % съгласно обвързаността с условия:</v>
          </cell>
          <cell r="M56" t="b">
            <v>0</v>
          </cell>
        </row>
        <row r="58">
          <cell r="D58" t="str">
            <v>(b)</v>
          </cell>
          <cell r="E58" t="str">
            <v>Обвързаност с условия 1: Неизпълнени препоръки във връзка с мерки за подобряване на енергийната ефективност</v>
          </cell>
        </row>
        <row r="59">
          <cell r="E59" t="str">
            <v>Относими ли са препоръките във връзка с мерки за енергийна ефективност за тази инсталация?</v>
          </cell>
          <cell r="M59" t="str">
            <v/>
          </cell>
        </row>
        <row r="60">
          <cell r="E60" t="str">
            <v>Има ли неизпълнени препоръки за периода 2019—2022 г., които все още не са приложени?</v>
          </cell>
          <cell r="M60" t="str">
            <v/>
          </cell>
        </row>
        <row r="62">
          <cell r="E62" t="str">
            <v>Няма връзка с промишлен процес?</v>
          </cell>
          <cell r="G62" t="str">
            <v>Срок на възвръщаемост &gt; 3 години?</v>
          </cell>
          <cell r="I62" t="str">
            <v>Инвестиционни разходи &gt; 5 % от оборота или &gt; 25 % от печалбата?</v>
          </cell>
          <cell r="K62" t="str">
            <v>Инвестиционни разходи &gt; 50 % от еквивалента на разпределяне?</v>
          </cell>
          <cell r="M62" t="str">
            <v>Условията все още не са настъпили?</v>
          </cell>
        </row>
        <row r="63">
          <cell r="E63" t="str">
            <v/>
          </cell>
          <cell r="G63" t="str">
            <v/>
          </cell>
          <cell r="I63" t="str">
            <v/>
          </cell>
          <cell r="K63" t="str">
            <v/>
          </cell>
          <cell r="M63" t="str">
            <v/>
          </cell>
        </row>
        <row r="65">
          <cell r="E65" t="str">
            <v>Има ли оставащи препоръки след буква в)?</v>
          </cell>
          <cell r="M65" t="str">
            <v/>
          </cell>
        </row>
        <row r="66">
          <cell r="E66" t="str">
            <v>Ако след буква г) има оставащи мерки, приложили ли сте еквивалентни мерки за ВСИЧКИ тях?</v>
          </cell>
          <cell r="M66" t="str">
            <v/>
          </cell>
        </row>
        <row r="68">
          <cell r="D68" t="str">
            <v>(c)</v>
          </cell>
          <cell r="E68" t="str">
            <v>Обвързаност с условия 2: оператори с резултат, &gt; от 80-ия процентил</v>
          </cell>
        </row>
        <row r="69">
          <cell r="E69" t="str">
            <v>Интензитетът на емисиите на парникови газове на някоя от подинсталациите с продуктов показател надвишава ли 80-ия процентил?</v>
          </cell>
          <cell r="M69" t="str">
            <v/>
          </cell>
        </row>
        <row r="70">
          <cell r="E70" t="str">
            <v>Ако буква а) е относима, представяте ли план за неутралност по отношение на климата като част от настоящото заявление?</v>
          </cell>
          <cell r="M70" t="str">
            <v/>
          </cell>
        </row>
        <row r="71">
          <cell r="E71" t="str">
            <v>КО потвърждава ли пълнотата на плана за неутралност по отношение на климата?</v>
          </cell>
          <cell r="M71" t="str">
            <v/>
          </cell>
        </row>
        <row r="73">
          <cell r="D73" t="str">
            <v>(d)</v>
          </cell>
          <cell r="E73" t="str">
            <v>Обвързаност с условия по член 22б, параграф 2 (топлофикационна мрежа)</v>
          </cell>
          <cell r="M73" t="str">
            <v/>
          </cell>
        </row>
        <row r="75">
          <cell r="C75">
            <v>3</v>
          </cell>
          <cell r="D75" t="str">
            <v>Базови години (раздел A.II.5)</v>
          </cell>
        </row>
        <row r="76">
          <cell r="I76">
            <v>2019</v>
          </cell>
          <cell r="J76">
            <v>2020</v>
          </cell>
          <cell r="K76">
            <v>2021</v>
          </cell>
          <cell r="L76">
            <v>2022</v>
          </cell>
          <cell r="M76">
            <v>2023</v>
          </cell>
        </row>
        <row r="77">
          <cell r="E77" t="str">
            <v>Година, която се взема предвид:</v>
          </cell>
          <cell r="I77" t="b">
            <v>0</v>
          </cell>
          <cell r="J77" t="b">
            <v>0</v>
          </cell>
          <cell r="K77" t="b">
            <v>0</v>
          </cell>
          <cell r="L77" t="b">
            <v>0</v>
          </cell>
          <cell r="M77" t="b">
            <v>0</v>
          </cell>
        </row>
        <row r="79">
          <cell r="C79" t="str">
            <v>III</v>
          </cell>
          <cell r="D79" t="str">
            <v>Емисии и енергийни потоци</v>
          </cell>
        </row>
        <row r="81">
          <cell r="C81">
            <v>1</v>
          </cell>
          <cell r="D81" t="str">
            <v>Данни в резултат от въвеждането в „Source streams“ („Потоци горива и материали пораждащи емисии“) (работни листове B и C) или от Обобщението за емисиите (раздел D.I)</v>
          </cell>
        </row>
        <row r="83">
          <cell r="E83" t="str">
            <v>Данни за цялата инсталация:</v>
          </cell>
          <cell r="H83" t="str">
            <v>Единица мярка</v>
          </cell>
          <cell r="I83">
            <v>2019</v>
          </cell>
          <cell r="J83">
            <v>2020</v>
          </cell>
          <cell r="K83">
            <v>2021</v>
          </cell>
          <cell r="L83">
            <v>2022</v>
          </cell>
          <cell r="M83">
            <v>2023</v>
          </cell>
        </row>
        <row r="84">
          <cell r="E84" t="str">
            <v>Общо емисии на CO2</v>
          </cell>
          <cell r="H84" t="str">
            <v>t CO2 / година</v>
          </cell>
          <cell r="I84" t="str">
            <v/>
          </cell>
          <cell r="J84" t="str">
            <v/>
          </cell>
          <cell r="K84" t="str">
            <v/>
          </cell>
          <cell r="L84" t="str">
            <v/>
          </cell>
          <cell r="M84" t="str">
            <v/>
          </cell>
        </row>
        <row r="85">
          <cell r="E85" t="str">
            <v>Емисии от биомаса с нулев емисионен фактор</v>
          </cell>
          <cell r="H85" t="str">
            <v>t CO2 / година</v>
          </cell>
          <cell r="I85" t="str">
            <v/>
          </cell>
          <cell r="J85" t="str">
            <v/>
          </cell>
          <cell r="K85" t="str">
            <v/>
          </cell>
          <cell r="L85" t="str">
            <v/>
          </cell>
          <cell r="M85" t="str">
            <v/>
          </cell>
        </row>
        <row r="86">
          <cell r="E86" t="str">
            <v>Общо емисии на N2O</v>
          </cell>
          <cell r="H86" t="str">
            <v>t CO2e/година</v>
          </cell>
          <cell r="I86" t="str">
            <v/>
          </cell>
          <cell r="J86" t="str">
            <v/>
          </cell>
          <cell r="K86" t="str">
            <v/>
          </cell>
          <cell r="L86" t="str">
            <v/>
          </cell>
          <cell r="M86" t="str">
            <v/>
          </cell>
        </row>
        <row r="87">
          <cell r="E87" t="str">
            <v>Емисии на PFC</v>
          </cell>
          <cell r="H87" t="str">
            <v>t CO2e/година</v>
          </cell>
          <cell r="I87" t="str">
            <v/>
          </cell>
          <cell r="J87" t="str">
            <v/>
          </cell>
          <cell r="K87" t="str">
            <v/>
          </cell>
          <cell r="L87" t="str">
            <v/>
          </cell>
          <cell r="M87" t="str">
            <v/>
          </cell>
        </row>
        <row r="88">
          <cell r="E88" t="str">
            <v>Общо преки емисии</v>
          </cell>
          <cell r="H88" t="str">
            <v>t CO2e/година</v>
          </cell>
          <cell r="I88" t="str">
            <v/>
          </cell>
          <cell r="J88" t="str">
            <v/>
          </cell>
          <cell r="K88" t="str">
            <v/>
          </cell>
          <cell r="L88" t="str">
            <v/>
          </cell>
          <cell r="M88" t="str">
            <v/>
          </cell>
        </row>
        <row r="89">
          <cell r="E89" t="str">
            <v>Прехвърлен CO2, изходящ поток</v>
          </cell>
          <cell r="H89" t="str">
            <v>t CO2 / година</v>
          </cell>
          <cell r="I89" t="str">
            <v/>
          </cell>
          <cell r="J89" t="str">
            <v/>
          </cell>
          <cell r="K89" t="str">
            <v/>
          </cell>
          <cell r="L89" t="str">
            <v/>
          </cell>
          <cell r="M89" t="str">
            <v/>
          </cell>
        </row>
        <row r="90">
          <cell r="E90" t="str">
            <v>Общи преки емисии на инсталацията</v>
          </cell>
          <cell r="H90" t="str">
            <v>t CO2e/година</v>
          </cell>
          <cell r="I90" t="str">
            <v/>
          </cell>
          <cell r="J90" t="str">
            <v/>
          </cell>
          <cell r="K90" t="str">
            <v/>
          </cell>
          <cell r="L90" t="str">
            <v/>
          </cell>
          <cell r="M90" t="str">
            <v/>
          </cell>
        </row>
        <row r="91">
          <cell r="E91" t="str">
            <v>Вложена енергия от горива (от D.I)</v>
          </cell>
          <cell r="H91" t="str">
            <v>TJ / година</v>
          </cell>
          <cell r="I91" t="str">
            <v/>
          </cell>
          <cell r="J91" t="str">
            <v/>
          </cell>
          <cell r="K91" t="str">
            <v/>
          </cell>
          <cell r="L91" t="str">
            <v/>
          </cell>
          <cell r="M91" t="str">
            <v/>
          </cell>
        </row>
        <row r="92">
          <cell r="E92" t="str">
            <v>Вложена електроенергия за производството на топлинна енергия</v>
          </cell>
          <cell r="H92" t="str">
            <v>TJ / година</v>
          </cell>
          <cell r="I92" t="str">
            <v/>
          </cell>
          <cell r="J92" t="str">
            <v/>
          </cell>
          <cell r="K92" t="str">
            <v/>
          </cell>
          <cell r="L92" t="str">
            <v/>
          </cell>
          <cell r="M92" t="str">
            <v/>
          </cell>
        </row>
        <row r="93">
          <cell r="E93" t="str">
            <v>Друга вложена енергия (например екзотермична топлина)</v>
          </cell>
          <cell r="H93" t="str">
            <v>TJ / година</v>
          </cell>
          <cell r="I93" t="str">
            <v/>
          </cell>
          <cell r="J93" t="str">
            <v/>
          </cell>
          <cell r="K93" t="str">
            <v/>
          </cell>
          <cell r="L93" t="str">
            <v/>
          </cell>
          <cell r="M93" t="str">
            <v/>
          </cell>
        </row>
        <row r="94">
          <cell r="E94" t="str">
            <v>Обща вложена енергия (сбор от посочените по-горе)</v>
          </cell>
          <cell r="H94" t="str">
            <v>TJ / година</v>
          </cell>
          <cell r="I94" t="str">
            <v/>
          </cell>
          <cell r="J94" t="str">
            <v/>
          </cell>
          <cell r="K94" t="str">
            <v/>
          </cell>
          <cell r="L94" t="str">
            <v/>
          </cell>
          <cell r="M94" t="str">
            <v/>
          </cell>
        </row>
        <row r="96">
          <cell r="E96" t="str">
            <v>Дял на биомасата с нулев емисионен фактор</v>
          </cell>
          <cell r="H96" t="str">
            <v>-</v>
          </cell>
          <cell r="I96" t="str">
            <v/>
          </cell>
          <cell r="J96" t="str">
            <v/>
          </cell>
          <cell r="K96" t="str">
            <v/>
          </cell>
          <cell r="L96" t="str">
            <v/>
          </cell>
          <cell r="M96" t="str">
            <v/>
          </cell>
        </row>
        <row r="98">
          <cell r="C98">
            <v>2</v>
          </cell>
          <cell r="D98" t="str">
            <v>Разпределяне на емисиите по подинсталации (раздел D.II)</v>
          </cell>
        </row>
        <row r="100">
          <cell r="E100" t="str">
            <v>Данните се вземат автоматично от съответните светлосини полета под всяка подинсталация в раздели F и G.</v>
          </cell>
        </row>
        <row r="101">
          <cell r="E101" t="str">
            <v>Емисиите, които могат да се зададат, се определят, както следва:</v>
          </cell>
        </row>
        <row r="102">
          <cell r="E102" t="str">
            <v>=</v>
          </cell>
          <cell r="F102" t="str">
            <v>За преките емисии се извършва мониторинг в съответствие с плана за мониторинг, одобрен съгласно Регламента относно мониторинга и докладването (РМД), т.е. като се отчитат емисиите, получени по методики, основани на изчисления (като се използват потоците горива и материали пораждащи емисии), по базиращи се на измервания методики (БИМ), както и по подходи без подреждане („fall-backs“).</v>
          </cell>
        </row>
        <row r="103">
          <cell r="E103" t="str">
            <v>+/-</v>
          </cell>
          <cell r="F103" t="str">
            <v>Емисии, свързани с други вътрешни потоци горива и материали пораждащи емисии</v>
          </cell>
        </row>
        <row r="104">
          <cell r="E104" t="str">
            <v>+/-</v>
          </cell>
          <cell r="F104" t="str">
            <v>Количество на парникови газове, получени и подадени като суровини.</v>
          </cell>
        </row>
        <row r="105">
          <cell r="E105" t="str">
            <v>+</v>
          </cell>
          <cell r="F105" t="str">
            <v>Емисии, свързани с получена топлинна енергия съгласно раздел 10.1.2 и 10.1.3 от приложение VII към ПБР.</v>
          </cell>
        </row>
        <row r="106">
          <cell r="E106" t="str">
            <v>-</v>
          </cell>
          <cell r="F106" t="str">
            <v>Емисии, свързани с подадена топлинна енергия съгласно раздел 10.1.2 и 10.1.3 от приложение VII към ПБР.</v>
          </cell>
        </row>
        <row r="107">
          <cell r="E107" t="str">
            <v>+</v>
          </cell>
          <cell r="F107" t="str">
            <v>Емисии, свързани с получени отпадъчни газове съгласно раздел 10.1.5 от приложение VII към ПБР.</v>
          </cell>
        </row>
        <row r="108">
          <cell r="E108" t="str">
            <v>-</v>
          </cell>
          <cell r="F108" t="str">
            <v>Емисии, свързани с подадени отпадъчни газове съгласно раздел 10.1.5 от приложение VII към ПБР, които са изчислени, като е приспаднато енергийното съдържание, умножено по емисионния фактор за природен газ и възприетата стойност на корекционния коефициент от 0,667.</v>
          </cell>
        </row>
        <row r="109">
          <cell r="E109" t="str">
            <v>-</v>
          </cell>
          <cell r="F109" t="str">
            <v>Емисии, свързани с производството на електроенергия, различно от производството чрез измерима топлинна енергия.</v>
          </cell>
        </row>
        <row r="110">
          <cell r="E110" t="str">
            <v>Стойността „общи преки емисии“ и стойността „други емисии“ се показват с цел извършване на проверка. В последната се включват емисиите, свързани с производството на електроенергия, изгаряне във факел, различно от необходимото за безопасността изгаряне във факел, и други емисии, които не водят до безплатно разпределяне на квоти. В някои случаи сборът от зададените емисии може да не се прибави към общите емисии на инсталацията, например когато се отнася до получаване или подаване на топлинна енергия или отпадни газове.</v>
          </cell>
        </row>
        <row r="111">
          <cell r="H111" t="str">
            <v>Единица мярка</v>
          </cell>
          <cell r="I111">
            <v>2019</v>
          </cell>
          <cell r="J111">
            <v>2020</v>
          </cell>
          <cell r="K111">
            <v>2021</v>
          </cell>
          <cell r="L111">
            <v>2022</v>
          </cell>
          <cell r="M111">
            <v>2023</v>
          </cell>
        </row>
        <row r="112">
          <cell r="E112" t="str">
            <v>Общи преки емисии на инсталацията</v>
          </cell>
          <cell r="H112" t="str">
            <v>t CO2e/година</v>
          </cell>
          <cell r="I112" t="str">
            <v/>
          </cell>
          <cell r="J112" t="str">
            <v/>
          </cell>
          <cell r="K112" t="str">
            <v/>
          </cell>
          <cell r="L112" t="str">
            <v/>
          </cell>
          <cell r="M112" t="str">
            <v/>
          </cell>
        </row>
        <row r="114">
          <cell r="E114" t="str">
            <v>Данни на равнище подинсталация:</v>
          </cell>
          <cell r="H114" t="str">
            <v>Единица мярка</v>
          </cell>
          <cell r="I114">
            <v>2019</v>
          </cell>
          <cell r="J114">
            <v>2020</v>
          </cell>
          <cell r="K114">
            <v>2021</v>
          </cell>
          <cell r="L114">
            <v>2022</v>
          </cell>
          <cell r="M114">
            <v>2023</v>
          </cell>
        </row>
        <row r="115">
          <cell r="E115" t="str">
            <v/>
          </cell>
          <cell r="H115" t="str">
            <v>t CO2e/година</v>
          </cell>
          <cell r="I115" t="str">
            <v/>
          </cell>
          <cell r="J115" t="str">
            <v/>
          </cell>
          <cell r="K115" t="str">
            <v/>
          </cell>
          <cell r="L115" t="str">
            <v/>
          </cell>
          <cell r="M115" t="str">
            <v/>
          </cell>
        </row>
        <row r="116">
          <cell r="E116" t="str">
            <v/>
          </cell>
          <cell r="H116" t="str">
            <v>t CO2e/година</v>
          </cell>
          <cell r="I116" t="str">
            <v/>
          </cell>
          <cell r="J116" t="str">
            <v/>
          </cell>
          <cell r="K116" t="str">
            <v/>
          </cell>
          <cell r="L116" t="str">
            <v/>
          </cell>
          <cell r="M116" t="str">
            <v/>
          </cell>
        </row>
        <row r="117">
          <cell r="E117" t="str">
            <v/>
          </cell>
          <cell r="H117" t="str">
            <v>t CO2e/година</v>
          </cell>
          <cell r="I117" t="str">
            <v/>
          </cell>
          <cell r="J117" t="str">
            <v/>
          </cell>
          <cell r="K117" t="str">
            <v/>
          </cell>
          <cell r="L117" t="str">
            <v/>
          </cell>
          <cell r="M117" t="str">
            <v/>
          </cell>
        </row>
        <row r="118">
          <cell r="E118" t="str">
            <v/>
          </cell>
          <cell r="H118" t="str">
            <v>t CO2e/година</v>
          </cell>
          <cell r="I118" t="str">
            <v/>
          </cell>
          <cell r="J118" t="str">
            <v/>
          </cell>
          <cell r="K118" t="str">
            <v/>
          </cell>
          <cell r="L118" t="str">
            <v/>
          </cell>
          <cell r="M118" t="str">
            <v/>
          </cell>
        </row>
        <row r="119">
          <cell r="E119" t="str">
            <v/>
          </cell>
          <cell r="H119" t="str">
            <v>t CO2e/година</v>
          </cell>
          <cell r="I119" t="str">
            <v/>
          </cell>
          <cell r="J119" t="str">
            <v/>
          </cell>
          <cell r="K119" t="str">
            <v/>
          </cell>
          <cell r="L119" t="str">
            <v/>
          </cell>
          <cell r="M119" t="str">
            <v/>
          </cell>
        </row>
        <row r="120">
          <cell r="E120" t="str">
            <v/>
          </cell>
          <cell r="H120" t="str">
            <v>t CO2e/година</v>
          </cell>
          <cell r="I120" t="str">
            <v/>
          </cell>
          <cell r="J120" t="str">
            <v/>
          </cell>
          <cell r="K120" t="str">
            <v/>
          </cell>
          <cell r="L120" t="str">
            <v/>
          </cell>
          <cell r="M120" t="str">
            <v/>
          </cell>
        </row>
        <row r="121">
          <cell r="E121" t="str">
            <v/>
          </cell>
          <cell r="H121" t="str">
            <v>t CO2e/година</v>
          </cell>
          <cell r="I121" t="str">
            <v/>
          </cell>
          <cell r="J121" t="str">
            <v/>
          </cell>
          <cell r="K121" t="str">
            <v/>
          </cell>
          <cell r="L121" t="str">
            <v/>
          </cell>
          <cell r="M121" t="str">
            <v/>
          </cell>
        </row>
        <row r="122">
          <cell r="E122" t="str">
            <v/>
          </cell>
          <cell r="H122" t="str">
            <v>t CO2e/година</v>
          </cell>
          <cell r="I122" t="str">
            <v/>
          </cell>
          <cell r="J122" t="str">
            <v/>
          </cell>
          <cell r="K122" t="str">
            <v/>
          </cell>
          <cell r="L122" t="str">
            <v/>
          </cell>
          <cell r="M122" t="str">
            <v/>
          </cell>
        </row>
        <row r="123">
          <cell r="E123" t="str">
            <v/>
          </cell>
          <cell r="H123" t="str">
            <v>t CO2e/година</v>
          </cell>
          <cell r="I123" t="str">
            <v/>
          </cell>
          <cell r="J123" t="str">
            <v/>
          </cell>
          <cell r="K123" t="str">
            <v/>
          </cell>
          <cell r="L123" t="str">
            <v/>
          </cell>
          <cell r="M123" t="str">
            <v/>
          </cell>
        </row>
        <row r="124">
          <cell r="E124" t="str">
            <v/>
          </cell>
          <cell r="H124" t="str">
            <v>t CO2e/година</v>
          </cell>
          <cell r="I124" t="str">
            <v/>
          </cell>
          <cell r="J124" t="str">
            <v/>
          </cell>
          <cell r="K124" t="str">
            <v/>
          </cell>
          <cell r="L124" t="str">
            <v/>
          </cell>
          <cell r="M124" t="str">
            <v/>
          </cell>
        </row>
        <row r="125">
          <cell r="E125" t="str">
            <v>Подинсталация с топлинен показател (с риск от ИВЕ | извън МКВЕГ)</v>
          </cell>
          <cell r="H125" t="str">
            <v>t CO2e/година</v>
          </cell>
          <cell r="I125" t="str">
            <v/>
          </cell>
          <cell r="J125" t="str">
            <v/>
          </cell>
          <cell r="K125" t="str">
            <v/>
          </cell>
          <cell r="L125" t="str">
            <v/>
          </cell>
          <cell r="M125" t="str">
            <v/>
          </cell>
        </row>
        <row r="126">
          <cell r="E126" t="str">
            <v>Подинсталация с топлинен показател (без риск от ИВЕ | извън МКВЕГ)</v>
          </cell>
          <cell r="H126" t="str">
            <v>t CO2e/година</v>
          </cell>
          <cell r="I126" t="str">
            <v/>
          </cell>
          <cell r="J126" t="str">
            <v/>
          </cell>
          <cell r="K126" t="str">
            <v/>
          </cell>
          <cell r="L126" t="str">
            <v/>
          </cell>
          <cell r="M126" t="str">
            <v/>
          </cell>
        </row>
        <row r="127">
          <cell r="E127" t="str">
            <v>Подинсталация с топлинен показател (с риск от ИВЕ | в рамките на МКВЕГ)</v>
          </cell>
          <cell r="H127" t="str">
            <v>t CO2e/година</v>
          </cell>
          <cell r="I127" t="str">
            <v/>
          </cell>
          <cell r="J127" t="str">
            <v/>
          </cell>
          <cell r="K127" t="str">
            <v/>
          </cell>
          <cell r="L127" t="str">
            <v/>
          </cell>
          <cell r="M127" t="str">
            <v/>
          </cell>
        </row>
        <row r="128">
          <cell r="E128" t="str">
            <v>Подинсталация на топлофикационна мрежа</v>
          </cell>
          <cell r="H128" t="str">
            <v>t CO2e/година</v>
          </cell>
          <cell r="I128" t="str">
            <v/>
          </cell>
          <cell r="J128" t="str">
            <v/>
          </cell>
          <cell r="K128" t="str">
            <v/>
          </cell>
          <cell r="L128" t="str">
            <v/>
          </cell>
          <cell r="M128" t="str">
            <v/>
          </cell>
        </row>
        <row r="129">
          <cell r="E129" t="str">
            <v>Подинсталация с горивен показател (с риск от ИВЕ | извън МКВЕГ)</v>
          </cell>
          <cell r="H129" t="str">
            <v>t CO2e/година</v>
          </cell>
          <cell r="I129" t="str">
            <v/>
          </cell>
          <cell r="J129" t="str">
            <v/>
          </cell>
          <cell r="K129" t="str">
            <v/>
          </cell>
          <cell r="L129" t="str">
            <v/>
          </cell>
          <cell r="M129" t="str">
            <v/>
          </cell>
        </row>
        <row r="130">
          <cell r="E130" t="str">
            <v>Подинсталация с горивен показател (без риск от ИВЕ | извън МКВЕГ)</v>
          </cell>
          <cell r="H130" t="str">
            <v>t CO2e/година</v>
          </cell>
          <cell r="I130" t="str">
            <v/>
          </cell>
          <cell r="J130" t="str">
            <v/>
          </cell>
          <cell r="K130" t="str">
            <v/>
          </cell>
          <cell r="L130" t="str">
            <v/>
          </cell>
          <cell r="M130" t="str">
            <v/>
          </cell>
        </row>
        <row r="131">
          <cell r="E131" t="str">
            <v>Подинсталация с горивен показател (с риск от ИВЕ | в рамките на МКВЕГ)</v>
          </cell>
          <cell r="H131" t="str">
            <v>t CO2e/година</v>
          </cell>
          <cell r="I131" t="str">
            <v/>
          </cell>
          <cell r="J131" t="str">
            <v/>
          </cell>
          <cell r="K131" t="str">
            <v/>
          </cell>
          <cell r="L131" t="str">
            <v/>
          </cell>
          <cell r="M131" t="str">
            <v/>
          </cell>
        </row>
        <row r="132">
          <cell r="E132" t="str">
            <v>Подинсталация с емисии от процеси (с риск от ИВЕ | извън МКВЕГ)</v>
          </cell>
          <cell r="H132" t="str">
            <v>t CO2e/година</v>
          </cell>
          <cell r="I132" t="str">
            <v/>
          </cell>
          <cell r="J132" t="str">
            <v/>
          </cell>
          <cell r="K132" t="str">
            <v/>
          </cell>
          <cell r="L132" t="str">
            <v/>
          </cell>
          <cell r="M132" t="str">
            <v/>
          </cell>
        </row>
        <row r="133">
          <cell r="E133" t="str">
            <v>Подинсталация с емисии от процеси (без риск от ИВЕ | извън МКВЕГ)</v>
          </cell>
          <cell r="H133" t="str">
            <v>t CO2e/година</v>
          </cell>
          <cell r="I133" t="str">
            <v/>
          </cell>
          <cell r="J133" t="str">
            <v/>
          </cell>
          <cell r="K133" t="str">
            <v/>
          </cell>
          <cell r="L133" t="str">
            <v/>
          </cell>
          <cell r="M133" t="str">
            <v/>
          </cell>
        </row>
        <row r="134">
          <cell r="E134" t="str">
            <v>Подинсталация с емисии от процеси (с риск от ИВЕ | в рамките на МКВЕГ)</v>
          </cell>
          <cell r="H134" t="str">
            <v>t CO2e/година</v>
          </cell>
          <cell r="I134" t="str">
            <v/>
          </cell>
          <cell r="J134" t="str">
            <v/>
          </cell>
          <cell r="K134" t="str">
            <v/>
          </cell>
          <cell r="L134" t="str">
            <v/>
          </cell>
          <cell r="M134" t="str">
            <v/>
          </cell>
        </row>
        <row r="135">
          <cell r="E135" t="str">
            <v>Проверка: Други емисии</v>
          </cell>
          <cell r="H135" t="str">
            <v>t CO2e/година</v>
          </cell>
          <cell r="I135" t="str">
            <v/>
          </cell>
          <cell r="J135" t="str">
            <v/>
          </cell>
          <cell r="K135" t="str">
            <v/>
          </cell>
          <cell r="L135" t="str">
            <v/>
          </cell>
          <cell r="M135" t="str">
            <v/>
          </cell>
        </row>
        <row r="137">
          <cell r="E137" t="str">
            <v>Данни на равнище подинсталация:</v>
          </cell>
          <cell r="H137" t="str">
            <v>Единица мярка</v>
          </cell>
          <cell r="I137">
            <v>2019</v>
          </cell>
          <cell r="J137">
            <v>2020</v>
          </cell>
          <cell r="K137">
            <v>2021</v>
          </cell>
          <cell r="L137">
            <v>2022</v>
          </cell>
          <cell r="M137">
            <v>2023</v>
          </cell>
        </row>
        <row r="138">
          <cell r="E138" t="str">
            <v/>
          </cell>
          <cell r="H138" t="str">
            <v>%</v>
          </cell>
          <cell r="I138" t="str">
            <v/>
          </cell>
          <cell r="J138" t="str">
            <v/>
          </cell>
          <cell r="K138" t="str">
            <v/>
          </cell>
          <cell r="L138" t="str">
            <v/>
          </cell>
          <cell r="M138" t="str">
            <v/>
          </cell>
        </row>
        <row r="139">
          <cell r="E139" t="str">
            <v/>
          </cell>
          <cell r="H139" t="str">
            <v>%</v>
          </cell>
          <cell r="I139" t="str">
            <v/>
          </cell>
          <cell r="J139" t="str">
            <v/>
          </cell>
          <cell r="K139" t="str">
            <v/>
          </cell>
          <cell r="L139" t="str">
            <v/>
          </cell>
          <cell r="M139" t="str">
            <v/>
          </cell>
        </row>
        <row r="140">
          <cell r="E140" t="str">
            <v/>
          </cell>
          <cell r="H140" t="str">
            <v>%</v>
          </cell>
          <cell r="I140" t="str">
            <v/>
          </cell>
          <cell r="J140" t="str">
            <v/>
          </cell>
          <cell r="K140" t="str">
            <v/>
          </cell>
          <cell r="L140" t="str">
            <v/>
          </cell>
          <cell r="M140" t="str">
            <v/>
          </cell>
        </row>
        <row r="141">
          <cell r="E141" t="str">
            <v/>
          </cell>
          <cell r="H141" t="str">
            <v>%</v>
          </cell>
          <cell r="I141" t="str">
            <v/>
          </cell>
          <cell r="J141" t="str">
            <v/>
          </cell>
          <cell r="K141" t="str">
            <v/>
          </cell>
          <cell r="L141" t="str">
            <v/>
          </cell>
          <cell r="M141" t="str">
            <v/>
          </cell>
        </row>
        <row r="142">
          <cell r="E142" t="str">
            <v/>
          </cell>
          <cell r="H142" t="str">
            <v>%</v>
          </cell>
          <cell r="I142" t="str">
            <v/>
          </cell>
          <cell r="J142" t="str">
            <v/>
          </cell>
          <cell r="K142" t="str">
            <v/>
          </cell>
          <cell r="L142" t="str">
            <v/>
          </cell>
          <cell r="M142" t="str">
            <v/>
          </cell>
        </row>
        <row r="143">
          <cell r="E143" t="str">
            <v/>
          </cell>
          <cell r="H143" t="str">
            <v>%</v>
          </cell>
          <cell r="I143" t="str">
            <v/>
          </cell>
          <cell r="J143" t="str">
            <v/>
          </cell>
          <cell r="K143" t="str">
            <v/>
          </cell>
          <cell r="L143" t="str">
            <v/>
          </cell>
          <cell r="M143" t="str">
            <v/>
          </cell>
        </row>
        <row r="144">
          <cell r="E144" t="str">
            <v/>
          </cell>
          <cell r="H144" t="str">
            <v>%</v>
          </cell>
          <cell r="I144" t="str">
            <v/>
          </cell>
          <cell r="J144" t="str">
            <v/>
          </cell>
          <cell r="K144" t="str">
            <v/>
          </cell>
          <cell r="L144" t="str">
            <v/>
          </cell>
          <cell r="M144" t="str">
            <v/>
          </cell>
        </row>
        <row r="145">
          <cell r="E145" t="str">
            <v/>
          </cell>
          <cell r="H145" t="str">
            <v>%</v>
          </cell>
          <cell r="I145" t="str">
            <v/>
          </cell>
          <cell r="J145" t="str">
            <v/>
          </cell>
          <cell r="K145" t="str">
            <v/>
          </cell>
          <cell r="L145" t="str">
            <v/>
          </cell>
          <cell r="M145" t="str">
            <v/>
          </cell>
        </row>
        <row r="146">
          <cell r="E146" t="str">
            <v/>
          </cell>
          <cell r="H146" t="str">
            <v>%</v>
          </cell>
          <cell r="I146" t="str">
            <v/>
          </cell>
          <cell r="J146" t="str">
            <v/>
          </cell>
          <cell r="K146" t="str">
            <v/>
          </cell>
          <cell r="L146" t="str">
            <v/>
          </cell>
          <cell r="M146" t="str">
            <v/>
          </cell>
        </row>
        <row r="147">
          <cell r="E147" t="str">
            <v/>
          </cell>
          <cell r="H147" t="str">
            <v>%</v>
          </cell>
          <cell r="I147" t="str">
            <v/>
          </cell>
          <cell r="J147" t="str">
            <v/>
          </cell>
          <cell r="K147" t="str">
            <v/>
          </cell>
          <cell r="L147" t="str">
            <v/>
          </cell>
          <cell r="M147" t="str">
            <v/>
          </cell>
        </row>
        <row r="148">
          <cell r="E148" t="str">
            <v>Подинсталация с топлинен показател (с риск от ИВЕ | извън МКВЕГ)</v>
          </cell>
          <cell r="H148" t="str">
            <v>%</v>
          </cell>
          <cell r="I148" t="str">
            <v/>
          </cell>
          <cell r="J148" t="str">
            <v/>
          </cell>
          <cell r="K148" t="str">
            <v/>
          </cell>
          <cell r="L148" t="str">
            <v/>
          </cell>
          <cell r="M148" t="str">
            <v/>
          </cell>
        </row>
        <row r="149">
          <cell r="E149" t="str">
            <v>Подинсталация с топлинен показател (без риск от ИВЕ | извън МКВЕГ)</v>
          </cell>
          <cell r="H149" t="str">
            <v>%</v>
          </cell>
          <cell r="I149" t="str">
            <v/>
          </cell>
          <cell r="J149" t="str">
            <v/>
          </cell>
          <cell r="K149" t="str">
            <v/>
          </cell>
          <cell r="L149" t="str">
            <v/>
          </cell>
          <cell r="M149" t="str">
            <v/>
          </cell>
        </row>
        <row r="150">
          <cell r="E150" t="str">
            <v>Подинсталация с топлинен показател (с риск от ИВЕ | в рамките на МКВЕГ)</v>
          </cell>
          <cell r="H150" t="str">
            <v>%</v>
          </cell>
          <cell r="I150" t="str">
            <v/>
          </cell>
          <cell r="J150" t="str">
            <v/>
          </cell>
          <cell r="K150" t="str">
            <v/>
          </cell>
          <cell r="L150" t="str">
            <v/>
          </cell>
          <cell r="M150" t="str">
            <v/>
          </cell>
        </row>
        <row r="151">
          <cell r="E151" t="str">
            <v>Подинсталация на топлофикационна мрежа</v>
          </cell>
          <cell r="H151" t="str">
            <v>%</v>
          </cell>
          <cell r="I151" t="str">
            <v/>
          </cell>
          <cell r="J151" t="str">
            <v/>
          </cell>
          <cell r="K151" t="str">
            <v/>
          </cell>
          <cell r="L151" t="str">
            <v/>
          </cell>
          <cell r="M151" t="str">
            <v/>
          </cell>
        </row>
        <row r="152">
          <cell r="E152" t="str">
            <v>Подинсталация с горивен показател (с риск от ИВЕ | извън МКВЕГ)</v>
          </cell>
          <cell r="H152" t="str">
            <v>%</v>
          </cell>
          <cell r="I152" t="str">
            <v/>
          </cell>
          <cell r="J152" t="str">
            <v/>
          </cell>
          <cell r="K152" t="str">
            <v/>
          </cell>
          <cell r="L152" t="str">
            <v/>
          </cell>
          <cell r="M152" t="str">
            <v/>
          </cell>
        </row>
        <row r="153">
          <cell r="E153" t="str">
            <v>Подинсталация с горивен показател (без риск от ИВЕ | извън МКВЕГ)</v>
          </cell>
          <cell r="H153" t="str">
            <v>%</v>
          </cell>
          <cell r="I153" t="str">
            <v/>
          </cell>
          <cell r="J153" t="str">
            <v/>
          </cell>
          <cell r="K153" t="str">
            <v/>
          </cell>
          <cell r="L153" t="str">
            <v/>
          </cell>
          <cell r="M153" t="str">
            <v/>
          </cell>
        </row>
        <row r="154">
          <cell r="E154" t="str">
            <v>Подинсталация с горивен показател (с риск от ИВЕ | в рамките на МКВЕГ)</v>
          </cell>
          <cell r="H154" t="str">
            <v>%</v>
          </cell>
          <cell r="I154" t="str">
            <v/>
          </cell>
          <cell r="J154" t="str">
            <v/>
          </cell>
          <cell r="K154" t="str">
            <v/>
          </cell>
          <cell r="L154" t="str">
            <v/>
          </cell>
          <cell r="M154" t="str">
            <v/>
          </cell>
        </row>
        <row r="155">
          <cell r="E155" t="str">
            <v>Подинсталация с емисии от процеси (с риск от ИВЕ | извън МКВЕГ)</v>
          </cell>
          <cell r="H155" t="str">
            <v>%</v>
          </cell>
          <cell r="I155" t="str">
            <v/>
          </cell>
          <cell r="J155" t="str">
            <v/>
          </cell>
          <cell r="K155" t="str">
            <v/>
          </cell>
          <cell r="L155" t="str">
            <v/>
          </cell>
          <cell r="M155" t="str">
            <v/>
          </cell>
        </row>
        <row r="156">
          <cell r="E156" t="str">
            <v>Подинсталация с емисии от процеси (без риск от ИВЕ | извън МКВЕГ)</v>
          </cell>
          <cell r="H156" t="str">
            <v>%</v>
          </cell>
          <cell r="I156" t="str">
            <v/>
          </cell>
          <cell r="J156" t="str">
            <v/>
          </cell>
          <cell r="K156" t="str">
            <v/>
          </cell>
          <cell r="L156" t="str">
            <v/>
          </cell>
          <cell r="M156" t="str">
            <v/>
          </cell>
        </row>
        <row r="157">
          <cell r="E157" t="str">
            <v>Подинсталация с емисии от процеси (с риск от ИВЕ | в рамките на МКВЕГ)</v>
          </cell>
          <cell r="H157" t="str">
            <v>%</v>
          </cell>
          <cell r="I157" t="str">
            <v/>
          </cell>
          <cell r="J157" t="str">
            <v/>
          </cell>
          <cell r="K157" t="str">
            <v/>
          </cell>
          <cell r="L157" t="str">
            <v/>
          </cell>
          <cell r="M157" t="str">
            <v/>
          </cell>
        </row>
        <row r="158">
          <cell r="E158" t="str">
            <v>Проверка: Други емисии</v>
          </cell>
          <cell r="H158" t="str">
            <v>%</v>
          </cell>
          <cell r="I158" t="str">
            <v/>
          </cell>
          <cell r="J158" t="str">
            <v/>
          </cell>
          <cell r="K158" t="str">
            <v/>
          </cell>
          <cell r="L158" t="str">
            <v/>
          </cell>
          <cell r="M158" t="str">
            <v/>
          </cell>
        </row>
        <row r="160">
          <cell r="C160">
            <v>3</v>
          </cell>
          <cell r="D160" t="str">
            <v>Инструмент за комбинирано производство — раздел D.III</v>
          </cell>
        </row>
        <row r="162">
          <cell r="D162" t="str">
            <v>(a)</v>
          </cell>
          <cell r="E162" t="str">
            <v>Инструмент за комбинирано производство 1</v>
          </cell>
          <cell r="M162" t="str">
            <v/>
          </cell>
        </row>
        <row r="164">
          <cell r="E164" t="str">
            <v>Енергиен баланс</v>
          </cell>
          <cell r="H164" t="str">
            <v>Единица мярка</v>
          </cell>
          <cell r="I164">
            <v>2019</v>
          </cell>
          <cell r="J164">
            <v>2020</v>
          </cell>
          <cell r="K164">
            <v>2021</v>
          </cell>
          <cell r="L164">
            <v>2022</v>
          </cell>
          <cell r="M164">
            <v>2023</v>
          </cell>
        </row>
        <row r="165">
          <cell r="E165" t="str">
            <v>Гориво, вложено в КПТЕ</v>
          </cell>
          <cell r="H165" t="str">
            <v>TJ / година</v>
          </cell>
          <cell r="I165" t="str">
            <v/>
          </cell>
          <cell r="J165" t="str">
            <v/>
          </cell>
          <cell r="K165" t="str">
            <v/>
          </cell>
          <cell r="L165" t="str">
            <v/>
          </cell>
          <cell r="M165" t="str">
            <v/>
          </cell>
        </row>
        <row r="166">
          <cell r="E166" t="str">
            <v>Изходяща топлинна енергия от КПТЕ</v>
          </cell>
          <cell r="H166" t="str">
            <v>TJ / година</v>
          </cell>
          <cell r="I166" t="str">
            <v/>
          </cell>
          <cell r="J166" t="str">
            <v/>
          </cell>
          <cell r="K166" t="str">
            <v/>
          </cell>
          <cell r="L166" t="str">
            <v/>
          </cell>
          <cell r="M166" t="str">
            <v/>
          </cell>
        </row>
        <row r="167">
          <cell r="E167" t="str">
            <v>Изходяща електроенергия от КПТЕ</v>
          </cell>
          <cell r="H167" t="str">
            <v>TJ / година</v>
          </cell>
          <cell r="I167" t="str">
            <v/>
          </cell>
          <cell r="J167" t="str">
            <v/>
          </cell>
          <cell r="K167" t="str">
            <v/>
          </cell>
          <cell r="L167" t="str">
            <v/>
          </cell>
          <cell r="M167" t="str">
            <v/>
          </cell>
        </row>
        <row r="169">
          <cell r="E169" t="str">
            <v>Емисии</v>
          </cell>
          <cell r="H169" t="str">
            <v>Единица мярка</v>
          </cell>
          <cell r="I169">
            <v>2019</v>
          </cell>
          <cell r="J169">
            <v>2020</v>
          </cell>
          <cell r="K169">
            <v>2021</v>
          </cell>
          <cell r="L169">
            <v>2022</v>
          </cell>
          <cell r="M169">
            <v>2023</v>
          </cell>
        </row>
        <row r="170">
          <cell r="E170" t="str">
            <v>От горива, вложени в КПТЕ</v>
          </cell>
          <cell r="H170" t="str">
            <v>t CO2 / година</v>
          </cell>
          <cell r="I170" t="str">
            <v/>
          </cell>
          <cell r="J170" t="str">
            <v/>
          </cell>
          <cell r="K170" t="str">
            <v/>
          </cell>
          <cell r="L170" t="str">
            <v/>
          </cell>
          <cell r="M170" t="str">
            <v/>
          </cell>
        </row>
        <row r="171">
          <cell r="E171" t="str">
            <v>От очистване на димни газове</v>
          </cell>
          <cell r="H171" t="str">
            <v>t CO2 / година</v>
          </cell>
          <cell r="I171" t="str">
            <v/>
          </cell>
          <cell r="J171" t="str">
            <v/>
          </cell>
          <cell r="K171" t="str">
            <v/>
          </cell>
          <cell r="L171" t="str">
            <v/>
          </cell>
          <cell r="M171" t="str">
            <v/>
          </cell>
        </row>
        <row r="172">
          <cell r="E172" t="str">
            <v>Общо емисии</v>
          </cell>
          <cell r="H172" t="str">
            <v>t CO2 / година</v>
          </cell>
          <cell r="I172" t="str">
            <v/>
          </cell>
          <cell r="J172" t="str">
            <v/>
          </cell>
          <cell r="K172" t="str">
            <v/>
          </cell>
          <cell r="L172" t="str">
            <v/>
          </cell>
          <cell r="M172" t="str">
            <v/>
          </cell>
        </row>
        <row r="174">
          <cell r="E174" t="str">
            <v>Стойности на к.п.д.</v>
          </cell>
          <cell r="H174" t="str">
            <v>Единица мярка</v>
          </cell>
          <cell r="I174">
            <v>2019</v>
          </cell>
          <cell r="J174">
            <v>2020</v>
          </cell>
          <cell r="K174">
            <v>2021</v>
          </cell>
          <cell r="L174">
            <v>2022</v>
          </cell>
          <cell r="M174">
            <v>2023</v>
          </cell>
        </row>
        <row r="175">
          <cell r="E175" t="str">
            <v>Производство на топлинна енергия</v>
          </cell>
          <cell r="H175" t="str">
            <v>-</v>
          </cell>
          <cell r="I175" t="str">
            <v/>
          </cell>
          <cell r="J175" t="str">
            <v/>
          </cell>
          <cell r="K175" t="str">
            <v/>
          </cell>
          <cell r="L175" t="str">
            <v/>
          </cell>
          <cell r="M175" t="str">
            <v/>
          </cell>
        </row>
        <row r="176">
          <cell r="E176" t="str">
            <v>Производство на електроенергия</v>
          </cell>
          <cell r="H176" t="str">
            <v>-</v>
          </cell>
          <cell r="I176" t="str">
            <v/>
          </cell>
          <cell r="J176" t="str">
            <v/>
          </cell>
          <cell r="K176" t="str">
            <v/>
          </cell>
          <cell r="L176" t="str">
            <v/>
          </cell>
          <cell r="M176" t="str">
            <v/>
          </cell>
        </row>
        <row r="177">
          <cell r="E177" t="str">
            <v>Производство на топлинна енергия (референтно)</v>
          </cell>
          <cell r="H177" t="str">
            <v>-</v>
          </cell>
          <cell r="I177" t="str">
            <v/>
          </cell>
          <cell r="J177" t="str">
            <v/>
          </cell>
          <cell r="K177" t="str">
            <v/>
          </cell>
          <cell r="L177" t="str">
            <v/>
          </cell>
          <cell r="M177" t="str">
            <v/>
          </cell>
        </row>
        <row r="178">
          <cell r="E178" t="str">
            <v>Производство на електроенергия (референтно)</v>
          </cell>
          <cell r="H178" t="str">
            <v>-</v>
          </cell>
          <cell r="I178" t="str">
            <v/>
          </cell>
          <cell r="J178" t="str">
            <v/>
          </cell>
          <cell r="K178" t="str">
            <v/>
          </cell>
          <cell r="L178" t="str">
            <v/>
          </cell>
          <cell r="M178" t="str">
            <v/>
          </cell>
        </row>
        <row r="180">
          <cell r="E180" t="str">
            <v>Резултати</v>
          </cell>
          <cell r="H180" t="str">
            <v>Единица мярка</v>
          </cell>
          <cell r="I180">
            <v>2019</v>
          </cell>
          <cell r="J180">
            <v>2020</v>
          </cell>
          <cell r="K180">
            <v>2021</v>
          </cell>
          <cell r="L180">
            <v>2022</v>
          </cell>
          <cell r="M180">
            <v>2023</v>
          </cell>
        </row>
        <row r="181">
          <cell r="E181" t="str">
            <v>Емисии, свързани с производство на топлинна енергия</v>
          </cell>
          <cell r="H181" t="str">
            <v>t CO2 / година</v>
          </cell>
          <cell r="I181" t="str">
            <v/>
          </cell>
          <cell r="J181" t="str">
            <v/>
          </cell>
          <cell r="K181" t="str">
            <v/>
          </cell>
          <cell r="L181" t="str">
            <v/>
          </cell>
          <cell r="M181" t="str">
            <v/>
          </cell>
        </row>
        <row r="182">
          <cell r="E182" t="str">
            <v>Емисионен фактор, топлинна енергия:</v>
          </cell>
          <cell r="H182" t="str">
            <v>t CO2 / TJ</v>
          </cell>
          <cell r="I182" t="str">
            <v/>
          </cell>
          <cell r="J182" t="str">
            <v/>
          </cell>
          <cell r="K182" t="str">
            <v/>
          </cell>
          <cell r="L182" t="str">
            <v/>
          </cell>
          <cell r="M182" t="str">
            <v/>
          </cell>
        </row>
        <row r="184">
          <cell r="E184" t="str">
            <v>Вложени горива за топлинна енергия</v>
          </cell>
          <cell r="H184" t="str">
            <v>TJ / година</v>
          </cell>
          <cell r="I184" t="str">
            <v/>
          </cell>
          <cell r="J184" t="str">
            <v/>
          </cell>
          <cell r="K184" t="str">
            <v/>
          </cell>
          <cell r="L184" t="str">
            <v/>
          </cell>
          <cell r="M184" t="str">
            <v/>
          </cell>
        </row>
        <row r="185">
          <cell r="E185" t="str">
            <v>Вложени горива за електроенергия</v>
          </cell>
          <cell r="H185" t="str">
            <v>TJ / година</v>
          </cell>
          <cell r="I185" t="str">
            <v/>
          </cell>
          <cell r="J185" t="str">
            <v/>
          </cell>
          <cell r="K185" t="str">
            <v/>
          </cell>
          <cell r="L185" t="str">
            <v/>
          </cell>
          <cell r="M185" t="str">
            <v/>
          </cell>
        </row>
        <row r="187">
          <cell r="D187" t="str">
            <v>(b)</v>
          </cell>
          <cell r="E187" t="str">
            <v>Инструмент за комбинирано производство 2</v>
          </cell>
          <cell r="M187" t="str">
            <v/>
          </cell>
        </row>
        <row r="189">
          <cell r="E189" t="str">
            <v>Енергиен баланс</v>
          </cell>
          <cell r="H189" t="str">
            <v>Единица мярка</v>
          </cell>
          <cell r="I189">
            <v>2019</v>
          </cell>
          <cell r="J189">
            <v>2020</v>
          </cell>
          <cell r="K189">
            <v>2021</v>
          </cell>
          <cell r="L189">
            <v>2022</v>
          </cell>
          <cell r="M189">
            <v>2023</v>
          </cell>
        </row>
        <row r="190">
          <cell r="E190" t="str">
            <v>Гориво, вложено в КПТЕ</v>
          </cell>
          <cell r="H190" t="str">
            <v>TJ / година</v>
          </cell>
          <cell r="I190" t="str">
            <v/>
          </cell>
          <cell r="J190" t="str">
            <v/>
          </cell>
          <cell r="K190" t="str">
            <v/>
          </cell>
          <cell r="L190" t="str">
            <v/>
          </cell>
          <cell r="M190" t="str">
            <v/>
          </cell>
        </row>
        <row r="191">
          <cell r="E191" t="str">
            <v>Изходяща топлинна енергия от КПТЕ</v>
          </cell>
          <cell r="H191" t="str">
            <v>TJ / година</v>
          </cell>
          <cell r="I191" t="str">
            <v/>
          </cell>
          <cell r="J191" t="str">
            <v/>
          </cell>
          <cell r="K191" t="str">
            <v/>
          </cell>
          <cell r="L191" t="str">
            <v/>
          </cell>
          <cell r="M191" t="str">
            <v/>
          </cell>
        </row>
        <row r="192">
          <cell r="E192" t="str">
            <v>Изходяща електроенергия от КПТЕ</v>
          </cell>
          <cell r="H192" t="str">
            <v>TJ / година</v>
          </cell>
          <cell r="I192" t="str">
            <v/>
          </cell>
          <cell r="J192" t="str">
            <v/>
          </cell>
          <cell r="K192" t="str">
            <v/>
          </cell>
          <cell r="L192" t="str">
            <v/>
          </cell>
          <cell r="M192" t="str">
            <v/>
          </cell>
        </row>
        <row r="194">
          <cell r="E194" t="str">
            <v>Емисии</v>
          </cell>
          <cell r="H194" t="str">
            <v>Единица мярка</v>
          </cell>
          <cell r="I194">
            <v>2019</v>
          </cell>
          <cell r="J194">
            <v>2020</v>
          </cell>
          <cell r="K194">
            <v>2021</v>
          </cell>
          <cell r="L194">
            <v>2022</v>
          </cell>
          <cell r="M194">
            <v>2023</v>
          </cell>
        </row>
        <row r="195">
          <cell r="E195" t="str">
            <v>От горива, вложени в КПТЕ</v>
          </cell>
          <cell r="H195" t="str">
            <v>t CO2 / година</v>
          </cell>
          <cell r="I195" t="str">
            <v/>
          </cell>
          <cell r="J195" t="str">
            <v/>
          </cell>
          <cell r="K195" t="str">
            <v/>
          </cell>
          <cell r="L195" t="str">
            <v/>
          </cell>
          <cell r="M195" t="str">
            <v/>
          </cell>
        </row>
        <row r="196">
          <cell r="E196" t="str">
            <v>От очистване на димни газове</v>
          </cell>
          <cell r="H196" t="str">
            <v>t CO2 / година</v>
          </cell>
          <cell r="I196" t="str">
            <v/>
          </cell>
          <cell r="J196" t="str">
            <v/>
          </cell>
          <cell r="K196" t="str">
            <v/>
          </cell>
          <cell r="L196" t="str">
            <v/>
          </cell>
          <cell r="M196" t="str">
            <v/>
          </cell>
        </row>
        <row r="197">
          <cell r="E197" t="str">
            <v>Общо емисии</v>
          </cell>
          <cell r="H197" t="str">
            <v>t CO2 / година</v>
          </cell>
          <cell r="I197" t="str">
            <v/>
          </cell>
          <cell r="J197" t="str">
            <v/>
          </cell>
          <cell r="K197" t="str">
            <v/>
          </cell>
          <cell r="L197" t="str">
            <v/>
          </cell>
          <cell r="M197" t="str">
            <v/>
          </cell>
        </row>
        <row r="199">
          <cell r="E199" t="str">
            <v>Стойности на к.п.д.</v>
          </cell>
          <cell r="H199" t="str">
            <v>Единица мярка</v>
          </cell>
          <cell r="I199">
            <v>2019</v>
          </cell>
          <cell r="J199">
            <v>2020</v>
          </cell>
          <cell r="K199">
            <v>2021</v>
          </cell>
          <cell r="L199">
            <v>2022</v>
          </cell>
          <cell r="M199">
            <v>2023</v>
          </cell>
        </row>
        <row r="200">
          <cell r="E200" t="str">
            <v>Производство на топлинна енергия</v>
          </cell>
          <cell r="H200" t="str">
            <v>-</v>
          </cell>
          <cell r="I200" t="str">
            <v/>
          </cell>
          <cell r="J200" t="str">
            <v/>
          </cell>
          <cell r="K200" t="str">
            <v/>
          </cell>
          <cell r="L200" t="str">
            <v/>
          </cell>
          <cell r="M200" t="str">
            <v/>
          </cell>
        </row>
        <row r="201">
          <cell r="E201" t="str">
            <v>Производство на електроенергия</v>
          </cell>
          <cell r="H201" t="str">
            <v>-</v>
          </cell>
          <cell r="I201" t="str">
            <v/>
          </cell>
          <cell r="J201" t="str">
            <v/>
          </cell>
          <cell r="K201" t="str">
            <v/>
          </cell>
          <cell r="L201" t="str">
            <v/>
          </cell>
          <cell r="M201" t="str">
            <v/>
          </cell>
        </row>
        <row r="202">
          <cell r="E202" t="str">
            <v>Производство на топлинна енергия (референтно)</v>
          </cell>
          <cell r="H202" t="str">
            <v>-</v>
          </cell>
          <cell r="I202" t="str">
            <v/>
          </cell>
          <cell r="J202" t="str">
            <v/>
          </cell>
          <cell r="K202" t="str">
            <v/>
          </cell>
          <cell r="L202" t="str">
            <v/>
          </cell>
          <cell r="M202" t="str">
            <v/>
          </cell>
        </row>
        <row r="203">
          <cell r="E203" t="str">
            <v>Производство на електроенергия (референтно)</v>
          </cell>
          <cell r="H203" t="str">
            <v>-</v>
          </cell>
          <cell r="I203" t="str">
            <v/>
          </cell>
          <cell r="J203" t="str">
            <v/>
          </cell>
          <cell r="K203" t="str">
            <v/>
          </cell>
          <cell r="L203" t="str">
            <v/>
          </cell>
          <cell r="M203" t="str">
            <v/>
          </cell>
        </row>
        <row r="205">
          <cell r="E205" t="str">
            <v>Резултати</v>
          </cell>
          <cell r="H205" t="str">
            <v>Единица мярка</v>
          </cell>
          <cell r="I205">
            <v>2019</v>
          </cell>
          <cell r="J205">
            <v>2020</v>
          </cell>
          <cell r="K205">
            <v>2021</v>
          </cell>
          <cell r="L205">
            <v>2022</v>
          </cell>
          <cell r="M205">
            <v>2023</v>
          </cell>
        </row>
        <row r="206">
          <cell r="E206" t="str">
            <v>Емисии, свързани с производство на топлинна енергия</v>
          </cell>
          <cell r="H206" t="str">
            <v>t CO2 / година</v>
          </cell>
          <cell r="I206" t="str">
            <v/>
          </cell>
          <cell r="J206" t="str">
            <v/>
          </cell>
          <cell r="K206" t="str">
            <v/>
          </cell>
          <cell r="L206" t="str">
            <v/>
          </cell>
          <cell r="M206" t="str">
            <v/>
          </cell>
        </row>
        <row r="207">
          <cell r="E207" t="str">
            <v>Емисионен фактор, топлинна енергия:</v>
          </cell>
          <cell r="H207" t="str">
            <v>t CO2 / TJ</v>
          </cell>
          <cell r="I207" t="str">
            <v/>
          </cell>
          <cell r="J207" t="str">
            <v/>
          </cell>
          <cell r="K207" t="str">
            <v/>
          </cell>
          <cell r="L207" t="str">
            <v/>
          </cell>
          <cell r="M207" t="str">
            <v/>
          </cell>
        </row>
        <row r="209">
          <cell r="E209" t="str">
            <v>Вложени горива за топлинна енергия</v>
          </cell>
          <cell r="H209" t="str">
            <v>TJ / година</v>
          </cell>
          <cell r="I209" t="str">
            <v/>
          </cell>
          <cell r="J209" t="str">
            <v/>
          </cell>
          <cell r="K209" t="str">
            <v/>
          </cell>
          <cell r="L209" t="str">
            <v/>
          </cell>
          <cell r="M209" t="str">
            <v/>
          </cell>
        </row>
        <row r="210">
          <cell r="E210" t="str">
            <v>Вложени горива за електроенергия</v>
          </cell>
          <cell r="H210" t="str">
            <v>TJ / година</v>
          </cell>
          <cell r="I210" t="str">
            <v/>
          </cell>
          <cell r="J210" t="str">
            <v/>
          </cell>
          <cell r="K210" t="str">
            <v/>
          </cell>
          <cell r="L210" t="str">
            <v/>
          </cell>
          <cell r="M210" t="str">
            <v/>
          </cell>
        </row>
        <row r="212">
          <cell r="C212">
            <v>4</v>
          </cell>
          <cell r="D212" t="str">
            <v>Инструмент за отпадъчни газове (отпадъчни газове, необхванати от продуктови показатели) — раздел D.IV</v>
          </cell>
        </row>
        <row r="214">
          <cell r="D214" t="str">
            <v>(a)</v>
          </cell>
          <cell r="E214" t="str">
            <v>Този раздел се отнася до подинсталациите за технологични емисии от този вид:</v>
          </cell>
          <cell r="L214" t="str">
            <v/>
          </cell>
        </row>
        <row r="215">
          <cell r="E215" t="str">
            <v>Вид отпадъчен газ:</v>
          </cell>
          <cell r="H215" t="str">
            <v/>
          </cell>
        </row>
        <row r="216">
          <cell r="H216" t="str">
            <v>Единица мярка</v>
          </cell>
          <cell r="I216">
            <v>2014</v>
          </cell>
          <cell r="J216">
            <v>2015</v>
          </cell>
          <cell r="K216">
            <v>2016</v>
          </cell>
          <cell r="L216">
            <v>2017</v>
          </cell>
          <cell r="M216">
            <v>2018</v>
          </cell>
        </row>
        <row r="217">
          <cell r="E217" t="str">
            <v>Некоригирани технологични емисии</v>
          </cell>
          <cell r="H217" t="str">
            <v>t CO2e/година</v>
          </cell>
          <cell r="I217" t="str">
            <v/>
          </cell>
          <cell r="J217" t="str">
            <v/>
          </cell>
          <cell r="K217" t="str">
            <v/>
          </cell>
          <cell r="L217" t="str">
            <v/>
          </cell>
          <cell r="M217" t="str">
            <v/>
          </cell>
        </row>
        <row r="218">
          <cell r="E218" t="str">
            <v>Емисии от отпадъчни газове</v>
          </cell>
          <cell r="H218" t="str">
            <v>t CO2e/година</v>
          </cell>
          <cell r="I218" t="str">
            <v/>
          </cell>
          <cell r="J218" t="str">
            <v/>
          </cell>
          <cell r="K218" t="str">
            <v/>
          </cell>
          <cell r="L218" t="str">
            <v/>
          </cell>
          <cell r="M218" t="str">
            <v/>
          </cell>
        </row>
        <row r="219">
          <cell r="E219" t="str">
            <v>Годишно количество отпадъчни газове</v>
          </cell>
          <cell r="H219" t="str">
            <v/>
          </cell>
          <cell r="I219" t="str">
            <v/>
          </cell>
          <cell r="J219" t="str">
            <v/>
          </cell>
          <cell r="K219" t="str">
            <v/>
          </cell>
          <cell r="L219" t="str">
            <v/>
          </cell>
          <cell r="M219" t="str">
            <v/>
          </cell>
        </row>
        <row r="220">
          <cell r="E220" t="str">
            <v>Долна топлина на изгаряне</v>
          </cell>
          <cell r="H220" t="str">
            <v>GJ / Единица мярка</v>
          </cell>
          <cell r="I220" t="str">
            <v/>
          </cell>
          <cell r="J220" t="str">
            <v/>
          </cell>
          <cell r="K220" t="str">
            <v/>
          </cell>
          <cell r="L220" t="str">
            <v/>
          </cell>
          <cell r="M220" t="str">
            <v/>
          </cell>
        </row>
        <row r="221">
          <cell r="E221" t="str">
            <v>Приспадане за отпадъчни газове</v>
          </cell>
          <cell r="H221" t="str">
            <v>t CO2 / година</v>
          </cell>
          <cell r="I221" t="str">
            <v/>
          </cell>
          <cell r="J221" t="str">
            <v/>
          </cell>
          <cell r="K221" t="str">
            <v/>
          </cell>
          <cell r="L221" t="str">
            <v/>
          </cell>
          <cell r="M221" t="str">
            <v/>
          </cell>
        </row>
        <row r="222">
          <cell r="E222" t="str">
            <v>Резултат от инструмента за отпадъчни газове:</v>
          </cell>
          <cell r="H222" t="str">
            <v>t CO2 / година</v>
          </cell>
          <cell r="I222" t="str">
            <v/>
          </cell>
          <cell r="J222" t="str">
            <v/>
          </cell>
          <cell r="K222" t="str">
            <v/>
          </cell>
          <cell r="L222" t="str">
            <v/>
          </cell>
          <cell r="M222" t="str">
            <v/>
          </cell>
        </row>
        <row r="224">
          <cell r="E224" t="str">
            <v>Референтна стойност на к.п.д. при производството на електроенергия:</v>
          </cell>
          <cell r="J224" t="str">
            <v>при използване на природен газ:</v>
          </cell>
          <cell r="K224">
            <v>0.52500000000000002</v>
          </cell>
          <cell r="M224" t="str">
            <v>при използване на отпадъчен газ:</v>
          </cell>
          <cell r="N224">
            <v>0.35</v>
          </cell>
        </row>
        <row r="226">
          <cell r="D226" t="str">
            <v>(b)</v>
          </cell>
          <cell r="E226" t="str">
            <v>Този раздел се отнася до подинсталациите за технологични емисии от този вид:</v>
          </cell>
          <cell r="L226" t="str">
            <v/>
          </cell>
        </row>
        <row r="227">
          <cell r="E227" t="str">
            <v>Вид отпадъчен газ:</v>
          </cell>
          <cell r="H227" t="str">
            <v/>
          </cell>
        </row>
        <row r="228">
          <cell r="H228" t="str">
            <v>Единица мярка</v>
          </cell>
          <cell r="I228">
            <v>2019</v>
          </cell>
          <cell r="J228">
            <v>2020</v>
          </cell>
          <cell r="K228">
            <v>2021</v>
          </cell>
          <cell r="L228">
            <v>2022</v>
          </cell>
          <cell r="M228">
            <v>2023</v>
          </cell>
        </row>
        <row r="229">
          <cell r="E229" t="str">
            <v>Некоригирани технологични емисии</v>
          </cell>
          <cell r="H229" t="str">
            <v>t CO2e/година</v>
          </cell>
          <cell r="I229" t="str">
            <v/>
          </cell>
          <cell r="J229" t="str">
            <v/>
          </cell>
          <cell r="K229" t="str">
            <v/>
          </cell>
          <cell r="L229" t="str">
            <v/>
          </cell>
          <cell r="M229" t="str">
            <v/>
          </cell>
        </row>
        <row r="230">
          <cell r="E230" t="str">
            <v>Емисии от отпадъчни газове</v>
          </cell>
          <cell r="H230" t="str">
            <v>t CO2e/година</v>
          </cell>
          <cell r="I230" t="str">
            <v/>
          </cell>
          <cell r="J230" t="str">
            <v/>
          </cell>
          <cell r="K230" t="str">
            <v/>
          </cell>
          <cell r="L230" t="str">
            <v/>
          </cell>
          <cell r="M230" t="str">
            <v/>
          </cell>
        </row>
        <row r="231">
          <cell r="E231" t="str">
            <v>Годишно количество отпадъчни газове</v>
          </cell>
          <cell r="H231" t="str">
            <v/>
          </cell>
          <cell r="I231" t="str">
            <v/>
          </cell>
          <cell r="J231" t="str">
            <v/>
          </cell>
          <cell r="K231" t="str">
            <v/>
          </cell>
          <cell r="L231" t="str">
            <v/>
          </cell>
          <cell r="M231" t="str">
            <v/>
          </cell>
        </row>
        <row r="232">
          <cell r="E232" t="str">
            <v>Долна топлина на изгаряне</v>
          </cell>
          <cell r="H232" t="str">
            <v>GJ / Единица мярка</v>
          </cell>
          <cell r="I232" t="str">
            <v/>
          </cell>
          <cell r="J232" t="str">
            <v/>
          </cell>
          <cell r="K232" t="str">
            <v/>
          </cell>
          <cell r="L232" t="str">
            <v/>
          </cell>
          <cell r="M232" t="str">
            <v/>
          </cell>
        </row>
        <row r="233">
          <cell r="E233" t="str">
            <v>Приспадане за отпадъчни газове</v>
          </cell>
          <cell r="H233" t="str">
            <v>t CO2 / година</v>
          </cell>
          <cell r="I233" t="str">
            <v/>
          </cell>
          <cell r="J233" t="str">
            <v/>
          </cell>
          <cell r="K233" t="str">
            <v/>
          </cell>
          <cell r="L233" t="str">
            <v/>
          </cell>
          <cell r="M233" t="str">
            <v/>
          </cell>
        </row>
        <row r="234">
          <cell r="E234" t="str">
            <v>Резултат от инструмента за отпадъчни газове:</v>
          </cell>
          <cell r="H234" t="str">
            <v>t CO2 / година</v>
          </cell>
          <cell r="I234" t="str">
            <v/>
          </cell>
          <cell r="J234" t="str">
            <v/>
          </cell>
          <cell r="K234" t="str">
            <v/>
          </cell>
          <cell r="L234" t="str">
            <v/>
          </cell>
          <cell r="M234" t="str">
            <v/>
          </cell>
        </row>
        <row r="236">
          <cell r="E236" t="str">
            <v>Референтна стойност на к.п.д. при производството на електроенергия:</v>
          </cell>
          <cell r="J236" t="str">
            <v>при използване на природен газ:</v>
          </cell>
          <cell r="K236">
            <v>0.52500000000000002</v>
          </cell>
          <cell r="M236" t="str">
            <v>при използване на отпадъчен газ:</v>
          </cell>
          <cell r="N236">
            <v>0.35</v>
          </cell>
        </row>
        <row r="238">
          <cell r="C238">
            <v>5</v>
          </cell>
          <cell r="D238" t="str">
            <v>Вложена енергия — разделена по категории на употреба (раздел E.I)</v>
          </cell>
        </row>
        <row r="240">
          <cell r="E240" t="str">
            <v>Вид употреба на вложените горива</v>
          </cell>
          <cell r="H240" t="str">
            <v>Единица мярка</v>
          </cell>
          <cell r="I240">
            <v>2019</v>
          </cell>
          <cell r="J240">
            <v>2020</v>
          </cell>
          <cell r="K240">
            <v>2021</v>
          </cell>
          <cell r="L240">
            <v>2022</v>
          </cell>
          <cell r="M240">
            <v>2023</v>
          </cell>
        </row>
        <row r="241">
          <cell r="E241" t="str">
            <v>Вложена енергия за производство на измерима топлинна енергия</v>
          </cell>
          <cell r="H241" t="str">
            <v>TJ / година</v>
          </cell>
          <cell r="I241" t="str">
            <v/>
          </cell>
          <cell r="J241" t="str">
            <v/>
          </cell>
          <cell r="K241" t="str">
            <v/>
          </cell>
          <cell r="L241" t="str">
            <v/>
          </cell>
          <cell r="M241" t="str">
            <v/>
          </cell>
        </row>
        <row r="242">
          <cell r="E242" t="str">
            <v>Вложена енергия за производството на електроенергия</v>
          </cell>
          <cell r="H242" t="str">
            <v>TJ / година</v>
          </cell>
          <cell r="I242" t="str">
            <v/>
          </cell>
          <cell r="J242" t="str">
            <v/>
          </cell>
          <cell r="K242" t="str">
            <v/>
          </cell>
          <cell r="L242" t="str">
            <v/>
          </cell>
          <cell r="M242" t="str">
            <v/>
          </cell>
        </row>
        <row r="243">
          <cell r="E243" t="str">
            <v>Вложена енергия в подинсталации с продуктов показател</v>
          </cell>
          <cell r="H243" t="str">
            <v>TJ / година</v>
          </cell>
          <cell r="I243" t="str">
            <v/>
          </cell>
          <cell r="J243" t="str">
            <v/>
          </cell>
          <cell r="K243" t="str">
            <v/>
          </cell>
          <cell r="L243" t="str">
            <v/>
          </cell>
          <cell r="M243" t="str">
            <v/>
          </cell>
        </row>
        <row r="244">
          <cell r="E244" t="str">
            <v>Подинсталация с горивен показател (с риск от ИВЕ | извън МКВЕГ)</v>
          </cell>
          <cell r="H244" t="str">
            <v>TJ / година</v>
          </cell>
          <cell r="I244" t="str">
            <v/>
          </cell>
          <cell r="J244" t="str">
            <v/>
          </cell>
          <cell r="K244" t="str">
            <v/>
          </cell>
          <cell r="L244" t="str">
            <v/>
          </cell>
          <cell r="M244" t="str">
            <v/>
          </cell>
        </row>
        <row r="245">
          <cell r="E245" t="str">
            <v>Подинсталация с горивен показател (без риск от ИВЕ | извън МКВЕГ)</v>
          </cell>
          <cell r="H245" t="str">
            <v>TJ / година</v>
          </cell>
          <cell r="I245" t="str">
            <v/>
          </cell>
          <cell r="J245" t="str">
            <v/>
          </cell>
          <cell r="K245" t="str">
            <v/>
          </cell>
          <cell r="L245" t="str">
            <v/>
          </cell>
          <cell r="M245" t="str">
            <v/>
          </cell>
        </row>
        <row r="246">
          <cell r="E246" t="str">
            <v>Подинсталация с горивен показател (с риск от ИВЕ | в рамките на МКВЕГ)</v>
          </cell>
          <cell r="H246" t="str">
            <v>TJ / година</v>
          </cell>
          <cell r="I246" t="str">
            <v/>
          </cell>
          <cell r="J246" t="str">
            <v/>
          </cell>
          <cell r="K246" t="str">
            <v/>
          </cell>
          <cell r="L246" t="str">
            <v/>
          </cell>
          <cell r="M246" t="str">
            <v/>
          </cell>
        </row>
        <row r="247">
          <cell r="E247" t="str">
            <v>Други</v>
          </cell>
          <cell r="H247" t="str">
            <v>TJ / година</v>
          </cell>
          <cell r="I247" t="str">
            <v/>
          </cell>
          <cell r="J247" t="str">
            <v/>
          </cell>
          <cell r="K247" t="str">
            <v/>
          </cell>
          <cell r="L247" t="str">
            <v/>
          </cell>
          <cell r="M247" t="str">
            <v/>
          </cell>
        </row>
        <row r="249">
          <cell r="E249" t="str">
            <v>Вложена енергия във всяка подинсталация от работни листове F и G:</v>
          </cell>
        </row>
        <row r="250">
          <cell r="E250" t="str">
            <v/>
          </cell>
          <cell r="H250" t="str">
            <v>TJ / година</v>
          </cell>
          <cell r="I250" t="str">
            <v/>
          </cell>
          <cell r="J250" t="str">
            <v/>
          </cell>
          <cell r="K250" t="str">
            <v/>
          </cell>
          <cell r="L250" t="str">
            <v/>
          </cell>
          <cell r="M250" t="str">
            <v/>
          </cell>
        </row>
        <row r="251">
          <cell r="E251" t="str">
            <v/>
          </cell>
          <cell r="H251" t="str">
            <v>TJ / година</v>
          </cell>
          <cell r="I251" t="str">
            <v/>
          </cell>
          <cell r="J251" t="str">
            <v/>
          </cell>
          <cell r="K251" t="str">
            <v/>
          </cell>
          <cell r="L251" t="str">
            <v/>
          </cell>
          <cell r="M251" t="str">
            <v/>
          </cell>
        </row>
        <row r="252">
          <cell r="E252" t="str">
            <v/>
          </cell>
          <cell r="H252" t="str">
            <v>TJ / година</v>
          </cell>
          <cell r="I252" t="str">
            <v/>
          </cell>
          <cell r="J252" t="str">
            <v/>
          </cell>
          <cell r="K252" t="str">
            <v/>
          </cell>
          <cell r="L252" t="str">
            <v/>
          </cell>
          <cell r="M252" t="str">
            <v/>
          </cell>
        </row>
        <row r="253">
          <cell r="E253" t="str">
            <v/>
          </cell>
          <cell r="H253" t="str">
            <v>TJ / година</v>
          </cell>
          <cell r="I253" t="str">
            <v/>
          </cell>
          <cell r="J253" t="str">
            <v/>
          </cell>
          <cell r="K253" t="str">
            <v/>
          </cell>
          <cell r="L253" t="str">
            <v/>
          </cell>
          <cell r="M253" t="str">
            <v/>
          </cell>
        </row>
        <row r="254">
          <cell r="E254" t="str">
            <v/>
          </cell>
          <cell r="H254" t="str">
            <v>TJ / година</v>
          </cell>
          <cell r="I254" t="str">
            <v/>
          </cell>
          <cell r="J254" t="str">
            <v/>
          </cell>
          <cell r="K254" t="str">
            <v/>
          </cell>
          <cell r="L254" t="str">
            <v/>
          </cell>
          <cell r="M254" t="str">
            <v/>
          </cell>
        </row>
        <row r="255">
          <cell r="E255" t="str">
            <v/>
          </cell>
          <cell r="H255" t="str">
            <v>TJ / година</v>
          </cell>
          <cell r="I255" t="str">
            <v/>
          </cell>
          <cell r="J255" t="str">
            <v/>
          </cell>
          <cell r="K255" t="str">
            <v/>
          </cell>
          <cell r="L255" t="str">
            <v/>
          </cell>
          <cell r="M255" t="str">
            <v/>
          </cell>
        </row>
        <row r="256">
          <cell r="E256" t="str">
            <v/>
          </cell>
          <cell r="H256" t="str">
            <v>TJ / година</v>
          </cell>
          <cell r="I256" t="str">
            <v/>
          </cell>
          <cell r="J256" t="str">
            <v/>
          </cell>
          <cell r="K256" t="str">
            <v/>
          </cell>
          <cell r="L256" t="str">
            <v/>
          </cell>
          <cell r="M256" t="str">
            <v/>
          </cell>
        </row>
        <row r="257">
          <cell r="E257" t="str">
            <v/>
          </cell>
          <cell r="H257" t="str">
            <v>TJ / година</v>
          </cell>
          <cell r="I257" t="str">
            <v/>
          </cell>
          <cell r="J257" t="str">
            <v/>
          </cell>
          <cell r="K257" t="str">
            <v/>
          </cell>
          <cell r="L257" t="str">
            <v/>
          </cell>
          <cell r="M257" t="str">
            <v/>
          </cell>
        </row>
        <row r="258">
          <cell r="E258" t="str">
            <v/>
          </cell>
          <cell r="H258" t="str">
            <v>TJ / година</v>
          </cell>
          <cell r="I258" t="str">
            <v/>
          </cell>
          <cell r="J258" t="str">
            <v/>
          </cell>
          <cell r="K258" t="str">
            <v/>
          </cell>
          <cell r="L258" t="str">
            <v/>
          </cell>
          <cell r="M258" t="str">
            <v/>
          </cell>
        </row>
        <row r="259">
          <cell r="E259" t="str">
            <v/>
          </cell>
          <cell r="H259" t="str">
            <v>TJ / година</v>
          </cell>
          <cell r="I259" t="str">
            <v/>
          </cell>
          <cell r="J259" t="str">
            <v/>
          </cell>
          <cell r="K259" t="str">
            <v/>
          </cell>
          <cell r="L259" t="str">
            <v/>
          </cell>
          <cell r="M259" t="str">
            <v/>
          </cell>
        </row>
        <row r="260">
          <cell r="E260" t="str">
            <v>Подинсталация с топлинен показател (с риск от ИВЕ | извън МКВЕГ)</v>
          </cell>
          <cell r="H260" t="str">
            <v>TJ / година</v>
          </cell>
          <cell r="I260" t="str">
            <v/>
          </cell>
          <cell r="J260" t="str">
            <v/>
          </cell>
          <cell r="K260" t="str">
            <v/>
          </cell>
          <cell r="L260" t="str">
            <v/>
          </cell>
          <cell r="M260" t="str">
            <v/>
          </cell>
        </row>
        <row r="261">
          <cell r="E261" t="str">
            <v>Подинсталация с топлинен показател (без риск от ИВЕ | извън МКВЕГ)</v>
          </cell>
          <cell r="H261" t="str">
            <v>TJ / година</v>
          </cell>
          <cell r="I261" t="str">
            <v/>
          </cell>
          <cell r="J261" t="str">
            <v/>
          </cell>
          <cell r="K261" t="str">
            <v/>
          </cell>
          <cell r="L261" t="str">
            <v/>
          </cell>
          <cell r="M261" t="str">
            <v/>
          </cell>
        </row>
        <row r="262">
          <cell r="E262" t="str">
            <v>Подинсталация с топлинен показател (с риск от ИВЕ | в рамките на МКВЕГ)</v>
          </cell>
          <cell r="H262" t="str">
            <v>TJ / година</v>
          </cell>
          <cell r="I262" t="str">
            <v/>
          </cell>
          <cell r="J262" t="str">
            <v/>
          </cell>
          <cell r="K262" t="str">
            <v/>
          </cell>
          <cell r="L262" t="str">
            <v/>
          </cell>
          <cell r="M262" t="str">
            <v/>
          </cell>
        </row>
        <row r="263">
          <cell r="E263" t="str">
            <v>Подинсталация на топлофикационна мрежа</v>
          </cell>
          <cell r="H263" t="str">
            <v>TJ / година</v>
          </cell>
          <cell r="I263" t="str">
            <v/>
          </cell>
          <cell r="J263" t="str">
            <v/>
          </cell>
          <cell r="K263" t="str">
            <v/>
          </cell>
          <cell r="L263" t="str">
            <v/>
          </cell>
          <cell r="M263" t="str">
            <v/>
          </cell>
        </row>
        <row r="264">
          <cell r="E264" t="str">
            <v>Подинсталация с горивен показател (с риск от ИВЕ | извън МКВЕГ)</v>
          </cell>
          <cell r="H264" t="str">
            <v>TJ / година</v>
          </cell>
          <cell r="I264" t="str">
            <v/>
          </cell>
          <cell r="J264" t="str">
            <v/>
          </cell>
          <cell r="K264" t="str">
            <v/>
          </cell>
          <cell r="L264" t="str">
            <v/>
          </cell>
          <cell r="M264" t="str">
            <v/>
          </cell>
        </row>
        <row r="265">
          <cell r="E265" t="str">
            <v>Подинсталация с горивен показател (без риск от ИВЕ | извън МКВЕГ)</v>
          </cell>
          <cell r="H265" t="str">
            <v>TJ / година</v>
          </cell>
          <cell r="I265" t="str">
            <v/>
          </cell>
          <cell r="J265" t="str">
            <v/>
          </cell>
          <cell r="K265" t="str">
            <v/>
          </cell>
          <cell r="L265" t="str">
            <v/>
          </cell>
          <cell r="M265" t="str">
            <v/>
          </cell>
        </row>
        <row r="266">
          <cell r="E266" t="str">
            <v>Подинсталация с горивен показател (с риск от ИВЕ | в рамките на МКВЕГ)</v>
          </cell>
          <cell r="H266" t="str">
            <v>TJ / година</v>
          </cell>
          <cell r="I266" t="str">
            <v/>
          </cell>
          <cell r="J266" t="str">
            <v/>
          </cell>
          <cell r="K266" t="str">
            <v/>
          </cell>
          <cell r="L266" t="str">
            <v/>
          </cell>
          <cell r="M266" t="str">
            <v/>
          </cell>
        </row>
        <row r="268">
          <cell r="C268">
            <v>6</v>
          </cell>
          <cell r="D268" t="str">
            <v>Изчисление на измеримата топлинна енергия (раздел E.II)</v>
          </cell>
        </row>
        <row r="270">
          <cell r="D270" t="str">
            <v>(a)</v>
          </cell>
          <cell r="E270" t="str">
            <v>Общо нетно количество измерима топлинна енергия, произведена в инсталацията:</v>
          </cell>
        </row>
        <row r="271">
          <cell r="H271" t="str">
            <v>Единица мярка</v>
          </cell>
          <cell r="I271">
            <v>2019</v>
          </cell>
          <cell r="J271">
            <v>2020</v>
          </cell>
          <cell r="K271">
            <v>2021</v>
          </cell>
          <cell r="L271">
            <v>2022</v>
          </cell>
          <cell r="M271">
            <v>2023</v>
          </cell>
        </row>
        <row r="272">
          <cell r="E272" t="str">
            <v>Произведена измерима топлинна енергия</v>
          </cell>
          <cell r="H272" t="str">
            <v>TJ / година</v>
          </cell>
          <cell r="I272" t="str">
            <v/>
          </cell>
          <cell r="J272" t="str">
            <v/>
          </cell>
          <cell r="K272" t="str">
            <v/>
          </cell>
          <cell r="L272" t="str">
            <v/>
          </cell>
          <cell r="M272" t="str">
            <v/>
          </cell>
        </row>
        <row r="273">
          <cell r="E273" t="str">
            <v>Допълнителна информация за справка: топлинна енергия, подадена от подинсталации с горивен показател</v>
          </cell>
          <cell r="H273" t="str">
            <v>TJ / година</v>
          </cell>
          <cell r="I273" t="str">
            <v/>
          </cell>
          <cell r="J273" t="str">
            <v/>
          </cell>
          <cell r="K273" t="str">
            <v/>
          </cell>
          <cell r="L273" t="str">
            <v/>
          </cell>
          <cell r="M273" t="str">
            <v/>
          </cell>
        </row>
        <row r="275">
          <cell r="D275" t="str">
            <v>(b)</v>
          </cell>
          <cell r="E275" t="str">
            <v>Измерима топлинна енергия, произведена от електроенергия</v>
          </cell>
        </row>
        <row r="276">
          <cell r="E276" t="str">
            <v>Топлинна енергия от ел. енергия</v>
          </cell>
          <cell r="H276" t="str">
            <v>TJ / година</v>
          </cell>
          <cell r="I276" t="str">
            <v/>
          </cell>
          <cell r="J276" t="str">
            <v/>
          </cell>
          <cell r="K276" t="str">
            <v/>
          </cell>
          <cell r="L276" t="str">
            <v/>
          </cell>
          <cell r="M276" t="str">
            <v/>
          </cell>
        </row>
        <row r="278">
          <cell r="D278" t="str">
            <v>(c)</v>
          </cell>
          <cell r="E278" t="str">
            <v>Измерима топлинна енергия, внесена от инсталации, обхванати от СТЕ на ЕС:</v>
          </cell>
        </row>
        <row r="279">
          <cell r="E279" t="str">
            <v>Наименование на инсталацията</v>
          </cell>
          <cell r="H279" t="str">
            <v>Единица мярка</v>
          </cell>
          <cell r="I279">
            <v>2019</v>
          </cell>
          <cell r="J279">
            <v>2020</v>
          </cell>
          <cell r="K279">
            <v>2021</v>
          </cell>
          <cell r="L279">
            <v>2022</v>
          </cell>
          <cell r="M279">
            <v>2023</v>
          </cell>
        </row>
        <row r="280">
          <cell r="E280" t="str">
            <v/>
          </cell>
          <cell r="H280" t="str">
            <v>TJ / година</v>
          </cell>
          <cell r="I280" t="str">
            <v/>
          </cell>
          <cell r="J280" t="str">
            <v/>
          </cell>
          <cell r="K280" t="str">
            <v/>
          </cell>
          <cell r="L280" t="str">
            <v/>
          </cell>
          <cell r="M280" t="str">
            <v/>
          </cell>
        </row>
        <row r="281">
          <cell r="E281" t="str">
            <v/>
          </cell>
          <cell r="H281" t="str">
            <v>TJ / година</v>
          </cell>
          <cell r="I281" t="str">
            <v/>
          </cell>
          <cell r="J281" t="str">
            <v/>
          </cell>
          <cell r="K281" t="str">
            <v/>
          </cell>
          <cell r="L281" t="str">
            <v/>
          </cell>
          <cell r="M281" t="str">
            <v/>
          </cell>
        </row>
        <row r="282">
          <cell r="E282" t="str">
            <v/>
          </cell>
          <cell r="H282" t="str">
            <v>TJ / година</v>
          </cell>
          <cell r="I282" t="str">
            <v/>
          </cell>
          <cell r="J282" t="str">
            <v/>
          </cell>
          <cell r="K282" t="str">
            <v/>
          </cell>
          <cell r="L282" t="str">
            <v/>
          </cell>
          <cell r="M282" t="str">
            <v/>
          </cell>
        </row>
        <row r="283">
          <cell r="E283" t="str">
            <v>Междинен сбор</v>
          </cell>
          <cell r="H283" t="str">
            <v>TJ / година</v>
          </cell>
          <cell r="I283" t="str">
            <v/>
          </cell>
          <cell r="J283" t="str">
            <v/>
          </cell>
          <cell r="K283" t="str">
            <v/>
          </cell>
          <cell r="L283" t="str">
            <v/>
          </cell>
          <cell r="M283" t="str">
            <v/>
          </cell>
        </row>
        <row r="285">
          <cell r="D285" t="str">
            <v>(d)</v>
          </cell>
          <cell r="E285" t="str">
            <v>Измерима топлинна енергия, внесена от инсталации и обекти, необхванати от СТЕ на ЕС (не отговаря на условията за топлинен показател):</v>
          </cell>
        </row>
        <row r="286">
          <cell r="E286" t="str">
            <v>Наименование на инсталацията или обекта</v>
          </cell>
          <cell r="H286" t="str">
            <v>Единица мярка</v>
          </cell>
          <cell r="I286">
            <v>2019</v>
          </cell>
          <cell r="J286">
            <v>2020</v>
          </cell>
          <cell r="K286">
            <v>2021</v>
          </cell>
          <cell r="L286">
            <v>2022</v>
          </cell>
          <cell r="M286">
            <v>2023</v>
          </cell>
        </row>
        <row r="287">
          <cell r="E287" t="str">
            <v/>
          </cell>
          <cell r="H287" t="str">
            <v>TJ / година</v>
          </cell>
          <cell r="I287" t="str">
            <v/>
          </cell>
          <cell r="J287" t="str">
            <v/>
          </cell>
          <cell r="K287" t="str">
            <v/>
          </cell>
          <cell r="L287" t="str">
            <v/>
          </cell>
          <cell r="M287" t="str">
            <v/>
          </cell>
        </row>
        <row r="288">
          <cell r="E288" t="str">
            <v/>
          </cell>
          <cell r="H288" t="str">
            <v>TJ / година</v>
          </cell>
          <cell r="I288" t="str">
            <v/>
          </cell>
          <cell r="J288" t="str">
            <v/>
          </cell>
          <cell r="K288" t="str">
            <v/>
          </cell>
          <cell r="L288" t="str">
            <v/>
          </cell>
          <cell r="M288" t="str">
            <v/>
          </cell>
        </row>
        <row r="289">
          <cell r="E289" t="str">
            <v/>
          </cell>
          <cell r="H289" t="str">
            <v>TJ / година</v>
          </cell>
          <cell r="I289" t="str">
            <v/>
          </cell>
          <cell r="J289" t="str">
            <v/>
          </cell>
          <cell r="K289" t="str">
            <v/>
          </cell>
          <cell r="L289" t="str">
            <v/>
          </cell>
          <cell r="M289" t="str">
            <v/>
          </cell>
        </row>
        <row r="290">
          <cell r="E290" t="str">
            <v>Междинен сбор</v>
          </cell>
          <cell r="H290" t="str">
            <v>TJ / година</v>
          </cell>
          <cell r="I290" t="str">
            <v/>
          </cell>
          <cell r="J290" t="str">
            <v/>
          </cell>
          <cell r="K290" t="str">
            <v/>
          </cell>
          <cell r="L290" t="str">
            <v/>
          </cell>
          <cell r="M290" t="str">
            <v/>
          </cell>
        </row>
        <row r="292">
          <cell r="D292" t="str">
            <v>(e)</v>
          </cell>
          <cell r="E292" t="str">
            <v>Сума на измеримата топлинна енергия, налична в инсталацията (=a+c+d)</v>
          </cell>
        </row>
        <row r="293">
          <cell r="E293" t="str">
            <v>Общо измерима топлинна енергия</v>
          </cell>
          <cell r="H293" t="str">
            <v>TJ / година</v>
          </cell>
          <cell r="I293" t="str">
            <v/>
          </cell>
          <cell r="J293" t="str">
            <v/>
          </cell>
          <cell r="K293" t="str">
            <v/>
          </cell>
          <cell r="L293" t="str">
            <v/>
          </cell>
          <cell r="M293" t="str">
            <v/>
          </cell>
        </row>
        <row r="295">
          <cell r="D295" t="str">
            <v>(f)</v>
          </cell>
          <cell r="E295" t="str">
            <v>Съотношение „топлинна енергия по СТЕ“ спрямо „общо топлинна енергия“</v>
          </cell>
        </row>
        <row r="296">
          <cell r="E296" t="str">
            <v>Съотношение на вложената топлинна енергия (a+c) / (a+c+d):</v>
          </cell>
          <cell r="H296" t="str">
            <v>%</v>
          </cell>
          <cell r="I296" t="str">
            <v/>
          </cell>
          <cell r="J296" t="str">
            <v/>
          </cell>
          <cell r="K296" t="str">
            <v/>
          </cell>
          <cell r="L296" t="str">
            <v/>
          </cell>
          <cell r="M296" t="str">
            <v/>
          </cell>
        </row>
        <row r="298">
          <cell r="D298" t="str">
            <v>(g)</v>
          </cell>
          <cell r="E298" t="str">
            <v>Измерима топлинна енергия, консумирана за производство на електроенергия в инсталацията (неотговаряща на условията за топлинен показател):</v>
          </cell>
        </row>
        <row r="299">
          <cell r="I299">
            <v>2019</v>
          </cell>
          <cell r="J299">
            <v>2020</v>
          </cell>
          <cell r="K299">
            <v>2021</v>
          </cell>
          <cell r="L299">
            <v>2022</v>
          </cell>
          <cell r="M299">
            <v>2023</v>
          </cell>
        </row>
        <row r="300">
          <cell r="E300" t="str">
            <v>Топлинна енергия, използвана за производство на ел. енергия</v>
          </cell>
          <cell r="H300" t="str">
            <v>TJ / година</v>
          </cell>
          <cell r="I300" t="str">
            <v/>
          </cell>
          <cell r="J300" t="str">
            <v/>
          </cell>
          <cell r="K300" t="str">
            <v/>
          </cell>
          <cell r="L300" t="str">
            <v/>
          </cell>
          <cell r="M300" t="str">
            <v/>
          </cell>
        </row>
        <row r="301">
          <cell r="E301" t="str">
            <v>Количество топлинна енергия от източници извън СТЕ</v>
          </cell>
          <cell r="H301" t="str">
            <v>TJ / година</v>
          </cell>
          <cell r="I301" t="str">
            <v/>
          </cell>
          <cell r="J301" t="str">
            <v/>
          </cell>
          <cell r="K301" t="str">
            <v/>
          </cell>
          <cell r="L301" t="str">
            <v/>
          </cell>
          <cell r="M301" t="str">
            <v/>
          </cell>
        </row>
        <row r="302">
          <cell r="E302" t="str">
            <v>Ръчна корекция на ii)</v>
          </cell>
          <cell r="H302" t="str">
            <v>TJ / година</v>
          </cell>
          <cell r="I302" t="str">
            <v/>
          </cell>
          <cell r="J302" t="str">
            <v/>
          </cell>
          <cell r="K302" t="str">
            <v/>
          </cell>
          <cell r="L302" t="str">
            <v/>
          </cell>
          <cell r="M302" t="str">
            <v/>
          </cell>
        </row>
        <row r="304">
          <cell r="D304" t="str">
            <v>(h)</v>
          </cell>
          <cell r="E304" t="str">
            <v>Консумирана измерима топлинна енергия за подинсталации с продуктов показател в рамките на инсталацията (неотговарящи на условията за топлинен показател):</v>
          </cell>
        </row>
        <row r="305">
          <cell r="H305" t="str">
            <v>Единица мярка</v>
          </cell>
          <cell r="I305">
            <v>2019</v>
          </cell>
          <cell r="J305">
            <v>2020</v>
          </cell>
          <cell r="K305">
            <v>2021</v>
          </cell>
          <cell r="L305">
            <v>2022</v>
          </cell>
          <cell r="M305">
            <v>2023</v>
          </cell>
        </row>
        <row r="306">
          <cell r="E306" t="str">
            <v/>
          </cell>
          <cell r="H306" t="str">
            <v>TJ / година</v>
          </cell>
          <cell r="I306" t="str">
            <v/>
          </cell>
          <cell r="J306" t="str">
            <v/>
          </cell>
          <cell r="K306" t="str">
            <v/>
          </cell>
          <cell r="L306" t="str">
            <v/>
          </cell>
          <cell r="M306" t="str">
            <v/>
          </cell>
        </row>
        <row r="307">
          <cell r="E307" t="str">
            <v/>
          </cell>
          <cell r="H307" t="str">
            <v>TJ / година</v>
          </cell>
          <cell r="I307" t="str">
            <v/>
          </cell>
          <cell r="J307" t="str">
            <v/>
          </cell>
          <cell r="K307" t="str">
            <v/>
          </cell>
          <cell r="L307" t="str">
            <v/>
          </cell>
          <cell r="M307" t="str">
            <v/>
          </cell>
        </row>
        <row r="308">
          <cell r="E308" t="str">
            <v/>
          </cell>
          <cell r="H308" t="str">
            <v>TJ / година</v>
          </cell>
          <cell r="I308" t="str">
            <v/>
          </cell>
          <cell r="J308" t="str">
            <v/>
          </cell>
          <cell r="K308" t="str">
            <v/>
          </cell>
          <cell r="L308" t="str">
            <v/>
          </cell>
          <cell r="M308" t="str">
            <v/>
          </cell>
        </row>
        <row r="309">
          <cell r="E309" t="str">
            <v/>
          </cell>
          <cell r="H309" t="str">
            <v>TJ / година</v>
          </cell>
          <cell r="I309" t="str">
            <v/>
          </cell>
          <cell r="J309" t="str">
            <v/>
          </cell>
          <cell r="K309" t="str">
            <v/>
          </cell>
          <cell r="L309" t="str">
            <v/>
          </cell>
          <cell r="M309" t="str">
            <v/>
          </cell>
        </row>
        <row r="310">
          <cell r="E310" t="str">
            <v/>
          </cell>
          <cell r="H310" t="str">
            <v>TJ / година</v>
          </cell>
          <cell r="I310" t="str">
            <v/>
          </cell>
          <cell r="J310" t="str">
            <v/>
          </cell>
          <cell r="K310" t="str">
            <v/>
          </cell>
          <cell r="L310" t="str">
            <v/>
          </cell>
          <cell r="M310" t="str">
            <v/>
          </cell>
        </row>
        <row r="311">
          <cell r="E311" t="str">
            <v/>
          </cell>
          <cell r="H311" t="str">
            <v>TJ / година</v>
          </cell>
          <cell r="I311" t="str">
            <v/>
          </cell>
          <cell r="J311" t="str">
            <v/>
          </cell>
          <cell r="K311" t="str">
            <v/>
          </cell>
          <cell r="L311" t="str">
            <v/>
          </cell>
          <cell r="M311" t="str">
            <v/>
          </cell>
        </row>
        <row r="312">
          <cell r="E312" t="str">
            <v/>
          </cell>
          <cell r="H312" t="str">
            <v>TJ / година</v>
          </cell>
          <cell r="I312" t="str">
            <v/>
          </cell>
          <cell r="J312" t="str">
            <v/>
          </cell>
          <cell r="K312" t="str">
            <v/>
          </cell>
          <cell r="L312" t="str">
            <v/>
          </cell>
          <cell r="M312" t="str">
            <v/>
          </cell>
        </row>
        <row r="313">
          <cell r="E313" t="str">
            <v/>
          </cell>
          <cell r="H313" t="str">
            <v>TJ / година</v>
          </cell>
          <cell r="I313" t="str">
            <v/>
          </cell>
          <cell r="J313" t="str">
            <v/>
          </cell>
          <cell r="K313" t="str">
            <v/>
          </cell>
          <cell r="L313" t="str">
            <v/>
          </cell>
          <cell r="M313" t="str">
            <v/>
          </cell>
        </row>
        <row r="314">
          <cell r="E314" t="str">
            <v/>
          </cell>
          <cell r="H314" t="str">
            <v>TJ / година</v>
          </cell>
          <cell r="I314" t="str">
            <v/>
          </cell>
          <cell r="J314" t="str">
            <v/>
          </cell>
          <cell r="K314" t="str">
            <v/>
          </cell>
          <cell r="L314" t="str">
            <v/>
          </cell>
          <cell r="M314" t="str">
            <v/>
          </cell>
        </row>
        <row r="315">
          <cell r="E315" t="str">
            <v/>
          </cell>
          <cell r="H315" t="str">
            <v>TJ / година</v>
          </cell>
          <cell r="I315" t="str">
            <v/>
          </cell>
          <cell r="J315" t="str">
            <v/>
          </cell>
          <cell r="K315" t="str">
            <v/>
          </cell>
          <cell r="L315" t="str">
            <v/>
          </cell>
          <cell r="M315" t="str">
            <v/>
          </cell>
        </row>
        <row r="316">
          <cell r="E316" t="str">
            <v>Междинен сбор</v>
          </cell>
          <cell r="H316" t="str">
            <v>TJ / година</v>
          </cell>
          <cell r="I316" t="str">
            <v/>
          </cell>
          <cell r="J316" t="str">
            <v/>
          </cell>
          <cell r="K316" t="str">
            <v/>
          </cell>
          <cell r="L316" t="str">
            <v/>
          </cell>
          <cell r="M316" t="str">
            <v/>
          </cell>
        </row>
        <row r="318">
          <cell r="E318" t="str">
            <v>Стойности, въведени в работен лист „F_ProductBM“:</v>
          </cell>
        </row>
        <row r="319">
          <cell r="E319" t="str">
            <v>Количество топлинна енергия от източници извън СТЕ</v>
          </cell>
          <cell r="H319" t="str">
            <v>TJ / година</v>
          </cell>
          <cell r="I319" t="str">
            <v/>
          </cell>
          <cell r="J319" t="str">
            <v/>
          </cell>
          <cell r="K319" t="str">
            <v/>
          </cell>
          <cell r="L319" t="str">
            <v/>
          </cell>
          <cell r="M319" t="str">
            <v/>
          </cell>
        </row>
        <row r="321">
          <cell r="E321" t="str">
            <v>Топлинна енергия извън СТЕ, въведена в работен лист „F_ProductBM“, сравнена с общото количество топлинна енергия за всички продуктови показатели:</v>
          </cell>
        </row>
        <row r="322">
          <cell r="E322" t="str">
            <v>Точка xii във връзка с точка xi:</v>
          </cell>
          <cell r="H322" t="str">
            <v>%</v>
          </cell>
          <cell r="I322" t="str">
            <v/>
          </cell>
          <cell r="J322" t="str">
            <v/>
          </cell>
          <cell r="K322" t="str">
            <v/>
          </cell>
          <cell r="L322" t="str">
            <v/>
          </cell>
          <cell r="M322" t="str">
            <v/>
          </cell>
        </row>
        <row r="324">
          <cell r="E324" t="str">
            <v>Топлинна енергия извън СТЕ, въведена в работен лист „F_ProductBM“, сравнена с общото количество топлинна енергия, получена от извън СТЕ, въведено по-горе по буква c):</v>
          </cell>
        </row>
        <row r="325">
          <cell r="E325" t="str">
            <v>Точка xii във връзка с буква c) по-горе:</v>
          </cell>
          <cell r="H325" t="str">
            <v>%</v>
          </cell>
          <cell r="I325" t="str">
            <v/>
          </cell>
          <cell r="J325" t="str">
            <v/>
          </cell>
          <cell r="K325" t="str">
            <v/>
          </cell>
          <cell r="L325" t="str">
            <v/>
          </cell>
          <cell r="M325" t="str">
            <v/>
          </cell>
        </row>
        <row r="327">
          <cell r="D327" t="str">
            <v>(i)</v>
          </cell>
          <cell r="E327" t="str">
            <v>Топлинна енергия, подадена към инсталации в СТЕ (която не отговаря на условията за топлинен показател):</v>
          </cell>
        </row>
        <row r="328">
          <cell r="E328" t="str">
            <v>Наименование на инсталацията</v>
          </cell>
          <cell r="H328" t="str">
            <v>Единица мярка</v>
          </cell>
          <cell r="I328">
            <v>2019</v>
          </cell>
          <cell r="J328">
            <v>2020</v>
          </cell>
          <cell r="K328">
            <v>2021</v>
          </cell>
          <cell r="L328">
            <v>2022</v>
          </cell>
          <cell r="M328">
            <v>2023</v>
          </cell>
        </row>
        <row r="329">
          <cell r="E329" t="str">
            <v/>
          </cell>
          <cell r="H329" t="str">
            <v>TJ / година</v>
          </cell>
          <cell r="I329" t="str">
            <v/>
          </cell>
          <cell r="J329" t="str">
            <v/>
          </cell>
          <cell r="K329" t="str">
            <v/>
          </cell>
          <cell r="L329" t="str">
            <v/>
          </cell>
          <cell r="M329" t="str">
            <v/>
          </cell>
        </row>
        <row r="330">
          <cell r="E330" t="str">
            <v/>
          </cell>
          <cell r="H330" t="str">
            <v>TJ / година</v>
          </cell>
          <cell r="I330" t="str">
            <v/>
          </cell>
          <cell r="J330" t="str">
            <v/>
          </cell>
          <cell r="K330" t="str">
            <v/>
          </cell>
          <cell r="L330" t="str">
            <v/>
          </cell>
          <cell r="M330" t="str">
            <v/>
          </cell>
        </row>
        <row r="331">
          <cell r="E331" t="str">
            <v/>
          </cell>
          <cell r="H331" t="str">
            <v>TJ / година</v>
          </cell>
          <cell r="I331" t="str">
            <v/>
          </cell>
          <cell r="J331" t="str">
            <v/>
          </cell>
          <cell r="K331" t="str">
            <v/>
          </cell>
          <cell r="L331" t="str">
            <v/>
          </cell>
          <cell r="M331" t="str">
            <v/>
          </cell>
        </row>
        <row r="332">
          <cell r="E332" t="str">
            <v/>
          </cell>
          <cell r="H332" t="str">
            <v>TJ / година</v>
          </cell>
          <cell r="I332" t="str">
            <v/>
          </cell>
          <cell r="J332" t="str">
            <v/>
          </cell>
          <cell r="K332" t="str">
            <v/>
          </cell>
          <cell r="L332" t="str">
            <v/>
          </cell>
          <cell r="M332" t="str">
            <v/>
          </cell>
        </row>
        <row r="333">
          <cell r="E333" t="str">
            <v/>
          </cell>
          <cell r="H333" t="str">
            <v>TJ / година</v>
          </cell>
          <cell r="I333" t="str">
            <v/>
          </cell>
          <cell r="J333" t="str">
            <v/>
          </cell>
          <cell r="K333" t="str">
            <v/>
          </cell>
          <cell r="L333" t="str">
            <v/>
          </cell>
          <cell r="M333" t="str">
            <v/>
          </cell>
        </row>
        <row r="334">
          <cell r="E334" t="str">
            <v>Общо топлинна енергия, подадена към инсталации в СТЕ</v>
          </cell>
          <cell r="H334" t="str">
            <v>TJ / година</v>
          </cell>
          <cell r="I334" t="str">
            <v/>
          </cell>
          <cell r="J334" t="str">
            <v/>
          </cell>
          <cell r="K334" t="str">
            <v/>
          </cell>
          <cell r="L334" t="str">
            <v/>
          </cell>
          <cell r="M334" t="str">
            <v/>
          </cell>
        </row>
        <row r="336">
          <cell r="D336" t="str">
            <v>(j)</v>
          </cell>
          <cell r="E336" t="str">
            <v>Междинен сбор: оставащо общо количество измерима топлинна енергия, която потенциално е от подинсталации с топлинен показател (=e-g-h-i):</v>
          </cell>
        </row>
        <row r="338">
          <cell r="H338" t="str">
            <v>Единица мярка</v>
          </cell>
          <cell r="I338">
            <v>2019</v>
          </cell>
          <cell r="J338">
            <v>2020</v>
          </cell>
          <cell r="K338">
            <v>2021</v>
          </cell>
          <cell r="L338">
            <v>2022</v>
          </cell>
          <cell r="M338">
            <v>2023</v>
          </cell>
        </row>
        <row r="339">
          <cell r="E339" t="str">
            <v>Междинен сбор:</v>
          </cell>
          <cell r="H339" t="str">
            <v>TJ / година</v>
          </cell>
          <cell r="I339" t="str">
            <v/>
          </cell>
          <cell r="J339" t="str">
            <v/>
          </cell>
          <cell r="K339" t="str">
            <v/>
          </cell>
          <cell r="L339" t="str">
            <v/>
          </cell>
          <cell r="M339" t="str">
            <v/>
          </cell>
        </row>
        <row r="341">
          <cell r="E341" t="str">
            <v>отговаря на условията поради своя произход:</v>
          </cell>
          <cell r="H341" t="str">
            <v>TJ / година</v>
          </cell>
          <cell r="I341" t="str">
            <v/>
          </cell>
          <cell r="J341" t="str">
            <v/>
          </cell>
          <cell r="K341" t="str">
            <v/>
          </cell>
          <cell r="L341" t="str">
            <v/>
          </cell>
          <cell r="M341" t="str">
            <v/>
          </cell>
        </row>
        <row r="342">
          <cell r="E342" t="str">
            <v>не отговаря на условията поради своя произход:</v>
          </cell>
          <cell r="H342" t="str">
            <v>TJ / година</v>
          </cell>
          <cell r="I342" t="str">
            <v/>
          </cell>
          <cell r="J342" t="str">
            <v/>
          </cell>
          <cell r="K342" t="str">
            <v/>
          </cell>
          <cell r="L342" t="str">
            <v/>
          </cell>
          <cell r="M342" t="str">
            <v/>
          </cell>
        </row>
        <row r="344">
          <cell r="D344" t="str">
            <v>(k)</v>
          </cell>
          <cell r="E344" t="str">
            <v>Съотношение за допустимост за останалата топлинна енергия, изчислена съгласно буква j):</v>
          </cell>
        </row>
        <row r="345">
          <cell r="E345" t="str">
            <v>коригирано съотношение за допустимост (=(j).ii / (j).i):</v>
          </cell>
          <cell r="H345" t="str">
            <v>%</v>
          </cell>
          <cell r="I345" t="str">
            <v/>
          </cell>
          <cell r="J345" t="str">
            <v/>
          </cell>
          <cell r="K345" t="str">
            <v/>
          </cell>
          <cell r="L345" t="str">
            <v/>
          </cell>
          <cell r="M345" t="str">
            <v/>
          </cell>
        </row>
        <row r="347">
          <cell r="D347" t="str">
            <v>(l)</v>
          </cell>
          <cell r="E347" t="str">
            <v>Нетно количество измерима топлинна енергия, потребена в инсталацията и използвана за отговарящи на условията цели съгласно топлинния показател:</v>
          </cell>
        </row>
        <row r="348">
          <cell r="E348" t="str">
            <v>Топлинна енергия, консумирана в рамките на инсталацията</v>
          </cell>
          <cell r="H348" t="str">
            <v>TJ / година</v>
          </cell>
          <cell r="I348" t="str">
            <v/>
          </cell>
          <cell r="J348" t="str">
            <v/>
          </cell>
          <cell r="K348" t="str">
            <v/>
          </cell>
          <cell r="L348" t="str">
            <v/>
          </cell>
          <cell r="M348" t="str">
            <v/>
          </cell>
        </row>
        <row r="350">
          <cell r="D350" t="str">
            <v>(m)</v>
          </cell>
          <cell r="E350" t="str">
            <v>Топлинна енергия, подадена към инсталации или обекти, необхванати от СТЕ на ЕС (напр. топлофикационни мрежи):</v>
          </cell>
        </row>
        <row r="351">
          <cell r="E351" t="str">
            <v>Наименование на приемащия обект или инсталация</v>
          </cell>
          <cell r="H351" t="str">
            <v>Единица мярка</v>
          </cell>
          <cell r="I351">
            <v>2019</v>
          </cell>
          <cell r="J351">
            <v>2020</v>
          </cell>
          <cell r="K351">
            <v>2021</v>
          </cell>
          <cell r="L351">
            <v>2022</v>
          </cell>
          <cell r="M351">
            <v>2023</v>
          </cell>
        </row>
        <row r="352">
          <cell r="E352" t="str">
            <v/>
          </cell>
          <cell r="H352" t="str">
            <v>TJ / година</v>
          </cell>
          <cell r="I352" t="str">
            <v/>
          </cell>
          <cell r="J352" t="str">
            <v/>
          </cell>
          <cell r="K352" t="str">
            <v/>
          </cell>
          <cell r="L352" t="str">
            <v/>
          </cell>
          <cell r="M352" t="str">
            <v/>
          </cell>
        </row>
        <row r="353">
          <cell r="E353" t="str">
            <v/>
          </cell>
          <cell r="H353" t="str">
            <v>TJ / година</v>
          </cell>
          <cell r="I353" t="str">
            <v/>
          </cell>
          <cell r="J353" t="str">
            <v/>
          </cell>
          <cell r="K353" t="str">
            <v/>
          </cell>
          <cell r="L353" t="str">
            <v/>
          </cell>
          <cell r="M353" t="str">
            <v/>
          </cell>
        </row>
        <row r="354">
          <cell r="E354" t="str">
            <v/>
          </cell>
          <cell r="H354" t="str">
            <v>TJ / година</v>
          </cell>
          <cell r="I354" t="str">
            <v/>
          </cell>
          <cell r="J354" t="str">
            <v/>
          </cell>
          <cell r="K354" t="str">
            <v/>
          </cell>
          <cell r="L354" t="str">
            <v/>
          </cell>
          <cell r="M354" t="str">
            <v/>
          </cell>
        </row>
        <row r="355">
          <cell r="E355" t="str">
            <v/>
          </cell>
          <cell r="H355" t="str">
            <v>TJ / година</v>
          </cell>
          <cell r="I355" t="str">
            <v/>
          </cell>
          <cell r="J355" t="str">
            <v/>
          </cell>
          <cell r="K355" t="str">
            <v/>
          </cell>
          <cell r="L355" t="str">
            <v/>
          </cell>
          <cell r="M355" t="str">
            <v/>
          </cell>
        </row>
        <row r="356">
          <cell r="E356" t="str">
            <v/>
          </cell>
          <cell r="H356" t="str">
            <v>TJ / година</v>
          </cell>
          <cell r="I356" t="str">
            <v/>
          </cell>
          <cell r="J356" t="str">
            <v/>
          </cell>
          <cell r="K356" t="str">
            <v/>
          </cell>
          <cell r="L356" t="str">
            <v/>
          </cell>
          <cell r="M356" t="str">
            <v/>
          </cell>
        </row>
        <row r="357">
          <cell r="E357" t="str">
            <v>Общо топлинна енергия, изнесена извън СТЕ:</v>
          </cell>
          <cell r="H357" t="str">
            <v>TJ / година</v>
          </cell>
          <cell r="I357" t="str">
            <v/>
          </cell>
          <cell r="J357" t="str">
            <v/>
          </cell>
          <cell r="K357" t="str">
            <v/>
          </cell>
          <cell r="L357" t="str">
            <v/>
          </cell>
          <cell r="M357" t="str">
            <v/>
          </cell>
        </row>
        <row r="359">
          <cell r="D359" t="str">
            <v>(n)</v>
          </cell>
          <cell r="E359" t="str">
            <v>Загуба на топлинна енергия (=j-l-m)</v>
          </cell>
        </row>
        <row r="360">
          <cell r="H360" t="str">
            <v>Единица мярка</v>
          </cell>
          <cell r="I360">
            <v>2019</v>
          </cell>
          <cell r="J360">
            <v>2020</v>
          </cell>
          <cell r="K360">
            <v>2021</v>
          </cell>
          <cell r="L360">
            <v>2022</v>
          </cell>
          <cell r="M360">
            <v>2023</v>
          </cell>
        </row>
        <row r="361">
          <cell r="E361" t="str">
            <v>Загуби на топлинна енергия (изчислени)</v>
          </cell>
          <cell r="H361" t="str">
            <v>TJ / година</v>
          </cell>
          <cell r="I361" t="str">
            <v/>
          </cell>
          <cell r="J361" t="str">
            <v/>
          </cell>
          <cell r="K361" t="str">
            <v/>
          </cell>
          <cell r="L361" t="str">
            <v/>
          </cell>
          <cell r="M361" t="str">
            <v/>
          </cell>
        </row>
        <row r="362">
          <cell r="E362" t="str">
            <v>Загуби на топлинна енергия (дял на наличната топлинна енергия = e)</v>
          </cell>
          <cell r="H362" t="str">
            <v>%</v>
          </cell>
          <cell r="I362" t="str">
            <v/>
          </cell>
          <cell r="J362" t="str">
            <v/>
          </cell>
          <cell r="K362" t="str">
            <v/>
          </cell>
          <cell r="L362" t="str">
            <v/>
          </cell>
          <cell r="M362" t="str">
            <v/>
          </cell>
        </row>
        <row r="364">
          <cell r="D364" t="str">
            <v>(o)</v>
          </cell>
          <cell r="E364" t="str">
            <v>Общо количество топлинна енергия, която потенциално е част от подинсталациите с топлинен показател или подинсталации на топлофикационна мрежа (=l+m):</v>
          </cell>
        </row>
        <row r="365">
          <cell r="E365" t="str">
            <v>Общо подинсталации с топлинен показател:</v>
          </cell>
          <cell r="H365" t="str">
            <v>TJ / година</v>
          </cell>
          <cell r="I365" t="str">
            <v/>
          </cell>
          <cell r="J365" t="str">
            <v/>
          </cell>
          <cell r="K365" t="str">
            <v/>
          </cell>
          <cell r="L365" t="str">
            <v/>
          </cell>
          <cell r="M365" t="str">
            <v/>
          </cell>
        </row>
        <row r="367">
          <cell r="D367" t="str">
            <v>(p)</v>
          </cell>
          <cell r="E367" t="str">
            <v>Краен резултат: Количество топлинна енергия, която може да се разпредели на подинсталации с топлинен показател или подинсталации на топлофикационна мрежа</v>
          </cell>
        </row>
        <row r="368">
          <cell r="H368" t="str">
            <v>Единица мярка</v>
          </cell>
          <cell r="I368">
            <v>2019</v>
          </cell>
          <cell r="J368">
            <v>2020</v>
          </cell>
          <cell r="K368">
            <v>2021</v>
          </cell>
          <cell r="L368">
            <v>2022</v>
          </cell>
          <cell r="M368">
            <v>2023</v>
          </cell>
        </row>
        <row r="369">
          <cell r="E369" t="str">
            <v>Топлинна енергия, която отговаря на условията за подинсталации с топлинен показател</v>
          </cell>
          <cell r="H369" t="str">
            <v>TJ / година</v>
          </cell>
          <cell r="I369" t="str">
            <v/>
          </cell>
          <cell r="J369" t="str">
            <v/>
          </cell>
          <cell r="K369" t="str">
            <v/>
          </cell>
          <cell r="L369" t="str">
            <v/>
          </cell>
          <cell r="M369" t="str">
            <v/>
          </cell>
        </row>
        <row r="371">
          <cell r="D371" t="str">
            <v>Обобщение за подинсталациите с топлинен показател и подинсталациите на топлофикационна мрежа</v>
          </cell>
        </row>
        <row r="372">
          <cell r="H372" t="str">
            <v>Единица мярка</v>
          </cell>
          <cell r="I372">
            <v>2019</v>
          </cell>
          <cell r="J372">
            <v>2020</v>
          </cell>
          <cell r="K372">
            <v>2021</v>
          </cell>
          <cell r="L372">
            <v>2022</v>
          </cell>
          <cell r="M372">
            <v>2023</v>
          </cell>
        </row>
        <row r="373">
          <cell r="E373" t="str">
            <v>Подинсталация с топлинен показател (с риск от ИВЕ | извън МКВЕГ)</v>
          </cell>
          <cell r="H373" t="str">
            <v>TJ / година</v>
          </cell>
          <cell r="I373" t="str">
            <v/>
          </cell>
          <cell r="J373" t="str">
            <v/>
          </cell>
          <cell r="K373" t="str">
            <v/>
          </cell>
          <cell r="L373" t="str">
            <v/>
          </cell>
          <cell r="M373" t="str">
            <v/>
          </cell>
        </row>
        <row r="374">
          <cell r="E374" t="str">
            <v>Подинсталация с топлинен показател (без риск от ИВЕ | извън МКВЕГ)</v>
          </cell>
          <cell r="H374" t="str">
            <v>TJ / година</v>
          </cell>
          <cell r="I374" t="str">
            <v/>
          </cell>
          <cell r="J374" t="str">
            <v/>
          </cell>
          <cell r="K374" t="str">
            <v/>
          </cell>
          <cell r="L374" t="str">
            <v/>
          </cell>
          <cell r="M374" t="str">
            <v/>
          </cell>
        </row>
        <row r="375">
          <cell r="E375" t="str">
            <v>Подинсталация с топлинен показател (с риск от ИВЕ | в рамките на МКВЕГ)</v>
          </cell>
          <cell r="H375" t="str">
            <v>TJ / година</v>
          </cell>
          <cell r="I375" t="str">
            <v/>
          </cell>
          <cell r="J375" t="str">
            <v/>
          </cell>
          <cell r="K375" t="str">
            <v/>
          </cell>
          <cell r="L375" t="str">
            <v/>
          </cell>
          <cell r="M375" t="str">
            <v/>
          </cell>
        </row>
        <row r="376">
          <cell r="E376" t="str">
            <v>Подинсталация на топлофикационна мрежа</v>
          </cell>
          <cell r="H376" t="str">
            <v>TJ / година</v>
          </cell>
          <cell r="I376" t="str">
            <v/>
          </cell>
          <cell r="J376" t="str">
            <v/>
          </cell>
          <cell r="K376" t="str">
            <v/>
          </cell>
          <cell r="L376" t="str">
            <v/>
          </cell>
          <cell r="M376" t="str">
            <v/>
          </cell>
        </row>
        <row r="378">
          <cell r="C378">
            <v>7</v>
          </cell>
          <cell r="D378" t="str">
            <v>Пълен баланс на отпадъчните газове в инсталацията</v>
          </cell>
        </row>
        <row r="380">
          <cell r="D380" t="str">
            <v>(a)</v>
          </cell>
          <cell r="E380" t="str">
            <v>Отпадъчни газове, произведени в системните граници на подинсталация с продуктов показател</v>
          </cell>
        </row>
        <row r="381">
          <cell r="E381" t="str">
            <v>Подинсталация</v>
          </cell>
          <cell r="H381" t="str">
            <v>Единица мярка</v>
          </cell>
          <cell r="I381">
            <v>2019</v>
          </cell>
          <cell r="J381">
            <v>2020</v>
          </cell>
          <cell r="K381">
            <v>2021</v>
          </cell>
          <cell r="L381">
            <v>2022</v>
          </cell>
          <cell r="M381">
            <v>2023</v>
          </cell>
        </row>
        <row r="382">
          <cell r="E382" t="str">
            <v/>
          </cell>
          <cell r="H382" t="str">
            <v>TJ / година</v>
          </cell>
          <cell r="I382" t="str">
            <v/>
          </cell>
          <cell r="J382" t="str">
            <v/>
          </cell>
          <cell r="K382" t="str">
            <v/>
          </cell>
          <cell r="L382" t="str">
            <v/>
          </cell>
          <cell r="M382" t="str">
            <v/>
          </cell>
        </row>
        <row r="383">
          <cell r="E383" t="str">
            <v/>
          </cell>
          <cell r="H383" t="str">
            <v>TJ / година</v>
          </cell>
          <cell r="I383" t="str">
            <v/>
          </cell>
          <cell r="J383" t="str">
            <v/>
          </cell>
          <cell r="K383" t="str">
            <v/>
          </cell>
          <cell r="L383" t="str">
            <v/>
          </cell>
          <cell r="M383" t="str">
            <v/>
          </cell>
        </row>
        <row r="384">
          <cell r="E384" t="str">
            <v/>
          </cell>
          <cell r="H384" t="str">
            <v>TJ / година</v>
          </cell>
          <cell r="I384" t="str">
            <v/>
          </cell>
          <cell r="J384" t="str">
            <v/>
          </cell>
          <cell r="K384" t="str">
            <v/>
          </cell>
          <cell r="L384" t="str">
            <v/>
          </cell>
          <cell r="M384" t="str">
            <v/>
          </cell>
        </row>
        <row r="385">
          <cell r="E385" t="str">
            <v/>
          </cell>
          <cell r="H385" t="str">
            <v>TJ / година</v>
          </cell>
          <cell r="I385" t="str">
            <v/>
          </cell>
          <cell r="J385" t="str">
            <v/>
          </cell>
          <cell r="K385" t="str">
            <v/>
          </cell>
          <cell r="L385" t="str">
            <v/>
          </cell>
          <cell r="M385" t="str">
            <v/>
          </cell>
        </row>
        <row r="386">
          <cell r="E386" t="str">
            <v/>
          </cell>
          <cell r="H386" t="str">
            <v>TJ / година</v>
          </cell>
          <cell r="I386" t="str">
            <v/>
          </cell>
          <cell r="J386" t="str">
            <v/>
          </cell>
          <cell r="K386" t="str">
            <v/>
          </cell>
          <cell r="L386" t="str">
            <v/>
          </cell>
          <cell r="M386" t="str">
            <v/>
          </cell>
        </row>
        <row r="387">
          <cell r="E387" t="str">
            <v/>
          </cell>
          <cell r="H387" t="str">
            <v>TJ / година</v>
          </cell>
          <cell r="I387" t="str">
            <v/>
          </cell>
          <cell r="J387" t="str">
            <v/>
          </cell>
          <cell r="K387" t="str">
            <v/>
          </cell>
          <cell r="L387" t="str">
            <v/>
          </cell>
          <cell r="M387" t="str">
            <v/>
          </cell>
        </row>
        <row r="388">
          <cell r="E388" t="str">
            <v/>
          </cell>
          <cell r="H388" t="str">
            <v>TJ / година</v>
          </cell>
          <cell r="I388" t="str">
            <v/>
          </cell>
          <cell r="J388" t="str">
            <v/>
          </cell>
          <cell r="K388" t="str">
            <v/>
          </cell>
          <cell r="L388" t="str">
            <v/>
          </cell>
          <cell r="M388" t="str">
            <v/>
          </cell>
        </row>
        <row r="389">
          <cell r="E389" t="str">
            <v/>
          </cell>
          <cell r="H389" t="str">
            <v>TJ / година</v>
          </cell>
          <cell r="I389" t="str">
            <v/>
          </cell>
          <cell r="J389" t="str">
            <v/>
          </cell>
          <cell r="K389" t="str">
            <v/>
          </cell>
          <cell r="L389" t="str">
            <v/>
          </cell>
          <cell r="M389" t="str">
            <v/>
          </cell>
        </row>
        <row r="390">
          <cell r="E390" t="str">
            <v/>
          </cell>
          <cell r="H390" t="str">
            <v>TJ / година</v>
          </cell>
          <cell r="I390" t="str">
            <v/>
          </cell>
          <cell r="J390" t="str">
            <v/>
          </cell>
          <cell r="K390" t="str">
            <v/>
          </cell>
          <cell r="L390" t="str">
            <v/>
          </cell>
          <cell r="M390" t="str">
            <v/>
          </cell>
        </row>
        <row r="391">
          <cell r="E391" t="str">
            <v/>
          </cell>
          <cell r="H391" t="str">
            <v>TJ / година</v>
          </cell>
          <cell r="I391" t="str">
            <v/>
          </cell>
          <cell r="J391" t="str">
            <v/>
          </cell>
          <cell r="K391" t="str">
            <v/>
          </cell>
          <cell r="L391" t="str">
            <v/>
          </cell>
          <cell r="M391" t="str">
            <v/>
          </cell>
        </row>
        <row r="392">
          <cell r="E392" t="str">
            <v>Междинен сбор</v>
          </cell>
          <cell r="H392" t="str">
            <v>TJ / година</v>
          </cell>
          <cell r="I392" t="str">
            <v/>
          </cell>
          <cell r="J392" t="str">
            <v/>
          </cell>
          <cell r="K392" t="str">
            <v/>
          </cell>
          <cell r="L392" t="str">
            <v/>
          </cell>
          <cell r="M392" t="str">
            <v/>
          </cell>
        </row>
        <row r="394">
          <cell r="D394" t="str">
            <v>(b)</v>
          </cell>
          <cell r="E394" t="str">
            <v>Отпадъчни газове, произведени извън системните граници на подинсталация с продуктов показател</v>
          </cell>
        </row>
        <row r="395">
          <cell r="E395" t="str">
            <v>от раздел D.IV.</v>
          </cell>
          <cell r="H395" t="str">
            <v>Единица мярка</v>
          </cell>
          <cell r="I395">
            <v>2019</v>
          </cell>
          <cell r="J395">
            <v>2020</v>
          </cell>
          <cell r="K395">
            <v>2021</v>
          </cell>
          <cell r="L395">
            <v>2022</v>
          </cell>
          <cell r="M395">
            <v>2023</v>
          </cell>
        </row>
        <row r="396">
          <cell r="E396" t="str">
            <v>Отпадъчен газ 1</v>
          </cell>
          <cell r="H396" t="str">
            <v>TJ / година</v>
          </cell>
          <cell r="I396" t="str">
            <v/>
          </cell>
          <cell r="J396" t="str">
            <v/>
          </cell>
          <cell r="K396" t="str">
            <v/>
          </cell>
          <cell r="L396" t="str">
            <v/>
          </cell>
          <cell r="M396" t="str">
            <v/>
          </cell>
        </row>
        <row r="397">
          <cell r="E397" t="str">
            <v>Отпадъчен газ 2</v>
          </cell>
          <cell r="H397" t="str">
            <v>TJ / година</v>
          </cell>
          <cell r="I397" t="str">
            <v/>
          </cell>
          <cell r="J397" t="str">
            <v/>
          </cell>
          <cell r="K397" t="str">
            <v/>
          </cell>
          <cell r="L397" t="str">
            <v/>
          </cell>
          <cell r="M397" t="str">
            <v/>
          </cell>
        </row>
        <row r="398">
          <cell r="E398" t="str">
            <v>Междинен сбор</v>
          </cell>
          <cell r="H398" t="str">
            <v>TJ / година</v>
          </cell>
          <cell r="I398" t="str">
            <v/>
          </cell>
          <cell r="J398" t="str">
            <v/>
          </cell>
          <cell r="K398" t="str">
            <v/>
          </cell>
          <cell r="L398" t="str">
            <v/>
          </cell>
          <cell r="M398" t="str">
            <v/>
          </cell>
        </row>
        <row r="400">
          <cell r="E400" t="str">
            <v>Посочени по-горе стойности от получена енергия</v>
          </cell>
          <cell r="H400" t="str">
            <v>TJ / година</v>
          </cell>
          <cell r="I400" t="str">
            <v/>
          </cell>
          <cell r="J400" t="str">
            <v/>
          </cell>
          <cell r="K400" t="str">
            <v/>
          </cell>
          <cell r="L400" t="str">
            <v/>
          </cell>
          <cell r="M400" t="str">
            <v/>
          </cell>
        </row>
        <row r="402">
          <cell r="D402" t="str">
            <v>(c)</v>
          </cell>
          <cell r="E402" t="str">
            <v>Сбор на отпадъчните газове (=a+b)</v>
          </cell>
        </row>
        <row r="403">
          <cell r="E403" t="str">
            <v>Произведени отпадъчни газове</v>
          </cell>
          <cell r="H403" t="str">
            <v>TJ / година</v>
          </cell>
          <cell r="I403" t="str">
            <v/>
          </cell>
          <cell r="J403" t="str">
            <v/>
          </cell>
          <cell r="K403" t="str">
            <v/>
          </cell>
          <cell r="L403" t="str">
            <v/>
          </cell>
          <cell r="M403" t="str">
            <v/>
          </cell>
        </row>
        <row r="405">
          <cell r="D405" t="str">
            <v>(d)</v>
          </cell>
          <cell r="E405" t="str">
            <v>Отпадъчни газове, получени от други инсталации или обекти</v>
          </cell>
        </row>
        <row r="406">
          <cell r="E406" t="str">
            <v>Наименование на инсталацията или обекта</v>
          </cell>
          <cell r="H406" t="str">
            <v>Единица мярка</v>
          </cell>
          <cell r="I406">
            <v>2019</v>
          </cell>
          <cell r="J406">
            <v>2020</v>
          </cell>
          <cell r="K406">
            <v>2021</v>
          </cell>
          <cell r="L406">
            <v>2022</v>
          </cell>
          <cell r="M406">
            <v>2023</v>
          </cell>
        </row>
        <row r="407">
          <cell r="E407" t="str">
            <v/>
          </cell>
          <cell r="H407" t="str">
            <v>TJ / година</v>
          </cell>
          <cell r="I407" t="str">
            <v/>
          </cell>
          <cell r="J407" t="str">
            <v/>
          </cell>
          <cell r="K407" t="str">
            <v/>
          </cell>
          <cell r="L407" t="str">
            <v/>
          </cell>
          <cell r="M407" t="str">
            <v/>
          </cell>
        </row>
        <row r="408">
          <cell r="E408" t="str">
            <v/>
          </cell>
          <cell r="H408" t="str">
            <v>TJ / година</v>
          </cell>
          <cell r="I408" t="str">
            <v/>
          </cell>
          <cell r="J408" t="str">
            <v/>
          </cell>
          <cell r="K408" t="str">
            <v/>
          </cell>
          <cell r="L408" t="str">
            <v/>
          </cell>
          <cell r="M408" t="str">
            <v/>
          </cell>
        </row>
        <row r="409">
          <cell r="E409" t="str">
            <v/>
          </cell>
          <cell r="H409" t="str">
            <v>TJ / година</v>
          </cell>
          <cell r="I409" t="str">
            <v/>
          </cell>
          <cell r="J409" t="str">
            <v/>
          </cell>
          <cell r="K409" t="str">
            <v/>
          </cell>
          <cell r="L409" t="str">
            <v/>
          </cell>
          <cell r="M409" t="str">
            <v/>
          </cell>
        </row>
        <row r="410">
          <cell r="E410" t="str">
            <v>Междинен сбор</v>
          </cell>
          <cell r="H410" t="str">
            <v>TJ / година</v>
          </cell>
          <cell r="I410" t="str">
            <v/>
          </cell>
          <cell r="J410" t="str">
            <v/>
          </cell>
          <cell r="K410" t="str">
            <v/>
          </cell>
          <cell r="L410" t="str">
            <v/>
          </cell>
          <cell r="M410" t="str">
            <v/>
          </cell>
        </row>
        <row r="412">
          <cell r="D412" t="str">
            <v>(e)</v>
          </cell>
          <cell r="E412" t="str">
            <v>Отпадъчни газове, подадени към други инсталации или обекти</v>
          </cell>
        </row>
        <row r="413">
          <cell r="E413" t="str">
            <v>Наименование на инсталацията или обекта</v>
          </cell>
          <cell r="H413" t="str">
            <v>Единица мярка</v>
          </cell>
          <cell r="I413">
            <v>2019</v>
          </cell>
          <cell r="J413">
            <v>2020</v>
          </cell>
          <cell r="K413">
            <v>2021</v>
          </cell>
          <cell r="L413">
            <v>2022</v>
          </cell>
          <cell r="M413">
            <v>2023</v>
          </cell>
        </row>
        <row r="414">
          <cell r="E414" t="str">
            <v/>
          </cell>
          <cell r="H414" t="str">
            <v>TJ / година</v>
          </cell>
          <cell r="I414" t="str">
            <v/>
          </cell>
          <cell r="J414" t="str">
            <v/>
          </cell>
          <cell r="K414" t="str">
            <v/>
          </cell>
          <cell r="L414" t="str">
            <v/>
          </cell>
          <cell r="M414" t="str">
            <v/>
          </cell>
        </row>
        <row r="415">
          <cell r="E415" t="str">
            <v/>
          </cell>
          <cell r="H415" t="str">
            <v>TJ / година</v>
          </cell>
          <cell r="I415" t="str">
            <v/>
          </cell>
          <cell r="J415" t="str">
            <v/>
          </cell>
          <cell r="K415" t="str">
            <v/>
          </cell>
          <cell r="L415" t="str">
            <v/>
          </cell>
          <cell r="M415" t="str">
            <v/>
          </cell>
        </row>
        <row r="416">
          <cell r="E416" t="str">
            <v/>
          </cell>
          <cell r="H416" t="str">
            <v>TJ / година</v>
          </cell>
          <cell r="I416" t="str">
            <v/>
          </cell>
          <cell r="J416" t="str">
            <v/>
          </cell>
          <cell r="K416" t="str">
            <v/>
          </cell>
          <cell r="L416" t="str">
            <v/>
          </cell>
          <cell r="M416" t="str">
            <v/>
          </cell>
        </row>
        <row r="417">
          <cell r="E417" t="str">
            <v>Междинен сбор</v>
          </cell>
          <cell r="H417" t="str">
            <v>TJ / година</v>
          </cell>
          <cell r="I417" t="str">
            <v/>
          </cell>
          <cell r="J417" t="str">
            <v/>
          </cell>
          <cell r="K417" t="str">
            <v/>
          </cell>
          <cell r="L417" t="str">
            <v/>
          </cell>
          <cell r="M417" t="str">
            <v/>
          </cell>
        </row>
        <row r="419">
          <cell r="D419" t="str">
            <v>(f)</v>
          </cell>
          <cell r="E419" t="str">
            <v>Сбор на отпадъчните газове, налични в инсталацията (=c+d-e)</v>
          </cell>
        </row>
        <row r="420">
          <cell r="E420" t="str">
            <v>Налични отпадъчни газове</v>
          </cell>
          <cell r="H420" t="str">
            <v>TJ / година</v>
          </cell>
          <cell r="I420" t="str">
            <v/>
          </cell>
          <cell r="J420" t="str">
            <v/>
          </cell>
          <cell r="K420" t="str">
            <v/>
          </cell>
          <cell r="L420" t="str">
            <v/>
          </cell>
          <cell r="M420" t="str">
            <v/>
          </cell>
        </row>
        <row r="422">
          <cell r="D422" t="str">
            <v>(g)</v>
          </cell>
          <cell r="E422" t="str">
            <v>Отпадъчни газове, консумирани в подинсталации с продуктов показател</v>
          </cell>
        </row>
        <row r="423">
          <cell r="E423" t="str">
            <v>Тип подинсталация с продуктов показател</v>
          </cell>
          <cell r="H423" t="str">
            <v>Единица мярка</v>
          </cell>
          <cell r="I423">
            <v>2019</v>
          </cell>
          <cell r="J423">
            <v>2020</v>
          </cell>
          <cell r="K423">
            <v>2021</v>
          </cell>
          <cell r="L423">
            <v>2022</v>
          </cell>
          <cell r="M423">
            <v>2023</v>
          </cell>
        </row>
        <row r="424">
          <cell r="E424" t="str">
            <v/>
          </cell>
          <cell r="H424" t="str">
            <v>TJ / година</v>
          </cell>
          <cell r="I424" t="str">
            <v/>
          </cell>
          <cell r="J424" t="str">
            <v/>
          </cell>
          <cell r="K424" t="str">
            <v/>
          </cell>
          <cell r="L424" t="str">
            <v/>
          </cell>
          <cell r="M424" t="str">
            <v/>
          </cell>
        </row>
        <row r="425">
          <cell r="E425" t="str">
            <v/>
          </cell>
          <cell r="H425" t="str">
            <v>TJ / година</v>
          </cell>
          <cell r="I425" t="str">
            <v/>
          </cell>
          <cell r="J425" t="str">
            <v/>
          </cell>
          <cell r="K425" t="str">
            <v/>
          </cell>
          <cell r="L425" t="str">
            <v/>
          </cell>
          <cell r="M425" t="str">
            <v/>
          </cell>
        </row>
        <row r="426">
          <cell r="E426" t="str">
            <v/>
          </cell>
          <cell r="H426" t="str">
            <v>TJ / година</v>
          </cell>
          <cell r="I426" t="str">
            <v/>
          </cell>
          <cell r="J426" t="str">
            <v/>
          </cell>
          <cell r="K426" t="str">
            <v/>
          </cell>
          <cell r="L426" t="str">
            <v/>
          </cell>
          <cell r="M426" t="str">
            <v/>
          </cell>
        </row>
        <row r="427">
          <cell r="E427" t="str">
            <v/>
          </cell>
          <cell r="H427" t="str">
            <v>TJ / година</v>
          </cell>
          <cell r="I427" t="str">
            <v/>
          </cell>
          <cell r="J427" t="str">
            <v/>
          </cell>
          <cell r="K427" t="str">
            <v/>
          </cell>
          <cell r="L427" t="str">
            <v/>
          </cell>
          <cell r="M427" t="str">
            <v/>
          </cell>
        </row>
        <row r="428">
          <cell r="E428" t="str">
            <v/>
          </cell>
          <cell r="H428" t="str">
            <v>TJ / година</v>
          </cell>
          <cell r="I428" t="str">
            <v/>
          </cell>
          <cell r="J428" t="str">
            <v/>
          </cell>
          <cell r="K428" t="str">
            <v/>
          </cell>
          <cell r="L428" t="str">
            <v/>
          </cell>
          <cell r="M428" t="str">
            <v/>
          </cell>
        </row>
        <row r="429">
          <cell r="E429" t="str">
            <v/>
          </cell>
          <cell r="H429" t="str">
            <v>TJ / година</v>
          </cell>
          <cell r="I429" t="str">
            <v/>
          </cell>
          <cell r="J429" t="str">
            <v/>
          </cell>
          <cell r="K429" t="str">
            <v/>
          </cell>
          <cell r="L429" t="str">
            <v/>
          </cell>
          <cell r="M429" t="str">
            <v/>
          </cell>
        </row>
        <row r="430">
          <cell r="E430" t="str">
            <v/>
          </cell>
          <cell r="H430" t="str">
            <v>TJ / година</v>
          </cell>
          <cell r="I430" t="str">
            <v/>
          </cell>
          <cell r="J430" t="str">
            <v/>
          </cell>
          <cell r="K430" t="str">
            <v/>
          </cell>
          <cell r="L430" t="str">
            <v/>
          </cell>
          <cell r="M430" t="str">
            <v/>
          </cell>
        </row>
        <row r="431">
          <cell r="E431" t="str">
            <v/>
          </cell>
          <cell r="H431" t="str">
            <v>TJ / година</v>
          </cell>
          <cell r="I431" t="str">
            <v/>
          </cell>
          <cell r="J431" t="str">
            <v/>
          </cell>
          <cell r="K431" t="str">
            <v/>
          </cell>
          <cell r="L431" t="str">
            <v/>
          </cell>
          <cell r="M431" t="str">
            <v/>
          </cell>
        </row>
        <row r="432">
          <cell r="E432" t="str">
            <v/>
          </cell>
          <cell r="H432" t="str">
            <v>TJ / година</v>
          </cell>
          <cell r="I432" t="str">
            <v/>
          </cell>
          <cell r="J432" t="str">
            <v/>
          </cell>
          <cell r="K432" t="str">
            <v/>
          </cell>
          <cell r="L432" t="str">
            <v/>
          </cell>
          <cell r="M432" t="str">
            <v/>
          </cell>
        </row>
        <row r="433">
          <cell r="E433" t="str">
            <v/>
          </cell>
          <cell r="H433" t="str">
            <v>TJ / година</v>
          </cell>
          <cell r="I433" t="str">
            <v/>
          </cell>
          <cell r="J433" t="str">
            <v/>
          </cell>
          <cell r="K433" t="str">
            <v/>
          </cell>
          <cell r="L433" t="str">
            <v/>
          </cell>
          <cell r="M433" t="str">
            <v/>
          </cell>
        </row>
        <row r="434">
          <cell r="E434" t="str">
            <v>Междинен сбор</v>
          </cell>
          <cell r="H434" t="str">
            <v>TJ / година</v>
          </cell>
          <cell r="I434" t="str">
            <v/>
          </cell>
          <cell r="J434" t="str">
            <v/>
          </cell>
          <cell r="K434" t="str">
            <v/>
          </cell>
          <cell r="L434" t="str">
            <v/>
          </cell>
          <cell r="M434" t="str">
            <v/>
          </cell>
        </row>
        <row r="436">
          <cell r="D436" t="str">
            <v>(h)</v>
          </cell>
          <cell r="E436" t="str">
            <v>Отпадъчни газове, консумирани в алтернативни подинсталации („fall-back sub-installations“)</v>
          </cell>
        </row>
        <row r="437">
          <cell r="E437" t="str">
            <v>Тип алтернативна подинсталация („fall-back sub-installation“)</v>
          </cell>
          <cell r="H437" t="str">
            <v>Единица мярка</v>
          </cell>
          <cell r="I437">
            <v>2019</v>
          </cell>
          <cell r="J437">
            <v>2020</v>
          </cell>
          <cell r="K437">
            <v>2021</v>
          </cell>
          <cell r="L437">
            <v>2022</v>
          </cell>
          <cell r="M437">
            <v>2023</v>
          </cell>
        </row>
        <row r="438">
          <cell r="E438" t="str">
            <v>Подинсталация с топлинен показател (с риск от ИВЕ | извън МКВЕГ)</v>
          </cell>
          <cell r="H438" t="str">
            <v>TJ / година</v>
          </cell>
          <cell r="I438" t="str">
            <v/>
          </cell>
          <cell r="J438" t="str">
            <v/>
          </cell>
          <cell r="K438" t="str">
            <v/>
          </cell>
          <cell r="L438" t="str">
            <v/>
          </cell>
          <cell r="M438" t="str">
            <v/>
          </cell>
        </row>
        <row r="439">
          <cell r="E439" t="str">
            <v>Подинсталация с топлинен показател (без риск от ИВЕ | извън МКВЕГ)</v>
          </cell>
          <cell r="H439" t="str">
            <v>TJ / година</v>
          </cell>
          <cell r="I439" t="str">
            <v/>
          </cell>
          <cell r="J439" t="str">
            <v/>
          </cell>
          <cell r="K439" t="str">
            <v/>
          </cell>
          <cell r="L439" t="str">
            <v/>
          </cell>
          <cell r="M439" t="str">
            <v/>
          </cell>
        </row>
        <row r="440">
          <cell r="E440" t="str">
            <v>Подинсталация с топлинен показател (с риск от ИВЕ | в рамките на МКВЕГ)</v>
          </cell>
          <cell r="H440" t="str">
            <v>TJ / година</v>
          </cell>
          <cell r="I440" t="str">
            <v/>
          </cell>
          <cell r="J440" t="str">
            <v/>
          </cell>
          <cell r="K440" t="str">
            <v/>
          </cell>
          <cell r="L440" t="str">
            <v/>
          </cell>
          <cell r="M440" t="str">
            <v/>
          </cell>
        </row>
        <row r="441">
          <cell r="E441" t="str">
            <v>Подинсталация на топлофикационна мрежа</v>
          </cell>
          <cell r="H441" t="str">
            <v>TJ / година</v>
          </cell>
          <cell r="I441" t="str">
            <v/>
          </cell>
          <cell r="J441" t="str">
            <v/>
          </cell>
          <cell r="K441" t="str">
            <v/>
          </cell>
          <cell r="L441" t="str">
            <v/>
          </cell>
          <cell r="M441" t="str">
            <v/>
          </cell>
        </row>
        <row r="442">
          <cell r="E442" t="str">
            <v>Подинсталация с горивен показател (с риск от ИВЕ | извън МКВЕГ)</v>
          </cell>
          <cell r="H442" t="str">
            <v>TJ / година</v>
          </cell>
          <cell r="I442" t="str">
            <v/>
          </cell>
          <cell r="J442" t="str">
            <v/>
          </cell>
          <cell r="K442" t="str">
            <v/>
          </cell>
          <cell r="L442" t="str">
            <v/>
          </cell>
          <cell r="M442" t="str">
            <v/>
          </cell>
        </row>
        <row r="443">
          <cell r="E443" t="str">
            <v>Подинсталация с горивен показател (без риск от ИВЕ | извън МКВЕГ)</v>
          </cell>
          <cell r="H443" t="str">
            <v>TJ / година</v>
          </cell>
          <cell r="I443" t="str">
            <v/>
          </cell>
          <cell r="J443" t="str">
            <v/>
          </cell>
          <cell r="K443" t="str">
            <v/>
          </cell>
          <cell r="L443" t="str">
            <v/>
          </cell>
          <cell r="M443" t="str">
            <v/>
          </cell>
        </row>
        <row r="444">
          <cell r="E444" t="str">
            <v>Подинсталация с горивен показател (с риск от ИВЕ | в рамките на МКВЕГ)</v>
          </cell>
          <cell r="H444" t="str">
            <v>TJ / година</v>
          </cell>
          <cell r="I444" t="str">
            <v/>
          </cell>
          <cell r="J444" t="str">
            <v/>
          </cell>
          <cell r="K444" t="str">
            <v/>
          </cell>
          <cell r="L444" t="str">
            <v/>
          </cell>
          <cell r="M444" t="str">
            <v/>
          </cell>
        </row>
        <row r="445">
          <cell r="E445" t="str">
            <v>Междинен сбор</v>
          </cell>
          <cell r="H445" t="str">
            <v>TJ / година</v>
          </cell>
          <cell r="I445" t="str">
            <v/>
          </cell>
          <cell r="J445" t="str">
            <v/>
          </cell>
          <cell r="K445" t="str">
            <v/>
          </cell>
          <cell r="L445" t="str">
            <v/>
          </cell>
          <cell r="M445" t="str">
            <v/>
          </cell>
        </row>
        <row r="447">
          <cell r="D447" t="str">
            <v>(i)</v>
          </cell>
          <cell r="E447" t="str">
            <v>Количество отпадъчни газове, консумирано за производство на електроенергия</v>
          </cell>
        </row>
        <row r="448">
          <cell r="E448" t="str">
            <v>Отпадъчни газове за електроенергия</v>
          </cell>
          <cell r="H448" t="str">
            <v>TJ / година</v>
          </cell>
          <cell r="I448" t="str">
            <v/>
          </cell>
          <cell r="J448" t="str">
            <v/>
          </cell>
          <cell r="K448" t="str">
            <v/>
          </cell>
          <cell r="L448" t="str">
            <v/>
          </cell>
          <cell r="M448" t="str">
            <v/>
          </cell>
        </row>
        <row r="450">
          <cell r="D450" t="str">
            <v>(j)</v>
          </cell>
          <cell r="E450" t="str">
            <v>Количество отпадъчни газове резултат от изгаряне във факел, различни от необходимото за безопасността изгаряне във факел</v>
          </cell>
        </row>
        <row r="451">
          <cell r="E451" t="str">
            <v>Подинсталация</v>
          </cell>
          <cell r="H451" t="str">
            <v>Единица мярка</v>
          </cell>
          <cell r="I451">
            <v>2019</v>
          </cell>
          <cell r="J451">
            <v>2020</v>
          </cell>
          <cell r="K451">
            <v>2021</v>
          </cell>
          <cell r="L451">
            <v>2022</v>
          </cell>
          <cell r="M451">
            <v>2023</v>
          </cell>
        </row>
        <row r="452">
          <cell r="E452" t="str">
            <v/>
          </cell>
          <cell r="H452" t="str">
            <v>TJ / година</v>
          </cell>
          <cell r="I452" t="str">
            <v/>
          </cell>
          <cell r="J452" t="str">
            <v/>
          </cell>
          <cell r="K452" t="str">
            <v/>
          </cell>
          <cell r="L452" t="str">
            <v/>
          </cell>
          <cell r="M452" t="str">
            <v/>
          </cell>
        </row>
        <row r="453">
          <cell r="E453" t="str">
            <v/>
          </cell>
          <cell r="H453" t="str">
            <v>TJ / година</v>
          </cell>
          <cell r="I453" t="str">
            <v/>
          </cell>
          <cell r="J453" t="str">
            <v/>
          </cell>
          <cell r="K453" t="str">
            <v/>
          </cell>
          <cell r="L453" t="str">
            <v/>
          </cell>
          <cell r="M453" t="str">
            <v/>
          </cell>
        </row>
        <row r="454">
          <cell r="E454" t="str">
            <v/>
          </cell>
          <cell r="H454" t="str">
            <v>TJ / година</v>
          </cell>
          <cell r="I454" t="str">
            <v/>
          </cell>
          <cell r="J454" t="str">
            <v/>
          </cell>
          <cell r="K454" t="str">
            <v/>
          </cell>
          <cell r="L454" t="str">
            <v/>
          </cell>
          <cell r="M454" t="str">
            <v/>
          </cell>
        </row>
        <row r="455">
          <cell r="E455" t="str">
            <v/>
          </cell>
          <cell r="H455" t="str">
            <v>TJ / година</v>
          </cell>
          <cell r="I455" t="str">
            <v/>
          </cell>
          <cell r="J455" t="str">
            <v/>
          </cell>
          <cell r="K455" t="str">
            <v/>
          </cell>
          <cell r="L455" t="str">
            <v/>
          </cell>
          <cell r="M455" t="str">
            <v/>
          </cell>
        </row>
        <row r="456">
          <cell r="E456" t="str">
            <v/>
          </cell>
          <cell r="H456" t="str">
            <v>TJ / година</v>
          </cell>
          <cell r="I456" t="str">
            <v/>
          </cell>
          <cell r="J456" t="str">
            <v/>
          </cell>
          <cell r="K456" t="str">
            <v/>
          </cell>
          <cell r="L456" t="str">
            <v/>
          </cell>
          <cell r="M456" t="str">
            <v/>
          </cell>
        </row>
        <row r="457">
          <cell r="E457" t="str">
            <v/>
          </cell>
          <cell r="H457" t="str">
            <v>TJ / година</v>
          </cell>
          <cell r="I457" t="str">
            <v/>
          </cell>
          <cell r="J457" t="str">
            <v/>
          </cell>
          <cell r="K457" t="str">
            <v/>
          </cell>
          <cell r="L457" t="str">
            <v/>
          </cell>
          <cell r="M457" t="str">
            <v/>
          </cell>
        </row>
        <row r="458">
          <cell r="E458" t="str">
            <v/>
          </cell>
          <cell r="H458" t="str">
            <v>TJ / година</v>
          </cell>
          <cell r="I458" t="str">
            <v/>
          </cell>
          <cell r="J458" t="str">
            <v/>
          </cell>
          <cell r="K458" t="str">
            <v/>
          </cell>
          <cell r="L458" t="str">
            <v/>
          </cell>
          <cell r="M458" t="str">
            <v/>
          </cell>
        </row>
        <row r="459">
          <cell r="E459" t="str">
            <v/>
          </cell>
          <cell r="H459" t="str">
            <v>TJ / година</v>
          </cell>
          <cell r="I459" t="str">
            <v/>
          </cell>
          <cell r="J459" t="str">
            <v/>
          </cell>
          <cell r="K459" t="str">
            <v/>
          </cell>
          <cell r="L459" t="str">
            <v/>
          </cell>
          <cell r="M459" t="str">
            <v/>
          </cell>
        </row>
        <row r="460">
          <cell r="E460" t="str">
            <v/>
          </cell>
          <cell r="H460" t="str">
            <v>TJ / година</v>
          </cell>
          <cell r="I460" t="str">
            <v/>
          </cell>
          <cell r="J460" t="str">
            <v/>
          </cell>
          <cell r="K460" t="str">
            <v/>
          </cell>
          <cell r="L460" t="str">
            <v/>
          </cell>
          <cell r="M460" t="str">
            <v/>
          </cell>
        </row>
        <row r="461">
          <cell r="E461" t="str">
            <v/>
          </cell>
          <cell r="H461" t="str">
            <v>TJ / година</v>
          </cell>
          <cell r="I461" t="str">
            <v/>
          </cell>
          <cell r="J461" t="str">
            <v/>
          </cell>
          <cell r="K461" t="str">
            <v/>
          </cell>
          <cell r="L461" t="str">
            <v/>
          </cell>
          <cell r="M461" t="str">
            <v/>
          </cell>
        </row>
        <row r="462">
          <cell r="E462" t="str">
            <v>произведени извън подинсталации с продуктов показател</v>
          </cell>
          <cell r="H462" t="str">
            <v>TJ / година</v>
          </cell>
          <cell r="I462" t="str">
            <v/>
          </cell>
          <cell r="J462" t="str">
            <v/>
          </cell>
          <cell r="K462" t="str">
            <v/>
          </cell>
          <cell r="L462" t="str">
            <v/>
          </cell>
          <cell r="M462" t="str">
            <v/>
          </cell>
        </row>
        <row r="463">
          <cell r="E463" t="str">
            <v>Междинен сбор</v>
          </cell>
          <cell r="H463" t="str">
            <v>TJ / година</v>
          </cell>
          <cell r="I463" t="str">
            <v/>
          </cell>
          <cell r="J463" t="str">
            <v/>
          </cell>
          <cell r="K463" t="str">
            <v/>
          </cell>
          <cell r="L463" t="str">
            <v/>
          </cell>
          <cell r="M463" t="str">
            <v/>
          </cell>
        </row>
        <row r="465">
          <cell r="D465" t="str">
            <v>(k)</v>
          </cell>
          <cell r="E465" t="str">
            <v>Количество отпадни газове, потребено за производството на измерима топлинна енергия И подадено към други инсталации в обхвата на СТЕ на ЕС</v>
          </cell>
        </row>
        <row r="466">
          <cell r="E466" t="str">
            <v>Отпадни газове за топлинна енергия към други инсталации в обхвата на СТЕ на ЕС</v>
          </cell>
          <cell r="H466" t="str">
            <v>TJ / година</v>
          </cell>
          <cell r="I466" t="str">
            <v/>
          </cell>
          <cell r="J466" t="str">
            <v/>
          </cell>
          <cell r="K466" t="str">
            <v/>
          </cell>
          <cell r="L466" t="str">
            <v/>
          </cell>
          <cell r="M466" t="str">
            <v/>
          </cell>
        </row>
        <row r="468">
          <cell r="D468" t="str">
            <v>(l)</v>
          </cell>
          <cell r="E468" t="str">
            <v>Проверка на правдоподобността на данните</v>
          </cell>
        </row>
        <row r="469">
          <cell r="E469" t="str">
            <v>Разлика (изчислена)</v>
          </cell>
          <cell r="H469" t="str">
            <v>TJ / година</v>
          </cell>
          <cell r="I469" t="str">
            <v/>
          </cell>
          <cell r="J469" t="str">
            <v/>
          </cell>
          <cell r="K469" t="str">
            <v/>
          </cell>
          <cell r="L469" t="str">
            <v/>
          </cell>
          <cell r="M469" t="str">
            <v/>
          </cell>
        </row>
        <row r="470">
          <cell r="E470" t="str">
            <v>Разлика (като дял от f)</v>
          </cell>
          <cell r="H470" t="str">
            <v>%</v>
          </cell>
          <cell r="I470" t="str">
            <v/>
          </cell>
          <cell r="J470" t="str">
            <v/>
          </cell>
          <cell r="K470" t="str">
            <v/>
          </cell>
          <cell r="L470" t="str">
            <v/>
          </cell>
          <cell r="M470" t="str">
            <v/>
          </cell>
        </row>
        <row r="472">
          <cell r="C472">
            <v>8</v>
          </cell>
          <cell r="D472" t="str">
            <v>Пълен баланс на електроенергията в инсталацията</v>
          </cell>
        </row>
        <row r="474">
          <cell r="E474" t="str">
            <v>В инсталацията произвежда ли се електроенергия?</v>
          </cell>
          <cell r="L474" t="str">
            <v/>
          </cell>
        </row>
        <row r="476">
          <cell r="H476" t="str">
            <v>Единица мярка</v>
          </cell>
          <cell r="I476">
            <v>2019</v>
          </cell>
          <cell r="J476">
            <v>2020</v>
          </cell>
          <cell r="K476">
            <v>2021</v>
          </cell>
          <cell r="L476">
            <v>2022</v>
          </cell>
          <cell r="M476">
            <v>2023</v>
          </cell>
        </row>
        <row r="477">
          <cell r="E477" t="str">
            <v>Нетна електроенергия, произведена от горива</v>
          </cell>
          <cell r="H477" t="str">
            <v>MWh / година</v>
          </cell>
          <cell r="I477" t="str">
            <v/>
          </cell>
          <cell r="J477" t="str">
            <v/>
          </cell>
          <cell r="K477" t="str">
            <v/>
          </cell>
          <cell r="L477" t="str">
            <v/>
          </cell>
          <cell r="M477" t="str">
            <v/>
          </cell>
        </row>
        <row r="478">
          <cell r="E478" t="str">
            <v>Друга произведена електроенергия</v>
          </cell>
          <cell r="H478" t="str">
            <v>MWh / година</v>
          </cell>
          <cell r="I478" t="str">
            <v/>
          </cell>
          <cell r="J478" t="str">
            <v/>
          </cell>
          <cell r="K478" t="str">
            <v/>
          </cell>
          <cell r="L478" t="str">
            <v/>
          </cell>
          <cell r="M478" t="str">
            <v/>
          </cell>
        </row>
        <row r="479">
          <cell r="E479" t="str">
            <v>Получена електроенергия</v>
          </cell>
          <cell r="H479" t="str">
            <v>MWh / година</v>
          </cell>
          <cell r="I479" t="str">
            <v/>
          </cell>
          <cell r="J479" t="str">
            <v/>
          </cell>
          <cell r="K479" t="str">
            <v/>
          </cell>
          <cell r="L479" t="str">
            <v/>
          </cell>
          <cell r="M479" t="str">
            <v/>
          </cell>
        </row>
        <row r="480">
          <cell r="E480" t="str">
            <v>Подадена електроенергия</v>
          </cell>
          <cell r="H480" t="str">
            <v>MWh / година</v>
          </cell>
          <cell r="I480" t="str">
            <v/>
          </cell>
          <cell r="J480" t="str">
            <v/>
          </cell>
          <cell r="K480" t="str">
            <v/>
          </cell>
          <cell r="L480" t="str">
            <v/>
          </cell>
          <cell r="M480" t="str">
            <v/>
          </cell>
        </row>
        <row r="481">
          <cell r="E481" t="str">
            <v>Използваема електроенергия</v>
          </cell>
          <cell r="H481" t="str">
            <v>MWh / година</v>
          </cell>
          <cell r="I481" t="str">
            <v/>
          </cell>
          <cell r="J481" t="str">
            <v/>
          </cell>
          <cell r="K481" t="str">
            <v/>
          </cell>
          <cell r="L481" t="str">
            <v/>
          </cell>
          <cell r="M481" t="str">
            <v/>
          </cell>
        </row>
        <row r="482">
          <cell r="E482" t="str">
            <v>Електроенергия, консумирана в инсталацията</v>
          </cell>
          <cell r="H482" t="str">
            <v>MWh / година</v>
          </cell>
          <cell r="I482" t="str">
            <v/>
          </cell>
          <cell r="J482" t="str">
            <v/>
          </cell>
          <cell r="K482" t="str">
            <v/>
          </cell>
          <cell r="L482" t="str">
            <v/>
          </cell>
          <cell r="M482" t="str">
            <v/>
          </cell>
        </row>
        <row r="484">
          <cell r="C484" t="str">
            <v>IV</v>
          </cell>
          <cell r="D484" t="str">
            <v>Данни за подинсталациите, които имат значение за разпределянето на квоти и актуализирането на показателите</v>
          </cell>
        </row>
        <row r="486">
          <cell r="D486" t="str">
            <v>Изчисление на предварителния брой квоти</v>
          </cell>
        </row>
        <row r="488">
          <cell r="D488" t="str">
            <v>В таблиците по-долу са използвани следните съкращения:</v>
          </cell>
        </row>
        <row r="489">
          <cell r="D489" t="str">
            <v>Риск от ИВЕ</v>
          </cell>
          <cell r="F489" t="str">
            <v>Риск от изтичане на въглеродни емисии Посочва се „вярно“, ако подинсталацията се използва в сектор, който се смята, че е изложен на значителен риск от изтичане на въглеродни емисии.</v>
          </cell>
        </row>
        <row r="490">
          <cell r="D490" t="str">
            <v>CBAM</v>
          </cell>
          <cell r="F490" t="str">
            <v>Обхват на МКВЕГ (приложение I към Регламент (ЕС) 2023/956). „Вярно“ означава, че подинсталацията е обхваната от МКВЕГ.</v>
          </cell>
        </row>
        <row r="491">
          <cell r="D491" t="str">
            <v>№ на п-л</v>
          </cell>
          <cell r="F491" t="str">
            <v>Номер на показателя</v>
          </cell>
        </row>
        <row r="492">
          <cell r="D492" t="str">
            <v>В/Е</v>
          </cell>
          <cell r="F492" t="str">
            <v>Дата на въвеждане на подинсталацията в експлоатация</v>
          </cell>
        </row>
        <row r="493">
          <cell r="D493" t="str">
            <v>Стойност на п-л</v>
          </cell>
          <cell r="F493" t="str">
            <v>Стойност на показателя съгласно приложение I към ПБР. Използваните стойности за проектното предварително разпределение са или предварителните минимални стойности, или показаните максимални стойности от обобщената таблица за всяка подинсталация по-долу.</v>
          </cell>
        </row>
        <row r="494">
          <cell r="D494" t="str">
            <v>15(7).3?</v>
          </cell>
          <cell r="F494" t="str">
            <v>Приложима ли е алинея трета на член 15, параграф 7 от ПРБ (т.е. подинсталацията работила ли е под една година през базовия период)?</v>
          </cell>
        </row>
        <row r="495">
          <cell r="D495" t="str">
            <v>топл. ен. извън СТЕ</v>
          </cell>
          <cell r="F495" t="str">
            <v>Количество, което трябва да се приспадне от предварителното годишно количество на квотите за емисии в съответствие с член 21 от ПРБ.</v>
          </cell>
        </row>
        <row r="496">
          <cell r="D496" t="str">
            <v>WGflare</v>
          </cell>
          <cell r="F496" t="str">
            <v>Количество, което трябва да се приспадне от предварителното годишно количество на квотите за отпадъчни газове, изгорени във факел, от 2026 г. нататък съгласно член 16, параграф 5, алинея втора от ПРБ</v>
          </cell>
        </row>
        <row r="497">
          <cell r="D497" t="str">
            <v>HVC-Corr</v>
          </cell>
          <cell r="F497" t="str">
            <v>Количество, което трябва да се добави към предварителното годишно количество на квотите за емисии за подинсталациите за крекинг с водна пара в съответствие с член 19 от ПРБ</v>
          </cell>
        </row>
        <row r="498">
          <cell r="D498" t="str">
            <v>VCM-F</v>
          </cell>
          <cell r="F498" t="str">
            <v>Коефициент за отчитане на свързаните с водорода емисии от подинсталациите за винилхлориден мономер в съответствие с член 20 от ПРБ</v>
          </cell>
        </row>
        <row r="499">
          <cell r="D499" t="str">
            <v>Median</v>
          </cell>
          <cell r="F499" t="str">
            <v>Медиана на историческите равнища на дейност през базовия период</v>
          </cell>
        </row>
        <row r="500">
          <cell r="D500" t="str">
            <v>Предв. разпр. за год. 1 (мин)</v>
          </cell>
          <cell r="F500" t="str">
            <v>(Проектен) предварителен годишен брой на квотите за емисии, които се разпределят безплатно за първата година от периода съгласно член 16, параграф 6 от ПБР, т.е. след приложение на коефициента за риск от ИВЕ, но преди да се приложат линейният коефициент или междуотрасловия корекционен коефициент.</v>
          </cell>
        </row>
        <row r="501">
          <cell r="F501" t="str">
            <v>Тази цифра дава само индикативна стойност за „минималното“ предварително разпределение, при което се отчита най-ниската възможна стойност на продуктовия показател за тази подинсталация. Затова стойността е само информативна и НЕ трябва да се тълкува като предварително решение за действителния брой на безплатните квоти, който компетентният орган следва да определи, след като се представят актуализираните показатели.</v>
          </cell>
        </row>
        <row r="502">
          <cell r="D502" t="str">
            <v>Предв. разпр. за год. 1 (макс)</v>
          </cell>
          <cell r="F502" t="str">
            <v>(Проектен) предварителен годишен брой на квотите за емисии, като се вземе предвид възможно най-високата стойност на продуктовия показател за тази подинсталация. Важи същото условие за отказ от отговорност като при стойността (мин).</v>
          </cell>
        </row>
        <row r="503">
          <cell r="D503" t="str">
            <v>Предв. разпр. за год. 1 (действ.)</v>
          </cell>
          <cell r="F503" t="str">
            <v>Действителният предварителен годишен брой на квотите за емисии, като се вземе предвид действителната стойност на продуктовия показател за тази подинсталация. При първоначалните НМИ тази стойност може да се определи едва на по-късен етап, след като се публикуват стойностите на показателите за всеки период на разпределяне.</v>
          </cell>
        </row>
        <row r="505">
          <cell r="D505" t="str">
            <v>Отказ от отговорност: Имайте предвид, че стойностите за предварителното разпределяне на квоти са само за информация и се отчитат минималната и максималната стойност на показателя, както е пояснено по-горе. Когато обаче предварителното разпределяне на квоти зависи и от стойността на топлинния или на горивния показател (например топлинна енергия от източник извън СТЕ), които също подлежат на промяна след събирането на тези данни, е възможно в индикативната стойност да не е отразен минималният или максималният предварителен брой квоти и тя да се коригира допълнително.</v>
          </cell>
        </row>
        <row r="507">
          <cell r="C507">
            <v>1</v>
          </cell>
          <cell r="D507" t="str">
            <v>Подинсталация с продуктов показател 1:</v>
          </cell>
          <cell r="I507" t="str">
            <v/>
          </cell>
        </row>
        <row r="509">
          <cell r="H509" t="str">
            <v>Риск от ИВЕ</v>
          </cell>
          <cell r="J509" t="str">
            <v>В/Е</v>
          </cell>
          <cell r="K509" t="str">
            <v>№ на п-л</v>
          </cell>
          <cell r="L509" t="str">
            <v>15(7).3?</v>
          </cell>
          <cell r="M509" t="str">
            <v>Стойност на показател (мин/макс/действ.)</v>
          </cell>
        </row>
        <row r="510">
          <cell r="E510" t="str">
            <v/>
          </cell>
          <cell r="H510" t="str">
            <v>Не е приложимо</v>
          </cell>
          <cell r="J510" t="str">
            <v>Не е приложимо</v>
          </cell>
          <cell r="K510" t="str">
            <v>Не е приложимо</v>
          </cell>
          <cell r="L510" t="str">
            <v/>
          </cell>
          <cell r="M510" t="str">
            <v>Не е приложимо</v>
          </cell>
          <cell r="N510" t="str">
            <v>Квота за емисии/тона</v>
          </cell>
        </row>
        <row r="511">
          <cell r="G511" t="str">
            <v>топл. ен. извън СТЕ</v>
          </cell>
          <cell r="H511" t="str">
            <v>CBAM</v>
          </cell>
          <cell r="I511" t="str">
            <v>WGflare</v>
          </cell>
          <cell r="J511" t="str">
            <v>HVC-Corr</v>
          </cell>
          <cell r="K511" t="str">
            <v>VCM-F</v>
          </cell>
          <cell r="M511" t="str">
            <v>Не е приложимо</v>
          </cell>
          <cell r="N511" t="str">
            <v>Квота за емисии/тона</v>
          </cell>
          <cell r="R511" t="str">
            <v>No. BM</v>
          </cell>
          <cell r="S511" t="str">
            <v>Не е приложимо</v>
          </cell>
        </row>
        <row r="512">
          <cell r="E512" t="str">
            <v>Специфични коефициенти:</v>
          </cell>
          <cell r="G512" t="str">
            <v/>
          </cell>
          <cell r="H512" t="str">
            <v>Не е приложимо</v>
          </cell>
          <cell r="I512" t="str">
            <v/>
          </cell>
          <cell r="J512" t="str">
            <v/>
          </cell>
          <cell r="K512" t="str">
            <v/>
          </cell>
          <cell r="M512" t="str">
            <v>Не е приложимо</v>
          </cell>
          <cell r="N512" t="str">
            <v>Квота за емисии/тона</v>
          </cell>
        </row>
        <row r="514">
          <cell r="H514" t="str">
            <v>Единица мярка</v>
          </cell>
          <cell r="I514">
            <v>2019</v>
          </cell>
          <cell r="J514">
            <v>2020</v>
          </cell>
          <cell r="K514">
            <v>2021</v>
          </cell>
          <cell r="L514">
            <v>2022</v>
          </cell>
          <cell r="M514">
            <v>2023</v>
          </cell>
        </row>
        <row r="515">
          <cell r="E515" t="str">
            <v>Отчетено HAL (историческо равнище на дейност)</v>
          </cell>
          <cell r="H515" t="str">
            <v>тона</v>
          </cell>
          <cell r="I515" t="str">
            <v/>
          </cell>
          <cell r="J515" t="str">
            <v/>
          </cell>
          <cell r="K515" t="str">
            <v/>
          </cell>
          <cell r="L515" t="str">
            <v/>
          </cell>
          <cell r="M515" t="str">
            <v/>
          </cell>
          <cell r="N515" t="str">
            <v>Median</v>
          </cell>
        </row>
        <row r="516">
          <cell r="E516" t="str">
            <v>Стойности, използвани за изчислението на HAL:</v>
          </cell>
          <cell r="H516" t="str">
            <v>тона</v>
          </cell>
          <cell r="I516" t="str">
            <v/>
          </cell>
          <cell r="J516" t="str">
            <v/>
          </cell>
          <cell r="K516" t="str">
            <v/>
          </cell>
          <cell r="L516" t="str">
            <v/>
          </cell>
          <cell r="M516" t="str">
            <v/>
          </cell>
          <cell r="N516" t="str">
            <v/>
          </cell>
        </row>
        <row r="518">
          <cell r="E518" t="str">
            <v>Съответно потребление на електроенергия</v>
          </cell>
          <cell r="H518" t="str">
            <v>MWh / година</v>
          </cell>
          <cell r="I518" t="str">
            <v/>
          </cell>
          <cell r="J518" t="str">
            <v/>
          </cell>
          <cell r="K518" t="str">
            <v/>
          </cell>
          <cell r="L518" t="str">
            <v/>
          </cell>
          <cell r="M518" t="str">
            <v/>
          </cell>
        </row>
        <row r="520">
          <cell r="F520" t="str">
            <v>Общо HAL</v>
          </cell>
          <cell r="I520" t="str">
            <v>Предв. разпр. за год. 1 (мин)</v>
          </cell>
          <cell r="K520" t="str">
            <v>Предв. разпр. за год. 1 (макс)</v>
          </cell>
          <cell r="M520" t="str">
            <v>Предв. разпр. за год. 1 (действ.)</v>
          </cell>
        </row>
        <row r="521">
          <cell r="F521" t="str">
            <v/>
          </cell>
          <cell r="G521" t="str">
            <v>тона / година</v>
          </cell>
          <cell r="I521" t="str">
            <v/>
          </cell>
          <cell r="J521" t="str">
            <v>Квота за емисии / година</v>
          </cell>
          <cell r="K521" t="str">
            <v/>
          </cell>
          <cell r="L521" t="str">
            <v>Квота за емисии / година</v>
          </cell>
          <cell r="M521" t="str">
            <v/>
          </cell>
          <cell r="N521" t="str">
            <v>Квота за емисии / година</v>
          </cell>
        </row>
        <row r="524">
          <cell r="H524" t="str">
            <v>Единица мярка</v>
          </cell>
          <cell r="I524">
            <v>2019</v>
          </cell>
          <cell r="J524">
            <v>2020</v>
          </cell>
          <cell r="K524">
            <v>2021</v>
          </cell>
          <cell r="L524">
            <v>2022</v>
          </cell>
          <cell r="M524">
            <v>2023</v>
          </cell>
        </row>
        <row r="525">
          <cell r="E525" t="str">
            <v>Общо зададени емисии</v>
          </cell>
          <cell r="H525" t="str">
            <v>t CO2e/година</v>
          </cell>
          <cell r="I525" t="str">
            <v/>
          </cell>
          <cell r="J525" t="str">
            <v/>
          </cell>
          <cell r="K525" t="str">
            <v/>
          </cell>
          <cell r="L525" t="str">
            <v/>
          </cell>
          <cell r="M525" t="str">
            <v/>
          </cell>
        </row>
        <row r="527">
          <cell r="E527" t="str">
            <v>Обща вложена енергия</v>
          </cell>
          <cell r="H527" t="str">
            <v>TJ / година</v>
          </cell>
          <cell r="I527" t="str">
            <v/>
          </cell>
          <cell r="J527" t="str">
            <v/>
          </cell>
          <cell r="K527" t="str">
            <v/>
          </cell>
          <cell r="L527" t="str">
            <v/>
          </cell>
          <cell r="M527" t="str">
            <v/>
          </cell>
        </row>
        <row r="528">
          <cell r="E528" t="str">
            <v>Претеглен емисионен фактор</v>
          </cell>
          <cell r="H528" t="str">
            <v>t CO2 / TJ</v>
          </cell>
          <cell r="I528" t="str">
            <v/>
          </cell>
          <cell r="J528" t="str">
            <v/>
          </cell>
          <cell r="K528" t="str">
            <v/>
          </cell>
          <cell r="L528" t="str">
            <v/>
          </cell>
          <cell r="M528" t="str">
            <v/>
          </cell>
        </row>
        <row r="530">
          <cell r="E530" t="str">
            <v>Преки емисии</v>
          </cell>
          <cell r="H530" t="str">
            <v>t CO2 / година</v>
          </cell>
          <cell r="I530" t="str">
            <v/>
          </cell>
          <cell r="J530" t="str">
            <v/>
          </cell>
          <cell r="K530" t="str">
            <v/>
          </cell>
          <cell r="L530" t="str">
            <v/>
          </cell>
          <cell r="M530" t="str">
            <v/>
          </cell>
        </row>
        <row r="531">
          <cell r="E531" t="str">
            <v>Други потоци горива и материали пораждащи емисии — 1</v>
          </cell>
          <cell r="H531" t="str">
            <v>t CO2 / година</v>
          </cell>
          <cell r="I531" t="str">
            <v/>
          </cell>
          <cell r="J531" t="str">
            <v/>
          </cell>
          <cell r="K531" t="str">
            <v/>
          </cell>
          <cell r="L531" t="str">
            <v/>
          </cell>
          <cell r="M531" t="str">
            <v/>
          </cell>
        </row>
        <row r="532">
          <cell r="E532" t="str">
            <v>Други потоци горива и материали пораждащи емисии — 2</v>
          </cell>
          <cell r="H532" t="str">
            <v>t CO2 / година</v>
          </cell>
          <cell r="I532" t="str">
            <v/>
          </cell>
          <cell r="J532" t="str">
            <v/>
          </cell>
          <cell r="K532" t="str">
            <v/>
          </cell>
          <cell r="L532" t="str">
            <v/>
          </cell>
          <cell r="M532" t="str">
            <v/>
          </cell>
        </row>
        <row r="533">
          <cell r="E533" t="str">
            <v>Получени или подадени парникови газове</v>
          </cell>
          <cell r="H533" t="str">
            <v>t CO2e/година</v>
          </cell>
          <cell r="I533" t="str">
            <v/>
          </cell>
          <cell r="J533" t="str">
            <v/>
          </cell>
          <cell r="K533" t="str">
            <v/>
          </cell>
          <cell r="L533" t="str">
            <v/>
          </cell>
          <cell r="M533" t="str">
            <v/>
          </cell>
        </row>
        <row r="535">
          <cell r="E535" t="str">
            <v>Нетно количество получена топлинна енергия</v>
          </cell>
          <cell r="H535" t="str">
            <v>TJ / година</v>
          </cell>
          <cell r="I535" t="str">
            <v/>
          </cell>
          <cell r="J535" t="str">
            <v/>
          </cell>
          <cell r="K535" t="str">
            <v/>
          </cell>
          <cell r="L535" t="str">
            <v/>
          </cell>
          <cell r="M535" t="str">
            <v/>
          </cell>
        </row>
        <row r="536">
          <cell r="E536" t="str">
            <v>Специфичен EF (получена топлинна енергия)</v>
          </cell>
          <cell r="H536" t="str">
            <v>t CO2 / TJ</v>
          </cell>
          <cell r="I536" t="str">
            <v/>
          </cell>
          <cell r="J536" t="str">
            <v/>
          </cell>
          <cell r="K536" t="str">
            <v/>
          </cell>
          <cell r="L536" t="str">
            <v/>
          </cell>
          <cell r="M536" t="str">
            <v/>
          </cell>
        </row>
        <row r="538">
          <cell r="E538" t="str">
            <v>Нетно количество топлинна енергия, получена от пулп</v>
          </cell>
          <cell r="H538" t="str">
            <v>TJ / година</v>
          </cell>
          <cell r="I538" t="str">
            <v/>
          </cell>
          <cell r="J538" t="str">
            <v/>
          </cell>
          <cell r="K538" t="str">
            <v/>
          </cell>
          <cell r="L538" t="str">
            <v/>
          </cell>
          <cell r="M538" t="str">
            <v/>
          </cell>
        </row>
        <row r="539">
          <cell r="E539" t="str">
            <v>Нетно количество топлинна енергия, получена от подинсталации за азотна киселина</v>
          </cell>
          <cell r="H539" t="str">
            <v>TJ / година</v>
          </cell>
          <cell r="I539" t="str">
            <v/>
          </cell>
          <cell r="J539" t="str">
            <v/>
          </cell>
          <cell r="K539" t="str">
            <v/>
          </cell>
          <cell r="L539" t="str">
            <v/>
          </cell>
          <cell r="M539" t="str">
            <v/>
          </cell>
        </row>
        <row r="541">
          <cell r="E541" t="str">
            <v>Нетно количество подадена топлинна енергия</v>
          </cell>
          <cell r="H541" t="str">
            <v>TJ / година</v>
          </cell>
          <cell r="I541" t="str">
            <v/>
          </cell>
          <cell r="J541" t="str">
            <v/>
          </cell>
          <cell r="K541" t="str">
            <v/>
          </cell>
          <cell r="L541" t="str">
            <v/>
          </cell>
          <cell r="M541" t="str">
            <v/>
          </cell>
        </row>
        <row r="542">
          <cell r="E542" t="str">
            <v>Специфичен EF (подадена топлинна енергия)</v>
          </cell>
          <cell r="H542" t="str">
            <v>t CO2 / TJ</v>
          </cell>
          <cell r="I542" t="str">
            <v/>
          </cell>
          <cell r="J542" t="str">
            <v/>
          </cell>
          <cell r="K542" t="str">
            <v/>
          </cell>
          <cell r="L542" t="str">
            <v/>
          </cell>
          <cell r="M542" t="str">
            <v/>
          </cell>
        </row>
        <row r="544">
          <cell r="E544" t="str">
            <v>Произведен отпадъчен газ</v>
          </cell>
          <cell r="H544" t="str">
            <v>TJ / година</v>
          </cell>
          <cell r="I544" t="str">
            <v/>
          </cell>
          <cell r="J544" t="str">
            <v/>
          </cell>
          <cell r="K544" t="str">
            <v/>
          </cell>
          <cell r="L544" t="str">
            <v/>
          </cell>
          <cell r="M544" t="str">
            <v/>
          </cell>
        </row>
        <row r="545">
          <cell r="E545" t="str">
            <v>Специфичен EF (произведен отпадъчен газ)</v>
          </cell>
          <cell r="H545" t="str">
            <v>t CO2 / TJ</v>
          </cell>
          <cell r="I545" t="str">
            <v/>
          </cell>
          <cell r="J545" t="str">
            <v/>
          </cell>
          <cell r="K545" t="str">
            <v/>
          </cell>
          <cell r="L545" t="str">
            <v/>
          </cell>
          <cell r="M545" t="str">
            <v/>
          </cell>
        </row>
        <row r="546">
          <cell r="E546" t="str">
            <v>Консумиран отпадъчен газ</v>
          </cell>
          <cell r="H546" t="str">
            <v>TJ / година</v>
          </cell>
          <cell r="I546" t="str">
            <v/>
          </cell>
          <cell r="J546" t="str">
            <v/>
          </cell>
          <cell r="K546" t="str">
            <v/>
          </cell>
          <cell r="L546" t="str">
            <v/>
          </cell>
          <cell r="M546" t="str">
            <v/>
          </cell>
        </row>
        <row r="547">
          <cell r="E547" t="str">
            <v>Специфичен EF (консумиран отпадъчен газ)</v>
          </cell>
          <cell r="H547" t="str">
            <v>t CO2 / TJ</v>
          </cell>
          <cell r="I547" t="str">
            <v/>
          </cell>
          <cell r="J547" t="str">
            <v/>
          </cell>
          <cell r="K547" t="str">
            <v/>
          </cell>
          <cell r="L547" t="str">
            <v/>
          </cell>
          <cell r="M547" t="str">
            <v/>
          </cell>
        </row>
        <row r="548">
          <cell r="E548" t="str">
            <v>Изгорен във факел отпадъчен газ</v>
          </cell>
          <cell r="H548" t="str">
            <v>TJ / година</v>
          </cell>
          <cell r="I548" t="str">
            <v/>
          </cell>
          <cell r="J548" t="str">
            <v/>
          </cell>
          <cell r="K548" t="str">
            <v/>
          </cell>
          <cell r="L548" t="str">
            <v/>
          </cell>
          <cell r="M548" t="str">
            <v/>
          </cell>
        </row>
        <row r="549">
          <cell r="E549" t="str">
            <v>Специфичен EF (изгорен във факел отпадъчен газ)</v>
          </cell>
          <cell r="H549" t="str">
            <v>t CO2 / TJ</v>
          </cell>
          <cell r="I549" t="str">
            <v/>
          </cell>
          <cell r="J549" t="str">
            <v/>
          </cell>
          <cell r="K549" t="str">
            <v/>
          </cell>
          <cell r="L549" t="str">
            <v/>
          </cell>
          <cell r="M549" t="str">
            <v/>
          </cell>
        </row>
        <row r="550">
          <cell r="E550" t="str">
            <v>Получен отпадъчен газ</v>
          </cell>
          <cell r="H550" t="str">
            <v>TJ / година</v>
          </cell>
          <cell r="I550" t="str">
            <v/>
          </cell>
          <cell r="J550" t="str">
            <v/>
          </cell>
          <cell r="K550" t="str">
            <v/>
          </cell>
          <cell r="L550" t="str">
            <v/>
          </cell>
          <cell r="M550" t="str">
            <v/>
          </cell>
        </row>
        <row r="551">
          <cell r="E551" t="str">
            <v>Специфичен EF (получен отпадъчен газ)</v>
          </cell>
          <cell r="H551" t="str">
            <v>t CO2 / TJ</v>
          </cell>
          <cell r="I551" t="str">
            <v/>
          </cell>
          <cell r="J551" t="str">
            <v/>
          </cell>
          <cell r="K551" t="str">
            <v/>
          </cell>
          <cell r="L551" t="str">
            <v/>
          </cell>
          <cell r="M551" t="str">
            <v/>
          </cell>
        </row>
        <row r="552">
          <cell r="E552" t="str">
            <v>Подаден отпадъчен газ</v>
          </cell>
          <cell r="H552" t="str">
            <v>TJ / година</v>
          </cell>
          <cell r="I552" t="str">
            <v/>
          </cell>
          <cell r="J552" t="str">
            <v/>
          </cell>
          <cell r="K552" t="str">
            <v/>
          </cell>
          <cell r="L552" t="str">
            <v/>
          </cell>
          <cell r="M552" t="str">
            <v/>
          </cell>
        </row>
        <row r="553">
          <cell r="E553" t="str">
            <v>Специфичен EF (подаден отпадъчен газ)</v>
          </cell>
          <cell r="H553" t="str">
            <v>t CO2 / TJ</v>
          </cell>
          <cell r="I553" t="str">
            <v/>
          </cell>
          <cell r="J553" t="str">
            <v/>
          </cell>
          <cell r="K553" t="str">
            <v/>
          </cell>
          <cell r="L553" t="str">
            <v/>
          </cell>
          <cell r="M553" t="str">
            <v/>
          </cell>
        </row>
        <row r="555">
          <cell r="E555" t="str">
            <v>Произведена електроенергия</v>
          </cell>
          <cell r="H555" t="str">
            <v>MWh / година</v>
          </cell>
          <cell r="I555" t="str">
            <v/>
          </cell>
          <cell r="J555" t="str">
            <v/>
          </cell>
          <cell r="K555" t="str">
            <v/>
          </cell>
          <cell r="L555" t="str">
            <v/>
          </cell>
          <cell r="M555" t="str">
            <v/>
          </cell>
        </row>
        <row r="557">
          <cell r="E557" t="str">
            <v>Междинно получаване:</v>
          </cell>
        </row>
        <row r="558">
          <cell r="E558" t="str">
            <v/>
          </cell>
          <cell r="H558" t="str">
            <v>тона</v>
          </cell>
          <cell r="I558" t="str">
            <v/>
          </cell>
          <cell r="J558" t="str">
            <v/>
          </cell>
          <cell r="K558" t="str">
            <v/>
          </cell>
          <cell r="L558" t="str">
            <v/>
          </cell>
          <cell r="M558" t="str">
            <v/>
          </cell>
        </row>
        <row r="559">
          <cell r="E559" t="str">
            <v/>
          </cell>
          <cell r="H559" t="str">
            <v>тона</v>
          </cell>
          <cell r="I559" t="str">
            <v/>
          </cell>
          <cell r="J559" t="str">
            <v/>
          </cell>
          <cell r="K559" t="str">
            <v/>
          </cell>
          <cell r="L559" t="str">
            <v/>
          </cell>
          <cell r="M559" t="str">
            <v/>
          </cell>
        </row>
        <row r="560">
          <cell r="E560" t="str">
            <v>Междинно подаване:</v>
          </cell>
        </row>
        <row r="561">
          <cell r="E561" t="str">
            <v/>
          </cell>
          <cell r="H561" t="str">
            <v>тона</v>
          </cell>
          <cell r="I561" t="str">
            <v/>
          </cell>
          <cell r="J561" t="str">
            <v/>
          </cell>
          <cell r="K561" t="str">
            <v/>
          </cell>
          <cell r="L561" t="str">
            <v/>
          </cell>
          <cell r="M561" t="str">
            <v/>
          </cell>
        </row>
        <row r="562">
          <cell r="E562" t="str">
            <v/>
          </cell>
          <cell r="H562" t="str">
            <v>тона</v>
          </cell>
          <cell r="I562" t="str">
            <v/>
          </cell>
          <cell r="J562" t="str">
            <v/>
          </cell>
          <cell r="K562" t="str">
            <v/>
          </cell>
          <cell r="L562" t="str">
            <v/>
          </cell>
          <cell r="M562" t="str">
            <v/>
          </cell>
        </row>
        <row r="564">
          <cell r="E564" t="str">
            <v>Корекции за актуализиране на показателя при специфичен показател, когато е приложимо</v>
          </cell>
        </row>
        <row r="565">
          <cell r="E565" t="str">
            <v>Общо количество произведен пулп</v>
          </cell>
          <cell r="H565" t="str">
            <v>тона</v>
          </cell>
          <cell r="I565" t="str">
            <v/>
          </cell>
          <cell r="J565" t="str">
            <v/>
          </cell>
          <cell r="K565" t="str">
            <v/>
          </cell>
          <cell r="L565" t="str">
            <v/>
          </cell>
          <cell r="M565" t="str">
            <v/>
          </cell>
        </row>
        <row r="567">
          <cell r="E567" t="str">
            <v>Производство на водород (действително + теоретично)</v>
          </cell>
          <cell r="H567" t="str">
            <v>тона</v>
          </cell>
          <cell r="I567" t="str">
            <v/>
          </cell>
          <cell r="J567" t="str">
            <v/>
          </cell>
          <cell r="K567" t="str">
            <v/>
          </cell>
          <cell r="L567" t="str">
            <v/>
          </cell>
          <cell r="M567" t="str">
            <v/>
          </cell>
        </row>
        <row r="568">
          <cell r="E568" t="str">
            <v>Емисии във връзка с водород</v>
          </cell>
          <cell r="H568" t="str">
            <v>t CO2 / година</v>
          </cell>
          <cell r="I568" t="str">
            <v/>
          </cell>
          <cell r="J568" t="str">
            <v/>
          </cell>
          <cell r="K568" t="str">
            <v/>
          </cell>
          <cell r="L568" t="str">
            <v/>
          </cell>
          <cell r="M568" t="str">
            <v/>
          </cell>
        </row>
        <row r="570">
          <cell r="E570" t="str">
            <v>Корекция на емисиите във връзка с HVC</v>
          </cell>
          <cell r="H570" t="str">
            <v>t CO2 / година</v>
          </cell>
          <cell r="I570" t="str">
            <v/>
          </cell>
          <cell r="J570" t="str">
            <v/>
          </cell>
          <cell r="K570" t="str">
            <v/>
          </cell>
          <cell r="L570" t="str">
            <v/>
          </cell>
          <cell r="M570" t="str">
            <v/>
          </cell>
        </row>
        <row r="572">
          <cell r="E572" t="str">
            <v>Корекция на емисиите във връзка с VCM</v>
          </cell>
          <cell r="H572" t="str">
            <v>t CO2 / година</v>
          </cell>
          <cell r="I572" t="str">
            <v/>
          </cell>
          <cell r="J572" t="str">
            <v/>
          </cell>
          <cell r="K572" t="str">
            <v/>
          </cell>
          <cell r="L572" t="str">
            <v/>
          </cell>
          <cell r="M572" t="str">
            <v/>
          </cell>
        </row>
        <row r="576">
          <cell r="C576">
            <v>2</v>
          </cell>
          <cell r="D576" t="str">
            <v>Подинсталация с продуктов показател 2:</v>
          </cell>
          <cell r="I576" t="str">
            <v/>
          </cell>
        </row>
        <row r="578">
          <cell r="H578" t="str">
            <v>Риск от ИВЕ</v>
          </cell>
          <cell r="J578" t="str">
            <v>В/Е</v>
          </cell>
          <cell r="K578" t="str">
            <v>№ на п-л</v>
          </cell>
          <cell r="L578" t="str">
            <v>15(7).3?</v>
          </cell>
          <cell r="M578" t="str">
            <v>Стойност на показател (мин/макс/действ.)</v>
          </cell>
        </row>
        <row r="579">
          <cell r="E579" t="str">
            <v/>
          </cell>
          <cell r="H579" t="str">
            <v>Не е приложимо</v>
          </cell>
          <cell r="J579" t="str">
            <v>Не е приложимо</v>
          </cell>
          <cell r="K579" t="str">
            <v>Не е приложимо</v>
          </cell>
          <cell r="L579" t="str">
            <v/>
          </cell>
          <cell r="M579" t="str">
            <v>Не е приложимо</v>
          </cell>
          <cell r="N579" t="str">
            <v>Квота за емисии/тона</v>
          </cell>
        </row>
        <row r="580">
          <cell r="G580" t="str">
            <v>топл. ен. извън СТЕ</v>
          </cell>
          <cell r="H580" t="str">
            <v>CBAM</v>
          </cell>
          <cell r="I580" t="str">
            <v>WGflare</v>
          </cell>
          <cell r="J580" t="str">
            <v>HVC-Corr</v>
          </cell>
          <cell r="K580" t="str">
            <v>VCM-F</v>
          </cell>
          <cell r="M580" t="str">
            <v>Не е приложимо</v>
          </cell>
          <cell r="N580" t="str">
            <v>Квота за емисии/тона</v>
          </cell>
          <cell r="R580" t="str">
            <v>No. BM</v>
          </cell>
          <cell r="S580" t="str">
            <v>Не е приложимо</v>
          </cell>
        </row>
        <row r="581">
          <cell r="E581" t="str">
            <v>Специфични коефициенти:</v>
          </cell>
          <cell r="G581" t="str">
            <v/>
          </cell>
          <cell r="H581" t="str">
            <v>Не е приложимо</v>
          </cell>
          <cell r="I581" t="str">
            <v/>
          </cell>
          <cell r="J581" t="str">
            <v/>
          </cell>
          <cell r="K581" t="str">
            <v/>
          </cell>
          <cell r="M581" t="str">
            <v>Не е приложимо</v>
          </cell>
          <cell r="N581" t="str">
            <v>Квота за емисии/тона</v>
          </cell>
        </row>
        <row r="583">
          <cell r="H583" t="str">
            <v>Единица мярка</v>
          </cell>
          <cell r="I583">
            <v>2019</v>
          </cell>
          <cell r="J583">
            <v>2020</v>
          </cell>
          <cell r="K583">
            <v>2021</v>
          </cell>
          <cell r="L583">
            <v>2022</v>
          </cell>
          <cell r="M583">
            <v>2023</v>
          </cell>
        </row>
        <row r="584">
          <cell r="E584" t="str">
            <v>Отчетено HAL (историческо равнище на дейност)</v>
          </cell>
          <cell r="H584" t="str">
            <v>тона</v>
          </cell>
          <cell r="I584" t="str">
            <v/>
          </cell>
          <cell r="J584" t="str">
            <v/>
          </cell>
          <cell r="K584" t="str">
            <v/>
          </cell>
          <cell r="L584" t="str">
            <v/>
          </cell>
          <cell r="M584" t="str">
            <v/>
          </cell>
          <cell r="N584" t="str">
            <v>Median</v>
          </cell>
        </row>
        <row r="585">
          <cell r="E585" t="str">
            <v>Стойности, използвани за изчислението на HAL:</v>
          </cell>
          <cell r="H585" t="str">
            <v>тона</v>
          </cell>
          <cell r="I585" t="str">
            <v/>
          </cell>
          <cell r="J585" t="str">
            <v/>
          </cell>
          <cell r="K585" t="str">
            <v/>
          </cell>
          <cell r="L585" t="str">
            <v/>
          </cell>
          <cell r="M585" t="str">
            <v/>
          </cell>
          <cell r="N585" t="str">
            <v/>
          </cell>
        </row>
        <row r="587">
          <cell r="E587" t="str">
            <v>Съответно потребление на електроенергия</v>
          </cell>
          <cell r="H587" t="str">
            <v>MWh / година</v>
          </cell>
          <cell r="I587" t="str">
            <v/>
          </cell>
          <cell r="J587" t="str">
            <v/>
          </cell>
          <cell r="K587" t="str">
            <v/>
          </cell>
          <cell r="L587" t="str">
            <v/>
          </cell>
          <cell r="M587" t="str">
            <v/>
          </cell>
        </row>
        <row r="589">
          <cell r="F589" t="str">
            <v>Общо HAL</v>
          </cell>
          <cell r="I589" t="str">
            <v>Предв. разпр. за год. 1 (мин)</v>
          </cell>
          <cell r="K589" t="str">
            <v>Предв. разпр. за год. 1 (макс)</v>
          </cell>
          <cell r="M589" t="str">
            <v>Предв. разпр. за год. 1 (действ.)</v>
          </cell>
        </row>
        <row r="590">
          <cell r="F590" t="str">
            <v/>
          </cell>
          <cell r="G590" t="str">
            <v>тона / година</v>
          </cell>
          <cell r="I590" t="str">
            <v/>
          </cell>
          <cell r="J590" t="str">
            <v>Квота за емисии / година</v>
          </cell>
          <cell r="K590" t="str">
            <v/>
          </cell>
          <cell r="L590" t="str">
            <v>Квота за емисии / година</v>
          </cell>
          <cell r="M590" t="str">
            <v/>
          </cell>
          <cell r="N590" t="str">
            <v>Квота за емисии / година</v>
          </cell>
        </row>
        <row r="593">
          <cell r="H593" t="str">
            <v>Единица мярка</v>
          </cell>
          <cell r="I593">
            <v>2019</v>
          </cell>
          <cell r="J593">
            <v>2020</v>
          </cell>
          <cell r="K593">
            <v>2021</v>
          </cell>
          <cell r="L593">
            <v>2022</v>
          </cell>
          <cell r="M593">
            <v>2023</v>
          </cell>
        </row>
        <row r="594">
          <cell r="E594" t="str">
            <v>Общо зададени емисии</v>
          </cell>
          <cell r="H594" t="str">
            <v>t CO2e/година</v>
          </cell>
          <cell r="I594" t="str">
            <v/>
          </cell>
          <cell r="J594" t="str">
            <v/>
          </cell>
          <cell r="K594" t="str">
            <v/>
          </cell>
          <cell r="L594" t="str">
            <v/>
          </cell>
          <cell r="M594" t="str">
            <v/>
          </cell>
        </row>
        <row r="596">
          <cell r="E596" t="str">
            <v>Обща вложена енергия</v>
          </cell>
          <cell r="H596" t="str">
            <v>TJ / година</v>
          </cell>
          <cell r="I596" t="str">
            <v/>
          </cell>
          <cell r="J596" t="str">
            <v/>
          </cell>
          <cell r="K596" t="str">
            <v/>
          </cell>
          <cell r="L596" t="str">
            <v/>
          </cell>
          <cell r="M596" t="str">
            <v/>
          </cell>
        </row>
        <row r="597">
          <cell r="E597" t="str">
            <v>Претеглен емисионен фактор</v>
          </cell>
          <cell r="H597" t="str">
            <v>t CO2 / TJ</v>
          </cell>
          <cell r="I597" t="str">
            <v/>
          </cell>
          <cell r="J597" t="str">
            <v/>
          </cell>
          <cell r="K597" t="str">
            <v/>
          </cell>
          <cell r="L597" t="str">
            <v/>
          </cell>
          <cell r="M597" t="str">
            <v/>
          </cell>
        </row>
        <row r="599">
          <cell r="E599" t="str">
            <v>Преки емисии</v>
          </cell>
          <cell r="H599" t="str">
            <v>t CO2 / година</v>
          </cell>
          <cell r="I599" t="str">
            <v/>
          </cell>
          <cell r="J599" t="str">
            <v/>
          </cell>
          <cell r="K599" t="str">
            <v/>
          </cell>
          <cell r="L599" t="str">
            <v/>
          </cell>
          <cell r="M599" t="str">
            <v/>
          </cell>
        </row>
        <row r="600">
          <cell r="E600" t="str">
            <v>Други потоци горива и материали пораждащи емисии — 1</v>
          </cell>
          <cell r="H600" t="str">
            <v>t CO2 / година</v>
          </cell>
          <cell r="I600" t="str">
            <v/>
          </cell>
          <cell r="J600" t="str">
            <v/>
          </cell>
          <cell r="K600" t="str">
            <v/>
          </cell>
          <cell r="L600" t="str">
            <v/>
          </cell>
          <cell r="M600" t="str">
            <v/>
          </cell>
        </row>
        <row r="601">
          <cell r="E601" t="str">
            <v>Други потоци горива и материали пораждащи емисии — 2</v>
          </cell>
          <cell r="H601" t="str">
            <v>t CO2 / година</v>
          </cell>
          <cell r="I601" t="str">
            <v/>
          </cell>
          <cell r="J601" t="str">
            <v/>
          </cell>
          <cell r="K601" t="str">
            <v/>
          </cell>
          <cell r="L601" t="str">
            <v/>
          </cell>
          <cell r="M601" t="str">
            <v/>
          </cell>
        </row>
        <row r="602">
          <cell r="E602" t="str">
            <v>Получени или подадени парникови газове</v>
          </cell>
          <cell r="H602" t="str">
            <v>t CO2e/година</v>
          </cell>
          <cell r="I602" t="str">
            <v/>
          </cell>
          <cell r="J602" t="str">
            <v/>
          </cell>
          <cell r="K602" t="str">
            <v/>
          </cell>
          <cell r="L602" t="str">
            <v/>
          </cell>
          <cell r="M602" t="str">
            <v/>
          </cell>
        </row>
        <row r="604">
          <cell r="E604" t="str">
            <v>Нетно количество получена топлинна енергия</v>
          </cell>
          <cell r="H604" t="str">
            <v>TJ / година</v>
          </cell>
          <cell r="I604" t="str">
            <v/>
          </cell>
          <cell r="J604" t="str">
            <v/>
          </cell>
          <cell r="K604" t="str">
            <v/>
          </cell>
          <cell r="L604" t="str">
            <v/>
          </cell>
          <cell r="M604" t="str">
            <v/>
          </cell>
        </row>
        <row r="605">
          <cell r="E605" t="str">
            <v>Специфичен EF (получена топлинна енергия)</v>
          </cell>
          <cell r="H605" t="str">
            <v>t CO2 / TJ</v>
          </cell>
          <cell r="I605" t="str">
            <v/>
          </cell>
          <cell r="J605" t="str">
            <v/>
          </cell>
          <cell r="K605" t="str">
            <v/>
          </cell>
          <cell r="L605" t="str">
            <v/>
          </cell>
          <cell r="M605" t="str">
            <v/>
          </cell>
        </row>
        <row r="607">
          <cell r="E607" t="str">
            <v>Нетно количество топлинна енергия, получена от пулп</v>
          </cell>
          <cell r="H607" t="str">
            <v>TJ / година</v>
          </cell>
          <cell r="I607" t="str">
            <v/>
          </cell>
          <cell r="J607" t="str">
            <v/>
          </cell>
          <cell r="K607" t="str">
            <v/>
          </cell>
          <cell r="L607" t="str">
            <v/>
          </cell>
          <cell r="M607" t="str">
            <v/>
          </cell>
        </row>
        <row r="608">
          <cell r="E608" t="str">
            <v>Нетно количество топлинна енергия, получена от подинсталации за азотна киселина</v>
          </cell>
          <cell r="H608" t="str">
            <v>TJ / година</v>
          </cell>
          <cell r="I608" t="str">
            <v/>
          </cell>
          <cell r="J608" t="str">
            <v/>
          </cell>
          <cell r="K608" t="str">
            <v/>
          </cell>
          <cell r="L608" t="str">
            <v/>
          </cell>
          <cell r="M608" t="str">
            <v/>
          </cell>
        </row>
        <row r="610">
          <cell r="E610" t="str">
            <v>Нетно количество подадена топлинна енергия</v>
          </cell>
          <cell r="H610" t="str">
            <v>TJ / година</v>
          </cell>
          <cell r="I610" t="str">
            <v/>
          </cell>
          <cell r="J610" t="str">
            <v/>
          </cell>
          <cell r="K610" t="str">
            <v/>
          </cell>
          <cell r="L610" t="str">
            <v/>
          </cell>
          <cell r="M610" t="str">
            <v/>
          </cell>
        </row>
        <row r="611">
          <cell r="E611" t="str">
            <v>Специфичен EF (подадена топлинна енергия)</v>
          </cell>
          <cell r="H611" t="str">
            <v>t CO2 / TJ</v>
          </cell>
          <cell r="I611" t="str">
            <v/>
          </cell>
          <cell r="J611" t="str">
            <v/>
          </cell>
          <cell r="K611" t="str">
            <v/>
          </cell>
          <cell r="L611" t="str">
            <v/>
          </cell>
          <cell r="M611" t="str">
            <v/>
          </cell>
        </row>
        <row r="613">
          <cell r="E613" t="str">
            <v>Произведен отпадъчен газ</v>
          </cell>
          <cell r="H613" t="str">
            <v>TJ / година</v>
          </cell>
          <cell r="I613" t="str">
            <v/>
          </cell>
          <cell r="J613" t="str">
            <v/>
          </cell>
          <cell r="K613" t="str">
            <v/>
          </cell>
          <cell r="L613" t="str">
            <v/>
          </cell>
          <cell r="M613" t="str">
            <v/>
          </cell>
        </row>
        <row r="614">
          <cell r="E614" t="str">
            <v>Специфичен EF (произведен отпадъчен газ)</v>
          </cell>
          <cell r="H614" t="str">
            <v>t CO2 / TJ</v>
          </cell>
          <cell r="I614" t="str">
            <v/>
          </cell>
          <cell r="J614" t="str">
            <v/>
          </cell>
          <cell r="K614" t="str">
            <v/>
          </cell>
          <cell r="L614" t="str">
            <v/>
          </cell>
          <cell r="M614" t="str">
            <v/>
          </cell>
        </row>
        <row r="615">
          <cell r="E615" t="str">
            <v>Консумиран отпадъчен газ</v>
          </cell>
          <cell r="H615" t="str">
            <v>TJ / година</v>
          </cell>
          <cell r="I615" t="str">
            <v/>
          </cell>
          <cell r="J615" t="str">
            <v/>
          </cell>
          <cell r="K615" t="str">
            <v/>
          </cell>
          <cell r="L615" t="str">
            <v/>
          </cell>
          <cell r="M615" t="str">
            <v/>
          </cell>
        </row>
        <row r="616">
          <cell r="E616" t="str">
            <v>Специфичен EF (консумиран отпадъчен газ)</v>
          </cell>
          <cell r="H616" t="str">
            <v>t CO2 / TJ</v>
          </cell>
          <cell r="I616" t="str">
            <v/>
          </cell>
          <cell r="J616" t="str">
            <v/>
          </cell>
          <cell r="K616" t="str">
            <v/>
          </cell>
          <cell r="L616" t="str">
            <v/>
          </cell>
          <cell r="M616" t="str">
            <v/>
          </cell>
        </row>
        <row r="617">
          <cell r="E617" t="str">
            <v>Изгорен във факел отпадъчен газ</v>
          </cell>
          <cell r="H617" t="str">
            <v>TJ / година</v>
          </cell>
          <cell r="I617" t="str">
            <v/>
          </cell>
          <cell r="J617" t="str">
            <v/>
          </cell>
          <cell r="K617" t="str">
            <v/>
          </cell>
          <cell r="L617" t="str">
            <v/>
          </cell>
          <cell r="M617" t="str">
            <v/>
          </cell>
        </row>
        <row r="618">
          <cell r="E618" t="str">
            <v>Специфичен EF (изгорен във факел отпадъчен газ)</v>
          </cell>
          <cell r="H618" t="str">
            <v>t CO2 / TJ</v>
          </cell>
          <cell r="I618" t="str">
            <v/>
          </cell>
          <cell r="J618" t="str">
            <v/>
          </cell>
          <cell r="K618" t="str">
            <v/>
          </cell>
          <cell r="L618" t="str">
            <v/>
          </cell>
          <cell r="M618" t="str">
            <v/>
          </cell>
        </row>
        <row r="619">
          <cell r="E619" t="str">
            <v>Получен отпадъчен газ</v>
          </cell>
          <cell r="H619" t="str">
            <v>TJ / година</v>
          </cell>
          <cell r="I619" t="str">
            <v/>
          </cell>
          <cell r="J619" t="str">
            <v/>
          </cell>
          <cell r="K619" t="str">
            <v/>
          </cell>
          <cell r="L619" t="str">
            <v/>
          </cell>
          <cell r="M619" t="str">
            <v/>
          </cell>
        </row>
        <row r="620">
          <cell r="E620" t="str">
            <v>Специфичен EF (получен отпадъчен газ)</v>
          </cell>
          <cell r="H620" t="str">
            <v>t CO2 / TJ</v>
          </cell>
          <cell r="I620" t="str">
            <v/>
          </cell>
          <cell r="J620" t="str">
            <v/>
          </cell>
          <cell r="K620" t="str">
            <v/>
          </cell>
          <cell r="L620" t="str">
            <v/>
          </cell>
          <cell r="M620" t="str">
            <v/>
          </cell>
        </row>
        <row r="621">
          <cell r="E621" t="str">
            <v>Подаден отпадъчен газ</v>
          </cell>
          <cell r="H621" t="str">
            <v>TJ / година</v>
          </cell>
          <cell r="I621" t="str">
            <v/>
          </cell>
          <cell r="J621" t="str">
            <v/>
          </cell>
          <cell r="K621" t="str">
            <v/>
          </cell>
          <cell r="L621" t="str">
            <v/>
          </cell>
          <cell r="M621" t="str">
            <v/>
          </cell>
        </row>
        <row r="622">
          <cell r="E622" t="str">
            <v>Специфичен EF (подаден отпадъчен газ)</v>
          </cell>
          <cell r="H622" t="str">
            <v>t CO2 / TJ</v>
          </cell>
          <cell r="I622" t="str">
            <v/>
          </cell>
          <cell r="J622" t="str">
            <v/>
          </cell>
          <cell r="K622" t="str">
            <v/>
          </cell>
          <cell r="L622" t="str">
            <v/>
          </cell>
          <cell r="M622" t="str">
            <v/>
          </cell>
        </row>
        <row r="624">
          <cell r="E624" t="str">
            <v>Произведена електроенергия</v>
          </cell>
          <cell r="H624" t="str">
            <v>MWh / година</v>
          </cell>
          <cell r="I624" t="str">
            <v/>
          </cell>
          <cell r="J624" t="str">
            <v/>
          </cell>
          <cell r="K624" t="str">
            <v/>
          </cell>
          <cell r="L624" t="str">
            <v/>
          </cell>
          <cell r="M624" t="str">
            <v/>
          </cell>
        </row>
        <row r="626">
          <cell r="E626" t="str">
            <v>Междинно получаване:</v>
          </cell>
        </row>
        <row r="627">
          <cell r="E627" t="str">
            <v/>
          </cell>
          <cell r="H627" t="str">
            <v>тона</v>
          </cell>
          <cell r="I627" t="str">
            <v/>
          </cell>
          <cell r="J627" t="str">
            <v/>
          </cell>
          <cell r="K627" t="str">
            <v/>
          </cell>
          <cell r="L627" t="str">
            <v/>
          </cell>
          <cell r="M627" t="str">
            <v/>
          </cell>
        </row>
        <row r="628">
          <cell r="E628" t="str">
            <v/>
          </cell>
          <cell r="H628" t="str">
            <v>тона</v>
          </cell>
          <cell r="I628" t="str">
            <v/>
          </cell>
          <cell r="J628" t="str">
            <v/>
          </cell>
          <cell r="K628" t="str">
            <v/>
          </cell>
          <cell r="L628" t="str">
            <v/>
          </cell>
          <cell r="M628" t="str">
            <v/>
          </cell>
        </row>
        <row r="629">
          <cell r="E629" t="str">
            <v>Междинно подаване:</v>
          </cell>
        </row>
        <row r="630">
          <cell r="E630" t="str">
            <v/>
          </cell>
          <cell r="H630" t="str">
            <v>тона</v>
          </cell>
          <cell r="I630" t="str">
            <v/>
          </cell>
          <cell r="J630" t="str">
            <v/>
          </cell>
          <cell r="K630" t="str">
            <v/>
          </cell>
          <cell r="L630" t="str">
            <v/>
          </cell>
          <cell r="M630" t="str">
            <v/>
          </cell>
        </row>
        <row r="631">
          <cell r="E631" t="str">
            <v/>
          </cell>
          <cell r="H631" t="str">
            <v>тона</v>
          </cell>
          <cell r="I631" t="str">
            <v/>
          </cell>
          <cell r="J631" t="str">
            <v/>
          </cell>
          <cell r="K631" t="str">
            <v/>
          </cell>
          <cell r="L631" t="str">
            <v/>
          </cell>
          <cell r="M631" t="str">
            <v/>
          </cell>
        </row>
        <row r="633">
          <cell r="E633" t="str">
            <v>Корекции за актуализиране на показателя при специфичен показател, когато е приложимо</v>
          </cell>
        </row>
        <row r="634">
          <cell r="E634" t="str">
            <v>Общо количество произведен пулп</v>
          </cell>
          <cell r="H634" t="str">
            <v>тона</v>
          </cell>
          <cell r="I634" t="str">
            <v/>
          </cell>
          <cell r="J634" t="str">
            <v/>
          </cell>
          <cell r="K634" t="str">
            <v/>
          </cell>
          <cell r="L634" t="str">
            <v/>
          </cell>
          <cell r="M634" t="str">
            <v/>
          </cell>
        </row>
        <row r="636">
          <cell r="E636" t="str">
            <v>Производство на водород (действително + теоретично)</v>
          </cell>
          <cell r="H636" t="str">
            <v>тона</v>
          </cell>
          <cell r="I636" t="str">
            <v/>
          </cell>
          <cell r="J636" t="str">
            <v/>
          </cell>
          <cell r="K636" t="str">
            <v/>
          </cell>
          <cell r="L636" t="str">
            <v/>
          </cell>
          <cell r="M636" t="str">
            <v/>
          </cell>
        </row>
        <row r="637">
          <cell r="E637" t="str">
            <v>Емисии във връзка с водород</v>
          </cell>
          <cell r="H637" t="str">
            <v>t CO2 / година</v>
          </cell>
          <cell r="I637" t="str">
            <v/>
          </cell>
          <cell r="J637" t="str">
            <v/>
          </cell>
          <cell r="K637" t="str">
            <v/>
          </cell>
          <cell r="L637" t="str">
            <v/>
          </cell>
          <cell r="M637" t="str">
            <v/>
          </cell>
        </row>
        <row r="639">
          <cell r="E639" t="str">
            <v>Корекция на емисиите във връзка с HVC</v>
          </cell>
          <cell r="H639" t="str">
            <v>t CO2 / година</v>
          </cell>
          <cell r="I639" t="str">
            <v/>
          </cell>
          <cell r="J639" t="str">
            <v/>
          </cell>
          <cell r="K639" t="str">
            <v/>
          </cell>
          <cell r="L639" t="str">
            <v/>
          </cell>
          <cell r="M639" t="str">
            <v/>
          </cell>
        </row>
        <row r="641">
          <cell r="E641" t="str">
            <v>Корекция на емисиите във връзка с VCM</v>
          </cell>
          <cell r="H641" t="str">
            <v>t CO2 / година</v>
          </cell>
          <cell r="I641" t="str">
            <v/>
          </cell>
          <cell r="J641" t="str">
            <v/>
          </cell>
          <cell r="K641" t="str">
            <v/>
          </cell>
          <cell r="L641" t="str">
            <v/>
          </cell>
          <cell r="M641" t="str">
            <v/>
          </cell>
        </row>
        <row r="645">
          <cell r="C645">
            <v>3</v>
          </cell>
          <cell r="D645" t="str">
            <v>Подинсталация с продуктов показател 3:</v>
          </cell>
          <cell r="I645" t="str">
            <v/>
          </cell>
        </row>
        <row r="647">
          <cell r="H647" t="str">
            <v>Риск от ИВЕ</v>
          </cell>
          <cell r="J647" t="str">
            <v>В/Е</v>
          </cell>
          <cell r="K647" t="str">
            <v>№ на п-л</v>
          </cell>
          <cell r="L647" t="str">
            <v>15(7).3?</v>
          </cell>
          <cell r="M647" t="str">
            <v>Стойност на показател (мин/макс/действ.)</v>
          </cell>
        </row>
        <row r="648">
          <cell r="E648" t="str">
            <v/>
          </cell>
          <cell r="H648" t="str">
            <v>Не е приложимо</v>
          </cell>
          <cell r="J648" t="str">
            <v>Не е приложимо</v>
          </cell>
          <cell r="K648" t="str">
            <v>Не е приложимо</v>
          </cell>
          <cell r="L648" t="str">
            <v/>
          </cell>
          <cell r="M648" t="str">
            <v>Не е приложимо</v>
          </cell>
          <cell r="N648" t="str">
            <v>Квота за емисии/тона</v>
          </cell>
        </row>
        <row r="649">
          <cell r="G649" t="str">
            <v>топл. ен. извън СТЕ</v>
          </cell>
          <cell r="H649" t="str">
            <v>CBAM</v>
          </cell>
          <cell r="I649" t="str">
            <v>WGflare</v>
          </cell>
          <cell r="J649" t="str">
            <v>HVC-Corr</v>
          </cell>
          <cell r="K649" t="str">
            <v>VCM-F</v>
          </cell>
          <cell r="M649" t="str">
            <v>Не е приложимо</v>
          </cell>
          <cell r="N649" t="str">
            <v>Квота за емисии/тона</v>
          </cell>
          <cell r="R649" t="str">
            <v>No. BM</v>
          </cell>
          <cell r="S649" t="str">
            <v>Не е приложимо</v>
          </cell>
        </row>
        <row r="650">
          <cell r="E650" t="str">
            <v>Специфични коефициенти:</v>
          </cell>
          <cell r="G650" t="str">
            <v/>
          </cell>
          <cell r="H650" t="str">
            <v>Не е приложимо</v>
          </cell>
          <cell r="I650" t="str">
            <v/>
          </cell>
          <cell r="J650" t="str">
            <v/>
          </cell>
          <cell r="K650" t="str">
            <v/>
          </cell>
          <cell r="M650" t="str">
            <v>Не е приложимо</v>
          </cell>
          <cell r="N650" t="str">
            <v>Квота за емисии/тона</v>
          </cell>
        </row>
        <row r="652">
          <cell r="H652" t="str">
            <v>Единица мярка</v>
          </cell>
          <cell r="I652">
            <v>2019</v>
          </cell>
          <cell r="J652">
            <v>2020</v>
          </cell>
          <cell r="K652">
            <v>2021</v>
          </cell>
          <cell r="L652">
            <v>2022</v>
          </cell>
          <cell r="M652">
            <v>2023</v>
          </cell>
        </row>
        <row r="653">
          <cell r="E653" t="str">
            <v>Отчетено HAL (историческо равнище на дейност)</v>
          </cell>
          <cell r="H653" t="str">
            <v>тона</v>
          </cell>
          <cell r="I653" t="str">
            <v/>
          </cell>
          <cell r="J653" t="str">
            <v/>
          </cell>
          <cell r="K653" t="str">
            <v/>
          </cell>
          <cell r="L653" t="str">
            <v/>
          </cell>
          <cell r="M653" t="str">
            <v/>
          </cell>
          <cell r="N653" t="str">
            <v>Median</v>
          </cell>
        </row>
        <row r="654">
          <cell r="E654" t="str">
            <v>Стойности, използвани за изчислението на HAL:</v>
          </cell>
          <cell r="H654" t="str">
            <v>тона</v>
          </cell>
          <cell r="I654" t="str">
            <v/>
          </cell>
          <cell r="J654" t="str">
            <v/>
          </cell>
          <cell r="K654" t="str">
            <v/>
          </cell>
          <cell r="L654" t="str">
            <v/>
          </cell>
          <cell r="M654" t="str">
            <v/>
          </cell>
          <cell r="N654" t="str">
            <v/>
          </cell>
        </row>
        <row r="656">
          <cell r="E656" t="str">
            <v>Съответно потребление на електроенергия</v>
          </cell>
          <cell r="H656" t="str">
            <v>MWh / година</v>
          </cell>
          <cell r="I656" t="str">
            <v/>
          </cell>
          <cell r="J656" t="str">
            <v/>
          </cell>
          <cell r="K656" t="str">
            <v/>
          </cell>
          <cell r="L656" t="str">
            <v/>
          </cell>
          <cell r="M656" t="str">
            <v/>
          </cell>
        </row>
        <row r="658">
          <cell r="F658" t="str">
            <v>Общо HAL</v>
          </cell>
          <cell r="I658" t="str">
            <v>Предв. разпр. за год. 1 (мин)</v>
          </cell>
          <cell r="K658" t="str">
            <v>Предв. разпр. за год. 1 (макс)</v>
          </cell>
          <cell r="M658" t="str">
            <v>Предв. разпр. за год. 1 (действ.)</v>
          </cell>
        </row>
        <row r="659">
          <cell r="F659" t="str">
            <v/>
          </cell>
          <cell r="G659" t="str">
            <v>тона / година</v>
          </cell>
          <cell r="I659" t="str">
            <v/>
          </cell>
          <cell r="J659" t="str">
            <v>Квота за емисии / година</v>
          </cell>
          <cell r="K659" t="str">
            <v/>
          </cell>
          <cell r="L659" t="str">
            <v>Квота за емисии / година</v>
          </cell>
          <cell r="M659" t="str">
            <v/>
          </cell>
          <cell r="N659" t="str">
            <v>Квота за емисии / година</v>
          </cell>
        </row>
        <row r="662">
          <cell r="H662" t="str">
            <v>Единица мярка</v>
          </cell>
          <cell r="I662">
            <v>2019</v>
          </cell>
          <cell r="J662">
            <v>2020</v>
          </cell>
          <cell r="K662">
            <v>2021</v>
          </cell>
          <cell r="L662">
            <v>2022</v>
          </cell>
          <cell r="M662">
            <v>2023</v>
          </cell>
        </row>
        <row r="663">
          <cell r="E663" t="str">
            <v>Общо зададени емисии</v>
          </cell>
          <cell r="H663" t="str">
            <v>t CO2e/година</v>
          </cell>
          <cell r="I663" t="str">
            <v/>
          </cell>
          <cell r="J663" t="str">
            <v/>
          </cell>
          <cell r="K663" t="str">
            <v/>
          </cell>
          <cell r="L663" t="str">
            <v/>
          </cell>
          <cell r="M663" t="str">
            <v/>
          </cell>
        </row>
        <row r="665">
          <cell r="E665" t="str">
            <v>Обща вложена енергия</v>
          </cell>
          <cell r="H665" t="str">
            <v>TJ / година</v>
          </cell>
          <cell r="I665" t="str">
            <v/>
          </cell>
          <cell r="J665" t="str">
            <v/>
          </cell>
          <cell r="K665" t="str">
            <v/>
          </cell>
          <cell r="L665" t="str">
            <v/>
          </cell>
          <cell r="M665" t="str">
            <v/>
          </cell>
        </row>
        <row r="666">
          <cell r="E666" t="str">
            <v>Претеглен емисионен фактор</v>
          </cell>
          <cell r="H666" t="str">
            <v>t CO2 / TJ</v>
          </cell>
          <cell r="I666" t="str">
            <v/>
          </cell>
          <cell r="J666" t="str">
            <v/>
          </cell>
          <cell r="K666" t="str">
            <v/>
          </cell>
          <cell r="L666" t="str">
            <v/>
          </cell>
          <cell r="M666" t="str">
            <v/>
          </cell>
        </row>
        <row r="668">
          <cell r="E668" t="str">
            <v>Преки емисии</v>
          </cell>
          <cell r="H668" t="str">
            <v>t CO2 / година</v>
          </cell>
          <cell r="I668" t="str">
            <v/>
          </cell>
          <cell r="J668" t="str">
            <v/>
          </cell>
          <cell r="K668" t="str">
            <v/>
          </cell>
          <cell r="L668" t="str">
            <v/>
          </cell>
          <cell r="M668" t="str">
            <v/>
          </cell>
        </row>
        <row r="669">
          <cell r="E669" t="str">
            <v>Други потоци горива и материали пораждащи емисии — 1</v>
          </cell>
          <cell r="H669" t="str">
            <v>t CO2 / година</v>
          </cell>
          <cell r="I669" t="str">
            <v/>
          </cell>
          <cell r="J669" t="str">
            <v/>
          </cell>
          <cell r="K669" t="str">
            <v/>
          </cell>
          <cell r="L669" t="str">
            <v/>
          </cell>
          <cell r="M669" t="str">
            <v/>
          </cell>
        </row>
        <row r="670">
          <cell r="E670" t="str">
            <v>Други потоци горива и материали пораждащи емисии — 2</v>
          </cell>
          <cell r="H670" t="str">
            <v>t CO2 / година</v>
          </cell>
          <cell r="I670" t="str">
            <v/>
          </cell>
          <cell r="J670" t="str">
            <v/>
          </cell>
          <cell r="K670" t="str">
            <v/>
          </cell>
          <cell r="L670" t="str">
            <v/>
          </cell>
          <cell r="M670" t="str">
            <v/>
          </cell>
        </row>
        <row r="671">
          <cell r="E671" t="str">
            <v>Получени или подадени парникови газове</v>
          </cell>
          <cell r="H671" t="str">
            <v>t CO2e/година</v>
          </cell>
          <cell r="I671" t="str">
            <v/>
          </cell>
          <cell r="J671" t="str">
            <v/>
          </cell>
          <cell r="K671" t="str">
            <v/>
          </cell>
          <cell r="L671" t="str">
            <v/>
          </cell>
          <cell r="M671" t="str">
            <v/>
          </cell>
        </row>
        <row r="673">
          <cell r="E673" t="str">
            <v>Нетно количество получена топлинна енергия</v>
          </cell>
          <cell r="H673" t="str">
            <v>TJ / година</v>
          </cell>
          <cell r="I673" t="str">
            <v/>
          </cell>
          <cell r="J673" t="str">
            <v/>
          </cell>
          <cell r="K673" t="str">
            <v/>
          </cell>
          <cell r="L673" t="str">
            <v/>
          </cell>
          <cell r="M673" t="str">
            <v/>
          </cell>
        </row>
        <row r="674">
          <cell r="E674" t="str">
            <v>Специфичен EF (получена топлинна енергия)</v>
          </cell>
          <cell r="H674" t="str">
            <v>t CO2 / TJ</v>
          </cell>
          <cell r="I674" t="str">
            <v/>
          </cell>
          <cell r="J674" t="str">
            <v/>
          </cell>
          <cell r="K674" t="str">
            <v/>
          </cell>
          <cell r="L674" t="str">
            <v/>
          </cell>
          <cell r="M674" t="str">
            <v/>
          </cell>
        </row>
        <row r="676">
          <cell r="E676" t="str">
            <v>Нетно количество топлинна енергия, получена от пулп</v>
          </cell>
          <cell r="H676" t="str">
            <v>TJ / година</v>
          </cell>
          <cell r="I676" t="str">
            <v/>
          </cell>
          <cell r="J676" t="str">
            <v/>
          </cell>
          <cell r="K676" t="str">
            <v/>
          </cell>
          <cell r="L676" t="str">
            <v/>
          </cell>
          <cell r="M676" t="str">
            <v/>
          </cell>
        </row>
        <row r="677">
          <cell r="E677" t="str">
            <v>Нетно количество топлинна енергия, получена от подинсталации за азотна киселина</v>
          </cell>
          <cell r="H677" t="str">
            <v>TJ / година</v>
          </cell>
          <cell r="I677" t="str">
            <v/>
          </cell>
          <cell r="J677" t="str">
            <v/>
          </cell>
          <cell r="K677" t="str">
            <v/>
          </cell>
          <cell r="L677" t="str">
            <v/>
          </cell>
          <cell r="M677" t="str">
            <v/>
          </cell>
        </row>
        <row r="679">
          <cell r="E679" t="str">
            <v>Нетно количество подадена топлинна енергия</v>
          </cell>
          <cell r="H679" t="str">
            <v>TJ / година</v>
          </cell>
          <cell r="I679" t="str">
            <v/>
          </cell>
          <cell r="J679" t="str">
            <v/>
          </cell>
          <cell r="K679" t="str">
            <v/>
          </cell>
          <cell r="L679" t="str">
            <v/>
          </cell>
          <cell r="M679" t="str">
            <v/>
          </cell>
        </row>
        <row r="680">
          <cell r="E680" t="str">
            <v>Специфичен EF (подадена топлинна енергия)</v>
          </cell>
          <cell r="H680" t="str">
            <v>t CO2 / TJ</v>
          </cell>
          <cell r="I680" t="str">
            <v/>
          </cell>
          <cell r="J680" t="str">
            <v/>
          </cell>
          <cell r="K680" t="str">
            <v/>
          </cell>
          <cell r="L680" t="str">
            <v/>
          </cell>
          <cell r="M680" t="str">
            <v/>
          </cell>
        </row>
        <row r="682">
          <cell r="E682" t="str">
            <v>Произведен отпадъчен газ</v>
          </cell>
          <cell r="H682" t="str">
            <v>TJ / година</v>
          </cell>
          <cell r="I682" t="str">
            <v/>
          </cell>
          <cell r="J682" t="str">
            <v/>
          </cell>
          <cell r="K682" t="str">
            <v/>
          </cell>
          <cell r="L682" t="str">
            <v/>
          </cell>
          <cell r="M682" t="str">
            <v/>
          </cell>
        </row>
        <row r="683">
          <cell r="E683" t="str">
            <v>Специфичен EF (произведен отпадъчен газ)</v>
          </cell>
          <cell r="H683" t="str">
            <v>t CO2 / TJ</v>
          </cell>
          <cell r="I683" t="str">
            <v/>
          </cell>
          <cell r="J683" t="str">
            <v/>
          </cell>
          <cell r="K683" t="str">
            <v/>
          </cell>
          <cell r="L683" t="str">
            <v/>
          </cell>
          <cell r="M683" t="str">
            <v/>
          </cell>
        </row>
        <row r="684">
          <cell r="E684" t="str">
            <v>Консумиран отпадъчен газ</v>
          </cell>
          <cell r="H684" t="str">
            <v>TJ / година</v>
          </cell>
          <cell r="I684" t="str">
            <v/>
          </cell>
          <cell r="J684" t="str">
            <v/>
          </cell>
          <cell r="K684" t="str">
            <v/>
          </cell>
          <cell r="L684" t="str">
            <v/>
          </cell>
          <cell r="M684" t="str">
            <v/>
          </cell>
        </row>
        <row r="685">
          <cell r="E685" t="str">
            <v>Специфичен EF (консумиран отпадъчен газ)</v>
          </cell>
          <cell r="H685" t="str">
            <v>t CO2 / TJ</v>
          </cell>
          <cell r="I685" t="str">
            <v/>
          </cell>
          <cell r="J685" t="str">
            <v/>
          </cell>
          <cell r="K685" t="str">
            <v/>
          </cell>
          <cell r="L685" t="str">
            <v/>
          </cell>
          <cell r="M685" t="str">
            <v/>
          </cell>
        </row>
        <row r="686">
          <cell r="E686" t="str">
            <v>Изгорен във факел отпадъчен газ</v>
          </cell>
          <cell r="H686" t="str">
            <v>TJ / година</v>
          </cell>
          <cell r="I686" t="str">
            <v/>
          </cell>
          <cell r="J686" t="str">
            <v/>
          </cell>
          <cell r="K686" t="str">
            <v/>
          </cell>
          <cell r="L686" t="str">
            <v/>
          </cell>
          <cell r="M686" t="str">
            <v/>
          </cell>
        </row>
        <row r="687">
          <cell r="E687" t="str">
            <v>Специфичен EF (изгорен във факел отпадъчен газ)</v>
          </cell>
          <cell r="H687" t="str">
            <v>t CO2 / TJ</v>
          </cell>
          <cell r="I687" t="str">
            <v/>
          </cell>
          <cell r="J687" t="str">
            <v/>
          </cell>
          <cell r="K687" t="str">
            <v/>
          </cell>
          <cell r="L687" t="str">
            <v/>
          </cell>
          <cell r="M687" t="str">
            <v/>
          </cell>
        </row>
        <row r="688">
          <cell r="E688" t="str">
            <v>Получен отпадъчен газ</v>
          </cell>
          <cell r="H688" t="str">
            <v>TJ / година</v>
          </cell>
          <cell r="I688" t="str">
            <v/>
          </cell>
          <cell r="J688" t="str">
            <v/>
          </cell>
          <cell r="K688" t="str">
            <v/>
          </cell>
          <cell r="L688" t="str">
            <v/>
          </cell>
          <cell r="M688" t="str">
            <v/>
          </cell>
        </row>
        <row r="689">
          <cell r="E689" t="str">
            <v>Специфичен EF (получен отпадъчен газ)</v>
          </cell>
          <cell r="H689" t="str">
            <v>t CO2 / TJ</v>
          </cell>
          <cell r="I689" t="str">
            <v/>
          </cell>
          <cell r="J689" t="str">
            <v/>
          </cell>
          <cell r="K689" t="str">
            <v/>
          </cell>
          <cell r="L689" t="str">
            <v/>
          </cell>
          <cell r="M689" t="str">
            <v/>
          </cell>
        </row>
        <row r="690">
          <cell r="E690" t="str">
            <v>Подаден отпадъчен газ</v>
          </cell>
          <cell r="H690" t="str">
            <v>TJ / година</v>
          </cell>
          <cell r="I690" t="str">
            <v/>
          </cell>
          <cell r="J690" t="str">
            <v/>
          </cell>
          <cell r="K690" t="str">
            <v/>
          </cell>
          <cell r="L690" t="str">
            <v/>
          </cell>
          <cell r="M690" t="str">
            <v/>
          </cell>
        </row>
        <row r="691">
          <cell r="E691" t="str">
            <v>Специфичен EF (подаден отпадъчен газ)</v>
          </cell>
          <cell r="H691" t="str">
            <v>t CO2 / TJ</v>
          </cell>
          <cell r="I691" t="str">
            <v/>
          </cell>
          <cell r="J691" t="str">
            <v/>
          </cell>
          <cell r="K691" t="str">
            <v/>
          </cell>
          <cell r="L691" t="str">
            <v/>
          </cell>
          <cell r="M691" t="str">
            <v/>
          </cell>
        </row>
        <row r="693">
          <cell r="E693" t="str">
            <v>Произведена електроенергия</v>
          </cell>
          <cell r="H693" t="str">
            <v>MWh / година</v>
          </cell>
          <cell r="I693" t="str">
            <v/>
          </cell>
          <cell r="J693" t="str">
            <v/>
          </cell>
          <cell r="K693" t="str">
            <v/>
          </cell>
          <cell r="L693" t="str">
            <v/>
          </cell>
          <cell r="M693" t="str">
            <v/>
          </cell>
        </row>
        <row r="695">
          <cell r="E695" t="str">
            <v>Междинно получаване:</v>
          </cell>
        </row>
        <row r="696">
          <cell r="E696" t="str">
            <v/>
          </cell>
          <cell r="H696" t="str">
            <v>тона</v>
          </cell>
          <cell r="I696" t="str">
            <v/>
          </cell>
          <cell r="J696" t="str">
            <v/>
          </cell>
          <cell r="K696" t="str">
            <v/>
          </cell>
          <cell r="L696" t="str">
            <v/>
          </cell>
          <cell r="M696" t="str">
            <v/>
          </cell>
        </row>
        <row r="697">
          <cell r="E697" t="str">
            <v/>
          </cell>
          <cell r="H697" t="str">
            <v>тона</v>
          </cell>
          <cell r="I697" t="str">
            <v/>
          </cell>
          <cell r="J697" t="str">
            <v/>
          </cell>
          <cell r="K697" t="str">
            <v/>
          </cell>
          <cell r="L697" t="str">
            <v/>
          </cell>
          <cell r="M697" t="str">
            <v/>
          </cell>
        </row>
        <row r="698">
          <cell r="E698" t="str">
            <v>Междинно подаване:</v>
          </cell>
        </row>
        <row r="699">
          <cell r="E699" t="str">
            <v/>
          </cell>
          <cell r="H699" t="str">
            <v>тона</v>
          </cell>
          <cell r="I699" t="str">
            <v/>
          </cell>
          <cell r="J699" t="str">
            <v/>
          </cell>
          <cell r="K699" t="str">
            <v/>
          </cell>
          <cell r="L699" t="str">
            <v/>
          </cell>
          <cell r="M699" t="str">
            <v/>
          </cell>
        </row>
        <row r="700">
          <cell r="E700" t="str">
            <v/>
          </cell>
          <cell r="H700" t="str">
            <v>тона</v>
          </cell>
          <cell r="I700" t="str">
            <v/>
          </cell>
          <cell r="J700" t="str">
            <v/>
          </cell>
          <cell r="K700" t="str">
            <v/>
          </cell>
          <cell r="L700" t="str">
            <v/>
          </cell>
          <cell r="M700" t="str">
            <v/>
          </cell>
        </row>
        <row r="702">
          <cell r="E702" t="str">
            <v>Корекции за актуализиране на показателя при специфичен показател, когато е приложимо</v>
          </cell>
        </row>
        <row r="703">
          <cell r="E703" t="str">
            <v>Общо количество произведен пулп</v>
          </cell>
          <cell r="H703" t="str">
            <v>тона</v>
          </cell>
          <cell r="I703" t="str">
            <v/>
          </cell>
          <cell r="J703" t="str">
            <v/>
          </cell>
          <cell r="K703" t="str">
            <v/>
          </cell>
          <cell r="L703" t="str">
            <v/>
          </cell>
          <cell r="M703" t="str">
            <v/>
          </cell>
        </row>
        <row r="705">
          <cell r="E705" t="str">
            <v>Производство на водород (действително + теоретично)</v>
          </cell>
          <cell r="H705" t="str">
            <v>тона</v>
          </cell>
          <cell r="I705" t="str">
            <v/>
          </cell>
          <cell r="J705" t="str">
            <v/>
          </cell>
          <cell r="K705" t="str">
            <v/>
          </cell>
          <cell r="L705" t="str">
            <v/>
          </cell>
          <cell r="M705" t="str">
            <v/>
          </cell>
        </row>
        <row r="706">
          <cell r="E706" t="str">
            <v>Емисии във връзка с водород</v>
          </cell>
          <cell r="H706" t="str">
            <v>t CO2 / година</v>
          </cell>
          <cell r="I706" t="str">
            <v/>
          </cell>
          <cell r="J706" t="str">
            <v/>
          </cell>
          <cell r="K706" t="str">
            <v/>
          </cell>
          <cell r="L706" t="str">
            <v/>
          </cell>
          <cell r="M706" t="str">
            <v/>
          </cell>
        </row>
        <row r="708">
          <cell r="E708" t="str">
            <v>Корекция на емисиите във връзка с HVC</v>
          </cell>
          <cell r="H708" t="str">
            <v>t CO2 / година</v>
          </cell>
          <cell r="I708" t="str">
            <v/>
          </cell>
          <cell r="J708" t="str">
            <v/>
          </cell>
          <cell r="K708" t="str">
            <v/>
          </cell>
          <cell r="L708" t="str">
            <v/>
          </cell>
          <cell r="M708" t="str">
            <v/>
          </cell>
        </row>
        <row r="710">
          <cell r="E710" t="str">
            <v>Корекция на емисиите във връзка с VCM</v>
          </cell>
          <cell r="H710" t="str">
            <v>t CO2 / година</v>
          </cell>
          <cell r="I710" t="str">
            <v/>
          </cell>
          <cell r="J710" t="str">
            <v/>
          </cell>
          <cell r="K710" t="str">
            <v/>
          </cell>
          <cell r="L710" t="str">
            <v/>
          </cell>
          <cell r="M710" t="str">
            <v/>
          </cell>
        </row>
        <row r="714">
          <cell r="C714">
            <v>4</v>
          </cell>
          <cell r="D714" t="str">
            <v>Подинсталация с продуктов показател 4:</v>
          </cell>
          <cell r="I714" t="str">
            <v/>
          </cell>
        </row>
        <row r="716">
          <cell r="H716" t="str">
            <v>Риск от ИВЕ</v>
          </cell>
          <cell r="J716" t="str">
            <v>В/Е</v>
          </cell>
          <cell r="K716" t="str">
            <v>№ на п-л</v>
          </cell>
          <cell r="L716" t="str">
            <v>15(7).3?</v>
          </cell>
          <cell r="M716" t="str">
            <v>Стойност на показател (мин/макс/действ.)</v>
          </cell>
        </row>
        <row r="717">
          <cell r="E717" t="str">
            <v/>
          </cell>
          <cell r="H717" t="str">
            <v>Не е приложимо</v>
          </cell>
          <cell r="J717" t="str">
            <v>Не е приложимо</v>
          </cell>
          <cell r="K717" t="str">
            <v>Не е приложимо</v>
          </cell>
          <cell r="L717" t="str">
            <v/>
          </cell>
          <cell r="M717" t="str">
            <v>Не е приложимо</v>
          </cell>
          <cell r="N717" t="str">
            <v>Квота за емисии/тона</v>
          </cell>
        </row>
        <row r="718">
          <cell r="G718" t="str">
            <v>топл. ен. извън СТЕ</v>
          </cell>
          <cell r="H718" t="str">
            <v>CBAM</v>
          </cell>
          <cell r="I718" t="str">
            <v>WGflare</v>
          </cell>
          <cell r="J718" t="str">
            <v>HVC-Corr</v>
          </cell>
          <cell r="K718" t="str">
            <v>VCM-F</v>
          </cell>
          <cell r="M718" t="str">
            <v>Не е приложимо</v>
          </cell>
          <cell r="N718" t="str">
            <v>Квота за емисии/тона</v>
          </cell>
          <cell r="R718" t="str">
            <v>No. BM</v>
          </cell>
          <cell r="S718" t="str">
            <v>Не е приложимо</v>
          </cell>
        </row>
        <row r="719">
          <cell r="E719" t="str">
            <v>Специфични коефициенти:</v>
          </cell>
          <cell r="G719" t="str">
            <v/>
          </cell>
          <cell r="H719" t="str">
            <v>Не е приложимо</v>
          </cell>
          <cell r="I719" t="str">
            <v/>
          </cell>
          <cell r="J719" t="str">
            <v/>
          </cell>
          <cell r="K719" t="str">
            <v/>
          </cell>
          <cell r="M719" t="str">
            <v>Не е приложимо</v>
          </cell>
          <cell r="N719" t="str">
            <v>Квота за емисии/тона</v>
          </cell>
        </row>
        <row r="721">
          <cell r="H721" t="str">
            <v>Единица мярка</v>
          </cell>
          <cell r="I721">
            <v>2019</v>
          </cell>
          <cell r="J721">
            <v>2020</v>
          </cell>
          <cell r="K721">
            <v>2021</v>
          </cell>
          <cell r="L721">
            <v>2022</v>
          </cell>
          <cell r="M721">
            <v>2023</v>
          </cell>
        </row>
        <row r="722">
          <cell r="E722" t="str">
            <v>Отчетено HAL (историческо равнище на дейност)</v>
          </cell>
          <cell r="H722" t="str">
            <v>тона</v>
          </cell>
          <cell r="I722" t="str">
            <v/>
          </cell>
          <cell r="J722" t="str">
            <v/>
          </cell>
          <cell r="K722" t="str">
            <v/>
          </cell>
          <cell r="L722" t="str">
            <v/>
          </cell>
          <cell r="M722" t="str">
            <v/>
          </cell>
          <cell r="N722" t="str">
            <v>Median</v>
          </cell>
        </row>
        <row r="723">
          <cell r="E723" t="str">
            <v>Стойности, използвани за изчислението на HAL:</v>
          </cell>
          <cell r="H723" t="str">
            <v>тона</v>
          </cell>
          <cell r="I723" t="str">
            <v/>
          </cell>
          <cell r="J723" t="str">
            <v/>
          </cell>
          <cell r="K723" t="str">
            <v/>
          </cell>
          <cell r="L723" t="str">
            <v/>
          </cell>
          <cell r="M723" t="str">
            <v/>
          </cell>
          <cell r="N723" t="str">
            <v/>
          </cell>
        </row>
        <row r="725">
          <cell r="E725" t="str">
            <v>Съответно потребление на електроенергия</v>
          </cell>
          <cell r="H725" t="str">
            <v>MWh / година</v>
          </cell>
          <cell r="I725" t="str">
            <v/>
          </cell>
          <cell r="J725" t="str">
            <v/>
          </cell>
          <cell r="K725" t="str">
            <v/>
          </cell>
          <cell r="L725" t="str">
            <v/>
          </cell>
          <cell r="M725" t="str">
            <v/>
          </cell>
        </row>
        <row r="727">
          <cell r="F727" t="str">
            <v>Общо HAL</v>
          </cell>
          <cell r="I727" t="str">
            <v>Предв. разпр. за год. 1 (мин)</v>
          </cell>
          <cell r="K727" t="str">
            <v>Предв. разпр. за год. 1 (макс)</v>
          </cell>
          <cell r="M727" t="str">
            <v>Предв. разпр. за год. 1 (действ.)</v>
          </cell>
        </row>
        <row r="728">
          <cell r="F728" t="str">
            <v/>
          </cell>
          <cell r="G728" t="str">
            <v>тона / година</v>
          </cell>
          <cell r="I728" t="str">
            <v/>
          </cell>
          <cell r="J728" t="str">
            <v>Квота за емисии / година</v>
          </cell>
          <cell r="K728" t="str">
            <v/>
          </cell>
          <cell r="L728" t="str">
            <v>Квота за емисии / година</v>
          </cell>
          <cell r="M728" t="str">
            <v/>
          </cell>
          <cell r="N728" t="str">
            <v>Квота за емисии / година</v>
          </cell>
        </row>
        <row r="731">
          <cell r="H731" t="str">
            <v>Единица мярка</v>
          </cell>
          <cell r="I731">
            <v>2019</v>
          </cell>
          <cell r="J731">
            <v>2020</v>
          </cell>
          <cell r="K731">
            <v>2021</v>
          </cell>
          <cell r="L731">
            <v>2022</v>
          </cell>
          <cell r="M731">
            <v>2023</v>
          </cell>
        </row>
        <row r="732">
          <cell r="E732" t="str">
            <v>Общо зададени емисии</v>
          </cell>
          <cell r="H732" t="str">
            <v>t CO2e/година</v>
          </cell>
          <cell r="I732" t="str">
            <v/>
          </cell>
          <cell r="J732" t="str">
            <v/>
          </cell>
          <cell r="K732" t="str">
            <v/>
          </cell>
          <cell r="L732" t="str">
            <v/>
          </cell>
          <cell r="M732" t="str">
            <v/>
          </cell>
        </row>
        <row r="734">
          <cell r="E734" t="str">
            <v>Обща вложена енергия</v>
          </cell>
          <cell r="H734" t="str">
            <v>TJ / година</v>
          </cell>
          <cell r="I734" t="str">
            <v/>
          </cell>
          <cell r="J734" t="str">
            <v/>
          </cell>
          <cell r="K734" t="str">
            <v/>
          </cell>
          <cell r="L734" t="str">
            <v/>
          </cell>
          <cell r="M734" t="str">
            <v/>
          </cell>
        </row>
        <row r="735">
          <cell r="E735" t="str">
            <v>Претеглен емисионен фактор</v>
          </cell>
          <cell r="H735" t="str">
            <v>t CO2 / TJ</v>
          </cell>
          <cell r="I735" t="str">
            <v/>
          </cell>
          <cell r="J735" t="str">
            <v/>
          </cell>
          <cell r="K735" t="str">
            <v/>
          </cell>
          <cell r="L735" t="str">
            <v/>
          </cell>
          <cell r="M735" t="str">
            <v/>
          </cell>
        </row>
        <row r="737">
          <cell r="E737" t="str">
            <v>Преки емисии</v>
          </cell>
          <cell r="H737" t="str">
            <v>t CO2 / година</v>
          </cell>
          <cell r="I737" t="str">
            <v/>
          </cell>
          <cell r="J737" t="str">
            <v/>
          </cell>
          <cell r="K737" t="str">
            <v/>
          </cell>
          <cell r="L737" t="str">
            <v/>
          </cell>
          <cell r="M737" t="str">
            <v/>
          </cell>
        </row>
        <row r="738">
          <cell r="E738" t="str">
            <v>Други потоци горива и материали пораждащи емисии — 1</v>
          </cell>
          <cell r="H738" t="str">
            <v>t CO2 / година</v>
          </cell>
          <cell r="I738" t="str">
            <v/>
          </cell>
          <cell r="J738" t="str">
            <v/>
          </cell>
          <cell r="K738" t="str">
            <v/>
          </cell>
          <cell r="L738" t="str">
            <v/>
          </cell>
          <cell r="M738" t="str">
            <v/>
          </cell>
        </row>
        <row r="739">
          <cell r="E739" t="str">
            <v>Други потоци горива и материали пораждащи емисии — 2</v>
          </cell>
          <cell r="H739" t="str">
            <v>t CO2 / година</v>
          </cell>
          <cell r="I739" t="str">
            <v/>
          </cell>
          <cell r="J739" t="str">
            <v/>
          </cell>
          <cell r="K739" t="str">
            <v/>
          </cell>
          <cell r="L739" t="str">
            <v/>
          </cell>
          <cell r="M739" t="str">
            <v/>
          </cell>
        </row>
        <row r="740">
          <cell r="E740" t="str">
            <v>Получени или подадени парникови газове</v>
          </cell>
          <cell r="H740" t="str">
            <v>t CO2e/година</v>
          </cell>
          <cell r="I740" t="str">
            <v/>
          </cell>
          <cell r="J740" t="str">
            <v/>
          </cell>
          <cell r="K740" t="str">
            <v/>
          </cell>
          <cell r="L740" t="str">
            <v/>
          </cell>
          <cell r="M740" t="str">
            <v/>
          </cell>
        </row>
        <row r="742">
          <cell r="E742" t="str">
            <v>Нетно количество получена топлинна енергия</v>
          </cell>
          <cell r="H742" t="str">
            <v>TJ / година</v>
          </cell>
          <cell r="I742" t="str">
            <v/>
          </cell>
          <cell r="J742" t="str">
            <v/>
          </cell>
          <cell r="K742" t="str">
            <v/>
          </cell>
          <cell r="L742" t="str">
            <v/>
          </cell>
          <cell r="M742" t="str">
            <v/>
          </cell>
        </row>
        <row r="743">
          <cell r="E743" t="str">
            <v>Специфичен EF (получена топлинна енергия)</v>
          </cell>
          <cell r="H743" t="str">
            <v>t CO2 / TJ</v>
          </cell>
          <cell r="I743" t="str">
            <v/>
          </cell>
          <cell r="J743" t="str">
            <v/>
          </cell>
          <cell r="K743" t="str">
            <v/>
          </cell>
          <cell r="L743" t="str">
            <v/>
          </cell>
          <cell r="M743" t="str">
            <v/>
          </cell>
        </row>
        <row r="745">
          <cell r="E745" t="str">
            <v>Нетно количество топлинна енергия, получена от пулп</v>
          </cell>
          <cell r="H745" t="str">
            <v>TJ / година</v>
          </cell>
          <cell r="I745" t="str">
            <v/>
          </cell>
          <cell r="J745" t="str">
            <v/>
          </cell>
          <cell r="K745" t="str">
            <v/>
          </cell>
          <cell r="L745" t="str">
            <v/>
          </cell>
          <cell r="M745" t="str">
            <v/>
          </cell>
        </row>
        <row r="746">
          <cell r="E746" t="str">
            <v>Нетно количество топлинна енергия, получена от подинсталации за азотна киселина</v>
          </cell>
          <cell r="H746" t="str">
            <v>TJ / година</v>
          </cell>
          <cell r="I746" t="str">
            <v/>
          </cell>
          <cell r="J746" t="str">
            <v/>
          </cell>
          <cell r="K746" t="str">
            <v/>
          </cell>
          <cell r="L746" t="str">
            <v/>
          </cell>
          <cell r="M746" t="str">
            <v/>
          </cell>
        </row>
        <row r="748">
          <cell r="E748" t="str">
            <v>Нетно количество подадена топлинна енергия</v>
          </cell>
          <cell r="H748" t="str">
            <v>TJ / година</v>
          </cell>
          <cell r="I748" t="str">
            <v/>
          </cell>
          <cell r="J748" t="str">
            <v/>
          </cell>
          <cell r="K748" t="str">
            <v/>
          </cell>
          <cell r="L748" t="str">
            <v/>
          </cell>
          <cell r="M748" t="str">
            <v/>
          </cell>
        </row>
        <row r="749">
          <cell r="E749" t="str">
            <v>Специфичен EF (подадена топлинна енергия)</v>
          </cell>
          <cell r="H749" t="str">
            <v>t CO2 / TJ</v>
          </cell>
          <cell r="I749" t="str">
            <v/>
          </cell>
          <cell r="J749" t="str">
            <v/>
          </cell>
          <cell r="K749" t="str">
            <v/>
          </cell>
          <cell r="L749" t="str">
            <v/>
          </cell>
          <cell r="M749" t="str">
            <v/>
          </cell>
        </row>
        <row r="751">
          <cell r="E751" t="str">
            <v>Произведен отпадъчен газ</v>
          </cell>
          <cell r="H751" t="str">
            <v>TJ / година</v>
          </cell>
          <cell r="I751" t="str">
            <v/>
          </cell>
          <cell r="J751" t="str">
            <v/>
          </cell>
          <cell r="K751" t="str">
            <v/>
          </cell>
          <cell r="L751" t="str">
            <v/>
          </cell>
          <cell r="M751" t="str">
            <v/>
          </cell>
        </row>
        <row r="752">
          <cell r="E752" t="str">
            <v>Специфичен EF (произведен отпадъчен газ)</v>
          </cell>
          <cell r="H752" t="str">
            <v>t CO2 / TJ</v>
          </cell>
          <cell r="I752" t="str">
            <v/>
          </cell>
          <cell r="J752" t="str">
            <v/>
          </cell>
          <cell r="K752" t="str">
            <v/>
          </cell>
          <cell r="L752" t="str">
            <v/>
          </cell>
          <cell r="M752" t="str">
            <v/>
          </cell>
        </row>
        <row r="753">
          <cell r="E753" t="str">
            <v>Консумиран отпадъчен газ</v>
          </cell>
          <cell r="H753" t="str">
            <v>TJ / година</v>
          </cell>
          <cell r="I753" t="str">
            <v/>
          </cell>
          <cell r="J753" t="str">
            <v/>
          </cell>
          <cell r="K753" t="str">
            <v/>
          </cell>
          <cell r="L753" t="str">
            <v/>
          </cell>
          <cell r="M753" t="str">
            <v/>
          </cell>
        </row>
        <row r="754">
          <cell r="E754" t="str">
            <v>Специфичен EF (консумиран отпадъчен газ)</v>
          </cell>
          <cell r="H754" t="str">
            <v>t CO2 / TJ</v>
          </cell>
          <cell r="I754" t="str">
            <v/>
          </cell>
          <cell r="J754" t="str">
            <v/>
          </cell>
          <cell r="K754" t="str">
            <v/>
          </cell>
          <cell r="L754" t="str">
            <v/>
          </cell>
          <cell r="M754" t="str">
            <v/>
          </cell>
        </row>
        <row r="755">
          <cell r="E755" t="str">
            <v>Изгорен във факел отпадъчен газ</v>
          </cell>
          <cell r="H755" t="str">
            <v>TJ / година</v>
          </cell>
          <cell r="I755" t="str">
            <v/>
          </cell>
          <cell r="J755" t="str">
            <v/>
          </cell>
          <cell r="K755" t="str">
            <v/>
          </cell>
          <cell r="L755" t="str">
            <v/>
          </cell>
          <cell r="M755" t="str">
            <v/>
          </cell>
        </row>
        <row r="756">
          <cell r="E756" t="str">
            <v>Специфичен EF (изгорен във факел отпадъчен газ)</v>
          </cell>
          <cell r="H756" t="str">
            <v>t CO2 / TJ</v>
          </cell>
          <cell r="I756" t="str">
            <v/>
          </cell>
          <cell r="J756" t="str">
            <v/>
          </cell>
          <cell r="K756" t="str">
            <v/>
          </cell>
          <cell r="L756" t="str">
            <v/>
          </cell>
          <cell r="M756" t="str">
            <v/>
          </cell>
        </row>
        <row r="757">
          <cell r="E757" t="str">
            <v>Получен отпадъчен газ</v>
          </cell>
          <cell r="H757" t="str">
            <v>TJ / година</v>
          </cell>
          <cell r="I757" t="str">
            <v/>
          </cell>
          <cell r="J757" t="str">
            <v/>
          </cell>
          <cell r="K757" t="str">
            <v/>
          </cell>
          <cell r="L757" t="str">
            <v/>
          </cell>
          <cell r="M757" t="str">
            <v/>
          </cell>
        </row>
        <row r="758">
          <cell r="E758" t="str">
            <v>Специфичен EF (получен отпадъчен газ)</v>
          </cell>
          <cell r="H758" t="str">
            <v>t CO2 / TJ</v>
          </cell>
          <cell r="I758" t="str">
            <v/>
          </cell>
          <cell r="J758" t="str">
            <v/>
          </cell>
          <cell r="K758" t="str">
            <v/>
          </cell>
          <cell r="L758" t="str">
            <v/>
          </cell>
          <cell r="M758" t="str">
            <v/>
          </cell>
        </row>
        <row r="759">
          <cell r="E759" t="str">
            <v>Подаден отпадъчен газ</v>
          </cell>
          <cell r="H759" t="str">
            <v>TJ / година</v>
          </cell>
          <cell r="I759" t="str">
            <v/>
          </cell>
          <cell r="J759" t="str">
            <v/>
          </cell>
          <cell r="K759" t="str">
            <v/>
          </cell>
          <cell r="L759" t="str">
            <v/>
          </cell>
          <cell r="M759" t="str">
            <v/>
          </cell>
        </row>
        <row r="760">
          <cell r="E760" t="str">
            <v>Специфичен EF (подаден отпадъчен газ)</v>
          </cell>
          <cell r="H760" t="str">
            <v>t CO2 / TJ</v>
          </cell>
          <cell r="I760" t="str">
            <v/>
          </cell>
          <cell r="J760" t="str">
            <v/>
          </cell>
          <cell r="K760" t="str">
            <v/>
          </cell>
          <cell r="L760" t="str">
            <v/>
          </cell>
          <cell r="M760" t="str">
            <v/>
          </cell>
        </row>
        <row r="762">
          <cell r="E762" t="str">
            <v>Произведена електроенергия</v>
          </cell>
          <cell r="H762" t="str">
            <v>MWh / година</v>
          </cell>
          <cell r="I762" t="str">
            <v/>
          </cell>
          <cell r="J762" t="str">
            <v/>
          </cell>
          <cell r="K762" t="str">
            <v/>
          </cell>
          <cell r="L762" t="str">
            <v/>
          </cell>
          <cell r="M762" t="str">
            <v/>
          </cell>
        </row>
        <row r="764">
          <cell r="E764" t="str">
            <v>Междинно получаване:</v>
          </cell>
        </row>
        <row r="765">
          <cell r="E765" t="str">
            <v/>
          </cell>
          <cell r="H765" t="str">
            <v>тона</v>
          </cell>
          <cell r="I765" t="str">
            <v/>
          </cell>
          <cell r="J765" t="str">
            <v/>
          </cell>
          <cell r="K765" t="str">
            <v/>
          </cell>
          <cell r="L765" t="str">
            <v/>
          </cell>
          <cell r="M765" t="str">
            <v/>
          </cell>
        </row>
        <row r="766">
          <cell r="E766" t="str">
            <v/>
          </cell>
          <cell r="H766" t="str">
            <v>тона</v>
          </cell>
          <cell r="I766" t="str">
            <v/>
          </cell>
          <cell r="J766" t="str">
            <v/>
          </cell>
          <cell r="K766" t="str">
            <v/>
          </cell>
          <cell r="L766" t="str">
            <v/>
          </cell>
          <cell r="M766" t="str">
            <v/>
          </cell>
        </row>
        <row r="767">
          <cell r="E767" t="str">
            <v>Междинно подаване:</v>
          </cell>
        </row>
        <row r="768">
          <cell r="E768" t="str">
            <v/>
          </cell>
          <cell r="H768" t="str">
            <v>тона</v>
          </cell>
          <cell r="I768" t="str">
            <v/>
          </cell>
          <cell r="J768" t="str">
            <v/>
          </cell>
          <cell r="K768" t="str">
            <v/>
          </cell>
          <cell r="L768" t="str">
            <v/>
          </cell>
          <cell r="M768" t="str">
            <v/>
          </cell>
        </row>
        <row r="769">
          <cell r="E769" t="str">
            <v/>
          </cell>
          <cell r="H769" t="str">
            <v>тона</v>
          </cell>
          <cell r="I769" t="str">
            <v/>
          </cell>
          <cell r="J769" t="str">
            <v/>
          </cell>
          <cell r="K769" t="str">
            <v/>
          </cell>
          <cell r="L769" t="str">
            <v/>
          </cell>
          <cell r="M769" t="str">
            <v/>
          </cell>
        </row>
        <row r="771">
          <cell r="E771" t="str">
            <v>Корекции за актуализиране на показателя при специфичен показател, когато е приложимо</v>
          </cell>
        </row>
        <row r="772">
          <cell r="E772" t="str">
            <v>Общо количество произведен пулп</v>
          </cell>
          <cell r="H772" t="str">
            <v>тона</v>
          </cell>
          <cell r="I772" t="str">
            <v/>
          </cell>
          <cell r="J772" t="str">
            <v/>
          </cell>
          <cell r="K772" t="str">
            <v/>
          </cell>
          <cell r="L772" t="str">
            <v/>
          </cell>
          <cell r="M772" t="str">
            <v/>
          </cell>
        </row>
        <row r="774">
          <cell r="E774" t="str">
            <v>Производство на водород (действително + теоретично)</v>
          </cell>
          <cell r="H774" t="str">
            <v>тона</v>
          </cell>
          <cell r="I774" t="str">
            <v/>
          </cell>
          <cell r="J774" t="str">
            <v/>
          </cell>
          <cell r="K774" t="str">
            <v/>
          </cell>
          <cell r="L774" t="str">
            <v/>
          </cell>
          <cell r="M774" t="str">
            <v/>
          </cell>
        </row>
        <row r="775">
          <cell r="E775" t="str">
            <v>Емисии във връзка с водород</v>
          </cell>
          <cell r="H775" t="str">
            <v>t CO2 / година</v>
          </cell>
          <cell r="I775" t="str">
            <v/>
          </cell>
          <cell r="J775" t="str">
            <v/>
          </cell>
          <cell r="K775" t="str">
            <v/>
          </cell>
          <cell r="L775" t="str">
            <v/>
          </cell>
          <cell r="M775" t="str">
            <v/>
          </cell>
        </row>
        <row r="777">
          <cell r="E777" t="str">
            <v>Корекция на емисиите във връзка с HVC</v>
          </cell>
          <cell r="H777" t="str">
            <v>t CO2 / година</v>
          </cell>
          <cell r="I777" t="str">
            <v/>
          </cell>
          <cell r="J777" t="str">
            <v/>
          </cell>
          <cell r="K777" t="str">
            <v/>
          </cell>
          <cell r="L777" t="str">
            <v/>
          </cell>
          <cell r="M777" t="str">
            <v/>
          </cell>
        </row>
        <row r="779">
          <cell r="E779" t="str">
            <v>Корекция на емисиите във връзка с VCM</v>
          </cell>
          <cell r="H779" t="str">
            <v>t CO2 / година</v>
          </cell>
          <cell r="I779" t="str">
            <v/>
          </cell>
          <cell r="J779" t="str">
            <v/>
          </cell>
          <cell r="K779" t="str">
            <v/>
          </cell>
          <cell r="L779" t="str">
            <v/>
          </cell>
          <cell r="M779" t="str">
            <v/>
          </cell>
        </row>
        <row r="783">
          <cell r="C783">
            <v>5</v>
          </cell>
          <cell r="D783" t="str">
            <v>Подинсталация с продуктов показател 5:</v>
          </cell>
          <cell r="I783" t="str">
            <v/>
          </cell>
        </row>
        <row r="785">
          <cell r="H785" t="str">
            <v>Риск от ИВЕ</v>
          </cell>
          <cell r="J785" t="str">
            <v>В/Е</v>
          </cell>
          <cell r="K785" t="str">
            <v>№ на п-л</v>
          </cell>
          <cell r="L785" t="str">
            <v>15(7).3?</v>
          </cell>
          <cell r="M785" t="str">
            <v>Стойност на показател (мин/макс/действ.)</v>
          </cell>
        </row>
        <row r="786">
          <cell r="E786" t="str">
            <v/>
          </cell>
          <cell r="H786" t="str">
            <v>Не е приложимо</v>
          </cell>
          <cell r="J786" t="str">
            <v>Не е приложимо</v>
          </cell>
          <cell r="K786" t="str">
            <v>Не е приложимо</v>
          </cell>
          <cell r="L786" t="str">
            <v/>
          </cell>
          <cell r="M786" t="str">
            <v>Не е приложимо</v>
          </cell>
          <cell r="N786" t="str">
            <v>Квота за емисии/тона</v>
          </cell>
        </row>
        <row r="787">
          <cell r="G787" t="str">
            <v>топл. ен. извън СТЕ</v>
          </cell>
          <cell r="H787" t="str">
            <v>CBAM</v>
          </cell>
          <cell r="I787" t="str">
            <v>WGflare</v>
          </cell>
          <cell r="J787" t="str">
            <v>HVC-Corr</v>
          </cell>
          <cell r="K787" t="str">
            <v>VCM-F</v>
          </cell>
          <cell r="M787" t="str">
            <v>Не е приложимо</v>
          </cell>
          <cell r="N787" t="str">
            <v>Квота за емисии/тона</v>
          </cell>
          <cell r="R787" t="str">
            <v>No. BM</v>
          </cell>
          <cell r="S787" t="str">
            <v>Не е приложимо</v>
          </cell>
        </row>
        <row r="788">
          <cell r="E788" t="str">
            <v>Специфични коефициенти:</v>
          </cell>
          <cell r="G788" t="str">
            <v/>
          </cell>
          <cell r="H788" t="str">
            <v>Не е приложимо</v>
          </cell>
          <cell r="I788" t="str">
            <v/>
          </cell>
          <cell r="J788" t="str">
            <v/>
          </cell>
          <cell r="K788" t="str">
            <v/>
          </cell>
          <cell r="M788" t="str">
            <v>Не е приложимо</v>
          </cell>
          <cell r="N788" t="str">
            <v>Квота за емисии/тона</v>
          </cell>
        </row>
        <row r="790">
          <cell r="H790" t="str">
            <v>Единица мярка</v>
          </cell>
          <cell r="I790">
            <v>2019</v>
          </cell>
          <cell r="J790">
            <v>2020</v>
          </cell>
          <cell r="K790">
            <v>2021</v>
          </cell>
          <cell r="L790">
            <v>2022</v>
          </cell>
          <cell r="M790">
            <v>2023</v>
          </cell>
        </row>
        <row r="791">
          <cell r="E791" t="str">
            <v>Отчетено HAL (историческо равнище на дейност)</v>
          </cell>
          <cell r="H791" t="str">
            <v>тона</v>
          </cell>
          <cell r="I791" t="str">
            <v/>
          </cell>
          <cell r="J791" t="str">
            <v/>
          </cell>
          <cell r="K791" t="str">
            <v/>
          </cell>
          <cell r="L791" t="str">
            <v/>
          </cell>
          <cell r="M791" t="str">
            <v/>
          </cell>
          <cell r="N791" t="str">
            <v>Median</v>
          </cell>
        </row>
        <row r="792">
          <cell r="E792" t="str">
            <v>Стойности, използвани за изчислението на HAL:</v>
          </cell>
          <cell r="H792" t="str">
            <v>тона</v>
          </cell>
          <cell r="I792" t="str">
            <v/>
          </cell>
          <cell r="J792" t="str">
            <v/>
          </cell>
          <cell r="K792" t="str">
            <v/>
          </cell>
          <cell r="L792" t="str">
            <v/>
          </cell>
          <cell r="M792" t="str">
            <v/>
          </cell>
          <cell r="N792" t="str">
            <v/>
          </cell>
        </row>
        <row r="794">
          <cell r="E794" t="str">
            <v>Съответно потребление на електроенергия</v>
          </cell>
          <cell r="H794" t="str">
            <v>MWh / година</v>
          </cell>
          <cell r="I794" t="str">
            <v/>
          </cell>
          <cell r="J794" t="str">
            <v/>
          </cell>
          <cell r="K794" t="str">
            <v/>
          </cell>
          <cell r="L794" t="str">
            <v/>
          </cell>
          <cell r="M794" t="str">
            <v/>
          </cell>
        </row>
        <row r="796">
          <cell r="F796" t="str">
            <v>Общо HAL</v>
          </cell>
          <cell r="I796" t="str">
            <v>Предв. разпр. за год. 1 (мин)</v>
          </cell>
          <cell r="K796" t="str">
            <v>Предв. разпр. за год. 1 (макс)</v>
          </cell>
          <cell r="M796" t="str">
            <v>Предв. разпр. за год. 1 (действ.)</v>
          </cell>
        </row>
        <row r="797">
          <cell r="F797" t="str">
            <v/>
          </cell>
          <cell r="G797" t="str">
            <v>тона / година</v>
          </cell>
          <cell r="I797" t="str">
            <v/>
          </cell>
          <cell r="J797" t="str">
            <v>Квота за емисии / година</v>
          </cell>
          <cell r="K797" t="str">
            <v/>
          </cell>
          <cell r="L797" t="str">
            <v>Квота за емисии / година</v>
          </cell>
          <cell r="M797" t="str">
            <v/>
          </cell>
          <cell r="N797" t="str">
            <v>Квота за емисии / година</v>
          </cell>
        </row>
        <row r="800">
          <cell r="H800" t="str">
            <v>Единица мярка</v>
          </cell>
          <cell r="I800">
            <v>2019</v>
          </cell>
          <cell r="J800">
            <v>2020</v>
          </cell>
          <cell r="K800">
            <v>2021</v>
          </cell>
          <cell r="L800">
            <v>2022</v>
          </cell>
          <cell r="M800">
            <v>2023</v>
          </cell>
        </row>
        <row r="801">
          <cell r="E801" t="str">
            <v>Общо зададени емисии</v>
          </cell>
          <cell r="H801" t="str">
            <v>t CO2e/година</v>
          </cell>
          <cell r="I801" t="str">
            <v/>
          </cell>
          <cell r="J801" t="str">
            <v/>
          </cell>
          <cell r="K801" t="str">
            <v/>
          </cell>
          <cell r="L801" t="str">
            <v/>
          </cell>
          <cell r="M801" t="str">
            <v/>
          </cell>
        </row>
        <row r="803">
          <cell r="E803" t="str">
            <v>Обща вложена енергия</v>
          </cell>
          <cell r="H803" t="str">
            <v>TJ / година</v>
          </cell>
          <cell r="I803" t="str">
            <v/>
          </cell>
          <cell r="J803" t="str">
            <v/>
          </cell>
          <cell r="K803" t="str">
            <v/>
          </cell>
          <cell r="L803" t="str">
            <v/>
          </cell>
          <cell r="M803" t="str">
            <v/>
          </cell>
        </row>
        <row r="804">
          <cell r="E804" t="str">
            <v>Претеглен емисионен фактор</v>
          </cell>
          <cell r="H804" t="str">
            <v>t CO2 / TJ</v>
          </cell>
          <cell r="I804" t="str">
            <v/>
          </cell>
          <cell r="J804" t="str">
            <v/>
          </cell>
          <cell r="K804" t="str">
            <v/>
          </cell>
          <cell r="L804" t="str">
            <v/>
          </cell>
          <cell r="M804" t="str">
            <v/>
          </cell>
        </row>
        <row r="806">
          <cell r="E806" t="str">
            <v>Преки емисии</v>
          </cell>
          <cell r="H806" t="str">
            <v>t CO2 / година</v>
          </cell>
          <cell r="I806" t="str">
            <v/>
          </cell>
          <cell r="J806" t="str">
            <v/>
          </cell>
          <cell r="K806" t="str">
            <v/>
          </cell>
          <cell r="L806" t="str">
            <v/>
          </cell>
          <cell r="M806" t="str">
            <v/>
          </cell>
        </row>
        <row r="807">
          <cell r="E807" t="str">
            <v>Други потоци горива и материали пораждащи емисии — 1</v>
          </cell>
          <cell r="H807" t="str">
            <v>t CO2 / година</v>
          </cell>
          <cell r="I807" t="str">
            <v/>
          </cell>
          <cell r="J807" t="str">
            <v/>
          </cell>
          <cell r="K807" t="str">
            <v/>
          </cell>
          <cell r="L807" t="str">
            <v/>
          </cell>
          <cell r="M807" t="str">
            <v/>
          </cell>
        </row>
        <row r="808">
          <cell r="E808" t="str">
            <v>Други потоци горива и материали пораждащи емисии — 2</v>
          </cell>
          <cell r="H808" t="str">
            <v>t CO2 / година</v>
          </cell>
          <cell r="I808" t="str">
            <v/>
          </cell>
          <cell r="J808" t="str">
            <v/>
          </cell>
          <cell r="K808" t="str">
            <v/>
          </cell>
          <cell r="L808" t="str">
            <v/>
          </cell>
          <cell r="M808" t="str">
            <v/>
          </cell>
        </row>
        <row r="809">
          <cell r="E809" t="str">
            <v>Получени или подадени парникови газове</v>
          </cell>
          <cell r="H809" t="str">
            <v>t CO2e/година</v>
          </cell>
          <cell r="I809" t="str">
            <v/>
          </cell>
          <cell r="J809" t="str">
            <v/>
          </cell>
          <cell r="K809" t="str">
            <v/>
          </cell>
          <cell r="L809" t="str">
            <v/>
          </cell>
          <cell r="M809" t="str">
            <v/>
          </cell>
        </row>
        <row r="811">
          <cell r="E811" t="str">
            <v>Нетно количество получена топлинна енергия</v>
          </cell>
          <cell r="H811" t="str">
            <v>TJ / година</v>
          </cell>
          <cell r="I811" t="str">
            <v/>
          </cell>
          <cell r="J811" t="str">
            <v/>
          </cell>
          <cell r="K811" t="str">
            <v/>
          </cell>
          <cell r="L811" t="str">
            <v/>
          </cell>
          <cell r="M811" t="str">
            <v/>
          </cell>
        </row>
        <row r="812">
          <cell r="E812" t="str">
            <v>Специфичен EF (получена топлинна енергия)</v>
          </cell>
          <cell r="H812" t="str">
            <v>t CO2 / TJ</v>
          </cell>
          <cell r="I812" t="str">
            <v/>
          </cell>
          <cell r="J812" t="str">
            <v/>
          </cell>
          <cell r="K812" t="str">
            <v/>
          </cell>
          <cell r="L812" t="str">
            <v/>
          </cell>
          <cell r="M812" t="str">
            <v/>
          </cell>
        </row>
        <row r="814">
          <cell r="E814" t="str">
            <v>Нетно количество топлинна енергия, получена от пулп</v>
          </cell>
          <cell r="H814" t="str">
            <v>TJ / година</v>
          </cell>
          <cell r="I814" t="str">
            <v/>
          </cell>
          <cell r="J814" t="str">
            <v/>
          </cell>
          <cell r="K814" t="str">
            <v/>
          </cell>
          <cell r="L814" t="str">
            <v/>
          </cell>
          <cell r="M814" t="str">
            <v/>
          </cell>
        </row>
        <row r="815">
          <cell r="E815" t="str">
            <v>Нетно количество топлинна енергия, получена от подинсталации за азотна киселина</v>
          </cell>
          <cell r="H815" t="str">
            <v>TJ / година</v>
          </cell>
          <cell r="I815" t="str">
            <v/>
          </cell>
          <cell r="J815" t="str">
            <v/>
          </cell>
          <cell r="K815" t="str">
            <v/>
          </cell>
          <cell r="L815" t="str">
            <v/>
          </cell>
          <cell r="M815" t="str">
            <v/>
          </cell>
        </row>
        <row r="817">
          <cell r="E817" t="str">
            <v>Нетно количество подадена топлинна енергия</v>
          </cell>
          <cell r="H817" t="str">
            <v>TJ / година</v>
          </cell>
          <cell r="I817" t="str">
            <v/>
          </cell>
          <cell r="J817" t="str">
            <v/>
          </cell>
          <cell r="K817" t="str">
            <v/>
          </cell>
          <cell r="L817" t="str">
            <v/>
          </cell>
          <cell r="M817" t="str">
            <v/>
          </cell>
        </row>
        <row r="818">
          <cell r="E818" t="str">
            <v>Специфичен EF (подадена топлинна енергия)</v>
          </cell>
          <cell r="H818" t="str">
            <v>t CO2 / TJ</v>
          </cell>
          <cell r="I818" t="str">
            <v/>
          </cell>
          <cell r="J818" t="str">
            <v/>
          </cell>
          <cell r="K818" t="str">
            <v/>
          </cell>
          <cell r="L818" t="str">
            <v/>
          </cell>
          <cell r="M818" t="str">
            <v/>
          </cell>
        </row>
        <row r="820">
          <cell r="E820" t="str">
            <v>Произведен отпадъчен газ</v>
          </cell>
          <cell r="H820" t="str">
            <v>TJ / година</v>
          </cell>
          <cell r="I820" t="str">
            <v/>
          </cell>
          <cell r="J820" t="str">
            <v/>
          </cell>
          <cell r="K820" t="str">
            <v/>
          </cell>
          <cell r="L820" t="str">
            <v/>
          </cell>
          <cell r="M820" t="str">
            <v/>
          </cell>
        </row>
        <row r="821">
          <cell r="E821" t="str">
            <v>Специфичен EF (произведен отпадъчен газ)</v>
          </cell>
          <cell r="H821" t="str">
            <v>t CO2 / TJ</v>
          </cell>
          <cell r="I821" t="str">
            <v/>
          </cell>
          <cell r="J821" t="str">
            <v/>
          </cell>
          <cell r="K821" t="str">
            <v/>
          </cell>
          <cell r="L821" t="str">
            <v/>
          </cell>
          <cell r="M821" t="str">
            <v/>
          </cell>
        </row>
        <row r="822">
          <cell r="E822" t="str">
            <v>Консумиран отпадъчен газ</v>
          </cell>
          <cell r="H822" t="str">
            <v>TJ / година</v>
          </cell>
          <cell r="I822" t="str">
            <v/>
          </cell>
          <cell r="J822" t="str">
            <v/>
          </cell>
          <cell r="K822" t="str">
            <v/>
          </cell>
          <cell r="L822" t="str">
            <v/>
          </cell>
          <cell r="M822" t="str">
            <v/>
          </cell>
        </row>
        <row r="823">
          <cell r="E823" t="str">
            <v>Специфичен EF (консумиран отпадъчен газ)</v>
          </cell>
          <cell r="H823" t="str">
            <v>t CO2 / TJ</v>
          </cell>
          <cell r="I823" t="str">
            <v/>
          </cell>
          <cell r="J823" t="str">
            <v/>
          </cell>
          <cell r="K823" t="str">
            <v/>
          </cell>
          <cell r="L823" t="str">
            <v/>
          </cell>
          <cell r="M823" t="str">
            <v/>
          </cell>
        </row>
        <row r="824">
          <cell r="E824" t="str">
            <v>Изгорен във факел отпадъчен газ</v>
          </cell>
          <cell r="H824" t="str">
            <v>TJ / година</v>
          </cell>
          <cell r="I824" t="str">
            <v/>
          </cell>
          <cell r="J824" t="str">
            <v/>
          </cell>
          <cell r="K824" t="str">
            <v/>
          </cell>
          <cell r="L824" t="str">
            <v/>
          </cell>
          <cell r="M824" t="str">
            <v/>
          </cell>
        </row>
        <row r="825">
          <cell r="E825" t="str">
            <v>Специфичен EF (изгорен във факел отпадъчен газ)</v>
          </cell>
          <cell r="H825" t="str">
            <v>t CO2 / TJ</v>
          </cell>
          <cell r="I825" t="str">
            <v/>
          </cell>
          <cell r="J825" t="str">
            <v/>
          </cell>
          <cell r="K825" t="str">
            <v/>
          </cell>
          <cell r="L825" t="str">
            <v/>
          </cell>
          <cell r="M825" t="str">
            <v/>
          </cell>
        </row>
        <row r="826">
          <cell r="E826" t="str">
            <v>Получен отпадъчен газ</v>
          </cell>
          <cell r="H826" t="str">
            <v>TJ / година</v>
          </cell>
          <cell r="I826" t="str">
            <v/>
          </cell>
          <cell r="J826" t="str">
            <v/>
          </cell>
          <cell r="K826" t="str">
            <v/>
          </cell>
          <cell r="L826" t="str">
            <v/>
          </cell>
          <cell r="M826" t="str">
            <v/>
          </cell>
        </row>
        <row r="827">
          <cell r="E827" t="str">
            <v>Специфичен EF (получен отпадъчен газ)</v>
          </cell>
          <cell r="H827" t="str">
            <v>t CO2 / TJ</v>
          </cell>
          <cell r="I827" t="str">
            <v/>
          </cell>
          <cell r="J827" t="str">
            <v/>
          </cell>
          <cell r="K827" t="str">
            <v/>
          </cell>
          <cell r="L827" t="str">
            <v/>
          </cell>
          <cell r="M827" t="str">
            <v/>
          </cell>
        </row>
        <row r="828">
          <cell r="E828" t="str">
            <v>Подаден отпадъчен газ</v>
          </cell>
          <cell r="H828" t="str">
            <v>TJ / година</v>
          </cell>
          <cell r="I828" t="str">
            <v/>
          </cell>
          <cell r="J828" t="str">
            <v/>
          </cell>
          <cell r="K828" t="str">
            <v/>
          </cell>
          <cell r="L828" t="str">
            <v/>
          </cell>
          <cell r="M828" t="str">
            <v/>
          </cell>
        </row>
        <row r="829">
          <cell r="E829" t="str">
            <v>Специфичен EF (подаден отпадъчен газ)</v>
          </cell>
          <cell r="H829" t="str">
            <v>t CO2 / TJ</v>
          </cell>
          <cell r="I829" t="str">
            <v/>
          </cell>
          <cell r="J829" t="str">
            <v/>
          </cell>
          <cell r="K829" t="str">
            <v/>
          </cell>
          <cell r="L829" t="str">
            <v/>
          </cell>
          <cell r="M829" t="str">
            <v/>
          </cell>
        </row>
        <row r="831">
          <cell r="E831" t="str">
            <v>Произведена електроенергия</v>
          </cell>
          <cell r="H831" t="str">
            <v>MWh / година</v>
          </cell>
          <cell r="I831" t="str">
            <v/>
          </cell>
          <cell r="J831" t="str">
            <v/>
          </cell>
          <cell r="K831" t="str">
            <v/>
          </cell>
          <cell r="L831" t="str">
            <v/>
          </cell>
          <cell r="M831" t="str">
            <v/>
          </cell>
        </row>
        <row r="833">
          <cell r="E833" t="str">
            <v>Междинно получаване:</v>
          </cell>
        </row>
        <row r="834">
          <cell r="E834" t="str">
            <v/>
          </cell>
          <cell r="H834" t="str">
            <v>тона</v>
          </cell>
          <cell r="I834" t="str">
            <v/>
          </cell>
          <cell r="J834" t="str">
            <v/>
          </cell>
          <cell r="K834" t="str">
            <v/>
          </cell>
          <cell r="L834" t="str">
            <v/>
          </cell>
          <cell r="M834" t="str">
            <v/>
          </cell>
        </row>
        <row r="835">
          <cell r="E835" t="str">
            <v/>
          </cell>
          <cell r="H835" t="str">
            <v>тона</v>
          </cell>
          <cell r="I835" t="str">
            <v/>
          </cell>
          <cell r="J835" t="str">
            <v/>
          </cell>
          <cell r="K835" t="str">
            <v/>
          </cell>
          <cell r="L835" t="str">
            <v/>
          </cell>
          <cell r="M835" t="str">
            <v/>
          </cell>
        </row>
        <row r="836">
          <cell r="E836" t="str">
            <v>Междинно подаване:</v>
          </cell>
        </row>
        <row r="837">
          <cell r="E837" t="str">
            <v/>
          </cell>
          <cell r="H837" t="str">
            <v>тона</v>
          </cell>
          <cell r="I837" t="str">
            <v/>
          </cell>
          <cell r="J837" t="str">
            <v/>
          </cell>
          <cell r="K837" t="str">
            <v/>
          </cell>
          <cell r="L837" t="str">
            <v/>
          </cell>
          <cell r="M837" t="str">
            <v/>
          </cell>
        </row>
        <row r="838">
          <cell r="E838" t="str">
            <v/>
          </cell>
          <cell r="H838" t="str">
            <v>тона</v>
          </cell>
          <cell r="I838" t="str">
            <v/>
          </cell>
          <cell r="J838" t="str">
            <v/>
          </cell>
          <cell r="K838" t="str">
            <v/>
          </cell>
          <cell r="L838" t="str">
            <v/>
          </cell>
          <cell r="M838" t="str">
            <v/>
          </cell>
        </row>
        <row r="840">
          <cell r="E840" t="str">
            <v>Корекции за актуализиране на показателя при специфичен показател, когато е приложимо</v>
          </cell>
        </row>
        <row r="841">
          <cell r="E841" t="str">
            <v>Общо количество произведен пулп</v>
          </cell>
          <cell r="H841" t="str">
            <v>тона</v>
          </cell>
          <cell r="I841" t="str">
            <v/>
          </cell>
          <cell r="J841" t="str">
            <v/>
          </cell>
          <cell r="K841" t="str">
            <v/>
          </cell>
          <cell r="L841" t="str">
            <v/>
          </cell>
          <cell r="M841" t="str">
            <v/>
          </cell>
        </row>
        <row r="843">
          <cell r="E843" t="str">
            <v>Производство на водород (действително + теоретично)</v>
          </cell>
          <cell r="H843" t="str">
            <v>тона</v>
          </cell>
          <cell r="I843" t="str">
            <v/>
          </cell>
          <cell r="J843" t="str">
            <v/>
          </cell>
          <cell r="K843" t="str">
            <v/>
          </cell>
          <cell r="L843" t="str">
            <v/>
          </cell>
          <cell r="M843" t="str">
            <v/>
          </cell>
        </row>
        <row r="844">
          <cell r="E844" t="str">
            <v>Емисии във връзка с водород</v>
          </cell>
          <cell r="H844" t="str">
            <v>t CO2 / година</v>
          </cell>
          <cell r="I844" t="str">
            <v/>
          </cell>
          <cell r="J844" t="str">
            <v/>
          </cell>
          <cell r="K844" t="str">
            <v/>
          </cell>
          <cell r="L844" t="str">
            <v/>
          </cell>
          <cell r="M844" t="str">
            <v/>
          </cell>
        </row>
        <row r="846">
          <cell r="E846" t="str">
            <v>Корекция на емисиите във връзка с HVC</v>
          </cell>
          <cell r="H846" t="str">
            <v>t CO2 / година</v>
          </cell>
          <cell r="I846" t="str">
            <v/>
          </cell>
          <cell r="J846" t="str">
            <v/>
          </cell>
          <cell r="K846" t="str">
            <v/>
          </cell>
          <cell r="L846" t="str">
            <v/>
          </cell>
          <cell r="M846" t="str">
            <v/>
          </cell>
        </row>
        <row r="848">
          <cell r="E848" t="str">
            <v>Корекция на емисиите във връзка с VCM</v>
          </cell>
          <cell r="H848" t="str">
            <v>t CO2 / година</v>
          </cell>
          <cell r="I848" t="str">
            <v/>
          </cell>
          <cell r="J848" t="str">
            <v/>
          </cell>
          <cell r="K848" t="str">
            <v/>
          </cell>
          <cell r="L848" t="str">
            <v/>
          </cell>
          <cell r="M848" t="str">
            <v/>
          </cell>
        </row>
        <row r="852">
          <cell r="C852">
            <v>6</v>
          </cell>
          <cell r="D852" t="str">
            <v>Подинсталация с продуктов показател 6:</v>
          </cell>
          <cell r="I852" t="str">
            <v/>
          </cell>
        </row>
        <row r="854">
          <cell r="H854" t="str">
            <v>Риск от ИВЕ</v>
          </cell>
          <cell r="J854" t="str">
            <v>В/Е</v>
          </cell>
          <cell r="K854" t="str">
            <v>№ на п-л</v>
          </cell>
          <cell r="L854" t="str">
            <v>15(7).3?</v>
          </cell>
          <cell r="M854" t="str">
            <v>Стойност на показател (мин/макс/действ.)</v>
          </cell>
        </row>
        <row r="855">
          <cell r="E855" t="str">
            <v/>
          </cell>
          <cell r="H855" t="str">
            <v>Не е приложимо</v>
          </cell>
          <cell r="J855" t="str">
            <v>Не е приложимо</v>
          </cell>
          <cell r="K855" t="str">
            <v>Не е приложимо</v>
          </cell>
          <cell r="L855" t="str">
            <v/>
          </cell>
          <cell r="M855" t="str">
            <v>Не е приложимо</v>
          </cell>
          <cell r="N855" t="str">
            <v>Квота за емисии/тона</v>
          </cell>
        </row>
        <row r="856">
          <cell r="G856" t="str">
            <v>топл. ен. извън СТЕ</v>
          </cell>
          <cell r="H856" t="str">
            <v>CBAM</v>
          </cell>
          <cell r="I856" t="str">
            <v>WGflare</v>
          </cell>
          <cell r="J856" t="str">
            <v>HVC-Corr</v>
          </cell>
          <cell r="K856" t="str">
            <v>VCM-F</v>
          </cell>
          <cell r="M856" t="str">
            <v>Не е приложимо</v>
          </cell>
          <cell r="N856" t="str">
            <v>Квота за емисии/тона</v>
          </cell>
          <cell r="R856" t="str">
            <v>No. BM</v>
          </cell>
          <cell r="S856" t="str">
            <v>Не е приложимо</v>
          </cell>
        </row>
        <row r="857">
          <cell r="E857" t="str">
            <v>Специфични коефициенти:</v>
          </cell>
          <cell r="G857" t="str">
            <v/>
          </cell>
          <cell r="H857" t="str">
            <v>Не е приложимо</v>
          </cell>
          <cell r="I857" t="str">
            <v/>
          </cell>
          <cell r="J857" t="str">
            <v/>
          </cell>
          <cell r="K857" t="str">
            <v/>
          </cell>
          <cell r="M857" t="str">
            <v>Не е приложимо</v>
          </cell>
          <cell r="N857" t="str">
            <v>Квота за емисии/тона</v>
          </cell>
        </row>
        <row r="859">
          <cell r="H859" t="str">
            <v>Единица мярка</v>
          </cell>
          <cell r="I859">
            <v>2019</v>
          </cell>
          <cell r="J859">
            <v>2020</v>
          </cell>
          <cell r="K859">
            <v>2021</v>
          </cell>
          <cell r="L859">
            <v>2022</v>
          </cell>
          <cell r="M859">
            <v>2023</v>
          </cell>
        </row>
        <row r="860">
          <cell r="E860" t="str">
            <v>Отчетено HAL (историческо равнище на дейност)</v>
          </cell>
          <cell r="H860" t="str">
            <v>тона</v>
          </cell>
          <cell r="I860" t="str">
            <v/>
          </cell>
          <cell r="J860" t="str">
            <v/>
          </cell>
          <cell r="K860" t="str">
            <v/>
          </cell>
          <cell r="L860" t="str">
            <v/>
          </cell>
          <cell r="M860" t="str">
            <v/>
          </cell>
          <cell r="N860" t="str">
            <v>Median</v>
          </cell>
        </row>
        <row r="861">
          <cell r="E861" t="str">
            <v>Стойности, използвани за изчислението на HAL:</v>
          </cell>
          <cell r="H861" t="str">
            <v>тона</v>
          </cell>
          <cell r="I861" t="str">
            <v/>
          </cell>
          <cell r="J861" t="str">
            <v/>
          </cell>
          <cell r="K861" t="str">
            <v/>
          </cell>
          <cell r="L861" t="str">
            <v/>
          </cell>
          <cell r="M861" t="str">
            <v/>
          </cell>
          <cell r="N861" t="str">
            <v/>
          </cell>
        </row>
        <row r="863">
          <cell r="E863" t="str">
            <v>Съответно потребление на електроенергия</v>
          </cell>
          <cell r="H863" t="str">
            <v>MWh / година</v>
          </cell>
          <cell r="I863" t="str">
            <v/>
          </cell>
          <cell r="J863" t="str">
            <v/>
          </cell>
          <cell r="K863" t="str">
            <v/>
          </cell>
          <cell r="L863" t="str">
            <v/>
          </cell>
          <cell r="M863" t="str">
            <v/>
          </cell>
        </row>
        <row r="865">
          <cell r="F865" t="str">
            <v>Общо HAL</v>
          </cell>
          <cell r="I865" t="str">
            <v>Предв. разпр. за год. 1 (мин)</v>
          </cell>
          <cell r="K865" t="str">
            <v>Предв. разпр. за год. 1 (макс)</v>
          </cell>
          <cell r="M865" t="str">
            <v>Предв. разпр. за год. 1 (действ.)</v>
          </cell>
        </row>
        <row r="866">
          <cell r="F866" t="str">
            <v/>
          </cell>
          <cell r="G866" t="str">
            <v>тона / година</v>
          </cell>
          <cell r="I866" t="str">
            <v/>
          </cell>
          <cell r="J866" t="str">
            <v>Квота за емисии / година</v>
          </cell>
          <cell r="K866" t="str">
            <v/>
          </cell>
          <cell r="L866" t="str">
            <v>Квота за емисии / година</v>
          </cell>
          <cell r="M866" t="str">
            <v/>
          </cell>
          <cell r="N866" t="str">
            <v>Квота за емисии / година</v>
          </cell>
        </row>
        <row r="869">
          <cell r="H869" t="str">
            <v>Единица мярка</v>
          </cell>
          <cell r="I869">
            <v>2019</v>
          </cell>
          <cell r="J869">
            <v>2020</v>
          </cell>
          <cell r="K869">
            <v>2021</v>
          </cell>
          <cell r="L869">
            <v>2022</v>
          </cell>
          <cell r="M869">
            <v>2023</v>
          </cell>
        </row>
        <row r="870">
          <cell r="E870" t="str">
            <v>Общо зададени емисии</v>
          </cell>
          <cell r="H870" t="str">
            <v>t CO2e/година</v>
          </cell>
          <cell r="I870" t="str">
            <v/>
          </cell>
          <cell r="J870" t="str">
            <v/>
          </cell>
          <cell r="K870" t="str">
            <v/>
          </cell>
          <cell r="L870" t="str">
            <v/>
          </cell>
          <cell r="M870" t="str">
            <v/>
          </cell>
        </row>
        <row r="872">
          <cell r="E872" t="str">
            <v>Обща вложена енергия</v>
          </cell>
          <cell r="H872" t="str">
            <v>TJ / година</v>
          </cell>
          <cell r="I872" t="str">
            <v/>
          </cell>
          <cell r="J872" t="str">
            <v/>
          </cell>
          <cell r="K872" t="str">
            <v/>
          </cell>
          <cell r="L872" t="str">
            <v/>
          </cell>
          <cell r="M872" t="str">
            <v/>
          </cell>
        </row>
        <row r="873">
          <cell r="E873" t="str">
            <v>Претеглен емисионен фактор</v>
          </cell>
          <cell r="H873" t="str">
            <v>t CO2 / TJ</v>
          </cell>
          <cell r="I873" t="str">
            <v/>
          </cell>
          <cell r="J873" t="str">
            <v/>
          </cell>
          <cell r="K873" t="str">
            <v/>
          </cell>
          <cell r="L873" t="str">
            <v/>
          </cell>
          <cell r="M873" t="str">
            <v/>
          </cell>
        </row>
        <row r="875">
          <cell r="E875" t="str">
            <v>Преки емисии</v>
          </cell>
          <cell r="H875" t="str">
            <v>t CO2 / година</v>
          </cell>
          <cell r="I875" t="str">
            <v/>
          </cell>
          <cell r="J875" t="str">
            <v/>
          </cell>
          <cell r="K875" t="str">
            <v/>
          </cell>
          <cell r="L875" t="str">
            <v/>
          </cell>
          <cell r="M875" t="str">
            <v/>
          </cell>
        </row>
        <row r="876">
          <cell r="E876" t="str">
            <v>Други потоци горива и материали пораждащи емисии — 1</v>
          </cell>
          <cell r="H876" t="str">
            <v>t CO2 / година</v>
          </cell>
          <cell r="I876" t="str">
            <v/>
          </cell>
          <cell r="J876" t="str">
            <v/>
          </cell>
          <cell r="K876" t="str">
            <v/>
          </cell>
          <cell r="L876" t="str">
            <v/>
          </cell>
          <cell r="M876" t="str">
            <v/>
          </cell>
        </row>
        <row r="877">
          <cell r="E877" t="str">
            <v>Други потоци горива и материали пораждащи емисии — 2</v>
          </cell>
          <cell r="H877" t="str">
            <v>t CO2 / година</v>
          </cell>
          <cell r="I877" t="str">
            <v/>
          </cell>
          <cell r="J877" t="str">
            <v/>
          </cell>
          <cell r="K877" t="str">
            <v/>
          </cell>
          <cell r="L877" t="str">
            <v/>
          </cell>
          <cell r="M877" t="str">
            <v/>
          </cell>
        </row>
        <row r="878">
          <cell r="E878" t="str">
            <v>Получени или подадени парникови газове</v>
          </cell>
          <cell r="H878" t="str">
            <v>t CO2e/година</v>
          </cell>
          <cell r="I878" t="str">
            <v/>
          </cell>
          <cell r="J878" t="str">
            <v/>
          </cell>
          <cell r="K878" t="str">
            <v/>
          </cell>
          <cell r="L878" t="str">
            <v/>
          </cell>
          <cell r="M878" t="str">
            <v/>
          </cell>
        </row>
        <row r="880">
          <cell r="E880" t="str">
            <v>Нетно количество получена топлинна енергия</v>
          </cell>
          <cell r="H880" t="str">
            <v>TJ / година</v>
          </cell>
          <cell r="I880" t="str">
            <v/>
          </cell>
          <cell r="J880" t="str">
            <v/>
          </cell>
          <cell r="K880" t="str">
            <v/>
          </cell>
          <cell r="L880" t="str">
            <v/>
          </cell>
          <cell r="M880" t="str">
            <v/>
          </cell>
        </row>
        <row r="881">
          <cell r="E881" t="str">
            <v>Специфичен EF (получена топлинна енергия)</v>
          </cell>
          <cell r="H881" t="str">
            <v>t CO2 / TJ</v>
          </cell>
          <cell r="I881" t="str">
            <v/>
          </cell>
          <cell r="J881" t="str">
            <v/>
          </cell>
          <cell r="K881" t="str">
            <v/>
          </cell>
          <cell r="L881" t="str">
            <v/>
          </cell>
          <cell r="M881" t="str">
            <v/>
          </cell>
        </row>
        <row r="883">
          <cell r="E883" t="str">
            <v>Нетно количество топлинна енергия, получена от пулп</v>
          </cell>
          <cell r="H883" t="str">
            <v>TJ / година</v>
          </cell>
          <cell r="I883" t="str">
            <v/>
          </cell>
          <cell r="J883" t="str">
            <v/>
          </cell>
          <cell r="K883" t="str">
            <v/>
          </cell>
          <cell r="L883" t="str">
            <v/>
          </cell>
          <cell r="M883" t="str">
            <v/>
          </cell>
        </row>
        <row r="884">
          <cell r="E884" t="str">
            <v>Нетно количество топлинна енергия, получена от подинсталации за азотна киселина</v>
          </cell>
          <cell r="H884" t="str">
            <v>TJ / година</v>
          </cell>
          <cell r="I884" t="str">
            <v/>
          </cell>
          <cell r="J884" t="str">
            <v/>
          </cell>
          <cell r="K884" t="str">
            <v/>
          </cell>
          <cell r="L884" t="str">
            <v/>
          </cell>
          <cell r="M884" t="str">
            <v/>
          </cell>
        </row>
        <row r="886">
          <cell r="E886" t="str">
            <v>Нетно количество подадена топлинна енергия</v>
          </cell>
          <cell r="H886" t="str">
            <v>TJ / година</v>
          </cell>
          <cell r="I886" t="str">
            <v/>
          </cell>
          <cell r="J886" t="str">
            <v/>
          </cell>
          <cell r="K886" t="str">
            <v/>
          </cell>
          <cell r="L886" t="str">
            <v/>
          </cell>
          <cell r="M886" t="str">
            <v/>
          </cell>
        </row>
        <row r="887">
          <cell r="E887" t="str">
            <v>Специфичен EF (подадена топлинна енергия)</v>
          </cell>
          <cell r="H887" t="str">
            <v>t CO2 / TJ</v>
          </cell>
          <cell r="I887" t="str">
            <v/>
          </cell>
          <cell r="J887" t="str">
            <v/>
          </cell>
          <cell r="K887" t="str">
            <v/>
          </cell>
          <cell r="L887" t="str">
            <v/>
          </cell>
          <cell r="M887" t="str">
            <v/>
          </cell>
        </row>
        <row r="889">
          <cell r="E889" t="str">
            <v>Произведен отпадъчен газ</v>
          </cell>
          <cell r="H889" t="str">
            <v>TJ / година</v>
          </cell>
          <cell r="I889" t="str">
            <v/>
          </cell>
          <cell r="J889" t="str">
            <v/>
          </cell>
          <cell r="K889" t="str">
            <v/>
          </cell>
          <cell r="L889" t="str">
            <v/>
          </cell>
          <cell r="M889" t="str">
            <v/>
          </cell>
        </row>
        <row r="890">
          <cell r="E890" t="str">
            <v>Специфичен EF (произведен отпадъчен газ)</v>
          </cell>
          <cell r="H890" t="str">
            <v>t CO2 / TJ</v>
          </cell>
          <cell r="I890" t="str">
            <v/>
          </cell>
          <cell r="J890" t="str">
            <v/>
          </cell>
          <cell r="K890" t="str">
            <v/>
          </cell>
          <cell r="L890" t="str">
            <v/>
          </cell>
          <cell r="M890" t="str">
            <v/>
          </cell>
        </row>
        <row r="891">
          <cell r="E891" t="str">
            <v>Консумиран отпадъчен газ</v>
          </cell>
          <cell r="H891" t="str">
            <v>TJ / година</v>
          </cell>
          <cell r="I891" t="str">
            <v/>
          </cell>
          <cell r="J891" t="str">
            <v/>
          </cell>
          <cell r="K891" t="str">
            <v/>
          </cell>
          <cell r="L891" t="str">
            <v/>
          </cell>
          <cell r="M891" t="str">
            <v/>
          </cell>
        </row>
        <row r="892">
          <cell r="E892" t="str">
            <v>Специфичен EF (консумиран отпадъчен газ)</v>
          </cell>
          <cell r="H892" t="str">
            <v>t CO2 / TJ</v>
          </cell>
          <cell r="I892" t="str">
            <v/>
          </cell>
          <cell r="J892" t="str">
            <v/>
          </cell>
          <cell r="K892" t="str">
            <v/>
          </cell>
          <cell r="L892" t="str">
            <v/>
          </cell>
          <cell r="M892" t="str">
            <v/>
          </cell>
        </row>
        <row r="893">
          <cell r="E893" t="str">
            <v>Изгорен във факел отпадъчен газ</v>
          </cell>
          <cell r="H893" t="str">
            <v>TJ / година</v>
          </cell>
          <cell r="I893" t="str">
            <v/>
          </cell>
          <cell r="J893" t="str">
            <v/>
          </cell>
          <cell r="K893" t="str">
            <v/>
          </cell>
          <cell r="L893" t="str">
            <v/>
          </cell>
          <cell r="M893" t="str">
            <v/>
          </cell>
        </row>
        <row r="894">
          <cell r="E894" t="str">
            <v>Специфичен EF (изгорен във факел отпадъчен газ)</v>
          </cell>
          <cell r="H894" t="str">
            <v>t CO2 / TJ</v>
          </cell>
          <cell r="I894" t="str">
            <v/>
          </cell>
          <cell r="J894" t="str">
            <v/>
          </cell>
          <cell r="K894" t="str">
            <v/>
          </cell>
          <cell r="L894" t="str">
            <v/>
          </cell>
          <cell r="M894" t="str">
            <v/>
          </cell>
        </row>
        <row r="895">
          <cell r="E895" t="str">
            <v>Получен отпадъчен газ</v>
          </cell>
          <cell r="H895" t="str">
            <v>TJ / година</v>
          </cell>
          <cell r="I895" t="str">
            <v/>
          </cell>
          <cell r="J895" t="str">
            <v/>
          </cell>
          <cell r="K895" t="str">
            <v/>
          </cell>
          <cell r="L895" t="str">
            <v/>
          </cell>
          <cell r="M895" t="str">
            <v/>
          </cell>
        </row>
        <row r="896">
          <cell r="E896" t="str">
            <v>Специфичен EF (получен отпадъчен газ)</v>
          </cell>
          <cell r="H896" t="str">
            <v>t CO2 / TJ</v>
          </cell>
          <cell r="I896" t="str">
            <v/>
          </cell>
          <cell r="J896" t="str">
            <v/>
          </cell>
          <cell r="K896" t="str">
            <v/>
          </cell>
          <cell r="L896" t="str">
            <v/>
          </cell>
          <cell r="M896" t="str">
            <v/>
          </cell>
        </row>
        <row r="897">
          <cell r="E897" t="str">
            <v>Подаден отпадъчен газ</v>
          </cell>
          <cell r="H897" t="str">
            <v>TJ / година</v>
          </cell>
          <cell r="I897" t="str">
            <v/>
          </cell>
          <cell r="J897" t="str">
            <v/>
          </cell>
          <cell r="K897" t="str">
            <v/>
          </cell>
          <cell r="L897" t="str">
            <v/>
          </cell>
          <cell r="M897" t="str">
            <v/>
          </cell>
        </row>
        <row r="898">
          <cell r="E898" t="str">
            <v>Специфичен EF (подаден отпадъчен газ)</v>
          </cell>
          <cell r="H898" t="str">
            <v>t CO2 / TJ</v>
          </cell>
          <cell r="I898" t="str">
            <v/>
          </cell>
          <cell r="J898" t="str">
            <v/>
          </cell>
          <cell r="K898" t="str">
            <v/>
          </cell>
          <cell r="L898" t="str">
            <v/>
          </cell>
          <cell r="M898" t="str">
            <v/>
          </cell>
        </row>
        <row r="900">
          <cell r="E900" t="str">
            <v>Произведена електроенергия</v>
          </cell>
          <cell r="H900" t="str">
            <v>MWh / година</v>
          </cell>
          <cell r="I900" t="str">
            <v/>
          </cell>
          <cell r="J900" t="str">
            <v/>
          </cell>
          <cell r="K900" t="str">
            <v/>
          </cell>
          <cell r="L900" t="str">
            <v/>
          </cell>
          <cell r="M900" t="str">
            <v/>
          </cell>
        </row>
        <row r="902">
          <cell r="E902" t="str">
            <v>Междинно получаване:</v>
          </cell>
        </row>
        <row r="903">
          <cell r="E903" t="str">
            <v/>
          </cell>
          <cell r="H903" t="str">
            <v>тона</v>
          </cell>
          <cell r="I903" t="str">
            <v/>
          </cell>
          <cell r="J903" t="str">
            <v/>
          </cell>
          <cell r="K903" t="str">
            <v/>
          </cell>
          <cell r="L903" t="str">
            <v/>
          </cell>
          <cell r="M903" t="str">
            <v/>
          </cell>
        </row>
        <row r="904">
          <cell r="E904" t="str">
            <v/>
          </cell>
          <cell r="H904" t="str">
            <v>тона</v>
          </cell>
          <cell r="I904" t="str">
            <v/>
          </cell>
          <cell r="J904" t="str">
            <v/>
          </cell>
          <cell r="K904" t="str">
            <v/>
          </cell>
          <cell r="L904" t="str">
            <v/>
          </cell>
          <cell r="M904" t="str">
            <v/>
          </cell>
        </row>
        <row r="905">
          <cell r="E905" t="str">
            <v>Междинно подаване:</v>
          </cell>
        </row>
        <row r="906">
          <cell r="E906" t="str">
            <v/>
          </cell>
          <cell r="H906" t="str">
            <v>тона</v>
          </cell>
          <cell r="I906" t="str">
            <v/>
          </cell>
          <cell r="J906" t="str">
            <v/>
          </cell>
          <cell r="K906" t="str">
            <v/>
          </cell>
          <cell r="L906" t="str">
            <v/>
          </cell>
          <cell r="M906" t="str">
            <v/>
          </cell>
        </row>
        <row r="907">
          <cell r="E907" t="str">
            <v/>
          </cell>
          <cell r="H907" t="str">
            <v>тона</v>
          </cell>
          <cell r="I907" t="str">
            <v/>
          </cell>
          <cell r="J907" t="str">
            <v/>
          </cell>
          <cell r="K907" t="str">
            <v/>
          </cell>
          <cell r="L907" t="str">
            <v/>
          </cell>
          <cell r="M907" t="str">
            <v/>
          </cell>
        </row>
        <row r="909">
          <cell r="E909" t="str">
            <v>Корекции за актуализиране на показателя при специфичен показател, когато е приложимо</v>
          </cell>
        </row>
        <row r="910">
          <cell r="E910" t="str">
            <v>Общо количество произведен пулп</v>
          </cell>
          <cell r="H910" t="str">
            <v>тона</v>
          </cell>
          <cell r="I910" t="str">
            <v/>
          </cell>
          <cell r="J910" t="str">
            <v/>
          </cell>
          <cell r="K910" t="str">
            <v/>
          </cell>
          <cell r="L910" t="str">
            <v/>
          </cell>
          <cell r="M910" t="str">
            <v/>
          </cell>
        </row>
        <row r="912">
          <cell r="E912" t="str">
            <v>Производство на водород (действително + теоретично)</v>
          </cell>
          <cell r="H912" t="str">
            <v>тона</v>
          </cell>
          <cell r="I912" t="str">
            <v/>
          </cell>
          <cell r="J912" t="str">
            <v/>
          </cell>
          <cell r="K912" t="str">
            <v/>
          </cell>
          <cell r="L912" t="str">
            <v/>
          </cell>
          <cell r="M912" t="str">
            <v/>
          </cell>
        </row>
        <row r="913">
          <cell r="E913" t="str">
            <v>Емисии във връзка с водород</v>
          </cell>
          <cell r="H913" t="str">
            <v>t CO2 / година</v>
          </cell>
          <cell r="I913" t="str">
            <v/>
          </cell>
          <cell r="J913" t="str">
            <v/>
          </cell>
          <cell r="K913" t="str">
            <v/>
          </cell>
          <cell r="L913" t="str">
            <v/>
          </cell>
          <cell r="M913" t="str">
            <v/>
          </cell>
        </row>
        <row r="915">
          <cell r="E915" t="str">
            <v>Корекция на емисиите във връзка с HVC</v>
          </cell>
          <cell r="H915" t="str">
            <v>t CO2 / година</v>
          </cell>
          <cell r="I915" t="str">
            <v/>
          </cell>
          <cell r="J915" t="str">
            <v/>
          </cell>
          <cell r="K915" t="str">
            <v/>
          </cell>
          <cell r="L915" t="str">
            <v/>
          </cell>
          <cell r="M915" t="str">
            <v/>
          </cell>
        </row>
        <row r="917">
          <cell r="E917" t="str">
            <v>Корекция на емисиите във връзка с VCM</v>
          </cell>
          <cell r="H917" t="str">
            <v>t CO2 / година</v>
          </cell>
          <cell r="I917" t="str">
            <v/>
          </cell>
          <cell r="J917" t="str">
            <v/>
          </cell>
          <cell r="K917" t="str">
            <v/>
          </cell>
          <cell r="L917" t="str">
            <v/>
          </cell>
          <cell r="M917" t="str">
            <v/>
          </cell>
        </row>
        <row r="921">
          <cell r="C921">
            <v>7</v>
          </cell>
          <cell r="D921" t="str">
            <v>Подинсталация с продуктов показател 7:</v>
          </cell>
          <cell r="I921" t="str">
            <v/>
          </cell>
        </row>
        <row r="923">
          <cell r="H923" t="str">
            <v>Риск от ИВЕ</v>
          </cell>
          <cell r="J923" t="str">
            <v>В/Е</v>
          </cell>
          <cell r="K923" t="str">
            <v>№ на п-л</v>
          </cell>
          <cell r="L923" t="str">
            <v>15(7).3?</v>
          </cell>
          <cell r="M923" t="str">
            <v>Стойност на показател (мин/макс/действ.)</v>
          </cell>
        </row>
        <row r="924">
          <cell r="E924" t="str">
            <v/>
          </cell>
          <cell r="H924" t="str">
            <v>Не е приложимо</v>
          </cell>
          <cell r="J924" t="str">
            <v>Не е приложимо</v>
          </cell>
          <cell r="K924" t="str">
            <v>Не е приложимо</v>
          </cell>
          <cell r="L924" t="str">
            <v/>
          </cell>
          <cell r="M924" t="str">
            <v>Не е приложимо</v>
          </cell>
          <cell r="N924" t="str">
            <v>Квота за емисии/тона</v>
          </cell>
        </row>
        <row r="925">
          <cell r="G925" t="str">
            <v>топл. ен. извън СТЕ</v>
          </cell>
          <cell r="H925" t="str">
            <v>CBAM</v>
          </cell>
          <cell r="I925" t="str">
            <v>WGflare</v>
          </cell>
          <cell r="J925" t="str">
            <v>HVC-Corr</v>
          </cell>
          <cell r="K925" t="str">
            <v>VCM-F</v>
          </cell>
          <cell r="M925" t="str">
            <v>Не е приложимо</v>
          </cell>
          <cell r="N925" t="str">
            <v>Квота за емисии/тона</v>
          </cell>
          <cell r="R925" t="str">
            <v>No. BM</v>
          </cell>
          <cell r="S925" t="str">
            <v>Не е приложимо</v>
          </cell>
        </row>
        <row r="926">
          <cell r="E926" t="str">
            <v>Специфични коефициенти:</v>
          </cell>
          <cell r="G926" t="str">
            <v/>
          </cell>
          <cell r="H926" t="str">
            <v>Не е приложимо</v>
          </cell>
          <cell r="I926" t="str">
            <v/>
          </cell>
          <cell r="J926" t="str">
            <v/>
          </cell>
          <cell r="K926" t="str">
            <v/>
          </cell>
          <cell r="M926" t="str">
            <v>Не е приложимо</v>
          </cell>
          <cell r="N926" t="str">
            <v>Квота за емисии/тона</v>
          </cell>
        </row>
        <row r="928">
          <cell r="H928" t="str">
            <v>Единица мярка</v>
          </cell>
          <cell r="I928">
            <v>2019</v>
          </cell>
          <cell r="J928">
            <v>2020</v>
          </cell>
          <cell r="K928">
            <v>2021</v>
          </cell>
          <cell r="L928">
            <v>2022</v>
          </cell>
          <cell r="M928">
            <v>2023</v>
          </cell>
        </row>
        <row r="929">
          <cell r="E929" t="str">
            <v>Отчетено HAL (историческо равнище на дейност)</v>
          </cell>
          <cell r="H929" t="str">
            <v>тона</v>
          </cell>
          <cell r="I929" t="str">
            <v/>
          </cell>
          <cell r="J929" t="str">
            <v/>
          </cell>
          <cell r="K929" t="str">
            <v/>
          </cell>
          <cell r="L929" t="str">
            <v/>
          </cell>
          <cell r="M929" t="str">
            <v/>
          </cell>
          <cell r="N929" t="str">
            <v>Median</v>
          </cell>
        </row>
        <row r="930">
          <cell r="E930" t="str">
            <v>Стойности, използвани за изчислението на HAL:</v>
          </cell>
          <cell r="H930" t="str">
            <v>тона</v>
          </cell>
          <cell r="I930" t="str">
            <v/>
          </cell>
          <cell r="J930" t="str">
            <v/>
          </cell>
          <cell r="K930" t="str">
            <v/>
          </cell>
          <cell r="L930" t="str">
            <v/>
          </cell>
          <cell r="M930" t="str">
            <v/>
          </cell>
          <cell r="N930" t="str">
            <v/>
          </cell>
        </row>
        <row r="932">
          <cell r="E932" t="str">
            <v>Съответно потребление на електроенергия</v>
          </cell>
          <cell r="H932" t="str">
            <v>MWh / година</v>
          </cell>
          <cell r="I932" t="str">
            <v/>
          </cell>
          <cell r="J932" t="str">
            <v/>
          </cell>
          <cell r="K932" t="str">
            <v/>
          </cell>
          <cell r="L932" t="str">
            <v/>
          </cell>
          <cell r="M932" t="str">
            <v/>
          </cell>
        </row>
        <row r="934">
          <cell r="F934" t="str">
            <v>Общо HAL</v>
          </cell>
          <cell r="I934" t="str">
            <v>Предв. разпр. за год. 1 (мин)</v>
          </cell>
          <cell r="K934" t="str">
            <v>Предв. разпр. за год. 1 (макс)</v>
          </cell>
          <cell r="M934" t="str">
            <v>Предв. разпр. за год. 1 (действ.)</v>
          </cell>
        </row>
        <row r="935">
          <cell r="F935" t="str">
            <v/>
          </cell>
          <cell r="G935" t="str">
            <v>тона / година</v>
          </cell>
          <cell r="I935" t="str">
            <v/>
          </cell>
          <cell r="J935" t="str">
            <v>Квота за емисии / година</v>
          </cell>
          <cell r="K935" t="str">
            <v/>
          </cell>
          <cell r="L935" t="str">
            <v>Квота за емисии / година</v>
          </cell>
          <cell r="M935" t="str">
            <v/>
          </cell>
          <cell r="N935" t="str">
            <v>Квота за емисии / година</v>
          </cell>
        </row>
        <row r="938">
          <cell r="H938" t="str">
            <v>Единица мярка</v>
          </cell>
          <cell r="I938">
            <v>2019</v>
          </cell>
          <cell r="J938">
            <v>2020</v>
          </cell>
          <cell r="K938">
            <v>2021</v>
          </cell>
          <cell r="L938">
            <v>2022</v>
          </cell>
          <cell r="M938">
            <v>2023</v>
          </cell>
        </row>
        <row r="939">
          <cell r="E939" t="str">
            <v>Общо зададени емисии</v>
          </cell>
          <cell r="H939" t="str">
            <v>t CO2e/година</v>
          </cell>
          <cell r="I939" t="str">
            <v/>
          </cell>
          <cell r="J939" t="str">
            <v/>
          </cell>
          <cell r="K939" t="str">
            <v/>
          </cell>
          <cell r="L939" t="str">
            <v/>
          </cell>
          <cell r="M939" t="str">
            <v/>
          </cell>
        </row>
        <row r="941">
          <cell r="E941" t="str">
            <v>Обща вложена енергия</v>
          </cell>
          <cell r="H941" t="str">
            <v>TJ / година</v>
          </cell>
          <cell r="I941" t="str">
            <v/>
          </cell>
          <cell r="J941" t="str">
            <v/>
          </cell>
          <cell r="K941" t="str">
            <v/>
          </cell>
          <cell r="L941" t="str">
            <v/>
          </cell>
          <cell r="M941" t="str">
            <v/>
          </cell>
        </row>
        <row r="942">
          <cell r="E942" t="str">
            <v>Претеглен емисионен фактор</v>
          </cell>
          <cell r="H942" t="str">
            <v>t CO2 / TJ</v>
          </cell>
          <cell r="I942" t="str">
            <v/>
          </cell>
          <cell r="J942" t="str">
            <v/>
          </cell>
          <cell r="K942" t="str">
            <v/>
          </cell>
          <cell r="L942" t="str">
            <v/>
          </cell>
          <cell r="M942" t="str">
            <v/>
          </cell>
        </row>
        <row r="944">
          <cell r="E944" t="str">
            <v>Преки емисии</v>
          </cell>
          <cell r="H944" t="str">
            <v>t CO2 / година</v>
          </cell>
          <cell r="I944" t="str">
            <v/>
          </cell>
          <cell r="J944" t="str">
            <v/>
          </cell>
          <cell r="K944" t="str">
            <v/>
          </cell>
          <cell r="L944" t="str">
            <v/>
          </cell>
          <cell r="M944" t="str">
            <v/>
          </cell>
        </row>
        <row r="945">
          <cell r="E945" t="str">
            <v>Други потоци горива и материали пораждащи емисии — 1</v>
          </cell>
          <cell r="H945" t="str">
            <v>t CO2 / година</v>
          </cell>
          <cell r="I945" t="str">
            <v/>
          </cell>
          <cell r="J945" t="str">
            <v/>
          </cell>
          <cell r="K945" t="str">
            <v/>
          </cell>
          <cell r="L945" t="str">
            <v/>
          </cell>
          <cell r="M945" t="str">
            <v/>
          </cell>
        </row>
        <row r="946">
          <cell r="E946" t="str">
            <v>Други потоци горива и материали пораждащи емисии — 2</v>
          </cell>
          <cell r="H946" t="str">
            <v>t CO2 / година</v>
          </cell>
          <cell r="I946" t="str">
            <v/>
          </cell>
          <cell r="J946" t="str">
            <v/>
          </cell>
          <cell r="K946" t="str">
            <v/>
          </cell>
          <cell r="L946" t="str">
            <v/>
          </cell>
          <cell r="M946" t="str">
            <v/>
          </cell>
        </row>
        <row r="947">
          <cell r="E947" t="str">
            <v>Получени или подадени парникови газове</v>
          </cell>
          <cell r="H947" t="str">
            <v>t CO2e/година</v>
          </cell>
          <cell r="I947" t="str">
            <v/>
          </cell>
          <cell r="J947" t="str">
            <v/>
          </cell>
          <cell r="K947" t="str">
            <v/>
          </cell>
          <cell r="L947" t="str">
            <v/>
          </cell>
          <cell r="M947" t="str">
            <v/>
          </cell>
        </row>
        <row r="949">
          <cell r="E949" t="str">
            <v>Нетно количество получена топлинна енергия</v>
          </cell>
          <cell r="H949" t="str">
            <v>TJ / година</v>
          </cell>
          <cell r="I949" t="str">
            <v/>
          </cell>
          <cell r="J949" t="str">
            <v/>
          </cell>
          <cell r="K949" t="str">
            <v/>
          </cell>
          <cell r="L949" t="str">
            <v/>
          </cell>
          <cell r="M949" t="str">
            <v/>
          </cell>
        </row>
        <row r="950">
          <cell r="E950" t="str">
            <v>Специфичен EF (получена топлинна енергия)</v>
          </cell>
          <cell r="H950" t="str">
            <v>t CO2 / TJ</v>
          </cell>
          <cell r="I950" t="str">
            <v/>
          </cell>
          <cell r="J950" t="str">
            <v/>
          </cell>
          <cell r="K950" t="str">
            <v/>
          </cell>
          <cell r="L950" t="str">
            <v/>
          </cell>
          <cell r="M950" t="str">
            <v/>
          </cell>
        </row>
        <row r="952">
          <cell r="E952" t="str">
            <v>Нетно количество топлинна енергия, получена от пулп</v>
          </cell>
          <cell r="H952" t="str">
            <v>TJ / година</v>
          </cell>
          <cell r="I952" t="str">
            <v/>
          </cell>
          <cell r="J952" t="str">
            <v/>
          </cell>
          <cell r="K952" t="str">
            <v/>
          </cell>
          <cell r="L952" t="str">
            <v/>
          </cell>
          <cell r="M952" t="str">
            <v/>
          </cell>
        </row>
        <row r="953">
          <cell r="E953" t="str">
            <v>Нетно количество топлинна енергия, получена от подинсталации за азотна киселина</v>
          </cell>
          <cell r="H953" t="str">
            <v>TJ / година</v>
          </cell>
          <cell r="I953" t="str">
            <v/>
          </cell>
          <cell r="J953" t="str">
            <v/>
          </cell>
          <cell r="K953" t="str">
            <v/>
          </cell>
          <cell r="L953" t="str">
            <v/>
          </cell>
          <cell r="M953" t="str">
            <v/>
          </cell>
        </row>
        <row r="955">
          <cell r="E955" t="str">
            <v>Нетно количество подадена топлинна енергия</v>
          </cell>
          <cell r="H955" t="str">
            <v>TJ / година</v>
          </cell>
          <cell r="I955" t="str">
            <v/>
          </cell>
          <cell r="J955" t="str">
            <v/>
          </cell>
          <cell r="K955" t="str">
            <v/>
          </cell>
          <cell r="L955" t="str">
            <v/>
          </cell>
          <cell r="M955" t="str">
            <v/>
          </cell>
        </row>
        <row r="956">
          <cell r="E956" t="str">
            <v>Специфичен EF (подадена топлинна енергия)</v>
          </cell>
          <cell r="H956" t="str">
            <v>t CO2 / TJ</v>
          </cell>
          <cell r="I956" t="str">
            <v/>
          </cell>
          <cell r="J956" t="str">
            <v/>
          </cell>
          <cell r="K956" t="str">
            <v/>
          </cell>
          <cell r="L956" t="str">
            <v/>
          </cell>
          <cell r="M956" t="str">
            <v/>
          </cell>
        </row>
        <row r="958">
          <cell r="E958" t="str">
            <v>Произведен отпадъчен газ</v>
          </cell>
          <cell r="H958" t="str">
            <v>TJ / година</v>
          </cell>
          <cell r="I958" t="str">
            <v/>
          </cell>
          <cell r="J958" t="str">
            <v/>
          </cell>
          <cell r="K958" t="str">
            <v/>
          </cell>
          <cell r="L958" t="str">
            <v/>
          </cell>
          <cell r="M958" t="str">
            <v/>
          </cell>
        </row>
        <row r="959">
          <cell r="E959" t="str">
            <v>Специфичен EF (произведен отпадъчен газ)</v>
          </cell>
          <cell r="H959" t="str">
            <v>t CO2 / TJ</v>
          </cell>
          <cell r="I959" t="str">
            <v/>
          </cell>
          <cell r="J959" t="str">
            <v/>
          </cell>
          <cell r="K959" t="str">
            <v/>
          </cell>
          <cell r="L959" t="str">
            <v/>
          </cell>
          <cell r="M959" t="str">
            <v/>
          </cell>
        </row>
        <row r="960">
          <cell r="E960" t="str">
            <v>Консумиран отпадъчен газ</v>
          </cell>
          <cell r="H960" t="str">
            <v>TJ / година</v>
          </cell>
          <cell r="I960" t="str">
            <v/>
          </cell>
          <cell r="J960" t="str">
            <v/>
          </cell>
          <cell r="K960" t="str">
            <v/>
          </cell>
          <cell r="L960" t="str">
            <v/>
          </cell>
          <cell r="M960" t="str">
            <v/>
          </cell>
        </row>
        <row r="961">
          <cell r="E961" t="str">
            <v>Специфичен EF (консумиран отпадъчен газ)</v>
          </cell>
          <cell r="H961" t="str">
            <v>t CO2 / TJ</v>
          </cell>
          <cell r="I961" t="str">
            <v/>
          </cell>
          <cell r="J961" t="str">
            <v/>
          </cell>
          <cell r="K961" t="str">
            <v/>
          </cell>
          <cell r="L961" t="str">
            <v/>
          </cell>
          <cell r="M961" t="str">
            <v/>
          </cell>
        </row>
        <row r="962">
          <cell r="E962" t="str">
            <v>Изгорен във факел отпадъчен газ</v>
          </cell>
          <cell r="H962" t="str">
            <v>TJ / година</v>
          </cell>
          <cell r="I962" t="str">
            <v/>
          </cell>
          <cell r="J962" t="str">
            <v/>
          </cell>
          <cell r="K962" t="str">
            <v/>
          </cell>
          <cell r="L962" t="str">
            <v/>
          </cell>
          <cell r="M962" t="str">
            <v/>
          </cell>
        </row>
        <row r="963">
          <cell r="E963" t="str">
            <v>Специфичен EF (изгорен във факел отпадъчен газ)</v>
          </cell>
          <cell r="H963" t="str">
            <v>t CO2 / TJ</v>
          </cell>
          <cell r="I963" t="str">
            <v/>
          </cell>
          <cell r="J963" t="str">
            <v/>
          </cell>
          <cell r="K963" t="str">
            <v/>
          </cell>
          <cell r="L963" t="str">
            <v/>
          </cell>
          <cell r="M963" t="str">
            <v/>
          </cell>
        </row>
        <row r="964">
          <cell r="E964" t="str">
            <v>Получен отпадъчен газ</v>
          </cell>
          <cell r="H964" t="str">
            <v>TJ / година</v>
          </cell>
          <cell r="I964" t="str">
            <v/>
          </cell>
          <cell r="J964" t="str">
            <v/>
          </cell>
          <cell r="K964" t="str">
            <v/>
          </cell>
          <cell r="L964" t="str">
            <v/>
          </cell>
          <cell r="M964" t="str">
            <v/>
          </cell>
        </row>
        <row r="965">
          <cell r="E965" t="str">
            <v>Специфичен EF (получен отпадъчен газ)</v>
          </cell>
          <cell r="H965" t="str">
            <v>t CO2 / TJ</v>
          </cell>
          <cell r="I965" t="str">
            <v/>
          </cell>
          <cell r="J965" t="str">
            <v/>
          </cell>
          <cell r="K965" t="str">
            <v/>
          </cell>
          <cell r="L965" t="str">
            <v/>
          </cell>
          <cell r="M965" t="str">
            <v/>
          </cell>
        </row>
        <row r="966">
          <cell r="E966" t="str">
            <v>Подаден отпадъчен газ</v>
          </cell>
          <cell r="H966" t="str">
            <v>TJ / година</v>
          </cell>
          <cell r="I966" t="str">
            <v/>
          </cell>
          <cell r="J966" t="str">
            <v/>
          </cell>
          <cell r="K966" t="str">
            <v/>
          </cell>
          <cell r="L966" t="str">
            <v/>
          </cell>
          <cell r="M966" t="str">
            <v/>
          </cell>
        </row>
        <row r="967">
          <cell r="E967" t="str">
            <v>Специфичен EF (подаден отпадъчен газ)</v>
          </cell>
          <cell r="H967" t="str">
            <v>t CO2 / TJ</v>
          </cell>
          <cell r="I967" t="str">
            <v/>
          </cell>
          <cell r="J967" t="str">
            <v/>
          </cell>
          <cell r="K967" t="str">
            <v/>
          </cell>
          <cell r="L967" t="str">
            <v/>
          </cell>
          <cell r="M967" t="str">
            <v/>
          </cell>
        </row>
        <row r="969">
          <cell r="E969" t="str">
            <v>Произведена електроенергия</v>
          </cell>
          <cell r="H969" t="str">
            <v>MWh / година</v>
          </cell>
          <cell r="I969" t="str">
            <v/>
          </cell>
          <cell r="J969" t="str">
            <v/>
          </cell>
          <cell r="K969" t="str">
            <v/>
          </cell>
          <cell r="L969" t="str">
            <v/>
          </cell>
          <cell r="M969" t="str">
            <v/>
          </cell>
        </row>
        <row r="971">
          <cell r="E971" t="str">
            <v>Междинно получаване:</v>
          </cell>
        </row>
        <row r="972">
          <cell r="E972" t="str">
            <v/>
          </cell>
          <cell r="H972" t="str">
            <v>тона</v>
          </cell>
          <cell r="I972" t="str">
            <v/>
          </cell>
          <cell r="J972" t="str">
            <v/>
          </cell>
          <cell r="K972" t="str">
            <v/>
          </cell>
          <cell r="L972" t="str">
            <v/>
          </cell>
          <cell r="M972" t="str">
            <v/>
          </cell>
        </row>
        <row r="973">
          <cell r="E973" t="str">
            <v/>
          </cell>
          <cell r="H973" t="str">
            <v>тона</v>
          </cell>
          <cell r="I973" t="str">
            <v/>
          </cell>
          <cell r="J973" t="str">
            <v/>
          </cell>
          <cell r="K973" t="str">
            <v/>
          </cell>
          <cell r="L973" t="str">
            <v/>
          </cell>
          <cell r="M973" t="str">
            <v/>
          </cell>
        </row>
        <row r="974">
          <cell r="E974" t="str">
            <v>Междинно подаване:</v>
          </cell>
        </row>
        <row r="975">
          <cell r="E975" t="str">
            <v/>
          </cell>
          <cell r="H975" t="str">
            <v>тона</v>
          </cell>
          <cell r="I975" t="str">
            <v/>
          </cell>
          <cell r="J975" t="str">
            <v/>
          </cell>
          <cell r="K975" t="str">
            <v/>
          </cell>
          <cell r="L975" t="str">
            <v/>
          </cell>
          <cell r="M975" t="str">
            <v/>
          </cell>
        </row>
        <row r="976">
          <cell r="E976" t="str">
            <v/>
          </cell>
          <cell r="H976" t="str">
            <v>тона</v>
          </cell>
          <cell r="I976" t="str">
            <v/>
          </cell>
          <cell r="J976" t="str">
            <v/>
          </cell>
          <cell r="K976" t="str">
            <v/>
          </cell>
          <cell r="L976" t="str">
            <v/>
          </cell>
          <cell r="M976" t="str">
            <v/>
          </cell>
        </row>
        <row r="978">
          <cell r="E978" t="str">
            <v>Корекции за актуализиране на показателя при специфичен показател, когато е приложимо</v>
          </cell>
        </row>
        <row r="979">
          <cell r="E979" t="str">
            <v>Общо количество произведен пулп</v>
          </cell>
          <cell r="H979" t="str">
            <v>тона</v>
          </cell>
          <cell r="I979" t="str">
            <v/>
          </cell>
          <cell r="J979" t="str">
            <v/>
          </cell>
          <cell r="K979" t="str">
            <v/>
          </cell>
          <cell r="L979" t="str">
            <v/>
          </cell>
          <cell r="M979" t="str">
            <v/>
          </cell>
        </row>
        <row r="981">
          <cell r="E981" t="str">
            <v>Производство на водород (действително + теоретично)</v>
          </cell>
          <cell r="H981" t="str">
            <v>тона</v>
          </cell>
          <cell r="I981" t="str">
            <v/>
          </cell>
          <cell r="J981" t="str">
            <v/>
          </cell>
          <cell r="K981" t="str">
            <v/>
          </cell>
          <cell r="L981" t="str">
            <v/>
          </cell>
          <cell r="M981" t="str">
            <v/>
          </cell>
        </row>
        <row r="982">
          <cell r="E982" t="str">
            <v>Емисии във връзка с водород</v>
          </cell>
          <cell r="H982" t="str">
            <v>t CO2 / година</v>
          </cell>
          <cell r="I982" t="str">
            <v/>
          </cell>
          <cell r="J982" t="str">
            <v/>
          </cell>
          <cell r="K982" t="str">
            <v/>
          </cell>
          <cell r="L982" t="str">
            <v/>
          </cell>
          <cell r="M982" t="str">
            <v/>
          </cell>
        </row>
        <row r="984">
          <cell r="E984" t="str">
            <v>Корекция на емисиите във връзка с HVC</v>
          </cell>
          <cell r="H984" t="str">
            <v>t CO2 / година</v>
          </cell>
          <cell r="I984" t="str">
            <v/>
          </cell>
          <cell r="J984" t="str">
            <v/>
          </cell>
          <cell r="K984" t="str">
            <v/>
          </cell>
          <cell r="L984" t="str">
            <v/>
          </cell>
          <cell r="M984" t="str">
            <v/>
          </cell>
        </row>
        <row r="986">
          <cell r="E986" t="str">
            <v>Корекция на емисиите във връзка с VCM</v>
          </cell>
          <cell r="H986" t="str">
            <v>t CO2 / година</v>
          </cell>
          <cell r="I986" t="str">
            <v/>
          </cell>
          <cell r="J986" t="str">
            <v/>
          </cell>
          <cell r="K986" t="str">
            <v/>
          </cell>
          <cell r="L986" t="str">
            <v/>
          </cell>
          <cell r="M986" t="str">
            <v/>
          </cell>
        </row>
        <row r="990">
          <cell r="C990">
            <v>8</v>
          </cell>
          <cell r="D990" t="str">
            <v>Подинсталация с продуктов показател 8:</v>
          </cell>
          <cell r="I990" t="str">
            <v/>
          </cell>
        </row>
        <row r="992">
          <cell r="H992" t="str">
            <v>Риск от ИВЕ</v>
          </cell>
          <cell r="J992" t="str">
            <v>В/Е</v>
          </cell>
          <cell r="K992" t="str">
            <v>№ на п-л</v>
          </cell>
          <cell r="L992" t="str">
            <v>15(7).3?</v>
          </cell>
          <cell r="M992" t="str">
            <v>Стойност на показател (мин/макс/действ.)</v>
          </cell>
        </row>
        <row r="993">
          <cell r="E993" t="str">
            <v/>
          </cell>
          <cell r="H993" t="str">
            <v>Не е приложимо</v>
          </cell>
          <cell r="J993" t="str">
            <v>Не е приложимо</v>
          </cell>
          <cell r="K993" t="str">
            <v>Не е приложимо</v>
          </cell>
          <cell r="L993" t="str">
            <v/>
          </cell>
          <cell r="M993" t="str">
            <v>Не е приложимо</v>
          </cell>
          <cell r="N993" t="str">
            <v>Квота за емисии/тона</v>
          </cell>
        </row>
        <row r="994">
          <cell r="G994" t="str">
            <v>топл. ен. извън СТЕ</v>
          </cell>
          <cell r="H994" t="str">
            <v>CBAM</v>
          </cell>
          <cell r="I994" t="str">
            <v>WGflare</v>
          </cell>
          <cell r="J994" t="str">
            <v>HVC-Corr</v>
          </cell>
          <cell r="K994" t="str">
            <v>VCM-F</v>
          </cell>
          <cell r="M994" t="str">
            <v>Не е приложимо</v>
          </cell>
          <cell r="N994" t="str">
            <v>Квота за емисии/тона</v>
          </cell>
          <cell r="R994" t="str">
            <v>No. BM</v>
          </cell>
          <cell r="S994" t="str">
            <v>Не е приложимо</v>
          </cell>
        </row>
        <row r="995">
          <cell r="E995" t="str">
            <v>Специфични коефициенти:</v>
          </cell>
          <cell r="G995" t="str">
            <v/>
          </cell>
          <cell r="H995" t="str">
            <v>Не е приложимо</v>
          </cell>
          <cell r="I995" t="str">
            <v/>
          </cell>
          <cell r="J995" t="str">
            <v/>
          </cell>
          <cell r="K995" t="str">
            <v/>
          </cell>
          <cell r="M995" t="str">
            <v>Не е приложимо</v>
          </cell>
          <cell r="N995" t="str">
            <v>Квота за емисии/тона</v>
          </cell>
        </row>
        <row r="997">
          <cell r="H997" t="str">
            <v>Единица мярка</v>
          </cell>
          <cell r="I997">
            <v>2019</v>
          </cell>
          <cell r="J997">
            <v>2020</v>
          </cell>
          <cell r="K997">
            <v>2021</v>
          </cell>
          <cell r="L997">
            <v>2022</v>
          </cell>
          <cell r="M997">
            <v>2023</v>
          </cell>
        </row>
        <row r="998">
          <cell r="E998" t="str">
            <v>Отчетено HAL (историческо равнище на дейност)</v>
          </cell>
          <cell r="H998" t="str">
            <v>тона</v>
          </cell>
          <cell r="I998" t="str">
            <v/>
          </cell>
          <cell r="J998" t="str">
            <v/>
          </cell>
          <cell r="K998" t="str">
            <v/>
          </cell>
          <cell r="L998" t="str">
            <v/>
          </cell>
          <cell r="M998" t="str">
            <v/>
          </cell>
          <cell r="N998" t="str">
            <v>Median</v>
          </cell>
        </row>
        <row r="999">
          <cell r="E999" t="str">
            <v>Стойности, използвани за изчислението на HAL:</v>
          </cell>
          <cell r="H999" t="str">
            <v>тона</v>
          </cell>
          <cell r="I999" t="str">
            <v/>
          </cell>
          <cell r="J999" t="str">
            <v/>
          </cell>
          <cell r="K999" t="str">
            <v/>
          </cell>
          <cell r="L999" t="str">
            <v/>
          </cell>
          <cell r="M999" t="str">
            <v/>
          </cell>
          <cell r="N999" t="str">
            <v/>
          </cell>
        </row>
        <row r="1001">
          <cell r="E1001" t="str">
            <v>Съответно потребление на електроенергия</v>
          </cell>
          <cell r="H1001" t="str">
            <v>MWh / година</v>
          </cell>
          <cell r="I1001" t="str">
            <v/>
          </cell>
          <cell r="J1001" t="str">
            <v/>
          </cell>
          <cell r="K1001" t="str">
            <v/>
          </cell>
          <cell r="L1001" t="str">
            <v/>
          </cell>
          <cell r="M1001" t="str">
            <v/>
          </cell>
        </row>
        <row r="1003">
          <cell r="F1003" t="str">
            <v>Общо HAL</v>
          </cell>
          <cell r="I1003" t="str">
            <v>Предв. разпр. за год. 1 (мин)</v>
          </cell>
          <cell r="K1003" t="str">
            <v>Предв. разпр. за год. 1 (макс)</v>
          </cell>
          <cell r="M1003" t="str">
            <v>Предв. разпр. за год. 1 (действ.)</v>
          </cell>
        </row>
        <row r="1004">
          <cell r="F1004" t="str">
            <v/>
          </cell>
          <cell r="G1004" t="str">
            <v>тона / година</v>
          </cell>
          <cell r="I1004" t="str">
            <v/>
          </cell>
          <cell r="J1004" t="str">
            <v>Квота за емисии / година</v>
          </cell>
          <cell r="K1004" t="str">
            <v/>
          </cell>
          <cell r="L1004" t="str">
            <v>Квота за емисии / година</v>
          </cell>
          <cell r="M1004" t="str">
            <v/>
          </cell>
          <cell r="N1004" t="str">
            <v>Квота за емисии / година</v>
          </cell>
        </row>
        <row r="1007">
          <cell r="H1007" t="str">
            <v>Единица мярка</v>
          </cell>
          <cell r="I1007">
            <v>2019</v>
          </cell>
          <cell r="J1007">
            <v>2020</v>
          </cell>
          <cell r="K1007">
            <v>2021</v>
          </cell>
          <cell r="L1007">
            <v>2022</v>
          </cell>
          <cell r="M1007">
            <v>2023</v>
          </cell>
        </row>
        <row r="1008">
          <cell r="E1008" t="str">
            <v>Общо зададени емисии</v>
          </cell>
          <cell r="H1008" t="str">
            <v>t CO2e/година</v>
          </cell>
          <cell r="I1008" t="str">
            <v/>
          </cell>
          <cell r="J1008" t="str">
            <v/>
          </cell>
          <cell r="K1008" t="str">
            <v/>
          </cell>
          <cell r="L1008" t="str">
            <v/>
          </cell>
          <cell r="M1008" t="str">
            <v/>
          </cell>
        </row>
        <row r="1010">
          <cell r="E1010" t="str">
            <v>Обща вложена енергия</v>
          </cell>
          <cell r="H1010" t="str">
            <v>TJ / година</v>
          </cell>
          <cell r="I1010" t="str">
            <v/>
          </cell>
          <cell r="J1010" t="str">
            <v/>
          </cell>
          <cell r="K1010" t="str">
            <v/>
          </cell>
          <cell r="L1010" t="str">
            <v/>
          </cell>
          <cell r="M1010" t="str">
            <v/>
          </cell>
        </row>
        <row r="1011">
          <cell r="E1011" t="str">
            <v>Претеглен емисионен фактор</v>
          </cell>
          <cell r="H1011" t="str">
            <v>t CO2 / TJ</v>
          </cell>
          <cell r="I1011" t="str">
            <v/>
          </cell>
          <cell r="J1011" t="str">
            <v/>
          </cell>
          <cell r="K1011" t="str">
            <v/>
          </cell>
          <cell r="L1011" t="str">
            <v/>
          </cell>
          <cell r="M1011" t="str">
            <v/>
          </cell>
        </row>
        <row r="1013">
          <cell r="E1013" t="str">
            <v>Преки емисии</v>
          </cell>
          <cell r="H1013" t="str">
            <v>t CO2 / година</v>
          </cell>
          <cell r="I1013" t="str">
            <v/>
          </cell>
          <cell r="J1013" t="str">
            <v/>
          </cell>
          <cell r="K1013" t="str">
            <v/>
          </cell>
          <cell r="L1013" t="str">
            <v/>
          </cell>
          <cell r="M1013" t="str">
            <v/>
          </cell>
        </row>
        <row r="1014">
          <cell r="E1014" t="str">
            <v>Други потоци горива и материали пораждащи емисии — 1</v>
          </cell>
          <cell r="H1014" t="str">
            <v>t CO2 / година</v>
          </cell>
          <cell r="I1014" t="str">
            <v/>
          </cell>
          <cell r="J1014" t="str">
            <v/>
          </cell>
          <cell r="K1014" t="str">
            <v/>
          </cell>
          <cell r="L1014" t="str">
            <v/>
          </cell>
          <cell r="M1014" t="str">
            <v/>
          </cell>
        </row>
        <row r="1015">
          <cell r="E1015" t="str">
            <v>Други потоци горива и материали пораждащи емисии — 2</v>
          </cell>
          <cell r="H1015" t="str">
            <v>t CO2 / година</v>
          </cell>
          <cell r="I1015" t="str">
            <v/>
          </cell>
          <cell r="J1015" t="str">
            <v/>
          </cell>
          <cell r="K1015" t="str">
            <v/>
          </cell>
          <cell r="L1015" t="str">
            <v/>
          </cell>
          <cell r="M1015" t="str">
            <v/>
          </cell>
        </row>
        <row r="1016">
          <cell r="E1016" t="str">
            <v>Получени или подадени парникови газове</v>
          </cell>
          <cell r="H1016" t="str">
            <v>t CO2e/година</v>
          </cell>
          <cell r="I1016" t="str">
            <v/>
          </cell>
          <cell r="J1016" t="str">
            <v/>
          </cell>
          <cell r="K1016" t="str">
            <v/>
          </cell>
          <cell r="L1016" t="str">
            <v/>
          </cell>
          <cell r="M1016" t="str">
            <v/>
          </cell>
        </row>
        <row r="1018">
          <cell r="E1018" t="str">
            <v>Нетно количество получена топлинна енергия</v>
          </cell>
          <cell r="H1018" t="str">
            <v>TJ / година</v>
          </cell>
          <cell r="I1018" t="str">
            <v/>
          </cell>
          <cell r="J1018" t="str">
            <v/>
          </cell>
          <cell r="K1018" t="str">
            <v/>
          </cell>
          <cell r="L1018" t="str">
            <v/>
          </cell>
          <cell r="M1018" t="str">
            <v/>
          </cell>
        </row>
        <row r="1019">
          <cell r="E1019" t="str">
            <v>Специфичен EF (получена топлинна енергия)</v>
          </cell>
          <cell r="H1019" t="str">
            <v>t CO2 / TJ</v>
          </cell>
          <cell r="I1019" t="str">
            <v/>
          </cell>
          <cell r="J1019" t="str">
            <v/>
          </cell>
          <cell r="K1019" t="str">
            <v/>
          </cell>
          <cell r="L1019" t="str">
            <v/>
          </cell>
          <cell r="M1019" t="str">
            <v/>
          </cell>
        </row>
        <row r="1021">
          <cell r="E1021" t="str">
            <v>Нетно количество топлинна енергия, получена от пулп</v>
          </cell>
          <cell r="H1021" t="str">
            <v>TJ / година</v>
          </cell>
          <cell r="I1021" t="str">
            <v/>
          </cell>
          <cell r="J1021" t="str">
            <v/>
          </cell>
          <cell r="K1021" t="str">
            <v/>
          </cell>
          <cell r="L1021" t="str">
            <v/>
          </cell>
          <cell r="M1021" t="str">
            <v/>
          </cell>
        </row>
        <row r="1022">
          <cell r="E1022" t="str">
            <v>Нетно количество топлинна енергия, получена от подинсталации за азотна киселина</v>
          </cell>
          <cell r="H1022" t="str">
            <v>TJ / година</v>
          </cell>
          <cell r="I1022" t="str">
            <v/>
          </cell>
          <cell r="J1022" t="str">
            <v/>
          </cell>
          <cell r="K1022" t="str">
            <v/>
          </cell>
          <cell r="L1022" t="str">
            <v/>
          </cell>
          <cell r="M1022" t="str">
            <v/>
          </cell>
        </row>
        <row r="1024">
          <cell r="E1024" t="str">
            <v>Нетно количество подадена топлинна енергия</v>
          </cell>
          <cell r="H1024" t="str">
            <v>TJ / година</v>
          </cell>
          <cell r="I1024" t="str">
            <v/>
          </cell>
          <cell r="J1024" t="str">
            <v/>
          </cell>
          <cell r="K1024" t="str">
            <v/>
          </cell>
          <cell r="L1024" t="str">
            <v/>
          </cell>
          <cell r="M1024" t="str">
            <v/>
          </cell>
        </row>
        <row r="1025">
          <cell r="E1025" t="str">
            <v>Специфичен EF (подадена топлинна енергия)</v>
          </cell>
          <cell r="H1025" t="str">
            <v>t CO2 / TJ</v>
          </cell>
          <cell r="I1025" t="str">
            <v/>
          </cell>
          <cell r="J1025" t="str">
            <v/>
          </cell>
          <cell r="K1025" t="str">
            <v/>
          </cell>
          <cell r="L1025" t="str">
            <v/>
          </cell>
          <cell r="M1025" t="str">
            <v/>
          </cell>
        </row>
        <row r="1027">
          <cell r="E1027" t="str">
            <v>Произведен отпадъчен газ</v>
          </cell>
          <cell r="H1027" t="str">
            <v>TJ / година</v>
          </cell>
          <cell r="I1027" t="str">
            <v/>
          </cell>
          <cell r="J1027" t="str">
            <v/>
          </cell>
          <cell r="K1027" t="str">
            <v/>
          </cell>
          <cell r="L1027" t="str">
            <v/>
          </cell>
          <cell r="M1027" t="str">
            <v/>
          </cell>
        </row>
        <row r="1028">
          <cell r="E1028" t="str">
            <v>Специфичен EF (произведен отпадъчен газ)</v>
          </cell>
          <cell r="H1028" t="str">
            <v>t CO2 / TJ</v>
          </cell>
          <cell r="I1028" t="str">
            <v/>
          </cell>
          <cell r="J1028" t="str">
            <v/>
          </cell>
          <cell r="K1028" t="str">
            <v/>
          </cell>
          <cell r="L1028" t="str">
            <v/>
          </cell>
          <cell r="M1028" t="str">
            <v/>
          </cell>
        </row>
        <row r="1029">
          <cell r="E1029" t="str">
            <v>Консумиран отпадъчен газ</v>
          </cell>
          <cell r="H1029" t="str">
            <v>TJ / година</v>
          </cell>
          <cell r="I1029" t="str">
            <v/>
          </cell>
          <cell r="J1029" t="str">
            <v/>
          </cell>
          <cell r="K1029" t="str">
            <v/>
          </cell>
          <cell r="L1029" t="str">
            <v/>
          </cell>
          <cell r="M1029" t="str">
            <v/>
          </cell>
        </row>
        <row r="1030">
          <cell r="E1030" t="str">
            <v>Специфичен EF (консумиран отпадъчен газ)</v>
          </cell>
          <cell r="H1030" t="str">
            <v>t CO2 / TJ</v>
          </cell>
          <cell r="I1030" t="str">
            <v/>
          </cell>
          <cell r="J1030" t="str">
            <v/>
          </cell>
          <cell r="K1030" t="str">
            <v/>
          </cell>
          <cell r="L1030" t="str">
            <v/>
          </cell>
          <cell r="M1030" t="str">
            <v/>
          </cell>
        </row>
        <row r="1031">
          <cell r="E1031" t="str">
            <v>Изгорен във факел отпадъчен газ</v>
          </cell>
          <cell r="H1031" t="str">
            <v>TJ / година</v>
          </cell>
          <cell r="I1031" t="str">
            <v/>
          </cell>
          <cell r="J1031" t="str">
            <v/>
          </cell>
          <cell r="K1031" t="str">
            <v/>
          </cell>
          <cell r="L1031" t="str">
            <v/>
          </cell>
          <cell r="M1031" t="str">
            <v/>
          </cell>
        </row>
        <row r="1032">
          <cell r="E1032" t="str">
            <v>Специфичен EF (изгорен във факел отпадъчен газ)</v>
          </cell>
          <cell r="H1032" t="str">
            <v>t CO2 / TJ</v>
          </cell>
          <cell r="I1032" t="str">
            <v/>
          </cell>
          <cell r="J1032" t="str">
            <v/>
          </cell>
          <cell r="K1032" t="str">
            <v/>
          </cell>
          <cell r="L1032" t="str">
            <v/>
          </cell>
          <cell r="M1032" t="str">
            <v/>
          </cell>
        </row>
        <row r="1033">
          <cell r="E1033" t="str">
            <v>Получен отпадъчен газ</v>
          </cell>
          <cell r="H1033" t="str">
            <v>TJ / година</v>
          </cell>
          <cell r="I1033" t="str">
            <v/>
          </cell>
          <cell r="J1033" t="str">
            <v/>
          </cell>
          <cell r="K1033" t="str">
            <v/>
          </cell>
          <cell r="L1033" t="str">
            <v/>
          </cell>
          <cell r="M1033" t="str">
            <v/>
          </cell>
        </row>
        <row r="1034">
          <cell r="E1034" t="str">
            <v>Специфичен EF (получен отпадъчен газ)</v>
          </cell>
          <cell r="H1034" t="str">
            <v>t CO2 / TJ</v>
          </cell>
          <cell r="I1034" t="str">
            <v/>
          </cell>
          <cell r="J1034" t="str">
            <v/>
          </cell>
          <cell r="K1034" t="str">
            <v/>
          </cell>
          <cell r="L1034" t="str">
            <v/>
          </cell>
          <cell r="M1034" t="str">
            <v/>
          </cell>
        </row>
        <row r="1035">
          <cell r="E1035" t="str">
            <v>Подаден отпадъчен газ</v>
          </cell>
          <cell r="H1035" t="str">
            <v>TJ / година</v>
          </cell>
          <cell r="I1035" t="str">
            <v/>
          </cell>
          <cell r="J1035" t="str">
            <v/>
          </cell>
          <cell r="K1035" t="str">
            <v/>
          </cell>
          <cell r="L1035" t="str">
            <v/>
          </cell>
          <cell r="M1035" t="str">
            <v/>
          </cell>
        </row>
        <row r="1036">
          <cell r="E1036" t="str">
            <v>Специфичен EF (подаден отпадъчен газ)</v>
          </cell>
          <cell r="H1036" t="str">
            <v>t CO2 / TJ</v>
          </cell>
          <cell r="I1036" t="str">
            <v/>
          </cell>
          <cell r="J1036" t="str">
            <v/>
          </cell>
          <cell r="K1036" t="str">
            <v/>
          </cell>
          <cell r="L1036" t="str">
            <v/>
          </cell>
          <cell r="M1036" t="str">
            <v/>
          </cell>
        </row>
        <row r="1038">
          <cell r="E1038" t="str">
            <v>Произведена електроенергия</v>
          </cell>
          <cell r="H1038" t="str">
            <v>MWh / година</v>
          </cell>
          <cell r="I1038" t="str">
            <v/>
          </cell>
          <cell r="J1038" t="str">
            <v/>
          </cell>
          <cell r="K1038" t="str">
            <v/>
          </cell>
          <cell r="L1038" t="str">
            <v/>
          </cell>
          <cell r="M1038" t="str">
            <v/>
          </cell>
        </row>
        <row r="1040">
          <cell r="E1040" t="str">
            <v>Междинно получаване:</v>
          </cell>
        </row>
        <row r="1041">
          <cell r="E1041" t="str">
            <v/>
          </cell>
          <cell r="H1041" t="str">
            <v>тона</v>
          </cell>
          <cell r="I1041" t="str">
            <v/>
          </cell>
          <cell r="J1041" t="str">
            <v/>
          </cell>
          <cell r="K1041" t="str">
            <v/>
          </cell>
          <cell r="L1041" t="str">
            <v/>
          </cell>
          <cell r="M1041" t="str">
            <v/>
          </cell>
        </row>
        <row r="1042">
          <cell r="E1042" t="str">
            <v/>
          </cell>
          <cell r="H1042" t="str">
            <v>тона</v>
          </cell>
          <cell r="I1042" t="str">
            <v/>
          </cell>
          <cell r="J1042" t="str">
            <v/>
          </cell>
          <cell r="K1042" t="str">
            <v/>
          </cell>
          <cell r="L1042" t="str">
            <v/>
          </cell>
          <cell r="M1042" t="str">
            <v/>
          </cell>
        </row>
        <row r="1043">
          <cell r="E1043" t="str">
            <v>Междинно подаване:</v>
          </cell>
        </row>
        <row r="1044">
          <cell r="E1044" t="str">
            <v/>
          </cell>
          <cell r="H1044" t="str">
            <v>тона</v>
          </cell>
          <cell r="I1044" t="str">
            <v/>
          </cell>
          <cell r="J1044" t="str">
            <v/>
          </cell>
          <cell r="K1044" t="str">
            <v/>
          </cell>
          <cell r="L1044" t="str">
            <v/>
          </cell>
          <cell r="M1044" t="str">
            <v/>
          </cell>
        </row>
        <row r="1045">
          <cell r="E1045" t="str">
            <v/>
          </cell>
          <cell r="H1045" t="str">
            <v>тона</v>
          </cell>
          <cell r="I1045" t="str">
            <v/>
          </cell>
          <cell r="J1045" t="str">
            <v/>
          </cell>
          <cell r="K1045" t="str">
            <v/>
          </cell>
          <cell r="L1045" t="str">
            <v/>
          </cell>
          <cell r="M1045" t="str">
            <v/>
          </cell>
        </row>
        <row r="1047">
          <cell r="E1047" t="str">
            <v>Корекции за актуализиране на показателя при специфичен показател, когато е приложимо</v>
          </cell>
        </row>
        <row r="1048">
          <cell r="E1048" t="str">
            <v>Общо количество произведен пулп</v>
          </cell>
          <cell r="H1048" t="str">
            <v>тона</v>
          </cell>
          <cell r="I1048" t="str">
            <v/>
          </cell>
          <cell r="J1048" t="str">
            <v/>
          </cell>
          <cell r="K1048" t="str">
            <v/>
          </cell>
          <cell r="L1048" t="str">
            <v/>
          </cell>
          <cell r="M1048" t="str">
            <v/>
          </cell>
        </row>
        <row r="1050">
          <cell r="E1050" t="str">
            <v>Производство на водород (действително + теоретично)</v>
          </cell>
          <cell r="H1050" t="str">
            <v>тона</v>
          </cell>
          <cell r="I1050" t="str">
            <v/>
          </cell>
          <cell r="J1050" t="str">
            <v/>
          </cell>
          <cell r="K1050" t="str">
            <v/>
          </cell>
          <cell r="L1050" t="str">
            <v/>
          </cell>
          <cell r="M1050" t="str">
            <v/>
          </cell>
        </row>
        <row r="1051">
          <cell r="E1051" t="str">
            <v>Емисии във връзка с водород</v>
          </cell>
          <cell r="H1051" t="str">
            <v>t CO2 / година</v>
          </cell>
          <cell r="I1051" t="str">
            <v/>
          </cell>
          <cell r="J1051" t="str">
            <v/>
          </cell>
          <cell r="K1051" t="str">
            <v/>
          </cell>
          <cell r="L1051" t="str">
            <v/>
          </cell>
          <cell r="M1051" t="str">
            <v/>
          </cell>
        </row>
        <row r="1053">
          <cell r="E1053" t="str">
            <v>Корекция на емисиите във връзка с HVC</v>
          </cell>
          <cell r="H1053" t="str">
            <v>t CO2 / година</v>
          </cell>
          <cell r="I1053" t="str">
            <v/>
          </cell>
          <cell r="J1053" t="str">
            <v/>
          </cell>
          <cell r="K1053" t="str">
            <v/>
          </cell>
          <cell r="L1053" t="str">
            <v/>
          </cell>
          <cell r="M1053" t="str">
            <v/>
          </cell>
        </row>
        <row r="1055">
          <cell r="E1055" t="str">
            <v>Корекция на емисиите във връзка с VCM</v>
          </cell>
          <cell r="H1055" t="str">
            <v>t CO2 / година</v>
          </cell>
          <cell r="I1055" t="str">
            <v/>
          </cell>
          <cell r="J1055" t="str">
            <v/>
          </cell>
          <cell r="K1055" t="str">
            <v/>
          </cell>
          <cell r="L1055" t="str">
            <v/>
          </cell>
          <cell r="M1055" t="str">
            <v/>
          </cell>
        </row>
        <row r="1059">
          <cell r="C1059">
            <v>9</v>
          </cell>
          <cell r="D1059" t="str">
            <v>Подинсталация с продуктов показател 9:</v>
          </cell>
          <cell r="I1059" t="str">
            <v/>
          </cell>
        </row>
        <row r="1061">
          <cell r="H1061" t="str">
            <v>Риск от ИВЕ</v>
          </cell>
          <cell r="J1061" t="str">
            <v>В/Е</v>
          </cell>
          <cell r="K1061" t="str">
            <v>№ на п-л</v>
          </cell>
          <cell r="L1061" t="str">
            <v>15(7).3?</v>
          </cell>
          <cell r="M1061" t="str">
            <v>Стойност на показател (мин/макс/действ.)</v>
          </cell>
        </row>
        <row r="1062">
          <cell r="E1062" t="str">
            <v/>
          </cell>
          <cell r="H1062" t="str">
            <v>Не е приложимо</v>
          </cell>
          <cell r="J1062" t="str">
            <v>Не е приложимо</v>
          </cell>
          <cell r="K1062" t="str">
            <v>Не е приложимо</v>
          </cell>
          <cell r="L1062" t="str">
            <v/>
          </cell>
          <cell r="M1062" t="str">
            <v>Не е приложимо</v>
          </cell>
          <cell r="N1062" t="str">
            <v>Квота за емисии/тона</v>
          </cell>
        </row>
        <row r="1063">
          <cell r="G1063" t="str">
            <v>топл. ен. извън СТЕ</v>
          </cell>
          <cell r="H1063" t="str">
            <v>CBAM</v>
          </cell>
          <cell r="I1063" t="str">
            <v>WGflare</v>
          </cell>
          <cell r="J1063" t="str">
            <v>HVC-Corr</v>
          </cell>
          <cell r="K1063" t="str">
            <v>VCM-F</v>
          </cell>
          <cell r="M1063" t="str">
            <v>Не е приложимо</v>
          </cell>
          <cell r="N1063" t="str">
            <v>Квота за емисии/тона</v>
          </cell>
          <cell r="R1063" t="str">
            <v>No. BM</v>
          </cell>
          <cell r="S1063" t="str">
            <v>Не е приложимо</v>
          </cell>
        </row>
        <row r="1064">
          <cell r="E1064" t="str">
            <v>Специфични коефициенти:</v>
          </cell>
          <cell r="G1064" t="str">
            <v/>
          </cell>
          <cell r="H1064" t="str">
            <v>Не е приложимо</v>
          </cell>
          <cell r="I1064" t="str">
            <v/>
          </cell>
          <cell r="J1064" t="str">
            <v/>
          </cell>
          <cell r="K1064" t="str">
            <v/>
          </cell>
          <cell r="M1064" t="str">
            <v>Не е приложимо</v>
          </cell>
          <cell r="N1064" t="str">
            <v>Квота за емисии/тона</v>
          </cell>
        </row>
        <row r="1066">
          <cell r="H1066" t="str">
            <v>Единица мярка</v>
          </cell>
          <cell r="I1066">
            <v>2019</v>
          </cell>
          <cell r="J1066">
            <v>2020</v>
          </cell>
          <cell r="K1066">
            <v>2021</v>
          </cell>
          <cell r="L1066">
            <v>2022</v>
          </cell>
          <cell r="M1066">
            <v>2023</v>
          </cell>
        </row>
        <row r="1067">
          <cell r="E1067" t="str">
            <v>Отчетено HAL (историческо равнище на дейност)</v>
          </cell>
          <cell r="H1067" t="str">
            <v>тона</v>
          </cell>
          <cell r="I1067" t="str">
            <v/>
          </cell>
          <cell r="J1067" t="str">
            <v/>
          </cell>
          <cell r="K1067" t="str">
            <v/>
          </cell>
          <cell r="L1067" t="str">
            <v/>
          </cell>
          <cell r="M1067" t="str">
            <v/>
          </cell>
          <cell r="N1067" t="str">
            <v>Median</v>
          </cell>
        </row>
        <row r="1068">
          <cell r="E1068" t="str">
            <v>Стойности, използвани за изчислението на HAL:</v>
          </cell>
          <cell r="H1068" t="str">
            <v>тона</v>
          </cell>
          <cell r="I1068" t="str">
            <v/>
          </cell>
          <cell r="J1068" t="str">
            <v/>
          </cell>
          <cell r="K1068" t="str">
            <v/>
          </cell>
          <cell r="L1068" t="str">
            <v/>
          </cell>
          <cell r="M1068" t="str">
            <v/>
          </cell>
          <cell r="N1068" t="str">
            <v/>
          </cell>
        </row>
        <row r="1070">
          <cell r="E1070" t="str">
            <v>Съответно потребление на електроенергия</v>
          </cell>
          <cell r="H1070" t="str">
            <v>MWh / година</v>
          </cell>
          <cell r="I1070" t="str">
            <v/>
          </cell>
          <cell r="J1070" t="str">
            <v/>
          </cell>
          <cell r="K1070" t="str">
            <v/>
          </cell>
          <cell r="L1070" t="str">
            <v/>
          </cell>
          <cell r="M1070" t="str">
            <v/>
          </cell>
        </row>
        <row r="1072">
          <cell r="F1072" t="str">
            <v>Общо HAL</v>
          </cell>
          <cell r="I1072" t="str">
            <v>Предв. разпр. за год. 1 (мин)</v>
          </cell>
          <cell r="K1072" t="str">
            <v>Предв. разпр. за год. 1 (макс)</v>
          </cell>
          <cell r="M1072" t="str">
            <v>Предв. разпр. за год. 1 (действ.)</v>
          </cell>
        </row>
        <row r="1073">
          <cell r="F1073" t="str">
            <v/>
          </cell>
          <cell r="G1073" t="str">
            <v>тона / година</v>
          </cell>
          <cell r="I1073" t="str">
            <v/>
          </cell>
          <cell r="J1073" t="str">
            <v>Квота за емисии / година</v>
          </cell>
          <cell r="K1073" t="str">
            <v/>
          </cell>
          <cell r="L1073" t="str">
            <v>Квота за емисии / година</v>
          </cell>
          <cell r="M1073" t="str">
            <v/>
          </cell>
          <cell r="N1073" t="str">
            <v>Квота за емисии / година</v>
          </cell>
        </row>
        <row r="1076">
          <cell r="H1076" t="str">
            <v>Единица мярка</v>
          </cell>
          <cell r="I1076">
            <v>2019</v>
          </cell>
          <cell r="J1076">
            <v>2020</v>
          </cell>
          <cell r="K1076">
            <v>2021</v>
          </cell>
          <cell r="L1076">
            <v>2022</v>
          </cell>
          <cell r="M1076">
            <v>2023</v>
          </cell>
        </row>
        <row r="1077">
          <cell r="E1077" t="str">
            <v>Общо зададени емисии</v>
          </cell>
          <cell r="H1077" t="str">
            <v>t CO2e/година</v>
          </cell>
          <cell r="I1077" t="str">
            <v/>
          </cell>
          <cell r="J1077" t="str">
            <v/>
          </cell>
          <cell r="K1077" t="str">
            <v/>
          </cell>
          <cell r="L1077" t="str">
            <v/>
          </cell>
          <cell r="M1077" t="str">
            <v/>
          </cell>
        </row>
        <row r="1079">
          <cell r="E1079" t="str">
            <v>Обща вложена енергия</v>
          </cell>
          <cell r="H1079" t="str">
            <v>TJ / година</v>
          </cell>
          <cell r="I1079" t="str">
            <v/>
          </cell>
          <cell r="J1079" t="str">
            <v/>
          </cell>
          <cell r="K1079" t="str">
            <v/>
          </cell>
          <cell r="L1079" t="str">
            <v/>
          </cell>
          <cell r="M1079" t="str">
            <v/>
          </cell>
        </row>
        <row r="1080">
          <cell r="E1080" t="str">
            <v>Претеглен емисионен фактор</v>
          </cell>
          <cell r="H1080" t="str">
            <v>t CO2 / TJ</v>
          </cell>
          <cell r="I1080" t="str">
            <v/>
          </cell>
          <cell r="J1080" t="str">
            <v/>
          </cell>
          <cell r="K1080" t="str">
            <v/>
          </cell>
          <cell r="L1080" t="str">
            <v/>
          </cell>
          <cell r="M1080" t="str">
            <v/>
          </cell>
        </row>
        <row r="1082">
          <cell r="E1082" t="str">
            <v>Преки емисии</v>
          </cell>
          <cell r="H1082" t="str">
            <v>t CO2 / година</v>
          </cell>
          <cell r="I1082" t="str">
            <v/>
          </cell>
          <cell r="J1082" t="str">
            <v/>
          </cell>
          <cell r="K1082" t="str">
            <v/>
          </cell>
          <cell r="L1082" t="str">
            <v/>
          </cell>
          <cell r="M1082" t="str">
            <v/>
          </cell>
        </row>
        <row r="1083">
          <cell r="E1083" t="str">
            <v>Други потоци горива и материали пораждащи емисии — 1</v>
          </cell>
          <cell r="H1083" t="str">
            <v>t CO2 / година</v>
          </cell>
          <cell r="I1083" t="str">
            <v/>
          </cell>
          <cell r="J1083" t="str">
            <v/>
          </cell>
          <cell r="K1083" t="str">
            <v/>
          </cell>
          <cell r="L1083" t="str">
            <v/>
          </cell>
          <cell r="M1083" t="str">
            <v/>
          </cell>
        </row>
        <row r="1084">
          <cell r="E1084" t="str">
            <v>Други потоци горива и материали пораждащи емисии — 2</v>
          </cell>
          <cell r="H1084" t="str">
            <v>t CO2 / година</v>
          </cell>
          <cell r="I1084" t="str">
            <v/>
          </cell>
          <cell r="J1084" t="str">
            <v/>
          </cell>
          <cell r="K1084" t="str">
            <v/>
          </cell>
          <cell r="L1084" t="str">
            <v/>
          </cell>
          <cell r="M1084" t="str">
            <v/>
          </cell>
        </row>
        <row r="1085">
          <cell r="E1085" t="str">
            <v>Получени или подадени парникови газове</v>
          </cell>
          <cell r="H1085" t="str">
            <v>t CO2e/година</v>
          </cell>
          <cell r="I1085" t="str">
            <v/>
          </cell>
          <cell r="J1085" t="str">
            <v/>
          </cell>
          <cell r="K1085" t="str">
            <v/>
          </cell>
          <cell r="L1085" t="str">
            <v/>
          </cell>
          <cell r="M1085" t="str">
            <v/>
          </cell>
        </row>
        <row r="1087">
          <cell r="E1087" t="str">
            <v>Нетно количество получена топлинна енергия</v>
          </cell>
          <cell r="H1087" t="str">
            <v>TJ / година</v>
          </cell>
          <cell r="I1087" t="str">
            <v/>
          </cell>
          <cell r="J1087" t="str">
            <v/>
          </cell>
          <cell r="K1087" t="str">
            <v/>
          </cell>
          <cell r="L1087" t="str">
            <v/>
          </cell>
          <cell r="M1087" t="str">
            <v/>
          </cell>
        </row>
        <row r="1088">
          <cell r="E1088" t="str">
            <v>Специфичен EF (получена топлинна енергия)</v>
          </cell>
          <cell r="H1088" t="str">
            <v>t CO2 / TJ</v>
          </cell>
          <cell r="I1088" t="str">
            <v/>
          </cell>
          <cell r="J1088" t="str">
            <v/>
          </cell>
          <cell r="K1088" t="str">
            <v/>
          </cell>
          <cell r="L1088" t="str">
            <v/>
          </cell>
          <cell r="M1088" t="str">
            <v/>
          </cell>
        </row>
        <row r="1090">
          <cell r="E1090" t="str">
            <v>Нетно количество топлинна енергия, получена от пулп</v>
          </cell>
          <cell r="H1090" t="str">
            <v>TJ / година</v>
          </cell>
          <cell r="I1090" t="str">
            <v/>
          </cell>
          <cell r="J1090" t="str">
            <v/>
          </cell>
          <cell r="K1090" t="str">
            <v/>
          </cell>
          <cell r="L1090" t="str">
            <v/>
          </cell>
          <cell r="M1090" t="str">
            <v/>
          </cell>
        </row>
        <row r="1091">
          <cell r="E1091" t="str">
            <v>Нетно количество топлинна енергия, получена от подинсталации за азотна киселина</v>
          </cell>
          <cell r="H1091" t="str">
            <v>TJ / година</v>
          </cell>
          <cell r="I1091" t="str">
            <v/>
          </cell>
          <cell r="J1091" t="str">
            <v/>
          </cell>
          <cell r="K1091" t="str">
            <v/>
          </cell>
          <cell r="L1091" t="str">
            <v/>
          </cell>
          <cell r="M1091" t="str">
            <v/>
          </cell>
        </row>
        <row r="1093">
          <cell r="E1093" t="str">
            <v>Нетно количество подадена топлинна енергия</v>
          </cell>
          <cell r="H1093" t="str">
            <v>TJ / година</v>
          </cell>
          <cell r="I1093" t="str">
            <v/>
          </cell>
          <cell r="J1093" t="str">
            <v/>
          </cell>
          <cell r="K1093" t="str">
            <v/>
          </cell>
          <cell r="L1093" t="str">
            <v/>
          </cell>
          <cell r="M1093" t="str">
            <v/>
          </cell>
        </row>
        <row r="1094">
          <cell r="E1094" t="str">
            <v>Специфичен EF (подадена топлинна енергия)</v>
          </cell>
          <cell r="H1094" t="str">
            <v>t CO2 / TJ</v>
          </cell>
          <cell r="I1094" t="str">
            <v/>
          </cell>
          <cell r="J1094" t="str">
            <v/>
          </cell>
          <cell r="K1094" t="str">
            <v/>
          </cell>
          <cell r="L1094" t="str">
            <v/>
          </cell>
          <cell r="M1094" t="str">
            <v/>
          </cell>
        </row>
        <row r="1096">
          <cell r="E1096" t="str">
            <v>Произведен отпадъчен газ</v>
          </cell>
          <cell r="H1096" t="str">
            <v>TJ / година</v>
          </cell>
          <cell r="I1096" t="str">
            <v/>
          </cell>
          <cell r="J1096" t="str">
            <v/>
          </cell>
          <cell r="K1096" t="str">
            <v/>
          </cell>
          <cell r="L1096" t="str">
            <v/>
          </cell>
          <cell r="M1096" t="str">
            <v/>
          </cell>
        </row>
        <row r="1097">
          <cell r="E1097" t="str">
            <v>Специфичен EF (произведен отпадъчен газ)</v>
          </cell>
          <cell r="H1097" t="str">
            <v>t CO2 / TJ</v>
          </cell>
          <cell r="I1097" t="str">
            <v/>
          </cell>
          <cell r="J1097" t="str">
            <v/>
          </cell>
          <cell r="K1097" t="str">
            <v/>
          </cell>
          <cell r="L1097" t="str">
            <v/>
          </cell>
          <cell r="M1097" t="str">
            <v/>
          </cell>
        </row>
        <row r="1098">
          <cell r="E1098" t="str">
            <v>Консумиран отпадъчен газ</v>
          </cell>
          <cell r="H1098" t="str">
            <v>TJ / година</v>
          </cell>
          <cell r="I1098" t="str">
            <v/>
          </cell>
          <cell r="J1098" t="str">
            <v/>
          </cell>
          <cell r="K1098" t="str">
            <v/>
          </cell>
          <cell r="L1098" t="str">
            <v/>
          </cell>
          <cell r="M1098" t="str">
            <v/>
          </cell>
        </row>
        <row r="1099">
          <cell r="E1099" t="str">
            <v>Специфичен EF (консумиран отпадъчен газ)</v>
          </cell>
          <cell r="H1099" t="str">
            <v>t CO2 / TJ</v>
          </cell>
          <cell r="I1099" t="str">
            <v/>
          </cell>
          <cell r="J1099" t="str">
            <v/>
          </cell>
          <cell r="K1099" t="str">
            <v/>
          </cell>
          <cell r="L1099" t="str">
            <v/>
          </cell>
          <cell r="M1099" t="str">
            <v/>
          </cell>
        </row>
        <row r="1100">
          <cell r="E1100" t="str">
            <v>Изгорен във факел отпадъчен газ</v>
          </cell>
          <cell r="H1100" t="str">
            <v>TJ / година</v>
          </cell>
          <cell r="I1100" t="str">
            <v/>
          </cell>
          <cell r="J1100" t="str">
            <v/>
          </cell>
          <cell r="K1100" t="str">
            <v/>
          </cell>
          <cell r="L1100" t="str">
            <v/>
          </cell>
          <cell r="M1100" t="str">
            <v/>
          </cell>
        </row>
        <row r="1101">
          <cell r="E1101" t="str">
            <v>Специфичен EF (изгорен във факел отпадъчен газ)</v>
          </cell>
          <cell r="H1101" t="str">
            <v>t CO2 / TJ</v>
          </cell>
          <cell r="I1101" t="str">
            <v/>
          </cell>
          <cell r="J1101" t="str">
            <v/>
          </cell>
          <cell r="K1101" t="str">
            <v/>
          </cell>
          <cell r="L1101" t="str">
            <v/>
          </cell>
          <cell r="M1101" t="str">
            <v/>
          </cell>
        </row>
        <row r="1102">
          <cell r="E1102" t="str">
            <v>Получен отпадъчен газ</v>
          </cell>
          <cell r="H1102" t="str">
            <v>TJ / година</v>
          </cell>
          <cell r="I1102" t="str">
            <v/>
          </cell>
          <cell r="J1102" t="str">
            <v/>
          </cell>
          <cell r="K1102" t="str">
            <v/>
          </cell>
          <cell r="L1102" t="str">
            <v/>
          </cell>
          <cell r="M1102" t="str">
            <v/>
          </cell>
        </row>
        <row r="1103">
          <cell r="E1103" t="str">
            <v>Специфичен EF (получен отпадъчен газ)</v>
          </cell>
          <cell r="H1103" t="str">
            <v>t CO2 / TJ</v>
          </cell>
          <cell r="I1103" t="str">
            <v/>
          </cell>
          <cell r="J1103" t="str">
            <v/>
          </cell>
          <cell r="K1103" t="str">
            <v/>
          </cell>
          <cell r="L1103" t="str">
            <v/>
          </cell>
          <cell r="M1103" t="str">
            <v/>
          </cell>
        </row>
        <row r="1104">
          <cell r="E1104" t="str">
            <v>Подаден отпадъчен газ</v>
          </cell>
          <cell r="H1104" t="str">
            <v>TJ / година</v>
          </cell>
          <cell r="I1104" t="str">
            <v/>
          </cell>
          <cell r="J1104" t="str">
            <v/>
          </cell>
          <cell r="K1104" t="str">
            <v/>
          </cell>
          <cell r="L1104" t="str">
            <v/>
          </cell>
          <cell r="M1104" t="str">
            <v/>
          </cell>
        </row>
        <row r="1105">
          <cell r="E1105" t="str">
            <v>Специфичен EF (подаден отпадъчен газ)</v>
          </cell>
          <cell r="H1105" t="str">
            <v>t CO2 / TJ</v>
          </cell>
          <cell r="I1105" t="str">
            <v/>
          </cell>
          <cell r="J1105" t="str">
            <v/>
          </cell>
          <cell r="K1105" t="str">
            <v/>
          </cell>
          <cell r="L1105" t="str">
            <v/>
          </cell>
          <cell r="M1105" t="str">
            <v/>
          </cell>
        </row>
        <row r="1107">
          <cell r="E1107" t="str">
            <v>Произведена електроенергия</v>
          </cell>
          <cell r="H1107" t="str">
            <v>MWh / година</v>
          </cell>
          <cell r="I1107" t="str">
            <v/>
          </cell>
          <cell r="J1107" t="str">
            <v/>
          </cell>
          <cell r="K1107" t="str">
            <v/>
          </cell>
          <cell r="L1107" t="str">
            <v/>
          </cell>
          <cell r="M1107" t="str">
            <v/>
          </cell>
        </row>
        <row r="1109">
          <cell r="E1109" t="str">
            <v>Междинно получаване:</v>
          </cell>
        </row>
        <row r="1110">
          <cell r="E1110" t="str">
            <v/>
          </cell>
          <cell r="H1110" t="str">
            <v>тона</v>
          </cell>
          <cell r="I1110" t="str">
            <v/>
          </cell>
          <cell r="J1110" t="str">
            <v/>
          </cell>
          <cell r="K1110" t="str">
            <v/>
          </cell>
          <cell r="L1110" t="str">
            <v/>
          </cell>
          <cell r="M1110" t="str">
            <v/>
          </cell>
        </row>
        <row r="1111">
          <cell r="E1111" t="str">
            <v/>
          </cell>
          <cell r="H1111" t="str">
            <v>тона</v>
          </cell>
          <cell r="I1111" t="str">
            <v/>
          </cell>
          <cell r="J1111" t="str">
            <v/>
          </cell>
          <cell r="K1111" t="str">
            <v/>
          </cell>
          <cell r="L1111" t="str">
            <v/>
          </cell>
          <cell r="M1111" t="str">
            <v/>
          </cell>
        </row>
        <row r="1112">
          <cell r="E1112" t="str">
            <v>Междинно подаване:</v>
          </cell>
        </row>
        <row r="1113">
          <cell r="E1113" t="str">
            <v/>
          </cell>
          <cell r="H1113" t="str">
            <v>тона</v>
          </cell>
          <cell r="I1113" t="str">
            <v/>
          </cell>
          <cell r="J1113" t="str">
            <v/>
          </cell>
          <cell r="K1113" t="str">
            <v/>
          </cell>
          <cell r="L1113" t="str">
            <v/>
          </cell>
          <cell r="M1113" t="str">
            <v/>
          </cell>
        </row>
        <row r="1114">
          <cell r="E1114" t="str">
            <v/>
          </cell>
          <cell r="H1114" t="str">
            <v>тона</v>
          </cell>
          <cell r="I1114" t="str">
            <v/>
          </cell>
          <cell r="J1114" t="str">
            <v/>
          </cell>
          <cell r="K1114" t="str">
            <v/>
          </cell>
          <cell r="L1114" t="str">
            <v/>
          </cell>
          <cell r="M1114" t="str">
            <v/>
          </cell>
        </row>
        <row r="1116">
          <cell r="E1116" t="str">
            <v>Корекции за актуализиране на показателя при специфичен показател, когато е приложимо</v>
          </cell>
        </row>
        <row r="1117">
          <cell r="E1117" t="str">
            <v>Общо количество произведен пулп</v>
          </cell>
          <cell r="H1117" t="str">
            <v>тона</v>
          </cell>
          <cell r="I1117" t="str">
            <v/>
          </cell>
          <cell r="J1117" t="str">
            <v/>
          </cell>
          <cell r="K1117" t="str">
            <v/>
          </cell>
          <cell r="L1117" t="str">
            <v/>
          </cell>
          <cell r="M1117" t="str">
            <v/>
          </cell>
        </row>
        <row r="1119">
          <cell r="E1119" t="str">
            <v>Производство на водород (действително + теоретично)</v>
          </cell>
          <cell r="H1119" t="str">
            <v>тона</v>
          </cell>
          <cell r="I1119" t="str">
            <v/>
          </cell>
          <cell r="J1119" t="str">
            <v/>
          </cell>
          <cell r="K1119" t="str">
            <v/>
          </cell>
          <cell r="L1119" t="str">
            <v/>
          </cell>
          <cell r="M1119" t="str">
            <v/>
          </cell>
        </row>
        <row r="1120">
          <cell r="E1120" t="str">
            <v>Емисии във връзка с водород</v>
          </cell>
          <cell r="H1120" t="str">
            <v>t CO2 / година</v>
          </cell>
          <cell r="I1120" t="str">
            <v/>
          </cell>
          <cell r="J1120" t="str">
            <v/>
          </cell>
          <cell r="K1120" t="str">
            <v/>
          </cell>
          <cell r="L1120" t="str">
            <v/>
          </cell>
          <cell r="M1120" t="str">
            <v/>
          </cell>
        </row>
        <row r="1122">
          <cell r="E1122" t="str">
            <v>Корекция на емисиите във връзка с HVC</v>
          </cell>
          <cell r="H1122" t="str">
            <v>t CO2 / година</v>
          </cell>
          <cell r="I1122" t="str">
            <v/>
          </cell>
          <cell r="J1122" t="str">
            <v/>
          </cell>
          <cell r="K1122" t="str">
            <v/>
          </cell>
          <cell r="L1122" t="str">
            <v/>
          </cell>
          <cell r="M1122" t="str">
            <v/>
          </cell>
        </row>
        <row r="1124">
          <cell r="E1124" t="str">
            <v>Корекция на емисиите във връзка с VCM</v>
          </cell>
          <cell r="H1124" t="str">
            <v>t CO2 / година</v>
          </cell>
          <cell r="I1124" t="str">
            <v/>
          </cell>
          <cell r="J1124" t="str">
            <v/>
          </cell>
          <cell r="K1124" t="str">
            <v/>
          </cell>
          <cell r="L1124" t="str">
            <v/>
          </cell>
          <cell r="M1124" t="str">
            <v/>
          </cell>
        </row>
        <row r="1128">
          <cell r="C1128">
            <v>10</v>
          </cell>
          <cell r="D1128" t="str">
            <v>Подинсталация с продуктов показател 10:</v>
          </cell>
          <cell r="I1128" t="str">
            <v/>
          </cell>
        </row>
        <row r="1130">
          <cell r="H1130" t="str">
            <v>Риск от ИВЕ</v>
          </cell>
          <cell r="J1130" t="str">
            <v>В/Е</v>
          </cell>
          <cell r="K1130" t="str">
            <v>№ на п-л</v>
          </cell>
          <cell r="L1130" t="str">
            <v>15(7).3?</v>
          </cell>
          <cell r="M1130" t="str">
            <v>Стойност на показател (мин/макс/действ.)</v>
          </cell>
        </row>
        <row r="1131">
          <cell r="E1131" t="str">
            <v/>
          </cell>
          <cell r="H1131" t="str">
            <v>Не е приложимо</v>
          </cell>
          <cell r="J1131" t="str">
            <v>Не е приложимо</v>
          </cell>
          <cell r="K1131" t="str">
            <v>Не е приложимо</v>
          </cell>
          <cell r="L1131" t="str">
            <v/>
          </cell>
          <cell r="M1131" t="str">
            <v>Не е приложимо</v>
          </cell>
          <cell r="N1131" t="str">
            <v>Квота за емисии/тона</v>
          </cell>
        </row>
        <row r="1132">
          <cell r="G1132" t="str">
            <v>топл. ен. извън СТЕ</v>
          </cell>
          <cell r="H1132" t="str">
            <v>CBAM</v>
          </cell>
          <cell r="I1132" t="str">
            <v>WGflare</v>
          </cell>
          <cell r="J1132" t="str">
            <v>HVC-Corr</v>
          </cell>
          <cell r="K1132" t="str">
            <v>VCM-F</v>
          </cell>
          <cell r="M1132" t="str">
            <v>Не е приложимо</v>
          </cell>
          <cell r="N1132" t="str">
            <v>Квота за емисии/тона</v>
          </cell>
          <cell r="R1132" t="str">
            <v>No. BM</v>
          </cell>
          <cell r="S1132" t="str">
            <v>Не е приложимо</v>
          </cell>
        </row>
        <row r="1133">
          <cell r="E1133" t="str">
            <v>Специфични коефициенти:</v>
          </cell>
          <cell r="G1133" t="str">
            <v/>
          </cell>
          <cell r="H1133" t="str">
            <v>Не е приложимо</v>
          </cell>
          <cell r="I1133" t="str">
            <v/>
          </cell>
          <cell r="J1133" t="str">
            <v/>
          </cell>
          <cell r="K1133" t="str">
            <v/>
          </cell>
          <cell r="M1133" t="str">
            <v>Не е приложимо</v>
          </cell>
          <cell r="N1133" t="str">
            <v>Квота за емисии/тона</v>
          </cell>
        </row>
        <row r="1135">
          <cell r="H1135" t="str">
            <v>Единица мярка</v>
          </cell>
          <cell r="I1135">
            <v>2019</v>
          </cell>
          <cell r="J1135">
            <v>2020</v>
          </cell>
          <cell r="K1135">
            <v>2021</v>
          </cell>
          <cell r="L1135">
            <v>2022</v>
          </cell>
          <cell r="M1135">
            <v>2023</v>
          </cell>
        </row>
        <row r="1136">
          <cell r="E1136" t="str">
            <v>Отчетено HAL (историческо равнище на дейност)</v>
          </cell>
          <cell r="H1136" t="str">
            <v>тона</v>
          </cell>
          <cell r="I1136" t="str">
            <v/>
          </cell>
          <cell r="J1136" t="str">
            <v/>
          </cell>
          <cell r="K1136" t="str">
            <v/>
          </cell>
          <cell r="L1136" t="str">
            <v/>
          </cell>
          <cell r="M1136" t="str">
            <v/>
          </cell>
          <cell r="N1136" t="str">
            <v>Median</v>
          </cell>
        </row>
        <row r="1137">
          <cell r="E1137" t="str">
            <v>Стойности, използвани за изчислението на HAL:</v>
          </cell>
          <cell r="H1137" t="str">
            <v>тона</v>
          </cell>
          <cell r="I1137" t="str">
            <v/>
          </cell>
          <cell r="J1137" t="str">
            <v/>
          </cell>
          <cell r="K1137" t="str">
            <v/>
          </cell>
          <cell r="L1137" t="str">
            <v/>
          </cell>
          <cell r="M1137" t="str">
            <v/>
          </cell>
          <cell r="N1137" t="str">
            <v/>
          </cell>
        </row>
        <row r="1139">
          <cell r="E1139" t="str">
            <v>Съответно потребление на електроенергия</v>
          </cell>
          <cell r="H1139" t="str">
            <v>MWh / година</v>
          </cell>
          <cell r="I1139" t="str">
            <v/>
          </cell>
          <cell r="J1139" t="str">
            <v/>
          </cell>
          <cell r="K1139" t="str">
            <v/>
          </cell>
          <cell r="L1139" t="str">
            <v/>
          </cell>
          <cell r="M1139" t="str">
            <v/>
          </cell>
        </row>
        <row r="1141">
          <cell r="F1141" t="str">
            <v>Общо HAL</v>
          </cell>
          <cell r="I1141" t="str">
            <v>Предв. разпр. за год. 1 (мин)</v>
          </cell>
          <cell r="K1141" t="str">
            <v>Предв. разпр. за год. 1 (макс)</v>
          </cell>
          <cell r="M1141" t="str">
            <v>Предв. разпр. за год. 1 (действ.)</v>
          </cell>
        </row>
        <row r="1142">
          <cell r="F1142" t="str">
            <v/>
          </cell>
          <cell r="G1142" t="str">
            <v>тона / година</v>
          </cell>
          <cell r="I1142" t="str">
            <v/>
          </cell>
          <cell r="J1142" t="str">
            <v>Квота за емисии / година</v>
          </cell>
          <cell r="K1142" t="str">
            <v/>
          </cell>
          <cell r="L1142" t="str">
            <v>Квота за емисии / година</v>
          </cell>
          <cell r="M1142" t="str">
            <v/>
          </cell>
          <cell r="N1142" t="str">
            <v>Квота за емисии / година</v>
          </cell>
        </row>
        <row r="1145">
          <cell r="H1145" t="str">
            <v>Единица мярка</v>
          </cell>
          <cell r="I1145">
            <v>2019</v>
          </cell>
          <cell r="J1145">
            <v>2020</v>
          </cell>
          <cell r="K1145">
            <v>2021</v>
          </cell>
          <cell r="L1145">
            <v>2022</v>
          </cell>
          <cell r="M1145">
            <v>2023</v>
          </cell>
        </row>
        <row r="1146">
          <cell r="E1146" t="str">
            <v>Общо зададени емисии</v>
          </cell>
          <cell r="H1146" t="str">
            <v>t CO2e/година</v>
          </cell>
          <cell r="I1146" t="str">
            <v/>
          </cell>
          <cell r="J1146" t="str">
            <v/>
          </cell>
          <cell r="K1146" t="str">
            <v/>
          </cell>
          <cell r="L1146" t="str">
            <v/>
          </cell>
          <cell r="M1146" t="str">
            <v/>
          </cell>
        </row>
        <row r="1148">
          <cell r="E1148" t="str">
            <v>Обща вложена енергия</v>
          </cell>
          <cell r="H1148" t="str">
            <v>TJ / година</v>
          </cell>
          <cell r="I1148" t="str">
            <v/>
          </cell>
          <cell r="J1148" t="str">
            <v/>
          </cell>
          <cell r="K1148" t="str">
            <v/>
          </cell>
          <cell r="L1148" t="str">
            <v/>
          </cell>
          <cell r="M1148" t="str">
            <v/>
          </cell>
        </row>
        <row r="1149">
          <cell r="E1149" t="str">
            <v>Претеглен емисионен фактор</v>
          </cell>
          <cell r="H1149" t="str">
            <v>t CO2 / TJ</v>
          </cell>
          <cell r="I1149" t="str">
            <v/>
          </cell>
          <cell r="J1149" t="str">
            <v/>
          </cell>
          <cell r="K1149" t="str">
            <v/>
          </cell>
          <cell r="L1149" t="str">
            <v/>
          </cell>
          <cell r="M1149" t="str">
            <v/>
          </cell>
        </row>
        <row r="1151">
          <cell r="E1151" t="str">
            <v>Преки емисии</v>
          </cell>
          <cell r="H1151" t="str">
            <v>t CO2 / година</v>
          </cell>
          <cell r="I1151" t="str">
            <v/>
          </cell>
          <cell r="J1151" t="str">
            <v/>
          </cell>
          <cell r="K1151" t="str">
            <v/>
          </cell>
          <cell r="L1151" t="str">
            <v/>
          </cell>
          <cell r="M1151" t="str">
            <v/>
          </cell>
        </row>
        <row r="1152">
          <cell r="E1152" t="str">
            <v>Други потоци горива и материали пораждащи емисии — 1</v>
          </cell>
          <cell r="H1152" t="str">
            <v>t CO2 / година</v>
          </cell>
          <cell r="I1152" t="str">
            <v/>
          </cell>
          <cell r="J1152" t="str">
            <v/>
          </cell>
          <cell r="K1152" t="str">
            <v/>
          </cell>
          <cell r="L1152" t="str">
            <v/>
          </cell>
          <cell r="M1152" t="str">
            <v/>
          </cell>
        </row>
        <row r="1153">
          <cell r="E1153" t="str">
            <v>Други потоци горива и материали пораждащи емисии — 2</v>
          </cell>
          <cell r="H1153" t="str">
            <v>t CO2 / година</v>
          </cell>
          <cell r="I1153" t="str">
            <v/>
          </cell>
          <cell r="J1153" t="str">
            <v/>
          </cell>
          <cell r="K1153" t="str">
            <v/>
          </cell>
          <cell r="L1153" t="str">
            <v/>
          </cell>
          <cell r="M1153" t="str">
            <v/>
          </cell>
        </row>
        <row r="1154">
          <cell r="E1154" t="str">
            <v>Получени или подадени парникови газове</v>
          </cell>
          <cell r="H1154" t="str">
            <v>t CO2e/година</v>
          </cell>
          <cell r="I1154" t="str">
            <v/>
          </cell>
          <cell r="J1154" t="str">
            <v/>
          </cell>
          <cell r="K1154" t="str">
            <v/>
          </cell>
          <cell r="L1154" t="str">
            <v/>
          </cell>
          <cell r="M1154" t="str">
            <v/>
          </cell>
        </row>
        <row r="1156">
          <cell r="E1156" t="str">
            <v>Нетно количество получена топлинна енергия</v>
          </cell>
          <cell r="H1156" t="str">
            <v>TJ / година</v>
          </cell>
          <cell r="I1156" t="str">
            <v/>
          </cell>
          <cell r="J1156" t="str">
            <v/>
          </cell>
          <cell r="K1156" t="str">
            <v/>
          </cell>
          <cell r="L1156" t="str">
            <v/>
          </cell>
          <cell r="M1156" t="str">
            <v/>
          </cell>
        </row>
        <row r="1157">
          <cell r="E1157" t="str">
            <v>Специфичен EF (получена топлинна енергия)</v>
          </cell>
          <cell r="H1157" t="str">
            <v>t CO2 / TJ</v>
          </cell>
          <cell r="I1157" t="str">
            <v/>
          </cell>
          <cell r="J1157" t="str">
            <v/>
          </cell>
          <cell r="K1157" t="str">
            <v/>
          </cell>
          <cell r="L1157" t="str">
            <v/>
          </cell>
          <cell r="M1157" t="str">
            <v/>
          </cell>
        </row>
        <row r="1159">
          <cell r="E1159" t="str">
            <v>Нетно количество топлинна енергия, получена от пулп</v>
          </cell>
          <cell r="H1159" t="str">
            <v>TJ / година</v>
          </cell>
          <cell r="I1159" t="str">
            <v/>
          </cell>
          <cell r="J1159" t="str">
            <v/>
          </cell>
          <cell r="K1159" t="str">
            <v/>
          </cell>
          <cell r="L1159" t="str">
            <v/>
          </cell>
          <cell r="M1159" t="str">
            <v/>
          </cell>
        </row>
        <row r="1160">
          <cell r="E1160" t="str">
            <v>Нетно количество топлинна енергия, получена от подинсталации за азотна киселина</v>
          </cell>
          <cell r="H1160" t="str">
            <v>TJ / година</v>
          </cell>
          <cell r="I1160" t="str">
            <v/>
          </cell>
          <cell r="J1160" t="str">
            <v/>
          </cell>
          <cell r="K1160" t="str">
            <v/>
          </cell>
          <cell r="L1160" t="str">
            <v/>
          </cell>
          <cell r="M1160" t="str">
            <v/>
          </cell>
        </row>
        <row r="1162">
          <cell r="E1162" t="str">
            <v>Нетно количество подадена топлинна енергия</v>
          </cell>
          <cell r="H1162" t="str">
            <v>TJ / година</v>
          </cell>
          <cell r="I1162" t="str">
            <v/>
          </cell>
          <cell r="J1162" t="str">
            <v/>
          </cell>
          <cell r="K1162" t="str">
            <v/>
          </cell>
          <cell r="L1162" t="str">
            <v/>
          </cell>
          <cell r="M1162" t="str">
            <v/>
          </cell>
        </row>
        <row r="1163">
          <cell r="E1163" t="str">
            <v>Специфичен EF (подадена топлинна енергия)</v>
          </cell>
          <cell r="H1163" t="str">
            <v>t CO2 / TJ</v>
          </cell>
          <cell r="I1163" t="str">
            <v/>
          </cell>
          <cell r="J1163" t="str">
            <v/>
          </cell>
          <cell r="K1163" t="str">
            <v/>
          </cell>
          <cell r="L1163" t="str">
            <v/>
          </cell>
          <cell r="M1163" t="str">
            <v/>
          </cell>
        </row>
        <row r="1165">
          <cell r="E1165" t="str">
            <v>Произведен отпадъчен газ</v>
          </cell>
          <cell r="H1165" t="str">
            <v>TJ / година</v>
          </cell>
          <cell r="I1165" t="str">
            <v/>
          </cell>
          <cell r="J1165" t="str">
            <v/>
          </cell>
          <cell r="K1165" t="str">
            <v/>
          </cell>
          <cell r="L1165" t="str">
            <v/>
          </cell>
          <cell r="M1165" t="str">
            <v/>
          </cell>
        </row>
        <row r="1166">
          <cell r="E1166" t="str">
            <v>Специфичен EF (произведен отпадъчен газ)</v>
          </cell>
          <cell r="H1166" t="str">
            <v>t CO2 / TJ</v>
          </cell>
          <cell r="I1166" t="str">
            <v/>
          </cell>
          <cell r="J1166" t="str">
            <v/>
          </cell>
          <cell r="K1166" t="str">
            <v/>
          </cell>
          <cell r="L1166" t="str">
            <v/>
          </cell>
          <cell r="M1166" t="str">
            <v/>
          </cell>
        </row>
        <row r="1167">
          <cell r="E1167" t="str">
            <v>Консумиран отпадъчен газ</v>
          </cell>
          <cell r="H1167" t="str">
            <v>TJ / година</v>
          </cell>
          <cell r="I1167" t="str">
            <v/>
          </cell>
          <cell r="J1167" t="str">
            <v/>
          </cell>
          <cell r="K1167" t="str">
            <v/>
          </cell>
          <cell r="L1167" t="str">
            <v/>
          </cell>
          <cell r="M1167" t="str">
            <v/>
          </cell>
        </row>
        <row r="1168">
          <cell r="E1168" t="str">
            <v>Специфичен EF (консумиран отпадъчен газ)</v>
          </cell>
          <cell r="H1168" t="str">
            <v>t CO2 / TJ</v>
          </cell>
          <cell r="I1168" t="str">
            <v/>
          </cell>
          <cell r="J1168" t="str">
            <v/>
          </cell>
          <cell r="K1168" t="str">
            <v/>
          </cell>
          <cell r="L1168" t="str">
            <v/>
          </cell>
          <cell r="M1168" t="str">
            <v/>
          </cell>
        </row>
        <row r="1169">
          <cell r="E1169" t="str">
            <v>Изгорен във факел отпадъчен газ</v>
          </cell>
          <cell r="H1169" t="str">
            <v>TJ / година</v>
          </cell>
          <cell r="I1169" t="str">
            <v/>
          </cell>
          <cell r="J1169" t="str">
            <v/>
          </cell>
          <cell r="K1169" t="str">
            <v/>
          </cell>
          <cell r="L1169" t="str">
            <v/>
          </cell>
          <cell r="M1169" t="str">
            <v/>
          </cell>
        </row>
        <row r="1170">
          <cell r="E1170" t="str">
            <v>Специфичен EF (изгорен във факел отпадъчен газ)</v>
          </cell>
          <cell r="H1170" t="str">
            <v>t CO2 / TJ</v>
          </cell>
          <cell r="I1170" t="str">
            <v/>
          </cell>
          <cell r="J1170" t="str">
            <v/>
          </cell>
          <cell r="K1170" t="str">
            <v/>
          </cell>
          <cell r="L1170" t="str">
            <v/>
          </cell>
          <cell r="M1170" t="str">
            <v/>
          </cell>
        </row>
        <row r="1171">
          <cell r="E1171" t="str">
            <v>Получен отпадъчен газ</v>
          </cell>
          <cell r="H1171" t="str">
            <v>TJ / година</v>
          </cell>
          <cell r="I1171" t="str">
            <v/>
          </cell>
          <cell r="J1171" t="str">
            <v/>
          </cell>
          <cell r="K1171" t="str">
            <v/>
          </cell>
          <cell r="L1171" t="str">
            <v/>
          </cell>
          <cell r="M1171" t="str">
            <v/>
          </cell>
        </row>
        <row r="1172">
          <cell r="E1172" t="str">
            <v>Специфичен EF (получен отпадъчен газ)</v>
          </cell>
          <cell r="H1172" t="str">
            <v>t CO2 / TJ</v>
          </cell>
          <cell r="I1172" t="str">
            <v/>
          </cell>
          <cell r="J1172" t="str">
            <v/>
          </cell>
          <cell r="K1172" t="str">
            <v/>
          </cell>
          <cell r="L1172" t="str">
            <v/>
          </cell>
          <cell r="M1172" t="str">
            <v/>
          </cell>
        </row>
        <row r="1173">
          <cell r="E1173" t="str">
            <v>Подаден отпадъчен газ</v>
          </cell>
          <cell r="H1173" t="str">
            <v>TJ / година</v>
          </cell>
          <cell r="I1173" t="str">
            <v/>
          </cell>
          <cell r="J1173" t="str">
            <v/>
          </cell>
          <cell r="K1173" t="str">
            <v/>
          </cell>
          <cell r="L1173" t="str">
            <v/>
          </cell>
          <cell r="M1173" t="str">
            <v/>
          </cell>
        </row>
        <row r="1174">
          <cell r="E1174" t="str">
            <v>Специфичен EF (подаден отпадъчен газ)</v>
          </cell>
          <cell r="H1174" t="str">
            <v>t CO2 / TJ</v>
          </cell>
          <cell r="I1174" t="str">
            <v/>
          </cell>
          <cell r="J1174" t="str">
            <v/>
          </cell>
          <cell r="K1174" t="str">
            <v/>
          </cell>
          <cell r="L1174" t="str">
            <v/>
          </cell>
          <cell r="M1174" t="str">
            <v/>
          </cell>
        </row>
        <row r="1176">
          <cell r="E1176" t="str">
            <v>Произведена електроенергия</v>
          </cell>
          <cell r="H1176" t="str">
            <v>MWh / година</v>
          </cell>
          <cell r="I1176" t="str">
            <v/>
          </cell>
          <cell r="J1176" t="str">
            <v/>
          </cell>
          <cell r="K1176" t="str">
            <v/>
          </cell>
          <cell r="L1176" t="str">
            <v/>
          </cell>
          <cell r="M1176" t="str">
            <v/>
          </cell>
        </row>
        <row r="1178">
          <cell r="E1178" t="str">
            <v>Междинно получаване:</v>
          </cell>
        </row>
        <row r="1179">
          <cell r="E1179" t="str">
            <v/>
          </cell>
          <cell r="H1179" t="str">
            <v>тона</v>
          </cell>
          <cell r="I1179" t="str">
            <v/>
          </cell>
          <cell r="J1179" t="str">
            <v/>
          </cell>
          <cell r="K1179" t="str">
            <v/>
          </cell>
          <cell r="L1179" t="str">
            <v/>
          </cell>
          <cell r="M1179" t="str">
            <v/>
          </cell>
        </row>
        <row r="1180">
          <cell r="E1180" t="str">
            <v/>
          </cell>
          <cell r="H1180" t="str">
            <v>тона</v>
          </cell>
          <cell r="I1180" t="str">
            <v/>
          </cell>
          <cell r="J1180" t="str">
            <v/>
          </cell>
          <cell r="K1180" t="str">
            <v/>
          </cell>
          <cell r="L1180" t="str">
            <v/>
          </cell>
          <cell r="M1180" t="str">
            <v/>
          </cell>
        </row>
        <row r="1181">
          <cell r="E1181" t="str">
            <v>Междинно подаване:</v>
          </cell>
        </row>
        <row r="1182">
          <cell r="E1182" t="str">
            <v/>
          </cell>
          <cell r="H1182" t="str">
            <v>тона</v>
          </cell>
          <cell r="I1182" t="str">
            <v/>
          </cell>
          <cell r="J1182" t="str">
            <v/>
          </cell>
          <cell r="K1182" t="str">
            <v/>
          </cell>
          <cell r="L1182" t="str">
            <v/>
          </cell>
          <cell r="M1182" t="str">
            <v/>
          </cell>
        </row>
        <row r="1183">
          <cell r="E1183" t="str">
            <v/>
          </cell>
          <cell r="H1183" t="str">
            <v>тона</v>
          </cell>
          <cell r="I1183" t="str">
            <v/>
          </cell>
          <cell r="J1183" t="str">
            <v/>
          </cell>
          <cell r="K1183" t="str">
            <v/>
          </cell>
          <cell r="L1183" t="str">
            <v/>
          </cell>
          <cell r="M1183" t="str">
            <v/>
          </cell>
        </row>
        <row r="1185">
          <cell r="E1185" t="str">
            <v>Корекции за актуализиране на показателя при специфичен показател, когато е приложимо</v>
          </cell>
        </row>
        <row r="1186">
          <cell r="E1186" t="str">
            <v>Общо количество произведен пулп</v>
          </cell>
          <cell r="H1186" t="str">
            <v>тона</v>
          </cell>
          <cell r="I1186" t="str">
            <v/>
          </cell>
          <cell r="J1186" t="str">
            <v/>
          </cell>
          <cell r="K1186" t="str">
            <v/>
          </cell>
          <cell r="L1186" t="str">
            <v/>
          </cell>
          <cell r="M1186" t="str">
            <v/>
          </cell>
        </row>
        <row r="1188">
          <cell r="E1188" t="str">
            <v>Производство на водород (действително + теоретично)</v>
          </cell>
          <cell r="H1188" t="str">
            <v>тона</v>
          </cell>
          <cell r="I1188" t="str">
            <v/>
          </cell>
          <cell r="J1188" t="str">
            <v/>
          </cell>
          <cell r="K1188" t="str">
            <v/>
          </cell>
          <cell r="L1188" t="str">
            <v/>
          </cell>
          <cell r="M1188" t="str">
            <v/>
          </cell>
        </row>
        <row r="1189">
          <cell r="E1189" t="str">
            <v>Емисии във връзка с водород</v>
          </cell>
          <cell r="H1189" t="str">
            <v>t CO2 / година</v>
          </cell>
          <cell r="I1189" t="str">
            <v/>
          </cell>
          <cell r="J1189" t="str">
            <v/>
          </cell>
          <cell r="K1189" t="str">
            <v/>
          </cell>
          <cell r="L1189" t="str">
            <v/>
          </cell>
          <cell r="M1189" t="str">
            <v/>
          </cell>
        </row>
        <row r="1191">
          <cell r="E1191" t="str">
            <v>Корекция на емисиите във връзка с HVC</v>
          </cell>
          <cell r="H1191" t="str">
            <v>t CO2 / година</v>
          </cell>
          <cell r="I1191" t="str">
            <v/>
          </cell>
          <cell r="J1191" t="str">
            <v/>
          </cell>
          <cell r="K1191" t="str">
            <v/>
          </cell>
          <cell r="L1191" t="str">
            <v/>
          </cell>
          <cell r="M1191" t="str">
            <v/>
          </cell>
        </row>
        <row r="1193">
          <cell r="E1193" t="str">
            <v>Корекция на емисиите във връзка с VCM</v>
          </cell>
          <cell r="H1193" t="str">
            <v>t CO2 / година</v>
          </cell>
          <cell r="I1193" t="str">
            <v/>
          </cell>
          <cell r="J1193" t="str">
            <v/>
          </cell>
          <cell r="K1193" t="str">
            <v/>
          </cell>
          <cell r="L1193" t="str">
            <v/>
          </cell>
          <cell r="M1193" t="str">
            <v/>
          </cell>
        </row>
        <row r="1199">
          <cell r="C1199">
            <v>11</v>
          </cell>
          <cell r="D1199" t="str">
            <v>Алтернативна подинсталация („Fall-Back sub-installation“) 1:</v>
          </cell>
          <cell r="I1199" t="str">
            <v>Подинсталация с топлинен показател (с риск от ИВЕ | извън МКВЕГ)</v>
          </cell>
          <cell r="M1199" t="str">
            <v/>
          </cell>
        </row>
        <row r="1201">
          <cell r="H1201" t="str">
            <v>Риск от ИВЕ</v>
          </cell>
          <cell r="I1201" t="str">
            <v>В/Е</v>
          </cell>
          <cell r="J1201" t="str">
            <v>15(7).3?</v>
          </cell>
          <cell r="L1201" t="str">
            <v>№ на п-л</v>
          </cell>
          <cell r="M1201" t="str">
            <v>Стойност на показател (мин/макс/действ.)</v>
          </cell>
        </row>
        <row r="1202">
          <cell r="E1202" t="str">
            <v>Подинсталация с топлинен показател (с риск от ИВЕ | извън МКВЕГ)</v>
          </cell>
          <cell r="H1202" t="b">
            <v>1</v>
          </cell>
          <cell r="I1202" t="str">
            <v/>
          </cell>
          <cell r="J1202" t="str">
            <v/>
          </cell>
          <cell r="L1202">
            <v>1</v>
          </cell>
          <cell r="M1202" t="str">
            <v/>
          </cell>
          <cell r="N1202" t="str">
            <v>Квота за емисии/TJ</v>
          </cell>
        </row>
        <row r="1203">
          <cell r="H1203" t="str">
            <v>CBAM</v>
          </cell>
          <cell r="M1203" t="str">
            <v/>
          </cell>
          <cell r="N1203" t="str">
            <v>Квота за емисии/TJ</v>
          </cell>
        </row>
        <row r="1204">
          <cell r="H1204" t="b">
            <v>0</v>
          </cell>
          <cell r="M1204" t="str">
            <v/>
          </cell>
          <cell r="N1204" t="str">
            <v>Квота за емисии/TJ</v>
          </cell>
        </row>
        <row r="1206">
          <cell r="H1206" t="str">
            <v>Единица мярка</v>
          </cell>
          <cell r="I1206">
            <v>2019</v>
          </cell>
          <cell r="J1206">
            <v>2020</v>
          </cell>
          <cell r="K1206">
            <v>2021</v>
          </cell>
          <cell r="L1206">
            <v>2022</v>
          </cell>
          <cell r="M1206">
            <v>2023</v>
          </cell>
        </row>
        <row r="1207">
          <cell r="E1207" t="str">
            <v>Отчетено HAL (историческо равнище на дейност)</v>
          </cell>
          <cell r="H1207" t="str">
            <v>TJ</v>
          </cell>
          <cell r="I1207" t="str">
            <v/>
          </cell>
          <cell r="J1207" t="str">
            <v/>
          </cell>
          <cell r="K1207" t="str">
            <v/>
          </cell>
          <cell r="L1207" t="str">
            <v/>
          </cell>
          <cell r="M1207" t="str">
            <v/>
          </cell>
          <cell r="N1207" t="str">
            <v>Median</v>
          </cell>
        </row>
        <row r="1208">
          <cell r="E1208" t="str">
            <v>Стойности, използвани за изчислението на HAL:</v>
          </cell>
          <cell r="H1208" t="str">
            <v>TJ</v>
          </cell>
          <cell r="I1208" t="str">
            <v/>
          </cell>
          <cell r="J1208" t="str">
            <v/>
          </cell>
          <cell r="K1208" t="str">
            <v/>
          </cell>
          <cell r="L1208" t="str">
            <v/>
          </cell>
          <cell r="M1208" t="str">
            <v/>
          </cell>
          <cell r="N1208" t="str">
            <v/>
          </cell>
        </row>
        <row r="1210">
          <cell r="F1210" t="str">
            <v>Общо HAL</v>
          </cell>
          <cell r="I1210" t="str">
            <v>Предв. разпр. за год. 1 (мин)</v>
          </cell>
          <cell r="K1210" t="str">
            <v>Предв. разпр. за год. 1 (макс)</v>
          </cell>
          <cell r="M1210" t="str">
            <v>Предв. разпр. за год. 1 (действ.)</v>
          </cell>
        </row>
        <row r="1211">
          <cell r="F1211" t="str">
            <v/>
          </cell>
          <cell r="G1211" t="str">
            <v>TJ / година</v>
          </cell>
          <cell r="I1211" t="str">
            <v/>
          </cell>
          <cell r="J1211" t="str">
            <v>Квота за емисии / година</v>
          </cell>
          <cell r="K1211" t="str">
            <v/>
          </cell>
          <cell r="L1211" t="str">
            <v>Квота за емисии / година</v>
          </cell>
          <cell r="M1211" t="str">
            <v/>
          </cell>
          <cell r="N1211" t="str">
            <v>Квота за емисии / година</v>
          </cell>
        </row>
        <row r="1214">
          <cell r="H1214" t="str">
            <v>Единица мярка</v>
          </cell>
          <cell r="I1214">
            <v>2019</v>
          </cell>
          <cell r="J1214">
            <v>2020</v>
          </cell>
          <cell r="K1214">
            <v>2021</v>
          </cell>
          <cell r="L1214">
            <v>2022</v>
          </cell>
          <cell r="M1214">
            <v>2023</v>
          </cell>
        </row>
        <row r="1215">
          <cell r="E1215" t="str">
            <v>Общо произведена топлинна енергия</v>
          </cell>
          <cell r="H1215" t="str">
            <v>TJ / година</v>
          </cell>
          <cell r="I1215" t="str">
            <v/>
          </cell>
          <cell r="J1215" t="str">
            <v/>
          </cell>
          <cell r="K1215" t="str">
            <v/>
          </cell>
          <cell r="L1215" t="str">
            <v/>
          </cell>
          <cell r="M1215" t="str">
            <v/>
          </cell>
        </row>
        <row r="1216">
          <cell r="E1216" t="str">
            <v>Топлинна енергия, произведена от електроенергия</v>
          </cell>
          <cell r="H1216" t="str">
            <v>TJ / година</v>
          </cell>
          <cell r="I1216" t="str">
            <v/>
          </cell>
          <cell r="J1216" t="str">
            <v/>
          </cell>
          <cell r="K1216" t="str">
            <v/>
          </cell>
          <cell r="L1216" t="str">
            <v/>
          </cell>
          <cell r="M1216" t="str">
            <v/>
          </cell>
        </row>
        <row r="1218">
          <cell r="E1218" t="str">
            <v>Общо зададени емисии</v>
          </cell>
          <cell r="H1218" t="str">
            <v>t CO2e/година</v>
          </cell>
          <cell r="I1218" t="str">
            <v/>
          </cell>
          <cell r="J1218" t="str">
            <v/>
          </cell>
          <cell r="K1218" t="str">
            <v/>
          </cell>
          <cell r="L1218" t="str">
            <v/>
          </cell>
          <cell r="M1218" t="str">
            <v/>
          </cell>
        </row>
        <row r="1220">
          <cell r="E1220" t="str">
            <v>Вложени горива</v>
          </cell>
          <cell r="H1220" t="str">
            <v>TJ / година</v>
          </cell>
          <cell r="I1220" t="str">
            <v/>
          </cell>
          <cell r="J1220" t="str">
            <v/>
          </cell>
          <cell r="K1220" t="str">
            <v/>
          </cell>
          <cell r="L1220" t="str">
            <v/>
          </cell>
          <cell r="M1220" t="str">
            <v/>
          </cell>
        </row>
        <row r="1221">
          <cell r="E1221" t="str">
            <v>Претеглен емисионен фактор</v>
          </cell>
          <cell r="H1221" t="str">
            <v>t CO2 / TJ</v>
          </cell>
          <cell r="I1221" t="str">
            <v/>
          </cell>
          <cell r="J1221" t="str">
            <v/>
          </cell>
          <cell r="K1221" t="str">
            <v/>
          </cell>
          <cell r="L1221" t="str">
            <v/>
          </cell>
          <cell r="M1221" t="str">
            <v/>
          </cell>
        </row>
        <row r="1222">
          <cell r="E1222" t="str">
            <v>Вложени горива от отпадъчни газове</v>
          </cell>
          <cell r="H1222" t="str">
            <v>TJ / година</v>
          </cell>
          <cell r="I1222" t="str">
            <v/>
          </cell>
          <cell r="J1222" t="str">
            <v/>
          </cell>
          <cell r="K1222" t="str">
            <v/>
          </cell>
          <cell r="L1222" t="str">
            <v/>
          </cell>
          <cell r="M1222" t="str">
            <v/>
          </cell>
        </row>
        <row r="1223">
          <cell r="E1223" t="str">
            <v>Претеглен емисионен фактор</v>
          </cell>
          <cell r="H1223" t="str">
            <v>t CO2 / TJ</v>
          </cell>
          <cell r="I1223" t="str">
            <v/>
          </cell>
          <cell r="J1223" t="str">
            <v/>
          </cell>
          <cell r="K1223" t="str">
            <v/>
          </cell>
          <cell r="L1223" t="str">
            <v/>
          </cell>
          <cell r="M1223" t="str">
            <v/>
          </cell>
        </row>
        <row r="1224">
          <cell r="E1224" t="str">
            <v>Вложена електроенергия за производството на топлинна енергия</v>
          </cell>
          <cell r="H1224" t="str">
            <v>TJ / година</v>
          </cell>
          <cell r="I1224" t="str">
            <v/>
          </cell>
          <cell r="J1224" t="str">
            <v/>
          </cell>
          <cell r="K1224" t="str">
            <v/>
          </cell>
          <cell r="L1224" t="str">
            <v/>
          </cell>
          <cell r="M1224" t="str">
            <v/>
          </cell>
        </row>
        <row r="1225">
          <cell r="E1225" t="str">
            <v>Претеглен емисионен фактор</v>
          </cell>
          <cell r="H1225" t="str">
            <v>t CO2 / TJ</v>
          </cell>
          <cell r="I1225" t="str">
            <v/>
          </cell>
          <cell r="J1225" t="str">
            <v/>
          </cell>
          <cell r="K1225" t="str">
            <v/>
          </cell>
          <cell r="L1225" t="str">
            <v/>
          </cell>
          <cell r="M1225" t="str">
            <v/>
          </cell>
        </row>
        <row r="1226">
          <cell r="E1226" t="str">
            <v>Друга вложена енергия (например екзотермична топлина)</v>
          </cell>
          <cell r="H1226" t="str">
            <v>TJ / година</v>
          </cell>
          <cell r="I1226" t="str">
            <v/>
          </cell>
          <cell r="J1226" t="str">
            <v/>
          </cell>
          <cell r="K1226" t="str">
            <v/>
          </cell>
          <cell r="L1226" t="str">
            <v/>
          </cell>
          <cell r="M1226" t="str">
            <v/>
          </cell>
        </row>
        <row r="1227">
          <cell r="E1227" t="str">
            <v>Претеглен емисионен фактор</v>
          </cell>
          <cell r="H1227" t="str">
            <v>t CO2 / TJ</v>
          </cell>
          <cell r="I1227" t="str">
            <v/>
          </cell>
          <cell r="J1227" t="str">
            <v/>
          </cell>
          <cell r="K1227" t="str">
            <v/>
          </cell>
          <cell r="L1227" t="str">
            <v/>
          </cell>
          <cell r="M1227" t="str">
            <v/>
          </cell>
        </row>
        <row r="1228">
          <cell r="E1228" t="str">
            <v>Обща вложена енергия (= i. + v. + vii.)</v>
          </cell>
          <cell r="H1228" t="str">
            <v>TJ / година</v>
          </cell>
          <cell r="I1228" t="str">
            <v/>
          </cell>
          <cell r="J1228" t="str">
            <v/>
          </cell>
          <cell r="K1228" t="str">
            <v/>
          </cell>
          <cell r="L1228" t="str">
            <v/>
          </cell>
          <cell r="M1228" t="str">
            <v/>
          </cell>
        </row>
        <row r="1230">
          <cell r="E1230" t="str">
            <v>Преки емисии</v>
          </cell>
          <cell r="H1230" t="str">
            <v>t CO2 / година</v>
          </cell>
          <cell r="I1230" t="str">
            <v/>
          </cell>
          <cell r="J1230" t="str">
            <v/>
          </cell>
          <cell r="K1230" t="str">
            <v/>
          </cell>
          <cell r="L1230" t="str">
            <v/>
          </cell>
          <cell r="M1230" t="str">
            <v/>
          </cell>
        </row>
        <row r="1232">
          <cell r="E1232" t="str">
            <v>Нетно к-во получена топлинна енергия (други)</v>
          </cell>
          <cell r="H1232" t="str">
            <v>TJ / година</v>
          </cell>
          <cell r="I1232" t="str">
            <v/>
          </cell>
          <cell r="J1232" t="str">
            <v/>
          </cell>
          <cell r="K1232" t="str">
            <v/>
          </cell>
          <cell r="L1232" t="str">
            <v/>
          </cell>
          <cell r="M1232" t="str">
            <v/>
          </cell>
        </row>
        <row r="1233">
          <cell r="E1233" t="str">
            <v>Специфичен EF (получена топлинна енергия)</v>
          </cell>
          <cell r="H1233" t="str">
            <v>t CO2 / TJ</v>
          </cell>
          <cell r="I1233" t="str">
            <v/>
          </cell>
          <cell r="J1233" t="str">
            <v/>
          </cell>
          <cell r="K1233" t="str">
            <v/>
          </cell>
          <cell r="L1233" t="str">
            <v/>
          </cell>
          <cell r="M1233" t="str">
            <v/>
          </cell>
        </row>
        <row r="1234">
          <cell r="E1234" t="str">
            <v>Нетно к-во получена топлинна енергия (прод. п-л)</v>
          </cell>
          <cell r="H1234" t="str">
            <v>TJ / година</v>
          </cell>
          <cell r="I1234" t="str">
            <v/>
          </cell>
          <cell r="J1234" t="str">
            <v/>
          </cell>
          <cell r="K1234" t="str">
            <v/>
          </cell>
          <cell r="L1234" t="str">
            <v/>
          </cell>
          <cell r="M1234" t="str">
            <v/>
          </cell>
        </row>
        <row r="1235">
          <cell r="E1235" t="str">
            <v>Специфичен EF (от продуктов показател)</v>
          </cell>
          <cell r="H1235" t="str">
            <v>t CO2 / TJ</v>
          </cell>
          <cell r="I1235" t="str">
            <v/>
          </cell>
          <cell r="J1235" t="str">
            <v/>
          </cell>
          <cell r="K1235" t="str">
            <v/>
          </cell>
          <cell r="L1235" t="str">
            <v/>
          </cell>
          <cell r="M1235" t="str">
            <v/>
          </cell>
        </row>
        <row r="1236">
          <cell r="E1236" t="str">
            <v>Нетно к-во получена топлинна енергия (пулп)</v>
          </cell>
          <cell r="H1236" t="str">
            <v>TJ / година</v>
          </cell>
          <cell r="I1236" t="str">
            <v/>
          </cell>
          <cell r="J1236" t="str">
            <v/>
          </cell>
          <cell r="K1236" t="str">
            <v/>
          </cell>
          <cell r="L1236" t="str">
            <v/>
          </cell>
          <cell r="M1236" t="str">
            <v/>
          </cell>
        </row>
        <row r="1237">
          <cell r="E1237" t="str">
            <v>Специфичен EF (от пулп)</v>
          </cell>
          <cell r="H1237" t="str">
            <v>t CO2 / TJ</v>
          </cell>
          <cell r="I1237" t="str">
            <v/>
          </cell>
          <cell r="J1237" t="str">
            <v/>
          </cell>
          <cell r="K1237" t="str">
            <v/>
          </cell>
          <cell r="L1237" t="str">
            <v/>
          </cell>
          <cell r="M1237" t="str">
            <v/>
          </cell>
        </row>
        <row r="1238">
          <cell r="E1238" t="str">
            <v>Нетно к-во получена топлинна енергия (горивен п-л)</v>
          </cell>
          <cell r="H1238" t="str">
            <v>TJ / година</v>
          </cell>
          <cell r="I1238" t="str">
            <v/>
          </cell>
          <cell r="J1238" t="str">
            <v/>
          </cell>
          <cell r="K1238" t="str">
            <v/>
          </cell>
          <cell r="L1238" t="str">
            <v/>
          </cell>
          <cell r="M1238" t="str">
            <v/>
          </cell>
        </row>
        <row r="1239">
          <cell r="E1239" t="str">
            <v>Специфичен EF (от горивен показател)</v>
          </cell>
          <cell r="H1239" t="str">
            <v>t CO2 / TJ</v>
          </cell>
          <cell r="I1239" t="str">
            <v/>
          </cell>
          <cell r="J1239" t="str">
            <v/>
          </cell>
          <cell r="K1239" t="str">
            <v/>
          </cell>
          <cell r="L1239" t="str">
            <v/>
          </cell>
          <cell r="M1239" t="str">
            <v/>
          </cell>
        </row>
        <row r="1240">
          <cell r="E1240" t="str">
            <v>Нетно к-во получена топлинна енергия (отпадъчни газове)</v>
          </cell>
          <cell r="H1240" t="str">
            <v>TJ / година</v>
          </cell>
          <cell r="I1240" t="str">
            <v/>
          </cell>
          <cell r="J1240" t="str">
            <v/>
          </cell>
          <cell r="K1240" t="str">
            <v/>
          </cell>
          <cell r="L1240" t="str">
            <v/>
          </cell>
          <cell r="M1240" t="str">
            <v/>
          </cell>
        </row>
        <row r="1241">
          <cell r="E1241" t="str">
            <v>Специфичен EF (от отпадъчен газ)</v>
          </cell>
          <cell r="H1241" t="str">
            <v>t CO2 / TJ</v>
          </cell>
          <cell r="I1241" t="str">
            <v/>
          </cell>
          <cell r="J1241" t="str">
            <v/>
          </cell>
          <cell r="K1241" t="str">
            <v/>
          </cell>
          <cell r="L1241" t="str">
            <v/>
          </cell>
          <cell r="M1241" t="str">
            <v/>
          </cell>
        </row>
        <row r="1245">
          <cell r="C1245">
            <v>12</v>
          </cell>
          <cell r="D1245" t="str">
            <v>Алтернативна подинсталация („Fall-Back sub-installation“) 2:</v>
          </cell>
          <cell r="I1245" t="str">
            <v>Подинсталация с топлинен показател (без риск от ИВЕ | извън МКВЕГ)</v>
          </cell>
          <cell r="M1245" t="str">
            <v/>
          </cell>
        </row>
        <row r="1247">
          <cell r="H1247" t="str">
            <v>Риск от ИВЕ</v>
          </cell>
          <cell r="I1247" t="str">
            <v>В/Е</v>
          </cell>
          <cell r="J1247" t="str">
            <v>15(7).3?</v>
          </cell>
          <cell r="L1247" t="str">
            <v>№ на п-л</v>
          </cell>
          <cell r="M1247" t="str">
            <v>Стойност на показател (мин/макс/действ.)</v>
          </cell>
        </row>
        <row r="1248">
          <cell r="E1248" t="str">
            <v>Подинсталация с топлинен показател (без риск от ИВЕ | извън МКВЕГ)</v>
          </cell>
          <cell r="H1248" t="b">
            <v>0</v>
          </cell>
          <cell r="I1248" t="str">
            <v/>
          </cell>
          <cell r="J1248" t="str">
            <v/>
          </cell>
          <cell r="L1248">
            <v>2</v>
          </cell>
          <cell r="M1248" t="str">
            <v/>
          </cell>
          <cell r="N1248" t="str">
            <v>Квота за емисии/TJ</v>
          </cell>
        </row>
        <row r="1249">
          <cell r="H1249" t="str">
            <v>CBAM</v>
          </cell>
          <cell r="M1249" t="str">
            <v/>
          </cell>
          <cell r="N1249" t="str">
            <v>Квота за емисии/TJ</v>
          </cell>
        </row>
        <row r="1250">
          <cell r="H1250" t="b">
            <v>0</v>
          </cell>
          <cell r="M1250" t="str">
            <v/>
          </cell>
          <cell r="N1250" t="str">
            <v>Квота за емисии/TJ</v>
          </cell>
        </row>
        <row r="1252">
          <cell r="H1252" t="str">
            <v>Единица мярка</v>
          </cell>
          <cell r="I1252">
            <v>2019</v>
          </cell>
          <cell r="J1252">
            <v>2020</v>
          </cell>
          <cell r="K1252">
            <v>2021</v>
          </cell>
          <cell r="L1252">
            <v>2022</v>
          </cell>
          <cell r="M1252">
            <v>2023</v>
          </cell>
        </row>
        <row r="1253">
          <cell r="E1253" t="str">
            <v>Отчетено HAL (историческо равнище на дейност)</v>
          </cell>
          <cell r="H1253" t="str">
            <v>TJ</v>
          </cell>
          <cell r="I1253" t="str">
            <v/>
          </cell>
          <cell r="J1253" t="str">
            <v/>
          </cell>
          <cell r="K1253" t="str">
            <v/>
          </cell>
          <cell r="L1253" t="str">
            <v/>
          </cell>
          <cell r="M1253" t="str">
            <v/>
          </cell>
          <cell r="N1253" t="str">
            <v>Median</v>
          </cell>
        </row>
        <row r="1254">
          <cell r="E1254" t="str">
            <v>Стойности, използвани за изчислението на HAL:</v>
          </cell>
          <cell r="H1254" t="str">
            <v>TJ</v>
          </cell>
          <cell r="I1254" t="str">
            <v/>
          </cell>
          <cell r="J1254" t="str">
            <v/>
          </cell>
          <cell r="K1254" t="str">
            <v/>
          </cell>
          <cell r="L1254" t="str">
            <v/>
          </cell>
          <cell r="M1254" t="str">
            <v/>
          </cell>
          <cell r="N1254" t="str">
            <v/>
          </cell>
        </row>
        <row r="1256">
          <cell r="F1256" t="str">
            <v>Общо HAL</v>
          </cell>
          <cell r="I1256" t="str">
            <v>Предв. разпр. за год. 1 (мин)</v>
          </cell>
          <cell r="K1256" t="str">
            <v>Предв. разпр. за год. 1 (макс)</v>
          </cell>
          <cell r="M1256" t="str">
            <v>Предв. разпр. за год. 1 (действ.)</v>
          </cell>
        </row>
        <row r="1257">
          <cell r="F1257" t="str">
            <v/>
          </cell>
          <cell r="G1257" t="str">
            <v>TJ / година</v>
          </cell>
          <cell r="I1257" t="str">
            <v/>
          </cell>
          <cell r="J1257" t="str">
            <v>Квота за емисии / година</v>
          </cell>
          <cell r="K1257" t="str">
            <v/>
          </cell>
          <cell r="L1257" t="str">
            <v>Квота за емисии / година</v>
          </cell>
          <cell r="M1257" t="str">
            <v/>
          </cell>
          <cell r="N1257" t="str">
            <v>Квота за емисии / година</v>
          </cell>
        </row>
        <row r="1260">
          <cell r="H1260" t="str">
            <v>Единица мярка</v>
          </cell>
          <cell r="I1260">
            <v>2019</v>
          </cell>
          <cell r="J1260">
            <v>2020</v>
          </cell>
          <cell r="K1260">
            <v>2021</v>
          </cell>
          <cell r="L1260">
            <v>2022</v>
          </cell>
          <cell r="M1260">
            <v>2023</v>
          </cell>
        </row>
        <row r="1261">
          <cell r="E1261" t="str">
            <v>Общо произведена топлинна енергия</v>
          </cell>
          <cell r="H1261" t="str">
            <v>TJ / година</v>
          </cell>
          <cell r="I1261" t="str">
            <v/>
          </cell>
          <cell r="J1261" t="str">
            <v/>
          </cell>
          <cell r="K1261" t="str">
            <v/>
          </cell>
          <cell r="L1261" t="str">
            <v/>
          </cell>
          <cell r="M1261" t="str">
            <v/>
          </cell>
        </row>
        <row r="1262">
          <cell r="E1262" t="str">
            <v>Топлинна енергия, произведена от електроенергия</v>
          </cell>
          <cell r="H1262" t="str">
            <v>TJ / година</v>
          </cell>
          <cell r="I1262" t="str">
            <v/>
          </cell>
          <cell r="J1262" t="str">
            <v/>
          </cell>
          <cell r="K1262" t="str">
            <v/>
          </cell>
          <cell r="L1262" t="str">
            <v/>
          </cell>
          <cell r="M1262" t="str">
            <v/>
          </cell>
        </row>
        <row r="1264">
          <cell r="E1264" t="str">
            <v>Общо зададени емисии</v>
          </cell>
          <cell r="H1264" t="str">
            <v>t CO2e/година</v>
          </cell>
          <cell r="I1264" t="str">
            <v/>
          </cell>
          <cell r="J1264" t="str">
            <v/>
          </cell>
          <cell r="K1264" t="str">
            <v/>
          </cell>
          <cell r="L1264" t="str">
            <v/>
          </cell>
          <cell r="M1264" t="str">
            <v/>
          </cell>
        </row>
        <row r="1266">
          <cell r="E1266" t="str">
            <v>Вложени горива</v>
          </cell>
          <cell r="H1266" t="str">
            <v>TJ / година</v>
          </cell>
          <cell r="I1266" t="str">
            <v/>
          </cell>
          <cell r="J1266" t="str">
            <v/>
          </cell>
          <cell r="K1266" t="str">
            <v/>
          </cell>
          <cell r="L1266" t="str">
            <v/>
          </cell>
          <cell r="M1266" t="str">
            <v/>
          </cell>
        </row>
        <row r="1267">
          <cell r="E1267" t="str">
            <v>Претеглен емисионен фактор</v>
          </cell>
          <cell r="H1267" t="str">
            <v>t CO2 / TJ</v>
          </cell>
          <cell r="I1267" t="str">
            <v/>
          </cell>
          <cell r="J1267" t="str">
            <v/>
          </cell>
          <cell r="K1267" t="str">
            <v/>
          </cell>
          <cell r="L1267" t="str">
            <v/>
          </cell>
          <cell r="M1267" t="str">
            <v/>
          </cell>
        </row>
        <row r="1268">
          <cell r="E1268" t="str">
            <v>Вложени горива от отпадъчни газове</v>
          </cell>
          <cell r="H1268" t="str">
            <v>TJ / година</v>
          </cell>
          <cell r="I1268" t="str">
            <v/>
          </cell>
          <cell r="J1268" t="str">
            <v/>
          </cell>
          <cell r="K1268" t="str">
            <v/>
          </cell>
          <cell r="L1268" t="str">
            <v/>
          </cell>
          <cell r="M1268" t="str">
            <v/>
          </cell>
        </row>
        <row r="1269">
          <cell r="E1269" t="str">
            <v>Претеглен емисионен фактор</v>
          </cell>
          <cell r="H1269" t="str">
            <v>t CO2 / TJ</v>
          </cell>
          <cell r="I1269" t="str">
            <v/>
          </cell>
          <cell r="J1269" t="str">
            <v/>
          </cell>
          <cell r="K1269" t="str">
            <v/>
          </cell>
          <cell r="L1269" t="str">
            <v/>
          </cell>
          <cell r="M1269" t="str">
            <v/>
          </cell>
        </row>
        <row r="1270">
          <cell r="E1270" t="str">
            <v>Вложена електроенергия за производството на топлинна енергия</v>
          </cell>
          <cell r="H1270" t="str">
            <v>TJ / година</v>
          </cell>
          <cell r="I1270" t="str">
            <v/>
          </cell>
          <cell r="J1270" t="str">
            <v/>
          </cell>
          <cell r="K1270" t="str">
            <v/>
          </cell>
          <cell r="L1270" t="str">
            <v/>
          </cell>
          <cell r="M1270" t="str">
            <v/>
          </cell>
        </row>
        <row r="1271">
          <cell r="E1271" t="str">
            <v>Претеглен емисионен фактор</v>
          </cell>
          <cell r="H1271" t="str">
            <v>t CO2 / TJ</v>
          </cell>
          <cell r="I1271" t="str">
            <v/>
          </cell>
          <cell r="J1271" t="str">
            <v/>
          </cell>
          <cell r="K1271" t="str">
            <v/>
          </cell>
          <cell r="L1271" t="str">
            <v/>
          </cell>
          <cell r="M1271" t="str">
            <v/>
          </cell>
        </row>
        <row r="1272">
          <cell r="E1272" t="str">
            <v>Друга вложена енергия (например екзотермична топлина)</v>
          </cell>
          <cell r="H1272" t="str">
            <v>TJ / година</v>
          </cell>
          <cell r="I1272" t="str">
            <v/>
          </cell>
          <cell r="J1272" t="str">
            <v/>
          </cell>
          <cell r="K1272" t="str">
            <v/>
          </cell>
          <cell r="L1272" t="str">
            <v/>
          </cell>
          <cell r="M1272" t="str">
            <v/>
          </cell>
        </row>
        <row r="1273">
          <cell r="E1273" t="str">
            <v>Претеглен емисионен фактор</v>
          </cell>
          <cell r="H1273" t="str">
            <v>t CO2 / TJ</v>
          </cell>
          <cell r="I1273" t="str">
            <v/>
          </cell>
          <cell r="J1273" t="str">
            <v/>
          </cell>
          <cell r="K1273" t="str">
            <v/>
          </cell>
          <cell r="L1273" t="str">
            <v/>
          </cell>
          <cell r="M1273" t="str">
            <v/>
          </cell>
        </row>
        <row r="1274">
          <cell r="E1274" t="str">
            <v>Обща вложена енергия (= i. + v. + vii.)</v>
          </cell>
          <cell r="H1274" t="str">
            <v>TJ / година</v>
          </cell>
          <cell r="I1274" t="str">
            <v/>
          </cell>
          <cell r="J1274" t="str">
            <v/>
          </cell>
          <cell r="K1274" t="str">
            <v/>
          </cell>
          <cell r="L1274" t="str">
            <v/>
          </cell>
          <cell r="M1274" t="str">
            <v/>
          </cell>
        </row>
        <row r="1276">
          <cell r="E1276" t="str">
            <v>Преки емисии</v>
          </cell>
          <cell r="H1276" t="str">
            <v>t CO2 / година</v>
          </cell>
          <cell r="I1276" t="str">
            <v/>
          </cell>
          <cell r="J1276" t="str">
            <v/>
          </cell>
          <cell r="K1276" t="str">
            <v/>
          </cell>
          <cell r="L1276" t="str">
            <v/>
          </cell>
          <cell r="M1276" t="str">
            <v/>
          </cell>
        </row>
        <row r="1278">
          <cell r="E1278" t="str">
            <v>Нетно к-во получена топлинна енергия (други)</v>
          </cell>
          <cell r="H1278" t="str">
            <v>TJ / година</v>
          </cell>
          <cell r="I1278" t="str">
            <v/>
          </cell>
          <cell r="J1278" t="str">
            <v/>
          </cell>
          <cell r="K1278" t="str">
            <v/>
          </cell>
          <cell r="L1278" t="str">
            <v/>
          </cell>
          <cell r="M1278" t="str">
            <v/>
          </cell>
        </row>
        <row r="1279">
          <cell r="E1279" t="str">
            <v>Специфичен EF (получена топлинна енергия)</v>
          </cell>
          <cell r="H1279" t="str">
            <v>t CO2 / TJ</v>
          </cell>
          <cell r="I1279" t="str">
            <v/>
          </cell>
          <cell r="J1279" t="str">
            <v/>
          </cell>
          <cell r="K1279" t="str">
            <v/>
          </cell>
          <cell r="L1279" t="str">
            <v/>
          </cell>
          <cell r="M1279" t="str">
            <v/>
          </cell>
        </row>
        <row r="1280">
          <cell r="E1280" t="str">
            <v>Нетно к-во получена топлинна енергия (прод. п-л)</v>
          </cell>
          <cell r="H1280" t="str">
            <v>TJ / година</v>
          </cell>
          <cell r="I1280" t="str">
            <v/>
          </cell>
          <cell r="J1280" t="str">
            <v/>
          </cell>
          <cell r="K1280" t="str">
            <v/>
          </cell>
          <cell r="L1280" t="str">
            <v/>
          </cell>
          <cell r="M1280" t="str">
            <v/>
          </cell>
        </row>
        <row r="1281">
          <cell r="E1281" t="str">
            <v>Специфичен EF (от продуктов показател)</v>
          </cell>
          <cell r="H1281" t="str">
            <v>t CO2 / TJ</v>
          </cell>
          <cell r="I1281" t="str">
            <v/>
          </cell>
          <cell r="J1281" t="str">
            <v/>
          </cell>
          <cell r="K1281" t="str">
            <v/>
          </cell>
          <cell r="L1281" t="str">
            <v/>
          </cell>
          <cell r="M1281" t="str">
            <v/>
          </cell>
        </row>
        <row r="1282">
          <cell r="E1282" t="str">
            <v>Нетно к-во получена топлинна енергия (пулп)</v>
          </cell>
          <cell r="H1282" t="str">
            <v>TJ / година</v>
          </cell>
          <cell r="I1282" t="str">
            <v/>
          </cell>
          <cell r="J1282" t="str">
            <v/>
          </cell>
          <cell r="K1282" t="str">
            <v/>
          </cell>
          <cell r="L1282" t="str">
            <v/>
          </cell>
          <cell r="M1282" t="str">
            <v/>
          </cell>
        </row>
        <row r="1283">
          <cell r="E1283" t="str">
            <v>Специфичен EF (от пулп)</v>
          </cell>
          <cell r="H1283" t="str">
            <v>t CO2 / TJ</v>
          </cell>
          <cell r="I1283" t="str">
            <v/>
          </cell>
          <cell r="J1283" t="str">
            <v/>
          </cell>
          <cell r="K1283" t="str">
            <v/>
          </cell>
          <cell r="L1283" t="str">
            <v/>
          </cell>
          <cell r="M1283" t="str">
            <v/>
          </cell>
        </row>
        <row r="1284">
          <cell r="E1284" t="str">
            <v>Нетно к-во получена топлинна енергия (горивен п-л)</v>
          </cell>
          <cell r="H1284" t="str">
            <v>TJ / година</v>
          </cell>
          <cell r="I1284" t="str">
            <v/>
          </cell>
          <cell r="J1284" t="str">
            <v/>
          </cell>
          <cell r="K1284" t="str">
            <v/>
          </cell>
          <cell r="L1284" t="str">
            <v/>
          </cell>
          <cell r="M1284" t="str">
            <v/>
          </cell>
        </row>
        <row r="1285">
          <cell r="E1285" t="str">
            <v>Специфичен EF (от горивен показател)</v>
          </cell>
          <cell r="H1285" t="str">
            <v>t CO2 / TJ</v>
          </cell>
          <cell r="I1285" t="str">
            <v/>
          </cell>
          <cell r="J1285" t="str">
            <v/>
          </cell>
          <cell r="K1285" t="str">
            <v/>
          </cell>
          <cell r="L1285" t="str">
            <v/>
          </cell>
          <cell r="M1285" t="str">
            <v/>
          </cell>
        </row>
        <row r="1286">
          <cell r="E1286" t="str">
            <v>Нетно к-во получена топлинна енергия (отпадъчни газове)</v>
          </cell>
          <cell r="H1286" t="str">
            <v>TJ / година</v>
          </cell>
          <cell r="I1286" t="str">
            <v/>
          </cell>
          <cell r="J1286" t="str">
            <v/>
          </cell>
          <cell r="K1286" t="str">
            <v/>
          </cell>
          <cell r="L1286" t="str">
            <v/>
          </cell>
          <cell r="M1286" t="str">
            <v/>
          </cell>
        </row>
        <row r="1287">
          <cell r="E1287" t="str">
            <v>Специфичен EF (от отпадъчен газ)</v>
          </cell>
          <cell r="H1287" t="str">
            <v>t CO2 / TJ</v>
          </cell>
          <cell r="I1287" t="str">
            <v/>
          </cell>
          <cell r="J1287" t="str">
            <v/>
          </cell>
          <cell r="K1287" t="str">
            <v/>
          </cell>
          <cell r="L1287" t="str">
            <v/>
          </cell>
          <cell r="M1287" t="str">
            <v/>
          </cell>
        </row>
        <row r="1291">
          <cell r="C1291">
            <v>13</v>
          </cell>
          <cell r="D1291" t="str">
            <v>Алтернативна подинсталация („Fall-Back sub-installation“) 3:</v>
          </cell>
          <cell r="I1291" t="str">
            <v>Подинсталация с топлинен показател (с риск от ИВЕ | в рамките на МКВЕГ)</v>
          </cell>
          <cell r="M1291" t="str">
            <v/>
          </cell>
        </row>
        <row r="1293">
          <cell r="H1293" t="str">
            <v>Риск от ИВЕ</v>
          </cell>
          <cell r="I1293" t="str">
            <v>В/Е</v>
          </cell>
          <cell r="J1293" t="str">
            <v>15(7).3?</v>
          </cell>
          <cell r="L1293" t="str">
            <v>№ на п-л</v>
          </cell>
          <cell r="M1293" t="str">
            <v>Стойност на показател (мин/макс/действ.)</v>
          </cell>
        </row>
        <row r="1294">
          <cell r="E1294" t="str">
            <v>Подинсталация с топлинен показател (с риск от ИВЕ | в рамките на МКВЕГ)</v>
          </cell>
          <cell r="H1294" t="b">
            <v>1</v>
          </cell>
          <cell r="I1294" t="str">
            <v/>
          </cell>
          <cell r="J1294" t="str">
            <v/>
          </cell>
          <cell r="L1294">
            <v>3</v>
          </cell>
          <cell r="M1294" t="str">
            <v/>
          </cell>
          <cell r="N1294" t="str">
            <v>Квота за емисии/TJ</v>
          </cell>
        </row>
        <row r="1295">
          <cell r="H1295" t="str">
            <v>CBAM</v>
          </cell>
          <cell r="M1295" t="str">
            <v/>
          </cell>
          <cell r="N1295" t="str">
            <v>Квота за емисии/TJ</v>
          </cell>
        </row>
        <row r="1296">
          <cell r="H1296" t="b">
            <v>1</v>
          </cell>
          <cell r="M1296" t="str">
            <v/>
          </cell>
          <cell r="N1296" t="str">
            <v>Квота за емисии/TJ</v>
          </cell>
        </row>
        <row r="1298">
          <cell r="H1298" t="str">
            <v>Единица мярка</v>
          </cell>
          <cell r="I1298">
            <v>2019</v>
          </cell>
          <cell r="J1298">
            <v>2020</v>
          </cell>
          <cell r="K1298">
            <v>2021</v>
          </cell>
          <cell r="L1298">
            <v>2022</v>
          </cell>
          <cell r="M1298">
            <v>2023</v>
          </cell>
        </row>
        <row r="1299">
          <cell r="E1299" t="str">
            <v>Отчетено HAL (историческо равнище на дейност)</v>
          </cell>
          <cell r="H1299" t="str">
            <v>TJ</v>
          </cell>
          <cell r="I1299" t="str">
            <v/>
          </cell>
          <cell r="J1299" t="str">
            <v/>
          </cell>
          <cell r="K1299" t="str">
            <v/>
          </cell>
          <cell r="L1299" t="str">
            <v/>
          </cell>
          <cell r="M1299" t="str">
            <v/>
          </cell>
          <cell r="N1299" t="str">
            <v>Median</v>
          </cell>
        </row>
        <row r="1300">
          <cell r="E1300" t="str">
            <v>Стойности, използвани за изчислението на HAL:</v>
          </cell>
          <cell r="H1300" t="str">
            <v>TJ</v>
          </cell>
          <cell r="I1300" t="str">
            <v/>
          </cell>
          <cell r="J1300" t="str">
            <v/>
          </cell>
          <cell r="K1300" t="str">
            <v/>
          </cell>
          <cell r="L1300" t="str">
            <v/>
          </cell>
          <cell r="M1300" t="str">
            <v/>
          </cell>
          <cell r="N1300" t="str">
            <v/>
          </cell>
        </row>
        <row r="1302">
          <cell r="F1302" t="str">
            <v>Общо HAL</v>
          </cell>
          <cell r="I1302" t="str">
            <v>Предв. разпр. за год. 1 (мин)</v>
          </cell>
          <cell r="K1302" t="str">
            <v>Предв. разпр. за год. 1 (макс)</v>
          </cell>
          <cell r="M1302" t="str">
            <v>Предв. разпр. за год. 1 (действ.)</v>
          </cell>
        </row>
        <row r="1303">
          <cell r="F1303" t="str">
            <v/>
          </cell>
          <cell r="G1303" t="str">
            <v>TJ / година</v>
          </cell>
          <cell r="I1303" t="str">
            <v/>
          </cell>
          <cell r="J1303" t="str">
            <v>Квота за емисии / година</v>
          </cell>
          <cell r="K1303" t="str">
            <v/>
          </cell>
          <cell r="L1303" t="str">
            <v>Квота за емисии / година</v>
          </cell>
          <cell r="M1303" t="str">
            <v/>
          </cell>
          <cell r="N1303" t="str">
            <v>Квота за емисии / година</v>
          </cell>
        </row>
        <row r="1306">
          <cell r="H1306" t="str">
            <v>Единица мярка</v>
          </cell>
          <cell r="I1306">
            <v>2019</v>
          </cell>
          <cell r="J1306">
            <v>2020</v>
          </cell>
          <cell r="K1306">
            <v>2021</v>
          </cell>
          <cell r="L1306">
            <v>2022</v>
          </cell>
          <cell r="M1306">
            <v>2023</v>
          </cell>
        </row>
        <row r="1307">
          <cell r="E1307" t="str">
            <v>Общо произведена топлинна енергия</v>
          </cell>
          <cell r="H1307" t="str">
            <v>TJ / година</v>
          </cell>
          <cell r="I1307" t="str">
            <v/>
          </cell>
          <cell r="J1307" t="str">
            <v/>
          </cell>
          <cell r="K1307" t="str">
            <v/>
          </cell>
          <cell r="L1307" t="str">
            <v/>
          </cell>
          <cell r="M1307" t="str">
            <v/>
          </cell>
        </row>
        <row r="1308">
          <cell r="E1308" t="str">
            <v>Топлинна енергия, произведена от електроенергия</v>
          </cell>
          <cell r="H1308" t="str">
            <v>TJ / година</v>
          </cell>
          <cell r="I1308" t="str">
            <v/>
          </cell>
          <cell r="J1308" t="str">
            <v/>
          </cell>
          <cell r="K1308" t="str">
            <v/>
          </cell>
          <cell r="L1308" t="str">
            <v/>
          </cell>
          <cell r="M1308" t="str">
            <v/>
          </cell>
        </row>
        <row r="1310">
          <cell r="E1310" t="str">
            <v>Общо зададени емисии</v>
          </cell>
          <cell r="H1310" t="str">
            <v>t CO2e/година</v>
          </cell>
          <cell r="I1310" t="str">
            <v/>
          </cell>
          <cell r="J1310" t="str">
            <v/>
          </cell>
          <cell r="K1310" t="str">
            <v/>
          </cell>
          <cell r="L1310" t="str">
            <v/>
          </cell>
          <cell r="M1310" t="str">
            <v/>
          </cell>
        </row>
        <row r="1312">
          <cell r="E1312" t="str">
            <v>Вложени горива</v>
          </cell>
          <cell r="H1312" t="str">
            <v>TJ / година</v>
          </cell>
          <cell r="I1312" t="str">
            <v/>
          </cell>
          <cell r="J1312" t="str">
            <v/>
          </cell>
          <cell r="K1312" t="str">
            <v/>
          </cell>
          <cell r="L1312" t="str">
            <v/>
          </cell>
          <cell r="M1312" t="str">
            <v/>
          </cell>
        </row>
        <row r="1313">
          <cell r="E1313" t="str">
            <v>Претеглен емисионен фактор</v>
          </cell>
          <cell r="H1313" t="str">
            <v>t CO2 / TJ</v>
          </cell>
          <cell r="I1313" t="str">
            <v/>
          </cell>
          <cell r="J1313" t="str">
            <v/>
          </cell>
          <cell r="K1313" t="str">
            <v/>
          </cell>
          <cell r="L1313" t="str">
            <v/>
          </cell>
          <cell r="M1313" t="str">
            <v/>
          </cell>
        </row>
        <row r="1314">
          <cell r="E1314" t="str">
            <v>Вложени горива от отпадъчни газове</v>
          </cell>
          <cell r="H1314" t="str">
            <v>TJ / година</v>
          </cell>
          <cell r="I1314" t="str">
            <v/>
          </cell>
          <cell r="J1314" t="str">
            <v/>
          </cell>
          <cell r="K1314" t="str">
            <v/>
          </cell>
          <cell r="L1314" t="str">
            <v/>
          </cell>
          <cell r="M1314" t="str">
            <v/>
          </cell>
        </row>
        <row r="1315">
          <cell r="E1315" t="str">
            <v>Претеглен емисионен фактор</v>
          </cell>
          <cell r="H1315" t="str">
            <v>t CO2 / TJ</v>
          </cell>
          <cell r="I1315" t="str">
            <v/>
          </cell>
          <cell r="J1315" t="str">
            <v/>
          </cell>
          <cell r="K1315" t="str">
            <v/>
          </cell>
          <cell r="L1315" t="str">
            <v/>
          </cell>
          <cell r="M1315" t="str">
            <v/>
          </cell>
        </row>
        <row r="1316">
          <cell r="E1316" t="str">
            <v>Вложена електроенергия за производството на топлинна енергия</v>
          </cell>
          <cell r="H1316" t="str">
            <v>TJ / година</v>
          </cell>
          <cell r="I1316" t="str">
            <v/>
          </cell>
          <cell r="J1316" t="str">
            <v/>
          </cell>
          <cell r="K1316" t="str">
            <v/>
          </cell>
          <cell r="L1316" t="str">
            <v/>
          </cell>
          <cell r="M1316" t="str">
            <v/>
          </cell>
        </row>
        <row r="1317">
          <cell r="E1317" t="str">
            <v>Претеглен емисионен фактор</v>
          </cell>
          <cell r="H1317" t="str">
            <v>t CO2 / TJ</v>
          </cell>
          <cell r="I1317" t="str">
            <v/>
          </cell>
          <cell r="J1317" t="str">
            <v/>
          </cell>
          <cell r="K1317" t="str">
            <v/>
          </cell>
          <cell r="L1317" t="str">
            <v/>
          </cell>
          <cell r="M1317" t="str">
            <v/>
          </cell>
        </row>
        <row r="1318">
          <cell r="E1318" t="str">
            <v>Друга вложена енергия (например екзотермична топлина)</v>
          </cell>
          <cell r="H1318" t="str">
            <v>TJ / година</v>
          </cell>
          <cell r="I1318" t="str">
            <v/>
          </cell>
          <cell r="J1318" t="str">
            <v/>
          </cell>
          <cell r="K1318" t="str">
            <v/>
          </cell>
          <cell r="L1318" t="str">
            <v/>
          </cell>
          <cell r="M1318" t="str">
            <v/>
          </cell>
        </row>
        <row r="1319">
          <cell r="E1319" t="str">
            <v>Претеглен емисионен фактор</v>
          </cell>
          <cell r="H1319" t="str">
            <v>t CO2 / TJ</v>
          </cell>
          <cell r="I1319" t="str">
            <v/>
          </cell>
          <cell r="J1319" t="str">
            <v/>
          </cell>
          <cell r="K1319" t="str">
            <v/>
          </cell>
          <cell r="L1319" t="str">
            <v/>
          </cell>
          <cell r="M1319" t="str">
            <v/>
          </cell>
        </row>
        <row r="1320">
          <cell r="E1320" t="str">
            <v>Обща вложена енергия (= i. + v. + vii.)</v>
          </cell>
          <cell r="H1320" t="str">
            <v>TJ / година</v>
          </cell>
          <cell r="I1320" t="str">
            <v/>
          </cell>
          <cell r="J1320" t="str">
            <v/>
          </cell>
          <cell r="K1320" t="str">
            <v/>
          </cell>
          <cell r="L1320" t="str">
            <v/>
          </cell>
          <cell r="M1320" t="str">
            <v/>
          </cell>
        </row>
        <row r="1322">
          <cell r="E1322" t="str">
            <v>Преки емисии</v>
          </cell>
          <cell r="H1322" t="str">
            <v>t CO2 / година</v>
          </cell>
          <cell r="I1322" t="str">
            <v/>
          </cell>
          <cell r="J1322" t="str">
            <v/>
          </cell>
          <cell r="K1322" t="str">
            <v/>
          </cell>
          <cell r="L1322" t="str">
            <v/>
          </cell>
          <cell r="M1322" t="str">
            <v/>
          </cell>
        </row>
        <row r="1324">
          <cell r="E1324" t="str">
            <v>Нетно к-во получена топлинна енергия (други)</v>
          </cell>
          <cell r="H1324" t="str">
            <v>TJ / година</v>
          </cell>
          <cell r="I1324" t="str">
            <v/>
          </cell>
          <cell r="J1324" t="str">
            <v/>
          </cell>
          <cell r="K1324" t="str">
            <v/>
          </cell>
          <cell r="L1324" t="str">
            <v/>
          </cell>
          <cell r="M1324" t="str">
            <v/>
          </cell>
        </row>
        <row r="1325">
          <cell r="E1325" t="str">
            <v>Специфичен EF (получена топлинна енергия)</v>
          </cell>
          <cell r="H1325" t="str">
            <v>t CO2 / TJ</v>
          </cell>
          <cell r="I1325" t="str">
            <v/>
          </cell>
          <cell r="J1325" t="str">
            <v/>
          </cell>
          <cell r="K1325" t="str">
            <v/>
          </cell>
          <cell r="L1325" t="str">
            <v/>
          </cell>
          <cell r="M1325" t="str">
            <v/>
          </cell>
        </row>
        <row r="1326">
          <cell r="E1326" t="str">
            <v>Нетно к-во получена топлинна енергия (прод. п-л)</v>
          </cell>
          <cell r="H1326" t="str">
            <v>TJ / година</v>
          </cell>
          <cell r="I1326" t="str">
            <v/>
          </cell>
          <cell r="J1326" t="str">
            <v/>
          </cell>
          <cell r="K1326" t="str">
            <v/>
          </cell>
          <cell r="L1326" t="str">
            <v/>
          </cell>
          <cell r="M1326" t="str">
            <v/>
          </cell>
        </row>
        <row r="1327">
          <cell r="E1327" t="str">
            <v>Специфичен EF (от продуктов показател)</v>
          </cell>
          <cell r="H1327" t="str">
            <v>t CO2 / TJ</v>
          </cell>
          <cell r="I1327" t="str">
            <v/>
          </cell>
          <cell r="J1327" t="str">
            <v/>
          </cell>
          <cell r="K1327" t="str">
            <v/>
          </cell>
          <cell r="L1327" t="str">
            <v/>
          </cell>
          <cell r="M1327" t="str">
            <v/>
          </cell>
        </row>
        <row r="1328">
          <cell r="E1328" t="str">
            <v>Нетно к-во получена топлинна енергия (пулп)</v>
          </cell>
          <cell r="H1328" t="str">
            <v>TJ / година</v>
          </cell>
          <cell r="I1328" t="str">
            <v/>
          </cell>
          <cell r="J1328" t="str">
            <v/>
          </cell>
          <cell r="K1328" t="str">
            <v/>
          </cell>
          <cell r="L1328" t="str">
            <v/>
          </cell>
          <cell r="M1328" t="str">
            <v/>
          </cell>
        </row>
        <row r="1329">
          <cell r="E1329" t="str">
            <v>Специфичен EF (от пулп)</v>
          </cell>
          <cell r="H1329" t="str">
            <v>t CO2 / TJ</v>
          </cell>
          <cell r="I1329" t="str">
            <v/>
          </cell>
          <cell r="J1329" t="str">
            <v/>
          </cell>
          <cell r="K1329" t="str">
            <v/>
          </cell>
          <cell r="L1329" t="str">
            <v/>
          </cell>
          <cell r="M1329" t="str">
            <v/>
          </cell>
        </row>
        <row r="1330">
          <cell r="E1330" t="str">
            <v>Нетно к-во получена топлинна енергия (горивен п-л)</v>
          </cell>
          <cell r="H1330" t="str">
            <v>TJ / година</v>
          </cell>
          <cell r="I1330" t="str">
            <v/>
          </cell>
          <cell r="J1330" t="str">
            <v/>
          </cell>
          <cell r="K1330" t="str">
            <v/>
          </cell>
          <cell r="L1330" t="str">
            <v/>
          </cell>
          <cell r="M1330" t="str">
            <v/>
          </cell>
        </row>
        <row r="1331">
          <cell r="E1331" t="str">
            <v>Специфичен EF (от горивен показател)</v>
          </cell>
          <cell r="H1331" t="str">
            <v>t CO2 / TJ</v>
          </cell>
          <cell r="I1331" t="str">
            <v/>
          </cell>
          <cell r="J1331" t="str">
            <v/>
          </cell>
          <cell r="K1331" t="str">
            <v/>
          </cell>
          <cell r="L1331" t="str">
            <v/>
          </cell>
          <cell r="M1331" t="str">
            <v/>
          </cell>
        </row>
        <row r="1332">
          <cell r="E1332" t="str">
            <v>Нетно к-во получена топлинна енергия (отпадъчни газове)</v>
          </cell>
          <cell r="H1332" t="str">
            <v>TJ / година</v>
          </cell>
          <cell r="I1332" t="str">
            <v/>
          </cell>
          <cell r="J1332" t="str">
            <v/>
          </cell>
          <cell r="K1332" t="str">
            <v/>
          </cell>
          <cell r="L1332" t="str">
            <v/>
          </cell>
          <cell r="M1332" t="str">
            <v/>
          </cell>
        </row>
        <row r="1333">
          <cell r="E1333" t="str">
            <v>Специфичен EF (от отпадъчен газ)</v>
          </cell>
          <cell r="H1333" t="str">
            <v>t CO2 / TJ</v>
          </cell>
          <cell r="I1333" t="str">
            <v/>
          </cell>
          <cell r="J1333" t="str">
            <v/>
          </cell>
          <cell r="K1333" t="str">
            <v/>
          </cell>
          <cell r="L1333" t="str">
            <v/>
          </cell>
          <cell r="M1333" t="str">
            <v/>
          </cell>
        </row>
        <row r="1337">
          <cell r="C1337">
            <v>14</v>
          </cell>
          <cell r="D1337" t="str">
            <v>Алтернативна подинсталация („Fall-Back sub-installation“) 4:</v>
          </cell>
          <cell r="I1337" t="str">
            <v>Подинсталация на топлофикационна мрежа</v>
          </cell>
          <cell r="M1337" t="str">
            <v/>
          </cell>
        </row>
        <row r="1339">
          <cell r="H1339" t="str">
            <v>Риск от ИВЕ</v>
          </cell>
          <cell r="I1339" t="str">
            <v>В/Е</v>
          </cell>
          <cell r="J1339" t="str">
            <v>15(7).3?</v>
          </cell>
          <cell r="L1339" t="str">
            <v>№ на п-л</v>
          </cell>
          <cell r="M1339" t="str">
            <v>Стойност на показател (мин/макс/действ.)</v>
          </cell>
        </row>
        <row r="1340">
          <cell r="E1340" t="str">
            <v>Подинсталация на топлофикационна мрежа</v>
          </cell>
          <cell r="H1340" t="b">
            <v>0</v>
          </cell>
          <cell r="I1340" t="str">
            <v/>
          </cell>
          <cell r="J1340" t="str">
            <v/>
          </cell>
          <cell r="L1340">
            <v>4</v>
          </cell>
          <cell r="M1340" t="str">
            <v/>
          </cell>
          <cell r="N1340" t="str">
            <v>Квота за емисии/TJ</v>
          </cell>
        </row>
        <row r="1341">
          <cell r="H1341" t="str">
            <v>CBAM</v>
          </cell>
          <cell r="M1341" t="str">
            <v/>
          </cell>
          <cell r="N1341" t="str">
            <v>Квота за емисии/TJ</v>
          </cell>
        </row>
        <row r="1342">
          <cell r="H1342" t="b">
            <v>0</v>
          </cell>
          <cell r="M1342" t="str">
            <v/>
          </cell>
          <cell r="N1342" t="str">
            <v>Квота за емисии/TJ</v>
          </cell>
        </row>
        <row r="1344">
          <cell r="H1344" t="str">
            <v>Единица мярка</v>
          </cell>
          <cell r="I1344">
            <v>2019</v>
          </cell>
          <cell r="J1344">
            <v>2020</v>
          </cell>
          <cell r="K1344">
            <v>2021</v>
          </cell>
          <cell r="L1344">
            <v>2022</v>
          </cell>
          <cell r="M1344">
            <v>2023</v>
          </cell>
        </row>
        <row r="1345">
          <cell r="E1345" t="str">
            <v>Отчетено HAL (историческо равнище на дейност)</v>
          </cell>
          <cell r="H1345" t="str">
            <v>TJ</v>
          </cell>
          <cell r="I1345" t="str">
            <v/>
          </cell>
          <cell r="J1345" t="str">
            <v/>
          </cell>
          <cell r="K1345" t="str">
            <v/>
          </cell>
          <cell r="L1345" t="str">
            <v/>
          </cell>
          <cell r="M1345" t="str">
            <v/>
          </cell>
          <cell r="N1345" t="str">
            <v>Median</v>
          </cell>
        </row>
        <row r="1346">
          <cell r="E1346" t="str">
            <v>Стойности, използвани за изчислението на HAL:</v>
          </cell>
          <cell r="H1346" t="str">
            <v>TJ</v>
          </cell>
          <cell r="I1346" t="str">
            <v/>
          </cell>
          <cell r="J1346" t="str">
            <v/>
          </cell>
          <cell r="K1346" t="str">
            <v/>
          </cell>
          <cell r="L1346" t="str">
            <v/>
          </cell>
          <cell r="M1346" t="str">
            <v/>
          </cell>
          <cell r="N1346" t="str">
            <v/>
          </cell>
        </row>
        <row r="1348">
          <cell r="F1348" t="str">
            <v>Общо HAL</v>
          </cell>
          <cell r="I1348" t="str">
            <v>Предв. разпр. за год. 1 (мин)</v>
          </cell>
          <cell r="K1348" t="str">
            <v>Предв. разпр. за год. 1 (макс)</v>
          </cell>
          <cell r="M1348" t="str">
            <v>Предв. разпр. за год. 1 (действ.)</v>
          </cell>
        </row>
        <row r="1349">
          <cell r="F1349" t="str">
            <v/>
          </cell>
          <cell r="G1349" t="str">
            <v>TJ / година</v>
          </cell>
          <cell r="I1349" t="str">
            <v/>
          </cell>
          <cell r="J1349" t="str">
            <v>Квота за емисии / година</v>
          </cell>
          <cell r="K1349" t="str">
            <v/>
          </cell>
          <cell r="L1349" t="str">
            <v>Квота за емисии / година</v>
          </cell>
          <cell r="M1349" t="str">
            <v/>
          </cell>
          <cell r="N1349" t="str">
            <v>Квота за емисии / година</v>
          </cell>
        </row>
        <row r="1352">
          <cell r="H1352" t="str">
            <v>Единица мярка</v>
          </cell>
          <cell r="I1352">
            <v>2019</v>
          </cell>
          <cell r="J1352">
            <v>2020</v>
          </cell>
          <cell r="K1352">
            <v>2021</v>
          </cell>
          <cell r="L1352">
            <v>2022</v>
          </cell>
          <cell r="M1352">
            <v>2023</v>
          </cell>
        </row>
        <row r="1353">
          <cell r="E1353" t="str">
            <v>Общо произведена топлинна енергия</v>
          </cell>
          <cell r="H1353" t="str">
            <v>TJ / година</v>
          </cell>
          <cell r="I1353" t="str">
            <v/>
          </cell>
          <cell r="J1353" t="str">
            <v/>
          </cell>
          <cell r="K1353" t="str">
            <v/>
          </cell>
          <cell r="L1353" t="str">
            <v/>
          </cell>
          <cell r="M1353" t="str">
            <v/>
          </cell>
        </row>
        <row r="1354">
          <cell r="E1354" t="str">
            <v>Топлинна енергия, произведена от електроенергия</v>
          </cell>
          <cell r="H1354" t="str">
            <v>TJ / година</v>
          </cell>
          <cell r="I1354" t="str">
            <v/>
          </cell>
          <cell r="J1354" t="str">
            <v/>
          </cell>
          <cell r="K1354" t="str">
            <v/>
          </cell>
          <cell r="L1354" t="str">
            <v/>
          </cell>
          <cell r="M1354" t="str">
            <v/>
          </cell>
        </row>
        <row r="1356">
          <cell r="E1356" t="str">
            <v>Общо зададени емисии</v>
          </cell>
          <cell r="H1356" t="str">
            <v>t CO2e/година</v>
          </cell>
          <cell r="I1356" t="str">
            <v/>
          </cell>
          <cell r="J1356" t="str">
            <v/>
          </cell>
          <cell r="K1356" t="str">
            <v/>
          </cell>
          <cell r="L1356" t="str">
            <v/>
          </cell>
          <cell r="M1356" t="str">
            <v/>
          </cell>
        </row>
        <row r="1358">
          <cell r="E1358" t="str">
            <v>Вложени горива</v>
          </cell>
          <cell r="H1358" t="str">
            <v>TJ / година</v>
          </cell>
          <cell r="I1358" t="str">
            <v/>
          </cell>
          <cell r="J1358" t="str">
            <v/>
          </cell>
          <cell r="K1358" t="str">
            <v/>
          </cell>
          <cell r="L1358" t="str">
            <v/>
          </cell>
          <cell r="M1358" t="str">
            <v/>
          </cell>
        </row>
        <row r="1359">
          <cell r="E1359" t="str">
            <v>Претеглен емисионен фактор</v>
          </cell>
          <cell r="H1359" t="str">
            <v>t CO2 / TJ</v>
          </cell>
          <cell r="I1359" t="str">
            <v/>
          </cell>
          <cell r="J1359" t="str">
            <v/>
          </cell>
          <cell r="K1359" t="str">
            <v/>
          </cell>
          <cell r="L1359" t="str">
            <v/>
          </cell>
          <cell r="M1359" t="str">
            <v/>
          </cell>
        </row>
        <row r="1360">
          <cell r="E1360" t="str">
            <v>Вложени горива от отпадъчни газове</v>
          </cell>
          <cell r="H1360" t="str">
            <v>TJ / година</v>
          </cell>
          <cell r="I1360" t="str">
            <v/>
          </cell>
          <cell r="J1360" t="str">
            <v/>
          </cell>
          <cell r="K1360" t="str">
            <v/>
          </cell>
          <cell r="L1360" t="str">
            <v/>
          </cell>
          <cell r="M1360" t="str">
            <v/>
          </cell>
        </row>
        <row r="1361">
          <cell r="E1361" t="str">
            <v>Претеглен емисионен фактор</v>
          </cell>
          <cell r="H1361" t="str">
            <v>t CO2 / TJ</v>
          </cell>
          <cell r="I1361" t="str">
            <v/>
          </cell>
          <cell r="J1361" t="str">
            <v/>
          </cell>
          <cell r="K1361" t="str">
            <v/>
          </cell>
          <cell r="L1361" t="str">
            <v/>
          </cell>
          <cell r="M1361" t="str">
            <v/>
          </cell>
        </row>
        <row r="1362">
          <cell r="E1362" t="str">
            <v>Вложена електроенергия за производството на топлинна енергия</v>
          </cell>
          <cell r="H1362" t="str">
            <v>TJ / година</v>
          </cell>
          <cell r="I1362" t="str">
            <v/>
          </cell>
          <cell r="J1362" t="str">
            <v/>
          </cell>
          <cell r="K1362" t="str">
            <v/>
          </cell>
          <cell r="L1362" t="str">
            <v/>
          </cell>
          <cell r="M1362" t="str">
            <v/>
          </cell>
        </row>
        <row r="1363">
          <cell r="E1363" t="str">
            <v>Претеглен емисионен фактор</v>
          </cell>
          <cell r="H1363" t="str">
            <v>t CO2 / TJ</v>
          </cell>
          <cell r="I1363" t="str">
            <v/>
          </cell>
          <cell r="J1363" t="str">
            <v/>
          </cell>
          <cell r="K1363" t="str">
            <v/>
          </cell>
          <cell r="L1363" t="str">
            <v/>
          </cell>
          <cell r="M1363" t="str">
            <v/>
          </cell>
        </row>
        <row r="1364">
          <cell r="E1364" t="str">
            <v>Друга вложена енергия (например екзотермична топлина)</v>
          </cell>
          <cell r="H1364" t="str">
            <v>TJ / година</v>
          </cell>
          <cell r="I1364" t="str">
            <v/>
          </cell>
          <cell r="J1364" t="str">
            <v/>
          </cell>
          <cell r="K1364" t="str">
            <v/>
          </cell>
          <cell r="L1364" t="str">
            <v/>
          </cell>
          <cell r="M1364" t="str">
            <v/>
          </cell>
        </row>
        <row r="1365">
          <cell r="E1365" t="str">
            <v>Претеглен емисионен фактор</v>
          </cell>
          <cell r="H1365" t="str">
            <v>t CO2 / TJ</v>
          </cell>
          <cell r="I1365" t="str">
            <v/>
          </cell>
          <cell r="J1365" t="str">
            <v/>
          </cell>
          <cell r="K1365" t="str">
            <v/>
          </cell>
          <cell r="L1365" t="str">
            <v/>
          </cell>
          <cell r="M1365" t="str">
            <v/>
          </cell>
        </row>
        <row r="1366">
          <cell r="E1366" t="str">
            <v>Обща вложена енергия (= i. + v. + vii.)</v>
          </cell>
          <cell r="H1366" t="str">
            <v>TJ / година</v>
          </cell>
          <cell r="I1366" t="str">
            <v/>
          </cell>
          <cell r="J1366" t="str">
            <v/>
          </cell>
          <cell r="K1366" t="str">
            <v/>
          </cell>
          <cell r="L1366" t="str">
            <v/>
          </cell>
          <cell r="M1366" t="str">
            <v/>
          </cell>
        </row>
        <row r="1368">
          <cell r="E1368" t="str">
            <v>Преки емисии</v>
          </cell>
          <cell r="H1368" t="str">
            <v>t CO2 / година</v>
          </cell>
          <cell r="I1368" t="str">
            <v/>
          </cell>
          <cell r="J1368" t="str">
            <v/>
          </cell>
          <cell r="K1368" t="str">
            <v/>
          </cell>
          <cell r="L1368" t="str">
            <v/>
          </cell>
          <cell r="M1368" t="str">
            <v/>
          </cell>
        </row>
        <row r="1370">
          <cell r="E1370" t="str">
            <v>Нетно к-во получена топлинна енергия (други)</v>
          </cell>
          <cell r="H1370" t="str">
            <v>TJ / година</v>
          </cell>
          <cell r="I1370" t="str">
            <v/>
          </cell>
          <cell r="J1370" t="str">
            <v/>
          </cell>
          <cell r="K1370" t="str">
            <v/>
          </cell>
          <cell r="L1370" t="str">
            <v/>
          </cell>
          <cell r="M1370" t="str">
            <v/>
          </cell>
        </row>
        <row r="1371">
          <cell r="E1371" t="str">
            <v>Специфичен EF (получена топлинна енергия)</v>
          </cell>
          <cell r="H1371" t="str">
            <v>t CO2 / TJ</v>
          </cell>
          <cell r="I1371" t="str">
            <v/>
          </cell>
          <cell r="J1371" t="str">
            <v/>
          </cell>
          <cell r="K1371" t="str">
            <v/>
          </cell>
          <cell r="L1371" t="str">
            <v/>
          </cell>
          <cell r="M1371" t="str">
            <v/>
          </cell>
        </row>
        <row r="1372">
          <cell r="E1372" t="str">
            <v>Нетно к-во получена топлинна енергия (прод. п-л)</v>
          </cell>
          <cell r="H1372" t="str">
            <v>TJ / година</v>
          </cell>
          <cell r="I1372" t="str">
            <v/>
          </cell>
          <cell r="J1372" t="str">
            <v/>
          </cell>
          <cell r="K1372" t="str">
            <v/>
          </cell>
          <cell r="L1372" t="str">
            <v/>
          </cell>
          <cell r="M1372" t="str">
            <v/>
          </cell>
        </row>
        <row r="1373">
          <cell r="E1373" t="str">
            <v>Специфичен EF (от продуктов показател)</v>
          </cell>
          <cell r="H1373" t="str">
            <v>t CO2 / TJ</v>
          </cell>
          <cell r="I1373" t="str">
            <v/>
          </cell>
          <cell r="J1373" t="str">
            <v/>
          </cell>
          <cell r="K1373" t="str">
            <v/>
          </cell>
          <cell r="L1373" t="str">
            <v/>
          </cell>
          <cell r="M1373" t="str">
            <v/>
          </cell>
        </row>
        <row r="1374">
          <cell r="E1374" t="str">
            <v>Нетно к-во получена топлинна енергия (пулп)</v>
          </cell>
          <cell r="H1374" t="str">
            <v>TJ / година</v>
          </cell>
          <cell r="I1374" t="str">
            <v/>
          </cell>
          <cell r="J1374" t="str">
            <v/>
          </cell>
          <cell r="K1374" t="str">
            <v/>
          </cell>
          <cell r="L1374" t="str">
            <v/>
          </cell>
          <cell r="M1374" t="str">
            <v/>
          </cell>
        </row>
        <row r="1375">
          <cell r="E1375" t="str">
            <v>Специфичен EF (от пулп)</v>
          </cell>
          <cell r="H1375" t="str">
            <v>t CO2 / TJ</v>
          </cell>
          <cell r="I1375" t="str">
            <v/>
          </cell>
          <cell r="J1375" t="str">
            <v/>
          </cell>
          <cell r="K1375" t="str">
            <v/>
          </cell>
          <cell r="L1375" t="str">
            <v/>
          </cell>
          <cell r="M1375" t="str">
            <v/>
          </cell>
        </row>
        <row r="1376">
          <cell r="E1376" t="str">
            <v>Нетно к-во получена топлинна енергия (горивен п-л)</v>
          </cell>
          <cell r="H1376" t="str">
            <v>TJ / година</v>
          </cell>
          <cell r="I1376" t="str">
            <v/>
          </cell>
          <cell r="J1376" t="str">
            <v/>
          </cell>
          <cell r="K1376" t="str">
            <v/>
          </cell>
          <cell r="L1376" t="str">
            <v/>
          </cell>
          <cell r="M1376" t="str">
            <v/>
          </cell>
        </row>
        <row r="1377">
          <cell r="E1377" t="str">
            <v>Специфичен EF (от горивен показател)</v>
          </cell>
          <cell r="H1377" t="str">
            <v>t CO2 / TJ</v>
          </cell>
          <cell r="I1377" t="str">
            <v/>
          </cell>
          <cell r="J1377" t="str">
            <v/>
          </cell>
          <cell r="K1377" t="str">
            <v/>
          </cell>
          <cell r="L1377" t="str">
            <v/>
          </cell>
          <cell r="M1377" t="str">
            <v/>
          </cell>
        </row>
        <row r="1378">
          <cell r="E1378" t="str">
            <v>Нетно к-во получена топлинна енергия (отпадъчни газове)</v>
          </cell>
          <cell r="H1378" t="str">
            <v>TJ / година</v>
          </cell>
          <cell r="I1378" t="str">
            <v/>
          </cell>
          <cell r="J1378" t="str">
            <v/>
          </cell>
          <cell r="K1378" t="str">
            <v/>
          </cell>
          <cell r="L1378" t="str">
            <v/>
          </cell>
          <cell r="M1378" t="str">
            <v/>
          </cell>
        </row>
        <row r="1379">
          <cell r="E1379" t="str">
            <v>Специфичен EF (от отпадъчен газ)</v>
          </cell>
          <cell r="H1379" t="str">
            <v>t CO2 / TJ</v>
          </cell>
          <cell r="I1379" t="str">
            <v/>
          </cell>
          <cell r="J1379" t="str">
            <v/>
          </cell>
          <cell r="K1379" t="str">
            <v/>
          </cell>
          <cell r="L1379" t="str">
            <v/>
          </cell>
          <cell r="M1379" t="str">
            <v/>
          </cell>
        </row>
        <row r="1383">
          <cell r="C1383">
            <v>15</v>
          </cell>
          <cell r="D1383" t="str">
            <v>Алтернативна подинсталация („Fall-Back sub-installation“) 5:</v>
          </cell>
          <cell r="I1383" t="str">
            <v>Подинсталация с горивен показател (с риск от ИВЕ | извън МКВЕГ)</v>
          </cell>
          <cell r="M1383" t="str">
            <v/>
          </cell>
        </row>
        <row r="1385">
          <cell r="H1385" t="str">
            <v>Риск от ИВЕ</v>
          </cell>
          <cell r="I1385" t="str">
            <v>В/Е</v>
          </cell>
          <cell r="J1385" t="str">
            <v>15(7).3?</v>
          </cell>
          <cell r="L1385" t="str">
            <v>№ на п-л</v>
          </cell>
          <cell r="M1385" t="str">
            <v>Стойност на показател (мин/макс/действ.)</v>
          </cell>
        </row>
        <row r="1386">
          <cell r="E1386" t="str">
            <v>Подинсталация с горивен показател (с риск от ИВЕ | извън МКВЕГ)</v>
          </cell>
          <cell r="H1386" t="b">
            <v>1</v>
          </cell>
          <cell r="I1386" t="str">
            <v/>
          </cell>
          <cell r="J1386" t="str">
            <v/>
          </cell>
          <cell r="L1386">
            <v>5</v>
          </cell>
          <cell r="M1386" t="str">
            <v/>
          </cell>
          <cell r="N1386" t="str">
            <v>Квота за емисии/TJ</v>
          </cell>
        </row>
        <row r="1387">
          <cell r="H1387" t="str">
            <v>CBAM</v>
          </cell>
          <cell r="M1387" t="str">
            <v/>
          </cell>
          <cell r="N1387" t="str">
            <v>Квота за емисии/TJ</v>
          </cell>
        </row>
        <row r="1388">
          <cell r="H1388" t="b">
            <v>0</v>
          </cell>
          <cell r="M1388" t="str">
            <v/>
          </cell>
          <cell r="N1388" t="str">
            <v>Квота за емисии/TJ</v>
          </cell>
        </row>
        <row r="1390">
          <cell r="H1390" t="str">
            <v>Единица мярка</v>
          </cell>
          <cell r="I1390">
            <v>2019</v>
          </cell>
          <cell r="J1390">
            <v>2020</v>
          </cell>
          <cell r="K1390">
            <v>2021</v>
          </cell>
          <cell r="L1390">
            <v>2022</v>
          </cell>
          <cell r="M1390">
            <v>2023</v>
          </cell>
        </row>
        <row r="1391">
          <cell r="E1391" t="str">
            <v>Отчетено HAL (историческо равнище на дейност)</v>
          </cell>
          <cell r="H1391" t="str">
            <v>TJ</v>
          </cell>
          <cell r="I1391" t="str">
            <v/>
          </cell>
          <cell r="J1391" t="str">
            <v/>
          </cell>
          <cell r="K1391" t="str">
            <v/>
          </cell>
          <cell r="L1391" t="str">
            <v/>
          </cell>
          <cell r="M1391" t="str">
            <v/>
          </cell>
          <cell r="N1391" t="str">
            <v>Median</v>
          </cell>
        </row>
        <row r="1392">
          <cell r="E1392" t="str">
            <v>Стойности, използвани за изчислението на HAL:</v>
          </cell>
          <cell r="H1392" t="str">
            <v>TJ</v>
          </cell>
          <cell r="I1392" t="str">
            <v/>
          </cell>
          <cell r="J1392" t="str">
            <v/>
          </cell>
          <cell r="K1392" t="str">
            <v/>
          </cell>
          <cell r="L1392" t="str">
            <v/>
          </cell>
          <cell r="M1392" t="str">
            <v/>
          </cell>
          <cell r="N1392" t="str">
            <v/>
          </cell>
        </row>
        <row r="1394">
          <cell r="F1394" t="str">
            <v>Общо HAL</v>
          </cell>
          <cell r="I1394" t="str">
            <v>Предв. разпр. за год. 1 (мин)</v>
          </cell>
          <cell r="K1394" t="str">
            <v>Предв. разпр. за год. 1 (макс)</v>
          </cell>
          <cell r="M1394" t="str">
            <v>Предв. разпр. за год. 1 (действ.)</v>
          </cell>
        </row>
        <row r="1395">
          <cell r="F1395" t="str">
            <v/>
          </cell>
          <cell r="G1395" t="str">
            <v>TJ / година</v>
          </cell>
          <cell r="I1395" t="str">
            <v/>
          </cell>
          <cell r="J1395" t="str">
            <v>Квота за емисии / година</v>
          </cell>
          <cell r="K1395" t="str">
            <v/>
          </cell>
          <cell r="L1395" t="str">
            <v>Квота за емисии / година</v>
          </cell>
          <cell r="M1395" t="str">
            <v/>
          </cell>
          <cell r="N1395" t="str">
            <v>Квота за емисии / година</v>
          </cell>
        </row>
        <row r="1398">
          <cell r="H1398" t="str">
            <v>Единица мярка</v>
          </cell>
          <cell r="I1398">
            <v>2019</v>
          </cell>
          <cell r="J1398">
            <v>2020</v>
          </cell>
          <cell r="K1398">
            <v>2021</v>
          </cell>
          <cell r="L1398">
            <v>2022</v>
          </cell>
          <cell r="M1398">
            <v>2023</v>
          </cell>
        </row>
        <row r="1399">
          <cell r="E1399" t="str">
            <v>Общо зададени емисии</v>
          </cell>
          <cell r="H1399" t="str">
            <v>t CO2e/година</v>
          </cell>
          <cell r="I1399" t="str">
            <v/>
          </cell>
          <cell r="J1399" t="str">
            <v/>
          </cell>
          <cell r="K1399" t="str">
            <v/>
          </cell>
          <cell r="L1399" t="str">
            <v/>
          </cell>
          <cell r="M1399" t="str">
            <v/>
          </cell>
        </row>
        <row r="1401">
          <cell r="E1401" t="str">
            <v>Обща вложена енергия</v>
          </cell>
          <cell r="H1401" t="str">
            <v>TJ / година</v>
          </cell>
          <cell r="I1401" t="str">
            <v/>
          </cell>
          <cell r="J1401" t="str">
            <v/>
          </cell>
          <cell r="K1401" t="str">
            <v/>
          </cell>
          <cell r="L1401" t="str">
            <v/>
          </cell>
          <cell r="M1401" t="str">
            <v/>
          </cell>
        </row>
        <row r="1402">
          <cell r="E1402" t="str">
            <v>Претеглен емисионен фактор</v>
          </cell>
          <cell r="H1402" t="str">
            <v>t CO2 / TJ</v>
          </cell>
          <cell r="I1402" t="str">
            <v/>
          </cell>
          <cell r="J1402" t="str">
            <v/>
          </cell>
          <cell r="K1402" t="str">
            <v/>
          </cell>
          <cell r="L1402" t="str">
            <v/>
          </cell>
          <cell r="M1402" t="str">
            <v/>
          </cell>
        </row>
        <row r="1403">
          <cell r="E1403" t="str">
            <v>Вложени горива от отпадъчни газове</v>
          </cell>
          <cell r="H1403" t="str">
            <v>TJ / година</v>
          </cell>
          <cell r="I1403" t="str">
            <v/>
          </cell>
          <cell r="J1403" t="str">
            <v/>
          </cell>
          <cell r="K1403" t="str">
            <v/>
          </cell>
          <cell r="L1403" t="str">
            <v/>
          </cell>
          <cell r="M1403" t="str">
            <v/>
          </cell>
        </row>
        <row r="1404">
          <cell r="E1404" t="str">
            <v>Претеглен емисионен фактор</v>
          </cell>
          <cell r="H1404" t="str">
            <v>t CO2 / TJ</v>
          </cell>
          <cell r="I1404" t="str">
            <v/>
          </cell>
          <cell r="J1404" t="str">
            <v/>
          </cell>
          <cell r="K1404" t="str">
            <v/>
          </cell>
          <cell r="L1404" t="str">
            <v/>
          </cell>
          <cell r="M1404" t="str">
            <v/>
          </cell>
        </row>
        <row r="1405">
          <cell r="E1405" t="str">
            <v>Вложена електроенергия за производството на топлинна енергия</v>
          </cell>
          <cell r="H1405" t="str">
            <v>TJ / година</v>
          </cell>
          <cell r="I1405" t="str">
            <v/>
          </cell>
          <cell r="J1405" t="str">
            <v/>
          </cell>
          <cell r="K1405" t="str">
            <v/>
          </cell>
          <cell r="L1405" t="str">
            <v/>
          </cell>
          <cell r="M1405" t="str">
            <v/>
          </cell>
        </row>
        <row r="1406">
          <cell r="E1406" t="str">
            <v>Претеглен емисионен фактор</v>
          </cell>
          <cell r="H1406" t="str">
            <v>t CO2 / TJ</v>
          </cell>
          <cell r="I1406" t="str">
            <v/>
          </cell>
          <cell r="J1406" t="str">
            <v/>
          </cell>
          <cell r="K1406" t="str">
            <v/>
          </cell>
          <cell r="L1406" t="str">
            <v/>
          </cell>
          <cell r="M1406" t="str">
            <v/>
          </cell>
        </row>
        <row r="1408">
          <cell r="E1408" t="str">
            <v>Преки емисии</v>
          </cell>
          <cell r="H1408" t="str">
            <v>t CO2 / година</v>
          </cell>
          <cell r="I1408" t="str">
            <v/>
          </cell>
          <cell r="J1408" t="str">
            <v/>
          </cell>
          <cell r="K1408" t="str">
            <v/>
          </cell>
          <cell r="L1408" t="str">
            <v/>
          </cell>
          <cell r="M1408" t="str">
            <v/>
          </cell>
        </row>
        <row r="1410">
          <cell r="E1410" t="str">
            <v>Нетно количество подадена топлинна енергия</v>
          </cell>
          <cell r="H1410" t="str">
            <v>TJ / година</v>
          </cell>
          <cell r="I1410" t="str">
            <v/>
          </cell>
          <cell r="J1410" t="str">
            <v/>
          </cell>
          <cell r="K1410" t="str">
            <v/>
          </cell>
          <cell r="L1410" t="str">
            <v/>
          </cell>
          <cell r="M1410" t="str">
            <v/>
          </cell>
        </row>
        <row r="1411">
          <cell r="E1411" t="str">
            <v>Специфичен EF (подадена топлинна енергия)</v>
          </cell>
          <cell r="H1411" t="str">
            <v>TJ / година</v>
          </cell>
          <cell r="I1411" t="str">
            <v/>
          </cell>
          <cell r="J1411" t="str">
            <v/>
          </cell>
          <cell r="K1411" t="str">
            <v/>
          </cell>
          <cell r="L1411" t="str">
            <v/>
          </cell>
          <cell r="M1411" t="str">
            <v/>
          </cell>
        </row>
        <row r="1415">
          <cell r="C1415">
            <v>16</v>
          </cell>
          <cell r="D1415" t="str">
            <v>Алтернативна подинсталация („Fall-Back sub-installation“) 6:</v>
          </cell>
          <cell r="I1415" t="str">
            <v>Подинсталация с горивен показател (без риск от ИВЕ | извън МКВЕГ)</v>
          </cell>
          <cell r="M1415" t="str">
            <v/>
          </cell>
        </row>
        <row r="1417">
          <cell r="H1417" t="str">
            <v>Риск от ИВЕ</v>
          </cell>
          <cell r="I1417" t="str">
            <v>В/Е</v>
          </cell>
          <cell r="J1417" t="str">
            <v>15(7).3?</v>
          </cell>
          <cell r="L1417" t="str">
            <v>№ на п-л</v>
          </cell>
          <cell r="M1417" t="str">
            <v>Стойност на показател (мин/макс/действ.)</v>
          </cell>
        </row>
        <row r="1418">
          <cell r="E1418" t="str">
            <v>Подинсталация с горивен показател (без риск от ИВЕ | извън МКВЕГ)</v>
          </cell>
          <cell r="H1418" t="b">
            <v>0</v>
          </cell>
          <cell r="I1418" t="str">
            <v/>
          </cell>
          <cell r="J1418" t="str">
            <v/>
          </cell>
          <cell r="L1418">
            <v>6</v>
          </cell>
          <cell r="M1418" t="str">
            <v/>
          </cell>
          <cell r="N1418" t="str">
            <v>Квота за емисии/TJ</v>
          </cell>
        </row>
        <row r="1419">
          <cell r="H1419" t="str">
            <v>CBAM</v>
          </cell>
          <cell r="M1419" t="str">
            <v/>
          </cell>
          <cell r="N1419" t="str">
            <v>Квота за емисии/TJ</v>
          </cell>
        </row>
        <row r="1420">
          <cell r="H1420" t="b">
            <v>0</v>
          </cell>
          <cell r="M1420" t="str">
            <v/>
          </cell>
          <cell r="N1420" t="str">
            <v>Квота за емисии/TJ</v>
          </cell>
        </row>
        <row r="1422">
          <cell r="H1422" t="str">
            <v>Единица мярка</v>
          </cell>
          <cell r="I1422">
            <v>2019</v>
          </cell>
          <cell r="J1422">
            <v>2020</v>
          </cell>
          <cell r="K1422">
            <v>2021</v>
          </cell>
          <cell r="L1422">
            <v>2022</v>
          </cell>
          <cell r="M1422">
            <v>2023</v>
          </cell>
        </row>
        <row r="1423">
          <cell r="E1423" t="str">
            <v>Отчетено HAL (историческо равнище на дейност)</v>
          </cell>
          <cell r="H1423" t="str">
            <v>TJ</v>
          </cell>
          <cell r="I1423" t="str">
            <v/>
          </cell>
          <cell r="J1423" t="str">
            <v/>
          </cell>
          <cell r="K1423" t="str">
            <v/>
          </cell>
          <cell r="L1423" t="str">
            <v/>
          </cell>
          <cell r="M1423" t="str">
            <v/>
          </cell>
          <cell r="N1423" t="str">
            <v>Median</v>
          </cell>
        </row>
        <row r="1424">
          <cell r="E1424" t="str">
            <v>Стойности, използвани за изчислението на HAL:</v>
          </cell>
          <cell r="H1424" t="str">
            <v>TJ</v>
          </cell>
          <cell r="I1424" t="str">
            <v/>
          </cell>
          <cell r="J1424" t="str">
            <v/>
          </cell>
          <cell r="K1424" t="str">
            <v/>
          </cell>
          <cell r="L1424" t="str">
            <v/>
          </cell>
          <cell r="M1424" t="str">
            <v/>
          </cell>
          <cell r="N1424" t="str">
            <v/>
          </cell>
        </row>
        <row r="1426">
          <cell r="F1426" t="str">
            <v>Общо HAL</v>
          </cell>
          <cell r="I1426" t="str">
            <v>Предв. разпр. за год. 1 (мин)</v>
          </cell>
          <cell r="K1426" t="str">
            <v>Предв. разпр. за год. 1 (макс)</v>
          </cell>
          <cell r="M1426" t="str">
            <v>Предв. разпр. за год. 1 (действ.)</v>
          </cell>
        </row>
        <row r="1427">
          <cell r="F1427" t="str">
            <v/>
          </cell>
          <cell r="G1427" t="str">
            <v>TJ / година</v>
          </cell>
          <cell r="I1427" t="str">
            <v/>
          </cell>
          <cell r="J1427" t="str">
            <v>Квота за емисии / година</v>
          </cell>
          <cell r="K1427" t="str">
            <v/>
          </cell>
          <cell r="L1427" t="str">
            <v>Квота за емисии / година</v>
          </cell>
          <cell r="M1427" t="str">
            <v/>
          </cell>
          <cell r="N1427" t="str">
            <v>Квота за емисии / година</v>
          </cell>
        </row>
        <row r="1430">
          <cell r="H1430" t="str">
            <v>Единица мярка</v>
          </cell>
          <cell r="I1430">
            <v>2019</v>
          </cell>
          <cell r="J1430">
            <v>2020</v>
          </cell>
          <cell r="K1430">
            <v>2021</v>
          </cell>
          <cell r="L1430">
            <v>2022</v>
          </cell>
          <cell r="M1430">
            <v>2023</v>
          </cell>
        </row>
        <row r="1431">
          <cell r="E1431" t="str">
            <v>Общо зададени емисии</v>
          </cell>
          <cell r="H1431" t="str">
            <v>t CO2e/година</v>
          </cell>
          <cell r="I1431" t="str">
            <v/>
          </cell>
          <cell r="J1431" t="str">
            <v/>
          </cell>
          <cell r="K1431" t="str">
            <v/>
          </cell>
          <cell r="L1431" t="str">
            <v/>
          </cell>
          <cell r="M1431" t="str">
            <v/>
          </cell>
        </row>
        <row r="1433">
          <cell r="E1433" t="str">
            <v>Обща вложена енергия</v>
          </cell>
          <cell r="H1433" t="str">
            <v>TJ / година</v>
          </cell>
          <cell r="I1433" t="str">
            <v/>
          </cell>
          <cell r="J1433" t="str">
            <v/>
          </cell>
          <cell r="K1433" t="str">
            <v/>
          </cell>
          <cell r="L1433" t="str">
            <v/>
          </cell>
          <cell r="M1433" t="str">
            <v/>
          </cell>
        </row>
        <row r="1434">
          <cell r="E1434" t="str">
            <v>Претеглен емисионен фактор</v>
          </cell>
          <cell r="H1434" t="str">
            <v>t CO2 / TJ</v>
          </cell>
          <cell r="I1434" t="str">
            <v/>
          </cell>
          <cell r="J1434" t="str">
            <v/>
          </cell>
          <cell r="K1434" t="str">
            <v/>
          </cell>
          <cell r="L1434" t="str">
            <v/>
          </cell>
          <cell r="M1434" t="str">
            <v/>
          </cell>
        </row>
        <row r="1435">
          <cell r="E1435" t="str">
            <v>Вложени горива от отпадъчни газове</v>
          </cell>
          <cell r="H1435" t="str">
            <v>TJ / година</v>
          </cell>
          <cell r="I1435" t="str">
            <v/>
          </cell>
          <cell r="J1435" t="str">
            <v/>
          </cell>
          <cell r="K1435" t="str">
            <v/>
          </cell>
          <cell r="L1435" t="str">
            <v/>
          </cell>
          <cell r="M1435" t="str">
            <v/>
          </cell>
        </row>
        <row r="1436">
          <cell r="E1436" t="str">
            <v>Претеглен емисионен фактор</v>
          </cell>
          <cell r="H1436" t="str">
            <v>t CO2 / TJ</v>
          </cell>
          <cell r="I1436" t="str">
            <v/>
          </cell>
          <cell r="J1436" t="str">
            <v/>
          </cell>
          <cell r="K1436" t="str">
            <v/>
          </cell>
          <cell r="L1436" t="str">
            <v/>
          </cell>
          <cell r="M1436" t="str">
            <v/>
          </cell>
        </row>
        <row r="1437">
          <cell r="E1437" t="str">
            <v>Вложена електроенергия за производството на топлинна енергия</v>
          </cell>
          <cell r="H1437" t="str">
            <v>TJ / година</v>
          </cell>
          <cell r="I1437" t="str">
            <v/>
          </cell>
          <cell r="J1437" t="str">
            <v/>
          </cell>
          <cell r="K1437" t="str">
            <v/>
          </cell>
          <cell r="L1437" t="str">
            <v/>
          </cell>
          <cell r="M1437" t="str">
            <v/>
          </cell>
        </row>
        <row r="1438">
          <cell r="E1438" t="str">
            <v>Претеглен емисионен фактор</v>
          </cell>
          <cell r="H1438" t="str">
            <v>t CO2 / TJ</v>
          </cell>
          <cell r="I1438" t="str">
            <v/>
          </cell>
          <cell r="J1438" t="str">
            <v/>
          </cell>
          <cell r="K1438" t="str">
            <v/>
          </cell>
          <cell r="L1438" t="str">
            <v/>
          </cell>
          <cell r="M1438" t="str">
            <v/>
          </cell>
        </row>
        <row r="1440">
          <cell r="E1440" t="str">
            <v>Преки емисии</v>
          </cell>
          <cell r="H1440" t="str">
            <v>t CO2 / година</v>
          </cell>
          <cell r="I1440" t="str">
            <v/>
          </cell>
          <cell r="J1440" t="str">
            <v/>
          </cell>
          <cell r="K1440" t="str">
            <v/>
          </cell>
          <cell r="L1440" t="str">
            <v/>
          </cell>
          <cell r="M1440" t="str">
            <v/>
          </cell>
        </row>
        <row r="1442">
          <cell r="E1442" t="str">
            <v>Нетно количество подадена топлинна енергия</v>
          </cell>
          <cell r="H1442" t="str">
            <v>TJ / година</v>
          </cell>
          <cell r="I1442" t="str">
            <v/>
          </cell>
          <cell r="J1442" t="str">
            <v/>
          </cell>
          <cell r="K1442" t="str">
            <v/>
          </cell>
          <cell r="L1442" t="str">
            <v/>
          </cell>
          <cell r="M1442" t="str">
            <v/>
          </cell>
        </row>
        <row r="1443">
          <cell r="E1443" t="str">
            <v>Специфичен EF (подадена топлинна енергия)</v>
          </cell>
          <cell r="H1443" t="str">
            <v>TJ / година</v>
          </cell>
          <cell r="I1443" t="str">
            <v/>
          </cell>
          <cell r="J1443" t="str">
            <v/>
          </cell>
          <cell r="K1443" t="str">
            <v/>
          </cell>
          <cell r="L1443" t="str">
            <v/>
          </cell>
          <cell r="M1443" t="str">
            <v/>
          </cell>
        </row>
        <row r="1447">
          <cell r="C1447">
            <v>17</v>
          </cell>
          <cell r="D1447" t="str">
            <v>Алтернативна подинсталация („Fall-Back sub-installation“) 7:</v>
          </cell>
          <cell r="I1447" t="str">
            <v>Подинсталация с горивен показател (с риск от ИВЕ | в рамките на МКВЕГ)</v>
          </cell>
          <cell r="M1447" t="str">
            <v/>
          </cell>
        </row>
        <row r="1449">
          <cell r="H1449" t="str">
            <v>Риск от ИВЕ</v>
          </cell>
          <cell r="I1449" t="str">
            <v>В/Е</v>
          </cell>
          <cell r="J1449" t="str">
            <v>15(7).3?</v>
          </cell>
          <cell r="L1449" t="str">
            <v>№ на п-л</v>
          </cell>
          <cell r="M1449" t="str">
            <v>Стойност на показател (мин/макс/действ.)</v>
          </cell>
        </row>
        <row r="1450">
          <cell r="E1450" t="str">
            <v>Подинсталация с горивен показател (с риск от ИВЕ | в рамките на МКВЕГ)</v>
          </cell>
          <cell r="H1450" t="b">
            <v>1</v>
          </cell>
          <cell r="I1450" t="str">
            <v/>
          </cell>
          <cell r="J1450" t="str">
            <v/>
          </cell>
          <cell r="L1450">
            <v>7</v>
          </cell>
          <cell r="M1450" t="str">
            <v/>
          </cell>
          <cell r="N1450" t="str">
            <v>Квота за емисии/TJ</v>
          </cell>
        </row>
        <row r="1451">
          <cell r="H1451" t="str">
            <v>CBAM</v>
          </cell>
          <cell r="M1451" t="str">
            <v/>
          </cell>
          <cell r="N1451" t="str">
            <v>Квота за емисии/TJ</v>
          </cell>
        </row>
        <row r="1452">
          <cell r="H1452" t="b">
            <v>1</v>
          </cell>
          <cell r="M1452" t="str">
            <v/>
          </cell>
          <cell r="N1452" t="str">
            <v>Квота за емисии/TJ</v>
          </cell>
        </row>
        <row r="1454">
          <cell r="H1454" t="str">
            <v>Единица мярка</v>
          </cell>
          <cell r="I1454">
            <v>2019</v>
          </cell>
          <cell r="J1454">
            <v>2020</v>
          </cell>
          <cell r="K1454">
            <v>2021</v>
          </cell>
          <cell r="L1454">
            <v>2022</v>
          </cell>
          <cell r="M1454">
            <v>2023</v>
          </cell>
        </row>
        <row r="1455">
          <cell r="E1455" t="str">
            <v>Отчетено HAL (историческо равнище на дейност)</v>
          </cell>
          <cell r="H1455" t="str">
            <v>TJ</v>
          </cell>
          <cell r="I1455" t="str">
            <v/>
          </cell>
          <cell r="J1455" t="str">
            <v/>
          </cell>
          <cell r="K1455" t="str">
            <v/>
          </cell>
          <cell r="L1455" t="str">
            <v/>
          </cell>
          <cell r="M1455" t="str">
            <v/>
          </cell>
          <cell r="N1455" t="str">
            <v>Median</v>
          </cell>
        </row>
        <row r="1456">
          <cell r="E1456" t="str">
            <v>Стойности, използвани за изчислението на HAL:</v>
          </cell>
          <cell r="H1456" t="str">
            <v>TJ</v>
          </cell>
          <cell r="I1456" t="str">
            <v/>
          </cell>
          <cell r="J1456" t="str">
            <v/>
          </cell>
          <cell r="K1456" t="str">
            <v/>
          </cell>
          <cell r="L1456" t="str">
            <v/>
          </cell>
          <cell r="M1456" t="str">
            <v/>
          </cell>
          <cell r="N1456" t="str">
            <v/>
          </cell>
        </row>
        <row r="1458">
          <cell r="F1458" t="str">
            <v>Общо HAL</v>
          </cell>
          <cell r="I1458" t="str">
            <v>Предв. разпр. за год. 1 (мин)</v>
          </cell>
          <cell r="K1458" t="str">
            <v>Предв. разпр. за год. 1 (макс)</v>
          </cell>
          <cell r="M1458" t="str">
            <v>Предв. разпр. за год. 1 (действ.)</v>
          </cell>
        </row>
        <row r="1459">
          <cell r="F1459" t="str">
            <v/>
          </cell>
          <cell r="G1459" t="str">
            <v>TJ / година</v>
          </cell>
          <cell r="I1459" t="str">
            <v/>
          </cell>
          <cell r="J1459" t="str">
            <v>Квота за емисии / година</v>
          </cell>
          <cell r="K1459" t="str">
            <v/>
          </cell>
          <cell r="L1459" t="str">
            <v>Квота за емисии / година</v>
          </cell>
          <cell r="M1459" t="str">
            <v/>
          </cell>
          <cell r="N1459" t="str">
            <v>Квота за емисии / година</v>
          </cell>
        </row>
        <row r="1462">
          <cell r="H1462" t="str">
            <v>Единица мярка</v>
          </cell>
          <cell r="I1462">
            <v>2019</v>
          </cell>
          <cell r="J1462">
            <v>2020</v>
          </cell>
          <cell r="K1462">
            <v>2021</v>
          </cell>
          <cell r="L1462">
            <v>2022</v>
          </cell>
          <cell r="M1462">
            <v>2023</v>
          </cell>
        </row>
        <row r="1463">
          <cell r="E1463" t="str">
            <v>Общо зададени емисии</v>
          </cell>
          <cell r="H1463" t="str">
            <v>t CO2e/година</v>
          </cell>
          <cell r="I1463" t="str">
            <v/>
          </cell>
          <cell r="J1463" t="str">
            <v/>
          </cell>
          <cell r="K1463" t="str">
            <v/>
          </cell>
          <cell r="L1463" t="str">
            <v/>
          </cell>
          <cell r="M1463" t="str">
            <v/>
          </cell>
        </row>
        <row r="1465">
          <cell r="E1465" t="str">
            <v>Обща вложена енергия</v>
          </cell>
          <cell r="H1465" t="str">
            <v>TJ / година</v>
          </cell>
          <cell r="I1465" t="str">
            <v/>
          </cell>
          <cell r="J1465" t="str">
            <v/>
          </cell>
          <cell r="K1465" t="str">
            <v/>
          </cell>
          <cell r="L1465" t="str">
            <v/>
          </cell>
          <cell r="M1465" t="str">
            <v/>
          </cell>
        </row>
        <row r="1466">
          <cell r="E1466" t="str">
            <v>Претеглен емисионен фактор</v>
          </cell>
          <cell r="H1466" t="str">
            <v>t CO2 / TJ</v>
          </cell>
          <cell r="I1466" t="str">
            <v/>
          </cell>
          <cell r="J1466" t="str">
            <v/>
          </cell>
          <cell r="K1466" t="str">
            <v/>
          </cell>
          <cell r="L1466" t="str">
            <v/>
          </cell>
          <cell r="M1466" t="str">
            <v/>
          </cell>
        </row>
        <row r="1467">
          <cell r="E1467" t="str">
            <v>Вложени горива от отпадъчни газове</v>
          </cell>
          <cell r="H1467" t="str">
            <v>TJ / година</v>
          </cell>
          <cell r="I1467" t="str">
            <v/>
          </cell>
          <cell r="J1467" t="str">
            <v/>
          </cell>
          <cell r="K1467" t="str">
            <v/>
          </cell>
          <cell r="L1467" t="str">
            <v/>
          </cell>
          <cell r="M1467" t="str">
            <v/>
          </cell>
        </row>
        <row r="1468">
          <cell r="E1468" t="str">
            <v>Претеглен емисионен фактор</v>
          </cell>
          <cell r="H1468" t="str">
            <v>t CO2 / TJ</v>
          </cell>
          <cell r="I1468" t="str">
            <v/>
          </cell>
          <cell r="J1468" t="str">
            <v/>
          </cell>
          <cell r="K1468" t="str">
            <v/>
          </cell>
          <cell r="L1468" t="str">
            <v/>
          </cell>
          <cell r="M1468" t="str">
            <v/>
          </cell>
        </row>
        <row r="1469">
          <cell r="E1469" t="str">
            <v>Вложена електроенергия за производството на топлинна енергия</v>
          </cell>
          <cell r="H1469" t="str">
            <v>TJ / година</v>
          </cell>
          <cell r="I1469" t="str">
            <v/>
          </cell>
          <cell r="J1469" t="str">
            <v/>
          </cell>
          <cell r="K1469" t="str">
            <v/>
          </cell>
          <cell r="L1469" t="str">
            <v/>
          </cell>
          <cell r="M1469" t="str">
            <v/>
          </cell>
        </row>
        <row r="1470">
          <cell r="E1470" t="str">
            <v>Претеглен емисионен фактор</v>
          </cell>
          <cell r="H1470" t="str">
            <v>t CO2 / TJ</v>
          </cell>
          <cell r="I1470" t="str">
            <v/>
          </cell>
          <cell r="J1470" t="str">
            <v/>
          </cell>
          <cell r="K1470" t="str">
            <v/>
          </cell>
          <cell r="L1470" t="str">
            <v/>
          </cell>
          <cell r="M1470" t="str">
            <v/>
          </cell>
        </row>
        <row r="1472">
          <cell r="E1472" t="str">
            <v>Преки емисии</v>
          </cell>
          <cell r="H1472" t="str">
            <v>t CO2 / година</v>
          </cell>
          <cell r="I1472" t="str">
            <v/>
          </cell>
          <cell r="J1472" t="str">
            <v/>
          </cell>
          <cell r="K1472" t="str">
            <v/>
          </cell>
          <cell r="L1472" t="str">
            <v/>
          </cell>
          <cell r="M1472" t="str">
            <v/>
          </cell>
        </row>
        <row r="1474">
          <cell r="E1474" t="str">
            <v>Нетно количество подадена топлинна енергия</v>
          </cell>
          <cell r="H1474" t="str">
            <v>TJ / година</v>
          </cell>
          <cell r="I1474" t="str">
            <v/>
          </cell>
          <cell r="J1474" t="str">
            <v/>
          </cell>
          <cell r="K1474" t="str">
            <v/>
          </cell>
          <cell r="L1474" t="str">
            <v/>
          </cell>
          <cell r="M1474" t="str">
            <v/>
          </cell>
        </row>
        <row r="1475">
          <cell r="E1475" t="str">
            <v>Специфичен EF (подадена топлинна енергия)</v>
          </cell>
          <cell r="H1475" t="str">
            <v>TJ / година</v>
          </cell>
          <cell r="I1475" t="str">
            <v/>
          </cell>
          <cell r="J1475" t="str">
            <v/>
          </cell>
          <cell r="K1475" t="str">
            <v/>
          </cell>
          <cell r="L1475" t="str">
            <v/>
          </cell>
          <cell r="M1475" t="str">
            <v/>
          </cell>
        </row>
        <row r="1479">
          <cell r="C1479">
            <v>18</v>
          </cell>
          <cell r="D1479" t="str">
            <v>Алтернативна подинсталация („Fall-Back sub-installation“) 8:</v>
          </cell>
          <cell r="I1479" t="str">
            <v>Подинсталация с емисии от процеси (с риск от ИВЕ | извън МКВЕГ)</v>
          </cell>
          <cell r="M1479" t="str">
            <v/>
          </cell>
        </row>
        <row r="1481">
          <cell r="H1481" t="str">
            <v>Риск от ИВЕ</v>
          </cell>
          <cell r="I1481" t="str">
            <v>В/Е</v>
          </cell>
          <cell r="J1481" t="str">
            <v>15(7).3?</v>
          </cell>
          <cell r="L1481" t="str">
            <v>№ на п-л</v>
          </cell>
          <cell r="M1481" t="str">
            <v>Стойност на показател (мин/макс/действ.)</v>
          </cell>
        </row>
        <row r="1482">
          <cell r="E1482" t="str">
            <v>Подинсталация с емисии от процеси (с риск от ИВЕ | извън МКВЕГ)</v>
          </cell>
          <cell r="H1482" t="b">
            <v>1</v>
          </cell>
          <cell r="I1482" t="str">
            <v/>
          </cell>
          <cell r="J1482" t="str">
            <v/>
          </cell>
          <cell r="L1482">
            <v>8</v>
          </cell>
          <cell r="M1482" t="str">
            <v/>
          </cell>
          <cell r="N1482" t="str">
            <v>Квота за емисии/t CO2e</v>
          </cell>
        </row>
        <row r="1483">
          <cell r="H1483" t="str">
            <v>CBAM</v>
          </cell>
          <cell r="M1483" t="str">
            <v/>
          </cell>
          <cell r="N1483" t="str">
            <v>Квота за емисии/t CO2e</v>
          </cell>
        </row>
        <row r="1484">
          <cell r="H1484" t="b">
            <v>0</v>
          </cell>
          <cell r="M1484" t="str">
            <v/>
          </cell>
          <cell r="N1484" t="str">
            <v>Квота за емисии/t CO2e</v>
          </cell>
        </row>
        <row r="1486">
          <cell r="H1486" t="str">
            <v>Единица мярка</v>
          </cell>
          <cell r="I1486">
            <v>2019</v>
          </cell>
          <cell r="J1486">
            <v>2020</v>
          </cell>
          <cell r="K1486">
            <v>2021</v>
          </cell>
          <cell r="L1486">
            <v>2022</v>
          </cell>
          <cell r="M1486">
            <v>2023</v>
          </cell>
        </row>
        <row r="1487">
          <cell r="E1487" t="str">
            <v>Отчетено HAL (историческо равнище на дейност)</v>
          </cell>
          <cell r="H1487" t="str">
            <v>t CO2e</v>
          </cell>
          <cell r="I1487" t="str">
            <v/>
          </cell>
          <cell r="J1487" t="str">
            <v/>
          </cell>
          <cell r="K1487" t="str">
            <v/>
          </cell>
          <cell r="L1487" t="str">
            <v/>
          </cell>
          <cell r="M1487" t="str">
            <v/>
          </cell>
          <cell r="N1487" t="str">
            <v>Median</v>
          </cell>
        </row>
        <row r="1488">
          <cell r="E1488" t="str">
            <v>Стойности, използвани за изчислението на HAL:</v>
          </cell>
          <cell r="H1488" t="str">
            <v>t CO2e</v>
          </cell>
          <cell r="I1488" t="str">
            <v/>
          </cell>
          <cell r="J1488" t="str">
            <v/>
          </cell>
          <cell r="K1488" t="str">
            <v/>
          </cell>
          <cell r="L1488" t="str">
            <v/>
          </cell>
          <cell r="M1488" t="str">
            <v/>
          </cell>
          <cell r="N1488" t="str">
            <v/>
          </cell>
        </row>
        <row r="1490">
          <cell r="F1490" t="str">
            <v>Общо HAL</v>
          </cell>
          <cell r="I1490" t="str">
            <v>Предв. разпр. за год. 1 (мин)</v>
          </cell>
          <cell r="K1490" t="str">
            <v>Предв. разпр. за год. 1 (макс)</v>
          </cell>
          <cell r="M1490" t="str">
            <v>Предв. разпр. за год. 1 (действ.)</v>
          </cell>
        </row>
        <row r="1491">
          <cell r="F1491" t="str">
            <v/>
          </cell>
          <cell r="G1491" t="str">
            <v>t CO2e / година</v>
          </cell>
          <cell r="I1491" t="str">
            <v/>
          </cell>
          <cell r="J1491" t="str">
            <v>Квота за емисии / година</v>
          </cell>
          <cell r="K1491" t="str">
            <v/>
          </cell>
          <cell r="L1491" t="str">
            <v>Квота за емисии / година</v>
          </cell>
          <cell r="M1491" t="str">
            <v/>
          </cell>
          <cell r="N1491" t="str">
            <v>Квота за емисии / година</v>
          </cell>
        </row>
        <row r="1494">
          <cell r="H1494" t="str">
            <v>Единица мярка</v>
          </cell>
          <cell r="I1494">
            <v>2019</v>
          </cell>
          <cell r="J1494">
            <v>2020</v>
          </cell>
          <cell r="K1494">
            <v>2021</v>
          </cell>
          <cell r="L1494">
            <v>2022</v>
          </cell>
          <cell r="M1494">
            <v>2023</v>
          </cell>
        </row>
        <row r="1495">
          <cell r="E1495" t="str">
            <v>Общо зададени емисии</v>
          </cell>
          <cell r="H1495" t="str">
            <v>t CO2e/година</v>
          </cell>
          <cell r="I1495" t="str">
            <v/>
          </cell>
          <cell r="J1495" t="str">
            <v/>
          </cell>
          <cell r="K1495" t="str">
            <v/>
          </cell>
          <cell r="L1495" t="str">
            <v/>
          </cell>
          <cell r="M1495" t="str">
            <v/>
          </cell>
        </row>
        <row r="1499">
          <cell r="C1499">
            <v>19</v>
          </cell>
          <cell r="D1499" t="str">
            <v>Алтернативна подинсталация („Fall-Back sub-installation“) 9:</v>
          </cell>
          <cell r="I1499" t="str">
            <v>Подинсталация с емисии от процеси (без риск от ИВЕ | извън МКВЕГ)</v>
          </cell>
          <cell r="M1499" t="str">
            <v/>
          </cell>
        </row>
        <row r="1501">
          <cell r="H1501" t="str">
            <v>Риск от ИВЕ</v>
          </cell>
          <cell r="I1501" t="str">
            <v>В/Е</v>
          </cell>
          <cell r="J1501" t="str">
            <v>15(7).3?</v>
          </cell>
          <cell r="L1501" t="str">
            <v>№ на п-л</v>
          </cell>
          <cell r="M1501" t="str">
            <v>Стойност на показател (мин/макс/действ.)</v>
          </cell>
        </row>
        <row r="1502">
          <cell r="E1502" t="str">
            <v>Подинсталация с емисии от процеси (без риск от ИВЕ | извън МКВЕГ)</v>
          </cell>
          <cell r="H1502" t="b">
            <v>0</v>
          </cell>
          <cell r="I1502" t="str">
            <v/>
          </cell>
          <cell r="J1502" t="str">
            <v/>
          </cell>
          <cell r="L1502">
            <v>9</v>
          </cell>
          <cell r="M1502" t="str">
            <v/>
          </cell>
          <cell r="N1502" t="str">
            <v>Квота за емисии/t CO2e</v>
          </cell>
        </row>
        <row r="1503">
          <cell r="H1503" t="str">
            <v>CBAM</v>
          </cell>
          <cell r="M1503" t="str">
            <v/>
          </cell>
          <cell r="N1503" t="str">
            <v>Квота за емисии/t CO2e</v>
          </cell>
        </row>
        <row r="1504">
          <cell r="H1504" t="b">
            <v>0</v>
          </cell>
          <cell r="M1504" t="str">
            <v/>
          </cell>
          <cell r="N1504" t="str">
            <v>Квота за емисии/t CO2e</v>
          </cell>
        </row>
        <row r="1506">
          <cell r="H1506" t="str">
            <v>Единица мярка</v>
          </cell>
          <cell r="I1506">
            <v>2019</v>
          </cell>
          <cell r="J1506">
            <v>2020</v>
          </cell>
          <cell r="K1506">
            <v>2021</v>
          </cell>
          <cell r="L1506">
            <v>2022</v>
          </cell>
          <cell r="M1506">
            <v>2023</v>
          </cell>
        </row>
        <row r="1507">
          <cell r="E1507" t="str">
            <v>Отчетено HAL (историческо равнище на дейност)</v>
          </cell>
          <cell r="H1507" t="str">
            <v>t CO2e</v>
          </cell>
          <cell r="I1507" t="str">
            <v/>
          </cell>
          <cell r="J1507" t="str">
            <v/>
          </cell>
          <cell r="K1507" t="str">
            <v/>
          </cell>
          <cell r="L1507" t="str">
            <v/>
          </cell>
          <cell r="M1507" t="str">
            <v/>
          </cell>
          <cell r="N1507" t="str">
            <v>Median</v>
          </cell>
        </row>
        <row r="1508">
          <cell r="E1508" t="str">
            <v>Стойности, използвани за изчислението на HAL:</v>
          </cell>
          <cell r="H1508" t="str">
            <v>t CO2e</v>
          </cell>
          <cell r="I1508" t="str">
            <v/>
          </cell>
          <cell r="J1508" t="str">
            <v/>
          </cell>
          <cell r="K1508" t="str">
            <v/>
          </cell>
          <cell r="L1508" t="str">
            <v/>
          </cell>
          <cell r="M1508" t="str">
            <v/>
          </cell>
          <cell r="N1508" t="str">
            <v/>
          </cell>
        </row>
        <row r="1510">
          <cell r="F1510" t="str">
            <v>Общо HAL</v>
          </cell>
          <cell r="I1510" t="str">
            <v>Предв. разпр. за год. 1 (мин)</v>
          </cell>
          <cell r="K1510" t="str">
            <v>Предв. разпр. за год. 1 (макс)</v>
          </cell>
          <cell r="M1510" t="str">
            <v>Предв. разпр. за год. 1 (действ.)</v>
          </cell>
        </row>
        <row r="1511">
          <cell r="F1511" t="str">
            <v/>
          </cell>
          <cell r="G1511" t="str">
            <v>t CO2e / година</v>
          </cell>
          <cell r="I1511" t="str">
            <v/>
          </cell>
          <cell r="J1511" t="str">
            <v>Квота за емисии / година</v>
          </cell>
          <cell r="K1511" t="str">
            <v/>
          </cell>
          <cell r="L1511" t="str">
            <v>Квота за емисии / година</v>
          </cell>
          <cell r="M1511" t="str">
            <v/>
          </cell>
          <cell r="N1511" t="str">
            <v>Квота за емисии / година</v>
          </cell>
        </row>
        <row r="1514">
          <cell r="H1514" t="str">
            <v>Единица мярка</v>
          </cell>
          <cell r="I1514">
            <v>2019</v>
          </cell>
          <cell r="J1514">
            <v>2020</v>
          </cell>
          <cell r="K1514">
            <v>2021</v>
          </cell>
          <cell r="L1514">
            <v>2022</v>
          </cell>
          <cell r="M1514">
            <v>2023</v>
          </cell>
        </row>
        <row r="1515">
          <cell r="E1515" t="str">
            <v>Общо зададени емисии</v>
          </cell>
          <cell r="H1515" t="str">
            <v>t CO2e/година</v>
          </cell>
          <cell r="I1515" t="str">
            <v/>
          </cell>
          <cell r="J1515" t="str">
            <v/>
          </cell>
          <cell r="K1515" t="str">
            <v/>
          </cell>
          <cell r="L1515" t="str">
            <v/>
          </cell>
          <cell r="M1515" t="str">
            <v/>
          </cell>
        </row>
        <row r="1519">
          <cell r="C1519">
            <v>20</v>
          </cell>
          <cell r="D1519" t="str">
            <v>Алтернативна подинсталация („Fall-Back sub-installation“) 10:</v>
          </cell>
          <cell r="I1519" t="str">
            <v>Подинсталация с емисии от процеси (с риск от ИВЕ | в рамките на МКВЕГ)</v>
          </cell>
          <cell r="M1519" t="str">
            <v/>
          </cell>
        </row>
        <row r="1521">
          <cell r="H1521" t="str">
            <v>Риск от ИВЕ</v>
          </cell>
          <cell r="I1521" t="str">
            <v>В/Е</v>
          </cell>
          <cell r="J1521" t="str">
            <v>15(7).3?</v>
          </cell>
          <cell r="L1521" t="str">
            <v>№ на п-л</v>
          </cell>
          <cell r="M1521" t="str">
            <v>Стойност на показател (мин/макс/действ.)</v>
          </cell>
        </row>
        <row r="1522">
          <cell r="E1522" t="str">
            <v>Подинсталация с емисии от процеси (с риск от ИВЕ | в рамките на МКВЕГ)</v>
          </cell>
          <cell r="H1522" t="b">
            <v>1</v>
          </cell>
          <cell r="I1522" t="str">
            <v/>
          </cell>
          <cell r="J1522" t="str">
            <v/>
          </cell>
          <cell r="L1522">
            <v>10</v>
          </cell>
          <cell r="M1522" t="str">
            <v/>
          </cell>
          <cell r="N1522" t="str">
            <v>Квота за емисии/t CO2e</v>
          </cell>
        </row>
        <row r="1523">
          <cell r="H1523" t="str">
            <v>CBAM</v>
          </cell>
          <cell r="M1523" t="str">
            <v/>
          </cell>
          <cell r="N1523" t="str">
            <v>Квота за емисии/t CO2e</v>
          </cell>
        </row>
        <row r="1524">
          <cell r="H1524" t="b">
            <v>1</v>
          </cell>
          <cell r="M1524" t="str">
            <v/>
          </cell>
          <cell r="N1524" t="str">
            <v>Квота за емисии/t CO2e</v>
          </cell>
        </row>
        <row r="1526">
          <cell r="H1526" t="str">
            <v>Единица мярка</v>
          </cell>
          <cell r="I1526">
            <v>2019</v>
          </cell>
          <cell r="J1526">
            <v>2020</v>
          </cell>
          <cell r="K1526">
            <v>2021</v>
          </cell>
          <cell r="L1526">
            <v>2022</v>
          </cell>
          <cell r="M1526">
            <v>2023</v>
          </cell>
        </row>
        <row r="1527">
          <cell r="E1527" t="str">
            <v>Отчетено HAL (историческо равнище на дейност)</v>
          </cell>
          <cell r="H1527" t="str">
            <v>t CO2e</v>
          </cell>
          <cell r="I1527" t="str">
            <v/>
          </cell>
          <cell r="J1527" t="str">
            <v/>
          </cell>
          <cell r="K1527" t="str">
            <v/>
          </cell>
          <cell r="L1527" t="str">
            <v/>
          </cell>
          <cell r="M1527" t="str">
            <v/>
          </cell>
          <cell r="N1527" t="str">
            <v>Median</v>
          </cell>
        </row>
        <row r="1528">
          <cell r="E1528" t="str">
            <v>Стойности, използвани за изчислението на HAL:</v>
          </cell>
          <cell r="H1528" t="str">
            <v>t CO2e</v>
          </cell>
          <cell r="I1528" t="str">
            <v/>
          </cell>
          <cell r="J1528" t="str">
            <v/>
          </cell>
          <cell r="K1528" t="str">
            <v/>
          </cell>
          <cell r="L1528" t="str">
            <v/>
          </cell>
          <cell r="M1528" t="str">
            <v/>
          </cell>
          <cell r="N1528" t="str">
            <v/>
          </cell>
        </row>
        <row r="1530">
          <cell r="F1530" t="str">
            <v>Общо HAL</v>
          </cell>
          <cell r="I1530" t="str">
            <v>Предв. разпр. за год. 1 (мин)</v>
          </cell>
          <cell r="K1530" t="str">
            <v>Предв. разпр. за год. 1 (макс)</v>
          </cell>
          <cell r="M1530" t="str">
            <v>Предв. разпр. за год. 1 (действ.)</v>
          </cell>
        </row>
        <row r="1531">
          <cell r="F1531" t="str">
            <v/>
          </cell>
          <cell r="G1531" t="str">
            <v>t CO2e / година</v>
          </cell>
          <cell r="I1531" t="str">
            <v/>
          </cell>
          <cell r="J1531" t="str">
            <v>Квота за емисии / година</v>
          </cell>
          <cell r="K1531" t="str">
            <v/>
          </cell>
          <cell r="L1531" t="str">
            <v>Квота за емисии / година</v>
          </cell>
          <cell r="M1531" t="str">
            <v/>
          </cell>
          <cell r="N1531" t="str">
            <v>Квота за емисии / година</v>
          </cell>
        </row>
        <row r="1534">
          <cell r="H1534" t="str">
            <v>Единица мярка</v>
          </cell>
          <cell r="I1534">
            <v>2019</v>
          </cell>
          <cell r="J1534">
            <v>2020</v>
          </cell>
          <cell r="K1534">
            <v>2021</v>
          </cell>
          <cell r="L1534">
            <v>2022</v>
          </cell>
          <cell r="M1534">
            <v>2023</v>
          </cell>
        </row>
        <row r="1535">
          <cell r="E1535" t="str">
            <v>Общо зададени емисии</v>
          </cell>
          <cell r="H1535" t="str">
            <v>t CO2e/година</v>
          </cell>
          <cell r="I1535" t="str">
            <v/>
          </cell>
          <cell r="J1535" t="str">
            <v/>
          </cell>
          <cell r="K1535" t="str">
            <v/>
          </cell>
          <cell r="L1535" t="str">
            <v/>
          </cell>
          <cell r="M1535" t="str">
            <v/>
          </cell>
        </row>
        <row r="1538">
          <cell r="C1538" t="str">
            <v>V</v>
          </cell>
          <cell r="D1538" t="str">
            <v>Изчисляване на предварителното годишно количество на квотите за емисии, разпределени безплатно</v>
          </cell>
        </row>
        <row r="1540">
          <cell r="E1540" t="str">
            <v>В настоящия раздел можете да видите обобщение на стойностите за предварителното разпределение на квоти съответно за периода 2021—2025 г. или 2026—2030 г., приложими за тази инсталация, които се базират на данните, показани в предходните раздели въз основа на Вашите данни. Показаната информация не съдържа проверки за пълнота. Затова данните може да се считат за верни само ако сте се уверили, че са изпълнени следните условия:</v>
          </cell>
        </row>
        <row r="1541">
          <cell r="E1541" t="str">
            <v>-</v>
          </cell>
          <cell r="F1541" t="str">
            <v>Работен лист „A_InstallationData“ (Данни за инсталацията) е попълнен изцяло, особено раздели A.II (базов период и условия за допустимост) и A.III (списък на подинсталациите)</v>
          </cell>
        </row>
        <row r="1542">
          <cell r="E1542" t="str">
            <v>-</v>
          </cell>
          <cell r="F1542" t="str">
            <v>Попълнени са данните за всички приложими базови години и съответните раздели от работни листове F и G.</v>
          </cell>
        </row>
        <row r="1543">
          <cell r="E1543" t="str">
            <v>-</v>
          </cell>
          <cell r="F1543" t="str">
            <v>Не се показват съобщения за грешки в съответните раздели на тези работни листове.</v>
          </cell>
        </row>
        <row r="1544">
          <cell r="E1544" t="str">
            <v>Важно е да се знае какво е взето предвид при изчисляването, за да се разбере, че тази информация е с предварителен характер.</v>
          </cell>
        </row>
        <row r="1545">
          <cell r="E1545" t="str">
            <v>-</v>
          </cell>
          <cell r="F1545" t="str">
            <v>В зависимост от данните, които сте въвели в раздел A.II.2 (избран базов период), A.III (данни за подинсталацията) и работни листове F и G, в раздел IV от настоящия работен лист, ще видите кои базови години са използвани за изчисляване на историческите равнища на дейност (HAL), за които се прилагат показатели.</v>
          </cell>
        </row>
        <row r="1546">
          <cell r="E1546" t="str">
            <v>-</v>
          </cell>
          <cell r="F1546" t="str">
            <v>Тъй като в момента на подаване на данните при компетентния орган актуализираните стойности на показателите не са известни, можете да получите представа за порядъка на очакваните квоти, като в точка 1.a по-долу изберете или „минималните“, или „максималните“ стойности на показателите.</v>
          </cell>
        </row>
        <row r="1547">
          <cell r="E1547" t="str">
            <v>-</v>
          </cell>
          <cell r="F1547" t="str">
            <v>При изчислението се взема предвид всяка подинсталация, ако тя е изложена на значителен риск от изтичане на въглеродни емисии или ако това не е така.</v>
          </cell>
        </row>
        <row r="1548">
          <cell r="E1548" t="str">
            <v>-</v>
          </cell>
          <cell r="F1548" t="str">
            <v>При изчислението за всяка подинсталация се взема предвид дали тя е обхваната от МКВЕГ или не.</v>
          </cell>
        </row>
        <row r="1549">
          <cell r="E1549" t="str">
            <v>-</v>
          </cell>
          <cell r="F1549" t="str">
            <v>Предварителното разпределение на квоти на всички останали инсталации (тези, които не попадат в приложното поле на член 10a, параграф 3 на Директивата за СТЕ на ЕС) трябва да се умножат по междуотрасловия корекционен коефициент, както е определено в член 14, параграф 6 от ПБР. Този коефициент се изчислява от Европейската комисия, след като всички държави членки са изпратили своите национални мерки за изпълнение (НМИ) и са публикувани новите стойности на показателите.</v>
          </cell>
        </row>
        <row r="1550">
          <cell r="E1550" t="str">
            <v>-</v>
          </cell>
          <cell r="F1550" t="str">
            <v>За да могат операторите да разберат по-лесно как се изчислява разпределянето на квоти, по-долу е показано ПРЕДВАРИТЕЛНОТО разпределяне (т. е. разпределянето преди прилагането на междуотрасловия корекционен коефициент или на линейния коефициент). При подаване на данни до компетентния орган междуотрасловият корекционен коефициент не се вписва.</v>
          </cell>
        </row>
        <row r="1551">
          <cell r="E1551" t="str">
            <v>-</v>
          </cell>
          <cell r="F1551" t="str">
            <v>В този образец обаче може да се впише стойност за междуотрасловия корекционен коефициент. Тази функция може да се използва от оператора само за негова информация. Резултатите в никакъв случай не са правно задължителни.</v>
          </cell>
        </row>
        <row r="1553">
          <cell r="D1553" t="str">
            <v>Заявление за отказ от отговорност: Съгласно член 16, параграф 1 от ПБР, държавите членки са длъжни да изчислят и определят броя на квотите за емисии за безплатно разпределяне от 2021 г. нататък за всяка инсталация, кандидатстваща за безплатно разпределение на квоти. Показаните тук резултати са само с информативна цел. Не се предоставя никаква гаранция, изрична или по подразбиране, по отношение на точността, пълнотата или надеждността на получения резултат. От резултата, получен с помощта на настоящия електронен формуляр, не произтичат права на определено количество квоти за емисии. По отношение на точността на изчислението, моля, вижте и текста за отказ от отговорност от работен лист „Guidelines and conditions“ („Насоки и условия“).</v>
          </cell>
        </row>
        <row r="1555">
          <cell r="C1555">
            <v>1</v>
          </cell>
          <cell r="D1555" t="str">
            <v>Общо предварително годишно количество на квотите за емисии, разпределени безплатно:</v>
          </cell>
        </row>
        <row r="1556">
          <cell r="E1556" t="str">
            <v>Показаните тук количества отразяват изчисляването на предварителния годишен брой квоти за емисии, разпределени безплатно съгласно член 16, параграфи 1—7 от ПБР, т. е. вече е приложен посочения в приложение V от ПБР коефициент (наричан по-долу „коефициент за отчитане на изтичане на въглеродни емисии“). Съгласно член 16, параграф 3 от ПБР при подинсталациите на топлофикационни мрежи този коефициент ще бъде 0,3 за всички години.</v>
          </cell>
        </row>
        <row r="1557">
          <cell r="E1557" t="str">
            <v>В случай че за дадена подинсталация изчисленото предварително годишно количество квоти за безплатно разпределяне има отрицателна стойност, тя се коригира на нула.</v>
          </cell>
        </row>
        <row r="1559">
          <cell r="D1559" t="str">
            <v>(a)</v>
          </cell>
          <cell r="E1559" t="str">
            <v>Изчисление на минималните, максималните и действителните предварителни квоти?</v>
          </cell>
        </row>
        <row r="1560">
          <cell r="E1560" t="str">
            <v>В зависимост от избраното тук ще се покажат индикативните минимални, максимални и действителни предварителни квоти, както е определено в раздел IV по-горе.</v>
          </cell>
        </row>
        <row r="1561">
          <cell r="E1561" t="str">
            <v>Имайте предвид, че действителното разпределение на квоти може да се изчисли само след публикуването на новите стойности на показателите. Преди това по-долу няма да се извършват никакви изчисления, ако е избрана опцията „действителни“.</v>
          </cell>
        </row>
        <row r="1562">
          <cell r="E1562" t="str">
            <v>Ако това поле не е попълнено, по подразбиране при всички изчисления по-долу ще се използват минималните предварителни квоти.</v>
          </cell>
        </row>
        <row r="1564">
          <cell r="D1564" t="str">
            <v>(b)</v>
          </cell>
          <cell r="E1564" t="str">
            <v>Изчислителни коефициенти:</v>
          </cell>
        </row>
        <row r="1565">
          <cell r="I1565">
            <v>2026</v>
          </cell>
          <cell r="J1565">
            <v>2027</v>
          </cell>
          <cell r="K1565">
            <v>2028</v>
          </cell>
          <cell r="L1565">
            <v>2029</v>
          </cell>
          <cell r="M1565">
            <v>2030</v>
          </cell>
        </row>
        <row r="1566">
          <cell r="E1566" t="str">
            <v>Коефициент за отчитане на ИВЕ за сектори, които не са изложени на риск</v>
          </cell>
          <cell r="I1566">
            <v>0.3</v>
          </cell>
          <cell r="J1566">
            <v>0.22499999999999998</v>
          </cell>
          <cell r="K1566">
            <v>0.14999999999999997</v>
          </cell>
          <cell r="L1566">
            <v>7.4999999999999969E-2</v>
          </cell>
          <cell r="M1566">
            <v>0</v>
          </cell>
        </row>
        <row r="1567">
          <cell r="E1567" t="str">
            <v>Коефициент за отчитане на ИВЕ за топлофикационни мрежи</v>
          </cell>
          <cell r="I1567">
            <v>0.3</v>
          </cell>
          <cell r="J1567">
            <v>0.3</v>
          </cell>
          <cell r="K1567">
            <v>0.3</v>
          </cell>
          <cell r="L1567">
            <v>0.3</v>
          </cell>
          <cell r="M1567">
            <v>0.3</v>
          </cell>
        </row>
        <row r="1568">
          <cell r="E1568" t="str">
            <v>Забележка: За сектори, изложени на риск от ИВЕ, коефициентът за отчитане на ИВЕ е 1,0000 за всички години.</v>
          </cell>
        </row>
        <row r="1569">
          <cell r="E1569" t="str">
            <v>Коефициент за емисии от процеси</v>
          </cell>
          <cell r="I1569">
            <v>0.97</v>
          </cell>
          <cell r="J1569">
            <v>0.97</v>
          </cell>
          <cell r="K1569">
            <v>0.91</v>
          </cell>
          <cell r="L1569">
            <v>0.91</v>
          </cell>
          <cell r="M1569">
            <v>0.91</v>
          </cell>
        </row>
        <row r="1571">
          <cell r="D1571" t="str">
            <v>(c)</v>
          </cell>
          <cell r="E1571" t="str">
            <v>CBAM factors:</v>
          </cell>
        </row>
        <row r="1572">
          <cell r="I1572">
            <v>2026</v>
          </cell>
          <cell r="J1572">
            <v>2027</v>
          </cell>
          <cell r="K1572">
            <v>2028</v>
          </cell>
          <cell r="L1572">
            <v>2029</v>
          </cell>
          <cell r="M1572">
            <v>2030</v>
          </cell>
        </row>
        <row r="1573">
          <cell r="E1573" t="str">
            <v>Коефициенти по МКВЕГ за продукти, обхванати от МКВЕГ</v>
          </cell>
          <cell r="I1573">
            <v>0.97499999999999998</v>
          </cell>
          <cell r="J1573">
            <v>0.95</v>
          </cell>
          <cell r="K1573">
            <v>0.9</v>
          </cell>
          <cell r="L1573">
            <v>0.77500000000000002</v>
          </cell>
          <cell r="M1573">
            <v>0.51500000000000001</v>
          </cell>
        </row>
        <row r="1575">
          <cell r="D1575" t="str">
            <v>(d)</v>
          </cell>
          <cell r="E1575" t="str">
            <v>Изчисление съгласно член 16, параграфи 1—7 от ПБР:</v>
          </cell>
        </row>
        <row r="1577">
          <cell r="D1577" t="str">
            <v>Подинсталация</v>
          </cell>
          <cell r="I1577">
            <v>2026</v>
          </cell>
          <cell r="J1577">
            <v>2027</v>
          </cell>
          <cell r="K1577">
            <v>2028</v>
          </cell>
          <cell r="L1577">
            <v>2029</v>
          </cell>
          <cell r="M1577">
            <v>2030</v>
          </cell>
          <cell r="N1577" t="str">
            <v>Стойност &lt; от средната стойност за 10-те %?</v>
          </cell>
        </row>
        <row r="1578">
          <cell r="C1578">
            <v>1</v>
          </cell>
          <cell r="D1578" t="str">
            <v/>
          </cell>
          <cell r="I1578" t="str">
            <v/>
          </cell>
          <cell r="J1578" t="str">
            <v/>
          </cell>
          <cell r="K1578" t="str">
            <v/>
          </cell>
          <cell r="L1578" t="str">
            <v/>
          </cell>
          <cell r="M1578" t="str">
            <v/>
          </cell>
          <cell r="N1578" t="str">
            <v/>
          </cell>
        </row>
        <row r="1579">
          <cell r="C1579">
            <v>2</v>
          </cell>
          <cell r="D1579" t="str">
            <v/>
          </cell>
          <cell r="I1579" t="str">
            <v/>
          </cell>
          <cell r="J1579" t="str">
            <v/>
          </cell>
          <cell r="K1579" t="str">
            <v/>
          </cell>
          <cell r="L1579" t="str">
            <v/>
          </cell>
          <cell r="M1579" t="str">
            <v/>
          </cell>
          <cell r="N1579" t="str">
            <v/>
          </cell>
        </row>
        <row r="1580">
          <cell r="C1580">
            <v>3</v>
          </cell>
          <cell r="D1580" t="str">
            <v/>
          </cell>
          <cell r="I1580" t="str">
            <v/>
          </cell>
          <cell r="J1580" t="str">
            <v/>
          </cell>
          <cell r="K1580" t="str">
            <v/>
          </cell>
          <cell r="L1580" t="str">
            <v/>
          </cell>
          <cell r="M1580" t="str">
            <v/>
          </cell>
          <cell r="N1580" t="str">
            <v/>
          </cell>
        </row>
        <row r="1581">
          <cell r="C1581">
            <v>4</v>
          </cell>
          <cell r="D1581" t="str">
            <v/>
          </cell>
          <cell r="I1581" t="str">
            <v/>
          </cell>
          <cell r="J1581" t="str">
            <v/>
          </cell>
          <cell r="K1581" t="str">
            <v/>
          </cell>
          <cell r="L1581" t="str">
            <v/>
          </cell>
          <cell r="M1581" t="str">
            <v/>
          </cell>
          <cell r="N1581" t="str">
            <v/>
          </cell>
        </row>
        <row r="1582">
          <cell r="C1582">
            <v>5</v>
          </cell>
          <cell r="D1582" t="str">
            <v/>
          </cell>
          <cell r="I1582" t="str">
            <v/>
          </cell>
          <cell r="J1582" t="str">
            <v/>
          </cell>
          <cell r="K1582" t="str">
            <v/>
          </cell>
          <cell r="L1582" t="str">
            <v/>
          </cell>
          <cell r="M1582" t="str">
            <v/>
          </cell>
          <cell r="N1582" t="str">
            <v/>
          </cell>
        </row>
        <row r="1583">
          <cell r="C1583">
            <v>6</v>
          </cell>
          <cell r="D1583" t="str">
            <v/>
          </cell>
          <cell r="I1583" t="str">
            <v/>
          </cell>
          <cell r="J1583" t="str">
            <v/>
          </cell>
          <cell r="K1583" t="str">
            <v/>
          </cell>
          <cell r="L1583" t="str">
            <v/>
          </cell>
          <cell r="M1583" t="str">
            <v/>
          </cell>
          <cell r="N1583" t="str">
            <v/>
          </cell>
        </row>
        <row r="1584">
          <cell r="C1584">
            <v>7</v>
          </cell>
          <cell r="D1584" t="str">
            <v/>
          </cell>
          <cell r="I1584" t="str">
            <v/>
          </cell>
          <cell r="J1584" t="str">
            <v/>
          </cell>
          <cell r="K1584" t="str">
            <v/>
          </cell>
          <cell r="L1584" t="str">
            <v/>
          </cell>
          <cell r="M1584" t="str">
            <v/>
          </cell>
          <cell r="N1584" t="str">
            <v/>
          </cell>
        </row>
        <row r="1585">
          <cell r="C1585">
            <v>8</v>
          </cell>
          <cell r="D1585" t="str">
            <v/>
          </cell>
          <cell r="I1585" t="str">
            <v/>
          </cell>
          <cell r="J1585" t="str">
            <v/>
          </cell>
          <cell r="K1585" t="str">
            <v/>
          </cell>
          <cell r="L1585" t="str">
            <v/>
          </cell>
          <cell r="M1585" t="str">
            <v/>
          </cell>
          <cell r="N1585" t="str">
            <v/>
          </cell>
        </row>
        <row r="1586">
          <cell r="C1586">
            <v>9</v>
          </cell>
          <cell r="D1586" t="str">
            <v/>
          </cell>
          <cell r="I1586" t="str">
            <v/>
          </cell>
          <cell r="J1586" t="str">
            <v/>
          </cell>
          <cell r="K1586" t="str">
            <v/>
          </cell>
          <cell r="L1586" t="str">
            <v/>
          </cell>
          <cell r="M1586" t="str">
            <v/>
          </cell>
          <cell r="N1586" t="str">
            <v/>
          </cell>
        </row>
        <row r="1587">
          <cell r="C1587">
            <v>10</v>
          </cell>
          <cell r="D1587" t="str">
            <v/>
          </cell>
          <cell r="I1587" t="str">
            <v/>
          </cell>
          <cell r="J1587" t="str">
            <v/>
          </cell>
          <cell r="K1587" t="str">
            <v/>
          </cell>
          <cell r="L1587" t="str">
            <v/>
          </cell>
          <cell r="M1587" t="str">
            <v/>
          </cell>
          <cell r="N1587" t="str">
            <v/>
          </cell>
        </row>
        <row r="1588">
          <cell r="C1588">
            <v>11</v>
          </cell>
          <cell r="D1588" t="str">
            <v>Подинсталация с топлинен показател (с риск от ИВЕ | извън МКВЕГ)</v>
          </cell>
          <cell r="I1588" t="str">
            <v/>
          </cell>
          <cell r="J1588" t="str">
            <v/>
          </cell>
          <cell r="K1588" t="str">
            <v/>
          </cell>
          <cell r="L1588" t="str">
            <v/>
          </cell>
          <cell r="M1588" t="str">
            <v/>
          </cell>
          <cell r="N1588" t="str">
            <v/>
          </cell>
        </row>
        <row r="1589">
          <cell r="C1589">
            <v>12</v>
          </cell>
          <cell r="D1589" t="str">
            <v>Подинсталация с топлинен показател (без риск от ИВЕ | извън МКВЕГ)</v>
          </cell>
          <cell r="I1589" t="str">
            <v/>
          </cell>
          <cell r="J1589" t="str">
            <v/>
          </cell>
          <cell r="K1589" t="str">
            <v/>
          </cell>
          <cell r="L1589" t="str">
            <v/>
          </cell>
          <cell r="M1589" t="str">
            <v/>
          </cell>
          <cell r="N1589" t="str">
            <v/>
          </cell>
        </row>
        <row r="1590">
          <cell r="C1590">
            <v>13</v>
          </cell>
          <cell r="D1590" t="str">
            <v>Подинсталация с топлинен показател (с риск от ИВЕ | в рамките на МКВЕГ)</v>
          </cell>
          <cell r="I1590" t="str">
            <v/>
          </cell>
          <cell r="J1590" t="str">
            <v/>
          </cell>
          <cell r="K1590" t="str">
            <v/>
          </cell>
          <cell r="L1590" t="str">
            <v/>
          </cell>
          <cell r="M1590" t="str">
            <v/>
          </cell>
          <cell r="N1590" t="str">
            <v/>
          </cell>
        </row>
        <row r="1591">
          <cell r="C1591">
            <v>14</v>
          </cell>
          <cell r="D1591" t="str">
            <v>Подинсталация на топлофикационна мрежа</v>
          </cell>
          <cell r="I1591" t="str">
            <v/>
          </cell>
          <cell r="J1591" t="str">
            <v/>
          </cell>
          <cell r="K1591" t="str">
            <v/>
          </cell>
          <cell r="L1591" t="str">
            <v/>
          </cell>
          <cell r="M1591" t="str">
            <v/>
          </cell>
          <cell r="N1591" t="str">
            <v/>
          </cell>
        </row>
        <row r="1592">
          <cell r="C1592">
            <v>15</v>
          </cell>
          <cell r="D1592" t="str">
            <v>Подинсталация с горивен показател (с риск от ИВЕ | извън МКВЕГ)</v>
          </cell>
          <cell r="I1592" t="str">
            <v/>
          </cell>
          <cell r="J1592" t="str">
            <v/>
          </cell>
          <cell r="K1592" t="str">
            <v/>
          </cell>
          <cell r="L1592" t="str">
            <v/>
          </cell>
          <cell r="M1592" t="str">
            <v/>
          </cell>
          <cell r="N1592" t="str">
            <v/>
          </cell>
        </row>
        <row r="1593">
          <cell r="C1593">
            <v>16</v>
          </cell>
          <cell r="D1593" t="str">
            <v>Подинсталация с горивен показател (без риск от ИВЕ | извън МКВЕГ)</v>
          </cell>
          <cell r="I1593" t="str">
            <v/>
          </cell>
          <cell r="J1593" t="str">
            <v/>
          </cell>
          <cell r="K1593" t="str">
            <v/>
          </cell>
          <cell r="L1593" t="str">
            <v/>
          </cell>
          <cell r="M1593" t="str">
            <v/>
          </cell>
          <cell r="N1593" t="str">
            <v/>
          </cell>
        </row>
        <row r="1594">
          <cell r="C1594">
            <v>17</v>
          </cell>
          <cell r="D1594" t="str">
            <v>Подинсталация с горивен показател (с риск от ИВЕ | в рамките на МКВЕГ)</v>
          </cell>
          <cell r="I1594" t="str">
            <v/>
          </cell>
          <cell r="J1594" t="str">
            <v/>
          </cell>
          <cell r="K1594" t="str">
            <v/>
          </cell>
          <cell r="L1594" t="str">
            <v/>
          </cell>
          <cell r="M1594" t="str">
            <v/>
          </cell>
          <cell r="N1594" t="str">
            <v/>
          </cell>
        </row>
        <row r="1595">
          <cell r="C1595">
            <v>18</v>
          </cell>
          <cell r="D1595" t="str">
            <v>Подинсталация с емисии от процеси (с риск от ИВЕ | извън МКВЕГ)</v>
          </cell>
          <cell r="I1595" t="str">
            <v/>
          </cell>
          <cell r="J1595" t="str">
            <v/>
          </cell>
          <cell r="K1595" t="str">
            <v/>
          </cell>
          <cell r="L1595" t="str">
            <v/>
          </cell>
          <cell r="M1595" t="str">
            <v/>
          </cell>
        </row>
        <row r="1596">
          <cell r="C1596">
            <v>19</v>
          </cell>
          <cell r="D1596" t="str">
            <v>Подинсталация с емисии от процеси (без риск от ИВЕ | извън МКВЕГ)</v>
          </cell>
          <cell r="I1596" t="str">
            <v/>
          </cell>
          <cell r="J1596" t="str">
            <v/>
          </cell>
          <cell r="K1596" t="str">
            <v/>
          </cell>
          <cell r="L1596" t="str">
            <v/>
          </cell>
          <cell r="M1596" t="str">
            <v/>
          </cell>
        </row>
        <row r="1597">
          <cell r="C1597">
            <v>20</v>
          </cell>
          <cell r="D1597" t="str">
            <v>Подинсталация с емисии от процеси (с риск от ИВЕ | в рамките на МКВЕГ)</v>
          </cell>
          <cell r="I1597" t="str">
            <v/>
          </cell>
          <cell r="J1597" t="str">
            <v/>
          </cell>
          <cell r="K1597" t="str">
            <v/>
          </cell>
          <cell r="L1597" t="str">
            <v/>
          </cell>
          <cell r="M1597" t="str">
            <v/>
          </cell>
        </row>
        <row r="1598">
          <cell r="D1598" t="str">
            <v>Общо предварително безплатно разпределение на квоти за емисии</v>
          </cell>
          <cell r="I1598" t="str">
            <v/>
          </cell>
          <cell r="J1598" t="str">
            <v/>
          </cell>
          <cell r="K1598" t="str">
            <v/>
          </cell>
          <cell r="L1598" t="str">
            <v/>
          </cell>
          <cell r="M1598" t="str">
            <v/>
          </cell>
        </row>
        <row r="1600">
          <cell r="C1600">
            <v>2</v>
          </cell>
          <cell r="D1600" t="str">
            <v>Индикативно очаквано крайно количество безплатни квоти:</v>
          </cell>
        </row>
        <row r="1602">
          <cell r="D1602" t="str">
            <v>(a)</v>
          </cell>
          <cell r="E1602" t="str">
            <v>Прилага ли се намаление с 20 % съгласно обвързаността с условия?</v>
          </cell>
          <cell r="M1602" t="b">
            <v>0</v>
          </cell>
        </row>
        <row r="1603">
          <cell r="E1603" t="str">
            <v>Резултатът се показва автоматично въз основа на въведените данни в раздели A.II.2 и A.II.3. Ако се прилага някоя от тези обвързаности с условия, разпределяното количество квоти се намалява с 20 %.</v>
          </cell>
        </row>
        <row r="1605">
          <cell r="D1605" t="str">
            <v>(b)</v>
          </cell>
          <cell r="E1605" t="str">
            <v>Междуотраслов корекционен коефициент (МКК) съгласно член 14, параграф 6 от ПБР:</v>
          </cell>
        </row>
        <row r="1606">
          <cell r="E1606" t="str">
            <v>Както беше пояснено по-горе, за Ваша информация тук можете да въведете стойности за единния междуотраслов корекционен коефициент съгласно член 10а, параграф 5 от Директивата за СТЕ на ЕС. Докато Комисията публикува окончателната стойност съгласно член 14, параграф 6 от ПБР, стойността по подразбиране е 1.</v>
          </cell>
        </row>
        <row r="1607">
          <cell r="E1607" t="str">
            <v>При подаването на настоящия отчет до компетентния орган с цел установяване на националните мерки за изпълнение се уверете, че тук не са въведени никакви данни.</v>
          </cell>
        </row>
        <row r="1608">
          <cell r="E1608" t="str">
            <v>В съответствие с член 16, параграф 8 МКК винаги трябва да бъде 1 за инсталации, чиито подинсталации са под средната стойност за най-ефективните 10 % за съответния им показател и допринасят за повече от 60 % от предварителното разпределяне на квоти. Тази информация обаче ще бъде известна едва след като бъдат определени новите стойности на показателите.</v>
          </cell>
        </row>
        <row r="1609">
          <cell r="D1609" t="str">
            <v>i.</v>
          </cell>
          <cell r="E1609" t="str">
            <v>През 2021—2022 г. инсталацията има подинсталации, които са сред 10-те % с най-висока ефективност по отношение на парниковите газове?</v>
          </cell>
          <cell r="M1609" t="str">
            <v/>
          </cell>
        </row>
        <row r="1610">
          <cell r="D1610" t="str">
            <v>ii.</v>
          </cell>
          <cell r="E1610" t="str">
            <v>Подинсталациите по подточка i. допринасят за следния дял от предварителното разпределяне на квоти:</v>
          </cell>
          <cell r="M1610" t="str">
            <v/>
          </cell>
        </row>
        <row r="1612">
          <cell r="I1612">
            <v>2026</v>
          </cell>
          <cell r="J1612">
            <v>2027</v>
          </cell>
          <cell r="K1612">
            <v>2028</v>
          </cell>
          <cell r="L1612">
            <v>2029</v>
          </cell>
          <cell r="M1612">
            <v>2030</v>
          </cell>
        </row>
        <row r="1613">
          <cell r="D1613" t="str">
            <v>iii.</v>
          </cell>
          <cell r="E1613" t="str">
            <v>МКК</v>
          </cell>
        </row>
        <row r="1614">
          <cell r="D1614" t="str">
            <v>iv.</v>
          </cell>
          <cell r="E1614" t="str">
            <v>Стойност, използвана при изчислението</v>
          </cell>
          <cell r="I1614">
            <v>1</v>
          </cell>
          <cell r="J1614">
            <v>1</v>
          </cell>
          <cell r="K1614">
            <v>1</v>
          </cell>
          <cell r="L1614">
            <v>1</v>
          </cell>
          <cell r="M1614">
            <v>1</v>
          </cell>
        </row>
        <row r="1616">
          <cell r="D1616" t="str">
            <v>(c)</v>
          </cell>
          <cell r="E1616" t="str">
            <v>Изчисление съгласно член 16, параграф 8 от ПБР:</v>
          </cell>
        </row>
        <row r="1617">
          <cell r="E1617" t="str">
            <v>Показаните тук количества отразяват изчисленията на общото крайно количество квоти, които се разпределят безплатно в съответствие с член 16, параграф 8 от ПБР, т.е. стойности за разпределяне, при които се вземат предвид приложимите приспадания и междуотрасловия корекционен коефициент, ако е целесъобразно (т.е. резултата от буква б) по-горе). Тези стойности обаче не могат да се смятат за крайни, защото към момента на събиране на тези данни все още не е известен междуотрасловият корекционен коефициент.</v>
          </cell>
        </row>
        <row r="1619">
          <cell r="D1619" t="str">
            <v>Подинсталация</v>
          </cell>
          <cell r="I1619">
            <v>2026</v>
          </cell>
          <cell r="J1619">
            <v>2027</v>
          </cell>
          <cell r="K1619">
            <v>2028</v>
          </cell>
          <cell r="L1619">
            <v>2029</v>
          </cell>
          <cell r="M1619">
            <v>2030</v>
          </cell>
        </row>
        <row r="1620">
          <cell r="C1620">
            <v>1</v>
          </cell>
          <cell r="D1620" t="str">
            <v/>
          </cell>
          <cell r="I1620" t="str">
            <v/>
          </cell>
          <cell r="J1620" t="str">
            <v/>
          </cell>
          <cell r="K1620" t="str">
            <v/>
          </cell>
          <cell r="L1620" t="str">
            <v/>
          </cell>
          <cell r="M1620" t="str">
            <v/>
          </cell>
        </row>
        <row r="1621">
          <cell r="C1621">
            <v>2</v>
          </cell>
          <cell r="D1621" t="str">
            <v/>
          </cell>
          <cell r="I1621" t="str">
            <v/>
          </cell>
          <cell r="J1621" t="str">
            <v/>
          </cell>
          <cell r="K1621" t="str">
            <v/>
          </cell>
          <cell r="L1621" t="str">
            <v/>
          </cell>
          <cell r="M1621" t="str">
            <v/>
          </cell>
        </row>
        <row r="1622">
          <cell r="C1622">
            <v>3</v>
          </cell>
          <cell r="D1622" t="str">
            <v/>
          </cell>
          <cell r="I1622" t="str">
            <v/>
          </cell>
          <cell r="J1622" t="str">
            <v/>
          </cell>
          <cell r="K1622" t="str">
            <v/>
          </cell>
          <cell r="L1622" t="str">
            <v/>
          </cell>
          <cell r="M1622" t="str">
            <v/>
          </cell>
        </row>
        <row r="1623">
          <cell r="C1623">
            <v>4</v>
          </cell>
          <cell r="D1623" t="str">
            <v/>
          </cell>
          <cell r="I1623" t="str">
            <v/>
          </cell>
          <cell r="J1623" t="str">
            <v/>
          </cell>
          <cell r="K1623" t="str">
            <v/>
          </cell>
          <cell r="L1623" t="str">
            <v/>
          </cell>
          <cell r="M1623" t="str">
            <v/>
          </cell>
        </row>
        <row r="1624">
          <cell r="C1624">
            <v>5</v>
          </cell>
          <cell r="D1624" t="str">
            <v/>
          </cell>
          <cell r="I1624" t="str">
            <v/>
          </cell>
          <cell r="J1624" t="str">
            <v/>
          </cell>
          <cell r="K1624" t="str">
            <v/>
          </cell>
          <cell r="L1624" t="str">
            <v/>
          </cell>
          <cell r="M1624" t="str">
            <v/>
          </cell>
        </row>
        <row r="1625">
          <cell r="C1625">
            <v>6</v>
          </cell>
          <cell r="D1625" t="str">
            <v/>
          </cell>
          <cell r="I1625" t="str">
            <v/>
          </cell>
          <cell r="J1625" t="str">
            <v/>
          </cell>
          <cell r="K1625" t="str">
            <v/>
          </cell>
          <cell r="L1625" t="str">
            <v/>
          </cell>
          <cell r="M1625" t="str">
            <v/>
          </cell>
        </row>
        <row r="1626">
          <cell r="C1626">
            <v>7</v>
          </cell>
          <cell r="D1626" t="str">
            <v/>
          </cell>
          <cell r="I1626" t="str">
            <v/>
          </cell>
          <cell r="J1626" t="str">
            <v/>
          </cell>
          <cell r="K1626" t="str">
            <v/>
          </cell>
          <cell r="L1626" t="str">
            <v/>
          </cell>
          <cell r="M1626" t="str">
            <v/>
          </cell>
        </row>
        <row r="1627">
          <cell r="C1627">
            <v>8</v>
          </cell>
          <cell r="D1627" t="str">
            <v/>
          </cell>
          <cell r="I1627" t="str">
            <v/>
          </cell>
          <cell r="J1627" t="str">
            <v/>
          </cell>
          <cell r="K1627" t="str">
            <v/>
          </cell>
          <cell r="L1627" t="str">
            <v/>
          </cell>
          <cell r="M1627" t="str">
            <v/>
          </cell>
        </row>
        <row r="1628">
          <cell r="C1628">
            <v>9</v>
          </cell>
          <cell r="D1628" t="str">
            <v/>
          </cell>
          <cell r="I1628" t="str">
            <v/>
          </cell>
          <cell r="J1628" t="str">
            <v/>
          </cell>
          <cell r="K1628" t="str">
            <v/>
          </cell>
          <cell r="L1628" t="str">
            <v/>
          </cell>
          <cell r="M1628" t="str">
            <v/>
          </cell>
        </row>
        <row r="1629">
          <cell r="C1629">
            <v>10</v>
          </cell>
          <cell r="D1629" t="str">
            <v/>
          </cell>
          <cell r="I1629" t="str">
            <v/>
          </cell>
          <cell r="J1629" t="str">
            <v/>
          </cell>
          <cell r="K1629" t="str">
            <v/>
          </cell>
          <cell r="L1629" t="str">
            <v/>
          </cell>
          <cell r="M1629" t="str">
            <v/>
          </cell>
        </row>
        <row r="1630">
          <cell r="C1630">
            <v>11</v>
          </cell>
          <cell r="D1630" t="str">
            <v>Подинсталация с топлинен показател (с риск от ИВЕ | извън МКВЕГ)</v>
          </cell>
          <cell r="I1630" t="str">
            <v/>
          </cell>
          <cell r="J1630" t="str">
            <v/>
          </cell>
          <cell r="K1630" t="str">
            <v/>
          </cell>
          <cell r="L1630" t="str">
            <v/>
          </cell>
          <cell r="M1630" t="str">
            <v/>
          </cell>
        </row>
        <row r="1631">
          <cell r="C1631">
            <v>12</v>
          </cell>
          <cell r="D1631" t="str">
            <v>Подинсталация с топлинен показател (без риск от ИВЕ | извън МКВЕГ)</v>
          </cell>
          <cell r="I1631" t="str">
            <v/>
          </cell>
          <cell r="J1631" t="str">
            <v/>
          </cell>
          <cell r="K1631" t="str">
            <v/>
          </cell>
          <cell r="L1631" t="str">
            <v/>
          </cell>
          <cell r="M1631" t="str">
            <v/>
          </cell>
        </row>
        <row r="1632">
          <cell r="C1632">
            <v>13</v>
          </cell>
          <cell r="D1632" t="str">
            <v>Подинсталация с топлинен показател (с риск от ИВЕ | в рамките на МКВЕГ)</v>
          </cell>
          <cell r="I1632" t="str">
            <v/>
          </cell>
          <cell r="J1632" t="str">
            <v/>
          </cell>
          <cell r="K1632" t="str">
            <v/>
          </cell>
          <cell r="L1632" t="str">
            <v/>
          </cell>
          <cell r="M1632" t="str">
            <v/>
          </cell>
        </row>
        <row r="1633">
          <cell r="C1633">
            <v>14</v>
          </cell>
          <cell r="D1633" t="str">
            <v>Подинсталация на топлофикационна мрежа</v>
          </cell>
          <cell r="I1633" t="str">
            <v/>
          </cell>
          <cell r="J1633" t="str">
            <v/>
          </cell>
          <cell r="K1633" t="str">
            <v/>
          </cell>
          <cell r="L1633" t="str">
            <v/>
          </cell>
          <cell r="M1633" t="str">
            <v/>
          </cell>
        </row>
        <row r="1634">
          <cell r="C1634">
            <v>15</v>
          </cell>
          <cell r="D1634" t="str">
            <v>Подинсталация с горивен показател (с риск от ИВЕ | извън МКВЕГ)</v>
          </cell>
          <cell r="I1634" t="str">
            <v/>
          </cell>
          <cell r="J1634" t="str">
            <v/>
          </cell>
          <cell r="K1634" t="str">
            <v/>
          </cell>
          <cell r="L1634" t="str">
            <v/>
          </cell>
          <cell r="M1634" t="str">
            <v/>
          </cell>
        </row>
        <row r="1635">
          <cell r="C1635">
            <v>16</v>
          </cell>
          <cell r="D1635" t="str">
            <v>Подинсталация с горивен показател (без риск от ИВЕ | извън МКВЕГ)</v>
          </cell>
          <cell r="I1635" t="str">
            <v/>
          </cell>
          <cell r="J1635" t="str">
            <v/>
          </cell>
          <cell r="K1635" t="str">
            <v/>
          </cell>
          <cell r="L1635" t="str">
            <v/>
          </cell>
          <cell r="M1635" t="str">
            <v/>
          </cell>
        </row>
        <row r="1636">
          <cell r="C1636">
            <v>17</v>
          </cell>
          <cell r="D1636" t="str">
            <v>Подинсталация с горивен показател (с риск от ИВЕ | в рамките на МКВЕГ)</v>
          </cell>
          <cell r="I1636" t="str">
            <v/>
          </cell>
          <cell r="J1636" t="str">
            <v/>
          </cell>
          <cell r="K1636" t="str">
            <v/>
          </cell>
          <cell r="L1636" t="str">
            <v/>
          </cell>
          <cell r="M1636" t="str">
            <v/>
          </cell>
        </row>
        <row r="1637">
          <cell r="C1637">
            <v>18</v>
          </cell>
          <cell r="D1637" t="str">
            <v>Подинсталация с емисии от процеси (с риск от ИВЕ | извън МКВЕГ)</v>
          </cell>
          <cell r="I1637" t="str">
            <v/>
          </cell>
          <cell r="J1637" t="str">
            <v/>
          </cell>
          <cell r="K1637" t="str">
            <v/>
          </cell>
          <cell r="L1637" t="str">
            <v/>
          </cell>
          <cell r="M1637" t="str">
            <v/>
          </cell>
        </row>
        <row r="1638">
          <cell r="C1638">
            <v>19</v>
          </cell>
          <cell r="D1638" t="str">
            <v>Подинсталация с емисии от процеси (без риск от ИВЕ | извън МКВЕГ)</v>
          </cell>
          <cell r="I1638" t="str">
            <v/>
          </cell>
          <cell r="J1638" t="str">
            <v/>
          </cell>
          <cell r="K1638" t="str">
            <v/>
          </cell>
          <cell r="L1638" t="str">
            <v/>
          </cell>
          <cell r="M1638" t="str">
            <v/>
          </cell>
        </row>
        <row r="1639">
          <cell r="C1639">
            <v>20</v>
          </cell>
          <cell r="D1639" t="str">
            <v>Подинсталация с емисии от процеси (с риск от ИВЕ | в рамките на МКВЕГ)</v>
          </cell>
          <cell r="I1639" t="str">
            <v/>
          </cell>
          <cell r="J1639" t="str">
            <v/>
          </cell>
          <cell r="K1639" t="str">
            <v/>
          </cell>
          <cell r="L1639" t="str">
            <v/>
          </cell>
          <cell r="M1639" t="str">
            <v/>
          </cell>
        </row>
        <row r="1640">
          <cell r="D1640" t="str">
            <v>Общо предварително безплатно разпределение на квоти за емисии</v>
          </cell>
          <cell r="I1640" t="str">
            <v/>
          </cell>
          <cell r="J1640" t="str">
            <v/>
          </cell>
          <cell r="K1640" t="str">
            <v/>
          </cell>
          <cell r="L1640" t="str">
            <v/>
          </cell>
          <cell r="M1640" t="str">
            <v/>
          </cell>
        </row>
      </sheetData>
      <sheetData sheetId="16"/>
      <sheetData sheetId="17"/>
      <sheetData sheetId="18"/>
      <sheetData sheetId="1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8" Type="http://schemas.openxmlformats.org/officeDocument/2006/relationships/hyperlink" Target="../../../../../../heller/AppData/Local/Microsoft/Windows/INetCache/Content.MSO/B6D1B612.xls" TargetMode="External"/><Relationship Id="rId13" Type="http://schemas.openxmlformats.org/officeDocument/2006/relationships/hyperlink" Target="https://eur-lex.europa.eu/eli/reg/1987/2658/2023-06-17" TargetMode="External"/><Relationship Id="rId18" Type="http://schemas.openxmlformats.org/officeDocument/2006/relationships/hyperlink" Target="../../../../../../heller/AppData/Local/Microsoft/Windows/INetCache/Content.MSO/B6D1B612.xls" TargetMode="External"/><Relationship Id="rId3" Type="http://schemas.openxmlformats.org/officeDocument/2006/relationships/hyperlink" Target="../../../../../../heller/AppData/Local/Microsoft/Windows/INetCache/Content.MSO/B6D1B612.xls" TargetMode="External"/><Relationship Id="rId21" Type="http://schemas.openxmlformats.org/officeDocument/2006/relationships/printerSettings" Target="../printerSettings/printerSettings16.bin"/><Relationship Id="rId7" Type="http://schemas.openxmlformats.org/officeDocument/2006/relationships/hyperlink" Target="../../../../../../heller/AppData/Local/Microsoft/Windows/INetCache/Content.MSO/B6D1B612.xls" TargetMode="External"/><Relationship Id="rId12" Type="http://schemas.openxmlformats.org/officeDocument/2006/relationships/hyperlink" Target="https://eur-lex.europa.eu/eli/reg/2010/860/oj/eng" TargetMode="External"/><Relationship Id="rId17" Type="http://schemas.openxmlformats.org/officeDocument/2006/relationships/hyperlink" Target="../../../../../../heller/AppData/Local/Microsoft/Windows/INetCache/Content.MSO/B6D1B612.xls" TargetMode="External"/><Relationship Id="rId2" Type="http://schemas.openxmlformats.org/officeDocument/2006/relationships/hyperlink" Target="../../../../../../heller/AppData/Local/Microsoft/Windows/INetCache/Content.MSO/B6D1B612.xls" TargetMode="External"/><Relationship Id="rId16" Type="http://schemas.openxmlformats.org/officeDocument/2006/relationships/hyperlink" Target="../../../../../../heller/AppData/Local/Microsoft/Windows/INetCache/Content.MSO/B6D1B612.xls" TargetMode="External"/><Relationship Id="rId20" Type="http://schemas.openxmlformats.org/officeDocument/2006/relationships/hyperlink" Target="../../../../../../heller/AppData/Local/Microsoft/Windows/INetCache/Content.MSO/B6D1B612.xls" TargetMode="External"/><Relationship Id="rId1" Type="http://schemas.openxmlformats.org/officeDocument/2006/relationships/hyperlink" Target="https://eur-lex.europa.eu/eli/dir/2013/34/oj" TargetMode="External"/><Relationship Id="rId6" Type="http://schemas.openxmlformats.org/officeDocument/2006/relationships/hyperlink" Target="https://eur-lex.europa.eu/eli/dir/2013/34/oj" TargetMode="External"/><Relationship Id="rId11" Type="http://schemas.openxmlformats.org/officeDocument/2006/relationships/hyperlink" Target="https://eur-lex.europa.eu/eli/reg_impl/2019/1842/2022-06-19" TargetMode="External"/><Relationship Id="rId5" Type="http://schemas.openxmlformats.org/officeDocument/2006/relationships/hyperlink" Target="../../../../../../heller/AppData/Local/Microsoft/Windows/INetCache/Content.MSO/B6D1B612.xls" TargetMode="External"/><Relationship Id="rId15" Type="http://schemas.openxmlformats.org/officeDocument/2006/relationships/hyperlink" Target="../../../../../../heller/AppData/Local/Microsoft/Windows/INetCache/Content.MSO/B6D1B612.xls" TargetMode="External"/><Relationship Id="rId10" Type="http://schemas.openxmlformats.org/officeDocument/2006/relationships/hyperlink" Target="https://eur-lex.europa.eu/eli/reg_del/2019/331/2024-01-01" TargetMode="External"/><Relationship Id="rId19" Type="http://schemas.openxmlformats.org/officeDocument/2006/relationships/hyperlink" Target="../../../../../../heller/AppData/Local/Microsoft/Windows/INetCache/Content.MSO/B6D1B612.xls" TargetMode="External"/><Relationship Id="rId4" Type="http://schemas.openxmlformats.org/officeDocument/2006/relationships/hyperlink" Target="../../../../../../heller/AppData/Local/Microsoft/Windows/INetCache/Content.MSO/B6D1B612.xls" TargetMode="External"/><Relationship Id="rId9" Type="http://schemas.openxmlformats.org/officeDocument/2006/relationships/hyperlink" Target="http://ec.europa.eu/clima/documentation/ets/docs/decision_benchmarking_15_dec_en.pdf." TargetMode="External"/><Relationship Id="rId14" Type="http://schemas.openxmlformats.org/officeDocument/2006/relationships/hyperlink" Target="https://eur-lex.europa.eu/eli/reg/2010/860/oj"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8" Type="http://schemas.openxmlformats.org/officeDocument/2006/relationships/hyperlink" Target="https://eur-lex.europa.eu/eli/reg_impl/2019/1842/oj" TargetMode="External"/><Relationship Id="rId3" Type="http://schemas.openxmlformats.org/officeDocument/2006/relationships/hyperlink" Target="http://ec.europa.eu/clima/documentation/ets/docs/decision_benchmarking_15_dec_en.pdf." TargetMode="External"/><Relationship Id="rId7" Type="http://schemas.openxmlformats.org/officeDocument/2006/relationships/hyperlink" Target="https://eur-lex.europa.eu/legal-content/EN/TXT/?uri=CELEX%3A02019R1842-20260101" TargetMode="External"/><Relationship Id="rId2" Type="http://schemas.openxmlformats.org/officeDocument/2006/relationships/hyperlink" Target="http://ec.europa.eu/clima/policies/ets/index_en.htm" TargetMode="External"/><Relationship Id="rId1" Type="http://schemas.openxmlformats.org/officeDocument/2006/relationships/hyperlink" Target="http://eur-lex.europa.eu/en/index.htm" TargetMode="External"/><Relationship Id="rId6" Type="http://schemas.openxmlformats.org/officeDocument/2006/relationships/hyperlink" Target="http://data.europa.eu/eli/reg_del/2019/331/oj" TargetMode="External"/><Relationship Id="rId5" Type="http://schemas.openxmlformats.org/officeDocument/2006/relationships/hyperlink" Target="https://eur-lex.europa.eu/eli/reg_del/2019/331/2024-01-01" TargetMode="External"/><Relationship Id="rId4" Type="http://schemas.openxmlformats.org/officeDocument/2006/relationships/hyperlink" Target="https://eur-lex.europa.eu/eli/dir/2003/87/2024-03-01"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eur-lex.europa.eu/eli/dir/2013/34/oj" TargetMode="External"/><Relationship Id="rId1" Type="http://schemas.openxmlformats.org/officeDocument/2006/relationships/hyperlink" Target="http://ec.europa.eu/eurostat/ramon/nomenclatures/index.cfm?TargetUrl=LST_CLS_DLD&amp;StrNom=NACE_REV2&amp;StrLanguageCode=EN&amp;StrLayoutCode=HIERARCHIC"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eur-lex.europa.eu/eli/reg_del/2015/2402/oj"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hyperlink" Target="https://climate.ec.europa.eu/eu-action/eu-emissions-trading-system-eu-ets/free-allocation_en" TargetMode="External"/><Relationship Id="rId13" Type="http://schemas.openxmlformats.org/officeDocument/2006/relationships/hyperlink" Target="https://eur-lex.europa.eu/eli/reg/2010/860/oj/eng" TargetMode="External"/><Relationship Id="rId18" Type="http://schemas.openxmlformats.org/officeDocument/2006/relationships/hyperlink" Target="https://ec.europa.eu/clima/policies/ets/allowances_en" TargetMode="External"/><Relationship Id="rId26" Type="http://schemas.openxmlformats.org/officeDocument/2006/relationships/hyperlink" Target="https://ec.europa.eu/clima/policies/ets/allowances_en" TargetMode="External"/><Relationship Id="rId39" Type="http://schemas.openxmlformats.org/officeDocument/2006/relationships/hyperlink" Target="https://eur-lex.europa.eu/eli/reg/1987/2658/2023-06-17" TargetMode="External"/><Relationship Id="rId3" Type="http://schemas.openxmlformats.org/officeDocument/2006/relationships/hyperlink" Target="https://eur-lex.europa.eu/eli/reg/1987/2658/2023-06-17" TargetMode="External"/><Relationship Id="rId21" Type="http://schemas.openxmlformats.org/officeDocument/2006/relationships/hyperlink" Target="https://eur-lex.europa.eu/eli/reg/2010/860/oj/eng" TargetMode="External"/><Relationship Id="rId34" Type="http://schemas.openxmlformats.org/officeDocument/2006/relationships/hyperlink" Target="https://ec.europa.eu/clima/policies/ets/allowances_en" TargetMode="External"/><Relationship Id="rId42" Type="http://schemas.openxmlformats.org/officeDocument/2006/relationships/printerSettings" Target="../printerSettings/printerSettings8.bin"/><Relationship Id="rId7" Type="http://schemas.openxmlformats.org/officeDocument/2006/relationships/hyperlink" Target="https://eur-lex.europa.eu/eli/reg/1987/2658/2023-06-17" TargetMode="External"/><Relationship Id="rId12" Type="http://schemas.openxmlformats.org/officeDocument/2006/relationships/hyperlink" Target="https://climate.ec.europa.eu/eu-action/eu-emissions-trading-system-eu-ets/free-allocation_en" TargetMode="External"/><Relationship Id="rId17" Type="http://schemas.openxmlformats.org/officeDocument/2006/relationships/hyperlink" Target="https://eur-lex.europa.eu/eli/reg/2010/860/oj/eng" TargetMode="External"/><Relationship Id="rId25" Type="http://schemas.openxmlformats.org/officeDocument/2006/relationships/hyperlink" Target="https://eur-lex.europa.eu/eli/reg/2010/860/oj/eng" TargetMode="External"/><Relationship Id="rId33" Type="http://schemas.openxmlformats.org/officeDocument/2006/relationships/hyperlink" Target="https://eur-lex.europa.eu/eli/reg/2010/860/oj/eng" TargetMode="External"/><Relationship Id="rId38" Type="http://schemas.openxmlformats.org/officeDocument/2006/relationships/hyperlink" Target="https://ec.europa.eu/clima/policies/ets/allowances_en" TargetMode="External"/><Relationship Id="rId2" Type="http://schemas.openxmlformats.org/officeDocument/2006/relationships/hyperlink" Target="https://ec.europa.eu/clima/policies/ets/allowances_en" TargetMode="External"/><Relationship Id="rId16" Type="http://schemas.openxmlformats.org/officeDocument/2006/relationships/hyperlink" Target="https://climate.ec.europa.eu/eu-action/eu-emissions-trading-system-eu-ets/free-allocation_en" TargetMode="External"/><Relationship Id="rId20" Type="http://schemas.openxmlformats.org/officeDocument/2006/relationships/hyperlink" Target="https://climate.ec.europa.eu/eu-action/eu-emissions-trading-system-eu-ets/free-allocation_en" TargetMode="External"/><Relationship Id="rId29" Type="http://schemas.openxmlformats.org/officeDocument/2006/relationships/hyperlink" Target="https://eur-lex.europa.eu/eli/reg/2010/860/oj/eng" TargetMode="External"/><Relationship Id="rId41" Type="http://schemas.openxmlformats.org/officeDocument/2006/relationships/hyperlink" Target="https://climate.ec.europa.eu/eu-action/carbon-markets/eu-emissions-trading-system-eu-ets/free-allocation/about-free-allocation_en" TargetMode="External"/><Relationship Id="rId1" Type="http://schemas.openxmlformats.org/officeDocument/2006/relationships/hyperlink" Target="https://eur-lex.europa.eu/eli/reg/2010/860/oj/eng" TargetMode="External"/><Relationship Id="rId6" Type="http://schemas.openxmlformats.org/officeDocument/2006/relationships/hyperlink" Target="https://ec.europa.eu/clima/policies/ets/allowances_en" TargetMode="External"/><Relationship Id="rId11" Type="http://schemas.openxmlformats.org/officeDocument/2006/relationships/hyperlink" Target="https://eur-lex.europa.eu/eli/reg/1987/2658/2023-06-17" TargetMode="External"/><Relationship Id="rId24" Type="http://schemas.openxmlformats.org/officeDocument/2006/relationships/hyperlink" Target="https://climate.ec.europa.eu/eu-action/eu-emissions-trading-system-eu-ets/free-allocation_en" TargetMode="External"/><Relationship Id="rId32" Type="http://schemas.openxmlformats.org/officeDocument/2006/relationships/hyperlink" Target="https://climate.ec.europa.eu/eu-action/eu-emissions-trading-system-eu-ets/free-allocation_en" TargetMode="External"/><Relationship Id="rId37" Type="http://schemas.openxmlformats.org/officeDocument/2006/relationships/hyperlink" Target="https://eur-lex.europa.eu/eli/reg/2010/860/oj/eng" TargetMode="External"/><Relationship Id="rId40" Type="http://schemas.openxmlformats.org/officeDocument/2006/relationships/hyperlink" Target="https://climate.ec.europa.eu/eu-action/eu-emissions-trading-system-eu-ets/free-allocation_en" TargetMode="External"/><Relationship Id="rId5" Type="http://schemas.openxmlformats.org/officeDocument/2006/relationships/hyperlink" Target="https://eur-lex.europa.eu/eli/reg/2010/860/oj/eng" TargetMode="External"/><Relationship Id="rId15" Type="http://schemas.openxmlformats.org/officeDocument/2006/relationships/hyperlink" Target="https://eur-lex.europa.eu/eli/reg/1987/2658/2023-06-17" TargetMode="External"/><Relationship Id="rId23" Type="http://schemas.openxmlformats.org/officeDocument/2006/relationships/hyperlink" Target="https://eur-lex.europa.eu/eli/reg/1987/2658/2023-06-17" TargetMode="External"/><Relationship Id="rId28" Type="http://schemas.openxmlformats.org/officeDocument/2006/relationships/hyperlink" Target="https://climate.ec.europa.eu/eu-action/eu-emissions-trading-system-eu-ets/free-allocation_en" TargetMode="External"/><Relationship Id="rId36" Type="http://schemas.openxmlformats.org/officeDocument/2006/relationships/hyperlink" Target="https://climate.ec.europa.eu/eu-action/eu-emissions-trading-system-eu-ets/free-allocation_en" TargetMode="External"/><Relationship Id="rId10" Type="http://schemas.openxmlformats.org/officeDocument/2006/relationships/hyperlink" Target="https://ec.europa.eu/clima/policies/ets/allowances_en" TargetMode="External"/><Relationship Id="rId19" Type="http://schemas.openxmlformats.org/officeDocument/2006/relationships/hyperlink" Target="https://eur-lex.europa.eu/eli/reg/1987/2658/2023-06-17" TargetMode="External"/><Relationship Id="rId31" Type="http://schemas.openxmlformats.org/officeDocument/2006/relationships/hyperlink" Target="https://eur-lex.europa.eu/eli/reg/1987/2658/2023-06-17" TargetMode="External"/><Relationship Id="rId44" Type="http://schemas.openxmlformats.org/officeDocument/2006/relationships/comments" Target="../comments2.xml"/><Relationship Id="rId4" Type="http://schemas.openxmlformats.org/officeDocument/2006/relationships/hyperlink" Target="https://climate.ec.europa.eu/eu-action/carbon-markets/eu-emissions-trading-system-eu-ets/free-allocation/about-free-allocation_en" TargetMode="External"/><Relationship Id="rId9" Type="http://schemas.openxmlformats.org/officeDocument/2006/relationships/hyperlink" Target="https://eur-lex.europa.eu/eli/reg/2010/860/oj/eng" TargetMode="External"/><Relationship Id="rId14" Type="http://schemas.openxmlformats.org/officeDocument/2006/relationships/hyperlink" Target="https://ec.europa.eu/clima/policies/ets/allowances_en" TargetMode="External"/><Relationship Id="rId22" Type="http://schemas.openxmlformats.org/officeDocument/2006/relationships/hyperlink" Target="https://ec.europa.eu/clima/policies/ets/allowances_en" TargetMode="External"/><Relationship Id="rId27" Type="http://schemas.openxmlformats.org/officeDocument/2006/relationships/hyperlink" Target="https://eur-lex.europa.eu/eli/reg/1987/2658/2023-06-17" TargetMode="External"/><Relationship Id="rId30" Type="http://schemas.openxmlformats.org/officeDocument/2006/relationships/hyperlink" Target="https://ec.europa.eu/clima/policies/ets/allowances_en" TargetMode="External"/><Relationship Id="rId35" Type="http://schemas.openxmlformats.org/officeDocument/2006/relationships/hyperlink" Target="https://eur-lex.europa.eu/eli/reg/1987/2658/2023-06-17" TargetMode="External"/><Relationship Id="rId43"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13" Type="http://schemas.openxmlformats.org/officeDocument/2006/relationships/hyperlink" Target="https://eur-lex.europa.eu/eli/reg/2010/860/oj" TargetMode="External"/><Relationship Id="rId18" Type="http://schemas.openxmlformats.org/officeDocument/2006/relationships/hyperlink" Target="https://eur-lex.europa.eu/eli/reg/2010/860/oj" TargetMode="External"/><Relationship Id="rId26" Type="http://schemas.openxmlformats.org/officeDocument/2006/relationships/hyperlink" Target="http://ec.europa.eu/eurostat/ramon/nomenclatures/index.cfm?TargetUrl=LST_CLS_DLD&amp;StrNom=PRD_2010&amp;StrLanguageCode=EN&amp;StrLayoutCode=HIERARCHIC" TargetMode="External"/><Relationship Id="rId39" Type="http://schemas.openxmlformats.org/officeDocument/2006/relationships/hyperlink" Target="https://eur-lex.europa.eu/eli/reg/1987/2658/2023-06-17" TargetMode="External"/><Relationship Id="rId3" Type="http://schemas.openxmlformats.org/officeDocument/2006/relationships/hyperlink" Target="http://ec.europa.eu/eurostat/ramon/nomenclatures/index.cfm?TargetUrl=LST_CLS_DLD&amp;StrNom=PRD_2010&amp;StrLanguageCode=EN&amp;StrLayoutCode=HIERARCHIC" TargetMode="External"/><Relationship Id="rId21" Type="http://schemas.openxmlformats.org/officeDocument/2006/relationships/hyperlink" Target="http://ec.europa.eu/eurostat/ramon/nomenclatures/index.cfm?TargetUrl=LST_CLS_DLD&amp;StrNom=PRD_2010&amp;StrLanguageCode=EN&amp;StrLayoutCode=HIERARCHIC" TargetMode="External"/><Relationship Id="rId34" Type="http://schemas.openxmlformats.org/officeDocument/2006/relationships/hyperlink" Target="http://ec.europa.eu/eurostat/ramon/nomenclatures/index.cfm?TargetUrl=LST_CLS_DLD&amp;StrNom=PRD_2010&amp;StrLanguageCode=EN&amp;StrLayoutCode=HIERARCHIC" TargetMode="External"/><Relationship Id="rId42" Type="http://schemas.openxmlformats.org/officeDocument/2006/relationships/hyperlink" Target="http://ec.europa.eu/eurostat/ramon/nomenclatures/index.cfm?TargetUrl=LST_CLS_DLD&amp;StrNom=PRD_2010&amp;StrLanguageCode=EN&amp;StrLayoutCode=HIERARCHIC" TargetMode="External"/><Relationship Id="rId47" Type="http://schemas.openxmlformats.org/officeDocument/2006/relationships/hyperlink" Target="https://eur-lex.europa.eu/eli/reg/1987/2658/2023-06-17" TargetMode="External"/><Relationship Id="rId50" Type="http://schemas.openxmlformats.org/officeDocument/2006/relationships/vmlDrawing" Target="../drawings/vmlDrawing3.vml"/><Relationship Id="rId7" Type="http://schemas.openxmlformats.org/officeDocument/2006/relationships/hyperlink" Target="https://eur-lex.europa.eu/eli/reg/2010/860/oj" TargetMode="External"/><Relationship Id="rId12" Type="http://schemas.openxmlformats.org/officeDocument/2006/relationships/hyperlink" Target="https://eur-lex.europa.eu/eli/reg/2010/860/oj" TargetMode="External"/><Relationship Id="rId17" Type="http://schemas.openxmlformats.org/officeDocument/2006/relationships/hyperlink" Target="https://eur-lex.europa.eu/eli/reg/1987/2658/2023-06-17" TargetMode="External"/><Relationship Id="rId25" Type="http://schemas.openxmlformats.org/officeDocument/2006/relationships/hyperlink" Target="https://eur-lex.europa.eu/eli/reg/2010/860/oj" TargetMode="External"/><Relationship Id="rId33" Type="http://schemas.openxmlformats.org/officeDocument/2006/relationships/hyperlink" Target="https://eur-lex.europa.eu/eli/reg/2010/860/oj" TargetMode="External"/><Relationship Id="rId38" Type="http://schemas.openxmlformats.org/officeDocument/2006/relationships/hyperlink" Target="http://ec.europa.eu/eurostat/ramon/nomenclatures/index.cfm?TargetUrl=LST_CLS_DLD&amp;StrNom=PRD_2010&amp;StrLanguageCode=EN&amp;StrLayoutCode=HIERARCHIC" TargetMode="External"/><Relationship Id="rId46" Type="http://schemas.openxmlformats.org/officeDocument/2006/relationships/hyperlink" Target="http://ec.europa.eu/eurostat/ramon/nomenclatures/index.cfm?TargetUrl=LST_CLS_DLD&amp;StrNom=PRD_2010&amp;StrLanguageCode=EN&amp;StrLayoutCode=HIERARCHIC" TargetMode="External"/><Relationship Id="rId2" Type="http://schemas.openxmlformats.org/officeDocument/2006/relationships/hyperlink" Target="https://ec.europa.eu/clima/policies/ets/allowances_en" TargetMode="External"/><Relationship Id="rId16" Type="http://schemas.openxmlformats.org/officeDocument/2006/relationships/hyperlink" Target="https://climate.ec.europa.eu/eu-action/eu-emissions-trading-system-eu-ets/free-allocation_en" TargetMode="External"/><Relationship Id="rId20" Type="http://schemas.openxmlformats.org/officeDocument/2006/relationships/hyperlink" Target="https://ec.europa.eu/clima/policies/ets/allowances_en" TargetMode="External"/><Relationship Id="rId29" Type="http://schemas.openxmlformats.org/officeDocument/2006/relationships/hyperlink" Target="https://eur-lex.europa.eu/eli/reg/2010/860/oj" TargetMode="External"/><Relationship Id="rId41" Type="http://schemas.openxmlformats.org/officeDocument/2006/relationships/hyperlink" Target="https://eur-lex.europa.eu/eli/reg/2010/860/oj" TargetMode="External"/><Relationship Id="rId1" Type="http://schemas.openxmlformats.org/officeDocument/2006/relationships/hyperlink" Target="https://eur-lex.europa.eu/eli/reg/2010/860/oj" TargetMode="External"/><Relationship Id="rId6" Type="http://schemas.openxmlformats.org/officeDocument/2006/relationships/hyperlink" Target="https://eur-lex.europa.eu/eli/reg/2010/860/oj" TargetMode="External"/><Relationship Id="rId11" Type="http://schemas.openxmlformats.org/officeDocument/2006/relationships/hyperlink" Target="https://eur-lex.europa.eu/eli/reg/1987/2658/2023-06-17" TargetMode="External"/><Relationship Id="rId24" Type="http://schemas.openxmlformats.org/officeDocument/2006/relationships/hyperlink" Target="https://eur-lex.europa.eu/eli/reg/2010/860/oj" TargetMode="External"/><Relationship Id="rId32" Type="http://schemas.openxmlformats.org/officeDocument/2006/relationships/hyperlink" Target="https://eur-lex.europa.eu/eli/reg/2010/860/oj" TargetMode="External"/><Relationship Id="rId37" Type="http://schemas.openxmlformats.org/officeDocument/2006/relationships/hyperlink" Target="https://eur-lex.europa.eu/eli/reg/2010/860/oj" TargetMode="External"/><Relationship Id="rId40" Type="http://schemas.openxmlformats.org/officeDocument/2006/relationships/hyperlink" Target="https://eur-lex.europa.eu/eli/reg/2010/860/oj" TargetMode="External"/><Relationship Id="rId45" Type="http://schemas.openxmlformats.org/officeDocument/2006/relationships/hyperlink" Target="https://eur-lex.europa.eu/eli/reg/2010/860/oj" TargetMode="External"/><Relationship Id="rId5" Type="http://schemas.openxmlformats.org/officeDocument/2006/relationships/hyperlink" Target="https://eur-lex.europa.eu/eli/reg/1987/2658/2023-06-17" TargetMode="External"/><Relationship Id="rId15" Type="http://schemas.openxmlformats.org/officeDocument/2006/relationships/hyperlink" Target="http://ec.europa.eu/eurostat/ramon/nomenclatures/index.cfm?TargetUrl=LST_CLS_DLD&amp;StrNom=PRD_2010&amp;StrLanguageCode=EN&amp;StrLayoutCode=HIERARCHIC" TargetMode="External"/><Relationship Id="rId23" Type="http://schemas.openxmlformats.org/officeDocument/2006/relationships/hyperlink" Target="https://eur-lex.europa.eu/eli/reg/1987/2658/2023-06-17" TargetMode="External"/><Relationship Id="rId28" Type="http://schemas.openxmlformats.org/officeDocument/2006/relationships/hyperlink" Target="https://eur-lex.europa.eu/eli/reg/2010/860/oj" TargetMode="External"/><Relationship Id="rId36" Type="http://schemas.openxmlformats.org/officeDocument/2006/relationships/hyperlink" Target="https://eur-lex.europa.eu/eli/reg/2010/860/oj" TargetMode="External"/><Relationship Id="rId49" Type="http://schemas.openxmlformats.org/officeDocument/2006/relationships/printerSettings" Target="../printerSettings/printerSettings9.bin"/><Relationship Id="rId10" Type="http://schemas.openxmlformats.org/officeDocument/2006/relationships/hyperlink" Target="https://climate.ec.europa.eu/eu-action/eu-emissions-trading-system-eu-ets/free-allocation_en" TargetMode="External"/><Relationship Id="rId19" Type="http://schemas.openxmlformats.org/officeDocument/2006/relationships/hyperlink" Target="https://eur-lex.europa.eu/eli/reg/2010/860/oj" TargetMode="External"/><Relationship Id="rId31" Type="http://schemas.openxmlformats.org/officeDocument/2006/relationships/hyperlink" Target="https://eur-lex.europa.eu/eli/reg/1987/2658/2023-06-17" TargetMode="External"/><Relationship Id="rId44" Type="http://schemas.openxmlformats.org/officeDocument/2006/relationships/hyperlink" Target="https://eur-lex.europa.eu/eli/reg/2010/860/oj" TargetMode="External"/><Relationship Id="rId4" Type="http://schemas.openxmlformats.org/officeDocument/2006/relationships/hyperlink" Target="https://climate.ec.europa.eu/eu-action/eu-emissions-trading-system-eu-ets/free-allocation_en" TargetMode="External"/><Relationship Id="rId9" Type="http://schemas.openxmlformats.org/officeDocument/2006/relationships/hyperlink" Target="http://ec.europa.eu/eurostat/ramon/nomenclatures/index.cfm?TargetUrl=LST_CLS_DLD&amp;StrNom=PRD_2010&amp;StrLanguageCode=EN&amp;StrLayoutCode=HIERARCHIC" TargetMode="External"/><Relationship Id="rId14" Type="http://schemas.openxmlformats.org/officeDocument/2006/relationships/hyperlink" Target="https://ec.europa.eu/clima/policies/ets/allowances_en" TargetMode="External"/><Relationship Id="rId22" Type="http://schemas.openxmlformats.org/officeDocument/2006/relationships/hyperlink" Target="https://climate.ec.europa.eu/eu-action/eu-emissions-trading-system-eu-ets/free-allocation_en" TargetMode="External"/><Relationship Id="rId27" Type="http://schemas.openxmlformats.org/officeDocument/2006/relationships/hyperlink" Target="https://eur-lex.europa.eu/eli/reg/1987/2658/2023-06-17" TargetMode="External"/><Relationship Id="rId30" Type="http://schemas.openxmlformats.org/officeDocument/2006/relationships/hyperlink" Target="http://ec.europa.eu/eurostat/ramon/nomenclatures/index.cfm?TargetUrl=LST_CLS_DLD&amp;StrNom=PRD_2010&amp;StrLanguageCode=EN&amp;StrLayoutCode=HIERARCHIC" TargetMode="External"/><Relationship Id="rId35" Type="http://schemas.openxmlformats.org/officeDocument/2006/relationships/hyperlink" Target="https://eur-lex.europa.eu/eli/reg/1987/2658/2023-06-17" TargetMode="External"/><Relationship Id="rId43" Type="http://schemas.openxmlformats.org/officeDocument/2006/relationships/hyperlink" Target="https://eur-lex.europa.eu/eli/reg/1987/2658/2023-06-17" TargetMode="External"/><Relationship Id="rId48" Type="http://schemas.openxmlformats.org/officeDocument/2006/relationships/hyperlink" Target="https://eur-lex.europa.eu/eli/reg/2010/860/oj" TargetMode="External"/><Relationship Id="rId8" Type="http://schemas.openxmlformats.org/officeDocument/2006/relationships/hyperlink" Target="https://ec.europa.eu/clima/policies/ets/allowances_en" TargetMode="External"/><Relationship Id="rId51"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K70"/>
  <sheetViews>
    <sheetView tabSelected="1" zoomScaleNormal="100" workbookViewId="0">
      <pane ySplit="3" topLeftCell="A64" activePane="bottomLeft" state="frozen"/>
      <selection pane="bottomLeft" activeCell="P30" sqref="P30"/>
    </sheetView>
  </sheetViews>
  <sheetFormatPr defaultColWidth="9.1796875" defaultRowHeight="12.5" x14ac:dyDescent="0.25"/>
  <cols>
    <col min="1" max="1" width="4.7265625" style="287" customWidth="1"/>
    <col min="2" max="3" width="4.7265625" style="284" customWidth="1"/>
    <col min="4" max="11" width="12.7265625" style="284" customWidth="1"/>
    <col min="12" max="16384" width="9.1796875" style="284"/>
  </cols>
  <sheetData>
    <row r="1" spans="1:11" ht="13.5" customHeight="1" thickBot="1" x14ac:dyDescent="0.35">
      <c r="A1" s="2230" t="s">
        <v>260</v>
      </c>
      <c r="B1" s="282" t="str">
        <f>Translations!$B$2</f>
        <v>Навигационно меню:</v>
      </c>
      <c r="C1" s="283"/>
      <c r="D1" s="283"/>
      <c r="E1" s="2233"/>
      <c r="F1" s="2233"/>
      <c r="G1" s="2233"/>
      <c r="H1" s="2233"/>
      <c r="I1" s="2233" t="str">
        <f>Translations!$B$3</f>
        <v>Следващ лист</v>
      </c>
      <c r="J1" s="2233"/>
      <c r="K1" s="219" t="str">
        <f>Translations!$B$4</f>
        <v>Обобщение</v>
      </c>
    </row>
    <row r="2" spans="1:11" ht="13" x14ac:dyDescent="0.25">
      <c r="A2" s="2231"/>
      <c r="B2" s="2212" t="str">
        <f>Translations!$B$5</f>
        <v>Начало на листа</v>
      </c>
      <c r="C2" s="2213"/>
      <c r="D2" s="2214"/>
      <c r="E2" s="2219"/>
      <c r="F2" s="2220"/>
      <c r="G2" s="2220"/>
      <c r="H2" s="2220"/>
      <c r="I2" s="2220"/>
      <c r="J2" s="2220"/>
      <c r="K2" s="285"/>
    </row>
    <row r="3" spans="1:11" ht="13.5" thickBot="1" x14ac:dyDescent="0.3">
      <c r="A3" s="2232"/>
      <c r="B3" s="2215" t="str">
        <f>Translations!$B$6</f>
        <v>Край на листа</v>
      </c>
      <c r="C3" s="2216"/>
      <c r="D3" s="2217"/>
      <c r="E3" s="2234"/>
      <c r="F3" s="2235"/>
      <c r="G3" s="2235"/>
      <c r="H3" s="2235"/>
      <c r="I3" s="2235"/>
      <c r="J3" s="2235"/>
      <c r="K3" s="286"/>
    </row>
    <row r="4" spans="1:11" ht="13" x14ac:dyDescent="0.3">
      <c r="B4" s="288"/>
      <c r="E4" s="288"/>
    </row>
    <row r="5" spans="1:11" s="290" customFormat="1" ht="70" customHeight="1" x14ac:dyDescent="0.25">
      <c r="A5" s="289"/>
      <c r="B5" s="2210" t="str">
        <f>Translations!$B$1183</f>
        <v>Образец за докладване на разпределянето на квоти на нови участници, промените в равнището на разпределяне и случаите на спиране на експлоатацията на инсталации за фаза 4 на СТЕ на ЕС</v>
      </c>
      <c r="C5" s="2210"/>
      <c r="D5" s="2210"/>
      <c r="E5" s="2210"/>
      <c r="F5" s="2210"/>
      <c r="G5" s="2210"/>
      <c r="H5" s="2210"/>
      <c r="I5" s="2210"/>
      <c r="J5" s="2210"/>
      <c r="K5" s="2210"/>
    </row>
    <row r="6" spans="1:11" ht="5.15" customHeight="1" thickBot="1" x14ac:dyDescent="0.55000000000000004">
      <c r="B6" s="291"/>
      <c r="E6" s="291"/>
    </row>
    <row r="7" spans="1:11" ht="35.25" customHeight="1" thickBot="1" x14ac:dyDescent="0.3">
      <c r="B7" s="292" t="str">
        <f>Translations!$B$1184</f>
        <v>Година на докладване:</v>
      </c>
      <c r="C7" s="290"/>
      <c r="D7" s="290"/>
      <c r="E7" s="293"/>
      <c r="F7" s="290"/>
      <c r="G7" s="2236">
        <f>MAX(A_InstallationData!$J$11,2021+(CNTR_SubPeriod-1)*5)</f>
        <v>2026</v>
      </c>
      <c r="H7" s="2237"/>
      <c r="I7" s="2238"/>
      <c r="J7" s="294"/>
      <c r="K7" s="295"/>
    </row>
    <row r="8" spans="1:11" ht="13" x14ac:dyDescent="0.3">
      <c r="B8" s="288"/>
      <c r="E8" s="288"/>
    </row>
    <row r="9" spans="1:11" ht="29.25" customHeight="1" x14ac:dyDescent="0.25">
      <c r="A9" s="296"/>
      <c r="B9" s="297" t="str">
        <f>Translations!$B$7</f>
        <v>СЪДЪРЖАНИЕ</v>
      </c>
      <c r="C9" s="298"/>
      <c r="D9" s="298"/>
      <c r="E9" s="297"/>
      <c r="F9" s="297"/>
      <c r="G9" s="297"/>
      <c r="H9" s="297"/>
      <c r="I9" s="297"/>
      <c r="J9" s="297"/>
      <c r="K9" s="297"/>
    </row>
    <row r="10" spans="1:11" ht="13" x14ac:dyDescent="0.25">
      <c r="A10" s="299"/>
      <c r="B10" s="218"/>
      <c r="C10" s="2208" t="str">
        <f>'b_Guidelines &amp; conditions'!B5</f>
        <v>УКАЗАНИЯ И УСЛОВИЯ</v>
      </c>
      <c r="D10" s="2208"/>
      <c r="E10" s="2218"/>
      <c r="F10" s="2218"/>
      <c r="G10" s="2218"/>
      <c r="H10" s="2218"/>
      <c r="I10" s="2218"/>
      <c r="J10" s="2218"/>
      <c r="K10" s="2218"/>
    </row>
    <row r="11" spans="1:11" ht="13" x14ac:dyDescent="0.25">
      <c r="A11" s="300"/>
      <c r="B11" s="300" t="s">
        <v>692</v>
      </c>
      <c r="C11" s="2223" t="str">
        <f>A_InstallationData!D6</f>
        <v>Лист „InstallationData“ („Данни за инсталацията“) — ОБЩА ИНФОРМАЦИЯ ЗА ТОЗИ ДОКЛАД</v>
      </c>
      <c r="D11" s="2223"/>
      <c r="E11" s="2224"/>
      <c r="F11" s="2224"/>
      <c r="G11" s="2224"/>
      <c r="H11" s="2224"/>
      <c r="I11" s="2224"/>
      <c r="J11" s="2224"/>
      <c r="K11" s="2224"/>
    </row>
    <row r="12" spans="1:11" x14ac:dyDescent="0.25">
      <c r="A12" s="301"/>
      <c r="B12" s="37" t="s">
        <v>1048</v>
      </c>
      <c r="C12" s="2208" t="str">
        <f>A_InstallationData!G3</f>
        <v>Подробна отчетна информация</v>
      </c>
      <c r="D12" s="2208"/>
      <c r="E12" s="2211"/>
      <c r="F12" s="2211"/>
      <c r="G12" s="2211"/>
      <c r="H12" s="2211"/>
      <c r="I12" s="2211"/>
      <c r="J12" s="2211"/>
      <c r="K12" s="302"/>
    </row>
    <row r="13" spans="1:11" x14ac:dyDescent="0.25">
      <c r="A13" s="301"/>
      <c r="B13" s="37" t="s">
        <v>900</v>
      </c>
      <c r="C13" s="2208" t="str">
        <f>A_InstallationData!D25</f>
        <v>Данни от доклада с базови данни за НМИ</v>
      </c>
      <c r="D13" s="2208"/>
      <c r="E13" s="2211"/>
      <c r="F13" s="2211"/>
      <c r="G13" s="2211"/>
      <c r="H13" s="2211"/>
      <c r="I13" s="2211"/>
      <c r="J13" s="2211"/>
      <c r="K13" s="302"/>
    </row>
    <row r="14" spans="1:11" x14ac:dyDescent="0.25">
      <c r="A14" s="301"/>
      <c r="B14" s="37" t="s">
        <v>908</v>
      </c>
      <c r="C14" s="2208" t="str">
        <f>A_InstallationData!D47</f>
        <v>Идентификация на инсталацията</v>
      </c>
      <c r="D14" s="2208"/>
      <c r="E14" s="2211"/>
      <c r="F14" s="2211"/>
      <c r="G14" s="2211"/>
      <c r="H14" s="2211"/>
      <c r="I14" s="2211"/>
      <c r="J14" s="2211"/>
      <c r="K14" s="302"/>
    </row>
    <row r="15" spans="1:11" x14ac:dyDescent="0.25">
      <c r="A15" s="301"/>
      <c r="B15" s="37" t="s">
        <v>10</v>
      </c>
      <c r="C15" s="2208" t="str">
        <f>A_InstallationData!D250</f>
        <v>Информация за настоящия доклад за равнището на дейност</v>
      </c>
      <c r="D15" s="2208"/>
      <c r="E15" s="2211"/>
      <c r="F15" s="2211"/>
      <c r="G15" s="2211"/>
      <c r="H15" s="2211"/>
      <c r="I15" s="2211"/>
      <c r="J15" s="2211"/>
      <c r="K15" s="302"/>
    </row>
    <row r="16" spans="1:11" x14ac:dyDescent="0.25">
      <c r="A16" s="301"/>
      <c r="B16" s="37" t="s">
        <v>654</v>
      </c>
      <c r="C16" s="2208" t="str">
        <f>A_InstallationData!D296</f>
        <v>Списък на техническите връзки</v>
      </c>
      <c r="D16" s="2208"/>
      <c r="E16" s="2209"/>
      <c r="F16" s="2209"/>
      <c r="G16" s="2209"/>
      <c r="H16" s="2209"/>
      <c r="I16" s="2209"/>
      <c r="J16" s="2209"/>
      <c r="K16" s="302"/>
    </row>
    <row r="17" spans="1:11" ht="13" x14ac:dyDescent="0.25">
      <c r="A17" s="300"/>
      <c r="B17" s="300" t="s">
        <v>1604</v>
      </c>
      <c r="C17" s="2223" t="str">
        <f>'B+C_SubInstallations'!D6</f>
        <v>Лист „B+C_SubInstallations“ („B+C_Подинсталации“) — ИДЕНТИФИКАЦИЯ НА ПОДИНСТАЛАЦИИ И ПЪРВОНАЧАЛНО РАЗПРЕДЕЛЕНИЕ</v>
      </c>
      <c r="D17" s="2223"/>
      <c r="E17" s="2224"/>
      <c r="F17" s="2224"/>
      <c r="G17" s="2224"/>
      <c r="H17" s="2224"/>
      <c r="I17" s="2224"/>
      <c r="J17" s="2224"/>
      <c r="K17" s="2224"/>
    </row>
    <row r="18" spans="1:11" x14ac:dyDescent="0.25">
      <c r="A18" s="301"/>
      <c r="B18" s="37" t="s">
        <v>1048</v>
      </c>
      <c r="C18" s="2228" t="str">
        <f>'B+C_SubInstallations'!D8</f>
        <v>Списък на подинсталациите</v>
      </c>
      <c r="D18" s="2228"/>
      <c r="E18" s="2229"/>
      <c r="F18" s="2229"/>
      <c r="G18" s="2229"/>
      <c r="H18" s="2229"/>
      <c r="I18" s="2229"/>
      <c r="J18" s="2229"/>
      <c r="K18" s="302"/>
    </row>
    <row r="19" spans="1:11" x14ac:dyDescent="0.25">
      <c r="A19" s="301"/>
      <c r="B19" s="37" t="s">
        <v>900</v>
      </c>
      <c r="C19" s="2228" t="str">
        <f>'B+C_SubInstallations'!D85</f>
        <v>Първоначално разпределение</v>
      </c>
      <c r="D19" s="2228"/>
      <c r="E19" s="2229"/>
      <c r="F19" s="2229"/>
      <c r="G19" s="2229"/>
      <c r="H19" s="2229"/>
      <c r="I19" s="2229"/>
      <c r="J19" s="2229"/>
      <c r="K19" s="302"/>
    </row>
    <row r="20" spans="1:11" ht="13" x14ac:dyDescent="0.25">
      <c r="A20" s="300"/>
      <c r="B20" s="300" t="s">
        <v>694</v>
      </c>
      <c r="C20" s="2223" t="str">
        <f>D_Emissions!D6</f>
        <v>Лист „Emissions“ („Емисии“) — РАЗПРЕДЕЛЕНИЕ НА ЕМИСИИТЕ</v>
      </c>
      <c r="D20" s="2223"/>
      <c r="E20" s="2224"/>
      <c r="F20" s="2224"/>
      <c r="G20" s="2224"/>
      <c r="H20" s="2224"/>
      <c r="I20" s="2224"/>
      <c r="J20" s="2224"/>
      <c r="K20" s="2224"/>
    </row>
    <row r="21" spans="1:11" x14ac:dyDescent="0.25">
      <c r="A21" s="301"/>
      <c r="B21" s="37" t="s">
        <v>1048</v>
      </c>
      <c r="C21" s="2208" t="str">
        <f>D_Emissions!D8</f>
        <v>Общо преки емисии на парникови газове и вложена енергия от горива</v>
      </c>
      <c r="D21" s="2208"/>
      <c r="E21" s="2209"/>
      <c r="F21" s="2209"/>
      <c r="G21" s="2209"/>
      <c r="H21" s="2209"/>
      <c r="I21" s="2209"/>
      <c r="J21" s="2209"/>
      <c r="K21" s="302"/>
    </row>
    <row r="22" spans="1:11" x14ac:dyDescent="0.25">
      <c r="A22" s="301"/>
      <c r="B22" s="37" t="s">
        <v>900</v>
      </c>
      <c r="C22" s="2208" t="str">
        <f>D_Emissions!D30</f>
        <v>Разпределяне на емисиите по подинсталации</v>
      </c>
      <c r="D22" s="2208"/>
      <c r="E22" s="2209"/>
      <c r="F22" s="2209"/>
      <c r="G22" s="2209"/>
      <c r="H22" s="2209"/>
      <c r="I22" s="2209"/>
      <c r="J22" s="2209"/>
      <c r="K22" s="302"/>
    </row>
    <row r="23" spans="1:11" x14ac:dyDescent="0.25">
      <c r="A23" s="301"/>
      <c r="B23" s="37" t="s">
        <v>908</v>
      </c>
      <c r="C23" s="2208" t="str">
        <f>D_Emissions!D43</f>
        <v>Инструмент за комбинирано производство</v>
      </c>
      <c r="D23" s="2208"/>
      <c r="E23" s="2209"/>
      <c r="F23" s="2209"/>
      <c r="G23" s="2209"/>
      <c r="H23" s="2209"/>
      <c r="I23" s="2209"/>
      <c r="J23" s="2209"/>
      <c r="K23" s="302"/>
    </row>
    <row r="24" spans="1:11" x14ac:dyDescent="0.25">
      <c r="A24" s="301"/>
      <c r="B24" s="37" t="s">
        <v>10</v>
      </c>
      <c r="C24" s="2208" t="str">
        <f>D_Emissions!D154</f>
        <v>Инструмент за отпадни газове</v>
      </c>
      <c r="D24" s="2208"/>
      <c r="E24" s="2209"/>
      <c r="F24" s="2209"/>
      <c r="G24" s="2209"/>
      <c r="H24" s="2209"/>
      <c r="I24" s="2209"/>
      <c r="J24" s="2209"/>
      <c r="K24" s="302"/>
    </row>
    <row r="25" spans="1:11" ht="13" x14ac:dyDescent="0.25">
      <c r="A25" s="300"/>
      <c r="B25" s="300" t="s">
        <v>696</v>
      </c>
      <c r="C25" s="2223" t="str">
        <f>E_EnergyFlows!D6</f>
        <v>Работен лист „Енергийни потоци“ — ДАННИ ЗА ВЛОЖЕНАТА ЕНЕРГИЯ, ИЗМЕРИМАТА ТОПЛИННА ЕНЕРГИЯ И ЕЛЕКТРОЕНЕРГИЯТА</v>
      </c>
      <c r="D25" s="2223"/>
      <c r="E25" s="2224"/>
      <c r="F25" s="2224"/>
      <c r="G25" s="2224"/>
      <c r="H25" s="2224"/>
      <c r="I25" s="2224"/>
      <c r="J25" s="2224"/>
      <c r="K25" s="2224"/>
    </row>
    <row r="26" spans="1:11" x14ac:dyDescent="0.25">
      <c r="A26" s="301"/>
      <c r="B26" s="37" t="s">
        <v>1048</v>
      </c>
      <c r="C26" s="2208" t="str">
        <f>E_EnergyFlows!D8</f>
        <v>Вложена енергия от горива</v>
      </c>
      <c r="D26" s="2208"/>
      <c r="E26" s="2209"/>
      <c r="F26" s="2209"/>
      <c r="G26" s="2209"/>
      <c r="H26" s="2209"/>
      <c r="I26" s="2209"/>
      <c r="J26" s="2209"/>
      <c r="K26" s="302"/>
    </row>
    <row r="27" spans="1:11" x14ac:dyDescent="0.25">
      <c r="A27" s="301"/>
      <c r="B27" s="37" t="s">
        <v>900</v>
      </c>
      <c r="C27" s="2208" t="str">
        <f>E_EnergyFlows!D76</f>
        <v>Измерима топлинна енергия</v>
      </c>
      <c r="D27" s="2208"/>
      <c r="E27" s="2209"/>
      <c r="F27" s="2209"/>
      <c r="G27" s="2209"/>
      <c r="H27" s="2209"/>
      <c r="I27" s="2209"/>
      <c r="J27" s="2209"/>
      <c r="K27" s="302"/>
    </row>
    <row r="28" spans="1:11" x14ac:dyDescent="0.25">
      <c r="A28" s="301"/>
      <c r="B28" s="37" t="s">
        <v>908</v>
      </c>
      <c r="C28" s="2208" t="str">
        <f>E_EnergyFlows!D274</f>
        <v>Баланс на отпадните газове</v>
      </c>
      <c r="D28" s="2208"/>
      <c r="E28" s="2209"/>
      <c r="F28" s="2209"/>
      <c r="G28" s="2209"/>
      <c r="H28" s="2209"/>
      <c r="I28" s="2209"/>
      <c r="J28" s="2209"/>
      <c r="K28" s="302"/>
    </row>
    <row r="29" spans="1:11" x14ac:dyDescent="0.25">
      <c r="A29" s="301"/>
      <c r="B29" s="37" t="s">
        <v>10</v>
      </c>
      <c r="C29" s="2208" t="str">
        <f>E_EnergyFlows!D388</f>
        <v>Електроенергия</v>
      </c>
      <c r="D29" s="2208"/>
      <c r="E29" s="2209"/>
      <c r="F29" s="2209"/>
      <c r="G29" s="2209"/>
      <c r="H29" s="2209"/>
      <c r="I29" s="2209"/>
      <c r="J29" s="2209"/>
      <c r="K29" s="302"/>
    </row>
    <row r="30" spans="1:11" ht="13" x14ac:dyDescent="0.25">
      <c r="A30" s="300"/>
      <c r="B30" s="300" t="s">
        <v>698</v>
      </c>
      <c r="C30" s="2223" t="str">
        <f>F_ProductBM!D7</f>
        <v>Работен лист „ProductBM“ („Продуктов показател“) — ДАННИ ЗА ПОДИНСТАЛАЦИИТЕ, СВЪРЗАНИ С ПРОДУКТОВИТЕ ПОКАЗАТЕЛИ</v>
      </c>
      <c r="D30" s="2223"/>
      <c r="E30" s="2224"/>
      <c r="F30" s="2224"/>
      <c r="G30" s="2224"/>
      <c r="H30" s="2224"/>
      <c r="I30" s="2224"/>
      <c r="J30" s="2224"/>
      <c r="K30" s="2224"/>
    </row>
    <row r="31" spans="1:11" x14ac:dyDescent="0.25">
      <c r="A31" s="301"/>
      <c r="B31" s="37" t="s">
        <v>1048</v>
      </c>
      <c r="C31" s="2208" t="str">
        <f>F_ProductBM!D11</f>
        <v>Исторически равнища на дейност и разбивка на данните за производството</v>
      </c>
      <c r="D31" s="2208"/>
      <c r="E31" s="2209"/>
      <c r="F31" s="2209"/>
      <c r="G31" s="2209"/>
      <c r="H31" s="2209"/>
      <c r="I31" s="2209"/>
      <c r="J31" s="2209"/>
      <c r="K31" s="302"/>
    </row>
    <row r="32" spans="1:11" ht="13" x14ac:dyDescent="0.25">
      <c r="A32" s="300"/>
      <c r="B32" s="300" t="s">
        <v>700</v>
      </c>
      <c r="C32" s="2223" t="str">
        <f>'G_Fall-back'!D7</f>
        <v>Работен лист „Fall-back“ — ДАННИ ЗА АЛТЕРНАТИВНИ ПОДИНСТАЛАЦИИ („FALL-BACK SUB-INSTALLATIONS“)</v>
      </c>
      <c r="D32" s="2223"/>
      <c r="E32" s="2224"/>
      <c r="F32" s="2224"/>
      <c r="G32" s="2224"/>
      <c r="H32" s="2224"/>
      <c r="I32" s="2224"/>
      <c r="J32" s="2224"/>
      <c r="K32" s="2224"/>
    </row>
    <row r="33" spans="1:11" x14ac:dyDescent="0.25">
      <c r="A33" s="301"/>
      <c r="B33" s="37" t="s">
        <v>1048</v>
      </c>
      <c r="C33" s="2208" t="str">
        <f>'G_Fall-back'!D11</f>
        <v>Исторически равнища на дейност и разбивка на данните за производството</v>
      </c>
      <c r="D33" s="2208"/>
      <c r="E33" s="2209"/>
      <c r="F33" s="2209"/>
      <c r="G33" s="2209"/>
      <c r="H33" s="2209"/>
      <c r="I33" s="2209"/>
      <c r="J33" s="2209"/>
      <c r="K33" s="302"/>
    </row>
    <row r="34" spans="1:11" ht="13" x14ac:dyDescent="0.25">
      <c r="A34" s="300"/>
      <c r="B34" s="300" t="s">
        <v>702</v>
      </c>
      <c r="C34" s="2223" t="str">
        <f>H_SpecialBM!D7</f>
        <v>Работен лист „SpecialBM“ („Специфичен показател“) — СПЕЦИФИЧНИ ДАННИ ЗА НЯКОИ ПРОДУКТОВИ ПОКАЗАТЕЛИ</v>
      </c>
      <c r="D34" s="2223"/>
      <c r="E34" s="2211"/>
      <c r="F34" s="2211"/>
      <c r="G34" s="2211"/>
      <c r="H34" s="2211"/>
      <c r="I34" s="2211"/>
      <c r="J34" s="2211"/>
      <c r="K34" s="2211"/>
    </row>
    <row r="35" spans="1:11" x14ac:dyDescent="0.25">
      <c r="A35" s="301"/>
      <c r="B35" s="37" t="s">
        <v>1048</v>
      </c>
      <c r="C35" s="2208" t="str">
        <f>H_SpecialBM!D9</f>
        <v>Приведени по CO2 тонове — CWT (нефтохимически продукти)</v>
      </c>
      <c r="D35" s="2208"/>
      <c r="E35" s="2209"/>
      <c r="F35" s="2209"/>
      <c r="G35" s="2209"/>
      <c r="H35" s="2209"/>
      <c r="I35" s="2209"/>
      <c r="J35" s="2209"/>
      <c r="K35" s="302"/>
    </row>
    <row r="36" spans="1:11" x14ac:dyDescent="0.25">
      <c r="A36" s="301"/>
      <c r="B36" s="37" t="s">
        <v>900</v>
      </c>
      <c r="C36" s="2208" t="str">
        <f>H_SpecialBM!D99</f>
        <v>Вар</v>
      </c>
      <c r="D36" s="2208"/>
      <c r="E36" s="2209"/>
      <c r="F36" s="2209"/>
      <c r="G36" s="2209"/>
      <c r="H36" s="2209"/>
      <c r="I36" s="2209"/>
      <c r="J36" s="2209"/>
      <c r="K36" s="302"/>
    </row>
    <row r="37" spans="1:11" x14ac:dyDescent="0.25">
      <c r="A37" s="301"/>
      <c r="B37" s="37" t="s">
        <v>908</v>
      </c>
      <c r="C37" s="2208" t="str">
        <f>H_SpecialBM!D133</f>
        <v>Доломитна вар</v>
      </c>
      <c r="D37" s="2208"/>
      <c r="E37" s="2209"/>
      <c r="F37" s="2209"/>
      <c r="G37" s="2209"/>
      <c r="H37" s="2209"/>
      <c r="I37" s="2209"/>
      <c r="J37" s="2209"/>
      <c r="K37" s="302"/>
    </row>
    <row r="38" spans="1:11" x14ac:dyDescent="0.25">
      <c r="A38" s="301"/>
      <c r="B38" s="37" t="s">
        <v>10</v>
      </c>
      <c r="C38" s="2208" t="str">
        <f>H_SpecialBM!D167</f>
        <v>Крекинг с водна пара</v>
      </c>
      <c r="D38" s="2208"/>
      <c r="E38" s="2209"/>
      <c r="F38" s="2209"/>
      <c r="G38" s="2209"/>
      <c r="H38" s="2209"/>
      <c r="I38" s="2209"/>
      <c r="J38" s="2209"/>
      <c r="K38" s="302"/>
    </row>
    <row r="39" spans="1:11" x14ac:dyDescent="0.25">
      <c r="A39" s="301"/>
      <c r="B39" s="37" t="s">
        <v>654</v>
      </c>
      <c r="C39" s="2208" t="str">
        <f>H_SpecialBM!D234</f>
        <v>CWT (ароматни съединения)</v>
      </c>
      <c r="D39" s="2208"/>
      <c r="E39" s="2209"/>
      <c r="F39" s="2209"/>
      <c r="G39" s="2209"/>
      <c r="H39" s="2209"/>
      <c r="I39" s="2209"/>
      <c r="J39" s="2209"/>
      <c r="K39" s="302"/>
    </row>
    <row r="40" spans="1:11" x14ac:dyDescent="0.25">
      <c r="A40" s="301"/>
      <c r="B40" s="37" t="s">
        <v>58</v>
      </c>
      <c r="C40" s="2208" t="str">
        <f>H_SpecialBM!D274</f>
        <v>Водород, обхванат от МКВЕГ</v>
      </c>
      <c r="D40" s="2208"/>
      <c r="E40" s="2209"/>
      <c r="F40" s="2209"/>
      <c r="G40" s="2209"/>
      <c r="H40" s="2209"/>
      <c r="I40" s="2209"/>
      <c r="J40" s="2209"/>
      <c r="K40" s="302"/>
    </row>
    <row r="41" spans="1:11" x14ac:dyDescent="0.25">
      <c r="A41" s="301"/>
      <c r="B41" s="37" t="s">
        <v>955</v>
      </c>
      <c r="C41" s="2208" t="str">
        <f>H_SpecialBM!D376</f>
        <v>Синтезен газ</v>
      </c>
      <c r="D41" s="2208"/>
      <c r="E41" s="2209"/>
      <c r="F41" s="2209"/>
      <c r="G41" s="2209"/>
      <c r="H41" s="2209"/>
      <c r="I41" s="2209"/>
      <c r="J41" s="2209"/>
      <c r="K41" s="302"/>
    </row>
    <row r="42" spans="1:11" x14ac:dyDescent="0.25">
      <c r="A42" s="301"/>
      <c r="B42" s="37" t="s">
        <v>956</v>
      </c>
      <c r="C42" s="2208" t="str">
        <f>H_SpecialBM!D409</f>
        <v>Етиленов оксид/гликоли</v>
      </c>
      <c r="D42" s="2208"/>
      <c r="E42" s="2209"/>
      <c r="F42" s="2209"/>
      <c r="G42" s="2209"/>
      <c r="H42" s="2209"/>
      <c r="I42" s="2209"/>
      <c r="J42" s="2209"/>
      <c r="K42" s="302"/>
    </row>
    <row r="43" spans="1:11" x14ac:dyDescent="0.25">
      <c r="A43" s="301"/>
      <c r="B43" s="37" t="s">
        <v>241</v>
      </c>
      <c r="C43" s="2208" t="str">
        <f>H_SpecialBM!D438</f>
        <v>Винилхлориден мономер (VCM)</v>
      </c>
      <c r="D43" s="2208"/>
      <c r="E43" s="2209"/>
      <c r="F43" s="2209"/>
      <c r="G43" s="2209"/>
      <c r="H43" s="2209"/>
      <c r="I43" s="2209"/>
      <c r="J43" s="2209"/>
      <c r="K43" s="302"/>
    </row>
    <row r="44" spans="1:11" ht="13" x14ac:dyDescent="0.25">
      <c r="A44" s="300"/>
      <c r="B44" s="300" t="s">
        <v>704</v>
      </c>
      <c r="C44" s="2223" t="str">
        <f>I_MSspecific!C5</f>
        <v>Работен лист „MSspecific“ (Конкретно за държавите членки) — ДОПЪЛНИТЕЛНИ ИЗИСКВАНИЯ ЗА ДАННИ ОТ ДЪРЖАВАТА ЧЛЕНКА</v>
      </c>
      <c r="D44" s="2223"/>
      <c r="E44" s="2224"/>
      <c r="F44" s="2224"/>
      <c r="G44" s="2224"/>
      <c r="H44" s="2224"/>
      <c r="I44" s="2224"/>
      <c r="J44" s="2224"/>
      <c r="K44" s="2224"/>
    </row>
    <row r="45" spans="1:11" x14ac:dyDescent="0.25">
      <c r="A45" s="301"/>
      <c r="B45" s="37" t="s">
        <v>1048</v>
      </c>
      <c r="C45" s="2208" t="str">
        <f>I_MSspecific!C7</f>
        <v>Определя се от държавата членка</v>
      </c>
      <c r="D45" s="2208"/>
      <c r="E45" s="2209"/>
      <c r="F45" s="2209"/>
      <c r="G45" s="2209"/>
      <c r="H45" s="2209"/>
      <c r="I45" s="2209"/>
      <c r="J45" s="2209"/>
      <c r="K45" s="302"/>
    </row>
    <row r="46" spans="1:11" ht="13" x14ac:dyDescent="0.25">
      <c r="A46" s="300"/>
      <c r="B46" s="300" t="s">
        <v>706</v>
      </c>
      <c r="C46" s="2223" t="str">
        <f>J_Comments!C5</f>
        <v>Работен лист „Comments“ („Забележки“) — ЗАБЕЛЕЖКИ И ДОПЪЛНИТЕЛНА ИНФОРМАЦИЯ</v>
      </c>
      <c r="D46" s="2223"/>
      <c r="E46" s="2224"/>
      <c r="F46" s="2224"/>
      <c r="G46" s="2224"/>
      <c r="H46" s="2224"/>
      <c r="I46" s="2224"/>
      <c r="J46" s="2224"/>
      <c r="K46" s="2224"/>
    </row>
    <row r="47" spans="1:11" x14ac:dyDescent="0.25">
      <c r="A47" s="301"/>
      <c r="B47" s="37" t="s">
        <v>1048</v>
      </c>
      <c r="C47" s="2208" t="str">
        <f>J_Comments!C7</f>
        <v>Придружителни документи към настоящия доклад</v>
      </c>
      <c r="D47" s="2208"/>
      <c r="E47" s="2209"/>
      <c r="F47" s="2209"/>
      <c r="G47" s="2209"/>
      <c r="H47" s="2209"/>
      <c r="I47" s="2209"/>
      <c r="J47" s="2209"/>
      <c r="K47" s="302"/>
    </row>
    <row r="48" spans="1:11" x14ac:dyDescent="0.25">
      <c r="A48" s="301"/>
      <c r="B48" s="37" t="s">
        <v>900</v>
      </c>
      <c r="C48" s="2208" t="str">
        <f>J_Comments!C49</f>
        <v>Свободно място за всякаква друга допълнителна информация</v>
      </c>
      <c r="D48" s="2208"/>
      <c r="E48" s="2209"/>
      <c r="F48" s="2209"/>
      <c r="G48" s="2209"/>
      <c r="H48" s="2209"/>
      <c r="I48" s="2209"/>
      <c r="J48" s="2209"/>
      <c r="K48" s="302"/>
    </row>
    <row r="49" spans="1:11" ht="13" x14ac:dyDescent="0.25">
      <c r="A49" s="300"/>
      <c r="B49" s="300" t="s">
        <v>295</v>
      </c>
      <c r="C49" s="2223" t="str">
        <f>K_Summary!D6</f>
        <v>Работен лист „Summary“ („Обобщение“) — ПРЕГЛЕД НА НАЙ-ВАЖНИТЕ ДАННИ</v>
      </c>
      <c r="D49" s="2223"/>
      <c r="E49" s="2224"/>
      <c r="F49" s="2224"/>
      <c r="G49" s="2224"/>
      <c r="H49" s="2224"/>
      <c r="I49" s="2224"/>
      <c r="J49" s="2224"/>
      <c r="K49" s="2224"/>
    </row>
    <row r="50" spans="1:11" x14ac:dyDescent="0.25">
      <c r="A50" s="301"/>
      <c r="B50" s="37" t="s">
        <v>1048</v>
      </c>
      <c r="C50" s="2208" t="str">
        <f>K_Summary!D8</f>
        <v>Данни за инсталацията</v>
      </c>
      <c r="D50" s="2208"/>
      <c r="E50" s="2208"/>
      <c r="F50" s="2208"/>
      <c r="G50" s="2208"/>
      <c r="H50" s="2208"/>
      <c r="I50" s="2208"/>
      <c r="J50" s="2208"/>
      <c r="K50" s="302"/>
    </row>
    <row r="51" spans="1:11" ht="12.75" customHeight="1" x14ac:dyDescent="0.25">
      <c r="A51" s="301"/>
      <c r="B51" s="37" t="s">
        <v>900</v>
      </c>
      <c r="C51" s="2225" t="str">
        <f>K_Summary!D47</f>
        <v>Условия за допустимост</v>
      </c>
      <c r="D51" s="2225"/>
      <c r="E51" s="2225"/>
      <c r="F51" s="2225"/>
      <c r="G51" s="2225"/>
      <c r="H51" s="2225"/>
      <c r="I51" s="2225"/>
      <c r="J51" s="2225"/>
      <c r="K51" s="302"/>
    </row>
    <row r="52" spans="1:11" ht="12.75" customHeight="1" x14ac:dyDescent="0.25">
      <c r="A52" s="301"/>
      <c r="B52" s="37" t="s">
        <v>908</v>
      </c>
      <c r="C52" s="2225" t="str">
        <f>K_Summary!D57</f>
        <v>Емисии и енергийни потоци</v>
      </c>
      <c r="D52" s="2225"/>
      <c r="E52" s="2225"/>
      <c r="F52" s="2225"/>
      <c r="G52" s="2225"/>
      <c r="H52" s="2225"/>
      <c r="I52" s="2225"/>
      <c r="J52" s="2225"/>
      <c r="K52" s="302"/>
    </row>
    <row r="53" spans="1:11" ht="12.75" customHeight="1" x14ac:dyDescent="0.25">
      <c r="A53" s="301"/>
      <c r="B53" s="37" t="s">
        <v>10</v>
      </c>
      <c r="C53" s="2225" t="str">
        <f>K_Summary!D475</f>
        <v>Данни за подинсталациите, които имат значение за разпределянето на квоти и актуализирането на показателите</v>
      </c>
      <c r="D53" s="2225"/>
      <c r="E53" s="2225"/>
      <c r="F53" s="2225"/>
      <c r="G53" s="2225"/>
      <c r="H53" s="2225"/>
      <c r="I53" s="2225"/>
      <c r="J53" s="2225"/>
      <c r="K53" s="302"/>
    </row>
    <row r="54" spans="1:11" ht="12.75" customHeight="1" x14ac:dyDescent="0.25">
      <c r="A54" s="301"/>
      <c r="B54" s="37" t="s">
        <v>654</v>
      </c>
      <c r="C54" s="2225" t="str">
        <f>K_Summary!D2397</f>
        <v>Изчисляване на предварителното годишно количество на квотите за емисии, разпределени безплатно</v>
      </c>
      <c r="D54" s="2225"/>
      <c r="E54" s="2225"/>
      <c r="F54" s="2225"/>
      <c r="G54" s="2225"/>
      <c r="H54" s="2225"/>
      <c r="I54" s="2225"/>
      <c r="J54" s="2225"/>
      <c r="K54" s="302"/>
    </row>
    <row r="55" spans="1:11" ht="25.5" customHeight="1" thickBot="1" x14ac:dyDescent="0.3">
      <c r="A55" s="301"/>
      <c r="B55" s="301"/>
      <c r="C55" s="301"/>
      <c r="D55" s="301"/>
      <c r="E55" s="302"/>
      <c r="F55" s="302"/>
      <c r="G55" s="302"/>
      <c r="H55" s="302"/>
      <c r="I55" s="302"/>
      <c r="J55" s="302"/>
      <c r="K55" s="302"/>
    </row>
    <row r="56" spans="1:11" x14ac:dyDescent="0.25">
      <c r="A56" s="296"/>
      <c r="B56" s="298"/>
      <c r="C56" s="303" t="str">
        <f>Translations!$B$8</f>
        <v>Езикова версия:</v>
      </c>
      <c r="D56" s="304"/>
      <c r="E56" s="304"/>
      <c r="F56" s="305"/>
      <c r="G56" s="306" t="str">
        <f>VersionDocumentation!B5</f>
        <v>Bulgarian</v>
      </c>
      <c r="H56" s="306"/>
      <c r="I56" s="306"/>
      <c r="J56" s="307"/>
      <c r="K56" s="298"/>
    </row>
    <row r="57" spans="1:11" ht="13" thickBot="1" x14ac:dyDescent="0.3">
      <c r="A57" s="296"/>
      <c r="B57" s="298"/>
      <c r="C57" s="308" t="str">
        <f>Translations!$B$9</f>
        <v>Референтно име на файла:</v>
      </c>
      <c r="D57" s="309"/>
      <c r="E57" s="309"/>
      <c r="F57" s="310"/>
      <c r="G57" s="2207" t="s">
        <v>4143</v>
      </c>
      <c r="H57" s="311"/>
      <c r="I57" s="311"/>
      <c r="J57" s="312"/>
      <c r="K57" s="298"/>
    </row>
    <row r="58" spans="1:11" x14ac:dyDescent="0.25">
      <c r="A58" s="296"/>
      <c r="B58" s="298"/>
      <c r="C58" s="298"/>
      <c r="D58" s="298"/>
      <c r="E58" s="298"/>
      <c r="F58" s="298"/>
      <c r="G58" s="298"/>
      <c r="H58" s="298"/>
      <c r="I58" s="298"/>
      <c r="J58" s="298"/>
      <c r="K58" s="298"/>
    </row>
    <row r="59" spans="1:11" ht="13.5" thickBot="1" x14ac:dyDescent="0.3">
      <c r="A59" s="296"/>
      <c r="B59" s="298"/>
      <c r="C59" s="313" t="str">
        <f>Translations!$B$10</f>
        <v>Информация за този файл:</v>
      </c>
      <c r="D59" s="313"/>
      <c r="E59" s="313"/>
      <c r="F59" s="298"/>
      <c r="G59" s="298"/>
      <c r="H59" s="298"/>
      <c r="I59" s="298"/>
      <c r="J59" s="298"/>
      <c r="K59" s="298"/>
    </row>
    <row r="60" spans="1:11" x14ac:dyDescent="0.25">
      <c r="A60" s="296"/>
      <c r="B60" s="298"/>
      <c r="C60" s="303" t="str">
        <f>Translations!$B$11</f>
        <v>Име на инсталацията:</v>
      </c>
      <c r="D60" s="304"/>
      <c r="E60" s="304"/>
      <c r="F60" s="305"/>
      <c r="G60" s="306" t="str">
        <f>IF(ISBLANK(A_InstallationData!J72),"",A_InstallationData!J72)</f>
        <v/>
      </c>
      <c r="H60" s="306"/>
      <c r="I60" s="306"/>
      <c r="J60" s="307"/>
      <c r="K60" s="298"/>
    </row>
    <row r="61" spans="1:11" x14ac:dyDescent="0.25">
      <c r="A61" s="296"/>
      <c r="B61" s="298"/>
      <c r="C61" s="314" t="str">
        <f>Translations!$B$12</f>
        <v>Уникален идентификатор на инсталацията:</v>
      </c>
      <c r="D61" s="315"/>
      <c r="E61" s="315"/>
      <c r="F61" s="316"/>
      <c r="G61" s="317" t="str">
        <f>IF(A_InstallationData!J61="","",A_InstallationData!J61)</f>
        <v/>
      </c>
      <c r="H61" s="317"/>
      <c r="I61" s="317"/>
      <c r="J61" s="318"/>
      <c r="K61" s="298"/>
    </row>
    <row r="62" spans="1:11" ht="13" thickBot="1" x14ac:dyDescent="0.3">
      <c r="A62" s="296"/>
      <c r="B62" s="298"/>
      <c r="C62" s="319" t="str">
        <f>Translations!$B$1185</f>
        <v>Приложим период на докладване</v>
      </c>
      <c r="D62" s="320"/>
      <c r="E62" s="320"/>
      <c r="F62" s="321"/>
      <c r="G62" s="322" t="str">
        <f>INDEX(EUconst_BaselinePeriods,CNTR_SubPeriod)</f>
        <v>2026-2030</v>
      </c>
      <c r="H62" s="323"/>
      <c r="I62" s="323"/>
      <c r="J62" s="324"/>
      <c r="K62" s="298"/>
    </row>
    <row r="63" spans="1:11" x14ac:dyDescent="0.25">
      <c r="A63" s="296"/>
      <c r="B63" s="298"/>
      <c r="C63" s="298"/>
      <c r="D63" s="298"/>
      <c r="E63" s="298"/>
      <c r="F63" s="298"/>
      <c r="G63" s="298"/>
      <c r="H63" s="298"/>
      <c r="I63" s="298"/>
      <c r="J63" s="298"/>
      <c r="K63" s="298"/>
    </row>
    <row r="64" spans="1:11" ht="94.5" customHeight="1" x14ac:dyDescent="0.25">
      <c r="A64" s="296"/>
      <c r="B64" s="298"/>
      <c r="C64" s="2226" t="str">
        <f>Translations!$B$13</f>
        <v xml:space="preserve">Декларация за достоверност на данните
С настоящото удостоверявам верността, точността и пълнотата на информацията, предоставена в този Доклад, както и че няма припокриване между подинсталациите и двойно отчитане. Упражнена е надлежна проверка и предоставените данни представят най-високата постижима точност, както е посочено в член 7 от Делегиран регламент (ЕС)
2019/331 на Комисията от 19 декември 2018 г., така че да се даде възможност за разумна гаранция за целостта и верността на данните.
</v>
      </c>
      <c r="D64" s="2226"/>
      <c r="E64" s="2226"/>
      <c r="F64" s="2227"/>
      <c r="G64" s="2227"/>
      <c r="H64" s="2227"/>
      <c r="I64" s="2227"/>
      <c r="J64" s="2227"/>
      <c r="K64" s="298"/>
    </row>
    <row r="65" spans="1:11" x14ac:dyDescent="0.25">
      <c r="A65" s="296"/>
      <c r="B65" s="298"/>
      <c r="C65" s="298"/>
      <c r="D65" s="298"/>
      <c r="E65" s="298"/>
      <c r="F65" s="296"/>
      <c r="G65" s="298"/>
      <c r="H65" s="298"/>
      <c r="I65" s="298"/>
      <c r="J65" s="298"/>
      <c r="K65" s="298"/>
    </row>
    <row r="66" spans="1:11" x14ac:dyDescent="0.25">
      <c r="A66" s="296"/>
      <c r="B66" s="298"/>
      <c r="C66" s="298"/>
      <c r="D66" s="298"/>
      <c r="E66" s="298"/>
      <c r="F66" s="298"/>
      <c r="G66" s="298"/>
      <c r="H66" s="298"/>
      <c r="I66" s="298"/>
      <c r="J66" s="298"/>
      <c r="K66" s="298"/>
    </row>
    <row r="67" spans="1:11" x14ac:dyDescent="0.25">
      <c r="A67" s="296"/>
      <c r="B67" s="298"/>
      <c r="C67" s="298"/>
      <c r="D67" s="298"/>
      <c r="E67" s="298"/>
      <c r="F67" s="298"/>
      <c r="G67" s="298"/>
      <c r="H67" s="298"/>
      <c r="I67" s="298"/>
      <c r="J67" s="298"/>
      <c r="K67" s="298"/>
    </row>
    <row r="68" spans="1:11" x14ac:dyDescent="0.25">
      <c r="A68" s="296"/>
      <c r="B68" s="298"/>
      <c r="C68" s="298"/>
      <c r="D68" s="298"/>
      <c r="E68" s="298"/>
      <c r="F68" s="298"/>
      <c r="G68" s="298"/>
      <c r="H68" s="298"/>
      <c r="I68" s="298"/>
      <c r="J68" s="298"/>
      <c r="K68" s="298"/>
    </row>
    <row r="69" spans="1:11" x14ac:dyDescent="0.25">
      <c r="A69" s="296"/>
      <c r="B69" s="298"/>
      <c r="C69" s="325"/>
      <c r="D69" s="325"/>
      <c r="E69" s="325"/>
      <c r="F69" s="298"/>
      <c r="G69" s="325"/>
      <c r="H69" s="298"/>
      <c r="I69" s="298"/>
      <c r="J69" s="298"/>
      <c r="K69" s="298"/>
    </row>
    <row r="70" spans="1:11" ht="25.5" customHeight="1" x14ac:dyDescent="0.25">
      <c r="A70" s="296"/>
      <c r="B70" s="298"/>
      <c r="C70" s="2221" t="str">
        <f>Translations!$B$14</f>
        <v>Дата</v>
      </c>
      <c r="D70" s="2221"/>
      <c r="E70" s="2221"/>
      <c r="F70" s="296"/>
      <c r="G70" s="2221" t="str">
        <f>Translations!$B$15</f>
        <v>Име и подпис на
юридически отговорното лице и печат на дружеството</v>
      </c>
      <c r="H70" s="2222"/>
      <c r="I70" s="2222"/>
      <c r="J70" s="2222"/>
      <c r="K70" s="298"/>
    </row>
  </sheetData>
  <sheetProtection sheet="1" objects="1" scenarios="1" formatCells="0" formatColumns="0" formatRows="0"/>
  <mergeCells count="62">
    <mergeCell ref="C52:J52"/>
    <mergeCell ref="C53:J53"/>
    <mergeCell ref="C50:J50"/>
    <mergeCell ref="C51:J51"/>
    <mergeCell ref="C46:K46"/>
    <mergeCell ref="C47:J47"/>
    <mergeCell ref="C48:J48"/>
    <mergeCell ref="C49:K49"/>
    <mergeCell ref="C45:J45"/>
    <mergeCell ref="C36:J36"/>
    <mergeCell ref="C37:J37"/>
    <mergeCell ref="C38:J38"/>
    <mergeCell ref="A1:A3"/>
    <mergeCell ref="E1:F1"/>
    <mergeCell ref="G1:H1"/>
    <mergeCell ref="I1:J1"/>
    <mergeCell ref="E3:F3"/>
    <mergeCell ref="G2:H2"/>
    <mergeCell ref="I2:J2"/>
    <mergeCell ref="G7:I7"/>
    <mergeCell ref="G3:H3"/>
    <mergeCell ref="I3:J3"/>
    <mergeCell ref="C44:K44"/>
    <mergeCell ref="C43:J43"/>
    <mergeCell ref="C42:J42"/>
    <mergeCell ref="C39:J39"/>
    <mergeCell ref="C32:K32"/>
    <mergeCell ref="C33:J33"/>
    <mergeCell ref="C34:K34"/>
    <mergeCell ref="C35:J35"/>
    <mergeCell ref="C40:J40"/>
    <mergeCell ref="C24:J24"/>
    <mergeCell ref="C25:K25"/>
    <mergeCell ref="C23:J23"/>
    <mergeCell ref="C30:K30"/>
    <mergeCell ref="C26:J26"/>
    <mergeCell ref="C27:J27"/>
    <mergeCell ref="C28:J28"/>
    <mergeCell ref="C29:J29"/>
    <mergeCell ref="C31:J31"/>
    <mergeCell ref="G70:J70"/>
    <mergeCell ref="C70:E70"/>
    <mergeCell ref="C11:K11"/>
    <mergeCell ref="C12:J12"/>
    <mergeCell ref="C13:J13"/>
    <mergeCell ref="C54:J54"/>
    <mergeCell ref="C64:J64"/>
    <mergeCell ref="C17:K17"/>
    <mergeCell ref="C18:J18"/>
    <mergeCell ref="C41:J41"/>
    <mergeCell ref="C20:K20"/>
    <mergeCell ref="C19:J19"/>
    <mergeCell ref="C16:J16"/>
    <mergeCell ref="C15:J15"/>
    <mergeCell ref="C21:J21"/>
    <mergeCell ref="C22:J22"/>
    <mergeCell ref="B5:K5"/>
    <mergeCell ref="C14:J14"/>
    <mergeCell ref="B2:D2"/>
    <mergeCell ref="B3:D3"/>
    <mergeCell ref="C10:K10"/>
    <mergeCell ref="E2:F2"/>
  </mergeCells>
  <phoneticPr fontId="7" type="noConversion"/>
  <hyperlinks>
    <hyperlink ref="C12" location="JUMP_A_I" display="I" xr:uid="{00000000-0004-0000-0000-000000000000}"/>
    <hyperlink ref="C13" location="JUMP_A_II" display="II" xr:uid="{00000000-0004-0000-0000-000001000000}"/>
    <hyperlink ref="C14" location="JUMP_A_III" display="III" xr:uid="{00000000-0004-0000-0000-000002000000}"/>
    <hyperlink ref="C15" location="JUMP_A_IV" display="IV" xr:uid="{00000000-0004-0000-0000-000003000000}"/>
    <hyperlink ref="B12" location="JUMP_A_I" display="I" xr:uid="{00000000-0004-0000-0000-000004000000}"/>
    <hyperlink ref="B13" location="JUMP_A_II" display="II" xr:uid="{00000000-0004-0000-0000-000005000000}"/>
    <hyperlink ref="B14" location="JUMP_A_III" display="III" xr:uid="{00000000-0004-0000-0000-000006000000}"/>
    <hyperlink ref="B15" location="JUMP_A_IV" display="IV" xr:uid="{00000000-0004-0000-0000-000007000000}"/>
    <hyperlink ref="C10:K10" location="JUMP_Guidelines_Home" display="GUIDELINES AND CONDITIONS" xr:uid="{00000000-0004-0000-0000-000008000000}"/>
    <hyperlink ref="K1" location="JUMP_K_I" display="Summary" xr:uid="{00000000-0004-0000-0000-000009000000}"/>
    <hyperlink ref="B2:C2" location="JUMP_Guidelines_Home" display="Top of sheet" xr:uid="{00000000-0004-0000-0000-00000A000000}"/>
    <hyperlink ref="B3:C3" location="JUMP_Guidelines_Bottom" display="End of sheet" xr:uid="{00000000-0004-0000-0000-00000B000000}"/>
    <hyperlink ref="I1:J1" location="JUMP_Guidelines_Home" display="Next sheet" xr:uid="{00000000-0004-0000-0000-00000C000000}"/>
    <hyperlink ref="B2:D2" location="JUMP_Coverpage_Top" display="Top of sheet" xr:uid="{00000000-0004-0000-0000-00000D000000}"/>
    <hyperlink ref="B3:D3" location="JUMP_Coverpage_Bottom" display="End of sheet" xr:uid="{00000000-0004-0000-0000-00000E000000}"/>
    <hyperlink ref="C18" location="JUMP_A_I" display="I" xr:uid="{00000000-0004-0000-0000-00000F000000}"/>
    <hyperlink ref="C21" location="JUMP_A_I" display="I" xr:uid="{00000000-0004-0000-0000-000010000000}"/>
    <hyperlink ref="C22" location="JUMP_A_II" display="II" xr:uid="{00000000-0004-0000-0000-000011000000}"/>
    <hyperlink ref="B21" location="JUMP_D_I" display="I" xr:uid="{00000000-0004-0000-0000-000012000000}"/>
    <hyperlink ref="B22" location="JUMP_D_II" display="II" xr:uid="{00000000-0004-0000-0000-000013000000}"/>
    <hyperlink ref="C31" location="JUMP_A_I" display="I" xr:uid="{00000000-0004-0000-0000-000014000000}"/>
    <hyperlink ref="B31" location="JUMP_F_I" display="I" xr:uid="{00000000-0004-0000-0000-000015000000}"/>
    <hyperlink ref="C23" location="JUMP_A_II" display="II" xr:uid="{00000000-0004-0000-0000-000016000000}"/>
    <hyperlink ref="C24" location="JUMP_A_II" display="II" xr:uid="{00000000-0004-0000-0000-000017000000}"/>
    <hyperlink ref="C21:J21" location="JUMP_D_I" display="JUMP_D_I" xr:uid="{00000000-0004-0000-0000-000018000000}"/>
    <hyperlink ref="C22:J22" location="JUMP_D_II" display="JUMP_D_II" xr:uid="{00000000-0004-0000-0000-000019000000}"/>
    <hyperlink ref="B23" location="JUMP_D_III" display="III" xr:uid="{00000000-0004-0000-0000-00001A000000}"/>
    <hyperlink ref="C23:J23" location="JUMP_D_III" display="JUMP_D_III" xr:uid="{00000000-0004-0000-0000-00001B000000}"/>
    <hyperlink ref="B24" location="JUMP_D_IV" display="IV" xr:uid="{00000000-0004-0000-0000-00001C000000}"/>
    <hyperlink ref="C24:J24" location="JUMP_D_IV" display="JUMP_D_IV" xr:uid="{00000000-0004-0000-0000-00001D000000}"/>
    <hyperlink ref="C26" location="JUMP_A_I" display="I" xr:uid="{00000000-0004-0000-0000-00001E000000}"/>
    <hyperlink ref="C27" location="JUMP_A_II" display="II" xr:uid="{00000000-0004-0000-0000-00001F000000}"/>
    <hyperlink ref="B26" location="JUMP_E_I" display="I" xr:uid="{00000000-0004-0000-0000-000020000000}"/>
    <hyperlink ref="B27" location="JUMP_E_II" display="II" xr:uid="{00000000-0004-0000-0000-000021000000}"/>
    <hyperlink ref="C28" location="JUMP_A_II" display="II" xr:uid="{00000000-0004-0000-0000-000022000000}"/>
    <hyperlink ref="C29" location="JUMP_A_II" display="II" xr:uid="{00000000-0004-0000-0000-000023000000}"/>
    <hyperlink ref="C26:J26" location="JUMP_E_I" display="JUMP_E_I" xr:uid="{00000000-0004-0000-0000-000024000000}"/>
    <hyperlink ref="C27:J27" location="JUMP_E_II" display="JUMP_E_II" xr:uid="{00000000-0004-0000-0000-000025000000}"/>
    <hyperlink ref="B28" location="JUMP_E_III" display="III" xr:uid="{00000000-0004-0000-0000-000026000000}"/>
    <hyperlink ref="C28:J28" location="JUMP_E_III" display="JUMP_E_III" xr:uid="{00000000-0004-0000-0000-000027000000}"/>
    <hyperlink ref="B29" location="JUMP_E_IV" display="IV" xr:uid="{00000000-0004-0000-0000-000028000000}"/>
    <hyperlink ref="C29:J29" location="JUMP_E_IV" display="JUMP_E_IV" xr:uid="{00000000-0004-0000-0000-000029000000}"/>
    <hyperlink ref="C33" location="JUMP_A_I" display="I" xr:uid="{00000000-0004-0000-0000-00002A000000}"/>
    <hyperlink ref="B33" location="JUMP_G_I" display="I" xr:uid="{00000000-0004-0000-0000-00002B000000}"/>
    <hyperlink ref="C31:J31" location="JUMP_F_I" display="JUMP_F_I" xr:uid="{00000000-0004-0000-0000-00002C000000}"/>
    <hyperlink ref="C33:J33" location="JUMP_G_I" display="JUMP_G_I" xr:uid="{00000000-0004-0000-0000-00002D000000}"/>
    <hyperlink ref="C35:J35" location="JUMP_H_I" display="I" xr:uid="{00000000-0004-0000-0000-00002E000000}"/>
    <hyperlink ref="C36:J36" location="JUMP_H_II" display="II" xr:uid="{00000000-0004-0000-0000-00002F000000}"/>
    <hyperlink ref="C37:J37" location="JUMP_H_III" display="III" xr:uid="{00000000-0004-0000-0000-000030000000}"/>
    <hyperlink ref="C38:J38" location="JUMP_H_IV" display="IV" xr:uid="{00000000-0004-0000-0000-000031000000}"/>
    <hyperlink ref="C39:J39" location="JUMP_H_V" display="V" xr:uid="{00000000-0004-0000-0000-000032000000}"/>
    <hyperlink ref="C40:J40" location="JUMP_H_VI" display="VI" xr:uid="{00000000-0004-0000-0000-000033000000}"/>
    <hyperlink ref="C41:J41" location="JUMP_H_VII" display="VII" xr:uid="{00000000-0004-0000-0000-000034000000}"/>
    <hyperlink ref="C42:J42" location="JUMP_H_VIII" display="VIII" xr:uid="{00000000-0004-0000-0000-000035000000}"/>
    <hyperlink ref="C43:J43" location="JUMP_H_IX" display="IX" xr:uid="{00000000-0004-0000-0000-000036000000}"/>
    <hyperlink ref="B35" location="JUMP_H_I" display="I" xr:uid="{00000000-0004-0000-0000-000037000000}"/>
    <hyperlink ref="B36" location="JUMP_H_II" display="II" xr:uid="{00000000-0004-0000-0000-000038000000}"/>
    <hyperlink ref="B37" location="JUMP_H_III" display="III" xr:uid="{00000000-0004-0000-0000-000039000000}"/>
    <hyperlink ref="B38" location="JUMP_H_IV" display="IV" xr:uid="{00000000-0004-0000-0000-00003A000000}"/>
    <hyperlink ref="B39" location="JUMP_H_V" display="V" xr:uid="{00000000-0004-0000-0000-00003B000000}"/>
    <hyperlink ref="B40" location="JUMP_H_VI" display="VI" xr:uid="{00000000-0004-0000-0000-00003C000000}"/>
    <hyperlink ref="B41" location="JUMP_H_VII" display="VII" xr:uid="{00000000-0004-0000-0000-00003D000000}"/>
    <hyperlink ref="B42" location="JUMP_H_VIII" display="VIII" xr:uid="{00000000-0004-0000-0000-00003E000000}"/>
    <hyperlink ref="B43" location="JUMP_H_IX" display="IX" xr:uid="{00000000-0004-0000-0000-00003F000000}"/>
    <hyperlink ref="C47:J47" location="JUMP_J_I" display="I" xr:uid="{00000000-0004-0000-0000-000040000000}"/>
    <hyperlink ref="C48:J48" location="JUMP_J_II" display="II" xr:uid="{00000000-0004-0000-0000-000041000000}"/>
    <hyperlink ref="C45:J45" location="JUMP_I_MSspecific" display="I" xr:uid="{00000000-0004-0000-0000-000042000000}"/>
    <hyperlink ref="B45" location="JUMP_I_MSspecific" display="I" xr:uid="{00000000-0004-0000-0000-000043000000}"/>
    <hyperlink ref="B47" location="JUMP_J_I" display="I" xr:uid="{00000000-0004-0000-0000-000044000000}"/>
    <hyperlink ref="B48" location="JUMP_J_II" display="II" xr:uid="{00000000-0004-0000-0000-000045000000}"/>
    <hyperlink ref="C50:J50" location="JUMP_K_I" display="I" xr:uid="{00000000-0004-0000-0000-000046000000}"/>
    <hyperlink ref="B50" location="JUMP_K_I" display="I" xr:uid="{00000000-0004-0000-0000-000047000000}"/>
    <hyperlink ref="B51:J51" location="JUMP_K_II" display="II" xr:uid="{00000000-0004-0000-0000-000048000000}"/>
    <hyperlink ref="B52:J52" location="JUMP_K_III" display="III" xr:uid="{00000000-0004-0000-0000-000049000000}"/>
    <hyperlink ref="B53:J53" location="JUMP_K_IV" display="IV" xr:uid="{00000000-0004-0000-0000-00004A000000}"/>
    <hyperlink ref="B54:J54" location="JUMP_K_V" display="V" xr:uid="{00000000-0004-0000-0000-00004B000000}"/>
    <hyperlink ref="C18:J18" location="JUMP_B_I" display="JUMP_B_I" xr:uid="{00000000-0004-0000-0000-00004C000000}"/>
    <hyperlink ref="B18" location="JUMP_B_I" display="I" xr:uid="{00000000-0004-0000-0000-00004D000000}"/>
    <hyperlink ref="C19" location="JUMP_A_I" display="I" xr:uid="{00000000-0004-0000-0000-00004E000000}"/>
    <hyperlink ref="C19:J19" location="'B+C_SubInstallations'!JUMP_B_II" display="'B+C_SubInstallations'!JUMP_B_II" xr:uid="{00000000-0004-0000-0000-00004F000000}"/>
    <hyperlink ref="B19" location="'B+C_SubInstallations'!JUMP_B_II" display="II" xr:uid="{00000000-0004-0000-0000-000050000000}"/>
    <hyperlink ref="C16" location="JUMP_A_IV" display="IV" xr:uid="{00000000-0004-0000-0000-000051000000}"/>
    <hyperlink ref="B16" location="JUMP_A_V" display="V" xr:uid="{00000000-0004-0000-0000-000052000000}"/>
    <hyperlink ref="C16:J16" location="JUMP_A_V" display="JUMP_A_V" xr:uid="{00000000-0004-0000-0000-000053000000}"/>
  </hyperlinks>
  <pageMargins left="0.78740157480314965" right="0.78740157480314965" top="0.78740157480314965" bottom="0.78740157480314965" header="0.39370078740157483" footer="0.39370078740157483"/>
  <pageSetup paperSize="9" scale="66" orientation="portrait" r:id="rId1"/>
  <headerFooter alignWithMargins="0">
    <oddHeader>&amp;L&amp;F; &amp;A&amp;R&amp;D; &amp;T</oddHeader>
    <oddFooter>&amp;C&amp;P / &amp;N</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tabColor indexed="40"/>
  </sheetPr>
  <dimension ref="A1:AL494"/>
  <sheetViews>
    <sheetView zoomScaleNormal="100" zoomScaleSheetLayoutView="100" workbookViewId="0">
      <pane ySplit="5" topLeftCell="A6" activePane="bottomLeft" state="frozen"/>
      <selection pane="bottomLeft" activeCell="B2" sqref="B2:D4"/>
    </sheetView>
  </sheetViews>
  <sheetFormatPr defaultColWidth="11.453125" defaultRowHeight="12.5" x14ac:dyDescent="0.25"/>
  <cols>
    <col min="1" max="1" width="2.7265625" style="349" hidden="1" customWidth="1"/>
    <col min="2" max="2" width="2.7265625" style="349" customWidth="1"/>
    <col min="3" max="4" width="4.7265625" style="349" customWidth="1"/>
    <col min="5" max="5" width="30.7265625" style="349" customWidth="1"/>
    <col min="6" max="14" width="12.7265625" style="349" customWidth="1"/>
    <col min="15" max="15" width="4.7265625" style="349" customWidth="1"/>
    <col min="16" max="16" width="25.7265625" style="349" customWidth="1"/>
    <col min="17" max="17" width="12.7265625" style="349" hidden="1" customWidth="1"/>
    <col min="18" max="38" width="11.453125" style="349" hidden="1" customWidth="1"/>
    <col min="39" max="16384" width="11.453125" style="349"/>
  </cols>
  <sheetData>
    <row r="1" spans="1:38" s="694" customFormat="1" ht="13" hidden="1" thickBot="1" x14ac:dyDescent="0.3">
      <c r="A1" s="694" t="s">
        <v>312</v>
      </c>
      <c r="Q1" s="694" t="s">
        <v>312</v>
      </c>
      <c r="R1" s="694" t="s">
        <v>312</v>
      </c>
      <c r="S1" s="694" t="s">
        <v>312</v>
      </c>
      <c r="T1" s="694" t="s">
        <v>312</v>
      </c>
      <c r="U1" s="694" t="s">
        <v>312</v>
      </c>
      <c r="V1" s="694" t="s">
        <v>312</v>
      </c>
      <c r="W1" s="694" t="s">
        <v>312</v>
      </c>
      <c r="X1" s="694" t="s">
        <v>312</v>
      </c>
      <c r="Y1" s="694" t="s">
        <v>312</v>
      </c>
      <c r="Z1" s="694" t="s">
        <v>312</v>
      </c>
      <c r="AA1" s="694" t="s">
        <v>312</v>
      </c>
      <c r="AB1" s="694" t="s">
        <v>312</v>
      </c>
      <c r="AC1" s="694" t="s">
        <v>312</v>
      </c>
      <c r="AD1" s="694" t="s">
        <v>312</v>
      </c>
      <c r="AE1" s="694" t="s">
        <v>312</v>
      </c>
      <c r="AF1" s="694" t="s">
        <v>312</v>
      </c>
      <c r="AG1" s="694" t="s">
        <v>312</v>
      </c>
      <c r="AH1" s="694" t="s">
        <v>312</v>
      </c>
      <c r="AI1" s="694" t="s">
        <v>312</v>
      </c>
      <c r="AJ1" s="694" t="s">
        <v>312</v>
      </c>
      <c r="AK1" s="694" t="s">
        <v>312</v>
      </c>
      <c r="AL1" s="694" t="s">
        <v>312</v>
      </c>
    </row>
    <row r="2" spans="1:38" ht="13.5" thickBot="1" x14ac:dyDescent="0.35">
      <c r="A2" s="694"/>
      <c r="B2" s="2468" t="str">
        <f>Translations!$B$667</f>
        <v>H.</v>
      </c>
      <c r="C2" s="2469"/>
      <c r="D2" s="2470"/>
      <c r="E2" s="2351" t="str">
        <f>Translations!$B$2</f>
        <v>Навигационно меню:</v>
      </c>
      <c r="F2" s="2352"/>
      <c r="G2" s="2466" t="str">
        <f>Translations!$B$16</f>
        <v>Съдържание</v>
      </c>
      <c r="H2" s="2233"/>
      <c r="I2" s="2233" t="str">
        <f>Translations!$B$17</f>
        <v>Предходен лист</v>
      </c>
      <c r="J2" s="2233"/>
      <c r="K2" s="2233" t="str">
        <f>Translations!$B$3</f>
        <v>Следващ лист</v>
      </c>
      <c r="L2" s="2233"/>
      <c r="M2" s="2233" t="str">
        <f>Translations!$B$4</f>
        <v>Обобщение</v>
      </c>
      <c r="N2" s="2233"/>
      <c r="O2" s="336"/>
      <c r="P2" s="2511" t="str">
        <f>Translations!$B$1218</f>
        <v>Колона за коментари 
(напр. каквито и да е било промени)</v>
      </c>
      <c r="Q2" s="770"/>
      <c r="R2" s="770"/>
      <c r="S2" s="770"/>
      <c r="T2" s="770"/>
      <c r="U2" s="770"/>
      <c r="V2" s="770"/>
      <c r="W2" s="770"/>
      <c r="X2" s="770"/>
      <c r="Y2" s="770"/>
      <c r="Z2" s="770"/>
      <c r="AA2" s="770"/>
      <c r="AB2" s="770"/>
      <c r="AC2" s="770"/>
      <c r="AD2" s="770"/>
      <c r="AE2" s="770"/>
      <c r="AF2" s="770"/>
      <c r="AG2" s="770"/>
      <c r="AH2" s="770"/>
      <c r="AI2" s="770"/>
      <c r="AJ2" s="770"/>
      <c r="AK2" s="770"/>
      <c r="AL2" s="770"/>
    </row>
    <row r="3" spans="1:38" ht="13.5" thickBot="1" x14ac:dyDescent="0.3">
      <c r="A3" s="694"/>
      <c r="B3" s="2471"/>
      <c r="C3" s="2472"/>
      <c r="D3" s="2473"/>
      <c r="E3" s="2233" t="str">
        <f>Translations!$B$5</f>
        <v>Начало на листа</v>
      </c>
      <c r="F3" s="2477"/>
      <c r="G3" s="2955" t="str">
        <f>JUMP_H_I</f>
        <v>Приведени по CO2 тонове — CWT (нефтохимически продукти)</v>
      </c>
      <c r="H3" s="2794"/>
      <c r="I3" s="2794" t="str">
        <f>JUMP_H_II</f>
        <v>Вар</v>
      </c>
      <c r="J3" s="2794"/>
      <c r="K3" s="2794" t="str">
        <f>JUMP_H_III</f>
        <v>Доломитна вар</v>
      </c>
      <c r="L3" s="2794"/>
      <c r="M3" s="2794" t="str">
        <f>JUMP_H_IV</f>
        <v>Крекинг с водна пара</v>
      </c>
      <c r="N3" s="2794"/>
      <c r="O3" s="336"/>
      <c r="P3" s="2512"/>
      <c r="Q3" s="770"/>
      <c r="R3" s="770"/>
      <c r="S3" s="770"/>
      <c r="T3" s="770"/>
      <c r="U3" s="770"/>
      <c r="V3" s="770"/>
      <c r="W3" s="770"/>
      <c r="X3" s="770"/>
      <c r="Y3" s="770"/>
      <c r="Z3" s="770"/>
      <c r="AA3" s="770"/>
      <c r="AB3" s="770"/>
      <c r="AC3" s="770"/>
      <c r="AD3" s="770"/>
      <c r="AE3" s="770"/>
      <c r="AF3" s="770"/>
      <c r="AG3" s="770"/>
      <c r="AH3" s="770"/>
      <c r="AI3" s="770"/>
      <c r="AJ3" s="770"/>
      <c r="AK3" s="770"/>
      <c r="AL3" s="770"/>
    </row>
    <row r="4" spans="1:38" ht="13.5" thickBot="1" x14ac:dyDescent="0.3">
      <c r="A4" s="694"/>
      <c r="B4" s="2474"/>
      <c r="C4" s="2475"/>
      <c r="D4" s="2476"/>
      <c r="E4" s="2233" t="str">
        <f>Translations!$B$6</f>
        <v>Край на листа</v>
      </c>
      <c r="F4" s="2233"/>
      <c r="G4" s="2629" t="str">
        <f>JUMP_H_V</f>
        <v>CWT (ароматни съединения)</v>
      </c>
      <c r="H4" s="2480"/>
      <c r="I4" s="2480" t="str">
        <f>JUMP_H_VI</f>
        <v>Водород, обхванат от МКВЕГ</v>
      </c>
      <c r="J4" s="2480"/>
      <c r="K4" s="2480" t="str">
        <f>JUMP_H_VII</f>
        <v>Синтезен газ</v>
      </c>
      <c r="L4" s="2480"/>
      <c r="M4" s="2480" t="str">
        <f>JUMP_H_VIII</f>
        <v>Етиленов оксид/гликоли</v>
      </c>
      <c r="N4" s="2480"/>
      <c r="O4" s="336"/>
      <c r="P4" s="2513"/>
      <c r="Q4" s="770"/>
      <c r="R4" s="770"/>
      <c r="S4" s="770"/>
      <c r="T4" s="770"/>
      <c r="U4" s="770"/>
      <c r="V4" s="770"/>
      <c r="W4" s="770"/>
      <c r="X4" s="770"/>
      <c r="Y4" s="770"/>
      <c r="Z4" s="770"/>
      <c r="AA4" s="770"/>
      <c r="AB4" s="770"/>
      <c r="AC4" s="770"/>
      <c r="AD4" s="770"/>
      <c r="AE4" s="770"/>
      <c r="AF4" s="770"/>
      <c r="AG4" s="770"/>
      <c r="AH4" s="770"/>
      <c r="AI4" s="770"/>
      <c r="AJ4" s="770"/>
      <c r="AK4" s="770"/>
      <c r="AL4" s="770"/>
    </row>
    <row r="5" spans="1:38" x14ac:dyDescent="0.25">
      <c r="A5" s="694"/>
      <c r="B5" s="1518"/>
      <c r="C5" s="1518"/>
      <c r="D5" s="1518"/>
      <c r="E5" s="286"/>
      <c r="F5" s="286"/>
      <c r="G5" s="2480" t="str">
        <f>JUMP_H_IX</f>
        <v>Винилхлориден мономер (VCM)</v>
      </c>
      <c r="H5" s="2480"/>
      <c r="I5" s="2480" t="str">
        <f>Translations!$B$1571</f>
        <v>Водород, необхванат от МКВЕГ</v>
      </c>
      <c r="J5" s="2480"/>
      <c r="K5" s="2795"/>
      <c r="L5" s="2795"/>
      <c r="M5" s="2795"/>
      <c r="N5" s="2795"/>
      <c r="O5" s="336"/>
      <c r="P5" s="302"/>
      <c r="Q5" s="770"/>
      <c r="R5" s="770"/>
      <c r="S5" s="770"/>
      <c r="T5" s="770"/>
      <c r="U5" s="770"/>
      <c r="V5" s="770"/>
      <c r="W5" s="770"/>
      <c r="X5" s="770"/>
      <c r="Y5" s="770"/>
      <c r="Z5" s="770"/>
      <c r="AA5" s="770"/>
      <c r="AB5" s="770"/>
      <c r="AC5" s="770"/>
      <c r="AD5" s="770"/>
      <c r="AE5" s="770"/>
      <c r="AF5" s="770"/>
      <c r="AG5" s="770"/>
      <c r="AH5" s="770"/>
      <c r="AI5" s="770"/>
      <c r="AJ5" s="770"/>
      <c r="AK5" s="770"/>
      <c r="AL5" s="770"/>
    </row>
    <row r="6" spans="1:38" x14ac:dyDescent="0.25">
      <c r="A6" s="694"/>
      <c r="B6" s="284"/>
      <c r="C6" s="335"/>
      <c r="D6" s="284"/>
      <c r="E6" s="284"/>
      <c r="F6" s="287"/>
      <c r="G6" s="287"/>
      <c r="H6" s="287"/>
      <c r="I6" s="284"/>
      <c r="J6" s="284"/>
      <c r="K6" s="284"/>
      <c r="L6" s="284"/>
      <c r="M6" s="336"/>
      <c r="N6" s="336"/>
      <c r="O6" s="336"/>
      <c r="P6" s="302"/>
      <c r="Q6" s="770"/>
      <c r="R6" s="770"/>
      <c r="S6" s="770"/>
      <c r="T6" s="770"/>
      <c r="U6" s="770"/>
      <c r="V6" s="770"/>
      <c r="W6" s="770"/>
      <c r="X6" s="770"/>
      <c r="Y6" s="770"/>
      <c r="Z6" s="770"/>
      <c r="AA6" s="770"/>
      <c r="AB6" s="770"/>
      <c r="AC6" s="770"/>
      <c r="AD6" s="770"/>
      <c r="AE6" s="770"/>
      <c r="AF6" s="770"/>
      <c r="AG6" s="770"/>
      <c r="AH6" s="770"/>
      <c r="AI6" s="770"/>
      <c r="AJ6" s="770"/>
      <c r="AK6" s="770"/>
      <c r="AL6" s="770"/>
    </row>
    <row r="7" spans="1:38" ht="23.25" customHeight="1" x14ac:dyDescent="0.25">
      <c r="A7" s="694"/>
      <c r="B7" s="284"/>
      <c r="C7" s="297" t="s">
        <v>702</v>
      </c>
      <c r="D7" s="2259" t="str">
        <f>Translations!$B$668</f>
        <v>Работен лист „SpecialBM“ („Специфичен показател“) — СПЕЦИФИЧНИ ДАННИ ЗА НЯКОИ ПРОДУКТОВИ ПОКАЗАТЕЛИ</v>
      </c>
      <c r="E7" s="2249"/>
      <c r="F7" s="2249"/>
      <c r="G7" s="2249"/>
      <c r="H7" s="2249"/>
      <c r="I7" s="2249"/>
      <c r="J7" s="2249"/>
      <c r="K7" s="2249"/>
      <c r="L7" s="2249"/>
      <c r="M7" s="2249"/>
      <c r="N7" s="2249"/>
      <c r="O7" s="336"/>
      <c r="P7" s="302"/>
      <c r="Q7" s="834" t="s">
        <v>232</v>
      </c>
      <c r="R7" s="834" t="s">
        <v>232</v>
      </c>
      <c r="S7" s="834" t="s">
        <v>232</v>
      </c>
      <c r="T7" s="834" t="s">
        <v>232</v>
      </c>
      <c r="U7" s="834" t="s">
        <v>232</v>
      </c>
      <c r="V7" s="834" t="s">
        <v>232</v>
      </c>
      <c r="W7" s="834" t="s">
        <v>232</v>
      </c>
      <c r="X7" s="834" t="s">
        <v>232</v>
      </c>
      <c r="Y7" s="834"/>
      <c r="Z7" s="834"/>
      <c r="AA7" s="834"/>
      <c r="AB7" s="834"/>
      <c r="AC7" s="834"/>
      <c r="AD7" s="834"/>
      <c r="AE7" s="834"/>
      <c r="AF7" s="834"/>
      <c r="AG7" s="834"/>
      <c r="AH7" s="834"/>
      <c r="AI7" s="834"/>
      <c r="AJ7" s="834"/>
      <c r="AK7" s="834"/>
      <c r="AL7" s="834" t="s">
        <v>232</v>
      </c>
    </row>
    <row r="8" spans="1:38" x14ac:dyDescent="0.25">
      <c r="A8" s="694"/>
      <c r="B8" s="284"/>
      <c r="C8" s="284"/>
      <c r="D8" s="284"/>
      <c r="E8" s="284"/>
      <c r="F8" s="284"/>
      <c r="G8" s="284"/>
      <c r="H8" s="284"/>
      <c r="I8" s="284"/>
      <c r="J8" s="284"/>
      <c r="K8" s="284"/>
      <c r="L8" s="284"/>
      <c r="M8" s="336"/>
      <c r="N8" s="336"/>
      <c r="O8" s="336"/>
      <c r="P8" s="302"/>
      <c r="Q8" s="836" t="s">
        <v>740</v>
      </c>
      <c r="R8" s="836" t="s">
        <v>740</v>
      </c>
      <c r="S8" s="836" t="s">
        <v>740</v>
      </c>
      <c r="T8" s="836" t="s">
        <v>740</v>
      </c>
      <c r="U8" s="836" t="s">
        <v>740</v>
      </c>
      <c r="V8" s="836" t="s">
        <v>740</v>
      </c>
      <c r="W8" s="836" t="s">
        <v>740</v>
      </c>
      <c r="X8" s="836" t="s">
        <v>740</v>
      </c>
      <c r="Y8" s="836"/>
      <c r="Z8" s="836"/>
      <c r="AA8" s="836"/>
      <c r="AB8" s="836"/>
      <c r="AC8" s="836"/>
      <c r="AD8" s="836"/>
      <c r="AE8" s="836"/>
      <c r="AF8" s="836"/>
      <c r="AG8" s="836"/>
      <c r="AH8" s="836"/>
      <c r="AI8" s="836"/>
      <c r="AJ8" s="836"/>
      <c r="AK8" s="836"/>
      <c r="AL8" s="836" t="s">
        <v>740</v>
      </c>
    </row>
    <row r="9" spans="1:38" ht="15.5" x14ac:dyDescent="0.35">
      <c r="A9" s="694"/>
      <c r="B9" s="284"/>
      <c r="C9" s="327" t="s">
        <v>1048</v>
      </c>
      <c r="D9" s="2245" t="str">
        <f>Translations!$B$669</f>
        <v>Приведени по CO2 тонове — CWT (нефтохимически продукти)</v>
      </c>
      <c r="E9" s="2245"/>
      <c r="F9" s="2245"/>
      <c r="G9" s="2245"/>
      <c r="H9" s="2245"/>
      <c r="I9" s="2245"/>
      <c r="J9" s="2245"/>
      <c r="K9" s="2245"/>
      <c r="L9" s="2245"/>
      <c r="M9" s="2245"/>
      <c r="N9" s="2245"/>
      <c r="O9" s="336"/>
      <c r="P9" s="302"/>
      <c r="Q9" s="770"/>
      <c r="R9" s="694"/>
      <c r="S9" s="694"/>
      <c r="T9" s="694"/>
      <c r="U9" s="694"/>
      <c r="V9" s="694"/>
      <c r="W9" s="694"/>
      <c r="X9" s="694"/>
      <c r="Y9" s="770"/>
      <c r="Z9" s="770"/>
      <c r="AA9" s="770"/>
      <c r="AB9" s="770"/>
      <c r="AC9" s="770"/>
      <c r="AD9" s="770"/>
      <c r="AE9" s="770"/>
      <c r="AF9" s="770"/>
      <c r="AG9" s="770"/>
      <c r="AH9" s="770"/>
      <c r="AI9" s="770"/>
      <c r="AJ9" s="770"/>
      <c r="AK9" s="770"/>
      <c r="AL9" s="770"/>
    </row>
    <row r="10" spans="1:38" ht="5.15" customHeight="1" x14ac:dyDescent="0.25">
      <c r="A10" s="694"/>
      <c r="B10" s="284"/>
      <c r="C10" s="284"/>
      <c r="D10" s="284"/>
      <c r="E10" s="284"/>
      <c r="F10" s="284"/>
      <c r="G10" s="284"/>
      <c r="H10" s="284"/>
      <c r="I10" s="284"/>
      <c r="J10" s="284"/>
      <c r="K10" s="284"/>
      <c r="L10" s="284"/>
      <c r="M10" s="336"/>
      <c r="N10" s="336"/>
      <c r="O10" s="336"/>
      <c r="P10" s="302"/>
      <c r="Q10" s="770"/>
      <c r="R10" s="694"/>
      <c r="S10" s="694"/>
      <c r="T10" s="694"/>
      <c r="U10" s="694"/>
      <c r="V10" s="694"/>
      <c r="W10" s="694"/>
      <c r="X10" s="694"/>
      <c r="Y10" s="770"/>
      <c r="Z10" s="770"/>
      <c r="AA10" s="770"/>
      <c r="AB10" s="770"/>
      <c r="AC10" s="770"/>
      <c r="AD10" s="770"/>
      <c r="AE10" s="770"/>
      <c r="AF10" s="770"/>
      <c r="AG10" s="770"/>
      <c r="AH10" s="770"/>
      <c r="AI10" s="770"/>
      <c r="AJ10" s="770"/>
      <c r="AK10" s="770"/>
      <c r="AL10" s="770"/>
    </row>
    <row r="11" spans="1:38" ht="14" x14ac:dyDescent="0.3">
      <c r="A11" s="694"/>
      <c r="B11" s="284"/>
      <c r="C11" s="357"/>
      <c r="D11" s="2323" t="str">
        <f>Translations!$B$670</f>
        <v>Инструмент за изчисляване на историческите равнища на дейност за подинсталациионните рафинерии</v>
      </c>
      <c r="E11" s="2249"/>
      <c r="F11" s="2249"/>
      <c r="G11" s="2249"/>
      <c r="H11" s="2249"/>
      <c r="I11" s="2249"/>
      <c r="J11" s="2249"/>
      <c r="K11" s="2249"/>
      <c r="L11" s="2249"/>
      <c r="M11" s="2249"/>
      <c r="N11" s="2249"/>
      <c r="O11" s="336"/>
      <c r="P11" s="302"/>
      <c r="Q11" s="770"/>
      <c r="R11" s="694"/>
      <c r="S11" s="694"/>
      <c r="T11" s="694"/>
      <c r="U11" s="694"/>
      <c r="V11" s="694"/>
      <c r="W11" s="694"/>
      <c r="X11" s="694"/>
      <c r="Y11" s="770"/>
      <c r="Z11" s="770"/>
      <c r="AA11" s="770"/>
      <c r="AB11" s="770"/>
      <c r="AC11" s="770"/>
      <c r="AD11" s="770"/>
      <c r="AE11" s="770"/>
      <c r="AF11" s="770"/>
      <c r="AG11" s="770"/>
      <c r="AH11" s="770"/>
      <c r="AI11" s="770"/>
      <c r="AJ11" s="770"/>
      <c r="AK11" s="770"/>
      <c r="AL11" s="770"/>
    </row>
    <row r="12" spans="1:38" ht="5.15" customHeight="1" x14ac:dyDescent="0.25">
      <c r="A12" s="694"/>
      <c r="B12" s="284"/>
      <c r="C12" s="284"/>
      <c r="D12" s="284"/>
      <c r="E12" s="284"/>
      <c r="F12" s="284"/>
      <c r="G12" s="284"/>
      <c r="H12" s="284"/>
      <c r="I12" s="284"/>
      <c r="J12" s="284"/>
      <c r="K12" s="284"/>
      <c r="L12" s="284"/>
      <c r="M12" s="336"/>
      <c r="N12" s="336"/>
      <c r="O12" s="336"/>
      <c r="P12" s="302"/>
      <c r="Q12" s="770"/>
      <c r="R12" s="694"/>
      <c r="S12" s="694"/>
      <c r="T12" s="694"/>
      <c r="U12" s="694"/>
      <c r="V12" s="694"/>
      <c r="W12" s="694"/>
      <c r="X12" s="694"/>
      <c r="Y12" s="770"/>
      <c r="Z12" s="770"/>
      <c r="AA12" s="770"/>
      <c r="AB12" s="770"/>
      <c r="AC12" s="770"/>
      <c r="AD12" s="770"/>
      <c r="AE12" s="770"/>
      <c r="AF12" s="770"/>
      <c r="AG12" s="770"/>
      <c r="AH12" s="770"/>
      <c r="AI12" s="770"/>
      <c r="AJ12" s="770"/>
      <c r="AK12" s="770"/>
      <c r="AL12" s="770"/>
    </row>
    <row r="13" spans="1:38" x14ac:dyDescent="0.25">
      <c r="A13" s="694"/>
      <c r="B13" s="284"/>
      <c r="C13" s="284"/>
      <c r="D13" s="302"/>
      <c r="E13" s="2358" t="str">
        <f>Translations!$B$671</f>
        <v>Този инструмент Ви помага при определяне на HAL (исторически равнища на дейност) за продуктовия показател за нефтохимически продукти (приложение III, точка 1 от ПБР).</v>
      </c>
      <c r="F13" s="2249"/>
      <c r="G13" s="2249"/>
      <c r="H13" s="2249"/>
      <c r="I13" s="2249"/>
      <c r="J13" s="2249"/>
      <c r="K13" s="2249"/>
      <c r="L13" s="2249"/>
      <c r="M13" s="2249"/>
      <c r="N13" s="2249"/>
      <c r="O13" s="336"/>
      <c r="P13" s="302"/>
      <c r="Q13" s="770"/>
      <c r="R13" s="694"/>
      <c r="S13" s="694"/>
      <c r="T13" s="694"/>
      <c r="U13" s="694"/>
      <c r="V13" s="694"/>
      <c r="W13" s="694"/>
      <c r="X13" s="694"/>
      <c r="Y13" s="770"/>
      <c r="Z13" s="770"/>
      <c r="AA13" s="770"/>
      <c r="AB13" s="770"/>
      <c r="AC13" s="770"/>
      <c r="AD13" s="770"/>
      <c r="AE13" s="770"/>
      <c r="AF13" s="770"/>
      <c r="AG13" s="770"/>
      <c r="AH13" s="770"/>
      <c r="AI13" s="770"/>
      <c r="AJ13" s="770"/>
      <c r="AK13" s="770"/>
      <c r="AL13" s="770"/>
    </row>
    <row r="14" spans="1:38" x14ac:dyDescent="0.25">
      <c r="A14" s="694"/>
      <c r="B14" s="284"/>
      <c r="C14" s="284"/>
      <c r="D14" s="302"/>
      <c r="E14" s="2358" t="str">
        <f>Translations!$B$672</f>
        <v>За показателя за ароматни съединения, за който също се прилага CWT, използвайте специфичния инструмент CWT за ароматни съединения (раздел V от настоящия работен лист).</v>
      </c>
      <c r="F14" s="2249"/>
      <c r="G14" s="2249"/>
      <c r="H14" s="2249"/>
      <c r="I14" s="2249"/>
      <c r="J14" s="2249"/>
      <c r="K14" s="2249"/>
      <c r="L14" s="2249"/>
      <c r="M14" s="2249"/>
      <c r="N14" s="2249"/>
      <c r="O14" s="336"/>
      <c r="P14" s="302"/>
      <c r="Q14" s="770"/>
      <c r="R14" s="694"/>
      <c r="S14" s="694"/>
      <c r="T14" s="694"/>
      <c r="U14" s="694"/>
      <c r="V14" s="694"/>
      <c r="W14" s="694"/>
      <c r="X14" s="694"/>
      <c r="Y14" s="770"/>
      <c r="Z14" s="770"/>
      <c r="AA14" s="770"/>
      <c r="AB14" s="770"/>
      <c r="AC14" s="770"/>
      <c r="AD14" s="770"/>
      <c r="AE14" s="770"/>
      <c r="AF14" s="770"/>
      <c r="AG14" s="770"/>
      <c r="AH14" s="770"/>
      <c r="AI14" s="770"/>
      <c r="AJ14" s="770"/>
      <c r="AK14" s="770"/>
      <c r="AL14" s="770"/>
    </row>
    <row r="15" spans="1:38" x14ac:dyDescent="0.25">
      <c r="A15" s="694"/>
      <c r="B15" s="284"/>
      <c r="C15" s="284"/>
      <c r="D15" s="302"/>
      <c r="E15" s="2358" t="str">
        <f>Translations!$B$673</f>
        <v>Резултатът от този инструмент се копира автоматично в работен лист „F_ProductBM“, ред „a).ii“ за съответната подинсталация.</v>
      </c>
      <c r="F15" s="2249"/>
      <c r="G15" s="2249"/>
      <c r="H15" s="2249"/>
      <c r="I15" s="2249"/>
      <c r="J15" s="2249"/>
      <c r="K15" s="2249"/>
      <c r="L15" s="2249"/>
      <c r="M15" s="2249"/>
      <c r="N15" s="2249"/>
      <c r="O15" s="336"/>
      <c r="P15" s="302"/>
      <c r="Q15" s="770"/>
      <c r="R15" s="694"/>
      <c r="S15" s="694"/>
      <c r="T15" s="694"/>
      <c r="U15" s="694"/>
      <c r="V15" s="694"/>
      <c r="W15" s="694"/>
      <c r="X15" s="694"/>
      <c r="Y15" s="770"/>
      <c r="Z15" s="770"/>
      <c r="AA15" s="770"/>
      <c r="AB15" s="770"/>
      <c r="AC15" s="770"/>
      <c r="AD15" s="770"/>
      <c r="AE15" s="770"/>
      <c r="AF15" s="770"/>
      <c r="AG15" s="770"/>
      <c r="AH15" s="770"/>
      <c r="AI15" s="770"/>
      <c r="AJ15" s="770"/>
      <c r="AK15" s="770"/>
      <c r="AL15" s="770"/>
    </row>
    <row r="16" spans="1:38" ht="5.15" customHeight="1" x14ac:dyDescent="0.25">
      <c r="A16" s="694"/>
      <c r="B16" s="284"/>
      <c r="C16" s="284"/>
      <c r="D16" s="284"/>
      <c r="E16" s="284"/>
      <c r="F16" s="284"/>
      <c r="G16" s="284"/>
      <c r="H16" s="284"/>
      <c r="I16" s="284"/>
      <c r="J16" s="284"/>
      <c r="K16" s="284"/>
      <c r="L16" s="284"/>
      <c r="M16" s="336"/>
      <c r="N16" s="336"/>
      <c r="O16" s="336"/>
      <c r="P16" s="302"/>
      <c r="Q16" s="770"/>
      <c r="R16" s="694"/>
      <c r="S16" s="694"/>
      <c r="T16" s="694"/>
      <c r="U16" s="694"/>
      <c r="V16" s="694"/>
      <c r="W16" s="694"/>
      <c r="X16" s="694"/>
      <c r="Y16" s="770"/>
      <c r="Z16" s="770"/>
      <c r="AA16" s="770"/>
      <c r="AB16" s="770"/>
      <c r="AC16" s="770"/>
      <c r="AD16" s="770"/>
      <c r="AE16" s="770"/>
      <c r="AF16" s="770"/>
      <c r="AG16" s="770"/>
      <c r="AH16" s="770"/>
      <c r="AI16" s="770"/>
      <c r="AJ16" s="770"/>
      <c r="AK16" s="770"/>
      <c r="AL16" s="770"/>
    </row>
    <row r="17" spans="1:38" ht="14" x14ac:dyDescent="0.3">
      <c r="A17" s="694"/>
      <c r="B17" s="284"/>
      <c r="C17" s="284"/>
      <c r="D17" s="300" t="s">
        <v>408</v>
      </c>
      <c r="E17" s="2226" t="str">
        <f>Translations!$B$674</f>
        <v>Практическо значение на този инструмент за Вашата инсталация:</v>
      </c>
      <c r="F17" s="2226"/>
      <c r="G17" s="2226"/>
      <c r="H17" s="2226"/>
      <c r="I17" s="2226"/>
      <c r="J17" s="2226"/>
      <c r="K17" s="2317"/>
      <c r="L17" s="2956" t="str">
        <f>IF(CNTR_ExistSubInstEntries,IF(COUNTIF(CNTR_SubInstListNames,INDEX(EUconst_BMlistNames,MATCH(R17,EUconst_BMlistMainNumberOfBM,0)))&gt;0,EUconst_Relevant,EUconst_NotRelevant),"")</f>
        <v/>
      </c>
      <c r="M17" s="2957"/>
      <c r="N17" s="2958"/>
      <c r="O17" s="336"/>
      <c r="P17" s="302"/>
      <c r="Q17" s="1395" t="s">
        <v>114</v>
      </c>
      <c r="R17" s="1519">
        <v>1</v>
      </c>
      <c r="S17" s="694"/>
      <c r="T17" s="694"/>
      <c r="U17" s="694"/>
      <c r="V17" s="694"/>
      <c r="W17" s="694"/>
      <c r="X17" s="694"/>
      <c r="Y17" s="770"/>
      <c r="Z17" s="770"/>
      <c r="AA17" s="770"/>
      <c r="AB17" s="770"/>
      <c r="AC17" s="770"/>
      <c r="AD17" s="770"/>
      <c r="AE17" s="770"/>
      <c r="AF17" s="770"/>
      <c r="AG17" s="770"/>
      <c r="AH17" s="770"/>
      <c r="AI17" s="770"/>
      <c r="AJ17" s="770"/>
      <c r="AK17" s="770"/>
      <c r="AL17" s="770"/>
    </row>
    <row r="18" spans="1:38" x14ac:dyDescent="0.25">
      <c r="A18" s="694"/>
      <c r="B18" s="284"/>
      <c r="C18" s="284"/>
      <c r="D18" s="302"/>
      <c r="E18" s="2255" t="str">
        <f>Translations!$B$675</f>
        <v>Това съобщение се генерира автоматично въз основа на въведените от Вас данни в работен лист „A_InstallationData“ („А_Данни за инсталацията“), раздел A.III.1.</v>
      </c>
      <c r="F18" s="2256"/>
      <c r="G18" s="2256"/>
      <c r="H18" s="2256"/>
      <c r="I18" s="2256"/>
      <c r="J18" s="2256"/>
      <c r="K18" s="2256"/>
      <c r="L18" s="2256"/>
      <c r="M18" s="2256"/>
      <c r="N18" s="2256"/>
      <c r="O18" s="336"/>
      <c r="P18" s="302"/>
      <c r="Q18" s="694"/>
      <c r="R18" s="694"/>
      <c r="S18" s="694"/>
      <c r="T18" s="694"/>
      <c r="U18" s="694"/>
      <c r="V18" s="694"/>
      <c r="W18" s="694"/>
      <c r="X18" s="694"/>
      <c r="Y18" s="770"/>
      <c r="Z18" s="770"/>
      <c r="AA18" s="770"/>
      <c r="AB18" s="770"/>
      <c r="AC18" s="770"/>
      <c r="AD18" s="770"/>
      <c r="AE18" s="770"/>
      <c r="AF18" s="770"/>
      <c r="AG18" s="770"/>
      <c r="AH18" s="770"/>
      <c r="AI18" s="770"/>
      <c r="AJ18" s="770"/>
      <c r="AK18" s="770"/>
      <c r="AL18" s="770"/>
    </row>
    <row r="19" spans="1:38" ht="13" x14ac:dyDescent="0.25">
      <c r="A19" s="694"/>
      <c r="B19" s="284"/>
      <c r="C19" s="284"/>
      <c r="D19" s="284"/>
      <c r="E19" s="2951" t="str">
        <f>IF(L17=EUconst_Relevant,HYPERLINK(R19,EUconst_MsgBackToSheetF),"")</f>
        <v/>
      </c>
      <c r="F19" s="2952"/>
      <c r="G19" s="2952"/>
      <c r="H19" s="2952"/>
      <c r="I19" s="2952"/>
      <c r="J19" s="2952"/>
      <c r="K19" s="2952"/>
      <c r="L19" s="2952"/>
      <c r="M19" s="2952"/>
      <c r="N19" s="2953"/>
      <c r="O19" s="336"/>
      <c r="P19" s="302"/>
      <c r="Q19" s="1395" t="s">
        <v>113</v>
      </c>
      <c r="R19" s="982" t="str">
        <f>IF(ISNUMBER(MATCH(R17,CNTR_SubInstListBMnumbers,0)),"#JUMP_F"&amp;MATCH(R17,CNTR_SubInstListBMnumbers,0),"")</f>
        <v/>
      </c>
      <c r="S19" s="729"/>
      <c r="T19" s="694"/>
      <c r="U19" s="694"/>
      <c r="V19" s="694"/>
      <c r="W19" s="694"/>
      <c r="X19" s="694"/>
      <c r="Y19" s="770"/>
      <c r="Z19" s="770"/>
      <c r="AA19" s="770"/>
      <c r="AB19" s="770"/>
      <c r="AC19" s="770"/>
      <c r="AD19" s="770"/>
      <c r="AE19" s="770"/>
      <c r="AF19" s="770"/>
      <c r="AG19" s="770"/>
      <c r="AH19" s="770"/>
      <c r="AI19" s="770"/>
      <c r="AJ19" s="770"/>
      <c r="AK19" s="770"/>
      <c r="AL19" s="770"/>
    </row>
    <row r="20" spans="1:38" ht="5.15" customHeight="1" x14ac:dyDescent="0.25">
      <c r="A20" s="694"/>
      <c r="B20" s="284"/>
      <c r="C20" s="284"/>
      <c r="D20" s="284"/>
      <c r="E20" s="284"/>
      <c r="F20" s="284"/>
      <c r="G20" s="284"/>
      <c r="H20" s="284"/>
      <c r="I20" s="284"/>
      <c r="J20" s="284"/>
      <c r="K20" s="284"/>
      <c r="L20" s="284"/>
      <c r="M20" s="336"/>
      <c r="N20" s="336"/>
      <c r="O20" s="336"/>
      <c r="P20" s="302"/>
      <c r="Q20" s="770"/>
      <c r="R20" s="694"/>
      <c r="S20" s="694"/>
      <c r="T20" s="694"/>
      <c r="U20" s="694"/>
      <c r="V20" s="694"/>
      <c r="W20" s="694"/>
      <c r="X20" s="694"/>
      <c r="Y20" s="770"/>
      <c r="Z20" s="770"/>
      <c r="AA20" s="770"/>
      <c r="AB20" s="770"/>
      <c r="AC20" s="770"/>
      <c r="AD20" s="770"/>
      <c r="AE20" s="770"/>
      <c r="AF20" s="770"/>
      <c r="AG20" s="770"/>
      <c r="AH20" s="770"/>
      <c r="AI20" s="770"/>
      <c r="AJ20" s="770"/>
      <c r="AK20" s="770"/>
      <c r="AL20" s="770"/>
    </row>
    <row r="21" spans="1:38" ht="13" x14ac:dyDescent="0.25">
      <c r="A21" s="694"/>
      <c r="B21" s="284"/>
      <c r="C21" s="284"/>
      <c r="D21" s="300" t="s">
        <v>901</v>
      </c>
      <c r="E21" s="2226" t="str">
        <f>Translations!$B$676</f>
        <v>Данни за количеството обработени материали по CWT</v>
      </c>
      <c r="F21" s="2249"/>
      <c r="G21" s="2249"/>
      <c r="H21" s="2249"/>
      <c r="I21" s="2249"/>
      <c r="J21" s="2249"/>
      <c r="K21" s="2249"/>
      <c r="L21" s="2249"/>
      <c r="M21" s="2249"/>
      <c r="N21" s="2249"/>
      <c r="O21" s="336"/>
      <c r="P21" s="302"/>
      <c r="Q21" s="770"/>
      <c r="R21" s="694"/>
      <c r="S21" s="694"/>
      <c r="T21" s="694"/>
      <c r="U21" s="694"/>
      <c r="V21" s="694"/>
      <c r="W21" s="694"/>
      <c r="X21" s="694"/>
      <c r="Y21" s="770"/>
      <c r="Z21" s="770"/>
      <c r="AA21" s="770"/>
      <c r="AB21" s="770"/>
      <c r="AC21" s="770"/>
      <c r="AD21" s="770"/>
      <c r="AE21" s="770"/>
      <c r="AF21" s="770"/>
      <c r="AG21" s="770"/>
      <c r="AH21" s="770"/>
      <c r="AI21" s="770"/>
      <c r="AJ21" s="770"/>
      <c r="AK21" s="770"/>
      <c r="AL21" s="770"/>
    </row>
    <row r="22" spans="1:38" x14ac:dyDescent="0.25">
      <c r="A22" s="694"/>
      <c r="B22" s="284"/>
      <c r="C22" s="284"/>
      <c r="D22" s="302"/>
      <c r="E22" s="2358" t="str">
        <f>Translations!$B$677</f>
        <v>Тук въведете данните за годишното количество обработени материали за всяка CWT дейност.</v>
      </c>
      <c r="F22" s="2249"/>
      <c r="G22" s="2249"/>
      <c r="H22" s="2249"/>
      <c r="I22" s="2249"/>
      <c r="J22" s="2249"/>
      <c r="K22" s="2249"/>
      <c r="L22" s="2249"/>
      <c r="M22" s="2249"/>
      <c r="N22" s="2249"/>
      <c r="O22" s="336"/>
      <c r="P22" s="302"/>
      <c r="Q22" s="770"/>
      <c r="R22" s="694"/>
      <c r="S22" s="694"/>
      <c r="T22" s="694"/>
      <c r="U22" s="694"/>
      <c r="V22" s="694"/>
      <c r="W22" s="694"/>
      <c r="X22" s="694"/>
      <c r="Y22" s="770"/>
      <c r="Z22" s="770"/>
      <c r="AA22" s="770"/>
      <c r="AB22" s="770"/>
      <c r="AC22" s="770"/>
      <c r="AD22" s="770"/>
      <c r="AE22" s="770"/>
      <c r="AF22" s="770"/>
      <c r="AG22" s="770"/>
      <c r="AH22" s="770"/>
      <c r="AI22" s="770"/>
      <c r="AJ22" s="770"/>
      <c r="AK22" s="770"/>
      <c r="AL22" s="770"/>
    </row>
    <row r="23" spans="1:38" x14ac:dyDescent="0.25">
      <c r="A23" s="694"/>
      <c r="B23" s="284"/>
      <c r="C23" s="284"/>
      <c r="D23" s="302"/>
      <c r="E23" s="2358" t="str">
        <f>Translations!$B$678</f>
        <v>За дефиницията и границите на всяка CWT дейност вж. точка 1 от приложение II към ПБР.</v>
      </c>
      <c r="F23" s="2249"/>
      <c r="G23" s="2249"/>
      <c r="H23" s="2249"/>
      <c r="I23" s="2249"/>
      <c r="J23" s="2249"/>
      <c r="K23" s="2249"/>
      <c r="L23" s="2249"/>
      <c r="M23" s="2249"/>
      <c r="N23" s="2249"/>
      <c r="O23" s="336"/>
      <c r="P23" s="302"/>
      <c r="Q23" s="770"/>
      <c r="R23" s="694"/>
      <c r="S23" s="694"/>
      <c r="T23" s="694"/>
      <c r="U23" s="694"/>
      <c r="V23" s="694"/>
      <c r="W23" s="694"/>
      <c r="X23" s="694"/>
      <c r="Y23" s="770"/>
      <c r="Z23" s="770"/>
      <c r="AA23" s="770"/>
      <c r="AB23" s="770"/>
      <c r="AC23" s="770"/>
      <c r="AD23" s="770"/>
      <c r="AE23" s="770"/>
      <c r="AF23" s="770"/>
      <c r="AG23" s="770"/>
      <c r="AH23" s="770"/>
      <c r="AI23" s="770"/>
      <c r="AJ23" s="770"/>
      <c r="AK23" s="770"/>
      <c r="AL23" s="770"/>
    </row>
    <row r="24" spans="1:38" x14ac:dyDescent="0.25">
      <c r="A24" s="694"/>
      <c r="B24" s="284"/>
      <c r="C24" s="284"/>
      <c r="D24" s="302"/>
      <c r="E24" s="2358" t="str">
        <f>Translations!$B$679</f>
        <v>Използвани са следните съкращения:</v>
      </c>
      <c r="F24" s="2249"/>
      <c r="G24" s="2249"/>
      <c r="H24" s="2249"/>
      <c r="I24" s="2249"/>
      <c r="J24" s="2249"/>
      <c r="K24" s="2249"/>
      <c r="L24" s="2249"/>
      <c r="M24" s="2249"/>
      <c r="N24" s="2249"/>
      <c r="O24" s="336"/>
      <c r="P24" s="302"/>
      <c r="Q24" s="770"/>
      <c r="R24" s="694"/>
      <c r="S24" s="694"/>
      <c r="T24" s="694"/>
      <c r="U24" s="694"/>
      <c r="V24" s="694"/>
      <c r="W24" s="694"/>
      <c r="X24" s="694"/>
      <c r="Y24" s="770"/>
      <c r="Z24" s="770"/>
      <c r="AA24" s="770"/>
      <c r="AB24" s="770"/>
      <c r="AC24" s="770"/>
      <c r="AD24" s="770"/>
      <c r="AE24" s="770"/>
      <c r="AF24" s="770"/>
      <c r="AG24" s="770"/>
      <c r="AH24" s="770"/>
      <c r="AI24" s="770"/>
      <c r="AJ24" s="770"/>
      <c r="AK24" s="770"/>
      <c r="AL24" s="770"/>
    </row>
    <row r="25" spans="1:38" x14ac:dyDescent="0.25">
      <c r="A25" s="694"/>
      <c r="B25" s="284"/>
      <c r="C25" s="284"/>
      <c r="D25" s="302"/>
      <c r="E25" s="1520" t="s">
        <v>294</v>
      </c>
      <c r="F25" s="2358" t="str">
        <f>Translations!$B$680</f>
        <v>Нетни сурови захранвани материали</v>
      </c>
      <c r="G25" s="2249"/>
      <c r="H25" s="2249"/>
      <c r="I25" s="2249"/>
      <c r="J25" s="2249"/>
      <c r="K25" s="2249"/>
      <c r="L25" s="2249"/>
      <c r="M25" s="2249"/>
      <c r="N25" s="2249"/>
      <c r="O25" s="336"/>
      <c r="P25" s="302"/>
      <c r="Q25" s="770"/>
      <c r="R25" s="694"/>
      <c r="S25" s="694"/>
      <c r="T25" s="694"/>
      <c r="U25" s="694"/>
      <c r="V25" s="694"/>
      <c r="W25" s="694"/>
      <c r="X25" s="694"/>
      <c r="Y25" s="770"/>
      <c r="Z25" s="770"/>
      <c r="AA25" s="770"/>
      <c r="AB25" s="770"/>
      <c r="AC25" s="770"/>
      <c r="AD25" s="770"/>
      <c r="AE25" s="770"/>
      <c r="AF25" s="770"/>
      <c r="AG25" s="770"/>
      <c r="AH25" s="770"/>
      <c r="AI25" s="770"/>
      <c r="AJ25" s="770"/>
      <c r="AK25" s="770"/>
      <c r="AL25" s="770"/>
    </row>
    <row r="26" spans="1:38" x14ac:dyDescent="0.25">
      <c r="A26" s="694"/>
      <c r="B26" s="284"/>
      <c r="C26" s="284"/>
      <c r="D26" s="302"/>
      <c r="E26" s="1520" t="s">
        <v>1054</v>
      </c>
      <c r="F26" s="2358" t="str">
        <f>Translations!$B$681</f>
        <v>Реакторни захранвани материали (вкл. рециклирани)</v>
      </c>
      <c r="G26" s="2249"/>
      <c r="H26" s="2249"/>
      <c r="I26" s="2249"/>
      <c r="J26" s="2249"/>
      <c r="K26" s="2249"/>
      <c r="L26" s="2249"/>
      <c r="M26" s="2249"/>
      <c r="N26" s="2249"/>
      <c r="O26" s="336"/>
      <c r="P26" s="302"/>
      <c r="Q26" s="770"/>
      <c r="R26" s="694"/>
      <c r="S26" s="694"/>
      <c r="T26" s="694"/>
      <c r="U26" s="694"/>
      <c r="V26" s="694"/>
      <c r="W26" s="694"/>
      <c r="X26" s="694"/>
      <c r="Y26" s="770"/>
      <c r="Z26" s="770"/>
      <c r="AA26" s="770"/>
      <c r="AB26" s="770"/>
      <c r="AC26" s="770"/>
      <c r="AD26" s="770"/>
      <c r="AE26" s="770"/>
      <c r="AF26" s="770"/>
      <c r="AG26" s="770"/>
      <c r="AH26" s="770"/>
      <c r="AI26" s="770"/>
      <c r="AJ26" s="770"/>
      <c r="AK26" s="770"/>
      <c r="AL26" s="770"/>
    </row>
    <row r="27" spans="1:38" x14ac:dyDescent="0.25">
      <c r="A27" s="694"/>
      <c r="B27" s="284"/>
      <c r="C27" s="284"/>
      <c r="D27" s="302"/>
      <c r="E27" s="1520" t="s">
        <v>372</v>
      </c>
      <c r="F27" s="2358" t="str">
        <f>Translations!$B$682</f>
        <v>Продуктови захранвани материали</v>
      </c>
      <c r="G27" s="2249"/>
      <c r="H27" s="2249"/>
      <c r="I27" s="2249"/>
      <c r="J27" s="2249"/>
      <c r="K27" s="2249"/>
      <c r="L27" s="2249"/>
      <c r="M27" s="2249"/>
      <c r="N27" s="2249"/>
      <c r="O27" s="336"/>
      <c r="P27" s="302"/>
      <c r="Q27" s="770"/>
      <c r="R27" s="694"/>
      <c r="S27" s="694"/>
      <c r="T27" s="694"/>
      <c r="U27" s="694"/>
      <c r="V27" s="694"/>
      <c r="W27" s="694"/>
      <c r="X27" s="694"/>
      <c r="Y27" s="770"/>
      <c r="Z27" s="770"/>
      <c r="AA27" s="770"/>
      <c r="AB27" s="770"/>
      <c r="AC27" s="770"/>
      <c r="AD27" s="770"/>
      <c r="AE27" s="770"/>
      <c r="AF27" s="770"/>
      <c r="AG27" s="770"/>
      <c r="AH27" s="770"/>
      <c r="AI27" s="770"/>
      <c r="AJ27" s="770"/>
      <c r="AK27" s="770"/>
      <c r="AL27" s="770"/>
    </row>
    <row r="28" spans="1:38" x14ac:dyDescent="0.25">
      <c r="A28" s="694"/>
      <c r="B28" s="284"/>
      <c r="C28" s="284"/>
      <c r="D28" s="302"/>
      <c r="E28" s="1520" t="str">
        <f>Translations!$B$1572</f>
        <v>SG</v>
      </c>
      <c r="F28" s="2358" t="str">
        <f>Translations!$B$683</f>
        <v>Произведен синтетичен газ в агрегатите за частично окисляване</v>
      </c>
      <c r="G28" s="2249"/>
      <c r="H28" s="2249"/>
      <c r="I28" s="2249"/>
      <c r="J28" s="2249"/>
      <c r="K28" s="2249"/>
      <c r="L28" s="2249"/>
      <c r="M28" s="2249"/>
      <c r="N28" s="2249"/>
      <c r="O28" s="336"/>
      <c r="P28" s="302"/>
      <c r="Q28" s="770"/>
      <c r="R28" s="694"/>
      <c r="S28" s="694"/>
      <c r="T28" s="694"/>
      <c r="U28" s="694"/>
      <c r="V28" s="694"/>
      <c r="W28" s="694"/>
      <c r="X28" s="694"/>
      <c r="Y28" s="770"/>
      <c r="Z28" s="770"/>
      <c r="AA28" s="770"/>
      <c r="AB28" s="770"/>
      <c r="AC28" s="770"/>
      <c r="AD28" s="770"/>
      <c r="AE28" s="770"/>
      <c r="AF28" s="770"/>
      <c r="AG28" s="770"/>
      <c r="AH28" s="770"/>
      <c r="AI28" s="770"/>
      <c r="AJ28" s="770"/>
      <c r="AK28" s="770"/>
      <c r="AL28" s="770"/>
    </row>
    <row r="29" spans="1:38" x14ac:dyDescent="0.25">
      <c r="A29" s="694"/>
      <c r="B29" s="284"/>
      <c r="C29" s="284"/>
      <c r="D29" s="460"/>
      <c r="E29" s="2459" t="str">
        <f>Translations!$B$684</f>
        <v>Важна забележка:  В съответствие с приложение II към ПБР мерните единици за отчитане са килотона обработен материал.</v>
      </c>
      <c r="F29" s="2249"/>
      <c r="G29" s="2249"/>
      <c r="H29" s="2249"/>
      <c r="I29" s="2249"/>
      <c r="J29" s="2249"/>
      <c r="K29" s="2249"/>
      <c r="L29" s="2249"/>
      <c r="M29" s="2249"/>
      <c r="N29" s="2249"/>
      <c r="O29" s="336"/>
      <c r="P29" s="302"/>
      <c r="Q29" s="770"/>
      <c r="R29" s="694"/>
      <c r="S29" s="694"/>
      <c r="T29" s="694"/>
      <c r="U29" s="694"/>
      <c r="V29" s="694"/>
      <c r="W29" s="694"/>
      <c r="X29" s="694"/>
      <c r="Y29" s="770"/>
      <c r="Z29" s="770"/>
      <c r="AA29" s="770"/>
      <c r="AB29" s="770"/>
      <c r="AC29" s="770"/>
      <c r="AD29" s="770"/>
      <c r="AE29" s="770"/>
      <c r="AF29" s="770"/>
      <c r="AG29" s="770"/>
      <c r="AH29" s="770"/>
      <c r="AI29" s="770"/>
      <c r="AJ29" s="770"/>
      <c r="AK29" s="770"/>
      <c r="AL29" s="770"/>
    </row>
    <row r="30" spans="1:38" ht="5.15" customHeight="1" x14ac:dyDescent="0.25">
      <c r="A30" s="694"/>
      <c r="B30" s="284"/>
      <c r="C30" s="284"/>
      <c r="D30" s="284"/>
      <c r="E30" s="284"/>
      <c r="F30" s="284"/>
      <c r="G30" s="284"/>
      <c r="H30" s="284"/>
      <c r="I30" s="284"/>
      <c r="J30" s="284"/>
      <c r="K30" s="284"/>
      <c r="L30" s="284"/>
      <c r="M30" s="336"/>
      <c r="N30" s="336"/>
      <c r="O30" s="336"/>
      <c r="P30" s="302"/>
      <c r="Q30" s="770"/>
      <c r="R30" s="694"/>
      <c r="S30" s="694"/>
      <c r="T30" s="694"/>
      <c r="U30" s="694"/>
      <c r="V30" s="694"/>
      <c r="W30" s="694"/>
      <c r="X30" s="694"/>
      <c r="Y30" s="770"/>
      <c r="Z30" s="770"/>
      <c r="AA30" s="770"/>
      <c r="AB30" s="770"/>
      <c r="AC30" s="770"/>
      <c r="AD30" s="770"/>
      <c r="AE30" s="770"/>
      <c r="AF30" s="770"/>
      <c r="AG30" s="770"/>
      <c r="AH30" s="770"/>
      <c r="AI30" s="770"/>
      <c r="AJ30" s="770"/>
      <c r="AK30" s="770"/>
      <c r="AL30" s="770"/>
    </row>
    <row r="31" spans="1:38" ht="13.5" thickBot="1" x14ac:dyDescent="0.3">
      <c r="A31" s="694"/>
      <c r="B31" s="698"/>
      <c r="C31" s="698"/>
      <c r="D31" s="698"/>
      <c r="E31" s="389" t="str">
        <f>Translations!$B$685</f>
        <v>CWT дейност</v>
      </c>
      <c r="F31" s="389" t="str">
        <f>Translations!$B$686</f>
        <v>Вид база за коефициента (в kt/г.)</v>
      </c>
      <c r="G31" s="1521" t="str">
        <f>Translations!$B$687</f>
        <v>CWT коефициент</v>
      </c>
      <c r="H31" s="387">
        <f t="shared" ref="H31:N31" si="0">H$490</f>
        <v>2024</v>
      </c>
      <c r="I31" s="1522">
        <f t="shared" si="0"/>
        <v>2025</v>
      </c>
      <c r="J31" s="1523">
        <f t="shared" si="0"/>
        <v>2026</v>
      </c>
      <c r="K31" s="387">
        <f t="shared" si="0"/>
        <v>2027</v>
      </c>
      <c r="L31" s="387">
        <f t="shared" si="0"/>
        <v>2028</v>
      </c>
      <c r="M31" s="387">
        <f t="shared" si="0"/>
        <v>2029</v>
      </c>
      <c r="N31" s="1522">
        <f t="shared" si="0"/>
        <v>2030</v>
      </c>
      <c r="O31" s="336"/>
      <c r="P31" s="302"/>
      <c r="Q31" s="694"/>
      <c r="R31" s="694"/>
      <c r="S31" s="694"/>
      <c r="T31" s="694"/>
      <c r="U31" s="694"/>
      <c r="V31" s="694"/>
      <c r="W31" s="694"/>
      <c r="X31" s="694"/>
      <c r="Y31" s="770"/>
      <c r="Z31" s="770"/>
      <c r="AA31" s="770"/>
      <c r="AB31" s="694"/>
      <c r="AC31" s="1524">
        <f t="shared" ref="AC31:AI31" si="1">H31</f>
        <v>2024</v>
      </c>
      <c r="AD31" s="1524">
        <f t="shared" si="1"/>
        <v>2025</v>
      </c>
      <c r="AE31" s="1524">
        <f t="shared" si="1"/>
        <v>2026</v>
      </c>
      <c r="AF31" s="1524">
        <f t="shared" si="1"/>
        <v>2027</v>
      </c>
      <c r="AG31" s="1524">
        <f t="shared" si="1"/>
        <v>2028</v>
      </c>
      <c r="AH31" s="1524">
        <f t="shared" si="1"/>
        <v>2029</v>
      </c>
      <c r="AI31" s="1524">
        <f t="shared" si="1"/>
        <v>2030</v>
      </c>
      <c r="AJ31" s="770"/>
      <c r="AK31" s="770"/>
      <c r="AL31" s="770"/>
    </row>
    <row r="32" spans="1:38" ht="25.5" customHeight="1" x14ac:dyDescent="0.25">
      <c r="A32" s="694"/>
      <c r="B32" s="698"/>
      <c r="C32" s="698"/>
      <c r="D32" s="698"/>
      <c r="E32" s="1295" t="str">
        <f>Translations!$B$688</f>
        <v>Атмосферна дестилация на суров нефт</v>
      </c>
      <c r="F32" s="1016" t="s">
        <v>294</v>
      </c>
      <c r="G32" s="1525">
        <v>1</v>
      </c>
      <c r="H32" s="14"/>
      <c r="I32" s="61"/>
      <c r="J32" s="65"/>
      <c r="K32" s="14"/>
      <c r="L32" s="14"/>
      <c r="M32" s="14"/>
      <c r="N32" s="61"/>
      <c r="O32" s="336"/>
      <c r="P32" s="158"/>
      <c r="Q32" s="694"/>
      <c r="R32" s="694"/>
      <c r="S32" s="694"/>
      <c r="T32" s="694"/>
      <c r="U32" s="694"/>
      <c r="V32" s="694"/>
      <c r="W32" s="694"/>
      <c r="X32" s="694"/>
      <c r="Y32" s="770"/>
      <c r="Z32" s="770"/>
      <c r="AA32" s="770"/>
      <c r="AB32" s="1182" t="s">
        <v>737</v>
      </c>
      <c r="AC32" s="1526" t="b">
        <f t="shared" ref="AC32:AI32" si="2">IF(CNTR_ExistSubInstEntries,IF($L17=EUconst_Relevant,AC31&gt;=CNTR_ReportingYear,TRUE),FALSE)</f>
        <v>0</v>
      </c>
      <c r="AD32" s="1281" t="b">
        <f t="shared" si="2"/>
        <v>0</v>
      </c>
      <c r="AE32" s="1281" t="b">
        <f t="shared" si="2"/>
        <v>0</v>
      </c>
      <c r="AF32" s="1281" t="b">
        <f t="shared" si="2"/>
        <v>0</v>
      </c>
      <c r="AG32" s="1281" t="b">
        <f t="shared" si="2"/>
        <v>0</v>
      </c>
      <c r="AH32" s="1281" t="b">
        <f t="shared" si="2"/>
        <v>0</v>
      </c>
      <c r="AI32" s="1527" t="b">
        <f t="shared" si="2"/>
        <v>0</v>
      </c>
      <c r="AJ32" s="770"/>
      <c r="AK32" s="770"/>
      <c r="AL32" s="770"/>
    </row>
    <row r="33" spans="1:38" ht="12.75" customHeight="1" x14ac:dyDescent="0.25">
      <c r="A33" s="694"/>
      <c r="B33" s="698"/>
      <c r="C33" s="698"/>
      <c r="D33" s="698"/>
      <c r="E33" s="1258" t="str">
        <f>Translations!$B$689</f>
        <v xml:space="preserve">Вакуумна дестилация </v>
      </c>
      <c r="F33" s="1528" t="s">
        <v>294</v>
      </c>
      <c r="G33" s="1529">
        <v>0.85</v>
      </c>
      <c r="H33" s="13"/>
      <c r="I33" s="62"/>
      <c r="J33" s="66"/>
      <c r="K33" s="13"/>
      <c r="L33" s="13"/>
      <c r="M33" s="13"/>
      <c r="N33" s="62"/>
      <c r="O33" s="336"/>
      <c r="P33" s="158"/>
      <c r="Q33" s="694"/>
      <c r="R33" s="694"/>
      <c r="S33" s="694"/>
      <c r="T33" s="694"/>
      <c r="U33" s="694"/>
      <c r="V33" s="694"/>
      <c r="W33" s="694"/>
      <c r="X33" s="694"/>
      <c r="Y33" s="770"/>
      <c r="Z33" s="770"/>
      <c r="AA33" s="770"/>
      <c r="AB33" s="770"/>
      <c r="AC33" s="1530" t="b">
        <f>AC32</f>
        <v>0</v>
      </c>
      <c r="AD33" s="1500" t="b">
        <f t="shared" ref="AD33:AD87" si="3">AD32</f>
        <v>0</v>
      </c>
      <c r="AE33" s="1500" t="b">
        <f t="shared" ref="AE33:AE87" si="4">AE32</f>
        <v>0</v>
      </c>
      <c r="AF33" s="1500" t="b">
        <f t="shared" ref="AF33:AF87" si="5">AF32</f>
        <v>0</v>
      </c>
      <c r="AG33" s="1500" t="b">
        <f t="shared" ref="AG33:AG87" si="6">AG32</f>
        <v>0</v>
      </c>
      <c r="AH33" s="1500" t="b">
        <f t="shared" ref="AH33:AH87" si="7">AH32</f>
        <v>0</v>
      </c>
      <c r="AI33" s="1531" t="b">
        <f t="shared" ref="AI33:AI87" si="8">AI32</f>
        <v>0</v>
      </c>
      <c r="AJ33" s="770"/>
      <c r="AK33" s="770"/>
      <c r="AL33" s="770"/>
    </row>
    <row r="34" spans="1:38" ht="12.75" customHeight="1" x14ac:dyDescent="0.25">
      <c r="A34" s="694"/>
      <c r="B34" s="698"/>
      <c r="C34" s="698"/>
      <c r="D34" s="698"/>
      <c r="E34" s="1532" t="str">
        <f>Translations!$B$690</f>
        <v xml:space="preserve">Деасфалтиране с разтворител </v>
      </c>
      <c r="F34" s="1087" t="s">
        <v>294</v>
      </c>
      <c r="G34" s="1533">
        <v>2.4500000000000002</v>
      </c>
      <c r="H34" s="12"/>
      <c r="I34" s="63"/>
      <c r="J34" s="67"/>
      <c r="K34" s="12"/>
      <c r="L34" s="12"/>
      <c r="M34" s="12"/>
      <c r="N34" s="63"/>
      <c r="O34" s="336"/>
      <c r="P34" s="158"/>
      <c r="Q34" s="694"/>
      <c r="R34" s="694"/>
      <c r="S34" s="694"/>
      <c r="T34" s="694"/>
      <c r="U34" s="694"/>
      <c r="V34" s="694"/>
      <c r="W34" s="694"/>
      <c r="X34" s="694"/>
      <c r="Y34" s="770"/>
      <c r="Z34" s="770"/>
      <c r="AA34" s="770"/>
      <c r="AB34" s="770"/>
      <c r="AC34" s="1530" t="b">
        <f t="shared" ref="AC34:AC87" si="9">AC33</f>
        <v>0</v>
      </c>
      <c r="AD34" s="1500" t="b">
        <f t="shared" si="3"/>
        <v>0</v>
      </c>
      <c r="AE34" s="1500" t="b">
        <f t="shared" si="4"/>
        <v>0</v>
      </c>
      <c r="AF34" s="1500" t="b">
        <f t="shared" si="5"/>
        <v>0</v>
      </c>
      <c r="AG34" s="1500" t="b">
        <f t="shared" si="6"/>
        <v>0</v>
      </c>
      <c r="AH34" s="1500" t="b">
        <f t="shared" si="7"/>
        <v>0</v>
      </c>
      <c r="AI34" s="1531" t="b">
        <f t="shared" si="8"/>
        <v>0</v>
      </c>
      <c r="AJ34" s="770"/>
      <c r="AK34" s="770"/>
      <c r="AL34" s="770"/>
    </row>
    <row r="35" spans="1:38" x14ac:dyDescent="0.25">
      <c r="A35" s="694"/>
      <c r="B35" s="698"/>
      <c r="C35" s="698"/>
      <c r="D35" s="698"/>
      <c r="E35" s="1532" t="str">
        <f>Translations!$B$691</f>
        <v xml:space="preserve">Висбрекинг </v>
      </c>
      <c r="F35" s="1087" t="s">
        <v>294</v>
      </c>
      <c r="G35" s="1533">
        <v>1.4</v>
      </c>
      <c r="H35" s="12"/>
      <c r="I35" s="63"/>
      <c r="J35" s="67"/>
      <c r="K35" s="12"/>
      <c r="L35" s="12"/>
      <c r="M35" s="12"/>
      <c r="N35" s="63"/>
      <c r="O35" s="336"/>
      <c r="P35" s="158"/>
      <c r="Q35" s="694"/>
      <c r="R35" s="694"/>
      <c r="S35" s="694"/>
      <c r="T35" s="694"/>
      <c r="U35" s="694"/>
      <c r="V35" s="694"/>
      <c r="W35" s="694"/>
      <c r="X35" s="694"/>
      <c r="Y35" s="770"/>
      <c r="Z35" s="770"/>
      <c r="AA35" s="770"/>
      <c r="AB35" s="770"/>
      <c r="AC35" s="1530" t="b">
        <f t="shared" si="9"/>
        <v>0</v>
      </c>
      <c r="AD35" s="1500" t="b">
        <f t="shared" si="3"/>
        <v>0</v>
      </c>
      <c r="AE35" s="1500" t="b">
        <f t="shared" si="4"/>
        <v>0</v>
      </c>
      <c r="AF35" s="1500" t="b">
        <f t="shared" si="5"/>
        <v>0</v>
      </c>
      <c r="AG35" s="1500" t="b">
        <f t="shared" si="6"/>
        <v>0</v>
      </c>
      <c r="AH35" s="1500" t="b">
        <f t="shared" si="7"/>
        <v>0</v>
      </c>
      <c r="AI35" s="1531" t="b">
        <f t="shared" si="8"/>
        <v>0</v>
      </c>
      <c r="AJ35" s="770"/>
      <c r="AK35" s="770"/>
      <c r="AL35" s="770"/>
    </row>
    <row r="36" spans="1:38" ht="12.75" customHeight="1" x14ac:dyDescent="0.25">
      <c r="A36" s="694"/>
      <c r="B36" s="698"/>
      <c r="C36" s="698"/>
      <c r="D36" s="698"/>
      <c r="E36" s="1532" t="str">
        <f>Translations!$B$692</f>
        <v>Термичен крекинг</v>
      </c>
      <c r="F36" s="1087" t="s">
        <v>294</v>
      </c>
      <c r="G36" s="1533">
        <v>2.7</v>
      </c>
      <c r="H36" s="12"/>
      <c r="I36" s="63"/>
      <c r="J36" s="67"/>
      <c r="K36" s="12"/>
      <c r="L36" s="12"/>
      <c r="M36" s="12"/>
      <c r="N36" s="63"/>
      <c r="O36" s="336"/>
      <c r="P36" s="158"/>
      <c r="Q36" s="694"/>
      <c r="R36" s="694"/>
      <c r="S36" s="694"/>
      <c r="T36" s="694"/>
      <c r="U36" s="694"/>
      <c r="V36" s="694"/>
      <c r="W36" s="694"/>
      <c r="X36" s="694"/>
      <c r="Y36" s="770"/>
      <c r="Z36" s="770"/>
      <c r="AA36" s="770"/>
      <c r="AB36" s="770"/>
      <c r="AC36" s="1530" t="b">
        <f t="shared" si="9"/>
        <v>0</v>
      </c>
      <c r="AD36" s="1500" t="b">
        <f t="shared" si="3"/>
        <v>0</v>
      </c>
      <c r="AE36" s="1500" t="b">
        <f t="shared" si="4"/>
        <v>0</v>
      </c>
      <c r="AF36" s="1500" t="b">
        <f t="shared" si="5"/>
        <v>0</v>
      </c>
      <c r="AG36" s="1500" t="b">
        <f t="shared" si="6"/>
        <v>0</v>
      </c>
      <c r="AH36" s="1500" t="b">
        <f t="shared" si="7"/>
        <v>0</v>
      </c>
      <c r="AI36" s="1531" t="b">
        <f t="shared" si="8"/>
        <v>0</v>
      </c>
      <c r="AJ36" s="770"/>
      <c r="AK36" s="770"/>
      <c r="AL36" s="770"/>
    </row>
    <row r="37" spans="1:38" ht="12.75" customHeight="1" x14ac:dyDescent="0.25">
      <c r="A37" s="694"/>
      <c r="B37" s="698"/>
      <c r="C37" s="698"/>
      <c r="D37" s="698"/>
      <c r="E37" s="1532" t="str">
        <f>Translations!$B$693</f>
        <v xml:space="preserve">Забавено коксуване </v>
      </c>
      <c r="F37" s="1087" t="s">
        <v>294</v>
      </c>
      <c r="G37" s="1533">
        <v>2.2000000000000002</v>
      </c>
      <c r="H37" s="12"/>
      <c r="I37" s="63"/>
      <c r="J37" s="67"/>
      <c r="K37" s="12"/>
      <c r="L37" s="12"/>
      <c r="M37" s="12"/>
      <c r="N37" s="63"/>
      <c r="O37" s="336"/>
      <c r="P37" s="158"/>
      <c r="Q37" s="694"/>
      <c r="R37" s="694"/>
      <c r="S37" s="694"/>
      <c r="T37" s="694"/>
      <c r="U37" s="694"/>
      <c r="V37" s="694"/>
      <c r="W37" s="694"/>
      <c r="X37" s="694"/>
      <c r="Y37" s="770"/>
      <c r="Z37" s="770"/>
      <c r="AA37" s="770"/>
      <c r="AB37" s="770"/>
      <c r="AC37" s="1530" t="b">
        <f t="shared" si="9"/>
        <v>0</v>
      </c>
      <c r="AD37" s="1500" t="b">
        <f t="shared" si="3"/>
        <v>0</v>
      </c>
      <c r="AE37" s="1500" t="b">
        <f t="shared" si="4"/>
        <v>0</v>
      </c>
      <c r="AF37" s="1500" t="b">
        <f t="shared" si="5"/>
        <v>0</v>
      </c>
      <c r="AG37" s="1500" t="b">
        <f t="shared" si="6"/>
        <v>0</v>
      </c>
      <c r="AH37" s="1500" t="b">
        <f t="shared" si="7"/>
        <v>0</v>
      </c>
      <c r="AI37" s="1531" t="b">
        <f t="shared" si="8"/>
        <v>0</v>
      </c>
      <c r="AJ37" s="770"/>
      <c r="AK37" s="770"/>
      <c r="AL37" s="770"/>
    </row>
    <row r="38" spans="1:38" x14ac:dyDescent="0.25">
      <c r="A38" s="694"/>
      <c r="B38" s="698"/>
      <c r="C38" s="698"/>
      <c r="D38" s="698"/>
      <c r="E38" s="1532" t="str">
        <f>Translations!$B$694</f>
        <v xml:space="preserve">Поточно коксуване </v>
      </c>
      <c r="F38" s="1087" t="s">
        <v>294</v>
      </c>
      <c r="G38" s="1533">
        <v>7.6</v>
      </c>
      <c r="H38" s="12"/>
      <c r="I38" s="63"/>
      <c r="J38" s="67"/>
      <c r="K38" s="12"/>
      <c r="L38" s="12"/>
      <c r="M38" s="12"/>
      <c r="N38" s="63"/>
      <c r="O38" s="336"/>
      <c r="P38" s="158"/>
      <c r="Q38" s="694"/>
      <c r="R38" s="694"/>
      <c r="S38" s="694"/>
      <c r="T38" s="694"/>
      <c r="U38" s="694"/>
      <c r="V38" s="694"/>
      <c r="W38" s="694"/>
      <c r="X38" s="694"/>
      <c r="Y38" s="770"/>
      <c r="Z38" s="770"/>
      <c r="AA38" s="770"/>
      <c r="AB38" s="770"/>
      <c r="AC38" s="1530" t="b">
        <f t="shared" si="9"/>
        <v>0</v>
      </c>
      <c r="AD38" s="1500" t="b">
        <f t="shared" si="3"/>
        <v>0</v>
      </c>
      <c r="AE38" s="1500" t="b">
        <f t="shared" si="4"/>
        <v>0</v>
      </c>
      <c r="AF38" s="1500" t="b">
        <f t="shared" si="5"/>
        <v>0</v>
      </c>
      <c r="AG38" s="1500" t="b">
        <f t="shared" si="6"/>
        <v>0</v>
      </c>
      <c r="AH38" s="1500" t="b">
        <f t="shared" si="7"/>
        <v>0</v>
      </c>
      <c r="AI38" s="1531" t="b">
        <f t="shared" si="8"/>
        <v>0</v>
      </c>
      <c r="AJ38" s="770"/>
      <c r="AK38" s="770"/>
      <c r="AL38" s="770"/>
    </row>
    <row r="39" spans="1:38" x14ac:dyDescent="0.25">
      <c r="A39" s="694"/>
      <c r="B39" s="698"/>
      <c r="C39" s="698"/>
      <c r="D39" s="698"/>
      <c r="E39" s="1532" t="str">
        <f>Translations!$B$695</f>
        <v xml:space="preserve">Флекси-коксуване </v>
      </c>
      <c r="F39" s="1087" t="s">
        <v>294</v>
      </c>
      <c r="G39" s="1533">
        <v>16.600000000000001</v>
      </c>
      <c r="H39" s="12"/>
      <c r="I39" s="63"/>
      <c r="J39" s="67"/>
      <c r="K39" s="12"/>
      <c r="L39" s="12"/>
      <c r="M39" s="12"/>
      <c r="N39" s="63"/>
      <c r="O39" s="336"/>
      <c r="P39" s="158"/>
      <c r="Q39" s="694"/>
      <c r="R39" s="694"/>
      <c r="S39" s="694"/>
      <c r="T39" s="694"/>
      <c r="U39" s="694"/>
      <c r="V39" s="694"/>
      <c r="W39" s="694"/>
      <c r="X39" s="694"/>
      <c r="Y39" s="770"/>
      <c r="Z39" s="770"/>
      <c r="AA39" s="770"/>
      <c r="AB39" s="770"/>
      <c r="AC39" s="1530" t="b">
        <f t="shared" si="9"/>
        <v>0</v>
      </c>
      <c r="AD39" s="1500" t="b">
        <f t="shared" si="3"/>
        <v>0</v>
      </c>
      <c r="AE39" s="1500" t="b">
        <f t="shared" si="4"/>
        <v>0</v>
      </c>
      <c r="AF39" s="1500" t="b">
        <f t="shared" si="5"/>
        <v>0</v>
      </c>
      <c r="AG39" s="1500" t="b">
        <f t="shared" si="6"/>
        <v>0</v>
      </c>
      <c r="AH39" s="1500" t="b">
        <f t="shared" si="7"/>
        <v>0</v>
      </c>
      <c r="AI39" s="1531" t="b">
        <f t="shared" si="8"/>
        <v>0</v>
      </c>
      <c r="AJ39" s="770"/>
      <c r="AK39" s="770"/>
      <c r="AL39" s="770"/>
    </row>
    <row r="40" spans="1:38" ht="12.75" customHeight="1" x14ac:dyDescent="0.25">
      <c r="A40" s="694"/>
      <c r="B40" s="698"/>
      <c r="C40" s="698"/>
      <c r="D40" s="698"/>
      <c r="E40" s="1532" t="str">
        <f>Translations!$B$696</f>
        <v xml:space="preserve">Калциниране на кокс </v>
      </c>
      <c r="F40" s="1087" t="s">
        <v>372</v>
      </c>
      <c r="G40" s="1533">
        <v>12.75</v>
      </c>
      <c r="H40" s="12"/>
      <c r="I40" s="63"/>
      <c r="J40" s="67"/>
      <c r="K40" s="12"/>
      <c r="L40" s="12"/>
      <c r="M40" s="12"/>
      <c r="N40" s="63"/>
      <c r="O40" s="336"/>
      <c r="P40" s="158"/>
      <c r="Q40" s="694"/>
      <c r="R40" s="694"/>
      <c r="S40" s="694"/>
      <c r="T40" s="694"/>
      <c r="U40" s="694"/>
      <c r="V40" s="694"/>
      <c r="W40" s="694"/>
      <c r="X40" s="694"/>
      <c r="Y40" s="770"/>
      <c r="Z40" s="770"/>
      <c r="AA40" s="770"/>
      <c r="AB40" s="770"/>
      <c r="AC40" s="1530" t="b">
        <f t="shared" si="9"/>
        <v>0</v>
      </c>
      <c r="AD40" s="1500" t="b">
        <f t="shared" si="3"/>
        <v>0</v>
      </c>
      <c r="AE40" s="1500" t="b">
        <f t="shared" si="4"/>
        <v>0</v>
      </c>
      <c r="AF40" s="1500" t="b">
        <f t="shared" si="5"/>
        <v>0</v>
      </c>
      <c r="AG40" s="1500" t="b">
        <f t="shared" si="6"/>
        <v>0</v>
      </c>
      <c r="AH40" s="1500" t="b">
        <f t="shared" si="7"/>
        <v>0</v>
      </c>
      <c r="AI40" s="1531" t="b">
        <f t="shared" si="8"/>
        <v>0</v>
      </c>
      <c r="AJ40" s="770"/>
      <c r="AK40" s="770"/>
      <c r="AL40" s="770"/>
    </row>
    <row r="41" spans="1:38" ht="12.75" customHeight="1" x14ac:dyDescent="0.25">
      <c r="A41" s="694"/>
      <c r="B41" s="698"/>
      <c r="C41" s="698"/>
      <c r="D41" s="698"/>
      <c r="E41" s="1532" t="str">
        <f>Translations!$B$697</f>
        <v>Каталитичен крекинг тип флуид</v>
      </c>
      <c r="F41" s="1087" t="s">
        <v>294</v>
      </c>
      <c r="G41" s="1533">
        <v>5.5</v>
      </c>
      <c r="H41" s="12"/>
      <c r="I41" s="63"/>
      <c r="J41" s="67"/>
      <c r="K41" s="12"/>
      <c r="L41" s="12"/>
      <c r="M41" s="12"/>
      <c r="N41" s="63"/>
      <c r="O41" s="336"/>
      <c r="P41" s="158"/>
      <c r="Q41" s="694"/>
      <c r="R41" s="694"/>
      <c r="S41" s="694"/>
      <c r="T41" s="694"/>
      <c r="U41" s="694"/>
      <c r="V41" s="694"/>
      <c r="W41" s="694"/>
      <c r="X41" s="694"/>
      <c r="Y41" s="770"/>
      <c r="Z41" s="770"/>
      <c r="AA41" s="770"/>
      <c r="AB41" s="770"/>
      <c r="AC41" s="1530" t="b">
        <f t="shared" si="9"/>
        <v>0</v>
      </c>
      <c r="AD41" s="1500" t="b">
        <f t="shared" si="3"/>
        <v>0</v>
      </c>
      <c r="AE41" s="1500" t="b">
        <f t="shared" si="4"/>
        <v>0</v>
      </c>
      <c r="AF41" s="1500" t="b">
        <f t="shared" si="5"/>
        <v>0</v>
      </c>
      <c r="AG41" s="1500" t="b">
        <f t="shared" si="6"/>
        <v>0</v>
      </c>
      <c r="AH41" s="1500" t="b">
        <f t="shared" si="7"/>
        <v>0</v>
      </c>
      <c r="AI41" s="1531" t="b">
        <f t="shared" si="8"/>
        <v>0</v>
      </c>
      <c r="AJ41" s="770"/>
      <c r="AK41" s="770"/>
      <c r="AL41" s="770"/>
    </row>
    <row r="42" spans="1:38" ht="12.75" customHeight="1" x14ac:dyDescent="0.25">
      <c r="A42" s="694"/>
      <c r="B42" s="698"/>
      <c r="C42" s="698"/>
      <c r="D42" s="698"/>
      <c r="E42" s="1532" t="str">
        <f>Translations!$B$698</f>
        <v xml:space="preserve">Други видове каталитичен крекинг </v>
      </c>
      <c r="F42" s="1087" t="s">
        <v>294</v>
      </c>
      <c r="G42" s="1533">
        <v>4.0999999999999996</v>
      </c>
      <c r="H42" s="12"/>
      <c r="I42" s="63"/>
      <c r="J42" s="67"/>
      <c r="K42" s="12"/>
      <c r="L42" s="12"/>
      <c r="M42" s="12"/>
      <c r="N42" s="63"/>
      <c r="O42" s="336"/>
      <c r="P42" s="158"/>
      <c r="Q42" s="694"/>
      <c r="R42" s="694"/>
      <c r="S42" s="694"/>
      <c r="T42" s="694"/>
      <c r="U42" s="694"/>
      <c r="V42" s="694"/>
      <c r="W42" s="694"/>
      <c r="X42" s="694"/>
      <c r="Y42" s="770"/>
      <c r="Z42" s="770"/>
      <c r="AA42" s="770"/>
      <c r="AB42" s="770"/>
      <c r="AC42" s="1530" t="b">
        <f t="shared" si="9"/>
        <v>0</v>
      </c>
      <c r="AD42" s="1500" t="b">
        <f t="shared" si="3"/>
        <v>0</v>
      </c>
      <c r="AE42" s="1500" t="b">
        <f t="shared" si="4"/>
        <v>0</v>
      </c>
      <c r="AF42" s="1500" t="b">
        <f t="shared" si="5"/>
        <v>0</v>
      </c>
      <c r="AG42" s="1500" t="b">
        <f t="shared" si="6"/>
        <v>0</v>
      </c>
      <c r="AH42" s="1500" t="b">
        <f t="shared" si="7"/>
        <v>0</v>
      </c>
      <c r="AI42" s="1531" t="b">
        <f t="shared" si="8"/>
        <v>0</v>
      </c>
      <c r="AJ42" s="770"/>
      <c r="AK42" s="770"/>
      <c r="AL42" s="770"/>
    </row>
    <row r="43" spans="1:38" ht="25.5" customHeight="1" x14ac:dyDescent="0.25">
      <c r="A43" s="694"/>
      <c r="B43" s="698"/>
      <c r="C43" s="698"/>
      <c r="D43" s="698"/>
      <c r="E43" s="1532" t="str">
        <f>Translations!$B$699</f>
        <v xml:space="preserve">Крекинг във водородна среда на дестилат / газьол </v>
      </c>
      <c r="F43" s="1087" t="s">
        <v>294</v>
      </c>
      <c r="G43" s="1533">
        <v>2.85</v>
      </c>
      <c r="H43" s="12"/>
      <c r="I43" s="63"/>
      <c r="J43" s="67"/>
      <c r="K43" s="12"/>
      <c r="L43" s="12"/>
      <c r="M43" s="12"/>
      <c r="N43" s="63"/>
      <c r="O43" s="336"/>
      <c r="P43" s="158"/>
      <c r="Q43" s="694"/>
      <c r="R43" s="694"/>
      <c r="S43" s="694"/>
      <c r="T43" s="694"/>
      <c r="U43" s="694"/>
      <c r="V43" s="694"/>
      <c r="W43" s="694"/>
      <c r="X43" s="694"/>
      <c r="Y43" s="770"/>
      <c r="Z43" s="770"/>
      <c r="AA43" s="770"/>
      <c r="AB43" s="770"/>
      <c r="AC43" s="1530" t="b">
        <f t="shared" si="9"/>
        <v>0</v>
      </c>
      <c r="AD43" s="1500" t="b">
        <f t="shared" si="3"/>
        <v>0</v>
      </c>
      <c r="AE43" s="1500" t="b">
        <f t="shared" si="4"/>
        <v>0</v>
      </c>
      <c r="AF43" s="1500" t="b">
        <f t="shared" si="5"/>
        <v>0</v>
      </c>
      <c r="AG43" s="1500" t="b">
        <f t="shared" si="6"/>
        <v>0</v>
      </c>
      <c r="AH43" s="1500" t="b">
        <f t="shared" si="7"/>
        <v>0</v>
      </c>
      <c r="AI43" s="1531" t="b">
        <f t="shared" si="8"/>
        <v>0</v>
      </c>
      <c r="AJ43" s="770"/>
      <c r="AK43" s="770"/>
      <c r="AL43" s="770"/>
    </row>
    <row r="44" spans="1:38" ht="12.75" customHeight="1" x14ac:dyDescent="0.25">
      <c r="A44" s="694"/>
      <c r="B44" s="698"/>
      <c r="C44" s="698"/>
      <c r="D44" s="698"/>
      <c r="E44" s="1532" t="str">
        <f>Translations!$B$700</f>
        <v xml:space="preserve">Крекинг във водородна среда на мазут </v>
      </c>
      <c r="F44" s="1087" t="s">
        <v>294</v>
      </c>
      <c r="G44" s="1533">
        <v>3.75</v>
      </c>
      <c r="H44" s="12"/>
      <c r="I44" s="63"/>
      <c r="J44" s="67"/>
      <c r="K44" s="12"/>
      <c r="L44" s="12"/>
      <c r="M44" s="12"/>
      <c r="N44" s="63"/>
      <c r="O44" s="336"/>
      <c r="P44" s="158"/>
      <c r="Q44" s="694"/>
      <c r="R44" s="694"/>
      <c r="S44" s="694"/>
      <c r="T44" s="694"/>
      <c r="U44" s="694"/>
      <c r="V44" s="694"/>
      <c r="W44" s="694"/>
      <c r="X44" s="694"/>
      <c r="Y44" s="770"/>
      <c r="Z44" s="770"/>
      <c r="AA44" s="770"/>
      <c r="AB44" s="770"/>
      <c r="AC44" s="1530" t="b">
        <f t="shared" si="9"/>
        <v>0</v>
      </c>
      <c r="AD44" s="1500" t="b">
        <f t="shared" si="3"/>
        <v>0</v>
      </c>
      <c r="AE44" s="1500" t="b">
        <f t="shared" si="4"/>
        <v>0</v>
      </c>
      <c r="AF44" s="1500" t="b">
        <f t="shared" si="5"/>
        <v>0</v>
      </c>
      <c r="AG44" s="1500" t="b">
        <f t="shared" si="6"/>
        <v>0</v>
      </c>
      <c r="AH44" s="1500" t="b">
        <f t="shared" si="7"/>
        <v>0</v>
      </c>
      <c r="AI44" s="1531" t="b">
        <f t="shared" si="8"/>
        <v>0</v>
      </c>
      <c r="AJ44" s="770"/>
      <c r="AK44" s="770"/>
      <c r="AL44" s="770"/>
    </row>
    <row r="45" spans="1:38" ht="25.5" customHeight="1" x14ac:dyDescent="0.25">
      <c r="A45" s="694"/>
      <c r="B45" s="698"/>
      <c r="C45" s="698"/>
      <c r="D45" s="698"/>
      <c r="E45" s="1532" t="str">
        <f>Translations!$B$701</f>
        <v>Хидрообезсеряване на лигроин/бензин</v>
      </c>
      <c r="F45" s="1087" t="s">
        <v>294</v>
      </c>
      <c r="G45" s="1533">
        <v>1.1000000000000001</v>
      </c>
      <c r="H45" s="12"/>
      <c r="I45" s="63"/>
      <c r="J45" s="67"/>
      <c r="K45" s="12"/>
      <c r="L45" s="12"/>
      <c r="M45" s="12"/>
      <c r="N45" s="63"/>
      <c r="O45" s="336"/>
      <c r="P45" s="158"/>
      <c r="Q45" s="694"/>
      <c r="R45" s="694"/>
      <c r="S45" s="694"/>
      <c r="T45" s="694"/>
      <c r="U45" s="694"/>
      <c r="V45" s="694"/>
      <c r="W45" s="694"/>
      <c r="X45" s="694"/>
      <c r="Y45" s="770"/>
      <c r="Z45" s="770"/>
      <c r="AA45" s="770"/>
      <c r="AB45" s="770"/>
      <c r="AC45" s="1530" t="b">
        <f t="shared" si="9"/>
        <v>0</v>
      </c>
      <c r="AD45" s="1500" t="b">
        <f t="shared" si="3"/>
        <v>0</v>
      </c>
      <c r="AE45" s="1500" t="b">
        <f t="shared" si="4"/>
        <v>0</v>
      </c>
      <c r="AF45" s="1500" t="b">
        <f t="shared" si="5"/>
        <v>0</v>
      </c>
      <c r="AG45" s="1500" t="b">
        <f t="shared" si="6"/>
        <v>0</v>
      </c>
      <c r="AH45" s="1500" t="b">
        <f t="shared" si="7"/>
        <v>0</v>
      </c>
      <c r="AI45" s="1531" t="b">
        <f t="shared" si="8"/>
        <v>0</v>
      </c>
      <c r="AJ45" s="770"/>
      <c r="AK45" s="770"/>
      <c r="AL45" s="770"/>
    </row>
    <row r="46" spans="1:38" ht="25.5" customHeight="1" x14ac:dyDescent="0.25">
      <c r="A46" s="694"/>
      <c r="B46" s="698"/>
      <c r="C46" s="698"/>
      <c r="D46" s="698"/>
      <c r="E46" s="1532" t="str">
        <f>Translations!$B$702</f>
        <v xml:space="preserve">Хидрообезсеряване на керосин / дизелово гориво </v>
      </c>
      <c r="F46" s="1087" t="s">
        <v>294</v>
      </c>
      <c r="G46" s="1533">
        <v>0.9</v>
      </c>
      <c r="H46" s="12"/>
      <c r="I46" s="63"/>
      <c r="J46" s="67"/>
      <c r="K46" s="12"/>
      <c r="L46" s="12"/>
      <c r="M46" s="12"/>
      <c r="N46" s="63"/>
      <c r="O46" s="336"/>
      <c r="P46" s="158"/>
      <c r="Q46" s="694"/>
      <c r="R46" s="694"/>
      <c r="S46" s="694"/>
      <c r="T46" s="694"/>
      <c r="U46" s="694"/>
      <c r="V46" s="694"/>
      <c r="W46" s="694"/>
      <c r="X46" s="694"/>
      <c r="Y46" s="770"/>
      <c r="Z46" s="770"/>
      <c r="AA46" s="770"/>
      <c r="AB46" s="770"/>
      <c r="AC46" s="1530" t="b">
        <f t="shared" si="9"/>
        <v>0</v>
      </c>
      <c r="AD46" s="1500" t="b">
        <f t="shared" si="3"/>
        <v>0</v>
      </c>
      <c r="AE46" s="1500" t="b">
        <f t="shared" si="4"/>
        <v>0</v>
      </c>
      <c r="AF46" s="1500" t="b">
        <f t="shared" si="5"/>
        <v>0</v>
      </c>
      <c r="AG46" s="1500" t="b">
        <f t="shared" si="6"/>
        <v>0</v>
      </c>
      <c r="AH46" s="1500" t="b">
        <f t="shared" si="7"/>
        <v>0</v>
      </c>
      <c r="AI46" s="1531" t="b">
        <f t="shared" si="8"/>
        <v>0</v>
      </c>
      <c r="AJ46" s="770"/>
      <c r="AK46" s="770"/>
      <c r="AL46" s="770"/>
    </row>
    <row r="47" spans="1:38" ht="12.75" customHeight="1" x14ac:dyDescent="0.25">
      <c r="A47" s="694"/>
      <c r="B47" s="698"/>
      <c r="C47" s="698"/>
      <c r="D47" s="698"/>
      <c r="E47" s="1532" t="str">
        <f>Translations!$B$703</f>
        <v xml:space="preserve">Хидрообезсеряване на мазут </v>
      </c>
      <c r="F47" s="1087" t="s">
        <v>294</v>
      </c>
      <c r="G47" s="1533">
        <v>1.55</v>
      </c>
      <c r="H47" s="12"/>
      <c r="I47" s="63"/>
      <c r="J47" s="67"/>
      <c r="K47" s="12"/>
      <c r="L47" s="12"/>
      <c r="M47" s="12"/>
      <c r="N47" s="63"/>
      <c r="O47" s="336"/>
      <c r="P47" s="158"/>
      <c r="Q47" s="694"/>
      <c r="R47" s="694"/>
      <c r="S47" s="694"/>
      <c r="T47" s="694"/>
      <c r="U47" s="694"/>
      <c r="V47" s="694"/>
      <c r="W47" s="694"/>
      <c r="X47" s="694"/>
      <c r="Y47" s="770"/>
      <c r="Z47" s="770"/>
      <c r="AA47" s="770"/>
      <c r="AB47" s="770"/>
      <c r="AC47" s="1530" t="b">
        <f t="shared" si="9"/>
        <v>0</v>
      </c>
      <c r="AD47" s="1500" t="b">
        <f t="shared" si="3"/>
        <v>0</v>
      </c>
      <c r="AE47" s="1500" t="b">
        <f t="shared" si="4"/>
        <v>0</v>
      </c>
      <c r="AF47" s="1500" t="b">
        <f t="shared" si="5"/>
        <v>0</v>
      </c>
      <c r="AG47" s="1500" t="b">
        <f t="shared" si="6"/>
        <v>0</v>
      </c>
      <c r="AH47" s="1500" t="b">
        <f t="shared" si="7"/>
        <v>0</v>
      </c>
      <c r="AI47" s="1531" t="b">
        <f t="shared" si="8"/>
        <v>0</v>
      </c>
      <c r="AJ47" s="770"/>
      <c r="AK47" s="770"/>
      <c r="AL47" s="770"/>
    </row>
    <row r="48" spans="1:38" ht="12.75" customHeight="1" x14ac:dyDescent="0.25">
      <c r="A48" s="694"/>
      <c r="B48" s="698"/>
      <c r="C48" s="698"/>
      <c r="D48" s="698"/>
      <c r="E48" s="1532" t="str">
        <f>Translations!$B$704</f>
        <v>Хидрообезсеряване на вакуумно дестилиран газьол</v>
      </c>
      <c r="F48" s="1087" t="s">
        <v>294</v>
      </c>
      <c r="G48" s="1533">
        <v>0.9</v>
      </c>
      <c r="H48" s="12"/>
      <c r="I48" s="63"/>
      <c r="J48" s="67"/>
      <c r="K48" s="12"/>
      <c r="L48" s="12"/>
      <c r="M48" s="12"/>
      <c r="N48" s="63"/>
      <c r="O48" s="336"/>
      <c r="P48" s="158"/>
      <c r="Q48" s="694"/>
      <c r="R48" s="694"/>
      <c r="S48" s="694"/>
      <c r="T48" s="694"/>
      <c r="U48" s="694"/>
      <c r="V48" s="694"/>
      <c r="W48" s="694"/>
      <c r="X48" s="694"/>
      <c r="Y48" s="770"/>
      <c r="Z48" s="770"/>
      <c r="AA48" s="770"/>
      <c r="AB48" s="770"/>
      <c r="AC48" s="1530" t="b">
        <f t="shared" si="9"/>
        <v>0</v>
      </c>
      <c r="AD48" s="1500" t="b">
        <f t="shared" si="3"/>
        <v>0</v>
      </c>
      <c r="AE48" s="1500" t="b">
        <f t="shared" si="4"/>
        <v>0</v>
      </c>
      <c r="AF48" s="1500" t="b">
        <f t="shared" si="5"/>
        <v>0</v>
      </c>
      <c r="AG48" s="1500" t="b">
        <f t="shared" si="6"/>
        <v>0</v>
      </c>
      <c r="AH48" s="1500" t="b">
        <f t="shared" si="7"/>
        <v>0</v>
      </c>
      <c r="AI48" s="1531" t="b">
        <f t="shared" si="8"/>
        <v>0</v>
      </c>
      <c r="AJ48" s="770"/>
      <c r="AK48" s="770"/>
      <c r="AL48" s="770"/>
    </row>
    <row r="49" spans="1:38" ht="12.75" customHeight="1" x14ac:dyDescent="0.25">
      <c r="A49" s="694"/>
      <c r="B49" s="698"/>
      <c r="C49" s="698"/>
      <c r="D49" s="698"/>
      <c r="E49" s="1532" t="str">
        <f>Translations!$B$705</f>
        <v xml:space="preserve">Производство на водород </v>
      </c>
      <c r="F49" s="1087" t="s">
        <v>372</v>
      </c>
      <c r="G49" s="1533">
        <v>300</v>
      </c>
      <c r="H49" s="12"/>
      <c r="I49" s="63"/>
      <c r="J49" s="67"/>
      <c r="K49" s="12"/>
      <c r="L49" s="12"/>
      <c r="M49" s="12"/>
      <c r="N49" s="63"/>
      <c r="O49" s="336"/>
      <c r="P49" s="158"/>
      <c r="Q49" s="694"/>
      <c r="R49" s="694"/>
      <c r="S49" s="694"/>
      <c r="T49" s="694"/>
      <c r="U49" s="694"/>
      <c r="V49" s="694"/>
      <c r="W49" s="694"/>
      <c r="X49" s="694"/>
      <c r="Y49" s="770"/>
      <c r="Z49" s="770"/>
      <c r="AA49" s="770"/>
      <c r="AB49" s="770"/>
      <c r="AC49" s="1530" t="b">
        <f t="shared" si="9"/>
        <v>0</v>
      </c>
      <c r="AD49" s="1500" t="b">
        <f t="shared" si="3"/>
        <v>0</v>
      </c>
      <c r="AE49" s="1500" t="b">
        <f t="shared" si="4"/>
        <v>0</v>
      </c>
      <c r="AF49" s="1500" t="b">
        <f t="shared" si="5"/>
        <v>0</v>
      </c>
      <c r="AG49" s="1500" t="b">
        <f t="shared" si="6"/>
        <v>0</v>
      </c>
      <c r="AH49" s="1500" t="b">
        <f t="shared" si="7"/>
        <v>0</v>
      </c>
      <c r="AI49" s="1531" t="b">
        <f t="shared" si="8"/>
        <v>0</v>
      </c>
      <c r="AJ49" s="770"/>
      <c r="AK49" s="770"/>
      <c r="AL49" s="770"/>
    </row>
    <row r="50" spans="1:38" ht="12.75" customHeight="1" x14ac:dyDescent="0.25">
      <c r="A50" s="694"/>
      <c r="B50" s="698"/>
      <c r="C50" s="698"/>
      <c r="D50" s="698"/>
      <c r="E50" s="1532" t="str">
        <f>Translations!$B$706</f>
        <v>Каталитичен реформинг</v>
      </c>
      <c r="F50" s="1087" t="s">
        <v>294</v>
      </c>
      <c r="G50" s="1533">
        <v>4.95</v>
      </c>
      <c r="H50" s="12"/>
      <c r="I50" s="63"/>
      <c r="J50" s="67"/>
      <c r="K50" s="12"/>
      <c r="L50" s="12"/>
      <c r="M50" s="12"/>
      <c r="N50" s="63"/>
      <c r="O50" s="336"/>
      <c r="P50" s="158"/>
      <c r="Q50" s="694"/>
      <c r="R50" s="694"/>
      <c r="S50" s="694"/>
      <c r="T50" s="694"/>
      <c r="U50" s="694"/>
      <c r="V50" s="694"/>
      <c r="W50" s="694"/>
      <c r="X50" s="694"/>
      <c r="Y50" s="770"/>
      <c r="Z50" s="770"/>
      <c r="AA50" s="770"/>
      <c r="AB50" s="770"/>
      <c r="AC50" s="1530" t="b">
        <f t="shared" si="9"/>
        <v>0</v>
      </c>
      <c r="AD50" s="1500" t="b">
        <f t="shared" si="3"/>
        <v>0</v>
      </c>
      <c r="AE50" s="1500" t="b">
        <f t="shared" si="4"/>
        <v>0</v>
      </c>
      <c r="AF50" s="1500" t="b">
        <f t="shared" si="5"/>
        <v>0</v>
      </c>
      <c r="AG50" s="1500" t="b">
        <f t="shared" si="6"/>
        <v>0</v>
      </c>
      <c r="AH50" s="1500" t="b">
        <f t="shared" si="7"/>
        <v>0</v>
      </c>
      <c r="AI50" s="1531" t="b">
        <f t="shared" si="8"/>
        <v>0</v>
      </c>
      <c r="AJ50" s="770"/>
      <c r="AK50" s="770"/>
      <c r="AL50" s="770"/>
    </row>
    <row r="51" spans="1:38" x14ac:dyDescent="0.25">
      <c r="A51" s="694"/>
      <c r="B51" s="698"/>
      <c r="C51" s="698"/>
      <c r="D51" s="698"/>
      <c r="E51" s="1532" t="str">
        <f>Translations!$B$707</f>
        <v xml:space="preserve">Алкилиране </v>
      </c>
      <c r="F51" s="1087" t="s">
        <v>372</v>
      </c>
      <c r="G51" s="1533">
        <v>7.25</v>
      </c>
      <c r="H51" s="12"/>
      <c r="I51" s="63"/>
      <c r="J51" s="67"/>
      <c r="K51" s="12"/>
      <c r="L51" s="12"/>
      <c r="M51" s="12"/>
      <c r="N51" s="63"/>
      <c r="O51" s="336"/>
      <c r="P51" s="158"/>
      <c r="Q51" s="694"/>
      <c r="R51" s="694"/>
      <c r="S51" s="694"/>
      <c r="T51" s="694"/>
      <c r="U51" s="694"/>
      <c r="V51" s="694"/>
      <c r="W51" s="694"/>
      <c r="X51" s="694"/>
      <c r="Y51" s="770"/>
      <c r="Z51" s="770"/>
      <c r="AA51" s="770"/>
      <c r="AB51" s="770"/>
      <c r="AC51" s="1530" t="b">
        <f t="shared" si="9"/>
        <v>0</v>
      </c>
      <c r="AD51" s="1500" t="b">
        <f t="shared" si="3"/>
        <v>0</v>
      </c>
      <c r="AE51" s="1500" t="b">
        <f t="shared" si="4"/>
        <v>0</v>
      </c>
      <c r="AF51" s="1500" t="b">
        <f t="shared" si="5"/>
        <v>0</v>
      </c>
      <c r="AG51" s="1500" t="b">
        <f t="shared" si="6"/>
        <v>0</v>
      </c>
      <c r="AH51" s="1500" t="b">
        <f t="shared" si="7"/>
        <v>0</v>
      </c>
      <c r="AI51" s="1531" t="b">
        <f t="shared" si="8"/>
        <v>0</v>
      </c>
      <c r="AJ51" s="770"/>
      <c r="AK51" s="770"/>
      <c r="AL51" s="770"/>
    </row>
    <row r="52" spans="1:38" ht="12.75" customHeight="1" x14ac:dyDescent="0.25">
      <c r="A52" s="694"/>
      <c r="B52" s="698"/>
      <c r="C52" s="698"/>
      <c r="D52" s="698"/>
      <c r="E52" s="1532" t="str">
        <f>Translations!$B$708</f>
        <v>C4 изомеризация</v>
      </c>
      <c r="F52" s="1087" t="s">
        <v>1054</v>
      </c>
      <c r="G52" s="1533">
        <v>3.25</v>
      </c>
      <c r="H52" s="12"/>
      <c r="I52" s="63"/>
      <c r="J52" s="67"/>
      <c r="K52" s="12"/>
      <c r="L52" s="12"/>
      <c r="M52" s="12"/>
      <c r="N52" s="63"/>
      <c r="O52" s="336"/>
      <c r="P52" s="158"/>
      <c r="Q52" s="694"/>
      <c r="R52" s="694"/>
      <c r="S52" s="694"/>
      <c r="T52" s="694"/>
      <c r="U52" s="694"/>
      <c r="V52" s="694"/>
      <c r="W52" s="694"/>
      <c r="X52" s="694"/>
      <c r="Y52" s="770"/>
      <c r="Z52" s="770"/>
      <c r="AA52" s="770"/>
      <c r="AB52" s="770"/>
      <c r="AC52" s="1530" t="b">
        <f t="shared" si="9"/>
        <v>0</v>
      </c>
      <c r="AD52" s="1500" t="b">
        <f t="shared" si="3"/>
        <v>0</v>
      </c>
      <c r="AE52" s="1500" t="b">
        <f t="shared" si="4"/>
        <v>0</v>
      </c>
      <c r="AF52" s="1500" t="b">
        <f t="shared" si="5"/>
        <v>0</v>
      </c>
      <c r="AG52" s="1500" t="b">
        <f t="shared" si="6"/>
        <v>0</v>
      </c>
      <c r="AH52" s="1500" t="b">
        <f t="shared" si="7"/>
        <v>0</v>
      </c>
      <c r="AI52" s="1531" t="b">
        <f t="shared" si="8"/>
        <v>0</v>
      </c>
      <c r="AJ52" s="770"/>
      <c r="AK52" s="770"/>
      <c r="AL52" s="770"/>
    </row>
    <row r="53" spans="1:38" ht="12.75" customHeight="1" x14ac:dyDescent="0.25">
      <c r="A53" s="694"/>
      <c r="B53" s="698"/>
      <c r="C53" s="698"/>
      <c r="D53" s="698"/>
      <c r="E53" s="1532" t="str">
        <f>Translations!$B$709</f>
        <v>C5/C6 изомеризация</v>
      </c>
      <c r="F53" s="1087" t="s">
        <v>1054</v>
      </c>
      <c r="G53" s="1533">
        <v>2.85</v>
      </c>
      <c r="H53" s="12"/>
      <c r="I53" s="63"/>
      <c r="J53" s="67"/>
      <c r="K53" s="12"/>
      <c r="L53" s="12"/>
      <c r="M53" s="12"/>
      <c r="N53" s="63"/>
      <c r="O53" s="336"/>
      <c r="P53" s="158"/>
      <c r="Q53" s="694"/>
      <c r="R53" s="694"/>
      <c r="S53" s="694"/>
      <c r="T53" s="694"/>
      <c r="U53" s="694"/>
      <c r="V53" s="694"/>
      <c r="W53" s="694"/>
      <c r="X53" s="694"/>
      <c r="Y53" s="770"/>
      <c r="Z53" s="770"/>
      <c r="AA53" s="770"/>
      <c r="AB53" s="770"/>
      <c r="AC53" s="1530" t="b">
        <f t="shared" si="9"/>
        <v>0</v>
      </c>
      <c r="AD53" s="1500" t="b">
        <f t="shared" si="3"/>
        <v>0</v>
      </c>
      <c r="AE53" s="1500" t="b">
        <f t="shared" si="4"/>
        <v>0</v>
      </c>
      <c r="AF53" s="1500" t="b">
        <f t="shared" si="5"/>
        <v>0</v>
      </c>
      <c r="AG53" s="1500" t="b">
        <f t="shared" si="6"/>
        <v>0</v>
      </c>
      <c r="AH53" s="1500" t="b">
        <f t="shared" si="7"/>
        <v>0</v>
      </c>
      <c r="AI53" s="1531" t="b">
        <f t="shared" si="8"/>
        <v>0</v>
      </c>
      <c r="AJ53" s="770"/>
      <c r="AK53" s="770"/>
      <c r="AL53" s="770"/>
    </row>
    <row r="54" spans="1:38" ht="12.75" customHeight="1" x14ac:dyDescent="0.25">
      <c r="A54" s="694"/>
      <c r="B54" s="698"/>
      <c r="C54" s="698"/>
      <c r="D54" s="698"/>
      <c r="E54" s="1532" t="str">
        <f>Translations!$B$710</f>
        <v xml:space="preserve">Производство на обогатени с кислород вещества </v>
      </c>
      <c r="F54" s="1087" t="s">
        <v>372</v>
      </c>
      <c r="G54" s="1533">
        <v>5.6</v>
      </c>
      <c r="H54" s="12"/>
      <c r="I54" s="63"/>
      <c r="J54" s="67"/>
      <c r="K54" s="12"/>
      <c r="L54" s="12"/>
      <c r="M54" s="12"/>
      <c r="N54" s="63"/>
      <c r="O54" s="336"/>
      <c r="P54" s="158"/>
      <c r="Q54" s="694"/>
      <c r="R54" s="694"/>
      <c r="S54" s="694"/>
      <c r="T54" s="694"/>
      <c r="U54" s="694"/>
      <c r="V54" s="694"/>
      <c r="W54" s="694"/>
      <c r="X54" s="694"/>
      <c r="Y54" s="770"/>
      <c r="Z54" s="770"/>
      <c r="AA54" s="770"/>
      <c r="AB54" s="770"/>
      <c r="AC54" s="1530" t="b">
        <f t="shared" si="9"/>
        <v>0</v>
      </c>
      <c r="AD54" s="1500" t="b">
        <f t="shared" si="3"/>
        <v>0</v>
      </c>
      <c r="AE54" s="1500" t="b">
        <f t="shared" si="4"/>
        <v>0</v>
      </c>
      <c r="AF54" s="1500" t="b">
        <f t="shared" si="5"/>
        <v>0</v>
      </c>
      <c r="AG54" s="1500" t="b">
        <f t="shared" si="6"/>
        <v>0</v>
      </c>
      <c r="AH54" s="1500" t="b">
        <f t="shared" si="7"/>
        <v>0</v>
      </c>
      <c r="AI54" s="1531" t="b">
        <f t="shared" si="8"/>
        <v>0</v>
      </c>
      <c r="AJ54" s="770"/>
      <c r="AK54" s="770"/>
      <c r="AL54" s="770"/>
    </row>
    <row r="55" spans="1:38" ht="12.75" customHeight="1" x14ac:dyDescent="0.25">
      <c r="A55" s="694"/>
      <c r="B55" s="698"/>
      <c r="C55" s="698"/>
      <c r="D55" s="698"/>
      <c r="E55" s="1532" t="str">
        <f>Translations!$B$711</f>
        <v xml:space="preserve">Производство на пропилен </v>
      </c>
      <c r="F55" s="1087" t="s">
        <v>294</v>
      </c>
      <c r="G55" s="1533">
        <v>3.45</v>
      </c>
      <c r="H55" s="12"/>
      <c r="I55" s="63"/>
      <c r="J55" s="67"/>
      <c r="K55" s="12"/>
      <c r="L55" s="12"/>
      <c r="M55" s="12"/>
      <c r="N55" s="63"/>
      <c r="O55" s="336"/>
      <c r="P55" s="158"/>
      <c r="Q55" s="694"/>
      <c r="R55" s="694"/>
      <c r="S55" s="694"/>
      <c r="T55" s="694"/>
      <c r="U55" s="694"/>
      <c r="V55" s="694"/>
      <c r="W55" s="694"/>
      <c r="X55" s="694"/>
      <c r="Y55" s="770"/>
      <c r="Z55" s="770"/>
      <c r="AA55" s="770"/>
      <c r="AB55" s="770"/>
      <c r="AC55" s="1530" t="b">
        <f t="shared" si="9"/>
        <v>0</v>
      </c>
      <c r="AD55" s="1500" t="b">
        <f t="shared" si="3"/>
        <v>0</v>
      </c>
      <c r="AE55" s="1500" t="b">
        <f t="shared" si="4"/>
        <v>0</v>
      </c>
      <c r="AF55" s="1500" t="b">
        <f t="shared" si="5"/>
        <v>0</v>
      </c>
      <c r="AG55" s="1500" t="b">
        <f t="shared" si="6"/>
        <v>0</v>
      </c>
      <c r="AH55" s="1500" t="b">
        <f t="shared" si="7"/>
        <v>0</v>
      </c>
      <c r="AI55" s="1531" t="b">
        <f t="shared" si="8"/>
        <v>0</v>
      </c>
      <c r="AJ55" s="770"/>
      <c r="AK55" s="770"/>
      <c r="AL55" s="770"/>
    </row>
    <row r="56" spans="1:38" ht="12.75" customHeight="1" x14ac:dyDescent="0.25">
      <c r="A56" s="694"/>
      <c r="B56" s="698"/>
      <c r="C56" s="698"/>
      <c r="D56" s="698"/>
      <c r="E56" s="1532" t="str">
        <f>Translations!$B$712</f>
        <v>Производство на асфалт</v>
      </c>
      <c r="F56" s="1087" t="s">
        <v>372</v>
      </c>
      <c r="G56" s="1533">
        <v>2.1</v>
      </c>
      <c r="H56" s="12"/>
      <c r="I56" s="63"/>
      <c r="J56" s="67"/>
      <c r="K56" s="12"/>
      <c r="L56" s="12"/>
      <c r="M56" s="12"/>
      <c r="N56" s="63"/>
      <c r="O56" s="336"/>
      <c r="P56" s="158"/>
      <c r="Q56" s="694"/>
      <c r="R56" s="694"/>
      <c r="S56" s="694"/>
      <c r="T56" s="694"/>
      <c r="U56" s="694"/>
      <c r="V56" s="694"/>
      <c r="W56" s="694"/>
      <c r="X56" s="694"/>
      <c r="Y56" s="770"/>
      <c r="Z56" s="770"/>
      <c r="AA56" s="770"/>
      <c r="AB56" s="770"/>
      <c r="AC56" s="1530" t="b">
        <f t="shared" si="9"/>
        <v>0</v>
      </c>
      <c r="AD56" s="1500" t="b">
        <f t="shared" si="3"/>
        <v>0</v>
      </c>
      <c r="AE56" s="1500" t="b">
        <f t="shared" si="4"/>
        <v>0</v>
      </c>
      <c r="AF56" s="1500" t="b">
        <f t="shared" si="5"/>
        <v>0</v>
      </c>
      <c r="AG56" s="1500" t="b">
        <f t="shared" si="6"/>
        <v>0</v>
      </c>
      <c r="AH56" s="1500" t="b">
        <f t="shared" si="7"/>
        <v>0</v>
      </c>
      <c r="AI56" s="1531" t="b">
        <f t="shared" si="8"/>
        <v>0</v>
      </c>
      <c r="AJ56" s="770"/>
      <c r="AK56" s="770"/>
      <c r="AL56" s="770"/>
    </row>
    <row r="57" spans="1:38" ht="25.5" customHeight="1" x14ac:dyDescent="0.25">
      <c r="A57" s="694"/>
      <c r="B57" s="698"/>
      <c r="C57" s="698"/>
      <c r="D57" s="698"/>
      <c r="E57" s="1532" t="str">
        <f>Translations!$B$713</f>
        <v>Смесване на съставките на полимерно модифициран асфалт</v>
      </c>
      <c r="F57" s="1087" t="s">
        <v>372</v>
      </c>
      <c r="G57" s="1533">
        <v>0.55000000000000004</v>
      </c>
      <c r="H57" s="12"/>
      <c r="I57" s="63"/>
      <c r="J57" s="67"/>
      <c r="K57" s="12"/>
      <c r="L57" s="12"/>
      <c r="M57" s="12"/>
      <c r="N57" s="63"/>
      <c r="O57" s="336"/>
      <c r="P57" s="158"/>
      <c r="Q57" s="694"/>
      <c r="R57" s="694"/>
      <c r="S57" s="694"/>
      <c r="T57" s="694"/>
      <c r="U57" s="694"/>
      <c r="V57" s="694"/>
      <c r="W57" s="694"/>
      <c r="X57" s="694"/>
      <c r="Y57" s="770"/>
      <c r="Z57" s="770"/>
      <c r="AA57" s="770"/>
      <c r="AB57" s="770"/>
      <c r="AC57" s="1530" t="b">
        <f t="shared" si="9"/>
        <v>0</v>
      </c>
      <c r="AD57" s="1500" t="b">
        <f t="shared" si="3"/>
        <v>0</v>
      </c>
      <c r="AE57" s="1500" t="b">
        <f t="shared" si="4"/>
        <v>0</v>
      </c>
      <c r="AF57" s="1500" t="b">
        <f t="shared" si="5"/>
        <v>0</v>
      </c>
      <c r="AG57" s="1500" t="b">
        <f t="shared" si="6"/>
        <v>0</v>
      </c>
      <c r="AH57" s="1500" t="b">
        <f t="shared" si="7"/>
        <v>0</v>
      </c>
      <c r="AI57" s="1531" t="b">
        <f t="shared" si="8"/>
        <v>0</v>
      </c>
      <c r="AJ57" s="770"/>
      <c r="AK57" s="770"/>
      <c r="AL57" s="770"/>
    </row>
    <row r="58" spans="1:38" ht="12.75" customHeight="1" x14ac:dyDescent="0.25">
      <c r="A58" s="694"/>
      <c r="B58" s="698"/>
      <c r="C58" s="698"/>
      <c r="D58" s="698"/>
      <c r="E58" s="1532" t="str">
        <f>Translations!$B$714</f>
        <v>Улавяне на сярата</v>
      </c>
      <c r="F58" s="1087" t="s">
        <v>372</v>
      </c>
      <c r="G58" s="1533">
        <v>18.600000000000001</v>
      </c>
      <c r="H58" s="12"/>
      <c r="I58" s="63"/>
      <c r="J58" s="67"/>
      <c r="K58" s="12"/>
      <c r="L58" s="12"/>
      <c r="M58" s="12"/>
      <c r="N58" s="63"/>
      <c r="O58" s="336"/>
      <c r="P58" s="158"/>
      <c r="Q58" s="694"/>
      <c r="R58" s="694"/>
      <c r="S58" s="694"/>
      <c r="T58" s="694"/>
      <c r="U58" s="694"/>
      <c r="V58" s="694"/>
      <c r="W58" s="694"/>
      <c r="X58" s="694"/>
      <c r="Y58" s="770"/>
      <c r="Z58" s="770"/>
      <c r="AA58" s="770"/>
      <c r="AB58" s="770"/>
      <c r="AC58" s="1530" t="b">
        <f t="shared" si="9"/>
        <v>0</v>
      </c>
      <c r="AD58" s="1500" t="b">
        <f t="shared" si="3"/>
        <v>0</v>
      </c>
      <c r="AE58" s="1500" t="b">
        <f t="shared" si="4"/>
        <v>0</v>
      </c>
      <c r="AF58" s="1500" t="b">
        <f t="shared" si="5"/>
        <v>0</v>
      </c>
      <c r="AG58" s="1500" t="b">
        <f t="shared" si="6"/>
        <v>0</v>
      </c>
      <c r="AH58" s="1500" t="b">
        <f t="shared" si="7"/>
        <v>0</v>
      </c>
      <c r="AI58" s="1531" t="b">
        <f t="shared" si="8"/>
        <v>0</v>
      </c>
      <c r="AJ58" s="770"/>
      <c r="AK58" s="770"/>
      <c r="AL58" s="770"/>
    </row>
    <row r="59" spans="1:38" ht="12.75" customHeight="1" x14ac:dyDescent="0.25">
      <c r="A59" s="694"/>
      <c r="B59" s="698"/>
      <c r="C59" s="698"/>
      <c r="D59" s="698"/>
      <c r="E59" s="1532" t="str">
        <f>Translations!$B$715</f>
        <v>Екстракция на ароматни съединения чрез разтворители (ASE)</v>
      </c>
      <c r="F59" s="1087" t="s">
        <v>294</v>
      </c>
      <c r="G59" s="1533">
        <v>5.25</v>
      </c>
      <c r="H59" s="12"/>
      <c r="I59" s="63"/>
      <c r="J59" s="67"/>
      <c r="K59" s="12"/>
      <c r="L59" s="12"/>
      <c r="M59" s="12"/>
      <c r="N59" s="63"/>
      <c r="O59" s="336"/>
      <c r="P59" s="158"/>
      <c r="Q59" s="694"/>
      <c r="R59" s="694"/>
      <c r="S59" s="694"/>
      <c r="T59" s="694"/>
      <c r="U59" s="694"/>
      <c r="V59" s="694"/>
      <c r="W59" s="694"/>
      <c r="X59" s="694"/>
      <c r="Y59" s="770"/>
      <c r="Z59" s="770"/>
      <c r="AA59" s="770"/>
      <c r="AB59" s="770"/>
      <c r="AC59" s="1530" t="b">
        <f t="shared" si="9"/>
        <v>0</v>
      </c>
      <c r="AD59" s="1500" t="b">
        <f t="shared" si="3"/>
        <v>0</v>
      </c>
      <c r="AE59" s="1500" t="b">
        <f t="shared" si="4"/>
        <v>0</v>
      </c>
      <c r="AF59" s="1500" t="b">
        <f t="shared" si="5"/>
        <v>0</v>
      </c>
      <c r="AG59" s="1500" t="b">
        <f t="shared" si="6"/>
        <v>0</v>
      </c>
      <c r="AH59" s="1500" t="b">
        <f t="shared" si="7"/>
        <v>0</v>
      </c>
      <c r="AI59" s="1531" t="b">
        <f t="shared" si="8"/>
        <v>0</v>
      </c>
      <c r="AJ59" s="770"/>
      <c r="AK59" s="770"/>
      <c r="AL59" s="770"/>
    </row>
    <row r="60" spans="1:38" ht="12.75" customHeight="1" x14ac:dyDescent="0.25">
      <c r="A60" s="694"/>
      <c r="B60" s="698"/>
      <c r="C60" s="698"/>
      <c r="D60" s="698"/>
      <c r="E60" s="1532" t="str">
        <f>Translations!$B$716</f>
        <v>Хидродеалкилиране</v>
      </c>
      <c r="F60" s="1087" t="s">
        <v>294</v>
      </c>
      <c r="G60" s="1533">
        <v>2.4500000000000002</v>
      </c>
      <c r="H60" s="12"/>
      <c r="I60" s="63"/>
      <c r="J60" s="67"/>
      <c r="K60" s="12"/>
      <c r="L60" s="12"/>
      <c r="M60" s="12"/>
      <c r="N60" s="63"/>
      <c r="O60" s="336"/>
      <c r="P60" s="158"/>
      <c r="Q60" s="694"/>
      <c r="R60" s="694"/>
      <c r="S60" s="694"/>
      <c r="T60" s="694"/>
      <c r="U60" s="694"/>
      <c r="V60" s="694"/>
      <c r="W60" s="694"/>
      <c r="X60" s="694"/>
      <c r="Y60" s="770"/>
      <c r="Z60" s="770"/>
      <c r="AA60" s="770"/>
      <c r="AB60" s="770"/>
      <c r="AC60" s="1530" t="b">
        <f t="shared" si="9"/>
        <v>0</v>
      </c>
      <c r="AD60" s="1500" t="b">
        <f t="shared" si="3"/>
        <v>0</v>
      </c>
      <c r="AE60" s="1500" t="b">
        <f t="shared" si="4"/>
        <v>0</v>
      </c>
      <c r="AF60" s="1500" t="b">
        <f t="shared" si="5"/>
        <v>0</v>
      </c>
      <c r="AG60" s="1500" t="b">
        <f t="shared" si="6"/>
        <v>0</v>
      </c>
      <c r="AH60" s="1500" t="b">
        <f t="shared" si="7"/>
        <v>0</v>
      </c>
      <c r="AI60" s="1531" t="b">
        <f t="shared" si="8"/>
        <v>0</v>
      </c>
      <c r="AJ60" s="770"/>
      <c r="AK60" s="770"/>
      <c r="AL60" s="770"/>
    </row>
    <row r="61" spans="1:38" ht="25" x14ac:dyDescent="0.25">
      <c r="A61" s="694"/>
      <c r="B61" s="698"/>
      <c r="C61" s="698"/>
      <c r="D61" s="698"/>
      <c r="E61" s="1532" t="str">
        <f>Translations!$B$717</f>
        <v>Диспропорциониране/деалкилиране на толуен (TDP/TDA)</v>
      </c>
      <c r="F61" s="1087" t="s">
        <v>294</v>
      </c>
      <c r="G61" s="1533">
        <v>1.85</v>
      </c>
      <c r="H61" s="12"/>
      <c r="I61" s="63"/>
      <c r="J61" s="67"/>
      <c r="K61" s="12"/>
      <c r="L61" s="12"/>
      <c r="M61" s="12"/>
      <c r="N61" s="63"/>
      <c r="O61" s="336"/>
      <c r="P61" s="158"/>
      <c r="Q61" s="694"/>
      <c r="R61" s="694"/>
      <c r="S61" s="694"/>
      <c r="T61" s="694"/>
      <c r="U61" s="694"/>
      <c r="V61" s="694"/>
      <c r="W61" s="694"/>
      <c r="X61" s="694"/>
      <c r="Y61" s="770"/>
      <c r="Z61" s="770"/>
      <c r="AA61" s="770"/>
      <c r="AB61" s="770"/>
      <c r="AC61" s="1530" t="b">
        <f t="shared" si="9"/>
        <v>0</v>
      </c>
      <c r="AD61" s="1500" t="b">
        <f t="shared" si="3"/>
        <v>0</v>
      </c>
      <c r="AE61" s="1500" t="b">
        <f t="shared" si="4"/>
        <v>0</v>
      </c>
      <c r="AF61" s="1500" t="b">
        <f t="shared" si="5"/>
        <v>0</v>
      </c>
      <c r="AG61" s="1500" t="b">
        <f t="shared" si="6"/>
        <v>0</v>
      </c>
      <c r="AH61" s="1500" t="b">
        <f t="shared" si="7"/>
        <v>0</v>
      </c>
      <c r="AI61" s="1531" t="b">
        <f t="shared" si="8"/>
        <v>0</v>
      </c>
      <c r="AJ61" s="770"/>
      <c r="AK61" s="770"/>
      <c r="AL61" s="770"/>
    </row>
    <row r="62" spans="1:38" ht="12.75" customHeight="1" x14ac:dyDescent="0.25">
      <c r="A62" s="694"/>
      <c r="B62" s="698"/>
      <c r="C62" s="698"/>
      <c r="D62" s="698"/>
      <c r="E62" s="1532" t="str">
        <f>Translations!$B$718</f>
        <v>Производство на циклохексан</v>
      </c>
      <c r="F62" s="1087" t="s">
        <v>372</v>
      </c>
      <c r="G62" s="1533">
        <v>3</v>
      </c>
      <c r="H62" s="12"/>
      <c r="I62" s="63"/>
      <c r="J62" s="67"/>
      <c r="K62" s="12"/>
      <c r="L62" s="12"/>
      <c r="M62" s="12"/>
      <c r="N62" s="63"/>
      <c r="O62" s="336"/>
      <c r="P62" s="158"/>
      <c r="Q62" s="694"/>
      <c r="R62" s="694"/>
      <c r="S62" s="694"/>
      <c r="T62" s="694"/>
      <c r="U62" s="694"/>
      <c r="V62" s="694"/>
      <c r="W62" s="694"/>
      <c r="X62" s="694"/>
      <c r="Y62" s="770"/>
      <c r="Z62" s="770"/>
      <c r="AA62" s="770"/>
      <c r="AB62" s="770"/>
      <c r="AC62" s="1530" t="b">
        <f t="shared" si="9"/>
        <v>0</v>
      </c>
      <c r="AD62" s="1500" t="b">
        <f t="shared" si="3"/>
        <v>0</v>
      </c>
      <c r="AE62" s="1500" t="b">
        <f t="shared" si="4"/>
        <v>0</v>
      </c>
      <c r="AF62" s="1500" t="b">
        <f t="shared" si="5"/>
        <v>0</v>
      </c>
      <c r="AG62" s="1500" t="b">
        <f t="shared" si="6"/>
        <v>0</v>
      </c>
      <c r="AH62" s="1500" t="b">
        <f t="shared" si="7"/>
        <v>0</v>
      </c>
      <c r="AI62" s="1531" t="b">
        <f t="shared" si="8"/>
        <v>0</v>
      </c>
      <c r="AJ62" s="770"/>
      <c r="AK62" s="770"/>
      <c r="AL62" s="770"/>
    </row>
    <row r="63" spans="1:38" ht="12.75" customHeight="1" x14ac:dyDescent="0.25">
      <c r="A63" s="694"/>
      <c r="B63" s="698"/>
      <c r="C63" s="698"/>
      <c r="D63" s="698"/>
      <c r="E63" s="1532" t="str">
        <f>Translations!$B$719</f>
        <v>Изомеризация на ксилен</v>
      </c>
      <c r="F63" s="1087" t="s">
        <v>294</v>
      </c>
      <c r="G63" s="1533">
        <v>1.85</v>
      </c>
      <c r="H63" s="12"/>
      <c r="I63" s="63"/>
      <c r="J63" s="67"/>
      <c r="K63" s="12"/>
      <c r="L63" s="12"/>
      <c r="M63" s="12"/>
      <c r="N63" s="63"/>
      <c r="O63" s="336"/>
      <c r="P63" s="158"/>
      <c r="Q63" s="694"/>
      <c r="R63" s="694"/>
      <c r="S63" s="694"/>
      <c r="T63" s="694"/>
      <c r="U63" s="694"/>
      <c r="V63" s="694"/>
      <c r="W63" s="694"/>
      <c r="X63" s="694"/>
      <c r="Y63" s="770"/>
      <c r="Z63" s="770"/>
      <c r="AA63" s="770"/>
      <c r="AB63" s="770"/>
      <c r="AC63" s="1530" t="b">
        <f t="shared" si="9"/>
        <v>0</v>
      </c>
      <c r="AD63" s="1500" t="b">
        <f t="shared" si="3"/>
        <v>0</v>
      </c>
      <c r="AE63" s="1500" t="b">
        <f t="shared" si="4"/>
        <v>0</v>
      </c>
      <c r="AF63" s="1500" t="b">
        <f t="shared" si="5"/>
        <v>0</v>
      </c>
      <c r="AG63" s="1500" t="b">
        <f t="shared" si="6"/>
        <v>0</v>
      </c>
      <c r="AH63" s="1500" t="b">
        <f t="shared" si="7"/>
        <v>0</v>
      </c>
      <c r="AI63" s="1531" t="b">
        <f t="shared" si="8"/>
        <v>0</v>
      </c>
      <c r="AJ63" s="770"/>
      <c r="AK63" s="770"/>
      <c r="AL63" s="770"/>
    </row>
    <row r="64" spans="1:38" ht="12.75" customHeight="1" x14ac:dyDescent="0.25">
      <c r="A64" s="694"/>
      <c r="B64" s="698"/>
      <c r="C64" s="698"/>
      <c r="D64" s="698"/>
      <c r="E64" s="1532" t="str">
        <f>Translations!$B$720</f>
        <v>Производство на параксилен</v>
      </c>
      <c r="F64" s="1087" t="s">
        <v>372</v>
      </c>
      <c r="G64" s="1533">
        <v>6.4</v>
      </c>
      <c r="H64" s="12"/>
      <c r="I64" s="63"/>
      <c r="J64" s="67"/>
      <c r="K64" s="12"/>
      <c r="L64" s="12"/>
      <c r="M64" s="12"/>
      <c r="N64" s="63"/>
      <c r="O64" s="336"/>
      <c r="P64" s="158"/>
      <c r="Q64" s="694"/>
      <c r="R64" s="694"/>
      <c r="S64" s="694"/>
      <c r="T64" s="694"/>
      <c r="U64" s="694"/>
      <c r="V64" s="694"/>
      <c r="W64" s="694"/>
      <c r="X64" s="694"/>
      <c r="Y64" s="770"/>
      <c r="Z64" s="770"/>
      <c r="AA64" s="770"/>
      <c r="AB64" s="770"/>
      <c r="AC64" s="1530" t="b">
        <f t="shared" si="9"/>
        <v>0</v>
      </c>
      <c r="AD64" s="1500" t="b">
        <f t="shared" si="3"/>
        <v>0</v>
      </c>
      <c r="AE64" s="1500" t="b">
        <f t="shared" si="4"/>
        <v>0</v>
      </c>
      <c r="AF64" s="1500" t="b">
        <f t="shared" si="5"/>
        <v>0</v>
      </c>
      <c r="AG64" s="1500" t="b">
        <f t="shared" si="6"/>
        <v>0</v>
      </c>
      <c r="AH64" s="1500" t="b">
        <f t="shared" si="7"/>
        <v>0</v>
      </c>
      <c r="AI64" s="1531" t="b">
        <f t="shared" si="8"/>
        <v>0</v>
      </c>
      <c r="AJ64" s="770"/>
      <c r="AK64" s="770"/>
      <c r="AL64" s="770"/>
    </row>
    <row r="65" spans="1:38" ht="12.75" customHeight="1" x14ac:dyDescent="0.25">
      <c r="A65" s="694"/>
      <c r="B65" s="698"/>
      <c r="C65" s="698"/>
      <c r="D65" s="698"/>
      <c r="E65" s="1532" t="str">
        <f>Translations!$B$721</f>
        <v>Производство на метаксилен</v>
      </c>
      <c r="F65" s="1087" t="s">
        <v>372</v>
      </c>
      <c r="G65" s="1533">
        <v>11.1</v>
      </c>
      <c r="H65" s="12"/>
      <c r="I65" s="63"/>
      <c r="J65" s="67"/>
      <c r="K65" s="12"/>
      <c r="L65" s="12"/>
      <c r="M65" s="12"/>
      <c r="N65" s="63"/>
      <c r="O65" s="336"/>
      <c r="P65" s="158"/>
      <c r="Q65" s="694"/>
      <c r="R65" s="694"/>
      <c r="S65" s="694"/>
      <c r="T65" s="694"/>
      <c r="U65" s="694"/>
      <c r="V65" s="694"/>
      <c r="W65" s="694"/>
      <c r="X65" s="694"/>
      <c r="Y65" s="770"/>
      <c r="Z65" s="770"/>
      <c r="AA65" s="770"/>
      <c r="AB65" s="770"/>
      <c r="AC65" s="1530" t="b">
        <f t="shared" si="9"/>
        <v>0</v>
      </c>
      <c r="AD65" s="1500" t="b">
        <f t="shared" si="3"/>
        <v>0</v>
      </c>
      <c r="AE65" s="1500" t="b">
        <f t="shared" si="4"/>
        <v>0</v>
      </c>
      <c r="AF65" s="1500" t="b">
        <f t="shared" si="5"/>
        <v>0</v>
      </c>
      <c r="AG65" s="1500" t="b">
        <f t="shared" si="6"/>
        <v>0</v>
      </c>
      <c r="AH65" s="1500" t="b">
        <f t="shared" si="7"/>
        <v>0</v>
      </c>
      <c r="AI65" s="1531" t="b">
        <f t="shared" si="8"/>
        <v>0</v>
      </c>
      <c r="AJ65" s="770"/>
      <c r="AK65" s="770"/>
      <c r="AL65" s="770"/>
    </row>
    <row r="66" spans="1:38" ht="12.75" customHeight="1" x14ac:dyDescent="0.25">
      <c r="A66" s="694"/>
      <c r="B66" s="698"/>
      <c r="C66" s="698"/>
      <c r="D66" s="698"/>
      <c r="E66" s="1532" t="str">
        <f>Translations!$B$722</f>
        <v>Производство на фталов анхидрид</v>
      </c>
      <c r="F66" s="1087" t="s">
        <v>372</v>
      </c>
      <c r="G66" s="1533">
        <v>14.4</v>
      </c>
      <c r="H66" s="12"/>
      <c r="I66" s="63"/>
      <c r="J66" s="67"/>
      <c r="K66" s="12"/>
      <c r="L66" s="12"/>
      <c r="M66" s="12"/>
      <c r="N66" s="63"/>
      <c r="O66" s="336"/>
      <c r="P66" s="158"/>
      <c r="Q66" s="694"/>
      <c r="R66" s="694"/>
      <c r="S66" s="694"/>
      <c r="T66" s="694"/>
      <c r="U66" s="694"/>
      <c r="V66" s="694"/>
      <c r="W66" s="694"/>
      <c r="X66" s="694"/>
      <c r="Y66" s="770"/>
      <c r="Z66" s="770"/>
      <c r="AA66" s="770"/>
      <c r="AB66" s="770"/>
      <c r="AC66" s="1530" t="b">
        <f t="shared" si="9"/>
        <v>0</v>
      </c>
      <c r="AD66" s="1500" t="b">
        <f t="shared" si="3"/>
        <v>0</v>
      </c>
      <c r="AE66" s="1500" t="b">
        <f t="shared" si="4"/>
        <v>0</v>
      </c>
      <c r="AF66" s="1500" t="b">
        <f t="shared" si="5"/>
        <v>0</v>
      </c>
      <c r="AG66" s="1500" t="b">
        <f t="shared" si="6"/>
        <v>0</v>
      </c>
      <c r="AH66" s="1500" t="b">
        <f t="shared" si="7"/>
        <v>0</v>
      </c>
      <c r="AI66" s="1531" t="b">
        <f t="shared" si="8"/>
        <v>0</v>
      </c>
      <c r="AJ66" s="770"/>
      <c r="AK66" s="770"/>
      <c r="AL66" s="770"/>
    </row>
    <row r="67" spans="1:38" ht="12.75" customHeight="1" x14ac:dyDescent="0.25">
      <c r="A67" s="694"/>
      <c r="B67" s="698"/>
      <c r="C67" s="698"/>
      <c r="D67" s="698"/>
      <c r="E67" s="1532" t="str">
        <f>Translations!$B$723</f>
        <v>Производство на малеинов анхидрид</v>
      </c>
      <c r="F67" s="1087" t="s">
        <v>372</v>
      </c>
      <c r="G67" s="1533">
        <v>20.8</v>
      </c>
      <c r="H67" s="12"/>
      <c r="I67" s="63"/>
      <c r="J67" s="67"/>
      <c r="K67" s="12"/>
      <c r="L67" s="12"/>
      <c r="M67" s="12"/>
      <c r="N67" s="63"/>
      <c r="O67" s="336"/>
      <c r="P67" s="158"/>
      <c r="Q67" s="694"/>
      <c r="R67" s="694"/>
      <c r="S67" s="694"/>
      <c r="T67" s="694"/>
      <c r="U67" s="694"/>
      <c r="V67" s="694"/>
      <c r="W67" s="694"/>
      <c r="X67" s="694"/>
      <c r="Y67" s="770"/>
      <c r="Z67" s="770"/>
      <c r="AA67" s="770"/>
      <c r="AB67" s="770"/>
      <c r="AC67" s="1530" t="b">
        <f t="shared" si="9"/>
        <v>0</v>
      </c>
      <c r="AD67" s="1500" t="b">
        <f t="shared" si="3"/>
        <v>0</v>
      </c>
      <c r="AE67" s="1500" t="b">
        <f t="shared" si="4"/>
        <v>0</v>
      </c>
      <c r="AF67" s="1500" t="b">
        <f t="shared" si="5"/>
        <v>0</v>
      </c>
      <c r="AG67" s="1500" t="b">
        <f t="shared" si="6"/>
        <v>0</v>
      </c>
      <c r="AH67" s="1500" t="b">
        <f t="shared" si="7"/>
        <v>0</v>
      </c>
      <c r="AI67" s="1531" t="b">
        <f t="shared" si="8"/>
        <v>0</v>
      </c>
      <c r="AJ67" s="770"/>
      <c r="AK67" s="770"/>
      <c r="AL67" s="770"/>
    </row>
    <row r="68" spans="1:38" ht="12.75" customHeight="1" x14ac:dyDescent="0.25">
      <c r="A68" s="694"/>
      <c r="B68" s="698"/>
      <c r="C68" s="698"/>
      <c r="D68" s="698"/>
      <c r="E68" s="1532" t="str">
        <f>Translations!$B$724</f>
        <v>Производство на етилбензен</v>
      </c>
      <c r="F68" s="1087" t="s">
        <v>372</v>
      </c>
      <c r="G68" s="1533">
        <v>1.55</v>
      </c>
      <c r="H68" s="12"/>
      <c r="I68" s="63"/>
      <c r="J68" s="67"/>
      <c r="K68" s="12"/>
      <c r="L68" s="12"/>
      <c r="M68" s="12"/>
      <c r="N68" s="63"/>
      <c r="O68" s="336"/>
      <c r="P68" s="158"/>
      <c r="Q68" s="694"/>
      <c r="R68" s="694"/>
      <c r="S68" s="694"/>
      <c r="T68" s="694"/>
      <c r="U68" s="694"/>
      <c r="V68" s="694"/>
      <c r="W68" s="694"/>
      <c r="X68" s="694"/>
      <c r="Y68" s="770"/>
      <c r="Z68" s="770"/>
      <c r="AA68" s="770"/>
      <c r="AB68" s="770"/>
      <c r="AC68" s="1530" t="b">
        <f t="shared" si="9"/>
        <v>0</v>
      </c>
      <c r="AD68" s="1500" t="b">
        <f t="shared" si="3"/>
        <v>0</v>
      </c>
      <c r="AE68" s="1500" t="b">
        <f t="shared" si="4"/>
        <v>0</v>
      </c>
      <c r="AF68" s="1500" t="b">
        <f t="shared" si="5"/>
        <v>0</v>
      </c>
      <c r="AG68" s="1500" t="b">
        <f t="shared" si="6"/>
        <v>0</v>
      </c>
      <c r="AH68" s="1500" t="b">
        <f t="shared" si="7"/>
        <v>0</v>
      </c>
      <c r="AI68" s="1531" t="b">
        <f t="shared" si="8"/>
        <v>0</v>
      </c>
      <c r="AJ68" s="770"/>
      <c r="AK68" s="770"/>
      <c r="AL68" s="770"/>
    </row>
    <row r="69" spans="1:38" ht="12.75" customHeight="1" x14ac:dyDescent="0.25">
      <c r="A69" s="694"/>
      <c r="B69" s="698"/>
      <c r="C69" s="698"/>
      <c r="D69" s="698"/>
      <c r="E69" s="1532" t="str">
        <f>Translations!$B$725</f>
        <v>Производство на кумен</v>
      </c>
      <c r="F69" s="1087" t="s">
        <v>372</v>
      </c>
      <c r="G69" s="1533">
        <v>5</v>
      </c>
      <c r="H69" s="12"/>
      <c r="I69" s="63"/>
      <c r="J69" s="67"/>
      <c r="K69" s="12"/>
      <c r="L69" s="12"/>
      <c r="M69" s="12"/>
      <c r="N69" s="63"/>
      <c r="O69" s="336"/>
      <c r="P69" s="158"/>
      <c r="Q69" s="694"/>
      <c r="R69" s="694"/>
      <c r="S69" s="694"/>
      <c r="T69" s="694"/>
      <c r="U69" s="694"/>
      <c r="V69" s="694"/>
      <c r="W69" s="694"/>
      <c r="X69" s="694"/>
      <c r="Y69" s="770"/>
      <c r="Z69" s="770"/>
      <c r="AA69" s="770"/>
      <c r="AB69" s="770"/>
      <c r="AC69" s="1530" t="b">
        <f t="shared" si="9"/>
        <v>0</v>
      </c>
      <c r="AD69" s="1500" t="b">
        <f t="shared" si="3"/>
        <v>0</v>
      </c>
      <c r="AE69" s="1500" t="b">
        <f t="shared" si="4"/>
        <v>0</v>
      </c>
      <c r="AF69" s="1500" t="b">
        <f t="shared" si="5"/>
        <v>0</v>
      </c>
      <c r="AG69" s="1500" t="b">
        <f t="shared" si="6"/>
        <v>0</v>
      </c>
      <c r="AH69" s="1500" t="b">
        <f t="shared" si="7"/>
        <v>0</v>
      </c>
      <c r="AI69" s="1531" t="b">
        <f t="shared" si="8"/>
        <v>0</v>
      </c>
      <c r="AJ69" s="770"/>
      <c r="AK69" s="770"/>
      <c r="AL69" s="770"/>
    </row>
    <row r="70" spans="1:38" ht="12.75" customHeight="1" x14ac:dyDescent="0.25">
      <c r="A70" s="694"/>
      <c r="B70" s="698"/>
      <c r="C70" s="698"/>
      <c r="D70" s="698"/>
      <c r="E70" s="1532" t="str">
        <f>Translations!$B$726</f>
        <v>Производство на фенол</v>
      </c>
      <c r="F70" s="1087" t="s">
        <v>372</v>
      </c>
      <c r="G70" s="1533">
        <v>1.1499999999999999</v>
      </c>
      <c r="H70" s="12"/>
      <c r="I70" s="63"/>
      <c r="J70" s="67"/>
      <c r="K70" s="12"/>
      <c r="L70" s="12"/>
      <c r="M70" s="12"/>
      <c r="N70" s="63"/>
      <c r="O70" s="336"/>
      <c r="P70" s="158"/>
      <c r="Q70" s="694"/>
      <c r="R70" s="694"/>
      <c r="S70" s="694"/>
      <c r="T70" s="694"/>
      <c r="U70" s="694"/>
      <c r="V70" s="694"/>
      <c r="W70" s="694"/>
      <c r="X70" s="694"/>
      <c r="Y70" s="770"/>
      <c r="Z70" s="770"/>
      <c r="AA70" s="770"/>
      <c r="AB70" s="770"/>
      <c r="AC70" s="1530" t="b">
        <f t="shared" si="9"/>
        <v>0</v>
      </c>
      <c r="AD70" s="1500" t="b">
        <f t="shared" si="3"/>
        <v>0</v>
      </c>
      <c r="AE70" s="1500" t="b">
        <f t="shared" si="4"/>
        <v>0</v>
      </c>
      <c r="AF70" s="1500" t="b">
        <f t="shared" si="5"/>
        <v>0</v>
      </c>
      <c r="AG70" s="1500" t="b">
        <f t="shared" si="6"/>
        <v>0</v>
      </c>
      <c r="AH70" s="1500" t="b">
        <f t="shared" si="7"/>
        <v>0</v>
      </c>
      <c r="AI70" s="1531" t="b">
        <f t="shared" si="8"/>
        <v>0</v>
      </c>
      <c r="AJ70" s="770"/>
      <c r="AK70" s="770"/>
      <c r="AL70" s="770"/>
    </row>
    <row r="71" spans="1:38" ht="12.75" customHeight="1" x14ac:dyDescent="0.25">
      <c r="A71" s="694"/>
      <c r="B71" s="698"/>
      <c r="C71" s="698"/>
      <c r="D71" s="698"/>
      <c r="E71" s="1532" t="str">
        <f>Translations!$B$727</f>
        <v>Екстракция на смазочно масло с разтворител</v>
      </c>
      <c r="F71" s="1087" t="s">
        <v>294</v>
      </c>
      <c r="G71" s="1533">
        <v>2.1</v>
      </c>
      <c r="H71" s="12"/>
      <c r="I71" s="63"/>
      <c r="J71" s="67"/>
      <c r="K71" s="12"/>
      <c r="L71" s="12"/>
      <c r="M71" s="12"/>
      <c r="N71" s="63"/>
      <c r="O71" s="336"/>
      <c r="P71" s="158"/>
      <c r="Q71" s="694"/>
      <c r="R71" s="694"/>
      <c r="S71" s="694"/>
      <c r="T71" s="694"/>
      <c r="U71" s="694"/>
      <c r="V71" s="694"/>
      <c r="W71" s="694"/>
      <c r="X71" s="694"/>
      <c r="Y71" s="770"/>
      <c r="Z71" s="770"/>
      <c r="AA71" s="770"/>
      <c r="AB71" s="770"/>
      <c r="AC71" s="1530" t="b">
        <f t="shared" si="9"/>
        <v>0</v>
      </c>
      <c r="AD71" s="1500" t="b">
        <f t="shared" si="3"/>
        <v>0</v>
      </c>
      <c r="AE71" s="1500" t="b">
        <f t="shared" si="4"/>
        <v>0</v>
      </c>
      <c r="AF71" s="1500" t="b">
        <f t="shared" si="5"/>
        <v>0</v>
      </c>
      <c r="AG71" s="1500" t="b">
        <f t="shared" si="6"/>
        <v>0</v>
      </c>
      <c r="AH71" s="1500" t="b">
        <f t="shared" si="7"/>
        <v>0</v>
      </c>
      <c r="AI71" s="1531" t="b">
        <f t="shared" si="8"/>
        <v>0</v>
      </c>
      <c r="AJ71" s="770"/>
      <c r="AK71" s="770"/>
      <c r="AL71" s="770"/>
    </row>
    <row r="72" spans="1:38" ht="12.75" customHeight="1" x14ac:dyDescent="0.25">
      <c r="A72" s="694"/>
      <c r="B72" s="698"/>
      <c r="C72" s="698"/>
      <c r="D72" s="698"/>
      <c r="E72" s="1532" t="str">
        <f>Translations!$B$728</f>
        <v>Отстраняване с разтворител на парафина от смазочно масло</v>
      </c>
      <c r="F72" s="1087" t="s">
        <v>294</v>
      </c>
      <c r="G72" s="1533">
        <v>4.55</v>
      </c>
      <c r="H72" s="12"/>
      <c r="I72" s="63"/>
      <c r="J72" s="67"/>
      <c r="K72" s="12"/>
      <c r="L72" s="12"/>
      <c r="M72" s="12"/>
      <c r="N72" s="63"/>
      <c r="O72" s="336"/>
      <c r="P72" s="158"/>
      <c r="Q72" s="694"/>
      <c r="R72" s="694"/>
      <c r="S72" s="694"/>
      <c r="T72" s="694"/>
      <c r="U72" s="694"/>
      <c r="V72" s="694"/>
      <c r="W72" s="694"/>
      <c r="X72" s="694"/>
      <c r="Y72" s="770"/>
      <c r="Z72" s="770"/>
      <c r="AA72" s="770"/>
      <c r="AB72" s="770"/>
      <c r="AC72" s="1530" t="b">
        <f t="shared" si="9"/>
        <v>0</v>
      </c>
      <c r="AD72" s="1500" t="b">
        <f t="shared" si="3"/>
        <v>0</v>
      </c>
      <c r="AE72" s="1500" t="b">
        <f t="shared" si="4"/>
        <v>0</v>
      </c>
      <c r="AF72" s="1500" t="b">
        <f t="shared" si="5"/>
        <v>0</v>
      </c>
      <c r="AG72" s="1500" t="b">
        <f t="shared" si="6"/>
        <v>0</v>
      </c>
      <c r="AH72" s="1500" t="b">
        <f t="shared" si="7"/>
        <v>0</v>
      </c>
      <c r="AI72" s="1531" t="b">
        <f t="shared" si="8"/>
        <v>0</v>
      </c>
      <c r="AJ72" s="770"/>
      <c r="AK72" s="770"/>
      <c r="AL72" s="770"/>
    </row>
    <row r="73" spans="1:38" ht="12.75" customHeight="1" x14ac:dyDescent="0.25">
      <c r="A73" s="694"/>
      <c r="B73" s="698"/>
      <c r="C73" s="698"/>
      <c r="D73" s="698"/>
      <c r="E73" s="1532" t="str">
        <f>Translations!$B$729</f>
        <v>Каталитична изомеризация на парафини</v>
      </c>
      <c r="F73" s="1087" t="s">
        <v>294</v>
      </c>
      <c r="G73" s="1533">
        <v>1.6</v>
      </c>
      <c r="H73" s="12"/>
      <c r="I73" s="63"/>
      <c r="J73" s="67"/>
      <c r="K73" s="12"/>
      <c r="L73" s="12"/>
      <c r="M73" s="12"/>
      <c r="N73" s="63"/>
      <c r="O73" s="336"/>
      <c r="P73" s="158"/>
      <c r="Q73" s="694"/>
      <c r="R73" s="694"/>
      <c r="S73" s="694"/>
      <c r="T73" s="694"/>
      <c r="U73" s="694"/>
      <c r="V73" s="694"/>
      <c r="W73" s="694"/>
      <c r="X73" s="694"/>
      <c r="Y73" s="770"/>
      <c r="Z73" s="770"/>
      <c r="AA73" s="770"/>
      <c r="AB73" s="770"/>
      <c r="AC73" s="1530" t="b">
        <f t="shared" si="9"/>
        <v>0</v>
      </c>
      <c r="AD73" s="1500" t="b">
        <f t="shared" si="3"/>
        <v>0</v>
      </c>
      <c r="AE73" s="1500" t="b">
        <f t="shared" si="4"/>
        <v>0</v>
      </c>
      <c r="AF73" s="1500" t="b">
        <f t="shared" si="5"/>
        <v>0</v>
      </c>
      <c r="AG73" s="1500" t="b">
        <f t="shared" si="6"/>
        <v>0</v>
      </c>
      <c r="AH73" s="1500" t="b">
        <f t="shared" si="7"/>
        <v>0</v>
      </c>
      <c r="AI73" s="1531" t="b">
        <f t="shared" si="8"/>
        <v>0</v>
      </c>
      <c r="AJ73" s="770"/>
      <c r="AK73" s="770"/>
      <c r="AL73" s="770"/>
    </row>
    <row r="74" spans="1:38" ht="12.75" customHeight="1" x14ac:dyDescent="0.25">
      <c r="A74" s="694"/>
      <c r="B74" s="698"/>
      <c r="C74" s="698"/>
      <c r="D74" s="698"/>
      <c r="E74" s="1532" t="str">
        <f>Translations!$B$730</f>
        <v xml:space="preserve">Агрегат за крекинг на смазочно масло във водородна среда </v>
      </c>
      <c r="F74" s="1087" t="s">
        <v>294</v>
      </c>
      <c r="G74" s="1533">
        <v>2.5</v>
      </c>
      <c r="H74" s="12"/>
      <c r="I74" s="63"/>
      <c r="J74" s="67"/>
      <c r="K74" s="12"/>
      <c r="L74" s="12"/>
      <c r="M74" s="12"/>
      <c r="N74" s="63"/>
      <c r="O74" s="336"/>
      <c r="P74" s="158"/>
      <c r="Q74" s="694"/>
      <c r="R74" s="694"/>
      <c r="S74" s="694"/>
      <c r="T74" s="694"/>
      <c r="U74" s="694"/>
      <c r="V74" s="694"/>
      <c r="W74" s="694"/>
      <c r="X74" s="694"/>
      <c r="Y74" s="770"/>
      <c r="Z74" s="770"/>
      <c r="AA74" s="770"/>
      <c r="AB74" s="770"/>
      <c r="AC74" s="1530" t="b">
        <f t="shared" si="9"/>
        <v>0</v>
      </c>
      <c r="AD74" s="1500" t="b">
        <f t="shared" si="3"/>
        <v>0</v>
      </c>
      <c r="AE74" s="1500" t="b">
        <f t="shared" si="4"/>
        <v>0</v>
      </c>
      <c r="AF74" s="1500" t="b">
        <f t="shared" si="5"/>
        <v>0</v>
      </c>
      <c r="AG74" s="1500" t="b">
        <f t="shared" si="6"/>
        <v>0</v>
      </c>
      <c r="AH74" s="1500" t="b">
        <f t="shared" si="7"/>
        <v>0</v>
      </c>
      <c r="AI74" s="1531" t="b">
        <f t="shared" si="8"/>
        <v>0</v>
      </c>
      <c r="AJ74" s="770"/>
      <c r="AK74" s="770"/>
      <c r="AL74" s="770"/>
    </row>
    <row r="75" spans="1:38" x14ac:dyDescent="0.25">
      <c r="A75" s="694"/>
      <c r="B75" s="698"/>
      <c r="C75" s="698"/>
      <c r="D75" s="698"/>
      <c r="E75" s="1532" t="str">
        <f>Translations!$B$731</f>
        <v xml:space="preserve">Обезмасляване на парафини </v>
      </c>
      <c r="F75" s="1087" t="s">
        <v>372</v>
      </c>
      <c r="G75" s="1533">
        <v>12</v>
      </c>
      <c r="H75" s="12"/>
      <c r="I75" s="63"/>
      <c r="J75" s="67"/>
      <c r="K75" s="12"/>
      <c r="L75" s="12"/>
      <c r="M75" s="12"/>
      <c r="N75" s="63"/>
      <c r="O75" s="336"/>
      <c r="P75" s="158"/>
      <c r="Q75" s="694"/>
      <c r="R75" s="694"/>
      <c r="S75" s="694"/>
      <c r="T75" s="694"/>
      <c r="U75" s="694"/>
      <c r="V75" s="694"/>
      <c r="W75" s="694"/>
      <c r="X75" s="694"/>
      <c r="Y75" s="770"/>
      <c r="Z75" s="770"/>
      <c r="AA75" s="770"/>
      <c r="AB75" s="770"/>
      <c r="AC75" s="1530" t="b">
        <f t="shared" si="9"/>
        <v>0</v>
      </c>
      <c r="AD75" s="1500" t="b">
        <f t="shared" si="3"/>
        <v>0</v>
      </c>
      <c r="AE75" s="1500" t="b">
        <f t="shared" si="4"/>
        <v>0</v>
      </c>
      <c r="AF75" s="1500" t="b">
        <f t="shared" si="5"/>
        <v>0</v>
      </c>
      <c r="AG75" s="1500" t="b">
        <f t="shared" si="6"/>
        <v>0</v>
      </c>
      <c r="AH75" s="1500" t="b">
        <f t="shared" si="7"/>
        <v>0</v>
      </c>
      <c r="AI75" s="1531" t="b">
        <f t="shared" si="8"/>
        <v>0</v>
      </c>
      <c r="AJ75" s="770"/>
      <c r="AK75" s="770"/>
      <c r="AL75" s="770"/>
    </row>
    <row r="76" spans="1:38" ht="12.75" customHeight="1" x14ac:dyDescent="0.25">
      <c r="A76" s="694"/>
      <c r="B76" s="698"/>
      <c r="C76" s="698"/>
      <c r="D76" s="698"/>
      <c r="E76" s="1532" t="str">
        <f>Translations!$B$732</f>
        <v xml:space="preserve">Хидрообезсеряване на смазочни масла/парафини </v>
      </c>
      <c r="F76" s="1087" t="s">
        <v>294</v>
      </c>
      <c r="G76" s="1533">
        <v>1.1499999999999999</v>
      </c>
      <c r="H76" s="12"/>
      <c r="I76" s="63"/>
      <c r="J76" s="67"/>
      <c r="K76" s="12"/>
      <c r="L76" s="12"/>
      <c r="M76" s="12"/>
      <c r="N76" s="63"/>
      <c r="O76" s="336"/>
      <c r="P76" s="158"/>
      <c r="Q76" s="694"/>
      <c r="R76" s="694"/>
      <c r="S76" s="694"/>
      <c r="T76" s="694"/>
      <c r="U76" s="694"/>
      <c r="V76" s="694"/>
      <c r="W76" s="694"/>
      <c r="X76" s="694"/>
      <c r="Y76" s="770"/>
      <c r="Z76" s="770"/>
      <c r="AA76" s="770"/>
      <c r="AB76" s="770"/>
      <c r="AC76" s="1530" t="b">
        <f t="shared" si="9"/>
        <v>0</v>
      </c>
      <c r="AD76" s="1500" t="b">
        <f t="shared" si="3"/>
        <v>0</v>
      </c>
      <c r="AE76" s="1500" t="b">
        <f t="shared" si="4"/>
        <v>0</v>
      </c>
      <c r="AF76" s="1500" t="b">
        <f t="shared" si="5"/>
        <v>0</v>
      </c>
      <c r="AG76" s="1500" t="b">
        <f t="shared" si="6"/>
        <v>0</v>
      </c>
      <c r="AH76" s="1500" t="b">
        <f t="shared" si="7"/>
        <v>0</v>
      </c>
      <c r="AI76" s="1531" t="b">
        <f t="shared" si="8"/>
        <v>0</v>
      </c>
      <c r="AJ76" s="770"/>
      <c r="AK76" s="770"/>
      <c r="AL76" s="770"/>
    </row>
    <row r="77" spans="1:38" ht="12.75" customHeight="1" x14ac:dyDescent="0.25">
      <c r="A77" s="694"/>
      <c r="B77" s="698"/>
      <c r="C77" s="698"/>
      <c r="D77" s="698"/>
      <c r="E77" s="1532" t="str">
        <f>Translations!$B$733</f>
        <v>Хидрообезсеряване на разтворители</v>
      </c>
      <c r="F77" s="1087" t="s">
        <v>294</v>
      </c>
      <c r="G77" s="1533">
        <v>1.25</v>
      </c>
      <c r="H77" s="12"/>
      <c r="I77" s="63"/>
      <c r="J77" s="67"/>
      <c r="K77" s="12"/>
      <c r="L77" s="12"/>
      <c r="M77" s="12"/>
      <c r="N77" s="63"/>
      <c r="O77" s="336"/>
      <c r="P77" s="158"/>
      <c r="Q77" s="694"/>
      <c r="R77" s="694"/>
      <c r="S77" s="694"/>
      <c r="T77" s="694"/>
      <c r="U77" s="694"/>
      <c r="V77" s="694"/>
      <c r="W77" s="694"/>
      <c r="X77" s="694"/>
      <c r="Y77" s="770"/>
      <c r="Z77" s="770"/>
      <c r="AA77" s="770"/>
      <c r="AB77" s="770"/>
      <c r="AC77" s="1530" t="b">
        <f t="shared" si="9"/>
        <v>0</v>
      </c>
      <c r="AD77" s="1500" t="b">
        <f t="shared" si="3"/>
        <v>0</v>
      </c>
      <c r="AE77" s="1500" t="b">
        <f t="shared" si="4"/>
        <v>0</v>
      </c>
      <c r="AF77" s="1500" t="b">
        <f t="shared" si="5"/>
        <v>0</v>
      </c>
      <c r="AG77" s="1500" t="b">
        <f t="shared" si="6"/>
        <v>0</v>
      </c>
      <c r="AH77" s="1500" t="b">
        <f t="shared" si="7"/>
        <v>0</v>
      </c>
      <c r="AI77" s="1531" t="b">
        <f t="shared" si="8"/>
        <v>0</v>
      </c>
      <c r="AJ77" s="770"/>
      <c r="AK77" s="770"/>
      <c r="AL77" s="770"/>
    </row>
    <row r="78" spans="1:38" ht="12.75" customHeight="1" x14ac:dyDescent="0.25">
      <c r="A78" s="694"/>
      <c r="B78" s="698"/>
      <c r="C78" s="698"/>
      <c r="D78" s="698"/>
      <c r="E78" s="1532" t="str">
        <f>Translations!$B$734</f>
        <v>Фракциониране на разтворители</v>
      </c>
      <c r="F78" s="1087" t="s">
        <v>294</v>
      </c>
      <c r="G78" s="1533">
        <v>0.9</v>
      </c>
      <c r="H78" s="12"/>
      <c r="I78" s="63"/>
      <c r="J78" s="67"/>
      <c r="K78" s="12"/>
      <c r="L78" s="12"/>
      <c r="M78" s="12"/>
      <c r="N78" s="63"/>
      <c r="O78" s="336"/>
      <c r="P78" s="158"/>
      <c r="Q78" s="694"/>
      <c r="R78" s="694"/>
      <c r="S78" s="694"/>
      <c r="T78" s="694"/>
      <c r="U78" s="694"/>
      <c r="V78" s="694"/>
      <c r="W78" s="694"/>
      <c r="X78" s="694"/>
      <c r="Y78" s="770"/>
      <c r="Z78" s="770"/>
      <c r="AA78" s="770"/>
      <c r="AB78" s="770"/>
      <c r="AC78" s="1530" t="b">
        <f t="shared" si="9"/>
        <v>0</v>
      </c>
      <c r="AD78" s="1500" t="b">
        <f t="shared" si="3"/>
        <v>0</v>
      </c>
      <c r="AE78" s="1500" t="b">
        <f t="shared" si="4"/>
        <v>0</v>
      </c>
      <c r="AF78" s="1500" t="b">
        <f t="shared" si="5"/>
        <v>0</v>
      </c>
      <c r="AG78" s="1500" t="b">
        <f t="shared" si="6"/>
        <v>0</v>
      </c>
      <c r="AH78" s="1500" t="b">
        <f t="shared" si="7"/>
        <v>0</v>
      </c>
      <c r="AI78" s="1531" t="b">
        <f t="shared" si="8"/>
        <v>0</v>
      </c>
      <c r="AJ78" s="770"/>
      <c r="AK78" s="770"/>
      <c r="AL78" s="770"/>
    </row>
    <row r="79" spans="1:38" ht="12.75" customHeight="1" x14ac:dyDescent="0.25">
      <c r="A79" s="694"/>
      <c r="B79" s="698"/>
      <c r="C79" s="698"/>
      <c r="D79" s="698"/>
      <c r="E79" s="1532" t="str">
        <f>Translations!$B$735</f>
        <v>Моларно сито за парафини C10+</v>
      </c>
      <c r="F79" s="1087" t="s">
        <v>372</v>
      </c>
      <c r="G79" s="1533">
        <v>1.85</v>
      </c>
      <c r="H79" s="12"/>
      <c r="I79" s="63"/>
      <c r="J79" s="67"/>
      <c r="K79" s="12"/>
      <c r="L79" s="12"/>
      <c r="M79" s="12"/>
      <c r="N79" s="63"/>
      <c r="O79" s="336"/>
      <c r="P79" s="158"/>
      <c r="Q79" s="694"/>
      <c r="R79" s="694"/>
      <c r="S79" s="694"/>
      <c r="T79" s="694"/>
      <c r="U79" s="694"/>
      <c r="V79" s="694"/>
      <c r="W79" s="694"/>
      <c r="X79" s="694"/>
      <c r="Y79" s="770"/>
      <c r="Z79" s="770"/>
      <c r="AA79" s="770"/>
      <c r="AB79" s="770"/>
      <c r="AC79" s="1530" t="b">
        <f t="shared" si="9"/>
        <v>0</v>
      </c>
      <c r="AD79" s="1500" t="b">
        <f t="shared" si="3"/>
        <v>0</v>
      </c>
      <c r="AE79" s="1500" t="b">
        <f t="shared" si="4"/>
        <v>0</v>
      </c>
      <c r="AF79" s="1500" t="b">
        <f t="shared" si="5"/>
        <v>0</v>
      </c>
      <c r="AG79" s="1500" t="b">
        <f t="shared" si="6"/>
        <v>0</v>
      </c>
      <c r="AH79" s="1500" t="b">
        <f t="shared" si="7"/>
        <v>0</v>
      </c>
      <c r="AI79" s="1531" t="b">
        <f t="shared" si="8"/>
        <v>0</v>
      </c>
      <c r="AJ79" s="770"/>
      <c r="AK79" s="770"/>
      <c r="AL79" s="770"/>
    </row>
    <row r="80" spans="1:38" ht="25.5" customHeight="1" x14ac:dyDescent="0.25">
      <c r="A80" s="694"/>
      <c r="B80" s="698"/>
      <c r="C80" s="698"/>
      <c r="D80" s="698"/>
      <c r="E80" s="1532" t="str">
        <f>Translations!$B$736</f>
        <v>Частично окисляване на захранвани тежки фракции за получаване на синтетичен горивен газ</v>
      </c>
      <c r="F80" s="1087" t="str">
        <f>Translations!$B$1572</f>
        <v>SG</v>
      </c>
      <c r="G80" s="1533">
        <v>8.1999999999999993</v>
      </c>
      <c r="H80" s="12"/>
      <c r="I80" s="63"/>
      <c r="J80" s="67"/>
      <c r="K80" s="12"/>
      <c r="L80" s="12"/>
      <c r="M80" s="12"/>
      <c r="N80" s="63"/>
      <c r="O80" s="336"/>
      <c r="P80" s="158"/>
      <c r="Q80" s="694"/>
      <c r="R80" s="694"/>
      <c r="S80" s="694"/>
      <c r="T80" s="694"/>
      <c r="U80" s="694"/>
      <c r="V80" s="694"/>
      <c r="W80" s="694"/>
      <c r="X80" s="694"/>
      <c r="Y80" s="770"/>
      <c r="Z80" s="770"/>
      <c r="AA80" s="770"/>
      <c r="AB80" s="770"/>
      <c r="AC80" s="1530" t="b">
        <f t="shared" si="9"/>
        <v>0</v>
      </c>
      <c r="AD80" s="1500" t="b">
        <f t="shared" si="3"/>
        <v>0</v>
      </c>
      <c r="AE80" s="1500" t="b">
        <f t="shared" si="4"/>
        <v>0</v>
      </c>
      <c r="AF80" s="1500" t="b">
        <f t="shared" si="5"/>
        <v>0</v>
      </c>
      <c r="AG80" s="1500" t="b">
        <f t="shared" si="6"/>
        <v>0</v>
      </c>
      <c r="AH80" s="1500" t="b">
        <f t="shared" si="7"/>
        <v>0</v>
      </c>
      <c r="AI80" s="1531" t="b">
        <f t="shared" si="8"/>
        <v>0</v>
      </c>
      <c r="AJ80" s="770"/>
      <c r="AK80" s="770"/>
      <c r="AL80" s="770"/>
    </row>
    <row r="81" spans="1:38" ht="40" customHeight="1" x14ac:dyDescent="0.25">
      <c r="A81" s="694"/>
      <c r="B81" s="698"/>
      <c r="C81" s="698"/>
      <c r="D81" s="698"/>
      <c r="E81" s="1532" t="str">
        <f>Translations!$B$737</f>
        <v>Частично окисляване на захранвани тежки фракции за получаване на водород или метанол</v>
      </c>
      <c r="F81" s="1087" t="str">
        <f>Translations!$B$1572</f>
        <v>SG</v>
      </c>
      <c r="G81" s="1533">
        <v>44</v>
      </c>
      <c r="H81" s="12"/>
      <c r="I81" s="63"/>
      <c r="J81" s="67"/>
      <c r="K81" s="12"/>
      <c r="L81" s="12"/>
      <c r="M81" s="12"/>
      <c r="N81" s="63"/>
      <c r="O81" s="336"/>
      <c r="P81" s="158"/>
      <c r="Q81" s="694"/>
      <c r="R81" s="694"/>
      <c r="S81" s="694"/>
      <c r="T81" s="694"/>
      <c r="U81" s="694"/>
      <c r="V81" s="694"/>
      <c r="W81" s="694"/>
      <c r="X81" s="694"/>
      <c r="Y81" s="770"/>
      <c r="Z81" s="770"/>
      <c r="AA81" s="770"/>
      <c r="AB81" s="770"/>
      <c r="AC81" s="1530" t="b">
        <f t="shared" si="9"/>
        <v>0</v>
      </c>
      <c r="AD81" s="1500" t="b">
        <f t="shared" si="3"/>
        <v>0</v>
      </c>
      <c r="AE81" s="1500" t="b">
        <f t="shared" si="4"/>
        <v>0</v>
      </c>
      <c r="AF81" s="1500" t="b">
        <f t="shared" si="5"/>
        <v>0</v>
      </c>
      <c r="AG81" s="1500" t="b">
        <f t="shared" si="6"/>
        <v>0</v>
      </c>
      <c r="AH81" s="1500" t="b">
        <f t="shared" si="7"/>
        <v>0</v>
      </c>
      <c r="AI81" s="1531" t="b">
        <f t="shared" si="8"/>
        <v>0</v>
      </c>
      <c r="AJ81" s="770"/>
      <c r="AK81" s="770"/>
      <c r="AL81" s="770"/>
    </row>
    <row r="82" spans="1:38" ht="12.75" customHeight="1" x14ac:dyDescent="0.25">
      <c r="A82" s="694"/>
      <c r="B82" s="698"/>
      <c r="C82" s="698"/>
      <c r="D82" s="698"/>
      <c r="E82" s="1532" t="str">
        <f>Translations!$B$738</f>
        <v>Получаване на метанол от синтетичен газ</v>
      </c>
      <c r="F82" s="1087" t="s">
        <v>372</v>
      </c>
      <c r="G82" s="1533">
        <v>-36.200000000000003</v>
      </c>
      <c r="H82" s="12"/>
      <c r="I82" s="63"/>
      <c r="J82" s="67"/>
      <c r="K82" s="12"/>
      <c r="L82" s="12"/>
      <c r="M82" s="12"/>
      <c r="N82" s="63"/>
      <c r="O82" s="336"/>
      <c r="P82" s="158"/>
      <c r="Q82" s="694"/>
      <c r="R82" s="694"/>
      <c r="S82" s="694"/>
      <c r="T82" s="694"/>
      <c r="U82" s="694"/>
      <c r="V82" s="694"/>
      <c r="W82" s="694"/>
      <c r="X82" s="694"/>
      <c r="Y82" s="770"/>
      <c r="Z82" s="770"/>
      <c r="AA82" s="770"/>
      <c r="AB82" s="770"/>
      <c r="AC82" s="1530" t="b">
        <f t="shared" si="9"/>
        <v>0</v>
      </c>
      <c r="AD82" s="1500" t="b">
        <f t="shared" si="3"/>
        <v>0</v>
      </c>
      <c r="AE82" s="1500" t="b">
        <f t="shared" si="4"/>
        <v>0</v>
      </c>
      <c r="AF82" s="1500" t="b">
        <f t="shared" si="5"/>
        <v>0</v>
      </c>
      <c r="AG82" s="1500" t="b">
        <f t="shared" si="6"/>
        <v>0</v>
      </c>
      <c r="AH82" s="1500" t="b">
        <f t="shared" si="7"/>
        <v>0</v>
      </c>
      <c r="AI82" s="1531" t="b">
        <f t="shared" si="8"/>
        <v>0</v>
      </c>
      <c r="AJ82" s="770"/>
      <c r="AK82" s="770"/>
      <c r="AL82" s="770"/>
    </row>
    <row r="83" spans="1:38" ht="12.75" customHeight="1" x14ac:dyDescent="0.25">
      <c r="A83" s="694"/>
      <c r="B83" s="698"/>
      <c r="C83" s="698"/>
      <c r="D83" s="698"/>
      <c r="E83" s="1532" t="str">
        <f>Translations!$B$739</f>
        <v>Сепарация на въздуха</v>
      </c>
      <c r="F83" s="1087" t="s">
        <v>516</v>
      </c>
      <c r="G83" s="1533">
        <v>8.8000000000000007</v>
      </c>
      <c r="H83" s="12"/>
      <c r="I83" s="63"/>
      <c r="J83" s="67"/>
      <c r="K83" s="12"/>
      <c r="L83" s="12"/>
      <c r="M83" s="12"/>
      <c r="N83" s="63"/>
      <c r="O83" s="336"/>
      <c r="P83" s="158"/>
      <c r="Q83" s="694"/>
      <c r="R83" s="694"/>
      <c r="S83" s="694"/>
      <c r="T83" s="694"/>
      <c r="U83" s="694"/>
      <c r="V83" s="694"/>
      <c r="W83" s="694"/>
      <c r="X83" s="694"/>
      <c r="Y83" s="770"/>
      <c r="Z83" s="770"/>
      <c r="AA83" s="770"/>
      <c r="AB83" s="770"/>
      <c r="AC83" s="1530" t="b">
        <f t="shared" si="9"/>
        <v>0</v>
      </c>
      <c r="AD83" s="1500" t="b">
        <f t="shared" si="3"/>
        <v>0</v>
      </c>
      <c r="AE83" s="1500" t="b">
        <f t="shared" si="4"/>
        <v>0</v>
      </c>
      <c r="AF83" s="1500" t="b">
        <f t="shared" si="5"/>
        <v>0</v>
      </c>
      <c r="AG83" s="1500" t="b">
        <f t="shared" si="6"/>
        <v>0</v>
      </c>
      <c r="AH83" s="1500" t="b">
        <f t="shared" si="7"/>
        <v>0</v>
      </c>
      <c r="AI83" s="1531" t="b">
        <f t="shared" si="8"/>
        <v>0</v>
      </c>
      <c r="AJ83" s="770"/>
      <c r="AK83" s="770"/>
      <c r="AL83" s="770"/>
    </row>
    <row r="84" spans="1:38" ht="25.5" customHeight="1" x14ac:dyDescent="0.25">
      <c r="A84" s="694"/>
      <c r="B84" s="698"/>
      <c r="C84" s="698"/>
      <c r="D84" s="698"/>
      <c r="E84" s="1532" t="str">
        <f>Translations!$B$740</f>
        <v>Фракциониране на закупени NGL (течни въглеводороди от природен газ)</v>
      </c>
      <c r="F84" s="1087" t="s">
        <v>294</v>
      </c>
      <c r="G84" s="1533">
        <v>1</v>
      </c>
      <c r="H84" s="12"/>
      <c r="I84" s="63"/>
      <c r="J84" s="67"/>
      <c r="K84" s="12"/>
      <c r="L84" s="12"/>
      <c r="M84" s="12"/>
      <c r="N84" s="63"/>
      <c r="O84" s="336"/>
      <c r="P84" s="158"/>
      <c r="Q84" s="694"/>
      <c r="R84" s="694"/>
      <c r="S84" s="694"/>
      <c r="T84" s="694"/>
      <c r="U84" s="694"/>
      <c r="V84" s="694"/>
      <c r="W84" s="694"/>
      <c r="X84" s="694"/>
      <c r="Y84" s="770"/>
      <c r="Z84" s="770"/>
      <c r="AA84" s="770"/>
      <c r="AB84" s="770"/>
      <c r="AC84" s="1530" t="b">
        <f t="shared" si="9"/>
        <v>0</v>
      </c>
      <c r="AD84" s="1500" t="b">
        <f t="shared" si="3"/>
        <v>0</v>
      </c>
      <c r="AE84" s="1500" t="b">
        <f t="shared" si="4"/>
        <v>0</v>
      </c>
      <c r="AF84" s="1500" t="b">
        <f t="shared" si="5"/>
        <v>0</v>
      </c>
      <c r="AG84" s="1500" t="b">
        <f t="shared" si="6"/>
        <v>0</v>
      </c>
      <c r="AH84" s="1500" t="b">
        <f t="shared" si="7"/>
        <v>0</v>
      </c>
      <c r="AI84" s="1531" t="b">
        <f t="shared" si="8"/>
        <v>0</v>
      </c>
      <c r="AJ84" s="770"/>
      <c r="AK84" s="770"/>
      <c r="AL84" s="770"/>
    </row>
    <row r="85" spans="1:38" ht="12.75" customHeight="1" x14ac:dyDescent="0.25">
      <c r="A85" s="694"/>
      <c r="B85" s="698"/>
      <c r="C85" s="698"/>
      <c r="D85" s="698"/>
      <c r="E85" s="1532" t="str">
        <f>Translations!$B$741</f>
        <v>Очистване на димните газове</v>
      </c>
      <c r="F85" s="1087" t="s">
        <v>519</v>
      </c>
      <c r="G85" s="1533">
        <v>0.1</v>
      </c>
      <c r="H85" s="12"/>
      <c r="I85" s="63"/>
      <c r="J85" s="67"/>
      <c r="K85" s="12"/>
      <c r="L85" s="12"/>
      <c r="M85" s="12"/>
      <c r="N85" s="63"/>
      <c r="O85" s="336"/>
      <c r="P85" s="158"/>
      <c r="Q85" s="694"/>
      <c r="R85" s="694"/>
      <c r="S85" s="694"/>
      <c r="T85" s="694"/>
      <c r="U85" s="694"/>
      <c r="V85" s="694"/>
      <c r="W85" s="694"/>
      <c r="X85" s="694"/>
      <c r="Y85" s="770"/>
      <c r="Z85" s="770"/>
      <c r="AA85" s="770"/>
      <c r="AB85" s="770"/>
      <c r="AC85" s="1530" t="b">
        <f t="shared" si="9"/>
        <v>0</v>
      </c>
      <c r="AD85" s="1500" t="b">
        <f t="shared" si="3"/>
        <v>0</v>
      </c>
      <c r="AE85" s="1500" t="b">
        <f t="shared" si="4"/>
        <v>0</v>
      </c>
      <c r="AF85" s="1500" t="b">
        <f t="shared" si="5"/>
        <v>0</v>
      </c>
      <c r="AG85" s="1500" t="b">
        <f t="shared" si="6"/>
        <v>0</v>
      </c>
      <c r="AH85" s="1500" t="b">
        <f t="shared" si="7"/>
        <v>0</v>
      </c>
      <c r="AI85" s="1531" t="b">
        <f t="shared" si="8"/>
        <v>0</v>
      </c>
      <c r="AJ85" s="770"/>
      <c r="AK85" s="770"/>
      <c r="AL85" s="770"/>
    </row>
    <row r="86" spans="1:38" ht="25.5" customHeight="1" x14ac:dyDescent="0.25">
      <c r="A86" s="694"/>
      <c r="B86" s="698"/>
      <c r="C86" s="698"/>
      <c r="D86" s="698"/>
      <c r="E86" s="1532" t="str">
        <f>Translations!$B$742</f>
        <v>Третиране и сгъстяване на горивен газ за продажба</v>
      </c>
      <c r="F86" s="1087" t="str">
        <f>Translations!$B$1573</f>
        <v>kW</v>
      </c>
      <c r="G86" s="1533">
        <v>0.15</v>
      </c>
      <c r="H86" s="12"/>
      <c r="I86" s="63"/>
      <c r="J86" s="67"/>
      <c r="K86" s="12"/>
      <c r="L86" s="12"/>
      <c r="M86" s="12"/>
      <c r="N86" s="63"/>
      <c r="O86" s="336"/>
      <c r="P86" s="158"/>
      <c r="Q86" s="694"/>
      <c r="R86" s="694"/>
      <c r="S86" s="694"/>
      <c r="T86" s="694"/>
      <c r="U86" s="694"/>
      <c r="V86" s="694"/>
      <c r="W86" s="694"/>
      <c r="X86" s="694"/>
      <c r="Y86" s="770"/>
      <c r="Z86" s="770"/>
      <c r="AA86" s="770"/>
      <c r="AB86" s="770"/>
      <c r="AC86" s="1530" t="b">
        <f t="shared" si="9"/>
        <v>0</v>
      </c>
      <c r="AD86" s="1500" t="b">
        <f t="shared" si="3"/>
        <v>0</v>
      </c>
      <c r="AE86" s="1500" t="b">
        <f t="shared" si="4"/>
        <v>0</v>
      </c>
      <c r="AF86" s="1500" t="b">
        <f t="shared" si="5"/>
        <v>0</v>
      </c>
      <c r="AG86" s="1500" t="b">
        <f t="shared" si="6"/>
        <v>0</v>
      </c>
      <c r="AH86" s="1500" t="b">
        <f t="shared" si="7"/>
        <v>0</v>
      </c>
      <c r="AI86" s="1531" t="b">
        <f t="shared" si="8"/>
        <v>0</v>
      </c>
      <c r="AJ86" s="770"/>
      <c r="AK86" s="770"/>
      <c r="AL86" s="770"/>
    </row>
    <row r="87" spans="1:38" ht="13.5" customHeight="1" thickBot="1" x14ac:dyDescent="0.3">
      <c r="A87" s="694"/>
      <c r="B87" s="698"/>
      <c r="C87" s="698"/>
      <c r="D87" s="698"/>
      <c r="E87" s="1534" t="str">
        <f>Translations!$B$743</f>
        <v>Обезсоляване на морска вода</v>
      </c>
      <c r="F87" s="1088" t="s">
        <v>372</v>
      </c>
      <c r="G87" s="1535">
        <v>1.1499999999999999</v>
      </c>
      <c r="H87" s="11"/>
      <c r="I87" s="64"/>
      <c r="J87" s="68"/>
      <c r="K87" s="11"/>
      <c r="L87" s="11"/>
      <c r="M87" s="11"/>
      <c r="N87" s="64"/>
      <c r="O87" s="336"/>
      <c r="P87" s="158"/>
      <c r="Q87" s="694"/>
      <c r="R87" s="694"/>
      <c r="S87" s="694"/>
      <c r="T87" s="694"/>
      <c r="U87" s="694"/>
      <c r="V87" s="694"/>
      <c r="W87" s="694"/>
      <c r="X87" s="694"/>
      <c r="Y87" s="770"/>
      <c r="Z87" s="770"/>
      <c r="AA87" s="770"/>
      <c r="AB87" s="770"/>
      <c r="AC87" s="1536" t="b">
        <f t="shared" si="9"/>
        <v>0</v>
      </c>
      <c r="AD87" s="1537" t="b">
        <f t="shared" si="3"/>
        <v>0</v>
      </c>
      <c r="AE87" s="1537" t="b">
        <f t="shared" si="4"/>
        <v>0</v>
      </c>
      <c r="AF87" s="1537" t="b">
        <f t="shared" si="5"/>
        <v>0</v>
      </c>
      <c r="AG87" s="1537" t="b">
        <f t="shared" si="6"/>
        <v>0</v>
      </c>
      <c r="AH87" s="1537" t="b">
        <f t="shared" si="7"/>
        <v>0</v>
      </c>
      <c r="AI87" s="1538" t="b">
        <f t="shared" si="8"/>
        <v>0</v>
      </c>
      <c r="AJ87" s="770"/>
      <c r="AK87" s="770"/>
      <c r="AL87" s="770"/>
    </row>
    <row r="88" spans="1:38" ht="5.15" customHeight="1" x14ac:dyDescent="0.25">
      <c r="A88" s="694"/>
      <c r="B88" s="284"/>
      <c r="C88" s="284"/>
      <c r="D88" s="284"/>
      <c r="E88" s="284"/>
      <c r="F88" s="284"/>
      <c r="G88" s="284"/>
      <c r="H88" s="284"/>
      <c r="I88" s="284"/>
      <c r="J88" s="284"/>
      <c r="K88" s="284"/>
      <c r="L88" s="284"/>
      <c r="M88" s="336"/>
      <c r="N88" s="336"/>
      <c r="O88" s="336"/>
      <c r="P88" s="302"/>
      <c r="Q88" s="770"/>
      <c r="R88" s="694"/>
      <c r="S88" s="694"/>
      <c r="T88" s="694"/>
      <c r="U88" s="694"/>
      <c r="V88" s="694"/>
      <c r="W88" s="694"/>
      <c r="X88" s="694"/>
      <c r="Y88" s="770"/>
      <c r="Z88" s="770"/>
      <c r="AA88" s="770"/>
      <c r="AB88" s="770"/>
      <c r="AC88" s="770"/>
      <c r="AD88" s="770"/>
      <c r="AE88" s="770"/>
      <c r="AF88" s="770"/>
      <c r="AG88" s="770"/>
      <c r="AH88" s="770"/>
      <c r="AI88" s="770"/>
      <c r="AJ88" s="770"/>
      <c r="AK88" s="770"/>
      <c r="AL88" s="770"/>
    </row>
    <row r="89" spans="1:38" ht="13" x14ac:dyDescent="0.25">
      <c r="A89" s="694"/>
      <c r="B89" s="284"/>
      <c r="C89" s="284"/>
      <c r="D89" s="300" t="s">
        <v>46</v>
      </c>
      <c r="E89" s="2226" t="str">
        <f>Translations!$B$744</f>
        <v>Резултат: Равнища на дейност за продуктовия показател за нефтохимически продукти, изразени като CWT</v>
      </c>
      <c r="F89" s="2249"/>
      <c r="G89" s="2249"/>
      <c r="H89" s="2249"/>
      <c r="I89" s="2249"/>
      <c r="J89" s="2249"/>
      <c r="K89" s="2249"/>
      <c r="L89" s="2249"/>
      <c r="M89" s="2249"/>
      <c r="N89" s="2249"/>
      <c r="O89" s="336"/>
      <c r="P89" s="302"/>
      <c r="Q89" s="770"/>
      <c r="R89" s="694"/>
      <c r="S89" s="694"/>
      <c r="T89" s="694"/>
      <c r="U89" s="694"/>
      <c r="V89" s="694"/>
      <c r="W89" s="694"/>
      <c r="X89" s="694"/>
      <c r="Y89" s="770"/>
      <c r="Z89" s="770"/>
      <c r="AA89" s="770"/>
      <c r="AB89" s="770"/>
      <c r="AC89" s="770"/>
      <c r="AD89" s="770"/>
      <c r="AE89" s="770"/>
      <c r="AF89" s="770"/>
      <c r="AG89" s="770"/>
      <c r="AH89" s="770"/>
      <c r="AI89" s="770"/>
      <c r="AJ89" s="770"/>
      <c r="AK89" s="770"/>
      <c r="AL89" s="770"/>
    </row>
    <row r="90" spans="1:38" x14ac:dyDescent="0.25">
      <c r="A90" s="694"/>
      <c r="B90" s="284"/>
      <c r="C90" s="284"/>
      <c r="D90" s="302"/>
      <c r="E90" s="2358" t="str">
        <f>Translations!$B$745</f>
        <v>Тук равнището на дейност за рафинериите се изчислява с помощта на формулата от точка 1 от приложение III към ПБР (преди да се определи статистическата медиана).</v>
      </c>
      <c r="F90" s="2249"/>
      <c r="G90" s="2249"/>
      <c r="H90" s="2249"/>
      <c r="I90" s="2249"/>
      <c r="J90" s="2249"/>
      <c r="K90" s="2249"/>
      <c r="L90" s="2249"/>
      <c r="M90" s="2249"/>
      <c r="N90" s="2249"/>
      <c r="O90" s="336"/>
      <c r="P90" s="302"/>
      <c r="Q90" s="770"/>
      <c r="R90" s="694"/>
      <c r="S90" s="694"/>
      <c r="T90" s="694"/>
      <c r="U90" s="694"/>
      <c r="V90" s="694"/>
      <c r="W90" s="694"/>
      <c r="X90" s="694"/>
      <c r="Y90" s="770"/>
      <c r="Z90" s="770"/>
      <c r="AA90" s="770"/>
      <c r="AB90" s="770"/>
      <c r="AC90" s="770"/>
      <c r="AD90" s="770"/>
      <c r="AE90" s="770"/>
      <c r="AF90" s="770"/>
      <c r="AG90" s="770"/>
      <c r="AH90" s="770"/>
      <c r="AI90" s="770"/>
      <c r="AJ90" s="770"/>
      <c r="AK90" s="770"/>
      <c r="AL90" s="770"/>
    </row>
    <row r="91" spans="1:38" x14ac:dyDescent="0.25">
      <c r="A91" s="694"/>
      <c r="B91" s="284"/>
      <c r="C91" s="284"/>
      <c r="D91" s="302"/>
      <c r="E91" s="2459" t="str">
        <f>Translations!$B$746</f>
        <v>Важна забележка: Отчитането по-горе се прави в килотонове, но показателят се определя в t CO2/CWT, където CWT се изразява в тонове.</v>
      </c>
      <c r="F91" s="2249"/>
      <c r="G91" s="2249"/>
      <c r="H91" s="2249"/>
      <c r="I91" s="2249"/>
      <c r="J91" s="2249"/>
      <c r="K91" s="2249"/>
      <c r="L91" s="2249"/>
      <c r="M91" s="2249"/>
      <c r="N91" s="2249"/>
      <c r="O91" s="336"/>
      <c r="P91" s="302"/>
      <c r="Q91" s="770"/>
      <c r="R91" s="694"/>
      <c r="S91" s="694"/>
      <c r="T91" s="694"/>
      <c r="U91" s="694"/>
      <c r="V91" s="694"/>
      <c r="W91" s="694"/>
      <c r="X91" s="694"/>
      <c r="Y91" s="770"/>
      <c r="Z91" s="770"/>
      <c r="AA91" s="770"/>
      <c r="AB91" s="770"/>
      <c r="AC91" s="770"/>
      <c r="AD91" s="770"/>
      <c r="AE91" s="770"/>
      <c r="AF91" s="770"/>
      <c r="AG91" s="770"/>
      <c r="AH91" s="770"/>
      <c r="AI91" s="770"/>
      <c r="AJ91" s="770"/>
      <c r="AK91" s="770"/>
      <c r="AL91" s="770"/>
    </row>
    <row r="92" spans="1:38" x14ac:dyDescent="0.25">
      <c r="A92" s="694"/>
      <c r="B92" s="284"/>
      <c r="C92" s="284"/>
      <c r="D92" s="302"/>
      <c r="E92" s="2459" t="str">
        <f>Translations!$B$747</f>
        <v>По тази причина резултатите по-долу се умножават по коефициент 1000, което не е изрично посочено в точка 1 от приложение III към ПБР.</v>
      </c>
      <c r="F92" s="2249"/>
      <c r="G92" s="2249"/>
      <c r="H92" s="2249"/>
      <c r="I92" s="2249"/>
      <c r="J92" s="2249"/>
      <c r="K92" s="2249"/>
      <c r="L92" s="2249"/>
      <c r="M92" s="2249"/>
      <c r="N92" s="2249"/>
      <c r="O92" s="336"/>
      <c r="P92" s="302"/>
      <c r="Q92" s="770"/>
      <c r="R92" s="694"/>
      <c r="S92" s="694"/>
      <c r="T92" s="694"/>
      <c r="U92" s="694"/>
      <c r="V92" s="694"/>
      <c r="W92" s="694"/>
      <c r="X92" s="694"/>
      <c r="Y92" s="770"/>
      <c r="Z92" s="770"/>
      <c r="AA92" s="770"/>
      <c r="AB92" s="770"/>
      <c r="AC92" s="770"/>
      <c r="AD92" s="770"/>
      <c r="AE92" s="770"/>
      <c r="AF92" s="770"/>
      <c r="AG92" s="770"/>
      <c r="AH92" s="770"/>
      <c r="AI92" s="770"/>
      <c r="AJ92" s="770"/>
      <c r="AK92" s="770"/>
      <c r="AL92" s="770"/>
    </row>
    <row r="93" spans="1:38" x14ac:dyDescent="0.25">
      <c r="A93" s="694"/>
      <c r="B93" s="284"/>
      <c r="C93" s="284"/>
      <c r="D93" s="302"/>
      <c r="E93" s="2358" t="str">
        <f>Translations!$B$748</f>
        <v>Резултатът от този инструмент се използва в работен лист „F_ProductBM“, ред a).ii за съответната подинсталация, от която е изчислена статистическата медиана.</v>
      </c>
      <c r="F93" s="2249"/>
      <c r="G93" s="2249"/>
      <c r="H93" s="2249"/>
      <c r="I93" s="2249"/>
      <c r="J93" s="2249"/>
      <c r="K93" s="2249"/>
      <c r="L93" s="2249"/>
      <c r="M93" s="2249"/>
      <c r="N93" s="2249"/>
      <c r="O93" s="336"/>
      <c r="P93" s="302"/>
      <c r="Q93" s="770"/>
      <c r="R93" s="694"/>
      <c r="S93" s="694"/>
      <c r="T93" s="694"/>
      <c r="U93" s="694"/>
      <c r="V93" s="694"/>
      <c r="W93" s="694"/>
      <c r="X93" s="694"/>
      <c r="Y93" s="770"/>
      <c r="Z93" s="770"/>
      <c r="AA93" s="770"/>
      <c r="AB93" s="770"/>
      <c r="AC93" s="770"/>
      <c r="AD93" s="770"/>
      <c r="AE93" s="770"/>
      <c r="AF93" s="770"/>
      <c r="AG93" s="770"/>
      <c r="AH93" s="770"/>
      <c r="AI93" s="770"/>
      <c r="AJ93" s="770"/>
      <c r="AK93" s="770"/>
      <c r="AL93" s="770"/>
    </row>
    <row r="94" spans="1:38" ht="13" x14ac:dyDescent="0.25">
      <c r="A94" s="694"/>
      <c r="B94" s="698"/>
      <c r="C94" s="698"/>
      <c r="D94" s="300"/>
      <c r="E94" s="742"/>
      <c r="F94" s="742"/>
      <c r="G94" s="527" t="str">
        <f>EUconst_Unit</f>
        <v>Единица мярка</v>
      </c>
      <c r="H94" s="387">
        <f t="shared" ref="H94:N94" si="10">H$490</f>
        <v>2024</v>
      </c>
      <c r="I94" s="1522">
        <f t="shared" si="10"/>
        <v>2025</v>
      </c>
      <c r="J94" s="1523">
        <f t="shared" si="10"/>
        <v>2026</v>
      </c>
      <c r="K94" s="387">
        <f t="shared" si="10"/>
        <v>2027</v>
      </c>
      <c r="L94" s="387">
        <f t="shared" si="10"/>
        <v>2028</v>
      </c>
      <c r="M94" s="387">
        <f t="shared" si="10"/>
        <v>2029</v>
      </c>
      <c r="N94" s="1522">
        <f t="shared" si="10"/>
        <v>2030</v>
      </c>
      <c r="O94" s="336"/>
      <c r="P94" s="302"/>
      <c r="Q94" s="694"/>
      <c r="R94" s="694"/>
      <c r="S94" s="694"/>
      <c r="T94" s="694"/>
      <c r="U94" s="694"/>
      <c r="V94" s="694"/>
      <c r="W94" s="694"/>
      <c r="X94" s="694"/>
      <c r="Y94" s="770"/>
      <c r="Z94" s="770"/>
      <c r="AA94" s="770"/>
      <c r="AB94" s="770"/>
      <c r="AC94" s="770"/>
      <c r="AD94" s="770"/>
      <c r="AE94" s="770"/>
      <c r="AF94" s="770"/>
      <c r="AG94" s="770"/>
      <c r="AH94" s="770"/>
      <c r="AI94" s="770"/>
      <c r="AJ94" s="770"/>
      <c r="AK94" s="770"/>
      <c r="AL94" s="770"/>
    </row>
    <row r="95" spans="1:38" ht="13.5" customHeight="1" x14ac:dyDescent="0.25">
      <c r="A95" s="694"/>
      <c r="B95" s="698"/>
      <c r="C95" s="698"/>
      <c r="D95" s="698"/>
      <c r="E95" s="1463" t="str">
        <f>Translations!$B$749</f>
        <v>Равнище на дейност на рафинерията</v>
      </c>
      <c r="F95" s="1463"/>
      <c r="G95" s="421" t="str">
        <f>EUconst_CWTpa</f>
        <v>CWT / година</v>
      </c>
      <c r="H95" s="1539" t="str">
        <f t="shared" ref="H95:N95" si="11">IF(COUNT(H32:H87)&gt;0,1000*(1.0183*SUMPRODUCT($G$32:$G$87,H32:H87)+298+0.315*H32),"")</f>
        <v/>
      </c>
      <c r="I95" s="1540" t="str">
        <f t="shared" si="11"/>
        <v/>
      </c>
      <c r="J95" s="1541" t="str">
        <f t="shared" si="11"/>
        <v/>
      </c>
      <c r="K95" s="1539" t="str">
        <f t="shared" si="11"/>
        <v/>
      </c>
      <c r="L95" s="1539" t="str">
        <f t="shared" si="11"/>
        <v/>
      </c>
      <c r="M95" s="1539" t="str">
        <f t="shared" si="11"/>
        <v/>
      </c>
      <c r="N95" s="1540" t="str">
        <f t="shared" si="11"/>
        <v/>
      </c>
      <c r="O95" s="336"/>
      <c r="P95" s="302"/>
      <c r="Q95" s="982" t="str">
        <f>IF(L17=EUconst_Relevant,EUconst_CNTR_HALspecial &amp; INDEX(EUconst_BMlistNames,MATCH(R17,EUconst_BMlistMainNumberOfBM,0)),"")</f>
        <v/>
      </c>
      <c r="R95" s="694"/>
      <c r="S95" s="694"/>
      <c r="T95" s="694"/>
      <c r="U95" s="694"/>
      <c r="V95" s="694"/>
      <c r="W95" s="694"/>
      <c r="X95" s="694"/>
      <c r="Y95" s="770"/>
      <c r="Z95" s="770"/>
      <c r="AA95" s="770"/>
      <c r="AB95" s="770"/>
      <c r="AC95" s="770"/>
      <c r="AD95" s="770"/>
      <c r="AE95" s="770"/>
      <c r="AF95" s="770"/>
      <c r="AG95" s="770"/>
      <c r="AH95" s="770"/>
      <c r="AI95" s="770"/>
      <c r="AJ95" s="770"/>
      <c r="AK95" s="770"/>
      <c r="AL95" s="770"/>
    </row>
    <row r="96" spans="1:38" ht="5.15" customHeight="1" x14ac:dyDescent="0.25">
      <c r="A96" s="694"/>
      <c r="B96" s="284"/>
      <c r="C96" s="284"/>
      <c r="D96" s="284"/>
      <c r="E96" s="284"/>
      <c r="F96" s="284"/>
      <c r="G96" s="284"/>
      <c r="H96" s="284"/>
      <c r="I96" s="284"/>
      <c r="J96" s="284"/>
      <c r="K96" s="284"/>
      <c r="L96" s="284"/>
      <c r="M96" s="336"/>
      <c r="N96" s="336"/>
      <c r="O96" s="336"/>
      <c r="P96" s="302"/>
      <c r="Q96" s="770"/>
      <c r="R96" s="694"/>
      <c r="S96" s="694"/>
      <c r="T96" s="694"/>
      <c r="U96" s="694"/>
      <c r="V96" s="694"/>
      <c r="W96" s="694"/>
      <c r="X96" s="694"/>
      <c r="Y96" s="770"/>
      <c r="Z96" s="770"/>
      <c r="AA96" s="770"/>
      <c r="AB96" s="770"/>
      <c r="AC96" s="770"/>
      <c r="AD96" s="770"/>
      <c r="AE96" s="770"/>
      <c r="AF96" s="770"/>
      <c r="AG96" s="770"/>
      <c r="AH96" s="770"/>
      <c r="AI96" s="770"/>
      <c r="AJ96" s="770"/>
      <c r="AK96" s="770"/>
      <c r="AL96" s="770"/>
    </row>
    <row r="97" spans="1:38" ht="13" x14ac:dyDescent="0.25">
      <c r="A97" s="694"/>
      <c r="B97" s="284"/>
      <c r="C97" s="284"/>
      <c r="D97" s="284"/>
      <c r="E97" s="2951" t="str">
        <f>IF(L17=EUconst_Relevant,HYPERLINK(R97,EUconst_MsgBackToSheetF),"")</f>
        <v/>
      </c>
      <c r="F97" s="2952"/>
      <c r="G97" s="2952"/>
      <c r="H97" s="2952"/>
      <c r="I97" s="2952"/>
      <c r="J97" s="2952"/>
      <c r="K97" s="2952"/>
      <c r="L97" s="2952"/>
      <c r="M97" s="2952"/>
      <c r="N97" s="2953"/>
      <c r="O97" s="336"/>
      <c r="P97" s="302"/>
      <c r="Q97" s="1395" t="s">
        <v>113</v>
      </c>
      <c r="R97" s="982" t="str">
        <f>R19</f>
        <v/>
      </c>
      <c r="S97" s="694"/>
      <c r="T97" s="694"/>
      <c r="U97" s="694"/>
      <c r="V97" s="694"/>
      <c r="W97" s="694"/>
      <c r="X97" s="694"/>
      <c r="Y97" s="770"/>
      <c r="Z97" s="770"/>
      <c r="AA97" s="770"/>
      <c r="AB97" s="770"/>
      <c r="AC97" s="770"/>
      <c r="AD97" s="770"/>
      <c r="AE97" s="770"/>
      <c r="AF97" s="770"/>
      <c r="AG97" s="770"/>
      <c r="AH97" s="770"/>
      <c r="AI97" s="770"/>
      <c r="AJ97" s="770"/>
      <c r="AK97" s="770"/>
      <c r="AL97" s="770"/>
    </row>
    <row r="98" spans="1:38" x14ac:dyDescent="0.25">
      <c r="A98" s="694"/>
      <c r="B98" s="698"/>
      <c r="C98" s="698"/>
      <c r="D98" s="698"/>
      <c r="E98" s="698"/>
      <c r="F98" s="698"/>
      <c r="G98" s="698"/>
      <c r="H98" s="698"/>
      <c r="I98" s="698"/>
      <c r="J98" s="698"/>
      <c r="K98" s="698"/>
      <c r="L98" s="698"/>
      <c r="M98" s="698"/>
      <c r="N98" s="698"/>
      <c r="O98" s="336"/>
      <c r="P98" s="302"/>
      <c r="Q98" s="694"/>
      <c r="R98" s="694"/>
      <c r="S98" s="694"/>
      <c r="T98" s="694"/>
      <c r="U98" s="694"/>
      <c r="V98" s="694"/>
      <c r="W98" s="694"/>
      <c r="X98" s="694"/>
      <c r="Y98" s="770"/>
      <c r="Z98" s="770"/>
      <c r="AA98" s="770"/>
      <c r="AB98" s="770"/>
      <c r="AC98" s="770"/>
      <c r="AD98" s="770"/>
      <c r="AE98" s="770"/>
      <c r="AF98" s="770"/>
      <c r="AG98" s="770"/>
      <c r="AH98" s="770"/>
      <c r="AI98" s="770"/>
      <c r="AJ98" s="770"/>
      <c r="AK98" s="770"/>
      <c r="AL98" s="770"/>
    </row>
    <row r="99" spans="1:38" ht="15.5" x14ac:dyDescent="0.35">
      <c r="A99" s="694"/>
      <c r="B99" s="284"/>
      <c r="C99" s="327" t="s">
        <v>900</v>
      </c>
      <c r="D99" s="2245" t="str">
        <f>Translations!$B$750</f>
        <v>Вар</v>
      </c>
      <c r="E99" s="2245"/>
      <c r="F99" s="2245"/>
      <c r="G99" s="2245"/>
      <c r="H99" s="2245"/>
      <c r="I99" s="2245"/>
      <c r="J99" s="2245"/>
      <c r="K99" s="2245"/>
      <c r="L99" s="2245"/>
      <c r="M99" s="2245"/>
      <c r="N99" s="2245"/>
      <c r="O99" s="336"/>
      <c r="P99" s="302"/>
      <c r="Q99" s="770"/>
      <c r="R99" s="694"/>
      <c r="S99" s="694"/>
      <c r="T99" s="694"/>
      <c r="U99" s="694"/>
      <c r="V99" s="694"/>
      <c r="W99" s="694"/>
      <c r="X99" s="694"/>
      <c r="Y99" s="770"/>
      <c r="Z99" s="770"/>
      <c r="AA99" s="770"/>
      <c r="AB99" s="770"/>
      <c r="AC99" s="770"/>
      <c r="AD99" s="770"/>
      <c r="AE99" s="770"/>
      <c r="AF99" s="770"/>
      <c r="AG99" s="770"/>
      <c r="AH99" s="770"/>
      <c r="AI99" s="770"/>
      <c r="AJ99" s="770"/>
      <c r="AK99" s="770"/>
      <c r="AL99" s="770"/>
    </row>
    <row r="100" spans="1:38" ht="5.15" customHeight="1" x14ac:dyDescent="0.25">
      <c r="A100" s="694"/>
      <c r="B100" s="284"/>
      <c r="C100" s="284"/>
      <c r="D100" s="284"/>
      <c r="E100" s="284"/>
      <c r="F100" s="284"/>
      <c r="G100" s="284"/>
      <c r="H100" s="284"/>
      <c r="I100" s="284"/>
      <c r="J100" s="284"/>
      <c r="K100" s="284"/>
      <c r="L100" s="284"/>
      <c r="M100" s="336"/>
      <c r="N100" s="336"/>
      <c r="O100" s="336"/>
      <c r="P100" s="302"/>
      <c r="Q100" s="770"/>
      <c r="R100" s="694"/>
      <c r="S100" s="694"/>
      <c r="T100" s="694"/>
      <c r="U100" s="694"/>
      <c r="V100" s="694"/>
      <c r="W100" s="694"/>
      <c r="X100" s="694"/>
      <c r="Y100" s="770"/>
      <c r="Z100" s="770"/>
      <c r="AA100" s="770"/>
      <c r="AB100" s="770"/>
      <c r="AC100" s="770"/>
      <c r="AD100" s="770"/>
      <c r="AE100" s="770"/>
      <c r="AF100" s="770"/>
      <c r="AG100" s="770"/>
      <c r="AH100" s="770"/>
      <c r="AI100" s="770"/>
      <c r="AJ100" s="770"/>
      <c r="AK100" s="770"/>
      <c r="AL100" s="770"/>
    </row>
    <row r="101" spans="1:38" ht="14" x14ac:dyDescent="0.3">
      <c r="A101" s="694"/>
      <c r="B101" s="284"/>
      <c r="C101" s="357"/>
      <c r="D101" s="2323" t="str">
        <f>Translations!$B$751</f>
        <v>Инструмент за изчисляване на историческите равнища на дейност за подинсталациите за вар</v>
      </c>
      <c r="E101" s="2249"/>
      <c r="F101" s="2249"/>
      <c r="G101" s="2249"/>
      <c r="H101" s="2249"/>
      <c r="I101" s="2249"/>
      <c r="J101" s="2249"/>
      <c r="K101" s="2249"/>
      <c r="L101" s="2249"/>
      <c r="M101" s="2249"/>
      <c r="N101" s="2249"/>
      <c r="O101" s="336"/>
      <c r="P101" s="302"/>
      <c r="Q101" s="770"/>
      <c r="R101" s="694"/>
      <c r="S101" s="694"/>
      <c r="T101" s="694"/>
      <c r="U101" s="694"/>
      <c r="V101" s="694"/>
      <c r="W101" s="694"/>
      <c r="X101" s="694"/>
      <c r="Y101" s="770"/>
      <c r="Z101" s="770"/>
      <c r="AA101" s="770"/>
      <c r="AB101" s="770"/>
      <c r="AC101" s="770"/>
      <c r="AD101" s="770"/>
      <c r="AE101" s="770"/>
      <c r="AF101" s="770"/>
      <c r="AG101" s="770"/>
      <c r="AH101" s="770"/>
      <c r="AI101" s="770"/>
      <c r="AJ101" s="770"/>
      <c r="AK101" s="770"/>
      <c r="AL101" s="770"/>
    </row>
    <row r="102" spans="1:38" ht="5.15" customHeight="1" x14ac:dyDescent="0.25">
      <c r="A102" s="694"/>
      <c r="B102" s="284"/>
      <c r="C102" s="284"/>
      <c r="D102" s="284"/>
      <c r="E102" s="284"/>
      <c r="F102" s="284"/>
      <c r="G102" s="284"/>
      <c r="H102" s="284"/>
      <c r="I102" s="284"/>
      <c r="J102" s="284"/>
      <c r="K102" s="284"/>
      <c r="L102" s="284"/>
      <c r="M102" s="336"/>
      <c r="N102" s="336"/>
      <c r="O102" s="336"/>
      <c r="P102" s="302"/>
      <c r="Q102" s="770"/>
      <c r="R102" s="694"/>
      <c r="S102" s="694"/>
      <c r="T102" s="694"/>
      <c r="U102" s="694"/>
      <c r="V102" s="694"/>
      <c r="W102" s="694"/>
      <c r="X102" s="694"/>
      <c r="Y102" s="770"/>
      <c r="Z102" s="770"/>
      <c r="AA102" s="770"/>
      <c r="AB102" s="770"/>
      <c r="AC102" s="770"/>
      <c r="AD102" s="770"/>
      <c r="AE102" s="770"/>
      <c r="AF102" s="770"/>
      <c r="AG102" s="770"/>
      <c r="AH102" s="770"/>
      <c r="AI102" s="770"/>
      <c r="AJ102" s="770"/>
      <c r="AK102" s="770"/>
      <c r="AL102" s="770"/>
    </row>
    <row r="103" spans="1:38" x14ac:dyDescent="0.25">
      <c r="A103" s="694"/>
      <c r="B103" s="284"/>
      <c r="C103" s="284"/>
      <c r="D103" s="302"/>
      <c r="E103" s="2358" t="str">
        <f>Translations!$B$752</f>
        <v>Този инструмент Ви помага при определяне на HAL (исторически равнища на активност) за продуктовия показател за вар (приложение III, точка 2 от ПБР).</v>
      </c>
      <c r="F103" s="2249"/>
      <c r="G103" s="2249"/>
      <c r="H103" s="2249"/>
      <c r="I103" s="2249"/>
      <c r="J103" s="2249"/>
      <c r="K103" s="2249"/>
      <c r="L103" s="2249"/>
      <c r="M103" s="2249"/>
      <c r="N103" s="2249"/>
      <c r="O103" s="336"/>
      <c r="P103" s="302"/>
      <c r="Q103" s="770"/>
      <c r="R103" s="694"/>
      <c r="S103" s="694"/>
      <c r="T103" s="694"/>
      <c r="U103" s="694"/>
      <c r="V103" s="694"/>
      <c r="W103" s="694"/>
      <c r="X103" s="694"/>
      <c r="Y103" s="770"/>
      <c r="Z103" s="770"/>
      <c r="AA103" s="770"/>
      <c r="AB103" s="770"/>
      <c r="AC103" s="770"/>
      <c r="AD103" s="770"/>
      <c r="AE103" s="770"/>
      <c r="AF103" s="770"/>
      <c r="AG103" s="770"/>
      <c r="AH103" s="770"/>
      <c r="AI103" s="770"/>
      <c r="AJ103" s="770"/>
      <c r="AK103" s="770"/>
      <c r="AL103" s="770"/>
    </row>
    <row r="104" spans="1:38" x14ac:dyDescent="0.25">
      <c r="A104" s="694"/>
      <c r="B104" s="284"/>
      <c r="C104" s="284"/>
      <c r="D104" s="302"/>
      <c r="E104" s="2358" t="str">
        <f>Translations!$B$673</f>
        <v>Резултатът от този инструмент се копира автоматично в работен лист „F_ProductBM“, ред „a).ii“ за съответната подинсталация.</v>
      </c>
      <c r="F104" s="2249"/>
      <c r="G104" s="2249"/>
      <c r="H104" s="2249"/>
      <c r="I104" s="2249"/>
      <c r="J104" s="2249"/>
      <c r="K104" s="2249"/>
      <c r="L104" s="2249"/>
      <c r="M104" s="2249"/>
      <c r="N104" s="2249"/>
      <c r="O104" s="336"/>
      <c r="P104" s="302"/>
      <c r="Q104" s="770"/>
      <c r="R104" s="694"/>
      <c r="S104" s="694"/>
      <c r="T104" s="694"/>
      <c r="U104" s="694"/>
      <c r="V104" s="694"/>
      <c r="W104" s="694"/>
      <c r="X104" s="694"/>
      <c r="Y104" s="770"/>
      <c r="Z104" s="770"/>
      <c r="AA104" s="770"/>
      <c r="AB104" s="770"/>
      <c r="AC104" s="770"/>
      <c r="AD104" s="770"/>
      <c r="AE104" s="770"/>
      <c r="AF104" s="770"/>
      <c r="AG104" s="770"/>
      <c r="AH104" s="770"/>
      <c r="AI104" s="770"/>
      <c r="AJ104" s="770"/>
      <c r="AK104" s="770"/>
      <c r="AL104" s="770"/>
    </row>
    <row r="105" spans="1:38" ht="5.15" customHeight="1" x14ac:dyDescent="0.25">
      <c r="A105" s="694"/>
      <c r="B105" s="284"/>
      <c r="C105" s="284"/>
      <c r="D105" s="284"/>
      <c r="E105" s="284"/>
      <c r="F105" s="284"/>
      <c r="G105" s="284"/>
      <c r="H105" s="284"/>
      <c r="I105" s="284"/>
      <c r="J105" s="284"/>
      <c r="K105" s="284"/>
      <c r="L105" s="284"/>
      <c r="M105" s="336"/>
      <c r="N105" s="336"/>
      <c r="O105" s="336"/>
      <c r="P105" s="302"/>
      <c r="Q105" s="770"/>
      <c r="R105" s="694"/>
      <c r="S105" s="694"/>
      <c r="T105" s="694"/>
      <c r="U105" s="694"/>
      <c r="V105" s="694"/>
      <c r="W105" s="694"/>
      <c r="X105" s="694"/>
      <c r="Y105" s="770"/>
      <c r="Z105" s="770"/>
      <c r="AA105" s="770"/>
      <c r="AB105" s="770"/>
      <c r="AC105" s="770"/>
      <c r="AD105" s="770"/>
      <c r="AE105" s="770"/>
      <c r="AF105" s="770"/>
      <c r="AG105" s="770"/>
      <c r="AH105" s="770"/>
      <c r="AI105" s="770"/>
      <c r="AJ105" s="770"/>
      <c r="AK105" s="770"/>
      <c r="AL105" s="770"/>
    </row>
    <row r="106" spans="1:38" ht="14" x14ac:dyDescent="0.3">
      <c r="A106" s="694"/>
      <c r="B106" s="284"/>
      <c r="C106" s="284"/>
      <c r="D106" s="300" t="s">
        <v>408</v>
      </c>
      <c r="E106" s="2226" t="str">
        <f>Translations!$B$674</f>
        <v>Практическо значение на този инструмент за Вашата инсталация:</v>
      </c>
      <c r="F106" s="2226"/>
      <c r="G106" s="2226"/>
      <c r="H106" s="2226"/>
      <c r="I106" s="2226"/>
      <c r="J106" s="2226"/>
      <c r="K106" s="2317"/>
      <c r="L106" s="2956" t="str">
        <f>IF(CNTR_ExistSubInstEntries,IF(COUNTIF(CNTR_SubInstListNames,INDEX(EUconst_BMlistNames,MATCH(R106,EUconst_BMlistMainNumberOfBM,0)))&gt;0,EUconst_Relevant,EUconst_NotRelevant),"")</f>
        <v/>
      </c>
      <c r="M106" s="2957"/>
      <c r="N106" s="2958"/>
      <c r="O106" s="336"/>
      <c r="P106" s="302"/>
      <c r="Q106" s="1395" t="s">
        <v>114</v>
      </c>
      <c r="R106" s="1519">
        <v>12</v>
      </c>
      <c r="S106" s="694"/>
      <c r="T106" s="694"/>
      <c r="U106" s="694"/>
      <c r="V106" s="694"/>
      <c r="W106" s="694"/>
      <c r="X106" s="694"/>
      <c r="Y106" s="770"/>
      <c r="Z106" s="770"/>
      <c r="AA106" s="770"/>
      <c r="AB106" s="770"/>
      <c r="AC106" s="770"/>
      <c r="AD106" s="770"/>
      <c r="AE106" s="770"/>
      <c r="AF106" s="770"/>
      <c r="AG106" s="770"/>
      <c r="AH106" s="770"/>
      <c r="AI106" s="770"/>
      <c r="AJ106" s="770"/>
      <c r="AK106" s="770"/>
      <c r="AL106" s="770"/>
    </row>
    <row r="107" spans="1:38" x14ac:dyDescent="0.25">
      <c r="A107" s="694"/>
      <c r="B107" s="284"/>
      <c r="C107" s="284"/>
      <c r="D107" s="302"/>
      <c r="E107" s="2255" t="str">
        <f>Translations!$B$675</f>
        <v>Това съобщение се генерира автоматично въз основа на въведените от Вас данни в работен лист „A_InstallationData“ („А_Данни за инсталацията“), раздел A.III.1.</v>
      </c>
      <c r="F107" s="2256"/>
      <c r="G107" s="2256"/>
      <c r="H107" s="2256"/>
      <c r="I107" s="2256"/>
      <c r="J107" s="2256"/>
      <c r="K107" s="2256"/>
      <c r="L107" s="2256"/>
      <c r="M107" s="2256"/>
      <c r="N107" s="2256"/>
      <c r="O107" s="336"/>
      <c r="P107" s="302"/>
      <c r="Q107" s="770"/>
      <c r="R107" s="694"/>
      <c r="S107" s="694"/>
      <c r="T107" s="694"/>
      <c r="U107" s="694"/>
      <c r="V107" s="694"/>
      <c r="W107" s="694"/>
      <c r="X107" s="694"/>
      <c r="Y107" s="770"/>
      <c r="Z107" s="770"/>
      <c r="AA107" s="770"/>
      <c r="AB107" s="770"/>
      <c r="AC107" s="770"/>
      <c r="AD107" s="770"/>
      <c r="AE107" s="770"/>
      <c r="AF107" s="770"/>
      <c r="AG107" s="770"/>
      <c r="AH107" s="770"/>
      <c r="AI107" s="770"/>
      <c r="AJ107" s="770"/>
      <c r="AK107" s="770"/>
      <c r="AL107" s="770"/>
    </row>
    <row r="108" spans="1:38" ht="13" x14ac:dyDescent="0.25">
      <c r="A108" s="694"/>
      <c r="B108" s="284"/>
      <c r="C108" s="284"/>
      <c r="D108" s="284"/>
      <c r="E108" s="2951" t="str">
        <f>IF(L106=EUconst_Relevant,HYPERLINK(R108,EUconst_MsgBackToSheetF),"")</f>
        <v/>
      </c>
      <c r="F108" s="2952"/>
      <c r="G108" s="2952"/>
      <c r="H108" s="2952"/>
      <c r="I108" s="2952"/>
      <c r="J108" s="2952"/>
      <c r="K108" s="2952"/>
      <c r="L108" s="2952"/>
      <c r="M108" s="2952"/>
      <c r="N108" s="2953"/>
      <c r="O108" s="336"/>
      <c r="P108" s="302"/>
      <c r="Q108" s="1395" t="s">
        <v>113</v>
      </c>
      <c r="R108" s="982" t="str">
        <f>IF(ISNUMBER(MATCH(R106,CNTR_SubInstListBMnumbers,0)),"#JUMP_F"&amp;MATCH(R106,CNTR_SubInstListBMnumbers,0),"")</f>
        <v/>
      </c>
      <c r="S108" s="694"/>
      <c r="T108" s="694"/>
      <c r="U108" s="694"/>
      <c r="V108" s="694"/>
      <c r="W108" s="694"/>
      <c r="X108" s="694"/>
      <c r="Y108" s="770"/>
      <c r="Z108" s="770"/>
      <c r="AA108" s="770"/>
      <c r="AB108" s="770"/>
      <c r="AC108" s="770"/>
      <c r="AD108" s="770"/>
      <c r="AE108" s="770"/>
      <c r="AF108" s="770"/>
      <c r="AG108" s="770"/>
      <c r="AH108" s="770"/>
      <c r="AI108" s="770"/>
      <c r="AJ108" s="770"/>
      <c r="AK108" s="770"/>
      <c r="AL108" s="770"/>
    </row>
    <row r="109" spans="1:38" ht="5.15" customHeight="1" x14ac:dyDescent="0.25">
      <c r="A109" s="694"/>
      <c r="B109" s="284"/>
      <c r="C109" s="284"/>
      <c r="D109" s="284"/>
      <c r="E109" s="284"/>
      <c r="F109" s="284"/>
      <c r="G109" s="284"/>
      <c r="H109" s="284"/>
      <c r="I109" s="284"/>
      <c r="J109" s="284"/>
      <c r="K109" s="284"/>
      <c r="L109" s="284"/>
      <c r="M109" s="336"/>
      <c r="N109" s="336"/>
      <c r="O109" s="336"/>
      <c r="P109" s="302"/>
      <c r="Q109" s="770"/>
      <c r="R109" s="694"/>
      <c r="S109" s="694"/>
      <c r="T109" s="694"/>
      <c r="U109" s="694"/>
      <c r="V109" s="694"/>
      <c r="W109" s="694"/>
      <c r="X109" s="694"/>
      <c r="Y109" s="770"/>
      <c r="Z109" s="770"/>
      <c r="AA109" s="770"/>
      <c r="AB109" s="770"/>
      <c r="AC109" s="770"/>
      <c r="AD109" s="770"/>
      <c r="AE109" s="770"/>
      <c r="AF109" s="770"/>
      <c r="AG109" s="770"/>
      <c r="AH109" s="770"/>
      <c r="AI109" s="770"/>
      <c r="AJ109" s="770"/>
      <c r="AK109" s="770"/>
      <c r="AL109" s="770"/>
    </row>
    <row r="110" spans="1:38" ht="13" x14ac:dyDescent="0.25">
      <c r="A110" s="694"/>
      <c r="B110" s="284"/>
      <c r="C110" s="284"/>
      <c r="D110" s="300" t="s">
        <v>901</v>
      </c>
      <c r="E110" s="2226" t="str">
        <f>Translations!$B$753</f>
        <v>Некоригирано производство на вар:</v>
      </c>
      <c r="F110" s="2249"/>
      <c r="G110" s="2249"/>
      <c r="H110" s="2249"/>
      <c r="I110" s="2249"/>
      <c r="J110" s="2249"/>
      <c r="K110" s="2249"/>
      <c r="L110" s="2249"/>
      <c r="M110" s="2249"/>
      <c r="N110" s="2249"/>
      <c r="O110" s="336"/>
      <c r="P110" s="302"/>
      <c r="Q110" s="770"/>
      <c r="R110" s="694"/>
      <c r="S110" s="694"/>
      <c r="T110" s="694"/>
      <c r="U110" s="694"/>
      <c r="V110" s="694"/>
      <c r="W110" s="694"/>
      <c r="X110" s="694"/>
      <c r="Y110" s="770"/>
      <c r="Z110" s="770"/>
      <c r="AA110" s="770"/>
      <c r="AB110" s="770"/>
      <c r="AC110" s="770"/>
      <c r="AD110" s="770"/>
      <c r="AE110" s="770"/>
      <c r="AF110" s="770"/>
      <c r="AG110" s="770"/>
      <c r="AH110" s="770"/>
      <c r="AI110" s="770"/>
      <c r="AJ110" s="770"/>
      <c r="AK110" s="770"/>
      <c r="AL110" s="770"/>
    </row>
    <row r="111" spans="1:38" x14ac:dyDescent="0.25">
      <c r="A111" s="694"/>
      <c r="B111" s="284"/>
      <c r="C111" s="284"/>
      <c r="D111" s="302"/>
      <c r="E111" s="2358" t="str">
        <f>Translations!$B$754</f>
        <v>Тук въведете данните за годишното производство, изразено в тонове вар, без корекция на данните за състава:</v>
      </c>
      <c r="F111" s="2249"/>
      <c r="G111" s="2249"/>
      <c r="H111" s="2249"/>
      <c r="I111" s="2249"/>
      <c r="J111" s="2249"/>
      <c r="K111" s="2249"/>
      <c r="L111" s="2249"/>
      <c r="M111" s="2249"/>
      <c r="N111" s="2249"/>
      <c r="O111" s="336"/>
      <c r="P111" s="302"/>
      <c r="Q111" s="770"/>
      <c r="R111" s="694"/>
      <c r="S111" s="694"/>
      <c r="T111" s="694"/>
      <c r="U111" s="694"/>
      <c r="V111" s="694"/>
      <c r="W111" s="694"/>
      <c r="X111" s="694"/>
      <c r="Y111" s="770"/>
      <c r="Z111" s="770"/>
      <c r="AA111" s="770"/>
      <c r="AB111" s="770"/>
      <c r="AC111" s="770"/>
      <c r="AD111" s="770"/>
      <c r="AE111" s="770"/>
      <c r="AF111" s="770"/>
      <c r="AG111" s="770"/>
      <c r="AH111" s="770"/>
      <c r="AI111" s="770"/>
      <c r="AJ111" s="770"/>
      <c r="AK111" s="770"/>
      <c r="AL111" s="770"/>
    </row>
    <row r="112" spans="1:38" ht="13.5" thickBot="1" x14ac:dyDescent="0.3">
      <c r="A112" s="694"/>
      <c r="B112" s="698"/>
      <c r="C112" s="698"/>
      <c r="D112" s="300"/>
      <c r="E112" s="461"/>
      <c r="F112" s="742"/>
      <c r="G112" s="527" t="str">
        <f>EUconst_Unit</f>
        <v>Единица мярка</v>
      </c>
      <c r="H112" s="387">
        <f t="shared" ref="H112:N112" si="12">H$490</f>
        <v>2024</v>
      </c>
      <c r="I112" s="1522">
        <f t="shared" si="12"/>
        <v>2025</v>
      </c>
      <c r="J112" s="1523">
        <f t="shared" si="12"/>
        <v>2026</v>
      </c>
      <c r="K112" s="387">
        <f t="shared" si="12"/>
        <v>2027</v>
      </c>
      <c r="L112" s="387">
        <f t="shared" si="12"/>
        <v>2028</v>
      </c>
      <c r="M112" s="387">
        <f t="shared" si="12"/>
        <v>2029</v>
      </c>
      <c r="N112" s="387">
        <f t="shared" si="12"/>
        <v>2030</v>
      </c>
      <c r="O112" s="336"/>
      <c r="P112" s="302"/>
      <c r="Q112" s="694"/>
      <c r="R112" s="694"/>
      <c r="S112" s="694"/>
      <c r="T112" s="694"/>
      <c r="U112" s="694"/>
      <c r="V112" s="694"/>
      <c r="W112" s="694"/>
      <c r="X112" s="694"/>
      <c r="Y112" s="770"/>
      <c r="Z112" s="770"/>
      <c r="AA112" s="770"/>
      <c r="AB112" s="694"/>
      <c r="AC112" s="1524">
        <f t="shared" ref="AC112:AI112" si="13">H112</f>
        <v>2024</v>
      </c>
      <c r="AD112" s="1524">
        <f t="shared" si="13"/>
        <v>2025</v>
      </c>
      <c r="AE112" s="1524">
        <f t="shared" si="13"/>
        <v>2026</v>
      </c>
      <c r="AF112" s="1524">
        <f t="shared" si="13"/>
        <v>2027</v>
      </c>
      <c r="AG112" s="1524">
        <f t="shared" si="13"/>
        <v>2028</v>
      </c>
      <c r="AH112" s="1524">
        <f t="shared" si="13"/>
        <v>2029</v>
      </c>
      <c r="AI112" s="1524">
        <f t="shared" si="13"/>
        <v>2030</v>
      </c>
      <c r="AJ112" s="770"/>
      <c r="AK112" s="770"/>
      <c r="AL112" s="770"/>
    </row>
    <row r="113" spans="1:38" ht="13.5" customHeight="1" x14ac:dyDescent="0.25">
      <c r="A113" s="694"/>
      <c r="B113" s="698"/>
      <c r="C113" s="698"/>
      <c r="D113" s="698"/>
      <c r="E113" s="1295" t="str">
        <f>Translations!$B$755</f>
        <v>некоригирано производство на вар</v>
      </c>
      <c r="F113" s="1295"/>
      <c r="G113" s="1016" t="str">
        <f>EUconst_tpa</f>
        <v>t / година</v>
      </c>
      <c r="H113" s="10"/>
      <c r="I113" s="175"/>
      <c r="J113" s="176"/>
      <c r="K113" s="10"/>
      <c r="L113" s="10"/>
      <c r="M113" s="10"/>
      <c r="N113" s="10"/>
      <c r="O113" s="336"/>
      <c r="P113" s="158"/>
      <c r="Q113" s="694"/>
      <c r="R113" s="694"/>
      <c r="S113" s="694"/>
      <c r="T113" s="694"/>
      <c r="U113" s="694"/>
      <c r="V113" s="694"/>
      <c r="W113" s="694"/>
      <c r="X113" s="694"/>
      <c r="Y113" s="770"/>
      <c r="Z113" s="770"/>
      <c r="AA113" s="770"/>
      <c r="AB113" s="1182" t="s">
        <v>737</v>
      </c>
      <c r="AC113" s="1526" t="b">
        <f t="shared" ref="AC113:AI113" si="14">IF(CNTR_ExistSubInstEntries,IF($L106=EUconst_Relevant,AC112&gt;=CNTR_ReportingYear,TRUE),FALSE)</f>
        <v>0</v>
      </c>
      <c r="AD113" s="1281" t="b">
        <f t="shared" si="14"/>
        <v>0</v>
      </c>
      <c r="AE113" s="1281" t="b">
        <f t="shared" si="14"/>
        <v>0</v>
      </c>
      <c r="AF113" s="1281" t="b">
        <f t="shared" si="14"/>
        <v>0</v>
      </c>
      <c r="AG113" s="1281" t="b">
        <f t="shared" si="14"/>
        <v>0</v>
      </c>
      <c r="AH113" s="1281" t="b">
        <f t="shared" si="14"/>
        <v>0</v>
      </c>
      <c r="AI113" s="1527" t="b">
        <f t="shared" si="14"/>
        <v>0</v>
      </c>
      <c r="AJ113" s="770"/>
      <c r="AK113" s="770"/>
      <c r="AL113" s="770"/>
    </row>
    <row r="114" spans="1:38" ht="5.15" customHeight="1" x14ac:dyDescent="0.25">
      <c r="A114" s="694"/>
      <c r="B114" s="284"/>
      <c r="C114" s="284"/>
      <c r="D114" s="284"/>
      <c r="E114" s="284"/>
      <c r="F114" s="284"/>
      <c r="G114" s="284"/>
      <c r="H114" s="284"/>
      <c r="I114" s="284"/>
      <c r="J114" s="284"/>
      <c r="K114" s="284"/>
      <c r="L114" s="284"/>
      <c r="M114" s="336"/>
      <c r="N114" s="336"/>
      <c r="O114" s="336"/>
      <c r="P114" s="302"/>
      <c r="Q114" s="770"/>
      <c r="R114" s="694"/>
      <c r="S114" s="694"/>
      <c r="T114" s="694"/>
      <c r="U114" s="694"/>
      <c r="V114" s="694"/>
      <c r="W114" s="694"/>
      <c r="X114" s="694"/>
      <c r="Y114" s="770"/>
      <c r="Z114" s="770"/>
      <c r="AA114" s="770"/>
      <c r="AB114" s="770"/>
      <c r="AC114" s="1542"/>
      <c r="AD114" s="770"/>
      <c r="AE114" s="770"/>
      <c r="AF114" s="770"/>
      <c r="AG114" s="770"/>
      <c r="AH114" s="770"/>
      <c r="AI114" s="1543"/>
      <c r="AJ114" s="770"/>
      <c r="AK114" s="770"/>
      <c r="AL114" s="770"/>
    </row>
    <row r="115" spans="1:38" ht="13" x14ac:dyDescent="0.25">
      <c r="A115" s="694"/>
      <c r="B115" s="284"/>
      <c r="C115" s="284"/>
      <c r="D115" s="300" t="s">
        <v>46</v>
      </c>
      <c r="E115" s="2226" t="str">
        <f>Translations!$B$756</f>
        <v>Данни за състава:</v>
      </c>
      <c r="F115" s="2249"/>
      <c r="G115" s="2249"/>
      <c r="H115" s="2249"/>
      <c r="I115" s="2249"/>
      <c r="J115" s="2249"/>
      <c r="K115" s="2249"/>
      <c r="L115" s="2249"/>
      <c r="M115" s="2249"/>
      <c r="N115" s="2249"/>
      <c r="O115" s="336"/>
      <c r="P115" s="302"/>
      <c r="Q115" s="770"/>
      <c r="R115" s="694"/>
      <c r="S115" s="694"/>
      <c r="T115" s="694"/>
      <c r="U115" s="694"/>
      <c r="V115" s="694"/>
      <c r="W115" s="694"/>
      <c r="X115" s="694"/>
      <c r="Y115" s="770"/>
      <c r="Z115" s="770"/>
      <c r="AA115" s="770"/>
      <c r="AB115" s="770"/>
      <c r="AC115" s="1542"/>
      <c r="AD115" s="770"/>
      <c r="AE115" s="770"/>
      <c r="AF115" s="770"/>
      <c r="AG115" s="770"/>
      <c r="AH115" s="770"/>
      <c r="AI115" s="1543"/>
      <c r="AJ115" s="770"/>
      <c r="AK115" s="770"/>
      <c r="AL115" s="770"/>
    </row>
    <row r="116" spans="1:38" x14ac:dyDescent="0.25">
      <c r="A116" s="694"/>
      <c r="B116" s="284"/>
      <c r="C116" s="284"/>
      <c r="D116" s="302"/>
      <c r="E116" s="2358" t="str">
        <f>Translations!$B$757</f>
        <v>Съгласно точка 2 от приложение III към ПБР са необходими следните данни:</v>
      </c>
      <c r="F116" s="2249"/>
      <c r="G116" s="2249"/>
      <c r="H116" s="2249"/>
      <c r="I116" s="2249"/>
      <c r="J116" s="2249"/>
      <c r="K116" s="2249"/>
      <c r="L116" s="2249"/>
      <c r="M116" s="2249"/>
      <c r="N116" s="2249"/>
      <c r="O116" s="336"/>
      <c r="P116" s="302"/>
      <c r="Q116" s="770"/>
      <c r="R116" s="694"/>
      <c r="S116" s="694"/>
      <c r="T116" s="694"/>
      <c r="U116" s="694"/>
      <c r="V116" s="694"/>
      <c r="W116" s="694"/>
      <c r="X116" s="694"/>
      <c r="Y116" s="770"/>
      <c r="Z116" s="770"/>
      <c r="AA116" s="770"/>
      <c r="AB116" s="770"/>
      <c r="AC116" s="1542"/>
      <c r="AD116" s="770"/>
      <c r="AE116" s="770"/>
      <c r="AF116" s="770"/>
      <c r="AG116" s="770"/>
      <c r="AH116" s="770"/>
      <c r="AI116" s="1543"/>
      <c r="AJ116" s="770"/>
      <c r="AK116" s="770"/>
      <c r="AL116" s="770"/>
    </row>
    <row r="117" spans="1:38" x14ac:dyDescent="0.25">
      <c r="A117" s="694"/>
      <c r="B117" s="284"/>
      <c r="C117" s="284"/>
      <c r="D117" s="302"/>
      <c r="E117" s="460" t="s">
        <v>98</v>
      </c>
      <c r="F117" s="2358" t="str">
        <f>Translations!$B$758</f>
        <v>съдържание на свободен CaO във вар, произведена през всяка година от базовия период, изразено в тегловни проценти</v>
      </c>
      <c r="G117" s="2249"/>
      <c r="H117" s="2249"/>
      <c r="I117" s="2249"/>
      <c r="J117" s="2249"/>
      <c r="K117" s="2249"/>
      <c r="L117" s="2249"/>
      <c r="M117" s="2249"/>
      <c r="N117" s="2249"/>
      <c r="O117" s="336"/>
      <c r="P117" s="302"/>
      <c r="Q117" s="770"/>
      <c r="R117" s="694"/>
      <c r="S117" s="694"/>
      <c r="T117" s="694"/>
      <c r="U117" s="694"/>
      <c r="V117" s="694"/>
      <c r="W117" s="694"/>
      <c r="X117" s="694"/>
      <c r="Y117" s="770"/>
      <c r="Z117" s="770"/>
      <c r="AA117" s="770"/>
      <c r="AB117" s="770"/>
      <c r="AC117" s="1542"/>
      <c r="AD117" s="770"/>
      <c r="AE117" s="770"/>
      <c r="AF117" s="770"/>
      <c r="AG117" s="770"/>
      <c r="AH117" s="770"/>
      <c r="AI117" s="1543"/>
      <c r="AJ117" s="770"/>
      <c r="AK117" s="770"/>
      <c r="AL117" s="770"/>
    </row>
    <row r="118" spans="1:38" hidden="1" x14ac:dyDescent="0.25">
      <c r="A118" s="729" t="s">
        <v>312</v>
      </c>
      <c r="B118" s="284"/>
      <c r="C118" s="284"/>
      <c r="D118" s="302"/>
      <c r="E118" s="460"/>
      <c r="F118" s="2358"/>
      <c r="G118" s="2249"/>
      <c r="H118" s="2249"/>
      <c r="I118" s="2249"/>
      <c r="J118" s="2249"/>
      <c r="K118" s="2249"/>
      <c r="L118" s="2249"/>
      <c r="M118" s="2249"/>
      <c r="N118" s="2249"/>
      <c r="O118" s="336"/>
      <c r="P118" s="302"/>
      <c r="Q118" s="770"/>
      <c r="R118" s="694"/>
      <c r="S118" s="694"/>
      <c r="T118" s="694"/>
      <c r="U118" s="694"/>
      <c r="V118" s="694"/>
      <c r="W118" s="694"/>
      <c r="X118" s="694"/>
      <c r="Y118" s="770"/>
      <c r="Z118" s="770"/>
      <c r="AA118" s="770"/>
      <c r="AB118" s="770"/>
      <c r="AC118" s="1542"/>
      <c r="AD118" s="770"/>
      <c r="AE118" s="770"/>
      <c r="AF118" s="770"/>
      <c r="AG118" s="770"/>
      <c r="AH118" s="770"/>
      <c r="AI118" s="1543"/>
      <c r="AJ118" s="770"/>
      <c r="AK118" s="770"/>
      <c r="AL118" s="770"/>
    </row>
    <row r="119" spans="1:38" x14ac:dyDescent="0.25">
      <c r="A119" s="694"/>
      <c r="B119" s="284"/>
      <c r="C119" s="284"/>
      <c r="D119" s="302"/>
      <c r="E119" s="460" t="s">
        <v>99</v>
      </c>
      <c r="F119" s="2358" t="str">
        <f>Translations!$B$759</f>
        <v>съдържание на свободен MgO в вар, произведена през всяка година от базовия период, изразено в тегловни проценти</v>
      </c>
      <c r="G119" s="2249"/>
      <c r="H119" s="2249"/>
      <c r="I119" s="2249"/>
      <c r="J119" s="2249"/>
      <c r="K119" s="2249"/>
      <c r="L119" s="2249"/>
      <c r="M119" s="2249"/>
      <c r="N119" s="2249"/>
      <c r="O119" s="336"/>
      <c r="P119" s="302"/>
      <c r="Q119" s="770"/>
      <c r="R119" s="694"/>
      <c r="S119" s="694"/>
      <c r="T119" s="694"/>
      <c r="U119" s="694"/>
      <c r="V119" s="694"/>
      <c r="W119" s="694"/>
      <c r="X119" s="694"/>
      <c r="Y119" s="770"/>
      <c r="Z119" s="770"/>
      <c r="AA119" s="770"/>
      <c r="AB119" s="770"/>
      <c r="AC119" s="1542"/>
      <c r="AD119" s="770"/>
      <c r="AE119" s="770"/>
      <c r="AF119" s="770"/>
      <c r="AG119" s="770"/>
      <c r="AH119" s="770"/>
      <c r="AI119" s="1543"/>
      <c r="AJ119" s="770"/>
      <c r="AK119" s="770"/>
      <c r="AL119" s="770"/>
    </row>
    <row r="120" spans="1:38" ht="12.75" hidden="1" customHeight="1" x14ac:dyDescent="0.25">
      <c r="A120" s="729" t="s">
        <v>312</v>
      </c>
      <c r="B120" s="284"/>
      <c r="C120" s="284"/>
      <c r="D120" s="302"/>
      <c r="E120" s="460"/>
      <c r="F120" s="2358"/>
      <c r="G120" s="2249"/>
      <c r="H120" s="2249"/>
      <c r="I120" s="2249"/>
      <c r="J120" s="2249"/>
      <c r="K120" s="2249"/>
      <c r="L120" s="2249"/>
      <c r="M120" s="2249"/>
      <c r="N120" s="2249"/>
      <c r="O120" s="336"/>
      <c r="P120" s="302"/>
      <c r="Q120" s="770"/>
      <c r="R120" s="694"/>
      <c r="S120" s="694"/>
      <c r="T120" s="694"/>
      <c r="U120" s="694"/>
      <c r="V120" s="694"/>
      <c r="W120" s="694"/>
      <c r="X120" s="694"/>
      <c r="Y120" s="770"/>
      <c r="Z120" s="770"/>
      <c r="AA120" s="770"/>
      <c r="AB120" s="770"/>
      <c r="AC120" s="1542"/>
      <c r="AD120" s="770"/>
      <c r="AE120" s="770"/>
      <c r="AF120" s="770"/>
      <c r="AG120" s="770"/>
      <c r="AH120" s="770"/>
      <c r="AI120" s="1543"/>
      <c r="AJ120" s="770"/>
      <c r="AK120" s="770"/>
      <c r="AL120" s="770"/>
    </row>
    <row r="121" spans="1:38" ht="13" x14ac:dyDescent="0.25">
      <c r="A121" s="694"/>
      <c r="B121" s="698"/>
      <c r="C121" s="698"/>
      <c r="D121" s="300"/>
      <c r="E121" s="461"/>
      <c r="F121" s="742"/>
      <c r="G121" s="527" t="str">
        <f>EUconst_Unit</f>
        <v>Единица мярка</v>
      </c>
      <c r="H121" s="387">
        <f t="shared" ref="H121:N121" si="15">H$490</f>
        <v>2024</v>
      </c>
      <c r="I121" s="1522">
        <f t="shared" si="15"/>
        <v>2025</v>
      </c>
      <c r="J121" s="1523">
        <f t="shared" si="15"/>
        <v>2026</v>
      </c>
      <c r="K121" s="387">
        <f t="shared" si="15"/>
        <v>2027</v>
      </c>
      <c r="L121" s="387">
        <f t="shared" si="15"/>
        <v>2028</v>
      </c>
      <c r="M121" s="387">
        <f t="shared" si="15"/>
        <v>2029</v>
      </c>
      <c r="N121" s="387">
        <f t="shared" si="15"/>
        <v>2030</v>
      </c>
      <c r="O121" s="336"/>
      <c r="P121" s="302"/>
      <c r="Q121" s="694"/>
      <c r="R121" s="694"/>
      <c r="S121" s="694"/>
      <c r="T121" s="694"/>
      <c r="U121" s="694"/>
      <c r="V121" s="694"/>
      <c r="W121" s="694"/>
      <c r="X121" s="694"/>
      <c r="Y121" s="770"/>
      <c r="Z121" s="770"/>
      <c r="AA121" s="770"/>
      <c r="AB121" s="770"/>
      <c r="AC121" s="1542"/>
      <c r="AD121" s="770"/>
      <c r="AE121" s="770"/>
      <c r="AF121" s="770"/>
      <c r="AG121" s="770"/>
      <c r="AH121" s="770"/>
      <c r="AI121" s="1543"/>
      <c r="AJ121" s="770"/>
      <c r="AK121" s="770"/>
      <c r="AL121" s="770"/>
    </row>
    <row r="122" spans="1:38" ht="12.75" customHeight="1" x14ac:dyDescent="0.25">
      <c r="A122" s="694"/>
      <c r="B122" s="698"/>
      <c r="C122" s="698"/>
      <c r="D122" s="698"/>
      <c r="E122" s="1258" t="str">
        <f>Translations!$B$760</f>
        <v>Съдържание на CaO</v>
      </c>
      <c r="F122" s="1258"/>
      <c r="G122" s="1085" t="s">
        <v>1053</v>
      </c>
      <c r="H122" s="33"/>
      <c r="I122" s="46"/>
      <c r="J122" s="116"/>
      <c r="K122" s="33"/>
      <c r="L122" s="33"/>
      <c r="M122" s="33"/>
      <c r="N122" s="33"/>
      <c r="O122" s="336"/>
      <c r="P122" s="158"/>
      <c r="Q122" s="694"/>
      <c r="R122" s="694"/>
      <c r="S122" s="694"/>
      <c r="T122" s="694"/>
      <c r="U122" s="694"/>
      <c r="V122" s="694"/>
      <c r="W122" s="694"/>
      <c r="X122" s="694"/>
      <c r="Y122" s="770"/>
      <c r="Z122" s="770"/>
      <c r="AA122" s="770"/>
      <c r="AB122" s="770"/>
      <c r="AC122" s="1530" t="b">
        <f>AC113</f>
        <v>0</v>
      </c>
      <c r="AD122" s="1500" t="b">
        <f t="shared" ref="AD122:AI122" si="16">AD113</f>
        <v>0</v>
      </c>
      <c r="AE122" s="1500" t="b">
        <f t="shared" si="16"/>
        <v>0</v>
      </c>
      <c r="AF122" s="1500" t="b">
        <f t="shared" si="16"/>
        <v>0</v>
      </c>
      <c r="AG122" s="1500" t="b">
        <f t="shared" si="16"/>
        <v>0</v>
      </c>
      <c r="AH122" s="1500" t="b">
        <f t="shared" si="16"/>
        <v>0</v>
      </c>
      <c r="AI122" s="1531" t="b">
        <f t="shared" si="16"/>
        <v>0</v>
      </c>
      <c r="AJ122" s="770"/>
      <c r="AK122" s="770"/>
      <c r="AL122" s="770"/>
    </row>
    <row r="123" spans="1:38" ht="13.5" customHeight="1" thickBot="1" x14ac:dyDescent="0.3">
      <c r="A123" s="694"/>
      <c r="B123" s="698"/>
      <c r="C123" s="698"/>
      <c r="D123" s="698"/>
      <c r="E123" s="1534" t="str">
        <f>Translations!$B$761</f>
        <v>Съдържание на MgO</v>
      </c>
      <c r="F123" s="1534"/>
      <c r="G123" s="1088" t="s">
        <v>1053</v>
      </c>
      <c r="H123" s="30"/>
      <c r="I123" s="48"/>
      <c r="J123" s="117"/>
      <c r="K123" s="30"/>
      <c r="L123" s="30"/>
      <c r="M123" s="30"/>
      <c r="N123" s="30"/>
      <c r="O123" s="336"/>
      <c r="P123" s="158"/>
      <c r="Q123" s="694"/>
      <c r="R123" s="694"/>
      <c r="S123" s="694"/>
      <c r="T123" s="694"/>
      <c r="U123" s="694"/>
      <c r="V123" s="694"/>
      <c r="W123" s="694"/>
      <c r="X123" s="694"/>
      <c r="Y123" s="770"/>
      <c r="Z123" s="770"/>
      <c r="AA123" s="770"/>
      <c r="AB123" s="770"/>
      <c r="AC123" s="1536" t="b">
        <f>AC122</f>
        <v>0</v>
      </c>
      <c r="AD123" s="1537" t="b">
        <f t="shared" ref="AD123:AI123" si="17">AD122</f>
        <v>0</v>
      </c>
      <c r="AE123" s="1537" t="b">
        <f t="shared" si="17"/>
        <v>0</v>
      </c>
      <c r="AF123" s="1537" t="b">
        <f t="shared" si="17"/>
        <v>0</v>
      </c>
      <c r="AG123" s="1537" t="b">
        <f t="shared" si="17"/>
        <v>0</v>
      </c>
      <c r="AH123" s="1537" t="b">
        <f t="shared" si="17"/>
        <v>0</v>
      </c>
      <c r="AI123" s="1538" t="b">
        <f t="shared" si="17"/>
        <v>0</v>
      </c>
      <c r="AJ123" s="770"/>
      <c r="AK123" s="770"/>
      <c r="AL123" s="770"/>
    </row>
    <row r="124" spans="1:38" ht="5.15" customHeight="1" x14ac:dyDescent="0.25">
      <c r="A124" s="694"/>
      <c r="B124" s="284"/>
      <c r="C124" s="284"/>
      <c r="D124" s="284"/>
      <c r="E124" s="284"/>
      <c r="F124" s="284"/>
      <c r="G124" s="284"/>
      <c r="H124" s="284"/>
      <c r="I124" s="284"/>
      <c r="J124" s="284"/>
      <c r="K124" s="284"/>
      <c r="L124" s="284"/>
      <c r="M124" s="336"/>
      <c r="N124" s="336"/>
      <c r="O124" s="336"/>
      <c r="P124" s="302"/>
      <c r="Q124" s="770"/>
      <c r="R124" s="694"/>
      <c r="S124" s="694"/>
      <c r="T124" s="694"/>
      <c r="U124" s="694"/>
      <c r="V124" s="694"/>
      <c r="W124" s="694"/>
      <c r="X124" s="694"/>
      <c r="Y124" s="770"/>
      <c r="Z124" s="770"/>
      <c r="AA124" s="770"/>
      <c r="AB124" s="770"/>
      <c r="AC124" s="770"/>
      <c r="AD124" s="770"/>
      <c r="AE124" s="770"/>
      <c r="AF124" s="770"/>
      <c r="AG124" s="770"/>
      <c r="AH124" s="770"/>
      <c r="AI124" s="770"/>
      <c r="AJ124" s="770"/>
      <c r="AK124" s="770"/>
      <c r="AL124" s="770"/>
    </row>
    <row r="125" spans="1:38" ht="13" x14ac:dyDescent="0.25">
      <c r="A125" s="694"/>
      <c r="B125" s="284"/>
      <c r="C125" s="284"/>
      <c r="D125" s="300" t="s">
        <v>906</v>
      </c>
      <c r="E125" s="2226" t="str">
        <f>Translations!$B$762</f>
        <v>Резултат: Равнища на дейност за вар, изразени като стандартна чиста вар</v>
      </c>
      <c r="F125" s="2249"/>
      <c r="G125" s="2249"/>
      <c r="H125" s="2249"/>
      <c r="I125" s="2249"/>
      <c r="J125" s="2249"/>
      <c r="K125" s="2249"/>
      <c r="L125" s="2249"/>
      <c r="M125" s="2249"/>
      <c r="N125" s="2249"/>
      <c r="O125" s="336"/>
      <c r="P125" s="302"/>
      <c r="Q125" s="770"/>
      <c r="R125" s="694"/>
      <c r="S125" s="694"/>
      <c r="T125" s="694"/>
      <c r="U125" s="694"/>
      <c r="V125" s="694"/>
      <c r="W125" s="694"/>
      <c r="X125" s="694"/>
      <c r="Y125" s="770"/>
      <c r="Z125" s="770"/>
      <c r="AA125" s="770"/>
      <c r="AB125" s="770"/>
      <c r="AC125" s="770"/>
      <c r="AD125" s="770"/>
      <c r="AE125" s="770"/>
      <c r="AF125" s="770"/>
      <c r="AG125" s="770"/>
      <c r="AH125" s="770"/>
      <c r="AI125" s="770"/>
      <c r="AJ125" s="770"/>
      <c r="AK125" s="770"/>
      <c r="AL125" s="770"/>
    </row>
    <row r="126" spans="1:38" x14ac:dyDescent="0.25">
      <c r="A126" s="694"/>
      <c r="B126" s="284"/>
      <c r="C126" s="284"/>
      <c r="D126" s="302"/>
      <c r="E126" s="2358" t="str">
        <f>Translations!$B$763</f>
        <v>Тук коригираното равнище на дейност за вар се изчислява с помощта на формулата от точка 2 от приложение III към ПБР (преди да се определи статистическата медиана).</v>
      </c>
      <c r="F126" s="2249"/>
      <c r="G126" s="2249"/>
      <c r="H126" s="2249"/>
      <c r="I126" s="2249"/>
      <c r="J126" s="2249"/>
      <c r="K126" s="2249"/>
      <c r="L126" s="2249"/>
      <c r="M126" s="2249"/>
      <c r="N126" s="2249"/>
      <c r="O126" s="336"/>
      <c r="P126" s="302"/>
      <c r="Q126" s="770"/>
      <c r="R126" s="694"/>
      <c r="S126" s="694"/>
      <c r="T126" s="694"/>
      <c r="U126" s="694"/>
      <c r="V126" s="694"/>
      <c r="W126" s="694"/>
      <c r="X126" s="694"/>
      <c r="Y126" s="770"/>
      <c r="Z126" s="770"/>
      <c r="AA126" s="770"/>
      <c r="AB126" s="770"/>
      <c r="AC126" s="770"/>
      <c r="AD126" s="770"/>
      <c r="AE126" s="770"/>
      <c r="AF126" s="770"/>
      <c r="AG126" s="770"/>
      <c r="AH126" s="770"/>
      <c r="AI126" s="770"/>
      <c r="AJ126" s="770"/>
      <c r="AK126" s="770"/>
      <c r="AL126" s="770"/>
    </row>
    <row r="127" spans="1:38" x14ac:dyDescent="0.25">
      <c r="A127" s="694"/>
      <c r="B127" s="284"/>
      <c r="C127" s="284"/>
      <c r="D127" s="302"/>
      <c r="E127" s="2358" t="str">
        <f>Translations!$B$748</f>
        <v>Резултатът от този инструмент се използва в работен лист „F_ProductBM“, ред a).ii за съответната подинсталация, от която е изчислена статистическата медиана.</v>
      </c>
      <c r="F127" s="2249"/>
      <c r="G127" s="2249"/>
      <c r="H127" s="2249"/>
      <c r="I127" s="2249"/>
      <c r="J127" s="2249"/>
      <c r="K127" s="2249"/>
      <c r="L127" s="2249"/>
      <c r="M127" s="2249"/>
      <c r="N127" s="2249"/>
      <c r="O127" s="336"/>
      <c r="P127" s="302"/>
      <c r="Q127" s="770"/>
      <c r="R127" s="694"/>
      <c r="S127" s="694"/>
      <c r="T127" s="694"/>
      <c r="U127" s="694"/>
      <c r="V127" s="694"/>
      <c r="W127" s="694"/>
      <c r="X127" s="694"/>
      <c r="Y127" s="770"/>
      <c r="Z127" s="770"/>
      <c r="AA127" s="770"/>
      <c r="AB127" s="770"/>
      <c r="AC127" s="770"/>
      <c r="AD127" s="770"/>
      <c r="AE127" s="770"/>
      <c r="AF127" s="770"/>
      <c r="AG127" s="770"/>
      <c r="AH127" s="770"/>
      <c r="AI127" s="770"/>
      <c r="AJ127" s="770"/>
      <c r="AK127" s="770"/>
      <c r="AL127" s="770"/>
    </row>
    <row r="128" spans="1:38" ht="13" x14ac:dyDescent="0.25">
      <c r="A128" s="694"/>
      <c r="B128" s="698"/>
      <c r="C128" s="698"/>
      <c r="D128" s="300"/>
      <c r="E128" s="742"/>
      <c r="F128" s="742"/>
      <c r="G128" s="527" t="str">
        <f>EUconst_Unit</f>
        <v>Единица мярка</v>
      </c>
      <c r="H128" s="387">
        <f t="shared" ref="H128:N128" si="18">H$490</f>
        <v>2024</v>
      </c>
      <c r="I128" s="1522">
        <f t="shared" si="18"/>
        <v>2025</v>
      </c>
      <c r="J128" s="1523">
        <f t="shared" si="18"/>
        <v>2026</v>
      </c>
      <c r="K128" s="387">
        <f t="shared" si="18"/>
        <v>2027</v>
      </c>
      <c r="L128" s="387">
        <f t="shared" si="18"/>
        <v>2028</v>
      </c>
      <c r="M128" s="387">
        <f t="shared" si="18"/>
        <v>2029</v>
      </c>
      <c r="N128" s="387">
        <f t="shared" si="18"/>
        <v>2030</v>
      </c>
      <c r="O128" s="336"/>
      <c r="P128" s="302"/>
      <c r="Q128" s="694"/>
      <c r="R128" s="694"/>
      <c r="S128" s="694"/>
      <c r="T128" s="694"/>
      <c r="U128" s="694"/>
      <c r="V128" s="694"/>
      <c r="W128" s="694"/>
      <c r="X128" s="694"/>
      <c r="Y128" s="770"/>
      <c r="Z128" s="770"/>
      <c r="AA128" s="770"/>
      <c r="AB128" s="770"/>
      <c r="AC128" s="770"/>
      <c r="AD128" s="770"/>
      <c r="AE128" s="770"/>
      <c r="AF128" s="770"/>
      <c r="AG128" s="770"/>
      <c r="AH128" s="770"/>
      <c r="AI128" s="770"/>
      <c r="AJ128" s="770"/>
      <c r="AK128" s="770"/>
      <c r="AL128" s="770"/>
    </row>
    <row r="129" spans="1:38" ht="13.5" customHeight="1" x14ac:dyDescent="0.25">
      <c r="A129" s="694"/>
      <c r="B129" s="698"/>
      <c r="C129" s="698"/>
      <c r="D129" s="698"/>
      <c r="E129" s="1295" t="str">
        <f>Translations!$B$764</f>
        <v>производство на стандартна чиста вар</v>
      </c>
      <c r="F129" s="1295"/>
      <c r="G129" s="1016" t="str">
        <f>EUconst_tpa</f>
        <v>t / година</v>
      </c>
      <c r="H129" s="1539" t="str">
        <f t="shared" ref="H129:N129" si="19">IF(ISNUMBER(H113),H113*(785*H122/100+1092*H123/100)/751.7,"")</f>
        <v/>
      </c>
      <c r="I129" s="1540" t="str">
        <f t="shared" si="19"/>
        <v/>
      </c>
      <c r="J129" s="1541" t="str">
        <f t="shared" si="19"/>
        <v/>
      </c>
      <c r="K129" s="1539" t="str">
        <f t="shared" si="19"/>
        <v/>
      </c>
      <c r="L129" s="1539" t="str">
        <f t="shared" si="19"/>
        <v/>
      </c>
      <c r="M129" s="1539" t="str">
        <f t="shared" si="19"/>
        <v/>
      </c>
      <c r="N129" s="1539" t="str">
        <f t="shared" si="19"/>
        <v/>
      </c>
      <c r="O129" s="336"/>
      <c r="P129" s="302"/>
      <c r="Q129" s="982" t="str">
        <f>IF(L106=EUconst_Relevant,EUconst_CNTR_HALspecial &amp; INDEX(EUconst_BMlistNames,MATCH(R106,EUconst_BMlistMainNumberOfBM,0)),"")</f>
        <v/>
      </c>
      <c r="R129" s="694"/>
      <c r="S129" s="694"/>
      <c r="T129" s="694"/>
      <c r="U129" s="694"/>
      <c r="V129" s="694"/>
      <c r="W129" s="694"/>
      <c r="X129" s="694"/>
      <c r="Y129" s="770"/>
      <c r="Z129" s="770"/>
      <c r="AA129" s="770"/>
      <c r="AB129" s="770"/>
      <c r="AC129" s="770"/>
      <c r="AD129" s="770"/>
      <c r="AE129" s="770"/>
      <c r="AF129" s="770"/>
      <c r="AG129" s="770"/>
      <c r="AH129" s="770"/>
      <c r="AI129" s="770"/>
      <c r="AJ129" s="770"/>
      <c r="AK129" s="770"/>
      <c r="AL129" s="770"/>
    </row>
    <row r="130" spans="1:38" ht="5.15" customHeight="1" x14ac:dyDescent="0.25">
      <c r="A130" s="694"/>
      <c r="B130" s="284"/>
      <c r="C130" s="284"/>
      <c r="D130" s="284"/>
      <c r="E130" s="284"/>
      <c r="F130" s="284"/>
      <c r="G130" s="284"/>
      <c r="H130" s="284"/>
      <c r="I130" s="284"/>
      <c r="J130" s="284"/>
      <c r="K130" s="284"/>
      <c r="L130" s="284"/>
      <c r="M130" s="336"/>
      <c r="N130" s="336"/>
      <c r="O130" s="336"/>
      <c r="P130" s="302"/>
      <c r="Q130" s="770"/>
      <c r="R130" s="694"/>
      <c r="S130" s="694"/>
      <c r="T130" s="694"/>
      <c r="U130" s="694"/>
      <c r="V130" s="694"/>
      <c r="W130" s="694"/>
      <c r="X130" s="694"/>
      <c r="Y130" s="770"/>
      <c r="Z130" s="770"/>
      <c r="AA130" s="770"/>
      <c r="AB130" s="770"/>
      <c r="AC130" s="770"/>
      <c r="AD130" s="770"/>
      <c r="AE130" s="770"/>
      <c r="AF130" s="770"/>
      <c r="AG130" s="770"/>
      <c r="AH130" s="770"/>
      <c r="AI130" s="770"/>
      <c r="AJ130" s="770"/>
      <c r="AK130" s="770"/>
      <c r="AL130" s="770"/>
    </row>
    <row r="131" spans="1:38" ht="13" x14ac:dyDescent="0.25">
      <c r="A131" s="694"/>
      <c r="B131" s="284"/>
      <c r="C131" s="284"/>
      <c r="D131" s="284"/>
      <c r="E131" s="2951" t="str">
        <f>IF(L106=EUconst_Relevant,HYPERLINK(R131,EUconst_MsgBackToSheetF),"")</f>
        <v/>
      </c>
      <c r="F131" s="2952"/>
      <c r="G131" s="2952"/>
      <c r="H131" s="2952"/>
      <c r="I131" s="2952"/>
      <c r="J131" s="2952"/>
      <c r="K131" s="2952"/>
      <c r="L131" s="2952"/>
      <c r="M131" s="2952"/>
      <c r="N131" s="2953"/>
      <c r="O131" s="336"/>
      <c r="P131" s="302"/>
      <c r="Q131" s="1395" t="s">
        <v>113</v>
      </c>
      <c r="R131" s="982" t="str">
        <f>R108</f>
        <v/>
      </c>
      <c r="S131" s="694"/>
      <c r="T131" s="694"/>
      <c r="U131" s="694"/>
      <c r="V131" s="694"/>
      <c r="W131" s="694"/>
      <c r="X131" s="694"/>
      <c r="Y131" s="770"/>
      <c r="Z131" s="770"/>
      <c r="AA131" s="770"/>
      <c r="AB131" s="770"/>
      <c r="AC131" s="770"/>
      <c r="AD131" s="770"/>
      <c r="AE131" s="770"/>
      <c r="AF131" s="770"/>
      <c r="AG131" s="770"/>
      <c r="AH131" s="770"/>
      <c r="AI131" s="770"/>
      <c r="AJ131" s="770"/>
      <c r="AK131" s="770"/>
      <c r="AL131" s="770"/>
    </row>
    <row r="132" spans="1:38" x14ac:dyDescent="0.25">
      <c r="A132" s="694"/>
      <c r="B132" s="698"/>
      <c r="C132" s="698"/>
      <c r="D132" s="698"/>
      <c r="E132" s="698"/>
      <c r="F132" s="698"/>
      <c r="G132" s="698"/>
      <c r="H132" s="698"/>
      <c r="I132" s="698"/>
      <c r="J132" s="698"/>
      <c r="K132" s="698"/>
      <c r="L132" s="698"/>
      <c r="M132" s="698"/>
      <c r="N132" s="698"/>
      <c r="O132" s="336"/>
      <c r="P132" s="302"/>
      <c r="Q132" s="694"/>
      <c r="R132" s="694"/>
      <c r="S132" s="694"/>
      <c r="T132" s="694"/>
      <c r="U132" s="694"/>
      <c r="V132" s="694"/>
      <c r="W132" s="694"/>
      <c r="X132" s="694"/>
      <c r="Y132" s="770"/>
      <c r="Z132" s="770"/>
      <c r="AA132" s="770"/>
      <c r="AB132" s="770"/>
      <c r="AC132" s="770"/>
      <c r="AD132" s="770"/>
      <c r="AE132" s="770"/>
      <c r="AF132" s="770"/>
      <c r="AG132" s="770"/>
      <c r="AH132" s="770"/>
      <c r="AI132" s="770"/>
      <c r="AJ132" s="770"/>
      <c r="AK132" s="770"/>
      <c r="AL132" s="770"/>
    </row>
    <row r="133" spans="1:38" ht="15.5" x14ac:dyDescent="0.35">
      <c r="A133" s="694"/>
      <c r="B133" s="284"/>
      <c r="C133" s="327" t="s">
        <v>908</v>
      </c>
      <c r="D133" s="2245" t="str">
        <f>Translations!$B$765</f>
        <v>Доломитна вар</v>
      </c>
      <c r="E133" s="2245"/>
      <c r="F133" s="2245"/>
      <c r="G133" s="2245"/>
      <c r="H133" s="2245"/>
      <c r="I133" s="2245"/>
      <c r="J133" s="2245"/>
      <c r="K133" s="2245"/>
      <c r="L133" s="2245"/>
      <c r="M133" s="2245"/>
      <c r="N133" s="2245"/>
      <c r="O133" s="336"/>
      <c r="P133" s="302"/>
      <c r="Q133" s="770"/>
      <c r="R133" s="694"/>
      <c r="S133" s="694"/>
      <c r="T133" s="694"/>
      <c r="U133" s="694"/>
      <c r="V133" s="694"/>
      <c r="W133" s="694"/>
      <c r="X133" s="694"/>
      <c r="Y133" s="770"/>
      <c r="Z133" s="770"/>
      <c r="AA133" s="770"/>
      <c r="AB133" s="770"/>
      <c r="AC133" s="770"/>
      <c r="AD133" s="770"/>
      <c r="AE133" s="770"/>
      <c r="AF133" s="770"/>
      <c r="AG133" s="770"/>
      <c r="AH133" s="770"/>
      <c r="AI133" s="770"/>
      <c r="AJ133" s="770"/>
      <c r="AK133" s="770"/>
      <c r="AL133" s="770"/>
    </row>
    <row r="134" spans="1:38" ht="5.15" customHeight="1" x14ac:dyDescent="0.25">
      <c r="A134" s="694"/>
      <c r="B134" s="284"/>
      <c r="C134" s="284"/>
      <c r="D134" s="284"/>
      <c r="E134" s="284"/>
      <c r="F134" s="284"/>
      <c r="G134" s="284"/>
      <c r="H134" s="284"/>
      <c r="I134" s="284"/>
      <c r="J134" s="284"/>
      <c r="K134" s="284"/>
      <c r="L134" s="284"/>
      <c r="M134" s="336"/>
      <c r="N134" s="336"/>
      <c r="O134" s="336"/>
      <c r="P134" s="302"/>
      <c r="Q134" s="770"/>
      <c r="R134" s="694"/>
      <c r="S134" s="694"/>
      <c r="T134" s="694"/>
      <c r="U134" s="694"/>
      <c r="V134" s="694"/>
      <c r="W134" s="694"/>
      <c r="X134" s="694"/>
      <c r="Y134" s="770"/>
      <c r="Z134" s="770"/>
      <c r="AA134" s="770"/>
      <c r="AB134" s="770"/>
      <c r="AC134" s="770"/>
      <c r="AD134" s="770"/>
      <c r="AE134" s="770"/>
      <c r="AF134" s="770"/>
      <c r="AG134" s="770"/>
      <c r="AH134" s="770"/>
      <c r="AI134" s="770"/>
      <c r="AJ134" s="770"/>
      <c r="AK134" s="770"/>
      <c r="AL134" s="770"/>
    </row>
    <row r="135" spans="1:38" ht="14" x14ac:dyDescent="0.3">
      <c r="A135" s="694"/>
      <c r="B135" s="284"/>
      <c r="C135" s="357"/>
      <c r="D135" s="2323" t="str">
        <f>Translations!$B$766</f>
        <v>Инструмент за изчисляване на историческите равнища на дейност за подинсталациите за доломитна вар</v>
      </c>
      <c r="E135" s="2249"/>
      <c r="F135" s="2249"/>
      <c r="G135" s="2249"/>
      <c r="H135" s="2249"/>
      <c r="I135" s="2249"/>
      <c r="J135" s="2249"/>
      <c r="K135" s="2249"/>
      <c r="L135" s="2249"/>
      <c r="M135" s="2249"/>
      <c r="N135" s="2249"/>
      <c r="O135" s="336"/>
      <c r="P135" s="302"/>
      <c r="Q135" s="770"/>
      <c r="R135" s="694"/>
      <c r="S135" s="694"/>
      <c r="T135" s="694"/>
      <c r="U135" s="694"/>
      <c r="V135" s="694"/>
      <c r="W135" s="694"/>
      <c r="X135" s="694"/>
      <c r="Y135" s="770"/>
      <c r="Z135" s="770"/>
      <c r="AA135" s="770"/>
      <c r="AB135" s="770"/>
      <c r="AC135" s="770"/>
      <c r="AD135" s="770"/>
      <c r="AE135" s="770"/>
      <c r="AF135" s="770"/>
      <c r="AG135" s="770"/>
      <c r="AH135" s="770"/>
      <c r="AI135" s="770"/>
      <c r="AJ135" s="770"/>
      <c r="AK135" s="770"/>
      <c r="AL135" s="770"/>
    </row>
    <row r="136" spans="1:38" ht="5.15" customHeight="1" x14ac:dyDescent="0.25">
      <c r="A136" s="694"/>
      <c r="B136" s="284"/>
      <c r="C136" s="284"/>
      <c r="D136" s="284"/>
      <c r="E136" s="284"/>
      <c r="F136" s="284"/>
      <c r="G136" s="284"/>
      <c r="H136" s="284"/>
      <c r="I136" s="284"/>
      <c r="J136" s="284"/>
      <c r="K136" s="284"/>
      <c r="L136" s="284"/>
      <c r="M136" s="336"/>
      <c r="N136" s="336"/>
      <c r="O136" s="336"/>
      <c r="P136" s="302"/>
      <c r="Q136" s="770"/>
      <c r="R136" s="694"/>
      <c r="S136" s="694"/>
      <c r="T136" s="694"/>
      <c r="U136" s="694"/>
      <c r="V136" s="694"/>
      <c r="W136" s="694"/>
      <c r="X136" s="694"/>
      <c r="Y136" s="770"/>
      <c r="Z136" s="770"/>
      <c r="AA136" s="770"/>
      <c r="AB136" s="770"/>
      <c r="AC136" s="770"/>
      <c r="AD136" s="770"/>
      <c r="AE136" s="770"/>
      <c r="AF136" s="770"/>
      <c r="AG136" s="770"/>
      <c r="AH136" s="770"/>
      <c r="AI136" s="770"/>
      <c r="AJ136" s="770"/>
      <c r="AK136" s="770"/>
      <c r="AL136" s="770"/>
    </row>
    <row r="137" spans="1:38" x14ac:dyDescent="0.25">
      <c r="A137" s="694"/>
      <c r="B137" s="284"/>
      <c r="C137" s="284"/>
      <c r="D137" s="302"/>
      <c r="E137" s="2358" t="str">
        <f>Translations!$B$767</f>
        <v>Този инструмент Ви помага при определяне на HAL (исторически равнища на дейност) за продуктовия показател за доломитна вар (приложение III, точка 3 от ПБР). Той не може да се използва при „синтерована доломитна вар“.</v>
      </c>
      <c r="F137" s="2249"/>
      <c r="G137" s="2249"/>
      <c r="H137" s="2249"/>
      <c r="I137" s="2249"/>
      <c r="J137" s="2249"/>
      <c r="K137" s="2249"/>
      <c r="L137" s="2249"/>
      <c r="M137" s="2249"/>
      <c r="N137" s="2249"/>
      <c r="O137" s="336"/>
      <c r="P137" s="302"/>
      <c r="Q137" s="770"/>
      <c r="R137" s="694"/>
      <c r="S137" s="694"/>
      <c r="T137" s="694"/>
      <c r="U137" s="694"/>
      <c r="V137" s="694"/>
      <c r="W137" s="694"/>
      <c r="X137" s="694"/>
      <c r="Y137" s="770"/>
      <c r="Z137" s="770"/>
      <c r="AA137" s="770"/>
      <c r="AB137" s="770"/>
      <c r="AC137" s="770"/>
      <c r="AD137" s="770"/>
      <c r="AE137" s="770"/>
      <c r="AF137" s="770"/>
      <c r="AG137" s="770"/>
      <c r="AH137" s="770"/>
      <c r="AI137" s="770"/>
      <c r="AJ137" s="770"/>
      <c r="AK137" s="770"/>
      <c r="AL137" s="770"/>
    </row>
    <row r="138" spans="1:38" x14ac:dyDescent="0.25">
      <c r="A138" s="694"/>
      <c r="B138" s="284"/>
      <c r="C138" s="284"/>
      <c r="D138" s="302"/>
      <c r="E138" s="2358" t="str">
        <f>Translations!$B$673</f>
        <v>Резултатът от този инструмент се копира автоматично в работен лист „F_ProductBM“, ред „a).ii“ за съответната подинсталация.</v>
      </c>
      <c r="F138" s="2249"/>
      <c r="G138" s="2249"/>
      <c r="H138" s="2249"/>
      <c r="I138" s="2249"/>
      <c r="J138" s="2249"/>
      <c r="K138" s="2249"/>
      <c r="L138" s="2249"/>
      <c r="M138" s="2249"/>
      <c r="N138" s="2249"/>
      <c r="O138" s="336"/>
      <c r="P138" s="302"/>
      <c r="Q138" s="770"/>
      <c r="R138" s="694"/>
      <c r="S138" s="694"/>
      <c r="T138" s="694"/>
      <c r="U138" s="694"/>
      <c r="V138" s="694"/>
      <c r="W138" s="694"/>
      <c r="X138" s="694"/>
      <c r="Y138" s="770"/>
      <c r="Z138" s="770"/>
      <c r="AA138" s="770"/>
      <c r="AB138" s="770"/>
      <c r="AC138" s="770"/>
      <c r="AD138" s="770"/>
      <c r="AE138" s="770"/>
      <c r="AF138" s="770"/>
      <c r="AG138" s="770"/>
      <c r="AH138" s="770"/>
      <c r="AI138" s="770"/>
      <c r="AJ138" s="770"/>
      <c r="AK138" s="770"/>
      <c r="AL138" s="770"/>
    </row>
    <row r="139" spans="1:38" ht="5.15" customHeight="1" x14ac:dyDescent="0.25">
      <c r="A139" s="694"/>
      <c r="B139" s="284"/>
      <c r="C139" s="284"/>
      <c r="D139" s="284"/>
      <c r="E139" s="284"/>
      <c r="F139" s="284"/>
      <c r="G139" s="284"/>
      <c r="H139" s="284"/>
      <c r="I139" s="284"/>
      <c r="J139" s="284"/>
      <c r="K139" s="284"/>
      <c r="L139" s="284"/>
      <c r="M139" s="336"/>
      <c r="N139" s="336"/>
      <c r="O139" s="336"/>
      <c r="P139" s="302"/>
      <c r="Q139" s="770"/>
      <c r="R139" s="694"/>
      <c r="S139" s="694"/>
      <c r="T139" s="694"/>
      <c r="U139" s="694"/>
      <c r="V139" s="694"/>
      <c r="W139" s="694"/>
      <c r="X139" s="694"/>
      <c r="Y139" s="770"/>
      <c r="Z139" s="770"/>
      <c r="AA139" s="770"/>
      <c r="AB139" s="770"/>
      <c r="AC139" s="770"/>
      <c r="AD139" s="770"/>
      <c r="AE139" s="770"/>
      <c r="AF139" s="770"/>
      <c r="AG139" s="770"/>
      <c r="AH139" s="770"/>
      <c r="AI139" s="770"/>
      <c r="AJ139" s="770"/>
      <c r="AK139" s="770"/>
      <c r="AL139" s="770"/>
    </row>
    <row r="140" spans="1:38" ht="14" x14ac:dyDescent="0.3">
      <c r="A140" s="694"/>
      <c r="B140" s="284"/>
      <c r="C140" s="284"/>
      <c r="D140" s="300" t="s">
        <v>408</v>
      </c>
      <c r="E140" s="2226" t="str">
        <f>Translations!$B$674</f>
        <v>Практическо значение на този инструмент за Вашата инсталация:</v>
      </c>
      <c r="F140" s="2226"/>
      <c r="G140" s="2226"/>
      <c r="H140" s="2226"/>
      <c r="I140" s="2226"/>
      <c r="J140" s="2226"/>
      <c r="K140" s="2317"/>
      <c r="L140" s="2956" t="str">
        <f>IF(CNTR_ExistSubInstEntries,IF(COUNTIF(CNTR_SubInstListNames,INDEX(EUconst_BMlistNames,MATCH(R140,EUconst_BMlistMainNumberOfBM,0)))&gt;0,EUconst_Relevant,EUconst_NotRelevant),"")</f>
        <v/>
      </c>
      <c r="M140" s="2957"/>
      <c r="N140" s="2958"/>
      <c r="O140" s="336"/>
      <c r="P140" s="302"/>
      <c r="Q140" s="1395" t="s">
        <v>114</v>
      </c>
      <c r="R140" s="1519">
        <v>13</v>
      </c>
      <c r="S140" s="694"/>
      <c r="T140" s="694"/>
      <c r="U140" s="694"/>
      <c r="V140" s="694"/>
      <c r="W140" s="694"/>
      <c r="X140" s="694"/>
      <c r="Y140" s="770"/>
      <c r="Z140" s="770"/>
      <c r="AA140" s="770"/>
      <c r="AB140" s="770"/>
      <c r="AC140" s="770"/>
      <c r="AD140" s="770"/>
      <c r="AE140" s="770"/>
      <c r="AF140" s="770"/>
      <c r="AG140" s="770"/>
      <c r="AH140" s="770"/>
      <c r="AI140" s="770"/>
      <c r="AJ140" s="770"/>
      <c r="AK140" s="770"/>
      <c r="AL140" s="770"/>
    </row>
    <row r="141" spans="1:38" x14ac:dyDescent="0.25">
      <c r="A141" s="694"/>
      <c r="B141" s="284"/>
      <c r="C141" s="284"/>
      <c r="D141" s="302"/>
      <c r="E141" s="2255" t="str">
        <f>Translations!$B$675</f>
        <v>Това съобщение се генерира автоматично въз основа на въведените от Вас данни в работен лист „A_InstallationData“ („А_Данни за инсталацията“), раздел A.III.1.</v>
      </c>
      <c r="F141" s="2256"/>
      <c r="G141" s="2256"/>
      <c r="H141" s="2256"/>
      <c r="I141" s="2256"/>
      <c r="J141" s="2256"/>
      <c r="K141" s="2256"/>
      <c r="L141" s="2256"/>
      <c r="M141" s="2256"/>
      <c r="N141" s="2256"/>
      <c r="O141" s="336"/>
      <c r="P141" s="302"/>
      <c r="Q141" s="770"/>
      <c r="R141" s="694"/>
      <c r="S141" s="694"/>
      <c r="T141" s="694"/>
      <c r="U141" s="694"/>
      <c r="V141" s="694"/>
      <c r="W141" s="694"/>
      <c r="X141" s="694"/>
      <c r="Y141" s="770"/>
      <c r="Z141" s="770"/>
      <c r="AA141" s="770"/>
      <c r="AB141" s="770"/>
      <c r="AC141" s="770"/>
      <c r="AD141" s="770"/>
      <c r="AE141" s="770"/>
      <c r="AF141" s="770"/>
      <c r="AG141" s="770"/>
      <c r="AH141" s="770"/>
      <c r="AI141" s="770"/>
      <c r="AJ141" s="770"/>
      <c r="AK141" s="770"/>
      <c r="AL141" s="770"/>
    </row>
    <row r="142" spans="1:38" ht="13" x14ac:dyDescent="0.25">
      <c r="A142" s="694"/>
      <c r="B142" s="284"/>
      <c r="C142" s="284"/>
      <c r="D142" s="284"/>
      <c r="E142" s="2951" t="str">
        <f>IF(L140=EUconst_Relevant,HYPERLINK(R142,EUconst_MsgBackToSheetF),"")</f>
        <v/>
      </c>
      <c r="F142" s="2952"/>
      <c r="G142" s="2952"/>
      <c r="H142" s="2952"/>
      <c r="I142" s="2952"/>
      <c r="J142" s="2952"/>
      <c r="K142" s="2952"/>
      <c r="L142" s="2952"/>
      <c r="M142" s="2952"/>
      <c r="N142" s="2953"/>
      <c r="O142" s="336"/>
      <c r="P142" s="302"/>
      <c r="Q142" s="1395" t="s">
        <v>113</v>
      </c>
      <c r="R142" s="982" t="str">
        <f>IF(ISNUMBER(MATCH(R140,CNTR_SubInstListBMnumbers,0)),"#JUMP_F"&amp;MATCH(R140,CNTR_SubInstListBMnumbers,0),"")</f>
        <v/>
      </c>
      <c r="S142" s="694"/>
      <c r="T142" s="694"/>
      <c r="U142" s="694"/>
      <c r="V142" s="694"/>
      <c r="W142" s="694"/>
      <c r="X142" s="694"/>
      <c r="Y142" s="770"/>
      <c r="Z142" s="770"/>
      <c r="AA142" s="770"/>
      <c r="AB142" s="770"/>
      <c r="AC142" s="770"/>
      <c r="AD142" s="770"/>
      <c r="AE142" s="770"/>
      <c r="AF142" s="770"/>
      <c r="AG142" s="770"/>
      <c r="AH142" s="770"/>
      <c r="AI142" s="770"/>
      <c r="AJ142" s="770"/>
      <c r="AK142" s="770"/>
      <c r="AL142" s="770"/>
    </row>
    <row r="143" spans="1:38" ht="5.15" customHeight="1" x14ac:dyDescent="0.25">
      <c r="A143" s="694"/>
      <c r="B143" s="284"/>
      <c r="C143" s="284"/>
      <c r="D143" s="284"/>
      <c r="E143" s="284"/>
      <c r="F143" s="284"/>
      <c r="G143" s="284"/>
      <c r="H143" s="284"/>
      <c r="I143" s="284"/>
      <c r="J143" s="284"/>
      <c r="K143" s="284"/>
      <c r="L143" s="284"/>
      <c r="M143" s="336"/>
      <c r="N143" s="336"/>
      <c r="O143" s="336"/>
      <c r="P143" s="302"/>
      <c r="Q143" s="770"/>
      <c r="R143" s="694"/>
      <c r="S143" s="694"/>
      <c r="T143" s="694"/>
      <c r="U143" s="694"/>
      <c r="V143" s="694"/>
      <c r="W143" s="694"/>
      <c r="X143" s="694"/>
      <c r="Y143" s="770"/>
      <c r="Z143" s="770"/>
      <c r="AA143" s="770"/>
      <c r="AB143" s="770"/>
      <c r="AC143" s="770"/>
      <c r="AD143" s="770"/>
      <c r="AE143" s="770"/>
      <c r="AF143" s="770"/>
      <c r="AG143" s="770"/>
      <c r="AH143" s="770"/>
      <c r="AI143" s="770"/>
      <c r="AJ143" s="770"/>
      <c r="AK143" s="770"/>
      <c r="AL143" s="770"/>
    </row>
    <row r="144" spans="1:38" ht="13" x14ac:dyDescent="0.25">
      <c r="A144" s="694"/>
      <c r="B144" s="284"/>
      <c r="C144" s="284"/>
      <c r="D144" s="300" t="s">
        <v>901</v>
      </c>
      <c r="E144" s="2226" t="str">
        <f>Translations!$B$768</f>
        <v>Некоригирано производство на доломитна вар:</v>
      </c>
      <c r="F144" s="2249"/>
      <c r="G144" s="2249"/>
      <c r="H144" s="2249"/>
      <c r="I144" s="2249"/>
      <c r="J144" s="2249"/>
      <c r="K144" s="2249"/>
      <c r="L144" s="2249"/>
      <c r="M144" s="2249"/>
      <c r="N144" s="2249"/>
      <c r="O144" s="336"/>
      <c r="P144" s="302"/>
      <c r="Q144" s="770"/>
      <c r="R144" s="694"/>
      <c r="S144" s="694"/>
      <c r="T144" s="694"/>
      <c r="U144" s="694"/>
      <c r="V144" s="694"/>
      <c r="W144" s="694"/>
      <c r="X144" s="694"/>
      <c r="Y144" s="770"/>
      <c r="Z144" s="770"/>
      <c r="AA144" s="770"/>
      <c r="AB144" s="770"/>
      <c r="AC144" s="770"/>
      <c r="AD144" s="770"/>
      <c r="AE144" s="770"/>
      <c r="AF144" s="770"/>
      <c r="AG144" s="770"/>
      <c r="AH144" s="770"/>
      <c r="AI144" s="770"/>
      <c r="AJ144" s="770"/>
      <c r="AK144" s="770"/>
      <c r="AL144" s="770"/>
    </row>
    <row r="145" spans="1:38" x14ac:dyDescent="0.25">
      <c r="A145" s="694"/>
      <c r="B145" s="284"/>
      <c r="C145" s="284"/>
      <c r="D145" s="302"/>
      <c r="E145" s="2358" t="str">
        <f>Translations!$B$769</f>
        <v>Тук въведете данните за годишното производство, изразено в тонове доломитна вар, без корекция на данните за състава:</v>
      </c>
      <c r="F145" s="2249"/>
      <c r="G145" s="2249"/>
      <c r="H145" s="2249"/>
      <c r="I145" s="2249"/>
      <c r="J145" s="2249"/>
      <c r="K145" s="2249"/>
      <c r="L145" s="2249"/>
      <c r="M145" s="2249"/>
      <c r="N145" s="2249"/>
      <c r="O145" s="336"/>
      <c r="P145" s="302"/>
      <c r="Q145" s="770"/>
      <c r="R145" s="694"/>
      <c r="S145" s="694"/>
      <c r="T145" s="694"/>
      <c r="U145" s="694"/>
      <c r="V145" s="694"/>
      <c r="W145" s="694"/>
      <c r="X145" s="694"/>
      <c r="Y145" s="770"/>
      <c r="Z145" s="770"/>
      <c r="AA145" s="770"/>
      <c r="AB145" s="770"/>
      <c r="AC145" s="770"/>
      <c r="AD145" s="770"/>
      <c r="AE145" s="770"/>
      <c r="AF145" s="770"/>
      <c r="AG145" s="770"/>
      <c r="AH145" s="770"/>
      <c r="AI145" s="770"/>
      <c r="AJ145" s="770"/>
      <c r="AK145" s="770"/>
      <c r="AL145" s="770"/>
    </row>
    <row r="146" spans="1:38" ht="13.5" thickBot="1" x14ac:dyDescent="0.3">
      <c r="A146" s="694"/>
      <c r="B146" s="698"/>
      <c r="C146" s="698"/>
      <c r="D146" s="300"/>
      <c r="E146" s="461"/>
      <c r="F146" s="742"/>
      <c r="G146" s="527" t="str">
        <f>EUconst_Unit</f>
        <v>Единица мярка</v>
      </c>
      <c r="H146" s="387">
        <f t="shared" ref="H146:N146" si="20">H$490</f>
        <v>2024</v>
      </c>
      <c r="I146" s="1544">
        <f t="shared" si="20"/>
        <v>2025</v>
      </c>
      <c r="J146" s="1523">
        <f t="shared" si="20"/>
        <v>2026</v>
      </c>
      <c r="K146" s="387">
        <f t="shared" si="20"/>
        <v>2027</v>
      </c>
      <c r="L146" s="387">
        <f t="shared" si="20"/>
        <v>2028</v>
      </c>
      <c r="M146" s="387">
        <f t="shared" si="20"/>
        <v>2029</v>
      </c>
      <c r="N146" s="387">
        <f t="shared" si="20"/>
        <v>2030</v>
      </c>
      <c r="O146" s="336"/>
      <c r="P146" s="302"/>
      <c r="Q146" s="694"/>
      <c r="R146" s="694"/>
      <c r="S146" s="694"/>
      <c r="T146" s="694"/>
      <c r="U146" s="694"/>
      <c r="V146" s="694"/>
      <c r="W146" s="694"/>
      <c r="X146" s="694"/>
      <c r="Y146" s="770"/>
      <c r="Z146" s="770"/>
      <c r="AA146" s="770"/>
      <c r="AB146" s="694"/>
      <c r="AC146" s="1524">
        <f t="shared" ref="AC146:AI146" si="21">H146</f>
        <v>2024</v>
      </c>
      <c r="AD146" s="1524">
        <f t="shared" si="21"/>
        <v>2025</v>
      </c>
      <c r="AE146" s="1524">
        <f t="shared" si="21"/>
        <v>2026</v>
      </c>
      <c r="AF146" s="1524">
        <f t="shared" si="21"/>
        <v>2027</v>
      </c>
      <c r="AG146" s="1524">
        <f t="shared" si="21"/>
        <v>2028</v>
      </c>
      <c r="AH146" s="1524">
        <f t="shared" si="21"/>
        <v>2029</v>
      </c>
      <c r="AI146" s="1524">
        <f t="shared" si="21"/>
        <v>2030</v>
      </c>
      <c r="AJ146" s="770"/>
      <c r="AK146" s="770"/>
      <c r="AL146" s="770"/>
    </row>
    <row r="147" spans="1:38" ht="13" customHeight="1" x14ac:dyDescent="0.25">
      <c r="A147" s="694"/>
      <c r="B147" s="698"/>
      <c r="C147" s="698"/>
      <c r="D147" s="698"/>
      <c r="E147" s="1295" t="str">
        <f>Translations!$B$770</f>
        <v>некоригирано производство на доломитна вар</v>
      </c>
      <c r="F147" s="1295"/>
      <c r="G147" s="1016" t="str">
        <f>EUconst_tpa</f>
        <v>t / година</v>
      </c>
      <c r="H147" s="27"/>
      <c r="I147" s="260"/>
      <c r="J147" s="114"/>
      <c r="K147" s="27"/>
      <c r="L147" s="27"/>
      <c r="M147" s="27"/>
      <c r="N147" s="27"/>
      <c r="O147" s="336"/>
      <c r="P147" s="158"/>
      <c r="Q147" s="694"/>
      <c r="R147" s="694"/>
      <c r="S147" s="694"/>
      <c r="T147" s="694"/>
      <c r="U147" s="694"/>
      <c r="V147" s="694"/>
      <c r="W147" s="694"/>
      <c r="X147" s="694"/>
      <c r="Y147" s="770"/>
      <c r="Z147" s="770"/>
      <c r="AA147" s="770"/>
      <c r="AB147" s="1182" t="s">
        <v>737</v>
      </c>
      <c r="AC147" s="1526" t="b">
        <f t="shared" ref="AC147:AI147" si="22">IF(CNTR_ExistSubInstEntries,IF($L140=EUconst_Relevant,AC146&gt;=CNTR_ReportingYear,TRUE),FALSE)</f>
        <v>0</v>
      </c>
      <c r="AD147" s="1281" t="b">
        <f t="shared" si="22"/>
        <v>0</v>
      </c>
      <c r="AE147" s="1281" t="b">
        <f t="shared" si="22"/>
        <v>0</v>
      </c>
      <c r="AF147" s="1281" t="b">
        <f t="shared" si="22"/>
        <v>0</v>
      </c>
      <c r="AG147" s="1281" t="b">
        <f t="shared" si="22"/>
        <v>0</v>
      </c>
      <c r="AH147" s="1281" t="b">
        <f t="shared" si="22"/>
        <v>0</v>
      </c>
      <c r="AI147" s="1527" t="b">
        <f t="shared" si="22"/>
        <v>0</v>
      </c>
      <c r="AJ147" s="770"/>
      <c r="AK147" s="770"/>
      <c r="AL147" s="770"/>
    </row>
    <row r="148" spans="1:38" ht="5.15" customHeight="1" x14ac:dyDescent="0.25">
      <c r="A148" s="694"/>
      <c r="B148" s="284"/>
      <c r="C148" s="284"/>
      <c r="D148" s="284"/>
      <c r="E148" s="284"/>
      <c r="F148" s="284"/>
      <c r="G148" s="284"/>
      <c r="H148" s="284"/>
      <c r="I148" s="284"/>
      <c r="J148" s="284"/>
      <c r="K148" s="284"/>
      <c r="L148" s="284"/>
      <c r="M148" s="336"/>
      <c r="N148" s="336"/>
      <c r="O148" s="336"/>
      <c r="P148" s="302"/>
      <c r="Q148" s="770"/>
      <c r="R148" s="694"/>
      <c r="S148" s="694"/>
      <c r="T148" s="694"/>
      <c r="U148" s="694"/>
      <c r="V148" s="694"/>
      <c r="W148" s="694"/>
      <c r="X148" s="694"/>
      <c r="Y148" s="770"/>
      <c r="Z148" s="770"/>
      <c r="AA148" s="770"/>
      <c r="AB148" s="770"/>
      <c r="AC148" s="1542"/>
      <c r="AD148" s="770"/>
      <c r="AE148" s="770"/>
      <c r="AF148" s="770"/>
      <c r="AG148" s="770"/>
      <c r="AH148" s="770"/>
      <c r="AI148" s="1543"/>
      <c r="AJ148" s="770"/>
      <c r="AK148" s="770"/>
      <c r="AL148" s="770"/>
    </row>
    <row r="149" spans="1:38" ht="13" x14ac:dyDescent="0.25">
      <c r="A149" s="694"/>
      <c r="B149" s="284"/>
      <c r="C149" s="284"/>
      <c r="D149" s="300" t="s">
        <v>46</v>
      </c>
      <c r="E149" s="2226" t="str">
        <f>Translations!$B$756</f>
        <v>Данни за състава:</v>
      </c>
      <c r="F149" s="2249"/>
      <c r="G149" s="2249"/>
      <c r="H149" s="2249"/>
      <c r="I149" s="2249"/>
      <c r="J149" s="2249"/>
      <c r="K149" s="2249"/>
      <c r="L149" s="2249"/>
      <c r="M149" s="2249"/>
      <c r="N149" s="2249"/>
      <c r="O149" s="336"/>
      <c r="P149" s="302"/>
      <c r="Q149" s="770"/>
      <c r="R149" s="694"/>
      <c r="S149" s="694"/>
      <c r="T149" s="694"/>
      <c r="U149" s="694"/>
      <c r="V149" s="694"/>
      <c r="W149" s="694"/>
      <c r="X149" s="694"/>
      <c r="Y149" s="770"/>
      <c r="Z149" s="770"/>
      <c r="AA149" s="770"/>
      <c r="AB149" s="770"/>
      <c r="AC149" s="1542"/>
      <c r="AD149" s="770"/>
      <c r="AE149" s="770"/>
      <c r="AF149" s="770"/>
      <c r="AG149" s="770"/>
      <c r="AH149" s="770"/>
      <c r="AI149" s="1543"/>
      <c r="AJ149" s="770"/>
      <c r="AK149" s="770"/>
      <c r="AL149" s="770"/>
    </row>
    <row r="150" spans="1:38" x14ac:dyDescent="0.25">
      <c r="A150" s="694"/>
      <c r="B150" s="284"/>
      <c r="C150" s="284"/>
      <c r="D150" s="302"/>
      <c r="E150" s="2358" t="str">
        <f>Translations!$B$771</f>
        <v>Съгласно точка 3 от приложение III към ПБР са необходими следните данни:</v>
      </c>
      <c r="F150" s="2249"/>
      <c r="G150" s="2249"/>
      <c r="H150" s="2249"/>
      <c r="I150" s="2249"/>
      <c r="J150" s="2249"/>
      <c r="K150" s="2249"/>
      <c r="L150" s="2249"/>
      <c r="M150" s="2249"/>
      <c r="N150" s="2249"/>
      <c r="O150" s="336"/>
      <c r="P150" s="302"/>
      <c r="Q150" s="770"/>
      <c r="R150" s="694"/>
      <c r="S150" s="694"/>
      <c r="T150" s="694"/>
      <c r="U150" s="694"/>
      <c r="V150" s="694"/>
      <c r="W150" s="694"/>
      <c r="X150" s="694"/>
      <c r="Y150" s="770"/>
      <c r="Z150" s="770"/>
      <c r="AA150" s="770"/>
      <c r="AB150" s="770"/>
      <c r="AC150" s="1542"/>
      <c r="AD150" s="770"/>
      <c r="AE150" s="770"/>
      <c r="AF150" s="770"/>
      <c r="AG150" s="770"/>
      <c r="AH150" s="770"/>
      <c r="AI150" s="1543"/>
      <c r="AJ150" s="770"/>
      <c r="AK150" s="770"/>
      <c r="AL150" s="770"/>
    </row>
    <row r="151" spans="1:38" x14ac:dyDescent="0.25">
      <c r="A151" s="694"/>
      <c r="B151" s="284"/>
      <c r="C151" s="284"/>
      <c r="D151" s="302"/>
      <c r="E151" s="460" t="s">
        <v>98</v>
      </c>
      <c r="F151" s="2358" t="str">
        <f>Translations!$B$772</f>
        <v>съдържание на свободен CaO в доломитната вар, произведена през всяка година от базовия период, изразено в тегловни проценти</v>
      </c>
      <c r="G151" s="2249"/>
      <c r="H151" s="2249"/>
      <c r="I151" s="2249"/>
      <c r="J151" s="2249"/>
      <c r="K151" s="2249"/>
      <c r="L151" s="2249"/>
      <c r="M151" s="2249"/>
      <c r="N151" s="2249"/>
      <c r="O151" s="336"/>
      <c r="P151" s="302"/>
      <c r="Q151" s="770"/>
      <c r="R151" s="694"/>
      <c r="S151" s="694"/>
      <c r="T151" s="694"/>
      <c r="U151" s="694"/>
      <c r="V151" s="694"/>
      <c r="W151" s="694"/>
      <c r="X151" s="694"/>
      <c r="Y151" s="770"/>
      <c r="Z151" s="770"/>
      <c r="AA151" s="770"/>
      <c r="AB151" s="770"/>
      <c r="AC151" s="1542"/>
      <c r="AD151" s="770"/>
      <c r="AE151" s="770"/>
      <c r="AF151" s="770"/>
      <c r="AG151" s="770"/>
      <c r="AH151" s="770"/>
      <c r="AI151" s="1543"/>
      <c r="AJ151" s="770"/>
      <c r="AK151" s="770"/>
      <c r="AL151" s="770"/>
    </row>
    <row r="152" spans="1:38" ht="12.75" hidden="1" customHeight="1" x14ac:dyDescent="0.25">
      <c r="A152" s="729" t="s">
        <v>312</v>
      </c>
      <c r="B152" s="284"/>
      <c r="C152" s="284"/>
      <c r="D152" s="302"/>
      <c r="E152" s="460"/>
      <c r="F152" s="2358"/>
      <c r="G152" s="2249"/>
      <c r="H152" s="2249"/>
      <c r="I152" s="2249"/>
      <c r="J152" s="2249"/>
      <c r="K152" s="2249"/>
      <c r="L152" s="2249"/>
      <c r="M152" s="2249"/>
      <c r="N152" s="2249"/>
      <c r="O152" s="336"/>
      <c r="P152" s="302"/>
      <c r="Q152" s="770"/>
      <c r="R152" s="694"/>
      <c r="S152" s="694"/>
      <c r="T152" s="694"/>
      <c r="U152" s="694"/>
      <c r="V152" s="694"/>
      <c r="W152" s="694"/>
      <c r="X152" s="694"/>
      <c r="Y152" s="770"/>
      <c r="Z152" s="770"/>
      <c r="AA152" s="770"/>
      <c r="AB152" s="770"/>
      <c r="AC152" s="1542"/>
      <c r="AD152" s="770"/>
      <c r="AE152" s="770"/>
      <c r="AF152" s="770"/>
      <c r="AG152" s="770"/>
      <c r="AH152" s="770"/>
      <c r="AI152" s="1543"/>
      <c r="AJ152" s="770"/>
      <c r="AK152" s="770"/>
      <c r="AL152" s="770"/>
    </row>
    <row r="153" spans="1:38" x14ac:dyDescent="0.25">
      <c r="A153" s="694"/>
      <c r="B153" s="284"/>
      <c r="C153" s="284"/>
      <c r="D153" s="302"/>
      <c r="E153" s="460" t="s">
        <v>99</v>
      </c>
      <c r="F153" s="2358" t="str">
        <f>Translations!$B$773</f>
        <v>съдържание на свободен MgO в доломитната вар, произведена през всяка година от базовия период, изразено в тегловни проценти</v>
      </c>
      <c r="G153" s="2249"/>
      <c r="H153" s="2249"/>
      <c r="I153" s="2249"/>
      <c r="J153" s="2249"/>
      <c r="K153" s="2249"/>
      <c r="L153" s="2249"/>
      <c r="M153" s="2249"/>
      <c r="N153" s="2249"/>
      <c r="O153" s="336"/>
      <c r="P153" s="302"/>
      <c r="Q153" s="770"/>
      <c r="R153" s="694"/>
      <c r="S153" s="694"/>
      <c r="T153" s="694"/>
      <c r="U153" s="694"/>
      <c r="V153" s="694"/>
      <c r="W153" s="694"/>
      <c r="X153" s="694"/>
      <c r="Y153" s="770"/>
      <c r="Z153" s="770"/>
      <c r="AA153" s="770"/>
      <c r="AB153" s="770"/>
      <c r="AC153" s="1542"/>
      <c r="AD153" s="770"/>
      <c r="AE153" s="770"/>
      <c r="AF153" s="770"/>
      <c r="AG153" s="770"/>
      <c r="AH153" s="770"/>
      <c r="AI153" s="1543"/>
      <c r="AJ153" s="770"/>
      <c r="AK153" s="770"/>
      <c r="AL153" s="770"/>
    </row>
    <row r="154" spans="1:38" ht="12.75" hidden="1" customHeight="1" x14ac:dyDescent="0.25">
      <c r="A154" s="729" t="s">
        <v>312</v>
      </c>
      <c r="B154" s="284"/>
      <c r="C154" s="284"/>
      <c r="D154" s="302"/>
      <c r="E154" s="460"/>
      <c r="F154" s="2358"/>
      <c r="G154" s="2249"/>
      <c r="H154" s="2249"/>
      <c r="I154" s="2249"/>
      <c r="J154" s="2249"/>
      <c r="K154" s="2249"/>
      <c r="L154" s="2249"/>
      <c r="M154" s="2249"/>
      <c r="N154" s="2249"/>
      <c r="O154" s="336"/>
      <c r="P154" s="302"/>
      <c r="Q154" s="770"/>
      <c r="R154" s="694"/>
      <c r="S154" s="694"/>
      <c r="T154" s="694"/>
      <c r="U154" s="694"/>
      <c r="V154" s="694"/>
      <c r="W154" s="694"/>
      <c r="X154" s="694"/>
      <c r="Y154" s="770"/>
      <c r="Z154" s="770"/>
      <c r="AA154" s="770"/>
      <c r="AB154" s="770"/>
      <c r="AC154" s="1542"/>
      <c r="AD154" s="770"/>
      <c r="AE154" s="770"/>
      <c r="AF154" s="770"/>
      <c r="AG154" s="770"/>
      <c r="AH154" s="770"/>
      <c r="AI154" s="1543"/>
      <c r="AJ154" s="770"/>
      <c r="AK154" s="770"/>
      <c r="AL154" s="770"/>
    </row>
    <row r="155" spans="1:38" ht="13" x14ac:dyDescent="0.25">
      <c r="A155" s="694"/>
      <c r="B155" s="698"/>
      <c r="C155" s="698"/>
      <c r="D155" s="300"/>
      <c r="E155" s="461"/>
      <c r="F155" s="742"/>
      <c r="G155" s="527" t="str">
        <f>EUconst_Unit</f>
        <v>Единица мярка</v>
      </c>
      <c r="H155" s="387">
        <f t="shared" ref="H155:N155" si="23">H$490</f>
        <v>2024</v>
      </c>
      <c r="I155" s="1544">
        <f t="shared" si="23"/>
        <v>2025</v>
      </c>
      <c r="J155" s="1523">
        <f t="shared" si="23"/>
        <v>2026</v>
      </c>
      <c r="K155" s="387">
        <f t="shared" si="23"/>
        <v>2027</v>
      </c>
      <c r="L155" s="387">
        <f t="shared" si="23"/>
        <v>2028</v>
      </c>
      <c r="M155" s="387">
        <f t="shared" si="23"/>
        <v>2029</v>
      </c>
      <c r="N155" s="1522">
        <f t="shared" si="23"/>
        <v>2030</v>
      </c>
      <c r="O155" s="336"/>
      <c r="P155" s="302"/>
      <c r="Q155" s="694"/>
      <c r="R155" s="694"/>
      <c r="S155" s="694"/>
      <c r="T155" s="694"/>
      <c r="U155" s="694"/>
      <c r="V155" s="694"/>
      <c r="W155" s="694"/>
      <c r="X155" s="694"/>
      <c r="Y155" s="770"/>
      <c r="Z155" s="770"/>
      <c r="AA155" s="770"/>
      <c r="AB155" s="770"/>
      <c r="AC155" s="1542"/>
      <c r="AD155" s="770"/>
      <c r="AE155" s="770"/>
      <c r="AF155" s="770"/>
      <c r="AG155" s="770"/>
      <c r="AH155" s="770"/>
      <c r="AI155" s="1543"/>
      <c r="AJ155" s="770"/>
      <c r="AK155" s="770"/>
      <c r="AL155" s="770"/>
    </row>
    <row r="156" spans="1:38" x14ac:dyDescent="0.25">
      <c r="A156" s="694"/>
      <c r="B156" s="698"/>
      <c r="C156" s="698"/>
      <c r="D156" s="698"/>
      <c r="E156" s="1258" t="str">
        <f>Translations!$B$760</f>
        <v>Съдържание на CaO</v>
      </c>
      <c r="F156" s="1258"/>
      <c r="G156" s="1085" t="s">
        <v>1053</v>
      </c>
      <c r="H156" s="33"/>
      <c r="I156" s="261"/>
      <c r="J156" s="262"/>
      <c r="K156" s="33"/>
      <c r="L156" s="33"/>
      <c r="M156" s="33"/>
      <c r="N156" s="46"/>
      <c r="O156" s="336"/>
      <c r="P156" s="158"/>
      <c r="Q156" s="694"/>
      <c r="R156" s="694"/>
      <c r="S156" s="694"/>
      <c r="T156" s="694"/>
      <c r="U156" s="694"/>
      <c r="V156" s="694"/>
      <c r="W156" s="694"/>
      <c r="X156" s="694"/>
      <c r="Y156" s="770"/>
      <c r="Z156" s="770"/>
      <c r="AA156" s="770"/>
      <c r="AB156" s="770"/>
      <c r="AC156" s="1530" t="b">
        <f>AC147</f>
        <v>0</v>
      </c>
      <c r="AD156" s="1500" t="b">
        <f t="shared" ref="AD156:AI156" si="24">AD147</f>
        <v>0</v>
      </c>
      <c r="AE156" s="1500" t="b">
        <f t="shared" si="24"/>
        <v>0</v>
      </c>
      <c r="AF156" s="1500" t="b">
        <f t="shared" si="24"/>
        <v>0</v>
      </c>
      <c r="AG156" s="1500" t="b">
        <f t="shared" si="24"/>
        <v>0</v>
      </c>
      <c r="AH156" s="1500" t="b">
        <f t="shared" si="24"/>
        <v>0</v>
      </c>
      <c r="AI156" s="1531" t="b">
        <f t="shared" si="24"/>
        <v>0</v>
      </c>
      <c r="AJ156" s="770"/>
      <c r="AK156" s="770"/>
      <c r="AL156" s="770"/>
    </row>
    <row r="157" spans="1:38" ht="13" thickBot="1" x14ac:dyDescent="0.3">
      <c r="A157" s="694"/>
      <c r="B157" s="698"/>
      <c r="C157" s="698"/>
      <c r="D157" s="698"/>
      <c r="E157" s="1534" t="str">
        <f>Translations!$B$761</f>
        <v>Съдържание на MgO</v>
      </c>
      <c r="F157" s="1534"/>
      <c r="G157" s="1088" t="s">
        <v>1053</v>
      </c>
      <c r="H157" s="30"/>
      <c r="I157" s="263"/>
      <c r="J157" s="264"/>
      <c r="K157" s="30"/>
      <c r="L157" s="30"/>
      <c r="M157" s="30"/>
      <c r="N157" s="48"/>
      <c r="O157" s="336"/>
      <c r="P157" s="158"/>
      <c r="Q157" s="694"/>
      <c r="R157" s="694"/>
      <c r="S157" s="694"/>
      <c r="T157" s="694"/>
      <c r="U157" s="694"/>
      <c r="V157" s="694"/>
      <c r="W157" s="694"/>
      <c r="X157" s="694"/>
      <c r="Y157" s="770"/>
      <c r="Z157" s="770"/>
      <c r="AA157" s="770"/>
      <c r="AB157" s="770"/>
      <c r="AC157" s="1536" t="b">
        <f>AC156</f>
        <v>0</v>
      </c>
      <c r="AD157" s="1537" t="b">
        <f t="shared" ref="AD157:AI157" si="25">AD156</f>
        <v>0</v>
      </c>
      <c r="AE157" s="1537" t="b">
        <f t="shared" si="25"/>
        <v>0</v>
      </c>
      <c r="AF157" s="1537" t="b">
        <f t="shared" si="25"/>
        <v>0</v>
      </c>
      <c r="AG157" s="1537" t="b">
        <f t="shared" si="25"/>
        <v>0</v>
      </c>
      <c r="AH157" s="1537" t="b">
        <f t="shared" si="25"/>
        <v>0</v>
      </c>
      <c r="AI157" s="1538" t="b">
        <f t="shared" si="25"/>
        <v>0</v>
      </c>
      <c r="AJ157" s="770"/>
      <c r="AK157" s="770"/>
      <c r="AL157" s="770"/>
    </row>
    <row r="158" spans="1:38" ht="5.15" customHeight="1" x14ac:dyDescent="0.25">
      <c r="A158" s="694"/>
      <c r="B158" s="284"/>
      <c r="C158" s="284"/>
      <c r="D158" s="284"/>
      <c r="E158" s="284"/>
      <c r="F158" s="284"/>
      <c r="G158" s="284"/>
      <c r="H158" s="284"/>
      <c r="I158" s="284"/>
      <c r="J158" s="284"/>
      <c r="K158" s="284"/>
      <c r="L158" s="284"/>
      <c r="M158" s="336"/>
      <c r="N158" s="336"/>
      <c r="O158" s="336"/>
      <c r="P158" s="302"/>
      <c r="Q158" s="770"/>
      <c r="R158" s="694"/>
      <c r="S158" s="694"/>
      <c r="T158" s="694"/>
      <c r="U158" s="694"/>
      <c r="V158" s="694"/>
      <c r="W158" s="694"/>
      <c r="X158" s="694"/>
      <c r="Y158" s="770"/>
      <c r="Z158" s="770"/>
      <c r="AA158" s="770"/>
      <c r="AB158" s="770"/>
      <c r="AC158" s="770"/>
      <c r="AD158" s="770"/>
      <c r="AE158" s="770"/>
      <c r="AF158" s="770"/>
      <c r="AG158" s="770"/>
      <c r="AH158" s="770"/>
      <c r="AI158" s="770"/>
      <c r="AJ158" s="770"/>
      <c r="AK158" s="770"/>
      <c r="AL158" s="770"/>
    </row>
    <row r="159" spans="1:38" ht="13" x14ac:dyDescent="0.25">
      <c r="A159" s="694"/>
      <c r="B159" s="284"/>
      <c r="C159" s="284"/>
      <c r="D159" s="300" t="s">
        <v>906</v>
      </c>
      <c r="E159" s="2226" t="str">
        <f>Translations!$B$774</f>
        <v>Резултат: Равнища на дейност за доломитна вар, изразени като стандартна чиста доломитна вар</v>
      </c>
      <c r="F159" s="2249"/>
      <c r="G159" s="2249"/>
      <c r="H159" s="2249"/>
      <c r="I159" s="2249"/>
      <c r="J159" s="2249"/>
      <c r="K159" s="2249"/>
      <c r="L159" s="2249"/>
      <c r="M159" s="2249"/>
      <c r="N159" s="2249"/>
      <c r="O159" s="336"/>
      <c r="P159" s="302"/>
      <c r="Q159" s="770"/>
      <c r="R159" s="694"/>
      <c r="S159" s="694"/>
      <c r="T159" s="694"/>
      <c r="U159" s="694"/>
      <c r="V159" s="694"/>
      <c r="W159" s="694"/>
      <c r="X159" s="694"/>
      <c r="Y159" s="770"/>
      <c r="Z159" s="770"/>
      <c r="AA159" s="770"/>
      <c r="AB159" s="770"/>
      <c r="AC159" s="770"/>
      <c r="AD159" s="770"/>
      <c r="AE159" s="770"/>
      <c r="AF159" s="770"/>
      <c r="AG159" s="770"/>
      <c r="AH159" s="770"/>
      <c r="AI159" s="770"/>
      <c r="AJ159" s="770"/>
      <c r="AK159" s="770"/>
      <c r="AL159" s="770"/>
    </row>
    <row r="160" spans="1:38" x14ac:dyDescent="0.25">
      <c r="A160" s="694"/>
      <c r="B160" s="284"/>
      <c r="C160" s="284"/>
      <c r="D160" s="302"/>
      <c r="E160" s="2358" t="str">
        <f>Translations!$B$775</f>
        <v>Тук коригираното равнище на дейност за доломитна вар се изчислява с помощта на формулата от точка 3 от приложение III към ПБР (преди да се определи статистическата медиана).</v>
      </c>
      <c r="F160" s="2249"/>
      <c r="G160" s="2249"/>
      <c r="H160" s="2249"/>
      <c r="I160" s="2249"/>
      <c r="J160" s="2249"/>
      <c r="K160" s="2249"/>
      <c r="L160" s="2249"/>
      <c r="M160" s="2249"/>
      <c r="N160" s="2249"/>
      <c r="O160" s="336"/>
      <c r="P160" s="302"/>
      <c r="Q160" s="770"/>
      <c r="R160" s="694"/>
      <c r="S160" s="694"/>
      <c r="T160" s="694"/>
      <c r="U160" s="694"/>
      <c r="V160" s="694"/>
      <c r="W160" s="694"/>
      <c r="X160" s="694"/>
      <c r="Y160" s="770"/>
      <c r="Z160" s="770"/>
      <c r="AA160" s="770"/>
      <c r="AB160" s="770"/>
      <c r="AC160" s="770"/>
      <c r="AD160" s="770"/>
      <c r="AE160" s="770"/>
      <c r="AF160" s="770"/>
      <c r="AG160" s="770"/>
      <c r="AH160" s="770"/>
      <c r="AI160" s="770"/>
      <c r="AJ160" s="770"/>
      <c r="AK160" s="770"/>
      <c r="AL160" s="770"/>
    </row>
    <row r="161" spans="1:38" x14ac:dyDescent="0.25">
      <c r="A161" s="694"/>
      <c r="B161" s="284"/>
      <c r="C161" s="284"/>
      <c r="D161" s="302"/>
      <c r="E161" s="2358" t="str">
        <f>Translations!$B$748</f>
        <v>Резултатът от този инструмент се използва в работен лист „F_ProductBM“, ред a).ii за съответната подинсталация, от която е изчислена статистическата медиана.</v>
      </c>
      <c r="F161" s="2249"/>
      <c r="G161" s="2249"/>
      <c r="H161" s="2249"/>
      <c r="I161" s="2249"/>
      <c r="J161" s="2249"/>
      <c r="K161" s="2249"/>
      <c r="L161" s="2249"/>
      <c r="M161" s="2249"/>
      <c r="N161" s="2249"/>
      <c r="O161" s="336"/>
      <c r="P161" s="302"/>
      <c r="Q161" s="770"/>
      <c r="R161" s="694"/>
      <c r="S161" s="694"/>
      <c r="T161" s="694"/>
      <c r="U161" s="694"/>
      <c r="V161" s="694"/>
      <c r="W161" s="694"/>
      <c r="X161" s="694"/>
      <c r="Y161" s="770"/>
      <c r="Z161" s="770"/>
      <c r="AA161" s="770"/>
      <c r="AB161" s="770"/>
      <c r="AC161" s="770"/>
      <c r="AD161" s="770"/>
      <c r="AE161" s="770"/>
      <c r="AF161" s="770"/>
      <c r="AG161" s="770"/>
      <c r="AH161" s="770"/>
      <c r="AI161" s="770"/>
      <c r="AJ161" s="770"/>
      <c r="AK161" s="770"/>
      <c r="AL161" s="770"/>
    </row>
    <row r="162" spans="1:38" ht="13" x14ac:dyDescent="0.25">
      <c r="A162" s="694"/>
      <c r="B162" s="698"/>
      <c r="C162" s="698"/>
      <c r="D162" s="300"/>
      <c r="E162" s="742"/>
      <c r="F162" s="742"/>
      <c r="G162" s="527" t="str">
        <f>EUconst_Unit</f>
        <v>Единица мярка</v>
      </c>
      <c r="H162" s="387">
        <f t="shared" ref="H162:N162" si="26">H$490</f>
        <v>2024</v>
      </c>
      <c r="I162" s="1544">
        <f t="shared" si="26"/>
        <v>2025</v>
      </c>
      <c r="J162" s="1523">
        <f t="shared" si="26"/>
        <v>2026</v>
      </c>
      <c r="K162" s="387">
        <f t="shared" si="26"/>
        <v>2027</v>
      </c>
      <c r="L162" s="387">
        <f t="shared" si="26"/>
        <v>2028</v>
      </c>
      <c r="M162" s="387">
        <f t="shared" si="26"/>
        <v>2029</v>
      </c>
      <c r="N162" s="1522">
        <f t="shared" si="26"/>
        <v>2030</v>
      </c>
      <c r="O162" s="336"/>
      <c r="P162" s="302"/>
      <c r="Q162" s="694"/>
      <c r="R162" s="694"/>
      <c r="S162" s="694"/>
      <c r="T162" s="694"/>
      <c r="U162" s="694"/>
      <c r="V162" s="694"/>
      <c r="W162" s="694"/>
      <c r="X162" s="694"/>
      <c r="Y162" s="770"/>
      <c r="Z162" s="770"/>
      <c r="AA162" s="770"/>
      <c r="AB162" s="770"/>
      <c r="AC162" s="770"/>
      <c r="AD162" s="770"/>
      <c r="AE162" s="770"/>
      <c r="AF162" s="770"/>
      <c r="AG162" s="770"/>
      <c r="AH162" s="770"/>
      <c r="AI162" s="770"/>
      <c r="AJ162" s="770"/>
      <c r="AK162" s="770"/>
      <c r="AL162" s="770"/>
    </row>
    <row r="163" spans="1:38" ht="13" customHeight="1" x14ac:dyDescent="0.25">
      <c r="A163" s="694"/>
      <c r="B163" s="698"/>
      <c r="C163" s="698"/>
      <c r="D163" s="698"/>
      <c r="E163" s="1295" t="str">
        <f>Translations!$B$776</f>
        <v>производство на стандартна чиста доломитна вар</v>
      </c>
      <c r="F163" s="1295"/>
      <c r="G163" s="1016" t="str">
        <f>EUconst_tpa</f>
        <v>t / година</v>
      </c>
      <c r="H163" s="1539" t="str">
        <f t="shared" ref="H163:N163" si="27">IF(ISNUMBER(H147),H147*(785*H156/100+1092*H157/100)/865.6,"")</f>
        <v/>
      </c>
      <c r="I163" s="1545" t="str">
        <f t="shared" si="27"/>
        <v/>
      </c>
      <c r="J163" s="1541" t="str">
        <f t="shared" si="27"/>
        <v/>
      </c>
      <c r="K163" s="1539" t="str">
        <f t="shared" si="27"/>
        <v/>
      </c>
      <c r="L163" s="1539" t="str">
        <f t="shared" si="27"/>
        <v/>
      </c>
      <c r="M163" s="1539" t="str">
        <f t="shared" si="27"/>
        <v/>
      </c>
      <c r="N163" s="1540" t="str">
        <f t="shared" si="27"/>
        <v/>
      </c>
      <c r="O163" s="336"/>
      <c r="P163" s="302"/>
      <c r="Q163" s="982" t="str">
        <f>IF(L140=EUconst_Relevant,EUconst_CNTR_HALspecial &amp; INDEX(EUconst_BMlistNames,MATCH(R140,EUconst_BMlistMainNumberOfBM,0)),"")</f>
        <v/>
      </c>
      <c r="R163" s="694"/>
      <c r="S163" s="694"/>
      <c r="T163" s="694"/>
      <c r="U163" s="694"/>
      <c r="V163" s="694"/>
      <c r="W163" s="694"/>
      <c r="X163" s="694"/>
      <c r="Y163" s="770"/>
      <c r="Z163" s="770"/>
      <c r="AA163" s="770"/>
      <c r="AB163" s="770"/>
      <c r="AC163" s="770"/>
      <c r="AD163" s="770"/>
      <c r="AE163" s="770"/>
      <c r="AF163" s="770"/>
      <c r="AG163" s="770"/>
      <c r="AH163" s="770"/>
      <c r="AI163" s="770"/>
      <c r="AJ163" s="770"/>
      <c r="AK163" s="770"/>
      <c r="AL163" s="770"/>
    </row>
    <row r="164" spans="1:38" ht="5.15" customHeight="1" x14ac:dyDescent="0.25">
      <c r="A164" s="694"/>
      <c r="B164" s="284"/>
      <c r="C164" s="284"/>
      <c r="D164" s="284"/>
      <c r="E164" s="284"/>
      <c r="F164" s="284"/>
      <c r="G164" s="284"/>
      <c r="H164" s="284"/>
      <c r="I164" s="284"/>
      <c r="J164" s="284"/>
      <c r="K164" s="284"/>
      <c r="L164" s="284"/>
      <c r="M164" s="336"/>
      <c r="N164" s="336"/>
      <c r="O164" s="336"/>
      <c r="P164" s="302"/>
      <c r="Q164" s="770"/>
      <c r="R164" s="694"/>
      <c r="S164" s="694"/>
      <c r="T164" s="694"/>
      <c r="U164" s="694"/>
      <c r="V164" s="694"/>
      <c r="W164" s="694"/>
      <c r="X164" s="694"/>
      <c r="Y164" s="770"/>
      <c r="Z164" s="770"/>
      <c r="AA164" s="770"/>
      <c r="AB164" s="770"/>
      <c r="AC164" s="770"/>
      <c r="AD164" s="770"/>
      <c r="AE164" s="770"/>
      <c r="AF164" s="770"/>
      <c r="AG164" s="770"/>
      <c r="AH164" s="770"/>
      <c r="AI164" s="770"/>
      <c r="AJ164" s="770"/>
      <c r="AK164" s="770"/>
      <c r="AL164" s="770"/>
    </row>
    <row r="165" spans="1:38" ht="13" x14ac:dyDescent="0.25">
      <c r="A165" s="694"/>
      <c r="B165" s="284"/>
      <c r="C165" s="284"/>
      <c r="D165" s="284"/>
      <c r="E165" s="2951" t="str">
        <f>IF(L140=EUconst_Relevant,HYPERLINK(R165,EUconst_MsgBackToSheetF),"")</f>
        <v/>
      </c>
      <c r="F165" s="2952"/>
      <c r="G165" s="2952"/>
      <c r="H165" s="2952"/>
      <c r="I165" s="2952"/>
      <c r="J165" s="2952"/>
      <c r="K165" s="2952"/>
      <c r="L165" s="2952"/>
      <c r="M165" s="2952"/>
      <c r="N165" s="2953"/>
      <c r="O165" s="336"/>
      <c r="P165" s="302"/>
      <c r="Q165" s="1395" t="s">
        <v>113</v>
      </c>
      <c r="R165" s="982" t="str">
        <f>R142</f>
        <v/>
      </c>
      <c r="S165" s="694"/>
      <c r="T165" s="694"/>
      <c r="U165" s="694"/>
      <c r="V165" s="694"/>
      <c r="W165" s="694"/>
      <c r="X165" s="694"/>
      <c r="Y165" s="770"/>
      <c r="Z165" s="770"/>
      <c r="AA165" s="770"/>
      <c r="AB165" s="770"/>
      <c r="AC165" s="770"/>
      <c r="AD165" s="770"/>
      <c r="AE165" s="770"/>
      <c r="AF165" s="770"/>
      <c r="AG165" s="770"/>
      <c r="AH165" s="770"/>
      <c r="AI165" s="770"/>
      <c r="AJ165" s="770"/>
      <c r="AK165" s="770"/>
      <c r="AL165" s="770"/>
    </row>
    <row r="166" spans="1:38" x14ac:dyDescent="0.25">
      <c r="A166" s="694"/>
      <c r="B166" s="698"/>
      <c r="C166" s="698"/>
      <c r="D166" s="698"/>
      <c r="E166" s="698"/>
      <c r="F166" s="698"/>
      <c r="G166" s="698"/>
      <c r="H166" s="698"/>
      <c r="I166" s="698"/>
      <c r="J166" s="698"/>
      <c r="K166" s="698"/>
      <c r="L166" s="698"/>
      <c r="M166" s="698"/>
      <c r="N166" s="698"/>
      <c r="O166" s="336"/>
      <c r="P166" s="302"/>
      <c r="Q166" s="694"/>
      <c r="R166" s="694"/>
      <c r="S166" s="694"/>
      <c r="T166" s="694"/>
      <c r="U166" s="694"/>
      <c r="V166" s="694"/>
      <c r="W166" s="694"/>
      <c r="X166" s="694"/>
      <c r="Y166" s="770"/>
      <c r="Z166" s="770"/>
      <c r="AA166" s="770"/>
      <c r="AB166" s="770"/>
      <c r="AC166" s="770"/>
      <c r="AD166" s="770"/>
      <c r="AE166" s="770"/>
      <c r="AF166" s="770"/>
      <c r="AG166" s="770"/>
      <c r="AH166" s="770"/>
      <c r="AI166" s="770"/>
      <c r="AJ166" s="770"/>
      <c r="AK166" s="770"/>
      <c r="AL166" s="770"/>
    </row>
    <row r="167" spans="1:38" ht="15.5" x14ac:dyDescent="0.35">
      <c r="A167" s="694"/>
      <c r="B167" s="284"/>
      <c r="C167" s="327" t="s">
        <v>10</v>
      </c>
      <c r="D167" s="2245" t="str">
        <f>Translations!$B$777</f>
        <v>Крекинг с водна пара</v>
      </c>
      <c r="E167" s="2245"/>
      <c r="F167" s="2245"/>
      <c r="G167" s="2245"/>
      <c r="H167" s="2245"/>
      <c r="I167" s="2245"/>
      <c r="J167" s="2245"/>
      <c r="K167" s="2245"/>
      <c r="L167" s="2245"/>
      <c r="M167" s="2245"/>
      <c r="N167" s="2245"/>
      <c r="O167" s="336"/>
      <c r="P167" s="302"/>
      <c r="Q167" s="770"/>
      <c r="R167" s="694"/>
      <c r="S167" s="694"/>
      <c r="T167" s="694"/>
      <c r="U167" s="694"/>
      <c r="V167" s="694"/>
      <c r="W167" s="694"/>
      <c r="X167" s="694"/>
      <c r="Y167" s="770"/>
      <c r="Z167" s="770"/>
      <c r="AA167" s="770"/>
      <c r="AB167" s="770"/>
      <c r="AC167" s="770"/>
      <c r="AD167" s="770"/>
      <c r="AE167" s="770"/>
      <c r="AF167" s="770"/>
      <c r="AG167" s="770"/>
      <c r="AH167" s="770"/>
      <c r="AI167" s="770"/>
      <c r="AJ167" s="770"/>
      <c r="AK167" s="770"/>
      <c r="AL167" s="770"/>
    </row>
    <row r="168" spans="1:38" ht="5.15" customHeight="1" x14ac:dyDescent="0.25">
      <c r="A168" s="694"/>
      <c r="B168" s="284"/>
      <c r="C168" s="284"/>
      <c r="D168" s="284"/>
      <c r="E168" s="284"/>
      <c r="F168" s="284"/>
      <c r="G168" s="284"/>
      <c r="H168" s="284"/>
      <c r="I168" s="284"/>
      <c r="J168" s="284"/>
      <c r="K168" s="284"/>
      <c r="L168" s="284"/>
      <c r="M168" s="336"/>
      <c r="N168" s="336"/>
      <c r="O168" s="336"/>
      <c r="P168" s="302"/>
      <c r="Q168" s="770"/>
      <c r="R168" s="694"/>
      <c r="S168" s="694"/>
      <c r="T168" s="694"/>
      <c r="U168" s="694"/>
      <c r="V168" s="694"/>
      <c r="W168" s="694"/>
      <c r="X168" s="694"/>
      <c r="Y168" s="770"/>
      <c r="Z168" s="770"/>
      <c r="AA168" s="770"/>
      <c r="AB168" s="770"/>
      <c r="AC168" s="770"/>
      <c r="AD168" s="770"/>
      <c r="AE168" s="770"/>
      <c r="AF168" s="770"/>
      <c r="AG168" s="770"/>
      <c r="AH168" s="770"/>
      <c r="AI168" s="770"/>
      <c r="AJ168" s="770"/>
      <c r="AK168" s="770"/>
      <c r="AL168" s="770"/>
    </row>
    <row r="169" spans="1:38" ht="14" x14ac:dyDescent="0.3">
      <c r="A169" s="694"/>
      <c r="B169" s="284"/>
      <c r="C169" s="357">
        <v>1</v>
      </c>
      <c r="D169" s="2323" t="str">
        <f>Translations!$B$778</f>
        <v>Инструмент за изчисляване на историческите равнища на дейност за подинсталациите за крекинг с водна пара</v>
      </c>
      <c r="E169" s="2249"/>
      <c r="F169" s="2249"/>
      <c r="G169" s="2249"/>
      <c r="H169" s="2249"/>
      <c r="I169" s="2249"/>
      <c r="J169" s="2249"/>
      <c r="K169" s="2249"/>
      <c r="L169" s="2249"/>
      <c r="M169" s="2249"/>
      <c r="N169" s="2249"/>
      <c r="O169" s="336"/>
      <c r="P169" s="302"/>
      <c r="Q169" s="770"/>
      <c r="R169" s="694"/>
      <c r="S169" s="694"/>
      <c r="T169" s="694"/>
      <c r="U169" s="694"/>
      <c r="V169" s="694"/>
      <c r="W169" s="694"/>
      <c r="X169" s="694"/>
      <c r="Y169" s="770"/>
      <c r="Z169" s="770"/>
      <c r="AA169" s="770"/>
      <c r="AB169" s="770"/>
      <c r="AC169" s="770"/>
      <c r="AD169" s="770"/>
      <c r="AE169" s="770"/>
      <c r="AF169" s="770"/>
      <c r="AG169" s="770"/>
      <c r="AH169" s="770"/>
      <c r="AI169" s="770"/>
      <c r="AJ169" s="770"/>
      <c r="AK169" s="770"/>
      <c r="AL169" s="770"/>
    </row>
    <row r="170" spans="1:38" ht="5.15" customHeight="1" x14ac:dyDescent="0.25">
      <c r="A170" s="694"/>
      <c r="B170" s="284"/>
      <c r="C170" s="284"/>
      <c r="D170" s="284"/>
      <c r="E170" s="284"/>
      <c r="F170" s="284"/>
      <c r="G170" s="284"/>
      <c r="H170" s="284"/>
      <c r="I170" s="284"/>
      <c r="J170" s="284"/>
      <c r="K170" s="284"/>
      <c r="L170" s="284"/>
      <c r="M170" s="336"/>
      <c r="N170" s="336"/>
      <c r="O170" s="336"/>
      <c r="P170" s="302"/>
      <c r="Q170" s="770"/>
      <c r="R170" s="694"/>
      <c r="S170" s="694"/>
      <c r="T170" s="694"/>
      <c r="U170" s="694"/>
      <c r="V170" s="694"/>
      <c r="W170" s="694"/>
      <c r="X170" s="694"/>
      <c r="Y170" s="770"/>
      <c r="Z170" s="770"/>
      <c r="AA170" s="770"/>
      <c r="AB170" s="770"/>
      <c r="AC170" s="770"/>
      <c r="AD170" s="770"/>
      <c r="AE170" s="770"/>
      <c r="AF170" s="770"/>
      <c r="AG170" s="770"/>
      <c r="AH170" s="770"/>
      <c r="AI170" s="770"/>
      <c r="AJ170" s="770"/>
      <c r="AK170" s="770"/>
      <c r="AL170" s="770"/>
    </row>
    <row r="171" spans="1:38" x14ac:dyDescent="0.25">
      <c r="A171" s="694"/>
      <c r="B171" s="284"/>
      <c r="C171" s="284"/>
      <c r="D171" s="302"/>
      <c r="E171" s="2358" t="str">
        <f>Translations!$B$779</f>
        <v>Този инструмент Ви помага при определяне на HAL (исторически равнища на дейност) за продуктовия показател за крекинг с водна пара (приложение III, точка 4 от ПБР).</v>
      </c>
      <c r="F171" s="2249"/>
      <c r="G171" s="2249"/>
      <c r="H171" s="2249"/>
      <c r="I171" s="2249"/>
      <c r="J171" s="2249"/>
      <c r="K171" s="2249"/>
      <c r="L171" s="2249"/>
      <c r="M171" s="2249"/>
      <c r="N171" s="2249"/>
      <c r="O171" s="336"/>
      <c r="P171" s="302"/>
      <c r="Q171" s="770"/>
      <c r="R171" s="694"/>
      <c r="S171" s="694"/>
      <c r="T171" s="694"/>
      <c r="U171" s="694"/>
      <c r="V171" s="694"/>
      <c r="W171" s="694"/>
      <c r="X171" s="694"/>
      <c r="Y171" s="770"/>
      <c r="Z171" s="770"/>
      <c r="AA171" s="770"/>
      <c r="AB171" s="770"/>
      <c r="AC171" s="770"/>
      <c r="AD171" s="770"/>
      <c r="AE171" s="770"/>
      <c r="AF171" s="770"/>
      <c r="AG171" s="770"/>
      <c r="AH171" s="770"/>
      <c r="AI171" s="770"/>
      <c r="AJ171" s="770"/>
      <c r="AK171" s="770"/>
      <c r="AL171" s="770"/>
    </row>
    <row r="172" spans="1:38" x14ac:dyDescent="0.25">
      <c r="A172" s="694"/>
      <c r="B172" s="284"/>
      <c r="C172" s="284"/>
      <c r="D172" s="302"/>
      <c r="E172" s="2358" t="str">
        <f>Translations!$B$673</f>
        <v>Резултатът от този инструмент се копира автоматично в работен лист „F_ProductBM“, ред „a).ii“ за съответната подинсталация.</v>
      </c>
      <c r="F172" s="2249"/>
      <c r="G172" s="2249"/>
      <c r="H172" s="2249"/>
      <c r="I172" s="2249"/>
      <c r="J172" s="2249"/>
      <c r="K172" s="2249"/>
      <c r="L172" s="2249"/>
      <c r="M172" s="2249"/>
      <c r="N172" s="2249"/>
      <c r="O172" s="336"/>
      <c r="P172" s="302"/>
      <c r="Q172" s="770"/>
      <c r="R172" s="694"/>
      <c r="S172" s="694"/>
      <c r="T172" s="694"/>
      <c r="U172" s="694"/>
      <c r="V172" s="694"/>
      <c r="W172" s="694"/>
      <c r="X172" s="694"/>
      <c r="Y172" s="770"/>
      <c r="Z172" s="770"/>
      <c r="AA172" s="770"/>
      <c r="AB172" s="770"/>
      <c r="AC172" s="770"/>
      <c r="AD172" s="770"/>
      <c r="AE172" s="770"/>
      <c r="AF172" s="770"/>
      <c r="AG172" s="770"/>
      <c r="AH172" s="770"/>
      <c r="AI172" s="770"/>
      <c r="AJ172" s="770"/>
      <c r="AK172" s="770"/>
      <c r="AL172" s="770"/>
    </row>
    <row r="173" spans="1:38" ht="5.15" customHeight="1" x14ac:dyDescent="0.25">
      <c r="A173" s="694"/>
      <c r="B173" s="284"/>
      <c r="C173" s="284"/>
      <c r="D173" s="284"/>
      <c r="E173" s="284"/>
      <c r="F173" s="284"/>
      <c r="G173" s="284"/>
      <c r="H173" s="284"/>
      <c r="I173" s="284"/>
      <c r="J173" s="284"/>
      <c r="K173" s="284"/>
      <c r="L173" s="284"/>
      <c r="M173" s="336"/>
      <c r="N173" s="336"/>
      <c r="O173" s="336"/>
      <c r="P173" s="302"/>
      <c r="Q173" s="770"/>
      <c r="R173" s="694"/>
      <c r="S173" s="694"/>
      <c r="T173" s="694"/>
      <c r="U173" s="694"/>
      <c r="V173" s="694"/>
      <c r="W173" s="694"/>
      <c r="X173" s="694"/>
      <c r="Y173" s="770"/>
      <c r="Z173" s="770"/>
      <c r="AA173" s="770"/>
      <c r="AB173" s="770"/>
      <c r="AC173" s="770"/>
      <c r="AD173" s="770"/>
      <c r="AE173" s="770"/>
      <c r="AF173" s="770"/>
      <c r="AG173" s="770"/>
      <c r="AH173" s="770"/>
      <c r="AI173" s="770"/>
      <c r="AJ173" s="770"/>
      <c r="AK173" s="770"/>
      <c r="AL173" s="770"/>
    </row>
    <row r="174" spans="1:38" ht="14" x14ac:dyDescent="0.3">
      <c r="A174" s="694"/>
      <c r="B174" s="284"/>
      <c r="C174" s="284"/>
      <c r="D174" s="300" t="s">
        <v>408</v>
      </c>
      <c r="E174" s="2226" t="str">
        <f>Translations!$B$674</f>
        <v>Практическо значение на този инструмент за Вашата инсталация:</v>
      </c>
      <c r="F174" s="2226"/>
      <c r="G174" s="2226"/>
      <c r="H174" s="2226"/>
      <c r="I174" s="2226"/>
      <c r="J174" s="2226"/>
      <c r="K174" s="2317"/>
      <c r="L174" s="2956" t="str">
        <f>IF(CNTR_ExistSubInstEntries,IF(COUNTIF(CNTR_SubInstListNames,INDEX(EUconst_BMlistNames,MATCH(R174,EUconst_BMlistMainNumberOfBM,0)))&gt;0,EUconst_Relevant,EUconst_NotRelevant),"")</f>
        <v/>
      </c>
      <c r="M174" s="2957"/>
      <c r="N174" s="2958"/>
      <c r="O174" s="336"/>
      <c r="P174" s="302"/>
      <c r="Q174" s="1395" t="s">
        <v>114</v>
      </c>
      <c r="R174" s="1519">
        <v>42</v>
      </c>
      <c r="S174" s="1174" t="str">
        <f>Translations!$B$898</f>
        <v>Дата на въвеждане в експлоатация:</v>
      </c>
      <c r="T174" s="1175" t="e">
        <f>IF(L174=EUconst_NotRelevant,"",MAX(INDEX(CNTR_SubInstStartDate,MATCH($R174,CNTR_SubInstListBMnumbers,0)),DATE(2005,1,1)))</f>
        <v>#N/A</v>
      </c>
      <c r="U174" s="729" t="s">
        <v>1731</v>
      </c>
      <c r="V174" s="1176">
        <f>IF(ISNUMBER(T174),YEAR($T174-IF(YEAR(T174)&gt;=2022,0,1))+1,2005)</f>
        <v>2005</v>
      </c>
      <c r="W174" s="1174" t="s">
        <v>1734</v>
      </c>
      <c r="X174" s="1175">
        <f>SUMIF(CNTR_SubInstListBMnumbers,$R174,CNTR_SubInstCessationDate)</f>
        <v>0</v>
      </c>
      <c r="Y174" s="1174" t="s">
        <v>1735</v>
      </c>
      <c r="Z174" s="1176">
        <f>IF(SUM(X174)=0,2050,YEAR($X174))</f>
        <v>2050</v>
      </c>
      <c r="AA174" s="1174" t="s">
        <v>2009</v>
      </c>
      <c r="AB174" s="1176" t="b">
        <f>CNTR_ReportingYear&gt;V174</f>
        <v>1</v>
      </c>
      <c r="AC174" s="770"/>
      <c r="AD174" s="770"/>
      <c r="AE174" s="770"/>
      <c r="AF174" s="770"/>
      <c r="AG174" s="770"/>
      <c r="AH174" s="770"/>
      <c r="AI174" s="770"/>
      <c r="AJ174" s="770"/>
      <c r="AK174" s="770"/>
      <c r="AL174" s="770"/>
    </row>
    <row r="175" spans="1:38" x14ac:dyDescent="0.25">
      <c r="A175" s="694"/>
      <c r="B175" s="284"/>
      <c r="C175" s="284"/>
      <c r="D175" s="302"/>
      <c r="E175" s="2255" t="str">
        <f>Translations!$B$675</f>
        <v>Това съобщение се генерира автоматично въз основа на въведените от Вас данни в работен лист „A_InstallationData“ („А_Данни за инсталацията“), раздел A.III.1.</v>
      </c>
      <c r="F175" s="2256"/>
      <c r="G175" s="2256"/>
      <c r="H175" s="2256"/>
      <c r="I175" s="2256"/>
      <c r="J175" s="2256"/>
      <c r="K175" s="2256"/>
      <c r="L175" s="2256"/>
      <c r="M175" s="2256"/>
      <c r="N175" s="2256"/>
      <c r="O175" s="336"/>
      <c r="P175" s="302"/>
      <c r="Q175" s="770"/>
      <c r="R175" s="694"/>
      <c r="S175" s="694"/>
      <c r="T175" s="694"/>
      <c r="U175" s="694"/>
      <c r="V175" s="694"/>
      <c r="W175" s="694"/>
      <c r="X175" s="694"/>
      <c r="Y175" s="770"/>
      <c r="Z175" s="770"/>
      <c r="AA175" s="770"/>
      <c r="AB175" s="770"/>
      <c r="AC175" s="770"/>
      <c r="AD175" s="770"/>
      <c r="AE175" s="770"/>
      <c r="AF175" s="770"/>
      <c r="AG175" s="770"/>
      <c r="AH175" s="770"/>
      <c r="AI175" s="770"/>
      <c r="AJ175" s="770"/>
      <c r="AK175" s="770"/>
      <c r="AL175" s="770"/>
    </row>
    <row r="176" spans="1:38" ht="13" x14ac:dyDescent="0.25">
      <c r="A176" s="694"/>
      <c r="B176" s="284"/>
      <c r="C176" s="284"/>
      <c r="D176" s="284"/>
      <c r="E176" s="2951" t="str">
        <f>IF(L174=EUconst_Relevant,HYPERLINK(R176,EUconst_MsgBackToSheetF),"")</f>
        <v/>
      </c>
      <c r="F176" s="2952"/>
      <c r="G176" s="2952"/>
      <c r="H176" s="2952"/>
      <c r="I176" s="2952"/>
      <c r="J176" s="2952"/>
      <c r="K176" s="2952"/>
      <c r="L176" s="2952"/>
      <c r="M176" s="2952"/>
      <c r="N176" s="2953"/>
      <c r="O176" s="336"/>
      <c r="P176" s="302"/>
      <c r="Q176" s="1395" t="s">
        <v>113</v>
      </c>
      <c r="R176" s="982" t="str">
        <f>IF(ISNUMBER(MATCH(R174,CNTR_SubInstListBMnumbers,0)),"#JUMP_F"&amp;MATCH(R174,CNTR_SubInstListBMnumbers,0),"")</f>
        <v/>
      </c>
      <c r="S176" s="694"/>
      <c r="T176" s="694"/>
      <c r="U176" s="694"/>
      <c r="V176" s="694"/>
      <c r="W176" s="694"/>
      <c r="X176" s="694"/>
      <c r="Y176" s="770"/>
      <c r="Z176" s="770"/>
      <c r="AA176" s="770"/>
      <c r="AB176" s="770"/>
      <c r="AC176" s="770"/>
      <c r="AD176" s="770"/>
      <c r="AE176" s="770"/>
      <c r="AF176" s="770"/>
      <c r="AG176" s="770"/>
      <c r="AH176" s="770"/>
      <c r="AI176" s="770"/>
      <c r="AJ176" s="770"/>
      <c r="AK176" s="770"/>
      <c r="AL176" s="770"/>
    </row>
    <row r="177" spans="1:38" ht="5.15" customHeight="1" x14ac:dyDescent="0.25">
      <c r="A177" s="694"/>
      <c r="B177" s="284"/>
      <c r="C177" s="284"/>
      <c r="D177" s="284"/>
      <c r="E177" s="284"/>
      <c r="F177" s="284"/>
      <c r="G177" s="284"/>
      <c r="H177" s="284"/>
      <c r="I177" s="284"/>
      <c r="J177" s="284"/>
      <c r="K177" s="284"/>
      <c r="L177" s="284"/>
      <c r="M177" s="336"/>
      <c r="N177" s="336"/>
      <c r="O177" s="336"/>
      <c r="P177" s="302"/>
      <c r="Q177" s="770"/>
      <c r="R177" s="694"/>
      <c r="S177" s="694"/>
      <c r="T177" s="694"/>
      <c r="U177" s="694"/>
      <c r="V177" s="694"/>
      <c r="W177" s="694"/>
      <c r="X177" s="694"/>
      <c r="Y177" s="770"/>
      <c r="Z177" s="770"/>
      <c r="AA177" s="770"/>
      <c r="AB177" s="770"/>
      <c r="AC177" s="770"/>
      <c r="AD177" s="770"/>
      <c r="AE177" s="770"/>
      <c r="AF177" s="770"/>
      <c r="AG177" s="770"/>
      <c r="AH177" s="770"/>
      <c r="AI177" s="770"/>
      <c r="AJ177" s="770"/>
      <c r="AK177" s="770"/>
      <c r="AL177" s="770"/>
    </row>
    <row r="178" spans="1:38" ht="13" x14ac:dyDescent="0.25">
      <c r="A178" s="694"/>
      <c r="B178" s="284"/>
      <c r="C178" s="284"/>
      <c r="D178" s="300" t="s">
        <v>901</v>
      </c>
      <c r="E178" s="2226" t="str">
        <f>Translations!$B$780</f>
        <v>Общо производство на ценни химични вещества (HVC общо)</v>
      </c>
      <c r="F178" s="2249"/>
      <c r="G178" s="2249"/>
      <c r="H178" s="2249"/>
      <c r="I178" s="2249"/>
      <c r="J178" s="2249"/>
      <c r="K178" s="2249"/>
      <c r="L178" s="2249"/>
      <c r="M178" s="2249"/>
      <c r="N178" s="2249"/>
      <c r="O178" s="336"/>
      <c r="P178" s="302"/>
      <c r="Q178" s="770"/>
      <c r="R178" s="694"/>
      <c r="S178" s="694"/>
      <c r="T178" s="694"/>
      <c r="U178" s="694"/>
      <c r="V178" s="694"/>
      <c r="W178" s="694"/>
      <c r="X178" s="694"/>
      <c r="Y178" s="770"/>
      <c r="Z178" s="770"/>
      <c r="AA178" s="770"/>
      <c r="AB178" s="770"/>
      <c r="AC178" s="770"/>
      <c r="AD178" s="770"/>
      <c r="AE178" s="770"/>
      <c r="AF178" s="770"/>
      <c r="AG178" s="770"/>
      <c r="AH178" s="770"/>
      <c r="AI178" s="770"/>
      <c r="AJ178" s="770"/>
      <c r="AK178" s="770"/>
      <c r="AL178" s="770"/>
    </row>
    <row r="179" spans="1:38" x14ac:dyDescent="0.25">
      <c r="A179" s="694"/>
      <c r="B179" s="284"/>
      <c r="C179" s="284"/>
      <c r="D179" s="302"/>
      <c r="E179" s="2358" t="str">
        <f>Translations!$B$781</f>
        <v>Тук въведете данните за годишното производство, изразено в тонове HVC (без корекции)</v>
      </c>
      <c r="F179" s="2249"/>
      <c r="G179" s="2249"/>
      <c r="H179" s="2249"/>
      <c r="I179" s="2249"/>
      <c r="J179" s="2249"/>
      <c r="K179" s="2249"/>
      <c r="L179" s="2249"/>
      <c r="M179" s="2249"/>
      <c r="N179" s="2249"/>
      <c r="O179" s="336"/>
      <c r="P179" s="302"/>
      <c r="Q179" s="770"/>
      <c r="R179" s="694"/>
      <c r="S179" s="694"/>
      <c r="T179" s="694"/>
      <c r="U179" s="694"/>
      <c r="V179" s="694"/>
      <c r="W179" s="694"/>
      <c r="X179" s="694"/>
      <c r="Y179" s="770"/>
      <c r="Z179" s="770"/>
      <c r="AA179" s="770"/>
      <c r="AB179" s="770"/>
      <c r="AC179" s="770"/>
      <c r="AD179" s="770"/>
      <c r="AE179" s="770"/>
      <c r="AF179" s="770"/>
      <c r="AG179" s="770"/>
      <c r="AH179" s="770"/>
      <c r="AI179" s="770"/>
      <c r="AJ179" s="770"/>
      <c r="AK179" s="770"/>
      <c r="AL179" s="770"/>
    </row>
    <row r="180" spans="1:38" ht="13.5" thickBot="1" x14ac:dyDescent="0.3">
      <c r="A180" s="694"/>
      <c r="B180" s="698"/>
      <c r="C180" s="698"/>
      <c r="D180" s="300"/>
      <c r="E180" s="461"/>
      <c r="F180" s="742"/>
      <c r="G180" s="527" t="str">
        <f>EUconst_Unit</f>
        <v>Единица мярка</v>
      </c>
      <c r="H180" s="387">
        <f t="shared" ref="H180:N180" si="28">H$490</f>
        <v>2024</v>
      </c>
      <c r="I180" s="1522">
        <f t="shared" si="28"/>
        <v>2025</v>
      </c>
      <c r="J180" s="1523">
        <f t="shared" si="28"/>
        <v>2026</v>
      </c>
      <c r="K180" s="387">
        <f t="shared" si="28"/>
        <v>2027</v>
      </c>
      <c r="L180" s="387">
        <f t="shared" si="28"/>
        <v>2028</v>
      </c>
      <c r="M180" s="387">
        <f t="shared" si="28"/>
        <v>2029</v>
      </c>
      <c r="N180" s="387">
        <f t="shared" si="28"/>
        <v>2030</v>
      </c>
      <c r="O180" s="336"/>
      <c r="P180" s="302"/>
      <c r="Q180" s="694"/>
      <c r="R180" s="694"/>
      <c r="S180" s="694"/>
      <c r="T180" s="694"/>
      <c r="U180" s="694"/>
      <c r="V180" s="694"/>
      <c r="W180" s="694"/>
      <c r="X180" s="694"/>
      <c r="Y180" s="770"/>
      <c r="Z180" s="770"/>
      <c r="AA180" s="770"/>
      <c r="AB180" s="694"/>
      <c r="AC180" s="1524">
        <f t="shared" ref="AC180:AI180" si="29">H180</f>
        <v>2024</v>
      </c>
      <c r="AD180" s="1524">
        <f t="shared" si="29"/>
        <v>2025</v>
      </c>
      <c r="AE180" s="1524">
        <f t="shared" si="29"/>
        <v>2026</v>
      </c>
      <c r="AF180" s="1524">
        <f t="shared" si="29"/>
        <v>2027</v>
      </c>
      <c r="AG180" s="1524">
        <f t="shared" si="29"/>
        <v>2028</v>
      </c>
      <c r="AH180" s="1524">
        <f t="shared" si="29"/>
        <v>2029</v>
      </c>
      <c r="AI180" s="1524">
        <f t="shared" si="29"/>
        <v>2030</v>
      </c>
      <c r="AJ180" s="770"/>
      <c r="AK180" s="770"/>
      <c r="AL180" s="770"/>
    </row>
    <row r="181" spans="1:38" x14ac:dyDescent="0.25">
      <c r="A181" s="694"/>
      <c r="B181" s="698"/>
      <c r="C181" s="698"/>
      <c r="D181" s="698"/>
      <c r="E181" s="1295" t="str">
        <f>Translations!$B$782</f>
        <v>Общо HVC</v>
      </c>
      <c r="F181" s="1295"/>
      <c r="G181" s="1016" t="str">
        <f>EUconst_tpa</f>
        <v>t / година</v>
      </c>
      <c r="H181" s="27"/>
      <c r="I181" s="113"/>
      <c r="J181" s="114"/>
      <c r="K181" s="27"/>
      <c r="L181" s="27"/>
      <c r="M181" s="27"/>
      <c r="N181" s="27"/>
      <c r="O181" s="336"/>
      <c r="P181" s="158"/>
      <c r="Q181" s="694"/>
      <c r="R181" s="694"/>
      <c r="S181" s="694"/>
      <c r="T181" s="694"/>
      <c r="U181" s="694"/>
      <c r="V181" s="694"/>
      <c r="W181" s="694"/>
      <c r="X181" s="694"/>
      <c r="Y181" s="770"/>
      <c r="Z181" s="770"/>
      <c r="AA181" s="770"/>
      <c r="AB181" s="1182" t="s">
        <v>737</v>
      </c>
      <c r="AC181" s="1526" t="b">
        <f t="shared" ref="AC181:AI181" si="30">IF(CNTR_ExistSubInstEntries,IF($L174=EUconst_Relevant,AC180&gt;=CNTR_ReportingYear,TRUE),FALSE)</f>
        <v>0</v>
      </c>
      <c r="AD181" s="1281" t="b">
        <f t="shared" si="30"/>
        <v>0</v>
      </c>
      <c r="AE181" s="1281" t="b">
        <f t="shared" si="30"/>
        <v>0</v>
      </c>
      <c r="AF181" s="1281" t="b">
        <f t="shared" si="30"/>
        <v>0</v>
      </c>
      <c r="AG181" s="1281" t="b">
        <f t="shared" si="30"/>
        <v>0</v>
      </c>
      <c r="AH181" s="1281" t="b">
        <f t="shared" si="30"/>
        <v>0</v>
      </c>
      <c r="AI181" s="1527" t="b">
        <f t="shared" si="30"/>
        <v>0</v>
      </c>
      <c r="AJ181" s="770"/>
      <c r="AK181" s="770"/>
      <c r="AL181" s="770"/>
    </row>
    <row r="182" spans="1:38" ht="5.15" customHeight="1" x14ac:dyDescent="0.25">
      <c r="A182" s="694"/>
      <c r="B182" s="284"/>
      <c r="C182" s="284"/>
      <c r="D182" s="284"/>
      <c r="E182" s="284"/>
      <c r="F182" s="284"/>
      <c r="G182" s="284"/>
      <c r="H182" s="284"/>
      <c r="I182" s="284"/>
      <c r="J182" s="284"/>
      <c r="K182" s="284"/>
      <c r="L182" s="284"/>
      <c r="M182" s="336"/>
      <c r="N182" s="336"/>
      <c r="O182" s="336"/>
      <c r="P182" s="302"/>
      <c r="Q182" s="770"/>
      <c r="R182" s="694"/>
      <c r="S182" s="694"/>
      <c r="T182" s="694"/>
      <c r="U182" s="694"/>
      <c r="V182" s="694"/>
      <c r="W182" s="694"/>
      <c r="X182" s="694"/>
      <c r="Y182" s="770"/>
      <c r="Z182" s="770"/>
      <c r="AA182" s="770"/>
      <c r="AB182" s="770"/>
      <c r="AC182" s="1542"/>
      <c r="AD182" s="770"/>
      <c r="AE182" s="770"/>
      <c r="AF182" s="770"/>
      <c r="AG182" s="770"/>
      <c r="AH182" s="770"/>
      <c r="AI182" s="1543"/>
      <c r="AJ182" s="770"/>
      <c r="AK182" s="770"/>
      <c r="AL182" s="770"/>
    </row>
    <row r="183" spans="1:38" ht="13" x14ac:dyDescent="0.25">
      <c r="A183" s="694"/>
      <c r="B183" s="284"/>
      <c r="C183" s="284"/>
      <c r="D183" s="300" t="s">
        <v>46</v>
      </c>
      <c r="E183" s="2226" t="str">
        <f>Translations!$B$783</f>
        <v>Данни за допълнителни захранвани материали:</v>
      </c>
      <c r="F183" s="2249"/>
      <c r="G183" s="2249"/>
      <c r="H183" s="2249"/>
      <c r="I183" s="2249"/>
      <c r="J183" s="2249"/>
      <c r="K183" s="2249"/>
      <c r="L183" s="2249"/>
      <c r="M183" s="2249"/>
      <c r="N183" s="2249"/>
      <c r="O183" s="336"/>
      <c r="P183" s="302"/>
      <c r="Q183" s="770"/>
      <c r="R183" s="694"/>
      <c r="S183" s="694"/>
      <c r="T183" s="694"/>
      <c r="U183" s="694"/>
      <c r="V183" s="694"/>
      <c r="W183" s="694"/>
      <c r="X183" s="694"/>
      <c r="Y183" s="770"/>
      <c r="Z183" s="770"/>
      <c r="AA183" s="770"/>
      <c r="AB183" s="770"/>
      <c r="AC183" s="1542"/>
      <c r="AD183" s="770"/>
      <c r="AE183" s="770"/>
      <c r="AF183" s="770"/>
      <c r="AG183" s="770"/>
      <c r="AH183" s="770"/>
      <c r="AI183" s="1543"/>
      <c r="AJ183" s="770"/>
      <c r="AK183" s="770"/>
      <c r="AL183" s="770"/>
    </row>
    <row r="184" spans="1:38" x14ac:dyDescent="0.25">
      <c r="A184" s="694"/>
      <c r="B184" s="284"/>
      <c r="C184" s="284"/>
      <c r="D184" s="302"/>
      <c r="E184" s="2358" t="str">
        <f>Translations!$B$784</f>
        <v>Съгласно точка 4 от приложение III към ПБР са необходими следните данни:</v>
      </c>
      <c r="F184" s="2249"/>
      <c r="G184" s="2249"/>
      <c r="H184" s="2249"/>
      <c r="I184" s="2249"/>
      <c r="J184" s="2249"/>
      <c r="K184" s="2249"/>
      <c r="L184" s="2249"/>
      <c r="M184" s="2249"/>
      <c r="N184" s="2249"/>
      <c r="O184" s="336"/>
      <c r="P184" s="302"/>
      <c r="Q184" s="770"/>
      <c r="R184" s="694"/>
      <c r="S184" s="694"/>
      <c r="T184" s="694"/>
      <c r="U184" s="694"/>
      <c r="V184" s="694"/>
      <c r="W184" s="694"/>
      <c r="X184" s="694"/>
      <c r="Y184" s="770"/>
      <c r="Z184" s="770"/>
      <c r="AA184" s="770"/>
      <c r="AB184" s="770"/>
      <c r="AC184" s="1542"/>
      <c r="AD184" s="770"/>
      <c r="AE184" s="770"/>
      <c r="AF184" s="770"/>
      <c r="AG184" s="770"/>
      <c r="AH184" s="770"/>
      <c r="AI184" s="1543"/>
      <c r="AJ184" s="770"/>
      <c r="AK184" s="770"/>
      <c r="AL184" s="770"/>
    </row>
    <row r="185" spans="1:38" x14ac:dyDescent="0.25">
      <c r="A185" s="694"/>
      <c r="B185" s="284"/>
      <c r="C185" s="284"/>
      <c r="D185" s="302"/>
      <c r="E185" s="427" t="s">
        <v>1052</v>
      </c>
      <c r="F185" s="2358" t="str">
        <f>Translations!$B$785</f>
        <v>историческо равнище на допълнително захранвания водород през всяка година от базовия период, изразено в тонове водород</v>
      </c>
      <c r="G185" s="2249"/>
      <c r="H185" s="2249"/>
      <c r="I185" s="2249"/>
      <c r="J185" s="2249"/>
      <c r="K185" s="2249"/>
      <c r="L185" s="2249"/>
      <c r="M185" s="2249"/>
      <c r="N185" s="2249"/>
      <c r="O185" s="336"/>
      <c r="P185" s="302"/>
      <c r="Q185" s="770"/>
      <c r="R185" s="694"/>
      <c r="S185" s="694"/>
      <c r="T185" s="694"/>
      <c r="U185" s="694"/>
      <c r="V185" s="694"/>
      <c r="W185" s="694"/>
      <c r="X185" s="694"/>
      <c r="Y185" s="770"/>
      <c r="Z185" s="770"/>
      <c r="AA185" s="770"/>
      <c r="AB185" s="770"/>
      <c r="AC185" s="1542"/>
      <c r="AD185" s="770"/>
      <c r="AE185" s="770"/>
      <c r="AF185" s="770"/>
      <c r="AG185" s="770"/>
      <c r="AH185" s="770"/>
      <c r="AI185" s="1543"/>
      <c r="AJ185" s="770"/>
      <c r="AK185" s="770"/>
      <c r="AL185" s="770"/>
    </row>
    <row r="186" spans="1:38" x14ac:dyDescent="0.25">
      <c r="A186" s="694"/>
      <c r="B186" s="284"/>
      <c r="C186" s="284"/>
      <c r="D186" s="302"/>
      <c r="E186" s="427" t="s">
        <v>1052</v>
      </c>
      <c r="F186" s="2358" t="str">
        <f>Translations!$B$786</f>
        <v>историческо равнище на допълнително захранвания етилен през всяка година от базовия период, изразено в тонове етилен</v>
      </c>
      <c r="G186" s="2249"/>
      <c r="H186" s="2249"/>
      <c r="I186" s="2249"/>
      <c r="J186" s="2249"/>
      <c r="K186" s="2249"/>
      <c r="L186" s="2249"/>
      <c r="M186" s="2249"/>
      <c r="N186" s="2249"/>
      <c r="O186" s="336"/>
      <c r="P186" s="302"/>
      <c r="Q186" s="770"/>
      <c r="R186" s="694"/>
      <c r="S186" s="694"/>
      <c r="T186" s="694"/>
      <c r="U186" s="694"/>
      <c r="V186" s="694"/>
      <c r="W186" s="694"/>
      <c r="X186" s="694"/>
      <c r="Y186" s="770"/>
      <c r="Z186" s="770"/>
      <c r="AA186" s="770"/>
      <c r="AB186" s="770"/>
      <c r="AC186" s="1542"/>
      <c r="AD186" s="770"/>
      <c r="AE186" s="770"/>
      <c r="AF186" s="770"/>
      <c r="AG186" s="770"/>
      <c r="AH186" s="770"/>
      <c r="AI186" s="1543"/>
      <c r="AJ186" s="770"/>
      <c r="AK186" s="770"/>
      <c r="AL186" s="770"/>
    </row>
    <row r="187" spans="1:38" x14ac:dyDescent="0.25">
      <c r="A187" s="694"/>
      <c r="B187" s="284"/>
      <c r="C187" s="284"/>
      <c r="D187" s="302"/>
      <c r="E187" s="427" t="s">
        <v>1052</v>
      </c>
      <c r="F187" s="2358" t="str">
        <f>Translations!$B$787</f>
        <v>историческо равнище на допълнително захранвани други видове ценни химични вещества (различни от водород и етилен) през всяка година от базовия период, изразено в тонове HVC</v>
      </c>
      <c r="G187" s="2249"/>
      <c r="H187" s="2249"/>
      <c r="I187" s="2249"/>
      <c r="J187" s="2249"/>
      <c r="K187" s="2249"/>
      <c r="L187" s="2249"/>
      <c r="M187" s="2249"/>
      <c r="N187" s="2249"/>
      <c r="O187" s="336"/>
      <c r="P187" s="302"/>
      <c r="Q187" s="770"/>
      <c r="R187" s="694"/>
      <c r="S187" s="694"/>
      <c r="T187" s="694"/>
      <c r="U187" s="694"/>
      <c r="V187" s="694"/>
      <c r="W187" s="694"/>
      <c r="X187" s="694"/>
      <c r="Y187" s="770"/>
      <c r="Z187" s="770"/>
      <c r="AA187" s="770"/>
      <c r="AB187" s="770"/>
      <c r="AC187" s="1542"/>
      <c r="AD187" s="770"/>
      <c r="AE187" s="770"/>
      <c r="AF187" s="770"/>
      <c r="AG187" s="770"/>
      <c r="AH187" s="770"/>
      <c r="AI187" s="1543"/>
      <c r="AJ187" s="770"/>
      <c r="AK187" s="770"/>
      <c r="AL187" s="770"/>
    </row>
    <row r="188" spans="1:38" ht="12.75" customHeight="1" x14ac:dyDescent="0.25">
      <c r="A188" s="694"/>
      <c r="B188" s="698"/>
      <c r="C188" s="698"/>
      <c r="D188" s="300"/>
      <c r="E188" s="1013" t="str">
        <f>Translations!$B$788</f>
        <v>Допълнителни захранвани материали</v>
      </c>
      <c r="F188" s="1015"/>
      <c r="G188" s="527" t="str">
        <f>EUconst_Unit</f>
        <v>Единица мярка</v>
      </c>
      <c r="H188" s="387">
        <f t="shared" ref="H188:N188" si="31">H$490</f>
        <v>2024</v>
      </c>
      <c r="I188" s="1522">
        <f t="shared" si="31"/>
        <v>2025</v>
      </c>
      <c r="J188" s="1523">
        <f t="shared" si="31"/>
        <v>2026</v>
      </c>
      <c r="K188" s="387">
        <f t="shared" si="31"/>
        <v>2027</v>
      </c>
      <c r="L188" s="387">
        <f t="shared" si="31"/>
        <v>2028</v>
      </c>
      <c r="M188" s="387">
        <f t="shared" si="31"/>
        <v>2029</v>
      </c>
      <c r="N188" s="387">
        <f t="shared" si="31"/>
        <v>2030</v>
      </c>
      <c r="O188" s="336"/>
      <c r="P188" s="302"/>
      <c r="Q188" s="694"/>
      <c r="R188" s="694"/>
      <c r="S188" s="694"/>
      <c r="T188" s="694"/>
      <c r="U188" s="694"/>
      <c r="V188" s="694"/>
      <c r="W188" s="694"/>
      <c r="X188" s="694"/>
      <c r="Y188" s="770"/>
      <c r="Z188" s="770"/>
      <c r="AA188" s="770"/>
      <c r="AB188" s="770"/>
      <c r="AC188" s="1542"/>
      <c r="AD188" s="770"/>
      <c r="AE188" s="770"/>
      <c r="AF188" s="770"/>
      <c r="AG188" s="770"/>
      <c r="AH188" s="770"/>
      <c r="AI188" s="1543"/>
      <c r="AJ188" s="770"/>
      <c r="AK188" s="770"/>
      <c r="AL188" s="770"/>
    </row>
    <row r="189" spans="1:38" x14ac:dyDescent="0.25">
      <c r="A189" s="694"/>
      <c r="B189" s="698"/>
      <c r="C189" s="698"/>
      <c r="D189" s="698"/>
      <c r="E189" s="1258" t="str">
        <f>Translations!$B$789</f>
        <v>Водород</v>
      </c>
      <c r="F189" s="1258"/>
      <c r="G189" s="1085" t="str">
        <f>EUconst_tpa</f>
        <v>t / година</v>
      </c>
      <c r="H189" s="26"/>
      <c r="I189" s="69"/>
      <c r="J189" s="72"/>
      <c r="K189" s="26"/>
      <c r="L189" s="26"/>
      <c r="M189" s="26"/>
      <c r="N189" s="26"/>
      <c r="O189" s="336"/>
      <c r="P189" s="158"/>
      <c r="Q189" s="694"/>
      <c r="R189" s="694"/>
      <c r="S189" s="694"/>
      <c r="T189" s="694"/>
      <c r="U189" s="694"/>
      <c r="V189" s="694"/>
      <c r="W189" s="694"/>
      <c r="X189" s="694"/>
      <c r="Y189" s="770"/>
      <c r="Z189" s="770"/>
      <c r="AA189" s="770"/>
      <c r="AB189" s="770"/>
      <c r="AC189" s="1530" t="b">
        <f>AC181</f>
        <v>0</v>
      </c>
      <c r="AD189" s="1500" t="b">
        <f t="shared" ref="AD189:AI189" si="32">AD181</f>
        <v>0</v>
      </c>
      <c r="AE189" s="1500" t="b">
        <f t="shared" si="32"/>
        <v>0</v>
      </c>
      <c r="AF189" s="1500" t="b">
        <f t="shared" si="32"/>
        <v>0</v>
      </c>
      <c r="AG189" s="1500" t="b">
        <f t="shared" si="32"/>
        <v>0</v>
      </c>
      <c r="AH189" s="1500" t="b">
        <f t="shared" si="32"/>
        <v>0</v>
      </c>
      <c r="AI189" s="1531" t="b">
        <f t="shared" si="32"/>
        <v>0</v>
      </c>
      <c r="AJ189" s="770"/>
      <c r="AK189" s="770"/>
      <c r="AL189" s="770"/>
    </row>
    <row r="190" spans="1:38" x14ac:dyDescent="0.25">
      <c r="A190" s="694"/>
      <c r="B190" s="698"/>
      <c r="C190" s="698"/>
      <c r="D190" s="698"/>
      <c r="E190" s="1532" t="str">
        <f>Translations!$B$790</f>
        <v>Етилен</v>
      </c>
      <c r="F190" s="1532"/>
      <c r="G190" s="773" t="str">
        <f>EUconst_tpa</f>
        <v>t / година</v>
      </c>
      <c r="H190" s="9"/>
      <c r="I190" s="70"/>
      <c r="J190" s="73"/>
      <c r="K190" s="9"/>
      <c r="L190" s="9"/>
      <c r="M190" s="9"/>
      <c r="N190" s="9"/>
      <c r="O190" s="336"/>
      <c r="P190" s="158"/>
      <c r="Q190" s="694"/>
      <c r="R190" s="694"/>
      <c r="S190" s="694"/>
      <c r="T190" s="694"/>
      <c r="U190" s="694"/>
      <c r="V190" s="694"/>
      <c r="W190" s="694"/>
      <c r="X190" s="694"/>
      <c r="Y190" s="770"/>
      <c r="Z190" s="770"/>
      <c r="AA190" s="770"/>
      <c r="AB190" s="770"/>
      <c r="AC190" s="1530" t="b">
        <f>AC189</f>
        <v>0</v>
      </c>
      <c r="AD190" s="1500" t="b">
        <f t="shared" ref="AD190:AI191" si="33">AD189</f>
        <v>0</v>
      </c>
      <c r="AE190" s="1500" t="b">
        <f t="shared" si="33"/>
        <v>0</v>
      </c>
      <c r="AF190" s="1500" t="b">
        <f t="shared" si="33"/>
        <v>0</v>
      </c>
      <c r="AG190" s="1500" t="b">
        <f t="shared" si="33"/>
        <v>0</v>
      </c>
      <c r="AH190" s="1500" t="b">
        <f t="shared" si="33"/>
        <v>0</v>
      </c>
      <c r="AI190" s="1531" t="b">
        <f t="shared" si="33"/>
        <v>0</v>
      </c>
      <c r="AJ190" s="770"/>
      <c r="AK190" s="770"/>
      <c r="AL190" s="770"/>
    </row>
    <row r="191" spans="1:38" ht="13" thickBot="1" x14ac:dyDescent="0.3">
      <c r="A191" s="694"/>
      <c r="B191" s="698"/>
      <c r="C191" s="698"/>
      <c r="D191" s="698"/>
      <c r="E191" s="1534" t="str">
        <f>Translations!$B$791</f>
        <v>Други HVC</v>
      </c>
      <c r="F191" s="1534"/>
      <c r="G191" s="1088" t="str">
        <f>EUconst_tpa</f>
        <v>t / година</v>
      </c>
      <c r="H191" s="25"/>
      <c r="I191" s="71"/>
      <c r="J191" s="74"/>
      <c r="K191" s="25"/>
      <c r="L191" s="25"/>
      <c r="M191" s="25"/>
      <c r="N191" s="25"/>
      <c r="O191" s="336"/>
      <c r="P191" s="158"/>
      <c r="Q191" s="694"/>
      <c r="R191" s="694"/>
      <c r="S191" s="694"/>
      <c r="T191" s="694"/>
      <c r="U191" s="694"/>
      <c r="V191" s="694"/>
      <c r="W191" s="694"/>
      <c r="X191" s="694"/>
      <c r="Y191" s="770"/>
      <c r="Z191" s="770"/>
      <c r="AA191" s="770"/>
      <c r="AB191" s="770"/>
      <c r="AC191" s="1536" t="b">
        <f>AC190</f>
        <v>0</v>
      </c>
      <c r="AD191" s="1537" t="b">
        <f t="shared" si="33"/>
        <v>0</v>
      </c>
      <c r="AE191" s="1537" t="b">
        <f t="shared" si="33"/>
        <v>0</v>
      </c>
      <c r="AF191" s="1537" t="b">
        <f t="shared" si="33"/>
        <v>0</v>
      </c>
      <c r="AG191" s="1537" t="b">
        <f t="shared" si="33"/>
        <v>0</v>
      </c>
      <c r="AH191" s="1537" t="b">
        <f t="shared" si="33"/>
        <v>0</v>
      </c>
      <c r="AI191" s="1538" t="b">
        <f t="shared" si="33"/>
        <v>0</v>
      </c>
      <c r="AJ191" s="770"/>
      <c r="AK191" s="770"/>
      <c r="AL191" s="770"/>
    </row>
    <row r="192" spans="1:38" ht="5.15" customHeight="1" x14ac:dyDescent="0.25">
      <c r="A192" s="694"/>
      <c r="B192" s="284"/>
      <c r="C192" s="284"/>
      <c r="D192" s="284"/>
      <c r="E192" s="284"/>
      <c r="F192" s="284"/>
      <c r="G192" s="284"/>
      <c r="H192" s="284"/>
      <c r="I192" s="284"/>
      <c r="J192" s="284"/>
      <c r="K192" s="284"/>
      <c r="L192" s="284"/>
      <c r="M192" s="336"/>
      <c r="N192" s="336"/>
      <c r="O192" s="336"/>
      <c r="P192" s="302"/>
      <c r="Q192" s="770"/>
      <c r="R192" s="694"/>
      <c r="S192" s="694"/>
      <c r="T192" s="694"/>
      <c r="U192" s="694"/>
      <c r="V192" s="694"/>
      <c r="W192" s="694"/>
      <c r="X192" s="694"/>
      <c r="Y192" s="770"/>
      <c r="Z192" s="770"/>
      <c r="AA192" s="770"/>
      <c r="AB192" s="770"/>
      <c r="AC192" s="770"/>
      <c r="AD192" s="770"/>
      <c r="AE192" s="770"/>
      <c r="AF192" s="770"/>
      <c r="AG192" s="770"/>
      <c r="AH192" s="770"/>
      <c r="AI192" s="770"/>
      <c r="AJ192" s="770"/>
      <c r="AK192" s="770"/>
      <c r="AL192" s="770"/>
    </row>
    <row r="193" spans="1:38" ht="13" x14ac:dyDescent="0.25">
      <c r="A193" s="694"/>
      <c r="B193" s="284"/>
      <c r="C193" s="284"/>
      <c r="D193" s="300" t="s">
        <v>906</v>
      </c>
      <c r="E193" s="2226" t="str">
        <f>Translations!$B$792</f>
        <v>Резултат: Равнища на дейност за нетните HVC</v>
      </c>
      <c r="F193" s="2249"/>
      <c r="G193" s="2249"/>
      <c r="H193" s="2249"/>
      <c r="I193" s="2249"/>
      <c r="J193" s="2249"/>
      <c r="K193" s="2249"/>
      <c r="L193" s="2249"/>
      <c r="M193" s="2249"/>
      <c r="N193" s="2249"/>
      <c r="O193" s="336"/>
      <c r="P193" s="302"/>
      <c r="Q193" s="770"/>
      <c r="R193" s="694"/>
      <c r="S193" s="694"/>
      <c r="T193" s="694"/>
      <c r="U193" s="694"/>
      <c r="V193" s="694"/>
      <c r="W193" s="694"/>
      <c r="X193" s="694"/>
      <c r="Y193" s="770"/>
      <c r="Z193" s="770"/>
      <c r="AA193" s="770"/>
      <c r="AB193" s="770"/>
      <c r="AC193" s="770"/>
      <c r="AD193" s="770"/>
      <c r="AE193" s="770"/>
      <c r="AF193" s="770"/>
      <c r="AG193" s="770"/>
      <c r="AH193" s="770"/>
      <c r="AI193" s="770"/>
      <c r="AJ193" s="770"/>
      <c r="AK193" s="770"/>
      <c r="AL193" s="770"/>
    </row>
    <row r="194" spans="1:38" x14ac:dyDescent="0.25">
      <c r="A194" s="694"/>
      <c r="B194" s="284"/>
      <c r="C194" s="284"/>
      <c r="D194" s="302"/>
      <c r="E194" s="2358" t="str">
        <f>Translations!$B$793</f>
        <v>Тук коригираното равнище на дейност (нетно количество HVC) се изчислява с помощта на формулата от точка 4 от приложение III към ПБР (преди да се определи статистическата медиана).</v>
      </c>
      <c r="F194" s="2249"/>
      <c r="G194" s="2249"/>
      <c r="H194" s="2249"/>
      <c r="I194" s="2249"/>
      <c r="J194" s="2249"/>
      <c r="K194" s="2249"/>
      <c r="L194" s="2249"/>
      <c r="M194" s="2249"/>
      <c r="N194" s="2249"/>
      <c r="O194" s="336"/>
      <c r="P194" s="302"/>
      <c r="Q194" s="770"/>
      <c r="R194" s="694"/>
      <c r="S194" s="694"/>
      <c r="T194" s="694"/>
      <c r="U194" s="694"/>
      <c r="V194" s="694"/>
      <c r="W194" s="694"/>
      <c r="X194" s="694"/>
      <c r="Y194" s="770"/>
      <c r="Z194" s="770"/>
      <c r="AA194" s="770"/>
      <c r="AB194" s="770"/>
      <c r="AC194" s="770"/>
      <c r="AD194" s="770"/>
      <c r="AE194" s="770"/>
      <c r="AF194" s="770"/>
      <c r="AG194" s="770"/>
      <c r="AH194" s="770"/>
      <c r="AI194" s="770"/>
      <c r="AJ194" s="770"/>
      <c r="AK194" s="770"/>
      <c r="AL194" s="770"/>
    </row>
    <row r="195" spans="1:38" x14ac:dyDescent="0.25">
      <c r="A195" s="694"/>
      <c r="B195" s="284"/>
      <c r="C195" s="284"/>
      <c r="D195" s="302"/>
      <c r="E195" s="2358" t="str">
        <f>Translations!$B$748</f>
        <v>Резултатът от този инструмент се използва в работен лист „F_ProductBM“, ред a).ii за съответната подинсталация, от която е изчислена статистическата медиана.</v>
      </c>
      <c r="F195" s="2249"/>
      <c r="G195" s="2249"/>
      <c r="H195" s="2249"/>
      <c r="I195" s="2249"/>
      <c r="J195" s="2249"/>
      <c r="K195" s="2249"/>
      <c r="L195" s="2249"/>
      <c r="M195" s="2249"/>
      <c r="N195" s="2249"/>
      <c r="O195" s="336"/>
      <c r="P195" s="302"/>
      <c r="Q195" s="770"/>
      <c r="R195" s="694"/>
      <c r="S195" s="694"/>
      <c r="T195" s="694"/>
      <c r="U195" s="694"/>
      <c r="V195" s="694"/>
      <c r="W195" s="694"/>
      <c r="X195" s="694"/>
      <c r="Y195" s="770"/>
      <c r="Z195" s="770"/>
      <c r="AA195" s="770"/>
      <c r="AB195" s="770"/>
      <c r="AC195" s="770"/>
      <c r="AD195" s="770"/>
      <c r="AE195" s="770"/>
      <c r="AF195" s="770"/>
      <c r="AG195" s="770"/>
      <c r="AH195" s="770"/>
      <c r="AI195" s="770"/>
      <c r="AJ195" s="770"/>
      <c r="AK195" s="770"/>
      <c r="AL195" s="770"/>
    </row>
    <row r="196" spans="1:38" ht="13" x14ac:dyDescent="0.25">
      <c r="A196" s="694"/>
      <c r="B196" s="698"/>
      <c r="C196" s="698"/>
      <c r="D196" s="300"/>
      <c r="E196" s="742"/>
      <c r="F196" s="742"/>
      <c r="G196" s="527" t="str">
        <f>EUconst_Unit</f>
        <v>Единица мярка</v>
      </c>
      <c r="H196" s="387">
        <f t="shared" ref="H196:N196" si="34">H$490</f>
        <v>2024</v>
      </c>
      <c r="I196" s="1522">
        <f t="shared" si="34"/>
        <v>2025</v>
      </c>
      <c r="J196" s="1523">
        <f t="shared" si="34"/>
        <v>2026</v>
      </c>
      <c r="K196" s="387">
        <f t="shared" si="34"/>
        <v>2027</v>
      </c>
      <c r="L196" s="387">
        <f t="shared" si="34"/>
        <v>2028</v>
      </c>
      <c r="M196" s="387">
        <f t="shared" si="34"/>
        <v>2029</v>
      </c>
      <c r="N196" s="387">
        <f t="shared" si="34"/>
        <v>2030</v>
      </c>
      <c r="O196" s="336"/>
      <c r="P196" s="302"/>
      <c r="Q196" s="694"/>
      <c r="R196" s="694"/>
      <c r="S196" s="694"/>
      <c r="T196" s="694"/>
      <c r="U196" s="694"/>
      <c r="V196" s="694"/>
      <c r="W196" s="694"/>
      <c r="X196" s="694"/>
      <c r="Y196" s="770"/>
      <c r="Z196" s="770"/>
      <c r="AA196" s="770"/>
      <c r="AB196" s="770"/>
      <c r="AC196" s="770"/>
      <c r="AD196" s="770"/>
      <c r="AE196" s="770"/>
      <c r="AF196" s="770"/>
      <c r="AG196" s="770"/>
      <c r="AH196" s="770"/>
      <c r="AI196" s="770"/>
      <c r="AJ196" s="770"/>
      <c r="AK196" s="770"/>
      <c r="AL196" s="770"/>
    </row>
    <row r="197" spans="1:38" ht="12.75" customHeight="1" x14ac:dyDescent="0.25">
      <c r="A197" s="694"/>
      <c r="B197" s="698"/>
      <c r="C197" s="698"/>
      <c r="D197" s="698"/>
      <c r="E197" s="1295" t="str">
        <f>Translations!$B$794</f>
        <v>Нетни равнища на производство на HVC</v>
      </c>
      <c r="F197" s="1295"/>
      <c r="G197" s="1016" t="str">
        <f>EUconst_tpa</f>
        <v>t / година</v>
      </c>
      <c r="H197" s="1539" t="str">
        <f>IF(ISNUMBER(H181),H181-SUM(H189:H191),"")</f>
        <v/>
      </c>
      <c r="I197" s="1540" t="str">
        <f t="shared" ref="I197:N197" si="35">IF(ISNUMBER(I181),I181-SUM(I189:I191),"")</f>
        <v/>
      </c>
      <c r="J197" s="1541" t="str">
        <f t="shared" si="35"/>
        <v/>
      </c>
      <c r="K197" s="1539" t="str">
        <f t="shared" si="35"/>
        <v/>
      </c>
      <c r="L197" s="1539" t="str">
        <f t="shared" si="35"/>
        <v/>
      </c>
      <c r="M197" s="1539" t="str">
        <f t="shared" si="35"/>
        <v/>
      </c>
      <c r="N197" s="1539" t="str">
        <f t="shared" si="35"/>
        <v/>
      </c>
      <c r="O197" s="336"/>
      <c r="P197" s="302"/>
      <c r="Q197" s="982" t="str">
        <f>IF(L174=EUconst_Relevant,EUconst_CNTR_HALspecial &amp; INDEX(EUconst_BMlistNames,MATCH(R174,EUconst_BMlistMainNumberOfBM,0)),"")</f>
        <v/>
      </c>
      <c r="R197" s="694"/>
      <c r="S197" s="694"/>
      <c r="T197" s="694"/>
      <c r="U197" s="694"/>
      <c r="V197" s="694"/>
      <c r="W197" s="694"/>
      <c r="X197" s="694"/>
      <c r="Y197" s="770"/>
      <c r="Z197" s="770"/>
      <c r="AA197" s="770"/>
      <c r="AB197" s="770"/>
      <c r="AC197" s="770"/>
      <c r="AD197" s="770"/>
      <c r="AE197" s="770"/>
      <c r="AF197" s="770"/>
      <c r="AG197" s="770"/>
      <c r="AH197" s="770"/>
      <c r="AI197" s="770"/>
      <c r="AJ197" s="770"/>
      <c r="AK197" s="770"/>
      <c r="AL197" s="770"/>
    </row>
    <row r="198" spans="1:38" x14ac:dyDescent="0.25">
      <c r="A198" s="694"/>
      <c r="B198" s="698"/>
      <c r="C198" s="698"/>
      <c r="D198" s="698"/>
      <c r="E198" s="698"/>
      <c r="F198" s="698"/>
      <c r="G198" s="698"/>
      <c r="H198" s="698"/>
      <c r="I198" s="698"/>
      <c r="J198" s="698"/>
      <c r="K198" s="698"/>
      <c r="L198" s="698"/>
      <c r="M198" s="698"/>
      <c r="N198" s="698"/>
      <c r="O198" s="336"/>
      <c r="P198" s="302"/>
      <c r="Q198" s="694"/>
      <c r="R198" s="694"/>
      <c r="S198" s="694"/>
      <c r="T198" s="694"/>
      <c r="U198" s="694"/>
      <c r="V198" s="694"/>
      <c r="W198" s="694"/>
      <c r="X198" s="694"/>
      <c r="Y198" s="770"/>
      <c r="Z198" s="770"/>
      <c r="AA198" s="770"/>
      <c r="AB198" s="770"/>
      <c r="AC198" s="770"/>
      <c r="AD198" s="770"/>
      <c r="AE198" s="770"/>
      <c r="AF198" s="770"/>
      <c r="AG198" s="770"/>
      <c r="AH198" s="770"/>
      <c r="AI198" s="770"/>
      <c r="AJ198" s="770"/>
      <c r="AK198" s="770"/>
      <c r="AL198" s="770"/>
    </row>
    <row r="199" spans="1:38" ht="14" x14ac:dyDescent="0.3">
      <c r="A199" s="694"/>
      <c r="B199" s="284"/>
      <c r="C199" s="357">
        <v>2</v>
      </c>
      <c r="D199" s="2323" t="str">
        <f>Translations!$B$795</f>
        <v>Инструмент за крекинг с водна пара част 2: предварително разпределяне (член 19 от ПБР)</v>
      </c>
      <c r="E199" s="2249"/>
      <c r="F199" s="2249"/>
      <c r="G199" s="2249"/>
      <c r="H199" s="2249"/>
      <c r="I199" s="2249"/>
      <c r="J199" s="2249"/>
      <c r="K199" s="2249"/>
      <c r="L199" s="2249"/>
      <c r="M199" s="2249"/>
      <c r="N199" s="2249"/>
      <c r="O199" s="336"/>
      <c r="P199" s="302"/>
      <c r="Q199" s="770"/>
      <c r="R199" s="694"/>
      <c r="S199" s="694"/>
      <c r="T199" s="694"/>
      <c r="U199" s="694"/>
      <c r="V199" s="694"/>
      <c r="W199" s="694"/>
      <c r="X199" s="694"/>
      <c r="Y199" s="770"/>
      <c r="Z199" s="770"/>
      <c r="AA199" s="770"/>
      <c r="AB199" s="770"/>
      <c r="AC199" s="770"/>
      <c r="AD199" s="770"/>
      <c r="AE199" s="770"/>
      <c r="AF199" s="770"/>
      <c r="AG199" s="770"/>
      <c r="AH199" s="770"/>
      <c r="AI199" s="770"/>
      <c r="AJ199" s="770"/>
      <c r="AK199" s="770"/>
      <c r="AL199" s="770"/>
    </row>
    <row r="200" spans="1:38" ht="5.15" customHeight="1" x14ac:dyDescent="0.25">
      <c r="A200" s="694"/>
      <c r="B200" s="284"/>
      <c r="C200" s="284"/>
      <c r="D200" s="284"/>
      <c r="E200" s="284"/>
      <c r="F200" s="284"/>
      <c r="G200" s="284"/>
      <c r="H200" s="284"/>
      <c r="I200" s="284"/>
      <c r="J200" s="284"/>
      <c r="K200" s="284"/>
      <c r="L200" s="284"/>
      <c r="M200" s="336"/>
      <c r="N200" s="336"/>
      <c r="O200" s="336"/>
      <c r="P200" s="302"/>
      <c r="Q200" s="770"/>
      <c r="R200" s="694"/>
      <c r="S200" s="694"/>
      <c r="T200" s="694"/>
      <c r="U200" s="694"/>
      <c r="V200" s="694"/>
      <c r="W200" s="694"/>
      <c r="X200" s="694"/>
      <c r="Y200" s="770"/>
      <c r="Z200" s="770"/>
      <c r="AA200" s="770"/>
      <c r="AB200" s="770"/>
      <c r="AC200" s="770"/>
      <c r="AD200" s="770"/>
      <c r="AE200" s="770"/>
      <c r="AF200" s="770"/>
      <c r="AG200" s="770"/>
      <c r="AH200" s="770"/>
      <c r="AI200" s="770"/>
      <c r="AJ200" s="770"/>
      <c r="AK200" s="770"/>
      <c r="AL200" s="770"/>
    </row>
    <row r="201" spans="1:38" x14ac:dyDescent="0.25">
      <c r="A201" s="694"/>
      <c r="B201" s="284"/>
      <c r="C201" s="284"/>
      <c r="D201" s="302"/>
      <c r="E201" s="2358" t="str">
        <f>Translations!$B$796</f>
        <v>С помощта на този инструмент можете да определите предварителното разпределяне за подинсталациите за крекинг с водна пара (член 19 от ПБР).</v>
      </c>
      <c r="F201" s="2249"/>
      <c r="G201" s="2249"/>
      <c r="H201" s="2249"/>
      <c r="I201" s="2249"/>
      <c r="J201" s="2249"/>
      <c r="K201" s="2249"/>
      <c r="L201" s="2249"/>
      <c r="M201" s="2249"/>
      <c r="N201" s="2249"/>
      <c r="O201" s="336"/>
      <c r="P201" s="302"/>
      <c r="Q201" s="770"/>
      <c r="R201" s="694"/>
      <c r="S201" s="694"/>
      <c r="T201" s="694"/>
      <c r="U201" s="694"/>
      <c r="V201" s="694"/>
      <c r="W201" s="694"/>
      <c r="X201" s="694"/>
      <c r="Y201" s="770"/>
      <c r="Z201" s="770"/>
      <c r="AA201" s="770"/>
      <c r="AB201" s="770"/>
      <c r="AC201" s="770"/>
      <c r="AD201" s="770"/>
      <c r="AE201" s="770"/>
      <c r="AF201" s="770"/>
      <c r="AG201" s="770"/>
      <c r="AH201" s="770"/>
      <c r="AI201" s="770"/>
      <c r="AJ201" s="770"/>
      <c r="AK201" s="770"/>
      <c r="AL201" s="770"/>
    </row>
    <row r="202" spans="1:38" x14ac:dyDescent="0.25">
      <c r="A202" s="694"/>
      <c r="B202" s="284"/>
      <c r="C202" s="284"/>
      <c r="D202" s="302"/>
      <c r="E202" s="2358" t="str">
        <f>Translations!$B$797</f>
        <v>С него се определя количеството, което трябва да се добави към предварителното годишно разпределяне след корекция за заменяемостта на електроенергията.</v>
      </c>
      <c r="F202" s="2249"/>
      <c r="G202" s="2249"/>
      <c r="H202" s="2249"/>
      <c r="I202" s="2249"/>
      <c r="J202" s="2249"/>
      <c r="K202" s="2249"/>
      <c r="L202" s="2249"/>
      <c r="M202" s="2249"/>
      <c r="N202" s="2249"/>
      <c r="O202" s="336"/>
      <c r="P202" s="302"/>
      <c r="Q202" s="770"/>
      <c r="R202" s="694"/>
      <c r="S202" s="694"/>
      <c r="T202" s="694"/>
      <c r="U202" s="694"/>
      <c r="V202" s="694"/>
      <c r="W202" s="694"/>
      <c r="X202" s="694"/>
      <c r="Y202" s="770"/>
      <c r="Z202" s="770"/>
      <c r="AA202" s="770"/>
      <c r="AB202" s="770"/>
      <c r="AC202" s="770"/>
      <c r="AD202" s="770"/>
      <c r="AE202" s="770"/>
      <c r="AF202" s="770"/>
      <c r="AG202" s="770"/>
      <c r="AH202" s="770"/>
      <c r="AI202" s="770"/>
      <c r="AJ202" s="770"/>
      <c r="AK202" s="770"/>
      <c r="AL202" s="770"/>
    </row>
    <row r="203" spans="1:38" x14ac:dyDescent="0.25">
      <c r="A203" s="694"/>
      <c r="B203" s="284"/>
      <c r="C203" s="284"/>
      <c r="D203" s="302"/>
      <c r="E203" s="2358" t="str">
        <f>Translations!$B$798</f>
        <v>Необходимите данни за историческото производство на водород, етилен и други HVC, получени от допълнителни захранвани материали, изразено в тонове и взето от IV.1.c по-горе;</v>
      </c>
      <c r="F203" s="2249"/>
      <c r="G203" s="2249"/>
      <c r="H203" s="2249"/>
      <c r="I203" s="2249"/>
      <c r="J203" s="2249"/>
      <c r="K203" s="2249"/>
      <c r="L203" s="2249"/>
      <c r="M203" s="2249"/>
      <c r="N203" s="2249"/>
      <c r="O203" s="336"/>
      <c r="P203" s="302"/>
      <c r="Q203" s="770"/>
      <c r="R203" s="694"/>
      <c r="S203" s="694"/>
      <c r="T203" s="694"/>
      <c r="U203" s="694"/>
      <c r="V203" s="694"/>
      <c r="W203" s="694"/>
      <c r="X203" s="694"/>
      <c r="Y203" s="770"/>
      <c r="Z203" s="770"/>
      <c r="AA203" s="770"/>
      <c r="AB203" s="770"/>
      <c r="AC203" s="770"/>
      <c r="AD203" s="770"/>
      <c r="AE203" s="770"/>
      <c r="AF203" s="770"/>
      <c r="AG203" s="770"/>
      <c r="AH203" s="770"/>
      <c r="AI203" s="770"/>
      <c r="AJ203" s="770"/>
      <c r="AK203" s="770"/>
      <c r="AL203" s="770"/>
    </row>
    <row r="204" spans="1:38" ht="5.15" customHeight="1" x14ac:dyDescent="0.25">
      <c r="A204" s="694"/>
      <c r="B204" s="284"/>
      <c r="C204" s="284"/>
      <c r="D204" s="284"/>
      <c r="E204" s="284"/>
      <c r="F204" s="284"/>
      <c r="G204" s="284"/>
      <c r="H204" s="284"/>
      <c r="I204" s="284"/>
      <c r="J204" s="284"/>
      <c r="K204" s="284"/>
      <c r="L204" s="284"/>
      <c r="M204" s="336"/>
      <c r="N204" s="336"/>
      <c r="O204" s="336"/>
      <c r="P204" s="302"/>
      <c r="Q204" s="770"/>
      <c r="R204" s="694"/>
      <c r="S204" s="694"/>
      <c r="T204" s="694"/>
      <c r="U204" s="694"/>
      <c r="V204" s="694"/>
      <c r="W204" s="694"/>
      <c r="X204" s="694"/>
      <c r="Y204" s="770"/>
      <c r="Z204" s="770"/>
      <c r="AA204" s="770"/>
      <c r="AB204" s="770"/>
      <c r="AC204" s="770"/>
      <c r="AD204" s="770"/>
      <c r="AE204" s="770"/>
      <c r="AF204" s="770"/>
      <c r="AG204" s="770"/>
      <c r="AH204" s="770"/>
      <c r="AI204" s="770"/>
      <c r="AJ204" s="770"/>
      <c r="AK204" s="770"/>
      <c r="AL204" s="770"/>
    </row>
    <row r="205" spans="1:38" ht="13" x14ac:dyDescent="0.25">
      <c r="A205" s="694"/>
      <c r="B205" s="284"/>
      <c r="C205" s="284"/>
      <c r="D205" s="300" t="s">
        <v>408</v>
      </c>
      <c r="E205" s="2226" t="str">
        <f>Translations!$B$799</f>
        <v>Производство от допълнителни захранвани материали:</v>
      </c>
      <c r="F205" s="2249"/>
      <c r="G205" s="2249"/>
      <c r="H205" s="2249"/>
      <c r="I205" s="2249"/>
      <c r="J205" s="2249"/>
      <c r="K205" s="2249"/>
      <c r="L205" s="2249"/>
      <c r="M205" s="2249"/>
      <c r="N205" s="2249"/>
      <c r="O205" s="336"/>
      <c r="P205" s="302"/>
      <c r="Q205" s="770"/>
      <c r="R205" s="694"/>
      <c r="S205" s="694"/>
      <c r="T205" s="694"/>
      <c r="U205" s="694"/>
      <c r="V205" s="694"/>
      <c r="W205" s="694"/>
      <c r="X205" s="694"/>
      <c r="Y205" s="770"/>
      <c r="Z205" s="770"/>
      <c r="AA205" s="770"/>
      <c r="AB205" s="770"/>
      <c r="AC205" s="770"/>
      <c r="AD205" s="770"/>
      <c r="AE205" s="770"/>
      <c r="AF205" s="770"/>
      <c r="AG205" s="770"/>
      <c r="AH205" s="770"/>
      <c r="AI205" s="770"/>
      <c r="AJ205" s="770"/>
      <c r="AK205" s="770"/>
      <c r="AL205" s="770"/>
    </row>
    <row r="206" spans="1:38" x14ac:dyDescent="0.25">
      <c r="A206" s="694"/>
      <c r="B206" s="284"/>
      <c r="C206" s="284"/>
      <c r="D206" s="302"/>
      <c r="E206" s="2358" t="str">
        <f>Translations!$B$800</f>
        <v>Данните се вземат автоматично от раздел IV.1.c по-горе. Коефициентите се вземат от член 19 от ПБР.</v>
      </c>
      <c r="F206" s="2249"/>
      <c r="G206" s="2249"/>
      <c r="H206" s="2249"/>
      <c r="I206" s="2249"/>
      <c r="J206" s="2249"/>
      <c r="K206" s="2249"/>
      <c r="L206" s="2249"/>
      <c r="M206" s="2249"/>
      <c r="N206" s="2249"/>
      <c r="O206" s="336"/>
      <c r="P206" s="302"/>
      <c r="Q206" s="770"/>
      <c r="R206" s="694"/>
      <c r="S206" s="694"/>
      <c r="T206" s="694"/>
      <c r="U206" s="694"/>
      <c r="V206" s="694"/>
      <c r="W206" s="694"/>
      <c r="X206" s="694"/>
      <c r="Y206" s="770"/>
      <c r="Z206" s="770"/>
      <c r="AA206" s="770"/>
      <c r="AB206" s="770"/>
      <c r="AC206" s="770"/>
      <c r="AD206" s="770"/>
      <c r="AE206" s="770"/>
      <c r="AF206" s="770"/>
      <c r="AG206" s="770"/>
      <c r="AH206" s="770"/>
      <c r="AI206" s="770"/>
      <c r="AJ206" s="770"/>
      <c r="AK206" s="770"/>
      <c r="AL206" s="770"/>
    </row>
    <row r="207" spans="1:38" ht="25.5" customHeight="1" x14ac:dyDescent="0.3">
      <c r="A207" s="694"/>
      <c r="B207" s="698"/>
      <c r="C207" s="698"/>
      <c r="D207" s="300"/>
      <c r="E207" s="1546" t="str">
        <f>Translations!$B$801</f>
        <v>Производство от допълнителни захранвани материали</v>
      </c>
      <c r="F207" s="1547" t="str">
        <f>Translations!$B$802</f>
        <v>Коефициент</v>
      </c>
      <c r="G207" s="1416" t="str">
        <f>EUconst_Unit</f>
        <v>Единица мярка</v>
      </c>
      <c r="H207" s="1548">
        <f t="shared" ref="H207:N207" si="36">H$490</f>
        <v>2024</v>
      </c>
      <c r="I207" s="1549">
        <f t="shared" si="36"/>
        <v>2025</v>
      </c>
      <c r="J207" s="1550">
        <f t="shared" si="36"/>
        <v>2026</v>
      </c>
      <c r="K207" s="1548">
        <f t="shared" si="36"/>
        <v>2027</v>
      </c>
      <c r="L207" s="1548">
        <f t="shared" si="36"/>
        <v>2028</v>
      </c>
      <c r="M207" s="1548">
        <f t="shared" si="36"/>
        <v>2029</v>
      </c>
      <c r="N207" s="1548">
        <f t="shared" si="36"/>
        <v>2030</v>
      </c>
      <c r="O207" s="336"/>
      <c r="P207" s="302"/>
      <c r="Q207" s="770"/>
      <c r="R207" s="694"/>
      <c r="S207" s="694"/>
      <c r="T207" s="694"/>
      <c r="U207" s="694"/>
      <c r="V207" s="694"/>
      <c r="W207" s="694"/>
      <c r="X207" s="694"/>
      <c r="Y207" s="770"/>
      <c r="Z207" s="770"/>
      <c r="AA207" s="770"/>
      <c r="AB207" s="770"/>
      <c r="AC207" s="770"/>
      <c r="AD207" s="770"/>
      <c r="AE207" s="770"/>
      <c r="AF207" s="770"/>
      <c r="AG207" s="770"/>
      <c r="AH207" s="770"/>
      <c r="AI207" s="770"/>
      <c r="AJ207" s="770"/>
      <c r="AK207" s="770"/>
      <c r="AL207" s="770"/>
    </row>
    <row r="208" spans="1:38" ht="12.75" customHeight="1" x14ac:dyDescent="0.25">
      <c r="A208" s="694"/>
      <c r="B208" s="698"/>
      <c r="C208" s="698"/>
      <c r="D208" s="698"/>
      <c r="E208" s="1258" t="str">
        <f>Translations!$B$789</f>
        <v>Водород</v>
      </c>
      <c r="F208" s="1085">
        <v>1.78</v>
      </c>
      <c r="G208" s="1085" t="str">
        <f>EUconst_tpa</f>
        <v>t / година</v>
      </c>
      <c r="H208" s="1551" t="str">
        <f t="shared" ref="H208:N210" si="37">IF(ISNUMBER(H189),H189,"")</f>
        <v/>
      </c>
      <c r="I208" s="1552" t="str">
        <f t="shared" si="37"/>
        <v/>
      </c>
      <c r="J208" s="1553" t="str">
        <f t="shared" si="37"/>
        <v/>
      </c>
      <c r="K208" s="1551" t="str">
        <f t="shared" si="37"/>
        <v/>
      </c>
      <c r="L208" s="1551" t="str">
        <f t="shared" si="37"/>
        <v/>
      </c>
      <c r="M208" s="1551" t="str">
        <f t="shared" si="37"/>
        <v/>
      </c>
      <c r="N208" s="1551" t="str">
        <f t="shared" si="37"/>
        <v/>
      </c>
      <c r="O208" s="336"/>
      <c r="P208" s="302"/>
      <c r="Q208" s="770"/>
      <c r="R208" s="694"/>
      <c r="S208" s="694"/>
      <c r="T208" s="694"/>
      <c r="U208" s="694"/>
      <c r="V208" s="694"/>
      <c r="W208" s="694"/>
      <c r="X208" s="694"/>
      <c r="Y208" s="770"/>
      <c r="Z208" s="770"/>
      <c r="AA208" s="770"/>
      <c r="AB208" s="770"/>
      <c r="AC208" s="770"/>
      <c r="AD208" s="770"/>
      <c r="AE208" s="770"/>
      <c r="AF208" s="770"/>
      <c r="AG208" s="770"/>
      <c r="AH208" s="770"/>
      <c r="AI208" s="770"/>
      <c r="AJ208" s="770"/>
      <c r="AK208" s="770"/>
      <c r="AL208" s="770"/>
    </row>
    <row r="209" spans="1:38" ht="12.75" customHeight="1" x14ac:dyDescent="0.25">
      <c r="A209" s="694"/>
      <c r="B209" s="698"/>
      <c r="C209" s="698"/>
      <c r="D209" s="698"/>
      <c r="E209" s="1532" t="str">
        <f>Translations!$B$790</f>
        <v>Етилен</v>
      </c>
      <c r="F209" s="773">
        <v>0.24</v>
      </c>
      <c r="G209" s="773" t="str">
        <f>EUconst_tpa</f>
        <v>t / година</v>
      </c>
      <c r="H209" s="1554" t="str">
        <f t="shared" si="37"/>
        <v/>
      </c>
      <c r="I209" s="1555" t="str">
        <f t="shared" si="37"/>
        <v/>
      </c>
      <c r="J209" s="1556" t="str">
        <f t="shared" si="37"/>
        <v/>
      </c>
      <c r="K209" s="1554" t="str">
        <f t="shared" si="37"/>
        <v/>
      </c>
      <c r="L209" s="1554" t="str">
        <f t="shared" si="37"/>
        <v/>
      </c>
      <c r="M209" s="1554" t="str">
        <f t="shared" si="37"/>
        <v/>
      </c>
      <c r="N209" s="1554" t="str">
        <f t="shared" si="37"/>
        <v/>
      </c>
      <c r="O209" s="336"/>
      <c r="P209" s="302"/>
      <c r="Q209" s="770"/>
      <c r="R209" s="694"/>
      <c r="S209" s="694"/>
      <c r="T209" s="694"/>
      <c r="U209" s="694"/>
      <c r="V209" s="694"/>
      <c r="W209" s="694"/>
      <c r="X209" s="694"/>
      <c r="Y209" s="770"/>
      <c r="Z209" s="770"/>
      <c r="AA209" s="770"/>
      <c r="AB209" s="770"/>
      <c r="AC209" s="770"/>
      <c r="AD209" s="770"/>
      <c r="AE209" s="770"/>
      <c r="AF209" s="770"/>
      <c r="AG209" s="770"/>
      <c r="AH209" s="770"/>
      <c r="AI209" s="770"/>
      <c r="AJ209" s="770"/>
      <c r="AK209" s="770"/>
      <c r="AL209" s="770"/>
    </row>
    <row r="210" spans="1:38" ht="12.75" customHeight="1" x14ac:dyDescent="0.25">
      <c r="A210" s="694"/>
      <c r="B210" s="698"/>
      <c r="C210" s="698"/>
      <c r="D210" s="698"/>
      <c r="E210" s="1534" t="str">
        <f>Translations!$B$791</f>
        <v>Други HVC</v>
      </c>
      <c r="F210" s="1088">
        <v>0.16</v>
      </c>
      <c r="G210" s="1088" t="str">
        <f>EUconst_tpa</f>
        <v>t / година</v>
      </c>
      <c r="H210" s="1557" t="str">
        <f t="shared" si="37"/>
        <v/>
      </c>
      <c r="I210" s="1558" t="str">
        <f t="shared" si="37"/>
        <v/>
      </c>
      <c r="J210" s="1559" t="str">
        <f t="shared" si="37"/>
        <v/>
      </c>
      <c r="K210" s="1557" t="str">
        <f t="shared" si="37"/>
        <v/>
      </c>
      <c r="L210" s="1557" t="str">
        <f t="shared" si="37"/>
        <v/>
      </c>
      <c r="M210" s="1557" t="str">
        <f t="shared" si="37"/>
        <v/>
      </c>
      <c r="N210" s="1557" t="str">
        <f t="shared" si="37"/>
        <v/>
      </c>
      <c r="O210" s="336"/>
      <c r="P210" s="302"/>
      <c r="Q210" s="770"/>
      <c r="R210" s="694"/>
      <c r="S210" s="694"/>
      <c r="T210" s="694"/>
      <c r="U210" s="694"/>
      <c r="V210" s="694"/>
      <c r="W210" s="694"/>
      <c r="X210" s="694"/>
      <c r="Y210" s="770"/>
      <c r="Z210" s="770"/>
      <c r="AA210" s="770"/>
      <c r="AB210" s="770"/>
      <c r="AC210" s="770"/>
      <c r="AD210" s="770"/>
      <c r="AE210" s="770"/>
      <c r="AF210" s="770"/>
      <c r="AG210" s="770"/>
      <c r="AH210" s="770"/>
      <c r="AI210" s="770"/>
      <c r="AJ210" s="770"/>
      <c r="AK210" s="770"/>
      <c r="AL210" s="770"/>
    </row>
    <row r="211" spans="1:38" ht="5.15" customHeight="1" x14ac:dyDescent="0.25">
      <c r="A211" s="694"/>
      <c r="B211" s="284"/>
      <c r="C211" s="284"/>
      <c r="D211" s="284"/>
      <c r="E211" s="284"/>
      <c r="F211" s="284"/>
      <c r="G211" s="284"/>
      <c r="H211" s="284"/>
      <c r="I211" s="284"/>
      <c r="J211" s="284"/>
      <c r="K211" s="284"/>
      <c r="L211" s="284"/>
      <c r="M211" s="336"/>
      <c r="N211" s="336"/>
      <c r="O211" s="336"/>
      <c r="P211" s="302"/>
      <c r="Q211" s="770"/>
      <c r="R211" s="694"/>
      <c r="S211" s="694"/>
      <c r="T211" s="694"/>
      <c r="U211" s="694"/>
      <c r="V211" s="694"/>
      <c r="W211" s="694"/>
      <c r="X211" s="694"/>
      <c r="Y211" s="770"/>
      <c r="Z211" s="770"/>
      <c r="AA211" s="770"/>
      <c r="AB211" s="770"/>
      <c r="AC211" s="770"/>
      <c r="AD211" s="770"/>
      <c r="AE211" s="770"/>
      <c r="AF211" s="770"/>
      <c r="AG211" s="770"/>
      <c r="AH211" s="770"/>
      <c r="AI211" s="770"/>
      <c r="AJ211" s="770"/>
      <c r="AK211" s="770"/>
      <c r="AL211" s="770"/>
    </row>
    <row r="212" spans="1:38" ht="13" x14ac:dyDescent="0.25">
      <c r="A212" s="694"/>
      <c r="B212" s="284"/>
      <c r="C212" s="284"/>
      <c r="D212" s="300" t="s">
        <v>901</v>
      </c>
      <c r="E212" s="2226" t="str">
        <f>Translations!$B$803</f>
        <v>Резултат: Количество, което трябва да бъде добавено към предварителното общо разпределено количество за инсталацията за крекинг с водна пара:</v>
      </c>
      <c r="F212" s="2249"/>
      <c r="G212" s="2249"/>
      <c r="H212" s="2249"/>
      <c r="I212" s="2249"/>
      <c r="J212" s="2249"/>
      <c r="K212" s="2249"/>
      <c r="L212" s="2249"/>
      <c r="M212" s="2249"/>
      <c r="N212" s="2249"/>
      <c r="O212" s="336"/>
      <c r="P212" s="302"/>
      <c r="Q212" s="770"/>
      <c r="R212" s="694"/>
      <c r="S212" s="694"/>
      <c r="T212" s="694"/>
      <c r="U212" s="694"/>
      <c r="V212" s="694"/>
      <c r="W212" s="694"/>
      <c r="X212" s="694"/>
      <c r="Y212" s="770"/>
      <c r="Z212" s="770"/>
      <c r="AA212" s="770"/>
      <c r="AB212" s="770"/>
      <c r="AC212" s="770"/>
      <c r="AD212" s="770"/>
      <c r="AE212" s="770"/>
      <c r="AF212" s="770"/>
      <c r="AG212" s="770"/>
      <c r="AH212" s="770"/>
      <c r="AI212" s="770"/>
      <c r="AJ212" s="770"/>
      <c r="AK212" s="770"/>
      <c r="AL212" s="770"/>
    </row>
    <row r="213" spans="1:38" x14ac:dyDescent="0.25">
      <c r="A213" s="694"/>
      <c r="B213" s="284"/>
      <c r="C213" s="284"/>
      <c r="D213" s="302"/>
      <c r="E213" s="2358" t="str">
        <f>Translations!$B$804</f>
        <v>Изчисление въз основа на формулата от член 19 от ПБР.</v>
      </c>
      <c r="F213" s="2249"/>
      <c r="G213" s="2249"/>
      <c r="H213" s="2249"/>
      <c r="I213" s="2249"/>
      <c r="J213" s="2249"/>
      <c r="K213" s="2249"/>
      <c r="L213" s="2249"/>
      <c r="M213" s="2249"/>
      <c r="N213" s="2249"/>
      <c r="O213" s="336"/>
      <c r="P213" s="302"/>
      <c r="Q213" s="770"/>
      <c r="R213" s="694"/>
      <c r="S213" s="694"/>
      <c r="T213" s="694"/>
      <c r="U213" s="694"/>
      <c r="V213" s="694"/>
      <c r="W213" s="694"/>
      <c r="X213" s="694"/>
      <c r="Y213" s="770"/>
      <c r="Z213" s="770"/>
      <c r="AA213" s="770"/>
      <c r="AB213" s="770"/>
      <c r="AC213" s="770"/>
      <c r="AD213" s="770"/>
      <c r="AE213" s="770"/>
      <c r="AF213" s="770"/>
      <c r="AG213" s="770"/>
      <c r="AH213" s="770"/>
      <c r="AI213" s="770"/>
      <c r="AJ213" s="770"/>
      <c r="AK213" s="770"/>
      <c r="AL213" s="770"/>
    </row>
    <row r="214" spans="1:38" ht="5.15" customHeight="1" thickBot="1" x14ac:dyDescent="0.3">
      <c r="A214" s="694"/>
      <c r="B214" s="284"/>
      <c r="C214" s="284"/>
      <c r="D214" s="284"/>
      <c r="E214" s="284"/>
      <c r="F214" s="284"/>
      <c r="G214" s="284"/>
      <c r="H214" s="284"/>
      <c r="I214" s="284"/>
      <c r="J214" s="284"/>
      <c r="K214" s="284"/>
      <c r="L214" s="284"/>
      <c r="M214" s="336"/>
      <c r="N214" s="336"/>
      <c r="O214" s="336"/>
      <c r="P214" s="302"/>
      <c r="Q214" s="770"/>
      <c r="R214" s="694"/>
      <c r="S214" s="694"/>
      <c r="T214" s="694"/>
      <c r="U214" s="694"/>
      <c r="V214" s="694"/>
      <c r="W214" s="694"/>
      <c r="X214" s="694"/>
      <c r="Y214" s="770"/>
      <c r="Z214" s="770"/>
      <c r="AA214" s="770"/>
      <c r="AB214" s="770"/>
      <c r="AC214" s="770"/>
      <c r="AD214" s="770"/>
      <c r="AE214" s="770"/>
      <c r="AF214" s="770"/>
      <c r="AG214" s="770"/>
      <c r="AH214" s="770"/>
      <c r="AI214" s="770"/>
      <c r="AJ214" s="770"/>
      <c r="AK214" s="770"/>
      <c r="AL214" s="770"/>
    </row>
    <row r="215" spans="1:38" ht="5.15" customHeight="1" x14ac:dyDescent="0.25">
      <c r="A215" s="694"/>
      <c r="B215" s="298"/>
      <c r="C215" s="298"/>
      <c r="D215" s="1192"/>
      <c r="E215" s="1194"/>
      <c r="F215" s="1264"/>
      <c r="G215" s="1264"/>
      <c r="H215" s="1264"/>
      <c r="I215" s="1264"/>
      <c r="J215" s="1264"/>
      <c r="K215" s="1264"/>
      <c r="L215" s="1264"/>
      <c r="M215" s="1264"/>
      <c r="N215" s="1265"/>
      <c r="O215" s="302"/>
      <c r="P215" s="302"/>
      <c r="Q215" s="729"/>
      <c r="R215" s="694"/>
      <c r="S215" s="729"/>
      <c r="T215" s="729"/>
      <c r="U215" s="729"/>
      <c r="V215" s="694"/>
      <c r="W215" s="694"/>
      <c r="X215" s="694"/>
      <c r="Y215" s="694"/>
      <c r="Z215" s="694"/>
      <c r="AA215" s="694"/>
      <c r="AB215" s="694"/>
      <c r="AC215" s="694"/>
      <c r="AD215" s="694"/>
      <c r="AE215" s="694"/>
      <c r="AF215" s="694"/>
      <c r="AG215" s="694"/>
      <c r="AH215" s="694"/>
      <c r="AI215" s="694"/>
      <c r="AJ215" s="694"/>
      <c r="AK215" s="770"/>
      <c r="AL215" s="770"/>
    </row>
    <row r="216" spans="1:38" ht="12.75" customHeight="1" x14ac:dyDescent="0.25">
      <c r="A216" s="694"/>
      <c r="B216" s="284"/>
      <c r="C216" s="284"/>
      <c r="D216" s="1489"/>
      <c r="E216" s="1560"/>
      <c r="F216" s="1560"/>
      <c r="G216" s="1200" t="str">
        <f>EUconst_Unit</f>
        <v>Единица мярка</v>
      </c>
      <c r="H216" s="1561">
        <f t="shared" ref="H216:N216" si="38">H$490</f>
        <v>2024</v>
      </c>
      <c r="I216" s="1562">
        <f t="shared" si="38"/>
        <v>2025</v>
      </c>
      <c r="J216" s="1563">
        <f t="shared" si="38"/>
        <v>2026</v>
      </c>
      <c r="K216" s="1561">
        <f t="shared" si="38"/>
        <v>2027</v>
      </c>
      <c r="L216" s="1561">
        <f t="shared" si="38"/>
        <v>2028</v>
      </c>
      <c r="M216" s="1561">
        <f t="shared" si="38"/>
        <v>2029</v>
      </c>
      <c r="N216" s="1204">
        <f t="shared" si="38"/>
        <v>2030</v>
      </c>
      <c r="O216" s="336"/>
      <c r="P216" s="302"/>
      <c r="Q216" s="770"/>
      <c r="R216" s="694"/>
      <c r="S216" s="694"/>
      <c r="T216" s="694"/>
      <c r="U216" s="694"/>
      <c r="V216" s="694"/>
      <c r="W216" s="694"/>
      <c r="X216" s="694"/>
      <c r="Y216" s="770"/>
      <c r="Z216" s="770"/>
      <c r="AA216" s="770"/>
      <c r="AB216" s="770"/>
      <c r="AC216" s="770"/>
      <c r="AD216" s="770"/>
      <c r="AE216" s="770"/>
      <c r="AF216" s="770"/>
      <c r="AG216" s="770"/>
      <c r="AH216" s="770"/>
      <c r="AI216" s="770"/>
      <c r="AJ216" s="770"/>
      <c r="AK216" s="770"/>
      <c r="AL216" s="770"/>
    </row>
    <row r="217" spans="1:38" ht="12.75" customHeight="1" x14ac:dyDescent="0.25">
      <c r="A217" s="694"/>
      <c r="B217" s="284"/>
      <c r="C217" s="284"/>
      <c r="D217" s="1564"/>
      <c r="E217" s="2889" t="str">
        <f>Translations!$B$805</f>
        <v>Количество, чието разпределяне трябва да се коригира:</v>
      </c>
      <c r="F217" s="2892"/>
      <c r="G217" s="1266" t="str">
        <f>EUconst_EUA</f>
        <v>Квота за емисии</v>
      </c>
      <c r="H217" s="659" t="str">
        <f t="shared" ref="H217:N217" si="39">IF(COUNT(H208:H210)&gt;0,SUMPRODUCT(H208:H210,$F$208:$F$210),"")</f>
        <v/>
      </c>
      <c r="I217" s="1565" t="str">
        <f t="shared" si="39"/>
        <v/>
      </c>
      <c r="J217" s="1566" t="str">
        <f t="shared" si="39"/>
        <v/>
      </c>
      <c r="K217" s="659" t="str">
        <f t="shared" si="39"/>
        <v/>
      </c>
      <c r="L217" s="659" t="str">
        <f t="shared" si="39"/>
        <v/>
      </c>
      <c r="M217" s="659" t="str">
        <f t="shared" si="39"/>
        <v/>
      </c>
      <c r="N217" s="1567" t="str">
        <f t="shared" si="39"/>
        <v/>
      </c>
      <c r="O217" s="336"/>
      <c r="P217" s="302"/>
      <c r="Q217" s="1500" t="str">
        <f>EUconst_CNTR_HVC</f>
        <v>HVC_</v>
      </c>
      <c r="R217" s="729"/>
      <c r="S217" s="729"/>
      <c r="T217" s="729"/>
      <c r="U217" s="729"/>
      <c r="V217" s="729"/>
      <c r="W217" s="729"/>
      <c r="X217" s="729"/>
      <c r="Y217" s="770"/>
      <c r="Z217" s="770"/>
      <c r="AA217" s="770"/>
      <c r="AB217" s="770"/>
      <c r="AC217" s="770"/>
      <c r="AD217" s="770"/>
      <c r="AE217" s="770"/>
      <c r="AF217" s="770"/>
      <c r="AG217" s="770"/>
      <c r="AH217" s="770"/>
      <c r="AI217" s="770"/>
      <c r="AJ217" s="770"/>
      <c r="AK217" s="770"/>
      <c r="AL217" s="770"/>
    </row>
    <row r="218" spans="1:38" ht="5.15" customHeight="1" thickBot="1" x14ac:dyDescent="0.3">
      <c r="A218" s="694"/>
      <c r="B218" s="284"/>
      <c r="C218" s="284"/>
      <c r="D218" s="1217"/>
      <c r="E218" s="1560"/>
      <c r="F218" s="1560"/>
      <c r="G218" s="1560"/>
      <c r="H218" s="1560"/>
      <c r="I218" s="1560"/>
      <c r="J218" s="1560"/>
      <c r="K218" s="1560"/>
      <c r="L218" s="1560"/>
      <c r="M218" s="1568"/>
      <c r="N218" s="1569"/>
      <c r="O218" s="336"/>
      <c r="P218" s="302"/>
      <c r="Q218" s="770"/>
      <c r="R218" s="729"/>
      <c r="S218" s="729"/>
      <c r="T218" s="729"/>
      <c r="U218" s="729"/>
      <c r="V218" s="729"/>
      <c r="W218" s="729"/>
      <c r="X218" s="729"/>
      <c r="Y218" s="770"/>
      <c r="Z218" s="770"/>
      <c r="AA218" s="770"/>
      <c r="AB218" s="770"/>
      <c r="AC218" s="770"/>
      <c r="AD218" s="770"/>
      <c r="AE218" s="770"/>
      <c r="AF218" s="770"/>
      <c r="AG218" s="770"/>
      <c r="AH218" s="770"/>
      <c r="AI218" s="770"/>
      <c r="AJ218" s="770"/>
      <c r="AK218" s="770"/>
      <c r="AL218" s="770"/>
    </row>
    <row r="219" spans="1:38" ht="12.75" customHeight="1" x14ac:dyDescent="0.25">
      <c r="A219" s="694"/>
      <c r="B219" s="298"/>
      <c r="C219" s="298"/>
      <c r="D219" s="1217"/>
      <c r="E219" s="2954" t="str">
        <f>Translations!$B$1334</f>
        <v>Предварителна корекция</v>
      </c>
      <c r="F219" s="2959"/>
      <c r="G219" s="2959"/>
      <c r="H219" s="1200" t="str">
        <f>EUconst_Unit</f>
        <v>Единица мярка</v>
      </c>
      <c r="I219" s="1201" t="str">
        <f>Translations!$B$1327</f>
        <v>(НМИ) стойност</v>
      </c>
      <c r="J219" s="1563">
        <f>J$490</f>
        <v>2026</v>
      </c>
      <c r="K219" s="1561">
        <f>K$490</f>
        <v>2027</v>
      </c>
      <c r="L219" s="1561">
        <f>L$490</f>
        <v>2028</v>
      </c>
      <c r="M219" s="1561">
        <f>M$490</f>
        <v>2029</v>
      </c>
      <c r="N219" s="1204">
        <f>N$490</f>
        <v>2030</v>
      </c>
      <c r="O219" s="302"/>
      <c r="P219" s="302"/>
      <c r="Q219" s="729"/>
      <c r="R219" s="729"/>
      <c r="S219" s="729"/>
      <c r="T219" s="729"/>
      <c r="U219" s="1205"/>
      <c r="V219" s="1206">
        <f>J219</f>
        <v>2026</v>
      </c>
      <c r="W219" s="1206">
        <f>K219</f>
        <v>2027</v>
      </c>
      <c r="X219" s="1206">
        <f>L219</f>
        <v>2028</v>
      </c>
      <c r="Y219" s="1206">
        <f>M219</f>
        <v>2029</v>
      </c>
      <c r="Z219" s="1207">
        <f>N219</f>
        <v>2030</v>
      </c>
      <c r="AA219" s="694"/>
      <c r="AB219" s="694"/>
      <c r="AC219" s="694"/>
      <c r="AD219" s="694"/>
      <c r="AE219" s="694"/>
      <c r="AF219" s="694"/>
      <c r="AG219" s="694"/>
      <c r="AH219" s="694"/>
      <c r="AI219" s="694"/>
      <c r="AJ219" s="694"/>
      <c r="AK219" s="770"/>
      <c r="AL219" s="770"/>
    </row>
    <row r="220" spans="1:38" ht="12.75" customHeight="1" x14ac:dyDescent="0.25">
      <c r="A220" s="694"/>
      <c r="B220" s="298"/>
      <c r="C220" s="298"/>
      <c r="D220" s="1217"/>
      <c r="E220" s="2889" t="str">
        <f>Translations!$B$1328</f>
        <v>Средна годишна стойност</v>
      </c>
      <c r="F220" s="2892"/>
      <c r="G220" s="2892"/>
      <c r="H220" s="1266" t="str">
        <f>EUconst_EUA</f>
        <v>Квота за емисии</v>
      </c>
      <c r="I220" s="1211" t="str">
        <f>IF(ISNUMBER(INDEX('B+C_SubInstallations'!$M:$M,MATCH(Q220,'B+C_SubInstallations'!$X:$X,0))),INDEX('B+C_SubInstallations'!$M:$M,MATCH(Q220,'B+C_SubInstallations'!$X:$X,0)),"")</f>
        <v/>
      </c>
      <c r="J220" s="1267" t="str">
        <f>IF($L174&lt;&gt;EUconst_Relevant,"",IF(AND(V220&gt;=3,CNTR_ReportingYear&gt;J219-1),AVERAGE(SUM(H217),SUM(I217)),""))</f>
        <v/>
      </c>
      <c r="K220" s="1268" t="str">
        <f>IF($L174&lt;&gt;EUconst_Relevant,"",IF(AND(W220&gt;=3,CNTR_ReportingYear&gt;K219-1),AVERAGE(SUM(I217),SUM(J217)),""))</f>
        <v/>
      </c>
      <c r="L220" s="1268" t="str">
        <f>IF($L174&lt;&gt;EUconst_Relevant,"",IF(AND(X220&gt;=3,CNTR_ReportingYear&gt;L219-1),AVERAGE(SUM(J217),SUM(K217)),""))</f>
        <v/>
      </c>
      <c r="M220" s="1268" t="str">
        <f>IF($L174&lt;&gt;EUconst_Relevant,"",IF(AND(Y220&gt;=3,CNTR_ReportingYear&gt;M219-1),AVERAGE(SUM(K217),SUM(L217)),""))</f>
        <v/>
      </c>
      <c r="N220" s="1269" t="str">
        <f>IF($L174&lt;&gt;EUconst_Relevant,"",IF(AND(Z220&gt;=3,CNTR_ReportingYear&gt;N219-1),AVERAGE(SUM(L217),SUM(M217)),""))</f>
        <v/>
      </c>
      <c r="O220" s="302"/>
      <c r="P220" s="302"/>
      <c r="Q220" s="1500" t="str">
        <f>EUconst_CNTR_HVCInitial &amp; INDEX(EUconst_BMlistNames,MATCH(R174,EUconst_BMlistMainNumberOfBM,0))</f>
        <v>HVCIni_Крекинг с водна пара</v>
      </c>
      <c r="R220" s="729"/>
      <c r="S220" s="729"/>
      <c r="T220" s="729"/>
      <c r="U220" s="1365" t="s">
        <v>1710</v>
      </c>
      <c r="V220" s="1176">
        <f>V219-$V174+1</f>
        <v>22</v>
      </c>
      <c r="W220" s="1176">
        <f>W219-$V174+1</f>
        <v>23</v>
      </c>
      <c r="X220" s="1176">
        <f>X219-$V174+1</f>
        <v>24</v>
      </c>
      <c r="Y220" s="1176">
        <f>Y219-$V174+1</f>
        <v>25</v>
      </c>
      <c r="Z220" s="1216">
        <f>Z219-$V174+1</f>
        <v>26</v>
      </c>
      <c r="AA220" s="694"/>
      <c r="AB220" s="694"/>
      <c r="AC220" s="694"/>
      <c r="AD220" s="694"/>
      <c r="AE220" s="694"/>
      <c r="AF220" s="694"/>
      <c r="AG220" s="694"/>
      <c r="AH220" s="694"/>
      <c r="AI220" s="694"/>
      <c r="AJ220" s="694"/>
      <c r="AK220" s="770"/>
      <c r="AL220" s="770"/>
    </row>
    <row r="221" spans="1:38" ht="12.75" hidden="1" customHeight="1" x14ac:dyDescent="0.25">
      <c r="A221" s="729" t="s">
        <v>312</v>
      </c>
      <c r="B221" s="298"/>
      <c r="C221" s="298"/>
      <c r="D221" s="1217"/>
      <c r="E221" s="2889" t="str">
        <f>Translations!$B$1378</f>
        <v>Промяна в сравнение със стойността в НМИ</v>
      </c>
      <c r="F221" s="2892"/>
      <c r="G221" s="2892"/>
      <c r="H221" s="2892"/>
      <c r="I221" s="2960"/>
      <c r="J221" s="104" t="str">
        <f>IF(J220="","",IF($I223=0,100%,J220/$I223-1))</f>
        <v/>
      </c>
      <c r="K221" s="99" t="str">
        <f>IF(K220="","",IF($I223=0,100%,K220/$I223-1))</f>
        <v/>
      </c>
      <c r="L221" s="99" t="str">
        <f>IF(L220="","",IF($I223=0,100%,L220/$I223-1))</f>
        <v/>
      </c>
      <c r="M221" s="99" t="str">
        <f>IF(M220="","",IF($I223=0,100%,M220/$I223-1))</f>
        <v/>
      </c>
      <c r="N221" s="123" t="str">
        <f>IF(N220="","",IF($I223=0,100%,N220/$I223-1))</f>
        <v/>
      </c>
      <c r="O221" s="302"/>
      <c r="P221" s="302"/>
      <c r="Q221" s="1190" t="str">
        <f>EUconst_CNTR_RelThreshold &amp; Q223</f>
        <v>RelThresh_HVCprelim_</v>
      </c>
      <c r="R221" s="729"/>
      <c r="S221" s="729"/>
      <c r="T221" s="729"/>
      <c r="U221" s="1365" t="s">
        <v>1715</v>
      </c>
      <c r="V221" s="727" t="str">
        <f>IF(J220="","",ABS(J221)&gt;15%)</f>
        <v/>
      </c>
      <c r="W221" s="727" t="str">
        <f>IF(K220="","",ABS(K221)&gt;15%)</f>
        <v/>
      </c>
      <c r="X221" s="727" t="str">
        <f>IF(L220="","",ABS(L221)&gt;15%)</f>
        <v/>
      </c>
      <c r="Y221" s="727" t="str">
        <f>IF(M220="","",ABS(M221)&gt;15%)</f>
        <v/>
      </c>
      <c r="Z221" s="1221" t="str">
        <f>IF(N220="","",ABS(N221)&gt;15%)</f>
        <v/>
      </c>
      <c r="AA221" s="694"/>
      <c r="AB221" s="694"/>
      <c r="AC221" s="694"/>
      <c r="AD221" s="694"/>
      <c r="AE221" s="694"/>
      <c r="AF221" s="694"/>
      <c r="AG221" s="694"/>
      <c r="AH221" s="694"/>
      <c r="AI221" s="694"/>
      <c r="AJ221" s="694"/>
      <c r="AK221" s="770"/>
      <c r="AL221" s="770"/>
    </row>
    <row r="222" spans="1:38" ht="12.75" customHeight="1" x14ac:dyDescent="0.25">
      <c r="A222" s="729"/>
      <c r="B222" s="298"/>
      <c r="C222" s="298"/>
      <c r="D222" s="1217"/>
      <c r="E222" s="2889" t="str">
        <f>Translations!$B$1322</f>
        <v>Предварителна корекция (ако са надвишени относителните прагове)</v>
      </c>
      <c r="F222" s="2892"/>
      <c r="G222" s="2892"/>
      <c r="H222" s="2892"/>
      <c r="I222" s="2960"/>
      <c r="J222" s="1224" t="str">
        <f>IF(J220="","",IF(V221=FALSE,0%,IF(V222,J221,I228)))</f>
        <v/>
      </c>
      <c r="K222" s="1225" t="str">
        <f>IF(K220="","",IF(W221=FALSE,0%,IF(W222,K221,J228)))</f>
        <v/>
      </c>
      <c r="L222" s="1225" t="str">
        <f>IF(L220="","",IF(X221=FALSE,0%,IF(X222,L221,K228)))</f>
        <v/>
      </c>
      <c r="M222" s="1225" t="str">
        <f>IF(M220="","",IF(Y221=FALSE,0%,IF(Y222,M221,L228)))</f>
        <v/>
      </c>
      <c r="N222" s="1226" t="str">
        <f>IF(N220="","",IF(Z221=FALSE,0%,IF(Z222,N221,M228)))</f>
        <v/>
      </c>
      <c r="O222" s="302"/>
      <c r="P222" s="302"/>
      <c r="Q222" s="729"/>
      <c r="R222" s="729"/>
      <c r="S222" s="729"/>
      <c r="T222" s="729"/>
      <c r="U222" s="1365" t="s">
        <v>1716</v>
      </c>
      <c r="V222" s="727" t="str">
        <f>IF(J220="","",AND(V221,IF(SUM(I228)&lt;0,OR(SUM(J221)&lt;SUM(I228)-MOD(SUM(I228),5%),J221&gt;=SUM(I228)+5%-MOD(SUM(I228),5%)),OR(SUM(J221)&lt;=SUM(I228)-MOD(SUM(I228),5%),SUM(J221)&gt;SUM(I228)+5%-MOD(SUM(I228),5%)))))</f>
        <v/>
      </c>
      <c r="W222" s="727" t="str">
        <f>IF(K220="","",AND(W221,IF(SUM(J228)&lt;0,OR(SUM(K221)&lt;SUM(J228)-MOD(SUM(J228),5%),K221&gt;=SUM(J228)+5%-MOD(SUM(J228),5%)),OR(SUM(K221)&lt;=SUM(J228)-MOD(SUM(J228),5%),SUM(K221)&gt;SUM(J228)+5%-MOD(SUM(J228),5%)))))</f>
        <v/>
      </c>
      <c r="X222" s="727" t="str">
        <f>IF(L220="","",AND(X221,IF(SUM(K228)&lt;0,OR(SUM(L221)&lt;SUM(K228)-MOD(SUM(K228),5%),L221&gt;=SUM(K228)+5%-MOD(SUM(K228),5%)),OR(SUM(L221)&lt;=SUM(K228)-MOD(SUM(K228),5%),SUM(L221)&gt;SUM(K228)+5%-MOD(SUM(K228),5%)))))</f>
        <v/>
      </c>
      <c r="Y222" s="727" t="str">
        <f>IF(M220="","",AND(Y221,IF(SUM(L228)&lt;0,OR(SUM(M221)&lt;SUM(L228)-MOD(SUM(L228),5%),M221&gt;=SUM(L228)+5%-MOD(SUM(L228),5%)),OR(SUM(M221)&lt;=SUM(L228)-MOD(SUM(L228),5%),SUM(M221)&gt;SUM(L228)+5%-MOD(SUM(L228),5%)))))</f>
        <v/>
      </c>
      <c r="Z222" s="1221" t="str">
        <f>IF(N220="","",AND(Z221,IF(SUM(M228)&lt;0,OR(SUM(N221)&lt;SUM(M228)-MOD(SUM(M228),5%),N221&gt;=SUM(M228)+5%-MOD(SUM(M228),5%)),OR(SUM(N221)&lt;=SUM(M228)-MOD(SUM(M228),5%),SUM(N221)&gt;SUM(M228)+5%-MOD(SUM(M228),5%)))))</f>
        <v/>
      </c>
      <c r="AA222" s="694"/>
      <c r="AB222" s="694"/>
      <c r="AC222" s="694"/>
      <c r="AD222" s="694"/>
      <c r="AE222" s="694"/>
      <c r="AF222" s="694"/>
      <c r="AG222" s="694"/>
      <c r="AH222" s="694"/>
      <c r="AI222" s="694"/>
      <c r="AJ222" s="729"/>
      <c r="AK222" s="770"/>
      <c r="AL222" s="770"/>
    </row>
    <row r="223" spans="1:38" ht="12.75" hidden="1" customHeight="1" thickBot="1" x14ac:dyDescent="0.3">
      <c r="A223" s="729" t="s">
        <v>312</v>
      </c>
      <c r="B223" s="298"/>
      <c r="C223" s="298"/>
      <c r="D223" s="1217"/>
      <c r="E223" s="2889" t="str">
        <f>Translations!$B$1377</f>
        <v>Предварителна стойност</v>
      </c>
      <c r="F223" s="2892"/>
      <c r="G223" s="2892"/>
      <c r="H223" s="1266" t="str">
        <f>EUconst_EUA</f>
        <v>Квота за емисии</v>
      </c>
      <c r="I223" s="1211" t="str">
        <f>IF(L174&lt;&gt;EUconst_Relevant,"",IF(AB174=FALSE,EUconst_NA,IF(V174&gt;2018,INDEX(H217:N217,MATCH(V174,H216:N216,0)),SUM(I220))))</f>
        <v/>
      </c>
      <c r="J223" s="1212" t="str">
        <f>IF(V220&lt;2,SUM(J217),IF(V220&lt;3,SUM(I217),IF(V223="",I223,V223)))</f>
        <v/>
      </c>
      <c r="K223" s="1213" t="str">
        <f>IF(W220&lt;2,SUM(K217),IF(W220&lt;3,SUM(J217),IF(W223="",J223,W223)))</f>
        <v/>
      </c>
      <c r="L223" s="1213" t="str">
        <f>IF(X220&lt;2,SUM(L217),IF(X220&lt;3,SUM(K217),IF(X223="",K223,X223)))</f>
        <v/>
      </c>
      <c r="M223" s="1213" t="str">
        <f>IF(Y220&lt;2,SUM(M217),IF(Y220&lt;3,SUM(L217),IF(Y223="",L223,Y223)))</f>
        <v/>
      </c>
      <c r="N223" s="1214" t="str">
        <f>IF(Z220&lt;2,SUM(N217),IF(Z220&lt;3,SUM(M217),IF(Z223="",M223,Z223)))</f>
        <v/>
      </c>
      <c r="O223" s="302"/>
      <c r="P223" s="302"/>
      <c r="Q223" s="1190" t="str">
        <f>EUconst_CNTR_HVCprelim</f>
        <v>HVCprelim_</v>
      </c>
      <c r="R223" s="729"/>
      <c r="S223" s="729"/>
      <c r="T223" s="729"/>
      <c r="U223" s="1404" t="s">
        <v>1711</v>
      </c>
      <c r="V223" s="1570" t="str">
        <f>IF(J220="","",IF(CNTR_ReportingYear&lt;J219,I222,IF($I223=0,J220,$I223*(1+J222))))</f>
        <v/>
      </c>
      <c r="W223" s="1570" t="str">
        <f>IF(K220="","",IF(CNTR_ReportingYear&lt;K219,J222,IF($I223=0,K220,$I223*(1+K222))))</f>
        <v/>
      </c>
      <c r="X223" s="1570" t="str">
        <f>IF(L220="","",IF(CNTR_ReportingYear&lt;L219,K222,IF($I223=0,L220,$I223*(1+L222))))</f>
        <v/>
      </c>
      <c r="Y223" s="1570" t="str">
        <f>IF(M220="","",IF(CNTR_ReportingYear&lt;M219,L222,IF($I223=0,M220,$I223*(1+M222))))</f>
        <v/>
      </c>
      <c r="Z223" s="1571" t="str">
        <f>IF(N220="","",IF(CNTR_ReportingYear&lt;N219,M222,IF($I223=0,N220,$I223*(1+N222))))</f>
        <v/>
      </c>
      <c r="AA223" s="694"/>
      <c r="AB223" s="694"/>
      <c r="AC223" s="694"/>
      <c r="AD223" s="694"/>
      <c r="AE223" s="694"/>
      <c r="AF223" s="694"/>
      <c r="AG223" s="694"/>
      <c r="AH223" s="694"/>
      <c r="AI223" s="694"/>
      <c r="AJ223" s="729"/>
      <c r="AK223" s="770"/>
      <c r="AL223" s="770"/>
    </row>
    <row r="224" spans="1:38" ht="5.15" customHeight="1" x14ac:dyDescent="0.25">
      <c r="A224" s="729"/>
      <c r="B224" s="298"/>
      <c r="C224" s="298"/>
      <c r="D224" s="1217"/>
      <c r="E224" s="1199"/>
      <c r="F224" s="1199"/>
      <c r="G224" s="1199"/>
      <c r="H224" s="1199"/>
      <c r="I224" s="1199"/>
      <c r="J224" s="1199"/>
      <c r="K224" s="1199"/>
      <c r="L224" s="1199"/>
      <c r="M224" s="1199"/>
      <c r="N224" s="1238"/>
      <c r="O224" s="302"/>
      <c r="P224" s="302"/>
      <c r="Q224" s="729"/>
      <c r="R224" s="729"/>
      <c r="S224" s="729"/>
      <c r="T224" s="729"/>
      <c r="U224" s="729"/>
      <c r="V224" s="729"/>
      <c r="W224" s="729"/>
      <c r="X224" s="729"/>
      <c r="Y224" s="729"/>
      <c r="Z224" s="729"/>
      <c r="AA224" s="694"/>
      <c r="AB224" s="694"/>
      <c r="AC224" s="694"/>
      <c r="AD224" s="694"/>
      <c r="AE224" s="694"/>
      <c r="AF224" s="694"/>
      <c r="AG224" s="694"/>
      <c r="AH224" s="694"/>
      <c r="AI224" s="694"/>
      <c r="AJ224" s="729"/>
      <c r="AK224" s="770"/>
      <c r="AL224" s="770"/>
    </row>
    <row r="225" spans="1:38" ht="12.75" customHeight="1" x14ac:dyDescent="0.25">
      <c r="A225" s="729"/>
      <c r="B225" s="298"/>
      <c r="C225" s="298"/>
      <c r="D225" s="1217"/>
      <c r="E225" s="2954" t="str">
        <f>Translations!$B$1323</f>
        <v>Действителна корекция (база за следващи години)</v>
      </c>
      <c r="F225" s="2959"/>
      <c r="G225" s="2959"/>
      <c r="H225" s="2959"/>
      <c r="I225" s="2961"/>
      <c r="J225" s="1563">
        <f>J$490</f>
        <v>2026</v>
      </c>
      <c r="K225" s="1561">
        <f>K$490</f>
        <v>2027</v>
      </c>
      <c r="L225" s="1561">
        <f>L$490</f>
        <v>2028</v>
      </c>
      <c r="M225" s="1561">
        <f>M$490</f>
        <v>2029</v>
      </c>
      <c r="N225" s="1204">
        <f>N$490</f>
        <v>2030</v>
      </c>
      <c r="O225" s="302"/>
      <c r="P225" s="302"/>
      <c r="Q225" s="729"/>
      <c r="R225" s="729"/>
      <c r="S225" s="729"/>
      <c r="T225" s="729"/>
      <c r="U225" s="729"/>
      <c r="V225" s="729"/>
      <c r="W225" s="729"/>
      <c r="X225" s="729"/>
      <c r="Y225" s="729"/>
      <c r="Z225" s="729"/>
      <c r="AA225" s="694"/>
      <c r="AB225" s="694"/>
      <c r="AC225" s="694"/>
      <c r="AD225" s="694"/>
      <c r="AE225" s="694"/>
      <c r="AF225" s="694"/>
      <c r="AG225" s="694"/>
      <c r="AH225" s="694"/>
      <c r="AI225" s="694"/>
      <c r="AJ225" s="729"/>
      <c r="AK225" s="770"/>
      <c r="AL225" s="770"/>
    </row>
    <row r="226" spans="1:38" ht="12.75" customHeight="1" x14ac:dyDescent="0.25">
      <c r="A226" s="729"/>
      <c r="B226" s="298"/>
      <c r="C226" s="298"/>
      <c r="D226" s="1217"/>
      <c r="E226" s="2889" t="str">
        <f>Translations!$B$1515</f>
        <v>изпълнен ли е критерият за &gt;=300 квоти за емисии?</v>
      </c>
      <c r="F226" s="2892"/>
      <c r="G226" s="2892"/>
      <c r="H226" s="2892"/>
      <c r="I226" s="2960"/>
      <c r="J226" s="1236" t="str">
        <f>IF($L174&lt;&gt;EUconst_Relevant,"",INDEX(K_Summary!J:J,MATCH($Q226,K_Summary!$P:$P,0)))</f>
        <v/>
      </c>
      <c r="K226" s="385" t="str">
        <f>IF($L174&lt;&gt;EUconst_Relevant,"",INDEX(K_Summary!K:K,MATCH($Q226,K_Summary!$P:$P,0)))</f>
        <v/>
      </c>
      <c r="L226" s="385" t="str">
        <f>IF($L174&lt;&gt;EUconst_Relevant,"",INDEX(K_Summary!L:L,MATCH($Q226,K_Summary!$P:$P,0)))</f>
        <v/>
      </c>
      <c r="M226" s="385" t="str">
        <f>IF($L174&lt;&gt;EUconst_Relevant,"",INDEX(K_Summary!M:M,MATCH($Q226,K_Summary!$P:$P,0)))</f>
        <v/>
      </c>
      <c r="N226" s="1237" t="str">
        <f>IF($L174&lt;&gt;EUconst_Relevant,"",INDEX(K_Summary!N:N,MATCH($Q226,K_Summary!$P:$P,0)))</f>
        <v/>
      </c>
      <c r="O226" s="302"/>
      <c r="P226" s="302"/>
      <c r="Q226" s="1182" t="str">
        <f>EUconst_CNTR_300EUA&amp;INDEX(EUconst_BMlistNames,MATCH(R174,EUconst_BMlistMainNumberOfBM,0))</f>
        <v>EUA300_Крекинг с водна пара</v>
      </c>
      <c r="R226" s="729"/>
      <c r="S226" s="729"/>
      <c r="T226" s="729"/>
      <c r="U226" s="729"/>
      <c r="V226" s="729"/>
      <c r="W226" s="729"/>
      <c r="X226" s="729"/>
      <c r="Y226" s="729"/>
      <c r="Z226" s="729"/>
      <c r="AA226" s="694"/>
      <c r="AB226" s="694"/>
      <c r="AC226" s="694"/>
      <c r="AD226" s="694"/>
      <c r="AE226" s="694"/>
      <c r="AF226" s="694"/>
      <c r="AG226" s="694"/>
      <c r="AH226" s="694"/>
      <c r="AI226" s="694"/>
      <c r="AJ226" s="729"/>
      <c r="AK226" s="770"/>
      <c r="AL226" s="770"/>
    </row>
    <row r="227" spans="1:38" ht="5.15" customHeight="1" thickBot="1" x14ac:dyDescent="0.3">
      <c r="A227" s="729"/>
      <c r="B227" s="298"/>
      <c r="C227" s="298"/>
      <c r="D227" s="1217"/>
      <c r="E227" s="1199"/>
      <c r="F227" s="1199"/>
      <c r="G227" s="1199"/>
      <c r="H227" s="1199"/>
      <c r="I227" s="1199"/>
      <c r="J227" s="1199"/>
      <c r="K227" s="1199"/>
      <c r="L227" s="1199"/>
      <c r="M227" s="1199"/>
      <c r="N227" s="1238"/>
      <c r="O227" s="302"/>
      <c r="P227" s="302"/>
      <c r="Q227" s="729"/>
      <c r="R227" s="729"/>
      <c r="S227" s="729"/>
      <c r="T227" s="729"/>
      <c r="U227" s="729"/>
      <c r="V227" s="729"/>
      <c r="W227" s="729"/>
      <c r="X227" s="729"/>
      <c r="Y227" s="729"/>
      <c r="Z227" s="729"/>
      <c r="AA227" s="694"/>
      <c r="AB227" s="694"/>
      <c r="AC227" s="694"/>
      <c r="AD227" s="694"/>
      <c r="AE227" s="694"/>
      <c r="AF227" s="694"/>
      <c r="AG227" s="694"/>
      <c r="AH227" s="694"/>
      <c r="AI227" s="694"/>
      <c r="AJ227" s="729"/>
      <c r="AK227" s="770"/>
      <c r="AL227" s="770"/>
    </row>
    <row r="228" spans="1:38" ht="12.75" customHeight="1" thickBot="1" x14ac:dyDescent="0.3">
      <c r="A228" s="694"/>
      <c r="B228" s="298"/>
      <c r="C228" s="298"/>
      <c r="D228" s="1217"/>
      <c r="E228" s="2889" t="str">
        <f>Translations!$B$1324</f>
        <v>Действителна корекция (ако са надвишени всички прагове)</v>
      </c>
      <c r="F228" s="2892"/>
      <c r="G228" s="2892"/>
      <c r="H228" s="2892"/>
      <c r="I228" s="2960"/>
      <c r="J228" s="1240" t="str">
        <f>IF(J226="","",IF(OR(J226,V220&lt;1),J222,I228))</f>
        <v/>
      </c>
      <c r="K228" s="1241" t="str">
        <f>IF(K226="","",IF(OR(K226,W220&lt;1),K222,J228))</f>
        <v/>
      </c>
      <c r="L228" s="1241" t="str">
        <f>IF(L226="","",IF(OR(L226,X220&lt;1),L222,K228))</f>
        <v/>
      </c>
      <c r="M228" s="1241" t="str">
        <f>IF(M226="","",IF(OR(M226,Y220&lt;1),M222,L228))</f>
        <v/>
      </c>
      <c r="N228" s="1242" t="str">
        <f>IF(N226="","",IF(OR(N226,Z220&lt;1),N222,M228))</f>
        <v/>
      </c>
      <c r="O228" s="302"/>
      <c r="P228" s="302"/>
      <c r="Q228" s="729"/>
      <c r="R228" s="729"/>
      <c r="S228" s="729"/>
      <c r="T228" s="729"/>
      <c r="U228" s="1205" t="s">
        <v>1718</v>
      </c>
      <c r="V228" s="1206">
        <f>V219</f>
        <v>2026</v>
      </c>
      <c r="W228" s="1206">
        <f>W219</f>
        <v>2027</v>
      </c>
      <c r="X228" s="1206">
        <f>X219</f>
        <v>2028</v>
      </c>
      <c r="Y228" s="1206">
        <f>Y219</f>
        <v>2029</v>
      </c>
      <c r="Z228" s="1207">
        <f>Z219</f>
        <v>2030</v>
      </c>
      <c r="AA228" s="694"/>
      <c r="AB228" s="694"/>
      <c r="AC228" s="694"/>
      <c r="AD228" s="694"/>
      <c r="AE228" s="694"/>
      <c r="AF228" s="694"/>
      <c r="AG228" s="694"/>
      <c r="AH228" s="694"/>
      <c r="AI228" s="694"/>
      <c r="AJ228" s="729"/>
      <c r="AK228" s="770"/>
      <c r="AL228" s="770"/>
    </row>
    <row r="229" spans="1:38" ht="12.75" hidden="1" customHeight="1" thickBot="1" x14ac:dyDescent="0.3">
      <c r="A229" s="729" t="s">
        <v>312</v>
      </c>
      <c r="B229" s="298"/>
      <c r="C229" s="298"/>
      <c r="D229" s="1217"/>
      <c r="E229" s="2889" t="str">
        <f>Translations!$B$1325</f>
        <v>Действителна стойност</v>
      </c>
      <c r="F229" s="2892"/>
      <c r="G229" s="2892"/>
      <c r="H229" s="1266" t="str">
        <f>EUconst_EUA</f>
        <v>Квота за емисии</v>
      </c>
      <c r="I229" s="1211" t="str">
        <f>I223</f>
        <v/>
      </c>
      <c r="J229" s="632" t="str">
        <f>IF($L174&lt;&gt;EUconst_Relevant,"",IF(J207&gt;$Z174,0,IF(OR($I229=EUconst_NA,J226=TRUE,J228="",J225&lt;=$V174),J223,I229)))</f>
        <v/>
      </c>
      <c r="K229" s="633" t="str">
        <f>IF($L174&lt;&gt;EUconst_Relevant,"",IF(K207&gt;$Z174,0,IF(OR($I229=EUconst_NA,K226=TRUE,K228="",K225&lt;=$V174),K223,J229)))</f>
        <v/>
      </c>
      <c r="L229" s="633" t="str">
        <f>IF($L174&lt;&gt;EUconst_Relevant,"",IF(L207&gt;$Z174,0,IF(OR($I229=EUconst_NA,L226=TRUE,L228="",L225&lt;=$V174),L223,K229)))</f>
        <v/>
      </c>
      <c r="M229" s="633" t="str">
        <f>IF($L174&lt;&gt;EUconst_Relevant,"",IF(M207&gt;$Z174,0,IF(OR($I229=EUconst_NA,M226=TRUE,M228="",M225&lt;=$V174),M223,L229)))</f>
        <v/>
      </c>
      <c r="N229" s="634" t="str">
        <f>IF($L174&lt;&gt;EUconst_Relevant,"",IF(N207&gt;$Z174,0,IF(OR($I229=EUconst_NA,N226=TRUE,N228="",N225&lt;=$V174),N223,M229)))</f>
        <v/>
      </c>
      <c r="O229" s="302"/>
      <c r="P229" s="302"/>
      <c r="Q229" s="1190" t="str">
        <f>EUconst_CNTR_HVCfinal</f>
        <v>HVCfinal_</v>
      </c>
      <c r="R229" s="729"/>
      <c r="S229" s="729"/>
      <c r="T229" s="729"/>
      <c r="U229" s="1491" t="b">
        <v>0</v>
      </c>
      <c r="V229" s="1246" t="b">
        <f>IF(J226=TRUE,V221,U229)</f>
        <v>0</v>
      </c>
      <c r="W229" s="1246" t="b">
        <f>IF(K226=TRUE,W221,V229)</f>
        <v>0</v>
      </c>
      <c r="X229" s="1246" t="b">
        <f>IF(L226=TRUE,X221,W229)</f>
        <v>0</v>
      </c>
      <c r="Y229" s="1246" t="b">
        <f>IF(M226=TRUE,Y221,X229)</f>
        <v>0</v>
      </c>
      <c r="Z229" s="1247" t="b">
        <f>IF(N226=TRUE,Z221,Y229)</f>
        <v>0</v>
      </c>
      <c r="AA229" s="694"/>
      <c r="AB229" s="694"/>
      <c r="AC229" s="694"/>
      <c r="AD229" s="694"/>
      <c r="AE229" s="694"/>
      <c r="AF229" s="694"/>
      <c r="AG229" s="694"/>
      <c r="AH229" s="694"/>
      <c r="AI229" s="694"/>
      <c r="AJ229" s="694"/>
      <c r="AK229" s="770"/>
      <c r="AL229" s="770"/>
    </row>
    <row r="230" spans="1:38" ht="5.15" customHeight="1" thickBot="1" x14ac:dyDescent="0.3">
      <c r="A230" s="694"/>
      <c r="B230" s="284"/>
      <c r="C230" s="284"/>
      <c r="D230" s="1407"/>
      <c r="E230" s="1408"/>
      <c r="F230" s="1408"/>
      <c r="G230" s="1408"/>
      <c r="H230" s="1408"/>
      <c r="I230" s="1408"/>
      <c r="J230" s="1408"/>
      <c r="K230" s="1408"/>
      <c r="L230" s="1408"/>
      <c r="M230" s="1572"/>
      <c r="N230" s="1573"/>
      <c r="O230" s="336"/>
      <c r="P230" s="302"/>
      <c r="Q230" s="770"/>
      <c r="R230" s="694"/>
      <c r="S230" s="694"/>
      <c r="T230" s="694"/>
      <c r="U230" s="694"/>
      <c r="V230" s="694"/>
      <c r="W230" s="694"/>
      <c r="X230" s="694"/>
      <c r="Y230" s="770"/>
      <c r="Z230" s="770"/>
      <c r="AA230" s="770"/>
      <c r="AB230" s="770"/>
      <c r="AC230" s="770"/>
      <c r="AD230" s="770"/>
      <c r="AE230" s="770"/>
      <c r="AF230" s="770"/>
      <c r="AG230" s="770"/>
      <c r="AH230" s="770"/>
      <c r="AI230" s="770"/>
      <c r="AJ230" s="770"/>
      <c r="AK230" s="770"/>
      <c r="AL230" s="770"/>
    </row>
    <row r="231" spans="1:38" ht="5.15" customHeight="1" x14ac:dyDescent="0.25">
      <c r="A231" s="694"/>
      <c r="B231" s="284"/>
      <c r="C231" s="284"/>
      <c r="D231" s="284"/>
      <c r="E231" s="284"/>
      <c r="F231" s="284"/>
      <c r="G231" s="284"/>
      <c r="H231" s="284"/>
      <c r="I231" s="284"/>
      <c r="J231" s="284"/>
      <c r="K231" s="284"/>
      <c r="L231" s="284"/>
      <c r="M231" s="336"/>
      <c r="N231" s="336"/>
      <c r="O231" s="336"/>
      <c r="P231" s="302"/>
      <c r="Q231" s="770"/>
      <c r="R231" s="694"/>
      <c r="S231" s="694"/>
      <c r="T231" s="694"/>
      <c r="U231" s="694"/>
      <c r="V231" s="694"/>
      <c r="W231" s="694"/>
      <c r="X231" s="694"/>
      <c r="Y231" s="770"/>
      <c r="Z231" s="770"/>
      <c r="AA231" s="770"/>
      <c r="AB231" s="770"/>
      <c r="AC231" s="770"/>
      <c r="AD231" s="770"/>
      <c r="AE231" s="770"/>
      <c r="AF231" s="770"/>
      <c r="AG231" s="770"/>
      <c r="AH231" s="770"/>
      <c r="AI231" s="770"/>
      <c r="AJ231" s="770"/>
      <c r="AK231" s="770"/>
      <c r="AL231" s="770"/>
    </row>
    <row r="232" spans="1:38" ht="13" x14ac:dyDescent="0.25">
      <c r="A232" s="694"/>
      <c r="B232" s="284"/>
      <c r="C232" s="284"/>
      <c r="D232" s="284"/>
      <c r="E232" s="2951" t="str">
        <f>IF(L174=EUconst_Relevant,HYPERLINK(R232,EUconst_MsgBackToSheetF),"")</f>
        <v/>
      </c>
      <c r="F232" s="2952"/>
      <c r="G232" s="2952"/>
      <c r="H232" s="2952"/>
      <c r="I232" s="2952"/>
      <c r="J232" s="2952"/>
      <c r="K232" s="2952"/>
      <c r="L232" s="2952"/>
      <c r="M232" s="2952"/>
      <c r="N232" s="2953"/>
      <c r="O232" s="336"/>
      <c r="P232" s="302"/>
      <c r="Q232" s="1395" t="s">
        <v>113</v>
      </c>
      <c r="R232" s="982" t="str">
        <f>R176</f>
        <v/>
      </c>
      <c r="S232" s="694"/>
      <c r="T232" s="694"/>
      <c r="U232" s="694"/>
      <c r="V232" s="694"/>
      <c r="W232" s="694"/>
      <c r="X232" s="694"/>
      <c r="Y232" s="770"/>
      <c r="Z232" s="770"/>
      <c r="AA232" s="770"/>
      <c r="AB232" s="770"/>
      <c r="AC232" s="770"/>
      <c r="AD232" s="770"/>
      <c r="AE232" s="770"/>
      <c r="AF232" s="770"/>
      <c r="AG232" s="770"/>
      <c r="AH232" s="770"/>
      <c r="AI232" s="770"/>
      <c r="AJ232" s="770"/>
      <c r="AK232" s="770"/>
      <c r="AL232" s="770"/>
    </row>
    <row r="233" spans="1:38" x14ac:dyDescent="0.25">
      <c r="A233" s="694"/>
      <c r="B233" s="698"/>
      <c r="C233" s="698"/>
      <c r="D233" s="698"/>
      <c r="E233" s="698"/>
      <c r="F233" s="698"/>
      <c r="G233" s="698"/>
      <c r="H233" s="698"/>
      <c r="I233" s="698"/>
      <c r="J233" s="698"/>
      <c r="K233" s="698"/>
      <c r="L233" s="698"/>
      <c r="M233" s="698"/>
      <c r="N233" s="698"/>
      <c r="O233" s="336"/>
      <c r="P233" s="302"/>
      <c r="Q233" s="694"/>
      <c r="R233" s="694"/>
      <c r="S233" s="694"/>
      <c r="T233" s="694"/>
      <c r="U233" s="694"/>
      <c r="V233" s="694"/>
      <c r="W233" s="694"/>
      <c r="X233" s="694"/>
      <c r="Y233" s="770"/>
      <c r="Z233" s="770"/>
      <c r="AA233" s="770"/>
      <c r="AB233" s="770"/>
      <c r="AC233" s="770"/>
      <c r="AD233" s="770"/>
      <c r="AE233" s="770"/>
      <c r="AF233" s="770"/>
      <c r="AG233" s="770"/>
      <c r="AH233" s="770"/>
      <c r="AI233" s="770"/>
      <c r="AJ233" s="770"/>
      <c r="AK233" s="770"/>
      <c r="AL233" s="770"/>
    </row>
    <row r="234" spans="1:38" ht="15.5" x14ac:dyDescent="0.35">
      <c r="A234" s="694"/>
      <c r="B234" s="284"/>
      <c r="C234" s="327" t="s">
        <v>654</v>
      </c>
      <c r="D234" s="2245" t="str">
        <f>Translations!$B$806</f>
        <v>CWT (ароматни съединения)</v>
      </c>
      <c r="E234" s="2245"/>
      <c r="F234" s="2245"/>
      <c r="G234" s="2245"/>
      <c r="H234" s="2245"/>
      <c r="I234" s="2245"/>
      <c r="J234" s="2245"/>
      <c r="K234" s="2245"/>
      <c r="L234" s="2245"/>
      <c r="M234" s="2245"/>
      <c r="N234" s="2245"/>
      <c r="O234" s="336"/>
      <c r="P234" s="302"/>
      <c r="Q234" s="770"/>
      <c r="R234" s="694"/>
      <c r="S234" s="694"/>
      <c r="T234" s="694"/>
      <c r="U234" s="694"/>
      <c r="V234" s="694"/>
      <c r="W234" s="694"/>
      <c r="X234" s="694"/>
      <c r="Y234" s="770"/>
      <c r="Z234" s="770"/>
      <c r="AA234" s="770"/>
      <c r="AB234" s="770"/>
      <c r="AC234" s="770"/>
      <c r="AD234" s="770"/>
      <c r="AE234" s="770"/>
      <c r="AF234" s="770"/>
      <c r="AG234" s="770"/>
      <c r="AH234" s="770"/>
      <c r="AI234" s="770"/>
      <c r="AJ234" s="770"/>
      <c r="AK234" s="770"/>
      <c r="AL234" s="770"/>
    </row>
    <row r="235" spans="1:38" ht="5.15" customHeight="1" x14ac:dyDescent="0.25">
      <c r="A235" s="694"/>
      <c r="B235" s="284"/>
      <c r="C235" s="284"/>
      <c r="D235" s="284"/>
      <c r="E235" s="284"/>
      <c r="F235" s="284"/>
      <c r="G235" s="284"/>
      <c r="H235" s="284"/>
      <c r="I235" s="284"/>
      <c r="J235" s="284"/>
      <c r="K235" s="284"/>
      <c r="L235" s="284"/>
      <c r="M235" s="336"/>
      <c r="N235" s="336"/>
      <c r="O235" s="336"/>
      <c r="P235" s="302"/>
      <c r="Q235" s="770"/>
      <c r="R235" s="694"/>
      <c r="S235" s="694"/>
      <c r="T235" s="694"/>
      <c r="U235" s="694"/>
      <c r="V235" s="694"/>
      <c r="W235" s="694"/>
      <c r="X235" s="694"/>
      <c r="Y235" s="770"/>
      <c r="Z235" s="770"/>
      <c r="AA235" s="770"/>
      <c r="AB235" s="770"/>
      <c r="AC235" s="770"/>
      <c r="AD235" s="770"/>
      <c r="AE235" s="770"/>
      <c r="AF235" s="770"/>
      <c r="AG235" s="770"/>
      <c r="AH235" s="770"/>
      <c r="AI235" s="770"/>
      <c r="AJ235" s="770"/>
      <c r="AK235" s="770"/>
      <c r="AL235" s="770"/>
    </row>
    <row r="236" spans="1:38" ht="14" x14ac:dyDescent="0.3">
      <c r="A236" s="694"/>
      <c r="B236" s="284"/>
      <c r="C236" s="357"/>
      <c r="D236" s="2323" t="str">
        <f>Translations!$B$807</f>
        <v>Инструмент за изчисляване на историческите равнища на дейност за подинсталациите за ароматни съединения</v>
      </c>
      <c r="E236" s="2249"/>
      <c r="F236" s="2249"/>
      <c r="G236" s="2249"/>
      <c r="H236" s="2249"/>
      <c r="I236" s="2249"/>
      <c r="J236" s="2249"/>
      <c r="K236" s="2249"/>
      <c r="L236" s="2249"/>
      <c r="M236" s="2249"/>
      <c r="N236" s="2249"/>
      <c r="O236" s="336"/>
      <c r="P236" s="302"/>
      <c r="Q236" s="770"/>
      <c r="R236" s="694"/>
      <c r="S236" s="694"/>
      <c r="T236" s="694"/>
      <c r="U236" s="694"/>
      <c r="V236" s="694"/>
      <c r="W236" s="694"/>
      <c r="X236" s="694"/>
      <c r="Y236" s="770"/>
      <c r="Z236" s="770"/>
      <c r="AA236" s="770"/>
      <c r="AB236" s="770"/>
      <c r="AC236" s="770"/>
      <c r="AD236" s="770"/>
      <c r="AE236" s="770"/>
      <c r="AF236" s="770"/>
      <c r="AG236" s="770"/>
      <c r="AH236" s="770"/>
      <c r="AI236" s="770"/>
      <c r="AJ236" s="770"/>
      <c r="AK236" s="770"/>
      <c r="AL236" s="770"/>
    </row>
    <row r="237" spans="1:38" ht="5.15" customHeight="1" x14ac:dyDescent="0.25">
      <c r="A237" s="694"/>
      <c r="B237" s="284"/>
      <c r="C237" s="284"/>
      <c r="D237" s="284"/>
      <c r="E237" s="284"/>
      <c r="F237" s="284"/>
      <c r="G237" s="284"/>
      <c r="H237" s="284"/>
      <c r="I237" s="284"/>
      <c r="J237" s="284"/>
      <c r="K237" s="284"/>
      <c r="L237" s="284"/>
      <c r="M237" s="336"/>
      <c r="N237" s="336"/>
      <c r="O237" s="336"/>
      <c r="P237" s="302"/>
      <c r="Q237" s="770"/>
      <c r="R237" s="694"/>
      <c r="S237" s="694"/>
      <c r="T237" s="694"/>
      <c r="U237" s="694"/>
      <c r="V237" s="694"/>
      <c r="W237" s="694"/>
      <c r="X237" s="694"/>
      <c r="Y237" s="770"/>
      <c r="Z237" s="770"/>
      <c r="AA237" s="770"/>
      <c r="AB237" s="770"/>
      <c r="AC237" s="770"/>
      <c r="AD237" s="770"/>
      <c r="AE237" s="770"/>
      <c r="AF237" s="770"/>
      <c r="AG237" s="770"/>
      <c r="AH237" s="770"/>
      <c r="AI237" s="770"/>
      <c r="AJ237" s="770"/>
      <c r="AK237" s="770"/>
      <c r="AL237" s="770"/>
    </row>
    <row r="238" spans="1:38" x14ac:dyDescent="0.25">
      <c r="A238" s="694"/>
      <c r="B238" s="284"/>
      <c r="C238" s="284"/>
      <c r="D238" s="302"/>
      <c r="E238" s="2358" t="str">
        <f>Translations!$B$808</f>
        <v>Този инструмент Ви помага при определяне на HAL (исторически равнища на дейност) за продуктовия показател за ароматни съединения (приложение III, точка 5 от ПБР).</v>
      </c>
      <c r="F238" s="2249"/>
      <c r="G238" s="2249"/>
      <c r="H238" s="2249"/>
      <c r="I238" s="2249"/>
      <c r="J238" s="2249"/>
      <c r="K238" s="2249"/>
      <c r="L238" s="2249"/>
      <c r="M238" s="2249"/>
      <c r="N238" s="2249"/>
      <c r="O238" s="336"/>
      <c r="P238" s="302"/>
      <c r="Q238" s="770"/>
      <c r="R238" s="694"/>
      <c r="S238" s="694"/>
      <c r="T238" s="694"/>
      <c r="U238" s="694"/>
      <c r="V238" s="694"/>
      <c r="W238" s="694"/>
      <c r="X238" s="694"/>
      <c r="Y238" s="770"/>
      <c r="Z238" s="770"/>
      <c r="AA238" s="770"/>
      <c r="AB238" s="770"/>
      <c r="AC238" s="770"/>
      <c r="AD238" s="770"/>
      <c r="AE238" s="770"/>
      <c r="AF238" s="770"/>
      <c r="AG238" s="770"/>
      <c r="AH238" s="770"/>
      <c r="AI238" s="770"/>
      <c r="AJ238" s="770"/>
      <c r="AK238" s="770"/>
      <c r="AL238" s="770"/>
    </row>
    <row r="239" spans="1:38" x14ac:dyDescent="0.25">
      <c r="A239" s="694"/>
      <c r="B239" s="284"/>
      <c r="C239" s="284"/>
      <c r="D239" s="302"/>
      <c r="E239" s="2358" t="str">
        <f>Translations!$B$809</f>
        <v>За показателя за рафинерии, за който също се прилага CWT, използвайте специфичния инструмент CWT за рафинерии (раздел I от настоящия работен лист).</v>
      </c>
      <c r="F239" s="2249"/>
      <c r="G239" s="2249"/>
      <c r="H239" s="2249"/>
      <c r="I239" s="2249"/>
      <c r="J239" s="2249"/>
      <c r="K239" s="2249"/>
      <c r="L239" s="2249"/>
      <c r="M239" s="2249"/>
      <c r="N239" s="2249"/>
      <c r="O239" s="336"/>
      <c r="P239" s="302"/>
      <c r="Q239" s="770"/>
      <c r="R239" s="694"/>
      <c r="S239" s="694"/>
      <c r="T239" s="694"/>
      <c r="U239" s="694"/>
      <c r="V239" s="694"/>
      <c r="W239" s="694"/>
      <c r="X239" s="694"/>
      <c r="Y239" s="770"/>
      <c r="Z239" s="770"/>
      <c r="AA239" s="770"/>
      <c r="AB239" s="770"/>
      <c r="AC239" s="770"/>
      <c r="AD239" s="770"/>
      <c r="AE239" s="770"/>
      <c r="AF239" s="770"/>
      <c r="AG239" s="770"/>
      <c r="AH239" s="770"/>
      <c r="AI239" s="770"/>
      <c r="AJ239" s="770"/>
      <c r="AK239" s="770"/>
      <c r="AL239" s="770"/>
    </row>
    <row r="240" spans="1:38" x14ac:dyDescent="0.25">
      <c r="A240" s="694"/>
      <c r="B240" s="284"/>
      <c r="C240" s="284"/>
      <c r="D240" s="302"/>
      <c r="E240" s="2358" t="str">
        <f>Translations!$B$673</f>
        <v>Резултатът от този инструмент се копира автоматично в работен лист „F_ProductBM“, ред „a).ii“ за съответната подинсталация.</v>
      </c>
      <c r="F240" s="2249"/>
      <c r="G240" s="2249"/>
      <c r="H240" s="2249"/>
      <c r="I240" s="2249"/>
      <c r="J240" s="2249"/>
      <c r="K240" s="2249"/>
      <c r="L240" s="2249"/>
      <c r="M240" s="2249"/>
      <c r="N240" s="2249"/>
      <c r="O240" s="336"/>
      <c r="P240" s="302"/>
      <c r="Q240" s="770"/>
      <c r="R240" s="694"/>
      <c r="S240" s="694"/>
      <c r="T240" s="694"/>
      <c r="U240" s="694"/>
      <c r="V240" s="694"/>
      <c r="W240" s="694"/>
      <c r="X240" s="694"/>
      <c r="Y240" s="770"/>
      <c r="Z240" s="770"/>
      <c r="AA240" s="770"/>
      <c r="AB240" s="770"/>
      <c r="AC240" s="770"/>
      <c r="AD240" s="770"/>
      <c r="AE240" s="770"/>
      <c r="AF240" s="770"/>
      <c r="AG240" s="770"/>
      <c r="AH240" s="770"/>
      <c r="AI240" s="770"/>
      <c r="AJ240" s="770"/>
      <c r="AK240" s="770"/>
      <c r="AL240" s="770"/>
    </row>
    <row r="241" spans="1:38" ht="5.15" customHeight="1" x14ac:dyDescent="0.25">
      <c r="A241" s="694"/>
      <c r="B241" s="284"/>
      <c r="C241" s="284"/>
      <c r="D241" s="284"/>
      <c r="E241" s="284"/>
      <c r="F241" s="284"/>
      <c r="G241" s="284"/>
      <c r="H241" s="284"/>
      <c r="I241" s="284"/>
      <c r="J241" s="284"/>
      <c r="K241" s="284"/>
      <c r="L241" s="284"/>
      <c r="M241" s="336"/>
      <c r="N241" s="336"/>
      <c r="O241" s="336"/>
      <c r="P241" s="302"/>
      <c r="Q241" s="770"/>
      <c r="R241" s="694"/>
      <c r="S241" s="694"/>
      <c r="T241" s="694"/>
      <c r="U241" s="694"/>
      <c r="V241" s="694"/>
      <c r="W241" s="694"/>
      <c r="X241" s="694"/>
      <c r="Y241" s="770"/>
      <c r="Z241" s="770"/>
      <c r="AA241" s="770"/>
      <c r="AB241" s="770"/>
      <c r="AC241" s="770"/>
      <c r="AD241" s="770"/>
      <c r="AE241" s="770"/>
      <c r="AF241" s="770"/>
      <c r="AG241" s="770"/>
      <c r="AH241" s="770"/>
      <c r="AI241" s="770"/>
      <c r="AJ241" s="770"/>
      <c r="AK241" s="770"/>
      <c r="AL241" s="770"/>
    </row>
    <row r="242" spans="1:38" ht="14" x14ac:dyDescent="0.3">
      <c r="A242" s="694"/>
      <c r="B242" s="284"/>
      <c r="C242" s="284"/>
      <c r="D242" s="300" t="s">
        <v>408</v>
      </c>
      <c r="E242" s="2226" t="str">
        <f>Translations!$B$674</f>
        <v>Практическо значение на този инструмент за Вашата инсталация:</v>
      </c>
      <c r="F242" s="2226"/>
      <c r="G242" s="2226"/>
      <c r="H242" s="2226"/>
      <c r="I242" s="2226"/>
      <c r="J242" s="2226"/>
      <c r="K242" s="2317"/>
      <c r="L242" s="2956" t="str">
        <f>IF(CNTR_ExistSubInstEntries,IF(COUNTIF(CNTR_SubInstListNames,INDEX(EUconst_BMlistNames,MATCH(R242,EUconst_BMlistMainNumberOfBM,0)))&gt;0,EUconst_Relevant,EUconst_NotRelevant),"")</f>
        <v/>
      </c>
      <c r="M242" s="2957"/>
      <c r="N242" s="2958"/>
      <c r="O242" s="336"/>
      <c r="P242" s="302"/>
      <c r="Q242" s="1395" t="s">
        <v>114</v>
      </c>
      <c r="R242" s="1519">
        <v>43</v>
      </c>
      <c r="S242" s="694"/>
      <c r="T242" s="694"/>
      <c r="U242" s="694"/>
      <c r="V242" s="694"/>
      <c r="W242" s="694"/>
      <c r="X242" s="694"/>
      <c r="Y242" s="770"/>
      <c r="Z242" s="770"/>
      <c r="AA242" s="770"/>
      <c r="AB242" s="770"/>
      <c r="AC242" s="770"/>
      <c r="AD242" s="770"/>
      <c r="AE242" s="770"/>
      <c r="AF242" s="770"/>
      <c r="AG242" s="770"/>
      <c r="AH242" s="770"/>
      <c r="AI242" s="770"/>
      <c r="AJ242" s="770"/>
      <c r="AK242" s="770"/>
      <c r="AL242" s="770"/>
    </row>
    <row r="243" spans="1:38" x14ac:dyDescent="0.25">
      <c r="A243" s="694"/>
      <c r="B243" s="284"/>
      <c r="C243" s="284"/>
      <c r="D243" s="302"/>
      <c r="E243" s="2255" t="str">
        <f>Translations!$B$675</f>
        <v>Това съобщение се генерира автоматично въз основа на въведените от Вас данни в работен лист „A_InstallationData“ („А_Данни за инсталацията“), раздел A.III.1.</v>
      </c>
      <c r="F243" s="2256"/>
      <c r="G243" s="2256"/>
      <c r="H243" s="2256"/>
      <c r="I243" s="2256"/>
      <c r="J243" s="2256"/>
      <c r="K243" s="2256"/>
      <c r="L243" s="2256"/>
      <c r="M243" s="2256"/>
      <c r="N243" s="2256"/>
      <c r="O243" s="336"/>
      <c r="P243" s="302"/>
      <c r="Q243" s="770"/>
      <c r="R243" s="694"/>
      <c r="S243" s="694"/>
      <c r="T243" s="694"/>
      <c r="U243" s="694"/>
      <c r="V243" s="694"/>
      <c r="W243" s="694"/>
      <c r="X243" s="694"/>
      <c r="Y243" s="770"/>
      <c r="Z243" s="770"/>
      <c r="AA243" s="770"/>
      <c r="AB243" s="770"/>
      <c r="AC243" s="770"/>
      <c r="AD243" s="770"/>
      <c r="AE243" s="770"/>
      <c r="AF243" s="770"/>
      <c r="AG243" s="770"/>
      <c r="AH243" s="770"/>
      <c r="AI243" s="770"/>
      <c r="AJ243" s="770"/>
      <c r="AK243" s="770"/>
      <c r="AL243" s="770"/>
    </row>
    <row r="244" spans="1:38" ht="13" x14ac:dyDescent="0.25">
      <c r="A244" s="694"/>
      <c r="B244" s="284"/>
      <c r="C244" s="284"/>
      <c r="D244" s="284"/>
      <c r="E244" s="2951" t="str">
        <f>IF(L242=EUconst_Relevant,HYPERLINK(R244,EUconst_MsgBackToSheetF),"")</f>
        <v/>
      </c>
      <c r="F244" s="2952"/>
      <c r="G244" s="2952"/>
      <c r="H244" s="2952"/>
      <c r="I244" s="2952"/>
      <c r="J244" s="2952"/>
      <c r="K244" s="2952"/>
      <c r="L244" s="2952"/>
      <c r="M244" s="2952"/>
      <c r="N244" s="2953"/>
      <c r="O244" s="336"/>
      <c r="P244" s="302"/>
      <c r="Q244" s="1395" t="s">
        <v>113</v>
      </c>
      <c r="R244" s="982" t="str">
        <f>IF(ISNUMBER(MATCH(R242,CNTR_SubInstListBMnumbers,0)),"#JUMP_F"&amp;MATCH(R242,CNTR_SubInstListBMnumbers,0),"")</f>
        <v/>
      </c>
      <c r="S244" s="694"/>
      <c r="T244" s="694"/>
      <c r="U244" s="694"/>
      <c r="V244" s="694"/>
      <c r="W244" s="694"/>
      <c r="X244" s="694"/>
      <c r="Y244" s="770"/>
      <c r="Z244" s="770"/>
      <c r="AA244" s="770"/>
      <c r="AB244" s="770"/>
      <c r="AC244" s="770"/>
      <c r="AD244" s="770"/>
      <c r="AE244" s="770"/>
      <c r="AF244" s="770"/>
      <c r="AG244" s="770"/>
      <c r="AH244" s="770"/>
      <c r="AI244" s="770"/>
      <c r="AJ244" s="770"/>
      <c r="AK244" s="770"/>
      <c r="AL244" s="770"/>
    </row>
    <row r="245" spans="1:38" ht="5.15" customHeight="1" x14ac:dyDescent="0.25">
      <c r="A245" s="694"/>
      <c r="B245" s="284"/>
      <c r="C245" s="284"/>
      <c r="D245" s="284"/>
      <c r="E245" s="284"/>
      <c r="F245" s="284"/>
      <c r="G245" s="284"/>
      <c r="H245" s="284"/>
      <c r="I245" s="284"/>
      <c r="J245" s="284"/>
      <c r="K245" s="284"/>
      <c r="L245" s="284"/>
      <c r="M245" s="336"/>
      <c r="N245" s="336"/>
      <c r="O245" s="336"/>
      <c r="P245" s="302"/>
      <c r="Q245" s="770"/>
      <c r="R245" s="694"/>
      <c r="S245" s="694"/>
      <c r="T245" s="694"/>
      <c r="U245" s="694"/>
      <c r="V245" s="694"/>
      <c r="W245" s="694"/>
      <c r="X245" s="694"/>
      <c r="Y245" s="770"/>
      <c r="Z245" s="770"/>
      <c r="AA245" s="770"/>
      <c r="AB245" s="770"/>
      <c r="AC245" s="770"/>
      <c r="AD245" s="770"/>
      <c r="AE245" s="770"/>
      <c r="AF245" s="770"/>
      <c r="AG245" s="770"/>
      <c r="AH245" s="770"/>
      <c r="AI245" s="770"/>
      <c r="AJ245" s="770"/>
      <c r="AK245" s="770"/>
      <c r="AL245" s="770"/>
    </row>
    <row r="246" spans="1:38" ht="13" x14ac:dyDescent="0.25">
      <c r="A246" s="694"/>
      <c r="B246" s="284"/>
      <c r="C246" s="284"/>
      <c r="D246" s="300" t="s">
        <v>901</v>
      </c>
      <c r="E246" s="2226" t="str">
        <f>Translations!$B$676</f>
        <v>Данни за количеството обработени материали по CWT</v>
      </c>
      <c r="F246" s="2249"/>
      <c r="G246" s="2249"/>
      <c r="H246" s="2249"/>
      <c r="I246" s="2249"/>
      <c r="J246" s="2249"/>
      <c r="K246" s="2249"/>
      <c r="L246" s="2249"/>
      <c r="M246" s="2249"/>
      <c r="N246" s="2249"/>
      <c r="O246" s="336"/>
      <c r="P246" s="302"/>
      <c r="Q246" s="770"/>
      <c r="R246" s="694"/>
      <c r="S246" s="694"/>
      <c r="T246" s="694"/>
      <c r="U246" s="694"/>
      <c r="V246" s="694"/>
      <c r="W246" s="694"/>
      <c r="X246" s="694"/>
      <c r="Y246" s="770"/>
      <c r="Z246" s="770"/>
      <c r="AA246" s="770"/>
      <c r="AB246" s="770"/>
      <c r="AC246" s="770"/>
      <c r="AD246" s="770"/>
      <c r="AE246" s="770"/>
      <c r="AF246" s="770"/>
      <c r="AG246" s="770"/>
      <c r="AH246" s="770"/>
      <c r="AI246" s="770"/>
      <c r="AJ246" s="770"/>
      <c r="AK246" s="770"/>
      <c r="AL246" s="770"/>
    </row>
    <row r="247" spans="1:38" x14ac:dyDescent="0.25">
      <c r="A247" s="694"/>
      <c r="B247" s="284"/>
      <c r="C247" s="284"/>
      <c r="D247" s="302"/>
      <c r="E247" s="2358" t="str">
        <f>Translations!$B$677</f>
        <v>Тук въведете данните за годишното количество обработени материали за всяка CWT дейност.</v>
      </c>
      <c r="F247" s="2249"/>
      <c r="G247" s="2249"/>
      <c r="H247" s="2249"/>
      <c r="I247" s="2249"/>
      <c r="J247" s="2249"/>
      <c r="K247" s="2249"/>
      <c r="L247" s="2249"/>
      <c r="M247" s="2249"/>
      <c r="N247" s="2249"/>
      <c r="O247" s="336"/>
      <c r="P247" s="302"/>
      <c r="Q247" s="770"/>
      <c r="R247" s="694"/>
      <c r="S247" s="694"/>
      <c r="T247" s="694"/>
      <c r="U247" s="694"/>
      <c r="V247" s="694"/>
      <c r="W247" s="694"/>
      <c r="X247" s="694"/>
      <c r="Y247" s="770"/>
      <c r="Z247" s="770"/>
      <c r="AA247" s="770"/>
      <c r="AB247" s="770"/>
      <c r="AC247" s="770"/>
      <c r="AD247" s="770"/>
      <c r="AE247" s="770"/>
      <c r="AF247" s="770"/>
      <c r="AG247" s="770"/>
      <c r="AH247" s="770"/>
      <c r="AI247" s="770"/>
      <c r="AJ247" s="770"/>
      <c r="AK247" s="770"/>
      <c r="AL247" s="770"/>
    </row>
    <row r="248" spans="1:38" x14ac:dyDescent="0.25">
      <c r="A248" s="694"/>
      <c r="B248" s="284"/>
      <c r="C248" s="284"/>
      <c r="D248" s="302"/>
      <c r="E248" s="2358" t="str">
        <f>Translations!$B$810</f>
        <v>За дефиницията и границите на всяка CWT дейност вж. точка 2 от приложение II към ПБР.</v>
      </c>
      <c r="F248" s="2249"/>
      <c r="G248" s="2249"/>
      <c r="H248" s="2249"/>
      <c r="I248" s="2249"/>
      <c r="J248" s="2249"/>
      <c r="K248" s="2249"/>
      <c r="L248" s="2249"/>
      <c r="M248" s="2249"/>
      <c r="N248" s="2249"/>
      <c r="O248" s="336"/>
      <c r="P248" s="302"/>
      <c r="Q248" s="770"/>
      <c r="R248" s="694"/>
      <c r="S248" s="694"/>
      <c r="T248" s="694"/>
      <c r="U248" s="694"/>
      <c r="V248" s="694"/>
      <c r="W248" s="694"/>
      <c r="X248" s="694"/>
      <c r="Y248" s="770"/>
      <c r="Z248" s="770"/>
      <c r="AA248" s="770"/>
      <c r="AB248" s="770"/>
      <c r="AC248" s="770"/>
      <c r="AD248" s="770"/>
      <c r="AE248" s="770"/>
      <c r="AF248" s="770"/>
      <c r="AG248" s="770"/>
      <c r="AH248" s="770"/>
      <c r="AI248" s="770"/>
      <c r="AJ248" s="770"/>
      <c r="AK248" s="770"/>
      <c r="AL248" s="770"/>
    </row>
    <row r="249" spans="1:38" x14ac:dyDescent="0.25">
      <c r="A249" s="694"/>
      <c r="B249" s="284"/>
      <c r="C249" s="284"/>
      <c r="D249" s="302"/>
      <c r="E249" s="2358" t="str">
        <f>Translations!$B$679</f>
        <v>Използвани са следните съкращения:</v>
      </c>
      <c r="F249" s="2249"/>
      <c r="G249" s="2249"/>
      <c r="H249" s="2249"/>
      <c r="I249" s="2249"/>
      <c r="J249" s="2249"/>
      <c r="K249" s="2249"/>
      <c r="L249" s="2249"/>
      <c r="M249" s="2249"/>
      <c r="N249" s="2249"/>
      <c r="O249" s="336"/>
      <c r="P249" s="302"/>
      <c r="Q249" s="770"/>
      <c r="R249" s="694"/>
      <c r="S249" s="694"/>
      <c r="T249" s="694"/>
      <c r="U249" s="694"/>
      <c r="V249" s="694"/>
      <c r="W249" s="694"/>
      <c r="X249" s="694"/>
      <c r="Y249" s="770"/>
      <c r="Z249" s="770"/>
      <c r="AA249" s="770"/>
      <c r="AB249" s="770"/>
      <c r="AC249" s="770"/>
      <c r="AD249" s="770"/>
      <c r="AE249" s="770"/>
      <c r="AF249" s="770"/>
      <c r="AG249" s="770"/>
      <c r="AH249" s="770"/>
      <c r="AI249" s="770"/>
      <c r="AJ249" s="770"/>
      <c r="AK249" s="770"/>
      <c r="AL249" s="770"/>
    </row>
    <row r="250" spans="1:38" x14ac:dyDescent="0.25">
      <c r="A250" s="694"/>
      <c r="B250" s="284"/>
      <c r="C250" s="284"/>
      <c r="D250" s="302"/>
      <c r="E250" s="1520" t="s">
        <v>294</v>
      </c>
      <c r="F250" s="2358" t="str">
        <f>Translations!$B$680</f>
        <v>Нетни сурови захранвани материали</v>
      </c>
      <c r="G250" s="2249"/>
      <c r="H250" s="2249"/>
      <c r="I250" s="2249"/>
      <c r="J250" s="2249"/>
      <c r="K250" s="2249"/>
      <c r="L250" s="2249"/>
      <c r="M250" s="2249"/>
      <c r="N250" s="2249"/>
      <c r="O250" s="336"/>
      <c r="P250" s="302"/>
      <c r="Q250" s="770"/>
      <c r="R250" s="694"/>
      <c r="S250" s="694"/>
      <c r="T250" s="694"/>
      <c r="U250" s="694"/>
      <c r="V250" s="694"/>
      <c r="W250" s="694"/>
      <c r="X250" s="694"/>
      <c r="Y250" s="770"/>
      <c r="Z250" s="770"/>
      <c r="AA250" s="770"/>
      <c r="AB250" s="770"/>
      <c r="AC250" s="770"/>
      <c r="AD250" s="770"/>
      <c r="AE250" s="770"/>
      <c r="AF250" s="770"/>
      <c r="AG250" s="770"/>
      <c r="AH250" s="770"/>
      <c r="AI250" s="770"/>
      <c r="AJ250" s="770"/>
      <c r="AK250" s="770"/>
      <c r="AL250" s="770"/>
    </row>
    <row r="251" spans="1:38" x14ac:dyDescent="0.25">
      <c r="A251" s="694"/>
      <c r="B251" s="284"/>
      <c r="C251" s="284"/>
      <c r="D251" s="302"/>
      <c r="E251" s="1520" t="s">
        <v>372</v>
      </c>
      <c r="F251" s="2358" t="str">
        <f>Translations!$B$682</f>
        <v>Продуктови захранвани материали</v>
      </c>
      <c r="G251" s="2249"/>
      <c r="H251" s="2249"/>
      <c r="I251" s="2249"/>
      <c r="J251" s="2249"/>
      <c r="K251" s="2249"/>
      <c r="L251" s="2249"/>
      <c r="M251" s="2249"/>
      <c r="N251" s="2249"/>
      <c r="O251" s="336"/>
      <c r="P251" s="302"/>
      <c r="Q251" s="770"/>
      <c r="R251" s="694"/>
      <c r="S251" s="694"/>
      <c r="T251" s="694"/>
      <c r="U251" s="694"/>
      <c r="V251" s="694"/>
      <c r="W251" s="770"/>
      <c r="X251" s="694"/>
      <c r="Y251" s="770"/>
      <c r="Z251" s="770"/>
      <c r="AA251" s="770"/>
      <c r="AB251" s="770"/>
      <c r="AC251" s="770"/>
      <c r="AD251" s="770"/>
      <c r="AE251" s="770"/>
      <c r="AF251" s="770"/>
      <c r="AG251" s="770"/>
      <c r="AH251" s="770"/>
      <c r="AI251" s="770"/>
      <c r="AJ251" s="770"/>
      <c r="AK251" s="770"/>
      <c r="AL251" s="770"/>
    </row>
    <row r="252" spans="1:38" x14ac:dyDescent="0.25">
      <c r="A252" s="694"/>
      <c r="B252" s="284"/>
      <c r="C252" s="284"/>
      <c r="D252" s="460"/>
      <c r="E252" s="2459" t="str">
        <f>Translations!$B$684</f>
        <v>Важна забележка:  В съответствие с приложение II към ПБР мерните единици за отчитане са килотона обработен материал.</v>
      </c>
      <c r="F252" s="2249"/>
      <c r="G252" s="2249"/>
      <c r="H252" s="2249"/>
      <c r="I252" s="2249"/>
      <c r="J252" s="2249"/>
      <c r="K252" s="2249"/>
      <c r="L252" s="2249"/>
      <c r="M252" s="2249"/>
      <c r="N252" s="2249"/>
      <c r="O252" s="336"/>
      <c r="P252" s="302"/>
      <c r="Q252" s="770"/>
      <c r="R252" s="694"/>
      <c r="S252" s="694"/>
      <c r="T252" s="770"/>
      <c r="U252" s="770"/>
      <c r="V252" s="694"/>
      <c r="W252" s="770"/>
      <c r="X252" s="694"/>
      <c r="Y252" s="770"/>
      <c r="Z252" s="770"/>
      <c r="AA252" s="770"/>
      <c r="AB252" s="770"/>
      <c r="AC252" s="770"/>
      <c r="AD252" s="770"/>
      <c r="AE252" s="770"/>
      <c r="AF252" s="770"/>
      <c r="AG252" s="770"/>
      <c r="AH252" s="770"/>
      <c r="AI252" s="770"/>
      <c r="AJ252" s="770"/>
      <c r="AK252" s="770"/>
      <c r="AL252" s="770"/>
    </row>
    <row r="253" spans="1:38" ht="5.15" customHeight="1" x14ac:dyDescent="0.25">
      <c r="A253" s="694"/>
      <c r="B253" s="284"/>
      <c r="C253" s="284"/>
      <c r="D253" s="284"/>
      <c r="E253" s="284"/>
      <c r="F253" s="284"/>
      <c r="G253" s="284"/>
      <c r="H253" s="284"/>
      <c r="I253" s="284"/>
      <c r="J253" s="284"/>
      <c r="K253" s="284"/>
      <c r="L253" s="284"/>
      <c r="M253" s="336"/>
      <c r="N253" s="336"/>
      <c r="O253" s="336"/>
      <c r="P253" s="302"/>
      <c r="Q253" s="770"/>
      <c r="R253" s="694"/>
      <c r="S253" s="694"/>
      <c r="T253" s="770"/>
      <c r="U253" s="770"/>
      <c r="V253" s="694"/>
      <c r="W253" s="770"/>
      <c r="X253" s="694"/>
      <c r="Y253" s="770"/>
      <c r="Z253" s="770"/>
      <c r="AA253" s="770"/>
      <c r="AB253" s="770"/>
      <c r="AC253" s="770"/>
      <c r="AD253" s="770"/>
      <c r="AE253" s="770"/>
      <c r="AF253" s="770"/>
      <c r="AG253" s="770"/>
      <c r="AH253" s="770"/>
      <c r="AI253" s="770"/>
      <c r="AJ253" s="770"/>
      <c r="AK253" s="770"/>
      <c r="AL253" s="770"/>
    </row>
    <row r="254" spans="1:38" ht="13.5" thickBot="1" x14ac:dyDescent="0.3">
      <c r="A254" s="694"/>
      <c r="B254" s="698"/>
      <c r="C254" s="698"/>
      <c r="D254" s="698"/>
      <c r="E254" s="1013" t="str">
        <f>Translations!$B$685</f>
        <v>CWT дейност</v>
      </c>
      <c r="F254" s="389" t="str">
        <f>Translations!$B$686</f>
        <v>Вид база за коефициента (в kt/г.)</v>
      </c>
      <c r="G254" s="1521" t="str">
        <f>Translations!$B$687</f>
        <v>CWT коефициент</v>
      </c>
      <c r="H254" s="387">
        <f t="shared" ref="H254:N254" si="40">H$490</f>
        <v>2024</v>
      </c>
      <c r="I254" s="1544">
        <f t="shared" si="40"/>
        <v>2025</v>
      </c>
      <c r="J254" s="1523">
        <f t="shared" si="40"/>
        <v>2026</v>
      </c>
      <c r="K254" s="387">
        <f t="shared" si="40"/>
        <v>2027</v>
      </c>
      <c r="L254" s="387">
        <f t="shared" si="40"/>
        <v>2028</v>
      </c>
      <c r="M254" s="387">
        <f t="shared" si="40"/>
        <v>2029</v>
      </c>
      <c r="N254" s="387">
        <f t="shared" si="40"/>
        <v>2030</v>
      </c>
      <c r="O254" s="336"/>
      <c r="P254" s="302"/>
      <c r="Q254" s="694"/>
      <c r="R254" s="694"/>
      <c r="S254" s="694"/>
      <c r="T254" s="770"/>
      <c r="U254" s="770"/>
      <c r="V254" s="694"/>
      <c r="W254" s="770"/>
      <c r="X254" s="694"/>
      <c r="Y254" s="770"/>
      <c r="Z254" s="770"/>
      <c r="AA254" s="770"/>
      <c r="AB254" s="694"/>
      <c r="AC254" s="1524">
        <f t="shared" ref="AC254:AI254" si="41">H254</f>
        <v>2024</v>
      </c>
      <c r="AD254" s="1524">
        <f t="shared" si="41"/>
        <v>2025</v>
      </c>
      <c r="AE254" s="1524">
        <f t="shared" si="41"/>
        <v>2026</v>
      </c>
      <c r="AF254" s="1524">
        <f t="shared" si="41"/>
        <v>2027</v>
      </c>
      <c r="AG254" s="1524">
        <f t="shared" si="41"/>
        <v>2028</v>
      </c>
      <c r="AH254" s="1524">
        <f t="shared" si="41"/>
        <v>2029</v>
      </c>
      <c r="AI254" s="1524">
        <f t="shared" si="41"/>
        <v>2030</v>
      </c>
      <c r="AJ254" s="770"/>
      <c r="AK254" s="770"/>
      <c r="AL254" s="770"/>
    </row>
    <row r="255" spans="1:38" ht="25.5" customHeight="1" x14ac:dyDescent="0.25">
      <c r="A255" s="694"/>
      <c r="B255" s="698"/>
      <c r="C255" s="698"/>
      <c r="D255" s="698"/>
      <c r="E255" s="1258" t="str">
        <f>Translations!$B$811</f>
        <v>Хидрообезсеряване на лигроин/бензин</v>
      </c>
      <c r="F255" s="1087" t="s">
        <v>294</v>
      </c>
      <c r="G255" s="1533">
        <v>1.1000000000000001</v>
      </c>
      <c r="H255" s="8"/>
      <c r="I255" s="243"/>
      <c r="J255" s="244"/>
      <c r="K255" s="8"/>
      <c r="L255" s="8"/>
      <c r="M255" s="8"/>
      <c r="N255" s="8"/>
      <c r="O255" s="336"/>
      <c r="P255" s="158"/>
      <c r="Q255" s="694"/>
      <c r="R255" s="694"/>
      <c r="S255" s="694"/>
      <c r="T255" s="770"/>
      <c r="U255" s="770"/>
      <c r="V255" s="694"/>
      <c r="W255" s="770"/>
      <c r="X255" s="694"/>
      <c r="Y255" s="770"/>
      <c r="Z255" s="770"/>
      <c r="AA255" s="770"/>
      <c r="AB255" s="1182" t="s">
        <v>737</v>
      </c>
      <c r="AC255" s="1526" t="b">
        <f t="shared" ref="AC255:AI255" si="42">IF(CNTR_ExistSubInstEntries,IF($L242=EUconst_Relevant,AC254&gt;=CNTR_ReportingYear,TRUE),FALSE)</f>
        <v>0</v>
      </c>
      <c r="AD255" s="1281" t="b">
        <f t="shared" si="42"/>
        <v>0</v>
      </c>
      <c r="AE255" s="1281" t="b">
        <f t="shared" si="42"/>
        <v>0</v>
      </c>
      <c r="AF255" s="1281" t="b">
        <f t="shared" si="42"/>
        <v>0</v>
      </c>
      <c r="AG255" s="1281" t="b">
        <f t="shared" si="42"/>
        <v>0</v>
      </c>
      <c r="AH255" s="1281" t="b">
        <f t="shared" si="42"/>
        <v>0</v>
      </c>
      <c r="AI255" s="1527" t="b">
        <f t="shared" si="42"/>
        <v>0</v>
      </c>
      <c r="AJ255" s="770"/>
      <c r="AK255" s="770"/>
      <c r="AL255" s="770"/>
    </row>
    <row r="256" spans="1:38" ht="12.65" customHeight="1" x14ac:dyDescent="0.25">
      <c r="A256" s="694"/>
      <c r="B256" s="698"/>
      <c r="C256" s="698"/>
      <c r="D256" s="698"/>
      <c r="E256" s="1532" t="str">
        <f>Translations!$B$715</f>
        <v>Екстракция на ароматни съединения чрез разтворители (ASE)</v>
      </c>
      <c r="F256" s="1087" t="s">
        <v>294</v>
      </c>
      <c r="G256" s="1533">
        <v>5.25</v>
      </c>
      <c r="H256" s="8"/>
      <c r="I256" s="243"/>
      <c r="J256" s="244"/>
      <c r="K256" s="8"/>
      <c r="L256" s="8"/>
      <c r="M256" s="8"/>
      <c r="N256" s="8"/>
      <c r="O256" s="336"/>
      <c r="P256" s="158"/>
      <c r="Q256" s="694"/>
      <c r="R256" s="694"/>
      <c r="S256" s="694"/>
      <c r="T256" s="694"/>
      <c r="U256" s="694"/>
      <c r="V256" s="694"/>
      <c r="W256" s="770"/>
      <c r="X256" s="694"/>
      <c r="Y256" s="770"/>
      <c r="Z256" s="770"/>
      <c r="AA256" s="770"/>
      <c r="AB256" s="770"/>
      <c r="AC256" s="1530" t="b">
        <f>AC255</f>
        <v>0</v>
      </c>
      <c r="AD256" s="1500" t="b">
        <f t="shared" ref="AD256:AD262" si="43">AD255</f>
        <v>0</v>
      </c>
      <c r="AE256" s="1500" t="b">
        <f t="shared" ref="AE256:AE262" si="44">AE255</f>
        <v>0</v>
      </c>
      <c r="AF256" s="1500" t="b">
        <f t="shared" ref="AF256:AF262" si="45">AF255</f>
        <v>0</v>
      </c>
      <c r="AG256" s="1500" t="b">
        <f t="shared" ref="AG256:AG262" si="46">AG255</f>
        <v>0</v>
      </c>
      <c r="AH256" s="1500" t="b">
        <f t="shared" ref="AH256:AH262" si="47">AH255</f>
        <v>0</v>
      </c>
      <c r="AI256" s="1531" t="b">
        <f t="shared" ref="AI256:AI262" si="48">AI255</f>
        <v>0</v>
      </c>
      <c r="AJ256" s="770"/>
      <c r="AK256" s="770"/>
      <c r="AL256" s="770"/>
    </row>
    <row r="257" spans="1:38" ht="25" x14ac:dyDescent="0.25">
      <c r="A257" s="694"/>
      <c r="B257" s="698"/>
      <c r="C257" s="698"/>
      <c r="D257" s="698"/>
      <c r="E257" s="1532" t="str">
        <f>Translations!$B$717</f>
        <v>Диспропорциониране/деалкилиране на толуен (TDP/TDA)</v>
      </c>
      <c r="F257" s="1087" t="s">
        <v>294</v>
      </c>
      <c r="G257" s="1533">
        <v>1.85</v>
      </c>
      <c r="H257" s="8"/>
      <c r="I257" s="243"/>
      <c r="J257" s="244"/>
      <c r="K257" s="8"/>
      <c r="L257" s="8"/>
      <c r="M257" s="8"/>
      <c r="N257" s="8"/>
      <c r="O257" s="336"/>
      <c r="P257" s="158"/>
      <c r="Q257" s="694"/>
      <c r="R257" s="694"/>
      <c r="S257" s="694"/>
      <c r="T257" s="694"/>
      <c r="U257" s="694"/>
      <c r="V257" s="694"/>
      <c r="W257" s="770"/>
      <c r="X257" s="694"/>
      <c r="Y257" s="770"/>
      <c r="Z257" s="770"/>
      <c r="AA257" s="770"/>
      <c r="AB257" s="770"/>
      <c r="AC257" s="1530" t="b">
        <f t="shared" ref="AC257:AC262" si="49">AC256</f>
        <v>0</v>
      </c>
      <c r="AD257" s="1500" t="b">
        <f t="shared" si="43"/>
        <v>0</v>
      </c>
      <c r="AE257" s="1500" t="b">
        <f t="shared" si="44"/>
        <v>0</v>
      </c>
      <c r="AF257" s="1500" t="b">
        <f t="shared" si="45"/>
        <v>0</v>
      </c>
      <c r="AG257" s="1500" t="b">
        <f t="shared" si="46"/>
        <v>0</v>
      </c>
      <c r="AH257" s="1500" t="b">
        <f t="shared" si="47"/>
        <v>0</v>
      </c>
      <c r="AI257" s="1531" t="b">
        <f t="shared" si="48"/>
        <v>0</v>
      </c>
      <c r="AJ257" s="770"/>
      <c r="AK257" s="770"/>
      <c r="AL257" s="770"/>
    </row>
    <row r="258" spans="1:38" x14ac:dyDescent="0.25">
      <c r="A258" s="694"/>
      <c r="B258" s="698"/>
      <c r="C258" s="698"/>
      <c r="D258" s="698"/>
      <c r="E258" s="1532" t="str">
        <f>Translations!$B$716</f>
        <v>Хидродеалкилиране</v>
      </c>
      <c r="F258" s="1087" t="s">
        <v>294</v>
      </c>
      <c r="G258" s="1533">
        <v>2.4500000000000002</v>
      </c>
      <c r="H258" s="8"/>
      <c r="I258" s="243"/>
      <c r="J258" s="244"/>
      <c r="K258" s="8"/>
      <c r="L258" s="8"/>
      <c r="M258" s="8"/>
      <c r="N258" s="8"/>
      <c r="O258" s="336"/>
      <c r="P258" s="158"/>
      <c r="Q258" s="694"/>
      <c r="R258" s="694"/>
      <c r="S258" s="694"/>
      <c r="T258" s="694"/>
      <c r="U258" s="694"/>
      <c r="V258" s="694"/>
      <c r="W258" s="770"/>
      <c r="X258" s="694"/>
      <c r="Y258" s="770"/>
      <c r="Z258" s="770"/>
      <c r="AA258" s="770"/>
      <c r="AB258" s="770"/>
      <c r="AC258" s="1530" t="b">
        <f t="shared" si="49"/>
        <v>0</v>
      </c>
      <c r="AD258" s="1500" t="b">
        <f t="shared" si="43"/>
        <v>0</v>
      </c>
      <c r="AE258" s="1500" t="b">
        <f t="shared" si="44"/>
        <v>0</v>
      </c>
      <c r="AF258" s="1500" t="b">
        <f t="shared" si="45"/>
        <v>0</v>
      </c>
      <c r="AG258" s="1500" t="b">
        <f t="shared" si="46"/>
        <v>0</v>
      </c>
      <c r="AH258" s="1500" t="b">
        <f t="shared" si="47"/>
        <v>0</v>
      </c>
      <c r="AI258" s="1531" t="b">
        <f t="shared" si="48"/>
        <v>0</v>
      </c>
      <c r="AJ258" s="770"/>
      <c r="AK258" s="770"/>
      <c r="AL258" s="770"/>
    </row>
    <row r="259" spans="1:38" x14ac:dyDescent="0.25">
      <c r="A259" s="694"/>
      <c r="B259" s="698"/>
      <c r="C259" s="698"/>
      <c r="D259" s="698"/>
      <c r="E259" s="1532" t="str">
        <f>Translations!$B$719</f>
        <v>Изомеризация на ксилен</v>
      </c>
      <c r="F259" s="1087" t="s">
        <v>294</v>
      </c>
      <c r="G259" s="1533">
        <v>1.85</v>
      </c>
      <c r="H259" s="8"/>
      <c r="I259" s="243"/>
      <c r="J259" s="244"/>
      <c r="K259" s="8"/>
      <c r="L259" s="8"/>
      <c r="M259" s="8"/>
      <c r="N259" s="8"/>
      <c r="O259" s="336"/>
      <c r="P259" s="158"/>
      <c r="Q259" s="694"/>
      <c r="R259" s="694"/>
      <c r="S259" s="694"/>
      <c r="T259" s="694"/>
      <c r="U259" s="694"/>
      <c r="V259" s="694"/>
      <c r="W259" s="770"/>
      <c r="X259" s="694"/>
      <c r="Y259" s="770"/>
      <c r="Z259" s="770"/>
      <c r="AA259" s="770"/>
      <c r="AB259" s="770"/>
      <c r="AC259" s="1530" t="b">
        <f t="shared" si="49"/>
        <v>0</v>
      </c>
      <c r="AD259" s="1500" t="b">
        <f t="shared" si="43"/>
        <v>0</v>
      </c>
      <c r="AE259" s="1500" t="b">
        <f t="shared" si="44"/>
        <v>0</v>
      </c>
      <c r="AF259" s="1500" t="b">
        <f t="shared" si="45"/>
        <v>0</v>
      </c>
      <c r="AG259" s="1500" t="b">
        <f t="shared" si="46"/>
        <v>0</v>
      </c>
      <c r="AH259" s="1500" t="b">
        <f t="shared" si="47"/>
        <v>0</v>
      </c>
      <c r="AI259" s="1531" t="b">
        <f t="shared" si="48"/>
        <v>0</v>
      </c>
      <c r="AJ259" s="770"/>
      <c r="AK259" s="770"/>
      <c r="AL259" s="770"/>
    </row>
    <row r="260" spans="1:38" x14ac:dyDescent="0.25">
      <c r="A260" s="694"/>
      <c r="B260" s="698"/>
      <c r="C260" s="698"/>
      <c r="D260" s="698"/>
      <c r="E260" s="1532" t="str">
        <f>Translations!$B$720</f>
        <v>Производство на параксилен</v>
      </c>
      <c r="F260" s="1087" t="s">
        <v>372</v>
      </c>
      <c r="G260" s="1533">
        <v>6.4</v>
      </c>
      <c r="H260" s="8"/>
      <c r="I260" s="243"/>
      <c r="J260" s="244"/>
      <c r="K260" s="8"/>
      <c r="L260" s="8"/>
      <c r="M260" s="8"/>
      <c r="N260" s="8"/>
      <c r="O260" s="336"/>
      <c r="P260" s="158"/>
      <c r="Q260" s="694"/>
      <c r="R260" s="694"/>
      <c r="S260" s="694"/>
      <c r="T260" s="694"/>
      <c r="U260" s="694"/>
      <c r="V260" s="694"/>
      <c r="W260" s="770"/>
      <c r="X260" s="694"/>
      <c r="Y260" s="770"/>
      <c r="Z260" s="770"/>
      <c r="AA260" s="770"/>
      <c r="AB260" s="770"/>
      <c r="AC260" s="1530" t="b">
        <f t="shared" si="49"/>
        <v>0</v>
      </c>
      <c r="AD260" s="1500" t="b">
        <f t="shared" si="43"/>
        <v>0</v>
      </c>
      <c r="AE260" s="1500" t="b">
        <f t="shared" si="44"/>
        <v>0</v>
      </c>
      <c r="AF260" s="1500" t="b">
        <f t="shared" si="45"/>
        <v>0</v>
      </c>
      <c r="AG260" s="1500" t="b">
        <f t="shared" si="46"/>
        <v>0</v>
      </c>
      <c r="AH260" s="1500" t="b">
        <f t="shared" si="47"/>
        <v>0</v>
      </c>
      <c r="AI260" s="1531" t="b">
        <f t="shared" si="48"/>
        <v>0</v>
      </c>
      <c r="AJ260" s="770"/>
      <c r="AK260" s="770"/>
      <c r="AL260" s="770"/>
    </row>
    <row r="261" spans="1:38" x14ac:dyDescent="0.25">
      <c r="A261" s="694"/>
      <c r="B261" s="698"/>
      <c r="C261" s="698"/>
      <c r="D261" s="698"/>
      <c r="E261" s="1532" t="str">
        <f>Translations!$B$718</f>
        <v>Производство на циклохексан</v>
      </c>
      <c r="F261" s="1087" t="s">
        <v>372</v>
      </c>
      <c r="G261" s="1533">
        <v>3</v>
      </c>
      <c r="H261" s="8"/>
      <c r="I261" s="243"/>
      <c r="J261" s="244"/>
      <c r="K261" s="8"/>
      <c r="L261" s="8"/>
      <c r="M261" s="8"/>
      <c r="N261" s="8"/>
      <c r="O261" s="336"/>
      <c r="P261" s="158"/>
      <c r="Q261" s="694"/>
      <c r="R261" s="694"/>
      <c r="S261" s="694"/>
      <c r="T261" s="694"/>
      <c r="U261" s="694"/>
      <c r="V261" s="694"/>
      <c r="W261" s="770"/>
      <c r="X261" s="694"/>
      <c r="Y261" s="770"/>
      <c r="Z261" s="770"/>
      <c r="AA261" s="770"/>
      <c r="AB261" s="770"/>
      <c r="AC261" s="1530" t="b">
        <f t="shared" si="49"/>
        <v>0</v>
      </c>
      <c r="AD261" s="1500" t="b">
        <f t="shared" si="43"/>
        <v>0</v>
      </c>
      <c r="AE261" s="1500" t="b">
        <f t="shared" si="44"/>
        <v>0</v>
      </c>
      <c r="AF261" s="1500" t="b">
        <f t="shared" si="45"/>
        <v>0</v>
      </c>
      <c r="AG261" s="1500" t="b">
        <f t="shared" si="46"/>
        <v>0</v>
      </c>
      <c r="AH261" s="1500" t="b">
        <f t="shared" si="47"/>
        <v>0</v>
      </c>
      <c r="AI261" s="1531" t="b">
        <f t="shared" si="48"/>
        <v>0</v>
      </c>
      <c r="AJ261" s="770"/>
      <c r="AK261" s="770"/>
      <c r="AL261" s="770"/>
    </row>
    <row r="262" spans="1:38" ht="13" thickBot="1" x14ac:dyDescent="0.3">
      <c r="A262" s="694"/>
      <c r="B262" s="698"/>
      <c r="C262" s="698"/>
      <c r="D262" s="698"/>
      <c r="E262" s="1534" t="str">
        <f>Translations!$B$725</f>
        <v>Производство на кумен</v>
      </c>
      <c r="F262" s="1088" t="s">
        <v>372</v>
      </c>
      <c r="G262" s="1535">
        <v>5</v>
      </c>
      <c r="H262" s="7"/>
      <c r="I262" s="245"/>
      <c r="J262" s="246"/>
      <c r="K262" s="7"/>
      <c r="L262" s="7"/>
      <c r="M262" s="7"/>
      <c r="N262" s="7"/>
      <c r="O262" s="336"/>
      <c r="P262" s="158"/>
      <c r="Q262" s="694"/>
      <c r="R262" s="694"/>
      <c r="S262" s="694"/>
      <c r="T262" s="694"/>
      <c r="U262" s="694"/>
      <c r="V262" s="694"/>
      <c r="W262" s="770"/>
      <c r="X262" s="694"/>
      <c r="Y262" s="770"/>
      <c r="Z262" s="770"/>
      <c r="AA262" s="770"/>
      <c r="AB262" s="770"/>
      <c r="AC262" s="1536" t="b">
        <f t="shared" si="49"/>
        <v>0</v>
      </c>
      <c r="AD262" s="1537" t="b">
        <f t="shared" si="43"/>
        <v>0</v>
      </c>
      <c r="AE262" s="1537" t="b">
        <f t="shared" si="44"/>
        <v>0</v>
      </c>
      <c r="AF262" s="1537" t="b">
        <f t="shared" si="45"/>
        <v>0</v>
      </c>
      <c r="AG262" s="1537" t="b">
        <f t="shared" si="46"/>
        <v>0</v>
      </c>
      <c r="AH262" s="1537" t="b">
        <f t="shared" si="47"/>
        <v>0</v>
      </c>
      <c r="AI262" s="1538" t="b">
        <f t="shared" si="48"/>
        <v>0</v>
      </c>
      <c r="AJ262" s="770"/>
      <c r="AK262" s="770"/>
      <c r="AL262" s="770"/>
    </row>
    <row r="263" spans="1:38" ht="5.15" customHeight="1" x14ac:dyDescent="0.25">
      <c r="A263" s="694"/>
      <c r="B263" s="284"/>
      <c r="C263" s="284"/>
      <c r="D263" s="284"/>
      <c r="E263" s="284"/>
      <c r="F263" s="284"/>
      <c r="G263" s="284"/>
      <c r="H263" s="284"/>
      <c r="I263" s="284"/>
      <c r="J263" s="284"/>
      <c r="K263" s="284"/>
      <c r="L263" s="284"/>
      <c r="M263" s="336"/>
      <c r="N263" s="698"/>
      <c r="O263" s="336"/>
      <c r="P263" s="302"/>
      <c r="Q263" s="770"/>
      <c r="R263" s="694"/>
      <c r="S263" s="694"/>
      <c r="T263" s="694"/>
      <c r="U263" s="694"/>
      <c r="V263" s="694"/>
      <c r="W263" s="770"/>
      <c r="X263" s="694"/>
      <c r="Y263" s="770"/>
      <c r="Z263" s="770"/>
      <c r="AA263" s="770"/>
      <c r="AB263" s="770"/>
      <c r="AC263" s="770"/>
      <c r="AD263" s="770"/>
      <c r="AE263" s="770"/>
      <c r="AF263" s="770"/>
      <c r="AG263" s="770"/>
      <c r="AH263" s="770"/>
      <c r="AI263" s="770"/>
      <c r="AJ263" s="770"/>
      <c r="AK263" s="770"/>
      <c r="AL263" s="770"/>
    </row>
    <row r="264" spans="1:38" ht="13" x14ac:dyDescent="0.25">
      <c r="A264" s="694"/>
      <c r="B264" s="284"/>
      <c r="C264" s="284"/>
      <c r="D264" s="300" t="s">
        <v>46</v>
      </c>
      <c r="E264" s="2226" t="str">
        <f>Translations!$B$812</f>
        <v>Резултат: Равнища на дейност за продуктовия показател за ароматни съединения, изразени като CWT</v>
      </c>
      <c r="F264" s="2249"/>
      <c r="G264" s="2249"/>
      <c r="H264" s="2249"/>
      <c r="I264" s="2249"/>
      <c r="J264" s="2249"/>
      <c r="K264" s="2249"/>
      <c r="L264" s="2249"/>
      <c r="M264" s="2249"/>
      <c r="N264" s="2249"/>
      <c r="O264" s="336"/>
      <c r="P264" s="302"/>
      <c r="Q264" s="770"/>
      <c r="R264" s="694"/>
      <c r="S264" s="694"/>
      <c r="T264" s="694"/>
      <c r="U264" s="694"/>
      <c r="V264" s="694"/>
      <c r="W264" s="694"/>
      <c r="X264" s="694"/>
      <c r="Y264" s="770"/>
      <c r="Z264" s="770"/>
      <c r="AA264" s="770"/>
      <c r="AB264" s="770"/>
      <c r="AC264" s="770"/>
      <c r="AD264" s="770"/>
      <c r="AE264" s="770"/>
      <c r="AF264" s="770"/>
      <c r="AG264" s="770"/>
      <c r="AH264" s="770"/>
      <c r="AI264" s="770"/>
      <c r="AJ264" s="770"/>
      <c r="AK264" s="770"/>
      <c r="AL264" s="770"/>
    </row>
    <row r="265" spans="1:38" x14ac:dyDescent="0.25">
      <c r="A265" s="694"/>
      <c r="B265" s="284"/>
      <c r="C265" s="284"/>
      <c r="D265" s="302"/>
      <c r="E265" s="2358" t="str">
        <f>Translations!$B$813</f>
        <v>Тук равнището на дейност за ароматните съединения се изчислява с помощта на формулата от точка 5 от приложение III към ПБР (преди да се определи статистическата медиана).</v>
      </c>
      <c r="F265" s="2249"/>
      <c r="G265" s="2249"/>
      <c r="H265" s="2249"/>
      <c r="I265" s="2249"/>
      <c r="J265" s="2249"/>
      <c r="K265" s="2249"/>
      <c r="L265" s="2249"/>
      <c r="M265" s="2249"/>
      <c r="N265" s="2249"/>
      <c r="O265" s="336"/>
      <c r="P265" s="302"/>
      <c r="Q265" s="770"/>
      <c r="R265" s="694"/>
      <c r="S265" s="694"/>
      <c r="T265" s="694"/>
      <c r="U265" s="694"/>
      <c r="V265" s="694"/>
      <c r="W265" s="694"/>
      <c r="X265" s="694"/>
      <c r="Y265" s="770"/>
      <c r="Z265" s="770"/>
      <c r="AA265" s="770"/>
      <c r="AB265" s="770"/>
      <c r="AC265" s="770"/>
      <c r="AD265" s="770"/>
      <c r="AE265" s="770"/>
      <c r="AF265" s="770"/>
      <c r="AG265" s="770"/>
      <c r="AH265" s="770"/>
      <c r="AI265" s="770"/>
      <c r="AJ265" s="770"/>
      <c r="AK265" s="770"/>
      <c r="AL265" s="770"/>
    </row>
    <row r="266" spans="1:38" x14ac:dyDescent="0.25">
      <c r="A266" s="694"/>
      <c r="B266" s="284"/>
      <c r="C266" s="284"/>
      <c r="D266" s="302"/>
      <c r="E266" s="2459" t="str">
        <f>Translations!$B$814</f>
        <v>Важна забележка: Отчитането се прави в килотонове, но показателят се определя в t CO2/CWT, където CWT се изразява в тонове.</v>
      </c>
      <c r="F266" s="2249"/>
      <c r="G266" s="2249"/>
      <c r="H266" s="2249"/>
      <c r="I266" s="2249"/>
      <c r="J266" s="2249"/>
      <c r="K266" s="2249"/>
      <c r="L266" s="2249"/>
      <c r="M266" s="2249"/>
      <c r="N266" s="2249"/>
      <c r="O266" s="336"/>
      <c r="P266" s="302"/>
      <c r="Q266" s="770"/>
      <c r="R266" s="694"/>
      <c r="S266" s="694"/>
      <c r="T266" s="694"/>
      <c r="U266" s="694"/>
      <c r="V266" s="694"/>
      <c r="W266" s="694"/>
      <c r="X266" s="694"/>
      <c r="Y266" s="770"/>
      <c r="Z266" s="770"/>
      <c r="AA266" s="770"/>
      <c r="AB266" s="770"/>
      <c r="AC266" s="770"/>
      <c r="AD266" s="770"/>
      <c r="AE266" s="770"/>
      <c r="AF266" s="770"/>
      <c r="AG266" s="770"/>
      <c r="AH266" s="770"/>
      <c r="AI266" s="770"/>
      <c r="AJ266" s="770"/>
      <c r="AK266" s="770"/>
      <c r="AL266" s="770"/>
    </row>
    <row r="267" spans="1:38" x14ac:dyDescent="0.25">
      <c r="A267" s="694"/>
      <c r="B267" s="284"/>
      <c r="C267" s="284"/>
      <c r="D267" s="302"/>
      <c r="E267" s="2459" t="str">
        <f>Translations!$B$815</f>
        <v>По тази причина резултатите по-долу се умножават по коефициент 1000, което не е изрично посочено в точка 5 от приложение III към ПБР.</v>
      </c>
      <c r="F267" s="2249"/>
      <c r="G267" s="2249"/>
      <c r="H267" s="2249"/>
      <c r="I267" s="2249"/>
      <c r="J267" s="2249"/>
      <c r="K267" s="2249"/>
      <c r="L267" s="2249"/>
      <c r="M267" s="2249"/>
      <c r="N267" s="2249"/>
      <c r="O267" s="336"/>
      <c r="P267" s="302"/>
      <c r="Q267" s="770"/>
      <c r="R267" s="694"/>
      <c r="S267" s="694"/>
      <c r="T267" s="694"/>
      <c r="U267" s="694"/>
      <c r="V267" s="694"/>
      <c r="W267" s="694"/>
      <c r="X267" s="694"/>
      <c r="Y267" s="770"/>
      <c r="Z267" s="770"/>
      <c r="AA267" s="770"/>
      <c r="AB267" s="770"/>
      <c r="AC267" s="770"/>
      <c r="AD267" s="770"/>
      <c r="AE267" s="770"/>
      <c r="AF267" s="770"/>
      <c r="AG267" s="770"/>
      <c r="AH267" s="770"/>
      <c r="AI267" s="770"/>
      <c r="AJ267" s="770"/>
      <c r="AK267" s="770"/>
      <c r="AL267" s="770"/>
    </row>
    <row r="268" spans="1:38" x14ac:dyDescent="0.25">
      <c r="A268" s="694"/>
      <c r="B268" s="284"/>
      <c r="C268" s="284"/>
      <c r="D268" s="302"/>
      <c r="E268" s="2358" t="str">
        <f>Translations!$B$748</f>
        <v>Резултатът от този инструмент се използва в работен лист „F_ProductBM“, ред a).ii за съответната подинсталация, от която е изчислена статистическата медиана.</v>
      </c>
      <c r="F268" s="2249"/>
      <c r="G268" s="2249"/>
      <c r="H268" s="2249"/>
      <c r="I268" s="2249"/>
      <c r="J268" s="2249"/>
      <c r="K268" s="2249"/>
      <c r="L268" s="2249"/>
      <c r="M268" s="2249"/>
      <c r="N268" s="2249"/>
      <c r="O268" s="336"/>
      <c r="P268" s="302"/>
      <c r="Q268" s="770"/>
      <c r="R268" s="694"/>
      <c r="S268" s="694"/>
      <c r="T268" s="694"/>
      <c r="U268" s="694"/>
      <c r="V268" s="694"/>
      <c r="W268" s="694"/>
      <c r="X268" s="694"/>
      <c r="Y268" s="770"/>
      <c r="Z268" s="770"/>
      <c r="AA268" s="770"/>
      <c r="AB268" s="770"/>
      <c r="AC268" s="770"/>
      <c r="AD268" s="770"/>
      <c r="AE268" s="770"/>
      <c r="AF268" s="770"/>
      <c r="AG268" s="770"/>
      <c r="AH268" s="770"/>
      <c r="AI268" s="770"/>
      <c r="AJ268" s="770"/>
      <c r="AK268" s="770"/>
      <c r="AL268" s="770"/>
    </row>
    <row r="269" spans="1:38" ht="13" x14ac:dyDescent="0.25">
      <c r="A269" s="694"/>
      <c r="B269" s="698"/>
      <c r="C269" s="698"/>
      <c r="D269" s="300"/>
      <c r="E269" s="742"/>
      <c r="F269" s="742"/>
      <c r="G269" s="527" t="str">
        <f>EUconst_Unit</f>
        <v>Единица мярка</v>
      </c>
      <c r="H269" s="387">
        <f t="shared" ref="H269:N269" si="50">H$490</f>
        <v>2024</v>
      </c>
      <c r="I269" s="1544">
        <f t="shared" si="50"/>
        <v>2025</v>
      </c>
      <c r="J269" s="1523">
        <f t="shared" si="50"/>
        <v>2026</v>
      </c>
      <c r="K269" s="387">
        <f t="shared" si="50"/>
        <v>2027</v>
      </c>
      <c r="L269" s="387">
        <f t="shared" si="50"/>
        <v>2028</v>
      </c>
      <c r="M269" s="387">
        <f t="shared" si="50"/>
        <v>2029</v>
      </c>
      <c r="N269" s="1522">
        <f t="shared" si="50"/>
        <v>2030</v>
      </c>
      <c r="O269" s="336"/>
      <c r="P269" s="302"/>
      <c r="Q269" s="694"/>
      <c r="R269" s="694"/>
      <c r="S269" s="694"/>
      <c r="T269" s="694"/>
      <c r="U269" s="694"/>
      <c r="V269" s="694"/>
      <c r="W269" s="694"/>
      <c r="X269" s="694"/>
      <c r="Y269" s="770"/>
      <c r="Z269" s="770"/>
      <c r="AA269" s="770"/>
      <c r="AB269" s="770"/>
      <c r="AC269" s="770"/>
      <c r="AD269" s="770"/>
      <c r="AE269" s="770"/>
      <c r="AF269" s="770"/>
      <c r="AG269" s="770"/>
      <c r="AH269" s="770"/>
      <c r="AI269" s="770"/>
      <c r="AJ269" s="770"/>
      <c r="AK269" s="770"/>
      <c r="AL269" s="770"/>
    </row>
    <row r="270" spans="1:38" ht="25" x14ac:dyDescent="0.25">
      <c r="A270" s="694"/>
      <c r="B270" s="698"/>
      <c r="C270" s="698"/>
      <c r="D270" s="698"/>
      <c r="E270" s="1251" t="str">
        <f>Translations!$B$816</f>
        <v>Равнище на дейност за ароматните съединения</v>
      </c>
      <c r="F270" s="1251"/>
      <c r="G270" s="421" t="str">
        <f>EUconst_CWTpa</f>
        <v>CWT / година</v>
      </c>
      <c r="H270" s="1539" t="str">
        <f t="shared" ref="H270:N270" si="51">IF(COUNT(H255:H262)&gt;0,1000*SUMPRODUCT($G255:$G262,H255:H262),"")</f>
        <v/>
      </c>
      <c r="I270" s="1545" t="str">
        <f t="shared" si="51"/>
        <v/>
      </c>
      <c r="J270" s="1541" t="str">
        <f t="shared" si="51"/>
        <v/>
      </c>
      <c r="K270" s="1539" t="str">
        <f t="shared" si="51"/>
        <v/>
      </c>
      <c r="L270" s="1539" t="str">
        <f t="shared" si="51"/>
        <v/>
      </c>
      <c r="M270" s="1539" t="str">
        <f t="shared" si="51"/>
        <v/>
      </c>
      <c r="N270" s="1540" t="str">
        <f t="shared" si="51"/>
        <v/>
      </c>
      <c r="O270" s="336"/>
      <c r="P270" s="302"/>
      <c r="Q270" s="982" t="str">
        <f>IF(L242=EUconst_Relevant,EUconst_CNTR_HALspecial &amp; INDEX(EUconst_BMlistNames,MATCH(R242,EUconst_BMlistMainNumberOfBM,0)),"")</f>
        <v/>
      </c>
      <c r="R270" s="694"/>
      <c r="S270" s="694"/>
      <c r="T270" s="694"/>
      <c r="U270" s="694"/>
      <c r="V270" s="694"/>
      <c r="W270" s="694"/>
      <c r="X270" s="694"/>
      <c r="Y270" s="770"/>
      <c r="Z270" s="770"/>
      <c r="AA270" s="770"/>
      <c r="AB270" s="770"/>
      <c r="AC270" s="770"/>
      <c r="AD270" s="770"/>
      <c r="AE270" s="770"/>
      <c r="AF270" s="770"/>
      <c r="AG270" s="770"/>
      <c r="AH270" s="770"/>
      <c r="AI270" s="770"/>
      <c r="AJ270" s="770"/>
      <c r="AK270" s="770"/>
      <c r="AL270" s="770"/>
    </row>
    <row r="271" spans="1:38" ht="5.15" customHeight="1" x14ac:dyDescent="0.25">
      <c r="A271" s="694"/>
      <c r="B271" s="284"/>
      <c r="C271" s="284"/>
      <c r="D271" s="284"/>
      <c r="E271" s="284"/>
      <c r="F271" s="284"/>
      <c r="G271" s="284"/>
      <c r="H271" s="284"/>
      <c r="I271" s="284"/>
      <c r="J271" s="284"/>
      <c r="K271" s="284"/>
      <c r="L271" s="284"/>
      <c r="M271" s="336"/>
      <c r="N271" s="336"/>
      <c r="O271" s="336"/>
      <c r="P271" s="302"/>
      <c r="Q271" s="770"/>
      <c r="R271" s="694"/>
      <c r="S271" s="694"/>
      <c r="T271" s="694"/>
      <c r="U271" s="694"/>
      <c r="V271" s="694"/>
      <c r="W271" s="694"/>
      <c r="X271" s="694"/>
      <c r="Y271" s="770"/>
      <c r="Z271" s="770"/>
      <c r="AA271" s="770"/>
      <c r="AB271" s="770"/>
      <c r="AC271" s="770"/>
      <c r="AD271" s="770"/>
      <c r="AE271" s="770"/>
      <c r="AF271" s="770"/>
      <c r="AG271" s="770"/>
      <c r="AH271" s="770"/>
      <c r="AI271" s="770"/>
      <c r="AJ271" s="770"/>
      <c r="AK271" s="770"/>
      <c r="AL271" s="770"/>
    </row>
    <row r="272" spans="1:38" ht="13" x14ac:dyDescent="0.25">
      <c r="A272" s="694"/>
      <c r="B272" s="284"/>
      <c r="C272" s="284"/>
      <c r="D272" s="284"/>
      <c r="E272" s="2951" t="str">
        <f>IF(L242=EUconst_Relevant,HYPERLINK(R272,EUconst_MsgBackToSheetF),"")</f>
        <v/>
      </c>
      <c r="F272" s="2952"/>
      <c r="G272" s="2952"/>
      <c r="H272" s="2952"/>
      <c r="I272" s="2952"/>
      <c r="J272" s="2952"/>
      <c r="K272" s="2952"/>
      <c r="L272" s="2952"/>
      <c r="M272" s="2952"/>
      <c r="N272" s="2953"/>
      <c r="O272" s="336"/>
      <c r="P272" s="302"/>
      <c r="Q272" s="1395" t="s">
        <v>113</v>
      </c>
      <c r="R272" s="982" t="str">
        <f>R244</f>
        <v/>
      </c>
      <c r="S272" s="694"/>
      <c r="T272" s="694"/>
      <c r="U272" s="694"/>
      <c r="V272" s="694"/>
      <c r="W272" s="694"/>
      <c r="X272" s="694"/>
      <c r="Y272" s="770"/>
      <c r="Z272" s="770"/>
      <c r="AA272" s="770"/>
      <c r="AB272" s="770"/>
      <c r="AC272" s="770"/>
      <c r="AD272" s="770"/>
      <c r="AE272" s="770"/>
      <c r="AF272" s="770"/>
      <c r="AG272" s="770"/>
      <c r="AH272" s="770"/>
      <c r="AI272" s="770"/>
      <c r="AJ272" s="770"/>
      <c r="AK272" s="770"/>
      <c r="AL272" s="770"/>
    </row>
    <row r="273" spans="1:38" x14ac:dyDescent="0.25">
      <c r="A273" s="694"/>
      <c r="B273" s="698"/>
      <c r="C273" s="698"/>
      <c r="D273" s="698"/>
      <c r="E273" s="698"/>
      <c r="F273" s="698"/>
      <c r="G273" s="698"/>
      <c r="H273" s="698"/>
      <c r="I273" s="698"/>
      <c r="J273" s="698"/>
      <c r="K273" s="698"/>
      <c r="L273" s="698"/>
      <c r="M273" s="698"/>
      <c r="N273" s="698"/>
      <c r="O273" s="336"/>
      <c r="P273" s="302"/>
      <c r="Q273" s="694"/>
      <c r="R273" s="694"/>
      <c r="S273" s="694"/>
      <c r="T273" s="694"/>
      <c r="U273" s="694"/>
      <c r="V273" s="694"/>
      <c r="W273" s="694"/>
      <c r="X273" s="694"/>
      <c r="Y273" s="770"/>
      <c r="Z273" s="770"/>
      <c r="AA273" s="770"/>
      <c r="AB273" s="770"/>
      <c r="AC273" s="770"/>
      <c r="AD273" s="770"/>
      <c r="AE273" s="770"/>
      <c r="AF273" s="770"/>
      <c r="AG273" s="770"/>
      <c r="AH273" s="770"/>
      <c r="AI273" s="770"/>
      <c r="AJ273" s="770"/>
      <c r="AK273" s="770"/>
      <c r="AL273" s="770"/>
    </row>
    <row r="274" spans="1:38" ht="15.5" x14ac:dyDescent="0.35">
      <c r="A274" s="694"/>
      <c r="B274" s="284"/>
      <c r="C274" s="327" t="s">
        <v>58</v>
      </c>
      <c r="D274" s="2245" t="str">
        <f>Translations!$B$1574</f>
        <v>Водород, обхванат от МКВЕГ</v>
      </c>
      <c r="E274" s="2245"/>
      <c r="F274" s="2245"/>
      <c r="G274" s="2245"/>
      <c r="H274" s="2245"/>
      <c r="I274" s="2245"/>
      <c r="J274" s="2245"/>
      <c r="K274" s="2245"/>
      <c r="L274" s="2245"/>
      <c r="M274" s="2245"/>
      <c r="N274" s="2245"/>
      <c r="O274" s="336"/>
      <c r="P274" s="302"/>
      <c r="Q274" s="770"/>
      <c r="R274" s="694"/>
      <c r="S274" s="694"/>
      <c r="T274" s="694"/>
      <c r="U274" s="694"/>
      <c r="V274" s="694"/>
      <c r="W274" s="694"/>
      <c r="X274" s="694"/>
      <c r="Y274" s="770"/>
      <c r="Z274" s="770"/>
      <c r="AA274" s="770"/>
      <c r="AB274" s="770"/>
      <c r="AC274" s="770"/>
      <c r="AD274" s="770"/>
      <c r="AE274" s="770"/>
      <c r="AF274" s="770"/>
      <c r="AG274" s="770"/>
      <c r="AH274" s="770"/>
      <c r="AI274" s="770"/>
      <c r="AJ274" s="770"/>
      <c r="AK274" s="770"/>
      <c r="AL274" s="770"/>
    </row>
    <row r="275" spans="1:38" ht="5.15" customHeight="1" x14ac:dyDescent="0.25">
      <c r="A275" s="694"/>
      <c r="B275" s="284"/>
      <c r="C275" s="284"/>
      <c r="D275" s="284"/>
      <c r="E275" s="284"/>
      <c r="F275" s="284"/>
      <c r="G275" s="284"/>
      <c r="H275" s="284"/>
      <c r="I275" s="284"/>
      <c r="J275" s="284"/>
      <c r="K275" s="284"/>
      <c r="L275" s="284"/>
      <c r="M275" s="336"/>
      <c r="N275" s="336"/>
      <c r="O275" s="336"/>
      <c r="P275" s="302"/>
      <c r="Q275" s="770"/>
      <c r="R275" s="694"/>
      <c r="S275" s="694"/>
      <c r="T275" s="694"/>
      <c r="U275" s="694"/>
      <c r="V275" s="694"/>
      <c r="W275" s="694"/>
      <c r="X275" s="694"/>
      <c r="Y275" s="770"/>
      <c r="Z275" s="770"/>
      <c r="AA275" s="770"/>
      <c r="AB275" s="770"/>
      <c r="AC275" s="770"/>
      <c r="AD275" s="770"/>
      <c r="AE275" s="770"/>
      <c r="AF275" s="770"/>
      <c r="AG275" s="770"/>
      <c r="AH275" s="770"/>
      <c r="AI275" s="770"/>
      <c r="AJ275" s="770"/>
      <c r="AK275" s="770"/>
      <c r="AL275" s="770"/>
    </row>
    <row r="276" spans="1:38" ht="14" x14ac:dyDescent="0.3">
      <c r="A276" s="694"/>
      <c r="B276" s="284"/>
      <c r="C276" s="357"/>
      <c r="D276" s="2323" t="str">
        <f>Translations!$B$817</f>
        <v>Инструмент за изчисляване на историческите равнища на дейност за подинсталациите за водород</v>
      </c>
      <c r="E276" s="2249"/>
      <c r="F276" s="2249"/>
      <c r="G276" s="2249"/>
      <c r="H276" s="2249"/>
      <c r="I276" s="2249"/>
      <c r="J276" s="2249"/>
      <c r="K276" s="2249"/>
      <c r="L276" s="2249"/>
      <c r="M276" s="2249"/>
      <c r="N276" s="2249"/>
      <c r="O276" s="336"/>
      <c r="P276" s="302"/>
      <c r="Q276" s="770"/>
      <c r="R276" s="694"/>
      <c r="S276" s="694"/>
      <c r="T276" s="694"/>
      <c r="U276" s="694"/>
      <c r="V276" s="694"/>
      <c r="W276" s="694"/>
      <c r="X276" s="694"/>
      <c r="Y276" s="770"/>
      <c r="Z276" s="770"/>
      <c r="AA276" s="770"/>
      <c r="AB276" s="770"/>
      <c r="AC276" s="770"/>
      <c r="AD276" s="770"/>
      <c r="AE276" s="770"/>
      <c r="AF276" s="770"/>
      <c r="AG276" s="770"/>
      <c r="AH276" s="770"/>
      <c r="AI276" s="770"/>
      <c r="AJ276" s="770"/>
      <c r="AK276" s="770"/>
      <c r="AL276" s="770"/>
    </row>
    <row r="277" spans="1:38" ht="5.15" customHeight="1" x14ac:dyDescent="0.25">
      <c r="A277" s="694"/>
      <c r="B277" s="284"/>
      <c r="C277" s="284"/>
      <c r="D277" s="284"/>
      <c r="E277" s="284"/>
      <c r="F277" s="284"/>
      <c r="G277" s="284"/>
      <c r="H277" s="284"/>
      <c r="I277" s="284"/>
      <c r="J277" s="284"/>
      <c r="K277" s="284"/>
      <c r="L277" s="284"/>
      <c r="M277" s="336"/>
      <c r="N277" s="336"/>
      <c r="O277" s="336"/>
      <c r="P277" s="302"/>
      <c r="Q277" s="770"/>
      <c r="R277" s="694"/>
      <c r="S277" s="694"/>
      <c r="T277" s="694"/>
      <c r="U277" s="694"/>
      <c r="V277" s="694"/>
      <c r="W277" s="694"/>
      <c r="X277" s="694"/>
      <c r="Y277" s="770"/>
      <c r="Z277" s="770"/>
      <c r="AA277" s="770"/>
      <c r="AB277" s="770"/>
      <c r="AC277" s="770"/>
      <c r="AD277" s="770"/>
      <c r="AE277" s="770"/>
      <c r="AF277" s="770"/>
      <c r="AG277" s="770"/>
      <c r="AH277" s="770"/>
      <c r="AI277" s="770"/>
      <c r="AJ277" s="770"/>
      <c r="AK277" s="770"/>
      <c r="AL277" s="770"/>
    </row>
    <row r="278" spans="1:38" x14ac:dyDescent="0.25">
      <c r="A278" s="694"/>
      <c r="B278" s="284"/>
      <c r="C278" s="284"/>
      <c r="D278" s="302"/>
      <c r="E278" s="2358" t="str">
        <f>Translations!$B$818</f>
        <v>Този инструмент Ви помага при определяне на HAL (исторически равнища на дейност) за продуктовия показател за водород (приложение III, точка 6 от ПБР).</v>
      </c>
      <c r="F278" s="2249"/>
      <c r="G278" s="2249"/>
      <c r="H278" s="2249"/>
      <c r="I278" s="2249"/>
      <c r="J278" s="2249"/>
      <c r="K278" s="2249"/>
      <c r="L278" s="2249"/>
      <c r="M278" s="2249"/>
      <c r="N278" s="2249"/>
      <c r="O278" s="336"/>
      <c r="P278" s="302"/>
      <c r="Q278" s="770"/>
      <c r="R278" s="694"/>
      <c r="S278" s="694"/>
      <c r="T278" s="694"/>
      <c r="U278" s="694"/>
      <c r="V278" s="694"/>
      <c r="W278" s="694"/>
      <c r="X278" s="694"/>
      <c r="Y278" s="770"/>
      <c r="Z278" s="770"/>
      <c r="AA278" s="770"/>
      <c r="AB278" s="770"/>
      <c r="AC278" s="770"/>
      <c r="AD278" s="770"/>
      <c r="AE278" s="770"/>
      <c r="AF278" s="770"/>
      <c r="AG278" s="770"/>
      <c r="AH278" s="770"/>
      <c r="AI278" s="770"/>
      <c r="AJ278" s="770"/>
      <c r="AK278" s="770"/>
      <c r="AL278" s="770"/>
    </row>
    <row r="279" spans="1:38" x14ac:dyDescent="0.25">
      <c r="A279" s="694"/>
      <c r="B279" s="284"/>
      <c r="C279" s="284"/>
      <c r="D279" s="302"/>
      <c r="E279" s="2358" t="str">
        <f>Translations!$B$673</f>
        <v>Резултатът от този инструмент се копира автоматично в работен лист „F_ProductBM“, ред „a).ii“ за съответната подинсталация.</v>
      </c>
      <c r="F279" s="2249"/>
      <c r="G279" s="2249"/>
      <c r="H279" s="2249"/>
      <c r="I279" s="2249"/>
      <c r="J279" s="2249"/>
      <c r="K279" s="2249"/>
      <c r="L279" s="2249"/>
      <c r="M279" s="2249"/>
      <c r="N279" s="2249"/>
      <c r="O279" s="336"/>
      <c r="P279" s="302"/>
      <c r="Q279" s="770"/>
      <c r="R279" s="694"/>
      <c r="S279" s="694"/>
      <c r="T279" s="694"/>
      <c r="U279" s="694"/>
      <c r="V279" s="694"/>
      <c r="W279" s="694"/>
      <c r="X279" s="694"/>
      <c r="Y279" s="770"/>
      <c r="Z279" s="770"/>
      <c r="AA279" s="770"/>
      <c r="AB279" s="770"/>
      <c r="AC279" s="770"/>
      <c r="AD279" s="770"/>
      <c r="AE279" s="770"/>
      <c r="AF279" s="770"/>
      <c r="AG279" s="770"/>
      <c r="AH279" s="770"/>
      <c r="AI279" s="770"/>
      <c r="AJ279" s="770"/>
      <c r="AK279" s="770"/>
      <c r="AL279" s="770"/>
    </row>
    <row r="280" spans="1:38" x14ac:dyDescent="0.25">
      <c r="A280" s="694"/>
      <c r="B280" s="284"/>
      <c r="C280" s="284"/>
      <c r="D280" s="302"/>
      <c r="E280" s="2459" t="str">
        <f>Translations!$B$819</f>
        <v>Обърнете внимание, че процентите съдържание на водород трябва да бъдат изразени като процентно съдържание в обемни единици.</v>
      </c>
      <c r="F280" s="2249"/>
      <c r="G280" s="2249"/>
      <c r="H280" s="2249"/>
      <c r="I280" s="2249"/>
      <c r="J280" s="2249"/>
      <c r="K280" s="2249"/>
      <c r="L280" s="2249"/>
      <c r="M280" s="2249"/>
      <c r="N280" s="2249"/>
      <c r="O280" s="336"/>
      <c r="P280" s="302"/>
      <c r="Q280" s="770"/>
      <c r="R280" s="694"/>
      <c r="S280" s="694"/>
      <c r="T280" s="694"/>
      <c r="U280" s="694"/>
      <c r="V280" s="694"/>
      <c r="W280" s="694"/>
      <c r="X280" s="694"/>
      <c r="Y280" s="770"/>
      <c r="Z280" s="770"/>
      <c r="AA280" s="770"/>
      <c r="AB280" s="770"/>
      <c r="AC280" s="770"/>
      <c r="AD280" s="770"/>
      <c r="AE280" s="770"/>
      <c r="AF280" s="770"/>
      <c r="AG280" s="770"/>
      <c r="AH280" s="770"/>
      <c r="AI280" s="770"/>
      <c r="AJ280" s="770"/>
      <c r="AK280" s="770"/>
      <c r="AL280" s="770"/>
    </row>
    <row r="281" spans="1:38" ht="5.15" customHeight="1" x14ac:dyDescent="0.25">
      <c r="A281" s="694"/>
      <c r="B281" s="284"/>
      <c r="C281" s="284"/>
      <c r="D281" s="284"/>
      <c r="E281" s="284"/>
      <c r="F281" s="284"/>
      <c r="G281" s="284"/>
      <c r="H281" s="284"/>
      <c r="I281" s="284"/>
      <c r="J281" s="284"/>
      <c r="K281" s="284"/>
      <c r="L281" s="284"/>
      <c r="M281" s="336"/>
      <c r="N281" s="336"/>
      <c r="O281" s="336"/>
      <c r="P281" s="302"/>
      <c r="Q281" s="770"/>
      <c r="R281" s="694"/>
      <c r="S281" s="694"/>
      <c r="T281" s="694"/>
      <c r="U281" s="694"/>
      <c r="V281" s="694"/>
      <c r="W281" s="694"/>
      <c r="X281" s="694"/>
      <c r="Y281" s="770"/>
      <c r="Z281" s="770"/>
      <c r="AA281" s="770"/>
      <c r="AB281" s="770"/>
      <c r="AC281" s="770"/>
      <c r="AD281" s="770"/>
      <c r="AE281" s="770"/>
      <c r="AF281" s="770"/>
      <c r="AG281" s="770"/>
      <c r="AH281" s="770"/>
      <c r="AI281" s="770"/>
      <c r="AJ281" s="770"/>
      <c r="AK281" s="770"/>
      <c r="AL281" s="770"/>
    </row>
    <row r="282" spans="1:38" ht="14" x14ac:dyDescent="0.3">
      <c r="A282" s="694"/>
      <c r="B282" s="284"/>
      <c r="C282" s="284"/>
      <c r="D282" s="300" t="s">
        <v>408</v>
      </c>
      <c r="E282" s="2226" t="str">
        <f>Translations!$B$674</f>
        <v>Практическо значение на този инструмент за Вашата инсталация:</v>
      </c>
      <c r="F282" s="2226"/>
      <c r="G282" s="2226"/>
      <c r="H282" s="2226"/>
      <c r="I282" s="2226"/>
      <c r="J282" s="2226"/>
      <c r="K282" s="2317"/>
      <c r="L282" s="2956" t="str">
        <f>IF(CNTR_ExistSubInstEntries,IF(COUNTIF(CNTR_SubInstListNames,INDEX(EUconst_BMlistNames,MATCH(R282,EUconst_BMlistNumberOfBM,0)))&gt;0,EUconst_Relevant,EUconst_NotRelevant),"")</f>
        <v/>
      </c>
      <c r="M282" s="2957"/>
      <c r="N282" s="2958"/>
      <c r="O282" s="336"/>
      <c r="P282" s="302"/>
      <c r="Q282" s="1395" t="s">
        <v>114</v>
      </c>
      <c r="R282" s="1519">
        <v>50.2</v>
      </c>
      <c r="S282" s="694"/>
      <c r="T282" s="694"/>
      <c r="U282" s="694"/>
      <c r="V282" s="694"/>
      <c r="W282" s="694"/>
      <c r="X282" s="694"/>
      <c r="Y282" s="770"/>
      <c r="Z282" s="770"/>
      <c r="AA282" s="770"/>
      <c r="AB282" s="770"/>
      <c r="AC282" s="770"/>
      <c r="AD282" s="770"/>
      <c r="AE282" s="770"/>
      <c r="AF282" s="770"/>
      <c r="AG282" s="770"/>
      <c r="AH282" s="770"/>
      <c r="AI282" s="770"/>
      <c r="AJ282" s="770"/>
      <c r="AK282" s="770"/>
      <c r="AL282" s="770"/>
    </row>
    <row r="283" spans="1:38" x14ac:dyDescent="0.25">
      <c r="A283" s="694"/>
      <c r="B283" s="284"/>
      <c r="C283" s="284"/>
      <c r="D283" s="302"/>
      <c r="E283" s="2255" t="str">
        <f>Translations!$B$675</f>
        <v>Това съобщение се генерира автоматично въз основа на въведените от Вас данни в работен лист „A_InstallationData“ („А_Данни за инсталацията“), раздел A.III.1.</v>
      </c>
      <c r="F283" s="2256"/>
      <c r="G283" s="2256"/>
      <c r="H283" s="2256"/>
      <c r="I283" s="2256"/>
      <c r="J283" s="2256"/>
      <c r="K283" s="2256"/>
      <c r="L283" s="2256"/>
      <c r="M283" s="2256"/>
      <c r="N283" s="2256"/>
      <c r="O283" s="336"/>
      <c r="P283" s="302"/>
      <c r="Q283" s="770"/>
      <c r="R283" s="694"/>
      <c r="S283" s="694"/>
      <c r="T283" s="694"/>
      <c r="U283" s="694"/>
      <c r="V283" s="694"/>
      <c r="W283" s="694"/>
      <c r="X283" s="694"/>
      <c r="Y283" s="770"/>
      <c r="Z283" s="770"/>
      <c r="AA283" s="770"/>
      <c r="AB283" s="770"/>
      <c r="AC283" s="770"/>
      <c r="AD283" s="770"/>
      <c r="AE283" s="770"/>
      <c r="AF283" s="770"/>
      <c r="AG283" s="770"/>
      <c r="AH283" s="770"/>
      <c r="AI283" s="770"/>
      <c r="AJ283" s="770"/>
      <c r="AK283" s="770"/>
      <c r="AL283" s="770"/>
    </row>
    <row r="284" spans="1:38" ht="13" x14ac:dyDescent="0.25">
      <c r="A284" s="694"/>
      <c r="B284" s="284"/>
      <c r="C284" s="284"/>
      <c r="D284" s="284"/>
      <c r="E284" s="2951" t="str">
        <f>IF(L282=EUconst_Relevant,HYPERLINK(R284,EUconst_MsgBackToSheetF),"")</f>
        <v/>
      </c>
      <c r="F284" s="2952"/>
      <c r="G284" s="2952"/>
      <c r="H284" s="2952"/>
      <c r="I284" s="2952"/>
      <c r="J284" s="2952"/>
      <c r="K284" s="2952"/>
      <c r="L284" s="2952"/>
      <c r="M284" s="2952"/>
      <c r="N284" s="2953"/>
      <c r="O284" s="336"/>
      <c r="P284" s="302"/>
      <c r="Q284" s="1395" t="s">
        <v>113</v>
      </c>
      <c r="R284" s="982" t="str">
        <f>IF(ISNUMBER(MATCH(R282,CNTR_SubInstListBMnumbers,0)),"#JUMP_F"&amp;MATCH(R282,CNTR_SubInstListBMnumbers,0),"")</f>
        <v/>
      </c>
      <c r="S284" s="694"/>
      <c r="T284" s="694"/>
      <c r="U284" s="694"/>
      <c r="V284" s="694"/>
      <c r="W284" s="694"/>
      <c r="X284" s="694"/>
      <c r="Y284" s="770"/>
      <c r="Z284" s="770"/>
      <c r="AA284" s="770"/>
      <c r="AB284" s="770"/>
      <c r="AC284" s="770"/>
      <c r="AD284" s="770"/>
      <c r="AE284" s="770"/>
      <c r="AF284" s="770"/>
      <c r="AG284" s="770"/>
      <c r="AH284" s="770"/>
      <c r="AI284" s="770"/>
      <c r="AJ284" s="770"/>
      <c r="AK284" s="770"/>
      <c r="AL284" s="770"/>
    </row>
    <row r="285" spans="1:38" ht="5.15" customHeight="1" x14ac:dyDescent="0.25">
      <c r="A285" s="694"/>
      <c r="B285" s="284"/>
      <c r="C285" s="284"/>
      <c r="D285" s="284"/>
      <c r="E285" s="284"/>
      <c r="F285" s="284"/>
      <c r="G285" s="284"/>
      <c r="H285" s="284"/>
      <c r="I285" s="284"/>
      <c r="J285" s="284"/>
      <c r="K285" s="284"/>
      <c r="L285" s="284"/>
      <c r="M285" s="336"/>
      <c r="N285" s="336"/>
      <c r="O285" s="336"/>
      <c r="P285" s="302"/>
      <c r="Q285" s="770"/>
      <c r="R285" s="694"/>
      <c r="S285" s="694"/>
      <c r="T285" s="694"/>
      <c r="U285" s="694"/>
      <c r="V285" s="694"/>
      <c r="W285" s="694"/>
      <c r="X285" s="694"/>
      <c r="Y285" s="770"/>
      <c r="Z285" s="770"/>
      <c r="AA285" s="770"/>
      <c r="AB285" s="770"/>
      <c r="AC285" s="770"/>
      <c r="AD285" s="770"/>
      <c r="AE285" s="770"/>
      <c r="AF285" s="770"/>
      <c r="AG285" s="770"/>
      <c r="AH285" s="770"/>
      <c r="AI285" s="770"/>
      <c r="AJ285" s="770"/>
      <c r="AK285" s="770"/>
      <c r="AL285" s="770"/>
    </row>
    <row r="286" spans="1:38" ht="13" x14ac:dyDescent="0.25">
      <c r="A286" s="694"/>
      <c r="B286" s="284"/>
      <c r="C286" s="284"/>
      <c r="D286" s="300" t="s">
        <v>901</v>
      </c>
      <c r="E286" s="2226" t="str">
        <f>Translations!$B$820</f>
        <v>Общ обем производство на водород (некоригиран)</v>
      </c>
      <c r="F286" s="2249"/>
      <c r="G286" s="2249"/>
      <c r="H286" s="2249"/>
      <c r="I286" s="2249"/>
      <c r="J286" s="2249"/>
      <c r="K286" s="2249"/>
      <c r="L286" s="2249"/>
      <c r="M286" s="2249"/>
      <c r="N286" s="2249"/>
      <c r="O286" s="336"/>
      <c r="P286" s="302"/>
      <c r="Q286" s="770"/>
      <c r="R286" s="694"/>
      <c r="S286" s="694"/>
      <c r="T286" s="770"/>
      <c r="U286" s="770"/>
      <c r="V286" s="694"/>
      <c r="W286" s="694"/>
      <c r="X286" s="694"/>
      <c r="Y286" s="770"/>
      <c r="Z286" s="770"/>
      <c r="AA286" s="770"/>
      <c r="AB286" s="770"/>
      <c r="AC286" s="770"/>
      <c r="AD286" s="770"/>
      <c r="AE286" s="770"/>
      <c r="AF286" s="770"/>
      <c r="AG286" s="770"/>
      <c r="AH286" s="770"/>
      <c r="AI286" s="770"/>
      <c r="AJ286" s="770"/>
      <c r="AK286" s="770"/>
      <c r="AL286" s="770"/>
    </row>
    <row r="287" spans="1:38" x14ac:dyDescent="0.25">
      <c r="A287" s="694"/>
      <c r="B287" s="284"/>
      <c r="C287" s="284"/>
      <c r="D287" s="302"/>
      <c r="E287" s="2358" t="str">
        <f>Translations!$B$1344</f>
        <v>Моля, въведете тук данните за годишното производство на водород, съотнесено към историческото съдържание на водород през всяка година.</v>
      </c>
      <c r="F287" s="2249"/>
      <c r="G287" s="2249"/>
      <c r="H287" s="2249"/>
      <c r="I287" s="2249"/>
      <c r="J287" s="2249"/>
      <c r="K287" s="2249"/>
      <c r="L287" s="2249"/>
      <c r="M287" s="2249"/>
      <c r="N287" s="2249"/>
      <c r="O287" s="336"/>
      <c r="P287" s="302"/>
      <c r="Q287" s="770"/>
      <c r="R287" s="694"/>
      <c r="S287" s="694"/>
      <c r="T287" s="770"/>
      <c r="U287" s="770"/>
      <c r="V287" s="694"/>
      <c r="W287" s="694"/>
      <c r="X287" s="694"/>
      <c r="Y287" s="770"/>
      <c r="Z287" s="770"/>
      <c r="AA287" s="770"/>
      <c r="AB287" s="770"/>
      <c r="AC287" s="770"/>
      <c r="AD287" s="770"/>
      <c r="AE287" s="770"/>
      <c r="AF287" s="770"/>
      <c r="AG287" s="770"/>
      <c r="AH287" s="770"/>
      <c r="AI287" s="770"/>
      <c r="AJ287" s="770"/>
      <c r="AK287" s="770"/>
      <c r="AL287" s="770"/>
    </row>
    <row r="288" spans="1:38" x14ac:dyDescent="0.25">
      <c r="A288" s="694"/>
      <c r="B288" s="284"/>
      <c r="C288" s="284"/>
      <c r="D288" s="302"/>
      <c r="E288" s="2459" t="str">
        <f>Translations!$B$821</f>
        <v>Поради много високите стойности в m3, стойностите трябва да се изразят като 1 000 Nm3 (нормални кубични метра при температура 0 °C и налягане 101 325 kPa).</v>
      </c>
      <c r="F288" s="2249"/>
      <c r="G288" s="2249"/>
      <c r="H288" s="2249"/>
      <c r="I288" s="2249"/>
      <c r="J288" s="2249"/>
      <c r="K288" s="2249"/>
      <c r="L288" s="2249"/>
      <c r="M288" s="2249"/>
      <c r="N288" s="2249"/>
      <c r="O288" s="336"/>
      <c r="P288" s="302"/>
      <c r="Q288" s="770"/>
      <c r="R288" s="694"/>
      <c r="S288" s="694"/>
      <c r="T288" s="770"/>
      <c r="U288" s="770"/>
      <c r="V288" s="694"/>
      <c r="W288" s="694"/>
      <c r="X288" s="694"/>
      <c r="Y288" s="770"/>
      <c r="Z288" s="770"/>
      <c r="AA288" s="770"/>
      <c r="AB288" s="770"/>
      <c r="AC288" s="770"/>
      <c r="AD288" s="770"/>
      <c r="AE288" s="770"/>
      <c r="AF288" s="770"/>
      <c r="AG288" s="770"/>
      <c r="AH288" s="770"/>
      <c r="AI288" s="770"/>
      <c r="AJ288" s="770"/>
      <c r="AK288" s="770"/>
      <c r="AL288" s="770"/>
    </row>
    <row r="289" spans="1:38" ht="13.5" thickBot="1" x14ac:dyDescent="0.3">
      <c r="A289" s="694"/>
      <c r="B289" s="698"/>
      <c r="C289" s="698"/>
      <c r="D289" s="300"/>
      <c r="E289" s="461"/>
      <c r="F289" s="742"/>
      <c r="G289" s="527" t="str">
        <f>EUconst_Unit</f>
        <v>Единица мярка</v>
      </c>
      <c r="H289" s="387">
        <f t="shared" ref="H289:N289" si="52">H$490</f>
        <v>2024</v>
      </c>
      <c r="I289" s="1544">
        <f t="shared" si="52"/>
        <v>2025</v>
      </c>
      <c r="J289" s="1523">
        <f t="shared" si="52"/>
        <v>2026</v>
      </c>
      <c r="K289" s="387">
        <f t="shared" si="52"/>
        <v>2027</v>
      </c>
      <c r="L289" s="387">
        <f t="shared" si="52"/>
        <v>2028</v>
      </c>
      <c r="M289" s="387">
        <f t="shared" si="52"/>
        <v>2029</v>
      </c>
      <c r="N289" s="1522">
        <f t="shared" si="52"/>
        <v>2030</v>
      </c>
      <c r="O289" s="336"/>
      <c r="P289" s="302"/>
      <c r="Q289" s="694"/>
      <c r="R289" s="694"/>
      <c r="S289" s="694"/>
      <c r="T289" s="770"/>
      <c r="U289" s="770"/>
      <c r="V289" s="694"/>
      <c r="W289" s="694"/>
      <c r="X289" s="694"/>
      <c r="Y289" s="770"/>
      <c r="Z289" s="770"/>
      <c r="AA289" s="770"/>
      <c r="AB289" s="694"/>
      <c r="AC289" s="1524">
        <f t="shared" ref="AC289:AI289" si="53">H289</f>
        <v>2024</v>
      </c>
      <c r="AD289" s="1524">
        <f t="shared" si="53"/>
        <v>2025</v>
      </c>
      <c r="AE289" s="1524">
        <f t="shared" si="53"/>
        <v>2026</v>
      </c>
      <c r="AF289" s="1524">
        <f t="shared" si="53"/>
        <v>2027</v>
      </c>
      <c r="AG289" s="1524">
        <f t="shared" si="53"/>
        <v>2028</v>
      </c>
      <c r="AH289" s="1524">
        <f t="shared" si="53"/>
        <v>2029</v>
      </c>
      <c r="AI289" s="1524">
        <f t="shared" si="53"/>
        <v>2030</v>
      </c>
      <c r="AJ289" s="770"/>
      <c r="AK289" s="770"/>
      <c r="AL289" s="770"/>
    </row>
    <row r="290" spans="1:38" ht="13" customHeight="1" x14ac:dyDescent="0.25">
      <c r="A290" s="694"/>
      <c r="B290" s="698"/>
      <c r="C290" s="698"/>
      <c r="D290" s="698"/>
      <c r="E290" s="2667" t="str">
        <f>Translations!$B$822</f>
        <v>Общо производство на водород</v>
      </c>
      <c r="F290" s="2667"/>
      <c r="G290" s="1016" t="str">
        <f>EUconst_kNm3pa</f>
        <v>1000Nm3/година</v>
      </c>
      <c r="H290" s="24"/>
      <c r="I290" s="247"/>
      <c r="J290" s="60"/>
      <c r="K290" s="24"/>
      <c r="L290" s="24"/>
      <c r="M290" s="24"/>
      <c r="N290" s="59"/>
      <c r="O290" s="336"/>
      <c r="P290" s="158"/>
      <c r="Q290" s="694"/>
      <c r="R290" s="694"/>
      <c r="S290" s="694"/>
      <c r="T290" s="770"/>
      <c r="U290" s="770"/>
      <c r="V290" s="694"/>
      <c r="W290" s="694"/>
      <c r="X290" s="694"/>
      <c r="Y290" s="770"/>
      <c r="Z290" s="770"/>
      <c r="AA290" s="770"/>
      <c r="AB290" s="1182" t="s">
        <v>737</v>
      </c>
      <c r="AC290" s="1526" t="b">
        <f t="shared" ref="AC290:AI290" si="54">IF(CNTR_ExistSubInstEntries,IF($L282=EUconst_Relevant,AC289&gt;=CNTR_ReportingYear,TRUE),FALSE)</f>
        <v>0</v>
      </c>
      <c r="AD290" s="1281" t="b">
        <f t="shared" si="54"/>
        <v>0</v>
      </c>
      <c r="AE290" s="1281" t="b">
        <f t="shared" si="54"/>
        <v>0</v>
      </c>
      <c r="AF290" s="1281" t="b">
        <f t="shared" si="54"/>
        <v>0</v>
      </c>
      <c r="AG290" s="1281" t="b">
        <f t="shared" si="54"/>
        <v>0</v>
      </c>
      <c r="AH290" s="1281" t="b">
        <f t="shared" si="54"/>
        <v>0</v>
      </c>
      <c r="AI290" s="1527" t="b">
        <f t="shared" si="54"/>
        <v>0</v>
      </c>
      <c r="AJ290" s="770"/>
      <c r="AK290" s="770"/>
      <c r="AL290" s="770"/>
    </row>
    <row r="291" spans="1:38" ht="5.15" customHeight="1" x14ac:dyDescent="0.25">
      <c r="A291" s="694"/>
      <c r="B291" s="284"/>
      <c r="C291" s="284"/>
      <c r="D291" s="284"/>
      <c r="E291" s="284"/>
      <c r="F291" s="284"/>
      <c r="G291" s="284"/>
      <c r="H291" s="284"/>
      <c r="I291" s="284"/>
      <c r="J291" s="284"/>
      <c r="K291" s="284"/>
      <c r="L291" s="284"/>
      <c r="M291" s="284"/>
      <c r="N291" s="336"/>
      <c r="O291" s="336"/>
      <c r="P291" s="302"/>
      <c r="Q291" s="770"/>
      <c r="R291" s="694"/>
      <c r="S291" s="694"/>
      <c r="T291" s="770"/>
      <c r="U291" s="770"/>
      <c r="V291" s="694"/>
      <c r="W291" s="694"/>
      <c r="X291" s="694"/>
      <c r="Y291" s="770"/>
      <c r="Z291" s="770"/>
      <c r="AA291" s="770"/>
      <c r="AB291" s="770"/>
      <c r="AC291" s="1542"/>
      <c r="AD291" s="770"/>
      <c r="AE291" s="770"/>
      <c r="AF291" s="770"/>
      <c r="AG291" s="770"/>
      <c r="AH291" s="770"/>
      <c r="AI291" s="1543"/>
      <c r="AJ291" s="770"/>
      <c r="AK291" s="770"/>
      <c r="AL291" s="770"/>
    </row>
    <row r="292" spans="1:38" ht="13" customHeight="1" x14ac:dyDescent="0.25">
      <c r="A292" s="694"/>
      <c r="B292" s="284"/>
      <c r="C292" s="284"/>
      <c r="D292" s="300" t="s">
        <v>46</v>
      </c>
      <c r="E292" s="2463" t="str">
        <f>Translations!$B$823</f>
        <v>Обемна част на водород VF(H2)</v>
      </c>
      <c r="F292" s="2240"/>
      <c r="G292" s="2240"/>
      <c r="H292" s="2240"/>
      <c r="I292" s="2240"/>
      <c r="J292" s="2240"/>
      <c r="K292" s="2240"/>
      <c r="L292" s="2240"/>
      <c r="M292" s="2240"/>
      <c r="N292" s="2240"/>
      <c r="O292" s="336"/>
      <c r="P292" s="302"/>
      <c r="Q292" s="770"/>
      <c r="R292" s="694"/>
      <c r="S292" s="694"/>
      <c r="T292" s="770"/>
      <c r="U292" s="770"/>
      <c r="V292" s="694"/>
      <c r="W292" s="694"/>
      <c r="X292" s="694"/>
      <c r="Y292" s="770"/>
      <c r="Z292" s="770"/>
      <c r="AA292" s="770"/>
      <c r="AB292" s="770"/>
      <c r="AC292" s="1542"/>
      <c r="AD292" s="770"/>
      <c r="AE292" s="770"/>
      <c r="AF292" s="770"/>
      <c r="AG292" s="770"/>
      <c r="AH292" s="770"/>
      <c r="AI292" s="1543"/>
      <c r="AJ292" s="770"/>
      <c r="AK292" s="770"/>
      <c r="AL292" s="770"/>
    </row>
    <row r="293" spans="1:38" ht="12.65" customHeight="1" x14ac:dyDescent="0.25">
      <c r="A293" s="694"/>
      <c r="B293" s="284"/>
      <c r="C293" s="284"/>
      <c r="D293" s="302"/>
      <c r="E293" s="2293" t="str">
        <f>Translations!$B$1408</f>
        <v>Моля, въведете тук историческия обем на производството на чист водород и въглероден оксид (СО) за всяка година от базовия период. Това е безразмерна фигура.</v>
      </c>
      <c r="F293" s="2240"/>
      <c r="G293" s="2240"/>
      <c r="H293" s="2240"/>
      <c r="I293" s="2240"/>
      <c r="J293" s="2240"/>
      <c r="K293" s="2240"/>
      <c r="L293" s="2240"/>
      <c r="M293" s="2240"/>
      <c r="N293" s="2240"/>
      <c r="O293" s="336"/>
      <c r="P293" s="302"/>
      <c r="Q293" s="770"/>
      <c r="R293" s="694"/>
      <c r="S293" s="694"/>
      <c r="T293" s="770"/>
      <c r="U293" s="770"/>
      <c r="V293" s="694"/>
      <c r="W293" s="694"/>
      <c r="X293" s="694"/>
      <c r="Y293" s="770"/>
      <c r="Z293" s="770"/>
      <c r="AA293" s="770"/>
      <c r="AB293" s="770"/>
      <c r="AC293" s="1542"/>
      <c r="AD293" s="770"/>
      <c r="AE293" s="770"/>
      <c r="AF293" s="770"/>
      <c r="AG293" s="770"/>
      <c r="AH293" s="770"/>
      <c r="AI293" s="1543"/>
      <c r="AJ293" s="770"/>
      <c r="AK293" s="770"/>
      <c r="AL293" s="770"/>
    </row>
    <row r="294" spans="1:38" ht="13" customHeight="1" x14ac:dyDescent="0.25">
      <c r="A294" s="694"/>
      <c r="B294" s="284"/>
      <c r="C294" s="284"/>
      <c r="D294" s="302"/>
      <c r="E294" s="2293" t="str">
        <f>Translations!$B$824</f>
        <v xml:space="preserve">Можете да въведете стойността 95 % като „0,95“ или като „95 %“. </v>
      </c>
      <c r="F294" s="2240"/>
      <c r="G294" s="2240"/>
      <c r="H294" s="2240"/>
      <c r="I294" s="2240"/>
      <c r="J294" s="2240"/>
      <c r="K294" s="2240"/>
      <c r="L294" s="2240"/>
      <c r="M294" s="2240"/>
      <c r="N294" s="2240"/>
      <c r="O294" s="336"/>
      <c r="P294" s="302"/>
      <c r="Q294" s="770"/>
      <c r="R294" s="694"/>
      <c r="S294" s="694"/>
      <c r="T294" s="770"/>
      <c r="U294" s="770"/>
      <c r="V294" s="694"/>
      <c r="W294" s="694"/>
      <c r="X294" s="694"/>
      <c r="Y294" s="770"/>
      <c r="Z294" s="770"/>
      <c r="AA294" s="770"/>
      <c r="AB294" s="770"/>
      <c r="AC294" s="1542"/>
      <c r="AD294" s="770"/>
      <c r="AE294" s="770"/>
      <c r="AF294" s="770"/>
      <c r="AG294" s="770"/>
      <c r="AH294" s="770"/>
      <c r="AI294" s="1543"/>
      <c r="AJ294" s="770"/>
      <c r="AK294" s="770"/>
      <c r="AL294" s="770"/>
    </row>
    <row r="295" spans="1:38" ht="13" x14ac:dyDescent="0.25">
      <c r="A295" s="694"/>
      <c r="B295" s="698"/>
      <c r="C295" s="698"/>
      <c r="D295" s="300"/>
      <c r="E295" s="461"/>
      <c r="F295" s="742"/>
      <c r="G295" s="527" t="str">
        <f>EUconst_Unit</f>
        <v>Единица мярка</v>
      </c>
      <c r="H295" s="387">
        <f t="shared" ref="H295:N295" si="55">H$490</f>
        <v>2024</v>
      </c>
      <c r="I295" s="1544">
        <f t="shared" si="55"/>
        <v>2025</v>
      </c>
      <c r="J295" s="1523">
        <f t="shared" si="55"/>
        <v>2026</v>
      </c>
      <c r="K295" s="387">
        <f t="shared" si="55"/>
        <v>2027</v>
      </c>
      <c r="L295" s="387">
        <f t="shared" si="55"/>
        <v>2028</v>
      </c>
      <c r="M295" s="387">
        <f t="shared" si="55"/>
        <v>2029</v>
      </c>
      <c r="N295" s="1522">
        <f t="shared" si="55"/>
        <v>2030</v>
      </c>
      <c r="O295" s="336"/>
      <c r="P295" s="302"/>
      <c r="Q295" s="694"/>
      <c r="R295" s="694"/>
      <c r="S295" s="694"/>
      <c r="T295" s="770"/>
      <c r="U295" s="770"/>
      <c r="V295" s="694"/>
      <c r="W295" s="694"/>
      <c r="X295" s="694"/>
      <c r="Y295" s="770"/>
      <c r="Z295" s="770"/>
      <c r="AA295" s="770"/>
      <c r="AB295" s="770"/>
      <c r="AC295" s="1542"/>
      <c r="AD295" s="770"/>
      <c r="AE295" s="770"/>
      <c r="AF295" s="770"/>
      <c r="AG295" s="770"/>
      <c r="AH295" s="770"/>
      <c r="AI295" s="1543"/>
      <c r="AJ295" s="770"/>
      <c r="AK295" s="770"/>
      <c r="AL295" s="770"/>
    </row>
    <row r="296" spans="1:38" ht="13" customHeight="1" x14ac:dyDescent="0.25">
      <c r="A296" s="694"/>
      <c r="B296" s="698"/>
      <c r="C296" s="698"/>
      <c r="D296" s="360" t="s">
        <v>6</v>
      </c>
      <c r="E296" s="2667" t="str">
        <f>Translations!$B$825</f>
        <v>Обемна част на водород</v>
      </c>
      <c r="F296" s="2258"/>
      <c r="G296" s="1574" t="s">
        <v>1052</v>
      </c>
      <c r="H296" s="6"/>
      <c r="I296" s="248"/>
      <c r="J296" s="249"/>
      <c r="K296" s="6"/>
      <c r="L296" s="6"/>
      <c r="M296" s="6"/>
      <c r="N296" s="75"/>
      <c r="O296" s="336"/>
      <c r="P296" s="158"/>
      <c r="Q296" s="694"/>
      <c r="R296" s="694"/>
      <c r="S296" s="694"/>
      <c r="T296" s="770"/>
      <c r="U296" s="770"/>
      <c r="V296" s="694"/>
      <c r="W296" s="694"/>
      <c r="X296" s="694"/>
      <c r="Y296" s="770"/>
      <c r="Z296" s="770"/>
      <c r="AA296" s="770"/>
      <c r="AB296" s="770"/>
      <c r="AC296" s="1530" t="b">
        <f>AC290</f>
        <v>0</v>
      </c>
      <c r="AD296" s="1500" t="b">
        <f t="shared" ref="AD296:AI296" si="56">AD290</f>
        <v>0</v>
      </c>
      <c r="AE296" s="1500" t="b">
        <f t="shared" si="56"/>
        <v>0</v>
      </c>
      <c r="AF296" s="1500" t="b">
        <f t="shared" si="56"/>
        <v>0</v>
      </c>
      <c r="AG296" s="1500" t="b">
        <f t="shared" si="56"/>
        <v>0</v>
      </c>
      <c r="AH296" s="1500" t="b">
        <f t="shared" si="56"/>
        <v>0</v>
      </c>
      <c r="AI296" s="1531" t="b">
        <f t="shared" si="56"/>
        <v>0</v>
      </c>
      <c r="AJ296" s="770"/>
      <c r="AK296" s="770"/>
      <c r="AL296" s="770"/>
    </row>
    <row r="297" spans="1:38" s="364" customFormat="1" x14ac:dyDescent="0.25">
      <c r="A297" s="729"/>
      <c r="B297" s="302"/>
      <c r="C297" s="302"/>
      <c r="D297" s="360" t="s">
        <v>7</v>
      </c>
      <c r="E297" s="2687" t="str">
        <f>Translations!$B$1409</f>
        <v>Обемна част на CO</v>
      </c>
      <c r="F297" s="2258"/>
      <c r="G297" s="424" t="s">
        <v>1052</v>
      </c>
      <c r="H297" s="210"/>
      <c r="I297" s="250"/>
      <c r="J297" s="251"/>
      <c r="K297" s="210"/>
      <c r="L297" s="210"/>
      <c r="M297" s="210"/>
      <c r="N297" s="211"/>
      <c r="O297" s="336"/>
      <c r="P297" s="158"/>
      <c r="Q297" s="729"/>
      <c r="R297" s="729"/>
      <c r="S297" s="729"/>
      <c r="T297" s="729"/>
      <c r="U297" s="729"/>
      <c r="V297" s="729"/>
      <c r="W297" s="729"/>
      <c r="X297" s="729"/>
      <c r="Y297" s="729"/>
      <c r="Z297" s="729"/>
      <c r="AA297" s="729"/>
      <c r="AB297" s="729"/>
      <c r="AC297" s="1575" t="b">
        <f>AC296</f>
        <v>0</v>
      </c>
      <c r="AD297" s="1190" t="b">
        <f t="shared" ref="AD297:AI297" si="57">AD296</f>
        <v>0</v>
      </c>
      <c r="AE297" s="1190" t="b">
        <f t="shared" si="57"/>
        <v>0</v>
      </c>
      <c r="AF297" s="1190" t="b">
        <f t="shared" si="57"/>
        <v>0</v>
      </c>
      <c r="AG297" s="1190" t="b">
        <f t="shared" si="57"/>
        <v>0</v>
      </c>
      <c r="AH297" s="1190" t="b">
        <f t="shared" si="57"/>
        <v>0</v>
      </c>
      <c r="AI297" s="1576" t="b">
        <f t="shared" si="57"/>
        <v>0</v>
      </c>
      <c r="AJ297" s="729"/>
      <c r="AK297" s="729"/>
      <c r="AL297" s="729"/>
    </row>
    <row r="298" spans="1:38" s="364" customFormat="1" ht="5.15" customHeight="1" x14ac:dyDescent="0.25">
      <c r="A298" s="729"/>
      <c r="B298" s="284"/>
      <c r="C298" s="284"/>
      <c r="D298" s="284"/>
      <c r="E298" s="284"/>
      <c r="F298" s="284"/>
      <c r="G298" s="284"/>
      <c r="H298" s="284"/>
      <c r="I298" s="284"/>
      <c r="J298" s="284"/>
      <c r="K298" s="284"/>
      <c r="L298" s="284"/>
      <c r="M298" s="336"/>
      <c r="N298" s="284"/>
      <c r="O298" s="336"/>
      <c r="P298" s="302"/>
      <c r="Q298" s="729"/>
      <c r="R298" s="729"/>
      <c r="S298" s="729"/>
      <c r="T298" s="729"/>
      <c r="U298" s="729"/>
      <c r="V298" s="729"/>
      <c r="W298" s="729"/>
      <c r="X298" s="729"/>
      <c r="Y298" s="729"/>
      <c r="Z298" s="729"/>
      <c r="AA298" s="729"/>
      <c r="AB298" s="729"/>
      <c r="AC298" s="1231"/>
      <c r="AD298" s="729"/>
      <c r="AE298" s="729"/>
      <c r="AF298" s="729"/>
      <c r="AG298" s="729"/>
      <c r="AH298" s="729"/>
      <c r="AI298" s="1577"/>
      <c r="AJ298" s="729"/>
      <c r="AK298" s="729"/>
      <c r="AL298" s="729"/>
    </row>
    <row r="299" spans="1:38" s="364" customFormat="1" x14ac:dyDescent="0.25">
      <c r="A299" s="729"/>
      <c r="B299" s="302"/>
      <c r="C299" s="302"/>
      <c r="D299" s="360" t="s">
        <v>8</v>
      </c>
      <c r="E299" s="2687" t="str">
        <f>Translations!$B$827</f>
        <v>Водород (като 100 % чист H2)</v>
      </c>
      <c r="F299" s="2258"/>
      <c r="G299" s="421" t="str">
        <f>EUconst_tpa</f>
        <v>t / година</v>
      </c>
      <c r="H299" s="422" t="str">
        <f>IF(AND(ISNUMBER(H$290),ISNUMBER(H296)),H$290*0.08987*H296,"")</f>
        <v/>
      </c>
      <c r="I299" s="1515" t="str">
        <f t="shared" ref="I299:N299" si="58">IF(AND(ISNUMBER(I$290),ISNUMBER(I296)),I$290*0.08987*I296,"")</f>
        <v/>
      </c>
      <c r="J299" s="1578" t="str">
        <f t="shared" si="58"/>
        <v/>
      </c>
      <c r="K299" s="422" t="str">
        <f t="shared" si="58"/>
        <v/>
      </c>
      <c r="L299" s="422" t="str">
        <f t="shared" si="58"/>
        <v/>
      </c>
      <c r="M299" s="422" t="str">
        <f t="shared" si="58"/>
        <v/>
      </c>
      <c r="N299" s="1579" t="str">
        <f t="shared" si="58"/>
        <v/>
      </c>
      <c r="O299" s="336"/>
      <c r="P299" s="302"/>
      <c r="Q299" s="729"/>
      <c r="R299" s="729"/>
      <c r="S299" s="729"/>
      <c r="T299" s="729"/>
      <c r="U299" s="729"/>
      <c r="V299" s="729"/>
      <c r="W299" s="729"/>
      <c r="X299" s="729"/>
      <c r="Y299" s="729"/>
      <c r="Z299" s="729"/>
      <c r="AA299" s="729"/>
      <c r="AB299" s="729"/>
      <c r="AC299" s="1231"/>
      <c r="AD299" s="729"/>
      <c r="AE299" s="729"/>
      <c r="AF299" s="729"/>
      <c r="AG299" s="729"/>
      <c r="AH299" s="729"/>
      <c r="AI299" s="1577"/>
      <c r="AJ299" s="729"/>
      <c r="AK299" s="729"/>
      <c r="AL299" s="729"/>
    </row>
    <row r="300" spans="1:38" s="364" customFormat="1" ht="12.75" customHeight="1" x14ac:dyDescent="0.25">
      <c r="A300" s="729"/>
      <c r="B300" s="302"/>
      <c r="C300" s="302"/>
      <c r="D300" s="360" t="s">
        <v>18</v>
      </c>
      <c r="E300" s="2687" t="str">
        <f>Translations!$B$1410</f>
        <v>Въглероден оксид (като 100 % чист CO)</v>
      </c>
      <c r="F300" s="2258"/>
      <c r="G300" s="421" t="str">
        <f>EUconst_tpa</f>
        <v>t / година</v>
      </c>
      <c r="H300" s="422" t="str">
        <f>IF(AND(ISNUMBER(H$290),ISNUMBER(H297)),H$290*1.2506*H297,"")</f>
        <v/>
      </c>
      <c r="I300" s="1515" t="str">
        <f t="shared" ref="I300:N300" si="59">IF(AND(ISNUMBER(I$290),ISNUMBER(I297)),I$290*1.2506*I297,"")</f>
        <v/>
      </c>
      <c r="J300" s="1578" t="str">
        <f t="shared" si="59"/>
        <v/>
      </c>
      <c r="K300" s="422" t="str">
        <f t="shared" si="59"/>
        <v/>
      </c>
      <c r="L300" s="422" t="str">
        <f t="shared" si="59"/>
        <v/>
      </c>
      <c r="M300" s="422" t="str">
        <f t="shared" si="59"/>
        <v/>
      </c>
      <c r="N300" s="1579" t="str">
        <f t="shared" si="59"/>
        <v/>
      </c>
      <c r="O300" s="336"/>
      <c r="P300" s="302"/>
      <c r="Q300" s="729"/>
      <c r="R300" s="729"/>
      <c r="S300" s="729"/>
      <c r="T300" s="729"/>
      <c r="U300" s="729"/>
      <c r="V300" s="729"/>
      <c r="W300" s="729"/>
      <c r="X300" s="729"/>
      <c r="Y300" s="729"/>
      <c r="Z300" s="729"/>
      <c r="AA300" s="729"/>
      <c r="AB300" s="729"/>
      <c r="AC300" s="1231"/>
      <c r="AD300" s="729"/>
      <c r="AE300" s="729"/>
      <c r="AF300" s="729"/>
      <c r="AG300" s="729"/>
      <c r="AH300" s="729"/>
      <c r="AI300" s="1577"/>
      <c r="AJ300" s="729"/>
      <c r="AK300" s="729"/>
      <c r="AL300" s="729"/>
    </row>
    <row r="301" spans="1:38" s="364" customFormat="1" ht="5.15" customHeight="1" x14ac:dyDescent="0.25">
      <c r="A301" s="729"/>
      <c r="B301" s="284"/>
      <c r="C301" s="284"/>
      <c r="D301" s="284"/>
      <c r="E301" s="284"/>
      <c r="F301" s="284"/>
      <c r="G301" s="284"/>
      <c r="H301" s="284"/>
      <c r="I301" s="284"/>
      <c r="J301" s="284"/>
      <c r="K301" s="284"/>
      <c r="L301" s="284"/>
      <c r="M301" s="336"/>
      <c r="N301" s="336"/>
      <c r="O301" s="336"/>
      <c r="P301" s="302"/>
      <c r="Q301" s="729"/>
      <c r="R301" s="729"/>
      <c r="S301" s="729"/>
      <c r="T301" s="729"/>
      <c r="U301" s="729"/>
      <c r="V301" s="729"/>
      <c r="W301" s="729"/>
      <c r="X301" s="729"/>
      <c r="Y301" s="729"/>
      <c r="Z301" s="729"/>
      <c r="AA301" s="729"/>
      <c r="AB301" s="729"/>
      <c r="AC301" s="1231"/>
      <c r="AD301" s="729"/>
      <c r="AE301" s="729"/>
      <c r="AF301" s="729"/>
      <c r="AG301" s="729"/>
      <c r="AH301" s="729"/>
      <c r="AI301" s="1577"/>
      <c r="AJ301" s="729"/>
      <c r="AK301" s="729"/>
      <c r="AL301" s="729"/>
    </row>
    <row r="302" spans="1:38" s="364" customFormat="1" ht="13" x14ac:dyDescent="0.25">
      <c r="A302" s="729"/>
      <c r="B302" s="302"/>
      <c r="C302" s="302"/>
      <c r="D302" s="300" t="s">
        <v>906</v>
      </c>
      <c r="E302" s="2226" t="str">
        <f>Translations!$B$1411</f>
        <v>Емисии, които могат да бъдат приписани</v>
      </c>
      <c r="F302" s="2249"/>
      <c r="G302" s="2249"/>
      <c r="H302" s="2249"/>
      <c r="I302" s="2249"/>
      <c r="J302" s="2249"/>
      <c r="K302" s="2249"/>
      <c r="L302" s="2249"/>
      <c r="M302" s="2249"/>
      <c r="N302" s="2249"/>
      <c r="O302" s="336"/>
      <c r="P302" s="302"/>
      <c r="Q302" s="729"/>
      <c r="R302" s="729"/>
      <c r="S302" s="729"/>
      <c r="T302" s="729"/>
      <c r="U302" s="729"/>
      <c r="V302" s="729"/>
      <c r="W302" s="729"/>
      <c r="X302" s="729"/>
      <c r="Y302" s="729"/>
      <c r="Z302" s="729"/>
      <c r="AA302" s="729"/>
      <c r="AB302" s="729"/>
      <c r="AC302" s="1231"/>
      <c r="AD302" s="729"/>
      <c r="AE302" s="729"/>
      <c r="AF302" s="729"/>
      <c r="AG302" s="729"/>
      <c r="AH302" s="729"/>
      <c r="AI302" s="1577"/>
      <c r="AJ302" s="729"/>
      <c r="AK302" s="729"/>
      <c r="AL302" s="729"/>
    </row>
    <row r="303" spans="1:38" s="364" customFormat="1" ht="38.9" customHeight="1" x14ac:dyDescent="0.25">
      <c r="A303" s="729"/>
      <c r="B303" s="302"/>
      <c r="C303" s="302"/>
      <c r="D303" s="302"/>
      <c r="E303" s="2358" t="str">
        <f>Translations!$B$1412</f>
        <v>Моля, въведете тук действителните преки емисии от производството на водород (т.е. с изключение на емисиите, свързани с топлинната енергия, и преди улавянето на въглерод за използване или съхранение в геоложки обекти, когато е приложимо). За емисиите, произхождащи от биомаса, емисиите се изчисляват като енергийното съдържание на биомасата се умножи по емисионния фактор на природния газ вместо по действителните емисии. Поради това във всички случаи, с изключение на биомасата, стойностите, които се вписват в i., следва да бъдат същите като в раздел Е.ж.</v>
      </c>
      <c r="F303" s="2249"/>
      <c r="G303" s="2249"/>
      <c r="H303" s="2249"/>
      <c r="I303" s="2249"/>
      <c r="J303" s="2249"/>
      <c r="K303" s="2249"/>
      <c r="L303" s="2249"/>
      <c r="M303" s="2249"/>
      <c r="N303" s="2249"/>
      <c r="O303" s="336"/>
      <c r="P303" s="302"/>
      <c r="Q303" s="729"/>
      <c r="R303" s="729"/>
      <c r="S303" s="729"/>
      <c r="T303" s="729"/>
      <c r="U303" s="729"/>
      <c r="V303" s="729"/>
      <c r="W303" s="729"/>
      <c r="X303" s="729"/>
      <c r="Y303" s="729"/>
      <c r="Z303" s="729"/>
      <c r="AA303" s="729"/>
      <c r="AB303" s="729"/>
      <c r="AC303" s="1231"/>
      <c r="AD303" s="729"/>
      <c r="AE303" s="729"/>
      <c r="AF303" s="729"/>
      <c r="AG303" s="729"/>
      <c r="AH303" s="729"/>
      <c r="AI303" s="1577"/>
      <c r="AJ303" s="729"/>
      <c r="AK303" s="729"/>
      <c r="AL303" s="729"/>
    </row>
    <row r="304" spans="1:38" s="364" customFormat="1" ht="25.5" customHeight="1" x14ac:dyDescent="0.25">
      <c r="A304" s="729"/>
      <c r="B304" s="302"/>
      <c r="C304" s="302"/>
      <c r="D304" s="302"/>
      <c r="E304" s="2358" t="str">
        <f>Translations!$B$1413</f>
        <v>Въз основа на точките тук и по-горе теоретичните допълнителни емисии за реакцията на пълно изместване вода-газ (WGS) и свързаното с нея оползотворяване на топлината се изчисляват автоматично въз основа на стехиометричните стойности, посочени в приложение III към ПБР.</v>
      </c>
      <c r="F304" s="2249"/>
      <c r="G304" s="2249"/>
      <c r="H304" s="2249"/>
      <c r="I304" s="2249"/>
      <c r="J304" s="2249"/>
      <c r="K304" s="2249"/>
      <c r="L304" s="2249"/>
      <c r="M304" s="2249"/>
      <c r="N304" s="2249"/>
      <c r="O304" s="336"/>
      <c r="P304" s="302"/>
      <c r="Q304" s="729"/>
      <c r="R304" s="729"/>
      <c r="S304" s="729"/>
      <c r="T304" s="729"/>
      <c r="U304" s="729"/>
      <c r="V304" s="729"/>
      <c r="W304" s="729"/>
      <c r="X304" s="729"/>
      <c r="Y304" s="729"/>
      <c r="Z304" s="729"/>
      <c r="AA304" s="729"/>
      <c r="AB304" s="729"/>
      <c r="AC304" s="1231"/>
      <c r="AD304" s="729"/>
      <c r="AE304" s="729"/>
      <c r="AF304" s="729"/>
      <c r="AG304" s="729"/>
      <c r="AH304" s="729"/>
      <c r="AI304" s="1577"/>
      <c r="AJ304" s="729"/>
      <c r="AK304" s="729"/>
      <c r="AL304" s="729"/>
    </row>
    <row r="305" spans="1:38" s="364" customFormat="1" ht="13" x14ac:dyDescent="0.25">
      <c r="A305" s="729"/>
      <c r="B305" s="302"/>
      <c r="C305" s="302"/>
      <c r="D305" s="302"/>
      <c r="E305" s="461"/>
      <c r="F305" s="498"/>
      <c r="G305" s="527" t="str">
        <f>EUconst_Unit</f>
        <v>Единица мярка</v>
      </c>
      <c r="H305" s="387">
        <f t="shared" ref="H305:N305" si="60">H$490</f>
        <v>2024</v>
      </c>
      <c r="I305" s="1544">
        <f t="shared" si="60"/>
        <v>2025</v>
      </c>
      <c r="J305" s="1523">
        <f t="shared" si="60"/>
        <v>2026</v>
      </c>
      <c r="K305" s="387">
        <f t="shared" si="60"/>
        <v>2027</v>
      </c>
      <c r="L305" s="387">
        <f t="shared" si="60"/>
        <v>2028</v>
      </c>
      <c r="M305" s="387">
        <f t="shared" si="60"/>
        <v>2029</v>
      </c>
      <c r="N305" s="1522">
        <f t="shared" si="60"/>
        <v>2030</v>
      </c>
      <c r="O305" s="336"/>
      <c r="P305" s="302"/>
      <c r="Q305" s="729"/>
      <c r="R305" s="729"/>
      <c r="S305" s="729"/>
      <c r="T305" s="729"/>
      <c r="U305" s="729"/>
      <c r="V305" s="729"/>
      <c r="W305" s="729"/>
      <c r="X305" s="729"/>
      <c r="Y305" s="729"/>
      <c r="Z305" s="729"/>
      <c r="AA305" s="729"/>
      <c r="AB305" s="729"/>
      <c r="AC305" s="1231"/>
      <c r="AD305" s="729"/>
      <c r="AE305" s="729"/>
      <c r="AF305" s="729"/>
      <c r="AG305" s="729"/>
      <c r="AH305" s="729"/>
      <c r="AI305" s="1577"/>
      <c r="AJ305" s="729"/>
      <c r="AK305" s="729"/>
      <c r="AL305" s="729"/>
    </row>
    <row r="306" spans="1:38" s="364" customFormat="1" ht="12.75" customHeight="1" thickBot="1" x14ac:dyDescent="0.3">
      <c r="A306" s="729"/>
      <c r="B306" s="302"/>
      <c r="C306" s="302"/>
      <c r="D306" s="360" t="s">
        <v>6</v>
      </c>
      <c r="E306" s="2687" t="str">
        <f>Translations!$B$1414</f>
        <v>Действителни преки емисии (с изключение на свързаните с топлинната енергия)</v>
      </c>
      <c r="F306" s="2687"/>
      <c r="G306" s="424" t="str">
        <f>EUconst_tCO2e</f>
        <v>t CO2e</v>
      </c>
      <c r="H306" s="50"/>
      <c r="I306" s="252"/>
      <c r="J306" s="253"/>
      <c r="K306" s="50"/>
      <c r="L306" s="50"/>
      <c r="M306" s="50"/>
      <c r="N306" s="212"/>
      <c r="O306" s="336"/>
      <c r="P306" s="158"/>
      <c r="Q306" s="1190" t="str">
        <f>IF(L282=EUconst_Relevant,EUconst_CNTR_Emissions&amp;INDEX(EUconst_BMlistNames,MATCH(R282,EUconst_BMlistNumberOfBM,0)),"")</f>
        <v/>
      </c>
      <c r="R306" s="729"/>
      <c r="S306" s="729"/>
      <c r="T306" s="729"/>
      <c r="U306" s="729"/>
      <c r="V306" s="729"/>
      <c r="W306" s="729"/>
      <c r="X306" s="729"/>
      <c r="Y306" s="729"/>
      <c r="Z306" s="729"/>
      <c r="AA306" s="729"/>
      <c r="AB306" s="729"/>
      <c r="AC306" s="1580" t="b">
        <f>AC297</f>
        <v>0</v>
      </c>
      <c r="AD306" s="1255" t="b">
        <f t="shared" ref="AD306:AI306" si="61">AD297</f>
        <v>0</v>
      </c>
      <c r="AE306" s="1255" t="b">
        <f t="shared" si="61"/>
        <v>0</v>
      </c>
      <c r="AF306" s="1255" t="b">
        <f t="shared" si="61"/>
        <v>0</v>
      </c>
      <c r="AG306" s="1255" t="b">
        <f t="shared" si="61"/>
        <v>0</v>
      </c>
      <c r="AH306" s="1255" t="b">
        <f t="shared" si="61"/>
        <v>0</v>
      </c>
      <c r="AI306" s="1256" t="b">
        <f t="shared" si="61"/>
        <v>0</v>
      </c>
      <c r="AJ306" s="729"/>
      <c r="AK306" s="729"/>
      <c r="AL306" s="729"/>
    </row>
    <row r="307" spans="1:38" s="364" customFormat="1" x14ac:dyDescent="0.25">
      <c r="A307" s="729"/>
      <c r="B307" s="302"/>
      <c r="C307" s="302"/>
      <c r="D307" s="360" t="s">
        <v>7</v>
      </c>
      <c r="E307" s="2687" t="str">
        <f>Translations!$B$1415</f>
        <v>Действителен нетен износ на топлинна енергия</v>
      </c>
      <c r="F307" s="2258"/>
      <c r="G307" s="424" t="str">
        <f>EUconst_TJpa</f>
        <v>TJ / година</v>
      </c>
      <c r="H307" s="422" t="str">
        <f>IF(AND($L$282=EUconst_Relevant,H$290&lt;&gt;""),SUMIFS(F_ProductBM!H:H,F_ProductBM!$Q:$Q,$Q307),"")</f>
        <v/>
      </c>
      <c r="I307" s="1515" t="str">
        <f>IF(AND($L$282=EUconst_Relevant,I$290&lt;&gt;""),SUMIFS(F_ProductBM!I:I,F_ProductBM!$Q:$Q,$Q307),"")</f>
        <v/>
      </c>
      <c r="J307" s="1578" t="str">
        <f>IF(AND($L$282=EUconst_Relevant,J$290&lt;&gt;""),SUMIFS(F_ProductBM!J:J,F_ProductBM!$Q:$Q,$Q307),"")</f>
        <v/>
      </c>
      <c r="K307" s="422" t="str">
        <f>IF(AND($L$282=EUconst_Relevant,K$290&lt;&gt;""),SUMIFS(F_ProductBM!K:K,F_ProductBM!$Q:$Q,$Q307),"")</f>
        <v/>
      </c>
      <c r="L307" s="422" t="str">
        <f>IF(AND($L$282=EUconst_Relevant,L$290&lt;&gt;""),SUMIFS(F_ProductBM!L:L,F_ProductBM!$Q:$Q,$Q307),"")</f>
        <v/>
      </c>
      <c r="M307" s="422" t="str">
        <f>IF(AND($L$282=EUconst_Relevant,M$290&lt;&gt;""),SUMIFS(F_ProductBM!M:M,F_ProductBM!$Q:$Q,$Q307),"")</f>
        <v/>
      </c>
      <c r="N307" s="1579" t="str">
        <f>IF(AND($L$282=EUconst_Relevant,N$290&lt;&gt;""),SUMIFS(F_ProductBM!N:N,F_ProductBM!$Q:$Q,$Q307),"")</f>
        <v/>
      </c>
      <c r="O307" s="336"/>
      <c r="P307" s="302"/>
      <c r="Q307" s="1190" t="str">
        <f>IF(L282=EUconst_Relevant,EUconst_CNTR_HeatExport&amp;INDEX(EUconst_BMlistNames,MATCH(R282,EUconst_BMlistNumberOfBM,0)),"")</f>
        <v/>
      </c>
      <c r="R307" s="729"/>
      <c r="S307" s="729"/>
      <c r="T307" s="729"/>
      <c r="U307" s="729"/>
      <c r="V307" s="729"/>
      <c r="W307" s="729"/>
      <c r="X307" s="729"/>
      <c r="Y307" s="729"/>
      <c r="Z307" s="729"/>
      <c r="AA307" s="729"/>
      <c r="AB307" s="729"/>
      <c r="AC307" s="729"/>
      <c r="AD307" s="729"/>
      <c r="AE307" s="729"/>
      <c r="AF307" s="729"/>
      <c r="AG307" s="729"/>
      <c r="AH307" s="729"/>
      <c r="AI307" s="729"/>
      <c r="AJ307" s="729"/>
      <c r="AK307" s="729"/>
      <c r="AL307" s="729"/>
    </row>
    <row r="308" spans="1:38" s="364" customFormat="1" x14ac:dyDescent="0.25">
      <c r="A308" s="729"/>
      <c r="B308" s="302"/>
      <c r="C308" s="302"/>
      <c r="D308" s="360" t="s">
        <v>8</v>
      </c>
      <c r="E308" s="2687" t="str">
        <f>Translations!$B$1416</f>
        <v>Емисии от действителното подаване на топлинна енергия</v>
      </c>
      <c r="F308" s="2258"/>
      <c r="G308" s="424" t="str">
        <f>EUconst_tCO2e</f>
        <v>t CO2e</v>
      </c>
      <c r="H308" s="422" t="str">
        <f t="shared" ref="H308:N308" si="62">IF(H307="","",-H307*EUconst_HeatBMvalue)</f>
        <v/>
      </c>
      <c r="I308" s="1515" t="str">
        <f t="shared" si="62"/>
        <v/>
      </c>
      <c r="J308" s="1578" t="str">
        <f t="shared" si="62"/>
        <v/>
      </c>
      <c r="K308" s="422" t="str">
        <f t="shared" si="62"/>
        <v/>
      </c>
      <c r="L308" s="422" t="str">
        <f t="shared" si="62"/>
        <v/>
      </c>
      <c r="M308" s="422" t="str">
        <f t="shared" si="62"/>
        <v/>
      </c>
      <c r="N308" s="1579" t="str">
        <f t="shared" si="62"/>
        <v/>
      </c>
      <c r="O308" s="336"/>
      <c r="P308" s="302"/>
      <c r="Q308" s="729"/>
      <c r="R308" s="729"/>
      <c r="S308" s="729"/>
      <c r="T308" s="729"/>
      <c r="U308" s="729"/>
      <c r="V308" s="729"/>
      <c r="W308" s="729"/>
      <c r="X308" s="729"/>
      <c r="Y308" s="729"/>
      <c r="Z308" s="729"/>
      <c r="AA308" s="729"/>
      <c r="AB308" s="729"/>
      <c r="AC308" s="729"/>
      <c r="AD308" s="729"/>
      <c r="AE308" s="729"/>
      <c r="AF308" s="729"/>
      <c r="AG308" s="729"/>
      <c r="AH308" s="729"/>
      <c r="AI308" s="729"/>
      <c r="AJ308" s="729"/>
      <c r="AK308" s="729"/>
      <c r="AL308" s="729"/>
    </row>
    <row r="309" spans="1:38" s="364" customFormat="1" ht="12.75" customHeight="1" x14ac:dyDescent="0.25">
      <c r="A309" s="729"/>
      <c r="B309" s="302"/>
      <c r="C309" s="302"/>
      <c r="D309" s="360" t="s">
        <v>18</v>
      </c>
      <c r="E309" s="2687" t="str">
        <f>Translations!$B$1417</f>
        <v>Общо емисии, които могат да бъдат приписани (= i.+iii.)</v>
      </c>
      <c r="F309" s="2258"/>
      <c r="G309" s="424" t="str">
        <f>EUconst_tCO2e</f>
        <v>t CO2e</v>
      </c>
      <c r="H309" s="422" t="str">
        <f t="shared" ref="H309:N309" si="63">IF(COUNT(H306:H307)&gt;0,SUM(H306,H308),"")</f>
        <v/>
      </c>
      <c r="I309" s="1515" t="str">
        <f t="shared" si="63"/>
        <v/>
      </c>
      <c r="J309" s="1578" t="str">
        <f t="shared" si="63"/>
        <v/>
      </c>
      <c r="K309" s="422" t="str">
        <f t="shared" si="63"/>
        <v/>
      </c>
      <c r="L309" s="422" t="str">
        <f t="shared" si="63"/>
        <v/>
      </c>
      <c r="M309" s="422" t="str">
        <f t="shared" si="63"/>
        <v/>
      </c>
      <c r="N309" s="1579" t="str">
        <f t="shared" si="63"/>
        <v/>
      </c>
      <c r="O309" s="336"/>
      <c r="P309" s="302"/>
      <c r="Q309" s="729"/>
      <c r="R309" s="729"/>
      <c r="S309" s="729"/>
      <c r="T309" s="729"/>
      <c r="U309" s="729"/>
      <c r="V309" s="729"/>
      <c r="W309" s="729"/>
      <c r="X309" s="729"/>
      <c r="Y309" s="729"/>
      <c r="Z309" s="729"/>
      <c r="AA309" s="729"/>
      <c r="AB309" s="729"/>
      <c r="AC309" s="729"/>
      <c r="AD309" s="729"/>
      <c r="AE309" s="729"/>
      <c r="AF309" s="729"/>
      <c r="AG309" s="729"/>
      <c r="AH309" s="729"/>
      <c r="AI309" s="729"/>
      <c r="AJ309" s="729"/>
      <c r="AK309" s="729"/>
      <c r="AL309" s="729"/>
    </row>
    <row r="310" spans="1:38" s="364" customFormat="1" ht="12.75" customHeight="1" x14ac:dyDescent="0.25">
      <c r="A310" s="729"/>
      <c r="B310" s="302"/>
      <c r="C310" s="302"/>
      <c r="D310" s="360" t="s">
        <v>810</v>
      </c>
      <c r="E310" s="2687" t="str">
        <f>Translations!$B$1418</f>
        <v>Теоретични емисии при експортиране на топлина от WGS</v>
      </c>
      <c r="F310" s="2258"/>
      <c r="G310" s="424" t="str">
        <f>EUconst_tCO2e</f>
        <v>t CO2e</v>
      </c>
      <c r="H310" s="422" t="str">
        <f t="shared" ref="H310:N310" si="64">IF(H300="","",-H300*0.071967*0.020439*EUconst_HeatBMvalue*99.5%)</f>
        <v/>
      </c>
      <c r="I310" s="1515" t="str">
        <f t="shared" si="64"/>
        <v/>
      </c>
      <c r="J310" s="1578" t="str">
        <f t="shared" si="64"/>
        <v/>
      </c>
      <c r="K310" s="422" t="str">
        <f t="shared" si="64"/>
        <v/>
      </c>
      <c r="L310" s="422" t="str">
        <f t="shared" si="64"/>
        <v/>
      </c>
      <c r="M310" s="422" t="str">
        <f t="shared" si="64"/>
        <v/>
      </c>
      <c r="N310" s="1579" t="str">
        <f t="shared" si="64"/>
        <v/>
      </c>
      <c r="O310" s="336"/>
      <c r="P310" s="302"/>
      <c r="Q310" s="729"/>
      <c r="R310" s="729"/>
      <c r="S310" s="729"/>
      <c r="T310" s="729"/>
      <c r="U310" s="729"/>
      <c r="V310" s="729"/>
      <c r="W310" s="729"/>
      <c r="X310" s="729"/>
      <c r="Y310" s="729"/>
      <c r="Z310" s="729"/>
      <c r="AA310" s="729"/>
      <c r="AB310" s="729"/>
      <c r="AC310" s="729"/>
      <c r="AD310" s="729"/>
      <c r="AE310" s="729"/>
      <c r="AF310" s="729"/>
      <c r="AG310" s="729"/>
      <c r="AH310" s="729"/>
      <c r="AI310" s="729"/>
      <c r="AJ310" s="729"/>
      <c r="AK310" s="729"/>
      <c r="AL310" s="729"/>
    </row>
    <row r="311" spans="1:38" s="364" customFormat="1" ht="12.75" customHeight="1" x14ac:dyDescent="0.25">
      <c r="A311" s="729"/>
      <c r="B311" s="302"/>
      <c r="C311" s="302"/>
      <c r="D311" s="360" t="s">
        <v>811</v>
      </c>
      <c r="E311" s="2687" t="str">
        <f>Translations!$B$1419</f>
        <v>Теоретични допълнителни емисии за WGS</v>
      </c>
      <c r="F311" s="2258"/>
      <c r="G311" s="424" t="str">
        <f>EUconst_tCO2e</f>
        <v>t CO2e</v>
      </c>
      <c r="H311" s="422" t="str">
        <f>IF(H290="","",SUM(H300)*44.01/28.01)</f>
        <v/>
      </c>
      <c r="I311" s="1515" t="str">
        <f t="shared" ref="I311:N311" si="65">IF(I290="","",SUM(I300)*44.01/28.01)</f>
        <v/>
      </c>
      <c r="J311" s="1578" t="str">
        <f t="shared" si="65"/>
        <v/>
      </c>
      <c r="K311" s="422" t="str">
        <f t="shared" si="65"/>
        <v/>
      </c>
      <c r="L311" s="422" t="str">
        <f t="shared" si="65"/>
        <v/>
      </c>
      <c r="M311" s="422" t="str">
        <f t="shared" si="65"/>
        <v/>
      </c>
      <c r="N311" s="1579" t="str">
        <f t="shared" si="65"/>
        <v/>
      </c>
      <c r="O311" s="336"/>
      <c r="P311" s="302"/>
      <c r="Q311" s="729"/>
      <c r="R311" s="729"/>
      <c r="S311" s="729"/>
      <c r="T311" s="729"/>
      <c r="U311" s="729"/>
      <c r="V311" s="729"/>
      <c r="W311" s="729"/>
      <c r="X311" s="729"/>
      <c r="Y311" s="729"/>
      <c r="Z311" s="729"/>
      <c r="AA311" s="729"/>
      <c r="AB311" s="729"/>
      <c r="AC311" s="729"/>
      <c r="AD311" s="729"/>
      <c r="AE311" s="729"/>
      <c r="AF311" s="729"/>
      <c r="AG311" s="729"/>
      <c r="AH311" s="729"/>
      <c r="AI311" s="729"/>
      <c r="AJ311" s="729"/>
      <c r="AK311" s="729"/>
      <c r="AL311" s="729"/>
    </row>
    <row r="312" spans="1:38" s="364" customFormat="1" ht="12.75" customHeight="1" x14ac:dyDescent="0.25">
      <c r="A312" s="729"/>
      <c r="B312" s="302"/>
      <c r="C312" s="302"/>
      <c r="D312" s="360" t="s">
        <v>812</v>
      </c>
      <c r="E312" s="2687" t="str">
        <f>Translations!$B$1420</f>
        <v>Теоретични допълнителни емисии (= v.+vi.)</v>
      </c>
      <c r="F312" s="2258"/>
      <c r="G312" s="424" t="str">
        <f>EUconst_tCO2e</f>
        <v>t CO2e</v>
      </c>
      <c r="H312" s="422" t="str">
        <f>IF(H290="","",SUM(H310:H311))</f>
        <v/>
      </c>
      <c r="I312" s="1515" t="str">
        <f t="shared" ref="I312:N312" si="66">IF(I290="","",SUM(I310:I311))</f>
        <v/>
      </c>
      <c r="J312" s="1578" t="str">
        <f t="shared" si="66"/>
        <v/>
      </c>
      <c r="K312" s="422" t="str">
        <f t="shared" si="66"/>
        <v/>
      </c>
      <c r="L312" s="422" t="str">
        <f t="shared" si="66"/>
        <v/>
      </c>
      <c r="M312" s="422" t="str">
        <f t="shared" si="66"/>
        <v/>
      </c>
      <c r="N312" s="1579" t="str">
        <f t="shared" si="66"/>
        <v/>
      </c>
      <c r="O312" s="336"/>
      <c r="P312" s="302"/>
      <c r="Q312" s="1190" t="str">
        <f>IF(L282=EUconst_Relevant,EUconst_CNTR_H2AdditionalEmissions,"")</f>
        <v/>
      </c>
      <c r="R312" s="729"/>
      <c r="S312" s="729"/>
      <c r="T312" s="729"/>
      <c r="U312" s="729"/>
      <c r="V312" s="729"/>
      <c r="W312" s="729"/>
      <c r="X312" s="729"/>
      <c r="Y312" s="729"/>
      <c r="Z312" s="729"/>
      <c r="AA312" s="729"/>
      <c r="AB312" s="729"/>
      <c r="AC312" s="729"/>
      <c r="AD312" s="729"/>
      <c r="AE312" s="729"/>
      <c r="AF312" s="729"/>
      <c r="AG312" s="729"/>
      <c r="AH312" s="729"/>
      <c r="AI312" s="729"/>
      <c r="AJ312" s="729"/>
      <c r="AK312" s="729"/>
      <c r="AL312" s="729"/>
    </row>
    <row r="313" spans="1:38" ht="5.15" customHeight="1" x14ac:dyDescent="0.25">
      <c r="A313" s="694"/>
      <c r="B313" s="284"/>
      <c r="C313" s="284"/>
      <c r="D313" s="284"/>
      <c r="E313" s="284"/>
      <c r="F313" s="284"/>
      <c r="G313" s="284"/>
      <c r="H313" s="284"/>
      <c r="I313" s="284"/>
      <c r="J313" s="284"/>
      <c r="K313" s="284"/>
      <c r="L313" s="284"/>
      <c r="M313" s="284"/>
      <c r="N313" s="336"/>
      <c r="O313" s="336"/>
      <c r="P313" s="302"/>
      <c r="Q313" s="729"/>
      <c r="R313" s="694"/>
      <c r="S313" s="694"/>
      <c r="T313" s="694"/>
      <c r="U313" s="694"/>
      <c r="V313" s="694"/>
      <c r="W313" s="694"/>
      <c r="X313" s="729"/>
      <c r="Y313" s="729"/>
      <c r="Z313" s="729"/>
      <c r="AA313" s="729"/>
      <c r="AB313" s="729"/>
      <c r="AC313" s="729"/>
      <c r="AD313" s="729"/>
      <c r="AE313" s="729"/>
      <c r="AF313" s="729"/>
      <c r="AG313" s="729"/>
      <c r="AH313" s="729"/>
      <c r="AI313" s="729"/>
      <c r="AJ313" s="729"/>
      <c r="AK313" s="729"/>
      <c r="AL313" s="729"/>
    </row>
    <row r="314" spans="1:38" ht="13" customHeight="1" x14ac:dyDescent="0.25">
      <c r="A314" s="694"/>
      <c r="B314" s="284"/>
      <c r="C314" s="284"/>
      <c r="D314" s="300" t="s">
        <v>906</v>
      </c>
      <c r="E314" s="2463" t="str">
        <f>Translations!$B$1427</f>
        <v>Резултат: Нива на активност за водород, коригирани за пълно изместване вода-газ, когато е приложимо</v>
      </c>
      <c r="F314" s="2240"/>
      <c r="G314" s="2240"/>
      <c r="H314" s="2240"/>
      <c r="I314" s="2240"/>
      <c r="J314" s="2240"/>
      <c r="K314" s="2240"/>
      <c r="L314" s="2240"/>
      <c r="M314" s="2240"/>
      <c r="N314" s="2240"/>
      <c r="O314" s="336"/>
      <c r="P314" s="302"/>
      <c r="Q314" s="729"/>
      <c r="R314" s="694"/>
      <c r="S314" s="694"/>
      <c r="T314" s="694"/>
      <c r="U314" s="694"/>
      <c r="V314" s="694"/>
      <c r="W314" s="694"/>
      <c r="X314" s="729"/>
      <c r="Y314" s="729"/>
      <c r="Z314" s="729"/>
      <c r="AA314" s="729"/>
      <c r="AB314" s="729"/>
      <c r="AC314" s="729"/>
      <c r="AD314" s="729"/>
      <c r="AE314" s="729"/>
      <c r="AF314" s="729"/>
      <c r="AG314" s="729"/>
      <c r="AH314" s="729"/>
      <c r="AI314" s="729"/>
      <c r="AJ314" s="729"/>
      <c r="AK314" s="729"/>
      <c r="AL314" s="729"/>
    </row>
    <row r="315" spans="1:38" ht="13" customHeight="1" x14ac:dyDescent="0.25">
      <c r="A315" s="694"/>
      <c r="B315" s="284"/>
      <c r="C315" s="284"/>
      <c r="D315" s="302"/>
      <c r="E315" s="2293" t="str">
        <f>Translations!$B$673</f>
        <v>Резултатът от този инструмент се копира автоматично в работен лист „F_ProductBM“, ред „a).ii“ за съответната подинсталация.</v>
      </c>
      <c r="F315" s="2240"/>
      <c r="G315" s="2240"/>
      <c r="H315" s="2240"/>
      <c r="I315" s="2240"/>
      <c r="J315" s="2240"/>
      <c r="K315" s="2240"/>
      <c r="L315" s="2240"/>
      <c r="M315" s="2240"/>
      <c r="N315" s="2240"/>
      <c r="O315" s="336"/>
      <c r="P315" s="302"/>
      <c r="Q315" s="729"/>
      <c r="R315" s="694"/>
      <c r="S315" s="694"/>
      <c r="T315" s="694"/>
      <c r="U315" s="694"/>
      <c r="V315" s="694"/>
      <c r="W315" s="694"/>
      <c r="X315" s="729"/>
      <c r="Y315" s="729"/>
      <c r="Z315" s="729"/>
      <c r="AA315" s="729"/>
      <c r="AB315" s="729"/>
      <c r="AC315" s="729"/>
      <c r="AD315" s="729"/>
      <c r="AE315" s="729"/>
      <c r="AF315" s="729"/>
      <c r="AG315" s="729"/>
      <c r="AH315" s="729"/>
      <c r="AI315" s="729"/>
      <c r="AJ315" s="729"/>
      <c r="AK315" s="729"/>
      <c r="AL315" s="729"/>
    </row>
    <row r="316" spans="1:38" ht="13" x14ac:dyDescent="0.25">
      <c r="A316" s="694"/>
      <c r="B316" s="698"/>
      <c r="C316" s="698"/>
      <c r="D316" s="300"/>
      <c r="E316" s="742"/>
      <c r="F316" s="742"/>
      <c r="G316" s="527" t="str">
        <f>EUconst_Unit</f>
        <v>Единица мярка</v>
      </c>
      <c r="H316" s="387">
        <f t="shared" ref="H316:N316" si="67">H$490</f>
        <v>2024</v>
      </c>
      <c r="I316" s="1544">
        <f t="shared" si="67"/>
        <v>2025</v>
      </c>
      <c r="J316" s="1523">
        <f t="shared" si="67"/>
        <v>2026</v>
      </c>
      <c r="K316" s="387">
        <f t="shared" si="67"/>
        <v>2027</v>
      </c>
      <c r="L316" s="387">
        <f t="shared" si="67"/>
        <v>2028</v>
      </c>
      <c r="M316" s="387">
        <f t="shared" si="67"/>
        <v>2029</v>
      </c>
      <c r="N316" s="1522">
        <f t="shared" si="67"/>
        <v>2030</v>
      </c>
      <c r="O316" s="336"/>
      <c r="P316" s="302"/>
      <c r="Q316" s="729"/>
      <c r="R316" s="694"/>
      <c r="S316" s="694"/>
      <c r="T316" s="694"/>
      <c r="U316" s="694"/>
      <c r="V316" s="694"/>
      <c r="W316" s="694"/>
      <c r="X316" s="729"/>
      <c r="Y316" s="729"/>
      <c r="Z316" s="729"/>
      <c r="AA316" s="729"/>
      <c r="AB316" s="729"/>
      <c r="AC316" s="729"/>
      <c r="AD316" s="729"/>
      <c r="AE316" s="729"/>
      <c r="AF316" s="729"/>
      <c r="AG316" s="729"/>
      <c r="AH316" s="729"/>
      <c r="AI316" s="729"/>
      <c r="AJ316" s="729"/>
      <c r="AK316" s="729"/>
      <c r="AL316" s="729"/>
    </row>
    <row r="317" spans="1:38" s="364" customFormat="1" x14ac:dyDescent="0.25">
      <c r="A317" s="729"/>
      <c r="B317" s="302"/>
      <c r="C317" s="302"/>
      <c r="D317" s="360" t="s">
        <v>6</v>
      </c>
      <c r="E317" s="2687" t="str">
        <f>Translations!$B$1421</f>
        <v>HAL H2, действителен</v>
      </c>
      <c r="F317" s="2687"/>
      <c r="G317" s="421" t="str">
        <f>EUconst_tpa</f>
        <v>t / година</v>
      </c>
      <c r="H317" s="422" t="str">
        <f t="shared" ref="H317:N317" si="68">H299</f>
        <v/>
      </c>
      <c r="I317" s="1515" t="str">
        <f t="shared" si="68"/>
        <v/>
      </c>
      <c r="J317" s="1578" t="str">
        <f t="shared" si="68"/>
        <v/>
      </c>
      <c r="K317" s="422" t="str">
        <f t="shared" si="68"/>
        <v/>
      </c>
      <c r="L317" s="422" t="str">
        <f t="shared" si="68"/>
        <v/>
      </c>
      <c r="M317" s="422" t="str">
        <f t="shared" si="68"/>
        <v/>
      </c>
      <c r="N317" s="1579" t="str">
        <f t="shared" si="68"/>
        <v/>
      </c>
      <c r="O317" s="336"/>
      <c r="P317" s="302"/>
      <c r="Q317" s="729"/>
      <c r="R317" s="729"/>
      <c r="S317" s="729"/>
      <c r="T317" s="729"/>
      <c r="U317" s="729"/>
      <c r="V317" s="729"/>
      <c r="W317" s="729"/>
      <c r="X317" s="729"/>
      <c r="Y317" s="729"/>
      <c r="Z317" s="729"/>
      <c r="AA317" s="729"/>
      <c r="AB317" s="729"/>
      <c r="AC317" s="729"/>
      <c r="AD317" s="729"/>
      <c r="AE317" s="729"/>
      <c r="AF317" s="729"/>
      <c r="AG317" s="729"/>
      <c r="AH317" s="729"/>
      <c r="AI317" s="729"/>
      <c r="AJ317" s="729"/>
      <c r="AK317" s="729"/>
      <c r="AL317" s="729"/>
    </row>
    <row r="318" spans="1:38" s="364" customFormat="1" x14ac:dyDescent="0.25">
      <c r="A318" s="729"/>
      <c r="B318" s="302"/>
      <c r="C318" s="302"/>
      <c r="D318" s="360" t="s">
        <v>7</v>
      </c>
      <c r="E318" s="2687" t="str">
        <f>Translations!$B$1422</f>
        <v>HAL H2, WGS</v>
      </c>
      <c r="F318" s="2258"/>
      <c r="G318" s="421" t="str">
        <f>EUconst_tpa</f>
        <v>t / година</v>
      </c>
      <c r="H318" s="422" t="str">
        <f t="shared" ref="H318:N318" si="69">IF(H300="","",H300*0.071967)</f>
        <v/>
      </c>
      <c r="I318" s="1515" t="str">
        <f t="shared" si="69"/>
        <v/>
      </c>
      <c r="J318" s="1578" t="str">
        <f t="shared" si="69"/>
        <v/>
      </c>
      <c r="K318" s="422" t="str">
        <f t="shared" si="69"/>
        <v/>
      </c>
      <c r="L318" s="422" t="str">
        <f t="shared" si="69"/>
        <v/>
      </c>
      <c r="M318" s="422" t="str">
        <f t="shared" si="69"/>
        <v/>
      </c>
      <c r="N318" s="1579" t="str">
        <f t="shared" si="69"/>
        <v/>
      </c>
      <c r="O318" s="336"/>
      <c r="P318" s="302"/>
      <c r="Q318" s="729"/>
      <c r="R318" s="729"/>
      <c r="S318" s="729"/>
      <c r="T318" s="729"/>
      <c r="U318" s="729"/>
      <c r="V318" s="729"/>
      <c r="W318" s="729"/>
      <c r="X318" s="729"/>
      <c r="Y318" s="729"/>
      <c r="Z318" s="729"/>
      <c r="AA318" s="729"/>
      <c r="AB318" s="729"/>
      <c r="AC318" s="729"/>
      <c r="AD318" s="729"/>
      <c r="AE318" s="729"/>
      <c r="AF318" s="729"/>
      <c r="AG318" s="729"/>
      <c r="AH318" s="729"/>
      <c r="AI318" s="729"/>
      <c r="AJ318" s="729"/>
      <c r="AK318" s="729"/>
      <c r="AL318" s="729"/>
    </row>
    <row r="319" spans="1:38" s="364" customFormat="1" ht="13.5" customHeight="1" x14ac:dyDescent="0.25">
      <c r="A319" s="729"/>
      <c r="B319" s="302"/>
      <c r="C319" s="302"/>
      <c r="D319" s="360" t="s">
        <v>8</v>
      </c>
      <c r="E319" s="2687" t="str">
        <f>Translations!$B$1423</f>
        <v>Общо H2 (= i.+ii.)</v>
      </c>
      <c r="F319" s="2258"/>
      <c r="G319" s="421" t="str">
        <f>EUconst_tpa</f>
        <v>t / година</v>
      </c>
      <c r="H319" s="422" t="str">
        <f t="shared" ref="H319:N319" si="70">IF(COUNT(H317:H318)&gt;0,SUM(H317:H318),"")</f>
        <v/>
      </c>
      <c r="I319" s="1515" t="str">
        <f t="shared" si="70"/>
        <v/>
      </c>
      <c r="J319" s="1578" t="str">
        <f t="shared" si="70"/>
        <v/>
      </c>
      <c r="K319" s="422" t="str">
        <f t="shared" si="70"/>
        <v/>
      </c>
      <c r="L319" s="422" t="str">
        <f t="shared" si="70"/>
        <v/>
      </c>
      <c r="M319" s="422" t="str">
        <f t="shared" si="70"/>
        <v/>
      </c>
      <c r="N319" s="1579" t="str">
        <f t="shared" si="70"/>
        <v/>
      </c>
      <c r="O319" s="336"/>
      <c r="P319" s="302"/>
      <c r="Q319" s="1190" t="str">
        <f>IF(L282=EUconst_Relevant,EUconst_CNTR_H2ActualPlusTheoretical,"")</f>
        <v/>
      </c>
      <c r="R319" s="729"/>
      <c r="S319" s="729"/>
      <c r="T319" s="729"/>
      <c r="U319" s="729"/>
      <c r="V319" s="729"/>
      <c r="W319" s="729"/>
      <c r="X319" s="729"/>
      <c r="Y319" s="729"/>
      <c r="Z319" s="729"/>
      <c r="AA319" s="729"/>
      <c r="AB319" s="729"/>
      <c r="AC319" s="729"/>
      <c r="AD319" s="729"/>
      <c r="AE319" s="729"/>
      <c r="AF319" s="729"/>
      <c r="AG319" s="729"/>
      <c r="AH319" s="729"/>
      <c r="AI319" s="729"/>
      <c r="AJ319" s="729"/>
      <c r="AK319" s="729"/>
      <c r="AL319" s="729"/>
    </row>
    <row r="320" spans="1:38" s="364" customFormat="1" ht="5.15" customHeight="1" x14ac:dyDescent="0.25">
      <c r="A320" s="729"/>
      <c r="B320" s="302"/>
      <c r="C320" s="302"/>
      <c r="D320" s="302"/>
      <c r="E320" s="302"/>
      <c r="F320" s="302"/>
      <c r="G320" s="302"/>
      <c r="H320" s="1581"/>
      <c r="I320" s="1581"/>
      <c r="J320" s="1581"/>
      <c r="K320" s="1581"/>
      <c r="L320" s="1581"/>
      <c r="M320" s="1581"/>
      <c r="N320" s="1581"/>
      <c r="O320" s="336"/>
      <c r="P320" s="302"/>
      <c r="Q320" s="729"/>
      <c r="R320" s="729"/>
      <c r="S320" s="729"/>
      <c r="T320" s="729"/>
      <c r="U320" s="729"/>
      <c r="V320" s="729"/>
      <c r="W320" s="729"/>
      <c r="X320" s="729"/>
      <c r="Y320" s="729"/>
      <c r="Z320" s="729"/>
      <c r="AA320" s="729"/>
      <c r="AB320" s="729"/>
      <c r="AC320" s="729"/>
      <c r="AD320" s="729"/>
      <c r="AE320" s="729"/>
      <c r="AF320" s="729"/>
      <c r="AG320" s="729"/>
      <c r="AH320" s="729"/>
      <c r="AI320" s="729"/>
      <c r="AJ320" s="729"/>
      <c r="AK320" s="729"/>
      <c r="AL320" s="729"/>
    </row>
    <row r="321" spans="1:38" ht="13" customHeight="1" x14ac:dyDescent="0.25">
      <c r="A321" s="694"/>
      <c r="B321" s="698"/>
      <c r="C321" s="698"/>
      <c r="D321" s="360" t="s">
        <v>18</v>
      </c>
      <c r="E321" s="2687" t="str">
        <f>Translations!$B$1424</f>
        <v>HAL H2 (коригиран)</v>
      </c>
      <c r="F321" s="2258"/>
      <c r="G321" s="1016" t="str">
        <f>EUconst_tpa</f>
        <v>t / година</v>
      </c>
      <c r="H321" s="1024" t="str">
        <f t="shared" ref="H321:N321" si="71">IF(H319&lt;&gt;"",SUM(H319)*IF(SUM(H312)=0,1,SUM(H309)/SUM(H309,H312)),"")</f>
        <v/>
      </c>
      <c r="I321" s="1582" t="str">
        <f t="shared" si="71"/>
        <v/>
      </c>
      <c r="J321" s="1393" t="str">
        <f t="shared" si="71"/>
        <v/>
      </c>
      <c r="K321" s="1024" t="str">
        <f t="shared" si="71"/>
        <v/>
      </c>
      <c r="L321" s="1024" t="str">
        <f t="shared" si="71"/>
        <v/>
      </c>
      <c r="M321" s="1024" t="str">
        <f t="shared" si="71"/>
        <v/>
      </c>
      <c r="N321" s="1392" t="str">
        <f t="shared" si="71"/>
        <v/>
      </c>
      <c r="O321" s="336"/>
      <c r="P321" s="302"/>
      <c r="Q321" s="982" t="str">
        <f>IF(L282=EUconst_Relevant,EUconst_CNTR_HALspecial &amp; INDEX(EUconst_BMlistNames,MATCH(R282,EUconst_BMlistNumberOfBM,0)),"")</f>
        <v/>
      </c>
      <c r="R321" s="694"/>
      <c r="S321" s="694"/>
      <c r="T321" s="694"/>
      <c r="U321" s="694"/>
      <c r="V321" s="694"/>
      <c r="W321" s="694"/>
      <c r="X321" s="729"/>
      <c r="Y321" s="729"/>
      <c r="Z321" s="729"/>
      <c r="AA321" s="729"/>
      <c r="AB321" s="729"/>
      <c r="AC321" s="729"/>
      <c r="AD321" s="729"/>
      <c r="AE321" s="729"/>
      <c r="AF321" s="729"/>
      <c r="AG321" s="729"/>
      <c r="AH321" s="729"/>
      <c r="AI321" s="729"/>
      <c r="AJ321" s="729"/>
      <c r="AK321" s="729"/>
      <c r="AL321" s="729"/>
    </row>
    <row r="322" spans="1:38" ht="5.15" customHeight="1" x14ac:dyDescent="0.25">
      <c r="A322" s="694"/>
      <c r="B322" s="284"/>
      <c r="C322" s="284"/>
      <c r="D322" s="284"/>
      <c r="E322" s="284"/>
      <c r="F322" s="284"/>
      <c r="G322" s="284"/>
      <c r="H322" s="284"/>
      <c r="I322" s="284"/>
      <c r="J322" s="284"/>
      <c r="K322" s="284"/>
      <c r="L322" s="284"/>
      <c r="M322" s="336"/>
      <c r="N322" s="336"/>
      <c r="O322" s="336"/>
      <c r="P322" s="302"/>
      <c r="Q322" s="770"/>
      <c r="R322" s="694"/>
      <c r="S322" s="694"/>
      <c r="T322" s="694"/>
      <c r="U322" s="694"/>
      <c r="V322" s="694"/>
      <c r="W322" s="694"/>
      <c r="X322" s="694"/>
      <c r="Y322" s="770"/>
      <c r="Z322" s="770"/>
      <c r="AA322" s="770"/>
      <c r="AB322" s="770"/>
      <c r="AC322" s="770"/>
      <c r="AD322" s="770"/>
      <c r="AE322" s="770"/>
      <c r="AF322" s="770"/>
      <c r="AG322" s="770"/>
      <c r="AH322" s="770"/>
      <c r="AI322" s="770"/>
      <c r="AJ322" s="770"/>
      <c r="AK322" s="770"/>
      <c r="AL322" s="770"/>
    </row>
    <row r="323" spans="1:38" ht="13" x14ac:dyDescent="0.25">
      <c r="A323" s="694"/>
      <c r="B323" s="284"/>
      <c r="C323" s="284"/>
      <c r="D323" s="284"/>
      <c r="E323" s="2951" t="str">
        <f>IF(L282=EUconst_Relevant,HYPERLINK(R323,EUconst_MsgBackToSheetF),"")</f>
        <v/>
      </c>
      <c r="F323" s="2952"/>
      <c r="G323" s="2952"/>
      <c r="H323" s="2952"/>
      <c r="I323" s="2952"/>
      <c r="J323" s="2952"/>
      <c r="K323" s="2952"/>
      <c r="L323" s="2952"/>
      <c r="M323" s="2952"/>
      <c r="N323" s="2953"/>
      <c r="O323" s="336"/>
      <c r="P323" s="302"/>
      <c r="Q323" s="1395" t="s">
        <v>113</v>
      </c>
      <c r="R323" s="982" t="str">
        <f>R284</f>
        <v/>
      </c>
      <c r="S323" s="694"/>
      <c r="T323" s="694"/>
      <c r="U323" s="694"/>
      <c r="V323" s="694"/>
      <c r="W323" s="694"/>
      <c r="X323" s="694"/>
      <c r="Y323" s="770"/>
      <c r="Z323" s="770"/>
      <c r="AA323" s="770"/>
      <c r="AB323" s="770"/>
      <c r="AC323" s="770"/>
      <c r="AD323" s="770"/>
      <c r="AE323" s="770"/>
      <c r="AF323" s="770"/>
      <c r="AG323" s="770"/>
      <c r="AH323" s="770"/>
      <c r="AI323" s="770"/>
      <c r="AJ323" s="770"/>
      <c r="AK323" s="770"/>
      <c r="AL323" s="770"/>
    </row>
    <row r="324" spans="1:38" x14ac:dyDescent="0.25">
      <c r="A324" s="694"/>
      <c r="B324" s="698"/>
      <c r="C324" s="698"/>
      <c r="D324" s="698"/>
      <c r="E324" s="698"/>
      <c r="F324" s="698"/>
      <c r="G324" s="698"/>
      <c r="H324" s="698"/>
      <c r="I324" s="698"/>
      <c r="J324" s="698"/>
      <c r="K324" s="698"/>
      <c r="L324" s="698"/>
      <c r="M324" s="698"/>
      <c r="N324" s="698"/>
      <c r="O324" s="336"/>
      <c r="P324" s="302"/>
      <c r="Q324" s="694"/>
      <c r="R324" s="694"/>
      <c r="S324" s="694"/>
      <c r="T324" s="694"/>
      <c r="U324" s="694"/>
      <c r="V324" s="694"/>
      <c r="W324" s="694"/>
      <c r="X324" s="694"/>
      <c r="Y324" s="770"/>
      <c r="Z324" s="770"/>
      <c r="AA324" s="770"/>
      <c r="AB324" s="770"/>
      <c r="AC324" s="770"/>
      <c r="AD324" s="770"/>
      <c r="AE324" s="770"/>
      <c r="AF324" s="770"/>
      <c r="AG324" s="770"/>
      <c r="AH324" s="770"/>
      <c r="AI324" s="770"/>
      <c r="AJ324" s="770"/>
      <c r="AK324" s="770"/>
      <c r="AL324" s="770"/>
    </row>
    <row r="325" spans="1:38" ht="15.5" x14ac:dyDescent="0.35">
      <c r="A325" s="694"/>
      <c r="B325" s="284"/>
      <c r="C325" s="327" t="str">
        <f>Translations!$B$1575</f>
        <v>VIa</v>
      </c>
      <c r="D325" s="2245" t="str">
        <f>Translations!$B$1571</f>
        <v>Водород, необхванат от МКВЕГ</v>
      </c>
      <c r="E325" s="2245"/>
      <c r="F325" s="2245"/>
      <c r="G325" s="2245"/>
      <c r="H325" s="2245"/>
      <c r="I325" s="2245"/>
      <c r="J325" s="2245"/>
      <c r="K325" s="2245"/>
      <c r="L325" s="2245"/>
      <c r="M325" s="2245"/>
      <c r="N325" s="2245"/>
      <c r="O325" s="336"/>
      <c r="P325" s="302"/>
      <c r="Q325" s="770"/>
      <c r="R325" s="694"/>
      <c r="S325" s="694"/>
      <c r="T325" s="694"/>
      <c r="U325" s="694"/>
      <c r="V325" s="694"/>
      <c r="W325" s="694"/>
      <c r="X325" s="694"/>
      <c r="Y325" s="770"/>
      <c r="Z325" s="770"/>
      <c r="AA325" s="770"/>
      <c r="AB325" s="770"/>
      <c r="AC325" s="770"/>
      <c r="AD325" s="770"/>
      <c r="AE325" s="770"/>
      <c r="AF325" s="770"/>
      <c r="AG325" s="770"/>
      <c r="AH325" s="770"/>
      <c r="AI325" s="770"/>
      <c r="AJ325" s="770"/>
      <c r="AK325" s="770"/>
      <c r="AL325" s="770"/>
    </row>
    <row r="326" spans="1:38" ht="5.15" customHeight="1" x14ac:dyDescent="0.25">
      <c r="A326" s="694"/>
      <c r="B326" s="284"/>
      <c r="C326" s="284"/>
      <c r="D326" s="284"/>
      <c r="E326" s="284"/>
      <c r="F326" s="284"/>
      <c r="G326" s="284"/>
      <c r="H326" s="284"/>
      <c r="I326" s="284"/>
      <c r="J326" s="284"/>
      <c r="K326" s="284"/>
      <c r="L326" s="284"/>
      <c r="M326" s="336"/>
      <c r="N326" s="336"/>
      <c r="O326" s="336"/>
      <c r="P326" s="302"/>
      <c r="Q326" s="770"/>
      <c r="R326" s="694"/>
      <c r="S326" s="694"/>
      <c r="T326" s="694"/>
      <c r="U326" s="694"/>
      <c r="V326" s="694"/>
      <c r="W326" s="694"/>
      <c r="X326" s="694"/>
      <c r="Y326" s="770"/>
      <c r="Z326" s="770"/>
      <c r="AA326" s="770"/>
      <c r="AB326" s="770"/>
      <c r="AC326" s="770"/>
      <c r="AD326" s="770"/>
      <c r="AE326" s="770"/>
      <c r="AF326" s="770"/>
      <c r="AG326" s="770"/>
      <c r="AH326" s="770"/>
      <c r="AI326" s="770"/>
      <c r="AJ326" s="770"/>
      <c r="AK326" s="770"/>
      <c r="AL326" s="770"/>
    </row>
    <row r="327" spans="1:38" ht="14" x14ac:dyDescent="0.3">
      <c r="A327" s="694"/>
      <c r="B327" s="284"/>
      <c r="C327" s="357"/>
      <c r="D327" s="2323" t="str">
        <f>Translations!$B$817</f>
        <v>Инструмент за изчисляване на историческите равнища на дейност за подинсталациите за водород</v>
      </c>
      <c r="E327" s="2249"/>
      <c r="F327" s="2249"/>
      <c r="G327" s="2249"/>
      <c r="H327" s="2249"/>
      <c r="I327" s="2249"/>
      <c r="J327" s="2249"/>
      <c r="K327" s="2249"/>
      <c r="L327" s="2249"/>
      <c r="M327" s="2249"/>
      <c r="N327" s="2249"/>
      <c r="O327" s="336"/>
      <c r="P327" s="302"/>
      <c r="Q327" s="770"/>
      <c r="R327" s="694"/>
      <c r="S327" s="694"/>
      <c r="T327" s="694"/>
      <c r="U327" s="694"/>
      <c r="V327" s="694"/>
      <c r="W327" s="694"/>
      <c r="X327" s="694"/>
      <c r="Y327" s="770"/>
      <c r="Z327" s="770"/>
      <c r="AA327" s="770"/>
      <c r="AB327" s="770"/>
      <c r="AC327" s="770"/>
      <c r="AD327" s="770"/>
      <c r="AE327" s="770"/>
      <c r="AF327" s="770"/>
      <c r="AG327" s="770"/>
      <c r="AH327" s="770"/>
      <c r="AI327" s="770"/>
      <c r="AJ327" s="770"/>
      <c r="AK327" s="770"/>
      <c r="AL327" s="770"/>
    </row>
    <row r="328" spans="1:38" ht="5.15" customHeight="1" x14ac:dyDescent="0.25">
      <c r="A328" s="694"/>
      <c r="B328" s="284"/>
      <c r="C328" s="284"/>
      <c r="D328" s="284"/>
      <c r="E328" s="284"/>
      <c r="F328" s="284"/>
      <c r="G328" s="284"/>
      <c r="H328" s="284"/>
      <c r="I328" s="284"/>
      <c r="J328" s="284"/>
      <c r="K328" s="284"/>
      <c r="L328" s="284"/>
      <c r="M328" s="336"/>
      <c r="N328" s="336"/>
      <c r="O328" s="336"/>
      <c r="P328" s="302"/>
      <c r="Q328" s="770"/>
      <c r="R328" s="694"/>
      <c r="S328" s="694"/>
      <c r="T328" s="694"/>
      <c r="U328" s="694"/>
      <c r="V328" s="694"/>
      <c r="W328" s="694"/>
      <c r="X328" s="694"/>
      <c r="Y328" s="770"/>
      <c r="Z328" s="770"/>
      <c r="AA328" s="770"/>
      <c r="AB328" s="770"/>
      <c r="AC328" s="770"/>
      <c r="AD328" s="770"/>
      <c r="AE328" s="770"/>
      <c r="AF328" s="770"/>
      <c r="AG328" s="770"/>
      <c r="AH328" s="770"/>
      <c r="AI328" s="770"/>
      <c r="AJ328" s="770"/>
      <c r="AK328" s="770"/>
      <c r="AL328" s="770"/>
    </row>
    <row r="329" spans="1:38" x14ac:dyDescent="0.25">
      <c r="A329" s="694"/>
      <c r="B329" s="284"/>
      <c r="C329" s="284"/>
      <c r="D329" s="302"/>
      <c r="E329" s="2358" t="str">
        <f>Translations!$B$818</f>
        <v>Този инструмент Ви помага при определяне на HAL (исторически равнища на дейност) за продуктовия показател за водород (приложение III, точка 6 от ПБР).</v>
      </c>
      <c r="F329" s="2249"/>
      <c r="G329" s="2249"/>
      <c r="H329" s="2249"/>
      <c r="I329" s="2249"/>
      <c r="J329" s="2249"/>
      <c r="K329" s="2249"/>
      <c r="L329" s="2249"/>
      <c r="M329" s="2249"/>
      <c r="N329" s="2249"/>
      <c r="O329" s="336"/>
      <c r="P329" s="302"/>
      <c r="Q329" s="770"/>
      <c r="R329" s="694"/>
      <c r="S329" s="694"/>
      <c r="T329" s="694"/>
      <c r="U329" s="694"/>
      <c r="V329" s="694"/>
      <c r="W329" s="694"/>
      <c r="X329" s="694"/>
      <c r="Y329" s="770"/>
      <c r="Z329" s="770"/>
      <c r="AA329" s="770"/>
      <c r="AB329" s="770"/>
      <c r="AC329" s="770"/>
      <c r="AD329" s="770"/>
      <c r="AE329" s="770"/>
      <c r="AF329" s="770"/>
      <c r="AG329" s="770"/>
      <c r="AH329" s="770"/>
      <c r="AI329" s="770"/>
      <c r="AJ329" s="770"/>
      <c r="AK329" s="770"/>
      <c r="AL329" s="770"/>
    </row>
    <row r="330" spans="1:38" x14ac:dyDescent="0.25">
      <c r="A330" s="694"/>
      <c r="B330" s="284"/>
      <c r="C330" s="284"/>
      <c r="D330" s="302"/>
      <c r="E330" s="2358" t="str">
        <f>Translations!$B$673</f>
        <v>Резултатът от този инструмент се копира автоматично в работен лист „F_ProductBM“, ред „a).ii“ за съответната подинсталация.</v>
      </c>
      <c r="F330" s="2249"/>
      <c r="G330" s="2249"/>
      <c r="H330" s="2249"/>
      <c r="I330" s="2249"/>
      <c r="J330" s="2249"/>
      <c r="K330" s="2249"/>
      <c r="L330" s="2249"/>
      <c r="M330" s="2249"/>
      <c r="N330" s="2249"/>
      <c r="O330" s="336"/>
      <c r="P330" s="302"/>
      <c r="Q330" s="770"/>
      <c r="R330" s="694"/>
      <c r="S330" s="694"/>
      <c r="T330" s="694"/>
      <c r="U330" s="694"/>
      <c r="V330" s="694"/>
      <c r="W330" s="694"/>
      <c r="X330" s="694"/>
      <c r="Y330" s="770"/>
      <c r="Z330" s="770"/>
      <c r="AA330" s="770"/>
      <c r="AB330" s="770"/>
      <c r="AC330" s="770"/>
      <c r="AD330" s="770"/>
      <c r="AE330" s="770"/>
      <c r="AF330" s="770"/>
      <c r="AG330" s="770"/>
      <c r="AH330" s="770"/>
      <c r="AI330" s="770"/>
      <c r="AJ330" s="770"/>
      <c r="AK330" s="770"/>
      <c r="AL330" s="770"/>
    </row>
    <row r="331" spans="1:38" x14ac:dyDescent="0.25">
      <c r="A331" s="694"/>
      <c r="B331" s="284"/>
      <c r="C331" s="284"/>
      <c r="D331" s="302"/>
      <c r="E331" s="2459" t="str">
        <f>Translations!$B$819</f>
        <v>Обърнете внимание, че процентите съдържание на водород трябва да бъдат изразени като процентно съдържание в обемни единици.</v>
      </c>
      <c r="F331" s="2249"/>
      <c r="G331" s="2249"/>
      <c r="H331" s="2249"/>
      <c r="I331" s="2249"/>
      <c r="J331" s="2249"/>
      <c r="K331" s="2249"/>
      <c r="L331" s="2249"/>
      <c r="M331" s="2249"/>
      <c r="N331" s="2249"/>
      <c r="O331" s="336"/>
      <c r="P331" s="302"/>
      <c r="Q331" s="770"/>
      <c r="R331" s="694"/>
      <c r="S331" s="694"/>
      <c r="T331" s="694"/>
      <c r="U331" s="694"/>
      <c r="V331" s="694"/>
      <c r="W331" s="694"/>
      <c r="X331" s="694"/>
      <c r="Y331" s="770"/>
      <c r="Z331" s="770"/>
      <c r="AA331" s="770"/>
      <c r="AB331" s="770"/>
      <c r="AC331" s="770"/>
      <c r="AD331" s="770"/>
      <c r="AE331" s="770"/>
      <c r="AF331" s="770"/>
      <c r="AG331" s="770"/>
      <c r="AH331" s="770"/>
      <c r="AI331" s="770"/>
      <c r="AJ331" s="770"/>
      <c r="AK331" s="770"/>
      <c r="AL331" s="770"/>
    </row>
    <row r="332" spans="1:38" ht="5.15" customHeight="1" x14ac:dyDescent="0.25">
      <c r="A332" s="694"/>
      <c r="B332" s="284"/>
      <c r="C332" s="284"/>
      <c r="D332" s="284"/>
      <c r="E332" s="284"/>
      <c r="F332" s="284"/>
      <c r="G332" s="284"/>
      <c r="H332" s="284"/>
      <c r="I332" s="284"/>
      <c r="J332" s="284"/>
      <c r="K332" s="284"/>
      <c r="L332" s="284"/>
      <c r="M332" s="336"/>
      <c r="N332" s="336"/>
      <c r="O332" s="336"/>
      <c r="P332" s="302"/>
      <c r="Q332" s="770"/>
      <c r="R332" s="694"/>
      <c r="S332" s="694"/>
      <c r="T332" s="694"/>
      <c r="U332" s="694"/>
      <c r="V332" s="694"/>
      <c r="W332" s="694"/>
      <c r="X332" s="694"/>
      <c r="Y332" s="770"/>
      <c r="Z332" s="770"/>
      <c r="AA332" s="770"/>
      <c r="AB332" s="770"/>
      <c r="AC332" s="770"/>
      <c r="AD332" s="770"/>
      <c r="AE332" s="770"/>
      <c r="AF332" s="770"/>
      <c r="AG332" s="770"/>
      <c r="AH332" s="770"/>
      <c r="AI332" s="770"/>
      <c r="AJ332" s="770"/>
      <c r="AK332" s="770"/>
      <c r="AL332" s="770"/>
    </row>
    <row r="333" spans="1:38" ht="14" x14ac:dyDescent="0.3">
      <c r="A333" s="694"/>
      <c r="B333" s="284"/>
      <c r="C333" s="284"/>
      <c r="D333" s="300" t="s">
        <v>408</v>
      </c>
      <c r="E333" s="2226" t="str">
        <f>Translations!$B$674</f>
        <v>Практическо значение на този инструмент за Вашата инсталация:</v>
      </c>
      <c r="F333" s="2226"/>
      <c r="G333" s="2226"/>
      <c r="H333" s="2226"/>
      <c r="I333" s="2226"/>
      <c r="J333" s="2226"/>
      <c r="K333" s="2317"/>
      <c r="L333" s="2956" t="str">
        <f>IF(CNTR_ExistSubInstEntries,IF(COUNTIF(CNTR_SubInstListNames,INDEX(EUconst_BMlistNames,MATCH(R333,EUconst_BMlistNumberOfBM,0)))&gt;0,EUconst_Relevant,EUconst_NotRelevant),"")</f>
        <v/>
      </c>
      <c r="M333" s="2957"/>
      <c r="N333" s="2958"/>
      <c r="O333" s="336"/>
      <c r="P333" s="302"/>
      <c r="Q333" s="1395" t="s">
        <v>114</v>
      </c>
      <c r="R333" s="1519">
        <v>50.1</v>
      </c>
      <c r="S333" s="694"/>
      <c r="T333" s="694"/>
      <c r="U333" s="694"/>
      <c r="V333" s="694"/>
      <c r="W333" s="694"/>
      <c r="X333" s="694"/>
      <c r="Y333" s="770"/>
      <c r="Z333" s="770"/>
      <c r="AA333" s="770"/>
      <c r="AB333" s="770"/>
      <c r="AC333" s="770"/>
      <c r="AD333" s="770"/>
      <c r="AE333" s="770"/>
      <c r="AF333" s="770"/>
      <c r="AG333" s="770"/>
      <c r="AH333" s="770"/>
      <c r="AI333" s="770"/>
      <c r="AJ333" s="770"/>
      <c r="AK333" s="770"/>
      <c r="AL333" s="770"/>
    </row>
    <row r="334" spans="1:38" x14ac:dyDescent="0.25">
      <c r="A334" s="694"/>
      <c r="B334" s="284"/>
      <c r="C334" s="284"/>
      <c r="D334" s="302"/>
      <c r="E334" s="2255" t="str">
        <f>Translations!$B$675</f>
        <v>Това съобщение се генерира автоматично въз основа на въведените от Вас данни в работен лист „A_InstallationData“ („А_Данни за инсталацията“), раздел A.III.1.</v>
      </c>
      <c r="F334" s="2256"/>
      <c r="G334" s="2256"/>
      <c r="H334" s="2256"/>
      <c r="I334" s="2256"/>
      <c r="J334" s="2256"/>
      <c r="K334" s="2256"/>
      <c r="L334" s="2256"/>
      <c r="M334" s="2256"/>
      <c r="N334" s="2256"/>
      <c r="O334" s="336"/>
      <c r="P334" s="302"/>
      <c r="Q334" s="770"/>
      <c r="R334" s="694"/>
      <c r="S334" s="694"/>
      <c r="T334" s="694"/>
      <c r="U334" s="694"/>
      <c r="V334" s="694"/>
      <c r="W334" s="694"/>
      <c r="X334" s="694"/>
      <c r="Y334" s="770"/>
      <c r="Z334" s="770"/>
      <c r="AA334" s="770"/>
      <c r="AB334" s="770"/>
      <c r="AC334" s="770"/>
      <c r="AD334" s="770"/>
      <c r="AE334" s="770"/>
      <c r="AF334" s="770"/>
      <c r="AG334" s="770"/>
      <c r="AH334" s="770"/>
      <c r="AI334" s="770"/>
      <c r="AJ334" s="770"/>
      <c r="AK334" s="770"/>
      <c r="AL334" s="770"/>
    </row>
    <row r="335" spans="1:38" ht="13" x14ac:dyDescent="0.25">
      <c r="A335" s="694"/>
      <c r="B335" s="284"/>
      <c r="C335" s="284"/>
      <c r="D335" s="284"/>
      <c r="E335" s="2951" t="str">
        <f>IF(L333=EUconst_Relevant,HYPERLINK(R335,EUconst_MsgBackToSheetF),"")</f>
        <v/>
      </c>
      <c r="F335" s="2952"/>
      <c r="G335" s="2952"/>
      <c r="H335" s="2952"/>
      <c r="I335" s="2952"/>
      <c r="J335" s="2952"/>
      <c r="K335" s="2952"/>
      <c r="L335" s="2952"/>
      <c r="M335" s="2952"/>
      <c r="N335" s="2953"/>
      <c r="O335" s="336"/>
      <c r="P335" s="302"/>
      <c r="Q335" s="1395" t="s">
        <v>113</v>
      </c>
      <c r="R335" s="982" t="str">
        <f>IF(ISNUMBER(MATCH(R333,CNTR_SubInstListBMnumbers,0)),"#JUMP_F"&amp;MATCH(R333,CNTR_SubInstListBMnumbers,0),"")</f>
        <v/>
      </c>
      <c r="S335" s="694"/>
      <c r="T335" s="694"/>
      <c r="U335" s="694"/>
      <c r="V335" s="694"/>
      <c r="W335" s="694"/>
      <c r="X335" s="694"/>
      <c r="Y335" s="770"/>
      <c r="Z335" s="770"/>
      <c r="AA335" s="770"/>
      <c r="AB335" s="770"/>
      <c r="AC335" s="770"/>
      <c r="AD335" s="770"/>
      <c r="AE335" s="770"/>
      <c r="AF335" s="770"/>
      <c r="AG335" s="770"/>
      <c r="AH335" s="770"/>
      <c r="AI335" s="770"/>
      <c r="AJ335" s="770"/>
      <c r="AK335" s="770"/>
      <c r="AL335" s="770"/>
    </row>
    <row r="336" spans="1:38" ht="5.15" customHeight="1" x14ac:dyDescent="0.25">
      <c r="A336" s="694"/>
      <c r="B336" s="284"/>
      <c r="C336" s="284"/>
      <c r="D336" s="284"/>
      <c r="E336" s="284"/>
      <c r="F336" s="284"/>
      <c r="G336" s="284"/>
      <c r="H336" s="284"/>
      <c r="I336" s="284"/>
      <c r="J336" s="284"/>
      <c r="K336" s="284"/>
      <c r="L336" s="284"/>
      <c r="M336" s="336"/>
      <c r="N336" s="336"/>
      <c r="O336" s="336"/>
      <c r="P336" s="302"/>
      <c r="Q336" s="770"/>
      <c r="R336" s="694"/>
      <c r="S336" s="694"/>
      <c r="T336" s="694"/>
      <c r="U336" s="694"/>
      <c r="V336" s="694"/>
      <c r="W336" s="694"/>
      <c r="X336" s="694"/>
      <c r="Y336" s="770"/>
      <c r="Z336" s="770"/>
      <c r="AA336" s="770"/>
      <c r="AB336" s="770"/>
      <c r="AC336" s="770"/>
      <c r="AD336" s="770"/>
      <c r="AE336" s="770"/>
      <c r="AF336" s="770"/>
      <c r="AG336" s="770"/>
      <c r="AH336" s="770"/>
      <c r="AI336" s="770"/>
      <c r="AJ336" s="770"/>
      <c r="AK336" s="770"/>
      <c r="AL336" s="770"/>
    </row>
    <row r="337" spans="1:38" ht="13" x14ac:dyDescent="0.25">
      <c r="A337" s="694"/>
      <c r="B337" s="284"/>
      <c r="C337" s="284"/>
      <c r="D337" s="300" t="s">
        <v>901</v>
      </c>
      <c r="E337" s="2226" t="str">
        <f>Translations!$B$820</f>
        <v>Общ обем производство на водород (некоригиран)</v>
      </c>
      <c r="F337" s="2249"/>
      <c r="G337" s="2249"/>
      <c r="H337" s="2249"/>
      <c r="I337" s="2249"/>
      <c r="J337" s="2249"/>
      <c r="K337" s="2249"/>
      <c r="L337" s="2249"/>
      <c r="M337" s="2249"/>
      <c r="N337" s="2249"/>
      <c r="O337" s="336"/>
      <c r="P337" s="302"/>
      <c r="Q337" s="770"/>
      <c r="R337" s="694"/>
      <c r="S337" s="694"/>
      <c r="T337" s="770"/>
      <c r="U337" s="770"/>
      <c r="V337" s="694"/>
      <c r="W337" s="694"/>
      <c r="X337" s="694"/>
      <c r="Y337" s="770"/>
      <c r="Z337" s="770"/>
      <c r="AA337" s="770"/>
      <c r="AB337" s="770"/>
      <c r="AC337" s="770"/>
      <c r="AD337" s="770"/>
      <c r="AE337" s="770"/>
      <c r="AF337" s="770"/>
      <c r="AG337" s="770"/>
      <c r="AH337" s="770"/>
      <c r="AI337" s="770"/>
      <c r="AJ337" s="770"/>
      <c r="AK337" s="770"/>
      <c r="AL337" s="770"/>
    </row>
    <row r="338" spans="1:38" x14ac:dyDescent="0.25">
      <c r="A338" s="694"/>
      <c r="B338" s="284"/>
      <c r="C338" s="284"/>
      <c r="D338" s="302"/>
      <c r="E338" s="2358" t="str">
        <f>Translations!$B$1344</f>
        <v>Моля, въведете тук данните за годишното производство на водород, съотнесено към историческото съдържание на водород през всяка година.</v>
      </c>
      <c r="F338" s="2249"/>
      <c r="G338" s="2249"/>
      <c r="H338" s="2249"/>
      <c r="I338" s="2249"/>
      <c r="J338" s="2249"/>
      <c r="K338" s="2249"/>
      <c r="L338" s="2249"/>
      <c r="M338" s="2249"/>
      <c r="N338" s="2249"/>
      <c r="O338" s="336"/>
      <c r="P338" s="302"/>
      <c r="Q338" s="770"/>
      <c r="R338" s="694"/>
      <c r="S338" s="694"/>
      <c r="T338" s="770"/>
      <c r="U338" s="770"/>
      <c r="V338" s="694"/>
      <c r="W338" s="694"/>
      <c r="X338" s="694"/>
      <c r="Y338" s="770"/>
      <c r="Z338" s="770"/>
      <c r="AA338" s="770"/>
      <c r="AB338" s="770"/>
      <c r="AC338" s="770"/>
      <c r="AD338" s="770"/>
      <c r="AE338" s="770"/>
      <c r="AF338" s="770"/>
      <c r="AG338" s="770"/>
      <c r="AH338" s="770"/>
      <c r="AI338" s="770"/>
      <c r="AJ338" s="770"/>
      <c r="AK338" s="770"/>
      <c r="AL338" s="770"/>
    </row>
    <row r="339" spans="1:38" x14ac:dyDescent="0.25">
      <c r="A339" s="694"/>
      <c r="B339" s="284"/>
      <c r="C339" s="284"/>
      <c r="D339" s="302"/>
      <c r="E339" s="2459" t="str">
        <f>Translations!$B$821</f>
        <v>Поради много високите стойности в m3, стойностите трябва да се изразят като 1 000 Nm3 (нормални кубични метра при температура 0 °C и налягане 101 325 kPa).</v>
      </c>
      <c r="F339" s="2249"/>
      <c r="G339" s="2249"/>
      <c r="H339" s="2249"/>
      <c r="I339" s="2249"/>
      <c r="J339" s="2249"/>
      <c r="K339" s="2249"/>
      <c r="L339" s="2249"/>
      <c r="M339" s="2249"/>
      <c r="N339" s="2249"/>
      <c r="O339" s="336"/>
      <c r="P339" s="302"/>
      <c r="Q339" s="770"/>
      <c r="R339" s="694"/>
      <c r="S339" s="694"/>
      <c r="T339" s="770"/>
      <c r="U339" s="770"/>
      <c r="V339" s="694"/>
      <c r="W339" s="694"/>
      <c r="X339" s="694"/>
      <c r="Y339" s="770"/>
      <c r="Z339" s="770"/>
      <c r="AA339" s="770"/>
      <c r="AB339" s="770"/>
      <c r="AC339" s="770"/>
      <c r="AD339" s="770"/>
      <c r="AE339" s="770"/>
      <c r="AF339" s="770"/>
      <c r="AG339" s="770"/>
      <c r="AH339" s="770"/>
      <c r="AI339" s="770"/>
      <c r="AJ339" s="770"/>
      <c r="AK339" s="770"/>
      <c r="AL339" s="770"/>
    </row>
    <row r="340" spans="1:38" ht="13.5" thickBot="1" x14ac:dyDescent="0.3">
      <c r="A340" s="694"/>
      <c r="B340" s="698"/>
      <c r="C340" s="698"/>
      <c r="D340" s="300"/>
      <c r="E340" s="461"/>
      <c r="F340" s="742"/>
      <c r="G340" s="527" t="str">
        <f>EUconst_Unit</f>
        <v>Единица мярка</v>
      </c>
      <c r="H340" s="387">
        <f t="shared" ref="H340:N340" si="72">H$490</f>
        <v>2024</v>
      </c>
      <c r="I340" s="1544">
        <f t="shared" si="72"/>
        <v>2025</v>
      </c>
      <c r="J340" s="1523">
        <f t="shared" si="72"/>
        <v>2026</v>
      </c>
      <c r="K340" s="387">
        <f t="shared" si="72"/>
        <v>2027</v>
      </c>
      <c r="L340" s="387">
        <f t="shared" si="72"/>
        <v>2028</v>
      </c>
      <c r="M340" s="387">
        <f t="shared" si="72"/>
        <v>2029</v>
      </c>
      <c r="N340" s="1522">
        <f t="shared" si="72"/>
        <v>2030</v>
      </c>
      <c r="O340" s="336"/>
      <c r="P340" s="302"/>
      <c r="Q340" s="694"/>
      <c r="R340" s="694"/>
      <c r="S340" s="694"/>
      <c r="T340" s="770"/>
      <c r="U340" s="770"/>
      <c r="V340" s="694"/>
      <c r="W340" s="694"/>
      <c r="X340" s="694"/>
      <c r="Y340" s="770"/>
      <c r="Z340" s="770"/>
      <c r="AA340" s="770"/>
      <c r="AB340" s="694"/>
      <c r="AC340" s="1524">
        <f t="shared" ref="AC340" si="73">H340</f>
        <v>2024</v>
      </c>
      <c r="AD340" s="1524">
        <f t="shared" ref="AD340" si="74">I340</f>
        <v>2025</v>
      </c>
      <c r="AE340" s="1524">
        <f t="shared" ref="AE340" si="75">J340</f>
        <v>2026</v>
      </c>
      <c r="AF340" s="1524">
        <f t="shared" ref="AF340" si="76">K340</f>
        <v>2027</v>
      </c>
      <c r="AG340" s="1524">
        <f t="shared" ref="AG340" si="77">L340</f>
        <v>2028</v>
      </c>
      <c r="AH340" s="1524">
        <f t="shared" ref="AH340" si="78">M340</f>
        <v>2029</v>
      </c>
      <c r="AI340" s="1524">
        <f t="shared" ref="AI340" si="79">N340</f>
        <v>2030</v>
      </c>
      <c r="AJ340" s="770"/>
      <c r="AK340" s="770"/>
      <c r="AL340" s="770"/>
    </row>
    <row r="341" spans="1:38" ht="13" customHeight="1" x14ac:dyDescent="0.25">
      <c r="A341" s="694"/>
      <c r="B341" s="698"/>
      <c r="C341" s="698"/>
      <c r="D341" s="698"/>
      <c r="E341" s="2667" t="str">
        <f>Translations!$B$822</f>
        <v>Общо производство на водород</v>
      </c>
      <c r="F341" s="2667"/>
      <c r="G341" s="1016" t="str">
        <f>EUconst_kNm3pa</f>
        <v>1000Nm3/година</v>
      </c>
      <c r="H341" s="24"/>
      <c r="I341" s="247"/>
      <c r="J341" s="60"/>
      <c r="K341" s="24"/>
      <c r="L341" s="24"/>
      <c r="M341" s="24"/>
      <c r="N341" s="59"/>
      <c r="O341" s="336"/>
      <c r="P341" s="158"/>
      <c r="Q341" s="694"/>
      <c r="R341" s="694"/>
      <c r="S341" s="694"/>
      <c r="T341" s="770"/>
      <c r="U341" s="770"/>
      <c r="V341" s="694"/>
      <c r="W341" s="694"/>
      <c r="X341" s="694"/>
      <c r="Y341" s="770"/>
      <c r="Z341" s="770"/>
      <c r="AA341" s="770"/>
      <c r="AB341" s="1182" t="s">
        <v>737</v>
      </c>
      <c r="AC341" s="1526" t="b">
        <f t="shared" ref="AC341:AI341" si="80">IF(CNTR_ExistSubInstEntries,IF($L333=EUconst_Relevant,AC340&gt;=CNTR_ReportingYear,TRUE),FALSE)</f>
        <v>0</v>
      </c>
      <c r="AD341" s="1281" t="b">
        <f t="shared" si="80"/>
        <v>0</v>
      </c>
      <c r="AE341" s="1281" t="b">
        <f t="shared" si="80"/>
        <v>0</v>
      </c>
      <c r="AF341" s="1281" t="b">
        <f t="shared" si="80"/>
        <v>0</v>
      </c>
      <c r="AG341" s="1281" t="b">
        <f t="shared" si="80"/>
        <v>0</v>
      </c>
      <c r="AH341" s="1281" t="b">
        <f t="shared" si="80"/>
        <v>0</v>
      </c>
      <c r="AI341" s="1527" t="b">
        <f t="shared" si="80"/>
        <v>0</v>
      </c>
      <c r="AJ341" s="770"/>
      <c r="AK341" s="770"/>
      <c r="AL341" s="770"/>
    </row>
    <row r="342" spans="1:38" ht="5.15" customHeight="1" x14ac:dyDescent="0.25">
      <c r="A342" s="694"/>
      <c r="B342" s="284"/>
      <c r="C342" s="284"/>
      <c r="D342" s="284"/>
      <c r="E342" s="284"/>
      <c r="F342" s="284"/>
      <c r="G342" s="284"/>
      <c r="H342" s="284"/>
      <c r="I342" s="284"/>
      <c r="J342" s="284"/>
      <c r="K342" s="284"/>
      <c r="L342" s="284"/>
      <c r="M342" s="284"/>
      <c r="N342" s="336"/>
      <c r="O342" s="336"/>
      <c r="P342" s="302"/>
      <c r="Q342" s="770"/>
      <c r="R342" s="694"/>
      <c r="S342" s="694"/>
      <c r="T342" s="770"/>
      <c r="U342" s="770"/>
      <c r="V342" s="694"/>
      <c r="W342" s="694"/>
      <c r="X342" s="694"/>
      <c r="Y342" s="770"/>
      <c r="Z342" s="770"/>
      <c r="AA342" s="770"/>
      <c r="AB342" s="770"/>
      <c r="AC342" s="1542"/>
      <c r="AD342" s="770"/>
      <c r="AE342" s="770"/>
      <c r="AF342" s="770"/>
      <c r="AG342" s="770"/>
      <c r="AH342" s="770"/>
      <c r="AI342" s="1543"/>
      <c r="AJ342" s="770"/>
      <c r="AK342" s="770"/>
      <c r="AL342" s="770"/>
    </row>
    <row r="343" spans="1:38" ht="13" customHeight="1" x14ac:dyDescent="0.25">
      <c r="A343" s="694"/>
      <c r="B343" s="284"/>
      <c r="C343" s="284"/>
      <c r="D343" s="300" t="s">
        <v>46</v>
      </c>
      <c r="E343" s="2463" t="str">
        <f>Translations!$B$823</f>
        <v>Обемна част на водород VF(H2)</v>
      </c>
      <c r="F343" s="2240"/>
      <c r="G343" s="2240"/>
      <c r="H343" s="2240"/>
      <c r="I343" s="2240"/>
      <c r="J343" s="2240"/>
      <c r="K343" s="2240"/>
      <c r="L343" s="2240"/>
      <c r="M343" s="2240"/>
      <c r="N343" s="2240"/>
      <c r="O343" s="336"/>
      <c r="P343" s="302"/>
      <c r="Q343" s="770"/>
      <c r="R343" s="694"/>
      <c r="S343" s="694"/>
      <c r="T343" s="770"/>
      <c r="U343" s="770"/>
      <c r="V343" s="694"/>
      <c r="W343" s="694"/>
      <c r="X343" s="694"/>
      <c r="Y343" s="770"/>
      <c r="Z343" s="770"/>
      <c r="AA343" s="770"/>
      <c r="AB343" s="770"/>
      <c r="AC343" s="1542"/>
      <c r="AD343" s="770"/>
      <c r="AE343" s="770"/>
      <c r="AF343" s="770"/>
      <c r="AG343" s="770"/>
      <c r="AH343" s="770"/>
      <c r="AI343" s="1543"/>
      <c r="AJ343" s="770"/>
      <c r="AK343" s="770"/>
      <c r="AL343" s="770"/>
    </row>
    <row r="344" spans="1:38" ht="12.65" customHeight="1" x14ac:dyDescent="0.25">
      <c r="A344" s="694"/>
      <c r="B344" s="284"/>
      <c r="C344" s="284"/>
      <c r="D344" s="302"/>
      <c r="E344" s="2293" t="str">
        <f>Translations!$B$1408</f>
        <v>Моля, въведете тук историческия обем на производството на чист водород и въглероден оксид (СО) за всяка година от базовия период. Това е безразмерна фигура.</v>
      </c>
      <c r="F344" s="2240"/>
      <c r="G344" s="2240"/>
      <c r="H344" s="2240"/>
      <c r="I344" s="2240"/>
      <c r="J344" s="2240"/>
      <c r="K344" s="2240"/>
      <c r="L344" s="2240"/>
      <c r="M344" s="2240"/>
      <c r="N344" s="2240"/>
      <c r="O344" s="336"/>
      <c r="P344" s="302"/>
      <c r="Q344" s="770"/>
      <c r="R344" s="694"/>
      <c r="S344" s="694"/>
      <c r="T344" s="770"/>
      <c r="U344" s="770"/>
      <c r="V344" s="694"/>
      <c r="W344" s="694"/>
      <c r="X344" s="694"/>
      <c r="Y344" s="770"/>
      <c r="Z344" s="770"/>
      <c r="AA344" s="770"/>
      <c r="AB344" s="770"/>
      <c r="AC344" s="1542"/>
      <c r="AD344" s="770"/>
      <c r="AE344" s="770"/>
      <c r="AF344" s="770"/>
      <c r="AG344" s="770"/>
      <c r="AH344" s="770"/>
      <c r="AI344" s="1543"/>
      <c r="AJ344" s="770"/>
      <c r="AK344" s="770"/>
      <c r="AL344" s="770"/>
    </row>
    <row r="345" spans="1:38" ht="13" customHeight="1" x14ac:dyDescent="0.25">
      <c r="A345" s="694"/>
      <c r="B345" s="284"/>
      <c r="C345" s="284"/>
      <c r="D345" s="302"/>
      <c r="E345" s="2293" t="str">
        <f>Translations!$B$824</f>
        <v xml:space="preserve">Можете да въведете стойността 95 % като „0,95“ или като „95 %“. </v>
      </c>
      <c r="F345" s="2240"/>
      <c r="G345" s="2240"/>
      <c r="H345" s="2240"/>
      <c r="I345" s="2240"/>
      <c r="J345" s="2240"/>
      <c r="K345" s="2240"/>
      <c r="L345" s="2240"/>
      <c r="M345" s="2240"/>
      <c r="N345" s="2240"/>
      <c r="O345" s="336"/>
      <c r="P345" s="302"/>
      <c r="Q345" s="770"/>
      <c r="R345" s="694"/>
      <c r="S345" s="694"/>
      <c r="T345" s="770"/>
      <c r="U345" s="770"/>
      <c r="V345" s="694"/>
      <c r="W345" s="694"/>
      <c r="X345" s="694"/>
      <c r="Y345" s="770"/>
      <c r="Z345" s="770"/>
      <c r="AA345" s="770"/>
      <c r="AB345" s="770"/>
      <c r="AC345" s="1542"/>
      <c r="AD345" s="770"/>
      <c r="AE345" s="770"/>
      <c r="AF345" s="770"/>
      <c r="AG345" s="770"/>
      <c r="AH345" s="770"/>
      <c r="AI345" s="1543"/>
      <c r="AJ345" s="770"/>
      <c r="AK345" s="770"/>
      <c r="AL345" s="770"/>
    </row>
    <row r="346" spans="1:38" ht="13" x14ac:dyDescent="0.25">
      <c r="A346" s="694"/>
      <c r="B346" s="698"/>
      <c r="C346" s="698"/>
      <c r="D346" s="300"/>
      <c r="E346" s="461"/>
      <c r="F346" s="742"/>
      <c r="G346" s="527" t="str">
        <f>EUconst_Unit</f>
        <v>Единица мярка</v>
      </c>
      <c r="H346" s="387">
        <f t="shared" ref="H346:N346" si="81">H$490</f>
        <v>2024</v>
      </c>
      <c r="I346" s="1544">
        <f t="shared" si="81"/>
        <v>2025</v>
      </c>
      <c r="J346" s="1523">
        <f t="shared" si="81"/>
        <v>2026</v>
      </c>
      <c r="K346" s="387">
        <f t="shared" si="81"/>
        <v>2027</v>
      </c>
      <c r="L346" s="387">
        <f t="shared" si="81"/>
        <v>2028</v>
      </c>
      <c r="M346" s="387">
        <f t="shared" si="81"/>
        <v>2029</v>
      </c>
      <c r="N346" s="1522">
        <f t="shared" si="81"/>
        <v>2030</v>
      </c>
      <c r="O346" s="336"/>
      <c r="P346" s="302"/>
      <c r="Q346" s="694"/>
      <c r="R346" s="694"/>
      <c r="S346" s="694"/>
      <c r="T346" s="770"/>
      <c r="U346" s="770"/>
      <c r="V346" s="694"/>
      <c r="W346" s="694"/>
      <c r="X346" s="694"/>
      <c r="Y346" s="770"/>
      <c r="Z346" s="770"/>
      <c r="AA346" s="770"/>
      <c r="AB346" s="770"/>
      <c r="AC346" s="1542"/>
      <c r="AD346" s="770"/>
      <c r="AE346" s="770"/>
      <c r="AF346" s="770"/>
      <c r="AG346" s="770"/>
      <c r="AH346" s="770"/>
      <c r="AI346" s="1543"/>
      <c r="AJ346" s="770"/>
      <c r="AK346" s="770"/>
      <c r="AL346" s="770"/>
    </row>
    <row r="347" spans="1:38" ht="13" customHeight="1" x14ac:dyDescent="0.25">
      <c r="A347" s="694"/>
      <c r="B347" s="698"/>
      <c r="C347" s="698"/>
      <c r="D347" s="360" t="s">
        <v>6</v>
      </c>
      <c r="E347" s="2667" t="str">
        <f>Translations!$B$825</f>
        <v>Обемна част на водород</v>
      </c>
      <c r="F347" s="2258"/>
      <c r="G347" s="1574" t="s">
        <v>1052</v>
      </c>
      <c r="H347" s="6"/>
      <c r="I347" s="248"/>
      <c r="J347" s="249"/>
      <c r="K347" s="6"/>
      <c r="L347" s="6"/>
      <c r="M347" s="6"/>
      <c r="N347" s="75"/>
      <c r="O347" s="336"/>
      <c r="P347" s="158"/>
      <c r="Q347" s="694"/>
      <c r="R347" s="694"/>
      <c r="S347" s="694"/>
      <c r="T347" s="770"/>
      <c r="U347" s="770"/>
      <c r="V347" s="694"/>
      <c r="W347" s="694"/>
      <c r="X347" s="694"/>
      <c r="Y347" s="770"/>
      <c r="Z347" s="770"/>
      <c r="AA347" s="770"/>
      <c r="AB347" s="770"/>
      <c r="AC347" s="1530" t="b">
        <f>AC341</f>
        <v>0</v>
      </c>
      <c r="AD347" s="1500" t="b">
        <f t="shared" ref="AD347:AI347" si="82">AD341</f>
        <v>0</v>
      </c>
      <c r="AE347" s="1500" t="b">
        <f t="shared" si="82"/>
        <v>0</v>
      </c>
      <c r="AF347" s="1500" t="b">
        <f t="shared" si="82"/>
        <v>0</v>
      </c>
      <c r="AG347" s="1500" t="b">
        <f t="shared" si="82"/>
        <v>0</v>
      </c>
      <c r="AH347" s="1500" t="b">
        <f t="shared" si="82"/>
        <v>0</v>
      </c>
      <c r="AI347" s="1531" t="b">
        <f t="shared" si="82"/>
        <v>0</v>
      </c>
      <c r="AJ347" s="770"/>
      <c r="AK347" s="770"/>
      <c r="AL347" s="770"/>
    </row>
    <row r="348" spans="1:38" s="364" customFormat="1" x14ac:dyDescent="0.25">
      <c r="A348" s="729"/>
      <c r="B348" s="302"/>
      <c r="C348" s="302"/>
      <c r="D348" s="360" t="s">
        <v>7</v>
      </c>
      <c r="E348" s="2687" t="str">
        <f>Translations!$B$1409</f>
        <v>Обемна част на CO</v>
      </c>
      <c r="F348" s="2258"/>
      <c r="G348" s="424" t="s">
        <v>1052</v>
      </c>
      <c r="H348" s="210"/>
      <c r="I348" s="250"/>
      <c r="J348" s="251"/>
      <c r="K348" s="210"/>
      <c r="L348" s="210"/>
      <c r="M348" s="210"/>
      <c r="N348" s="211"/>
      <c r="O348" s="336"/>
      <c r="P348" s="158"/>
      <c r="Q348" s="729"/>
      <c r="R348" s="729"/>
      <c r="S348" s="729"/>
      <c r="T348" s="729"/>
      <c r="U348" s="729"/>
      <c r="V348" s="729"/>
      <c r="W348" s="729"/>
      <c r="X348" s="729"/>
      <c r="Y348" s="729"/>
      <c r="Z348" s="729"/>
      <c r="AA348" s="729"/>
      <c r="AB348" s="729"/>
      <c r="AC348" s="1575" t="b">
        <f>AC347</f>
        <v>0</v>
      </c>
      <c r="AD348" s="1190" t="b">
        <f t="shared" ref="AD348:AI348" si="83">AD347</f>
        <v>0</v>
      </c>
      <c r="AE348" s="1190" t="b">
        <f t="shared" si="83"/>
        <v>0</v>
      </c>
      <c r="AF348" s="1190" t="b">
        <f t="shared" si="83"/>
        <v>0</v>
      </c>
      <c r="AG348" s="1190" t="b">
        <f t="shared" si="83"/>
        <v>0</v>
      </c>
      <c r="AH348" s="1190" t="b">
        <f t="shared" si="83"/>
        <v>0</v>
      </c>
      <c r="AI348" s="1576" t="b">
        <f t="shared" si="83"/>
        <v>0</v>
      </c>
      <c r="AJ348" s="729"/>
      <c r="AK348" s="729"/>
      <c r="AL348" s="729"/>
    </row>
    <row r="349" spans="1:38" s="364" customFormat="1" ht="5.15" customHeight="1" x14ac:dyDescent="0.25">
      <c r="A349" s="729"/>
      <c r="B349" s="284"/>
      <c r="C349" s="284"/>
      <c r="D349" s="284"/>
      <c r="E349" s="284"/>
      <c r="F349" s="284"/>
      <c r="G349" s="284"/>
      <c r="H349" s="284"/>
      <c r="I349" s="284"/>
      <c r="J349" s="284"/>
      <c r="K349" s="284"/>
      <c r="L349" s="284"/>
      <c r="M349" s="336"/>
      <c r="N349" s="284"/>
      <c r="O349" s="336"/>
      <c r="P349" s="302"/>
      <c r="Q349" s="729"/>
      <c r="R349" s="729"/>
      <c r="S349" s="729"/>
      <c r="T349" s="729"/>
      <c r="U349" s="729"/>
      <c r="V349" s="729"/>
      <c r="W349" s="729"/>
      <c r="X349" s="729"/>
      <c r="Y349" s="729"/>
      <c r="Z349" s="729"/>
      <c r="AA349" s="729"/>
      <c r="AB349" s="729"/>
      <c r="AC349" s="1231"/>
      <c r="AD349" s="729"/>
      <c r="AE349" s="729"/>
      <c r="AF349" s="729"/>
      <c r="AG349" s="729"/>
      <c r="AH349" s="729"/>
      <c r="AI349" s="1577"/>
      <c r="AJ349" s="729"/>
      <c r="AK349" s="729"/>
      <c r="AL349" s="729"/>
    </row>
    <row r="350" spans="1:38" s="364" customFormat="1" x14ac:dyDescent="0.25">
      <c r="A350" s="729"/>
      <c r="B350" s="302"/>
      <c r="C350" s="302"/>
      <c r="D350" s="360" t="s">
        <v>8</v>
      </c>
      <c r="E350" s="2687" t="str">
        <f>Translations!$B$827</f>
        <v>Водород (като 100 % чист H2)</v>
      </c>
      <c r="F350" s="2258"/>
      <c r="G350" s="421" t="str">
        <f>EUconst_tpa</f>
        <v>t / година</v>
      </c>
      <c r="H350" s="422" t="str">
        <f>IF(AND(ISNUMBER(H$341),ISNUMBER(H347)),H$341*0.08987*H347,"")</f>
        <v/>
      </c>
      <c r="I350" s="1515" t="str">
        <f t="shared" ref="I350:N350" si="84">IF(AND(ISNUMBER(I$341),ISNUMBER(I347)),I$341*0.08987*I347,"")</f>
        <v/>
      </c>
      <c r="J350" s="1578" t="str">
        <f t="shared" si="84"/>
        <v/>
      </c>
      <c r="K350" s="422" t="str">
        <f t="shared" si="84"/>
        <v/>
      </c>
      <c r="L350" s="422" t="str">
        <f t="shared" si="84"/>
        <v/>
      </c>
      <c r="M350" s="422" t="str">
        <f t="shared" si="84"/>
        <v/>
      </c>
      <c r="N350" s="1579" t="str">
        <f t="shared" si="84"/>
        <v/>
      </c>
      <c r="O350" s="336"/>
      <c r="P350" s="302"/>
      <c r="Q350" s="729"/>
      <c r="R350" s="729"/>
      <c r="S350" s="729"/>
      <c r="T350" s="729"/>
      <c r="U350" s="729"/>
      <c r="V350" s="729"/>
      <c r="W350" s="729"/>
      <c r="X350" s="729"/>
      <c r="Y350" s="729"/>
      <c r="Z350" s="729"/>
      <c r="AA350" s="729"/>
      <c r="AB350" s="729"/>
      <c r="AC350" s="1231"/>
      <c r="AD350" s="729"/>
      <c r="AE350" s="729"/>
      <c r="AF350" s="729"/>
      <c r="AG350" s="729"/>
      <c r="AH350" s="729"/>
      <c r="AI350" s="1577"/>
      <c r="AJ350" s="729"/>
      <c r="AK350" s="729"/>
      <c r="AL350" s="729"/>
    </row>
    <row r="351" spans="1:38" s="364" customFormat="1" ht="12.75" customHeight="1" x14ac:dyDescent="0.25">
      <c r="A351" s="729"/>
      <c r="B351" s="302"/>
      <c r="C351" s="302"/>
      <c r="D351" s="360" t="s">
        <v>18</v>
      </c>
      <c r="E351" s="2687" t="str">
        <f>Translations!$B$1410</f>
        <v>Въглероден оксид (като 100 % чист CO)</v>
      </c>
      <c r="F351" s="2258"/>
      <c r="G351" s="421" t="str">
        <f>EUconst_tpa</f>
        <v>t / година</v>
      </c>
      <c r="H351" s="422" t="str">
        <f>IF(AND(ISNUMBER(H$341),ISNUMBER(H348)),H$341*1.2506*H348,"")</f>
        <v/>
      </c>
      <c r="I351" s="1515" t="str">
        <f t="shared" ref="I351:N351" si="85">IF(AND(ISNUMBER(I$341),ISNUMBER(I348)),I$341*1.2506*I348,"")</f>
        <v/>
      </c>
      <c r="J351" s="1578" t="str">
        <f t="shared" si="85"/>
        <v/>
      </c>
      <c r="K351" s="422" t="str">
        <f t="shared" si="85"/>
        <v/>
      </c>
      <c r="L351" s="422" t="str">
        <f t="shared" si="85"/>
        <v/>
      </c>
      <c r="M351" s="422" t="str">
        <f t="shared" si="85"/>
        <v/>
      </c>
      <c r="N351" s="1579" t="str">
        <f t="shared" si="85"/>
        <v/>
      </c>
      <c r="O351" s="336"/>
      <c r="P351" s="302"/>
      <c r="Q351" s="729"/>
      <c r="R351" s="729"/>
      <c r="S351" s="729"/>
      <c r="T351" s="729"/>
      <c r="U351" s="729"/>
      <c r="V351" s="729"/>
      <c r="W351" s="729"/>
      <c r="X351" s="729"/>
      <c r="Y351" s="729"/>
      <c r="Z351" s="729"/>
      <c r="AA351" s="729"/>
      <c r="AB351" s="729"/>
      <c r="AC351" s="1231"/>
      <c r="AD351" s="729"/>
      <c r="AE351" s="729"/>
      <c r="AF351" s="729"/>
      <c r="AG351" s="729"/>
      <c r="AH351" s="729"/>
      <c r="AI351" s="1577"/>
      <c r="AJ351" s="729"/>
      <c r="AK351" s="729"/>
      <c r="AL351" s="729"/>
    </row>
    <row r="352" spans="1:38" s="364" customFormat="1" ht="5.15" customHeight="1" x14ac:dyDescent="0.25">
      <c r="A352" s="729"/>
      <c r="B352" s="284"/>
      <c r="C352" s="284"/>
      <c r="D352" s="284"/>
      <c r="E352" s="284"/>
      <c r="F352" s="284"/>
      <c r="G352" s="284"/>
      <c r="H352" s="284"/>
      <c r="I352" s="284"/>
      <c r="J352" s="284"/>
      <c r="K352" s="284"/>
      <c r="L352" s="284"/>
      <c r="M352" s="336"/>
      <c r="N352" s="336"/>
      <c r="O352" s="336"/>
      <c r="P352" s="302"/>
      <c r="Q352" s="729"/>
      <c r="R352" s="729"/>
      <c r="S352" s="729"/>
      <c r="T352" s="729"/>
      <c r="U352" s="729"/>
      <c r="V352" s="729"/>
      <c r="W352" s="729"/>
      <c r="X352" s="729"/>
      <c r="Y352" s="729"/>
      <c r="Z352" s="729"/>
      <c r="AA352" s="729"/>
      <c r="AB352" s="729"/>
      <c r="AC352" s="1231"/>
      <c r="AD352" s="729"/>
      <c r="AE352" s="729"/>
      <c r="AF352" s="729"/>
      <c r="AG352" s="729"/>
      <c r="AH352" s="729"/>
      <c r="AI352" s="1577"/>
      <c r="AJ352" s="729"/>
      <c r="AK352" s="729"/>
      <c r="AL352" s="729"/>
    </row>
    <row r="353" spans="1:38" s="364" customFormat="1" ht="13" x14ac:dyDescent="0.25">
      <c r="A353" s="729"/>
      <c r="B353" s="302"/>
      <c r="C353" s="302"/>
      <c r="D353" s="300" t="s">
        <v>906</v>
      </c>
      <c r="E353" s="2226" t="str">
        <f>Translations!$B$1411</f>
        <v>Емисии, които могат да бъдат приписани</v>
      </c>
      <c r="F353" s="2249"/>
      <c r="G353" s="2249"/>
      <c r="H353" s="2249"/>
      <c r="I353" s="2249"/>
      <c r="J353" s="2249"/>
      <c r="K353" s="2249"/>
      <c r="L353" s="2249"/>
      <c r="M353" s="2249"/>
      <c r="N353" s="2249"/>
      <c r="O353" s="336"/>
      <c r="P353" s="302"/>
      <c r="Q353" s="729"/>
      <c r="R353" s="729"/>
      <c r="S353" s="729"/>
      <c r="T353" s="729"/>
      <c r="U353" s="729"/>
      <c r="V353" s="729"/>
      <c r="W353" s="729"/>
      <c r="X353" s="729"/>
      <c r="Y353" s="729"/>
      <c r="Z353" s="729"/>
      <c r="AA353" s="729"/>
      <c r="AB353" s="729"/>
      <c r="AC353" s="1231"/>
      <c r="AD353" s="729"/>
      <c r="AE353" s="729"/>
      <c r="AF353" s="729"/>
      <c r="AG353" s="729"/>
      <c r="AH353" s="729"/>
      <c r="AI353" s="1577"/>
      <c r="AJ353" s="729"/>
      <c r="AK353" s="729"/>
      <c r="AL353" s="729"/>
    </row>
    <row r="354" spans="1:38" s="364" customFormat="1" ht="38.9" customHeight="1" x14ac:dyDescent="0.25">
      <c r="A354" s="729"/>
      <c r="B354" s="302"/>
      <c r="C354" s="302"/>
      <c r="D354" s="302"/>
      <c r="E354" s="2358" t="str">
        <f>Translations!$B$1412</f>
        <v>Моля, въведете тук действителните преки емисии от производството на водород (т.е. с изключение на емисиите, свързани с топлинната енергия, и преди улавянето на въглерод за използване или съхранение в геоложки обекти, когато е приложимо). За емисиите, произхождащи от биомаса, емисиите се изчисляват като енергийното съдържание на биомасата се умножи по емисионния фактор на природния газ вместо по действителните емисии. Поради това във всички случаи, с изключение на биомасата, стойностите, които се вписват в i., следва да бъдат същите като в раздел Е.ж.</v>
      </c>
      <c r="F354" s="2249"/>
      <c r="G354" s="2249"/>
      <c r="H354" s="2249"/>
      <c r="I354" s="2249"/>
      <c r="J354" s="2249"/>
      <c r="K354" s="2249"/>
      <c r="L354" s="2249"/>
      <c r="M354" s="2249"/>
      <c r="N354" s="2249"/>
      <c r="O354" s="336"/>
      <c r="P354" s="302"/>
      <c r="Q354" s="729"/>
      <c r="R354" s="729"/>
      <c r="S354" s="729"/>
      <c r="T354" s="729"/>
      <c r="U354" s="729"/>
      <c r="V354" s="729"/>
      <c r="W354" s="729"/>
      <c r="X354" s="729"/>
      <c r="Y354" s="729"/>
      <c r="Z354" s="729"/>
      <c r="AA354" s="729"/>
      <c r="AB354" s="729"/>
      <c r="AC354" s="1231"/>
      <c r="AD354" s="729"/>
      <c r="AE354" s="729"/>
      <c r="AF354" s="729"/>
      <c r="AG354" s="729"/>
      <c r="AH354" s="729"/>
      <c r="AI354" s="1577"/>
      <c r="AJ354" s="729"/>
      <c r="AK354" s="729"/>
      <c r="AL354" s="729"/>
    </row>
    <row r="355" spans="1:38" s="364" customFormat="1" ht="25.5" customHeight="1" x14ac:dyDescent="0.25">
      <c r="A355" s="729"/>
      <c r="B355" s="302"/>
      <c r="C355" s="302"/>
      <c r="D355" s="302"/>
      <c r="E355" s="2358" t="str">
        <f>Translations!$B$1413</f>
        <v>Въз основа на точките тук и по-горе теоретичните допълнителни емисии за реакцията на пълно изместване вода-газ (WGS) и свързаното с нея оползотворяване на топлината се изчисляват автоматично въз основа на стехиометричните стойности, посочени в приложение III към ПБР.</v>
      </c>
      <c r="F355" s="2249"/>
      <c r="G355" s="2249"/>
      <c r="H355" s="2249"/>
      <c r="I355" s="2249"/>
      <c r="J355" s="2249"/>
      <c r="K355" s="2249"/>
      <c r="L355" s="2249"/>
      <c r="M355" s="2249"/>
      <c r="N355" s="2249"/>
      <c r="O355" s="336"/>
      <c r="P355" s="302"/>
      <c r="Q355" s="729"/>
      <c r="R355" s="729"/>
      <c r="S355" s="729"/>
      <c r="T355" s="729"/>
      <c r="U355" s="729"/>
      <c r="V355" s="729"/>
      <c r="W355" s="729"/>
      <c r="X355" s="729"/>
      <c r="Y355" s="729"/>
      <c r="Z355" s="729"/>
      <c r="AA355" s="729"/>
      <c r="AB355" s="729"/>
      <c r="AC355" s="1231"/>
      <c r="AD355" s="729"/>
      <c r="AE355" s="729"/>
      <c r="AF355" s="729"/>
      <c r="AG355" s="729"/>
      <c r="AH355" s="729"/>
      <c r="AI355" s="1577"/>
      <c r="AJ355" s="729"/>
      <c r="AK355" s="729"/>
      <c r="AL355" s="729"/>
    </row>
    <row r="356" spans="1:38" s="364" customFormat="1" ht="13" x14ac:dyDescent="0.25">
      <c r="A356" s="729"/>
      <c r="B356" s="302"/>
      <c r="C356" s="302"/>
      <c r="D356" s="302"/>
      <c r="E356" s="461"/>
      <c r="F356" s="498"/>
      <c r="G356" s="527" t="str">
        <f>EUconst_Unit</f>
        <v>Единица мярка</v>
      </c>
      <c r="H356" s="387">
        <f t="shared" ref="H356:N356" si="86">H$490</f>
        <v>2024</v>
      </c>
      <c r="I356" s="1544">
        <f t="shared" si="86"/>
        <v>2025</v>
      </c>
      <c r="J356" s="1523">
        <f t="shared" si="86"/>
        <v>2026</v>
      </c>
      <c r="K356" s="387">
        <f t="shared" si="86"/>
        <v>2027</v>
      </c>
      <c r="L356" s="387">
        <f t="shared" si="86"/>
        <v>2028</v>
      </c>
      <c r="M356" s="387">
        <f t="shared" si="86"/>
        <v>2029</v>
      </c>
      <c r="N356" s="1522">
        <f t="shared" si="86"/>
        <v>2030</v>
      </c>
      <c r="O356" s="336"/>
      <c r="P356" s="302"/>
      <c r="Q356" s="729"/>
      <c r="R356" s="729"/>
      <c r="S356" s="729"/>
      <c r="T356" s="729"/>
      <c r="U356" s="729"/>
      <c r="V356" s="729"/>
      <c r="W356" s="729"/>
      <c r="X356" s="729"/>
      <c r="Y356" s="729"/>
      <c r="Z356" s="729"/>
      <c r="AA356" s="729"/>
      <c r="AB356" s="729"/>
      <c r="AC356" s="1231"/>
      <c r="AD356" s="729"/>
      <c r="AE356" s="729"/>
      <c r="AF356" s="729"/>
      <c r="AG356" s="729"/>
      <c r="AH356" s="729"/>
      <c r="AI356" s="1577"/>
      <c r="AJ356" s="729"/>
      <c r="AK356" s="729"/>
      <c r="AL356" s="729"/>
    </row>
    <row r="357" spans="1:38" s="364" customFormat="1" ht="12.75" customHeight="1" thickBot="1" x14ac:dyDescent="0.3">
      <c r="A357" s="729"/>
      <c r="B357" s="302"/>
      <c r="C357" s="302"/>
      <c r="D357" s="360" t="s">
        <v>6</v>
      </c>
      <c r="E357" s="2687" t="str">
        <f>Translations!$B$1414</f>
        <v>Действителни преки емисии (с изключение на свързаните с топлинната енергия)</v>
      </c>
      <c r="F357" s="2687"/>
      <c r="G357" s="424" t="str">
        <f>EUconst_tCO2e</f>
        <v>t CO2e</v>
      </c>
      <c r="H357" s="50"/>
      <c r="I357" s="252"/>
      <c r="J357" s="253"/>
      <c r="K357" s="50"/>
      <c r="L357" s="50"/>
      <c r="M357" s="50"/>
      <c r="N357" s="212"/>
      <c r="O357" s="336"/>
      <c r="P357" s="158"/>
      <c r="Q357" s="1190" t="str">
        <f>IF(L333=EUconst_Relevant,EUconst_CNTR_Emissions&amp;INDEX(EUconst_BMlistNames,MATCH(R333,EUconst_BMlistNumberOfBM,0)),"")</f>
        <v/>
      </c>
      <c r="R357" s="729"/>
      <c r="S357" s="729"/>
      <c r="T357" s="729"/>
      <c r="U357" s="729"/>
      <c r="V357" s="729"/>
      <c r="W357" s="729"/>
      <c r="X357" s="729"/>
      <c r="Y357" s="729"/>
      <c r="Z357" s="729"/>
      <c r="AA357" s="729"/>
      <c r="AB357" s="729"/>
      <c r="AC357" s="1580" t="b">
        <f>AC348</f>
        <v>0</v>
      </c>
      <c r="AD357" s="1255" t="b">
        <f t="shared" ref="AD357:AI357" si="87">AD348</f>
        <v>0</v>
      </c>
      <c r="AE357" s="1255" t="b">
        <f t="shared" si="87"/>
        <v>0</v>
      </c>
      <c r="AF357" s="1255" t="b">
        <f t="shared" si="87"/>
        <v>0</v>
      </c>
      <c r="AG357" s="1255" t="b">
        <f t="shared" si="87"/>
        <v>0</v>
      </c>
      <c r="AH357" s="1255" t="b">
        <f t="shared" si="87"/>
        <v>0</v>
      </c>
      <c r="AI357" s="1256" t="b">
        <f t="shared" si="87"/>
        <v>0</v>
      </c>
      <c r="AJ357" s="729"/>
      <c r="AK357" s="729"/>
      <c r="AL357" s="729"/>
    </row>
    <row r="358" spans="1:38" s="364" customFormat="1" x14ac:dyDescent="0.25">
      <c r="A358" s="729"/>
      <c r="B358" s="302"/>
      <c r="C358" s="302"/>
      <c r="D358" s="360" t="s">
        <v>7</v>
      </c>
      <c r="E358" s="2687" t="str">
        <f>Translations!$B$1415</f>
        <v>Действителен нетен износ на топлинна енергия</v>
      </c>
      <c r="F358" s="2258"/>
      <c r="G358" s="424" t="str">
        <f>EUconst_TJpa</f>
        <v>TJ / година</v>
      </c>
      <c r="H358" s="422" t="str">
        <f>IF(AND($L$333=EUconst_Relevant,H$341&lt;&gt;""),SUMIFS(F_ProductBM!H:H,F_ProductBM!$Q:$Q,$Q358),"")</f>
        <v/>
      </c>
      <c r="I358" s="1515" t="str">
        <f>IF(AND($L$333=EUconst_Relevant,I$341&lt;&gt;""),SUMIFS(F_ProductBM!I:I,F_ProductBM!$Q:$Q,$Q358),"")</f>
        <v/>
      </c>
      <c r="J358" s="1578" t="str">
        <f>IF(AND($L$333=EUconst_Relevant,J$341&lt;&gt;""),SUMIFS(F_ProductBM!J:J,F_ProductBM!$Q:$Q,$Q358),"")</f>
        <v/>
      </c>
      <c r="K358" s="422" t="str">
        <f>IF(AND($L$333=EUconst_Relevant,K$341&lt;&gt;""),SUMIFS(F_ProductBM!K:K,F_ProductBM!$Q:$Q,$Q358),"")</f>
        <v/>
      </c>
      <c r="L358" s="422" t="str">
        <f>IF(AND($L$333=EUconst_Relevant,L$341&lt;&gt;""),SUMIFS(F_ProductBM!L:L,F_ProductBM!$Q:$Q,$Q358),"")</f>
        <v/>
      </c>
      <c r="M358" s="422" t="str">
        <f>IF(AND($L$333=EUconst_Relevant,M$341&lt;&gt;""),SUMIFS(F_ProductBM!M:M,F_ProductBM!$Q:$Q,$Q358),"")</f>
        <v/>
      </c>
      <c r="N358" s="1579" t="str">
        <f>IF(AND($L$333=EUconst_Relevant,N$341&lt;&gt;""),SUMIFS(F_ProductBM!N:N,F_ProductBM!$Q:$Q,$Q358),"")</f>
        <v/>
      </c>
      <c r="O358" s="336"/>
      <c r="P358" s="302"/>
      <c r="Q358" s="1190" t="str">
        <f>IF(L333=EUconst_Relevant,EUconst_CNTR_HeatExport&amp;INDEX(EUconst_BMlistNames,MATCH(R333,EUconst_BMlistNumberOfBM,0)),"")</f>
        <v/>
      </c>
      <c r="R358" s="729"/>
      <c r="S358" s="729"/>
      <c r="T358" s="729"/>
      <c r="U358" s="729"/>
      <c r="V358" s="729"/>
      <c r="W358" s="729"/>
      <c r="X358" s="729"/>
      <c r="Y358" s="729"/>
      <c r="Z358" s="729"/>
      <c r="AA358" s="729"/>
      <c r="AB358" s="729"/>
      <c r="AC358" s="729"/>
      <c r="AD358" s="729"/>
      <c r="AE358" s="729"/>
      <c r="AF358" s="729"/>
      <c r="AG358" s="729"/>
      <c r="AH358" s="729"/>
      <c r="AI358" s="729"/>
      <c r="AJ358" s="729"/>
      <c r="AK358" s="729"/>
      <c r="AL358" s="729"/>
    </row>
    <row r="359" spans="1:38" s="364" customFormat="1" x14ac:dyDescent="0.25">
      <c r="A359" s="729"/>
      <c r="B359" s="302"/>
      <c r="C359" s="302"/>
      <c r="D359" s="360" t="s">
        <v>8</v>
      </c>
      <c r="E359" s="2687" t="str">
        <f>Translations!$B$1416</f>
        <v>Емисии от действителното подаване на топлинна енергия</v>
      </c>
      <c r="F359" s="2258"/>
      <c r="G359" s="424" t="str">
        <f>EUconst_tCO2e</f>
        <v>t CO2e</v>
      </c>
      <c r="H359" s="422" t="str">
        <f t="shared" ref="H359:N359" si="88">IF(H358="","",-H358*EUconst_HeatBMvalue)</f>
        <v/>
      </c>
      <c r="I359" s="1515" t="str">
        <f t="shared" si="88"/>
        <v/>
      </c>
      <c r="J359" s="1578" t="str">
        <f t="shared" si="88"/>
        <v/>
      </c>
      <c r="K359" s="422" t="str">
        <f t="shared" si="88"/>
        <v/>
      </c>
      <c r="L359" s="422" t="str">
        <f t="shared" si="88"/>
        <v/>
      </c>
      <c r="M359" s="422" t="str">
        <f t="shared" si="88"/>
        <v/>
      </c>
      <c r="N359" s="1579" t="str">
        <f t="shared" si="88"/>
        <v/>
      </c>
      <c r="O359" s="336"/>
      <c r="P359" s="302"/>
      <c r="Q359" s="729"/>
      <c r="R359" s="729"/>
      <c r="S359" s="729"/>
      <c r="T359" s="729"/>
      <c r="U359" s="729"/>
      <c r="V359" s="729"/>
      <c r="W359" s="729"/>
      <c r="X359" s="729"/>
      <c r="Y359" s="729"/>
      <c r="Z359" s="729"/>
      <c r="AA359" s="729"/>
      <c r="AB359" s="729"/>
      <c r="AC359" s="729"/>
      <c r="AD359" s="729"/>
      <c r="AE359" s="729"/>
      <c r="AF359" s="729"/>
      <c r="AG359" s="729"/>
      <c r="AH359" s="729"/>
      <c r="AI359" s="729"/>
      <c r="AJ359" s="729"/>
      <c r="AK359" s="729"/>
      <c r="AL359" s="729"/>
    </row>
    <row r="360" spans="1:38" s="364" customFormat="1" ht="12.75" customHeight="1" x14ac:dyDescent="0.25">
      <c r="A360" s="729"/>
      <c r="B360" s="302"/>
      <c r="C360" s="302"/>
      <c r="D360" s="360" t="s">
        <v>18</v>
      </c>
      <c r="E360" s="2687" t="str">
        <f>Translations!$B$1417</f>
        <v>Общо емисии, които могат да бъдат приписани (= i.+iii.)</v>
      </c>
      <c r="F360" s="2258"/>
      <c r="G360" s="424" t="str">
        <f>EUconst_tCO2e</f>
        <v>t CO2e</v>
      </c>
      <c r="H360" s="422" t="str">
        <f t="shared" ref="H360:N360" si="89">IF(COUNT(H357:H358)&gt;0,SUM(H357,H359),"")</f>
        <v/>
      </c>
      <c r="I360" s="1515" t="str">
        <f>IF(COUNT(I357:I358)&gt;0,SUM(I357,I359),"")</f>
        <v/>
      </c>
      <c r="J360" s="1578" t="str">
        <f t="shared" si="89"/>
        <v/>
      </c>
      <c r="K360" s="422" t="str">
        <f t="shared" si="89"/>
        <v/>
      </c>
      <c r="L360" s="422" t="str">
        <f t="shared" si="89"/>
        <v/>
      </c>
      <c r="M360" s="422" t="str">
        <f t="shared" si="89"/>
        <v/>
      </c>
      <c r="N360" s="1579" t="str">
        <f t="shared" si="89"/>
        <v/>
      </c>
      <c r="O360" s="336"/>
      <c r="P360" s="302"/>
      <c r="Q360" s="729"/>
      <c r="R360" s="729"/>
      <c r="S360" s="729"/>
      <c r="T360" s="729"/>
      <c r="U360" s="729"/>
      <c r="V360" s="729"/>
      <c r="W360" s="729"/>
      <c r="X360" s="729"/>
      <c r="Y360" s="729"/>
      <c r="Z360" s="729"/>
      <c r="AA360" s="729"/>
      <c r="AB360" s="729"/>
      <c r="AC360" s="729"/>
      <c r="AD360" s="729"/>
      <c r="AE360" s="729"/>
      <c r="AF360" s="729"/>
      <c r="AG360" s="729"/>
      <c r="AH360" s="729"/>
      <c r="AI360" s="729"/>
      <c r="AJ360" s="729"/>
      <c r="AK360" s="729"/>
      <c r="AL360" s="729"/>
    </row>
    <row r="361" spans="1:38" s="364" customFormat="1" ht="12.75" customHeight="1" x14ac:dyDescent="0.25">
      <c r="A361" s="729"/>
      <c r="B361" s="302"/>
      <c r="C361" s="302"/>
      <c r="D361" s="360" t="s">
        <v>810</v>
      </c>
      <c r="E361" s="2687" t="str">
        <f>Translations!$B$1418</f>
        <v>Теоретични емисии при експортиране на топлина от WGS</v>
      </c>
      <c r="F361" s="2258"/>
      <c r="G361" s="424" t="str">
        <f>EUconst_tCO2e</f>
        <v>t CO2e</v>
      </c>
      <c r="H361" s="422" t="str">
        <f t="shared" ref="H361:N361" si="90">IF(H351="","",-H351*0.071967*0.020439*EUconst_HeatBMvalue*99.5%)</f>
        <v/>
      </c>
      <c r="I361" s="1515" t="str">
        <f t="shared" si="90"/>
        <v/>
      </c>
      <c r="J361" s="1578" t="str">
        <f t="shared" si="90"/>
        <v/>
      </c>
      <c r="K361" s="422" t="str">
        <f t="shared" si="90"/>
        <v/>
      </c>
      <c r="L361" s="422" t="str">
        <f t="shared" si="90"/>
        <v/>
      </c>
      <c r="M361" s="422" t="str">
        <f t="shared" si="90"/>
        <v/>
      </c>
      <c r="N361" s="1579" t="str">
        <f t="shared" si="90"/>
        <v/>
      </c>
      <c r="O361" s="336"/>
      <c r="P361" s="302"/>
      <c r="Q361" s="729"/>
      <c r="R361" s="729"/>
      <c r="S361" s="729"/>
      <c r="T361" s="729"/>
      <c r="U361" s="729"/>
      <c r="V361" s="729"/>
      <c r="W361" s="729"/>
      <c r="X361" s="729"/>
      <c r="Y361" s="729"/>
      <c r="Z361" s="729"/>
      <c r="AA361" s="729"/>
      <c r="AB361" s="729"/>
      <c r="AC361" s="729"/>
      <c r="AD361" s="729"/>
      <c r="AE361" s="729"/>
      <c r="AF361" s="729"/>
      <c r="AG361" s="729"/>
      <c r="AH361" s="729"/>
      <c r="AI361" s="729"/>
      <c r="AJ361" s="729"/>
      <c r="AK361" s="729"/>
      <c r="AL361" s="729"/>
    </row>
    <row r="362" spans="1:38" s="364" customFormat="1" ht="12.75" customHeight="1" x14ac:dyDescent="0.25">
      <c r="A362" s="729"/>
      <c r="B362" s="302"/>
      <c r="C362" s="302"/>
      <c r="D362" s="360" t="s">
        <v>811</v>
      </c>
      <c r="E362" s="2687" t="str">
        <f>Translations!$B$1419</f>
        <v>Теоретични допълнителни емисии за WGS</v>
      </c>
      <c r="F362" s="2258"/>
      <c r="G362" s="424" t="str">
        <f>EUconst_tCO2e</f>
        <v>t CO2e</v>
      </c>
      <c r="H362" s="422" t="str">
        <f>IF(H341="","",SUM(H351)*44.01/28.01)</f>
        <v/>
      </c>
      <c r="I362" s="1515" t="str">
        <f t="shared" ref="I362:N362" si="91">IF(I341="","",SUM(I351)*44.01/28.01)</f>
        <v/>
      </c>
      <c r="J362" s="1578" t="str">
        <f t="shared" si="91"/>
        <v/>
      </c>
      <c r="K362" s="422" t="str">
        <f t="shared" si="91"/>
        <v/>
      </c>
      <c r="L362" s="422" t="str">
        <f t="shared" si="91"/>
        <v/>
      </c>
      <c r="M362" s="422" t="str">
        <f t="shared" si="91"/>
        <v/>
      </c>
      <c r="N362" s="1579" t="str">
        <f t="shared" si="91"/>
        <v/>
      </c>
      <c r="O362" s="336"/>
      <c r="P362" s="302"/>
      <c r="Q362" s="729"/>
      <c r="R362" s="729"/>
      <c r="S362" s="729"/>
      <c r="T362" s="729"/>
      <c r="U362" s="729"/>
      <c r="V362" s="729"/>
      <c r="W362" s="729"/>
      <c r="X362" s="729"/>
      <c r="Y362" s="729"/>
      <c r="Z362" s="729"/>
      <c r="AA362" s="729"/>
      <c r="AB362" s="729"/>
      <c r="AC362" s="729"/>
      <c r="AD362" s="729"/>
      <c r="AE362" s="729"/>
      <c r="AF362" s="729"/>
      <c r="AG362" s="729"/>
      <c r="AH362" s="729"/>
      <c r="AI362" s="729"/>
      <c r="AJ362" s="729"/>
      <c r="AK362" s="729"/>
      <c r="AL362" s="729"/>
    </row>
    <row r="363" spans="1:38" s="364" customFormat="1" ht="12.75" customHeight="1" x14ac:dyDescent="0.25">
      <c r="A363" s="729"/>
      <c r="B363" s="302"/>
      <c r="C363" s="302"/>
      <c r="D363" s="360" t="s">
        <v>812</v>
      </c>
      <c r="E363" s="2687" t="str">
        <f>Translations!$B$1420</f>
        <v>Теоретични допълнителни емисии (= v.+vi.)</v>
      </c>
      <c r="F363" s="2258"/>
      <c r="G363" s="424" t="str">
        <f>EUconst_tCO2e</f>
        <v>t CO2e</v>
      </c>
      <c r="H363" s="422" t="str">
        <f>IF(H341="","",SUM(H361:H362))</f>
        <v/>
      </c>
      <c r="I363" s="1515" t="str">
        <f t="shared" ref="I363:N363" si="92">IF(I341="","",SUM(I361:I362))</f>
        <v/>
      </c>
      <c r="J363" s="1578" t="str">
        <f t="shared" si="92"/>
        <v/>
      </c>
      <c r="K363" s="422" t="str">
        <f t="shared" si="92"/>
        <v/>
      </c>
      <c r="L363" s="422" t="str">
        <f t="shared" si="92"/>
        <v/>
      </c>
      <c r="M363" s="422" t="str">
        <f t="shared" si="92"/>
        <v/>
      </c>
      <c r="N363" s="1579" t="str">
        <f t="shared" si="92"/>
        <v/>
      </c>
      <c r="O363" s="336"/>
      <c r="P363" s="302"/>
      <c r="Q363" s="1190" t="str">
        <f>IF(L333=EUconst_Relevant,EUconst_CNTR_H2AdditionalEmissions,"")</f>
        <v/>
      </c>
      <c r="R363" s="729"/>
      <c r="S363" s="729"/>
      <c r="T363" s="729"/>
      <c r="U363" s="729"/>
      <c r="V363" s="729"/>
      <c r="W363" s="729"/>
      <c r="X363" s="729"/>
      <c r="Y363" s="729"/>
      <c r="Z363" s="729"/>
      <c r="AA363" s="729"/>
      <c r="AB363" s="729"/>
      <c r="AC363" s="729"/>
      <c r="AD363" s="729"/>
      <c r="AE363" s="729"/>
      <c r="AF363" s="729"/>
      <c r="AG363" s="729"/>
      <c r="AH363" s="729"/>
      <c r="AI363" s="729"/>
      <c r="AJ363" s="729"/>
      <c r="AK363" s="729"/>
      <c r="AL363" s="729"/>
    </row>
    <row r="364" spans="1:38" ht="5.15" customHeight="1" x14ac:dyDescent="0.25">
      <c r="A364" s="694"/>
      <c r="B364" s="284"/>
      <c r="C364" s="284"/>
      <c r="D364" s="284"/>
      <c r="E364" s="284"/>
      <c r="F364" s="284"/>
      <c r="G364" s="284"/>
      <c r="H364" s="284"/>
      <c r="I364" s="284"/>
      <c r="J364" s="284"/>
      <c r="K364" s="284"/>
      <c r="L364" s="284"/>
      <c r="M364" s="284"/>
      <c r="N364" s="336"/>
      <c r="O364" s="336"/>
      <c r="P364" s="302"/>
      <c r="Q364" s="729"/>
      <c r="R364" s="694"/>
      <c r="S364" s="694"/>
      <c r="T364" s="694"/>
      <c r="U364" s="694"/>
      <c r="V364" s="694"/>
      <c r="W364" s="694"/>
      <c r="X364" s="729"/>
      <c r="Y364" s="729"/>
      <c r="Z364" s="729"/>
      <c r="AA364" s="729"/>
      <c r="AB364" s="729"/>
      <c r="AC364" s="729"/>
      <c r="AD364" s="729"/>
      <c r="AE364" s="729"/>
      <c r="AF364" s="729"/>
      <c r="AG364" s="729"/>
      <c r="AH364" s="729"/>
      <c r="AI364" s="729"/>
      <c r="AJ364" s="729"/>
      <c r="AK364" s="729"/>
      <c r="AL364" s="729"/>
    </row>
    <row r="365" spans="1:38" ht="13" customHeight="1" x14ac:dyDescent="0.25">
      <c r="A365" s="694"/>
      <c r="B365" s="284"/>
      <c r="C365" s="284"/>
      <c r="D365" s="300" t="s">
        <v>906</v>
      </c>
      <c r="E365" s="2463" t="str">
        <f>Translations!$B$1427</f>
        <v>Резултат: Нива на активност за водород, коригирани за пълно изместване вода-газ, когато е приложимо</v>
      </c>
      <c r="F365" s="2240"/>
      <c r="G365" s="2240"/>
      <c r="H365" s="2240"/>
      <c r="I365" s="2240"/>
      <c r="J365" s="2240"/>
      <c r="K365" s="2240"/>
      <c r="L365" s="2240"/>
      <c r="M365" s="2240"/>
      <c r="N365" s="2240"/>
      <c r="O365" s="336"/>
      <c r="P365" s="302"/>
      <c r="Q365" s="729"/>
      <c r="R365" s="694"/>
      <c r="S365" s="694"/>
      <c r="T365" s="694"/>
      <c r="U365" s="694"/>
      <c r="V365" s="694"/>
      <c r="W365" s="694"/>
      <c r="X365" s="729"/>
      <c r="Y365" s="729"/>
      <c r="Z365" s="729"/>
      <c r="AA365" s="729"/>
      <c r="AB365" s="729"/>
      <c r="AC365" s="729"/>
      <c r="AD365" s="729"/>
      <c r="AE365" s="729"/>
      <c r="AF365" s="729"/>
      <c r="AG365" s="729"/>
      <c r="AH365" s="729"/>
      <c r="AI365" s="729"/>
      <c r="AJ365" s="729"/>
      <c r="AK365" s="729"/>
      <c r="AL365" s="729"/>
    </row>
    <row r="366" spans="1:38" ht="13" customHeight="1" x14ac:dyDescent="0.25">
      <c r="A366" s="694"/>
      <c r="B366" s="284"/>
      <c r="C366" s="284"/>
      <c r="D366" s="302"/>
      <c r="E366" s="2293" t="str">
        <f>Translations!$B$673</f>
        <v>Резултатът от този инструмент се копира автоматично в работен лист „F_ProductBM“, ред „a).ii“ за съответната подинсталация.</v>
      </c>
      <c r="F366" s="2240"/>
      <c r="G366" s="2240"/>
      <c r="H366" s="2240"/>
      <c r="I366" s="2240"/>
      <c r="J366" s="2240"/>
      <c r="K366" s="2240"/>
      <c r="L366" s="2240"/>
      <c r="M366" s="2240"/>
      <c r="N366" s="2240"/>
      <c r="O366" s="336"/>
      <c r="P366" s="302"/>
      <c r="Q366" s="729"/>
      <c r="R366" s="694"/>
      <c r="S366" s="694"/>
      <c r="T366" s="694"/>
      <c r="U366" s="694"/>
      <c r="V366" s="694"/>
      <c r="W366" s="694"/>
      <c r="X366" s="729"/>
      <c r="Y366" s="729"/>
      <c r="Z366" s="729"/>
      <c r="AA366" s="729"/>
      <c r="AB366" s="729"/>
      <c r="AC366" s="729"/>
      <c r="AD366" s="729"/>
      <c r="AE366" s="729"/>
      <c r="AF366" s="729"/>
      <c r="AG366" s="729"/>
      <c r="AH366" s="729"/>
      <c r="AI366" s="729"/>
      <c r="AJ366" s="729"/>
      <c r="AK366" s="729"/>
      <c r="AL366" s="729"/>
    </row>
    <row r="367" spans="1:38" ht="13" x14ac:dyDescent="0.25">
      <c r="A367" s="694"/>
      <c r="B367" s="698"/>
      <c r="C367" s="698"/>
      <c r="D367" s="300"/>
      <c r="E367" s="742"/>
      <c r="F367" s="742"/>
      <c r="G367" s="527" t="str">
        <f>EUconst_Unit</f>
        <v>Единица мярка</v>
      </c>
      <c r="H367" s="387">
        <f t="shared" ref="H367:N367" si="93">H$490</f>
        <v>2024</v>
      </c>
      <c r="I367" s="1544">
        <f t="shared" si="93"/>
        <v>2025</v>
      </c>
      <c r="J367" s="1523">
        <f t="shared" si="93"/>
        <v>2026</v>
      </c>
      <c r="K367" s="387">
        <f t="shared" si="93"/>
        <v>2027</v>
      </c>
      <c r="L367" s="387">
        <f t="shared" si="93"/>
        <v>2028</v>
      </c>
      <c r="M367" s="387">
        <f t="shared" si="93"/>
        <v>2029</v>
      </c>
      <c r="N367" s="1522">
        <f t="shared" si="93"/>
        <v>2030</v>
      </c>
      <c r="O367" s="336"/>
      <c r="P367" s="302"/>
      <c r="Q367" s="729"/>
      <c r="R367" s="694"/>
      <c r="S367" s="694"/>
      <c r="T367" s="694"/>
      <c r="U367" s="694"/>
      <c r="V367" s="694"/>
      <c r="W367" s="694"/>
      <c r="X367" s="729"/>
      <c r="Y367" s="729"/>
      <c r="Z367" s="729"/>
      <c r="AA367" s="729"/>
      <c r="AB367" s="729"/>
      <c r="AC367" s="729"/>
      <c r="AD367" s="729"/>
      <c r="AE367" s="729"/>
      <c r="AF367" s="729"/>
      <c r="AG367" s="729"/>
      <c r="AH367" s="729"/>
      <c r="AI367" s="729"/>
      <c r="AJ367" s="729"/>
      <c r="AK367" s="729"/>
      <c r="AL367" s="729"/>
    </row>
    <row r="368" spans="1:38" s="364" customFormat="1" x14ac:dyDescent="0.25">
      <c r="A368" s="729"/>
      <c r="B368" s="302"/>
      <c r="C368" s="302"/>
      <c r="D368" s="360" t="s">
        <v>6</v>
      </c>
      <c r="E368" s="2687" t="str">
        <f>Translations!$B$1421</f>
        <v>HAL H2, действителен</v>
      </c>
      <c r="F368" s="2687"/>
      <c r="G368" s="421" t="str">
        <f>EUconst_tpa</f>
        <v>t / година</v>
      </c>
      <c r="H368" s="422" t="str">
        <f t="shared" ref="H368:N368" si="94">H350</f>
        <v/>
      </c>
      <c r="I368" s="1515" t="str">
        <f t="shared" si="94"/>
        <v/>
      </c>
      <c r="J368" s="1578" t="str">
        <f t="shared" si="94"/>
        <v/>
      </c>
      <c r="K368" s="422" t="str">
        <f t="shared" si="94"/>
        <v/>
      </c>
      <c r="L368" s="422" t="str">
        <f t="shared" si="94"/>
        <v/>
      </c>
      <c r="M368" s="422" t="str">
        <f t="shared" si="94"/>
        <v/>
      </c>
      <c r="N368" s="1579" t="str">
        <f t="shared" si="94"/>
        <v/>
      </c>
      <c r="O368" s="336"/>
      <c r="P368" s="302"/>
      <c r="Q368" s="729"/>
      <c r="R368" s="729"/>
      <c r="S368" s="729"/>
      <c r="T368" s="729"/>
      <c r="U368" s="729"/>
      <c r="V368" s="729"/>
      <c r="W368" s="729"/>
      <c r="X368" s="729"/>
      <c r="Y368" s="729"/>
      <c r="Z368" s="729"/>
      <c r="AA368" s="729"/>
      <c r="AB368" s="729"/>
      <c r="AC368" s="729"/>
      <c r="AD368" s="729"/>
      <c r="AE368" s="729"/>
      <c r="AF368" s="729"/>
      <c r="AG368" s="729"/>
      <c r="AH368" s="729"/>
      <c r="AI368" s="729"/>
      <c r="AJ368" s="729"/>
      <c r="AK368" s="729"/>
      <c r="AL368" s="729"/>
    </row>
    <row r="369" spans="1:38" s="364" customFormat="1" x14ac:dyDescent="0.25">
      <c r="A369" s="729"/>
      <c r="B369" s="302"/>
      <c r="C369" s="302"/>
      <c r="D369" s="360" t="s">
        <v>7</v>
      </c>
      <c r="E369" s="2687" t="str">
        <f>Translations!$B$1422</f>
        <v>HAL H2, WGS</v>
      </c>
      <c r="F369" s="2258"/>
      <c r="G369" s="421" t="str">
        <f>EUconst_tpa</f>
        <v>t / година</v>
      </c>
      <c r="H369" s="422" t="str">
        <f t="shared" ref="H369:N369" si="95">IF(H351="","",H351*0.071967)</f>
        <v/>
      </c>
      <c r="I369" s="1515" t="str">
        <f t="shared" si="95"/>
        <v/>
      </c>
      <c r="J369" s="1578" t="str">
        <f t="shared" si="95"/>
        <v/>
      </c>
      <c r="K369" s="422" t="str">
        <f t="shared" si="95"/>
        <v/>
      </c>
      <c r="L369" s="422" t="str">
        <f t="shared" si="95"/>
        <v/>
      </c>
      <c r="M369" s="422" t="str">
        <f t="shared" si="95"/>
        <v/>
      </c>
      <c r="N369" s="1579" t="str">
        <f t="shared" si="95"/>
        <v/>
      </c>
      <c r="O369" s="336"/>
      <c r="P369" s="302"/>
      <c r="Q369" s="729"/>
      <c r="R369" s="729"/>
      <c r="S369" s="729"/>
      <c r="T369" s="729"/>
      <c r="U369" s="729"/>
      <c r="V369" s="729"/>
      <c r="W369" s="729"/>
      <c r="X369" s="729"/>
      <c r="Y369" s="729"/>
      <c r="Z369" s="729"/>
      <c r="AA369" s="729"/>
      <c r="AB369" s="729"/>
      <c r="AC369" s="729"/>
      <c r="AD369" s="729"/>
      <c r="AE369" s="729"/>
      <c r="AF369" s="729"/>
      <c r="AG369" s="729"/>
      <c r="AH369" s="729"/>
      <c r="AI369" s="729"/>
      <c r="AJ369" s="729"/>
      <c r="AK369" s="729"/>
      <c r="AL369" s="729"/>
    </row>
    <row r="370" spans="1:38" s="364" customFormat="1" ht="13.5" customHeight="1" x14ac:dyDescent="0.25">
      <c r="A370" s="729"/>
      <c r="B370" s="302"/>
      <c r="C370" s="302"/>
      <c r="D370" s="360" t="s">
        <v>8</v>
      </c>
      <c r="E370" s="2687" t="str">
        <f>Translations!$B$1423</f>
        <v>Общо H2 (= i.+ii.)</v>
      </c>
      <c r="F370" s="2258"/>
      <c r="G370" s="421" t="str">
        <f>EUconst_tpa</f>
        <v>t / година</v>
      </c>
      <c r="H370" s="422" t="str">
        <f t="shared" ref="H370:N370" si="96">IF(COUNT(H368:H369)&gt;0,SUM(H368:H369),"")</f>
        <v/>
      </c>
      <c r="I370" s="1515" t="str">
        <f t="shared" si="96"/>
        <v/>
      </c>
      <c r="J370" s="1578" t="str">
        <f t="shared" si="96"/>
        <v/>
      </c>
      <c r="K370" s="422" t="str">
        <f t="shared" si="96"/>
        <v/>
      </c>
      <c r="L370" s="422" t="str">
        <f t="shared" si="96"/>
        <v/>
      </c>
      <c r="M370" s="422" t="str">
        <f t="shared" si="96"/>
        <v/>
      </c>
      <c r="N370" s="1579" t="str">
        <f t="shared" si="96"/>
        <v/>
      </c>
      <c r="O370" s="336"/>
      <c r="P370" s="302"/>
      <c r="Q370" s="1190" t="str">
        <f>IF(L333=EUconst_Relevant,EUconst_CNTR_H2ActualPlusTheoretical,"")</f>
        <v/>
      </c>
      <c r="R370" s="729"/>
      <c r="S370" s="729"/>
      <c r="T370" s="729"/>
      <c r="U370" s="729"/>
      <c r="V370" s="729"/>
      <c r="W370" s="729"/>
      <c r="X370" s="729"/>
      <c r="Y370" s="729"/>
      <c r="Z370" s="729"/>
      <c r="AA370" s="729"/>
      <c r="AB370" s="729"/>
      <c r="AC370" s="729"/>
      <c r="AD370" s="729"/>
      <c r="AE370" s="729"/>
      <c r="AF370" s="729"/>
      <c r="AG370" s="729"/>
      <c r="AH370" s="729"/>
      <c r="AI370" s="729"/>
      <c r="AJ370" s="729"/>
      <c r="AK370" s="729"/>
      <c r="AL370" s="729"/>
    </row>
    <row r="371" spans="1:38" s="364" customFormat="1" ht="5.15" customHeight="1" x14ac:dyDescent="0.25">
      <c r="A371" s="729"/>
      <c r="B371" s="302"/>
      <c r="C371" s="302"/>
      <c r="D371" s="302"/>
      <c r="E371" s="302"/>
      <c r="F371" s="302"/>
      <c r="G371" s="302"/>
      <c r="H371" s="1581"/>
      <c r="I371" s="1581"/>
      <c r="J371" s="1581"/>
      <c r="K371" s="1581"/>
      <c r="L371" s="1581"/>
      <c r="M371" s="1581"/>
      <c r="N371" s="1581"/>
      <c r="O371" s="336"/>
      <c r="P371" s="302"/>
      <c r="Q371" s="729"/>
      <c r="R371" s="729"/>
      <c r="S371" s="729"/>
      <c r="T371" s="729"/>
      <c r="U371" s="729"/>
      <c r="V371" s="729"/>
      <c r="W371" s="729"/>
      <c r="X371" s="729"/>
      <c r="Y371" s="729"/>
      <c r="Z371" s="729"/>
      <c r="AA371" s="729"/>
      <c r="AB371" s="729"/>
      <c r="AC371" s="729"/>
      <c r="AD371" s="729"/>
      <c r="AE371" s="729"/>
      <c r="AF371" s="729"/>
      <c r="AG371" s="729"/>
      <c r="AH371" s="729"/>
      <c r="AI371" s="729"/>
      <c r="AJ371" s="729"/>
      <c r="AK371" s="729"/>
      <c r="AL371" s="729"/>
    </row>
    <row r="372" spans="1:38" ht="13" customHeight="1" x14ac:dyDescent="0.25">
      <c r="A372" s="694"/>
      <c r="B372" s="698"/>
      <c r="C372" s="698"/>
      <c r="D372" s="360" t="s">
        <v>18</v>
      </c>
      <c r="E372" s="2687" t="str">
        <f>Translations!$B$1424</f>
        <v>HAL H2 (коригиран)</v>
      </c>
      <c r="F372" s="2258"/>
      <c r="G372" s="1016" t="str">
        <f>EUconst_tpa</f>
        <v>t / година</v>
      </c>
      <c r="H372" s="1024" t="str">
        <f t="shared" ref="H372:N372" si="97">IF(H370&lt;&gt;"",SUM(H370)*IF(SUM(H363)=0,1,SUM(H360)/SUM(H360,H363)),"")</f>
        <v/>
      </c>
      <c r="I372" s="1582" t="str">
        <f t="shared" si="97"/>
        <v/>
      </c>
      <c r="J372" s="1393" t="str">
        <f t="shared" si="97"/>
        <v/>
      </c>
      <c r="K372" s="1024" t="str">
        <f t="shared" si="97"/>
        <v/>
      </c>
      <c r="L372" s="1024" t="str">
        <f t="shared" si="97"/>
        <v/>
      </c>
      <c r="M372" s="1024" t="str">
        <f t="shared" si="97"/>
        <v/>
      </c>
      <c r="N372" s="1392" t="str">
        <f t="shared" si="97"/>
        <v/>
      </c>
      <c r="O372" s="336"/>
      <c r="P372" s="302"/>
      <c r="Q372" s="982" t="str">
        <f>IF(L333=EUconst_Relevant,EUconst_CNTR_HALspecial &amp; INDEX(EUconst_BMlistNames,MATCH(R333,EUconst_BMlistNumberOfBM,0)),"")</f>
        <v/>
      </c>
      <c r="R372" s="694"/>
      <c r="S372" s="694"/>
      <c r="T372" s="694"/>
      <c r="U372" s="694"/>
      <c r="V372" s="694"/>
      <c r="W372" s="694"/>
      <c r="X372" s="729"/>
      <c r="Y372" s="729"/>
      <c r="Z372" s="729"/>
      <c r="AA372" s="729"/>
      <c r="AB372" s="729"/>
      <c r="AC372" s="729"/>
      <c r="AD372" s="729"/>
      <c r="AE372" s="729"/>
      <c r="AF372" s="729"/>
      <c r="AG372" s="729"/>
      <c r="AH372" s="729"/>
      <c r="AI372" s="729"/>
      <c r="AJ372" s="729"/>
      <c r="AK372" s="729"/>
      <c r="AL372" s="729"/>
    </row>
    <row r="373" spans="1:38" ht="5.15" customHeight="1" x14ac:dyDescent="0.25">
      <c r="A373" s="694"/>
      <c r="B373" s="284"/>
      <c r="C373" s="284"/>
      <c r="D373" s="284"/>
      <c r="E373" s="284"/>
      <c r="F373" s="284"/>
      <c r="G373" s="284"/>
      <c r="H373" s="284"/>
      <c r="I373" s="284"/>
      <c r="J373" s="284"/>
      <c r="K373" s="284"/>
      <c r="L373" s="284"/>
      <c r="M373" s="336"/>
      <c r="N373" s="336"/>
      <c r="O373" s="336"/>
      <c r="P373" s="302"/>
      <c r="Q373" s="770"/>
      <c r="R373" s="694"/>
      <c r="S373" s="694"/>
      <c r="T373" s="694"/>
      <c r="U373" s="694"/>
      <c r="V373" s="694"/>
      <c r="W373" s="694"/>
      <c r="X373" s="694"/>
      <c r="Y373" s="770"/>
      <c r="Z373" s="770"/>
      <c r="AA373" s="770"/>
      <c r="AB373" s="770"/>
      <c r="AC373" s="770"/>
      <c r="AD373" s="770"/>
      <c r="AE373" s="770"/>
      <c r="AF373" s="770"/>
      <c r="AG373" s="770"/>
      <c r="AH373" s="770"/>
      <c r="AI373" s="770"/>
      <c r="AJ373" s="770"/>
      <c r="AK373" s="770"/>
      <c r="AL373" s="770"/>
    </row>
    <row r="374" spans="1:38" ht="13" x14ac:dyDescent="0.25">
      <c r="A374" s="694"/>
      <c r="B374" s="284"/>
      <c r="C374" s="284"/>
      <c r="D374" s="284"/>
      <c r="E374" s="2951" t="str">
        <f>IF(L333=EUconst_Relevant,HYPERLINK(R374,EUconst_MsgBackToSheetF),"")</f>
        <v/>
      </c>
      <c r="F374" s="2952"/>
      <c r="G374" s="2952"/>
      <c r="H374" s="2952"/>
      <c r="I374" s="2952"/>
      <c r="J374" s="2952"/>
      <c r="K374" s="2952"/>
      <c r="L374" s="2952"/>
      <c r="M374" s="2952"/>
      <c r="N374" s="2953"/>
      <c r="O374" s="336"/>
      <c r="P374" s="302"/>
      <c r="Q374" s="1395" t="s">
        <v>113</v>
      </c>
      <c r="R374" s="982" t="str">
        <f>R335</f>
        <v/>
      </c>
      <c r="S374" s="694"/>
      <c r="T374" s="694"/>
      <c r="U374" s="694"/>
      <c r="V374" s="694"/>
      <c r="W374" s="694"/>
      <c r="X374" s="694"/>
      <c r="Y374" s="770"/>
      <c r="Z374" s="770"/>
      <c r="AA374" s="770"/>
      <c r="AB374" s="770"/>
      <c r="AC374" s="770"/>
      <c r="AD374" s="770"/>
      <c r="AE374" s="770"/>
      <c r="AF374" s="770"/>
      <c r="AG374" s="770"/>
      <c r="AH374" s="770"/>
      <c r="AI374" s="770"/>
      <c r="AJ374" s="770"/>
      <c r="AK374" s="770"/>
      <c r="AL374" s="770"/>
    </row>
    <row r="375" spans="1:38" x14ac:dyDescent="0.25">
      <c r="A375" s="694"/>
      <c r="B375" s="698"/>
      <c r="C375" s="698"/>
      <c r="D375" s="698"/>
      <c r="E375" s="698"/>
      <c r="F375" s="698"/>
      <c r="G375" s="698"/>
      <c r="H375" s="698"/>
      <c r="I375" s="698"/>
      <c r="J375" s="698"/>
      <c r="K375" s="698"/>
      <c r="L375" s="698"/>
      <c r="M375" s="698"/>
      <c r="N375" s="698"/>
      <c r="O375" s="336"/>
      <c r="P375" s="302"/>
      <c r="Q375" s="694"/>
      <c r="R375" s="694"/>
      <c r="S375" s="694"/>
      <c r="T375" s="694"/>
      <c r="U375" s="694"/>
      <c r="V375" s="694"/>
      <c r="W375" s="694"/>
      <c r="X375" s="694"/>
      <c r="Y375" s="770"/>
      <c r="Z375" s="770"/>
      <c r="AA375" s="770"/>
      <c r="AB375" s="770"/>
      <c r="AC375" s="770"/>
      <c r="AD375" s="770"/>
      <c r="AE375" s="770"/>
      <c r="AF375" s="770"/>
      <c r="AG375" s="770"/>
      <c r="AH375" s="770"/>
      <c r="AI375" s="770"/>
      <c r="AJ375" s="770"/>
      <c r="AK375" s="770"/>
      <c r="AL375" s="770"/>
    </row>
    <row r="376" spans="1:38" ht="15.5" x14ac:dyDescent="0.35">
      <c r="A376" s="694"/>
      <c r="B376" s="284"/>
      <c r="C376" s="327" t="s">
        <v>955</v>
      </c>
      <c r="D376" s="2245" t="str">
        <f>Translations!$B$828</f>
        <v>Синтезен газ</v>
      </c>
      <c r="E376" s="2245"/>
      <c r="F376" s="2245"/>
      <c r="G376" s="2245"/>
      <c r="H376" s="2245"/>
      <c r="I376" s="2245"/>
      <c r="J376" s="2245"/>
      <c r="K376" s="2245"/>
      <c r="L376" s="2245"/>
      <c r="M376" s="2245"/>
      <c r="N376" s="2245"/>
      <c r="O376" s="336"/>
      <c r="P376" s="302"/>
      <c r="Q376" s="770"/>
      <c r="R376" s="694"/>
      <c r="S376" s="694"/>
      <c r="T376" s="694"/>
      <c r="U376" s="694"/>
      <c r="V376" s="694"/>
      <c r="W376" s="694"/>
      <c r="X376" s="694"/>
      <c r="Y376" s="770"/>
      <c r="Z376" s="770"/>
      <c r="AA376" s="770"/>
      <c r="AB376" s="770"/>
      <c r="AC376" s="770"/>
      <c r="AD376" s="770"/>
      <c r="AE376" s="770"/>
      <c r="AF376" s="770"/>
      <c r="AG376" s="770"/>
      <c r="AH376" s="770"/>
      <c r="AI376" s="770"/>
      <c r="AJ376" s="770"/>
      <c r="AK376" s="770"/>
      <c r="AL376" s="770"/>
    </row>
    <row r="377" spans="1:38" ht="5.15" customHeight="1" x14ac:dyDescent="0.25">
      <c r="A377" s="694"/>
      <c r="B377" s="284"/>
      <c r="C377" s="284"/>
      <c r="D377" s="284"/>
      <c r="E377" s="284"/>
      <c r="F377" s="284"/>
      <c r="G377" s="284"/>
      <c r="H377" s="284"/>
      <c r="I377" s="284"/>
      <c r="J377" s="284"/>
      <c r="K377" s="284"/>
      <c r="L377" s="284"/>
      <c r="M377" s="336"/>
      <c r="N377" s="336"/>
      <c r="O377" s="336"/>
      <c r="P377" s="302"/>
      <c r="Q377" s="770"/>
      <c r="R377" s="694"/>
      <c r="S377" s="694"/>
      <c r="T377" s="694"/>
      <c r="U377" s="694"/>
      <c r="V377" s="694"/>
      <c r="W377" s="694"/>
      <c r="X377" s="694"/>
      <c r="Y377" s="770"/>
      <c r="Z377" s="770"/>
      <c r="AA377" s="770"/>
      <c r="AB377" s="770"/>
      <c r="AC377" s="770"/>
      <c r="AD377" s="770"/>
      <c r="AE377" s="770"/>
      <c r="AF377" s="770"/>
      <c r="AG377" s="770"/>
      <c r="AH377" s="770"/>
      <c r="AI377" s="770"/>
      <c r="AJ377" s="770"/>
      <c r="AK377" s="770"/>
      <c r="AL377" s="770"/>
    </row>
    <row r="378" spans="1:38" ht="14" x14ac:dyDescent="0.3">
      <c r="A378" s="694"/>
      <c r="B378" s="284"/>
      <c r="C378" s="357"/>
      <c r="D378" s="2323" t="str">
        <f>Translations!$B$829</f>
        <v>Инструмент за изчисляване на историческите равнища на дейност на подинсталациите за синтезен газ</v>
      </c>
      <c r="E378" s="2249"/>
      <c r="F378" s="2249"/>
      <c r="G378" s="2249"/>
      <c r="H378" s="2249"/>
      <c r="I378" s="2249"/>
      <c r="J378" s="2249"/>
      <c r="K378" s="2249"/>
      <c r="L378" s="2249"/>
      <c r="M378" s="2249"/>
      <c r="N378" s="2249"/>
      <c r="O378" s="336"/>
      <c r="P378" s="302"/>
      <c r="Q378" s="770"/>
      <c r="R378" s="694"/>
      <c r="S378" s="694"/>
      <c r="T378" s="694"/>
      <c r="U378" s="694"/>
      <c r="V378" s="694"/>
      <c r="W378" s="694"/>
      <c r="X378" s="694"/>
      <c r="Y378" s="770"/>
      <c r="Z378" s="770"/>
      <c r="AA378" s="770"/>
      <c r="AB378" s="770"/>
      <c r="AC378" s="770"/>
      <c r="AD378" s="770"/>
      <c r="AE378" s="770"/>
      <c r="AF378" s="770"/>
      <c r="AG378" s="770"/>
      <c r="AH378" s="770"/>
      <c r="AI378" s="770"/>
      <c r="AJ378" s="770"/>
      <c r="AK378" s="770"/>
      <c r="AL378" s="770"/>
    </row>
    <row r="379" spans="1:38" ht="5.15" customHeight="1" x14ac:dyDescent="0.25">
      <c r="A379" s="694"/>
      <c r="B379" s="284"/>
      <c r="C379" s="284"/>
      <c r="D379" s="284"/>
      <c r="E379" s="284"/>
      <c r="F379" s="284"/>
      <c r="G379" s="284"/>
      <c r="H379" s="284"/>
      <c r="I379" s="284"/>
      <c r="J379" s="284"/>
      <c r="K379" s="284"/>
      <c r="L379" s="284"/>
      <c r="M379" s="336"/>
      <c r="N379" s="336"/>
      <c r="O379" s="336"/>
      <c r="P379" s="302"/>
      <c r="Q379" s="770"/>
      <c r="R379" s="694"/>
      <c r="S379" s="694"/>
      <c r="T379" s="694"/>
      <c r="U379" s="694"/>
      <c r="V379" s="694"/>
      <c r="W379" s="694"/>
      <c r="X379" s="694"/>
      <c r="Y379" s="770"/>
      <c r="Z379" s="770"/>
      <c r="AA379" s="770"/>
      <c r="AB379" s="770"/>
      <c r="AC379" s="770"/>
      <c r="AD379" s="770"/>
      <c r="AE379" s="770"/>
      <c r="AF379" s="770"/>
      <c r="AG379" s="770"/>
      <c r="AH379" s="770"/>
      <c r="AI379" s="770"/>
      <c r="AJ379" s="770"/>
      <c r="AK379" s="770"/>
      <c r="AL379" s="770"/>
    </row>
    <row r="380" spans="1:38" x14ac:dyDescent="0.25">
      <c r="A380" s="694"/>
      <c r="B380" s="284"/>
      <c r="C380" s="284"/>
      <c r="D380" s="302"/>
      <c r="E380" s="2358" t="str">
        <f>Translations!$B$830</f>
        <v>Този инструмент ви помага да определите HAL (исторически равнища на активност) за референтния показател за синтезен газ (приложение III, точка 7 от ПБР).</v>
      </c>
      <c r="F380" s="2249"/>
      <c r="G380" s="2249"/>
      <c r="H380" s="2249"/>
      <c r="I380" s="2249"/>
      <c r="J380" s="2249"/>
      <c r="K380" s="2249"/>
      <c r="L380" s="2249"/>
      <c r="M380" s="2249"/>
      <c r="N380" s="2249"/>
      <c r="O380" s="336"/>
      <c r="P380" s="302"/>
      <c r="Q380" s="770"/>
      <c r="R380" s="694"/>
      <c r="S380" s="694"/>
      <c r="T380" s="694"/>
      <c r="U380" s="694"/>
      <c r="V380" s="694"/>
      <c r="W380" s="694"/>
      <c r="X380" s="694"/>
      <c r="Y380" s="770"/>
      <c r="Z380" s="770"/>
      <c r="AA380" s="770"/>
      <c r="AB380" s="770"/>
      <c r="AC380" s="770"/>
      <c r="AD380" s="770"/>
      <c r="AE380" s="770"/>
      <c r="AF380" s="770"/>
      <c r="AG380" s="770"/>
      <c r="AH380" s="770"/>
      <c r="AI380" s="770"/>
      <c r="AJ380" s="770"/>
      <c r="AK380" s="770"/>
      <c r="AL380" s="770"/>
    </row>
    <row r="381" spans="1:38" x14ac:dyDescent="0.25">
      <c r="A381" s="694"/>
      <c r="B381" s="284"/>
      <c r="C381" s="284"/>
      <c r="D381" s="302"/>
      <c r="E381" s="2358" t="str">
        <f>Translations!$B$673</f>
        <v>Резултатът от този инструмент се копира автоматично в работен лист „F_ProductBM“, ред „a).ii“ за съответната подинсталация.</v>
      </c>
      <c r="F381" s="2249"/>
      <c r="G381" s="2249"/>
      <c r="H381" s="2249"/>
      <c r="I381" s="2249"/>
      <c r="J381" s="2249"/>
      <c r="K381" s="2249"/>
      <c r="L381" s="2249"/>
      <c r="M381" s="2249"/>
      <c r="N381" s="2249"/>
      <c r="O381" s="336"/>
      <c r="P381" s="302"/>
      <c r="Q381" s="770"/>
      <c r="R381" s="694"/>
      <c r="S381" s="694"/>
      <c r="T381" s="694"/>
      <c r="U381" s="694"/>
      <c r="V381" s="694"/>
      <c r="W381" s="694"/>
      <c r="X381" s="694"/>
      <c r="Y381" s="770"/>
      <c r="Z381" s="770"/>
      <c r="AA381" s="770"/>
      <c r="AB381" s="770"/>
      <c r="AC381" s="770"/>
      <c r="AD381" s="770"/>
      <c r="AE381" s="770"/>
      <c r="AF381" s="770"/>
      <c r="AG381" s="770"/>
      <c r="AH381" s="770"/>
      <c r="AI381" s="770"/>
      <c r="AJ381" s="770"/>
      <c r="AK381" s="770"/>
      <c r="AL381" s="770"/>
    </row>
    <row r="382" spans="1:38" x14ac:dyDescent="0.25">
      <c r="A382" s="694"/>
      <c r="B382" s="284"/>
      <c r="C382" s="284"/>
      <c r="D382" s="302"/>
      <c r="E382" s="2459" t="str">
        <f>Translations!$B$831</f>
        <v>Моля, имайте предвид, че процентите за съдържанието на водород трябва да бъдат изразени като обемни проценти.</v>
      </c>
      <c r="F382" s="2249"/>
      <c r="G382" s="2249"/>
      <c r="H382" s="2249"/>
      <c r="I382" s="2249"/>
      <c r="J382" s="2249"/>
      <c r="K382" s="2249"/>
      <c r="L382" s="2249"/>
      <c r="M382" s="2249"/>
      <c r="N382" s="2249"/>
      <c r="O382" s="336"/>
      <c r="P382" s="302"/>
      <c r="Q382" s="770"/>
      <c r="R382" s="694"/>
      <c r="S382" s="694"/>
      <c r="T382" s="694"/>
      <c r="U382" s="694"/>
      <c r="V382" s="694"/>
      <c r="W382" s="694"/>
      <c r="X382" s="694"/>
      <c r="Y382" s="770"/>
      <c r="Z382" s="770"/>
      <c r="AA382" s="770"/>
      <c r="AB382" s="770"/>
      <c r="AC382" s="770"/>
      <c r="AD382" s="770"/>
      <c r="AE382" s="770"/>
      <c r="AF382" s="770"/>
      <c r="AG382" s="770"/>
      <c r="AH382" s="770"/>
      <c r="AI382" s="770"/>
      <c r="AJ382" s="770"/>
      <c r="AK382" s="770"/>
      <c r="AL382" s="770"/>
    </row>
    <row r="383" spans="1:38" ht="5.15" customHeight="1" x14ac:dyDescent="0.25">
      <c r="A383" s="694"/>
      <c r="B383" s="284"/>
      <c r="C383" s="284"/>
      <c r="D383" s="284"/>
      <c r="E383" s="284"/>
      <c r="F383" s="284"/>
      <c r="G383" s="284"/>
      <c r="H383" s="284"/>
      <c r="I383" s="284"/>
      <c r="J383" s="284"/>
      <c r="K383" s="284"/>
      <c r="L383" s="284"/>
      <c r="M383" s="336"/>
      <c r="N383" s="336"/>
      <c r="O383" s="336"/>
      <c r="P383" s="302"/>
      <c r="Q383" s="770"/>
      <c r="R383" s="694"/>
      <c r="S383" s="694"/>
      <c r="T383" s="694"/>
      <c r="U383" s="694"/>
      <c r="V383" s="694"/>
      <c r="W383" s="694"/>
      <c r="X383" s="694"/>
      <c r="Y383" s="770"/>
      <c r="Z383" s="770"/>
      <c r="AA383" s="770"/>
      <c r="AB383" s="770"/>
      <c r="AC383" s="770"/>
      <c r="AD383" s="770"/>
      <c r="AE383" s="770"/>
      <c r="AF383" s="770"/>
      <c r="AG383" s="770"/>
      <c r="AH383" s="770"/>
      <c r="AI383" s="770"/>
      <c r="AJ383" s="770"/>
      <c r="AK383" s="770"/>
      <c r="AL383" s="770"/>
    </row>
    <row r="384" spans="1:38" ht="14" x14ac:dyDescent="0.3">
      <c r="A384" s="694"/>
      <c r="B384" s="284"/>
      <c r="C384" s="284"/>
      <c r="D384" s="300" t="s">
        <v>408</v>
      </c>
      <c r="E384" s="2226" t="str">
        <f>Translations!$B$674</f>
        <v>Практическо значение на този инструмент за Вашата инсталация:</v>
      </c>
      <c r="F384" s="2226"/>
      <c r="G384" s="2226"/>
      <c r="H384" s="2226"/>
      <c r="I384" s="2226"/>
      <c r="J384" s="2226"/>
      <c r="K384" s="2317"/>
      <c r="L384" s="2956" t="str">
        <f>IF(CNTR_ExistSubInstEntries,IF(COUNTIF(CNTR_SubInstListNames,INDEX(EUconst_BMlistNames,MATCH(R384,EUconst_BMlistMainNumberOfBM,0)))&gt;0,EUconst_Relevant,EUconst_NotRelevant),"")</f>
        <v/>
      </c>
      <c r="M384" s="2957"/>
      <c r="N384" s="2958"/>
      <c r="O384" s="336"/>
      <c r="P384" s="302"/>
      <c r="Q384" s="1395" t="s">
        <v>114</v>
      </c>
      <c r="R384" s="1519">
        <v>51</v>
      </c>
      <c r="S384" s="694"/>
      <c r="T384" s="694"/>
      <c r="U384" s="694"/>
      <c r="V384" s="694"/>
      <c r="W384" s="694"/>
      <c r="X384" s="694"/>
      <c r="Y384" s="770"/>
      <c r="Z384" s="770"/>
      <c r="AA384" s="770"/>
      <c r="AB384" s="770"/>
      <c r="AC384" s="770"/>
      <c r="AD384" s="770"/>
      <c r="AE384" s="770"/>
      <c r="AF384" s="770"/>
      <c r="AG384" s="770"/>
      <c r="AH384" s="770"/>
      <c r="AI384" s="770"/>
      <c r="AJ384" s="770"/>
      <c r="AK384" s="770"/>
      <c r="AL384" s="770"/>
    </row>
    <row r="385" spans="1:38" x14ac:dyDescent="0.25">
      <c r="A385" s="694"/>
      <c r="B385" s="284"/>
      <c r="C385" s="284"/>
      <c r="D385" s="302"/>
      <c r="E385" s="2255" t="str">
        <f>Translations!$B$675</f>
        <v>Това съобщение се генерира автоматично въз основа на въведените от Вас данни в работен лист „A_InstallationData“ („А_Данни за инсталацията“), раздел A.III.1.</v>
      </c>
      <c r="F385" s="2256"/>
      <c r="G385" s="2256"/>
      <c r="H385" s="2256"/>
      <c r="I385" s="2256"/>
      <c r="J385" s="2256"/>
      <c r="K385" s="2256"/>
      <c r="L385" s="2256"/>
      <c r="M385" s="2256"/>
      <c r="N385" s="2256"/>
      <c r="O385" s="336"/>
      <c r="P385" s="302"/>
      <c r="Q385" s="770"/>
      <c r="R385" s="694"/>
      <c r="S385" s="694"/>
      <c r="T385" s="694"/>
      <c r="U385" s="694"/>
      <c r="V385" s="694"/>
      <c r="W385" s="694"/>
      <c r="X385" s="694"/>
      <c r="Y385" s="770"/>
      <c r="Z385" s="770"/>
      <c r="AA385" s="770"/>
      <c r="AB385" s="770"/>
      <c r="AC385" s="770"/>
      <c r="AD385" s="770"/>
      <c r="AE385" s="770"/>
      <c r="AF385" s="770"/>
      <c r="AG385" s="770"/>
      <c r="AH385" s="770"/>
      <c r="AI385" s="770"/>
      <c r="AJ385" s="770"/>
      <c r="AK385" s="770"/>
      <c r="AL385" s="770"/>
    </row>
    <row r="386" spans="1:38" ht="13" x14ac:dyDescent="0.25">
      <c r="A386" s="694"/>
      <c r="B386" s="284"/>
      <c r="C386" s="284"/>
      <c r="D386" s="284"/>
      <c r="E386" s="2951" t="str">
        <f>IF(L384=EUconst_Relevant,HYPERLINK(R386,EUconst_MsgBackToSheetF),"")</f>
        <v/>
      </c>
      <c r="F386" s="2952"/>
      <c r="G386" s="2952"/>
      <c r="H386" s="2952"/>
      <c r="I386" s="2952"/>
      <c r="J386" s="2952"/>
      <c r="K386" s="2952"/>
      <c r="L386" s="2952"/>
      <c r="M386" s="2952"/>
      <c r="N386" s="2953"/>
      <c r="O386" s="336"/>
      <c r="P386" s="302"/>
      <c r="Q386" s="1395" t="s">
        <v>113</v>
      </c>
      <c r="R386" s="982" t="str">
        <f>IF(ISNUMBER(MATCH(R384,CNTR_SubInstListBMnumbers,0)),"#JUMP_F"&amp;MATCH(R384,CNTR_SubInstListBMnumbers,0),"")</f>
        <v/>
      </c>
      <c r="S386" s="694"/>
      <c r="T386" s="770"/>
      <c r="U386" s="770"/>
      <c r="V386" s="694"/>
      <c r="W386" s="694"/>
      <c r="X386" s="694"/>
      <c r="Y386" s="770"/>
      <c r="Z386" s="770"/>
      <c r="AA386" s="770"/>
      <c r="AB386" s="770"/>
      <c r="AC386" s="770"/>
      <c r="AD386" s="770"/>
      <c r="AE386" s="770"/>
      <c r="AF386" s="770"/>
      <c r="AG386" s="770"/>
      <c r="AH386" s="770"/>
      <c r="AI386" s="770"/>
      <c r="AJ386" s="770"/>
      <c r="AK386" s="770"/>
      <c r="AL386" s="770"/>
    </row>
    <row r="387" spans="1:38" ht="5.15" customHeight="1" x14ac:dyDescent="0.25">
      <c r="A387" s="694"/>
      <c r="B387" s="284"/>
      <c r="C387" s="284"/>
      <c r="D387" s="284"/>
      <c r="E387" s="284"/>
      <c r="F387" s="284"/>
      <c r="G387" s="284"/>
      <c r="H387" s="284"/>
      <c r="I387" s="284"/>
      <c r="J387" s="284"/>
      <c r="K387" s="284"/>
      <c r="L387" s="284"/>
      <c r="M387" s="336"/>
      <c r="N387" s="336"/>
      <c r="O387" s="336"/>
      <c r="P387" s="302"/>
      <c r="Q387" s="770"/>
      <c r="R387" s="694"/>
      <c r="S387" s="694"/>
      <c r="T387" s="770"/>
      <c r="U387" s="770"/>
      <c r="V387" s="694"/>
      <c r="W387" s="694"/>
      <c r="X387" s="694"/>
      <c r="Y387" s="770"/>
      <c r="Z387" s="770"/>
      <c r="AA387" s="770"/>
      <c r="AB387" s="770"/>
      <c r="AC387" s="770"/>
      <c r="AD387" s="770"/>
      <c r="AE387" s="770"/>
      <c r="AF387" s="770"/>
      <c r="AG387" s="770"/>
      <c r="AH387" s="770"/>
      <c r="AI387" s="770"/>
      <c r="AJ387" s="770"/>
      <c r="AK387" s="770"/>
      <c r="AL387" s="770"/>
    </row>
    <row r="388" spans="1:38" ht="13" x14ac:dyDescent="0.25">
      <c r="A388" s="694"/>
      <c r="B388" s="284"/>
      <c r="C388" s="284"/>
      <c r="D388" s="300" t="s">
        <v>901</v>
      </c>
      <c r="E388" s="2226" t="str">
        <f>Translations!$B$832</f>
        <v>Обем на общото производство на синтезен газ (некоригиран)</v>
      </c>
      <c r="F388" s="2249"/>
      <c r="G388" s="2249"/>
      <c r="H388" s="2249"/>
      <c r="I388" s="2249"/>
      <c r="J388" s="2249"/>
      <c r="K388" s="2249"/>
      <c r="L388" s="2249"/>
      <c r="M388" s="2249"/>
      <c r="N388" s="2249"/>
      <c r="O388" s="336"/>
      <c r="P388" s="302"/>
      <c r="Q388" s="770"/>
      <c r="R388" s="694"/>
      <c r="S388" s="694"/>
      <c r="T388" s="770"/>
      <c r="U388" s="770"/>
      <c r="V388" s="694"/>
      <c r="W388" s="694"/>
      <c r="X388" s="694"/>
      <c r="Y388" s="770"/>
      <c r="Z388" s="770"/>
      <c r="AA388" s="770"/>
      <c r="AB388" s="770"/>
      <c r="AC388" s="770"/>
      <c r="AD388" s="770"/>
      <c r="AE388" s="770"/>
      <c r="AF388" s="770"/>
      <c r="AG388" s="770"/>
      <c r="AH388" s="770"/>
      <c r="AI388" s="770"/>
      <c r="AJ388" s="770"/>
      <c r="AK388" s="770"/>
      <c r="AL388" s="770"/>
    </row>
    <row r="389" spans="1:38" x14ac:dyDescent="0.25">
      <c r="A389" s="694"/>
      <c r="B389" s="284"/>
      <c r="C389" s="284"/>
      <c r="D389" s="302"/>
      <c r="E389" s="2358" t="str">
        <f>Translations!$B$1346</f>
        <v>Моля, въведете тук данните за годишното производство на синтетичен газ, съотнесено към историческото съдържание на водород през всяка година.</v>
      </c>
      <c r="F389" s="2249"/>
      <c r="G389" s="2249"/>
      <c r="H389" s="2249"/>
      <c r="I389" s="2249"/>
      <c r="J389" s="2249"/>
      <c r="K389" s="2249"/>
      <c r="L389" s="2249"/>
      <c r="M389" s="2249"/>
      <c r="N389" s="2249"/>
      <c r="O389" s="336"/>
      <c r="P389" s="302"/>
      <c r="Q389" s="770"/>
      <c r="R389" s="694"/>
      <c r="S389" s="694"/>
      <c r="T389" s="770"/>
      <c r="U389" s="770"/>
      <c r="V389" s="694"/>
      <c r="W389" s="694"/>
      <c r="X389" s="694"/>
      <c r="Y389" s="770"/>
      <c r="Z389" s="770"/>
      <c r="AA389" s="770"/>
      <c r="AB389" s="770"/>
      <c r="AC389" s="770"/>
      <c r="AD389" s="770"/>
      <c r="AE389" s="770"/>
      <c r="AF389" s="770"/>
      <c r="AG389" s="770"/>
      <c r="AH389" s="770"/>
      <c r="AI389" s="770"/>
      <c r="AJ389" s="770"/>
      <c r="AK389" s="770"/>
      <c r="AL389" s="770"/>
    </row>
    <row r="390" spans="1:38" x14ac:dyDescent="0.25">
      <c r="A390" s="694"/>
      <c r="B390" s="284"/>
      <c r="C390" s="284"/>
      <c r="D390" s="302"/>
      <c r="E390" s="2459" t="str">
        <f>Translations!$B$821</f>
        <v>Поради много високите стойности в m3, стойностите трябва да се изразят като 1 000 Nm3 (нормални кубични метра при температура 0 °C и налягане 101 325 kPa).</v>
      </c>
      <c r="F390" s="2249"/>
      <c r="G390" s="2249"/>
      <c r="H390" s="2249"/>
      <c r="I390" s="2249"/>
      <c r="J390" s="2249"/>
      <c r="K390" s="2249"/>
      <c r="L390" s="2249"/>
      <c r="M390" s="2249"/>
      <c r="N390" s="2249"/>
      <c r="O390" s="336"/>
      <c r="P390" s="302"/>
      <c r="Q390" s="770"/>
      <c r="R390" s="694"/>
      <c r="S390" s="694"/>
      <c r="T390" s="770"/>
      <c r="U390" s="770"/>
      <c r="V390" s="694"/>
      <c r="W390" s="694"/>
      <c r="X390" s="694"/>
      <c r="Y390" s="770"/>
      <c r="Z390" s="770"/>
      <c r="AA390" s="770"/>
      <c r="AB390" s="770"/>
      <c r="AC390" s="770"/>
      <c r="AD390" s="770"/>
      <c r="AE390" s="770"/>
      <c r="AF390" s="770"/>
      <c r="AG390" s="770"/>
      <c r="AH390" s="770"/>
      <c r="AI390" s="770"/>
      <c r="AJ390" s="770"/>
      <c r="AK390" s="770"/>
      <c r="AL390" s="770"/>
    </row>
    <row r="391" spans="1:38" ht="13.5" thickBot="1" x14ac:dyDescent="0.3">
      <c r="A391" s="694"/>
      <c r="B391" s="698"/>
      <c r="C391" s="698"/>
      <c r="D391" s="300"/>
      <c r="E391" s="461"/>
      <c r="F391" s="742"/>
      <c r="G391" s="527" t="str">
        <f>EUconst_Unit</f>
        <v>Единица мярка</v>
      </c>
      <c r="H391" s="387">
        <f t="shared" ref="H391:N391" si="98">H$490</f>
        <v>2024</v>
      </c>
      <c r="I391" s="1544">
        <f t="shared" si="98"/>
        <v>2025</v>
      </c>
      <c r="J391" s="1523">
        <f t="shared" si="98"/>
        <v>2026</v>
      </c>
      <c r="K391" s="387">
        <f t="shared" si="98"/>
        <v>2027</v>
      </c>
      <c r="L391" s="387">
        <f t="shared" si="98"/>
        <v>2028</v>
      </c>
      <c r="M391" s="387">
        <f t="shared" si="98"/>
        <v>2029</v>
      </c>
      <c r="N391" s="1522">
        <f t="shared" si="98"/>
        <v>2030</v>
      </c>
      <c r="O391" s="336"/>
      <c r="P391" s="302"/>
      <c r="Q391" s="694"/>
      <c r="R391" s="694"/>
      <c r="S391" s="694"/>
      <c r="T391" s="770"/>
      <c r="U391" s="770"/>
      <c r="V391" s="694"/>
      <c r="W391" s="694"/>
      <c r="X391" s="694"/>
      <c r="Y391" s="770"/>
      <c r="Z391" s="770"/>
      <c r="AA391" s="770"/>
      <c r="AB391" s="694"/>
      <c r="AC391" s="1524">
        <f t="shared" ref="AC391:AI391" si="99">H391</f>
        <v>2024</v>
      </c>
      <c r="AD391" s="1524">
        <f t="shared" si="99"/>
        <v>2025</v>
      </c>
      <c r="AE391" s="1524">
        <f t="shared" si="99"/>
        <v>2026</v>
      </c>
      <c r="AF391" s="1524">
        <f t="shared" si="99"/>
        <v>2027</v>
      </c>
      <c r="AG391" s="1524">
        <f t="shared" si="99"/>
        <v>2028</v>
      </c>
      <c r="AH391" s="1524">
        <f t="shared" si="99"/>
        <v>2029</v>
      </c>
      <c r="AI391" s="1524">
        <f t="shared" si="99"/>
        <v>2030</v>
      </c>
      <c r="AJ391" s="770"/>
      <c r="AK391" s="770"/>
      <c r="AL391" s="770"/>
    </row>
    <row r="392" spans="1:38" ht="13" customHeight="1" x14ac:dyDescent="0.25">
      <c r="A392" s="694"/>
      <c r="B392" s="698"/>
      <c r="C392" s="698"/>
      <c r="D392" s="698"/>
      <c r="E392" s="2667" t="str">
        <f>Translations!$B$833</f>
        <v>Общо производство на синтезен газ</v>
      </c>
      <c r="F392" s="2258"/>
      <c r="G392" s="1016" t="str">
        <f>EUconst_kNm3pa</f>
        <v>1000Nm3/година</v>
      </c>
      <c r="H392" s="24"/>
      <c r="I392" s="247"/>
      <c r="J392" s="60"/>
      <c r="K392" s="24"/>
      <c r="L392" s="24"/>
      <c r="M392" s="24"/>
      <c r="N392" s="59"/>
      <c r="O392" s="336"/>
      <c r="P392" s="158"/>
      <c r="Q392" s="694"/>
      <c r="R392" s="694"/>
      <c r="S392" s="694"/>
      <c r="T392" s="770"/>
      <c r="U392" s="770"/>
      <c r="V392" s="694"/>
      <c r="W392" s="694"/>
      <c r="X392" s="694"/>
      <c r="Y392" s="770"/>
      <c r="Z392" s="770"/>
      <c r="AA392" s="770"/>
      <c r="AB392" s="1182" t="s">
        <v>737</v>
      </c>
      <c r="AC392" s="1526" t="b">
        <f t="shared" ref="AC392:AI392" si="100">IF(CNTR_ExistSubInstEntries,IF($L384=EUconst_Relevant,AC391&gt;=CNTR_ReportingYear,TRUE),FALSE)</f>
        <v>0</v>
      </c>
      <c r="AD392" s="1281" t="b">
        <f t="shared" si="100"/>
        <v>0</v>
      </c>
      <c r="AE392" s="1281" t="b">
        <f t="shared" si="100"/>
        <v>0</v>
      </c>
      <c r="AF392" s="1281" t="b">
        <f t="shared" si="100"/>
        <v>0</v>
      </c>
      <c r="AG392" s="1281" t="b">
        <f t="shared" si="100"/>
        <v>0</v>
      </c>
      <c r="AH392" s="1281" t="b">
        <f t="shared" si="100"/>
        <v>0</v>
      </c>
      <c r="AI392" s="1527" t="b">
        <f t="shared" si="100"/>
        <v>0</v>
      </c>
      <c r="AJ392" s="770"/>
      <c r="AK392" s="770"/>
      <c r="AL392" s="770"/>
    </row>
    <row r="393" spans="1:38" ht="5.15" customHeight="1" x14ac:dyDescent="0.25">
      <c r="A393" s="694"/>
      <c r="B393" s="284"/>
      <c r="C393" s="284"/>
      <c r="D393" s="284"/>
      <c r="E393" s="284"/>
      <c r="F393" s="284"/>
      <c r="G393" s="284"/>
      <c r="H393" s="284"/>
      <c r="I393" s="284"/>
      <c r="J393" s="284"/>
      <c r="K393" s="284"/>
      <c r="L393" s="284"/>
      <c r="M393" s="284"/>
      <c r="N393" s="336"/>
      <c r="O393" s="336"/>
      <c r="P393" s="302"/>
      <c r="Q393" s="770"/>
      <c r="R393" s="694"/>
      <c r="S393" s="694"/>
      <c r="T393" s="770"/>
      <c r="U393" s="770"/>
      <c r="V393" s="694"/>
      <c r="W393" s="694"/>
      <c r="X393" s="694"/>
      <c r="Y393" s="770"/>
      <c r="Z393" s="770"/>
      <c r="AA393" s="770"/>
      <c r="AB393" s="770"/>
      <c r="AC393" s="1542"/>
      <c r="AD393" s="770"/>
      <c r="AE393" s="770"/>
      <c r="AF393" s="770"/>
      <c r="AG393" s="770"/>
      <c r="AH393" s="770"/>
      <c r="AI393" s="1543"/>
      <c r="AJ393" s="770"/>
      <c r="AK393" s="770"/>
      <c r="AL393" s="770"/>
    </row>
    <row r="394" spans="1:38" ht="13" customHeight="1" x14ac:dyDescent="0.25">
      <c r="A394" s="694"/>
      <c r="B394" s="284"/>
      <c r="C394" s="284"/>
      <c r="D394" s="300" t="s">
        <v>46</v>
      </c>
      <c r="E394" s="2463" t="str">
        <f>Translations!$B$823</f>
        <v>Обемна част на водород VF(H2)</v>
      </c>
      <c r="F394" s="2240"/>
      <c r="G394" s="2240"/>
      <c r="H394" s="2240"/>
      <c r="I394" s="2240"/>
      <c r="J394" s="2240"/>
      <c r="K394" s="2240"/>
      <c r="L394" s="2240"/>
      <c r="M394" s="2240"/>
      <c r="N394" s="2240"/>
      <c r="O394" s="336"/>
      <c r="P394" s="302"/>
      <c r="Q394" s="770"/>
      <c r="R394" s="694"/>
      <c r="S394" s="694"/>
      <c r="T394" s="770"/>
      <c r="U394" s="770"/>
      <c r="V394" s="694"/>
      <c r="W394" s="694"/>
      <c r="X394" s="694"/>
      <c r="Y394" s="770"/>
      <c r="Z394" s="770"/>
      <c r="AA394" s="770"/>
      <c r="AB394" s="770"/>
      <c r="AC394" s="1542"/>
      <c r="AD394" s="770"/>
      <c r="AE394" s="770"/>
      <c r="AF394" s="770"/>
      <c r="AG394" s="770"/>
      <c r="AH394" s="770"/>
      <c r="AI394" s="1543"/>
      <c r="AJ394" s="770"/>
      <c r="AK394" s="770"/>
      <c r="AL394" s="770"/>
    </row>
    <row r="395" spans="1:38" ht="12.65" customHeight="1" x14ac:dyDescent="0.25">
      <c r="A395" s="694"/>
      <c r="B395" s="284"/>
      <c r="C395" s="284"/>
      <c r="D395" s="302"/>
      <c r="E395" s="2293" t="str">
        <f>Translations!$B$1345</f>
        <v>Моля, въведете тук историческия обем на производството на обемна част чист водород през всяка година. Тази стойност е безразмерна.</v>
      </c>
      <c r="F395" s="2240"/>
      <c r="G395" s="2240"/>
      <c r="H395" s="2240"/>
      <c r="I395" s="2240"/>
      <c r="J395" s="2240"/>
      <c r="K395" s="2240"/>
      <c r="L395" s="2240"/>
      <c r="M395" s="2240"/>
      <c r="N395" s="2240"/>
      <c r="O395" s="336"/>
      <c r="P395" s="302"/>
      <c r="Q395" s="770"/>
      <c r="R395" s="694"/>
      <c r="S395" s="694"/>
      <c r="T395" s="770"/>
      <c r="U395" s="770"/>
      <c r="V395" s="694"/>
      <c r="W395" s="694"/>
      <c r="X395" s="694"/>
      <c r="Y395" s="770"/>
      <c r="Z395" s="770"/>
      <c r="AA395" s="770"/>
      <c r="AB395" s="770"/>
      <c r="AC395" s="1542"/>
      <c r="AD395" s="770"/>
      <c r="AE395" s="770"/>
      <c r="AF395" s="770"/>
      <c r="AG395" s="770"/>
      <c r="AH395" s="770"/>
      <c r="AI395" s="1543"/>
      <c r="AJ395" s="770"/>
      <c r="AK395" s="770"/>
      <c r="AL395" s="770"/>
    </row>
    <row r="396" spans="1:38" ht="13" customHeight="1" x14ac:dyDescent="0.25">
      <c r="A396" s="694"/>
      <c r="B396" s="284"/>
      <c r="C396" s="284"/>
      <c r="D396" s="302"/>
      <c r="E396" s="2293" t="str">
        <f>Translations!$B$834</f>
        <v xml:space="preserve">Можете да въведете цифрата 50% или като "0.50", или като "50%". </v>
      </c>
      <c r="F396" s="2240"/>
      <c r="G396" s="2240"/>
      <c r="H396" s="2240"/>
      <c r="I396" s="2240"/>
      <c r="J396" s="2240"/>
      <c r="K396" s="2240"/>
      <c r="L396" s="2240"/>
      <c r="M396" s="2240"/>
      <c r="N396" s="2240"/>
      <c r="O396" s="336"/>
      <c r="P396" s="302"/>
      <c r="Q396" s="770"/>
      <c r="R396" s="694"/>
      <c r="S396" s="694"/>
      <c r="T396" s="770"/>
      <c r="U396" s="770"/>
      <c r="V396" s="694"/>
      <c r="W396" s="694"/>
      <c r="X396" s="694"/>
      <c r="Y396" s="770"/>
      <c r="Z396" s="770"/>
      <c r="AA396" s="770"/>
      <c r="AB396" s="770"/>
      <c r="AC396" s="1542"/>
      <c r="AD396" s="770"/>
      <c r="AE396" s="770"/>
      <c r="AF396" s="770"/>
      <c r="AG396" s="770"/>
      <c r="AH396" s="770"/>
      <c r="AI396" s="1543"/>
      <c r="AJ396" s="770"/>
      <c r="AK396" s="770"/>
      <c r="AL396" s="770"/>
    </row>
    <row r="397" spans="1:38" ht="13" x14ac:dyDescent="0.25">
      <c r="A397" s="694"/>
      <c r="B397" s="698"/>
      <c r="C397" s="698"/>
      <c r="D397" s="300"/>
      <c r="E397" s="461"/>
      <c r="F397" s="742"/>
      <c r="G397" s="527" t="str">
        <f>EUconst_Unit</f>
        <v>Единица мярка</v>
      </c>
      <c r="H397" s="387">
        <f t="shared" ref="H397:N397" si="101">H$490</f>
        <v>2024</v>
      </c>
      <c r="I397" s="1544">
        <f t="shared" si="101"/>
        <v>2025</v>
      </c>
      <c r="J397" s="1523">
        <f t="shared" si="101"/>
        <v>2026</v>
      </c>
      <c r="K397" s="387">
        <f t="shared" si="101"/>
        <v>2027</v>
      </c>
      <c r="L397" s="387">
        <f t="shared" si="101"/>
        <v>2028</v>
      </c>
      <c r="M397" s="387">
        <f t="shared" si="101"/>
        <v>2029</v>
      </c>
      <c r="N397" s="1522">
        <f t="shared" si="101"/>
        <v>2030</v>
      </c>
      <c r="O397" s="336"/>
      <c r="P397" s="302"/>
      <c r="Q397" s="694"/>
      <c r="R397" s="694"/>
      <c r="S397" s="694"/>
      <c r="T397" s="770"/>
      <c r="U397" s="770"/>
      <c r="V397" s="694"/>
      <c r="W397" s="694"/>
      <c r="X397" s="694"/>
      <c r="Y397" s="770"/>
      <c r="Z397" s="770"/>
      <c r="AA397" s="770"/>
      <c r="AB397" s="770"/>
      <c r="AC397" s="1542"/>
      <c r="AD397" s="770"/>
      <c r="AE397" s="770"/>
      <c r="AF397" s="770"/>
      <c r="AG397" s="770"/>
      <c r="AH397" s="770"/>
      <c r="AI397" s="1543"/>
      <c r="AJ397" s="770"/>
      <c r="AK397" s="770"/>
      <c r="AL397" s="770"/>
    </row>
    <row r="398" spans="1:38" ht="13" customHeight="1" thickBot="1" x14ac:dyDescent="0.3">
      <c r="A398" s="694"/>
      <c r="B398" s="698"/>
      <c r="C398" s="698"/>
      <c r="D398" s="698"/>
      <c r="E398" s="2667" t="str">
        <f>Translations!$B$825</f>
        <v>Обемна част на водород</v>
      </c>
      <c r="F398" s="2258"/>
      <c r="G398" s="1574" t="s">
        <v>1052</v>
      </c>
      <c r="H398" s="6"/>
      <c r="I398" s="248"/>
      <c r="J398" s="249"/>
      <c r="K398" s="6"/>
      <c r="L398" s="6"/>
      <c r="M398" s="6"/>
      <c r="N398" s="75"/>
      <c r="O398" s="336"/>
      <c r="P398" s="158"/>
      <c r="Q398" s="694"/>
      <c r="R398" s="694"/>
      <c r="S398" s="694"/>
      <c r="T398" s="694"/>
      <c r="U398" s="694"/>
      <c r="V398" s="694"/>
      <c r="W398" s="694"/>
      <c r="X398" s="694"/>
      <c r="Y398" s="770"/>
      <c r="Z398" s="770"/>
      <c r="AA398" s="770"/>
      <c r="AB398" s="770"/>
      <c r="AC398" s="1536" t="b">
        <f>AC392</f>
        <v>0</v>
      </c>
      <c r="AD398" s="1537" t="b">
        <f t="shared" ref="AD398:AI398" si="102">AD392</f>
        <v>0</v>
      </c>
      <c r="AE398" s="1537" t="b">
        <f t="shared" si="102"/>
        <v>0</v>
      </c>
      <c r="AF398" s="1537" t="b">
        <f t="shared" si="102"/>
        <v>0</v>
      </c>
      <c r="AG398" s="1537" t="b">
        <f t="shared" si="102"/>
        <v>0</v>
      </c>
      <c r="AH398" s="1537" t="b">
        <f t="shared" si="102"/>
        <v>0</v>
      </c>
      <c r="AI398" s="1538" t="b">
        <f t="shared" si="102"/>
        <v>0</v>
      </c>
      <c r="AJ398" s="770"/>
      <c r="AK398" s="770"/>
      <c r="AL398" s="770"/>
    </row>
    <row r="399" spans="1:38" ht="5.15" customHeight="1" x14ac:dyDescent="0.25">
      <c r="A399" s="694"/>
      <c r="B399" s="284"/>
      <c r="C399" s="284"/>
      <c r="D399" s="284"/>
      <c r="E399" s="284"/>
      <c r="F399" s="284"/>
      <c r="G399" s="284"/>
      <c r="H399" s="284"/>
      <c r="I399" s="284"/>
      <c r="J399" s="284"/>
      <c r="K399" s="284"/>
      <c r="L399" s="284"/>
      <c r="M399" s="284"/>
      <c r="N399" s="336"/>
      <c r="O399" s="336"/>
      <c r="P399" s="302"/>
      <c r="Q399" s="770"/>
      <c r="R399" s="694"/>
      <c r="S399" s="694"/>
      <c r="T399" s="694"/>
      <c r="U399" s="694"/>
      <c r="V399" s="694"/>
      <c r="W399" s="694"/>
      <c r="X399" s="694"/>
      <c r="Y399" s="770"/>
      <c r="Z399" s="770"/>
      <c r="AA399" s="770"/>
      <c r="AB399" s="770"/>
      <c r="AC399" s="770"/>
      <c r="AD399" s="770"/>
      <c r="AE399" s="770"/>
      <c r="AF399" s="770"/>
      <c r="AG399" s="770"/>
      <c r="AH399" s="770"/>
      <c r="AI399" s="770"/>
      <c r="AJ399" s="770"/>
      <c r="AK399" s="770"/>
      <c r="AL399" s="770"/>
    </row>
    <row r="400" spans="1:38" ht="13" customHeight="1" x14ac:dyDescent="0.25">
      <c r="A400" s="694"/>
      <c r="B400" s="284"/>
      <c r="C400" s="284"/>
      <c r="D400" s="300" t="s">
        <v>906</v>
      </c>
      <c r="E400" s="2463" t="str">
        <f>Translations!$B$835</f>
        <v>Резултат: Равнища на активност на синтетичен газ, посочени като тонове с 47 % съдържание на водород</v>
      </c>
      <c r="F400" s="2240"/>
      <c r="G400" s="2240"/>
      <c r="H400" s="2240"/>
      <c r="I400" s="2240"/>
      <c r="J400" s="2240"/>
      <c r="K400" s="2240"/>
      <c r="L400" s="2240"/>
      <c r="M400" s="2240"/>
      <c r="N400" s="2240"/>
      <c r="O400" s="336"/>
      <c r="P400" s="302"/>
      <c r="Q400" s="770"/>
      <c r="R400" s="694"/>
      <c r="S400" s="694"/>
      <c r="T400" s="694"/>
      <c r="U400" s="694"/>
      <c r="V400" s="694"/>
      <c r="W400" s="694"/>
      <c r="X400" s="694"/>
      <c r="Y400" s="770"/>
      <c r="Z400" s="770"/>
      <c r="AA400" s="770"/>
      <c r="AB400" s="770"/>
      <c r="AC400" s="770"/>
      <c r="AD400" s="770"/>
      <c r="AE400" s="770"/>
      <c r="AF400" s="770"/>
      <c r="AG400" s="770"/>
      <c r="AH400" s="770"/>
      <c r="AI400" s="770"/>
      <c r="AJ400" s="770"/>
      <c r="AK400" s="770"/>
      <c r="AL400" s="770"/>
    </row>
    <row r="401" spans="1:38" ht="12.65" customHeight="1" x14ac:dyDescent="0.25">
      <c r="A401" s="694"/>
      <c r="B401" s="284"/>
      <c r="C401" s="284"/>
      <c r="D401" s="302"/>
      <c r="E401" s="2293" t="str">
        <f>Translations!$B$836</f>
        <v>Тук коригираното равнище на активност (отнасящо се до 47 % H2) се изчислява по формулата, дадена в ПБР, приложение III, точка 7 (преди определяне на средната стойност).</v>
      </c>
      <c r="F401" s="2240"/>
      <c r="G401" s="2240"/>
      <c r="H401" s="2240"/>
      <c r="I401" s="2240"/>
      <c r="J401" s="2240"/>
      <c r="K401" s="2240"/>
      <c r="L401" s="2240"/>
      <c r="M401" s="2240"/>
      <c r="N401" s="2240"/>
      <c r="O401" s="336"/>
      <c r="P401" s="302"/>
      <c r="Q401" s="770"/>
      <c r="R401" s="694"/>
      <c r="S401" s="694"/>
      <c r="T401" s="694"/>
      <c r="U401" s="694"/>
      <c r="V401" s="694"/>
      <c r="W401" s="694"/>
      <c r="X401" s="694"/>
      <c r="Y401" s="770"/>
      <c r="Z401" s="770"/>
      <c r="AA401" s="770"/>
      <c r="AB401" s="770"/>
      <c r="AC401" s="770"/>
      <c r="AD401" s="770"/>
      <c r="AE401" s="770"/>
      <c r="AF401" s="770"/>
      <c r="AG401" s="770"/>
      <c r="AH401" s="770"/>
      <c r="AI401" s="770"/>
      <c r="AJ401" s="770"/>
      <c r="AK401" s="770"/>
      <c r="AL401" s="770"/>
    </row>
    <row r="402" spans="1:38" ht="12.65" customHeight="1" x14ac:dyDescent="0.25">
      <c r="A402" s="694"/>
      <c r="B402" s="284"/>
      <c r="C402" s="284"/>
      <c r="D402" s="302"/>
      <c r="E402" s="2293" t="str">
        <f>Translations!$B$826</f>
        <v>Ако формулата води до отрицателна стойност, тя се заменя с нула.</v>
      </c>
      <c r="F402" s="2240"/>
      <c r="G402" s="2240"/>
      <c r="H402" s="2240"/>
      <c r="I402" s="2240"/>
      <c r="J402" s="2240"/>
      <c r="K402" s="2240"/>
      <c r="L402" s="2240"/>
      <c r="M402" s="2240"/>
      <c r="N402" s="2240"/>
      <c r="O402" s="336"/>
      <c r="P402" s="302"/>
      <c r="Q402" s="770"/>
      <c r="R402" s="694"/>
      <c r="S402" s="694"/>
      <c r="T402" s="694"/>
      <c r="U402" s="694"/>
      <c r="V402" s="694"/>
      <c r="W402" s="694"/>
      <c r="X402" s="694"/>
      <c r="Y402" s="770"/>
      <c r="Z402" s="770"/>
      <c r="AA402" s="770"/>
      <c r="AB402" s="770"/>
      <c r="AC402" s="770"/>
      <c r="AD402" s="770"/>
      <c r="AE402" s="770"/>
      <c r="AF402" s="770"/>
      <c r="AG402" s="770"/>
      <c r="AH402" s="770"/>
      <c r="AI402" s="770"/>
      <c r="AJ402" s="770"/>
      <c r="AK402" s="770"/>
      <c r="AL402" s="770"/>
    </row>
    <row r="403" spans="1:38" ht="13" customHeight="1" x14ac:dyDescent="0.25">
      <c r="A403" s="694"/>
      <c r="B403" s="284"/>
      <c r="C403" s="284"/>
      <c r="D403" s="302"/>
      <c r="E403" s="2293" t="str">
        <f>Translations!$B$748</f>
        <v>Резултатът от този инструмент се използва в работен лист „F_ProductBM“, ред a).ii за съответната подинсталация, от която е изчислена статистическата медиана.</v>
      </c>
      <c r="F403" s="2240"/>
      <c r="G403" s="2240"/>
      <c r="H403" s="2240"/>
      <c r="I403" s="2240"/>
      <c r="J403" s="2240"/>
      <c r="K403" s="2240"/>
      <c r="L403" s="2240"/>
      <c r="M403" s="2240"/>
      <c r="N403" s="2240"/>
      <c r="O403" s="336"/>
      <c r="P403" s="302"/>
      <c r="Q403" s="770"/>
      <c r="R403" s="694"/>
      <c r="S403" s="694"/>
      <c r="T403" s="694"/>
      <c r="U403" s="694"/>
      <c r="V403" s="694"/>
      <c r="W403" s="694"/>
      <c r="X403" s="694"/>
      <c r="Y403" s="770"/>
      <c r="Z403" s="770"/>
      <c r="AA403" s="770"/>
      <c r="AB403" s="770"/>
      <c r="AC403" s="770"/>
      <c r="AD403" s="770"/>
      <c r="AE403" s="770"/>
      <c r="AF403" s="770"/>
      <c r="AG403" s="770"/>
      <c r="AH403" s="770"/>
      <c r="AI403" s="770"/>
      <c r="AJ403" s="770"/>
      <c r="AK403" s="770"/>
      <c r="AL403" s="770"/>
    </row>
    <row r="404" spans="1:38" ht="13" x14ac:dyDescent="0.25">
      <c r="A404" s="694"/>
      <c r="B404" s="698"/>
      <c r="C404" s="698"/>
      <c r="D404" s="300"/>
      <c r="E404" s="742"/>
      <c r="F404" s="742"/>
      <c r="G404" s="527" t="str">
        <f>EUconst_Unit</f>
        <v>Единица мярка</v>
      </c>
      <c r="H404" s="387">
        <f t="shared" ref="H404:N404" si="103">H$490</f>
        <v>2024</v>
      </c>
      <c r="I404" s="1544">
        <f t="shared" si="103"/>
        <v>2025</v>
      </c>
      <c r="J404" s="1523">
        <f t="shared" si="103"/>
        <v>2026</v>
      </c>
      <c r="K404" s="387">
        <f t="shared" si="103"/>
        <v>2027</v>
      </c>
      <c r="L404" s="387">
        <f t="shared" si="103"/>
        <v>2028</v>
      </c>
      <c r="M404" s="387">
        <f t="shared" si="103"/>
        <v>2029</v>
      </c>
      <c r="N404" s="1522">
        <f t="shared" si="103"/>
        <v>2030</v>
      </c>
      <c r="O404" s="336"/>
      <c r="P404" s="302"/>
      <c r="Q404" s="694"/>
      <c r="R404" s="694"/>
      <c r="S404" s="694"/>
      <c r="T404" s="694"/>
      <c r="U404" s="694"/>
      <c r="V404" s="694"/>
      <c r="W404" s="694"/>
      <c r="X404" s="694"/>
      <c r="Y404" s="770"/>
      <c r="Z404" s="770"/>
      <c r="AA404" s="770"/>
      <c r="AB404" s="770"/>
      <c r="AC404" s="770"/>
      <c r="AD404" s="770"/>
      <c r="AE404" s="770"/>
      <c r="AF404" s="770"/>
      <c r="AG404" s="770"/>
      <c r="AH404" s="770"/>
      <c r="AI404" s="770"/>
      <c r="AJ404" s="770"/>
      <c r="AK404" s="770"/>
      <c r="AL404" s="770"/>
    </row>
    <row r="405" spans="1:38" ht="13" customHeight="1" x14ac:dyDescent="0.25">
      <c r="A405" s="694"/>
      <c r="B405" s="698"/>
      <c r="C405" s="698"/>
      <c r="D405" s="698"/>
      <c r="E405" s="2667" t="str">
        <f>Translations!$B$837</f>
        <v>Синтезен газ (съдържание на H2 от 47 %)</v>
      </c>
      <c r="F405" s="2258"/>
      <c r="G405" s="1016" t="str">
        <f>EUconst_tpa</f>
        <v>t / година</v>
      </c>
      <c r="H405" s="1024" t="str">
        <f t="shared" ref="H405:N405" si="104">IF(AND(ISNUMBER(H392),ISNUMBER(H398)),IF((H392*0.7047*(1-(0.47-H398)/0.0863))&gt;0,H392*0.7047*(1-(0.47-H398)/0.0863),0),"")</f>
        <v/>
      </c>
      <c r="I405" s="1582" t="str">
        <f t="shared" si="104"/>
        <v/>
      </c>
      <c r="J405" s="1393" t="str">
        <f t="shared" si="104"/>
        <v/>
      </c>
      <c r="K405" s="1024" t="str">
        <f t="shared" si="104"/>
        <v/>
      </c>
      <c r="L405" s="1024" t="str">
        <f t="shared" si="104"/>
        <v/>
      </c>
      <c r="M405" s="1024" t="str">
        <f t="shared" si="104"/>
        <v/>
      </c>
      <c r="N405" s="1392" t="str">
        <f t="shared" si="104"/>
        <v/>
      </c>
      <c r="O405" s="336"/>
      <c r="P405" s="302"/>
      <c r="Q405" s="982" t="str">
        <f>IF(L384=EUconst_Relevant,EUconst_CNTR_HALspecial &amp; INDEX(EUconst_BMlistNames,MATCH(R384,EUconst_BMlistMainNumberOfBM,0)),"")</f>
        <v/>
      </c>
      <c r="R405" s="694"/>
      <c r="S405" s="694"/>
      <c r="T405" s="694"/>
      <c r="U405" s="694"/>
      <c r="V405" s="694"/>
      <c r="W405" s="694"/>
      <c r="X405" s="694"/>
      <c r="Y405" s="770"/>
      <c r="Z405" s="770"/>
      <c r="AA405" s="770"/>
      <c r="AB405" s="770"/>
      <c r="AC405" s="770"/>
      <c r="AD405" s="770"/>
      <c r="AE405" s="770"/>
      <c r="AF405" s="770"/>
      <c r="AG405" s="770"/>
      <c r="AH405" s="770"/>
      <c r="AI405" s="770"/>
      <c r="AJ405" s="770"/>
      <c r="AK405" s="770"/>
      <c r="AL405" s="770"/>
    </row>
    <row r="406" spans="1:38" ht="5.15" customHeight="1" x14ac:dyDescent="0.25">
      <c r="A406" s="694"/>
      <c r="B406" s="284"/>
      <c r="C406" s="284"/>
      <c r="D406" s="284"/>
      <c r="E406" s="284"/>
      <c r="F406" s="284"/>
      <c r="G406" s="284"/>
      <c r="H406" s="284"/>
      <c r="I406" s="284"/>
      <c r="J406" s="284"/>
      <c r="K406" s="284"/>
      <c r="L406" s="284"/>
      <c r="M406" s="336"/>
      <c r="N406" s="336"/>
      <c r="O406" s="336"/>
      <c r="P406" s="302"/>
      <c r="Q406" s="770"/>
      <c r="R406" s="694"/>
      <c r="S406" s="694"/>
      <c r="T406" s="694"/>
      <c r="U406" s="694"/>
      <c r="V406" s="694"/>
      <c r="W406" s="694"/>
      <c r="X406" s="694"/>
      <c r="Y406" s="770"/>
      <c r="Z406" s="770"/>
      <c r="AA406" s="770"/>
      <c r="AB406" s="770"/>
      <c r="AC406" s="770"/>
      <c r="AD406" s="770"/>
      <c r="AE406" s="770"/>
      <c r="AF406" s="770"/>
      <c r="AG406" s="770"/>
      <c r="AH406" s="770"/>
      <c r="AI406" s="770"/>
      <c r="AJ406" s="770"/>
      <c r="AK406" s="770"/>
      <c r="AL406" s="770"/>
    </row>
    <row r="407" spans="1:38" ht="13" x14ac:dyDescent="0.25">
      <c r="A407" s="694"/>
      <c r="B407" s="284"/>
      <c r="C407" s="284"/>
      <c r="D407" s="284"/>
      <c r="E407" s="2951" t="str">
        <f>IF(L384=EUconst_Relevant,HYPERLINK(R407,EUconst_MsgBackToSheetF),"")</f>
        <v/>
      </c>
      <c r="F407" s="2952"/>
      <c r="G407" s="2952"/>
      <c r="H407" s="2952"/>
      <c r="I407" s="2952"/>
      <c r="J407" s="2952"/>
      <c r="K407" s="2952"/>
      <c r="L407" s="2952"/>
      <c r="M407" s="2952"/>
      <c r="N407" s="2953"/>
      <c r="O407" s="336"/>
      <c r="P407" s="302"/>
      <c r="Q407" s="1395" t="s">
        <v>113</v>
      </c>
      <c r="R407" s="982" t="str">
        <f>R386</f>
        <v/>
      </c>
      <c r="S407" s="694"/>
      <c r="T407" s="694"/>
      <c r="U407" s="694"/>
      <c r="V407" s="694"/>
      <c r="W407" s="694"/>
      <c r="X407" s="694"/>
      <c r="Y407" s="770"/>
      <c r="Z407" s="770"/>
      <c r="AA407" s="770"/>
      <c r="AB407" s="770"/>
      <c r="AC407" s="770"/>
      <c r="AD407" s="770"/>
      <c r="AE407" s="770"/>
      <c r="AF407" s="770"/>
      <c r="AG407" s="770"/>
      <c r="AH407" s="770"/>
      <c r="AI407" s="770"/>
      <c r="AJ407" s="770"/>
      <c r="AK407" s="770"/>
      <c r="AL407" s="770"/>
    </row>
    <row r="408" spans="1:38" x14ac:dyDescent="0.25">
      <c r="A408" s="694"/>
      <c r="B408" s="698"/>
      <c r="C408" s="698"/>
      <c r="D408" s="698"/>
      <c r="E408" s="698"/>
      <c r="F408" s="698"/>
      <c r="G408" s="698"/>
      <c r="H408" s="698"/>
      <c r="I408" s="698"/>
      <c r="J408" s="698"/>
      <c r="K408" s="698"/>
      <c r="L408" s="698"/>
      <c r="M408" s="698"/>
      <c r="N408" s="698"/>
      <c r="O408" s="336"/>
      <c r="P408" s="302"/>
      <c r="Q408" s="694"/>
      <c r="R408" s="694"/>
      <c r="S408" s="694"/>
      <c r="T408" s="694"/>
      <c r="U408" s="694"/>
      <c r="V408" s="694"/>
      <c r="W408" s="694"/>
      <c r="X408" s="694"/>
      <c r="Y408" s="770"/>
      <c r="Z408" s="770"/>
      <c r="AA408" s="770"/>
      <c r="AB408" s="770"/>
      <c r="AC408" s="770"/>
      <c r="AD408" s="770"/>
      <c r="AE408" s="770"/>
      <c r="AF408" s="770"/>
      <c r="AG408" s="770"/>
      <c r="AH408" s="770"/>
      <c r="AI408" s="770"/>
      <c r="AJ408" s="770"/>
      <c r="AK408" s="770"/>
      <c r="AL408" s="770"/>
    </row>
    <row r="409" spans="1:38" ht="15.5" x14ac:dyDescent="0.35">
      <c r="A409" s="694"/>
      <c r="B409" s="284"/>
      <c r="C409" s="327" t="s">
        <v>956</v>
      </c>
      <c r="D409" s="2245" t="str">
        <f>Translations!$B$838</f>
        <v>Етиленов оксид/гликоли</v>
      </c>
      <c r="E409" s="2245"/>
      <c r="F409" s="2245"/>
      <c r="G409" s="2245"/>
      <c r="H409" s="2245"/>
      <c r="I409" s="2245"/>
      <c r="J409" s="2245"/>
      <c r="K409" s="2245"/>
      <c r="L409" s="2245"/>
      <c r="M409" s="2245"/>
      <c r="N409" s="2245"/>
      <c r="O409" s="336"/>
      <c r="P409" s="302"/>
      <c r="Q409" s="770"/>
      <c r="R409" s="694"/>
      <c r="S409" s="694"/>
      <c r="T409" s="694"/>
      <c r="U409" s="694"/>
      <c r="V409" s="694"/>
      <c r="W409" s="694"/>
      <c r="X409" s="694"/>
      <c r="Y409" s="770"/>
      <c r="Z409" s="770"/>
      <c r="AA409" s="770"/>
      <c r="AB409" s="770"/>
      <c r="AC409" s="770"/>
      <c r="AD409" s="770"/>
      <c r="AE409" s="770"/>
      <c r="AF409" s="770"/>
      <c r="AG409" s="770"/>
      <c r="AH409" s="770"/>
      <c r="AI409" s="770"/>
      <c r="AJ409" s="770"/>
      <c r="AK409" s="770"/>
      <c r="AL409" s="770"/>
    </row>
    <row r="410" spans="1:38" ht="5.15" customHeight="1" x14ac:dyDescent="0.25">
      <c r="A410" s="694"/>
      <c r="B410" s="284"/>
      <c r="C410" s="284"/>
      <c r="D410" s="284"/>
      <c r="E410" s="284"/>
      <c r="F410" s="284"/>
      <c r="G410" s="284"/>
      <c r="H410" s="284"/>
      <c r="I410" s="284"/>
      <c r="J410" s="284"/>
      <c r="K410" s="284"/>
      <c r="L410" s="284"/>
      <c r="M410" s="336"/>
      <c r="N410" s="336"/>
      <c r="O410" s="336"/>
      <c r="P410" s="302"/>
      <c r="Q410" s="770"/>
      <c r="R410" s="694"/>
      <c r="S410" s="694"/>
      <c r="T410" s="694"/>
      <c r="U410" s="694"/>
      <c r="V410" s="694"/>
      <c r="W410" s="694"/>
      <c r="X410" s="694"/>
      <c r="Y410" s="770"/>
      <c r="Z410" s="770"/>
      <c r="AA410" s="770"/>
      <c r="AB410" s="770"/>
      <c r="AC410" s="770"/>
      <c r="AD410" s="770"/>
      <c r="AE410" s="770"/>
      <c r="AF410" s="770"/>
      <c r="AG410" s="770"/>
      <c r="AH410" s="770"/>
      <c r="AI410" s="770"/>
      <c r="AJ410" s="770"/>
      <c r="AK410" s="770"/>
      <c r="AL410" s="770"/>
    </row>
    <row r="411" spans="1:38" ht="14" x14ac:dyDescent="0.3">
      <c r="A411" s="694"/>
      <c r="B411" s="284"/>
      <c r="C411" s="357"/>
      <c r="D411" s="2323" t="str">
        <f>Translations!$B$839</f>
        <v>Инструмент за изчисляване на историческите равнища на активност за подинсталациите с етиленов оксид/етиленгликол</v>
      </c>
      <c r="E411" s="2249"/>
      <c r="F411" s="2249"/>
      <c r="G411" s="2249"/>
      <c r="H411" s="2249"/>
      <c r="I411" s="2249"/>
      <c r="J411" s="2249"/>
      <c r="K411" s="2249"/>
      <c r="L411" s="2249"/>
      <c r="M411" s="2249"/>
      <c r="N411" s="2249"/>
      <c r="O411" s="336"/>
      <c r="P411" s="302"/>
      <c r="Q411" s="770"/>
      <c r="R411" s="694"/>
      <c r="S411" s="694"/>
      <c r="T411" s="694"/>
      <c r="U411" s="694"/>
      <c r="V411" s="694"/>
      <c r="W411" s="694"/>
      <c r="X411" s="694"/>
      <c r="Y411" s="770"/>
      <c r="Z411" s="770"/>
      <c r="AA411" s="770"/>
      <c r="AB411" s="770"/>
      <c r="AC411" s="770"/>
      <c r="AD411" s="770"/>
      <c r="AE411" s="770"/>
      <c r="AF411" s="770"/>
      <c r="AG411" s="770"/>
      <c r="AH411" s="770"/>
      <c r="AI411" s="770"/>
      <c r="AJ411" s="770"/>
      <c r="AK411" s="770"/>
      <c r="AL411" s="770"/>
    </row>
    <row r="412" spans="1:38" ht="5.15" customHeight="1" x14ac:dyDescent="0.25">
      <c r="A412" s="694"/>
      <c r="B412" s="284"/>
      <c r="C412" s="284"/>
      <c r="D412" s="284"/>
      <c r="E412" s="284"/>
      <c r="F412" s="284"/>
      <c r="G412" s="284"/>
      <c r="H412" s="284"/>
      <c r="I412" s="284"/>
      <c r="J412" s="284"/>
      <c r="K412" s="284"/>
      <c r="L412" s="284"/>
      <c r="M412" s="336"/>
      <c r="N412" s="336"/>
      <c r="O412" s="336"/>
      <c r="P412" s="302"/>
      <c r="Q412" s="770"/>
      <c r="R412" s="694"/>
      <c r="S412" s="694"/>
      <c r="T412" s="694"/>
      <c r="U412" s="694"/>
      <c r="V412" s="694"/>
      <c r="W412" s="694"/>
      <c r="X412" s="694"/>
      <c r="Y412" s="770"/>
      <c r="Z412" s="770"/>
      <c r="AA412" s="770"/>
      <c r="AB412" s="770"/>
      <c r="AC412" s="770"/>
      <c r="AD412" s="770"/>
      <c r="AE412" s="770"/>
      <c r="AF412" s="770"/>
      <c r="AG412" s="770"/>
      <c r="AH412" s="770"/>
      <c r="AI412" s="770"/>
      <c r="AJ412" s="770"/>
      <c r="AK412" s="770"/>
      <c r="AL412" s="770"/>
    </row>
    <row r="413" spans="1:38" x14ac:dyDescent="0.25">
      <c r="A413" s="694"/>
      <c r="B413" s="284"/>
      <c r="C413" s="284"/>
      <c r="D413" s="302"/>
      <c r="E413" s="2358" t="str">
        <f>Translations!$B$840</f>
        <v>Този инструмент ви помага да определите HAL (исторически нива на активност) за референтния показател за етиленов оксид/етиленгликоли (приложение III, точка 8 от ПБР).</v>
      </c>
      <c r="F413" s="2249"/>
      <c r="G413" s="2249"/>
      <c r="H413" s="2249"/>
      <c r="I413" s="2249"/>
      <c r="J413" s="2249"/>
      <c r="K413" s="2249"/>
      <c r="L413" s="2249"/>
      <c r="M413" s="2249"/>
      <c r="N413" s="2249"/>
      <c r="O413" s="336"/>
      <c r="P413" s="302"/>
      <c r="Q413" s="770"/>
      <c r="R413" s="694"/>
      <c r="S413" s="694"/>
      <c r="T413" s="694"/>
      <c r="U413" s="694"/>
      <c r="V413" s="694"/>
      <c r="W413" s="694"/>
      <c r="X413" s="694"/>
      <c r="Y413" s="770"/>
      <c r="Z413" s="770"/>
      <c r="AA413" s="770"/>
      <c r="AB413" s="770"/>
      <c r="AC413" s="770"/>
      <c r="AD413" s="770"/>
      <c r="AE413" s="770"/>
      <c r="AF413" s="770"/>
      <c r="AG413" s="770"/>
      <c r="AH413" s="770"/>
      <c r="AI413" s="770"/>
      <c r="AJ413" s="770"/>
      <c r="AK413" s="770"/>
      <c r="AL413" s="770"/>
    </row>
    <row r="414" spans="1:38" x14ac:dyDescent="0.25">
      <c r="A414" s="694"/>
      <c r="B414" s="284"/>
      <c r="C414" s="284"/>
      <c r="D414" s="302"/>
      <c r="E414" s="2358" t="str">
        <f>Translations!$B$673</f>
        <v>Резултатът от този инструмент се копира автоматично в работен лист „F_ProductBM“, ред „a).ii“ за съответната подинсталация.</v>
      </c>
      <c r="F414" s="2249"/>
      <c r="G414" s="2249"/>
      <c r="H414" s="2249"/>
      <c r="I414" s="2249"/>
      <c r="J414" s="2249"/>
      <c r="K414" s="2249"/>
      <c r="L414" s="2249"/>
      <c r="M414" s="2249"/>
      <c r="N414" s="2249"/>
      <c r="O414" s="336"/>
      <c r="P414" s="302"/>
      <c r="Q414" s="770"/>
      <c r="R414" s="694"/>
      <c r="S414" s="694"/>
      <c r="T414" s="694"/>
      <c r="U414" s="694"/>
      <c r="V414" s="694"/>
      <c r="W414" s="694"/>
      <c r="X414" s="694"/>
      <c r="Y414" s="770"/>
      <c r="Z414" s="770"/>
      <c r="AA414" s="770"/>
      <c r="AB414" s="770"/>
      <c r="AC414" s="770"/>
      <c r="AD414" s="770"/>
      <c r="AE414" s="770"/>
      <c r="AF414" s="770"/>
      <c r="AG414" s="770"/>
      <c r="AH414" s="770"/>
      <c r="AI414" s="770"/>
      <c r="AJ414" s="770"/>
      <c r="AK414" s="770"/>
      <c r="AL414" s="770"/>
    </row>
    <row r="415" spans="1:38" ht="5.15" customHeight="1" x14ac:dyDescent="0.25">
      <c r="A415" s="694"/>
      <c r="B415" s="284"/>
      <c r="C415" s="284"/>
      <c r="D415" s="284"/>
      <c r="E415" s="284"/>
      <c r="F415" s="284"/>
      <c r="G415" s="284"/>
      <c r="H415" s="284"/>
      <c r="I415" s="284"/>
      <c r="J415" s="284"/>
      <c r="K415" s="284"/>
      <c r="L415" s="284"/>
      <c r="M415" s="336"/>
      <c r="N415" s="336"/>
      <c r="O415" s="336"/>
      <c r="P415" s="302"/>
      <c r="Q415" s="770"/>
      <c r="R415" s="694"/>
      <c r="S415" s="694"/>
      <c r="T415" s="694"/>
      <c r="U415" s="694"/>
      <c r="V415" s="694"/>
      <c r="W415" s="694"/>
      <c r="X415" s="694"/>
      <c r="Y415" s="770"/>
      <c r="Z415" s="770"/>
      <c r="AA415" s="770"/>
      <c r="AB415" s="770"/>
      <c r="AC415" s="770"/>
      <c r="AD415" s="770"/>
      <c r="AE415" s="770"/>
      <c r="AF415" s="770"/>
      <c r="AG415" s="770"/>
      <c r="AH415" s="770"/>
      <c r="AI415" s="770"/>
      <c r="AJ415" s="770"/>
      <c r="AK415" s="770"/>
      <c r="AL415" s="770"/>
    </row>
    <row r="416" spans="1:38" ht="14" x14ac:dyDescent="0.3">
      <c r="A416" s="694"/>
      <c r="B416" s="284"/>
      <c r="C416" s="284"/>
      <c r="D416" s="300" t="s">
        <v>408</v>
      </c>
      <c r="E416" s="2226" t="str">
        <f>Translations!$B$674</f>
        <v>Практическо значение на този инструмент за Вашата инсталация:</v>
      </c>
      <c r="F416" s="2226"/>
      <c r="G416" s="2226"/>
      <c r="H416" s="2226"/>
      <c r="I416" s="2226"/>
      <c r="J416" s="2226"/>
      <c r="K416" s="2317"/>
      <c r="L416" s="2956" t="str">
        <f>IF(CNTR_ExistSubInstEntries,IF(COUNTIF(CNTR_SubInstListNames,INDEX(EUconst_BMlistNames,MATCH(R416,EUconst_BMlistMainNumberOfBM,0)))&gt;0,EUconst_Relevant,EUconst_NotRelevant),"")</f>
        <v/>
      </c>
      <c r="M416" s="2957"/>
      <c r="N416" s="2958"/>
      <c r="O416" s="336"/>
      <c r="P416" s="302"/>
      <c r="Q416" s="1395" t="s">
        <v>114</v>
      </c>
      <c r="R416" s="1519">
        <v>46</v>
      </c>
      <c r="S416" s="694"/>
      <c r="T416" s="694"/>
      <c r="U416" s="694"/>
      <c r="V416" s="694"/>
      <c r="W416" s="694"/>
      <c r="X416" s="694"/>
      <c r="Y416" s="770"/>
      <c r="Z416" s="770"/>
      <c r="AA416" s="770"/>
      <c r="AB416" s="770"/>
      <c r="AC416" s="770"/>
      <c r="AD416" s="770"/>
      <c r="AE416" s="770"/>
      <c r="AF416" s="770"/>
      <c r="AG416" s="770"/>
      <c r="AH416" s="770"/>
      <c r="AI416" s="770"/>
      <c r="AJ416" s="770"/>
      <c r="AK416" s="770"/>
      <c r="AL416" s="770"/>
    </row>
    <row r="417" spans="1:38" x14ac:dyDescent="0.25">
      <c r="A417" s="694"/>
      <c r="B417" s="284"/>
      <c r="C417" s="284"/>
      <c r="D417" s="302"/>
      <c r="E417" s="2255" t="str">
        <f>Translations!$B$675</f>
        <v>Това съобщение се генерира автоматично въз основа на въведените от Вас данни в работен лист „A_InstallationData“ („А_Данни за инсталацията“), раздел A.III.1.</v>
      </c>
      <c r="F417" s="2256"/>
      <c r="G417" s="2256"/>
      <c r="H417" s="2256"/>
      <c r="I417" s="2256"/>
      <c r="J417" s="2256"/>
      <c r="K417" s="2256"/>
      <c r="L417" s="2256"/>
      <c r="M417" s="2256"/>
      <c r="N417" s="2256"/>
      <c r="O417" s="336"/>
      <c r="P417" s="302"/>
      <c r="Q417" s="770"/>
      <c r="R417" s="694"/>
      <c r="S417" s="694"/>
      <c r="T417" s="770"/>
      <c r="U417" s="770"/>
      <c r="V417" s="694"/>
      <c r="W417" s="694"/>
      <c r="X417" s="694"/>
      <c r="Y417" s="770"/>
      <c r="Z417" s="770"/>
      <c r="AA417" s="770"/>
      <c r="AB417" s="770"/>
      <c r="AC417" s="770"/>
      <c r="AD417" s="770"/>
      <c r="AE417" s="770"/>
      <c r="AF417" s="770"/>
      <c r="AG417" s="770"/>
      <c r="AH417" s="770"/>
      <c r="AI417" s="770"/>
      <c r="AJ417" s="770"/>
      <c r="AK417" s="770"/>
      <c r="AL417" s="770"/>
    </row>
    <row r="418" spans="1:38" ht="13" x14ac:dyDescent="0.25">
      <c r="A418" s="694"/>
      <c r="B418" s="284"/>
      <c r="C418" s="284"/>
      <c r="D418" s="284"/>
      <c r="E418" s="2951" t="str">
        <f>IF(L416=EUconst_Relevant,HYPERLINK(R418,EUconst_MsgBackToSheetF),"")</f>
        <v/>
      </c>
      <c r="F418" s="2952"/>
      <c r="G418" s="2952"/>
      <c r="H418" s="2952"/>
      <c r="I418" s="2952"/>
      <c r="J418" s="2952"/>
      <c r="K418" s="2952"/>
      <c r="L418" s="2952"/>
      <c r="M418" s="2952"/>
      <c r="N418" s="2953"/>
      <c r="O418" s="336"/>
      <c r="P418" s="302"/>
      <c r="Q418" s="1395" t="s">
        <v>113</v>
      </c>
      <c r="R418" s="982" t="str">
        <f>IF(ISNUMBER(MATCH(R416,CNTR_SubInstListBMnumbers,0)),"#JUMP_F"&amp;MATCH(R416,CNTR_SubInstListBMnumbers,0),"")</f>
        <v/>
      </c>
      <c r="S418" s="694"/>
      <c r="T418" s="770"/>
      <c r="U418" s="770"/>
      <c r="V418" s="694"/>
      <c r="W418" s="694"/>
      <c r="X418" s="694"/>
      <c r="Y418" s="770"/>
      <c r="Z418" s="770"/>
      <c r="AA418" s="770"/>
      <c r="AB418" s="770"/>
      <c r="AC418" s="770"/>
      <c r="AD418" s="770"/>
      <c r="AE418" s="770"/>
      <c r="AF418" s="770"/>
      <c r="AG418" s="770"/>
      <c r="AH418" s="770"/>
      <c r="AI418" s="770"/>
      <c r="AJ418" s="770"/>
      <c r="AK418" s="770"/>
      <c r="AL418" s="770"/>
    </row>
    <row r="419" spans="1:38" ht="5.15" customHeight="1" x14ac:dyDescent="0.25">
      <c r="A419" s="694"/>
      <c r="B419" s="284"/>
      <c r="C419" s="284"/>
      <c r="D419" s="284"/>
      <c r="E419" s="284"/>
      <c r="F419" s="284"/>
      <c r="G419" s="284"/>
      <c r="H419" s="284"/>
      <c r="I419" s="284"/>
      <c r="J419" s="284"/>
      <c r="K419" s="284"/>
      <c r="L419" s="284"/>
      <c r="M419" s="336"/>
      <c r="N419" s="336"/>
      <c r="O419" s="336"/>
      <c r="P419" s="302"/>
      <c r="Q419" s="770"/>
      <c r="R419" s="694"/>
      <c r="S419" s="694"/>
      <c r="T419" s="770"/>
      <c r="U419" s="770"/>
      <c r="V419" s="694"/>
      <c r="W419" s="694"/>
      <c r="X419" s="694"/>
      <c r="Y419" s="770"/>
      <c r="Z419" s="770"/>
      <c r="AA419" s="770"/>
      <c r="AB419" s="770"/>
      <c r="AC419" s="770"/>
      <c r="AD419" s="770"/>
      <c r="AE419" s="770"/>
      <c r="AF419" s="770"/>
      <c r="AG419" s="770"/>
      <c r="AH419" s="770"/>
      <c r="AI419" s="770"/>
      <c r="AJ419" s="770"/>
      <c r="AK419" s="770"/>
      <c r="AL419" s="770"/>
    </row>
    <row r="420" spans="1:38" ht="13" x14ac:dyDescent="0.25">
      <c r="A420" s="694"/>
      <c r="B420" s="284"/>
      <c r="C420" s="284"/>
      <c r="D420" s="300" t="s">
        <v>901</v>
      </c>
      <c r="E420" s="2226" t="str">
        <f>Translations!$B$841</f>
        <v>Данни за производството на етиленов оксид и гликоли:</v>
      </c>
      <c r="F420" s="2249"/>
      <c r="G420" s="2249"/>
      <c r="H420" s="2249"/>
      <c r="I420" s="2249"/>
      <c r="J420" s="2249"/>
      <c r="K420" s="2249"/>
      <c r="L420" s="2249"/>
      <c r="M420" s="2249"/>
      <c r="N420" s="2249"/>
      <c r="O420" s="336"/>
      <c r="P420" s="302"/>
      <c r="Q420" s="770"/>
      <c r="R420" s="694"/>
      <c r="S420" s="694"/>
      <c r="T420" s="770"/>
      <c r="U420" s="770"/>
      <c r="V420" s="694"/>
      <c r="W420" s="694"/>
      <c r="X420" s="694"/>
      <c r="Y420" s="770"/>
      <c r="Z420" s="770"/>
      <c r="AA420" s="770"/>
      <c r="AB420" s="770"/>
      <c r="AC420" s="770"/>
      <c r="AD420" s="770"/>
      <c r="AE420" s="770"/>
      <c r="AF420" s="770"/>
      <c r="AG420" s="770"/>
      <c r="AH420" s="770"/>
      <c r="AI420" s="770"/>
      <c r="AJ420" s="770"/>
      <c r="AK420" s="770"/>
      <c r="AL420" s="770"/>
    </row>
    <row r="421" spans="1:38" x14ac:dyDescent="0.25">
      <c r="A421" s="694"/>
      <c r="B421" s="284"/>
      <c r="C421" s="284"/>
      <c r="D421" s="302"/>
      <c r="E421" s="2358" t="str">
        <f>Translations!$B$1347</f>
        <v>Моля, въведете тук данните за годишното производство на различните продукти, обхванати от този показател, през всяка година.</v>
      </c>
      <c r="F421" s="2249"/>
      <c r="G421" s="2249"/>
      <c r="H421" s="2249"/>
      <c r="I421" s="2249"/>
      <c r="J421" s="2249"/>
      <c r="K421" s="2249"/>
      <c r="L421" s="2249"/>
      <c r="M421" s="2249"/>
      <c r="N421" s="2249"/>
      <c r="O421" s="336"/>
      <c r="P421" s="302"/>
      <c r="Q421" s="770"/>
      <c r="R421" s="694"/>
      <c r="S421" s="694"/>
      <c r="T421" s="770"/>
      <c r="U421" s="770"/>
      <c r="V421" s="694"/>
      <c r="W421" s="694"/>
      <c r="X421" s="694"/>
      <c r="Y421" s="770"/>
      <c r="Z421" s="770"/>
      <c r="AA421" s="770"/>
      <c r="AB421" s="770"/>
      <c r="AC421" s="770"/>
      <c r="AD421" s="770"/>
      <c r="AE421" s="770"/>
      <c r="AF421" s="770"/>
      <c r="AG421" s="770"/>
      <c r="AH421" s="770"/>
      <c r="AI421" s="770"/>
      <c r="AJ421" s="770"/>
      <c r="AK421" s="770"/>
      <c r="AL421" s="770"/>
    </row>
    <row r="422" spans="1:38" x14ac:dyDescent="0.25">
      <c r="A422" s="694"/>
      <c r="B422" s="284"/>
      <c r="C422" s="284"/>
      <c r="D422" s="302"/>
      <c r="E422" s="2358" t="str">
        <f>Translations!$B$842</f>
        <v>Таблицата показва също стойностите на CF(EOE), използвани за изчисление. CF(EOE) е коефициентът на преобразуване за всяко вещество по отношение на етиленовия оксид.</v>
      </c>
      <c r="F422" s="2249"/>
      <c r="G422" s="2249"/>
      <c r="H422" s="2249"/>
      <c r="I422" s="2249"/>
      <c r="J422" s="2249"/>
      <c r="K422" s="2249"/>
      <c r="L422" s="2249"/>
      <c r="M422" s="2249"/>
      <c r="N422" s="2249"/>
      <c r="O422" s="336"/>
      <c r="P422" s="302"/>
      <c r="Q422" s="770"/>
      <c r="R422" s="694"/>
      <c r="S422" s="694"/>
      <c r="T422" s="770"/>
      <c r="U422" s="770"/>
      <c r="V422" s="694"/>
      <c r="W422" s="694"/>
      <c r="X422" s="694"/>
      <c r="Y422" s="770"/>
      <c r="Z422" s="770"/>
      <c r="AA422" s="770"/>
      <c r="AB422" s="770"/>
      <c r="AC422" s="770"/>
      <c r="AD422" s="770"/>
      <c r="AE422" s="770"/>
      <c r="AF422" s="770"/>
      <c r="AG422" s="770"/>
      <c r="AH422" s="770"/>
      <c r="AI422" s="770"/>
      <c r="AJ422" s="770"/>
      <c r="AK422" s="770"/>
      <c r="AL422" s="770"/>
    </row>
    <row r="423" spans="1:38" ht="13.5" thickBot="1" x14ac:dyDescent="0.3">
      <c r="A423" s="694"/>
      <c r="B423" s="698"/>
      <c r="C423" s="698"/>
      <c r="D423" s="300"/>
      <c r="E423" s="461"/>
      <c r="F423" s="1583" t="s">
        <v>856</v>
      </c>
      <c r="G423" s="527" t="str">
        <f>EUconst_Unit</f>
        <v>Единица мярка</v>
      </c>
      <c r="H423" s="387">
        <f t="shared" ref="H423:N423" si="105">H$490</f>
        <v>2024</v>
      </c>
      <c r="I423" s="1544">
        <f t="shared" si="105"/>
        <v>2025</v>
      </c>
      <c r="J423" s="1523">
        <f t="shared" si="105"/>
        <v>2026</v>
      </c>
      <c r="K423" s="387">
        <f t="shared" si="105"/>
        <v>2027</v>
      </c>
      <c r="L423" s="387">
        <f t="shared" si="105"/>
        <v>2028</v>
      </c>
      <c r="M423" s="387">
        <f t="shared" si="105"/>
        <v>2029</v>
      </c>
      <c r="N423" s="1522">
        <f t="shared" si="105"/>
        <v>2030</v>
      </c>
      <c r="O423" s="336"/>
      <c r="P423" s="302"/>
      <c r="Q423" s="694"/>
      <c r="R423" s="694"/>
      <c r="S423" s="694"/>
      <c r="T423" s="770"/>
      <c r="U423" s="770"/>
      <c r="V423" s="694"/>
      <c r="W423" s="694"/>
      <c r="X423" s="694"/>
      <c r="Y423" s="770"/>
      <c r="Z423" s="770"/>
      <c r="AA423" s="770"/>
      <c r="AB423" s="694"/>
      <c r="AC423" s="1524">
        <f t="shared" ref="AC423:AI423" si="106">H423</f>
        <v>2024</v>
      </c>
      <c r="AD423" s="1524">
        <f t="shared" si="106"/>
        <v>2025</v>
      </c>
      <c r="AE423" s="1524">
        <f t="shared" si="106"/>
        <v>2026</v>
      </c>
      <c r="AF423" s="1524">
        <f t="shared" si="106"/>
        <v>2027</v>
      </c>
      <c r="AG423" s="1524">
        <f t="shared" si="106"/>
        <v>2028</v>
      </c>
      <c r="AH423" s="1524">
        <f t="shared" si="106"/>
        <v>2029</v>
      </c>
      <c r="AI423" s="1524">
        <f t="shared" si="106"/>
        <v>2030</v>
      </c>
      <c r="AJ423" s="770"/>
      <c r="AK423" s="770"/>
      <c r="AL423" s="770"/>
    </row>
    <row r="424" spans="1:38" x14ac:dyDescent="0.25">
      <c r="A424" s="694"/>
      <c r="B424" s="698"/>
      <c r="C424" s="698"/>
      <c r="D424" s="698"/>
      <c r="E424" s="1258" t="str">
        <f>Translations!$B$843</f>
        <v>Етиленов оксид</v>
      </c>
      <c r="F424" s="1584">
        <v>0.92600000000000005</v>
      </c>
      <c r="G424" s="1085" t="str">
        <f>EUconst_tpa</f>
        <v>t / година</v>
      </c>
      <c r="H424" s="17"/>
      <c r="I424" s="254"/>
      <c r="J424" s="255"/>
      <c r="K424" s="17"/>
      <c r="L424" s="17"/>
      <c r="M424" s="17"/>
      <c r="N424" s="76"/>
      <c r="O424" s="336"/>
      <c r="P424" s="158"/>
      <c r="Q424" s="694"/>
      <c r="R424" s="694"/>
      <c r="S424" s="694"/>
      <c r="T424" s="770"/>
      <c r="U424" s="770"/>
      <c r="V424" s="694"/>
      <c r="W424" s="694"/>
      <c r="X424" s="694"/>
      <c r="Y424" s="770"/>
      <c r="Z424" s="770"/>
      <c r="AA424" s="770"/>
      <c r="AB424" s="1182" t="s">
        <v>737</v>
      </c>
      <c r="AC424" s="1526" t="b">
        <f t="shared" ref="AC424:AI424" si="107">IF(CNTR_ExistSubInstEntries,IF($L416=EUconst_Relevant,AC423&gt;=CNTR_ReportingYear,TRUE),FALSE)</f>
        <v>0</v>
      </c>
      <c r="AD424" s="1281" t="b">
        <f t="shared" si="107"/>
        <v>0</v>
      </c>
      <c r="AE424" s="1281" t="b">
        <f t="shared" si="107"/>
        <v>0</v>
      </c>
      <c r="AF424" s="1281" t="b">
        <f t="shared" si="107"/>
        <v>0</v>
      </c>
      <c r="AG424" s="1281" t="b">
        <f t="shared" si="107"/>
        <v>0</v>
      </c>
      <c r="AH424" s="1281" t="b">
        <f t="shared" si="107"/>
        <v>0</v>
      </c>
      <c r="AI424" s="1527" t="b">
        <f t="shared" si="107"/>
        <v>0</v>
      </c>
      <c r="AJ424" s="770"/>
      <c r="AK424" s="770"/>
      <c r="AL424" s="770"/>
    </row>
    <row r="425" spans="1:38" x14ac:dyDescent="0.25">
      <c r="A425" s="694"/>
      <c r="B425" s="698"/>
      <c r="C425" s="698"/>
      <c r="D425" s="698"/>
      <c r="E425" s="1532" t="str">
        <f>Translations!$B$844</f>
        <v>Моноетилен гликол</v>
      </c>
      <c r="F425" s="1585">
        <v>0.71699999999999997</v>
      </c>
      <c r="G425" s="1087" t="str">
        <f>EUconst_tpa</f>
        <v>t / година</v>
      </c>
      <c r="H425" s="5"/>
      <c r="I425" s="256"/>
      <c r="J425" s="257"/>
      <c r="K425" s="5"/>
      <c r="L425" s="5"/>
      <c r="M425" s="5"/>
      <c r="N425" s="77"/>
      <c r="O425" s="336"/>
      <c r="P425" s="158"/>
      <c r="Q425" s="694"/>
      <c r="R425" s="694"/>
      <c r="S425" s="694"/>
      <c r="T425" s="770"/>
      <c r="U425" s="770"/>
      <c r="V425" s="694"/>
      <c r="W425" s="694"/>
      <c r="X425" s="694"/>
      <c r="Y425" s="770"/>
      <c r="Z425" s="770"/>
      <c r="AA425" s="770"/>
      <c r="AB425" s="770"/>
      <c r="AC425" s="1530" t="b">
        <f t="shared" ref="AC425:AI427" si="108">AC424</f>
        <v>0</v>
      </c>
      <c r="AD425" s="1500" t="b">
        <f t="shared" si="108"/>
        <v>0</v>
      </c>
      <c r="AE425" s="1500" t="b">
        <f t="shared" si="108"/>
        <v>0</v>
      </c>
      <c r="AF425" s="1500" t="b">
        <f t="shared" si="108"/>
        <v>0</v>
      </c>
      <c r="AG425" s="1500" t="b">
        <f t="shared" si="108"/>
        <v>0</v>
      </c>
      <c r="AH425" s="1500" t="b">
        <f t="shared" si="108"/>
        <v>0</v>
      </c>
      <c r="AI425" s="1531" t="b">
        <f t="shared" si="108"/>
        <v>0</v>
      </c>
      <c r="AJ425" s="770"/>
      <c r="AK425" s="770"/>
      <c r="AL425" s="770"/>
    </row>
    <row r="426" spans="1:38" x14ac:dyDescent="0.25">
      <c r="A426" s="694"/>
      <c r="B426" s="698"/>
      <c r="C426" s="698"/>
      <c r="D426" s="698"/>
      <c r="E426" s="1532" t="str">
        <f>Translations!$B$845</f>
        <v>Диетиленгликол</v>
      </c>
      <c r="F426" s="1585">
        <v>1.1739999999999999</v>
      </c>
      <c r="G426" s="1087" t="str">
        <f>EUconst_tpa</f>
        <v>t / година</v>
      </c>
      <c r="H426" s="5"/>
      <c r="I426" s="256"/>
      <c r="J426" s="257"/>
      <c r="K426" s="5"/>
      <c r="L426" s="5"/>
      <c r="M426" s="5"/>
      <c r="N426" s="77"/>
      <c r="O426" s="336"/>
      <c r="P426" s="158"/>
      <c r="Q426" s="694"/>
      <c r="R426" s="694"/>
      <c r="S426" s="694"/>
      <c r="T426" s="770"/>
      <c r="U426" s="770"/>
      <c r="V426" s="694"/>
      <c r="W426" s="694"/>
      <c r="X426" s="694"/>
      <c r="Y426" s="770"/>
      <c r="Z426" s="770"/>
      <c r="AA426" s="770"/>
      <c r="AB426" s="770"/>
      <c r="AC426" s="1530" t="b">
        <f t="shared" si="108"/>
        <v>0</v>
      </c>
      <c r="AD426" s="1500" t="b">
        <f t="shared" si="108"/>
        <v>0</v>
      </c>
      <c r="AE426" s="1500" t="b">
        <f t="shared" si="108"/>
        <v>0</v>
      </c>
      <c r="AF426" s="1500" t="b">
        <f t="shared" si="108"/>
        <v>0</v>
      </c>
      <c r="AG426" s="1500" t="b">
        <f t="shared" si="108"/>
        <v>0</v>
      </c>
      <c r="AH426" s="1500" t="b">
        <f t="shared" si="108"/>
        <v>0</v>
      </c>
      <c r="AI426" s="1531" t="b">
        <f t="shared" si="108"/>
        <v>0</v>
      </c>
      <c r="AJ426" s="770"/>
      <c r="AK426" s="770"/>
      <c r="AL426" s="770"/>
    </row>
    <row r="427" spans="1:38" ht="13" thickBot="1" x14ac:dyDescent="0.3">
      <c r="A427" s="694"/>
      <c r="B427" s="698"/>
      <c r="C427" s="698"/>
      <c r="D427" s="698"/>
      <c r="E427" s="1534" t="str">
        <f>Translations!$B$846</f>
        <v>Триетиленгликол</v>
      </c>
      <c r="F427" s="1586">
        <v>1.429</v>
      </c>
      <c r="G427" s="1088" t="str">
        <f>EUconst_tpa</f>
        <v>t / година</v>
      </c>
      <c r="H427" s="4"/>
      <c r="I427" s="258"/>
      <c r="J427" s="259"/>
      <c r="K427" s="4"/>
      <c r="L427" s="4"/>
      <c r="M427" s="4"/>
      <c r="N427" s="78"/>
      <c r="O427" s="336"/>
      <c r="P427" s="158"/>
      <c r="Q427" s="694"/>
      <c r="R427" s="694"/>
      <c r="S427" s="694"/>
      <c r="T427" s="770"/>
      <c r="U427" s="770"/>
      <c r="V427" s="694"/>
      <c r="W427" s="694"/>
      <c r="X427" s="694"/>
      <c r="Y427" s="770"/>
      <c r="Z427" s="770"/>
      <c r="AA427" s="770"/>
      <c r="AB427" s="770"/>
      <c r="AC427" s="1536" t="b">
        <f t="shared" si="108"/>
        <v>0</v>
      </c>
      <c r="AD427" s="1537" t="b">
        <f t="shared" si="108"/>
        <v>0</v>
      </c>
      <c r="AE427" s="1537" t="b">
        <f t="shared" si="108"/>
        <v>0</v>
      </c>
      <c r="AF427" s="1537" t="b">
        <f t="shared" si="108"/>
        <v>0</v>
      </c>
      <c r="AG427" s="1537" t="b">
        <f t="shared" si="108"/>
        <v>0</v>
      </c>
      <c r="AH427" s="1537" t="b">
        <f t="shared" si="108"/>
        <v>0</v>
      </c>
      <c r="AI427" s="1538" t="b">
        <f t="shared" si="108"/>
        <v>0</v>
      </c>
      <c r="AJ427" s="770"/>
      <c r="AK427" s="770"/>
      <c r="AL427" s="770"/>
    </row>
    <row r="428" spans="1:38" x14ac:dyDescent="0.25">
      <c r="A428" s="694"/>
      <c r="B428" s="698"/>
      <c r="C428" s="698"/>
      <c r="D428" s="698"/>
      <c r="E428" s="2667" t="str">
        <f>Translations!$B$847</f>
        <v>Сума на продуктите</v>
      </c>
      <c r="F428" s="2258"/>
      <c r="G428" s="1088" t="str">
        <f>EUconst_tpa</f>
        <v>t / година</v>
      </c>
      <c r="H428" s="1587" t="str">
        <f t="shared" ref="H428:N428" si="109">IF(COUNT(H424:H427)&gt;0,SUM(H424:H427),"")</f>
        <v/>
      </c>
      <c r="I428" s="1588" t="str">
        <f t="shared" si="109"/>
        <v/>
      </c>
      <c r="J428" s="1589" t="str">
        <f t="shared" si="109"/>
        <v/>
      </c>
      <c r="K428" s="1587" t="str">
        <f t="shared" si="109"/>
        <v/>
      </c>
      <c r="L428" s="1587" t="str">
        <f t="shared" si="109"/>
        <v/>
      </c>
      <c r="M428" s="1587" t="str">
        <f t="shared" si="109"/>
        <v/>
      </c>
      <c r="N428" s="1590" t="str">
        <f t="shared" si="109"/>
        <v/>
      </c>
      <c r="O428" s="336"/>
      <c r="P428" s="302"/>
      <c r="Q428" s="694"/>
      <c r="R428" s="694"/>
      <c r="S428" s="694"/>
      <c r="T428" s="770"/>
      <c r="U428" s="770"/>
      <c r="V428" s="694"/>
      <c r="W428" s="694"/>
      <c r="X428" s="694"/>
      <c r="Y428" s="770"/>
      <c r="Z428" s="770"/>
      <c r="AA428" s="770"/>
      <c r="AB428" s="770"/>
      <c r="AC428" s="770"/>
      <c r="AD428" s="770"/>
      <c r="AE428" s="770"/>
      <c r="AF428" s="770"/>
      <c r="AG428" s="770"/>
      <c r="AH428" s="770"/>
      <c r="AI428" s="770"/>
      <c r="AJ428" s="770"/>
      <c r="AK428" s="770"/>
      <c r="AL428" s="770"/>
    </row>
    <row r="429" spans="1:38" ht="5.15" customHeight="1" x14ac:dyDescent="0.25">
      <c r="A429" s="694"/>
      <c r="B429" s="284"/>
      <c r="C429" s="284"/>
      <c r="D429" s="284"/>
      <c r="E429" s="284"/>
      <c r="F429" s="284"/>
      <c r="G429" s="284"/>
      <c r="H429" s="284"/>
      <c r="I429" s="284"/>
      <c r="J429" s="284"/>
      <c r="K429" s="284"/>
      <c r="L429" s="284"/>
      <c r="M429" s="284"/>
      <c r="N429" s="336"/>
      <c r="O429" s="336"/>
      <c r="P429" s="302"/>
      <c r="Q429" s="770"/>
      <c r="R429" s="694"/>
      <c r="S429" s="694"/>
      <c r="T429" s="770"/>
      <c r="U429" s="770"/>
      <c r="V429" s="694"/>
      <c r="W429" s="694"/>
      <c r="X429" s="694"/>
      <c r="Y429" s="770"/>
      <c r="Z429" s="770"/>
      <c r="AA429" s="770"/>
      <c r="AB429" s="770"/>
      <c r="AC429" s="770"/>
      <c r="AD429" s="770"/>
      <c r="AE429" s="770"/>
      <c r="AF429" s="770"/>
      <c r="AG429" s="770"/>
      <c r="AH429" s="770"/>
      <c r="AI429" s="770"/>
      <c r="AJ429" s="770"/>
      <c r="AK429" s="770"/>
      <c r="AL429" s="770"/>
    </row>
    <row r="430" spans="1:38" ht="13" customHeight="1" x14ac:dyDescent="0.25">
      <c r="A430" s="694"/>
      <c r="B430" s="284"/>
      <c r="C430" s="284"/>
      <c r="D430" s="300" t="s">
        <v>46</v>
      </c>
      <c r="E430" s="2463" t="str">
        <f>Translations!$B$848</f>
        <v>Резултат: Равнища на активност за подинсталацията с продуктов показател за етиленов оксид/етиленгликоли:</v>
      </c>
      <c r="F430" s="2240"/>
      <c r="G430" s="2240"/>
      <c r="H430" s="2240"/>
      <c r="I430" s="2240"/>
      <c r="J430" s="2240"/>
      <c r="K430" s="2240"/>
      <c r="L430" s="2240"/>
      <c r="M430" s="2240"/>
      <c r="N430" s="2240"/>
      <c r="O430" s="336"/>
      <c r="P430" s="302"/>
      <c r="Q430" s="770"/>
      <c r="R430" s="694"/>
      <c r="S430" s="694"/>
      <c r="T430" s="770"/>
      <c r="U430" s="770"/>
      <c r="V430" s="694"/>
      <c r="W430" s="694"/>
      <c r="X430" s="694"/>
      <c r="Y430" s="770"/>
      <c r="Z430" s="770"/>
      <c r="AA430" s="770"/>
      <c r="AB430" s="770"/>
      <c r="AC430" s="770"/>
      <c r="AD430" s="770"/>
      <c r="AE430" s="770"/>
      <c r="AF430" s="770"/>
      <c r="AG430" s="770"/>
      <c r="AH430" s="770"/>
      <c r="AI430" s="770"/>
      <c r="AJ430" s="770"/>
      <c r="AK430" s="770"/>
      <c r="AL430" s="770"/>
    </row>
    <row r="431" spans="1:38" ht="12.65" customHeight="1" x14ac:dyDescent="0.25">
      <c r="A431" s="694"/>
      <c r="B431" s="284"/>
      <c r="C431" s="284"/>
      <c r="D431" s="302"/>
      <c r="E431" s="2293" t="str">
        <f>Translations!$B$849</f>
        <v>Историческото равнище на активност, изразено в тонове еквивалент на етиленов оксид, се изчислява по формулата, дадена в ПБР, приложение III, точка 8.</v>
      </c>
      <c r="F431" s="2240"/>
      <c r="G431" s="2240"/>
      <c r="H431" s="2240"/>
      <c r="I431" s="2240"/>
      <c r="J431" s="2240"/>
      <c r="K431" s="2240"/>
      <c r="L431" s="2240"/>
      <c r="M431" s="2240"/>
      <c r="N431" s="2240"/>
      <c r="O431" s="336"/>
      <c r="P431" s="302"/>
      <c r="Q431" s="770"/>
      <c r="R431" s="694"/>
      <c r="S431" s="694"/>
      <c r="T431" s="770"/>
      <c r="U431" s="770"/>
      <c r="V431" s="694"/>
      <c r="W431" s="694"/>
      <c r="X431" s="694"/>
      <c r="Y431" s="770"/>
      <c r="Z431" s="770"/>
      <c r="AA431" s="770"/>
      <c r="AB431" s="770"/>
      <c r="AC431" s="770"/>
      <c r="AD431" s="770"/>
      <c r="AE431" s="770"/>
      <c r="AF431" s="770"/>
      <c r="AG431" s="770"/>
      <c r="AH431" s="770"/>
      <c r="AI431" s="770"/>
      <c r="AJ431" s="770"/>
      <c r="AK431" s="770"/>
      <c r="AL431" s="770"/>
    </row>
    <row r="432" spans="1:38" ht="13" customHeight="1" x14ac:dyDescent="0.25">
      <c r="A432" s="694"/>
      <c r="B432" s="284"/>
      <c r="C432" s="284"/>
      <c r="D432" s="302"/>
      <c r="E432" s="2293" t="str">
        <f>Translations!$B$748</f>
        <v>Резултатът от този инструмент се използва в работен лист „F_ProductBM“, ред a).ii за съответната подинсталация, от която е изчислена статистическата медиана.</v>
      </c>
      <c r="F432" s="2240"/>
      <c r="G432" s="2240"/>
      <c r="H432" s="2240"/>
      <c r="I432" s="2240"/>
      <c r="J432" s="2240"/>
      <c r="K432" s="2240"/>
      <c r="L432" s="2240"/>
      <c r="M432" s="2240"/>
      <c r="N432" s="2240"/>
      <c r="O432" s="336"/>
      <c r="P432" s="302"/>
      <c r="Q432" s="770"/>
      <c r="R432" s="694"/>
      <c r="S432" s="694"/>
      <c r="T432" s="770"/>
      <c r="U432" s="770"/>
      <c r="V432" s="694"/>
      <c r="W432" s="694"/>
      <c r="X432" s="694"/>
      <c r="Y432" s="770"/>
      <c r="Z432" s="770"/>
      <c r="AA432" s="770"/>
      <c r="AB432" s="770"/>
      <c r="AC432" s="770"/>
      <c r="AD432" s="770"/>
      <c r="AE432" s="770"/>
      <c r="AF432" s="770"/>
      <c r="AG432" s="770"/>
      <c r="AH432" s="770"/>
      <c r="AI432" s="770"/>
      <c r="AJ432" s="770"/>
      <c r="AK432" s="770"/>
      <c r="AL432" s="770"/>
    </row>
    <row r="433" spans="1:38" ht="13" x14ac:dyDescent="0.25">
      <c r="A433" s="694"/>
      <c r="B433" s="698"/>
      <c r="C433" s="698"/>
      <c r="D433" s="300"/>
      <c r="E433" s="742"/>
      <c r="F433" s="742"/>
      <c r="G433" s="527" t="str">
        <f>EUconst_Unit</f>
        <v>Единица мярка</v>
      </c>
      <c r="H433" s="387">
        <f t="shared" ref="H433:N433" si="110">H$490</f>
        <v>2024</v>
      </c>
      <c r="I433" s="1544">
        <f t="shared" si="110"/>
        <v>2025</v>
      </c>
      <c r="J433" s="1523">
        <f t="shared" si="110"/>
        <v>2026</v>
      </c>
      <c r="K433" s="387">
        <f t="shared" si="110"/>
        <v>2027</v>
      </c>
      <c r="L433" s="387">
        <f t="shared" si="110"/>
        <v>2028</v>
      </c>
      <c r="M433" s="387">
        <f t="shared" si="110"/>
        <v>2029</v>
      </c>
      <c r="N433" s="1522">
        <f t="shared" si="110"/>
        <v>2030</v>
      </c>
      <c r="O433" s="336"/>
      <c r="P433" s="302"/>
      <c r="Q433" s="694"/>
      <c r="R433" s="694"/>
      <c r="S433" s="694"/>
      <c r="T433" s="770"/>
      <c r="U433" s="770"/>
      <c r="V433" s="694"/>
      <c r="W433" s="694"/>
      <c r="X433" s="694"/>
      <c r="Y433" s="770"/>
      <c r="Z433" s="770"/>
      <c r="AA433" s="770"/>
      <c r="AB433" s="770"/>
      <c r="AC433" s="770"/>
      <c r="AD433" s="770"/>
      <c r="AE433" s="770"/>
      <c r="AF433" s="770"/>
      <c r="AG433" s="770"/>
      <c r="AH433" s="770"/>
      <c r="AI433" s="770"/>
      <c r="AJ433" s="770"/>
      <c r="AK433" s="770"/>
      <c r="AL433" s="770"/>
    </row>
    <row r="434" spans="1:38" ht="13" customHeight="1" x14ac:dyDescent="0.25">
      <c r="A434" s="694"/>
      <c r="B434" s="698"/>
      <c r="C434" s="698"/>
      <c r="D434" s="698"/>
      <c r="E434" s="2667" t="str">
        <f>Translations!$B$850</f>
        <v>Общо еквиваленти на етиленов оксид</v>
      </c>
      <c r="F434" s="2258"/>
      <c r="G434" s="1016" t="str">
        <f>EUconst_tpa</f>
        <v>t / година</v>
      </c>
      <c r="H434" s="1539" t="str">
        <f t="shared" ref="H434:N434" si="111">IF(ISNUMBER(H428),SUMPRODUCT($F$424:$F$427,H424:H427),"")</f>
        <v/>
      </c>
      <c r="I434" s="1545" t="str">
        <f t="shared" si="111"/>
        <v/>
      </c>
      <c r="J434" s="1541" t="str">
        <f t="shared" si="111"/>
        <v/>
      </c>
      <c r="K434" s="1539" t="str">
        <f t="shared" si="111"/>
        <v/>
      </c>
      <c r="L434" s="1539" t="str">
        <f t="shared" si="111"/>
        <v/>
      </c>
      <c r="M434" s="1539" t="str">
        <f t="shared" si="111"/>
        <v/>
      </c>
      <c r="N434" s="1540" t="str">
        <f t="shared" si="111"/>
        <v/>
      </c>
      <c r="O434" s="336"/>
      <c r="P434" s="302"/>
      <c r="Q434" s="982" t="str">
        <f>IF(L416=EUconst_Relevant,EUconst_CNTR_HALspecial &amp; INDEX(EUconst_BMlistNames,MATCH(R416,EUconst_BMlistMainNumberOfBM,0)),"")</f>
        <v/>
      </c>
      <c r="R434" s="694"/>
      <c r="S434" s="694"/>
      <c r="T434" s="694"/>
      <c r="U434" s="694"/>
      <c r="V434" s="694"/>
      <c r="W434" s="694"/>
      <c r="X434" s="694"/>
      <c r="Y434" s="770"/>
      <c r="Z434" s="770"/>
      <c r="AA434" s="770"/>
      <c r="AB434" s="770"/>
      <c r="AC434" s="770"/>
      <c r="AD434" s="770"/>
      <c r="AE434" s="770"/>
      <c r="AF434" s="770"/>
      <c r="AG434" s="770"/>
      <c r="AH434" s="770"/>
      <c r="AI434" s="770"/>
      <c r="AJ434" s="770"/>
      <c r="AK434" s="770"/>
      <c r="AL434" s="770"/>
    </row>
    <row r="435" spans="1:38" ht="5.15" customHeight="1" x14ac:dyDescent="0.25">
      <c r="A435" s="694"/>
      <c r="B435" s="284"/>
      <c r="C435" s="284"/>
      <c r="D435" s="284"/>
      <c r="E435" s="284"/>
      <c r="F435" s="725"/>
      <c r="G435" s="725"/>
      <c r="H435" s="284"/>
      <c r="I435" s="284"/>
      <c r="J435" s="284"/>
      <c r="K435" s="284"/>
      <c r="L435" s="284"/>
      <c r="M435" s="336"/>
      <c r="N435" s="336"/>
      <c r="O435" s="336"/>
      <c r="P435" s="302"/>
      <c r="Q435" s="770"/>
      <c r="R435" s="694"/>
      <c r="S435" s="694"/>
      <c r="T435" s="694"/>
      <c r="U435" s="694"/>
      <c r="V435" s="694"/>
      <c r="W435" s="694"/>
      <c r="X435" s="694"/>
      <c r="Y435" s="770"/>
      <c r="Z435" s="770"/>
      <c r="AA435" s="770"/>
      <c r="AB435" s="770"/>
      <c r="AC435" s="770"/>
      <c r="AD435" s="770"/>
      <c r="AE435" s="770"/>
      <c r="AF435" s="770"/>
      <c r="AG435" s="770"/>
      <c r="AH435" s="770"/>
      <c r="AI435" s="770"/>
      <c r="AJ435" s="770"/>
      <c r="AK435" s="770"/>
      <c r="AL435" s="770"/>
    </row>
    <row r="436" spans="1:38" ht="13" x14ac:dyDescent="0.25">
      <c r="A436" s="694"/>
      <c r="B436" s="284"/>
      <c r="C436" s="284"/>
      <c r="D436" s="284"/>
      <c r="E436" s="2951" t="str">
        <f>IF(L416=EUconst_Relevant,HYPERLINK(R436,EUconst_MsgBackToSheetF),"")</f>
        <v/>
      </c>
      <c r="F436" s="2952"/>
      <c r="G436" s="2952"/>
      <c r="H436" s="2952"/>
      <c r="I436" s="2952"/>
      <c r="J436" s="2952"/>
      <c r="K436" s="2952"/>
      <c r="L436" s="2952"/>
      <c r="M436" s="2952"/>
      <c r="N436" s="2953"/>
      <c r="O436" s="336"/>
      <c r="P436" s="302"/>
      <c r="Q436" s="1395" t="s">
        <v>113</v>
      </c>
      <c r="R436" s="982" t="str">
        <f>R418</f>
        <v/>
      </c>
      <c r="S436" s="694"/>
      <c r="T436" s="694"/>
      <c r="U436" s="694"/>
      <c r="V436" s="694"/>
      <c r="W436" s="694"/>
      <c r="X436" s="694"/>
      <c r="Y436" s="770"/>
      <c r="Z436" s="770"/>
      <c r="AA436" s="770"/>
      <c r="AB436" s="770"/>
      <c r="AC436" s="770"/>
      <c r="AD436" s="770"/>
      <c r="AE436" s="770"/>
      <c r="AF436" s="770"/>
      <c r="AG436" s="770"/>
      <c r="AH436" s="770"/>
      <c r="AI436" s="770"/>
      <c r="AJ436" s="770"/>
      <c r="AK436" s="770"/>
      <c r="AL436" s="770"/>
    </row>
    <row r="437" spans="1:38" x14ac:dyDescent="0.25">
      <c r="A437" s="694"/>
      <c r="B437" s="698"/>
      <c r="C437" s="698"/>
      <c r="D437" s="698"/>
      <c r="E437" s="698"/>
      <c r="F437" s="698"/>
      <c r="G437" s="698"/>
      <c r="H437" s="698"/>
      <c r="I437" s="698"/>
      <c r="J437" s="698"/>
      <c r="K437" s="698"/>
      <c r="L437" s="698"/>
      <c r="M437" s="698"/>
      <c r="N437" s="698"/>
      <c r="O437" s="336"/>
      <c r="P437" s="302"/>
      <c r="Q437" s="694"/>
      <c r="R437" s="694"/>
      <c r="S437" s="694"/>
      <c r="T437" s="694"/>
      <c r="U437" s="694"/>
      <c r="V437" s="694"/>
      <c r="W437" s="694"/>
      <c r="X437" s="694"/>
      <c r="Y437" s="770"/>
      <c r="Z437" s="770"/>
      <c r="AA437" s="770"/>
      <c r="AB437" s="770"/>
      <c r="AC437" s="770"/>
      <c r="AD437" s="770"/>
      <c r="AE437" s="770"/>
      <c r="AF437" s="770"/>
      <c r="AG437" s="770"/>
      <c r="AH437" s="770"/>
      <c r="AI437" s="770"/>
      <c r="AJ437" s="770"/>
      <c r="AK437" s="770"/>
      <c r="AL437" s="770"/>
    </row>
    <row r="438" spans="1:38" ht="15.5" x14ac:dyDescent="0.35">
      <c r="A438" s="694"/>
      <c r="B438" s="284"/>
      <c r="C438" s="327" t="s">
        <v>241</v>
      </c>
      <c r="D438" s="2245" t="str">
        <f>Translations!$B$851</f>
        <v>Винилхлориден мономер (VCM)</v>
      </c>
      <c r="E438" s="2245"/>
      <c r="F438" s="2245"/>
      <c r="G438" s="2245"/>
      <c r="H438" s="2245"/>
      <c r="I438" s="2245"/>
      <c r="J438" s="2245"/>
      <c r="K438" s="2245"/>
      <c r="L438" s="2245"/>
      <c r="M438" s="2245"/>
      <c r="N438" s="2245"/>
      <c r="O438" s="336"/>
      <c r="P438" s="302"/>
      <c r="Q438" s="770"/>
      <c r="R438" s="694"/>
      <c r="S438" s="694"/>
      <c r="T438" s="694"/>
      <c r="U438" s="694"/>
      <c r="V438" s="694"/>
      <c r="W438" s="694"/>
      <c r="X438" s="694"/>
      <c r="Y438" s="770"/>
      <c r="Z438" s="770"/>
      <c r="AA438" s="770"/>
      <c r="AB438" s="770"/>
      <c r="AC438" s="770"/>
      <c r="AD438" s="770"/>
      <c r="AE438" s="770"/>
      <c r="AF438" s="770"/>
      <c r="AG438" s="770"/>
      <c r="AH438" s="770"/>
      <c r="AI438" s="770"/>
      <c r="AJ438" s="770"/>
      <c r="AK438" s="770"/>
      <c r="AL438" s="770"/>
    </row>
    <row r="439" spans="1:38" ht="5.15" customHeight="1" x14ac:dyDescent="0.25">
      <c r="A439" s="694"/>
      <c r="B439" s="284"/>
      <c r="C439" s="284"/>
      <c r="D439" s="284"/>
      <c r="E439" s="284"/>
      <c r="F439" s="284"/>
      <c r="G439" s="284"/>
      <c r="H439" s="284"/>
      <c r="I439" s="284"/>
      <c r="J439" s="284"/>
      <c r="K439" s="284"/>
      <c r="L439" s="284"/>
      <c r="M439" s="336"/>
      <c r="N439" s="336"/>
      <c r="O439" s="336"/>
      <c r="P439" s="302"/>
      <c r="Q439" s="770"/>
      <c r="R439" s="694"/>
      <c r="S439" s="694"/>
      <c r="T439" s="694"/>
      <c r="U439" s="694"/>
      <c r="V439" s="694"/>
      <c r="W439" s="694"/>
      <c r="X439" s="694"/>
      <c r="Y439" s="770"/>
      <c r="Z439" s="770"/>
      <c r="AA439" s="770"/>
      <c r="AB439" s="770"/>
      <c r="AC439" s="770"/>
      <c r="AD439" s="770"/>
      <c r="AE439" s="770"/>
      <c r="AF439" s="770"/>
      <c r="AG439" s="770"/>
      <c r="AH439" s="770"/>
      <c r="AI439" s="770"/>
      <c r="AJ439" s="770"/>
      <c r="AK439" s="770"/>
      <c r="AL439" s="770"/>
    </row>
    <row r="440" spans="1:38" ht="14" x14ac:dyDescent="0.3">
      <c r="A440" s="694"/>
      <c r="B440" s="284"/>
      <c r="C440" s="357"/>
      <c r="D440" s="2323" t="str">
        <f>Translations!$B$852</f>
        <v>Инструмент за винилхлориден мономер: предварително разпределяне (член 20 от ПБР)</v>
      </c>
      <c r="E440" s="2249"/>
      <c r="F440" s="2249"/>
      <c r="G440" s="2249"/>
      <c r="H440" s="2249"/>
      <c r="I440" s="2249"/>
      <c r="J440" s="2249"/>
      <c r="K440" s="2249"/>
      <c r="L440" s="2249"/>
      <c r="M440" s="2249"/>
      <c r="N440" s="2249"/>
      <c r="O440" s="336"/>
      <c r="P440" s="302"/>
      <c r="Q440" s="770"/>
      <c r="R440" s="694"/>
      <c r="S440" s="694"/>
      <c r="T440" s="694"/>
      <c r="U440" s="694"/>
      <c r="V440" s="694"/>
      <c r="W440" s="694"/>
      <c r="X440" s="694"/>
      <c r="Y440" s="770"/>
      <c r="Z440" s="770"/>
      <c r="AA440" s="770"/>
      <c r="AB440" s="770"/>
      <c r="AC440" s="770"/>
      <c r="AD440" s="770"/>
      <c r="AE440" s="770"/>
      <c r="AF440" s="770"/>
      <c r="AG440" s="770"/>
      <c r="AH440" s="770"/>
      <c r="AI440" s="770"/>
      <c r="AJ440" s="770"/>
      <c r="AK440" s="770"/>
      <c r="AL440" s="770"/>
    </row>
    <row r="441" spans="1:38" ht="5.15" customHeight="1" x14ac:dyDescent="0.25">
      <c r="A441" s="694"/>
      <c r="B441" s="284"/>
      <c r="C441" s="284"/>
      <c r="D441" s="284"/>
      <c r="E441" s="284"/>
      <c r="F441" s="284"/>
      <c r="G441" s="284"/>
      <c r="H441" s="284"/>
      <c r="I441" s="284"/>
      <c r="J441" s="284"/>
      <c r="K441" s="284"/>
      <c r="L441" s="284"/>
      <c r="M441" s="336"/>
      <c r="N441" s="336"/>
      <c r="O441" s="336"/>
      <c r="P441" s="302"/>
      <c r="Q441" s="770"/>
      <c r="R441" s="694"/>
      <c r="S441" s="694"/>
      <c r="T441" s="694"/>
      <c r="U441" s="694"/>
      <c r="V441" s="694"/>
      <c r="W441" s="694"/>
      <c r="X441" s="694"/>
      <c r="Y441" s="770"/>
      <c r="Z441" s="770"/>
      <c r="AA441" s="770"/>
      <c r="AB441" s="770"/>
      <c r="AC441" s="770"/>
      <c r="AD441" s="770"/>
      <c r="AE441" s="770"/>
      <c r="AF441" s="770"/>
      <c r="AG441" s="770"/>
      <c r="AH441" s="770"/>
      <c r="AI441" s="770"/>
      <c r="AJ441" s="770"/>
      <c r="AK441" s="770"/>
      <c r="AL441" s="770"/>
    </row>
    <row r="442" spans="1:38" x14ac:dyDescent="0.25">
      <c r="A442" s="694"/>
      <c r="B442" s="284"/>
      <c r="C442" s="284"/>
      <c r="D442" s="302"/>
      <c r="E442" s="2358" t="str">
        <f>Translations!$B$853</f>
        <v>С помощта на този инструмент можете да определите предварителното разпределяне за подинсталациите за винилхлориден мономер (член 20 от ПБР).</v>
      </c>
      <c r="F442" s="2249"/>
      <c r="G442" s="2249"/>
      <c r="H442" s="2249"/>
      <c r="I442" s="2249"/>
      <c r="J442" s="2249"/>
      <c r="K442" s="2249"/>
      <c r="L442" s="2249"/>
      <c r="M442" s="2249"/>
      <c r="N442" s="2249"/>
      <c r="O442" s="336"/>
      <c r="P442" s="302"/>
      <c r="Q442" s="770"/>
      <c r="R442" s="694"/>
      <c r="S442" s="694"/>
      <c r="T442" s="694"/>
      <c r="U442" s="694"/>
      <c r="V442" s="694"/>
      <c r="W442" s="694"/>
      <c r="X442" s="694"/>
      <c r="Y442" s="770"/>
      <c r="Z442" s="770"/>
      <c r="AA442" s="770"/>
      <c r="AB442" s="770"/>
      <c r="AC442" s="770"/>
      <c r="AD442" s="770"/>
      <c r="AE442" s="770"/>
      <c r="AF442" s="770"/>
      <c r="AG442" s="770"/>
      <c r="AH442" s="770"/>
      <c r="AI442" s="770"/>
      <c r="AJ442" s="770"/>
      <c r="AK442" s="770"/>
      <c r="AL442" s="770"/>
    </row>
    <row r="443" spans="1:38" x14ac:dyDescent="0.25">
      <c r="A443" s="694"/>
      <c r="B443" s="284"/>
      <c r="C443" s="284"/>
      <c r="D443" s="302"/>
      <c r="E443" s="2358" t="str">
        <f>Translations!$B$854</f>
        <v>Необходими са следните данни:</v>
      </c>
      <c r="F443" s="2249"/>
      <c r="G443" s="2249"/>
      <c r="H443" s="2249"/>
      <c r="I443" s="2249"/>
      <c r="J443" s="2249"/>
      <c r="K443" s="2249"/>
      <c r="L443" s="2249"/>
      <c r="M443" s="2249"/>
      <c r="N443" s="2249"/>
      <c r="O443" s="336"/>
      <c r="P443" s="302"/>
      <c r="Q443" s="770"/>
      <c r="R443" s="694"/>
      <c r="S443" s="694"/>
      <c r="T443" s="694"/>
      <c r="U443" s="694"/>
      <c r="V443" s="694"/>
      <c r="W443" s="694"/>
      <c r="X443" s="694"/>
      <c r="Y443" s="770"/>
      <c r="Z443" s="770"/>
      <c r="AA443" s="770"/>
      <c r="AB443" s="770"/>
      <c r="AC443" s="770"/>
      <c r="AD443" s="770"/>
      <c r="AE443" s="770"/>
      <c r="AF443" s="770"/>
      <c r="AG443" s="770"/>
      <c r="AH443" s="770"/>
      <c r="AI443" s="770"/>
      <c r="AJ443" s="770"/>
      <c r="AK443" s="770"/>
      <c r="AL443" s="770"/>
    </row>
    <row r="444" spans="1:38" x14ac:dyDescent="0.25">
      <c r="A444" s="694"/>
      <c r="B444" s="284"/>
      <c r="C444" s="284"/>
      <c r="D444" s="302"/>
      <c r="E444" s="427" t="s">
        <v>1052</v>
      </c>
      <c r="F444" s="2358" t="str">
        <f>Translations!$B$855</f>
        <v>равнищата на дейност, въведени в работен лист „ProductBM“, раздел а), за съответната подинсталация;</v>
      </c>
      <c r="G444" s="2249"/>
      <c r="H444" s="2249"/>
      <c r="I444" s="2249"/>
      <c r="J444" s="2249"/>
      <c r="K444" s="2249"/>
      <c r="L444" s="2249"/>
      <c r="M444" s="2249"/>
      <c r="N444" s="2249"/>
      <c r="O444" s="336"/>
      <c r="P444" s="302"/>
      <c r="Q444" s="770"/>
      <c r="R444" s="694"/>
      <c r="S444" s="694"/>
      <c r="T444" s="694"/>
      <c r="U444" s="694"/>
      <c r="V444" s="694"/>
      <c r="W444" s="694"/>
      <c r="X444" s="694"/>
      <c r="Y444" s="770"/>
      <c r="Z444" s="770"/>
      <c r="AA444" s="770"/>
      <c r="AB444" s="770"/>
      <c r="AC444" s="770"/>
      <c r="AD444" s="770"/>
      <c r="AE444" s="770"/>
      <c r="AF444" s="770"/>
      <c r="AG444" s="770"/>
      <c r="AH444" s="770"/>
      <c r="AI444" s="770"/>
      <c r="AJ444" s="770"/>
      <c r="AK444" s="770"/>
      <c r="AL444" s="770"/>
    </row>
    <row r="445" spans="1:38" x14ac:dyDescent="0.25">
      <c r="A445" s="694"/>
      <c r="B445" s="284"/>
      <c r="C445" s="284"/>
      <c r="D445" s="302"/>
      <c r="E445" s="427" t="s">
        <v>1052</v>
      </c>
      <c r="F445" s="2358" t="str">
        <f>Translations!$B$856</f>
        <v>преките емисии, които могат да се зададат на тази подинсталация;</v>
      </c>
      <c r="G445" s="2249"/>
      <c r="H445" s="2249"/>
      <c r="I445" s="2249"/>
      <c r="J445" s="2249"/>
      <c r="K445" s="2249"/>
      <c r="L445" s="2249"/>
      <c r="M445" s="2249"/>
      <c r="N445" s="2249"/>
      <c r="O445" s="336"/>
      <c r="P445" s="302"/>
      <c r="Q445" s="770"/>
      <c r="R445" s="694"/>
      <c r="S445" s="694"/>
      <c r="T445" s="694"/>
      <c r="U445" s="694"/>
      <c r="V445" s="694"/>
      <c r="W445" s="694"/>
      <c r="X445" s="694"/>
      <c r="Y445" s="770"/>
      <c r="Z445" s="770"/>
      <c r="AA445" s="770"/>
      <c r="AB445" s="770"/>
      <c r="AC445" s="770"/>
      <c r="AD445" s="770"/>
      <c r="AE445" s="770"/>
      <c r="AF445" s="770"/>
      <c r="AG445" s="770"/>
      <c r="AH445" s="770"/>
      <c r="AI445" s="770"/>
      <c r="AJ445" s="770"/>
      <c r="AK445" s="770"/>
      <c r="AL445" s="770"/>
    </row>
    <row r="446" spans="1:38" x14ac:dyDescent="0.25">
      <c r="A446" s="694"/>
      <c r="B446" s="284"/>
      <c r="C446" s="284"/>
      <c r="D446" s="302"/>
      <c r="E446" s="427" t="s">
        <v>1052</v>
      </c>
      <c r="F446" s="2358" t="str">
        <f>Translations!$B$857</f>
        <v>Нетно количество измерима топлинна енергия, получена от тази подинсталация от други инсталации по СТЕ;</v>
      </c>
      <c r="G446" s="2249"/>
      <c r="H446" s="2249"/>
      <c r="I446" s="2249"/>
      <c r="J446" s="2249"/>
      <c r="K446" s="2249"/>
      <c r="L446" s="2249"/>
      <c r="M446" s="2249"/>
      <c r="N446" s="2249"/>
      <c r="O446" s="336"/>
      <c r="P446" s="302"/>
      <c r="Q446" s="770"/>
      <c r="R446" s="694"/>
      <c r="S446" s="694"/>
      <c r="T446" s="694"/>
      <c r="U446" s="694"/>
      <c r="V446" s="694"/>
      <c r="W446" s="694"/>
      <c r="X446" s="694"/>
      <c r="Y446" s="770"/>
      <c r="Z446" s="770"/>
      <c r="AA446" s="770"/>
      <c r="AB446" s="770"/>
      <c r="AC446" s="770"/>
      <c r="AD446" s="770"/>
      <c r="AE446" s="770"/>
      <c r="AF446" s="770"/>
      <c r="AG446" s="770"/>
      <c r="AH446" s="770"/>
      <c r="AI446" s="770"/>
      <c r="AJ446" s="770"/>
      <c r="AK446" s="770"/>
      <c r="AL446" s="770"/>
    </row>
    <row r="447" spans="1:38" ht="12.75" customHeight="1" x14ac:dyDescent="0.25">
      <c r="A447" s="694"/>
      <c r="B447" s="284"/>
      <c r="C447" s="284"/>
      <c r="D447" s="302"/>
      <c r="E447" s="427" t="s">
        <v>1052</v>
      </c>
      <c r="F447" s="2358" t="str">
        <f>Translations!$B$858</f>
        <v>Емисии, свързани с водорода: т. е. историческа консумация на топлинна енергия от изгаряне на въглерод, умножена по топлинния показател.</v>
      </c>
      <c r="G447" s="2358"/>
      <c r="H447" s="2358"/>
      <c r="I447" s="2358"/>
      <c r="J447" s="2358"/>
      <c r="K447" s="2358"/>
      <c r="L447" s="2358"/>
      <c r="M447" s="2358"/>
      <c r="N447" s="2358"/>
      <c r="O447" s="336"/>
      <c r="P447" s="302"/>
      <c r="Q447" s="770"/>
      <c r="R447" s="694"/>
      <c r="S447" s="694"/>
      <c r="T447" s="694"/>
      <c r="U447" s="694"/>
      <c r="V447" s="694"/>
      <c r="W447" s="694"/>
      <c r="X447" s="694"/>
      <c r="Y447" s="770"/>
      <c r="Z447" s="770"/>
      <c r="AA447" s="770"/>
      <c r="AB447" s="770"/>
      <c r="AC447" s="770"/>
      <c r="AD447" s="770"/>
      <c r="AE447" s="770"/>
      <c r="AF447" s="770"/>
      <c r="AG447" s="770"/>
      <c r="AH447" s="770"/>
      <c r="AI447" s="770"/>
      <c r="AJ447" s="770"/>
      <c r="AK447" s="770"/>
      <c r="AL447" s="770"/>
    </row>
    <row r="448" spans="1:38" ht="5.15" customHeight="1" x14ac:dyDescent="0.25">
      <c r="A448" s="694"/>
      <c r="B448" s="284"/>
      <c r="C448" s="284"/>
      <c r="D448" s="284"/>
      <c r="E448" s="284"/>
      <c r="F448" s="284"/>
      <c r="G448" s="284"/>
      <c r="H448" s="284"/>
      <c r="I448" s="284"/>
      <c r="J448" s="284"/>
      <c r="K448" s="284"/>
      <c r="L448" s="284"/>
      <c r="M448" s="336"/>
      <c r="N448" s="336"/>
      <c r="O448" s="336"/>
      <c r="P448" s="302"/>
      <c r="Q448" s="770"/>
      <c r="R448" s="694"/>
      <c r="S448" s="694"/>
      <c r="T448" s="694"/>
      <c r="U448" s="694"/>
      <c r="V448" s="694"/>
      <c r="W448" s="694"/>
      <c r="X448" s="694"/>
      <c r="Y448" s="770"/>
      <c r="Z448" s="770"/>
      <c r="AA448" s="770"/>
      <c r="AB448" s="770"/>
      <c r="AC448" s="770"/>
      <c r="AD448" s="770"/>
      <c r="AE448" s="770"/>
      <c r="AF448" s="770"/>
      <c r="AG448" s="770"/>
      <c r="AH448" s="770"/>
      <c r="AI448" s="770"/>
      <c r="AJ448" s="770"/>
      <c r="AK448" s="770"/>
      <c r="AL448" s="770"/>
    </row>
    <row r="449" spans="1:38" ht="14" x14ac:dyDescent="0.3">
      <c r="A449" s="694"/>
      <c r="B449" s="284"/>
      <c r="C449" s="284"/>
      <c r="D449" s="300" t="s">
        <v>408</v>
      </c>
      <c r="E449" s="2226" t="str">
        <f>Translations!$B$674</f>
        <v>Практическо значение на този инструмент за Вашата инсталация:</v>
      </c>
      <c r="F449" s="2226"/>
      <c r="G449" s="2226"/>
      <c r="H449" s="2226"/>
      <c r="I449" s="2226"/>
      <c r="J449" s="2226"/>
      <c r="K449" s="2317"/>
      <c r="L449" s="2956" t="str">
        <f>IF(CNTR_ExistSubInstEntries,IF(COUNTIF(CNTR_SubInstListNames,INDEX(EUconst_BMlistNames,MATCH(R449,EUconst_BMlistMainNumberOfBM,0)))&gt;0,EUconst_Relevant,EUconst_NotRelevant),"")</f>
        <v/>
      </c>
      <c r="M449" s="2957"/>
      <c r="N449" s="2958"/>
      <c r="O449" s="336"/>
      <c r="P449" s="302"/>
      <c r="Q449" s="1395" t="s">
        <v>114</v>
      </c>
      <c r="R449" s="1519">
        <v>47</v>
      </c>
      <c r="S449" s="1174" t="str">
        <f>Translations!$B$898</f>
        <v>Дата на въвеждане в експлоатация:</v>
      </c>
      <c r="T449" s="1175" t="e">
        <f>IF(L449=EUconst_NotRelevant,"",MAX(INDEX(CNTR_SubInstStartDate,MATCH($R449,CNTR_SubInstListBMnumbers,0)),DATE(2005,1,1)))</f>
        <v>#N/A</v>
      </c>
      <c r="U449" s="729" t="s">
        <v>1731</v>
      </c>
      <c r="V449" s="1176">
        <f>IF(ISNUMBER(T449),YEAR($T449-IF(YEAR(T449)&gt;=2022,0,1))+1,2005)</f>
        <v>2005</v>
      </c>
      <c r="W449" s="1174" t="s">
        <v>1734</v>
      </c>
      <c r="X449" s="1175">
        <f>SUMIF(CNTR_SubInstListBMnumbers,$R449,CNTR_SubInstCessationDate)</f>
        <v>0</v>
      </c>
      <c r="Y449" s="1174" t="s">
        <v>1735</v>
      </c>
      <c r="Z449" s="1176">
        <f>IF(SUM(X449)=0,2050,YEAR($X449))</f>
        <v>2050</v>
      </c>
      <c r="AA449" s="1174" t="s">
        <v>2009</v>
      </c>
      <c r="AB449" s="1176" t="b">
        <f>CNTR_ReportingYear&gt;V449</f>
        <v>1</v>
      </c>
      <c r="AC449" s="770"/>
      <c r="AD449" s="770"/>
      <c r="AE449" s="770"/>
      <c r="AF449" s="770"/>
      <c r="AG449" s="770"/>
      <c r="AH449" s="770"/>
      <c r="AI449" s="770"/>
      <c r="AJ449" s="770"/>
      <c r="AK449" s="770"/>
      <c r="AL449" s="770"/>
    </row>
    <row r="450" spans="1:38" x14ac:dyDescent="0.25">
      <c r="A450" s="694"/>
      <c r="B450" s="284"/>
      <c r="C450" s="284"/>
      <c r="D450" s="302"/>
      <c r="E450" s="2255" t="str">
        <f>Translations!$B$675</f>
        <v>Това съобщение се генерира автоматично въз основа на въведените от Вас данни в работен лист „A_InstallationData“ („А_Данни за инсталацията“), раздел A.III.1.</v>
      </c>
      <c r="F450" s="2256"/>
      <c r="G450" s="2256"/>
      <c r="H450" s="2256"/>
      <c r="I450" s="2256"/>
      <c r="J450" s="2256"/>
      <c r="K450" s="2256"/>
      <c r="L450" s="2256"/>
      <c r="M450" s="2256"/>
      <c r="N450" s="2256"/>
      <c r="O450" s="336"/>
      <c r="P450" s="302"/>
      <c r="Q450" s="770"/>
      <c r="R450" s="694"/>
      <c r="S450" s="694"/>
      <c r="T450" s="694"/>
      <c r="U450" s="694"/>
      <c r="V450" s="694"/>
      <c r="W450" s="694"/>
      <c r="X450" s="694"/>
      <c r="Y450" s="770"/>
      <c r="Z450" s="770"/>
      <c r="AA450" s="770"/>
      <c r="AB450" s="770"/>
      <c r="AC450" s="770"/>
      <c r="AD450" s="770"/>
      <c r="AE450" s="770"/>
      <c r="AF450" s="770"/>
      <c r="AG450" s="770"/>
      <c r="AH450" s="770"/>
      <c r="AI450" s="770"/>
      <c r="AJ450" s="770"/>
      <c r="AK450" s="770"/>
      <c r="AL450" s="770"/>
    </row>
    <row r="451" spans="1:38" ht="13" x14ac:dyDescent="0.25">
      <c r="A451" s="694"/>
      <c r="B451" s="284"/>
      <c r="C451" s="284"/>
      <c r="D451" s="284"/>
      <c r="E451" s="2951" t="str">
        <f>IF(L449=EUconst_Relevant,HYPERLINK(R451,EUconst_MsgBackToSheetF),"")</f>
        <v/>
      </c>
      <c r="F451" s="2952"/>
      <c r="G451" s="2952"/>
      <c r="H451" s="2952"/>
      <c r="I451" s="2952"/>
      <c r="J451" s="2952"/>
      <c r="K451" s="2952"/>
      <c r="L451" s="2952"/>
      <c r="M451" s="2952"/>
      <c r="N451" s="2953"/>
      <c r="O451" s="336"/>
      <c r="P451" s="302"/>
      <c r="Q451" s="1395" t="s">
        <v>113</v>
      </c>
      <c r="R451" s="982" t="str">
        <f>IF(ISNUMBER(MATCH(R449,CNTR_SubInstListBMnumbers,0)),"#JUMP_F"&amp;MATCH(R449,CNTR_SubInstListBMnumbers,0),"")</f>
        <v/>
      </c>
      <c r="S451" s="694"/>
      <c r="T451" s="694"/>
      <c r="U451" s="694"/>
      <c r="V451" s="694"/>
      <c r="W451" s="694"/>
      <c r="X451" s="694"/>
      <c r="Y451" s="770"/>
      <c r="Z451" s="770"/>
      <c r="AA451" s="770"/>
      <c r="AB451" s="770"/>
      <c r="AC451" s="770"/>
      <c r="AD451" s="770"/>
      <c r="AE451" s="770"/>
      <c r="AF451" s="770"/>
      <c r="AG451" s="770"/>
      <c r="AH451" s="770"/>
      <c r="AI451" s="770"/>
      <c r="AJ451" s="770"/>
      <c r="AK451" s="770"/>
      <c r="AL451" s="770"/>
    </row>
    <row r="452" spans="1:38" ht="5.15" customHeight="1" x14ac:dyDescent="0.25">
      <c r="A452" s="694"/>
      <c r="B452" s="284"/>
      <c r="C452" s="284"/>
      <c r="D452" s="284"/>
      <c r="E452" s="284"/>
      <c r="F452" s="284"/>
      <c r="G452" s="284"/>
      <c r="H452" s="284"/>
      <c r="I452" s="284"/>
      <c r="J452" s="284"/>
      <c r="K452" s="284"/>
      <c r="L452" s="284"/>
      <c r="M452" s="336"/>
      <c r="N452" s="336"/>
      <c r="O452" s="336"/>
      <c r="P452" s="302"/>
      <c r="Q452" s="770"/>
      <c r="R452" s="694"/>
      <c r="S452" s="694"/>
      <c r="T452" s="694"/>
      <c r="U452" s="694"/>
      <c r="V452" s="694"/>
      <c r="W452" s="694"/>
      <c r="X452" s="694"/>
      <c r="Y452" s="770"/>
      <c r="Z452" s="770"/>
      <c r="AA452" s="770"/>
      <c r="AB452" s="770"/>
      <c r="AC452" s="770"/>
      <c r="AD452" s="770"/>
      <c r="AE452" s="770"/>
      <c r="AF452" s="770"/>
      <c r="AG452" s="770"/>
      <c r="AH452" s="770"/>
      <c r="AI452" s="770"/>
      <c r="AJ452" s="770"/>
      <c r="AK452" s="770"/>
      <c r="AL452" s="770"/>
    </row>
    <row r="453" spans="1:38" ht="13" x14ac:dyDescent="0.25">
      <c r="A453" s="694"/>
      <c r="B453" s="698"/>
      <c r="C453" s="698"/>
      <c r="D453" s="300" t="s">
        <v>901</v>
      </c>
      <c r="E453" s="2226" t="str">
        <f>Translations!$B$859</f>
        <v>Данни за емисиите:</v>
      </c>
      <c r="F453" s="2249"/>
      <c r="G453" s="2249"/>
      <c r="H453" s="2249"/>
      <c r="I453" s="2249"/>
      <c r="J453" s="2249"/>
      <c r="K453" s="2249"/>
      <c r="L453" s="2249"/>
      <c r="M453" s="2249"/>
      <c r="N453" s="2249"/>
      <c r="O453" s="336"/>
      <c r="P453" s="302"/>
      <c r="Q453" s="694"/>
      <c r="R453" s="694"/>
      <c r="S453" s="694"/>
      <c r="T453" s="694"/>
      <c r="U453" s="694"/>
      <c r="V453" s="694"/>
      <c r="W453" s="694"/>
      <c r="X453" s="694"/>
      <c r="Y453" s="694"/>
      <c r="Z453" s="694"/>
      <c r="AA453" s="770"/>
      <c r="AB453" s="770"/>
      <c r="AC453" s="770"/>
      <c r="AD453" s="770"/>
      <c r="AE453" s="770"/>
      <c r="AF453" s="770"/>
      <c r="AG453" s="770"/>
      <c r="AH453" s="770"/>
      <c r="AI453" s="770"/>
      <c r="AJ453" s="770"/>
      <c r="AK453" s="770"/>
      <c r="AL453" s="770"/>
    </row>
    <row r="454" spans="1:38" x14ac:dyDescent="0.25">
      <c r="A454" s="694"/>
      <c r="B454" s="284"/>
      <c r="C454" s="284"/>
      <c r="D454" s="302"/>
      <c r="E454" s="2358" t="str">
        <f>Translations!$B$860</f>
        <v>Тук въведете необходимите данни, както е посочено по-горе.</v>
      </c>
      <c r="F454" s="2249"/>
      <c r="G454" s="2249"/>
      <c r="H454" s="2249"/>
      <c r="I454" s="2249"/>
      <c r="J454" s="2249"/>
      <c r="K454" s="2249"/>
      <c r="L454" s="2249"/>
      <c r="M454" s="2249"/>
      <c r="N454" s="2249"/>
      <c r="O454" s="336"/>
      <c r="P454" s="302"/>
      <c r="Q454" s="770"/>
      <c r="R454" s="694"/>
      <c r="S454" s="694"/>
      <c r="T454" s="694"/>
      <c r="U454" s="694"/>
      <c r="V454" s="694"/>
      <c r="W454" s="694"/>
      <c r="X454" s="694"/>
      <c r="Y454" s="694"/>
      <c r="Z454" s="694"/>
      <c r="AA454" s="770"/>
      <c r="AB454" s="770"/>
      <c r="AC454" s="770"/>
      <c r="AD454" s="770"/>
      <c r="AE454" s="770"/>
      <c r="AF454" s="770"/>
      <c r="AG454" s="770"/>
      <c r="AH454" s="770"/>
      <c r="AI454" s="770"/>
      <c r="AJ454" s="770"/>
      <c r="AK454" s="770"/>
      <c r="AL454" s="770"/>
    </row>
    <row r="455" spans="1:38" ht="13.5" thickBot="1" x14ac:dyDescent="0.3">
      <c r="A455" s="694"/>
      <c r="B455" s="698"/>
      <c r="C455" s="698"/>
      <c r="D455" s="300"/>
      <c r="E455" s="1013" t="str">
        <f>Translations!$B$483</f>
        <v>Параметър</v>
      </c>
      <c r="F455" s="1015"/>
      <c r="G455" s="527" t="str">
        <f>EUconst_Unit</f>
        <v>Единица мярка</v>
      </c>
      <c r="H455" s="391">
        <f t="shared" ref="H455:N455" si="112">H$490</f>
        <v>2024</v>
      </c>
      <c r="I455" s="572">
        <f t="shared" si="112"/>
        <v>2025</v>
      </c>
      <c r="J455" s="757">
        <f t="shared" si="112"/>
        <v>2026</v>
      </c>
      <c r="K455" s="391">
        <f t="shared" si="112"/>
        <v>2027</v>
      </c>
      <c r="L455" s="391">
        <f t="shared" si="112"/>
        <v>2028</v>
      </c>
      <c r="M455" s="391">
        <f t="shared" si="112"/>
        <v>2029</v>
      </c>
      <c r="N455" s="572">
        <f t="shared" si="112"/>
        <v>2030</v>
      </c>
      <c r="O455" s="336"/>
      <c r="P455" s="302"/>
      <c r="Q455" s="694"/>
      <c r="R455" s="694"/>
      <c r="S455" s="694"/>
      <c r="T455" s="694"/>
      <c r="U455" s="694"/>
      <c r="V455" s="694"/>
      <c r="W455" s="694"/>
      <c r="X455" s="694"/>
      <c r="Y455" s="694"/>
      <c r="Z455" s="694"/>
      <c r="AA455" s="770"/>
      <c r="AB455" s="694"/>
      <c r="AC455" s="1524">
        <f t="shared" ref="AC455:AI455" si="113">H455</f>
        <v>2024</v>
      </c>
      <c r="AD455" s="1524">
        <f t="shared" si="113"/>
        <v>2025</v>
      </c>
      <c r="AE455" s="1524">
        <f t="shared" si="113"/>
        <v>2026</v>
      </c>
      <c r="AF455" s="1524">
        <f t="shared" si="113"/>
        <v>2027</v>
      </c>
      <c r="AG455" s="1524">
        <f t="shared" si="113"/>
        <v>2028</v>
      </c>
      <c r="AH455" s="1524">
        <f t="shared" si="113"/>
        <v>2029</v>
      </c>
      <c r="AI455" s="1524">
        <f t="shared" si="113"/>
        <v>2030</v>
      </c>
      <c r="AJ455" s="770"/>
      <c r="AK455" s="770"/>
      <c r="AL455" s="770"/>
    </row>
    <row r="456" spans="1:38" ht="12.75" customHeight="1" x14ac:dyDescent="0.25">
      <c r="A456" s="694"/>
      <c r="B456" s="698"/>
      <c r="C456" s="698"/>
      <c r="D456" s="698"/>
      <c r="E456" s="1258" t="str">
        <f>Translations!$B$484</f>
        <v>Преки емисии</v>
      </c>
      <c r="F456" s="1258"/>
      <c r="G456" s="981" t="str">
        <f>EUconst_tCO2pa</f>
        <v>t CO2 / година</v>
      </c>
      <c r="H456" s="33"/>
      <c r="I456" s="46"/>
      <c r="J456" s="116"/>
      <c r="K456" s="33"/>
      <c r="L456" s="33"/>
      <c r="M456" s="33"/>
      <c r="N456" s="46"/>
      <c r="O456" s="336"/>
      <c r="P456" s="158"/>
      <c r="Q456" s="1500" t="str">
        <f>EUconst_CNTR_Emissions &amp; INDEX(EUconst_BMlistNames,MATCH(R449,EUconst_BMlistMainNumberOfBM,0))</f>
        <v>DirEmissions_Винилхлориден мономер</v>
      </c>
      <c r="R456" s="694"/>
      <c r="S456" s="694"/>
      <c r="T456" s="694"/>
      <c r="U456" s="694"/>
      <c r="V456" s="694"/>
      <c r="W456" s="694"/>
      <c r="X456" s="694"/>
      <c r="Y456" s="694"/>
      <c r="Z456" s="694"/>
      <c r="AA456" s="770"/>
      <c r="AB456" s="1182" t="s">
        <v>737</v>
      </c>
      <c r="AC456" s="1526" t="b">
        <f t="shared" ref="AC456:AI456" si="114">IF(CNTR_ExistSubInstEntries,IF($L449=EUconst_Relevant,AC455&gt;=CNTR_ReportingYear,TRUE),FALSE)</f>
        <v>0</v>
      </c>
      <c r="AD456" s="1281" t="b">
        <f t="shared" si="114"/>
        <v>0</v>
      </c>
      <c r="AE456" s="1281" t="b">
        <f t="shared" si="114"/>
        <v>0</v>
      </c>
      <c r="AF456" s="1281" t="b">
        <f t="shared" si="114"/>
        <v>0</v>
      </c>
      <c r="AG456" s="1281" t="b">
        <f t="shared" si="114"/>
        <v>0</v>
      </c>
      <c r="AH456" s="1281" t="b">
        <f t="shared" si="114"/>
        <v>0</v>
      </c>
      <c r="AI456" s="1527" t="b">
        <f t="shared" si="114"/>
        <v>0</v>
      </c>
      <c r="AJ456" s="770"/>
      <c r="AK456" s="770"/>
      <c r="AL456" s="770"/>
    </row>
    <row r="457" spans="1:38" ht="12.75" customHeight="1" x14ac:dyDescent="0.25">
      <c r="A457" s="694"/>
      <c r="B457" s="698"/>
      <c r="C457" s="698"/>
      <c r="D457" s="698"/>
      <c r="E457" s="1532" t="str">
        <f>Translations!$B$861</f>
        <v>Нетно количество получена измерима топлинна енергия</v>
      </c>
      <c r="F457" s="1532"/>
      <c r="G457" s="990" t="str">
        <f>EUconst_TJpa</f>
        <v>TJ / година</v>
      </c>
      <c r="H457" s="1591" t="str">
        <f>IF($L449=EUconst_Relevant,INDEX(F_ProductBM!H:H,MATCH($Q457,F_ProductBM!$Q:$Q,0)),"")</f>
        <v/>
      </c>
      <c r="I457" s="1592" t="str">
        <f>IF($L449=EUconst_Relevant,INDEX(F_ProductBM!I:I,MATCH($Q457,F_ProductBM!$Q:$Q,0)),"")</f>
        <v/>
      </c>
      <c r="J457" s="1593" t="str">
        <f>IF($L449=EUconst_Relevant,INDEX(F_ProductBM!J:J,MATCH($Q457,F_ProductBM!$Q:$Q,0)),"")</f>
        <v/>
      </c>
      <c r="K457" s="1591" t="str">
        <f>IF($L449=EUconst_Relevant,INDEX(F_ProductBM!K:K,MATCH($Q457,F_ProductBM!$Q:$Q,0)),"")</f>
        <v/>
      </c>
      <c r="L457" s="1591" t="str">
        <f>IF($L449=EUconst_Relevant,INDEX(F_ProductBM!L:L,MATCH($Q457,F_ProductBM!$Q:$Q,0)),"")</f>
        <v/>
      </c>
      <c r="M457" s="1591" t="str">
        <f>IF($L449=EUconst_Relevant,INDEX(F_ProductBM!M:M,MATCH($Q457,F_ProductBM!$Q:$Q,0)),"")</f>
        <v/>
      </c>
      <c r="N457" s="1592" t="str">
        <f>IF($L449=EUconst_Relevant,INDEX(F_ProductBM!N:N,MATCH($Q457,F_ProductBM!$Q:$Q,0)),"")</f>
        <v/>
      </c>
      <c r="O457" s="336"/>
      <c r="P457" s="302"/>
      <c r="Q457" s="1500" t="str">
        <f>EUconst_CNTR_HeatImport&amp;INDEX(EUconst_BMlistNames,MATCH(R449,EUconst_BMlistMainNumberOfBM,0))</f>
        <v>HeatIm_Винилхлориден мономер</v>
      </c>
      <c r="R457" s="694"/>
      <c r="S457" s="694" t="s">
        <v>205</v>
      </c>
      <c r="T457" s="694"/>
      <c r="U457" s="694"/>
      <c r="V457" s="694"/>
      <c r="W457" s="694"/>
      <c r="X457" s="694"/>
      <c r="Y457" s="770"/>
      <c r="Z457" s="770"/>
      <c r="AA457" s="770"/>
      <c r="AB457" s="770"/>
      <c r="AC457" s="1530" t="b">
        <f t="shared" ref="AC457:AI458" si="115">AC456</f>
        <v>0</v>
      </c>
      <c r="AD457" s="1500" t="b">
        <f t="shared" si="115"/>
        <v>0</v>
      </c>
      <c r="AE457" s="1500" t="b">
        <f t="shared" si="115"/>
        <v>0</v>
      </c>
      <c r="AF457" s="1500" t="b">
        <f t="shared" si="115"/>
        <v>0</v>
      </c>
      <c r="AG457" s="1500" t="b">
        <f t="shared" si="115"/>
        <v>0</v>
      </c>
      <c r="AH457" s="1500" t="b">
        <f t="shared" si="115"/>
        <v>0</v>
      </c>
      <c r="AI457" s="1531" t="b">
        <f t="shared" si="115"/>
        <v>0</v>
      </c>
      <c r="AJ457" s="770"/>
      <c r="AK457" s="770"/>
      <c r="AL457" s="770"/>
    </row>
    <row r="458" spans="1:38" ht="12.75" customHeight="1" thickBot="1" x14ac:dyDescent="0.3">
      <c r="A458" s="694"/>
      <c r="B458" s="698"/>
      <c r="C458" s="698"/>
      <c r="D458" s="698"/>
      <c r="E458" s="1534" t="str">
        <f>Translations!$B$862</f>
        <v>Нетна консумация от изгаряне на H2</v>
      </c>
      <c r="F458" s="1534"/>
      <c r="G458" s="994" t="str">
        <f>EUconst_TJpa</f>
        <v>TJ / година</v>
      </c>
      <c r="H458" s="30"/>
      <c r="I458" s="48"/>
      <c r="J458" s="117"/>
      <c r="K458" s="30"/>
      <c r="L458" s="30"/>
      <c r="M458" s="30"/>
      <c r="N458" s="48"/>
      <c r="O458" s="336"/>
      <c r="P458" s="158"/>
      <c r="Q458" s="694"/>
      <c r="R458" s="694"/>
      <c r="S458" s="694"/>
      <c r="T458" s="694"/>
      <c r="U458" s="694"/>
      <c r="V458" s="694"/>
      <c r="W458" s="694"/>
      <c r="X458" s="694"/>
      <c r="Y458" s="770"/>
      <c r="Z458" s="770"/>
      <c r="AA458" s="770"/>
      <c r="AB458" s="770"/>
      <c r="AC458" s="1536" t="b">
        <f t="shared" si="115"/>
        <v>0</v>
      </c>
      <c r="AD458" s="1537" t="b">
        <f t="shared" si="115"/>
        <v>0</v>
      </c>
      <c r="AE458" s="1537" t="b">
        <f t="shared" si="115"/>
        <v>0</v>
      </c>
      <c r="AF458" s="1537" t="b">
        <f t="shared" si="115"/>
        <v>0</v>
      </c>
      <c r="AG458" s="1537" t="b">
        <f t="shared" si="115"/>
        <v>0</v>
      </c>
      <c r="AH458" s="1537" t="b">
        <f t="shared" si="115"/>
        <v>0</v>
      </c>
      <c r="AI458" s="1538" t="b">
        <f t="shared" si="115"/>
        <v>0</v>
      </c>
      <c r="AJ458" s="770"/>
      <c r="AK458" s="770"/>
      <c r="AL458" s="770"/>
    </row>
    <row r="459" spans="1:38" ht="13.5" customHeight="1" x14ac:dyDescent="0.25">
      <c r="A459" s="694"/>
      <c r="B459" s="698"/>
      <c r="C459" s="698"/>
      <c r="D459" s="698"/>
      <c r="E459" s="1258" t="str">
        <f>Translations!$B$486</f>
        <v>Общо преки емисии</v>
      </c>
      <c r="F459" s="1258"/>
      <c r="G459" s="981" t="str">
        <f>EUconst_tCO2pa</f>
        <v>t CO2 / година</v>
      </c>
      <c r="H459" s="1551" t="str">
        <f t="shared" ref="H459:N459" si="116">IF(OR(ISNUMBER(H456),ISNUMBER(H457)),H456+H457*EUconst_HeatBMvalue,"")</f>
        <v/>
      </c>
      <c r="I459" s="1552" t="str">
        <f t="shared" si="116"/>
        <v/>
      </c>
      <c r="J459" s="1553" t="str">
        <f t="shared" si="116"/>
        <v/>
      </c>
      <c r="K459" s="1551" t="str">
        <f t="shared" si="116"/>
        <v/>
      </c>
      <c r="L459" s="1551" t="str">
        <f t="shared" si="116"/>
        <v/>
      </c>
      <c r="M459" s="1551" t="str">
        <f t="shared" si="116"/>
        <v/>
      </c>
      <c r="N459" s="1552" t="str">
        <f t="shared" si="116"/>
        <v/>
      </c>
      <c r="O459" s="336"/>
      <c r="P459" s="302"/>
      <c r="Q459" s="694"/>
      <c r="R459" s="694"/>
      <c r="S459" s="694"/>
      <c r="T459" s="694"/>
      <c r="U459" s="694"/>
      <c r="V459" s="694"/>
      <c r="W459" s="694"/>
      <c r="X459" s="694"/>
      <c r="Y459" s="770"/>
      <c r="Z459" s="770"/>
      <c r="AA459" s="770"/>
      <c r="AB459" s="770"/>
      <c r="AC459" s="770"/>
      <c r="AD459" s="770"/>
      <c r="AE459" s="770"/>
      <c r="AF459" s="770"/>
      <c r="AG459" s="770"/>
      <c r="AH459" s="770"/>
      <c r="AI459" s="770"/>
      <c r="AJ459" s="770"/>
      <c r="AK459" s="770"/>
      <c r="AL459" s="770"/>
    </row>
    <row r="460" spans="1:38" ht="13.5" customHeight="1" x14ac:dyDescent="0.25">
      <c r="A460" s="694"/>
      <c r="B460" s="698"/>
      <c r="C460" s="698"/>
      <c r="D460" s="698"/>
      <c r="E460" s="1534" t="str">
        <f>Translations!$B$863</f>
        <v>Емисии, свързани с водорода</v>
      </c>
      <c r="F460" s="1534"/>
      <c r="G460" s="994" t="str">
        <f>EUconst_tCO2pa</f>
        <v>t CO2 / година</v>
      </c>
      <c r="H460" s="1557" t="str">
        <f t="shared" ref="H460:N460" si="117">IF(ISNUMBER(H458),H458*EUconst_HeatBMvalue,"")</f>
        <v/>
      </c>
      <c r="I460" s="1558" t="str">
        <f t="shared" si="117"/>
        <v/>
      </c>
      <c r="J460" s="1559" t="str">
        <f t="shared" si="117"/>
        <v/>
      </c>
      <c r="K460" s="1557" t="str">
        <f t="shared" si="117"/>
        <v/>
      </c>
      <c r="L460" s="1557" t="str">
        <f t="shared" si="117"/>
        <v/>
      </c>
      <c r="M460" s="1557" t="str">
        <f t="shared" si="117"/>
        <v/>
      </c>
      <c r="N460" s="1558" t="str">
        <f t="shared" si="117"/>
        <v/>
      </c>
      <c r="O460" s="336"/>
      <c r="P460" s="302"/>
      <c r="Q460" s="694"/>
      <c r="R460" s="694"/>
      <c r="S460" s="694"/>
      <c r="T460" s="694"/>
      <c r="U460" s="694"/>
      <c r="V460" s="694"/>
      <c r="W460" s="694"/>
      <c r="X460" s="694"/>
      <c r="Y460" s="770"/>
      <c r="Z460" s="770"/>
      <c r="AA460" s="770"/>
      <c r="AB460" s="770"/>
      <c r="AC460" s="770"/>
      <c r="AD460" s="770"/>
      <c r="AE460" s="770"/>
      <c r="AF460" s="770"/>
      <c r="AG460" s="770"/>
      <c r="AH460" s="770"/>
      <c r="AI460" s="770"/>
      <c r="AJ460" s="770"/>
      <c r="AK460" s="770"/>
      <c r="AL460" s="770"/>
    </row>
    <row r="461" spans="1:38" ht="5.15" customHeight="1" x14ac:dyDescent="0.25">
      <c r="A461" s="694"/>
      <c r="B461" s="284"/>
      <c r="C461" s="284"/>
      <c r="D461" s="284"/>
      <c r="E461" s="284"/>
      <c r="F461" s="284"/>
      <c r="G461" s="284"/>
      <c r="H461" s="284"/>
      <c r="I461" s="284"/>
      <c r="J461" s="284"/>
      <c r="K461" s="284"/>
      <c r="L461" s="284"/>
      <c r="M461" s="336"/>
      <c r="N461" s="336"/>
      <c r="O461" s="336"/>
      <c r="P461" s="302"/>
      <c r="Q461" s="770"/>
      <c r="R461" s="694"/>
      <c r="S461" s="694"/>
      <c r="T461" s="694"/>
      <c r="U461" s="694"/>
      <c r="V461" s="694"/>
      <c r="W461" s="694"/>
      <c r="X461" s="694"/>
      <c r="Y461" s="770"/>
      <c r="Z461" s="770"/>
      <c r="AA461" s="770"/>
      <c r="AB461" s="770"/>
      <c r="AC461" s="770"/>
      <c r="AD461" s="770"/>
      <c r="AE461" s="770"/>
      <c r="AF461" s="770"/>
      <c r="AG461" s="770"/>
      <c r="AH461" s="770"/>
      <c r="AI461" s="770"/>
      <c r="AJ461" s="770"/>
      <c r="AK461" s="770"/>
      <c r="AL461" s="770"/>
    </row>
    <row r="462" spans="1:38" ht="12.75" customHeight="1" x14ac:dyDescent="0.25">
      <c r="A462" s="694"/>
      <c r="B462" s="298"/>
      <c r="C462" s="298"/>
      <c r="D462" s="360"/>
      <c r="E462" s="388" t="s">
        <v>1443</v>
      </c>
      <c r="F462" s="1594"/>
      <c r="G462" s="540" t="s">
        <v>1052</v>
      </c>
      <c r="H462" s="1595">
        <f t="shared" ref="H462:N462" si="118">IF(COUNT(H459:H460)=2,SUM(H459)/SUM(H459:H460),IF(H455&gt;CNTR_ReportingYear,"",1))</f>
        <v>1</v>
      </c>
      <c r="I462" s="1596">
        <f t="shared" si="118"/>
        <v>1</v>
      </c>
      <c r="J462" s="1597">
        <f t="shared" si="118"/>
        <v>1</v>
      </c>
      <c r="K462" s="1598" t="str">
        <f t="shared" si="118"/>
        <v/>
      </c>
      <c r="L462" s="1595" t="str">
        <f t="shared" si="118"/>
        <v/>
      </c>
      <c r="M462" s="1595" t="str">
        <f t="shared" si="118"/>
        <v/>
      </c>
      <c r="N462" s="1595" t="str">
        <f t="shared" si="118"/>
        <v/>
      </c>
      <c r="O462" s="302"/>
      <c r="P462" s="302"/>
      <c r="Q462" s="1190" t="str">
        <f>EUconst_CNTR_VCM</f>
        <v>VCM_</v>
      </c>
      <c r="R462" s="694"/>
      <c r="S462" s="694"/>
      <c r="T462" s="694"/>
      <c r="U462" s="694"/>
      <c r="V462" s="694"/>
      <c r="W462" s="694"/>
      <c r="X462" s="694"/>
      <c r="Y462" s="694"/>
      <c r="Z462" s="694"/>
      <c r="AA462" s="694"/>
      <c r="AB462" s="694"/>
      <c r="AC462" s="694"/>
      <c r="AD462" s="694"/>
      <c r="AE462" s="694"/>
      <c r="AF462" s="694"/>
      <c r="AG462" s="694"/>
      <c r="AH462" s="694"/>
      <c r="AI462" s="694"/>
      <c r="AJ462" s="694"/>
      <c r="AK462" s="770"/>
      <c r="AL462" s="770"/>
    </row>
    <row r="463" spans="1:38" ht="5.15" customHeight="1" x14ac:dyDescent="0.25">
      <c r="A463" s="694"/>
      <c r="B463" s="298"/>
      <c r="C463" s="298"/>
      <c r="D463" s="298"/>
      <c r="E463" s="298"/>
      <c r="F463" s="298"/>
      <c r="G463" s="298"/>
      <c r="H463" s="298"/>
      <c r="I463" s="298"/>
      <c r="J463" s="298"/>
      <c r="K463" s="298"/>
      <c r="L463" s="298"/>
      <c r="M463" s="302"/>
      <c r="N463" s="302"/>
      <c r="O463" s="302"/>
      <c r="P463" s="302"/>
      <c r="Q463" s="729"/>
      <c r="R463" s="694"/>
      <c r="S463" s="694"/>
      <c r="T463" s="694"/>
      <c r="U463" s="694"/>
      <c r="V463" s="694"/>
      <c r="W463" s="694"/>
      <c r="X463" s="694"/>
      <c r="Y463" s="694"/>
      <c r="Z463" s="694"/>
      <c r="AA463" s="694"/>
      <c r="AB463" s="694"/>
      <c r="AC463" s="694"/>
      <c r="AD463" s="694"/>
      <c r="AE463" s="694"/>
      <c r="AF463" s="694"/>
      <c r="AG463" s="694"/>
      <c r="AH463" s="694"/>
      <c r="AI463" s="694"/>
      <c r="AJ463" s="694"/>
      <c r="AK463" s="770"/>
      <c r="AL463" s="770"/>
    </row>
    <row r="464" spans="1:38" ht="25.5" customHeight="1" thickBot="1" x14ac:dyDescent="0.3">
      <c r="A464" s="694"/>
      <c r="B464" s="298"/>
      <c r="C464" s="298"/>
      <c r="D464" s="302"/>
      <c r="E464" s="2358" t="str">
        <f>Translations!$B$1576</f>
        <v>На базата на данните по-горе тук се определят средните годишни стойности на стойностите от i. Разпределението ще бъде променено само ако са надвишени относителният праг (15 % в сравнение със стойността в НМИ) и абсолютният праг (промяната води до корекция с повече от 300 квоти), определени в член 6, параграф 4 от Регламента за ALC.</v>
      </c>
      <c r="F464" s="2249"/>
      <c r="G464" s="2249"/>
      <c r="H464" s="2249"/>
      <c r="I464" s="2249"/>
      <c r="J464" s="2249"/>
      <c r="K464" s="2249"/>
      <c r="L464" s="2249"/>
      <c r="M464" s="2249"/>
      <c r="N464" s="2249"/>
      <c r="O464" s="302"/>
      <c r="P464" s="302"/>
      <c r="Q464" s="729"/>
      <c r="R464" s="694"/>
      <c r="S464" s="729"/>
      <c r="T464" s="729"/>
      <c r="U464" s="729"/>
      <c r="V464" s="694"/>
      <c r="W464" s="694"/>
      <c r="X464" s="694"/>
      <c r="Y464" s="694"/>
      <c r="Z464" s="694"/>
      <c r="AA464" s="694"/>
      <c r="AB464" s="694"/>
      <c r="AC464" s="694"/>
      <c r="AD464" s="694"/>
      <c r="AE464" s="694"/>
      <c r="AF464" s="694"/>
      <c r="AG464" s="694"/>
      <c r="AH464" s="694"/>
      <c r="AI464" s="694"/>
      <c r="AJ464" s="694"/>
      <c r="AK464" s="770"/>
      <c r="AL464" s="770"/>
    </row>
    <row r="465" spans="1:38" ht="5.15" customHeight="1" thickBot="1" x14ac:dyDescent="0.3">
      <c r="A465" s="694"/>
      <c r="B465" s="298"/>
      <c r="C465" s="298"/>
      <c r="D465" s="1192"/>
      <c r="E465" s="1194"/>
      <c r="F465" s="1264"/>
      <c r="G465" s="1264"/>
      <c r="H465" s="1264"/>
      <c r="I465" s="1264"/>
      <c r="J465" s="1264"/>
      <c r="K465" s="1264"/>
      <c r="L465" s="1264"/>
      <c r="M465" s="1264"/>
      <c r="N465" s="1265"/>
      <c r="O465" s="302"/>
      <c r="P465" s="302"/>
      <c r="Q465" s="729"/>
      <c r="R465" s="694"/>
      <c r="S465" s="729"/>
      <c r="T465" s="729"/>
      <c r="U465" s="729"/>
      <c r="V465" s="694"/>
      <c r="W465" s="694"/>
      <c r="X465" s="694"/>
      <c r="Y465" s="694"/>
      <c r="Z465" s="694"/>
      <c r="AA465" s="694"/>
      <c r="AB465" s="694"/>
      <c r="AC465" s="694"/>
      <c r="AD465" s="694"/>
      <c r="AE465" s="694"/>
      <c r="AF465" s="694"/>
      <c r="AG465" s="694"/>
      <c r="AH465" s="694"/>
      <c r="AI465" s="694"/>
      <c r="AJ465" s="694"/>
      <c r="AK465" s="770"/>
      <c r="AL465" s="770"/>
    </row>
    <row r="466" spans="1:38" ht="12.75" customHeight="1" x14ac:dyDescent="0.25">
      <c r="A466" s="694"/>
      <c r="B466" s="298"/>
      <c r="C466" s="298"/>
      <c r="D466" s="1217"/>
      <c r="E466" s="2954" t="str">
        <f>Translations!$B$1196</f>
        <v>Корекции</v>
      </c>
      <c r="F466" s="2954"/>
      <c r="G466" s="2954"/>
      <c r="H466" s="1200" t="str">
        <f>EUconst_Unit</f>
        <v>Единица мярка</v>
      </c>
      <c r="I466" s="1201" t="str">
        <f>Translations!$B$1327</f>
        <v>(НМИ) стойност</v>
      </c>
      <c r="J466" s="1563">
        <f>J$490</f>
        <v>2026</v>
      </c>
      <c r="K466" s="1203">
        <f>K$490</f>
        <v>2027</v>
      </c>
      <c r="L466" s="1203">
        <f>L$490</f>
        <v>2028</v>
      </c>
      <c r="M466" s="1203">
        <f>M$490</f>
        <v>2029</v>
      </c>
      <c r="N466" s="1479">
        <f>N$490</f>
        <v>2030</v>
      </c>
      <c r="O466" s="302"/>
      <c r="P466" s="302"/>
      <c r="Q466" s="729"/>
      <c r="R466" s="694"/>
      <c r="S466" s="694"/>
      <c r="T466" s="694"/>
      <c r="U466" s="1205"/>
      <c r="V466" s="1206">
        <f>J466</f>
        <v>2026</v>
      </c>
      <c r="W466" s="1206">
        <f>K466</f>
        <v>2027</v>
      </c>
      <c r="X466" s="1206">
        <f>L466</f>
        <v>2028</v>
      </c>
      <c r="Y466" s="1206">
        <f>M466</f>
        <v>2029</v>
      </c>
      <c r="Z466" s="1207">
        <f>N466</f>
        <v>2030</v>
      </c>
      <c r="AA466" s="694"/>
      <c r="AB466" s="694"/>
      <c r="AC466" s="694"/>
      <c r="AD466" s="694"/>
      <c r="AE466" s="694"/>
      <c r="AF466" s="694"/>
      <c r="AG466" s="694"/>
      <c r="AH466" s="694"/>
      <c r="AI466" s="694"/>
      <c r="AJ466" s="729"/>
      <c r="AK466" s="770"/>
      <c r="AL466" s="770"/>
    </row>
    <row r="467" spans="1:38" ht="12.75" customHeight="1" x14ac:dyDescent="0.25">
      <c r="A467" s="694"/>
      <c r="B467" s="298"/>
      <c r="C467" s="298"/>
      <c r="D467" s="1208"/>
      <c r="E467" s="2822" t="str">
        <f>Translations!$B$1328</f>
        <v>Средна годишна стойност</v>
      </c>
      <c r="F467" s="2258"/>
      <c r="G467" s="2258"/>
      <c r="H467" s="1266" t="str">
        <f>G462</f>
        <v>-</v>
      </c>
      <c r="I467" s="1599" t="str">
        <f>IF(OR(L449="",L449=EUconst_NotRelevant),"",IF(V449&gt;($J$490-3),EUconst_NA,INDEX('B+C_SubInstallations'!$N:$N,MATCH(Q467,'B+C_SubInstallations'!$Y:$Y,0))))</f>
        <v/>
      </c>
      <c r="J467" s="1600" t="str">
        <f>IF($L449&lt;&gt;EUconst_Relevant,"",IF(AND(V467&gt;=3,CNTR_ReportingYear&gt;J466-1),AVERAGE(SUM(H462),SUM(I462)),""))</f>
        <v/>
      </c>
      <c r="K467" s="1601" t="str">
        <f>IF($L449&lt;&gt;EUconst_Relevant,"",IF(AND(W467&gt;=3,CNTR_ReportingYear&gt;K466-1),AVERAGE(SUM(I462),SUM(J462)),""))</f>
        <v/>
      </c>
      <c r="L467" s="1601" t="str">
        <f>IF($L449&lt;&gt;EUconst_Relevant,"",IF(AND(X467&gt;=3,CNTR_ReportingYear&gt;L466-1),AVERAGE(SUM(J462),SUM(K462)),""))</f>
        <v/>
      </c>
      <c r="M467" s="1601" t="str">
        <f>IF($L449&lt;&gt;EUconst_Relevant,"",IF(AND(Y467&gt;=3,CNTR_ReportingYear&gt;M466-1),AVERAGE(SUM(K462),SUM(L462)),""))</f>
        <v/>
      </c>
      <c r="N467" s="1602" t="str">
        <f>IF($L449&lt;&gt;EUconst_Relevant,"",IF(AND(Z467&gt;=3,CNTR_ReportingYear&gt;N466-1),AVERAGE(SUM(L462),SUM(M462)),""))</f>
        <v/>
      </c>
      <c r="O467" s="302"/>
      <c r="P467" s="302"/>
      <c r="Q467" s="982" t="str">
        <f>EUconst_CNTR_VCMInitial &amp; INDEX(EUconst_BMlistNames,MATCH(R449,EUconst_BMlistMainNumberOfBM,0))</f>
        <v>VCMIni_Винилхлориден мономер</v>
      </c>
      <c r="R467" s="694"/>
      <c r="S467" s="694"/>
      <c r="T467" s="694"/>
      <c r="U467" s="1365" t="s">
        <v>1710</v>
      </c>
      <c r="V467" s="1176">
        <f>IF($L449&lt;&gt;EUconst_Relevant,0,V466-$V449+1)</f>
        <v>0</v>
      </c>
      <c r="W467" s="1176">
        <f>IF($L449&lt;&gt;EUconst_Relevant,0,W466-$V449+1)</f>
        <v>0</v>
      </c>
      <c r="X467" s="1176">
        <f>IF($L449&lt;&gt;EUconst_Relevant,0,X466-$V449+1)</f>
        <v>0</v>
      </c>
      <c r="Y467" s="1176">
        <f>IF($L449&lt;&gt;EUconst_Relevant,0,Y466-$V449+1)</f>
        <v>0</v>
      </c>
      <c r="Z467" s="1216">
        <f>IF($L449&lt;&gt;EUconst_Relevant,0,Z466-$V449+1)</f>
        <v>0</v>
      </c>
      <c r="AA467" s="694"/>
      <c r="AB467" s="1182" t="s">
        <v>737</v>
      </c>
      <c r="AC467" s="1288"/>
      <c r="AD467" s="1603" t="b">
        <f>OR(AD461,T418&gt;DATE(2018,1,1))</f>
        <v>0</v>
      </c>
      <c r="AE467" s="694"/>
      <c r="AF467" s="694"/>
      <c r="AG467" s="694"/>
      <c r="AH467" s="694"/>
      <c r="AI467" s="694"/>
      <c r="AJ467" s="729"/>
      <c r="AK467" s="770"/>
      <c r="AL467" s="770"/>
    </row>
    <row r="468" spans="1:38" ht="12.75" hidden="1" customHeight="1" x14ac:dyDescent="0.25">
      <c r="A468" s="729" t="s">
        <v>312</v>
      </c>
      <c r="B468" s="298"/>
      <c r="C468" s="298"/>
      <c r="D468" s="1217"/>
      <c r="E468" s="2822" t="str">
        <f>Translations!$B$1378</f>
        <v>Промяна в сравнение със стойността в НМИ</v>
      </c>
      <c r="F468" s="2258"/>
      <c r="G468" s="2258"/>
      <c r="H468" s="1222"/>
      <c r="I468" s="1223"/>
      <c r="J468" s="104" t="str">
        <f>IF(J467="","",IF($I470=0,100%,J467/$I470-1))</f>
        <v/>
      </c>
      <c r="K468" s="99" t="str">
        <f>IF(K467="","",IF($I470=0,100%,K467/$I470-1))</f>
        <v/>
      </c>
      <c r="L468" s="99" t="str">
        <f>IF(L467="","",IF($I470=0,100%,L467/$I470-1))</f>
        <v/>
      </c>
      <c r="M468" s="99" t="str">
        <f>IF(M467="","",IF($I470=0,100%,M467/$I470-1))</f>
        <v/>
      </c>
      <c r="N468" s="123" t="str">
        <f>IF(N467="","",IF($I470=0,100%,N467/$I470-1))</f>
        <v/>
      </c>
      <c r="O468" s="302"/>
      <c r="P468" s="302"/>
      <c r="Q468" s="1190" t="str">
        <f>EUconst_CNTR_RelThreshold &amp; Q470</f>
        <v>RelThresh_VCMprelim_</v>
      </c>
      <c r="R468" s="694"/>
      <c r="S468" s="694"/>
      <c r="T468" s="694"/>
      <c r="U468" s="1365" t="s">
        <v>1715</v>
      </c>
      <c r="V468" s="727" t="str">
        <f>IF(J467="","",ABS(J468)&gt;15%)</f>
        <v/>
      </c>
      <c r="W468" s="727" t="str">
        <f>IF(K467="","",ABS(K468)&gt;15%)</f>
        <v/>
      </c>
      <c r="X468" s="727" t="str">
        <f>IF(L467="","",ABS(L468)&gt;15%)</f>
        <v/>
      </c>
      <c r="Y468" s="727" t="str">
        <f>IF(M467="","",ABS(M468)&gt;15%)</f>
        <v/>
      </c>
      <c r="Z468" s="1221" t="str">
        <f>IF(N467="","",ABS(N468)&gt;15%)</f>
        <v/>
      </c>
      <c r="AA468" s="694"/>
      <c r="AB468" s="694"/>
      <c r="AC468" s="694"/>
      <c r="AD468" s="694"/>
      <c r="AE468" s="694"/>
      <c r="AF468" s="694"/>
      <c r="AG468" s="694"/>
      <c r="AH468" s="694"/>
      <c r="AI468" s="694"/>
      <c r="AJ468" s="729"/>
      <c r="AK468" s="770"/>
      <c r="AL468" s="770"/>
    </row>
    <row r="469" spans="1:38" ht="12.75" customHeight="1" x14ac:dyDescent="0.25">
      <c r="A469" s="729"/>
      <c r="B469" s="298"/>
      <c r="C469" s="298"/>
      <c r="D469" s="1217"/>
      <c r="E469" s="2822" t="str">
        <f>Translations!$B$1322</f>
        <v>Предварителна корекция (ако са надвишени относителните прагове)</v>
      </c>
      <c r="F469" s="2258"/>
      <c r="G469" s="2258"/>
      <c r="H469" s="2258"/>
      <c r="I469" s="2824"/>
      <c r="J469" s="1224" t="str">
        <f>IF(J467="","",IF(V468=FALSE,0%,IF(V469,J468,I475)))</f>
        <v/>
      </c>
      <c r="K469" s="1225" t="str">
        <f>IF(K467="","",IF(W468=FALSE,0%,IF(W469,K468,J475)))</f>
        <v/>
      </c>
      <c r="L469" s="1225" t="str">
        <f>IF(L467="","",IF(X468=FALSE,0%,IF(X469,L468,K475)))</f>
        <v/>
      </c>
      <c r="M469" s="1225" t="str">
        <f>IF(M467="","",IF(Y468=FALSE,0%,IF(Y469,M468,L475)))</f>
        <v/>
      </c>
      <c r="N469" s="1226" t="str">
        <f>IF(N467="","",IF(Z468=FALSE,0%,IF(Z469,N468,M475)))</f>
        <v/>
      </c>
      <c r="O469" s="302"/>
      <c r="P469" s="302"/>
      <c r="Q469" s="729"/>
      <c r="R469" s="694"/>
      <c r="S469" s="694"/>
      <c r="T469" s="694"/>
      <c r="U469" s="1604" t="s">
        <v>1716</v>
      </c>
      <c r="V469" s="727" t="str">
        <f>IF(J467="","",AND(V468,IF(SUM(I475)&lt;0,OR(SUM(J468)&lt;SUM(I475)-MOD(SUM(I475),5%),J468&gt;=SUM(I475)+5%-MOD(SUM(I475),5%)),OR(SUM(J468)&lt;=SUM(I475)-MOD(SUM(I475),5%),SUM(J468)&gt;SUM(I475)+5%-MOD(SUM(I475),5%)))))</f>
        <v/>
      </c>
      <c r="W469" s="727" t="str">
        <f>IF(K467="","",AND(W468,IF(SUM(J475)&lt;0,OR(SUM(K468)&lt;SUM(J475)-MOD(SUM(J475),5%),K468&gt;=SUM(J475)+5%-MOD(SUM(J475),5%)),OR(SUM(K468)&lt;=SUM(J475)-MOD(SUM(J475),5%),SUM(K468)&gt;SUM(J475)+5%-MOD(SUM(J475),5%)))))</f>
        <v/>
      </c>
      <c r="X469" s="727" t="str">
        <f>IF(L467="","",AND(X468,IF(SUM(K475)&lt;0,OR(SUM(L468)&lt;SUM(K475)-MOD(SUM(K475),5%),L468&gt;=SUM(K475)+5%-MOD(SUM(K475),5%)),OR(SUM(L468)&lt;=SUM(K475)-MOD(SUM(K475),5%),SUM(L468)&gt;SUM(K475)+5%-MOD(SUM(K475),5%)))))</f>
        <v/>
      </c>
      <c r="Y469" s="727" t="str">
        <f>IF(M467="","",AND(Y468,IF(SUM(L475)&lt;0,OR(SUM(M468)&lt;SUM(L475)-MOD(SUM(L475),5%),M468&gt;=SUM(L475)+5%-MOD(SUM(L475),5%)),OR(SUM(M468)&lt;=SUM(L475)-MOD(SUM(L475),5%),SUM(M468)&gt;SUM(L475)+5%-MOD(SUM(L475),5%)))))</f>
        <v/>
      </c>
      <c r="Z469" s="1221" t="str">
        <f>IF(N467="","",AND(Z468,IF(SUM(M475)&lt;0,OR(SUM(N468)&lt;SUM(M475)-MOD(SUM(M475),5%),N468&gt;=SUM(M475)+5%-MOD(SUM(M475),5%)),OR(SUM(N468)&lt;=SUM(M475)-MOD(SUM(M475),5%),SUM(N468)&gt;SUM(M475)+5%-MOD(SUM(M475),5%)))))</f>
        <v/>
      </c>
      <c r="AA469" s="694"/>
      <c r="AB469" s="694"/>
      <c r="AC469" s="694"/>
      <c r="AD469" s="694"/>
      <c r="AE469" s="694"/>
      <c r="AF469" s="694"/>
      <c r="AG469" s="694"/>
      <c r="AH469" s="694"/>
      <c r="AI469" s="694"/>
      <c r="AJ469" s="729"/>
      <c r="AK469" s="770"/>
      <c r="AL469" s="770"/>
    </row>
    <row r="470" spans="1:38" ht="12.75" hidden="1" customHeight="1" x14ac:dyDescent="0.25">
      <c r="A470" s="729" t="s">
        <v>312</v>
      </c>
      <c r="B470" s="298"/>
      <c r="C470" s="298"/>
      <c r="D470" s="1217"/>
      <c r="E470" s="2822" t="str">
        <f>Translations!$B$1377</f>
        <v>Предварителна стойност</v>
      </c>
      <c r="F470" s="2258"/>
      <c r="G470" s="2258"/>
      <c r="H470" s="1266" t="str">
        <f>H467</f>
        <v>-</v>
      </c>
      <c r="I470" s="1599" t="str">
        <f>IF($L449&lt;&gt;EUconst_Relevant,"",IF(AB449=FALSE,EUconst_NA,IF(V449&gt;2018,INDEX(H462:N462,MATCH(V449,H455:N455,0)),SUM(I467))))</f>
        <v/>
      </c>
      <c r="J470" s="1605" t="str">
        <f>IF($L449&lt;&gt;EUconst_Relevant,"",IF(V467&lt;2,SUM(J462),IF(V467&lt;3,SUM(I462),IF(V470="",I470,V470))))</f>
        <v/>
      </c>
      <c r="K470" s="1606" t="str">
        <f>IF($L449&lt;&gt;EUconst_Relevant,"",IF(W467&lt;2,SUM(K462),IF(W467&lt;3,SUM(J462),IF(W470="",J470,W470))))</f>
        <v/>
      </c>
      <c r="L470" s="1606" t="str">
        <f>IF($L449&lt;&gt;EUconst_Relevant,"",IF(X467&lt;2,SUM(L462),IF(X467&lt;3,SUM(K462),IF(X470="",K470,X470))))</f>
        <v/>
      </c>
      <c r="M470" s="1606" t="str">
        <f>IF($L449&lt;&gt;EUconst_Relevant,"",IF(Y467&lt;2,SUM(M462),IF(Y467&lt;3,SUM(L462),IF(Y470="",L470,Y470))))</f>
        <v/>
      </c>
      <c r="N470" s="1607" t="str">
        <f>IF($L449&lt;&gt;EUconst_Relevant,"",IF(Z467&lt;2,SUM(N462),IF(Z467&lt;3,SUM(M462),IF(Z470="",M470,Z470))))</f>
        <v/>
      </c>
      <c r="O470" s="302"/>
      <c r="P470" s="302"/>
      <c r="Q470" s="1190" t="str">
        <f>EUconst_CNTR_VCMprelim &amp; I418</f>
        <v>VCMprelim_</v>
      </c>
      <c r="R470" s="694"/>
      <c r="S470" s="694"/>
      <c r="T470" s="694"/>
      <c r="U470" s="1365" t="s">
        <v>1756</v>
      </c>
      <c r="V470" s="1608" t="str">
        <f>IF(J467="","",IF(CNTR_ReportingYear&lt;J466,I469,IF($I470=0,J467,$I470*(1+J469))))</f>
        <v/>
      </c>
      <c r="W470" s="1608" t="str">
        <f>IF(K467="","",IF(CNTR_ReportingYear&lt;K466,J469,IF($I470=0,K467,$I470*(1+K469))))</f>
        <v/>
      </c>
      <c r="X470" s="1608" t="str">
        <f>IF(L467="","",IF(CNTR_ReportingYear&lt;L466,K469,IF($I470=0,L467,$I470*(1+L469))))</f>
        <v/>
      </c>
      <c r="Y470" s="1608" t="str">
        <f>IF(M467="","",IF(CNTR_ReportingYear&lt;M466,L469,IF($I470=0,M467,$I470*(1+M469))))</f>
        <v/>
      </c>
      <c r="Z470" s="1609" t="str">
        <f>IF(N467="","",IF(CNTR_ReportingYear&lt;N466,M469,IF($I470=0,N467,$I470*(1+N469))))</f>
        <v/>
      </c>
      <c r="AA470" s="694"/>
      <c r="AB470" s="694"/>
      <c r="AC470" s="694"/>
      <c r="AD470" s="694"/>
      <c r="AE470" s="694"/>
      <c r="AF470" s="694"/>
      <c r="AG470" s="694"/>
      <c r="AH470" s="694"/>
      <c r="AI470" s="694"/>
      <c r="AJ470" s="729"/>
      <c r="AK470" s="770"/>
      <c r="AL470" s="770"/>
    </row>
    <row r="471" spans="1:38" ht="5.15" customHeight="1" x14ac:dyDescent="0.25">
      <c r="A471" s="729"/>
      <c r="B471" s="298"/>
      <c r="C471" s="298"/>
      <c r="D471" s="1217"/>
      <c r="E471" s="1199"/>
      <c r="F471" s="1199"/>
      <c r="G471" s="1199"/>
      <c r="H471" s="1199"/>
      <c r="I471" s="1199"/>
      <c r="J471" s="1229"/>
      <c r="K471" s="1229"/>
      <c r="L471" s="1229"/>
      <c r="M471" s="1229"/>
      <c r="N471" s="1230"/>
      <c r="O471" s="302"/>
      <c r="P471" s="302"/>
      <c r="Q471" s="729"/>
      <c r="R471" s="694"/>
      <c r="S471" s="694"/>
      <c r="T471" s="694"/>
      <c r="U471" s="1231"/>
      <c r="V471" s="729"/>
      <c r="W471" s="694"/>
      <c r="X471" s="694"/>
      <c r="Y471" s="694"/>
      <c r="Z471" s="1232"/>
      <c r="AA471" s="694"/>
      <c r="AB471" s="694"/>
      <c r="AC471" s="694"/>
      <c r="AD471" s="694"/>
      <c r="AE471" s="694"/>
      <c r="AF471" s="694"/>
      <c r="AG471" s="694"/>
      <c r="AH471" s="694"/>
      <c r="AI471" s="694"/>
      <c r="AJ471" s="729"/>
      <c r="AK471" s="770"/>
      <c r="AL471" s="770"/>
    </row>
    <row r="472" spans="1:38" ht="12.75" customHeight="1" x14ac:dyDescent="0.25">
      <c r="A472" s="729"/>
      <c r="B472" s="298"/>
      <c r="C472" s="298"/>
      <c r="D472" s="1217"/>
      <c r="E472" s="1233" t="str">
        <f>Translations!$B$1323</f>
        <v>Действителна корекция (база за следващи години)</v>
      </c>
      <c r="F472" s="1233"/>
      <c r="G472" s="1233"/>
      <c r="H472" s="1233"/>
      <c r="I472" s="1233"/>
      <c r="J472" s="1563">
        <f>J$490</f>
        <v>2026</v>
      </c>
      <c r="K472" s="1203">
        <f>K$490</f>
        <v>2027</v>
      </c>
      <c r="L472" s="1203">
        <f>L$490</f>
        <v>2028</v>
      </c>
      <c r="M472" s="1203">
        <f>M$490</f>
        <v>2029</v>
      </c>
      <c r="N472" s="1479">
        <f>N$490</f>
        <v>2030</v>
      </c>
      <c r="O472" s="302"/>
      <c r="P472" s="302"/>
      <c r="Q472" s="729"/>
      <c r="R472" s="694"/>
      <c r="S472" s="694"/>
      <c r="T472" s="694"/>
      <c r="U472" s="1234"/>
      <c r="V472" s="694"/>
      <c r="W472" s="694"/>
      <c r="X472" s="694"/>
      <c r="Y472" s="694"/>
      <c r="Z472" s="1232"/>
      <c r="AA472" s="694"/>
      <c r="AB472" s="694"/>
      <c r="AC472" s="694"/>
      <c r="AD472" s="694"/>
      <c r="AE472" s="694"/>
      <c r="AF472" s="694"/>
      <c r="AG472" s="694"/>
      <c r="AH472" s="694"/>
      <c r="AI472" s="694"/>
      <c r="AJ472" s="729"/>
      <c r="AK472" s="770"/>
      <c r="AL472" s="770"/>
    </row>
    <row r="473" spans="1:38" ht="12.75" customHeight="1" x14ac:dyDescent="0.25">
      <c r="A473" s="729"/>
      <c r="B473" s="298"/>
      <c r="C473" s="298"/>
      <c r="D473" s="1217"/>
      <c r="E473" s="2822" t="str">
        <f>Translations!$B$1515</f>
        <v>изпълнен ли е критерият за &gt;=300 квоти за емисии?</v>
      </c>
      <c r="F473" s="2258"/>
      <c r="G473" s="2258"/>
      <c r="H473" s="2258"/>
      <c r="I473" s="2824"/>
      <c r="J473" s="1236" t="str">
        <f>IF($L449&lt;&gt;EUconst_Relevant,"",INDEX(K_Summary!J:J,MATCH($Q473,K_Summary!$P:$P,0)))</f>
        <v/>
      </c>
      <c r="K473" s="385" t="str">
        <f>IF($L449&lt;&gt;EUconst_Relevant,"",INDEX(K_Summary!K:K,MATCH($Q473,K_Summary!$P:$P,0)))</f>
        <v/>
      </c>
      <c r="L473" s="385" t="str">
        <f>IF($L449&lt;&gt;EUconst_Relevant,"",INDEX(K_Summary!L:L,MATCH($Q473,K_Summary!$P:$P,0)))</f>
        <v/>
      </c>
      <c r="M473" s="385" t="str">
        <f>IF($L449&lt;&gt;EUconst_Relevant,"",INDEX(K_Summary!M:M,MATCH($Q473,K_Summary!$P:$P,0)))</f>
        <v/>
      </c>
      <c r="N473" s="1237" t="str">
        <f>IF($L449&lt;&gt;EUconst_Relevant,"",INDEX(K_Summary!N:N,MATCH($Q473,K_Summary!$P:$P,0)))</f>
        <v/>
      </c>
      <c r="O473" s="302"/>
      <c r="P473" s="302"/>
      <c r="Q473" s="1182" t="str">
        <f>EUconst_CNTR_300EUA&amp;INDEX(EUconst_BMlistNames,MATCH(R449,EUconst_BMlistMainNumberOfBM,0))</f>
        <v>EUA300_Винилхлориден мономер</v>
      </c>
      <c r="R473" s="694"/>
      <c r="S473" s="694"/>
      <c r="T473" s="694"/>
      <c r="U473" s="1234"/>
      <c r="V473" s="694"/>
      <c r="W473" s="694"/>
      <c r="X473" s="694"/>
      <c r="Y473" s="694"/>
      <c r="Z473" s="1232"/>
      <c r="AA473" s="694"/>
      <c r="AB473" s="694"/>
      <c r="AC473" s="694"/>
      <c r="AD473" s="694"/>
      <c r="AE473" s="694"/>
      <c r="AF473" s="694"/>
      <c r="AG473" s="694"/>
      <c r="AH473" s="694"/>
      <c r="AI473" s="694"/>
      <c r="AJ473" s="729"/>
      <c r="AK473" s="770"/>
      <c r="AL473" s="770"/>
    </row>
    <row r="474" spans="1:38" ht="5.15" customHeight="1" thickBot="1" x14ac:dyDescent="0.3">
      <c r="A474" s="729"/>
      <c r="B474" s="298"/>
      <c r="C474" s="298"/>
      <c r="D474" s="1217"/>
      <c r="E474" s="1199"/>
      <c r="F474" s="1199"/>
      <c r="G474" s="1199"/>
      <c r="H474" s="1199"/>
      <c r="I474" s="1199"/>
      <c r="J474" s="1199"/>
      <c r="K474" s="1199"/>
      <c r="L474" s="1199"/>
      <c r="M474" s="1199"/>
      <c r="N474" s="1238"/>
      <c r="O474" s="302"/>
      <c r="P474" s="302"/>
      <c r="Q474" s="729"/>
      <c r="R474" s="694"/>
      <c r="S474" s="694"/>
      <c r="T474" s="694"/>
      <c r="U474" s="1231"/>
      <c r="V474" s="729"/>
      <c r="W474" s="694"/>
      <c r="X474" s="694"/>
      <c r="Y474" s="694"/>
      <c r="Z474" s="1232"/>
      <c r="AA474" s="694"/>
      <c r="AB474" s="694"/>
      <c r="AC474" s="694"/>
      <c r="AD474" s="694"/>
      <c r="AE474" s="694"/>
      <c r="AF474" s="694"/>
      <c r="AG474" s="694"/>
      <c r="AH474" s="694"/>
      <c r="AI474" s="694"/>
      <c r="AJ474" s="729"/>
      <c r="AK474" s="770"/>
      <c r="AL474" s="770"/>
    </row>
    <row r="475" spans="1:38" ht="12.75" customHeight="1" thickBot="1" x14ac:dyDescent="0.3">
      <c r="A475" s="694"/>
      <c r="B475" s="298"/>
      <c r="C475" s="298"/>
      <c r="D475" s="1208"/>
      <c r="E475" s="2822" t="str">
        <f>Translations!$B$1324</f>
        <v>Действителна корекция (ако са надвишени всички прагове)</v>
      </c>
      <c r="F475" s="2258"/>
      <c r="G475" s="2258"/>
      <c r="H475" s="2258"/>
      <c r="I475" s="2824"/>
      <c r="J475" s="1240" t="str">
        <f>IF(J473="","",IF(OR(J473,V467&lt;1),J469,I475))</f>
        <v/>
      </c>
      <c r="K475" s="1241" t="str">
        <f>IF(K473="","",IF(OR(K473,W467&lt;1),K469,J475))</f>
        <v/>
      </c>
      <c r="L475" s="1241" t="str">
        <f>IF(L473="","",IF(OR(L473,X467&lt;1),L469,K475))</f>
        <v/>
      </c>
      <c r="M475" s="1241" t="str">
        <f>IF(M473="","",IF(OR(M473,Y467&lt;1),M469,L475))</f>
        <v/>
      </c>
      <c r="N475" s="1242" t="str">
        <f>IF(N473="","",IF(OR(N473,Z467&lt;1),N469,M475))</f>
        <v/>
      </c>
      <c r="O475" s="302"/>
      <c r="P475" s="302"/>
      <c r="Q475" s="729"/>
      <c r="R475" s="694"/>
      <c r="S475" s="694"/>
      <c r="T475" s="694"/>
      <c r="U475" s="1231" t="s">
        <v>1718</v>
      </c>
      <c r="V475" s="1243">
        <f>J472</f>
        <v>2026</v>
      </c>
      <c r="W475" s="1243">
        <f>K472</f>
        <v>2027</v>
      </c>
      <c r="X475" s="1243">
        <f>L472</f>
        <v>2028</v>
      </c>
      <c r="Y475" s="1243">
        <f>M472</f>
        <v>2029</v>
      </c>
      <c r="Z475" s="1244">
        <f>N472</f>
        <v>2030</v>
      </c>
      <c r="AA475" s="694"/>
      <c r="AB475" s="694"/>
      <c r="AC475" s="694"/>
      <c r="AD475" s="694"/>
      <c r="AE475" s="694"/>
      <c r="AF475" s="694"/>
      <c r="AG475" s="694"/>
      <c r="AH475" s="694"/>
      <c r="AI475" s="694"/>
      <c r="AJ475" s="729"/>
      <c r="AK475" s="770"/>
      <c r="AL475" s="770"/>
    </row>
    <row r="476" spans="1:38" ht="12.75" hidden="1" customHeight="1" thickBot="1" x14ac:dyDescent="0.3">
      <c r="A476" s="729" t="s">
        <v>312</v>
      </c>
      <c r="B476" s="298"/>
      <c r="C476" s="298"/>
      <c r="D476" s="1217"/>
      <c r="E476" s="2822" t="str">
        <f>Translations!$B$1325</f>
        <v>Действителна стойност</v>
      </c>
      <c r="F476" s="2258"/>
      <c r="G476" s="2258"/>
      <c r="H476" s="1266" t="str">
        <f>H467</f>
        <v>-</v>
      </c>
      <c r="I476" s="1599" t="str">
        <f>I470</f>
        <v/>
      </c>
      <c r="J476" s="1610" t="str">
        <f>IF($L449&lt;&gt;EUconst_Relevant,"",IF(J472&gt;$Z449,1,IF(OR($I476=EUconst_NA,J473=TRUE,J475="",J472&lt;=$V449),J470,I476)))</f>
        <v/>
      </c>
      <c r="K476" s="1611" t="str">
        <f>IF($L449&lt;&gt;EUconst_Relevant,"",IF(K472&gt;$Z449,1,IF(OR($I476=EUconst_NA,K473=TRUE,K475="",K472&lt;=$V449),K470,J476)))</f>
        <v/>
      </c>
      <c r="L476" s="1611" t="str">
        <f>IF($L449&lt;&gt;EUconst_Relevant,"",IF(L472&gt;$Z449,1,IF(OR($I476=EUconst_NA,L473=TRUE,L475="",L472&lt;=$V449),L470,K476)))</f>
        <v/>
      </c>
      <c r="M476" s="1611" t="str">
        <f>IF($L449&lt;&gt;EUconst_Relevant,"",IF(M472&gt;$Z449,1,IF(OR($I476=EUconst_NA,M473=TRUE,M475="",M472&lt;=$V449),M470,L476)))</f>
        <v/>
      </c>
      <c r="N476" s="1612" t="str">
        <f>IF($L449&lt;&gt;EUconst_Relevant,"",IF(N472&gt;$Z449,1,IF(OR($I476=EUconst_NA,N473=TRUE,N475="",N472&lt;=$V449),N470,M476)))</f>
        <v/>
      </c>
      <c r="O476" s="302"/>
      <c r="P476" s="302"/>
      <c r="Q476" s="1190" t="str">
        <f>EUconst_CNTR_VCMfinal &amp; I418</f>
        <v>VCMfinal_</v>
      </c>
      <c r="R476" s="694"/>
      <c r="S476" s="694"/>
      <c r="T476" s="694"/>
      <c r="U476" s="1245" t="b">
        <v>0</v>
      </c>
      <c r="V476" s="1246" t="b">
        <f>IF(J473=TRUE,V468,U476)</f>
        <v>0</v>
      </c>
      <c r="W476" s="1246" t="b">
        <f>IF(K473=TRUE,W468,V476)</f>
        <v>0</v>
      </c>
      <c r="X476" s="1246" t="b">
        <f>IF(L473=TRUE,X468,W476)</f>
        <v>0</v>
      </c>
      <c r="Y476" s="1246" t="b">
        <f>IF(M473=TRUE,Y468,X476)</f>
        <v>0</v>
      </c>
      <c r="Z476" s="1247" t="b">
        <f>IF(N473=TRUE,Z468,Y476)</f>
        <v>0</v>
      </c>
      <c r="AA476" s="694"/>
      <c r="AB476" s="694"/>
      <c r="AC476" s="694"/>
      <c r="AD476" s="694"/>
      <c r="AE476" s="694"/>
      <c r="AF476" s="694"/>
      <c r="AG476" s="694"/>
      <c r="AH476" s="694"/>
      <c r="AI476" s="694"/>
      <c r="AJ476" s="729"/>
      <c r="AK476" s="770"/>
      <c r="AL476" s="770"/>
    </row>
    <row r="477" spans="1:38" ht="5.15" customHeight="1" thickBot="1" x14ac:dyDescent="0.3">
      <c r="A477" s="694"/>
      <c r="B477" s="284"/>
      <c r="C477" s="284"/>
      <c r="D477" s="1407"/>
      <c r="E477" s="1408"/>
      <c r="F477" s="1408"/>
      <c r="G477" s="1408"/>
      <c r="H477" s="1408"/>
      <c r="I477" s="1408"/>
      <c r="J477" s="1408"/>
      <c r="K477" s="1408"/>
      <c r="L477" s="1408"/>
      <c r="M477" s="1572"/>
      <c r="N477" s="1573"/>
      <c r="O477" s="336"/>
      <c r="P477" s="302"/>
      <c r="Q477" s="770"/>
      <c r="R477" s="694"/>
      <c r="S477" s="694"/>
      <c r="T477" s="694"/>
      <c r="U477" s="694"/>
      <c r="V477" s="694"/>
      <c r="W477" s="694"/>
      <c r="X477" s="694"/>
      <c r="Y477" s="770"/>
      <c r="Z477" s="770"/>
      <c r="AA477" s="770"/>
      <c r="AB477" s="770"/>
      <c r="AC477" s="770"/>
      <c r="AD477" s="770"/>
      <c r="AE477" s="770"/>
      <c r="AF477" s="770"/>
      <c r="AG477" s="770"/>
      <c r="AH477" s="770"/>
      <c r="AI477" s="770"/>
      <c r="AJ477" s="770"/>
      <c r="AK477" s="770"/>
      <c r="AL477" s="770"/>
    </row>
    <row r="478" spans="1:38" ht="5.15" customHeight="1" x14ac:dyDescent="0.25">
      <c r="A478" s="694"/>
      <c r="B478" s="284"/>
      <c r="C478" s="284"/>
      <c r="D478" s="284"/>
      <c r="E478" s="284"/>
      <c r="F478" s="284"/>
      <c r="G478" s="284"/>
      <c r="H478" s="284"/>
      <c r="I478" s="284"/>
      <c r="J478" s="284"/>
      <c r="K478" s="284"/>
      <c r="L478" s="284"/>
      <c r="M478" s="336"/>
      <c r="N478" s="336"/>
      <c r="O478" s="336"/>
      <c r="P478" s="302"/>
      <c r="Q478" s="770"/>
      <c r="R478" s="694"/>
      <c r="S478" s="694"/>
      <c r="T478" s="694"/>
      <c r="U478" s="694"/>
      <c r="V478" s="694"/>
      <c r="W478" s="694"/>
      <c r="X478" s="694"/>
      <c r="Y478" s="770"/>
      <c r="Z478" s="770"/>
      <c r="AA478" s="770"/>
      <c r="AB478" s="770"/>
      <c r="AC478" s="770"/>
      <c r="AD478" s="770"/>
      <c r="AE478" s="770"/>
      <c r="AF478" s="770"/>
      <c r="AG478" s="770"/>
      <c r="AH478" s="770"/>
      <c r="AI478" s="770"/>
      <c r="AJ478" s="770"/>
      <c r="AK478" s="770"/>
      <c r="AL478" s="770"/>
    </row>
    <row r="479" spans="1:38" ht="13" x14ac:dyDescent="0.25">
      <c r="A479" s="694"/>
      <c r="B479" s="284"/>
      <c r="C479" s="284"/>
      <c r="D479" s="284"/>
      <c r="E479" s="2951" t="str">
        <f>IF(L449=EUconst_Relevant,HYPERLINK(R479,EUconst_MsgBackToSheetF),"")</f>
        <v/>
      </c>
      <c r="F479" s="2952"/>
      <c r="G479" s="2952"/>
      <c r="H479" s="2952"/>
      <c r="I479" s="2952"/>
      <c r="J479" s="2952"/>
      <c r="K479" s="2952"/>
      <c r="L479" s="2952"/>
      <c r="M479" s="2952"/>
      <c r="N479" s="2953"/>
      <c r="O479" s="336"/>
      <c r="P479" s="302"/>
      <c r="Q479" s="1395" t="s">
        <v>113</v>
      </c>
      <c r="R479" s="982" t="str">
        <f>R451</f>
        <v/>
      </c>
      <c r="S479" s="694"/>
      <c r="T479" s="694"/>
      <c r="U479" s="694"/>
      <c r="V479" s="694"/>
      <c r="W479" s="694"/>
      <c r="X479" s="694"/>
      <c r="Y479" s="770"/>
      <c r="Z479" s="770"/>
      <c r="AA479" s="770"/>
      <c r="AB479" s="770"/>
      <c r="AC479" s="770"/>
      <c r="AD479" s="770"/>
      <c r="AE479" s="770"/>
      <c r="AF479" s="770"/>
      <c r="AG479" s="770"/>
      <c r="AH479" s="770"/>
      <c r="AI479" s="770"/>
      <c r="AJ479" s="770"/>
      <c r="AK479" s="770"/>
      <c r="AL479" s="770"/>
    </row>
    <row r="480" spans="1:38" x14ac:dyDescent="0.25">
      <c r="A480" s="694"/>
      <c r="B480" s="698"/>
      <c r="C480" s="698"/>
      <c r="D480" s="698"/>
      <c r="E480" s="698"/>
      <c r="F480" s="698"/>
      <c r="G480" s="698"/>
      <c r="H480" s="698"/>
      <c r="I480" s="698"/>
      <c r="J480" s="698"/>
      <c r="K480" s="698"/>
      <c r="L480" s="698"/>
      <c r="M480" s="698"/>
      <c r="N480" s="698"/>
      <c r="O480" s="336"/>
      <c r="P480" s="302"/>
      <c r="Q480" s="694"/>
      <c r="R480" s="694"/>
      <c r="S480" s="694"/>
      <c r="T480" s="694"/>
      <c r="U480" s="694"/>
      <c r="V480" s="694"/>
      <c r="W480" s="694"/>
      <c r="X480" s="694"/>
      <c r="Y480" s="770"/>
      <c r="Z480" s="770"/>
      <c r="AA480" s="770"/>
      <c r="AB480" s="770"/>
      <c r="AC480" s="770"/>
      <c r="AD480" s="770"/>
      <c r="AE480" s="770"/>
      <c r="AF480" s="770"/>
      <c r="AG480" s="770"/>
      <c r="AH480" s="770"/>
      <c r="AI480" s="770"/>
      <c r="AJ480" s="770"/>
      <c r="AK480" s="770"/>
      <c r="AL480" s="770"/>
    </row>
    <row r="481" spans="1:38" ht="13" x14ac:dyDescent="0.25">
      <c r="A481" s="694"/>
      <c r="B481" s="698"/>
      <c r="C481" s="698"/>
      <c r="D481" s="2950" t="str">
        <f>Translations!$B$64</f>
        <v xml:space="preserve">&lt;&lt;&lt; Щракнете тук за да продължите към следващия лист &gt;&gt;&gt; </v>
      </c>
      <c r="E481" s="2710"/>
      <c r="F481" s="2710"/>
      <c r="G481" s="2710"/>
      <c r="H481" s="2710"/>
      <c r="I481" s="2710"/>
      <c r="J481" s="2710"/>
      <c r="K481" s="2710"/>
      <c r="L481" s="2710"/>
      <c r="M481" s="2710"/>
      <c r="N481" s="2710"/>
      <c r="O481" s="336"/>
      <c r="P481" s="302"/>
      <c r="Q481" s="694"/>
      <c r="R481" s="694"/>
      <c r="S481" s="694"/>
      <c r="T481" s="694"/>
      <c r="U481" s="694"/>
      <c r="V481" s="694"/>
      <c r="W481" s="694"/>
      <c r="X481" s="694"/>
      <c r="Y481" s="770"/>
      <c r="Z481" s="770"/>
      <c r="AA481" s="770"/>
      <c r="AB481" s="770"/>
      <c r="AC481" s="770"/>
      <c r="AD481" s="770"/>
      <c r="AE481" s="770"/>
      <c r="AF481" s="770"/>
      <c r="AG481" s="770"/>
      <c r="AH481" s="770"/>
      <c r="AI481" s="770"/>
      <c r="AJ481" s="770"/>
      <c r="AK481" s="770"/>
      <c r="AL481" s="770"/>
    </row>
    <row r="482" spans="1:38" x14ac:dyDescent="0.25">
      <c r="A482" s="694"/>
      <c r="B482" s="698"/>
      <c r="C482" s="698"/>
      <c r="D482" s="698"/>
      <c r="E482" s="698"/>
      <c r="F482" s="698"/>
      <c r="G482" s="698"/>
      <c r="H482" s="698"/>
      <c r="I482" s="698"/>
      <c r="J482" s="698"/>
      <c r="K482" s="698"/>
      <c r="L482" s="698"/>
      <c r="M482" s="698"/>
      <c r="N482" s="698"/>
      <c r="O482" s="336"/>
      <c r="P482" s="302"/>
      <c r="Q482" s="694"/>
      <c r="R482" s="694"/>
      <c r="S482" s="694"/>
      <c r="T482" s="694"/>
      <c r="U482" s="694"/>
      <c r="V482" s="694"/>
      <c r="W482" s="694"/>
      <c r="X482" s="694"/>
      <c r="Y482" s="770"/>
      <c r="Z482" s="770"/>
      <c r="AA482" s="770"/>
      <c r="AB482" s="770"/>
      <c r="AC482" s="770"/>
      <c r="AD482" s="770"/>
      <c r="AE482" s="770"/>
      <c r="AF482" s="770"/>
      <c r="AG482" s="770"/>
      <c r="AH482" s="770"/>
      <c r="AI482" s="770"/>
      <c r="AJ482" s="770"/>
      <c r="AK482" s="770"/>
      <c r="AL482" s="770"/>
    </row>
    <row r="483" spans="1:38" hidden="1" x14ac:dyDescent="0.25">
      <c r="A483" s="694" t="s">
        <v>312</v>
      </c>
      <c r="B483" s="694" t="s">
        <v>898</v>
      </c>
      <c r="C483" s="694" t="s">
        <v>898</v>
      </c>
      <c r="D483" s="694" t="s">
        <v>898</v>
      </c>
      <c r="E483" s="694" t="s">
        <v>898</v>
      </c>
      <c r="F483" s="694" t="s">
        <v>898</v>
      </c>
      <c r="G483" s="694"/>
      <c r="H483" s="694" t="s">
        <v>898</v>
      </c>
      <c r="I483" s="694" t="s">
        <v>898</v>
      </c>
      <c r="J483" s="694" t="s">
        <v>898</v>
      </c>
      <c r="K483" s="694" t="s">
        <v>898</v>
      </c>
      <c r="L483" s="694" t="s">
        <v>898</v>
      </c>
      <c r="M483" s="694" t="s">
        <v>898</v>
      </c>
      <c r="N483" s="694" t="s">
        <v>898</v>
      </c>
      <c r="O483" s="694" t="s">
        <v>898</v>
      </c>
      <c r="P483" s="694" t="s">
        <v>898</v>
      </c>
      <c r="Q483" s="694" t="s">
        <v>898</v>
      </c>
      <c r="R483" s="694" t="s">
        <v>898</v>
      </c>
      <c r="S483" s="694" t="s">
        <v>898</v>
      </c>
      <c r="T483" s="694" t="s">
        <v>898</v>
      </c>
      <c r="U483" s="694" t="s">
        <v>898</v>
      </c>
      <c r="V483" s="694" t="s">
        <v>898</v>
      </c>
      <c r="W483" s="694" t="s">
        <v>898</v>
      </c>
      <c r="X483" s="694" t="s">
        <v>898</v>
      </c>
      <c r="Y483" s="694" t="s">
        <v>898</v>
      </c>
      <c r="Z483" s="694" t="s">
        <v>898</v>
      </c>
      <c r="AA483" s="694" t="s">
        <v>898</v>
      </c>
      <c r="AB483" s="694" t="s">
        <v>898</v>
      </c>
      <c r="AC483" s="694" t="s">
        <v>898</v>
      </c>
      <c r="AD483" s="694" t="s">
        <v>898</v>
      </c>
      <c r="AE483" s="694" t="s">
        <v>898</v>
      </c>
      <c r="AF483" s="694" t="s">
        <v>898</v>
      </c>
      <c r="AG483" s="694" t="s">
        <v>898</v>
      </c>
      <c r="AH483" s="694" t="s">
        <v>898</v>
      </c>
      <c r="AI483" s="694" t="s">
        <v>898</v>
      </c>
      <c r="AJ483" s="694" t="s">
        <v>898</v>
      </c>
      <c r="AK483" s="694" t="s">
        <v>898</v>
      </c>
      <c r="AL483" s="694" t="s">
        <v>898</v>
      </c>
    </row>
    <row r="484" spans="1:38" hidden="1" x14ac:dyDescent="0.25">
      <c r="A484" s="694" t="s">
        <v>312</v>
      </c>
      <c r="B484" s="725"/>
      <c r="C484" s="725"/>
      <c r="D484" s="725"/>
      <c r="E484" s="725"/>
      <c r="F484" s="725"/>
      <c r="G484" s="725"/>
      <c r="H484" s="725"/>
      <c r="I484" s="725"/>
      <c r="J484" s="725"/>
      <c r="K484" s="725"/>
      <c r="L484" s="725"/>
      <c r="M484" s="725"/>
      <c r="N484" s="725"/>
      <c r="O484" s="725"/>
      <c r="P484" s="725"/>
      <c r="Q484" s="694"/>
      <c r="R484" s="694"/>
      <c r="S484" s="694"/>
      <c r="T484" s="694"/>
      <c r="U484" s="694"/>
      <c r="V484" s="694"/>
      <c r="W484" s="694"/>
      <c r="X484" s="694"/>
      <c r="Y484" s="694"/>
      <c r="Z484" s="694"/>
      <c r="AA484" s="694"/>
      <c r="AB484" s="694"/>
      <c r="AC484" s="694"/>
      <c r="AD484" s="694"/>
      <c r="AE484" s="694"/>
      <c r="AF484" s="694"/>
      <c r="AG484" s="694"/>
      <c r="AH484" s="694"/>
      <c r="AI484" s="694"/>
      <c r="AJ484" s="694"/>
      <c r="AK484" s="694"/>
      <c r="AL484" s="694"/>
    </row>
    <row r="485" spans="1:38" ht="13" hidden="1" x14ac:dyDescent="0.25">
      <c r="A485" s="694" t="s">
        <v>312</v>
      </c>
      <c r="B485" s="694"/>
      <c r="C485" s="694"/>
      <c r="D485" s="1031" t="s">
        <v>899</v>
      </c>
      <c r="E485" s="694"/>
      <c r="F485" s="694"/>
      <c r="G485" s="694"/>
      <c r="H485" s="694"/>
      <c r="I485" s="694"/>
      <c r="J485" s="694"/>
      <c r="K485" s="694"/>
      <c r="L485" s="694"/>
      <c r="M485" s="694"/>
      <c r="N485" s="694"/>
      <c r="O485" s="694"/>
      <c r="P485" s="725"/>
      <c r="Q485" s="694"/>
      <c r="R485" s="694"/>
      <c r="S485" s="694"/>
      <c r="T485" s="694"/>
      <c r="U485" s="694"/>
      <c r="V485" s="694"/>
      <c r="W485" s="694"/>
      <c r="X485" s="694"/>
      <c r="Y485" s="694"/>
      <c r="Z485" s="694"/>
      <c r="AA485" s="694"/>
      <c r="AB485" s="694"/>
      <c r="AC485" s="694"/>
      <c r="AD485" s="694"/>
      <c r="AE485" s="694"/>
      <c r="AF485" s="694"/>
      <c r="AG485" s="694"/>
      <c r="AH485" s="694"/>
      <c r="AI485" s="694"/>
      <c r="AJ485" s="694"/>
      <c r="AK485" s="694"/>
      <c r="AL485" s="694"/>
    </row>
    <row r="486" spans="1:38" ht="13.5" hidden="1" thickBot="1" x14ac:dyDescent="0.3">
      <c r="A486" s="694" t="s">
        <v>312</v>
      </c>
      <c r="B486" s="725"/>
      <c r="C486" s="725"/>
      <c r="D486" s="669"/>
      <c r="E486" s="725"/>
      <c r="F486" s="725"/>
      <c r="G486" s="725"/>
      <c r="H486" s="725"/>
      <c r="I486" s="725"/>
      <c r="J486" s="725"/>
      <c r="K486" s="725"/>
      <c r="L486" s="725"/>
      <c r="M486" s="725"/>
      <c r="N486" s="725"/>
      <c r="O486" s="725"/>
      <c r="P486" s="725"/>
      <c r="Q486" s="694"/>
      <c r="R486" s="694"/>
      <c r="S486" s="694"/>
      <c r="T486" s="694"/>
      <c r="U486" s="694"/>
      <c r="V486" s="694"/>
      <c r="W486" s="694"/>
      <c r="X486" s="694"/>
      <c r="Y486" s="694"/>
      <c r="Z486" s="694"/>
      <c r="AA486" s="694"/>
      <c r="AB486" s="694"/>
      <c r="AC486" s="694"/>
      <c r="AD486" s="694"/>
      <c r="AE486" s="694"/>
      <c r="AF486" s="694"/>
      <c r="AG486" s="694"/>
      <c r="AH486" s="694"/>
      <c r="AI486" s="694"/>
      <c r="AJ486" s="694"/>
      <c r="AK486" s="694"/>
      <c r="AL486" s="694"/>
    </row>
    <row r="487" spans="1:38" ht="13" hidden="1" x14ac:dyDescent="0.25">
      <c r="A487" s="694" t="s">
        <v>312</v>
      </c>
      <c r="B487" s="725"/>
      <c r="C487" s="725"/>
      <c r="D487" s="725"/>
      <c r="E487" s="784" t="s">
        <v>559</v>
      </c>
      <c r="F487" s="785"/>
      <c r="G487" s="785"/>
      <c r="H487" s="785"/>
      <c r="I487" s="785"/>
      <c r="J487" s="785"/>
      <c r="K487" s="785"/>
      <c r="L487" s="785"/>
      <c r="M487" s="785"/>
      <c r="N487" s="786"/>
      <c r="O487" s="725"/>
      <c r="P487" s="725"/>
      <c r="Q487" s="694"/>
      <c r="R487" s="694"/>
      <c r="S487" s="694"/>
      <c r="T487" s="694"/>
      <c r="U487" s="694"/>
      <c r="V487" s="694"/>
      <c r="W487" s="694"/>
      <c r="X487" s="694"/>
      <c r="Y487" s="694"/>
      <c r="Z487" s="694"/>
      <c r="AA487" s="694"/>
      <c r="AB487" s="694"/>
      <c r="AC487" s="694"/>
      <c r="AD487" s="694"/>
      <c r="AE487" s="694"/>
      <c r="AF487" s="694"/>
      <c r="AG487" s="694"/>
      <c r="AH487" s="694"/>
      <c r="AI487" s="694"/>
      <c r="AJ487" s="694"/>
      <c r="AK487" s="694"/>
      <c r="AL487" s="694"/>
    </row>
    <row r="488" spans="1:38" hidden="1" x14ac:dyDescent="0.25">
      <c r="A488" s="694" t="s">
        <v>312</v>
      </c>
      <c r="B488" s="725"/>
      <c r="C488" s="725"/>
      <c r="D488" s="725"/>
      <c r="E488" s="787" t="s">
        <v>902</v>
      </c>
      <c r="F488" s="788"/>
      <c r="G488" s="788"/>
      <c r="H488" s="789">
        <f>A_InstallationData!H410</f>
        <v>0</v>
      </c>
      <c r="I488" s="789">
        <f>A_InstallationData!I410</f>
        <v>0</v>
      </c>
      <c r="J488" s="789">
        <f>A_InstallationData!J410</f>
        <v>1</v>
      </c>
      <c r="K488" s="789">
        <f>A_InstallationData!K410</f>
        <v>2</v>
      </c>
      <c r="L488" s="789">
        <f>A_InstallationData!L410</f>
        <v>3</v>
      </c>
      <c r="M488" s="789">
        <f>A_InstallationData!M410</f>
        <v>4</v>
      </c>
      <c r="N488" s="790">
        <f>A_InstallationData!N410</f>
        <v>5</v>
      </c>
      <c r="O488" s="725"/>
      <c r="P488" s="725"/>
      <c r="Q488" s="694"/>
      <c r="R488" s="694"/>
      <c r="S488" s="694"/>
      <c r="T488" s="694"/>
      <c r="U488" s="694"/>
      <c r="V488" s="694"/>
      <c r="W488" s="694"/>
      <c r="X488" s="694"/>
      <c r="Y488" s="694"/>
      <c r="Z488" s="694"/>
      <c r="AA488" s="694"/>
      <c r="AB488" s="694"/>
      <c r="AC488" s="694"/>
      <c r="AD488" s="694"/>
      <c r="AE488" s="694"/>
      <c r="AF488" s="694"/>
      <c r="AG488" s="694"/>
      <c r="AH488" s="694"/>
      <c r="AI488" s="694"/>
      <c r="AJ488" s="694"/>
      <c r="AK488" s="694"/>
      <c r="AL488" s="694"/>
    </row>
    <row r="489" spans="1:38" hidden="1" x14ac:dyDescent="0.25">
      <c r="A489" s="694" t="s">
        <v>312</v>
      </c>
      <c r="B489" s="725"/>
      <c r="C489" s="725"/>
      <c r="D489" s="725"/>
      <c r="E489" s="791" t="s">
        <v>1163</v>
      </c>
      <c r="F489" s="788"/>
      <c r="G489" s="788"/>
      <c r="H489" s="789">
        <f>A_InstallationData!H411</f>
        <v>2019</v>
      </c>
      <c r="I489" s="789">
        <f>A_InstallationData!I411</f>
        <v>2020</v>
      </c>
      <c r="J489" s="789">
        <f>A_InstallationData!J411</f>
        <v>2021</v>
      </c>
      <c r="K489" s="789">
        <f>A_InstallationData!K411</f>
        <v>2022</v>
      </c>
      <c r="L489" s="789">
        <f>A_InstallationData!L411</f>
        <v>2023</v>
      </c>
      <c r="M489" s="789">
        <f>A_InstallationData!M411</f>
        <v>2024</v>
      </c>
      <c r="N489" s="790">
        <f>A_InstallationData!N411</f>
        <v>2025</v>
      </c>
      <c r="O489" s="725"/>
      <c r="P489" s="725"/>
      <c r="Q489" s="694"/>
      <c r="R489" s="694"/>
      <c r="S489" s="694"/>
      <c r="T489" s="694"/>
      <c r="U489" s="694"/>
      <c r="V489" s="694"/>
      <c r="W489" s="694"/>
      <c r="X489" s="694"/>
      <c r="Y489" s="694"/>
      <c r="Z489" s="694"/>
      <c r="AA489" s="694"/>
      <c r="AB489" s="694"/>
      <c r="AC489" s="694"/>
      <c r="AD489" s="694"/>
      <c r="AE489" s="694"/>
      <c r="AF489" s="694"/>
      <c r="AG489" s="694"/>
      <c r="AH489" s="694"/>
      <c r="AI489" s="694"/>
      <c r="AJ489" s="694"/>
      <c r="AK489" s="694"/>
      <c r="AL489" s="694"/>
    </row>
    <row r="490" spans="1:38" hidden="1" x14ac:dyDescent="0.25">
      <c r="A490" s="694" t="s">
        <v>312</v>
      </c>
      <c r="B490" s="725"/>
      <c r="C490" s="725"/>
      <c r="D490" s="725"/>
      <c r="E490" s="791" t="s">
        <v>1162</v>
      </c>
      <c r="F490" s="792"/>
      <c r="G490" s="792"/>
      <c r="H490" s="793">
        <f>A_InstallationData!H412</f>
        <v>2024</v>
      </c>
      <c r="I490" s="793">
        <f>A_InstallationData!I412</f>
        <v>2025</v>
      </c>
      <c r="J490" s="793">
        <f>A_InstallationData!J412</f>
        <v>2026</v>
      </c>
      <c r="K490" s="793">
        <f>A_InstallationData!K412</f>
        <v>2027</v>
      </c>
      <c r="L490" s="793">
        <f>A_InstallationData!L412</f>
        <v>2028</v>
      </c>
      <c r="M490" s="793">
        <f>A_InstallationData!M412</f>
        <v>2029</v>
      </c>
      <c r="N490" s="794">
        <f>A_InstallationData!N412</f>
        <v>2030</v>
      </c>
      <c r="O490" s="725"/>
      <c r="P490" s="725"/>
      <c r="Q490" s="694"/>
      <c r="R490" s="694"/>
      <c r="S490" s="694"/>
      <c r="T490" s="694"/>
      <c r="U490" s="694"/>
      <c r="V490" s="694"/>
      <c r="W490" s="694"/>
      <c r="X490" s="694"/>
      <c r="Y490" s="694"/>
      <c r="Z490" s="694"/>
      <c r="AA490" s="694"/>
      <c r="AB490" s="694"/>
      <c r="AC490" s="694"/>
      <c r="AD490" s="694"/>
      <c r="AE490" s="694"/>
      <c r="AF490" s="694"/>
      <c r="AG490" s="694"/>
      <c r="AH490" s="694"/>
      <c r="AI490" s="694"/>
      <c r="AJ490" s="694"/>
      <c r="AK490" s="694"/>
      <c r="AL490" s="694"/>
    </row>
    <row r="491" spans="1:38" hidden="1" x14ac:dyDescent="0.25">
      <c r="A491" s="694" t="s">
        <v>312</v>
      </c>
      <c r="B491" s="725"/>
      <c r="C491" s="725"/>
      <c r="D491" s="725"/>
      <c r="E491" s="791" t="s">
        <v>558</v>
      </c>
      <c r="F491" s="792"/>
      <c r="G491" s="792"/>
      <c r="H491" s="793">
        <f>A_InstallationData!H413</f>
        <v>0</v>
      </c>
      <c r="I491" s="793">
        <f>A_InstallationData!I413</f>
        <v>0</v>
      </c>
      <c r="J491" s="793">
        <f>A_InstallationData!J413</f>
        <v>2</v>
      </c>
      <c r="K491" s="793">
        <f>A_InstallationData!K413</f>
        <v>2</v>
      </c>
      <c r="L491" s="793">
        <f>A_InstallationData!L413</f>
        <v>2</v>
      </c>
      <c r="M491" s="793">
        <f>A_InstallationData!M413</f>
        <v>2</v>
      </c>
      <c r="N491" s="794">
        <f>A_InstallationData!N413</f>
        <v>2</v>
      </c>
      <c r="O491" s="725"/>
      <c r="P491" s="725"/>
      <c r="Q491" s="694"/>
      <c r="R491" s="694"/>
      <c r="S491" s="694"/>
      <c r="T491" s="694"/>
      <c r="U491" s="694"/>
      <c r="V491" s="694"/>
      <c r="W491" s="694"/>
      <c r="X491" s="694"/>
      <c r="Y491" s="694"/>
      <c r="Z491" s="694"/>
      <c r="AA491" s="694"/>
      <c r="AB491" s="694"/>
      <c r="AC491" s="694"/>
      <c r="AD491" s="694"/>
      <c r="AE491" s="694"/>
      <c r="AF491" s="694"/>
      <c r="AG491" s="694"/>
      <c r="AH491" s="694"/>
      <c r="AI491" s="694"/>
      <c r="AJ491" s="694"/>
      <c r="AK491" s="694"/>
      <c r="AL491" s="694"/>
    </row>
    <row r="492" spans="1:38" hidden="1" x14ac:dyDescent="0.25">
      <c r="A492" s="694" t="s">
        <v>312</v>
      </c>
      <c r="B492" s="725"/>
      <c r="C492" s="725"/>
      <c r="D492" s="725"/>
      <c r="E492" s="791" t="s">
        <v>556</v>
      </c>
      <c r="F492" s="792"/>
      <c r="G492" s="792"/>
      <c r="H492" s="792" t="b">
        <f>A_InstallationData!H414</f>
        <v>1</v>
      </c>
      <c r="I492" s="792" t="b">
        <f>A_InstallationData!I414</f>
        <v>1</v>
      </c>
      <c r="J492" s="792" t="b">
        <f>A_InstallationData!J414</f>
        <v>1</v>
      </c>
      <c r="K492" s="792" t="b">
        <f>A_InstallationData!K414</f>
        <v>1</v>
      </c>
      <c r="L492" s="792" t="b">
        <f>A_InstallationData!L414</f>
        <v>1</v>
      </c>
      <c r="M492" s="792" t="b">
        <f>A_InstallationData!M414</f>
        <v>1</v>
      </c>
      <c r="N492" s="1042" t="b">
        <f>A_InstallationData!N414</f>
        <v>1</v>
      </c>
      <c r="O492" s="725"/>
      <c r="P492" s="725"/>
      <c r="Q492" s="694"/>
      <c r="R492" s="694"/>
      <c r="S492" s="694"/>
      <c r="T492" s="694"/>
      <c r="U492" s="694"/>
      <c r="V492" s="694"/>
      <c r="W492" s="694"/>
      <c r="X492" s="694"/>
      <c r="Y492" s="694"/>
      <c r="Z492" s="694"/>
      <c r="AA492" s="694"/>
      <c r="AB492" s="694"/>
      <c r="AC492" s="694"/>
      <c r="AD492" s="694"/>
      <c r="AE492" s="694"/>
      <c r="AF492" s="694"/>
      <c r="AG492" s="694"/>
      <c r="AH492" s="694"/>
      <c r="AI492" s="694"/>
      <c r="AJ492" s="694"/>
      <c r="AK492" s="694"/>
      <c r="AL492" s="694"/>
    </row>
    <row r="493" spans="1:38" ht="13" hidden="1" thickBot="1" x14ac:dyDescent="0.3">
      <c r="A493" s="694" t="s">
        <v>312</v>
      </c>
      <c r="B493" s="725"/>
      <c r="C493" s="725"/>
      <c r="D493" s="725"/>
      <c r="E493" s="797" t="s">
        <v>557</v>
      </c>
      <c r="F493" s="798"/>
      <c r="G493" s="798"/>
      <c r="H493" s="798" t="b">
        <f>A_InstallationData!H415</f>
        <v>1</v>
      </c>
      <c r="I493" s="798" t="b">
        <f>A_InstallationData!I415</f>
        <v>1</v>
      </c>
      <c r="J493" s="798" t="b">
        <f>A_InstallationData!J415</f>
        <v>1</v>
      </c>
      <c r="K493" s="798" t="b">
        <f>A_InstallationData!K415</f>
        <v>1</v>
      </c>
      <c r="L493" s="798" t="b">
        <f>A_InstallationData!L415</f>
        <v>1</v>
      </c>
      <c r="M493" s="798" t="b">
        <f>A_InstallationData!M415</f>
        <v>1</v>
      </c>
      <c r="N493" s="1043" t="b">
        <f>A_InstallationData!N415</f>
        <v>1</v>
      </c>
      <c r="O493" s="725"/>
      <c r="P493" s="725"/>
      <c r="Q493" s="694"/>
      <c r="R493" s="694"/>
      <c r="S493" s="694"/>
      <c r="T493" s="694"/>
      <c r="U493" s="694"/>
      <c r="V493" s="694"/>
      <c r="W493" s="694"/>
      <c r="X493" s="694"/>
      <c r="Y493" s="694"/>
      <c r="Z493" s="694"/>
      <c r="AA493" s="694"/>
      <c r="AB493" s="694"/>
      <c r="AC493" s="694"/>
      <c r="AD493" s="694"/>
      <c r="AE493" s="694"/>
      <c r="AF493" s="694"/>
      <c r="AG493" s="694"/>
      <c r="AH493" s="694"/>
      <c r="AI493" s="694"/>
      <c r="AJ493" s="694"/>
      <c r="AK493" s="694"/>
      <c r="AL493" s="694"/>
    </row>
    <row r="494" spans="1:38" hidden="1" x14ac:dyDescent="0.25">
      <c r="A494" s="694" t="s">
        <v>312</v>
      </c>
      <c r="B494" s="725"/>
      <c r="C494" s="725"/>
      <c r="D494" s="725"/>
      <c r="E494" s="725"/>
      <c r="F494" s="725"/>
      <c r="G494" s="725"/>
      <c r="H494" s="725"/>
      <c r="I494" s="725"/>
      <c r="J494" s="725"/>
      <c r="K494" s="725"/>
      <c r="L494" s="725"/>
      <c r="M494" s="725"/>
      <c r="N494" s="725"/>
      <c r="O494" s="725"/>
      <c r="P494" s="725"/>
      <c r="Q494" s="694"/>
      <c r="R494" s="694"/>
      <c r="S494" s="694"/>
      <c r="T494" s="694"/>
      <c r="U494" s="694"/>
      <c r="V494" s="694"/>
      <c r="W494" s="694"/>
      <c r="X494" s="694"/>
      <c r="Y494" s="694"/>
      <c r="Z494" s="694"/>
      <c r="AA494" s="694"/>
      <c r="AB494" s="694"/>
      <c r="AC494" s="694"/>
      <c r="AD494" s="694"/>
      <c r="AE494" s="694"/>
      <c r="AF494" s="694"/>
      <c r="AG494" s="694"/>
      <c r="AH494" s="694"/>
      <c r="AI494" s="694"/>
      <c r="AJ494" s="694"/>
      <c r="AK494" s="694"/>
      <c r="AL494" s="694"/>
    </row>
  </sheetData>
  <sheetProtection sheet="1" objects="1" scenarios="1" formatCells="0" formatColumns="0" formatRows="0"/>
  <mergeCells count="284">
    <mergeCell ref="E365:N365"/>
    <mergeCell ref="E366:N366"/>
    <mergeCell ref="E368:F368"/>
    <mergeCell ref="E369:F369"/>
    <mergeCell ref="E370:F370"/>
    <mergeCell ref="E372:F372"/>
    <mergeCell ref="E374:N374"/>
    <mergeCell ref="E354:N354"/>
    <mergeCell ref="E355:N355"/>
    <mergeCell ref="E357:F357"/>
    <mergeCell ref="E358:F358"/>
    <mergeCell ref="E359:F359"/>
    <mergeCell ref="E360:F360"/>
    <mergeCell ref="E361:F361"/>
    <mergeCell ref="E362:F362"/>
    <mergeCell ref="E363:F363"/>
    <mergeCell ref="E341:F341"/>
    <mergeCell ref="E343:N343"/>
    <mergeCell ref="E344:N344"/>
    <mergeCell ref="E345:N345"/>
    <mergeCell ref="E347:F347"/>
    <mergeCell ref="E348:F348"/>
    <mergeCell ref="E350:F350"/>
    <mergeCell ref="E351:F351"/>
    <mergeCell ref="E353:N353"/>
    <mergeCell ref="E302:N302"/>
    <mergeCell ref="E303:N303"/>
    <mergeCell ref="E304:N304"/>
    <mergeCell ref="E396:N396"/>
    <mergeCell ref="E400:N400"/>
    <mergeCell ref="E401:N401"/>
    <mergeCell ref="D378:N378"/>
    <mergeCell ref="E380:N380"/>
    <mergeCell ref="E392:F392"/>
    <mergeCell ref="E394:N394"/>
    <mergeCell ref="E319:F319"/>
    <mergeCell ref="E312:F312"/>
    <mergeCell ref="D325:N325"/>
    <mergeCell ref="D327:N327"/>
    <mergeCell ref="E329:N329"/>
    <mergeCell ref="E330:N330"/>
    <mergeCell ref="E331:N331"/>
    <mergeCell ref="E333:K333"/>
    <mergeCell ref="L333:N333"/>
    <mergeCell ref="E334:N334"/>
    <mergeCell ref="E335:N335"/>
    <mergeCell ref="E337:N337"/>
    <mergeCell ref="E338:N338"/>
    <mergeCell ref="E339:N339"/>
    <mergeCell ref="E402:N402"/>
    <mergeCell ref="E454:N454"/>
    <mergeCell ref="F447:N447"/>
    <mergeCell ref="E449:K449"/>
    <mergeCell ref="E450:N450"/>
    <mergeCell ref="E453:N453"/>
    <mergeCell ref="E416:K416"/>
    <mergeCell ref="E417:N417"/>
    <mergeCell ref="E451:N451"/>
    <mergeCell ref="E422:N422"/>
    <mergeCell ref="E434:F434"/>
    <mergeCell ref="E436:N436"/>
    <mergeCell ref="D409:N409"/>
    <mergeCell ref="D411:N411"/>
    <mergeCell ref="E432:N432"/>
    <mergeCell ref="E418:N418"/>
    <mergeCell ref="L416:N416"/>
    <mergeCell ref="P2:P4"/>
    <mergeCell ref="L384:N384"/>
    <mergeCell ref="E386:N386"/>
    <mergeCell ref="E390:N390"/>
    <mergeCell ref="E403:N403"/>
    <mergeCell ref="E315:N315"/>
    <mergeCell ref="E321:F321"/>
    <mergeCell ref="E395:N395"/>
    <mergeCell ref="E398:F398"/>
    <mergeCell ref="E314:N314"/>
    <mergeCell ref="E323:N323"/>
    <mergeCell ref="E385:N385"/>
    <mergeCell ref="E292:N292"/>
    <mergeCell ref="E293:N293"/>
    <mergeCell ref="E388:N388"/>
    <mergeCell ref="E389:N389"/>
    <mergeCell ref="D376:N376"/>
    <mergeCell ref="E381:N381"/>
    <mergeCell ref="E382:N382"/>
    <mergeCell ref="E384:K384"/>
    <mergeCell ref="E287:N287"/>
    <mergeCell ref="E288:N288"/>
    <mergeCell ref="E294:N294"/>
    <mergeCell ref="E296:F296"/>
    <mergeCell ref="E290:F290"/>
    <mergeCell ref="E280:N280"/>
    <mergeCell ref="E282:K282"/>
    <mergeCell ref="E283:N283"/>
    <mergeCell ref="E286:N286"/>
    <mergeCell ref="L282:N282"/>
    <mergeCell ref="D274:N274"/>
    <mergeCell ref="E284:N284"/>
    <mergeCell ref="D276:N276"/>
    <mergeCell ref="E278:N278"/>
    <mergeCell ref="E272:N272"/>
    <mergeCell ref="E265:N265"/>
    <mergeCell ref="E266:N266"/>
    <mergeCell ref="E267:N267"/>
    <mergeCell ref="E246:N246"/>
    <mergeCell ref="E240:N240"/>
    <mergeCell ref="E244:N244"/>
    <mergeCell ref="F251:N251"/>
    <mergeCell ref="E252:N252"/>
    <mergeCell ref="E264:N264"/>
    <mergeCell ref="E247:N247"/>
    <mergeCell ref="E248:N248"/>
    <mergeCell ref="E249:N249"/>
    <mergeCell ref="F250:N250"/>
    <mergeCell ref="E268:N268"/>
    <mergeCell ref="E243:N243"/>
    <mergeCell ref="E239:N239"/>
    <mergeCell ref="E242:K242"/>
    <mergeCell ref="E217:F217"/>
    <mergeCell ref="E219:G219"/>
    <mergeCell ref="E220:G220"/>
    <mergeCell ref="E221:I221"/>
    <mergeCell ref="D234:N234"/>
    <mergeCell ref="D236:N236"/>
    <mergeCell ref="E238:N238"/>
    <mergeCell ref="E222:I222"/>
    <mergeCell ref="E223:G223"/>
    <mergeCell ref="E225:I225"/>
    <mergeCell ref="E226:I226"/>
    <mergeCell ref="E228:I228"/>
    <mergeCell ref="E229:G229"/>
    <mergeCell ref="E184:N184"/>
    <mergeCell ref="E141:N141"/>
    <mergeCell ref="E144:N144"/>
    <mergeCell ref="E145:N145"/>
    <mergeCell ref="F152:N152"/>
    <mergeCell ref="E206:N206"/>
    <mergeCell ref="E212:N212"/>
    <mergeCell ref="E213:N213"/>
    <mergeCell ref="E232:N232"/>
    <mergeCell ref="E479:N479"/>
    <mergeCell ref="L242:N242"/>
    <mergeCell ref="E464:N464"/>
    <mergeCell ref="F154:N154"/>
    <mergeCell ref="E178:N178"/>
    <mergeCell ref="D169:N169"/>
    <mergeCell ref="F185:N185"/>
    <mergeCell ref="E175:N175"/>
    <mergeCell ref="E279:N279"/>
    <mergeCell ref="E414:N414"/>
    <mergeCell ref="L449:N449"/>
    <mergeCell ref="E443:N443"/>
    <mergeCell ref="F444:N444"/>
    <mergeCell ref="D440:N440"/>
    <mergeCell ref="E442:N442"/>
    <mergeCell ref="E468:G468"/>
    <mergeCell ref="E469:I469"/>
    <mergeCell ref="E470:G470"/>
    <mergeCell ref="L174:N174"/>
    <mergeCell ref="E179:N179"/>
    <mergeCell ref="D199:N199"/>
    <mergeCell ref="E174:K174"/>
    <mergeCell ref="E176:N176"/>
    <mergeCell ref="E183:N183"/>
    <mergeCell ref="F26:N26"/>
    <mergeCell ref="K4:L4"/>
    <mergeCell ref="L17:N17"/>
    <mergeCell ref="E19:N19"/>
    <mergeCell ref="E18:N18"/>
    <mergeCell ref="F153:N153"/>
    <mergeCell ref="E172:N172"/>
    <mergeCell ref="E203:N203"/>
    <mergeCell ref="E159:N159"/>
    <mergeCell ref="F186:N186"/>
    <mergeCell ref="F187:N187"/>
    <mergeCell ref="E106:K106"/>
    <mergeCell ref="E107:N107"/>
    <mergeCell ref="E110:N110"/>
    <mergeCell ref="E193:N193"/>
    <mergeCell ref="E127:N127"/>
    <mergeCell ref="E161:N161"/>
    <mergeCell ref="E195:N195"/>
    <mergeCell ref="E171:N171"/>
    <mergeCell ref="E160:N160"/>
    <mergeCell ref="E140:K140"/>
    <mergeCell ref="F119:N119"/>
    <mergeCell ref="L140:N140"/>
    <mergeCell ref="F151:N151"/>
    <mergeCell ref="K3:L3"/>
    <mergeCell ref="E93:N93"/>
    <mergeCell ref="I2:J2"/>
    <mergeCell ref="K2:L2"/>
    <mergeCell ref="E2:F2"/>
    <mergeCell ref="E473:I473"/>
    <mergeCell ref="E475:I475"/>
    <mergeCell ref="E476:G476"/>
    <mergeCell ref="E309:F309"/>
    <mergeCell ref="E310:F310"/>
    <mergeCell ref="E311:F311"/>
    <mergeCell ref="G2:H2"/>
    <mergeCell ref="G4:H4"/>
    <mergeCell ref="I4:J4"/>
    <mergeCell ref="F27:N27"/>
    <mergeCell ref="F28:N28"/>
    <mergeCell ref="E29:N29"/>
    <mergeCell ref="E165:N165"/>
    <mergeCell ref="E108:N108"/>
    <mergeCell ref="E142:N142"/>
    <mergeCell ref="F120:N120"/>
    <mergeCell ref="D133:N133"/>
    <mergeCell ref="L106:N106"/>
    <mergeCell ref="E90:N90"/>
    <mergeCell ref="E466:G466"/>
    <mergeCell ref="F445:N445"/>
    <mergeCell ref="F446:N446"/>
    <mergeCell ref="D438:N438"/>
    <mergeCell ref="M2:N2"/>
    <mergeCell ref="D135:N135"/>
    <mergeCell ref="E92:N92"/>
    <mergeCell ref="E97:N97"/>
    <mergeCell ref="E111:N111"/>
    <mergeCell ref="E115:N115"/>
    <mergeCell ref="E89:N89"/>
    <mergeCell ref="E116:N116"/>
    <mergeCell ref="F117:N117"/>
    <mergeCell ref="E91:N91"/>
    <mergeCell ref="E23:N23"/>
    <mergeCell ref="D7:N7"/>
    <mergeCell ref="D9:N9"/>
    <mergeCell ref="D11:N11"/>
    <mergeCell ref="E13:N13"/>
    <mergeCell ref="E14:N14"/>
    <mergeCell ref="E3:F3"/>
    <mergeCell ref="G3:H3"/>
    <mergeCell ref="E22:N22"/>
    <mergeCell ref="I3:J3"/>
    <mergeCell ref="B2:D4"/>
    <mergeCell ref="E297:F297"/>
    <mergeCell ref="E299:F299"/>
    <mergeCell ref="E300:F300"/>
    <mergeCell ref="D481:N481"/>
    <mergeCell ref="M4:N4"/>
    <mergeCell ref="G5:H5"/>
    <mergeCell ref="I5:J5"/>
    <mergeCell ref="K5:L5"/>
    <mergeCell ref="M5:N5"/>
    <mergeCell ref="E125:N125"/>
    <mergeCell ref="E4:F4"/>
    <mergeCell ref="E17:K17"/>
    <mergeCell ref="E131:N131"/>
    <mergeCell ref="E405:F405"/>
    <mergeCell ref="E428:F428"/>
    <mergeCell ref="E430:N430"/>
    <mergeCell ref="E431:N431"/>
    <mergeCell ref="E407:N407"/>
    <mergeCell ref="E421:N421"/>
    <mergeCell ref="E413:N413"/>
    <mergeCell ref="E420:N420"/>
    <mergeCell ref="E317:F317"/>
    <mergeCell ref="E467:G467"/>
    <mergeCell ref="E318:F318"/>
    <mergeCell ref="E306:F306"/>
    <mergeCell ref="E307:F307"/>
    <mergeCell ref="E308:F308"/>
    <mergeCell ref="M3:N3"/>
    <mergeCell ref="E104:N104"/>
    <mergeCell ref="E126:N126"/>
    <mergeCell ref="F118:N118"/>
    <mergeCell ref="D167:N167"/>
    <mergeCell ref="E137:N137"/>
    <mergeCell ref="D99:N99"/>
    <mergeCell ref="D101:N101"/>
    <mergeCell ref="E103:N103"/>
    <mergeCell ref="E138:N138"/>
    <mergeCell ref="E201:N201"/>
    <mergeCell ref="E202:N202"/>
    <mergeCell ref="E194:N194"/>
    <mergeCell ref="E205:N205"/>
    <mergeCell ref="E149:N149"/>
    <mergeCell ref="E150:N150"/>
    <mergeCell ref="E21:N21"/>
    <mergeCell ref="E24:N24"/>
    <mergeCell ref="F25:N25"/>
    <mergeCell ref="E15:N15"/>
  </mergeCells>
  <phoneticPr fontId="34" type="noConversion"/>
  <conditionalFormatting sqref="H32:N87">
    <cfRule type="expression" dxfId="317" priority="16" stopIfTrue="1">
      <formula>AC32</formula>
    </cfRule>
  </conditionalFormatting>
  <conditionalFormatting sqref="H113:N113 H122:N123">
    <cfRule type="expression" dxfId="316" priority="21" stopIfTrue="1">
      <formula>AC113</formula>
    </cfRule>
  </conditionalFormatting>
  <conditionalFormatting sqref="H147:N147 H156:N157">
    <cfRule type="expression" dxfId="315" priority="15" stopIfTrue="1">
      <formula>AC147</formula>
    </cfRule>
  </conditionalFormatting>
  <conditionalFormatting sqref="H181:N181 H189:N191">
    <cfRule type="expression" dxfId="314" priority="19" stopIfTrue="1">
      <formula>AC181</formula>
    </cfRule>
  </conditionalFormatting>
  <conditionalFormatting sqref="H255:N262">
    <cfRule type="expression" dxfId="313" priority="14" stopIfTrue="1">
      <formula>AC255</formula>
    </cfRule>
  </conditionalFormatting>
  <conditionalFormatting sqref="H290:N290 H296:N297 H306:N306">
    <cfRule type="expression" dxfId="312" priority="13" stopIfTrue="1">
      <formula>AC290</formula>
    </cfRule>
  </conditionalFormatting>
  <conditionalFormatting sqref="H341:N341 H347:N348 H357:N357">
    <cfRule type="expression" dxfId="311" priority="4" stopIfTrue="1">
      <formula>AC341</formula>
    </cfRule>
  </conditionalFormatting>
  <conditionalFormatting sqref="H392:N392 H398:N398">
    <cfRule type="expression" dxfId="310" priority="12" stopIfTrue="1">
      <formula>AC392</formula>
    </cfRule>
  </conditionalFormatting>
  <conditionalFormatting sqref="H424:N427">
    <cfRule type="expression" dxfId="309" priority="11" stopIfTrue="1">
      <formula>AC424</formula>
    </cfRule>
  </conditionalFormatting>
  <conditionalFormatting sqref="H456:N458">
    <cfRule type="expression" dxfId="308" priority="10" stopIfTrue="1">
      <formula>AC456</formula>
    </cfRule>
  </conditionalFormatting>
  <conditionalFormatting sqref="J473:N473">
    <cfRule type="cellIs" dxfId="307" priority="3" operator="equal">
      <formula>TRUE</formula>
    </cfRule>
  </conditionalFormatting>
  <conditionalFormatting sqref="Z223">
    <cfRule type="expression" dxfId="306" priority="1" stopIfTrue="1">
      <formula>INDEX($AJ:$AJ,MATCH(MAX(INDIRECT(ADDRESS(1,3)&amp;":"&amp;ADDRESS(ROW(#REF!),3))),$C:$C,0))</formula>
    </cfRule>
  </conditionalFormatting>
  <dataValidations count="4">
    <dataValidation type="decimal" allowBlank="1" showInputMessage="1" showErrorMessage="1" errorTitle="0 &lt; value &lt; 1" error="Values should be between 0 and 1." sqref="H398:N398 H296:N297 H347:N348" xr:uid="{00000000-0002-0000-0900-000000000000}">
      <formula1>0</formula1>
      <formula2>1</formula2>
    </dataValidation>
    <dataValidation type="decimal" allowBlank="1" showInputMessage="1" showErrorMessage="1" errorTitle="0 &lt; value &lt; 100" error="Values should be between 0 and 100." sqref="H122:N123 H156:N157" xr:uid="{00000000-0002-0000-0900-000001000000}">
      <formula1>0</formula1>
      <formula2>100</formula2>
    </dataValidation>
    <dataValidation type="decimal" operator="greaterThanOrEqual" allowBlank="1" showInputMessage="1" showErrorMessage="1" errorTitle="0 &lt; value &lt; 1" error="Values should be between 0 and 1." sqref="H306:N306 H357:N357" xr:uid="{00000000-0002-0000-0900-000002000000}">
      <formula1>0</formula1>
    </dataValidation>
    <dataValidation operator="greaterThanOrEqual" allowBlank="1" showInputMessage="1" showErrorMessage="1" errorTitle="0 &lt; value &lt; 1" error="Values should be between 0 and 1." sqref="H307:N307 H358:N358" xr:uid="{00000000-0002-0000-0900-000003000000}"/>
  </dataValidations>
  <hyperlinks>
    <hyperlink ref="G2:H2" location="JUMP_TOC_Home" display="Table of contents" xr:uid="{00000000-0004-0000-0900-000000000000}"/>
    <hyperlink ref="M2:N2" location="JUMP_K_I" display="Summary" xr:uid="{00000000-0004-0000-0900-000001000000}"/>
    <hyperlink ref="E3:F3" location="JUMP_H_Top" display="Top of sheet" xr:uid="{00000000-0004-0000-0900-000002000000}"/>
    <hyperlink ref="I2:J2" location="JUMP_G_Top" display="Previous sheet" xr:uid="{00000000-0004-0000-0900-000003000000}"/>
    <hyperlink ref="G3:H3" location="JUMP_H_I" display="JUMP_H_I" xr:uid="{00000000-0004-0000-0900-000004000000}"/>
    <hyperlink ref="I3:J3" location="JUMP_H_II" display="JUMP_H_II" xr:uid="{00000000-0004-0000-0900-000005000000}"/>
    <hyperlink ref="K3:L3" location="JUMP_H_III" display="JUMP_H_III" xr:uid="{00000000-0004-0000-0900-000006000000}"/>
    <hyperlink ref="M3:N3" location="JUMP_H_IV" display="JUMP_H_IV" xr:uid="{00000000-0004-0000-0900-000007000000}"/>
    <hyperlink ref="G4:H4" location="JUMP_H_V" display="JUMP_H_V" xr:uid="{00000000-0004-0000-0900-000008000000}"/>
    <hyperlink ref="I4:J4" location="JUMP_H_VI" display="JUMP_H_VI" xr:uid="{00000000-0004-0000-0900-000009000000}"/>
    <hyperlink ref="K4:L4" location="JUMP_H_VII" display="JUMP_H_VII" xr:uid="{00000000-0004-0000-0900-00000A000000}"/>
    <hyperlink ref="M4:N4" location="JUMP_H_VIII" display="JUMP_H_VIII" xr:uid="{00000000-0004-0000-0900-00000B000000}"/>
    <hyperlink ref="G5:H5" location="JUMP_H_IX" display="JUMP_H_IX" xr:uid="{00000000-0004-0000-0900-00000C000000}"/>
    <hyperlink ref="E4:F4" location="JUMP_H_Bottom" display="End of sheet" xr:uid="{00000000-0004-0000-0900-00000D000000}"/>
    <hyperlink ref="D481:N481" location="JUMP_I_Top" display="&lt;&lt;&lt; Click here to proceed to next sheet &gt;&gt;&gt; " xr:uid="{00000000-0004-0000-0900-00000E000000}"/>
    <hyperlink ref="K2:L2" location="JUMP_I_Top" display="Next sheet" xr:uid="{00000000-0004-0000-0900-00000F000000}"/>
    <hyperlink ref="I5:J5" location="JUMP_H_VI" display="JUMP_H_VI" xr:uid="{00000000-0004-0000-0900-000010000000}"/>
  </hyperlinks>
  <pageMargins left="0.78740157480314965" right="0.78740157480314965" top="0.78740157480314965" bottom="0.78740157480314965" header="0.51181102362204722" footer="0.51181102362204722"/>
  <pageSetup paperSize="9" scale="47" fitToHeight="12" orientation="portrait" r:id="rId1"/>
  <headerFooter alignWithMargins="0">
    <oddHeader>&amp;L&amp;F; &amp;A&amp;R&amp;D; &amp;T</oddHeader>
    <oddFooter>&amp;C&amp;P / &amp;N</oddFooter>
  </headerFooter>
  <rowBreaks count="3" manualBreakCount="3">
    <brk id="97" min="1" max="15" man="1"/>
    <brk id="232" min="1" max="15" man="1"/>
    <brk id="408" min="1" max="15"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8">
    <tabColor indexed="9"/>
    <pageSetUpPr fitToPage="1"/>
  </sheetPr>
  <dimension ref="A1:L30"/>
  <sheetViews>
    <sheetView zoomScaleNormal="100" workbookViewId="0">
      <pane ySplit="3" topLeftCell="A4" activePane="bottomLeft" state="frozen"/>
      <selection pane="bottomLeft" activeCell="G14" sqref="G14"/>
    </sheetView>
  </sheetViews>
  <sheetFormatPr defaultColWidth="11.453125" defaultRowHeight="12.5" x14ac:dyDescent="0.25"/>
  <cols>
    <col min="1" max="1" width="2.7265625" style="698" customWidth="1"/>
    <col min="2" max="3" width="4.7265625" style="698" customWidth="1"/>
    <col min="4" max="12" width="12.7265625" style="698" customWidth="1"/>
    <col min="13" max="16384" width="11.453125" style="698"/>
  </cols>
  <sheetData>
    <row r="1" spans="1:12" ht="13.5" thickBot="1" x14ac:dyDescent="0.35">
      <c r="A1" s="2468" t="str">
        <f>Translations!$B$864</f>
        <v>I.</v>
      </c>
      <c r="B1" s="2469"/>
      <c r="C1" s="2470"/>
      <c r="D1" s="1613" t="str">
        <f>Translations!$B$2</f>
        <v>Навигационно меню:</v>
      </c>
      <c r="E1" s="283"/>
      <c r="F1" s="2466" t="str">
        <f>Translations!$B$16</f>
        <v>Съдържание</v>
      </c>
      <c r="G1" s="2233"/>
      <c r="H1" s="2233" t="str">
        <f>Translations!$B$17</f>
        <v>Предходен лист</v>
      </c>
      <c r="I1" s="2233"/>
      <c r="J1" s="2233" t="str">
        <f>Translations!$B$3</f>
        <v>Следващ лист</v>
      </c>
      <c r="K1" s="2233"/>
      <c r="L1" s="219" t="str">
        <f>Translations!$B$4</f>
        <v>Обобщение</v>
      </c>
    </row>
    <row r="2" spans="1:12" ht="13.5" thickBot="1" x14ac:dyDescent="0.3">
      <c r="A2" s="2471"/>
      <c r="B2" s="2472"/>
      <c r="C2" s="2473"/>
      <c r="D2" s="2233" t="str">
        <f>Translations!$B$5</f>
        <v>Начало на листа</v>
      </c>
      <c r="E2" s="2477"/>
      <c r="F2" s="2235"/>
      <c r="G2" s="2235"/>
      <c r="H2" s="2235"/>
      <c r="I2" s="2235"/>
      <c r="J2" s="2235"/>
      <c r="K2" s="2235"/>
      <c r="L2" s="286"/>
    </row>
    <row r="3" spans="1:12" ht="13.5" thickBot="1" x14ac:dyDescent="0.3">
      <c r="A3" s="2474"/>
      <c r="B3" s="2475"/>
      <c r="C3" s="2476"/>
      <c r="D3" s="2233" t="str">
        <f>Translations!$B$6</f>
        <v>Край на листа</v>
      </c>
      <c r="E3" s="2233"/>
      <c r="F3" s="2235"/>
      <c r="G3" s="2235"/>
      <c r="H3" s="2235"/>
      <c r="I3" s="2235"/>
      <c r="J3" s="2235"/>
      <c r="K3" s="2235"/>
      <c r="L3" s="286"/>
    </row>
    <row r="4" spans="1:12" x14ac:dyDescent="0.25">
      <c r="A4" s="284"/>
      <c r="B4" s="335"/>
      <c r="C4" s="284"/>
      <c r="D4" s="284"/>
      <c r="E4" s="287"/>
      <c r="F4" s="287"/>
      <c r="G4" s="287"/>
      <c r="H4" s="284"/>
      <c r="I4" s="284"/>
      <c r="J4" s="284"/>
      <c r="K4" s="284"/>
      <c r="L4" s="336"/>
    </row>
    <row r="5" spans="1:12" ht="23.25" customHeight="1" x14ac:dyDescent="0.25">
      <c r="A5" s="284"/>
      <c r="B5" s="297" t="s">
        <v>704</v>
      </c>
      <c r="C5" s="297" t="str">
        <f>Translations!$B$865</f>
        <v>Работен лист „MSspecific“ (Конкретно за държавите членки) — ДОПЪЛНИТЕЛНИ ИЗИСКВАНИЯ ЗА ДАННИ ОТ ДЪРЖАВАТА ЧЛЕНКА</v>
      </c>
      <c r="D5" s="297"/>
      <c r="E5" s="297"/>
      <c r="F5" s="297"/>
      <c r="G5" s="297"/>
      <c r="H5" s="297"/>
      <c r="I5" s="297"/>
      <c r="J5" s="297"/>
      <c r="K5" s="297"/>
      <c r="L5" s="336"/>
    </row>
    <row r="6" spans="1:12" x14ac:dyDescent="0.25">
      <c r="A6" s="284"/>
      <c r="B6" s="284"/>
      <c r="C6" s="284"/>
      <c r="D6" s="284"/>
      <c r="E6" s="284"/>
      <c r="F6" s="284"/>
      <c r="G6" s="284"/>
      <c r="H6" s="284"/>
      <c r="I6" s="284"/>
      <c r="J6" s="284"/>
      <c r="K6" s="284"/>
      <c r="L6" s="336"/>
    </row>
    <row r="7" spans="1:12" ht="15.5" x14ac:dyDescent="0.35">
      <c r="A7" s="284"/>
      <c r="B7" s="327" t="s">
        <v>1048</v>
      </c>
      <c r="C7" s="356" t="str">
        <f>Translations!$B$866</f>
        <v>Определя се от държавата членка</v>
      </c>
      <c r="D7" s="356"/>
      <c r="E7" s="356"/>
      <c r="F7" s="356"/>
      <c r="G7" s="356"/>
      <c r="H7" s="356"/>
      <c r="I7" s="356"/>
      <c r="J7" s="356"/>
      <c r="K7" s="356"/>
      <c r="L7" s="356"/>
    </row>
    <row r="8" spans="1:12" ht="5.15" customHeight="1" x14ac:dyDescent="0.25">
      <c r="A8" s="284"/>
      <c r="B8" s="284"/>
      <c r="C8" s="284"/>
      <c r="D8" s="284"/>
      <c r="E8" s="284"/>
      <c r="F8" s="284"/>
      <c r="G8" s="284"/>
      <c r="H8" s="284"/>
      <c r="I8" s="284"/>
      <c r="J8" s="284"/>
      <c r="K8" s="284"/>
      <c r="L8" s="336"/>
    </row>
    <row r="30" spans="3:12" ht="13" x14ac:dyDescent="0.25">
      <c r="C30" s="2710" t="str">
        <f>Translations!$B$64</f>
        <v xml:space="preserve">&lt;&lt;&lt; Щракнете тук за да продължите към следващия лист &gt;&gt;&gt; </v>
      </c>
      <c r="D30" s="2962"/>
      <c r="E30" s="2962"/>
      <c r="F30" s="2962"/>
      <c r="G30" s="2962"/>
      <c r="H30" s="2710"/>
      <c r="I30" s="2710"/>
      <c r="J30" s="2710"/>
      <c r="K30" s="2710"/>
      <c r="L30" s="2710"/>
    </row>
  </sheetData>
  <sheetProtection sheet="1" objects="1" scenarios="1" formatCells="0" formatColumns="0" formatRows="0"/>
  <mergeCells count="13">
    <mergeCell ref="J3:K3"/>
    <mergeCell ref="C30:L30"/>
    <mergeCell ref="J1:K1"/>
    <mergeCell ref="D2:E2"/>
    <mergeCell ref="F2:G2"/>
    <mergeCell ref="H2:I2"/>
    <mergeCell ref="J2:K2"/>
    <mergeCell ref="A1:C3"/>
    <mergeCell ref="F1:G1"/>
    <mergeCell ref="H1:I1"/>
    <mergeCell ref="D3:E3"/>
    <mergeCell ref="F3:G3"/>
    <mergeCell ref="H3:I3"/>
  </mergeCells>
  <phoneticPr fontId="34" type="noConversion"/>
  <hyperlinks>
    <hyperlink ref="F1:G1" location="JUMP_TOC_Home" display="Table of contents" xr:uid="{00000000-0004-0000-0A00-000000000000}"/>
    <hyperlink ref="L1" location="JUMP_K_I" display="Summary" xr:uid="{00000000-0004-0000-0A00-000001000000}"/>
    <hyperlink ref="H1:I1" location="JUMP_H_Top" display="Previous sheet" xr:uid="{00000000-0004-0000-0A00-000002000000}"/>
    <hyperlink ref="D2:E2" location="JUMP_I_Top" display="Top of sheet" xr:uid="{00000000-0004-0000-0A00-000003000000}"/>
    <hyperlink ref="D3:E3" location="JUMP_I_Bottom" display="End of sheet" xr:uid="{00000000-0004-0000-0A00-000004000000}"/>
    <hyperlink ref="J1:K1" location="JUMP_J_Top" display="Next sheet" xr:uid="{00000000-0004-0000-0A00-000005000000}"/>
    <hyperlink ref="C30:L30" location="JUMP_J_Top" display="JUMP_J_Top" xr:uid="{00000000-0004-0000-0A00-000006000000}"/>
  </hyperlinks>
  <pageMargins left="0.78740157480314965" right="0.78740157480314965" top="0.78740157480314965" bottom="0.78740157480314965" header="0.51181102362204722" footer="0.51181102362204722"/>
  <pageSetup paperSize="9" scale="61" fitToHeight="10" orientation="portrait" r:id="rId1"/>
  <headerFooter alignWithMargins="0">
    <oddHeader>&amp;L&amp;F; &amp;A&amp;R&amp;D; &amp;T</oddHeader>
    <oddFooter>&amp;C&amp;P /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7">
    <tabColor indexed="9"/>
    <pageSetUpPr fitToPage="1"/>
  </sheetPr>
  <dimension ref="A1:L51"/>
  <sheetViews>
    <sheetView zoomScaleNormal="100" workbookViewId="0">
      <pane ySplit="3" topLeftCell="A19" activePane="bottomLeft" state="frozen"/>
      <selection pane="bottomLeft" sqref="A1:C3"/>
    </sheetView>
  </sheetViews>
  <sheetFormatPr defaultColWidth="11.453125" defaultRowHeight="12.5" x14ac:dyDescent="0.25"/>
  <cols>
    <col min="1" max="1" width="2.7265625" style="1619" customWidth="1"/>
    <col min="2" max="3" width="4.7265625" style="2120" customWidth="1"/>
    <col min="4" max="12" width="12.7265625" style="2120" customWidth="1"/>
    <col min="13" max="16384" width="11.453125" style="2120"/>
  </cols>
  <sheetData>
    <row r="1" spans="1:12" s="698" customFormat="1" ht="13.5" thickBot="1" x14ac:dyDescent="0.35">
      <c r="A1" s="2468" t="str">
        <f>Translations!$B$867</f>
        <v>J.</v>
      </c>
      <c r="B1" s="2469"/>
      <c r="C1" s="2470"/>
      <c r="D1" s="1613" t="str">
        <f>Translations!$B$2</f>
        <v>Навигационно меню:</v>
      </c>
      <c r="E1" s="283"/>
      <c r="F1" s="2466" t="str">
        <f>Translations!$B$16</f>
        <v>Съдържание</v>
      </c>
      <c r="G1" s="2233"/>
      <c r="H1" s="2233" t="str">
        <f>Translations!$B$17</f>
        <v>Предходен лист</v>
      </c>
      <c r="I1" s="2233"/>
      <c r="J1" s="2233" t="str">
        <f>Translations!$B$3</f>
        <v>Следващ лист</v>
      </c>
      <c r="K1" s="2233"/>
      <c r="L1" s="219" t="str">
        <f>Translations!$B$4</f>
        <v>Обобщение</v>
      </c>
    </row>
    <row r="2" spans="1:12" s="698" customFormat="1" ht="13.5" thickBot="1" x14ac:dyDescent="0.3">
      <c r="A2" s="2471"/>
      <c r="B2" s="2472"/>
      <c r="C2" s="2473"/>
      <c r="D2" s="2233" t="str">
        <f>Translations!$B$5</f>
        <v>Начало на листа</v>
      </c>
      <c r="E2" s="2477"/>
      <c r="F2" s="2235"/>
      <c r="G2" s="2235"/>
      <c r="H2" s="2235"/>
      <c r="I2" s="2235"/>
      <c r="J2" s="2235"/>
      <c r="K2" s="2235"/>
      <c r="L2" s="286"/>
    </row>
    <row r="3" spans="1:12" s="698" customFormat="1" ht="13.5" thickBot="1" x14ac:dyDescent="0.3">
      <c r="A3" s="2474"/>
      <c r="B3" s="2475"/>
      <c r="C3" s="2476"/>
      <c r="D3" s="2233" t="str">
        <f>Translations!$B$6</f>
        <v>Край на листа</v>
      </c>
      <c r="E3" s="2233"/>
      <c r="F3" s="2235"/>
      <c r="G3" s="2235"/>
      <c r="H3" s="2235"/>
      <c r="I3" s="2235"/>
      <c r="J3" s="2235"/>
      <c r="K3" s="2235"/>
      <c r="L3" s="286"/>
    </row>
    <row r="4" spans="1:12" s="698" customFormat="1" x14ac:dyDescent="0.25">
      <c r="A4" s="284"/>
      <c r="B4" s="335"/>
      <c r="C4" s="284"/>
      <c r="D4" s="284"/>
      <c r="E4" s="287"/>
      <c r="F4" s="287"/>
      <c r="G4" s="287"/>
      <c r="H4" s="284"/>
      <c r="I4" s="284"/>
      <c r="J4" s="284"/>
      <c r="K4" s="284"/>
      <c r="L4" s="336"/>
    </row>
    <row r="5" spans="1:12" s="698" customFormat="1" ht="23.25" customHeight="1" x14ac:dyDescent="0.25">
      <c r="A5" s="284"/>
      <c r="B5" s="297" t="s">
        <v>706</v>
      </c>
      <c r="C5" s="2259" t="str">
        <f>Translations!$B$868</f>
        <v>Работен лист „Comments“ („Забележки“) — ЗАБЕЛЕЖКИ И ДОПЪЛНИТЕЛНА ИНФОРМАЦИЯ</v>
      </c>
      <c r="D5" s="2249"/>
      <c r="E5" s="2249"/>
      <c r="F5" s="2249"/>
      <c r="G5" s="2249"/>
      <c r="H5" s="2249"/>
      <c r="I5" s="2249"/>
      <c r="J5" s="2249"/>
      <c r="K5" s="2249"/>
      <c r="L5" s="2249"/>
    </row>
    <row r="6" spans="1:12" s="698" customFormat="1" x14ac:dyDescent="0.25">
      <c r="A6" s="284"/>
      <c r="B6" s="284"/>
      <c r="C6" s="284"/>
      <c r="D6" s="284"/>
      <c r="E6" s="284"/>
      <c r="F6" s="284"/>
      <c r="G6" s="284"/>
      <c r="H6" s="284"/>
      <c r="I6" s="284"/>
      <c r="J6" s="284"/>
      <c r="K6" s="284"/>
      <c r="L6" s="336"/>
    </row>
    <row r="7" spans="1:12" s="698" customFormat="1" ht="15.5" x14ac:dyDescent="0.35">
      <c r="A7" s="284"/>
      <c r="B7" s="327" t="s">
        <v>1048</v>
      </c>
      <c r="C7" s="2245" t="str">
        <f>Translations!$B$869</f>
        <v>Придружителни документи към настоящия доклад</v>
      </c>
      <c r="D7" s="2245"/>
      <c r="E7" s="2245"/>
      <c r="F7" s="2245"/>
      <c r="G7" s="2245"/>
      <c r="H7" s="2245"/>
      <c r="I7" s="2245"/>
      <c r="J7" s="2245"/>
      <c r="K7" s="2245"/>
      <c r="L7" s="2245"/>
    </row>
    <row r="8" spans="1:12" s="698" customFormat="1" ht="5.15" customHeight="1" x14ac:dyDescent="0.25">
      <c r="A8" s="284"/>
      <c r="B8" s="284"/>
      <c r="C8" s="284"/>
      <c r="D8" s="284"/>
      <c r="E8" s="284"/>
      <c r="F8" s="284"/>
      <c r="G8" s="284"/>
      <c r="H8" s="284"/>
      <c r="I8" s="284"/>
      <c r="J8" s="284"/>
      <c r="K8" s="284"/>
      <c r="L8" s="336"/>
    </row>
    <row r="9" spans="1:12" s="698" customFormat="1" ht="14" x14ac:dyDescent="0.3">
      <c r="A9" s="284"/>
      <c r="B9" s="357"/>
      <c r="C9" s="2323" t="str">
        <f>Translations!$B$870</f>
        <v>Тук избройте всички документи, подадени заедно с настоящия доклад</v>
      </c>
      <c r="D9" s="2249"/>
      <c r="E9" s="2249"/>
      <c r="F9" s="2249"/>
      <c r="G9" s="2249"/>
      <c r="H9" s="2249"/>
      <c r="I9" s="2249"/>
      <c r="J9" s="2249"/>
      <c r="K9" s="2249"/>
      <c r="L9" s="2249"/>
    </row>
    <row r="10" spans="1:12" s="698" customFormat="1" x14ac:dyDescent="0.25">
      <c r="A10" s="284"/>
      <c r="B10" s="302"/>
      <c r="C10" s="2358" t="str">
        <f>Translations!$B$871</f>
        <v>В подкрепа на настоящия отчет са необходими допълнителни документи. Винаги когато е възможно, представяйте тази информация в електронна форма.</v>
      </c>
      <c r="D10" s="2249"/>
      <c r="E10" s="2249"/>
      <c r="F10" s="2249"/>
      <c r="G10" s="2249"/>
      <c r="H10" s="2249"/>
      <c r="I10" s="2249"/>
      <c r="J10" s="2249"/>
      <c r="K10" s="2249"/>
      <c r="L10" s="2249"/>
    </row>
    <row r="11" spans="1:12" s="698" customFormat="1" x14ac:dyDescent="0.25">
      <c r="A11" s="284"/>
      <c r="B11" s="302"/>
      <c r="C11" s="2358" t="str">
        <f>Translations!$B$872</f>
        <v>Можете да предоставяте информация в Microsoft Word, Excel или Adobe Acrobat формат.</v>
      </c>
      <c r="D11" s="2249"/>
      <c r="E11" s="2249"/>
      <c r="F11" s="2249"/>
      <c r="G11" s="2249"/>
      <c r="H11" s="2249"/>
      <c r="I11" s="2249"/>
      <c r="J11" s="2249"/>
      <c r="K11" s="2249"/>
      <c r="L11" s="2249"/>
    </row>
    <row r="12" spans="1:12" s="698" customFormat="1" x14ac:dyDescent="0.25">
      <c r="A12" s="284"/>
      <c r="B12" s="302"/>
      <c r="C12" s="2358" t="str">
        <f>Translations!$B$873</f>
        <v>Ако е необходимо, направете справка при Вашия компетентен орган дали се приемат и други файлови формати освен гореспоменатите.</v>
      </c>
      <c r="D12" s="2249"/>
      <c r="E12" s="2249"/>
      <c r="F12" s="2249"/>
      <c r="G12" s="2249"/>
      <c r="H12" s="2249"/>
      <c r="I12" s="2249"/>
      <c r="J12" s="2249"/>
      <c r="K12" s="2249"/>
      <c r="L12" s="2249"/>
    </row>
    <row r="13" spans="1:12" s="698" customFormat="1" x14ac:dyDescent="0.25">
      <c r="A13" s="284"/>
      <c r="B13" s="302"/>
      <c r="C13" s="2358" t="str">
        <f>Translations!$B$874</f>
        <v xml:space="preserve">Към представената допълнителна документация следва да има ясни препратки, а името на файла/опознавателният код да бъде даден(о) по-долу. </v>
      </c>
      <c r="D13" s="2249"/>
      <c r="E13" s="2249"/>
      <c r="F13" s="2249"/>
      <c r="G13" s="2249"/>
      <c r="H13" s="2249"/>
      <c r="I13" s="2249"/>
      <c r="J13" s="2249"/>
      <c r="K13" s="2249"/>
      <c r="L13" s="2249"/>
    </row>
    <row r="14" spans="1:12" s="698" customFormat="1" x14ac:dyDescent="0.25">
      <c r="A14" s="284"/>
      <c r="B14" s="302"/>
      <c r="C14" s="2358" t="str">
        <f>Translations!$B$875</f>
        <v xml:space="preserve">Съветваме Ви да избягвате подаване на несъществена информация, тъй като тя може да забави одобряването на отчета. </v>
      </c>
      <c r="D14" s="2249"/>
      <c r="E14" s="2249"/>
      <c r="F14" s="2249"/>
      <c r="G14" s="2249"/>
      <c r="H14" s="2249"/>
      <c r="I14" s="2249"/>
      <c r="J14" s="2249"/>
      <c r="K14" s="2249"/>
      <c r="L14" s="2249"/>
    </row>
    <row r="15" spans="1:12" s="698" customFormat="1" ht="5.15" customHeight="1" x14ac:dyDescent="0.25">
      <c r="A15" s="284"/>
      <c r="B15" s="284"/>
      <c r="C15" s="284"/>
      <c r="D15" s="284"/>
      <c r="E15" s="284"/>
      <c r="F15" s="284"/>
      <c r="G15" s="284"/>
      <c r="H15" s="284"/>
      <c r="I15" s="284"/>
      <c r="J15" s="284"/>
      <c r="K15" s="284"/>
      <c r="L15" s="336"/>
    </row>
    <row r="16" spans="1:12" s="698" customFormat="1" ht="13" x14ac:dyDescent="0.25">
      <c r="A16" s="284"/>
      <c r="B16" s="300" t="s">
        <v>408</v>
      </c>
      <c r="C16" s="2226" t="str">
        <f>Translations!$B$1348</f>
        <v>Доклад от проверката съгласно изискванията на член 3, параграф 3 от Регламента за ALC (задължително):</v>
      </c>
      <c r="D16" s="2249"/>
      <c r="E16" s="2249"/>
      <c r="F16" s="2249"/>
      <c r="G16" s="2249"/>
      <c r="H16" s="2249"/>
      <c r="I16" s="2249"/>
      <c r="J16" s="2249"/>
      <c r="K16" s="2249"/>
      <c r="L16" s="2249"/>
    </row>
    <row r="17" spans="1:12" s="698" customFormat="1" x14ac:dyDescent="0.25">
      <c r="C17" s="2358" t="str">
        <f>Translations!$B$876</f>
        <v>По-долу впишете име(на) на файлове (ако са в електронна форма) или референтен(ни) номер(а) (ако са на хартия):</v>
      </c>
      <c r="D17" s="2249"/>
      <c r="E17" s="2249"/>
      <c r="F17" s="2249"/>
      <c r="G17" s="2249"/>
      <c r="H17" s="2249"/>
      <c r="I17" s="2249"/>
      <c r="J17" s="2249"/>
      <c r="K17" s="2249"/>
      <c r="L17" s="2249"/>
    </row>
    <row r="18" spans="1:12" s="698" customFormat="1" ht="5.15" customHeight="1" x14ac:dyDescent="0.25">
      <c r="A18" s="284"/>
      <c r="B18" s="284"/>
      <c r="C18" s="284"/>
      <c r="D18" s="284"/>
      <c r="E18" s="284"/>
      <c r="F18" s="284"/>
      <c r="G18" s="284"/>
      <c r="H18" s="284"/>
      <c r="I18" s="284"/>
      <c r="J18" s="284"/>
      <c r="K18" s="284"/>
      <c r="L18" s="336"/>
    </row>
    <row r="19" spans="1:12" s="698" customFormat="1" x14ac:dyDescent="0.25">
      <c r="D19" s="2976" t="str">
        <f>Translations!$B$877</f>
        <v>Име на файл/номер</v>
      </c>
      <c r="E19" s="2901"/>
      <c r="F19" s="2900" t="str">
        <f>Translations!$B$878</f>
        <v>Описание на документа</v>
      </c>
      <c r="G19" s="2256"/>
      <c r="H19" s="2256"/>
      <c r="I19" s="2256"/>
      <c r="J19" s="2256"/>
      <c r="K19" s="2256"/>
      <c r="L19" s="2256"/>
    </row>
    <row r="20" spans="1:12" s="698" customFormat="1" x14ac:dyDescent="0.25">
      <c r="D20" s="2977"/>
      <c r="E20" s="2423"/>
      <c r="F20" s="2978"/>
      <c r="G20" s="2979"/>
      <c r="H20" s="2979"/>
      <c r="I20" s="2979"/>
      <c r="J20" s="2979"/>
      <c r="K20" s="2979"/>
      <c r="L20" s="2979"/>
    </row>
    <row r="21" spans="1:12" s="698" customFormat="1" x14ac:dyDescent="0.25">
      <c r="D21" s="2964"/>
      <c r="E21" s="2965"/>
      <c r="F21" s="2966"/>
      <c r="G21" s="2967"/>
      <c r="H21" s="2967"/>
      <c r="I21" s="2967"/>
      <c r="J21" s="2967"/>
      <c r="K21" s="2967"/>
      <c r="L21" s="2967"/>
    </row>
    <row r="22" spans="1:12" s="698" customFormat="1" x14ac:dyDescent="0.25">
      <c r="D22" s="2970"/>
      <c r="E22" s="2971"/>
      <c r="F22" s="2972"/>
      <c r="G22" s="2973"/>
      <c r="H22" s="2973"/>
      <c r="I22" s="2973"/>
      <c r="J22" s="2973"/>
      <c r="K22" s="2973"/>
      <c r="L22" s="2973"/>
    </row>
    <row r="23" spans="1:12" s="698" customFormat="1" ht="5.15" customHeight="1" x14ac:dyDescent="0.25">
      <c r="A23" s="284"/>
      <c r="B23" s="284"/>
      <c r="C23" s="284"/>
      <c r="D23" s="284"/>
      <c r="E23" s="284"/>
      <c r="F23" s="284"/>
      <c r="G23" s="284"/>
      <c r="H23" s="284"/>
      <c r="I23" s="284"/>
      <c r="J23" s="284"/>
      <c r="K23" s="284"/>
      <c r="L23" s="336"/>
    </row>
    <row r="24" spans="1:12" s="698" customFormat="1" ht="13" x14ac:dyDescent="0.25">
      <c r="A24" s="284"/>
      <c r="B24" s="300" t="s">
        <v>901</v>
      </c>
      <c r="C24" s="2226" t="str">
        <f>Translations!$B$879</f>
        <v>Обосновка при несъответствия на данни</v>
      </c>
      <c r="D24" s="2249"/>
      <c r="E24" s="2249"/>
      <c r="F24" s="2249"/>
      <c r="G24" s="2249"/>
      <c r="H24" s="2249"/>
      <c r="I24" s="2249"/>
      <c r="J24" s="2249"/>
      <c r="K24" s="2249"/>
      <c r="L24" s="2249"/>
    </row>
    <row r="25" spans="1:12" s="698" customFormat="1" x14ac:dyDescent="0.25">
      <c r="C25" s="2358" t="str">
        <f>Translations!$B$880</f>
        <v>Съгласно член 12, параграф 2 от ПБР трябва да впишете обосновка за всички несъответствия на данни, както и описание на метода, използван за отстраняването им.</v>
      </c>
      <c r="D25" s="2249"/>
      <c r="E25" s="2249"/>
      <c r="F25" s="2249"/>
      <c r="G25" s="2249"/>
      <c r="H25" s="2249"/>
      <c r="I25" s="2249"/>
      <c r="J25" s="2249"/>
      <c r="K25" s="2249"/>
      <c r="L25" s="2249"/>
    </row>
    <row r="26" spans="1:12" s="698" customFormat="1" ht="12.75" customHeight="1" x14ac:dyDescent="0.25">
      <c r="A26" s="284"/>
      <c r="B26" s="284"/>
      <c r="C26" s="284"/>
      <c r="D26" s="284"/>
      <c r="E26" s="284"/>
      <c r="F26" s="284"/>
      <c r="G26" s="284"/>
      <c r="H26" s="284"/>
      <c r="I26" s="284"/>
      <c r="J26" s="284"/>
      <c r="K26" s="284"/>
      <c r="L26" s="336"/>
    </row>
    <row r="27" spans="1:12" s="846" customFormat="1" ht="25.5" customHeight="1" x14ac:dyDescent="0.3">
      <c r="A27" s="1614"/>
      <c r="B27" s="1614"/>
      <c r="C27" s="1615" t="str">
        <f>Translations!$B$151</f>
        <v>№</v>
      </c>
      <c r="D27" s="2635" t="str">
        <f>Translations!$B$881</f>
        <v>Засегнат набор от данни (Данни за дейността, EF, топлинна енергия, електроенергия...)</v>
      </c>
      <c r="E27" s="2635"/>
      <c r="F27" s="2635" t="str">
        <f>Translations!$B$425</f>
        <v>Подинсталация</v>
      </c>
      <c r="G27" s="2635"/>
      <c r="H27" s="1415" t="str">
        <f>Translations!$B$1182</f>
        <v>Период от време</v>
      </c>
      <c r="I27" s="2614" t="str">
        <f>Translations!$B$882</f>
        <v>Описание на пропуските в данните</v>
      </c>
      <c r="J27" s="2616"/>
      <c r="K27" s="2635" t="str">
        <f>Translations!$B$883</f>
        <v>Обосновка</v>
      </c>
      <c r="L27" s="2635"/>
    </row>
    <row r="28" spans="1:12" s="698" customFormat="1" ht="12.75" customHeight="1" x14ac:dyDescent="0.25">
      <c r="A28" s="284"/>
      <c r="B28" s="284"/>
      <c r="C28" s="1616" t="str">
        <f>IF(COUNTA(D28:L28)&gt;0,MAX($C$27:C27)+1,"")</f>
        <v/>
      </c>
      <c r="D28" s="2982"/>
      <c r="E28" s="2982"/>
      <c r="F28" s="2982"/>
      <c r="G28" s="2982"/>
      <c r="H28" s="90"/>
      <c r="I28" s="2980"/>
      <c r="J28" s="2981"/>
      <c r="K28" s="2982"/>
      <c r="L28" s="2982"/>
    </row>
    <row r="29" spans="1:12" s="698" customFormat="1" ht="12.75" customHeight="1" x14ac:dyDescent="0.25">
      <c r="A29" s="284"/>
      <c r="B29" s="284"/>
      <c r="C29" s="1616" t="str">
        <f>IF(COUNTA(D29:L29)&gt;0,MAX($C$27:C28)+1,"")</f>
        <v/>
      </c>
      <c r="D29" s="2982"/>
      <c r="E29" s="2982"/>
      <c r="F29" s="2982"/>
      <c r="G29" s="2982"/>
      <c r="H29" s="90"/>
      <c r="I29" s="2980"/>
      <c r="J29" s="2981"/>
      <c r="K29" s="2982"/>
      <c r="L29" s="2982"/>
    </row>
    <row r="30" spans="1:12" s="698" customFormat="1" ht="12.75" customHeight="1" x14ac:dyDescent="0.25">
      <c r="A30" s="284"/>
      <c r="B30" s="284"/>
      <c r="C30" s="1616" t="str">
        <f>IF(COUNTA(D30:L30)&gt;0,MAX($C$27:C29)+1,"")</f>
        <v/>
      </c>
      <c r="D30" s="2982"/>
      <c r="E30" s="2982"/>
      <c r="F30" s="2982"/>
      <c r="G30" s="2982"/>
      <c r="H30" s="90"/>
      <c r="I30" s="2980"/>
      <c r="J30" s="2981"/>
      <c r="K30" s="2982"/>
      <c r="L30" s="2982"/>
    </row>
    <row r="31" spans="1:12" s="698" customFormat="1" ht="12.75" customHeight="1" x14ac:dyDescent="0.25">
      <c r="A31" s="284"/>
      <c r="B31" s="284"/>
      <c r="C31" s="1616" t="str">
        <f>IF(COUNTA(D31:L31)&gt;0,MAX($C$27:C30)+1,"")</f>
        <v/>
      </c>
      <c r="D31" s="2982"/>
      <c r="E31" s="2982"/>
      <c r="F31" s="2982"/>
      <c r="G31" s="2982"/>
      <c r="H31" s="90"/>
      <c r="I31" s="2980"/>
      <c r="J31" s="2981"/>
      <c r="K31" s="2982"/>
      <c r="L31" s="2982"/>
    </row>
    <row r="32" spans="1:12" s="698" customFormat="1" ht="12.75" customHeight="1" x14ac:dyDescent="0.25">
      <c r="A32" s="284"/>
      <c r="B32" s="284"/>
      <c r="C32" s="1616" t="str">
        <f>IF(COUNTA(D32:L32)&gt;0,MAX($C$27:C31)+1,"")</f>
        <v/>
      </c>
      <c r="D32" s="2982"/>
      <c r="E32" s="2982"/>
      <c r="F32" s="2982"/>
      <c r="G32" s="2982"/>
      <c r="H32" s="90"/>
      <c r="I32" s="2980"/>
      <c r="J32" s="2981"/>
      <c r="K32" s="2982"/>
      <c r="L32" s="2982"/>
    </row>
    <row r="33" spans="1:12" s="698" customFormat="1" ht="12.75" customHeight="1" x14ac:dyDescent="0.25">
      <c r="A33" s="284"/>
      <c r="B33" s="284"/>
      <c r="C33" s="1616" t="str">
        <f>IF(COUNTA(D33:L33)&gt;0,MAX($C$27:C32)+1,"")</f>
        <v/>
      </c>
      <c r="D33" s="2982"/>
      <c r="E33" s="2982"/>
      <c r="F33" s="2982"/>
      <c r="G33" s="2982"/>
      <c r="H33" s="90"/>
      <c r="I33" s="2980"/>
      <c r="J33" s="2981"/>
      <c r="K33" s="2982"/>
      <c r="L33" s="2982"/>
    </row>
    <row r="34" spans="1:12" s="698" customFormat="1" ht="5.15" customHeight="1" x14ac:dyDescent="0.25">
      <c r="A34" s="284"/>
      <c r="B34" s="284"/>
      <c r="C34" s="284"/>
      <c r="D34" s="284"/>
      <c r="E34" s="284"/>
      <c r="F34" s="284"/>
      <c r="G34" s="284"/>
      <c r="H34" s="284"/>
      <c r="I34" s="284"/>
      <c r="J34" s="284"/>
      <c r="K34" s="284"/>
      <c r="L34" s="336"/>
    </row>
    <row r="35" spans="1:12" s="698" customFormat="1" ht="13" x14ac:dyDescent="0.25">
      <c r="A35" s="284"/>
      <c r="B35" s="300" t="s">
        <v>46</v>
      </c>
      <c r="C35" s="2226" t="str">
        <f>Translations!$B$884</f>
        <v>Други документи:</v>
      </c>
      <c r="D35" s="2249"/>
      <c r="E35" s="2249"/>
      <c r="F35" s="2249"/>
      <c r="G35" s="2249"/>
      <c r="H35" s="2249"/>
      <c r="I35" s="2249"/>
      <c r="J35" s="2249"/>
      <c r="K35" s="2249"/>
      <c r="L35" s="2249"/>
    </row>
    <row r="36" spans="1:12" s="698" customFormat="1" x14ac:dyDescent="0.25">
      <c r="C36" s="2358" t="str">
        <f>Translations!$B$876</f>
        <v>По-долу впишете име(на) на файлове (ако са в електронна форма) или референтен(ни) номер(а) (ако са на хартия):</v>
      </c>
      <c r="D36" s="2249"/>
      <c r="E36" s="2249"/>
      <c r="F36" s="2249"/>
      <c r="G36" s="2249"/>
      <c r="H36" s="2249"/>
      <c r="I36" s="2249"/>
      <c r="J36" s="2249"/>
      <c r="K36" s="2249"/>
      <c r="L36" s="2249"/>
    </row>
    <row r="37" spans="1:12" s="698" customFormat="1" ht="5.15" customHeight="1" x14ac:dyDescent="0.25">
      <c r="A37" s="284"/>
      <c r="B37" s="284"/>
      <c r="C37" s="284"/>
      <c r="D37" s="284"/>
      <c r="E37" s="284"/>
      <c r="F37" s="284"/>
      <c r="G37" s="284"/>
      <c r="H37" s="284"/>
      <c r="I37" s="284"/>
      <c r="J37" s="284"/>
      <c r="K37" s="284"/>
      <c r="L37" s="336"/>
    </row>
    <row r="38" spans="1:12" s="698" customFormat="1" ht="13" x14ac:dyDescent="0.25">
      <c r="D38" s="461" t="str">
        <f>Translations!$B$877</f>
        <v>Име на файл/номер</v>
      </c>
      <c r="E38" s="1617"/>
      <c r="F38" s="461" t="str">
        <f>Translations!$B$878</f>
        <v>Описание на документа</v>
      </c>
      <c r="G38" s="461"/>
      <c r="H38" s="461"/>
      <c r="I38" s="461"/>
      <c r="J38" s="461"/>
      <c r="K38" s="461"/>
      <c r="L38" s="742"/>
    </row>
    <row r="39" spans="1:12" s="698" customFormat="1" x14ac:dyDescent="0.25">
      <c r="D39" s="2968"/>
      <c r="E39" s="2969"/>
      <c r="F39" s="2974"/>
      <c r="G39" s="2975"/>
      <c r="H39" s="2975"/>
      <c r="I39" s="2975"/>
      <c r="J39" s="2975"/>
      <c r="K39" s="2975"/>
      <c r="L39" s="2975"/>
    </row>
    <row r="40" spans="1:12" s="698" customFormat="1" x14ac:dyDescent="0.25">
      <c r="D40" s="2964"/>
      <c r="E40" s="2965"/>
      <c r="F40" s="2966"/>
      <c r="G40" s="2967"/>
      <c r="H40" s="2967"/>
      <c r="I40" s="2967"/>
      <c r="J40" s="2967"/>
      <c r="K40" s="2967"/>
      <c r="L40" s="2967"/>
    </row>
    <row r="41" spans="1:12" s="698" customFormat="1" x14ac:dyDescent="0.25">
      <c r="D41" s="2964"/>
      <c r="E41" s="2965"/>
      <c r="F41" s="2966"/>
      <c r="G41" s="2967"/>
      <c r="H41" s="2967"/>
      <c r="I41" s="2967"/>
      <c r="J41" s="2967"/>
      <c r="K41" s="2967"/>
      <c r="L41" s="2967"/>
    </row>
    <row r="42" spans="1:12" s="698" customFormat="1" x14ac:dyDescent="0.25">
      <c r="D42" s="2964"/>
      <c r="E42" s="2965"/>
      <c r="F42" s="2966"/>
      <c r="G42" s="2967"/>
      <c r="H42" s="2967"/>
      <c r="I42" s="2967"/>
      <c r="J42" s="2967"/>
      <c r="K42" s="2967"/>
      <c r="L42" s="2967"/>
    </row>
    <row r="43" spans="1:12" s="698" customFormat="1" x14ac:dyDescent="0.25">
      <c r="D43" s="2964"/>
      <c r="E43" s="2965"/>
      <c r="F43" s="2966"/>
      <c r="G43" s="2967"/>
      <c r="H43" s="2967"/>
      <c r="I43" s="2967"/>
      <c r="J43" s="2967"/>
      <c r="K43" s="2967"/>
      <c r="L43" s="2967"/>
    </row>
    <row r="44" spans="1:12" s="698" customFormat="1" x14ac:dyDescent="0.25">
      <c r="D44" s="2964"/>
      <c r="E44" s="2965"/>
      <c r="F44" s="2966"/>
      <c r="G44" s="2967"/>
      <c r="H44" s="2967"/>
      <c r="I44" s="2967"/>
      <c r="J44" s="2967"/>
      <c r="K44" s="2967"/>
      <c r="L44" s="2967"/>
    </row>
    <row r="45" spans="1:12" s="698" customFormat="1" x14ac:dyDescent="0.25">
      <c r="D45" s="2964"/>
      <c r="E45" s="2965"/>
      <c r="F45" s="2966"/>
      <c r="G45" s="2967"/>
      <c r="H45" s="2967"/>
      <c r="I45" s="2967"/>
      <c r="J45" s="2967"/>
      <c r="K45" s="2967"/>
      <c r="L45" s="2967"/>
    </row>
    <row r="46" spans="1:12" s="698" customFormat="1" x14ac:dyDescent="0.25">
      <c r="D46" s="2964"/>
      <c r="E46" s="2965"/>
      <c r="F46" s="2966"/>
      <c r="G46" s="2967"/>
      <c r="H46" s="2967"/>
      <c r="I46" s="2967"/>
      <c r="J46" s="2967"/>
      <c r="K46" s="2967"/>
      <c r="L46" s="2967"/>
    </row>
    <row r="47" spans="1:12" s="698" customFormat="1" x14ac:dyDescent="0.25">
      <c r="D47" s="2970"/>
      <c r="E47" s="2971"/>
      <c r="F47" s="2972"/>
      <c r="G47" s="2973"/>
      <c r="H47" s="2973"/>
      <c r="I47" s="2973"/>
      <c r="J47" s="2973"/>
      <c r="K47" s="2973"/>
      <c r="L47" s="2973"/>
    </row>
    <row r="48" spans="1:12" s="698" customFormat="1" x14ac:dyDescent="0.25"/>
    <row r="49" spans="1:12" s="698" customFormat="1" ht="15.5" x14ac:dyDescent="0.35">
      <c r="A49" s="284"/>
      <c r="B49" s="327" t="s">
        <v>900</v>
      </c>
      <c r="C49" s="2245" t="str">
        <f>Translations!$B$885</f>
        <v>Свободно място за всякаква друга допълнителна информация</v>
      </c>
      <c r="D49" s="2245"/>
      <c r="E49" s="2245"/>
      <c r="F49" s="2245"/>
      <c r="G49" s="2245"/>
      <c r="H49" s="2245"/>
      <c r="I49" s="2245"/>
      <c r="J49" s="2245"/>
      <c r="K49" s="2245"/>
      <c r="L49" s="2245"/>
    </row>
    <row r="50" spans="1:12" s="698" customFormat="1" ht="5.15" customHeight="1" x14ac:dyDescent="0.25">
      <c r="A50" s="284"/>
      <c r="B50" s="284"/>
      <c r="C50" s="284"/>
      <c r="D50" s="284"/>
      <c r="E50" s="284"/>
      <c r="F50" s="284"/>
      <c r="G50" s="284"/>
      <c r="H50" s="284"/>
      <c r="I50" s="284"/>
      <c r="J50" s="284"/>
      <c r="K50" s="284"/>
      <c r="L50" s="336"/>
    </row>
    <row r="51" spans="1:12" s="698" customFormat="1" ht="30" customHeight="1" x14ac:dyDescent="0.3">
      <c r="A51" s="284"/>
      <c r="B51" s="1618"/>
      <c r="C51" s="2963" t="str">
        <f>Translations!$B$886</f>
        <v>В полето по-долу можете да въведете всякаква информация, която не сте могли да въведете в другите работни листове, но която считате са важна за компетентния орган</v>
      </c>
      <c r="D51" s="2963"/>
      <c r="E51" s="2963"/>
      <c r="F51" s="2963"/>
      <c r="G51" s="2963"/>
      <c r="H51" s="2963"/>
      <c r="I51" s="2963"/>
      <c r="J51" s="2963"/>
      <c r="K51" s="2963"/>
      <c r="L51" s="2963"/>
    </row>
  </sheetData>
  <sheetProtection sheet="1" objects="1" scenarios="1" formatCells="0" formatColumns="0" formatRows="0"/>
  <mergeCells count="82">
    <mergeCell ref="D33:E33"/>
    <mergeCell ref="F33:G33"/>
    <mergeCell ref="K33:L33"/>
    <mergeCell ref="I32:J32"/>
    <mergeCell ref="I33:J33"/>
    <mergeCell ref="D31:E31"/>
    <mergeCell ref="F31:G31"/>
    <mergeCell ref="K31:L31"/>
    <mergeCell ref="I31:J31"/>
    <mergeCell ref="D32:E32"/>
    <mergeCell ref="F32:G32"/>
    <mergeCell ref="K32:L32"/>
    <mergeCell ref="D27:E27"/>
    <mergeCell ref="F27:G27"/>
    <mergeCell ref="K27:L27"/>
    <mergeCell ref="I27:J27"/>
    <mergeCell ref="I30:J30"/>
    <mergeCell ref="D28:E28"/>
    <mergeCell ref="F28:G28"/>
    <mergeCell ref="K28:L28"/>
    <mergeCell ref="I28:J28"/>
    <mergeCell ref="D29:E29"/>
    <mergeCell ref="F29:G29"/>
    <mergeCell ref="K29:L29"/>
    <mergeCell ref="I29:J29"/>
    <mergeCell ref="D30:E30"/>
    <mergeCell ref="F30:G30"/>
    <mergeCell ref="K30:L30"/>
    <mergeCell ref="C25:L25"/>
    <mergeCell ref="C16:L16"/>
    <mergeCell ref="C17:L17"/>
    <mergeCell ref="D19:E19"/>
    <mergeCell ref="F19:L19"/>
    <mergeCell ref="D20:E20"/>
    <mergeCell ref="F20:L20"/>
    <mergeCell ref="D21:E21"/>
    <mergeCell ref="F21:L21"/>
    <mergeCell ref="D22:E22"/>
    <mergeCell ref="F22:L22"/>
    <mergeCell ref="C24:L24"/>
    <mergeCell ref="C10:L10"/>
    <mergeCell ref="A1:C3"/>
    <mergeCell ref="C49:L49"/>
    <mergeCell ref="F45:L45"/>
    <mergeCell ref="D40:E40"/>
    <mergeCell ref="D47:E47"/>
    <mergeCell ref="F40:L40"/>
    <mergeCell ref="F47:L47"/>
    <mergeCell ref="F39:L39"/>
    <mergeCell ref="H3:I3"/>
    <mergeCell ref="J3:K3"/>
    <mergeCell ref="D2:E2"/>
    <mergeCell ref="F2:G2"/>
    <mergeCell ref="H2:I2"/>
    <mergeCell ref="D41:E41"/>
    <mergeCell ref="F41:L41"/>
    <mergeCell ref="J2:K2"/>
    <mergeCell ref="C36:L36"/>
    <mergeCell ref="D39:E39"/>
    <mergeCell ref="C5:L5"/>
    <mergeCell ref="F1:G1"/>
    <mergeCell ref="H1:I1"/>
    <mergeCell ref="J1:K1"/>
    <mergeCell ref="D3:E3"/>
    <mergeCell ref="F3:G3"/>
    <mergeCell ref="C35:L35"/>
    <mergeCell ref="C11:L11"/>
    <mergeCell ref="C12:L12"/>
    <mergeCell ref="C13:L13"/>
    <mergeCell ref="C14:L14"/>
    <mergeCell ref="C7:L7"/>
    <mergeCell ref="C9:L9"/>
    <mergeCell ref="C51:L51"/>
    <mergeCell ref="D46:E46"/>
    <mergeCell ref="F46:L46"/>
    <mergeCell ref="D42:E42"/>
    <mergeCell ref="F42:L42"/>
    <mergeCell ref="D43:E43"/>
    <mergeCell ref="F44:L44"/>
    <mergeCell ref="D45:E45"/>
    <mergeCell ref="F43:L43"/>
    <mergeCell ref="D44:E44"/>
  </mergeCells>
  <phoneticPr fontId="34" type="noConversion"/>
  <hyperlinks>
    <hyperlink ref="F1:G1" location="JUMP_TOC_Home" display="Table of contents" xr:uid="{00000000-0004-0000-0B00-000000000000}"/>
    <hyperlink ref="L1" location="JUMP_K_I" display="Summary" xr:uid="{00000000-0004-0000-0B00-000001000000}"/>
    <hyperlink ref="D2:E2" location="JUMP_J_Top" display="Top of sheet" xr:uid="{00000000-0004-0000-0B00-000002000000}"/>
    <hyperlink ref="D3:E3" location="JUMP_J_II" display="End of sheet" xr:uid="{00000000-0004-0000-0B00-000003000000}"/>
    <hyperlink ref="H1:I1" location="JUMP_I_Top" display="Previous sheet" xr:uid="{00000000-0004-0000-0B00-000004000000}"/>
    <hyperlink ref="J1:K1" location="JUMP_K_Top" display="Next sheet" xr:uid="{00000000-0004-0000-0B00-000005000000}"/>
  </hyperlinks>
  <pageMargins left="0.78740157480314965" right="0.78740157480314965" top="0.78740157480314965" bottom="0.78740157480314965" header="0.51181102362204722" footer="0.51181102362204722"/>
  <pageSetup paperSize="9" scale="61" fitToHeight="10" orientation="portrait" r:id="rId1"/>
  <headerFooter alignWithMargins="0">
    <oddHeader>&amp;L&amp;F; &amp;A&amp;R&amp;D; &amp;T</oddHeader>
    <oddFooter>&amp;C&amp;P / &amp;N</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1">
    <tabColor indexed="10"/>
  </sheetPr>
  <dimension ref="A1:V2522"/>
  <sheetViews>
    <sheetView zoomScaleNormal="100" workbookViewId="0">
      <pane ySplit="4" topLeftCell="A128" activePane="bottomLeft" state="frozen"/>
      <selection activeCell="G426" sqref="G426"/>
      <selection pane="bottomLeft" activeCell="B2" sqref="B2:D4"/>
    </sheetView>
  </sheetViews>
  <sheetFormatPr defaultColWidth="11.453125" defaultRowHeight="12.5" x14ac:dyDescent="0.25"/>
  <cols>
    <col min="1" max="1" width="2.7265625" style="349" hidden="1" customWidth="1"/>
    <col min="2" max="2" width="2.7265625" style="349" customWidth="1"/>
    <col min="3" max="4" width="4.7265625" style="349" customWidth="1"/>
    <col min="5" max="5" width="30.7265625" style="349" customWidth="1"/>
    <col min="6" max="6" width="12.7265625" style="349" customWidth="1"/>
    <col min="7" max="7" width="16.1796875" style="349" customWidth="1"/>
    <col min="8" max="14" width="12.7265625" style="349" customWidth="1"/>
    <col min="15" max="15" width="4.7265625" style="349" customWidth="1"/>
    <col min="16" max="20" width="12.7265625" style="349" hidden="1" customWidth="1"/>
    <col min="21" max="22" width="11.453125" style="349" hidden="1" customWidth="1"/>
    <col min="23" max="16384" width="11.453125" style="349"/>
  </cols>
  <sheetData>
    <row r="1" spans="1:22" ht="13" hidden="1" thickBot="1" x14ac:dyDescent="0.3">
      <c r="A1" s="694" t="s">
        <v>312</v>
      </c>
      <c r="B1" s="694"/>
      <c r="C1" s="694"/>
      <c r="D1" s="694"/>
      <c r="E1" s="694"/>
      <c r="F1" s="694"/>
      <c r="G1" s="694"/>
      <c r="H1" s="694"/>
      <c r="I1" s="694"/>
      <c r="J1" s="694"/>
      <c r="K1" s="694"/>
      <c r="L1" s="694"/>
      <c r="M1" s="694"/>
      <c r="N1" s="694"/>
      <c r="O1" s="694"/>
      <c r="P1" s="694" t="s">
        <v>312</v>
      </c>
      <c r="Q1" s="694" t="s">
        <v>312</v>
      </c>
      <c r="R1" s="694" t="s">
        <v>312</v>
      </c>
      <c r="S1" s="694" t="s">
        <v>312</v>
      </c>
      <c r="T1" s="694" t="s">
        <v>312</v>
      </c>
      <c r="U1" s="343" t="s">
        <v>312</v>
      </c>
      <c r="V1" s="343" t="s">
        <v>312</v>
      </c>
    </row>
    <row r="2" spans="1:22" ht="13.5" thickBot="1" x14ac:dyDescent="0.35">
      <c r="A2" s="694"/>
      <c r="B2" s="2468" t="str">
        <f>Translations!$B$887</f>
        <v>K.</v>
      </c>
      <c r="C2" s="2469"/>
      <c r="D2" s="2470"/>
      <c r="E2" s="2351" t="str">
        <f>Translations!$B$2</f>
        <v>Навигационно меню:</v>
      </c>
      <c r="F2" s="2352"/>
      <c r="G2" s="2466" t="str">
        <f>Translations!$B$16</f>
        <v>Съдържание</v>
      </c>
      <c r="H2" s="2233"/>
      <c r="I2" s="2233" t="str">
        <f>Translations!$B$17</f>
        <v>Предходен лист</v>
      </c>
      <c r="J2" s="2233"/>
      <c r="K2" s="3036"/>
      <c r="L2" s="3036"/>
      <c r="M2" s="2233"/>
      <c r="N2" s="2233"/>
      <c r="O2" s="336"/>
      <c r="P2" s="770"/>
      <c r="Q2" s="770"/>
      <c r="R2" s="770"/>
      <c r="S2" s="770"/>
      <c r="T2" s="770"/>
      <c r="U2" s="343"/>
      <c r="V2" s="343"/>
    </row>
    <row r="3" spans="1:22" ht="13.5" thickBot="1" x14ac:dyDescent="0.3">
      <c r="A3" s="694"/>
      <c r="B3" s="2471"/>
      <c r="C3" s="2472"/>
      <c r="D3" s="2473"/>
      <c r="E3" s="2233" t="str">
        <f>Translations!$B$5</f>
        <v>Начало на листа</v>
      </c>
      <c r="F3" s="2477"/>
      <c r="G3" s="2478" t="str">
        <f>Translations!$B$888</f>
        <v>Данни за инсталацията</v>
      </c>
      <c r="H3" s="2467"/>
      <c r="I3" s="2467" t="str">
        <f>Translations!$B$889</f>
        <v>Базов период и условия за допустимост</v>
      </c>
      <c r="J3" s="2467"/>
      <c r="K3" s="2467" t="str">
        <f>Translations!$B$890</f>
        <v>Емисии и енергийни потоци</v>
      </c>
      <c r="L3" s="2467"/>
      <c r="M3" s="2467" t="str">
        <f>Translations!$B$891</f>
        <v>Данни за подинсталацията</v>
      </c>
      <c r="N3" s="2467"/>
      <c r="O3" s="698"/>
      <c r="P3" s="770"/>
      <c r="Q3" s="770"/>
      <c r="R3" s="770"/>
      <c r="S3" s="770"/>
      <c r="T3" s="770"/>
      <c r="U3" s="343"/>
      <c r="V3" s="343"/>
    </row>
    <row r="4" spans="1:22" ht="13.5" thickBot="1" x14ac:dyDescent="0.3">
      <c r="A4" s="694"/>
      <c r="B4" s="2474"/>
      <c r="C4" s="2475"/>
      <c r="D4" s="2476"/>
      <c r="E4" s="2233" t="str">
        <f>Translations!$B$6</f>
        <v>Край на листа</v>
      </c>
      <c r="F4" s="2233"/>
      <c r="G4" s="2479" t="str">
        <f>Translations!$B$892</f>
        <v>Предварително разпределяне</v>
      </c>
      <c r="H4" s="2480"/>
      <c r="I4" s="2480"/>
      <c r="J4" s="2480"/>
      <c r="K4" s="2874"/>
      <c r="L4" s="2867"/>
      <c r="M4" s="2867"/>
      <c r="N4" s="2867"/>
      <c r="O4" s="698"/>
      <c r="P4" s="770"/>
      <c r="Q4" s="770"/>
      <c r="R4" s="770"/>
      <c r="S4" s="770"/>
      <c r="T4" s="770"/>
      <c r="U4" s="343"/>
      <c r="V4" s="343"/>
    </row>
    <row r="5" spans="1:22" x14ac:dyDescent="0.25">
      <c r="A5" s="694"/>
      <c r="B5" s="284"/>
      <c r="C5" s="335"/>
      <c r="D5" s="284"/>
      <c r="E5" s="284"/>
      <c r="F5" s="287"/>
      <c r="G5" s="287"/>
      <c r="H5" s="287"/>
      <c r="I5" s="284"/>
      <c r="J5" s="284"/>
      <c r="K5" s="284"/>
      <c r="L5" s="284"/>
      <c r="M5" s="336"/>
      <c r="N5" s="336"/>
      <c r="O5" s="698"/>
      <c r="P5" s="770"/>
      <c r="Q5" s="770"/>
      <c r="R5" s="770"/>
      <c r="S5" s="770"/>
      <c r="T5" s="770"/>
      <c r="U5" s="343"/>
      <c r="V5" s="343"/>
    </row>
    <row r="6" spans="1:22" ht="23.25" customHeight="1" x14ac:dyDescent="0.25">
      <c r="A6" s="694"/>
      <c r="B6" s="284"/>
      <c r="C6" s="297" t="s">
        <v>295</v>
      </c>
      <c r="D6" s="297" t="str">
        <f>Translations!$B$893</f>
        <v>Работен лист „Summary“ („Обобщение“) — ПРЕГЛЕД НА НАЙ-ВАЖНИТЕ ДАННИ</v>
      </c>
      <c r="E6" s="297"/>
      <c r="F6" s="297"/>
      <c r="G6" s="297"/>
      <c r="H6" s="297"/>
      <c r="I6" s="297"/>
      <c r="J6" s="297"/>
      <c r="K6" s="297"/>
      <c r="L6" s="297"/>
      <c r="M6" s="336"/>
      <c r="N6" s="336"/>
      <c r="O6" s="698"/>
      <c r="P6" s="834" t="s">
        <v>232</v>
      </c>
      <c r="Q6" s="834" t="s">
        <v>232</v>
      </c>
      <c r="R6" s="834" t="s">
        <v>232</v>
      </c>
      <c r="S6" s="834" t="s">
        <v>232</v>
      </c>
      <c r="T6" s="834" t="s">
        <v>232</v>
      </c>
      <c r="U6" s="834" t="s">
        <v>232</v>
      </c>
      <c r="V6" s="834" t="s">
        <v>232</v>
      </c>
    </row>
    <row r="7" spans="1:22" x14ac:dyDescent="0.25">
      <c r="A7" s="694"/>
      <c r="B7" s="284"/>
      <c r="C7" s="284"/>
      <c r="D7" s="284"/>
      <c r="E7" s="284"/>
      <c r="F7" s="284"/>
      <c r="G7" s="284"/>
      <c r="H7" s="284"/>
      <c r="I7" s="284"/>
      <c r="J7" s="284"/>
      <c r="K7" s="284"/>
      <c r="L7" s="284"/>
      <c r="M7" s="336"/>
      <c r="N7" s="336"/>
      <c r="O7" s="698"/>
      <c r="P7" s="836" t="s">
        <v>740</v>
      </c>
      <c r="Q7" s="836" t="s">
        <v>740</v>
      </c>
      <c r="R7" s="836" t="s">
        <v>740</v>
      </c>
      <c r="S7" s="836" t="s">
        <v>740</v>
      </c>
      <c r="T7" s="836" t="s">
        <v>740</v>
      </c>
      <c r="U7" s="836" t="s">
        <v>740</v>
      </c>
      <c r="V7" s="836" t="s">
        <v>740</v>
      </c>
    </row>
    <row r="8" spans="1:22" ht="15.5" x14ac:dyDescent="0.35">
      <c r="A8" s="694"/>
      <c r="B8" s="284"/>
      <c r="C8" s="327" t="s">
        <v>1048</v>
      </c>
      <c r="D8" s="356" t="str">
        <f>Translations!$B$888</f>
        <v>Данни за инсталацията</v>
      </c>
      <c r="E8" s="356"/>
      <c r="F8" s="356"/>
      <c r="G8" s="356"/>
      <c r="H8" s="356"/>
      <c r="I8" s="356"/>
      <c r="J8" s="356"/>
      <c r="K8" s="356"/>
      <c r="L8" s="356"/>
      <c r="M8" s="356"/>
      <c r="N8" s="356"/>
      <c r="O8" s="698"/>
      <c r="P8" s="770"/>
      <c r="Q8" s="770"/>
      <c r="R8" s="770"/>
      <c r="S8" s="770"/>
      <c r="T8" s="770"/>
      <c r="U8" s="343"/>
      <c r="V8" s="343"/>
    </row>
    <row r="9" spans="1:22" ht="5.15" customHeight="1" x14ac:dyDescent="0.25">
      <c r="A9" s="694"/>
      <c r="B9" s="284"/>
      <c r="C9" s="284"/>
      <c r="D9" s="284"/>
      <c r="E9" s="284"/>
      <c r="F9" s="284"/>
      <c r="G9" s="284"/>
      <c r="H9" s="284"/>
      <c r="I9" s="284"/>
      <c r="J9" s="284"/>
      <c r="K9" s="284"/>
      <c r="L9" s="284"/>
      <c r="M9" s="336"/>
      <c r="N9" s="336"/>
      <c r="O9" s="698"/>
      <c r="P9" s="770"/>
      <c r="Q9" s="770"/>
      <c r="R9" s="770"/>
      <c r="S9" s="770"/>
      <c r="T9" s="770"/>
      <c r="U9" s="343"/>
      <c r="V9" s="343"/>
    </row>
    <row r="10" spans="1:22" ht="15" customHeight="1" x14ac:dyDescent="0.3">
      <c r="A10" s="694"/>
      <c r="B10" s="698"/>
      <c r="C10" s="357">
        <v>1</v>
      </c>
      <c r="D10" s="2323" t="str">
        <f>Translations!$B$75</f>
        <v>Обща информация:</v>
      </c>
      <c r="E10" s="2249"/>
      <c r="F10" s="2249"/>
      <c r="G10" s="2249"/>
      <c r="H10" s="2249"/>
      <c r="I10" s="2249"/>
      <c r="J10" s="2249"/>
      <c r="K10" s="2249"/>
      <c r="L10" s="2249"/>
      <c r="M10" s="2249"/>
      <c r="N10" s="2249"/>
      <c r="O10" s="698"/>
      <c r="P10" s="343"/>
      <c r="Q10" s="343"/>
      <c r="R10" s="343"/>
      <c r="S10" s="343"/>
      <c r="T10" s="343"/>
      <c r="U10" s="343"/>
      <c r="V10" s="343"/>
    </row>
    <row r="11" spans="1:22" s="364" customFormat="1" ht="5.15" customHeight="1" x14ac:dyDescent="0.25">
      <c r="A11" s="729"/>
      <c r="B11" s="302"/>
      <c r="C11" s="302"/>
      <c r="D11" s="302"/>
      <c r="E11" s="360"/>
      <c r="F11" s="360"/>
      <c r="G11" s="360"/>
      <c r="H11" s="360"/>
      <c r="I11" s="360"/>
      <c r="J11" s="360"/>
      <c r="K11" s="360"/>
      <c r="L11" s="360"/>
      <c r="M11" s="360"/>
      <c r="N11" s="302"/>
      <c r="O11" s="698"/>
      <c r="P11" s="729"/>
      <c r="Q11" s="729"/>
      <c r="R11" s="729"/>
      <c r="S11" s="729"/>
      <c r="T11" s="770"/>
      <c r="U11" s="343"/>
      <c r="V11" s="343"/>
    </row>
    <row r="12" spans="1:22" s="364" customFormat="1" ht="12.75" customHeight="1" x14ac:dyDescent="0.25">
      <c r="A12" s="729"/>
      <c r="B12" s="302"/>
      <c r="C12" s="302"/>
      <c r="D12" s="302"/>
      <c r="E12" s="313" t="str">
        <f>Translations!$B$1184</f>
        <v>Година на докладване:</v>
      </c>
      <c r="F12" s="360"/>
      <c r="G12" s="360"/>
      <c r="H12" s="3064" t="str">
        <f>IF(CNTR_HasEntries_A_I,CNTR_ReportingYear,"")</f>
        <v/>
      </c>
      <c r="I12" s="3064"/>
      <c r="J12" s="360"/>
      <c r="K12" s="360"/>
      <c r="L12" s="360"/>
      <c r="M12" s="360"/>
      <c r="N12" s="302"/>
      <c r="O12" s="698"/>
      <c r="P12" s="729"/>
      <c r="Q12" s="729"/>
      <c r="R12" s="729"/>
      <c r="S12" s="729"/>
      <c r="T12" s="770"/>
      <c r="U12" s="343"/>
      <c r="V12" s="343"/>
    </row>
    <row r="13" spans="1:22" s="364" customFormat="1" ht="13" x14ac:dyDescent="0.25">
      <c r="A13" s="729"/>
      <c r="B13" s="302"/>
      <c r="C13" s="302"/>
      <c r="D13" s="302"/>
      <c r="E13" s="313" t="str">
        <f>Translations!$B$894</f>
        <v>Идентификатор на инсталацията:</v>
      </c>
      <c r="F13" s="360"/>
      <c r="G13" s="360"/>
      <c r="H13" s="3042" t="str">
        <f>CNTR_UniqueID</f>
        <v/>
      </c>
      <c r="I13" s="3042"/>
      <c r="J13" s="360"/>
      <c r="L13" s="363" t="str">
        <f>Translations!$B$895</f>
        <v>Държава членка:</v>
      </c>
      <c r="M13" s="2296" t="str">
        <f>A_InstallationData!J53</f>
        <v/>
      </c>
      <c r="N13" s="3043"/>
      <c r="O13" s="698"/>
      <c r="P13" s="729"/>
      <c r="Q13" s="729"/>
      <c r="R13" s="729"/>
      <c r="S13" s="729"/>
      <c r="T13" s="770"/>
      <c r="U13" s="343"/>
      <c r="V13" s="343"/>
    </row>
    <row r="14" spans="1:22" s="364" customFormat="1" ht="13" x14ac:dyDescent="0.25">
      <c r="A14" s="729"/>
      <c r="B14" s="302"/>
      <c r="C14" s="302"/>
      <c r="D14" s="302"/>
      <c r="E14" s="313" t="str">
        <f>Translations!$B$76</f>
        <v>Наименование на инсталацията:</v>
      </c>
      <c r="F14" s="360"/>
      <c r="G14" s="360"/>
      <c r="H14" s="3040" t="str">
        <f>A_InstallationData!J72</f>
        <v/>
      </c>
      <c r="I14" s="3041"/>
      <c r="J14" s="3041"/>
      <c r="K14" s="3041"/>
      <c r="L14" s="3041"/>
      <c r="M14" s="360"/>
      <c r="N14" s="302"/>
      <c r="O14" s="698"/>
      <c r="P14" s="729"/>
      <c r="Q14" s="729"/>
      <c r="R14" s="729"/>
      <c r="S14" s="729"/>
      <c r="T14" s="770"/>
      <c r="U14" s="343"/>
      <c r="V14" s="343"/>
    </row>
    <row r="15" spans="1:22" s="364" customFormat="1" ht="13" x14ac:dyDescent="0.25">
      <c r="A15" s="729"/>
      <c r="B15" s="302"/>
      <c r="C15" s="302"/>
      <c r="D15" s="302"/>
      <c r="E15" s="313" t="str">
        <f>Translations!$B$102</f>
        <v>Наименование на оператора:</v>
      </c>
      <c r="F15" s="360"/>
      <c r="G15" s="360"/>
      <c r="H15" s="3040" t="str">
        <f>A_InstallationData!J120</f>
        <v/>
      </c>
      <c r="I15" s="3041"/>
      <c r="J15" s="3041"/>
      <c r="K15" s="3041"/>
      <c r="L15" s="3041"/>
      <c r="M15" s="360"/>
      <c r="N15" s="302"/>
      <c r="O15" s="698"/>
      <c r="P15" s="729"/>
      <c r="Q15" s="729"/>
      <c r="R15" s="729"/>
      <c r="S15" s="729"/>
      <c r="T15" s="770"/>
      <c r="U15" s="343"/>
      <c r="V15" s="343"/>
    </row>
    <row r="16" spans="1:22" s="364" customFormat="1" ht="13" x14ac:dyDescent="0.25">
      <c r="A16" s="729"/>
      <c r="B16" s="302"/>
      <c r="C16" s="302"/>
      <c r="D16" s="302"/>
      <c r="E16" s="313" t="str">
        <f>Translations!$B$896</f>
        <v>Проверяващ орган (дружество):</v>
      </c>
      <c r="F16" s="360"/>
      <c r="G16" s="360"/>
      <c r="H16" s="3040" t="str">
        <f>IF(ISBLANK(A_InstallationData!J191),"",A_InstallationData!J191)</f>
        <v/>
      </c>
      <c r="I16" s="3041"/>
      <c r="J16" s="3041"/>
      <c r="K16" s="3041"/>
      <c r="L16" s="3041"/>
      <c r="M16" s="360"/>
      <c r="N16" s="302"/>
      <c r="O16" s="698"/>
      <c r="P16" s="729"/>
      <c r="Q16" s="729"/>
      <c r="R16" s="729"/>
      <c r="S16" s="729"/>
      <c r="T16" s="770"/>
      <c r="U16" s="343"/>
      <c r="V16" s="343"/>
    </row>
    <row r="17" spans="1:22" s="364" customFormat="1" ht="5.15" customHeight="1" x14ac:dyDescent="0.25">
      <c r="A17" s="729"/>
      <c r="B17" s="302"/>
      <c r="C17" s="302"/>
      <c r="D17" s="302"/>
      <c r="E17" s="313"/>
      <c r="F17" s="360"/>
      <c r="G17" s="360"/>
      <c r="H17" s="368"/>
      <c r="I17" s="360"/>
      <c r="J17" s="360"/>
      <c r="K17" s="360"/>
      <c r="L17" s="360"/>
      <c r="M17" s="360"/>
      <c r="N17" s="302"/>
      <c r="O17" s="698"/>
      <c r="P17" s="729"/>
      <c r="Q17" s="729"/>
      <c r="R17" s="729"/>
      <c r="S17" s="729"/>
      <c r="T17" s="770"/>
      <c r="U17" s="343"/>
      <c r="V17" s="343"/>
    </row>
    <row r="18" spans="1:22" s="364" customFormat="1" ht="13" x14ac:dyDescent="0.25">
      <c r="A18" s="729"/>
      <c r="B18" s="302"/>
      <c r="C18" s="302"/>
      <c r="D18" s="302"/>
      <c r="E18" s="313" t="str">
        <f>Translations!$B$897</f>
        <v>Работеща инсталация:</v>
      </c>
      <c r="F18" s="360"/>
      <c r="G18" s="360"/>
      <c r="H18" s="478" t="str">
        <f>IF(A_InstallationData!J14="","",CNTR_Incumbent)</f>
        <v/>
      </c>
      <c r="I18" s="360"/>
      <c r="K18" s="360"/>
      <c r="L18" s="363" t="str">
        <f>Translations!$B$899</f>
        <v>Код по NACE през 2010 г. (NACE rev 2):</v>
      </c>
      <c r="M18" s="369" t="str">
        <f>CNTR_NACEInstallation</f>
        <v/>
      </c>
      <c r="N18" s="302"/>
      <c r="O18" s="698"/>
      <c r="P18" s="729"/>
      <c r="Q18" s="729"/>
      <c r="R18" s="729"/>
      <c r="S18" s="729"/>
      <c r="T18" s="770"/>
      <c r="U18" s="343"/>
      <c r="V18" s="343"/>
    </row>
    <row r="19" spans="1:22" s="364" customFormat="1" ht="13" x14ac:dyDescent="0.25">
      <c r="A19" s="729"/>
      <c r="B19" s="302"/>
      <c r="C19" s="302"/>
      <c r="D19" s="302"/>
      <c r="E19" s="313" t="str">
        <f>Translations!$B$898</f>
        <v>Дата на въвеждане в експлоатация:</v>
      </c>
      <c r="F19" s="360"/>
      <c r="G19" s="360"/>
      <c r="H19" s="655" t="str">
        <f>A_InstallationData!J77</f>
        <v/>
      </c>
      <c r="I19" s="360"/>
      <c r="J19" s="360"/>
      <c r="L19" s="363" t="str">
        <f>Translations!$B$900</f>
        <v>Идентификация по ЕРИПЗ:</v>
      </c>
      <c r="M19" s="370" t="str">
        <f>IF(ISBLANK(A_InstallationData!L246),"",A_InstallationData!L246)</f>
        <v/>
      </c>
      <c r="N19" s="302"/>
      <c r="O19" s="698"/>
      <c r="P19" s="729"/>
      <c r="Q19" s="729"/>
      <c r="R19" s="729"/>
      <c r="S19" s="729"/>
      <c r="T19" s="770"/>
      <c r="U19" s="343"/>
      <c r="V19" s="343"/>
    </row>
    <row r="20" spans="1:22" s="364" customFormat="1" ht="5.15" customHeight="1" x14ac:dyDescent="0.25">
      <c r="A20" s="729"/>
      <c r="B20" s="302"/>
      <c r="C20" s="302"/>
      <c r="D20" s="302"/>
      <c r="I20" s="360"/>
      <c r="J20" s="360"/>
      <c r="K20" s="360"/>
      <c r="L20" s="360"/>
      <c r="M20" s="360"/>
      <c r="N20" s="302"/>
      <c r="O20" s="698"/>
      <c r="P20" s="729"/>
      <c r="Q20" s="729"/>
      <c r="R20" s="729"/>
      <c r="S20" s="729"/>
      <c r="T20" s="770"/>
      <c r="U20" s="343"/>
      <c r="V20" s="343"/>
    </row>
    <row r="21" spans="1:22" s="364" customFormat="1" ht="13.5" thickBot="1" x14ac:dyDescent="0.3">
      <c r="A21" s="729"/>
      <c r="B21" s="302"/>
      <c r="C21" s="302"/>
      <c r="D21" s="300"/>
      <c r="E21" s="313" t="str">
        <f>Translations!$B$128</f>
        <v>Дейности в съответствие с приложение I към Директивата за СТЕ на ЕС:</v>
      </c>
      <c r="F21" s="302"/>
      <c r="G21" s="302"/>
      <c r="H21" s="298"/>
      <c r="I21" s="298"/>
      <c r="J21" s="298"/>
      <c r="K21" s="298"/>
      <c r="L21" s="302"/>
      <c r="M21" s="1620"/>
      <c r="N21" s="1620"/>
      <c r="O21" s="698"/>
      <c r="P21" s="729"/>
      <c r="Q21" s="729"/>
      <c r="R21" s="750" t="s">
        <v>2548</v>
      </c>
      <c r="S21" s="729"/>
      <c r="T21" s="729"/>
      <c r="U21" s="343"/>
      <c r="V21" s="343"/>
    </row>
    <row r="22" spans="1:22" s="364" customFormat="1" ht="12.75" customHeight="1" x14ac:dyDescent="0.25">
      <c r="A22" s="729"/>
      <c r="B22" s="302"/>
      <c r="C22" s="302"/>
      <c r="D22" s="313"/>
      <c r="E22" s="687" t="s">
        <v>1429</v>
      </c>
      <c r="F22" s="3008" t="str">
        <f>A_InstallationData!F227</f>
        <v/>
      </c>
      <c r="G22" s="2814"/>
      <c r="H22" s="2814"/>
      <c r="I22" s="2814"/>
      <c r="J22" s="2814"/>
      <c r="K22" s="2814"/>
      <c r="L22" s="2814"/>
      <c r="M22" s="2814"/>
      <c r="N22" s="3009"/>
      <c r="O22" s="698"/>
      <c r="P22" s="729"/>
      <c r="Q22" s="729"/>
      <c r="R22" s="1621" t="str">
        <f>IF(A_InstallationData!Q227="","",A_InstallationData!Q227+1429)</f>
        <v/>
      </c>
      <c r="S22" s="729"/>
      <c r="T22" s="729"/>
      <c r="U22" s="343"/>
      <c r="V22" s="343"/>
    </row>
    <row r="23" spans="1:22" s="364" customFormat="1" ht="12.75" customHeight="1" x14ac:dyDescent="0.25">
      <c r="A23" s="729"/>
      <c r="B23" s="302"/>
      <c r="C23" s="302"/>
      <c r="D23" s="300"/>
      <c r="E23" s="687" t="s">
        <v>1430</v>
      </c>
      <c r="F23" s="3008" t="str">
        <f>A_InstallationData!F228</f>
        <v/>
      </c>
      <c r="G23" s="2814"/>
      <c r="H23" s="2814"/>
      <c r="I23" s="2814"/>
      <c r="J23" s="2814"/>
      <c r="K23" s="2814"/>
      <c r="L23" s="2814"/>
      <c r="M23" s="2814"/>
      <c r="N23" s="3009"/>
      <c r="O23" s="698"/>
      <c r="P23" s="729"/>
      <c r="Q23" s="729"/>
      <c r="R23" s="1622" t="str">
        <f>IF(A_InstallationData!Q228="","",A_InstallationData!Q228+1429)</f>
        <v/>
      </c>
      <c r="S23" s="729"/>
      <c r="T23" s="729"/>
      <c r="U23" s="343"/>
      <c r="V23" s="343"/>
    </row>
    <row r="24" spans="1:22" s="364" customFormat="1" x14ac:dyDescent="0.25">
      <c r="A24" s="729"/>
      <c r="B24" s="302"/>
      <c r="C24" s="302"/>
      <c r="D24" s="377"/>
      <c r="E24" s="687" t="s">
        <v>1431</v>
      </c>
      <c r="F24" s="3008" t="str">
        <f>A_InstallationData!F229</f>
        <v/>
      </c>
      <c r="G24" s="2814"/>
      <c r="H24" s="2814"/>
      <c r="I24" s="2814"/>
      <c r="J24" s="2814"/>
      <c r="K24" s="2814"/>
      <c r="L24" s="2814"/>
      <c r="M24" s="2814"/>
      <c r="N24" s="3009"/>
      <c r="O24" s="698"/>
      <c r="P24" s="729"/>
      <c r="Q24" s="729"/>
      <c r="R24" s="1622" t="str">
        <f>IF(A_InstallationData!Q229="","",A_InstallationData!Q229+1429)</f>
        <v/>
      </c>
      <c r="S24" s="729"/>
      <c r="T24" s="729"/>
      <c r="U24" s="343"/>
      <c r="V24" s="343"/>
    </row>
    <row r="25" spans="1:22" s="364" customFormat="1" x14ac:dyDescent="0.25">
      <c r="A25" s="729"/>
      <c r="B25" s="302"/>
      <c r="C25" s="302"/>
      <c r="D25" s="377"/>
      <c r="E25" s="687" t="s">
        <v>1432</v>
      </c>
      <c r="F25" s="3008" t="str">
        <f>A_InstallationData!F230</f>
        <v/>
      </c>
      <c r="G25" s="2814"/>
      <c r="H25" s="2814"/>
      <c r="I25" s="2814"/>
      <c r="J25" s="2814"/>
      <c r="K25" s="2814"/>
      <c r="L25" s="2814"/>
      <c r="M25" s="2814"/>
      <c r="N25" s="3009"/>
      <c r="O25" s="698"/>
      <c r="P25" s="729"/>
      <c r="Q25" s="729"/>
      <c r="R25" s="1622" t="str">
        <f>IF(A_InstallationData!Q230="","",A_InstallationData!Q230+1429)</f>
        <v/>
      </c>
      <c r="S25" s="729"/>
      <c r="T25" s="729"/>
      <c r="U25" s="343"/>
      <c r="V25" s="343"/>
    </row>
    <row r="26" spans="1:22" s="364" customFormat="1" x14ac:dyDescent="0.25">
      <c r="A26" s="729"/>
      <c r="B26" s="302"/>
      <c r="C26" s="302"/>
      <c r="D26" s="377"/>
      <c r="E26" s="687" t="s">
        <v>1433</v>
      </c>
      <c r="F26" s="3008" t="str">
        <f>A_InstallationData!F231</f>
        <v/>
      </c>
      <c r="G26" s="2814"/>
      <c r="H26" s="2814"/>
      <c r="I26" s="2814"/>
      <c r="J26" s="2814"/>
      <c r="K26" s="2814"/>
      <c r="L26" s="2814"/>
      <c r="M26" s="2814"/>
      <c r="N26" s="3009"/>
      <c r="O26" s="698"/>
      <c r="P26" s="729"/>
      <c r="Q26" s="729"/>
      <c r="R26" s="1622" t="str">
        <f>IF(A_InstallationData!Q231="","",A_InstallationData!Q231+1429)</f>
        <v/>
      </c>
      <c r="S26" s="729"/>
      <c r="T26" s="729"/>
      <c r="U26" s="343"/>
      <c r="V26" s="343"/>
    </row>
    <row r="27" spans="1:22" s="364" customFormat="1" ht="13" thickBot="1" x14ac:dyDescent="0.3">
      <c r="A27" s="729"/>
      <c r="B27" s="302"/>
      <c r="C27" s="302"/>
      <c r="D27" s="302"/>
      <c r="E27" s="687" t="s">
        <v>1434</v>
      </c>
      <c r="F27" s="3008" t="str">
        <f>A_InstallationData!F232</f>
        <v/>
      </c>
      <c r="G27" s="2814"/>
      <c r="H27" s="2814"/>
      <c r="I27" s="2814"/>
      <c r="J27" s="2814"/>
      <c r="K27" s="2814"/>
      <c r="L27" s="2814"/>
      <c r="M27" s="2814"/>
      <c r="N27" s="3009"/>
      <c r="O27" s="698"/>
      <c r="P27" s="729"/>
      <c r="Q27" s="729"/>
      <c r="R27" s="1623" t="str">
        <f>IF(A_InstallationData!Q232="","",A_InstallationData!Q232+1429)</f>
        <v/>
      </c>
      <c r="S27" s="729"/>
      <c r="T27" s="770"/>
      <c r="U27" s="343"/>
      <c r="V27" s="343"/>
    </row>
    <row r="28" spans="1:22" s="364" customFormat="1" ht="5.15" customHeight="1" x14ac:dyDescent="0.25">
      <c r="A28" s="729"/>
      <c r="B28" s="302"/>
      <c r="C28" s="302"/>
      <c r="D28" s="302"/>
      <c r="E28" s="360"/>
      <c r="F28" s="360"/>
      <c r="G28" s="360"/>
      <c r="H28" s="360"/>
      <c r="I28" s="360"/>
      <c r="J28" s="360"/>
      <c r="K28" s="360"/>
      <c r="L28" s="360"/>
      <c r="M28" s="360"/>
      <c r="N28" s="302"/>
      <c r="O28" s="698"/>
      <c r="P28" s="729"/>
      <c r="Q28" s="729"/>
      <c r="R28" s="729"/>
      <c r="S28" s="729"/>
      <c r="T28" s="770"/>
      <c r="U28" s="343"/>
      <c r="V28" s="343"/>
    </row>
    <row r="29" spans="1:22" s="364" customFormat="1" ht="12.75" customHeight="1" x14ac:dyDescent="0.25">
      <c r="A29" s="729"/>
      <c r="B29" s="302"/>
      <c r="C29" s="302"/>
      <c r="D29" s="313"/>
      <c r="E29" s="556" t="str">
        <f>Translations!$B$1349</f>
        <v>Има ли коментари в колона P в някой от листовете?</v>
      </c>
      <c r="I29" s="360" t="str">
        <f>Translations!$B$1350</f>
        <v>Лист А:</v>
      </c>
      <c r="J29" s="478" t="b">
        <f>COUNTA(A_InstallationData!P5:P294)&gt;0</f>
        <v>0</v>
      </c>
      <c r="L29" s="360" t="str">
        <f>Translations!$B$1351</f>
        <v>Лист F:</v>
      </c>
      <c r="M29" s="478" t="b">
        <f>COUNTA(F_ProductBM!P6:P2824)&gt;0</f>
        <v>0</v>
      </c>
      <c r="O29" s="698"/>
      <c r="P29" s="729"/>
      <c r="Q29" s="729"/>
      <c r="R29" s="729"/>
      <c r="S29" s="729"/>
      <c r="T29" s="770"/>
      <c r="U29" s="343"/>
      <c r="V29" s="343"/>
    </row>
    <row r="30" spans="1:22" s="364" customFormat="1" ht="12.75" customHeight="1" x14ac:dyDescent="0.25">
      <c r="A30" s="729"/>
      <c r="B30" s="302"/>
      <c r="C30" s="302"/>
      <c r="D30" s="302"/>
      <c r="E30" s="360"/>
      <c r="I30" s="360" t="str">
        <f>Translations!$B$1352</f>
        <v>Лист B+C.:</v>
      </c>
      <c r="J30" s="478" t="b">
        <f>COUNTA('B+C_SubInstallations'!P5:P174)&gt;0</f>
        <v>0</v>
      </c>
      <c r="L30" s="360" t="str">
        <f>Translations!$B$1353</f>
        <v>Лист G:</v>
      </c>
      <c r="M30" s="478" t="b">
        <f>COUNTA('G_Fall-back'!P6:P1833)&gt;0</f>
        <v>0</v>
      </c>
      <c r="O30" s="698"/>
      <c r="P30" s="729"/>
      <c r="Q30" s="729"/>
      <c r="R30" s="729"/>
      <c r="S30" s="729"/>
      <c r="T30" s="770"/>
      <c r="U30" s="343"/>
      <c r="V30" s="343"/>
    </row>
    <row r="31" spans="1:22" s="364" customFormat="1" ht="12.75" customHeight="1" x14ac:dyDescent="0.25">
      <c r="A31" s="729"/>
      <c r="B31" s="302"/>
      <c r="C31" s="302"/>
      <c r="D31" s="302"/>
      <c r="E31" s="360"/>
      <c r="I31" s="360" t="str">
        <f>Translations!$B$1354</f>
        <v>Лист D:</v>
      </c>
      <c r="J31" s="478" t="b">
        <f>COUNTA(D_Emissions!P5:P270)&gt;0</f>
        <v>0</v>
      </c>
      <c r="L31" s="360" t="str">
        <f>Translations!$B$1355</f>
        <v>Лист H:</v>
      </c>
      <c r="M31" s="478" t="b">
        <f>COUNTA(H_SpecialBM!P6:P482)&gt;0</f>
        <v>0</v>
      </c>
      <c r="N31" s="302"/>
      <c r="O31" s="698"/>
      <c r="P31" s="729"/>
      <c r="Q31" s="729"/>
      <c r="R31" s="729"/>
      <c r="S31" s="729"/>
      <c r="T31" s="770"/>
      <c r="U31" s="343"/>
      <c r="V31" s="343"/>
    </row>
    <row r="32" spans="1:22" s="364" customFormat="1" ht="12.75" customHeight="1" x14ac:dyDescent="0.25">
      <c r="A32" s="729"/>
      <c r="B32" s="302"/>
      <c r="C32" s="302"/>
      <c r="D32" s="302"/>
      <c r="E32" s="360"/>
      <c r="F32" s="360"/>
      <c r="I32" s="360" t="str">
        <f>Translations!$B$1356</f>
        <v>Лист E:</v>
      </c>
      <c r="J32" s="478" t="b">
        <f>COUNTA(E_EnergyFlows!P5:P420)&gt;0</f>
        <v>0</v>
      </c>
      <c r="M32" s="360"/>
      <c r="N32" s="302"/>
      <c r="O32" s="698"/>
      <c r="P32" s="729"/>
      <c r="Q32" s="729"/>
      <c r="R32" s="729"/>
      <c r="S32" s="729"/>
      <c r="T32" s="770"/>
      <c r="U32" s="343"/>
      <c r="V32" s="343"/>
    </row>
    <row r="33" spans="1:22" s="364" customFormat="1" ht="5.15" customHeight="1" x14ac:dyDescent="0.25">
      <c r="A33" s="729"/>
      <c r="B33" s="302"/>
      <c r="C33" s="302"/>
      <c r="D33" s="302"/>
      <c r="E33" s="360"/>
      <c r="F33" s="360"/>
      <c r="G33" s="360"/>
      <c r="H33" s="360"/>
      <c r="I33" s="360"/>
      <c r="J33" s="360"/>
      <c r="K33" s="360"/>
      <c r="L33" s="360"/>
      <c r="M33" s="360"/>
      <c r="N33" s="302"/>
      <c r="O33" s="698"/>
      <c r="P33" s="729"/>
      <c r="Q33" s="729"/>
      <c r="R33" s="729"/>
      <c r="S33" s="729"/>
      <c r="T33" s="770"/>
      <c r="U33" s="343"/>
      <c r="V33" s="343"/>
    </row>
    <row r="34" spans="1:22" s="364" customFormat="1" ht="14" x14ac:dyDescent="0.3">
      <c r="A34" s="729"/>
      <c r="B34" s="302"/>
      <c r="C34" s="357">
        <v>2</v>
      </c>
      <c r="D34" s="2323" t="str">
        <f>Translations!$B$1357</f>
        <v>Технически връзки:</v>
      </c>
      <c r="E34" s="2249"/>
      <c r="F34" s="2249"/>
      <c r="G34" s="2249"/>
      <c r="H34" s="2249"/>
      <c r="I34" s="2249"/>
      <c r="J34" s="2249"/>
      <c r="K34" s="2249"/>
      <c r="L34" s="2249"/>
      <c r="M34" s="2249"/>
      <c r="N34" s="2249"/>
      <c r="O34" s="698"/>
      <c r="P34" s="729"/>
      <c r="Q34" s="729"/>
      <c r="R34" s="729"/>
      <c r="S34" s="729"/>
      <c r="T34" s="770"/>
      <c r="U34" s="343"/>
      <c r="V34" s="343"/>
    </row>
    <row r="35" spans="1:22" s="364" customFormat="1" ht="13" thickBot="1" x14ac:dyDescent="0.3">
      <c r="A35" s="729"/>
      <c r="B35" s="302"/>
      <c r="C35" s="302"/>
      <c r="D35" s="302"/>
      <c r="E35" s="3037" t="str">
        <f>Translations!$B$901</f>
        <v>Име на връзката</v>
      </c>
      <c r="F35" s="3038"/>
      <c r="G35" s="3038"/>
      <c r="H35" s="3039"/>
      <c r="I35" s="3037" t="str">
        <f>Translations!$B$902</f>
        <v>Идентификатор EUTL, ако е приложимо</v>
      </c>
      <c r="J35" s="3038"/>
      <c r="K35" s="3039"/>
      <c r="L35" s="3037" t="str">
        <f>Translations!$B$903</f>
        <v>Вид обект</v>
      </c>
      <c r="M35" s="3038"/>
      <c r="N35" s="3038"/>
      <c r="O35" s="698"/>
      <c r="P35" s="729"/>
      <c r="Q35" s="729"/>
      <c r="R35" s="750" t="s">
        <v>2549</v>
      </c>
      <c r="S35" s="750" t="s">
        <v>2550</v>
      </c>
      <c r="T35" s="750" t="s">
        <v>2551</v>
      </c>
      <c r="U35" s="343"/>
      <c r="V35" s="343"/>
    </row>
    <row r="36" spans="1:22" s="364" customFormat="1" x14ac:dyDescent="0.25">
      <c r="A36" s="729"/>
      <c r="B36" s="302"/>
      <c r="C36" s="302"/>
      <c r="D36" s="302">
        <v>1</v>
      </c>
      <c r="E36" s="3033" t="str">
        <f t="shared" ref="E36:E45" si="0">IF(INDEX(CNTR_ConnectionEntityList,$D36)=EUconst_NA,"",INDEX(CNTR_ConnectionEntityList,$D36))</f>
        <v/>
      </c>
      <c r="F36" s="2844"/>
      <c r="G36" s="2844"/>
      <c r="H36" s="2865"/>
      <c r="I36" s="3008" t="str">
        <f t="shared" ref="I36:I45" si="1">INDEX(CNTR_ConnectionEntityListCITL_IDs,$D36)</f>
        <v/>
      </c>
      <c r="J36" s="2814"/>
      <c r="K36" s="3009"/>
      <c r="L36" s="3033" t="str">
        <f t="shared" ref="L36:L45" si="2">INDEX(CNTR_ConnectionEntityListTypes,$D36)</f>
        <v/>
      </c>
      <c r="M36" s="3034"/>
      <c r="N36" s="3035"/>
      <c r="O36" s="698"/>
      <c r="P36" s="729"/>
      <c r="Q36" s="729"/>
      <c r="R36" s="1621" t="str">
        <f>IF(A_InstallationData!I380="","",MATCH(A_InstallationData!I380,EUconst_ConnectedEntityTypes,0)+238)</f>
        <v/>
      </c>
      <c r="S36" s="1621" t="str">
        <f>IF(A_InstallationData!K380="","",MATCH(A_InstallationData!K380,EUconst_ConnectionTypes,0)+247)</f>
        <v/>
      </c>
      <c r="T36" s="1621" t="str">
        <f>IF(A_InstallationData!M380="","",MATCH(A_InstallationData!M380,EUconst_ConnectionTransferTypes,0)+1302)</f>
        <v/>
      </c>
      <c r="U36" s="343"/>
      <c r="V36" s="343"/>
    </row>
    <row r="37" spans="1:22" s="364" customFormat="1" x14ac:dyDescent="0.25">
      <c r="A37" s="729"/>
      <c r="B37" s="302"/>
      <c r="C37" s="302"/>
      <c r="D37" s="302">
        <v>2</v>
      </c>
      <c r="E37" s="3033" t="str">
        <f t="shared" si="0"/>
        <v/>
      </c>
      <c r="F37" s="2844"/>
      <c r="G37" s="2844"/>
      <c r="H37" s="2865"/>
      <c r="I37" s="3008" t="str">
        <f t="shared" si="1"/>
        <v/>
      </c>
      <c r="J37" s="2814"/>
      <c r="K37" s="3009"/>
      <c r="L37" s="3033" t="str">
        <f t="shared" si="2"/>
        <v/>
      </c>
      <c r="M37" s="3034"/>
      <c r="N37" s="3035"/>
      <c r="O37" s="698"/>
      <c r="P37" s="729"/>
      <c r="Q37" s="729"/>
      <c r="R37" s="1622" t="str">
        <f>IF(A_InstallationData!I381="","",MATCH(A_InstallationData!I381,EUconst_ConnectedEntityTypes,0)+238)</f>
        <v/>
      </c>
      <c r="S37" s="1622" t="str">
        <f>IF(A_InstallationData!K381="","",MATCH(A_InstallationData!K381,EUconst_ConnectionTypes,0)+247)</f>
        <v/>
      </c>
      <c r="T37" s="1622" t="str">
        <f>IF(A_InstallationData!M381="","",MATCH(A_InstallationData!M381,EUconst_ConnectionTransferTypes,0)+1302)</f>
        <v/>
      </c>
      <c r="U37" s="343"/>
      <c r="V37" s="343"/>
    </row>
    <row r="38" spans="1:22" s="364" customFormat="1" x14ac:dyDescent="0.25">
      <c r="A38" s="729"/>
      <c r="B38" s="302"/>
      <c r="C38" s="302"/>
      <c r="D38" s="302">
        <v>3</v>
      </c>
      <c r="E38" s="3033" t="str">
        <f t="shared" si="0"/>
        <v/>
      </c>
      <c r="F38" s="2844"/>
      <c r="G38" s="2844"/>
      <c r="H38" s="2865"/>
      <c r="I38" s="3008" t="str">
        <f t="shared" si="1"/>
        <v/>
      </c>
      <c r="J38" s="2814"/>
      <c r="K38" s="3009"/>
      <c r="L38" s="3033" t="str">
        <f t="shared" si="2"/>
        <v/>
      </c>
      <c r="M38" s="3034"/>
      <c r="N38" s="3035"/>
      <c r="O38" s="698"/>
      <c r="P38" s="729"/>
      <c r="Q38" s="729"/>
      <c r="R38" s="1622" t="str">
        <f>IF(A_InstallationData!I382="","",MATCH(A_InstallationData!I382,EUconst_ConnectedEntityTypes,0)+238)</f>
        <v/>
      </c>
      <c r="S38" s="1622" t="str">
        <f>IF(A_InstallationData!K382="","",MATCH(A_InstallationData!K382,EUconst_ConnectionTypes,0)+247)</f>
        <v/>
      </c>
      <c r="T38" s="1622" t="str">
        <f>IF(A_InstallationData!M382="","",MATCH(A_InstallationData!M382,EUconst_ConnectionTransferTypes,0)+1302)</f>
        <v/>
      </c>
      <c r="U38" s="343"/>
      <c r="V38" s="343"/>
    </row>
    <row r="39" spans="1:22" s="364" customFormat="1" x14ac:dyDescent="0.25">
      <c r="A39" s="729"/>
      <c r="B39" s="302"/>
      <c r="C39" s="302"/>
      <c r="D39" s="302">
        <v>4</v>
      </c>
      <c r="E39" s="3033" t="str">
        <f t="shared" si="0"/>
        <v/>
      </c>
      <c r="F39" s="2844"/>
      <c r="G39" s="2844"/>
      <c r="H39" s="2865"/>
      <c r="I39" s="3008" t="str">
        <f t="shared" si="1"/>
        <v/>
      </c>
      <c r="J39" s="2814"/>
      <c r="K39" s="3009"/>
      <c r="L39" s="3033" t="str">
        <f t="shared" si="2"/>
        <v/>
      </c>
      <c r="M39" s="3034"/>
      <c r="N39" s="3035"/>
      <c r="O39" s="698"/>
      <c r="P39" s="729"/>
      <c r="Q39" s="729"/>
      <c r="R39" s="1622" t="str">
        <f>IF(A_InstallationData!I383="","",MATCH(A_InstallationData!I383,EUconst_ConnectedEntityTypes,0)+238)</f>
        <v/>
      </c>
      <c r="S39" s="1622" t="str">
        <f>IF(A_InstallationData!K383="","",MATCH(A_InstallationData!K383,EUconst_ConnectionTypes,0)+247)</f>
        <v/>
      </c>
      <c r="T39" s="1622" t="str">
        <f>IF(A_InstallationData!M383="","",MATCH(A_InstallationData!M383,EUconst_ConnectionTransferTypes,0)+1302)</f>
        <v/>
      </c>
      <c r="U39" s="343"/>
      <c r="V39" s="343"/>
    </row>
    <row r="40" spans="1:22" s="364" customFormat="1" x14ac:dyDescent="0.25">
      <c r="A40" s="729"/>
      <c r="B40" s="302"/>
      <c r="C40" s="302"/>
      <c r="D40" s="302">
        <v>5</v>
      </c>
      <c r="E40" s="3033" t="str">
        <f t="shared" si="0"/>
        <v/>
      </c>
      <c r="F40" s="2844"/>
      <c r="G40" s="2844"/>
      <c r="H40" s="2865"/>
      <c r="I40" s="3008" t="str">
        <f t="shared" si="1"/>
        <v/>
      </c>
      <c r="J40" s="2814"/>
      <c r="K40" s="3009"/>
      <c r="L40" s="3033" t="str">
        <f t="shared" si="2"/>
        <v/>
      </c>
      <c r="M40" s="3034"/>
      <c r="N40" s="3035"/>
      <c r="O40" s="698"/>
      <c r="P40" s="729"/>
      <c r="Q40" s="729"/>
      <c r="R40" s="1622" t="str">
        <f>IF(A_InstallationData!I384="","",MATCH(A_InstallationData!I384,EUconst_ConnectedEntityTypes,0)+238)</f>
        <v/>
      </c>
      <c r="S40" s="1622" t="str">
        <f>IF(A_InstallationData!K384="","",MATCH(A_InstallationData!K384,EUconst_ConnectionTypes,0)+247)</f>
        <v/>
      </c>
      <c r="T40" s="1622" t="str">
        <f>IF(A_InstallationData!M384="","",MATCH(A_InstallationData!M384,EUconst_ConnectionTransferTypes,0)+1302)</f>
        <v/>
      </c>
      <c r="U40" s="343"/>
      <c r="V40" s="343"/>
    </row>
    <row r="41" spans="1:22" s="364" customFormat="1" x14ac:dyDescent="0.25">
      <c r="A41" s="729"/>
      <c r="B41" s="302"/>
      <c r="C41" s="302"/>
      <c r="D41" s="302">
        <v>6</v>
      </c>
      <c r="E41" s="3033" t="str">
        <f t="shared" si="0"/>
        <v/>
      </c>
      <c r="F41" s="2844"/>
      <c r="G41" s="2844"/>
      <c r="H41" s="2865"/>
      <c r="I41" s="3008" t="str">
        <f t="shared" si="1"/>
        <v/>
      </c>
      <c r="J41" s="2814"/>
      <c r="K41" s="3009"/>
      <c r="L41" s="3033" t="str">
        <f t="shared" si="2"/>
        <v/>
      </c>
      <c r="M41" s="3034"/>
      <c r="N41" s="3035"/>
      <c r="O41" s="698"/>
      <c r="P41" s="729"/>
      <c r="Q41" s="729"/>
      <c r="R41" s="1622" t="str">
        <f>IF(A_InstallationData!I385="","",MATCH(A_InstallationData!I385,EUconst_ConnectedEntityTypes,0)+238)</f>
        <v/>
      </c>
      <c r="S41" s="1622" t="str">
        <f>IF(A_InstallationData!K385="","",MATCH(A_InstallationData!K385,EUconst_ConnectionTypes,0)+247)</f>
        <v/>
      </c>
      <c r="T41" s="1622" t="str">
        <f>IF(A_InstallationData!M385="","",MATCH(A_InstallationData!M385,EUconst_ConnectionTransferTypes,0)+1302)</f>
        <v/>
      </c>
      <c r="U41" s="343"/>
      <c r="V41" s="343"/>
    </row>
    <row r="42" spans="1:22" s="364" customFormat="1" x14ac:dyDescent="0.25">
      <c r="A42" s="729"/>
      <c r="B42" s="302"/>
      <c r="C42" s="302"/>
      <c r="D42" s="302">
        <v>7</v>
      </c>
      <c r="E42" s="3033" t="str">
        <f t="shared" si="0"/>
        <v/>
      </c>
      <c r="F42" s="2844"/>
      <c r="G42" s="2844"/>
      <c r="H42" s="2865"/>
      <c r="I42" s="3008" t="str">
        <f t="shared" si="1"/>
        <v/>
      </c>
      <c r="J42" s="2814"/>
      <c r="K42" s="3009"/>
      <c r="L42" s="3033" t="str">
        <f t="shared" si="2"/>
        <v/>
      </c>
      <c r="M42" s="3034"/>
      <c r="N42" s="3035"/>
      <c r="O42" s="698"/>
      <c r="P42" s="729"/>
      <c r="Q42" s="729"/>
      <c r="R42" s="1622" t="str">
        <f>IF(A_InstallationData!I386="","",MATCH(A_InstallationData!I386,EUconst_ConnectedEntityTypes,0)+238)</f>
        <v/>
      </c>
      <c r="S42" s="1622" t="str">
        <f>IF(A_InstallationData!K386="","",MATCH(A_InstallationData!K386,EUconst_ConnectionTypes,0)+247)</f>
        <v/>
      </c>
      <c r="T42" s="1622" t="str">
        <f>IF(A_InstallationData!M386="","",MATCH(A_InstallationData!M386,EUconst_ConnectionTransferTypes,0)+1302)</f>
        <v/>
      </c>
      <c r="U42" s="343"/>
      <c r="V42" s="343"/>
    </row>
    <row r="43" spans="1:22" s="364" customFormat="1" x14ac:dyDescent="0.25">
      <c r="A43" s="729"/>
      <c r="B43" s="302"/>
      <c r="C43" s="302"/>
      <c r="D43" s="302">
        <v>8</v>
      </c>
      <c r="E43" s="3033" t="str">
        <f t="shared" si="0"/>
        <v/>
      </c>
      <c r="F43" s="2844"/>
      <c r="G43" s="2844"/>
      <c r="H43" s="2865"/>
      <c r="I43" s="3008" t="str">
        <f t="shared" si="1"/>
        <v/>
      </c>
      <c r="J43" s="2814"/>
      <c r="K43" s="3009"/>
      <c r="L43" s="3033" t="str">
        <f t="shared" si="2"/>
        <v/>
      </c>
      <c r="M43" s="3034"/>
      <c r="N43" s="3035"/>
      <c r="O43" s="698"/>
      <c r="P43" s="729"/>
      <c r="Q43" s="729"/>
      <c r="R43" s="1622" t="str">
        <f>IF(A_InstallationData!I387="","",MATCH(A_InstallationData!I387,EUconst_ConnectedEntityTypes,0)+238)</f>
        <v/>
      </c>
      <c r="S43" s="1622" t="str">
        <f>IF(A_InstallationData!K387="","",MATCH(A_InstallationData!K387,EUconst_ConnectionTypes,0)+247)</f>
        <v/>
      </c>
      <c r="T43" s="1622" t="str">
        <f>IF(A_InstallationData!M387="","",MATCH(A_InstallationData!M387,EUconst_ConnectionTransferTypes,0)+1302)</f>
        <v/>
      </c>
      <c r="U43" s="343"/>
      <c r="V43" s="343"/>
    </row>
    <row r="44" spans="1:22" s="364" customFormat="1" x14ac:dyDescent="0.25">
      <c r="A44" s="729"/>
      <c r="B44" s="302"/>
      <c r="C44" s="302"/>
      <c r="D44" s="302">
        <v>9</v>
      </c>
      <c r="E44" s="3033" t="str">
        <f t="shared" si="0"/>
        <v/>
      </c>
      <c r="F44" s="2844"/>
      <c r="G44" s="2844"/>
      <c r="H44" s="2865"/>
      <c r="I44" s="3008" t="str">
        <f t="shared" si="1"/>
        <v/>
      </c>
      <c r="J44" s="2814"/>
      <c r="K44" s="3009"/>
      <c r="L44" s="3033" t="str">
        <f t="shared" si="2"/>
        <v/>
      </c>
      <c r="M44" s="3034"/>
      <c r="N44" s="3035"/>
      <c r="O44" s="698"/>
      <c r="P44" s="729"/>
      <c r="Q44" s="729"/>
      <c r="R44" s="1622" t="str">
        <f>IF(A_InstallationData!I388="","",MATCH(A_InstallationData!I388,EUconst_ConnectedEntityTypes,0)+238)</f>
        <v/>
      </c>
      <c r="S44" s="1622" t="str">
        <f>IF(A_InstallationData!K388="","",MATCH(A_InstallationData!K388,EUconst_ConnectionTypes,0)+247)</f>
        <v/>
      </c>
      <c r="T44" s="1622" t="str">
        <f>IF(A_InstallationData!M388="","",MATCH(A_InstallationData!M388,EUconst_ConnectionTransferTypes,0)+1302)</f>
        <v/>
      </c>
      <c r="U44" s="343"/>
      <c r="V44" s="343"/>
    </row>
    <row r="45" spans="1:22" s="364" customFormat="1" ht="13" thickBot="1" x14ac:dyDescent="0.3">
      <c r="A45" s="729"/>
      <c r="B45" s="302"/>
      <c r="C45" s="302"/>
      <c r="D45" s="302">
        <v>10</v>
      </c>
      <c r="E45" s="3033" t="str">
        <f t="shared" si="0"/>
        <v/>
      </c>
      <c r="F45" s="2844"/>
      <c r="G45" s="2844"/>
      <c r="H45" s="2865"/>
      <c r="I45" s="3008" t="str">
        <f t="shared" si="1"/>
        <v/>
      </c>
      <c r="J45" s="2814"/>
      <c r="K45" s="3009"/>
      <c r="L45" s="3033" t="str">
        <f t="shared" si="2"/>
        <v/>
      </c>
      <c r="M45" s="3034"/>
      <c r="N45" s="3035"/>
      <c r="O45" s="698"/>
      <c r="P45" s="729"/>
      <c r="Q45" s="729"/>
      <c r="R45" s="1623" t="str">
        <f>IF(A_InstallationData!I389="","",MATCH(A_InstallationData!I389,EUconst_ConnectedEntityTypes,0)+238)</f>
        <v/>
      </c>
      <c r="S45" s="1623" t="str">
        <f>IF(A_InstallationData!K389="","",MATCH(A_InstallationData!K389,EUconst_ConnectionTypes,0)+247)</f>
        <v/>
      </c>
      <c r="T45" s="1623" t="str">
        <f>IF(A_InstallationData!M389="","",MATCH(A_InstallationData!M389,EUconst_ConnectionTransferTypes,0)+1302)</f>
        <v/>
      </c>
      <c r="U45" s="343"/>
      <c r="V45" s="343"/>
    </row>
    <row r="46" spans="1:22" x14ac:dyDescent="0.25">
      <c r="A46" s="694"/>
      <c r="B46" s="698"/>
      <c r="C46" s="698"/>
      <c r="D46" s="698"/>
      <c r="E46" s="698"/>
      <c r="F46" s="698"/>
      <c r="G46" s="698"/>
      <c r="H46" s="698"/>
      <c r="I46" s="698"/>
      <c r="J46" s="698"/>
      <c r="K46" s="698"/>
      <c r="L46" s="698"/>
      <c r="M46" s="698"/>
      <c r="N46" s="698"/>
      <c r="O46" s="698"/>
      <c r="P46" s="770"/>
      <c r="Q46" s="770"/>
      <c r="R46" s="770"/>
      <c r="S46" s="770"/>
      <c r="T46" s="770"/>
      <c r="U46" s="343"/>
      <c r="V46" s="343"/>
    </row>
    <row r="47" spans="1:22" ht="15.5" x14ac:dyDescent="0.35">
      <c r="A47" s="694"/>
      <c r="B47" s="284"/>
      <c r="C47" s="327" t="s">
        <v>900</v>
      </c>
      <c r="D47" s="356" t="str">
        <f>Translations!$B$70</f>
        <v>Условия за допустимост</v>
      </c>
      <c r="E47" s="356"/>
      <c r="F47" s="356"/>
      <c r="G47" s="356"/>
      <c r="H47" s="356"/>
      <c r="I47" s="356"/>
      <c r="J47" s="356"/>
      <c r="K47" s="356"/>
      <c r="L47" s="356"/>
      <c r="M47" s="356"/>
      <c r="N47" s="356"/>
      <c r="O47" s="698"/>
      <c r="P47" s="770"/>
      <c r="Q47" s="770"/>
      <c r="R47" s="770"/>
      <c r="S47" s="770"/>
      <c r="T47" s="770"/>
      <c r="U47" s="343"/>
      <c r="V47" s="343"/>
    </row>
    <row r="48" spans="1:22" ht="5.15" customHeight="1" x14ac:dyDescent="0.25">
      <c r="A48" s="694"/>
      <c r="B48" s="698"/>
      <c r="C48" s="698"/>
      <c r="D48" s="698"/>
      <c r="E48" s="698"/>
      <c r="F48" s="698"/>
      <c r="G48" s="698"/>
      <c r="H48" s="698"/>
      <c r="I48" s="698"/>
      <c r="J48" s="698"/>
      <c r="K48" s="698"/>
      <c r="L48" s="698"/>
      <c r="M48" s="698"/>
      <c r="N48" s="698"/>
      <c r="O48" s="698"/>
      <c r="P48" s="770"/>
      <c r="Q48" s="770"/>
      <c r="R48" s="770"/>
      <c r="S48" s="770"/>
      <c r="T48" s="770"/>
      <c r="U48" s="343"/>
      <c r="V48" s="343"/>
    </row>
    <row r="49" spans="1:22" s="364" customFormat="1" ht="15" customHeight="1" x14ac:dyDescent="0.3">
      <c r="A49" s="729"/>
      <c r="B49" s="302"/>
      <c r="C49" s="357">
        <v>1</v>
      </c>
      <c r="D49" s="2682" t="str">
        <f>Translations!$B$1358</f>
        <v>Допустимост за безплатно разпределяне на квоти (раздел A.IV.1):</v>
      </c>
      <c r="E49" s="2682"/>
      <c r="F49" s="2682"/>
      <c r="G49" s="2682"/>
      <c r="H49" s="2682"/>
      <c r="I49" s="2682"/>
      <c r="J49" s="2682"/>
      <c r="K49" s="2682"/>
      <c r="L49" s="2682"/>
      <c r="M49" s="2682"/>
      <c r="N49" s="2682"/>
      <c r="O49" s="698"/>
      <c r="P49" s="729"/>
      <c r="Q49" s="729"/>
      <c r="R49" s="729"/>
      <c r="S49" s="729"/>
      <c r="T49" s="729"/>
      <c r="U49" s="343"/>
      <c r="V49" s="343"/>
    </row>
    <row r="50" spans="1:22" s="364" customFormat="1" ht="5.15" customHeight="1" thickBot="1" x14ac:dyDescent="0.35">
      <c r="A50" s="729"/>
      <c r="B50" s="302"/>
      <c r="C50" s="357"/>
      <c r="D50" s="1624"/>
      <c r="E50" s="1624"/>
      <c r="F50" s="1624"/>
      <c r="G50" s="1624"/>
      <c r="H50" s="1624"/>
      <c r="I50" s="1624"/>
      <c r="J50" s="1624"/>
      <c r="K50" s="1624"/>
      <c r="L50" s="1624"/>
      <c r="M50" s="1624"/>
      <c r="N50" s="1624"/>
      <c r="O50" s="698"/>
      <c r="P50" s="729"/>
      <c r="Q50" s="729"/>
      <c r="R50" s="729"/>
      <c r="S50" s="729"/>
      <c r="T50" s="729"/>
      <c r="U50" s="343"/>
      <c r="V50" s="343"/>
    </row>
    <row r="51" spans="1:22" s="364" customFormat="1" ht="12.75" hidden="1" customHeight="1" thickBot="1" x14ac:dyDescent="0.3">
      <c r="A51" s="729" t="s">
        <v>312</v>
      </c>
      <c r="B51" s="284"/>
      <c r="C51" s="284"/>
      <c r="D51" s="284"/>
      <c r="E51" s="284"/>
      <c r="F51" s="284"/>
      <c r="G51" s="284"/>
      <c r="H51" s="284"/>
      <c r="I51" s="284"/>
      <c r="J51" s="284"/>
      <c r="K51" s="284"/>
      <c r="L51" s="284"/>
      <c r="M51" s="336"/>
      <c r="N51" s="336"/>
      <c r="O51" s="698"/>
      <c r="P51" s="729"/>
      <c r="Q51" s="729"/>
      <c r="R51" s="750" t="s">
        <v>2552</v>
      </c>
      <c r="S51" s="729"/>
      <c r="T51" s="729"/>
      <c r="U51" s="343"/>
      <c r="V51" s="343"/>
    </row>
    <row r="52" spans="1:22" s="364" customFormat="1" ht="13" thickBot="1" x14ac:dyDescent="0.3">
      <c r="A52" s="729"/>
      <c r="B52" s="302"/>
      <c r="C52" s="302"/>
      <c r="D52" s="302"/>
      <c r="E52" s="3033" t="str">
        <f>IF(CNTR_HasEntries_A_I=FALSE,"",IF(ISBLANK(A_InstallationData!E258),EUconst_ERR_Mandatory_ef,A_InstallationData!E258))</f>
        <v/>
      </c>
      <c r="F52" s="2844"/>
      <c r="G52" s="2844"/>
      <c r="H52" s="2844"/>
      <c r="I52" s="2844"/>
      <c r="J52" s="2844"/>
      <c r="K52" s="2844"/>
      <c r="L52" s="2844"/>
      <c r="M52" s="2865"/>
      <c r="N52" s="302"/>
      <c r="O52" s="698"/>
      <c r="P52" s="1169" t="b">
        <f>IF(AND(ISBLANK(E52),ISBLANK(E53)),"",OR(AND(E52=EUconst_ConfirmApplicationForAlloc,E53=EUconst_ConfirmAllowUseOfData),'B+C_SubInstallations'!$U$39))</f>
        <v>0</v>
      </c>
      <c r="Q52" s="729"/>
      <c r="R52" s="1086" t="str">
        <f>IF(E52="","",IF(E52=EUconst_ConfirmationNotEligible,1325,1326))</f>
        <v/>
      </c>
      <c r="S52" s="729"/>
      <c r="T52" s="729"/>
      <c r="U52" s="343"/>
      <c r="V52" s="343"/>
    </row>
    <row r="53" spans="1:22" s="364" customFormat="1" ht="13" thickBot="1" x14ac:dyDescent="0.3">
      <c r="A53" s="729"/>
      <c r="B53" s="302"/>
      <c r="C53" s="302"/>
      <c r="D53" s="302"/>
      <c r="E53" s="3033" t="str">
        <f>IF(ISBLANK(A_InstallationData!E263),EUconst_ERR_Mandatory_g,A_InstallationData!E263)</f>
        <v/>
      </c>
      <c r="F53" s="2844"/>
      <c r="G53" s="2844"/>
      <c r="H53" s="2844"/>
      <c r="I53" s="2844"/>
      <c r="J53" s="2844"/>
      <c r="K53" s="2844"/>
      <c r="L53" s="2844"/>
      <c r="M53" s="2865"/>
      <c r="N53" s="302"/>
      <c r="O53" s="698"/>
      <c r="P53" s="729" t="s">
        <v>31</v>
      </c>
      <c r="Q53" s="729"/>
      <c r="R53" s="1099" t="str">
        <f>IF(E53="","",1327)</f>
        <v/>
      </c>
      <c r="S53" s="729"/>
      <c r="T53" s="729"/>
      <c r="U53" s="343"/>
      <c r="V53" s="343"/>
    </row>
    <row r="54" spans="1:22" s="364" customFormat="1" ht="5.15" customHeight="1" thickBot="1" x14ac:dyDescent="0.3">
      <c r="A54" s="729"/>
      <c r="B54" s="284"/>
      <c r="C54" s="284"/>
      <c r="D54" s="284"/>
      <c r="E54" s="336"/>
      <c r="F54" s="336"/>
      <c r="G54" s="336"/>
      <c r="H54" s="336"/>
      <c r="I54" s="336"/>
      <c r="J54" s="336"/>
      <c r="K54" s="336"/>
      <c r="L54" s="336"/>
      <c r="M54" s="336"/>
      <c r="N54" s="336"/>
      <c r="O54" s="698"/>
      <c r="P54" s="770"/>
      <c r="Q54" s="770"/>
      <c r="R54" s="729"/>
      <c r="S54" s="729"/>
      <c r="T54" s="729"/>
      <c r="U54" s="343"/>
      <c r="V54" s="343"/>
    </row>
    <row r="55" spans="1:22" s="364" customFormat="1" ht="13.5" thickBot="1" x14ac:dyDescent="0.3">
      <c r="A55" s="729"/>
      <c r="B55" s="302"/>
      <c r="C55" s="302"/>
      <c r="D55" s="302"/>
      <c r="E55" s="2226" t="str">
        <f>Translations!$B$904</f>
        <v>Инсталацията отговаря на условията за безплатно разпределение на квоти съгласно член 10а от Директивата за СТЕ на ЕС:</v>
      </c>
      <c r="F55" s="2249"/>
      <c r="G55" s="2249"/>
      <c r="H55" s="2249"/>
      <c r="I55" s="2249"/>
      <c r="J55" s="2249"/>
      <c r="K55" s="2249"/>
      <c r="L55" s="2371"/>
      <c r="M55" s="384" t="b">
        <f>IF(COUNTA(E52:E53)=0,"",IF(CNTR_ConfirmationOK,TRUE,FALSE))</f>
        <v>0</v>
      </c>
      <c r="N55" s="302"/>
      <c r="O55" s="698"/>
      <c r="P55" s="729" t="s">
        <v>790</v>
      </c>
      <c r="Q55" s="729"/>
      <c r="R55" s="729"/>
      <c r="S55" s="729"/>
      <c r="T55" s="729"/>
      <c r="U55" s="343"/>
      <c r="V55" s="343"/>
    </row>
    <row r="56" spans="1:22" s="364" customFormat="1" ht="5.15" customHeight="1" x14ac:dyDescent="0.25">
      <c r="A56" s="729"/>
      <c r="B56" s="302"/>
      <c r="C56" s="302"/>
      <c r="D56" s="302"/>
      <c r="E56" s="302"/>
      <c r="F56" s="302"/>
      <c r="G56" s="302"/>
      <c r="H56" s="302"/>
      <c r="I56" s="302"/>
      <c r="J56" s="302"/>
      <c r="K56" s="302"/>
      <c r="L56" s="302"/>
      <c r="M56" s="302"/>
      <c r="N56" s="302"/>
      <c r="O56" s="698"/>
      <c r="P56" s="729"/>
      <c r="Q56" s="729"/>
      <c r="R56" s="729"/>
      <c r="S56" s="729"/>
      <c r="T56" s="729"/>
      <c r="U56" s="343"/>
      <c r="V56" s="343"/>
    </row>
    <row r="57" spans="1:22" s="364" customFormat="1" ht="15.5" x14ac:dyDescent="0.35">
      <c r="A57" s="729"/>
      <c r="B57" s="284"/>
      <c r="C57" s="327" t="s">
        <v>908</v>
      </c>
      <c r="D57" s="356" t="str">
        <f>Translations!$B$905</f>
        <v>Емисии и енергийни потоци</v>
      </c>
      <c r="E57" s="356"/>
      <c r="F57" s="356"/>
      <c r="G57" s="356"/>
      <c r="H57" s="356"/>
      <c r="I57" s="356"/>
      <c r="J57" s="356"/>
      <c r="K57" s="356"/>
      <c r="L57" s="356"/>
      <c r="M57" s="356"/>
      <c r="N57" s="356"/>
      <c r="O57" s="698"/>
      <c r="P57" s="770"/>
      <c r="Q57" s="770"/>
      <c r="R57" s="770"/>
      <c r="S57" s="770"/>
      <c r="T57" s="770"/>
      <c r="U57" s="343"/>
      <c r="V57" s="343"/>
    </row>
    <row r="58" spans="1:22" s="364" customFormat="1" x14ac:dyDescent="0.25">
      <c r="A58" s="729"/>
      <c r="B58" s="302"/>
      <c r="C58" s="302"/>
      <c r="D58" s="302"/>
      <c r="E58" s="302"/>
      <c r="F58" s="302"/>
      <c r="G58" s="302"/>
      <c r="H58" s="302"/>
      <c r="I58" s="302"/>
      <c r="J58" s="302"/>
      <c r="K58" s="302"/>
      <c r="L58" s="302"/>
      <c r="M58" s="302"/>
      <c r="N58" s="302"/>
      <c r="O58" s="698"/>
      <c r="P58" s="729"/>
      <c r="Q58" s="729"/>
      <c r="R58" s="729"/>
      <c r="S58" s="729"/>
      <c r="T58" s="729"/>
      <c r="U58" s="343"/>
      <c r="V58" s="343"/>
    </row>
    <row r="59" spans="1:22" s="364" customFormat="1" ht="14" x14ac:dyDescent="0.3">
      <c r="A59" s="729"/>
      <c r="B59" s="302"/>
      <c r="C59" s="357">
        <v>1</v>
      </c>
      <c r="D59" s="2323" t="str">
        <f>Translations!$B$906</f>
        <v>Данни в резултат от въвеждането в „Source streams“ („Пораждащи емисии потоци“) (работни листове B и C) или от Обобщението за емисиите (раздел D.I)</v>
      </c>
      <c r="E59" s="2249"/>
      <c r="F59" s="2249"/>
      <c r="G59" s="2249"/>
      <c r="H59" s="2249"/>
      <c r="I59" s="2249"/>
      <c r="J59" s="2249"/>
      <c r="K59" s="2249"/>
      <c r="L59" s="2249"/>
      <c r="M59" s="2249"/>
      <c r="N59" s="2249"/>
      <c r="O59" s="698"/>
      <c r="P59" s="729"/>
      <c r="Q59" s="729"/>
      <c r="R59" s="729"/>
      <c r="S59" s="729"/>
      <c r="T59" s="729"/>
      <c r="U59" s="343"/>
      <c r="V59" s="343"/>
    </row>
    <row r="60" spans="1:22" s="364" customFormat="1" ht="5.15" customHeight="1" x14ac:dyDescent="0.25">
      <c r="A60" s="729"/>
      <c r="B60" s="302"/>
      <c r="C60" s="302"/>
      <c r="D60" s="302"/>
      <c r="E60" s="302"/>
      <c r="F60" s="302"/>
      <c r="G60" s="302"/>
      <c r="H60" s="302"/>
      <c r="I60" s="302"/>
      <c r="J60" s="302"/>
      <c r="K60" s="302"/>
      <c r="L60" s="302"/>
      <c r="M60" s="302"/>
      <c r="N60" s="302"/>
      <c r="O60" s="698"/>
      <c r="P60" s="729"/>
      <c r="Q60" s="729"/>
      <c r="R60" s="729"/>
      <c r="S60" s="729"/>
      <c r="T60" s="729"/>
      <c r="U60" s="343"/>
      <c r="V60" s="343"/>
    </row>
    <row r="61" spans="1:22" s="364" customFormat="1" ht="13" customHeight="1" x14ac:dyDescent="0.25">
      <c r="A61" s="729"/>
      <c r="B61" s="302"/>
      <c r="C61" s="302"/>
      <c r="D61" s="302"/>
      <c r="E61" s="2671" t="str">
        <f>D_Emissions!E20</f>
        <v>Данни за цялата инсталация:</v>
      </c>
      <c r="F61" s="2671"/>
      <c r="G61" s="390" t="str">
        <f>D_Emissions!G20</f>
        <v>Единица мярка</v>
      </c>
      <c r="H61" s="391">
        <f t="shared" ref="H61:N61" si="3">H$2505</f>
        <v>2024</v>
      </c>
      <c r="I61" s="391">
        <f t="shared" si="3"/>
        <v>2025</v>
      </c>
      <c r="J61" s="391">
        <f t="shared" si="3"/>
        <v>2026</v>
      </c>
      <c r="K61" s="391">
        <f t="shared" si="3"/>
        <v>2027</v>
      </c>
      <c r="L61" s="391">
        <f t="shared" si="3"/>
        <v>2028</v>
      </c>
      <c r="M61" s="391">
        <f t="shared" si="3"/>
        <v>2029</v>
      </c>
      <c r="N61" s="391">
        <f t="shared" si="3"/>
        <v>2030</v>
      </c>
      <c r="O61" s="698"/>
      <c r="P61" s="729"/>
      <c r="Q61" s="729"/>
      <c r="R61" s="729"/>
      <c r="S61" s="729"/>
      <c r="T61" s="729"/>
      <c r="U61" s="343"/>
      <c r="V61" s="343"/>
    </row>
    <row r="62" spans="1:22" s="364" customFormat="1" ht="12.65" customHeight="1" x14ac:dyDescent="0.25">
      <c r="A62" s="729"/>
      <c r="B62" s="302"/>
      <c r="C62" s="302"/>
      <c r="D62" s="302"/>
      <c r="E62" s="2700" t="str">
        <f>D_Emissions!E21</f>
        <v>Общо емисии на CO2</v>
      </c>
      <c r="F62" s="2701"/>
      <c r="G62" s="981" t="str">
        <f>D_Emissions!G21</f>
        <v>t CO2 / година</v>
      </c>
      <c r="H62" s="1625" t="str">
        <f>D_Emissions!S21</f>
        <v/>
      </c>
      <c r="I62" s="1625" t="str">
        <f>D_Emissions!T21</f>
        <v/>
      </c>
      <c r="J62" s="1625" t="str">
        <f>D_Emissions!U21</f>
        <v/>
      </c>
      <c r="K62" s="1625" t="str">
        <f>D_Emissions!V21</f>
        <v/>
      </c>
      <c r="L62" s="1625" t="str">
        <f>D_Emissions!W21</f>
        <v/>
      </c>
      <c r="M62" s="1625" t="str">
        <f>D_Emissions!X21</f>
        <v/>
      </c>
      <c r="N62" s="1625" t="str">
        <f>D_Emissions!Y21</f>
        <v/>
      </c>
      <c r="O62" s="698"/>
      <c r="P62" s="729"/>
      <c r="Q62" s="729"/>
      <c r="R62" s="729"/>
      <c r="S62" s="729"/>
      <c r="T62" s="729"/>
      <c r="U62" s="343"/>
      <c r="V62" s="343"/>
    </row>
    <row r="63" spans="1:22" s="364" customFormat="1" ht="13" customHeight="1" x14ac:dyDescent="0.25">
      <c r="A63" s="729"/>
      <c r="B63" s="302"/>
      <c r="C63" s="302"/>
      <c r="D63" s="302"/>
      <c r="E63" s="2715" t="str">
        <f>D_Emissions!E22</f>
        <v>Емисии от биомаса с нулев емисионен фактор</v>
      </c>
      <c r="F63" s="2703"/>
      <c r="G63" s="396" t="str">
        <f>D_Emissions!G22</f>
        <v>t CO2 / година</v>
      </c>
      <c r="H63" s="397" t="str">
        <f>D_Emissions!S22</f>
        <v/>
      </c>
      <c r="I63" s="397" t="str">
        <f>D_Emissions!T22</f>
        <v/>
      </c>
      <c r="J63" s="397" t="str">
        <f>D_Emissions!U22</f>
        <v/>
      </c>
      <c r="K63" s="397" t="str">
        <f>D_Emissions!V22</f>
        <v/>
      </c>
      <c r="L63" s="397" t="str">
        <f>D_Emissions!W22</f>
        <v/>
      </c>
      <c r="M63" s="397" t="str">
        <f>D_Emissions!X22</f>
        <v/>
      </c>
      <c r="N63" s="397" t="str">
        <f>D_Emissions!Y22</f>
        <v/>
      </c>
      <c r="O63" s="698"/>
      <c r="P63" s="729"/>
      <c r="Q63" s="729"/>
      <c r="R63" s="729"/>
      <c r="S63" s="729"/>
      <c r="T63" s="729"/>
      <c r="U63" s="343"/>
      <c r="V63" s="343"/>
    </row>
    <row r="64" spans="1:22" s="364" customFormat="1" ht="12.65" customHeight="1" x14ac:dyDescent="0.25">
      <c r="A64" s="729"/>
      <c r="B64" s="302"/>
      <c r="C64" s="302"/>
      <c r="D64" s="302"/>
      <c r="E64" s="2702" t="str">
        <f>D_Emissions!E23</f>
        <v>Общо емисии на N2O</v>
      </c>
      <c r="F64" s="2703"/>
      <c r="G64" s="990" t="str">
        <f>D_Emissions!G23</f>
        <v>t CO2e/година</v>
      </c>
      <c r="H64" s="1626" t="str">
        <f>D_Emissions!S23</f>
        <v/>
      </c>
      <c r="I64" s="1626" t="str">
        <f>D_Emissions!T23</f>
        <v/>
      </c>
      <c r="J64" s="1626" t="str">
        <f>D_Emissions!U23</f>
        <v/>
      </c>
      <c r="K64" s="1626" t="str">
        <f>D_Emissions!V23</f>
        <v/>
      </c>
      <c r="L64" s="1626" t="str">
        <f>D_Emissions!W23</f>
        <v/>
      </c>
      <c r="M64" s="1626" t="str">
        <f>D_Emissions!X23</f>
        <v/>
      </c>
      <c r="N64" s="1626" t="str">
        <f>D_Emissions!Y23</f>
        <v/>
      </c>
      <c r="O64" s="698"/>
      <c r="P64" s="729"/>
      <c r="Q64" s="729"/>
      <c r="R64" s="729"/>
      <c r="S64" s="729"/>
      <c r="T64" s="729"/>
      <c r="U64" s="343"/>
      <c r="V64" s="343"/>
    </row>
    <row r="65" spans="1:22" s="364" customFormat="1" ht="12.65" customHeight="1" x14ac:dyDescent="0.25">
      <c r="A65" s="729"/>
      <c r="B65" s="302"/>
      <c r="C65" s="302"/>
      <c r="D65" s="302"/>
      <c r="E65" s="2704" t="str">
        <f>D_Emissions!E24</f>
        <v>Емисии на PFC</v>
      </c>
      <c r="F65" s="2705"/>
      <c r="G65" s="994" t="str">
        <f>D_Emissions!G24</f>
        <v>t CO2e/година</v>
      </c>
      <c r="H65" s="1627" t="str">
        <f>D_Emissions!S24</f>
        <v/>
      </c>
      <c r="I65" s="1627" t="str">
        <f>D_Emissions!T24</f>
        <v/>
      </c>
      <c r="J65" s="1627" t="str">
        <f>D_Emissions!U24</f>
        <v/>
      </c>
      <c r="K65" s="1627" t="str">
        <f>D_Emissions!V24</f>
        <v/>
      </c>
      <c r="L65" s="1627" t="str">
        <f>D_Emissions!W24</f>
        <v/>
      </c>
      <c r="M65" s="1627" t="str">
        <f>D_Emissions!X24</f>
        <v/>
      </c>
      <c r="N65" s="1627" t="str">
        <f>D_Emissions!Y24</f>
        <v/>
      </c>
      <c r="O65" s="698"/>
      <c r="P65" s="729"/>
      <c r="Q65" s="729"/>
      <c r="R65" s="729"/>
      <c r="S65" s="729"/>
      <c r="T65" s="729"/>
      <c r="U65" s="343"/>
      <c r="V65" s="343"/>
    </row>
    <row r="66" spans="1:22" s="364" customFormat="1" ht="12.65" customHeight="1" x14ac:dyDescent="0.25">
      <c r="A66" s="729"/>
      <c r="B66" s="302"/>
      <c r="C66" s="302"/>
      <c r="D66" s="302"/>
      <c r="E66" s="2687" t="str">
        <f>D_Emissions!E25</f>
        <v>Общо преки емисии</v>
      </c>
      <c r="F66" s="2258"/>
      <c r="G66" s="404" t="str">
        <f>D_Emissions!G25</f>
        <v>t CO2e/година</v>
      </c>
      <c r="H66" s="1628" t="str">
        <f>D_Emissions!S25</f>
        <v/>
      </c>
      <c r="I66" s="1628" t="str">
        <f>D_Emissions!T25</f>
        <v/>
      </c>
      <c r="J66" s="1628" t="str">
        <f>D_Emissions!U25</f>
        <v/>
      </c>
      <c r="K66" s="1629" t="str">
        <f>D_Emissions!V25</f>
        <v/>
      </c>
      <c r="L66" s="1629" t="str">
        <f>D_Emissions!W25</f>
        <v/>
      </c>
      <c r="M66" s="1629" t="str">
        <f>D_Emissions!X25</f>
        <v/>
      </c>
      <c r="N66" s="1629" t="str">
        <f>D_Emissions!Y25</f>
        <v/>
      </c>
      <c r="O66" s="698"/>
      <c r="P66" s="729"/>
      <c r="Q66" s="729"/>
      <c r="R66" s="729"/>
      <c r="S66" s="729"/>
      <c r="T66" s="729"/>
      <c r="U66" s="343"/>
      <c r="V66" s="343"/>
    </row>
    <row r="67" spans="1:22" s="364" customFormat="1" ht="13" customHeight="1" thickBot="1" x14ac:dyDescent="0.3">
      <c r="A67" s="729"/>
      <c r="B67" s="302"/>
      <c r="C67" s="302"/>
      <c r="D67" s="302"/>
      <c r="E67" s="2706" t="str">
        <f>D_Emissions!E26</f>
        <v>Прехвърлен CO2, изходящ поток</v>
      </c>
      <c r="F67" s="2707"/>
      <c r="G67" s="408" t="str">
        <f>D_Emissions!G26</f>
        <v>t CO2 / година</v>
      </c>
      <c r="H67" s="1630" t="str">
        <f>D_Emissions!S26</f>
        <v/>
      </c>
      <c r="I67" s="1630" t="str">
        <f>D_Emissions!T26</f>
        <v/>
      </c>
      <c r="J67" s="1630" t="str">
        <f>D_Emissions!U26</f>
        <v/>
      </c>
      <c r="K67" s="1631" t="str">
        <f>D_Emissions!V26</f>
        <v/>
      </c>
      <c r="L67" s="1631" t="str">
        <f>D_Emissions!W26</f>
        <v/>
      </c>
      <c r="M67" s="1631" t="str">
        <f>D_Emissions!X26</f>
        <v/>
      </c>
      <c r="N67" s="1631" t="str">
        <f>D_Emissions!Y26</f>
        <v/>
      </c>
      <c r="O67" s="698"/>
      <c r="P67" s="729"/>
      <c r="Q67" s="729"/>
      <c r="R67" s="729"/>
      <c r="S67" s="729"/>
      <c r="T67" s="729"/>
      <c r="U67" s="343"/>
      <c r="V67" s="343"/>
    </row>
    <row r="68" spans="1:22" s="364" customFormat="1" ht="13.5" customHeight="1" thickBot="1" x14ac:dyDescent="0.3">
      <c r="A68" s="729"/>
      <c r="B68" s="302"/>
      <c r="C68" s="302"/>
      <c r="D68" s="302"/>
      <c r="E68" s="2708" t="str">
        <f>D_Emissions!E27</f>
        <v>Общо преки емисии</v>
      </c>
      <c r="F68" s="2709"/>
      <c r="G68" s="413" t="str">
        <f>D_Emissions!G27</f>
        <v>t CO2e/година</v>
      </c>
      <c r="H68" s="414" t="str">
        <f>D_Emissions!S27</f>
        <v/>
      </c>
      <c r="I68" s="414" t="str">
        <f>D_Emissions!T27</f>
        <v/>
      </c>
      <c r="J68" s="414" t="str">
        <f>D_Emissions!U27</f>
        <v/>
      </c>
      <c r="K68" s="414" t="str">
        <f>D_Emissions!V27</f>
        <v/>
      </c>
      <c r="L68" s="414" t="str">
        <f>D_Emissions!W27</f>
        <v/>
      </c>
      <c r="M68" s="414" t="str">
        <f>D_Emissions!X27</f>
        <v/>
      </c>
      <c r="N68" s="415" t="str">
        <f>D_Emissions!Y27</f>
        <v/>
      </c>
      <c r="O68" s="698"/>
      <c r="P68" s="729"/>
      <c r="Q68" s="729"/>
      <c r="R68" s="729"/>
      <c r="S68" s="729"/>
      <c r="T68" s="729"/>
      <c r="U68" s="343"/>
      <c r="V68" s="343"/>
    </row>
    <row r="69" spans="1:22" s="364" customFormat="1" ht="13.5" customHeight="1" thickBot="1" x14ac:dyDescent="0.3">
      <c r="A69" s="729"/>
      <c r="B69" s="302"/>
      <c r="C69" s="302"/>
      <c r="D69" s="302"/>
      <c r="E69" s="2708" t="str">
        <f>E_EnergyFlows!E20</f>
        <v>Общо вложена енергия от горива (D.I)</v>
      </c>
      <c r="F69" s="2709"/>
      <c r="G69" s="413" t="str">
        <f>D_Emissions!G28</f>
        <v>TJ / година</v>
      </c>
      <c r="H69" s="416" t="str">
        <f>D_Emissions!S28</f>
        <v/>
      </c>
      <c r="I69" s="416" t="str">
        <f>D_Emissions!T28</f>
        <v/>
      </c>
      <c r="J69" s="416" t="str">
        <f>D_Emissions!U28</f>
        <v/>
      </c>
      <c r="K69" s="416" t="str">
        <f>D_Emissions!V28</f>
        <v/>
      </c>
      <c r="L69" s="416" t="str">
        <f>D_Emissions!W28</f>
        <v/>
      </c>
      <c r="M69" s="416" t="str">
        <f>D_Emissions!X28</f>
        <v/>
      </c>
      <c r="N69" s="417" t="str">
        <f>D_Emissions!Y28</f>
        <v/>
      </c>
      <c r="O69" s="698"/>
      <c r="P69" s="729"/>
      <c r="Q69" s="729"/>
      <c r="R69" s="729"/>
      <c r="S69" s="729"/>
      <c r="T69" s="729"/>
      <c r="U69" s="343"/>
      <c r="V69" s="343"/>
    </row>
    <row r="70" spans="1:22" s="364" customFormat="1" ht="12.75" customHeight="1" x14ac:dyDescent="0.25">
      <c r="A70" s="729"/>
      <c r="B70" s="302"/>
      <c r="C70" s="302"/>
      <c r="D70" s="302"/>
      <c r="E70" s="3068" t="str">
        <f>Translations!$B$1475</f>
        <v>Вложена електроенергия за производството на топлинна енергия</v>
      </c>
      <c r="F70" s="3068"/>
      <c r="G70" s="1632" t="str">
        <f>E_EnergyFlows!G21</f>
        <v>TJ / година</v>
      </c>
      <c r="H70" s="420" t="str">
        <f>IF(E_EnergyFlows!H21="","",E_EnergyFlows!H21)</f>
        <v/>
      </c>
      <c r="I70" s="420" t="str">
        <f>IF(E_EnergyFlows!I21="","",E_EnergyFlows!I21)</f>
        <v/>
      </c>
      <c r="J70" s="420" t="str">
        <f>IF(E_EnergyFlows!J21="","",E_EnergyFlows!J21)</f>
        <v/>
      </c>
      <c r="K70" s="420" t="str">
        <f>IF(E_EnergyFlows!K21="","",E_EnergyFlows!K21)</f>
        <v/>
      </c>
      <c r="L70" s="420" t="str">
        <f>IF(E_EnergyFlows!L21="","",E_EnergyFlows!L21)</f>
        <v/>
      </c>
      <c r="M70" s="420" t="str">
        <f>IF(E_EnergyFlows!M21="","",E_EnergyFlows!M21)</f>
        <v/>
      </c>
      <c r="N70" s="420" t="str">
        <f>IF(E_EnergyFlows!N21="","",E_EnergyFlows!N21)</f>
        <v/>
      </c>
      <c r="O70" s="336"/>
      <c r="P70" s="729"/>
      <c r="Q70" s="729"/>
      <c r="R70" s="729"/>
      <c r="S70" s="729"/>
      <c r="T70" s="729"/>
      <c r="U70" s="343"/>
      <c r="V70" s="343"/>
    </row>
    <row r="71" spans="1:22" s="364" customFormat="1" ht="12.75" customHeight="1" x14ac:dyDescent="0.25">
      <c r="A71" s="729"/>
      <c r="B71" s="302"/>
      <c r="C71" s="302"/>
      <c r="D71" s="302"/>
      <c r="E71" s="3069" t="str">
        <f>Translations!$B$1476</f>
        <v>Друга вложена енергия (например екзотермична топлина)</v>
      </c>
      <c r="F71" s="2258"/>
      <c r="G71" s="1633" t="str">
        <f>E_EnergyFlows!G22</f>
        <v>TJ / година</v>
      </c>
      <c r="H71" s="422" t="str">
        <f>IF(E_EnergyFlows!H22="","",E_EnergyFlows!H22)</f>
        <v/>
      </c>
      <c r="I71" s="422" t="str">
        <f>IF(E_EnergyFlows!I22="","",E_EnergyFlows!I22)</f>
        <v/>
      </c>
      <c r="J71" s="422" t="str">
        <f>IF(E_EnergyFlows!J22="","",E_EnergyFlows!J22)</f>
        <v/>
      </c>
      <c r="K71" s="422" t="str">
        <f>IF(E_EnergyFlows!K22="","",E_EnergyFlows!K22)</f>
        <v/>
      </c>
      <c r="L71" s="422" t="str">
        <f>IF(E_EnergyFlows!L22="","",E_EnergyFlows!L22)</f>
        <v/>
      </c>
      <c r="M71" s="422" t="str">
        <f>IF(E_EnergyFlows!M22="","",E_EnergyFlows!M22)</f>
        <v/>
      </c>
      <c r="N71" s="422" t="str">
        <f>IF(E_EnergyFlows!N22="","",E_EnergyFlows!N22)</f>
        <v/>
      </c>
      <c r="O71" s="336"/>
      <c r="P71" s="729"/>
      <c r="Q71" s="729"/>
      <c r="R71" s="729"/>
      <c r="S71" s="729"/>
      <c r="T71" s="729"/>
      <c r="U71" s="343"/>
      <c r="V71" s="343"/>
    </row>
    <row r="72" spans="1:22" s="364" customFormat="1" ht="12.75" customHeight="1" x14ac:dyDescent="0.25">
      <c r="A72" s="729"/>
      <c r="B72" s="302"/>
      <c r="C72" s="302"/>
      <c r="D72" s="302"/>
      <c r="E72" s="3069" t="str">
        <f>Translations!$B$1477</f>
        <v>Обща вложена енергия (сбор от посочените по-горе)</v>
      </c>
      <c r="F72" s="2258"/>
      <c r="G72" s="1633" t="str">
        <f>E_EnergyFlows!G23</f>
        <v>TJ / година</v>
      </c>
      <c r="H72" s="423" t="str">
        <f>IF(E_EnergyFlows!H23="","",E_EnergyFlows!H23)</f>
        <v/>
      </c>
      <c r="I72" s="423" t="str">
        <f>IF(E_EnergyFlows!I23="","",E_EnergyFlows!I23)</f>
        <v/>
      </c>
      <c r="J72" s="423" t="str">
        <f>IF(E_EnergyFlows!J23="","",E_EnergyFlows!J23)</f>
        <v/>
      </c>
      <c r="K72" s="423" t="str">
        <f>IF(E_EnergyFlows!K23="","",E_EnergyFlows!K23)</f>
        <v/>
      </c>
      <c r="L72" s="423" t="str">
        <f>IF(E_EnergyFlows!L23="","",E_EnergyFlows!L23)</f>
        <v/>
      </c>
      <c r="M72" s="423" t="str">
        <f>IF(E_EnergyFlows!M23="","",E_EnergyFlows!M23)</f>
        <v/>
      </c>
      <c r="N72" s="423" t="str">
        <f>IF(E_EnergyFlows!N23="","",E_EnergyFlows!N23)</f>
        <v/>
      </c>
      <c r="O72" s="336"/>
      <c r="P72" s="729"/>
      <c r="Q72" s="729"/>
      <c r="R72" s="729"/>
      <c r="S72" s="729"/>
      <c r="T72" s="729"/>
      <c r="U72" s="343"/>
      <c r="V72" s="343"/>
    </row>
    <row r="73" spans="1:22" s="364" customFormat="1" ht="5.15" customHeight="1" x14ac:dyDescent="0.25">
      <c r="A73" s="729"/>
      <c r="B73" s="302"/>
      <c r="C73" s="302"/>
      <c r="D73" s="302"/>
      <c r="E73" s="302"/>
      <c r="F73" s="302"/>
      <c r="G73" s="302"/>
      <c r="H73" s="302"/>
      <c r="I73" s="302"/>
      <c r="J73" s="302"/>
      <c r="K73" s="302"/>
      <c r="L73" s="302"/>
      <c r="M73" s="302"/>
      <c r="N73" s="302"/>
      <c r="O73" s="336"/>
      <c r="P73" s="729"/>
      <c r="Q73" s="729"/>
      <c r="R73" s="729"/>
      <c r="S73" s="729"/>
      <c r="T73" s="729"/>
      <c r="U73" s="343"/>
      <c r="V73" s="343"/>
    </row>
    <row r="74" spans="1:22" s="364" customFormat="1" ht="12.75" customHeight="1" x14ac:dyDescent="0.25">
      <c r="A74" s="729"/>
      <c r="B74" s="302"/>
      <c r="C74" s="302"/>
      <c r="D74" s="302"/>
      <c r="E74" s="3069" t="str">
        <f>Translations!$B$1577</f>
        <v>Дял на биомасата с нулев емисионен фактор</v>
      </c>
      <c r="F74" s="2258"/>
      <c r="G74" s="424" t="s">
        <v>1052</v>
      </c>
      <c r="H74" s="267" t="str">
        <f>IF(H68="","",IF(H68=0,IF(SUM(H63)=0,0,1),SUM(H63)/SUM(H63,H68)))</f>
        <v/>
      </c>
      <c r="I74" s="267" t="str">
        <f t="shared" ref="I74:N74" si="4">IF(I68="","",IF(I68=0,IF(SUM(I63)=0,0,1),SUM(I63)/SUM(I63,I68)))</f>
        <v/>
      </c>
      <c r="J74" s="267" t="str">
        <f t="shared" si="4"/>
        <v/>
      </c>
      <c r="K74" s="267" t="str">
        <f t="shared" si="4"/>
        <v/>
      </c>
      <c r="L74" s="267" t="str">
        <f t="shared" si="4"/>
        <v/>
      </c>
      <c r="M74" s="267" t="str">
        <f t="shared" si="4"/>
        <v/>
      </c>
      <c r="N74" s="267" t="str">
        <f t="shared" si="4"/>
        <v/>
      </c>
      <c r="O74" s="336"/>
      <c r="P74" s="729"/>
      <c r="Q74" s="729"/>
      <c r="R74" s="729"/>
      <c r="S74" s="729"/>
      <c r="T74" s="729"/>
      <c r="U74" s="343"/>
      <c r="V74" s="343"/>
    </row>
    <row r="75" spans="1:22" s="364" customFormat="1" ht="15" customHeight="1" x14ac:dyDescent="0.25">
      <c r="A75" s="729"/>
      <c r="B75" s="302"/>
      <c r="C75" s="302"/>
      <c r="D75" s="302"/>
      <c r="E75" s="302"/>
      <c r="F75" s="302"/>
      <c r="G75" s="302"/>
      <c r="H75" s="302"/>
      <c r="I75" s="302"/>
      <c r="J75" s="302"/>
      <c r="K75" s="302"/>
      <c r="L75" s="302"/>
      <c r="M75" s="302"/>
      <c r="N75" s="302"/>
      <c r="O75" s="698"/>
      <c r="P75" s="729"/>
      <c r="Q75" s="729"/>
      <c r="R75" s="729"/>
      <c r="S75" s="729"/>
      <c r="T75" s="729"/>
      <c r="U75" s="343"/>
      <c r="V75" s="343"/>
    </row>
    <row r="76" spans="1:22" s="364" customFormat="1" ht="14" x14ac:dyDescent="0.3">
      <c r="A76" s="729"/>
      <c r="B76" s="302"/>
      <c r="C76" s="357">
        <v>2</v>
      </c>
      <c r="D76" s="2323" t="str">
        <f>Translations!$B$907</f>
        <v>Разпределяне на емисиите по подинсталации (раздел D.II)</v>
      </c>
      <c r="E76" s="2249"/>
      <c r="F76" s="2249"/>
      <c r="G76" s="2249"/>
      <c r="H76" s="2249"/>
      <c r="I76" s="2249"/>
      <c r="J76" s="2249"/>
      <c r="K76" s="2249"/>
      <c r="L76" s="2249"/>
      <c r="M76" s="2249"/>
      <c r="N76" s="2249"/>
      <c r="O76" s="698"/>
      <c r="P76" s="729"/>
      <c r="Q76" s="729"/>
      <c r="R76" s="729"/>
      <c r="S76" s="729"/>
      <c r="T76" s="729"/>
      <c r="U76" s="343"/>
      <c r="V76" s="343"/>
    </row>
    <row r="77" spans="1:22" s="364" customFormat="1" ht="5.15" customHeight="1" x14ac:dyDescent="0.25">
      <c r="A77" s="729"/>
      <c r="B77" s="284"/>
      <c r="C77" s="284"/>
      <c r="D77" s="284"/>
      <c r="E77" s="284"/>
      <c r="F77" s="284"/>
      <c r="G77" s="284"/>
      <c r="H77" s="284"/>
      <c r="I77" s="284"/>
      <c r="J77" s="284"/>
      <c r="K77" s="284"/>
      <c r="L77" s="284"/>
      <c r="M77" s="336"/>
      <c r="N77" s="336"/>
      <c r="O77" s="698"/>
      <c r="P77" s="770"/>
      <c r="Q77" s="770"/>
      <c r="R77" s="729"/>
      <c r="S77" s="729"/>
      <c r="T77" s="729"/>
      <c r="U77" s="343"/>
      <c r="V77" s="343"/>
    </row>
    <row r="78" spans="1:22" x14ac:dyDescent="0.25">
      <c r="A78" s="694"/>
      <c r="B78" s="284"/>
      <c r="C78" s="284"/>
      <c r="D78" s="302"/>
      <c r="E78" s="2358" t="str">
        <f>Translations!$B$908</f>
        <v>Данните се вземат автоматично от съответните светлосини полета под всяка подинсталация в раздели F и G.</v>
      </c>
      <c r="F78" s="2249"/>
      <c r="G78" s="2249"/>
      <c r="H78" s="2249"/>
      <c r="I78" s="2249"/>
      <c r="J78" s="2249"/>
      <c r="K78" s="2249"/>
      <c r="L78" s="2249"/>
      <c r="M78" s="2249"/>
      <c r="N78" s="2249"/>
      <c r="O78" s="698"/>
      <c r="P78" s="770"/>
      <c r="Q78" s="694"/>
      <c r="R78" s="694"/>
      <c r="S78" s="694"/>
      <c r="T78" s="694"/>
      <c r="U78" s="343"/>
      <c r="V78" s="343"/>
    </row>
    <row r="79" spans="1:22" x14ac:dyDescent="0.25">
      <c r="A79" s="694"/>
      <c r="B79" s="284"/>
      <c r="C79" s="284"/>
      <c r="D79" s="302"/>
      <c r="E79" s="2358" t="str">
        <f>Translations!$B$909</f>
        <v>Емисиите, които могат да се зададат, се определят, както следва:</v>
      </c>
      <c r="F79" s="2249"/>
      <c r="G79" s="2249"/>
      <c r="H79" s="2249"/>
      <c r="I79" s="2249"/>
      <c r="J79" s="2249"/>
      <c r="K79" s="2249"/>
      <c r="L79" s="2249"/>
      <c r="M79" s="2249"/>
      <c r="N79" s="2249"/>
      <c r="O79" s="698"/>
      <c r="P79" s="770"/>
      <c r="Q79" s="694"/>
      <c r="R79" s="694"/>
      <c r="S79" s="694"/>
      <c r="T79" s="694"/>
      <c r="U79" s="343"/>
      <c r="V79" s="343"/>
    </row>
    <row r="80" spans="1:22" ht="25.5" customHeight="1" x14ac:dyDescent="0.25">
      <c r="A80" s="694"/>
      <c r="B80" s="284"/>
      <c r="C80" s="284"/>
      <c r="D80" s="302"/>
      <c r="E80" s="426" t="s">
        <v>1501</v>
      </c>
      <c r="F80" s="2293" t="str">
        <f>Translations!$B$628</f>
        <v>За преките емисии се извършва мониторинг в съответствие с плана за мониторинг, одобрен съгласно Регламента относно мониторинга и докладването (РМД), т.е. като се отчитат емисиите, получени по методики, основани на изчисления (като се използват пораждащите емисии потоци), по базиращи се на измервания методики (БИМ), както и по подходи без подреждане („fall-backs“).</v>
      </c>
      <c r="G80" s="2293"/>
      <c r="H80" s="2293"/>
      <c r="I80" s="2293"/>
      <c r="J80" s="2293"/>
      <c r="K80" s="2293"/>
      <c r="L80" s="2293"/>
      <c r="M80" s="2293"/>
      <c r="N80" s="2293"/>
      <c r="O80" s="698"/>
      <c r="P80" s="770"/>
      <c r="Q80" s="694"/>
      <c r="R80" s="694"/>
      <c r="S80" s="694"/>
      <c r="T80" s="694"/>
      <c r="U80" s="343"/>
      <c r="V80" s="343"/>
    </row>
    <row r="81" spans="1:22" ht="12.75" customHeight="1" x14ac:dyDescent="0.25">
      <c r="A81" s="694"/>
      <c r="B81" s="284"/>
      <c r="C81" s="284"/>
      <c r="D81" s="302"/>
      <c r="E81" s="1634" t="s">
        <v>1504</v>
      </c>
      <c r="F81" s="2293" t="str">
        <f>Translations!$B$910</f>
        <v>Емисии, свързани с други вътрешни пораждащи емисии потоци.</v>
      </c>
      <c r="G81" s="2293"/>
      <c r="H81" s="2293"/>
      <c r="I81" s="2293"/>
      <c r="J81" s="2293"/>
      <c r="K81" s="2293"/>
      <c r="L81" s="2293"/>
      <c r="M81" s="2293"/>
      <c r="N81" s="2293"/>
      <c r="O81" s="698"/>
      <c r="P81" s="770"/>
      <c r="Q81" s="694"/>
      <c r="R81" s="694"/>
      <c r="S81" s="694"/>
      <c r="T81" s="694"/>
      <c r="U81" s="343"/>
      <c r="V81" s="343"/>
    </row>
    <row r="82" spans="1:22" ht="12.75" customHeight="1" x14ac:dyDescent="0.25">
      <c r="A82" s="694"/>
      <c r="B82" s="284"/>
      <c r="C82" s="284"/>
      <c r="D82" s="302"/>
      <c r="E82" s="1634" t="s">
        <v>1504</v>
      </c>
      <c r="F82" s="2293" t="str">
        <f>Translations!$B$911</f>
        <v>Количество на парникови газове, получени и подадени като суровини.</v>
      </c>
      <c r="G82" s="2293"/>
      <c r="H82" s="2293"/>
      <c r="I82" s="2293"/>
      <c r="J82" s="2293"/>
      <c r="K82" s="2293"/>
      <c r="L82" s="2293"/>
      <c r="M82" s="2293"/>
      <c r="N82" s="2293"/>
      <c r="O82" s="698"/>
      <c r="P82" s="770"/>
      <c r="Q82" s="694"/>
      <c r="R82" s="694"/>
      <c r="S82" s="694"/>
      <c r="T82" s="694"/>
      <c r="U82" s="343"/>
      <c r="V82" s="343"/>
    </row>
    <row r="83" spans="1:22" ht="12.75" customHeight="1" x14ac:dyDescent="0.25">
      <c r="A83" s="694"/>
      <c r="B83" s="284"/>
      <c r="C83" s="284"/>
      <c r="D83" s="302"/>
      <c r="E83" s="1634" t="s">
        <v>1502</v>
      </c>
      <c r="F83" s="2293" t="str">
        <f>Translations!$B$912</f>
        <v>Емисии, свързани с получена топлинна енергия съгласно раздел 10.1.2 и 10.1.3 от приложение VII към ПБР.</v>
      </c>
      <c r="G83" s="2293"/>
      <c r="H83" s="2293"/>
      <c r="I83" s="2293"/>
      <c r="J83" s="2293"/>
      <c r="K83" s="2293"/>
      <c r="L83" s="2293"/>
      <c r="M83" s="2293"/>
      <c r="N83" s="2293"/>
      <c r="O83" s="698"/>
      <c r="P83" s="770"/>
      <c r="Q83" s="694"/>
      <c r="R83" s="694"/>
      <c r="S83" s="694"/>
      <c r="T83" s="694"/>
      <c r="U83" s="343"/>
      <c r="V83" s="343"/>
    </row>
    <row r="84" spans="1:22" ht="12.75" customHeight="1" x14ac:dyDescent="0.25">
      <c r="A84" s="694"/>
      <c r="B84" s="284"/>
      <c r="C84" s="284"/>
      <c r="D84" s="302"/>
      <c r="E84" s="1634" t="s">
        <v>1052</v>
      </c>
      <c r="F84" s="2293" t="str">
        <f>Translations!$B$913</f>
        <v>Емисии, свързани с подадена топлинна енергия съгласно раздел 10.1.2 и 10.1.3 от приложение VII към ПБР.</v>
      </c>
      <c r="G84" s="2293"/>
      <c r="H84" s="2293"/>
      <c r="I84" s="2293"/>
      <c r="J84" s="2293"/>
      <c r="K84" s="2293"/>
      <c r="L84" s="2293"/>
      <c r="M84" s="2293"/>
      <c r="N84" s="2293"/>
      <c r="O84" s="698"/>
      <c r="P84" s="770"/>
      <c r="Q84" s="694"/>
      <c r="R84" s="694"/>
      <c r="S84" s="694"/>
      <c r="T84" s="694"/>
      <c r="U84" s="343"/>
      <c r="V84" s="343"/>
    </row>
    <row r="85" spans="1:22" x14ac:dyDescent="0.25">
      <c r="A85" s="694"/>
      <c r="B85" s="284"/>
      <c r="C85" s="284"/>
      <c r="D85" s="302"/>
      <c r="E85" s="1634" t="s">
        <v>1502</v>
      </c>
      <c r="F85" s="2293" t="str">
        <f>Translations!$B$914</f>
        <v>Емисии, свързани с получени отпадни газове съгласно раздел 10.1.5 от приложение VII към ПБР.</v>
      </c>
      <c r="G85" s="2293"/>
      <c r="H85" s="2293"/>
      <c r="I85" s="2293"/>
      <c r="J85" s="2293"/>
      <c r="K85" s="2293"/>
      <c r="L85" s="2293"/>
      <c r="M85" s="2293"/>
      <c r="N85" s="2293"/>
      <c r="O85" s="698"/>
      <c r="P85" s="770"/>
      <c r="Q85" s="694"/>
      <c r="R85" s="694"/>
      <c r="S85" s="694"/>
      <c r="T85" s="694"/>
      <c r="U85" s="343"/>
      <c r="V85" s="343"/>
    </row>
    <row r="86" spans="1:22" ht="25.5" customHeight="1" x14ac:dyDescent="0.25">
      <c r="A86" s="694"/>
      <c r="B86" s="284"/>
      <c r="C86" s="284"/>
      <c r="D86" s="302"/>
      <c r="E86" s="1634" t="s">
        <v>1052</v>
      </c>
      <c r="F86" s="2293" t="str">
        <f>Translations!$B$915</f>
        <v>Емисии, свързани с подадени отпадни газове съгласно раздел 10.1.5 от приложение VII към ПБР, които са изчислени, като е приспаднато енергийното съдържание, умножено по емисионния фактор за природен гази възприетата стойност на корекционния коефициент от 0,667.</v>
      </c>
      <c r="G86" s="2293"/>
      <c r="H86" s="2293"/>
      <c r="I86" s="2293"/>
      <c r="J86" s="2293"/>
      <c r="K86" s="2293"/>
      <c r="L86" s="2293"/>
      <c r="M86" s="2293"/>
      <c r="N86" s="2293"/>
      <c r="O86" s="698"/>
      <c r="P86" s="770"/>
      <c r="Q86" s="694"/>
      <c r="R86" s="694"/>
      <c r="S86" s="694"/>
      <c r="T86" s="694"/>
      <c r="U86" s="343"/>
      <c r="V86" s="343"/>
    </row>
    <row r="87" spans="1:22" hidden="1" x14ac:dyDescent="0.25">
      <c r="A87" s="729" t="s">
        <v>312</v>
      </c>
      <c r="B87" s="284"/>
      <c r="C87" s="284"/>
      <c r="D87" s="302"/>
      <c r="E87" s="1634" t="s">
        <v>1502</v>
      </c>
      <c r="F87" s="2293" t="str">
        <f>Translations!$B$916</f>
        <v>Емисии, свързани с приложимата консумация на електроенергия за подинсталации, за които е приложима заменяемостта на горивата и електроенергията.</v>
      </c>
      <c r="G87" s="2293"/>
      <c r="H87" s="2293"/>
      <c r="I87" s="2293"/>
      <c r="J87" s="2293"/>
      <c r="K87" s="2293"/>
      <c r="L87" s="2293"/>
      <c r="M87" s="2293"/>
      <c r="N87" s="2293"/>
      <c r="O87" s="698"/>
      <c r="P87" s="770"/>
      <c r="Q87" s="694"/>
      <c r="R87" s="694"/>
      <c r="S87" s="694"/>
      <c r="T87" s="694"/>
      <c r="U87" s="343"/>
      <c r="V87" s="343"/>
    </row>
    <row r="88" spans="1:22" x14ac:dyDescent="0.25">
      <c r="A88" s="694"/>
      <c r="B88" s="284"/>
      <c r="C88" s="284"/>
      <c r="D88" s="302"/>
      <c r="E88" s="1634" t="s">
        <v>1052</v>
      </c>
      <c r="F88" s="2293" t="str">
        <f>Translations!$B$917</f>
        <v>Емисии, свързани с производството на електроенергия, различно от производството чрез измерима топлинна енергия.</v>
      </c>
      <c r="G88" s="2293"/>
      <c r="H88" s="2293"/>
      <c r="I88" s="2293"/>
      <c r="J88" s="2293"/>
      <c r="K88" s="2293"/>
      <c r="L88" s="2293"/>
      <c r="M88" s="2293"/>
      <c r="N88" s="2293"/>
      <c r="O88" s="698"/>
      <c r="P88" s="770"/>
      <c r="Q88" s="694"/>
      <c r="R88" s="694"/>
      <c r="S88" s="694"/>
      <c r="T88" s="694"/>
      <c r="U88" s="343"/>
      <c r="V88" s="343"/>
    </row>
    <row r="89" spans="1:22" ht="25.5" customHeight="1" x14ac:dyDescent="0.25">
      <c r="A89" s="694"/>
      <c r="B89" s="284"/>
      <c r="C89" s="284"/>
      <c r="D89" s="302"/>
      <c r="E89" s="2459" t="str">
        <f>Translations!$B$1359</f>
        <v>Може да има случаи, когато емисиите, които могат да бъдат зададени, не могат да се изчислят за проектното предварително разпределение, тъй като за изчисленията са необходими стойностите на топлинния или горивния показател. В такъв случай не се показват стойности за емисиите, които могат да се зададат, което е указано чрез съобщението „не е приложимо (Н.П.)“. Тези случаи са:</v>
      </c>
      <c r="F89" s="2460"/>
      <c r="G89" s="2460"/>
      <c r="H89" s="2460"/>
      <c r="I89" s="2460"/>
      <c r="J89" s="2460"/>
      <c r="K89" s="2460"/>
      <c r="L89" s="2460"/>
      <c r="M89" s="2460"/>
      <c r="N89" s="2460"/>
      <c r="O89" s="698"/>
      <c r="P89" s="770"/>
      <c r="Q89" s="694"/>
      <c r="R89" s="694"/>
      <c r="S89" s="694"/>
      <c r="T89" s="694"/>
      <c r="U89" s="343"/>
      <c r="V89" s="343"/>
    </row>
    <row r="90" spans="1:22" ht="25.5" customHeight="1" x14ac:dyDescent="0.25">
      <c r="A90" s="694"/>
      <c r="B90" s="284"/>
      <c r="C90" s="284"/>
      <c r="D90" s="302"/>
      <c r="E90" s="1634" t="s">
        <v>1052</v>
      </c>
      <c r="F90" s="2293" t="str">
        <f>Translations!$B$918</f>
        <v>емисионният фактор за получената или подадената топлинна енергия не е приложим или не е известен, т.е. не е въведена такава стойност. В такива случаи за изчислението на емисиите, които могат да се зададат, ще се използват възприетите стойности въз основа на топлинния показател, след като станат известни.</v>
      </c>
      <c r="G90" s="2293"/>
      <c r="H90" s="2293"/>
      <c r="I90" s="2293"/>
      <c r="J90" s="2293"/>
      <c r="K90" s="2293"/>
      <c r="L90" s="2293"/>
      <c r="M90" s="2293"/>
      <c r="N90" s="2293"/>
      <c r="O90" s="698"/>
      <c r="P90" s="770"/>
      <c r="Q90" s="694"/>
      <c r="R90" s="694"/>
      <c r="S90" s="694"/>
      <c r="T90" s="694"/>
      <c r="U90" s="343"/>
      <c r="V90" s="343"/>
    </row>
    <row r="91" spans="1:22" x14ac:dyDescent="0.25">
      <c r="A91" s="694"/>
      <c r="B91" s="284"/>
      <c r="C91" s="284"/>
      <c r="D91" s="302"/>
      <c r="E91" s="1634" t="s">
        <v>1052</v>
      </c>
      <c r="F91" s="2293" t="str">
        <f>Translations!$B$919</f>
        <v>се получават отпадни газове. В този случай ще се използва горивният показател, щом стане известен.</v>
      </c>
      <c r="G91" s="2293"/>
      <c r="H91" s="2293"/>
      <c r="I91" s="2293"/>
      <c r="J91" s="2293"/>
      <c r="K91" s="2293"/>
      <c r="L91" s="2293"/>
      <c r="M91" s="2293"/>
      <c r="N91" s="2293"/>
      <c r="O91" s="698"/>
      <c r="P91" s="770"/>
      <c r="Q91" s="694"/>
      <c r="R91" s="694"/>
      <c r="S91" s="694"/>
      <c r="T91" s="694"/>
      <c r="U91" s="343"/>
      <c r="V91" s="343"/>
    </row>
    <row r="92" spans="1:22" ht="25.5" customHeight="1" x14ac:dyDescent="0.25">
      <c r="A92" s="694"/>
      <c r="B92" s="284"/>
      <c r="C92" s="284"/>
      <c r="D92" s="302"/>
      <c r="E92" s="2358" t="str">
        <f>Translations!$B$920</f>
        <v>Стойността на „други емисии“ се показва с цел извършване на проверка. В нея се включват емисиите, свързани с производството на електроенергия, изгаряне във факел, различно от необходимото за безопасността изгаряне във факел, и други емисии, които не водят до безплатни квоти.</v>
      </c>
      <c r="F92" s="2249"/>
      <c r="G92" s="2249"/>
      <c r="H92" s="2249"/>
      <c r="I92" s="2249"/>
      <c r="J92" s="2249"/>
      <c r="K92" s="2249"/>
      <c r="L92" s="2249"/>
      <c r="M92" s="2249"/>
      <c r="N92" s="2249"/>
      <c r="O92" s="698"/>
      <c r="P92" s="770"/>
      <c r="Q92" s="694"/>
      <c r="R92" s="694"/>
      <c r="S92" s="694"/>
      <c r="T92" s="694"/>
      <c r="U92" s="343"/>
      <c r="V92" s="343"/>
    </row>
    <row r="93" spans="1:22" ht="12.75" customHeight="1" x14ac:dyDescent="0.25">
      <c r="A93" s="694"/>
      <c r="B93" s="284"/>
      <c r="C93" s="284"/>
      <c r="D93" s="302"/>
      <c r="E93" s="2358" t="str">
        <f>Translations!$B$921</f>
        <v>Ако при поне една подинсталация се показва „не е приложимо“ (Н.П.)“ за която и да било година, няма да се показват и стойностите за „други емисии“, за да се избегне объркване.</v>
      </c>
      <c r="F93" s="2249"/>
      <c r="G93" s="2249"/>
      <c r="H93" s="2249"/>
      <c r="I93" s="2249"/>
      <c r="J93" s="2249"/>
      <c r="K93" s="2249"/>
      <c r="L93" s="2249"/>
      <c r="M93" s="2249"/>
      <c r="N93" s="2249"/>
      <c r="O93" s="698"/>
      <c r="P93" s="770"/>
      <c r="Q93" s="694"/>
      <c r="R93" s="694"/>
      <c r="S93" s="694"/>
      <c r="T93" s="694"/>
      <c r="U93" s="343"/>
      <c r="V93" s="343"/>
    </row>
    <row r="94" spans="1:22" ht="13.5" customHeight="1" thickBot="1" x14ac:dyDescent="0.3">
      <c r="A94" s="694"/>
      <c r="B94" s="284"/>
      <c r="C94" s="284"/>
      <c r="D94" s="300"/>
      <c r="E94" s="2671" t="str">
        <f>Translations!$B$922</f>
        <v>Данни на равнище подинсталация:</v>
      </c>
      <c r="F94" s="2671"/>
      <c r="G94" s="390" t="str">
        <f>EUconst_Unit</f>
        <v>Единица мярка</v>
      </c>
      <c r="H94" s="391">
        <f t="shared" ref="H94:N94" si="5">H$2505</f>
        <v>2024</v>
      </c>
      <c r="I94" s="391">
        <f t="shared" si="5"/>
        <v>2025</v>
      </c>
      <c r="J94" s="391">
        <f t="shared" si="5"/>
        <v>2026</v>
      </c>
      <c r="K94" s="391">
        <f t="shared" si="5"/>
        <v>2027</v>
      </c>
      <c r="L94" s="391">
        <f t="shared" si="5"/>
        <v>2028</v>
      </c>
      <c r="M94" s="391">
        <f t="shared" si="5"/>
        <v>2029</v>
      </c>
      <c r="N94" s="391">
        <f t="shared" si="5"/>
        <v>2030</v>
      </c>
      <c r="O94" s="698"/>
      <c r="P94" s="694"/>
      <c r="Q94" s="694"/>
      <c r="R94" s="694"/>
      <c r="S94" s="729" t="s">
        <v>1445</v>
      </c>
      <c r="T94" s="694"/>
      <c r="U94" s="343"/>
      <c r="V94" s="343"/>
    </row>
    <row r="95" spans="1:22" ht="12.65" customHeight="1" x14ac:dyDescent="0.25">
      <c r="A95" s="694"/>
      <c r="B95" s="698"/>
      <c r="C95" s="698"/>
      <c r="D95" s="360"/>
      <c r="E95" s="3045" t="str">
        <f t="shared" ref="E95:E104" si="6">IF(INDEX(CNTR_SubInstListIsProdBM,Q95),INDEX(CNTR_SubInstListNames,Q95),"")</f>
        <v/>
      </c>
      <c r="F95" s="3045"/>
      <c r="G95" s="1093" t="str">
        <f t="shared" ref="G95:G115" si="7">EUconst_tCO2epa</f>
        <v>t CO2e/година</v>
      </c>
      <c r="H95" s="1103" t="str">
        <f>IF(ISNUMBER(D_Emissions!H$35),IF($E95="","",IF(SUMIF(F_ProductBM!$S:$S,$S95,F_ProductBM!T:T)&gt;0,EUconst_NA,SUMIF(F_ProductBM!$S:$S,$P95,F_ProductBM!T:T))),"")</f>
        <v/>
      </c>
      <c r="I95" s="1103" t="str">
        <f>IF(ISNUMBER(D_Emissions!I$35),IF($E95="","",IF(SUMIF(F_ProductBM!$S:$S,$S95,F_ProductBM!U:U)&gt;0,EUconst_NA,SUMIF(F_ProductBM!$S:$S,$P95,F_ProductBM!U:U))),"")</f>
        <v/>
      </c>
      <c r="J95" s="1103" t="str">
        <f>IF(ISNUMBER(D_Emissions!J$35),IF($E95="","",IF(SUMIF(F_ProductBM!$S:$S,$S95,F_ProductBM!V:V)&gt;0,EUconst_NA,SUMIF(F_ProductBM!$S:$S,$P95,F_ProductBM!V:V))),"")</f>
        <v/>
      </c>
      <c r="K95" s="1103" t="str">
        <f>IF(ISNUMBER(D_Emissions!K$35),IF($E95="","",IF(SUMIF(F_ProductBM!$S:$S,$S95,F_ProductBM!W:W)&gt;0,EUconst_NA,SUMIF(F_ProductBM!$S:$S,$P95,F_ProductBM!W:W))),"")</f>
        <v/>
      </c>
      <c r="L95" s="1103" t="str">
        <f>IF(ISNUMBER(D_Emissions!L$35),IF($E95="","",IF(SUMIF(F_ProductBM!$S:$S,$S95,F_ProductBM!X:X)&gt;0,EUconst_NA,SUMIF(F_ProductBM!$S:$S,$P95,F_ProductBM!X:X))),"")</f>
        <v/>
      </c>
      <c r="M95" s="1103" t="str">
        <f>IF(ISNUMBER(D_Emissions!M$35),IF($E95="","",IF(SUMIF(F_ProductBM!$S:$S,$S95,F_ProductBM!Y:Y)&gt;0,EUconst_NA,SUMIF(F_ProductBM!$S:$S,$P95,F_ProductBM!Y:Y))),"")</f>
        <v/>
      </c>
      <c r="N95" s="1103" t="str">
        <f>IF(ISNUMBER(D_Emissions!N$35),IF($E95="","",IF(SUMIF(F_ProductBM!$S:$S,$S95,F_ProductBM!Z:Z)&gt;0,EUconst_NA,SUMIF(F_ProductBM!$S:$S,$P95,F_ProductBM!Z:Z))),"")</f>
        <v/>
      </c>
      <c r="O95" s="698"/>
      <c r="P95" s="1635" t="str">
        <f t="shared" ref="P95:P111" si="8">EUconst_CNTR_AttributedEmissions &amp; E95</f>
        <v>AttrEmissions_</v>
      </c>
      <c r="Q95" s="1636">
        <v>1</v>
      </c>
      <c r="R95" s="694"/>
      <c r="S95" s="982" t="str">
        <f t="shared" ref="S95:S114" si="9">EUconst_ERR_AttrEmBMapplied &amp; E95</f>
        <v>ERR_AttrEmBM_</v>
      </c>
      <c r="T95" s="694"/>
      <c r="U95" s="343"/>
      <c r="V95" s="343"/>
    </row>
    <row r="96" spans="1:22" x14ac:dyDescent="0.25">
      <c r="A96" s="694"/>
      <c r="B96" s="698"/>
      <c r="C96" s="698"/>
      <c r="D96" s="360"/>
      <c r="E96" s="2995" t="str">
        <f t="shared" si="6"/>
        <v/>
      </c>
      <c r="F96" s="2703"/>
      <c r="G96" s="1637" t="str">
        <f t="shared" si="7"/>
        <v>t CO2e/година</v>
      </c>
      <c r="H96" s="1638" t="str">
        <f>IF(ISNUMBER(D_Emissions!H$35),IF($E96="","",IF(SUMIF(F_ProductBM!$S:$S,$S96,F_ProductBM!T:T)&gt;0,EUconst_NA,SUMIF(F_ProductBM!$S:$S,$P96,F_ProductBM!T:T))),"")</f>
        <v/>
      </c>
      <c r="I96" s="1638" t="str">
        <f>IF(ISNUMBER(D_Emissions!I$35),IF($E96="","",IF(SUMIF(F_ProductBM!$S:$S,$S96,F_ProductBM!U:U)&gt;0,EUconst_NA,SUMIF(F_ProductBM!$S:$S,$P96,F_ProductBM!U:U))),"")</f>
        <v/>
      </c>
      <c r="J96" s="1638" t="str">
        <f>IF(ISNUMBER(D_Emissions!J$35),IF($E96="","",IF(SUMIF(F_ProductBM!$S:$S,$S96,F_ProductBM!V:V)&gt;0,EUconst_NA,SUMIF(F_ProductBM!$S:$S,$P96,F_ProductBM!V:V))),"")</f>
        <v/>
      </c>
      <c r="K96" s="1638" t="str">
        <f>IF(ISNUMBER(D_Emissions!K$35),IF($E96="","",IF(SUMIF(F_ProductBM!$S:$S,$S96,F_ProductBM!W:W)&gt;0,EUconst_NA,SUMIF(F_ProductBM!$S:$S,$P96,F_ProductBM!W:W))),"")</f>
        <v/>
      </c>
      <c r="L96" s="1638" t="str">
        <f>IF(ISNUMBER(D_Emissions!L$35),IF($E96="","",IF(SUMIF(F_ProductBM!$S:$S,$S96,F_ProductBM!X:X)&gt;0,EUconst_NA,SUMIF(F_ProductBM!$S:$S,$P96,F_ProductBM!X:X))),"")</f>
        <v/>
      </c>
      <c r="M96" s="1638" t="str">
        <f>IF(ISNUMBER(D_Emissions!M$35),IF($E96="","",IF(SUMIF(F_ProductBM!$S:$S,$S96,F_ProductBM!Y:Y)&gt;0,EUconst_NA,SUMIF(F_ProductBM!$S:$S,$P96,F_ProductBM!Y:Y))),"")</f>
        <v/>
      </c>
      <c r="N96" s="1638" t="str">
        <f>IF(ISNUMBER(D_Emissions!N$35),IF($E96="","",IF(SUMIF(F_ProductBM!$S:$S,$S96,F_ProductBM!Z:Z)&gt;0,EUconst_NA,SUMIF(F_ProductBM!$S:$S,$P96,F_ProductBM!Z:Z))),"")</f>
        <v/>
      </c>
      <c r="O96" s="698"/>
      <c r="P96" s="1029" t="str">
        <f t="shared" si="8"/>
        <v>AttrEmissions_</v>
      </c>
      <c r="Q96" s="1639">
        <v>2</v>
      </c>
      <c r="R96" s="694"/>
      <c r="S96" s="982" t="str">
        <f t="shared" si="9"/>
        <v>ERR_AttrEmBM_</v>
      </c>
      <c r="T96" s="694"/>
      <c r="U96" s="343"/>
      <c r="V96" s="343"/>
    </row>
    <row r="97" spans="1:22" ht="12.75" customHeight="1" x14ac:dyDescent="0.25">
      <c r="A97" s="694"/>
      <c r="B97" s="698"/>
      <c r="C97" s="698"/>
      <c r="D97" s="360"/>
      <c r="E97" s="2995" t="str">
        <f t="shared" si="6"/>
        <v/>
      </c>
      <c r="F97" s="2703"/>
      <c r="G97" s="1637" t="str">
        <f t="shared" si="7"/>
        <v>t CO2e/година</v>
      </c>
      <c r="H97" s="1638" t="str">
        <f>IF(ISNUMBER(D_Emissions!H$35),IF($E97="","",IF(SUMIF(F_ProductBM!$S:$S,$S97,F_ProductBM!T:T)&gt;0,EUconst_NA,SUMIF(F_ProductBM!$S:$S,$P97,F_ProductBM!T:T))),"")</f>
        <v/>
      </c>
      <c r="I97" s="1638" t="str">
        <f>IF(ISNUMBER(D_Emissions!I$35),IF($E97="","",IF(SUMIF(F_ProductBM!$S:$S,$S97,F_ProductBM!U:U)&gt;0,EUconst_NA,SUMIF(F_ProductBM!$S:$S,$P97,F_ProductBM!U:U))),"")</f>
        <v/>
      </c>
      <c r="J97" s="1638" t="str">
        <f>IF(ISNUMBER(D_Emissions!J$35),IF($E97="","",IF(SUMIF(F_ProductBM!$S:$S,$S97,F_ProductBM!V:V)&gt;0,EUconst_NA,SUMIF(F_ProductBM!$S:$S,$P97,F_ProductBM!V:V))),"")</f>
        <v/>
      </c>
      <c r="K97" s="1638" t="str">
        <f>IF(ISNUMBER(D_Emissions!K$35),IF($E97="","",IF(SUMIF(F_ProductBM!$S:$S,$S97,F_ProductBM!W:W)&gt;0,EUconst_NA,SUMIF(F_ProductBM!$S:$S,$P97,F_ProductBM!W:W))),"")</f>
        <v/>
      </c>
      <c r="L97" s="1638" t="str">
        <f>IF(ISNUMBER(D_Emissions!L$35),IF($E97="","",IF(SUMIF(F_ProductBM!$S:$S,$S97,F_ProductBM!X:X)&gt;0,EUconst_NA,SUMIF(F_ProductBM!$S:$S,$P97,F_ProductBM!X:X))),"")</f>
        <v/>
      </c>
      <c r="M97" s="1638" t="str">
        <f>IF(ISNUMBER(D_Emissions!M$35),IF($E97="","",IF(SUMIF(F_ProductBM!$S:$S,$S97,F_ProductBM!Y:Y)&gt;0,EUconst_NA,SUMIF(F_ProductBM!$S:$S,$P97,F_ProductBM!Y:Y))),"")</f>
        <v/>
      </c>
      <c r="N97" s="1638" t="str">
        <f>IF(ISNUMBER(D_Emissions!N$35),IF($E97="","",IF(SUMIF(F_ProductBM!$S:$S,$S97,F_ProductBM!Z:Z)&gt;0,EUconst_NA,SUMIF(F_ProductBM!$S:$S,$P97,F_ProductBM!Z:Z))),"")</f>
        <v/>
      </c>
      <c r="O97" s="698"/>
      <c r="P97" s="1029" t="str">
        <f t="shared" si="8"/>
        <v>AttrEmissions_</v>
      </c>
      <c r="Q97" s="1639">
        <v>3</v>
      </c>
      <c r="R97" s="694"/>
      <c r="S97" s="982" t="str">
        <f t="shared" si="9"/>
        <v>ERR_AttrEmBM_</v>
      </c>
      <c r="T97" s="694"/>
      <c r="U97" s="343"/>
      <c r="V97" s="343"/>
    </row>
    <row r="98" spans="1:22" x14ac:dyDescent="0.25">
      <c r="A98" s="694"/>
      <c r="B98" s="698"/>
      <c r="C98" s="698"/>
      <c r="D98" s="360"/>
      <c r="E98" s="2995" t="str">
        <f t="shared" si="6"/>
        <v/>
      </c>
      <c r="F98" s="2703"/>
      <c r="G98" s="1637" t="str">
        <f t="shared" si="7"/>
        <v>t CO2e/година</v>
      </c>
      <c r="H98" s="1638" t="str">
        <f>IF(ISNUMBER(D_Emissions!H$35),IF($E98="","",IF(SUMIF(F_ProductBM!$S:$S,$S98,F_ProductBM!T:T)&gt;0,EUconst_NA,SUMIF(F_ProductBM!$S:$S,$P98,F_ProductBM!T:T))),"")</f>
        <v/>
      </c>
      <c r="I98" s="1638" t="str">
        <f>IF(ISNUMBER(D_Emissions!I$35),IF($E98="","",IF(SUMIF(F_ProductBM!$S:$S,$S98,F_ProductBM!U:U)&gt;0,EUconst_NA,SUMIF(F_ProductBM!$S:$S,$P98,F_ProductBM!U:U))),"")</f>
        <v/>
      </c>
      <c r="J98" s="1638" t="str">
        <f>IF(ISNUMBER(D_Emissions!J$35),IF($E98="","",IF(SUMIF(F_ProductBM!$S:$S,$S98,F_ProductBM!V:V)&gt;0,EUconst_NA,SUMIF(F_ProductBM!$S:$S,$P98,F_ProductBM!V:V))),"")</f>
        <v/>
      </c>
      <c r="K98" s="1638" t="str">
        <f>IF(ISNUMBER(D_Emissions!K$35),IF($E98="","",IF(SUMIF(F_ProductBM!$S:$S,$S98,F_ProductBM!W:W)&gt;0,EUconst_NA,SUMIF(F_ProductBM!$S:$S,$P98,F_ProductBM!W:W))),"")</f>
        <v/>
      </c>
      <c r="L98" s="1638" t="str">
        <f>IF(ISNUMBER(D_Emissions!L$35),IF($E98="","",IF(SUMIF(F_ProductBM!$S:$S,$S98,F_ProductBM!X:X)&gt;0,EUconst_NA,SUMIF(F_ProductBM!$S:$S,$P98,F_ProductBM!X:X))),"")</f>
        <v/>
      </c>
      <c r="M98" s="1638" t="str">
        <f>IF(ISNUMBER(D_Emissions!M$35),IF($E98="","",IF(SUMIF(F_ProductBM!$S:$S,$S98,F_ProductBM!Y:Y)&gt;0,EUconst_NA,SUMIF(F_ProductBM!$S:$S,$P98,F_ProductBM!Y:Y))),"")</f>
        <v/>
      </c>
      <c r="N98" s="1638" t="str">
        <f>IF(ISNUMBER(D_Emissions!N$35),IF($E98="","",IF(SUMIF(F_ProductBM!$S:$S,$S98,F_ProductBM!Z:Z)&gt;0,EUconst_NA,SUMIF(F_ProductBM!$S:$S,$P98,F_ProductBM!Z:Z))),"")</f>
        <v/>
      </c>
      <c r="O98" s="698"/>
      <c r="P98" s="1029" t="str">
        <f t="shared" si="8"/>
        <v>AttrEmissions_</v>
      </c>
      <c r="Q98" s="1639">
        <v>4</v>
      </c>
      <c r="R98" s="694"/>
      <c r="S98" s="982" t="str">
        <f t="shared" si="9"/>
        <v>ERR_AttrEmBM_</v>
      </c>
      <c r="T98" s="694"/>
      <c r="U98" s="343"/>
      <c r="V98" s="343"/>
    </row>
    <row r="99" spans="1:22" x14ac:dyDescent="0.25">
      <c r="A99" s="694"/>
      <c r="B99" s="698"/>
      <c r="C99" s="698"/>
      <c r="D99" s="360"/>
      <c r="E99" s="2995" t="str">
        <f t="shared" si="6"/>
        <v/>
      </c>
      <c r="F99" s="2703"/>
      <c r="G99" s="1637" t="str">
        <f t="shared" si="7"/>
        <v>t CO2e/година</v>
      </c>
      <c r="H99" s="1638" t="str">
        <f>IF(ISNUMBER(D_Emissions!H$35),IF($E99="","",IF(SUMIF(F_ProductBM!$S:$S,$S99,F_ProductBM!T:T)&gt;0,EUconst_NA,SUMIF(F_ProductBM!$S:$S,$P99,F_ProductBM!T:T))),"")</f>
        <v/>
      </c>
      <c r="I99" s="1638" t="str">
        <f>IF(ISNUMBER(D_Emissions!I$35),IF($E99="","",IF(SUMIF(F_ProductBM!$S:$S,$S99,F_ProductBM!U:U)&gt;0,EUconst_NA,SUMIF(F_ProductBM!$S:$S,$P99,F_ProductBM!U:U))),"")</f>
        <v/>
      </c>
      <c r="J99" s="1638" t="str">
        <f>IF(ISNUMBER(D_Emissions!J$35),IF($E99="","",IF(SUMIF(F_ProductBM!$S:$S,$S99,F_ProductBM!V:V)&gt;0,EUconst_NA,SUMIF(F_ProductBM!$S:$S,$P99,F_ProductBM!V:V))),"")</f>
        <v/>
      </c>
      <c r="K99" s="1638" t="str">
        <f>IF(ISNUMBER(D_Emissions!K$35),IF($E99="","",IF(SUMIF(F_ProductBM!$S:$S,$S99,F_ProductBM!W:W)&gt;0,EUconst_NA,SUMIF(F_ProductBM!$S:$S,$P99,F_ProductBM!W:W))),"")</f>
        <v/>
      </c>
      <c r="L99" s="1638" t="str">
        <f>IF(ISNUMBER(D_Emissions!L$35),IF($E99="","",IF(SUMIF(F_ProductBM!$S:$S,$S99,F_ProductBM!X:X)&gt;0,EUconst_NA,SUMIF(F_ProductBM!$S:$S,$P99,F_ProductBM!X:X))),"")</f>
        <v/>
      </c>
      <c r="M99" s="1638" t="str">
        <f>IF(ISNUMBER(D_Emissions!M$35),IF($E99="","",IF(SUMIF(F_ProductBM!$S:$S,$S99,F_ProductBM!Y:Y)&gt;0,EUconst_NA,SUMIF(F_ProductBM!$S:$S,$P99,F_ProductBM!Y:Y))),"")</f>
        <v/>
      </c>
      <c r="N99" s="1638" t="str">
        <f>IF(ISNUMBER(D_Emissions!N$35),IF($E99="","",IF(SUMIF(F_ProductBM!$S:$S,$S99,F_ProductBM!Z:Z)&gt;0,EUconst_NA,SUMIF(F_ProductBM!$S:$S,$P99,F_ProductBM!Z:Z))),"")</f>
        <v/>
      </c>
      <c r="O99" s="698"/>
      <c r="P99" s="1029" t="str">
        <f t="shared" si="8"/>
        <v>AttrEmissions_</v>
      </c>
      <c r="Q99" s="1639">
        <v>5</v>
      </c>
      <c r="R99" s="694"/>
      <c r="S99" s="982" t="str">
        <f t="shared" si="9"/>
        <v>ERR_AttrEmBM_</v>
      </c>
      <c r="T99" s="694"/>
      <c r="U99" s="343"/>
      <c r="V99" s="343"/>
    </row>
    <row r="100" spans="1:22" ht="12.75" customHeight="1" x14ac:dyDescent="0.25">
      <c r="A100" s="694"/>
      <c r="B100" s="698"/>
      <c r="C100" s="698"/>
      <c r="D100" s="360"/>
      <c r="E100" s="2995" t="str">
        <f t="shared" si="6"/>
        <v/>
      </c>
      <c r="F100" s="2703"/>
      <c r="G100" s="1637" t="str">
        <f t="shared" si="7"/>
        <v>t CO2e/година</v>
      </c>
      <c r="H100" s="1638" t="str">
        <f>IF(ISNUMBER(D_Emissions!H$35),IF($E100="","",IF(SUMIF(F_ProductBM!$S:$S,$S100,F_ProductBM!T:T)&gt;0,EUconst_NA,SUMIF(F_ProductBM!$S:$S,$P100,F_ProductBM!T:T))),"")</f>
        <v/>
      </c>
      <c r="I100" s="1638" t="str">
        <f>IF(ISNUMBER(D_Emissions!I$35),IF($E100="","",IF(SUMIF(F_ProductBM!$S:$S,$S100,F_ProductBM!U:U)&gt;0,EUconst_NA,SUMIF(F_ProductBM!$S:$S,$P100,F_ProductBM!U:U))),"")</f>
        <v/>
      </c>
      <c r="J100" s="1638" t="str">
        <f>IF(ISNUMBER(D_Emissions!J$35),IF($E100="","",IF(SUMIF(F_ProductBM!$S:$S,$S100,F_ProductBM!V:V)&gt;0,EUconst_NA,SUMIF(F_ProductBM!$S:$S,$P100,F_ProductBM!V:V))),"")</f>
        <v/>
      </c>
      <c r="K100" s="1638" t="str">
        <f>IF(ISNUMBER(D_Emissions!K$35),IF($E100="","",IF(SUMIF(F_ProductBM!$S:$S,$S100,F_ProductBM!W:W)&gt;0,EUconst_NA,SUMIF(F_ProductBM!$S:$S,$P100,F_ProductBM!W:W))),"")</f>
        <v/>
      </c>
      <c r="L100" s="1638" t="str">
        <f>IF(ISNUMBER(D_Emissions!L$35),IF($E100="","",IF(SUMIF(F_ProductBM!$S:$S,$S100,F_ProductBM!X:X)&gt;0,EUconst_NA,SUMIF(F_ProductBM!$S:$S,$P100,F_ProductBM!X:X))),"")</f>
        <v/>
      </c>
      <c r="M100" s="1638" t="str">
        <f>IF(ISNUMBER(D_Emissions!M$35),IF($E100="","",IF(SUMIF(F_ProductBM!$S:$S,$S100,F_ProductBM!Y:Y)&gt;0,EUconst_NA,SUMIF(F_ProductBM!$S:$S,$P100,F_ProductBM!Y:Y))),"")</f>
        <v/>
      </c>
      <c r="N100" s="1638" t="str">
        <f>IF(ISNUMBER(D_Emissions!N$35),IF($E100="","",IF(SUMIF(F_ProductBM!$S:$S,$S100,F_ProductBM!Z:Z)&gt;0,EUconst_NA,SUMIF(F_ProductBM!$S:$S,$P100,F_ProductBM!Z:Z))),"")</f>
        <v/>
      </c>
      <c r="O100" s="698"/>
      <c r="P100" s="1029" t="str">
        <f t="shared" si="8"/>
        <v>AttrEmissions_</v>
      </c>
      <c r="Q100" s="1639">
        <v>6</v>
      </c>
      <c r="R100" s="694"/>
      <c r="S100" s="982" t="str">
        <f t="shared" si="9"/>
        <v>ERR_AttrEmBM_</v>
      </c>
      <c r="T100" s="694"/>
      <c r="U100" s="343"/>
      <c r="V100" s="343"/>
    </row>
    <row r="101" spans="1:22" ht="12.75" customHeight="1" x14ac:dyDescent="0.25">
      <c r="A101" s="694"/>
      <c r="B101" s="698"/>
      <c r="C101" s="698"/>
      <c r="D101" s="360"/>
      <c r="E101" s="2995" t="str">
        <f t="shared" si="6"/>
        <v/>
      </c>
      <c r="F101" s="2703"/>
      <c r="G101" s="1637" t="str">
        <f t="shared" si="7"/>
        <v>t CO2e/година</v>
      </c>
      <c r="H101" s="1638" t="str">
        <f>IF(ISNUMBER(D_Emissions!H$35),IF($E101="","",IF(SUMIF(F_ProductBM!$S:$S,$S101,F_ProductBM!T:T)&gt;0,EUconst_NA,SUMIF(F_ProductBM!$S:$S,$P101,F_ProductBM!T:T))),"")</f>
        <v/>
      </c>
      <c r="I101" s="1638" t="str">
        <f>IF(ISNUMBER(D_Emissions!I$35),IF($E101="","",IF(SUMIF(F_ProductBM!$S:$S,$S101,F_ProductBM!U:U)&gt;0,EUconst_NA,SUMIF(F_ProductBM!$S:$S,$P101,F_ProductBM!U:U))),"")</f>
        <v/>
      </c>
      <c r="J101" s="1638" t="str">
        <f>IF(ISNUMBER(D_Emissions!J$35),IF($E101="","",IF(SUMIF(F_ProductBM!$S:$S,$S101,F_ProductBM!V:V)&gt;0,EUconst_NA,SUMIF(F_ProductBM!$S:$S,$P101,F_ProductBM!V:V))),"")</f>
        <v/>
      </c>
      <c r="K101" s="1638" t="str">
        <f>IF(ISNUMBER(D_Emissions!K$35),IF($E101="","",IF(SUMIF(F_ProductBM!$S:$S,$S101,F_ProductBM!W:W)&gt;0,EUconst_NA,SUMIF(F_ProductBM!$S:$S,$P101,F_ProductBM!W:W))),"")</f>
        <v/>
      </c>
      <c r="L101" s="1638" t="str">
        <f>IF(ISNUMBER(D_Emissions!L$35),IF($E101="","",IF(SUMIF(F_ProductBM!$S:$S,$S101,F_ProductBM!X:X)&gt;0,EUconst_NA,SUMIF(F_ProductBM!$S:$S,$P101,F_ProductBM!X:X))),"")</f>
        <v/>
      </c>
      <c r="M101" s="1638" t="str">
        <f>IF(ISNUMBER(D_Emissions!M$35),IF($E101="","",IF(SUMIF(F_ProductBM!$S:$S,$S101,F_ProductBM!Y:Y)&gt;0,EUconst_NA,SUMIF(F_ProductBM!$S:$S,$P101,F_ProductBM!Y:Y))),"")</f>
        <v/>
      </c>
      <c r="N101" s="1638" t="str">
        <f>IF(ISNUMBER(D_Emissions!N$35),IF($E101="","",IF(SUMIF(F_ProductBM!$S:$S,$S101,F_ProductBM!Z:Z)&gt;0,EUconst_NA,SUMIF(F_ProductBM!$S:$S,$P101,F_ProductBM!Z:Z))),"")</f>
        <v/>
      </c>
      <c r="O101" s="698"/>
      <c r="P101" s="1029" t="str">
        <f t="shared" si="8"/>
        <v>AttrEmissions_</v>
      </c>
      <c r="Q101" s="1639">
        <v>7</v>
      </c>
      <c r="R101" s="694"/>
      <c r="S101" s="982" t="str">
        <f t="shared" si="9"/>
        <v>ERR_AttrEmBM_</v>
      </c>
      <c r="T101" s="694"/>
      <c r="U101" s="343"/>
      <c r="V101" s="343"/>
    </row>
    <row r="102" spans="1:22" x14ac:dyDescent="0.25">
      <c r="A102" s="694"/>
      <c r="B102" s="698"/>
      <c r="C102" s="698"/>
      <c r="D102" s="360"/>
      <c r="E102" s="2995" t="str">
        <f t="shared" si="6"/>
        <v/>
      </c>
      <c r="F102" s="2703"/>
      <c r="G102" s="1637" t="str">
        <f t="shared" si="7"/>
        <v>t CO2e/година</v>
      </c>
      <c r="H102" s="1638" t="str">
        <f>IF(ISNUMBER(D_Emissions!H$35),IF($E102="","",IF(SUMIF(F_ProductBM!$S:$S,$S102,F_ProductBM!T:T)&gt;0,EUconst_NA,SUMIF(F_ProductBM!$S:$S,$P102,F_ProductBM!T:T))),"")</f>
        <v/>
      </c>
      <c r="I102" s="1638" t="str">
        <f>IF(ISNUMBER(D_Emissions!I$35),IF($E102="","",IF(SUMIF(F_ProductBM!$S:$S,$S102,F_ProductBM!U:U)&gt;0,EUconst_NA,SUMIF(F_ProductBM!$S:$S,$P102,F_ProductBM!U:U))),"")</f>
        <v/>
      </c>
      <c r="J102" s="1638" t="str">
        <f>IF(ISNUMBER(D_Emissions!J$35),IF($E102="","",IF(SUMIF(F_ProductBM!$S:$S,$S102,F_ProductBM!V:V)&gt;0,EUconst_NA,SUMIF(F_ProductBM!$S:$S,$P102,F_ProductBM!V:V))),"")</f>
        <v/>
      </c>
      <c r="K102" s="1638" t="str">
        <f>IF(ISNUMBER(D_Emissions!K$35),IF($E102="","",IF(SUMIF(F_ProductBM!$S:$S,$S102,F_ProductBM!W:W)&gt;0,EUconst_NA,SUMIF(F_ProductBM!$S:$S,$P102,F_ProductBM!W:W))),"")</f>
        <v/>
      </c>
      <c r="L102" s="1638" t="str">
        <f>IF(ISNUMBER(D_Emissions!L$35),IF($E102="","",IF(SUMIF(F_ProductBM!$S:$S,$S102,F_ProductBM!X:X)&gt;0,EUconst_NA,SUMIF(F_ProductBM!$S:$S,$P102,F_ProductBM!X:X))),"")</f>
        <v/>
      </c>
      <c r="M102" s="1638" t="str">
        <f>IF(ISNUMBER(D_Emissions!M$35),IF($E102="","",IF(SUMIF(F_ProductBM!$S:$S,$S102,F_ProductBM!Y:Y)&gt;0,EUconst_NA,SUMIF(F_ProductBM!$S:$S,$P102,F_ProductBM!Y:Y))),"")</f>
        <v/>
      </c>
      <c r="N102" s="1638" t="str">
        <f>IF(ISNUMBER(D_Emissions!N$35),IF($E102="","",IF(SUMIF(F_ProductBM!$S:$S,$S102,F_ProductBM!Z:Z)&gt;0,EUconst_NA,SUMIF(F_ProductBM!$S:$S,$P102,F_ProductBM!Z:Z))),"")</f>
        <v/>
      </c>
      <c r="O102" s="698"/>
      <c r="P102" s="1029" t="str">
        <f t="shared" si="8"/>
        <v>AttrEmissions_</v>
      </c>
      <c r="Q102" s="1639">
        <v>8</v>
      </c>
      <c r="R102" s="694"/>
      <c r="S102" s="982" t="str">
        <f t="shared" si="9"/>
        <v>ERR_AttrEmBM_</v>
      </c>
      <c r="T102" s="694"/>
      <c r="U102" s="343"/>
      <c r="V102" s="343"/>
    </row>
    <row r="103" spans="1:22" ht="12.75" customHeight="1" x14ac:dyDescent="0.25">
      <c r="A103" s="694"/>
      <c r="B103" s="698"/>
      <c r="C103" s="698"/>
      <c r="D103" s="360"/>
      <c r="E103" s="2995" t="str">
        <f t="shared" si="6"/>
        <v/>
      </c>
      <c r="F103" s="2703"/>
      <c r="G103" s="1637" t="str">
        <f t="shared" si="7"/>
        <v>t CO2e/година</v>
      </c>
      <c r="H103" s="1638" t="str">
        <f>IF(ISNUMBER(D_Emissions!H$35),IF($E103="","",IF(SUMIF(F_ProductBM!$S:$S,$S103,F_ProductBM!T:T)&gt;0,EUconst_NA,SUMIF(F_ProductBM!$S:$S,$P103,F_ProductBM!T:T))),"")</f>
        <v/>
      </c>
      <c r="I103" s="1638" t="str">
        <f>IF(ISNUMBER(D_Emissions!I$35),IF($E103="","",IF(SUMIF(F_ProductBM!$S:$S,$S103,F_ProductBM!U:U)&gt;0,EUconst_NA,SUMIF(F_ProductBM!$S:$S,$P103,F_ProductBM!U:U))),"")</f>
        <v/>
      </c>
      <c r="J103" s="1638" t="str">
        <f>IF(ISNUMBER(D_Emissions!J$35),IF($E103="","",IF(SUMIF(F_ProductBM!$S:$S,$S103,F_ProductBM!V:V)&gt;0,EUconst_NA,SUMIF(F_ProductBM!$S:$S,$P103,F_ProductBM!V:V))),"")</f>
        <v/>
      </c>
      <c r="K103" s="1638" t="str">
        <f>IF(ISNUMBER(D_Emissions!K$35),IF($E103="","",IF(SUMIF(F_ProductBM!$S:$S,$S103,F_ProductBM!W:W)&gt;0,EUconst_NA,SUMIF(F_ProductBM!$S:$S,$P103,F_ProductBM!W:W))),"")</f>
        <v/>
      </c>
      <c r="L103" s="1638" t="str">
        <f>IF(ISNUMBER(D_Emissions!L$35),IF($E103="","",IF(SUMIF(F_ProductBM!$S:$S,$S103,F_ProductBM!X:X)&gt;0,EUconst_NA,SUMIF(F_ProductBM!$S:$S,$P103,F_ProductBM!X:X))),"")</f>
        <v/>
      </c>
      <c r="M103" s="1638" t="str">
        <f>IF(ISNUMBER(D_Emissions!M$35),IF($E103="","",IF(SUMIF(F_ProductBM!$S:$S,$S103,F_ProductBM!Y:Y)&gt;0,EUconst_NA,SUMIF(F_ProductBM!$S:$S,$P103,F_ProductBM!Y:Y))),"")</f>
        <v/>
      </c>
      <c r="N103" s="1638" t="str">
        <f>IF(ISNUMBER(D_Emissions!N$35),IF($E103="","",IF(SUMIF(F_ProductBM!$S:$S,$S103,F_ProductBM!Z:Z)&gt;0,EUconst_NA,SUMIF(F_ProductBM!$S:$S,$P103,F_ProductBM!Z:Z))),"")</f>
        <v/>
      </c>
      <c r="O103" s="698"/>
      <c r="P103" s="1029" t="str">
        <f t="shared" si="8"/>
        <v>AttrEmissions_</v>
      </c>
      <c r="Q103" s="1639">
        <v>9</v>
      </c>
      <c r="R103" s="694"/>
      <c r="S103" s="982" t="str">
        <f t="shared" si="9"/>
        <v>ERR_AttrEmBM_</v>
      </c>
      <c r="T103" s="694"/>
      <c r="U103" s="343"/>
      <c r="V103" s="343"/>
    </row>
    <row r="104" spans="1:22" ht="13.5" customHeight="1" thickBot="1" x14ac:dyDescent="0.3">
      <c r="A104" s="694"/>
      <c r="B104" s="698"/>
      <c r="C104" s="698"/>
      <c r="D104" s="360"/>
      <c r="E104" s="2997" t="str">
        <f t="shared" si="6"/>
        <v/>
      </c>
      <c r="F104" s="2705"/>
      <c r="G104" s="1640" t="str">
        <f t="shared" si="7"/>
        <v>t CO2e/година</v>
      </c>
      <c r="H104" s="1104" t="str">
        <f>IF(ISNUMBER(D_Emissions!H$35),IF($E104="","",IF(SUMIF(F_ProductBM!$S:$S,$S104,F_ProductBM!T:T)&gt;0,EUconst_NA,SUMIF(F_ProductBM!$S:$S,$P104,F_ProductBM!T:T))),"")</f>
        <v/>
      </c>
      <c r="I104" s="1104" t="str">
        <f>IF(ISNUMBER(D_Emissions!I$35),IF($E104="","",IF(SUMIF(F_ProductBM!$S:$S,$S104,F_ProductBM!U:U)&gt;0,EUconst_NA,SUMIF(F_ProductBM!$S:$S,$P104,F_ProductBM!U:U))),"")</f>
        <v/>
      </c>
      <c r="J104" s="1104" t="str">
        <f>IF(ISNUMBER(D_Emissions!J$35),IF($E104="","",IF(SUMIF(F_ProductBM!$S:$S,$S104,F_ProductBM!V:V)&gt;0,EUconst_NA,SUMIF(F_ProductBM!$S:$S,$P104,F_ProductBM!V:V))),"")</f>
        <v/>
      </c>
      <c r="K104" s="1104" t="str">
        <f>IF(ISNUMBER(D_Emissions!K$35),IF($E104="","",IF(SUMIF(F_ProductBM!$S:$S,$S104,F_ProductBM!W:W)&gt;0,EUconst_NA,SUMIF(F_ProductBM!$S:$S,$P104,F_ProductBM!W:W))),"")</f>
        <v/>
      </c>
      <c r="L104" s="1104" t="str">
        <f>IF(ISNUMBER(D_Emissions!L$35),IF($E104="","",IF(SUMIF(F_ProductBM!$S:$S,$S104,F_ProductBM!X:X)&gt;0,EUconst_NA,SUMIF(F_ProductBM!$S:$S,$P104,F_ProductBM!X:X))),"")</f>
        <v/>
      </c>
      <c r="M104" s="1104" t="str">
        <f>IF(ISNUMBER(D_Emissions!M$35),IF($E104="","",IF(SUMIF(F_ProductBM!$S:$S,$S104,F_ProductBM!Y:Y)&gt;0,EUconst_NA,SUMIF(F_ProductBM!$S:$S,$P104,F_ProductBM!Y:Y))),"")</f>
        <v/>
      </c>
      <c r="N104" s="1104" t="str">
        <f>IF(ISNUMBER(D_Emissions!N$35),IF($E104="","",IF(SUMIF(F_ProductBM!$S:$S,$S104,F_ProductBM!Z:Z)&gt;0,EUconst_NA,SUMIF(F_ProductBM!$S:$S,$P104,F_ProductBM!Z:Z))),"")</f>
        <v/>
      </c>
      <c r="O104" s="698"/>
      <c r="P104" s="1041" t="str">
        <f t="shared" si="8"/>
        <v>AttrEmissions_</v>
      </c>
      <c r="Q104" s="1641">
        <v>10</v>
      </c>
      <c r="R104" s="694"/>
      <c r="S104" s="982" t="str">
        <f t="shared" si="9"/>
        <v>ERR_AttrEmBM_</v>
      </c>
      <c r="T104" s="694"/>
      <c r="U104" s="343"/>
      <c r="V104" s="343"/>
    </row>
    <row r="105" spans="1:22" ht="12.75" customHeight="1" x14ac:dyDescent="0.25">
      <c r="A105" s="694"/>
      <c r="B105" s="698"/>
      <c r="C105" s="698"/>
      <c r="D105" s="360"/>
      <c r="E105" s="2700" t="str">
        <f t="shared" ref="E105:E114" si="10">INDEX(EUconst_FallBackListNames,Q105)</f>
        <v>Подинсталация с топлинен показател (с риск от ИВЕ | извън МКВЕГ)</v>
      </c>
      <c r="F105" s="2701"/>
      <c r="G105" s="1637" t="str">
        <f t="shared" si="7"/>
        <v>t CO2e/година</v>
      </c>
      <c r="H105" s="1638" t="str">
        <f>IF(ISNUMBER(D_Emissions!H$35),IF(INDEX(CNTR_FallBackSubInstRelevant,$Q105),IF(SUMIF('G_Fall-back'!$S:$S,$S105,'G_Fall-back'!T:T)&gt;0,EUconst_NA,SUMIF('G_Fall-back'!$S:$S,$P105,'G_Fall-back'!T:T)),""),"")</f>
        <v/>
      </c>
      <c r="I105" s="1638" t="str">
        <f>IF(ISNUMBER(D_Emissions!I$35),IF(INDEX(CNTR_FallBackSubInstRelevant,$Q105),IF(SUMIF('G_Fall-back'!$S:$S,$S105,'G_Fall-back'!U:U)&gt;0,EUconst_NA,SUMIF('G_Fall-back'!$S:$S,$P105,'G_Fall-back'!U:U)),""),"")</f>
        <v/>
      </c>
      <c r="J105" s="1638" t="str">
        <f>IF(ISNUMBER(D_Emissions!J$35),IF(INDEX(CNTR_FallBackSubInstRelevant,$Q105),IF(SUMIF('G_Fall-back'!$S:$S,$S105,'G_Fall-back'!V:V)&gt;0,EUconst_NA,SUMIF('G_Fall-back'!$S:$S,$P105,'G_Fall-back'!V:V)),""),"")</f>
        <v/>
      </c>
      <c r="K105" s="1638" t="str">
        <f>IF(ISNUMBER(D_Emissions!K$35),IF(INDEX(CNTR_FallBackSubInstRelevant,$Q105),IF(SUMIF('G_Fall-back'!$S:$S,$S105,'G_Fall-back'!W:W)&gt;0,EUconst_NA,SUMIF('G_Fall-back'!$S:$S,$P105,'G_Fall-back'!W:W)),""),"")</f>
        <v/>
      </c>
      <c r="L105" s="1638" t="str">
        <f>IF(ISNUMBER(D_Emissions!L$35),IF(INDEX(CNTR_FallBackSubInstRelevant,$Q105),IF(SUMIF('G_Fall-back'!$S:$S,$S105,'G_Fall-back'!X:X)&gt;0,EUconst_NA,SUMIF('G_Fall-back'!$S:$S,$P105,'G_Fall-back'!X:X)),""),"")</f>
        <v/>
      </c>
      <c r="M105" s="1638" t="str">
        <f>IF(ISNUMBER(D_Emissions!M$35),IF(INDEX(CNTR_FallBackSubInstRelevant,$Q105),IF(SUMIF('G_Fall-back'!$S:$S,$S105,'G_Fall-back'!Y:Y)&gt;0,EUconst_NA,SUMIF('G_Fall-back'!$S:$S,$P105,'G_Fall-back'!Y:Y)),""),"")</f>
        <v/>
      </c>
      <c r="N105" s="1638" t="str">
        <f>IF(ISNUMBER(D_Emissions!N$35),IF(INDEX(CNTR_FallBackSubInstRelevant,$Q105),IF(SUMIF('G_Fall-back'!$S:$S,$S105,'G_Fall-back'!Z:Z)&gt;0,EUconst_NA,SUMIF('G_Fall-back'!$S:$S,$P105,'G_Fall-back'!Z:Z)),""),"")</f>
        <v/>
      </c>
      <c r="O105" s="698"/>
      <c r="P105" s="1635" t="str">
        <f t="shared" si="8"/>
        <v>AttrEmissions_Подинсталация с топлинен показател (с риск от ИВЕ | извън МКВЕГ)</v>
      </c>
      <c r="Q105" s="1636">
        <v>1</v>
      </c>
      <c r="R105" s="694"/>
      <c r="S105" s="982" t="str">
        <f t="shared" si="9"/>
        <v>ERR_AttrEmBM_Подинсталация с топлинен показател (с риск от ИВЕ | извън МКВЕГ)</v>
      </c>
      <c r="T105" s="694"/>
      <c r="U105" s="343"/>
      <c r="V105" s="343"/>
    </row>
    <row r="106" spans="1:22" ht="12.75" customHeight="1" x14ac:dyDescent="0.25">
      <c r="A106" s="694"/>
      <c r="B106" s="698"/>
      <c r="C106" s="698"/>
      <c r="D106" s="360"/>
      <c r="E106" s="2702" t="str">
        <f t="shared" si="10"/>
        <v>Подинсталация с топлинен показател (без риск от ИВЕ | извън МКВЕГ)</v>
      </c>
      <c r="F106" s="2703"/>
      <c r="G106" s="1642" t="str">
        <f t="shared" si="7"/>
        <v>t CO2e/година</v>
      </c>
      <c r="H106" s="1643" t="str">
        <f>IF(ISNUMBER(D_Emissions!H$35),IF(INDEX(CNTR_FallBackSubInstRelevant,$Q106),IF(SUMIF('G_Fall-back'!$S:$S,$S106,'G_Fall-back'!T:T)&gt;0,EUconst_NA,SUMIF('G_Fall-back'!$S:$S,$P106,'G_Fall-back'!T:T)),""),"")</f>
        <v/>
      </c>
      <c r="I106" s="1643" t="str">
        <f>IF(ISNUMBER(D_Emissions!I$35),IF(INDEX(CNTR_FallBackSubInstRelevant,$Q106),IF(SUMIF('G_Fall-back'!$S:$S,$S106,'G_Fall-back'!U:U)&gt;0,EUconst_NA,SUMIF('G_Fall-back'!$S:$S,$P106,'G_Fall-back'!U:U)),""),"")</f>
        <v/>
      </c>
      <c r="J106" s="1643" t="str">
        <f>IF(ISNUMBER(D_Emissions!J$35),IF(INDEX(CNTR_FallBackSubInstRelevant,$Q106),IF(SUMIF('G_Fall-back'!$S:$S,$S106,'G_Fall-back'!V:V)&gt;0,EUconst_NA,SUMIF('G_Fall-back'!$S:$S,$P106,'G_Fall-back'!V:V)),""),"")</f>
        <v/>
      </c>
      <c r="K106" s="1643" t="str">
        <f>IF(ISNUMBER(D_Emissions!K$35),IF(INDEX(CNTR_FallBackSubInstRelevant,$Q106),IF(SUMIF('G_Fall-back'!$S:$S,$S106,'G_Fall-back'!W:W)&gt;0,EUconst_NA,SUMIF('G_Fall-back'!$S:$S,$P106,'G_Fall-back'!W:W)),""),"")</f>
        <v/>
      </c>
      <c r="L106" s="1643" t="str">
        <f>IF(ISNUMBER(D_Emissions!L$35),IF(INDEX(CNTR_FallBackSubInstRelevant,$Q106),IF(SUMIF('G_Fall-back'!$S:$S,$S106,'G_Fall-back'!X:X)&gt;0,EUconst_NA,SUMIF('G_Fall-back'!$S:$S,$P106,'G_Fall-back'!X:X)),""),"")</f>
        <v/>
      </c>
      <c r="M106" s="1643" t="str">
        <f>IF(ISNUMBER(D_Emissions!M$35),IF(INDEX(CNTR_FallBackSubInstRelevant,$Q106),IF(SUMIF('G_Fall-back'!$S:$S,$S106,'G_Fall-back'!Y:Y)&gt;0,EUconst_NA,SUMIF('G_Fall-back'!$S:$S,$P106,'G_Fall-back'!Y:Y)),""),"")</f>
        <v/>
      </c>
      <c r="N106" s="1643" t="str">
        <f>IF(ISNUMBER(D_Emissions!N$35),IF(INDEX(CNTR_FallBackSubInstRelevant,$Q106),IF(SUMIF('G_Fall-back'!$S:$S,$S106,'G_Fall-back'!Z:Z)&gt;0,EUconst_NA,SUMIF('G_Fall-back'!$S:$S,$P106,'G_Fall-back'!Z:Z)),""),"")</f>
        <v/>
      </c>
      <c r="O106" s="698"/>
      <c r="P106" s="1029" t="str">
        <f t="shared" si="8"/>
        <v>AttrEmissions_Подинсталация с топлинен показател (без риск от ИВЕ | извън МКВЕГ)</v>
      </c>
      <c r="Q106" s="1639">
        <v>2</v>
      </c>
      <c r="R106" s="694"/>
      <c r="S106" s="982" t="str">
        <f t="shared" si="9"/>
        <v>ERR_AttrEmBM_Подинсталация с топлинен показател (без риск от ИВЕ | извън МКВЕГ)</v>
      </c>
      <c r="T106" s="694"/>
      <c r="U106" s="343"/>
      <c r="V106" s="343"/>
    </row>
    <row r="107" spans="1:22" ht="12.75" customHeight="1" x14ac:dyDescent="0.25">
      <c r="A107" s="694"/>
      <c r="B107" s="698"/>
      <c r="C107" s="698"/>
      <c r="D107" s="360"/>
      <c r="E107" s="2702" t="str">
        <f t="shared" si="10"/>
        <v>Подинсталация с топлинен показател (с риск от ИВЕ | в рамките на МКВЕГ)</v>
      </c>
      <c r="F107" s="2703"/>
      <c r="G107" s="1095" t="str">
        <f t="shared" si="7"/>
        <v>t CO2e/година</v>
      </c>
      <c r="H107" s="1643" t="str">
        <f>IF(ISNUMBER(D_Emissions!H$35),IF(INDEX(CNTR_FallBackSubInstRelevant,$Q107),IF(SUMIF('G_Fall-back'!$S:$S,$S107,'G_Fall-back'!T:T)&gt;0,EUconst_NA,SUMIF('G_Fall-back'!$S:$S,$P107,'G_Fall-back'!T:T)),""),"")</f>
        <v/>
      </c>
      <c r="I107" s="1643" t="str">
        <f>IF(ISNUMBER(D_Emissions!I$35),IF(INDEX(CNTR_FallBackSubInstRelevant,$Q107),IF(SUMIF('G_Fall-back'!$S:$S,$S107,'G_Fall-back'!U:U)&gt;0,EUconst_NA,SUMIF('G_Fall-back'!$S:$S,$P107,'G_Fall-back'!U:U)),""),"")</f>
        <v/>
      </c>
      <c r="J107" s="1643" t="str">
        <f>IF(ISNUMBER(D_Emissions!J$35),IF(INDEX(CNTR_FallBackSubInstRelevant,$Q107),IF(SUMIF('G_Fall-back'!$S:$S,$S107,'G_Fall-back'!V:V)&gt;0,EUconst_NA,SUMIF('G_Fall-back'!$S:$S,$P107,'G_Fall-back'!V:V)),""),"")</f>
        <v/>
      </c>
      <c r="K107" s="1643" t="str">
        <f>IF(ISNUMBER(D_Emissions!K$35),IF(INDEX(CNTR_FallBackSubInstRelevant,$Q107),IF(SUMIF('G_Fall-back'!$S:$S,$S107,'G_Fall-back'!W:W)&gt;0,EUconst_NA,SUMIF('G_Fall-back'!$S:$S,$P107,'G_Fall-back'!W:W)),""),"")</f>
        <v/>
      </c>
      <c r="L107" s="1643" t="str">
        <f>IF(ISNUMBER(D_Emissions!L$35),IF(INDEX(CNTR_FallBackSubInstRelevant,$Q107),IF(SUMIF('G_Fall-back'!$S:$S,$S107,'G_Fall-back'!X:X)&gt;0,EUconst_NA,SUMIF('G_Fall-back'!$S:$S,$P107,'G_Fall-back'!X:X)),""),"")</f>
        <v/>
      </c>
      <c r="M107" s="1643" t="str">
        <f>IF(ISNUMBER(D_Emissions!M$35),IF(INDEX(CNTR_FallBackSubInstRelevant,$Q107),IF(SUMIF('G_Fall-back'!$S:$S,$S107,'G_Fall-back'!Y:Y)&gt;0,EUconst_NA,SUMIF('G_Fall-back'!$S:$S,$P107,'G_Fall-back'!Y:Y)),""),"")</f>
        <v/>
      </c>
      <c r="N107" s="1643" t="str">
        <f>IF(ISNUMBER(D_Emissions!N$35),IF(INDEX(CNTR_FallBackSubInstRelevant,$Q107),IF(SUMIF('G_Fall-back'!$S:$S,$S107,'G_Fall-back'!Z:Z)&gt;0,EUconst_NA,SUMIF('G_Fall-back'!$S:$S,$P107,'G_Fall-back'!Z:Z)),""),"")</f>
        <v/>
      </c>
      <c r="O107" s="698"/>
      <c r="P107" s="1029" t="str">
        <f t="shared" si="8"/>
        <v>AttrEmissions_Подинсталация с топлинен показател (с риск от ИВЕ | в рамките на МКВЕГ)</v>
      </c>
      <c r="Q107" s="1636">
        <v>3</v>
      </c>
      <c r="R107" s="694"/>
      <c r="S107" s="982" t="str">
        <f t="shared" si="9"/>
        <v>ERR_AttrEmBM_Подинсталация с топлинен показател (с риск от ИВЕ | в рамките на МКВЕГ)</v>
      </c>
      <c r="T107" s="694"/>
      <c r="U107" s="343"/>
      <c r="V107" s="343"/>
    </row>
    <row r="108" spans="1:22" ht="12.75" customHeight="1" x14ac:dyDescent="0.25">
      <c r="A108" s="694"/>
      <c r="B108" s="698"/>
      <c r="C108" s="698"/>
      <c r="D108" s="360"/>
      <c r="E108" s="2702" t="str">
        <f t="shared" ref="E108:E110" si="11">INDEX(EUconst_FallBackListNames,Q108)</f>
        <v>Подинсталация на топлофикационна мрежа</v>
      </c>
      <c r="F108" s="2703"/>
      <c r="G108" s="1095" t="str">
        <f t="shared" si="7"/>
        <v>t CO2e/година</v>
      </c>
      <c r="H108" s="1643" t="str">
        <f>IF(ISNUMBER(D_Emissions!H$35),IF(INDEX(CNTR_FallBackSubInstRelevant,$Q108),IF(SUMIF('G_Fall-back'!$S:$S,$S108,'G_Fall-back'!T:T)&gt;0,EUconst_NA,SUMIF('G_Fall-back'!$S:$S,$P108,'G_Fall-back'!T:T)),""),"")</f>
        <v/>
      </c>
      <c r="I108" s="1643" t="str">
        <f>IF(ISNUMBER(D_Emissions!I$35),IF(INDEX(CNTR_FallBackSubInstRelevant,$Q108),IF(SUMIF('G_Fall-back'!$S:$S,$S108,'G_Fall-back'!U:U)&gt;0,EUconst_NA,SUMIF('G_Fall-back'!$S:$S,$P108,'G_Fall-back'!U:U)),""),"")</f>
        <v/>
      </c>
      <c r="J108" s="1643" t="str">
        <f>IF(ISNUMBER(D_Emissions!J$35),IF(INDEX(CNTR_FallBackSubInstRelevant,$Q108),IF(SUMIF('G_Fall-back'!$S:$S,$S108,'G_Fall-back'!V:V)&gt;0,EUconst_NA,SUMIF('G_Fall-back'!$S:$S,$P108,'G_Fall-back'!V:V)),""),"")</f>
        <v/>
      </c>
      <c r="K108" s="1643" t="str">
        <f>IF(ISNUMBER(D_Emissions!K$35),IF(INDEX(CNTR_FallBackSubInstRelevant,$Q108),IF(SUMIF('G_Fall-back'!$S:$S,$S108,'G_Fall-back'!W:W)&gt;0,EUconst_NA,SUMIF('G_Fall-back'!$S:$S,$P108,'G_Fall-back'!W:W)),""),"")</f>
        <v/>
      </c>
      <c r="L108" s="1643" t="str">
        <f>IF(ISNUMBER(D_Emissions!L$35),IF(INDEX(CNTR_FallBackSubInstRelevant,$Q108),IF(SUMIF('G_Fall-back'!$S:$S,$S108,'G_Fall-back'!X:X)&gt;0,EUconst_NA,SUMIF('G_Fall-back'!$S:$S,$P108,'G_Fall-back'!X:X)),""),"")</f>
        <v/>
      </c>
      <c r="M108" s="1643" t="str">
        <f>IF(ISNUMBER(D_Emissions!M$35),IF(INDEX(CNTR_FallBackSubInstRelevant,$Q108),IF(SUMIF('G_Fall-back'!$S:$S,$S108,'G_Fall-back'!Y:Y)&gt;0,EUconst_NA,SUMIF('G_Fall-back'!$S:$S,$P108,'G_Fall-back'!Y:Y)),""),"")</f>
        <v/>
      </c>
      <c r="N108" s="1643" t="str">
        <f>IF(ISNUMBER(D_Emissions!N$35),IF(INDEX(CNTR_FallBackSubInstRelevant,$Q108),IF(SUMIF('G_Fall-back'!$S:$S,$S108,'G_Fall-back'!Z:Z)&gt;0,EUconst_NA,SUMIF('G_Fall-back'!$S:$S,$P108,'G_Fall-back'!Z:Z)),""),"")</f>
        <v/>
      </c>
      <c r="O108" s="698"/>
      <c r="P108" s="1029" t="str">
        <f t="shared" si="8"/>
        <v>AttrEmissions_Подинсталация на топлофикационна мрежа</v>
      </c>
      <c r="Q108" s="1639">
        <v>4</v>
      </c>
      <c r="R108" s="694"/>
      <c r="S108" s="982" t="str">
        <f t="shared" si="9"/>
        <v>ERR_AttrEmBM_Подинсталация на топлофикационна мрежа</v>
      </c>
      <c r="T108" s="694"/>
      <c r="U108" s="343"/>
      <c r="V108" s="343"/>
    </row>
    <row r="109" spans="1:22" ht="12.75" customHeight="1" x14ac:dyDescent="0.25">
      <c r="A109" s="694"/>
      <c r="B109" s="698"/>
      <c r="C109" s="698"/>
      <c r="D109" s="360"/>
      <c r="E109" s="2702" t="str">
        <f t="shared" si="11"/>
        <v>Подинсталация с горивен показател (с риск от ИВЕ | извън МКВЕГ)</v>
      </c>
      <c r="F109" s="2703"/>
      <c r="G109" s="1095" t="str">
        <f t="shared" si="7"/>
        <v>t CO2e/година</v>
      </c>
      <c r="H109" s="1643" t="str">
        <f>IF(ISNUMBER(D_Emissions!H$35),IF(INDEX(CNTR_FallBackSubInstRelevant,$Q109),IF(SUMIF('G_Fall-back'!$S:$S,$S109,'G_Fall-back'!T:T)&gt;0,EUconst_NA,SUMIF('G_Fall-back'!$S:$S,$P109,'G_Fall-back'!T:T)),""),"")</f>
        <v/>
      </c>
      <c r="I109" s="1643" t="str">
        <f>IF(ISNUMBER(D_Emissions!I$35),IF(INDEX(CNTR_FallBackSubInstRelevant,$Q109),IF(SUMIF('G_Fall-back'!$S:$S,$S109,'G_Fall-back'!U:U)&gt;0,EUconst_NA,SUMIF('G_Fall-back'!$S:$S,$P109,'G_Fall-back'!U:U)),""),"")</f>
        <v/>
      </c>
      <c r="J109" s="1643" t="str">
        <f>IF(ISNUMBER(D_Emissions!J$35),IF(INDEX(CNTR_FallBackSubInstRelevant,$Q109),IF(SUMIF('G_Fall-back'!$S:$S,$S109,'G_Fall-back'!V:V)&gt;0,EUconst_NA,SUMIF('G_Fall-back'!$S:$S,$P109,'G_Fall-back'!V:V)),""),"")</f>
        <v/>
      </c>
      <c r="K109" s="1643" t="str">
        <f>IF(ISNUMBER(D_Emissions!K$35),IF(INDEX(CNTR_FallBackSubInstRelevant,$Q109),IF(SUMIF('G_Fall-back'!$S:$S,$S109,'G_Fall-back'!W:W)&gt;0,EUconst_NA,SUMIF('G_Fall-back'!$S:$S,$P109,'G_Fall-back'!W:W)),""),"")</f>
        <v/>
      </c>
      <c r="L109" s="1643" t="str">
        <f>IF(ISNUMBER(D_Emissions!L$35),IF(INDEX(CNTR_FallBackSubInstRelevant,$Q109),IF(SUMIF('G_Fall-back'!$S:$S,$S109,'G_Fall-back'!X:X)&gt;0,EUconst_NA,SUMIF('G_Fall-back'!$S:$S,$P109,'G_Fall-back'!X:X)),""),"")</f>
        <v/>
      </c>
      <c r="M109" s="1643" t="str">
        <f>IF(ISNUMBER(D_Emissions!M$35),IF(INDEX(CNTR_FallBackSubInstRelevant,$Q109),IF(SUMIF('G_Fall-back'!$S:$S,$S109,'G_Fall-back'!Y:Y)&gt;0,EUconst_NA,SUMIF('G_Fall-back'!$S:$S,$P109,'G_Fall-back'!Y:Y)),""),"")</f>
        <v/>
      </c>
      <c r="N109" s="1643" t="str">
        <f>IF(ISNUMBER(D_Emissions!N$35),IF(INDEX(CNTR_FallBackSubInstRelevant,$Q109),IF(SUMIF('G_Fall-back'!$S:$S,$S109,'G_Fall-back'!Z:Z)&gt;0,EUconst_NA,SUMIF('G_Fall-back'!$S:$S,$P109,'G_Fall-back'!Z:Z)),""),"")</f>
        <v/>
      </c>
      <c r="O109" s="698"/>
      <c r="P109" s="1029" t="str">
        <f t="shared" si="8"/>
        <v>AttrEmissions_Подинсталация с горивен показател (с риск от ИВЕ | извън МКВЕГ)</v>
      </c>
      <c r="Q109" s="1639">
        <v>5</v>
      </c>
      <c r="R109" s="694"/>
      <c r="S109" s="982" t="str">
        <f t="shared" si="9"/>
        <v>ERR_AttrEmBM_Подинсталация с горивен показател (с риск от ИВЕ | извън МКВЕГ)</v>
      </c>
      <c r="T109" s="694"/>
      <c r="U109" s="343"/>
      <c r="V109" s="343"/>
    </row>
    <row r="110" spans="1:22" ht="12.75" customHeight="1" x14ac:dyDescent="0.25">
      <c r="A110" s="694"/>
      <c r="B110" s="698"/>
      <c r="C110" s="698"/>
      <c r="D110" s="360"/>
      <c r="E110" s="2702" t="str">
        <f t="shared" si="11"/>
        <v>Подинсталация с горивен показател (без риск от ИВЕ | извън МКВЕГ)</v>
      </c>
      <c r="F110" s="2703"/>
      <c r="G110" s="1095" t="str">
        <f t="shared" si="7"/>
        <v>t CO2e/година</v>
      </c>
      <c r="H110" s="1643" t="str">
        <f>IF(ISNUMBER(D_Emissions!H$35),IF(INDEX(CNTR_FallBackSubInstRelevant,$Q110),IF(SUMIF('G_Fall-back'!$S:$S,$S110,'G_Fall-back'!T:T)&gt;0,EUconst_NA,SUMIF('G_Fall-back'!$S:$S,$P110,'G_Fall-back'!T:T)),""),"")</f>
        <v/>
      </c>
      <c r="I110" s="1643" t="str">
        <f>IF(ISNUMBER(D_Emissions!I$35),IF(INDEX(CNTR_FallBackSubInstRelevant,$Q110),IF(SUMIF('G_Fall-back'!$S:$S,$S110,'G_Fall-back'!U:U)&gt;0,EUconst_NA,SUMIF('G_Fall-back'!$S:$S,$P110,'G_Fall-back'!U:U)),""),"")</f>
        <v/>
      </c>
      <c r="J110" s="1643" t="str">
        <f>IF(ISNUMBER(D_Emissions!J$35),IF(INDEX(CNTR_FallBackSubInstRelevant,$Q110),IF(SUMIF('G_Fall-back'!$S:$S,$S110,'G_Fall-back'!V:V)&gt;0,EUconst_NA,SUMIF('G_Fall-back'!$S:$S,$P110,'G_Fall-back'!V:V)),""),"")</f>
        <v/>
      </c>
      <c r="K110" s="1643" t="str">
        <f>IF(ISNUMBER(D_Emissions!K$35),IF(INDEX(CNTR_FallBackSubInstRelevant,$Q110),IF(SUMIF('G_Fall-back'!$S:$S,$S110,'G_Fall-back'!W:W)&gt;0,EUconst_NA,SUMIF('G_Fall-back'!$S:$S,$P110,'G_Fall-back'!W:W)),""),"")</f>
        <v/>
      </c>
      <c r="L110" s="1643" t="str">
        <f>IF(ISNUMBER(D_Emissions!L$35),IF(INDEX(CNTR_FallBackSubInstRelevant,$Q110),IF(SUMIF('G_Fall-back'!$S:$S,$S110,'G_Fall-back'!X:X)&gt;0,EUconst_NA,SUMIF('G_Fall-back'!$S:$S,$P110,'G_Fall-back'!X:X)),""),"")</f>
        <v/>
      </c>
      <c r="M110" s="1643" t="str">
        <f>IF(ISNUMBER(D_Emissions!M$35),IF(INDEX(CNTR_FallBackSubInstRelevant,$Q110),IF(SUMIF('G_Fall-back'!$S:$S,$S110,'G_Fall-back'!Y:Y)&gt;0,EUconst_NA,SUMIF('G_Fall-back'!$S:$S,$P110,'G_Fall-back'!Y:Y)),""),"")</f>
        <v/>
      </c>
      <c r="N110" s="1643" t="str">
        <f>IF(ISNUMBER(D_Emissions!N$35),IF(INDEX(CNTR_FallBackSubInstRelevant,$Q110),IF(SUMIF('G_Fall-back'!$S:$S,$S110,'G_Fall-back'!Z:Z)&gt;0,EUconst_NA,SUMIF('G_Fall-back'!$S:$S,$P110,'G_Fall-back'!Z:Z)),""),"")</f>
        <v/>
      </c>
      <c r="O110" s="698"/>
      <c r="P110" s="1029" t="str">
        <f t="shared" si="8"/>
        <v>AttrEmissions_Подинсталация с горивен показател (без риск от ИВЕ | извън МКВЕГ)</v>
      </c>
      <c r="Q110" s="1639">
        <v>6</v>
      </c>
      <c r="R110" s="694"/>
      <c r="S110" s="982" t="str">
        <f t="shared" si="9"/>
        <v>ERR_AttrEmBM_Подинсталация с горивен показател (без риск от ИВЕ | извън МКВЕГ)</v>
      </c>
      <c r="T110" s="694"/>
      <c r="U110" s="343"/>
      <c r="V110" s="343"/>
    </row>
    <row r="111" spans="1:22" ht="12.75" customHeight="1" thickBot="1" x14ac:dyDescent="0.3">
      <c r="A111" s="694"/>
      <c r="B111" s="698"/>
      <c r="C111" s="698"/>
      <c r="D111" s="360"/>
      <c r="E111" s="3005" t="str">
        <f t="shared" si="10"/>
        <v>Подинсталация с горивен показател (с риск от ИВЕ | в рамките на МКВЕГ)</v>
      </c>
      <c r="F111" s="3006"/>
      <c r="G111" s="1642" t="str">
        <f t="shared" si="7"/>
        <v>t CO2e/година</v>
      </c>
      <c r="H111" s="1643" t="str">
        <f>IF(ISNUMBER(D_Emissions!H$35),IF(INDEX(CNTR_FallBackSubInstRelevant,$Q111),IF(SUMIF('G_Fall-back'!$S:$S,$S111,'G_Fall-back'!T:T)&gt;0,EUconst_NA,SUMIF('G_Fall-back'!$S:$S,$P111,'G_Fall-back'!T:T)),""),"")</f>
        <v/>
      </c>
      <c r="I111" s="1643" t="str">
        <f>IF(ISNUMBER(D_Emissions!I$35),IF(INDEX(CNTR_FallBackSubInstRelevant,$Q111),IF(SUMIF('G_Fall-back'!$S:$S,$S111,'G_Fall-back'!U:U)&gt;0,EUconst_NA,SUMIF('G_Fall-back'!$S:$S,$P111,'G_Fall-back'!U:U)),""),"")</f>
        <v/>
      </c>
      <c r="J111" s="1643" t="str">
        <f>IF(ISNUMBER(D_Emissions!J$35),IF(INDEX(CNTR_FallBackSubInstRelevant,$Q111),IF(SUMIF('G_Fall-back'!$S:$S,$S111,'G_Fall-back'!V:V)&gt;0,EUconst_NA,SUMIF('G_Fall-back'!$S:$S,$P111,'G_Fall-back'!V:V)),""),"")</f>
        <v/>
      </c>
      <c r="K111" s="1643" t="str">
        <f>IF(ISNUMBER(D_Emissions!K$35),IF(INDEX(CNTR_FallBackSubInstRelevant,$Q111),IF(SUMIF('G_Fall-back'!$S:$S,$S111,'G_Fall-back'!W:W)&gt;0,EUconst_NA,SUMIF('G_Fall-back'!$S:$S,$P111,'G_Fall-back'!W:W)),""),"")</f>
        <v/>
      </c>
      <c r="L111" s="1643" t="str">
        <f>IF(ISNUMBER(D_Emissions!L$35),IF(INDEX(CNTR_FallBackSubInstRelevant,$Q111),IF(SUMIF('G_Fall-back'!$S:$S,$S111,'G_Fall-back'!X:X)&gt;0,EUconst_NA,SUMIF('G_Fall-back'!$S:$S,$P111,'G_Fall-back'!X:X)),""),"")</f>
        <v/>
      </c>
      <c r="M111" s="1643" t="str">
        <f>IF(ISNUMBER(D_Emissions!M$35),IF(INDEX(CNTR_FallBackSubInstRelevant,$Q111),IF(SUMIF('G_Fall-back'!$S:$S,$S111,'G_Fall-back'!Y:Y)&gt;0,EUconst_NA,SUMIF('G_Fall-back'!$S:$S,$P111,'G_Fall-back'!Y:Y)),""),"")</f>
        <v/>
      </c>
      <c r="N111" s="1643" t="str">
        <f>IF(ISNUMBER(D_Emissions!N$35),IF(INDEX(CNTR_FallBackSubInstRelevant,$Q111),IF(SUMIF('G_Fall-back'!$S:$S,$S111,'G_Fall-back'!Z:Z)&gt;0,EUconst_NA,SUMIF('G_Fall-back'!$S:$S,$P111,'G_Fall-back'!Z:Z)),""),"")</f>
        <v/>
      </c>
      <c r="O111" s="698"/>
      <c r="P111" s="1029" t="str">
        <f t="shared" si="8"/>
        <v>AttrEmissions_Подинсталация с горивен показател (с риск от ИВЕ | в рамките на МКВЕГ)</v>
      </c>
      <c r="Q111" s="1639">
        <v>7</v>
      </c>
      <c r="R111" s="694"/>
      <c r="S111" s="982" t="str">
        <f t="shared" si="9"/>
        <v>ERR_AttrEmBM_Подинсталация с горивен показател (с риск от ИВЕ | в рамките на МКВЕГ)</v>
      </c>
      <c r="T111" s="694"/>
      <c r="U111" s="343"/>
      <c r="V111" s="343"/>
    </row>
    <row r="112" spans="1:22" ht="12.75" customHeight="1" x14ac:dyDescent="0.25">
      <c r="A112" s="694"/>
      <c r="B112" s="698"/>
      <c r="C112" s="698"/>
      <c r="D112" s="360"/>
      <c r="E112" s="3002" t="str">
        <f t="shared" si="10"/>
        <v>Подинсталация с емисии от процеси (с риск от ИВЕ | извън МКВЕГ)</v>
      </c>
      <c r="F112" s="3007"/>
      <c r="G112" s="1644" t="str">
        <f t="shared" si="7"/>
        <v>t CO2e/година</v>
      </c>
      <c r="H112" s="469" t="str">
        <f>IF(ISNUMBER(D_Emissions!H$35),IF(INDEX(CNTR_FallBackSubInstRelevant,$Q112),SUMIF('G_Fall-back'!$Q:$Q,$P112,'G_Fall-back'!H:H),""),"")</f>
        <v/>
      </c>
      <c r="I112" s="469" t="str">
        <f>IF(ISNUMBER(D_Emissions!I$35),IF(INDEX(CNTR_FallBackSubInstRelevant,$Q112),SUMIF('G_Fall-back'!$Q:$Q,$P112,'G_Fall-back'!I:I),""),"")</f>
        <v/>
      </c>
      <c r="J112" s="469" t="str">
        <f>IF(ISNUMBER(D_Emissions!J$35),IF(INDEX(CNTR_FallBackSubInstRelevant,$Q112),SUMIF('G_Fall-back'!$Q:$Q,$P112,'G_Fall-back'!J:J),""),"")</f>
        <v/>
      </c>
      <c r="K112" s="469" t="str">
        <f>IF(ISNUMBER(D_Emissions!K$35),IF(INDEX(CNTR_FallBackSubInstRelevant,$Q112),SUMIF('G_Fall-back'!$Q:$Q,$P112,'G_Fall-back'!K:K),""),"")</f>
        <v/>
      </c>
      <c r="L112" s="469" t="str">
        <f>IF(ISNUMBER(D_Emissions!L$35),IF(INDEX(CNTR_FallBackSubInstRelevant,$Q112),SUMIF('G_Fall-back'!$Q:$Q,$P112,'G_Fall-back'!L:L),""),"")</f>
        <v/>
      </c>
      <c r="M112" s="469" t="str">
        <f>IF(ISNUMBER(D_Emissions!M$35),IF(INDEX(CNTR_FallBackSubInstRelevant,$Q112),SUMIF('G_Fall-back'!$Q:$Q,$P112,'G_Fall-back'!M:M),""),"")</f>
        <v/>
      </c>
      <c r="N112" s="470" t="str">
        <f>IF(ISNUMBER(D_Emissions!N$35),IF(INDEX(CNTR_FallBackSubInstRelevant,$Q112),SUMIF('G_Fall-back'!$Q:$Q,$P112,'G_Fall-back'!N:N),""),"")</f>
        <v/>
      </c>
      <c r="O112" s="698"/>
      <c r="P112" s="1647" t="str">
        <f>EUconst_CNTR_HAL &amp; E112</f>
        <v>HAL_Подинсталация с емисии от процеси (с риск от ИВЕ | извън МКВЕГ)</v>
      </c>
      <c r="Q112" s="1648">
        <v>8</v>
      </c>
      <c r="R112" s="694"/>
      <c r="S112" s="982" t="str">
        <f t="shared" si="9"/>
        <v>ERR_AttrEmBM_Подинсталация с емисии от процеси (с риск от ИВЕ | извън МКВЕГ)</v>
      </c>
      <c r="T112" s="694"/>
      <c r="U112" s="343"/>
      <c r="V112" s="343"/>
    </row>
    <row r="113" spans="1:22" ht="12.75" customHeight="1" x14ac:dyDescent="0.25">
      <c r="A113" s="694"/>
      <c r="B113" s="698"/>
      <c r="C113" s="698"/>
      <c r="D113" s="360"/>
      <c r="E113" s="3044" t="str">
        <f t="shared" si="10"/>
        <v>Подинсталация с емисии от процеси (без риск от ИВЕ | извън МКВЕГ)</v>
      </c>
      <c r="F113" s="2703"/>
      <c r="G113" s="451" t="str">
        <f t="shared" si="7"/>
        <v>t CO2e/година</v>
      </c>
      <c r="H113" s="472" t="str">
        <f>IF(ISNUMBER(D_Emissions!H$35),IF(INDEX(CNTR_FallBackSubInstRelevant,$Q113),SUMIF('G_Fall-back'!$Q:$Q,$P113,'G_Fall-back'!H:H),""),"")</f>
        <v/>
      </c>
      <c r="I113" s="472" t="str">
        <f>IF(ISNUMBER(D_Emissions!I$35),IF(INDEX(CNTR_FallBackSubInstRelevant,$Q113),SUMIF('G_Fall-back'!$Q:$Q,$P113,'G_Fall-back'!I:I),""),"")</f>
        <v/>
      </c>
      <c r="J113" s="472" t="str">
        <f>IF(ISNUMBER(D_Emissions!J$35),IF(INDEX(CNTR_FallBackSubInstRelevant,$Q113),SUMIF('G_Fall-back'!$Q:$Q,$P113,'G_Fall-back'!J:J),""),"")</f>
        <v/>
      </c>
      <c r="K113" s="472" t="str">
        <f>IF(ISNUMBER(D_Emissions!K$35),IF(INDEX(CNTR_FallBackSubInstRelevant,$Q113),SUMIF('G_Fall-back'!$Q:$Q,$P113,'G_Fall-back'!K:K),""),"")</f>
        <v/>
      </c>
      <c r="L113" s="472" t="str">
        <f>IF(ISNUMBER(D_Emissions!L$35),IF(INDEX(CNTR_FallBackSubInstRelevant,$Q113),SUMIF('G_Fall-back'!$Q:$Q,$P113,'G_Fall-back'!L:L),""),"")</f>
        <v/>
      </c>
      <c r="M113" s="472" t="str">
        <f>IF(ISNUMBER(D_Emissions!M$35),IF(INDEX(CNTR_FallBackSubInstRelevant,$Q113),SUMIF('G_Fall-back'!$Q:$Q,$P113,'G_Fall-back'!M:M),""),"")</f>
        <v/>
      </c>
      <c r="N113" s="473" t="str">
        <f>IF(ISNUMBER(D_Emissions!N$35),IF(INDEX(CNTR_FallBackSubInstRelevant,$Q113),SUMIF('G_Fall-back'!$Q:$Q,$P113,'G_Fall-back'!N:N),""),"")</f>
        <v/>
      </c>
      <c r="O113" s="698"/>
      <c r="P113" s="1649" t="str">
        <f>EUconst_CNTR_HAL &amp; E113</f>
        <v>HAL_Подинсталация с емисии от процеси (без риск от ИВЕ | извън МКВЕГ)</v>
      </c>
      <c r="Q113" s="1639">
        <v>9</v>
      </c>
      <c r="R113" s="694"/>
      <c r="S113" s="982" t="str">
        <f t="shared" si="9"/>
        <v>ERR_AttrEmBM_Подинсталация с емисии от процеси (без риск от ИВЕ | извън МКВЕГ)</v>
      </c>
      <c r="T113" s="694"/>
      <c r="U113" s="343"/>
      <c r="V113" s="343"/>
    </row>
    <row r="114" spans="1:22" ht="13.5" customHeight="1" thickBot="1" x14ac:dyDescent="0.3">
      <c r="A114" s="694"/>
      <c r="B114" s="698"/>
      <c r="C114" s="698"/>
      <c r="D114" s="360"/>
      <c r="E114" s="3000" t="str">
        <f t="shared" si="10"/>
        <v>Подинсталация с емисии от процеси (с риск от ИВЕ | в рамките на МКВЕГ)</v>
      </c>
      <c r="F114" s="3001"/>
      <c r="G114" s="456" t="str">
        <f t="shared" si="7"/>
        <v>t CO2e/година</v>
      </c>
      <c r="H114" s="475" t="str">
        <f>IF(ISNUMBER(D_Emissions!H$35),IF(INDEX(CNTR_FallBackSubInstRelevant,$Q114),SUMIF('G_Fall-back'!$Q:$Q,$P114,'G_Fall-back'!H:H),""),"")</f>
        <v/>
      </c>
      <c r="I114" s="475" t="str">
        <f>IF(ISNUMBER(D_Emissions!I$35),IF(INDEX(CNTR_FallBackSubInstRelevant,$Q114),SUMIF('G_Fall-back'!$Q:$Q,$P114,'G_Fall-back'!I:I),""),"")</f>
        <v/>
      </c>
      <c r="J114" s="475" t="str">
        <f>IF(ISNUMBER(D_Emissions!J$35),IF(INDEX(CNTR_FallBackSubInstRelevant,$Q114),SUMIF('G_Fall-back'!$Q:$Q,$P114,'G_Fall-back'!J:J),""),"")</f>
        <v/>
      </c>
      <c r="K114" s="475" t="str">
        <f>IF(ISNUMBER(D_Emissions!K$35),IF(INDEX(CNTR_FallBackSubInstRelevant,$Q114),SUMIF('G_Fall-back'!$Q:$Q,$P114,'G_Fall-back'!K:K),""),"")</f>
        <v/>
      </c>
      <c r="L114" s="475" t="str">
        <f>IF(ISNUMBER(D_Emissions!L$35),IF(INDEX(CNTR_FallBackSubInstRelevant,$Q114),SUMIF('G_Fall-back'!$Q:$Q,$P114,'G_Fall-back'!L:L),""),"")</f>
        <v/>
      </c>
      <c r="M114" s="475" t="str">
        <f>IF(ISNUMBER(D_Emissions!M$35),IF(INDEX(CNTR_FallBackSubInstRelevant,$Q114),SUMIF('G_Fall-back'!$Q:$Q,$P114,'G_Fall-back'!M:M),""),"")</f>
        <v/>
      </c>
      <c r="N114" s="476" t="str">
        <f>IF(ISNUMBER(D_Emissions!N$35),IF(INDEX(CNTR_FallBackSubInstRelevant,$Q114),SUMIF('G_Fall-back'!$Q:$Q,$P114,'G_Fall-back'!N:N),""),"")</f>
        <v/>
      </c>
      <c r="O114" s="698"/>
      <c r="P114" s="1650" t="str">
        <f>EUconst_CNTR_HAL &amp; E114</f>
        <v>HAL_Подинсталация с емисии от процеси (с риск от ИВЕ | в рамките на МКВЕГ)</v>
      </c>
      <c r="Q114" s="1641">
        <v>10</v>
      </c>
      <c r="R114" s="694"/>
      <c r="S114" s="982" t="str">
        <f t="shared" si="9"/>
        <v>ERR_AttrEmBM_Подинсталация с емисии от процеси (с риск от ИВЕ | в рамките на МКВЕГ)</v>
      </c>
      <c r="T114" s="694"/>
      <c r="U114" s="343"/>
      <c r="V114" s="343"/>
    </row>
    <row r="115" spans="1:22" ht="12.65" customHeight="1" x14ac:dyDescent="0.25">
      <c r="A115" s="694"/>
      <c r="B115" s="698"/>
      <c r="C115" s="698"/>
      <c r="D115" s="360"/>
      <c r="E115" s="2998" t="str">
        <f>Translations!$B$923</f>
        <v>Проверка: Други емисии</v>
      </c>
      <c r="F115" s="2999"/>
      <c r="G115" s="1640" t="str">
        <f t="shared" si="7"/>
        <v>t CO2e/година</v>
      </c>
      <c r="H115" s="1102" t="str">
        <f>IF(ISNUMBER(D_Emissions!H$35),IF(COUNTIF(H95:H114,EUconst_NA)&gt;0,EUconst_NA,D_Emissions!H$35-SUM(H95:H114)),"")</f>
        <v/>
      </c>
      <c r="I115" s="1102" t="str">
        <f>IF(ISNUMBER(D_Emissions!I$35),IF(COUNTIF(I95:I114,EUconst_NA)&gt;0,EUconst_NA,D_Emissions!I$35-SUM(I95:I114)),"")</f>
        <v/>
      </c>
      <c r="J115" s="1102" t="str">
        <f>IF(ISNUMBER(D_Emissions!J$35),IF(COUNTIF(J95:J114,EUconst_NA)&gt;0,EUconst_NA,D_Emissions!J$35-SUM(J95:J114)),"")</f>
        <v/>
      </c>
      <c r="K115" s="1102" t="str">
        <f>IF(ISNUMBER(D_Emissions!K$35),IF(COUNTIF(K95:K114,EUconst_NA)&gt;0,EUconst_NA,D_Emissions!K$35-SUM(K95:K114)),"")</f>
        <v/>
      </c>
      <c r="L115" s="1102" t="str">
        <f>IF(ISNUMBER(D_Emissions!L$35),IF(COUNTIF(L95:L114,EUconst_NA)&gt;0,EUconst_NA,D_Emissions!L$35-SUM(L95:L114)),"")</f>
        <v/>
      </c>
      <c r="M115" s="1102" t="str">
        <f>IF(ISNUMBER(D_Emissions!M$35),IF(COUNTIF(M95:M114,EUconst_NA)&gt;0,EUconst_NA,D_Emissions!M$35-SUM(M95:M114)),"")</f>
        <v/>
      </c>
      <c r="N115" s="1102" t="str">
        <f>IF(ISNUMBER(D_Emissions!N$35),IF(COUNTIF(N95:N114,EUconst_NA)&gt;0,EUconst_NA,D_Emissions!N$35-SUM(N95:N114)),"")</f>
        <v/>
      </c>
      <c r="O115" s="698"/>
      <c r="P115" s="1018"/>
      <c r="Q115" s="694"/>
      <c r="R115" s="694"/>
      <c r="S115" s="694"/>
      <c r="T115" s="694"/>
      <c r="U115" s="343"/>
      <c r="V115" s="343"/>
    </row>
    <row r="116" spans="1:22" x14ac:dyDescent="0.25">
      <c r="A116" s="694"/>
      <c r="B116" s="284"/>
      <c r="C116" s="284"/>
      <c r="D116" s="302"/>
      <c r="E116" s="460"/>
      <c r="F116" s="460"/>
      <c r="G116" s="460"/>
      <c r="H116" s="725"/>
      <c r="I116" s="460"/>
      <c r="J116" s="329"/>
      <c r="K116" s="329"/>
      <c r="L116" s="329"/>
      <c r="M116" s="336"/>
      <c r="N116" s="336"/>
      <c r="O116" s="698"/>
      <c r="P116" s="1651"/>
      <c r="Q116" s="694"/>
      <c r="R116" s="694"/>
      <c r="S116" s="694"/>
      <c r="T116" s="694"/>
      <c r="U116" s="343"/>
      <c r="V116" s="343"/>
    </row>
    <row r="117" spans="1:22" ht="13" x14ac:dyDescent="0.25">
      <c r="A117" s="694"/>
      <c r="B117" s="698"/>
      <c r="C117" s="698"/>
      <c r="D117" s="698"/>
      <c r="E117" s="2671" t="str">
        <f t="shared" ref="E117:E129" si="12">E94</f>
        <v>Данни на равнище подинсталация:</v>
      </c>
      <c r="F117" s="2672"/>
      <c r="G117" s="390" t="str">
        <f>EUconst_Unit</f>
        <v>Единица мярка</v>
      </c>
      <c r="H117" s="391">
        <f t="shared" ref="H117:N117" si="13">H$2505</f>
        <v>2024</v>
      </c>
      <c r="I117" s="391">
        <f t="shared" si="13"/>
        <v>2025</v>
      </c>
      <c r="J117" s="391">
        <f t="shared" si="13"/>
        <v>2026</v>
      </c>
      <c r="K117" s="391">
        <f t="shared" si="13"/>
        <v>2027</v>
      </c>
      <c r="L117" s="391">
        <f t="shared" si="13"/>
        <v>2028</v>
      </c>
      <c r="M117" s="391">
        <f t="shared" si="13"/>
        <v>2029</v>
      </c>
      <c r="N117" s="391">
        <f t="shared" si="13"/>
        <v>2030</v>
      </c>
      <c r="O117" s="698"/>
      <c r="P117" s="1651"/>
      <c r="Q117" s="694"/>
      <c r="R117" s="694"/>
      <c r="S117" s="694"/>
      <c r="T117" s="694"/>
      <c r="U117" s="343"/>
      <c r="V117" s="343"/>
    </row>
    <row r="118" spans="1:22" ht="12.65" customHeight="1" x14ac:dyDescent="0.25">
      <c r="A118" s="694"/>
      <c r="B118" s="698"/>
      <c r="C118" s="698"/>
      <c r="D118" s="360"/>
      <c r="E118" s="3045" t="str">
        <f t="shared" si="12"/>
        <v/>
      </c>
      <c r="F118" s="2701"/>
      <c r="G118" s="429" t="s">
        <v>1053</v>
      </c>
      <c r="H118" s="1103" t="str">
        <f>IF(H95=EUconst_NA,EUconst_NA,IF(AND(ISNUMBER(D_Emissions!H$35),H95&lt;&gt;""),H95/D_Emissions!H$35*100,""))</f>
        <v/>
      </c>
      <c r="I118" s="1103" t="str">
        <f>IF(I95=EUconst_NA,EUconst_NA,IF(AND(ISNUMBER(D_Emissions!I$35),I95&lt;&gt;""),I95/D_Emissions!I$35*100,""))</f>
        <v/>
      </c>
      <c r="J118" s="1103" t="str">
        <f>IF(J95=EUconst_NA,EUconst_NA,IF(AND(ISNUMBER(D_Emissions!J$35),J95&lt;&gt;""),J95/D_Emissions!J$35*100,""))</f>
        <v/>
      </c>
      <c r="K118" s="1103" t="str">
        <f>IF(K95=EUconst_NA,EUconst_NA,IF(AND(ISNUMBER(D_Emissions!K$35),K95&lt;&gt;""),K95/D_Emissions!K$35*100,""))</f>
        <v/>
      </c>
      <c r="L118" s="1103" t="str">
        <f>IF(L95=EUconst_NA,EUconst_NA,IF(AND(ISNUMBER(D_Emissions!L$35),L95&lt;&gt;""),L95/D_Emissions!L$35*100,""))</f>
        <v/>
      </c>
      <c r="M118" s="1103" t="str">
        <f>IF(M95=EUconst_NA,EUconst_NA,IF(AND(ISNUMBER(D_Emissions!M$35),M95&lt;&gt;""),M95/D_Emissions!M$35*100,""))</f>
        <v/>
      </c>
      <c r="N118" s="1103" t="str">
        <f>IF(N95=EUconst_NA,EUconst_NA,IF(AND(ISNUMBER(D_Emissions!N$35),N95&lt;&gt;""),N95/D_Emissions!N$35*100,""))</f>
        <v/>
      </c>
      <c r="O118" s="698"/>
      <c r="P118" s="1651"/>
      <c r="Q118" s="694"/>
      <c r="R118" s="694"/>
      <c r="S118" s="694"/>
      <c r="T118" s="694"/>
      <c r="U118" s="343"/>
      <c r="V118" s="343"/>
    </row>
    <row r="119" spans="1:22" x14ac:dyDescent="0.25">
      <c r="A119" s="694"/>
      <c r="B119" s="698"/>
      <c r="C119" s="698"/>
      <c r="D119" s="360"/>
      <c r="E119" s="2995" t="str">
        <f t="shared" si="12"/>
        <v/>
      </c>
      <c r="F119" s="2703"/>
      <c r="G119" s="1637" t="s">
        <v>1053</v>
      </c>
      <c r="H119" s="1638" t="str">
        <f>IF(H96=EUconst_NA,EUconst_NA,IF(AND(ISNUMBER(D_Emissions!H$35),H96&lt;&gt;""),H96/D_Emissions!H$35*100,""))</f>
        <v/>
      </c>
      <c r="I119" s="1638" t="str">
        <f>IF(I96=EUconst_NA,EUconst_NA,IF(AND(ISNUMBER(D_Emissions!I$35),I96&lt;&gt;""),I96/D_Emissions!I$35*100,""))</f>
        <v/>
      </c>
      <c r="J119" s="1638" t="str">
        <f>IF(J96=EUconst_NA,EUconst_NA,IF(AND(ISNUMBER(D_Emissions!J$35),J96&lt;&gt;""),J96/D_Emissions!J$35*100,""))</f>
        <v/>
      </c>
      <c r="K119" s="1638" t="str">
        <f>IF(K96=EUconst_NA,EUconst_NA,IF(AND(ISNUMBER(D_Emissions!K$35),K96&lt;&gt;""),K96/D_Emissions!K$35*100,""))</f>
        <v/>
      </c>
      <c r="L119" s="1638" t="str">
        <f>IF(L96=EUconst_NA,EUconst_NA,IF(AND(ISNUMBER(D_Emissions!L$35),L96&lt;&gt;""),L96/D_Emissions!L$35*100,""))</f>
        <v/>
      </c>
      <c r="M119" s="1638" t="str">
        <f>IF(M96=EUconst_NA,EUconst_NA,IF(AND(ISNUMBER(D_Emissions!M$35),M96&lt;&gt;""),M96/D_Emissions!M$35*100,""))</f>
        <v/>
      </c>
      <c r="N119" s="1638" t="str">
        <f>IF(N96=EUconst_NA,EUconst_NA,IF(AND(ISNUMBER(D_Emissions!N$35),N96&lt;&gt;""),N96/D_Emissions!N$35*100,""))</f>
        <v/>
      </c>
      <c r="O119" s="698"/>
      <c r="P119" s="1651"/>
      <c r="Q119" s="694"/>
      <c r="R119" s="694"/>
      <c r="S119" s="694"/>
      <c r="T119" s="694"/>
      <c r="U119" s="343"/>
      <c r="V119" s="343"/>
    </row>
    <row r="120" spans="1:22" x14ac:dyDescent="0.25">
      <c r="A120" s="694"/>
      <c r="B120" s="698"/>
      <c r="C120" s="698"/>
      <c r="D120" s="360"/>
      <c r="E120" s="2995" t="str">
        <f t="shared" si="12"/>
        <v/>
      </c>
      <c r="F120" s="2703"/>
      <c r="G120" s="1637" t="s">
        <v>1053</v>
      </c>
      <c r="H120" s="1638" t="str">
        <f>IF(H97=EUconst_NA,EUconst_NA,IF(AND(ISNUMBER(D_Emissions!H$35),H97&lt;&gt;""),H97/D_Emissions!H$35*100,""))</f>
        <v/>
      </c>
      <c r="I120" s="1638" t="str">
        <f>IF(I97=EUconst_NA,EUconst_NA,IF(AND(ISNUMBER(D_Emissions!I$35),I97&lt;&gt;""),I97/D_Emissions!I$35*100,""))</f>
        <v/>
      </c>
      <c r="J120" s="1638" t="str">
        <f>IF(J97=EUconst_NA,EUconst_NA,IF(AND(ISNUMBER(D_Emissions!J$35),J97&lt;&gt;""),J97/D_Emissions!J$35*100,""))</f>
        <v/>
      </c>
      <c r="K120" s="1638" t="str">
        <f>IF(K97=EUconst_NA,EUconst_NA,IF(AND(ISNUMBER(D_Emissions!K$35),K97&lt;&gt;""),K97/D_Emissions!K$35*100,""))</f>
        <v/>
      </c>
      <c r="L120" s="1638" t="str">
        <f>IF(L97=EUconst_NA,EUconst_NA,IF(AND(ISNUMBER(D_Emissions!L$35),L97&lt;&gt;""),L97/D_Emissions!L$35*100,""))</f>
        <v/>
      </c>
      <c r="M120" s="1638" t="str">
        <f>IF(M97=EUconst_NA,EUconst_NA,IF(AND(ISNUMBER(D_Emissions!M$35),M97&lt;&gt;""),M97/D_Emissions!M$35*100,""))</f>
        <v/>
      </c>
      <c r="N120" s="1638" t="str">
        <f>IF(N97=EUconst_NA,EUconst_NA,IF(AND(ISNUMBER(D_Emissions!N$35),N97&lt;&gt;""),N97/D_Emissions!N$35*100,""))</f>
        <v/>
      </c>
      <c r="O120" s="698"/>
      <c r="P120" s="1651"/>
      <c r="Q120" s="694"/>
      <c r="R120" s="694"/>
      <c r="S120" s="694"/>
      <c r="T120" s="694"/>
      <c r="U120" s="343"/>
      <c r="V120" s="343"/>
    </row>
    <row r="121" spans="1:22" x14ac:dyDescent="0.25">
      <c r="A121" s="694"/>
      <c r="B121" s="698"/>
      <c r="C121" s="698"/>
      <c r="D121" s="360"/>
      <c r="E121" s="2995" t="str">
        <f t="shared" si="12"/>
        <v/>
      </c>
      <c r="F121" s="2703"/>
      <c r="G121" s="1637" t="s">
        <v>1053</v>
      </c>
      <c r="H121" s="1638" t="str">
        <f>IF(H98=EUconst_NA,EUconst_NA,IF(AND(ISNUMBER(D_Emissions!H$35),H98&lt;&gt;""),H98/D_Emissions!H$35*100,""))</f>
        <v/>
      </c>
      <c r="I121" s="1638" t="str">
        <f>IF(I98=EUconst_NA,EUconst_NA,IF(AND(ISNUMBER(D_Emissions!I$35),I98&lt;&gt;""),I98/D_Emissions!I$35*100,""))</f>
        <v/>
      </c>
      <c r="J121" s="1638" t="str">
        <f>IF(J98=EUconst_NA,EUconst_NA,IF(AND(ISNUMBER(D_Emissions!J$35),J98&lt;&gt;""),J98/D_Emissions!J$35*100,""))</f>
        <v/>
      </c>
      <c r="K121" s="1638" t="str">
        <f>IF(K98=EUconst_NA,EUconst_NA,IF(AND(ISNUMBER(D_Emissions!K$35),K98&lt;&gt;""),K98/D_Emissions!K$35*100,""))</f>
        <v/>
      </c>
      <c r="L121" s="1638" t="str">
        <f>IF(L98=EUconst_NA,EUconst_NA,IF(AND(ISNUMBER(D_Emissions!L$35),L98&lt;&gt;""),L98/D_Emissions!L$35*100,""))</f>
        <v/>
      </c>
      <c r="M121" s="1638" t="str">
        <f>IF(M98=EUconst_NA,EUconst_NA,IF(AND(ISNUMBER(D_Emissions!M$35),M98&lt;&gt;""),M98/D_Emissions!M$35*100,""))</f>
        <v/>
      </c>
      <c r="N121" s="1638" t="str">
        <f>IF(N98=EUconst_NA,EUconst_NA,IF(AND(ISNUMBER(D_Emissions!N$35),N98&lt;&gt;""),N98/D_Emissions!N$35*100,""))</f>
        <v/>
      </c>
      <c r="O121" s="698"/>
      <c r="P121" s="1651"/>
      <c r="Q121" s="694"/>
      <c r="R121" s="694"/>
      <c r="S121" s="694"/>
      <c r="T121" s="694"/>
      <c r="U121" s="343"/>
      <c r="V121" s="343"/>
    </row>
    <row r="122" spans="1:22" x14ac:dyDescent="0.25">
      <c r="A122" s="694"/>
      <c r="B122" s="698"/>
      <c r="C122" s="698"/>
      <c r="D122" s="360"/>
      <c r="E122" s="2995" t="str">
        <f t="shared" si="12"/>
        <v/>
      </c>
      <c r="F122" s="2703"/>
      <c r="G122" s="1637" t="s">
        <v>1053</v>
      </c>
      <c r="H122" s="1638" t="str">
        <f>IF(H99=EUconst_NA,EUconst_NA,IF(AND(ISNUMBER(D_Emissions!H$35),H99&lt;&gt;""),H99/D_Emissions!H$35*100,""))</f>
        <v/>
      </c>
      <c r="I122" s="1638" t="str">
        <f>IF(I99=EUconst_NA,EUconst_NA,IF(AND(ISNUMBER(D_Emissions!I$35),I99&lt;&gt;""),I99/D_Emissions!I$35*100,""))</f>
        <v/>
      </c>
      <c r="J122" s="1638" t="str">
        <f>IF(J99=EUconst_NA,EUconst_NA,IF(AND(ISNUMBER(D_Emissions!J$35),J99&lt;&gt;""),J99/D_Emissions!J$35*100,""))</f>
        <v/>
      </c>
      <c r="K122" s="1638" t="str">
        <f>IF(K99=EUconst_NA,EUconst_NA,IF(AND(ISNUMBER(D_Emissions!K$35),K99&lt;&gt;""),K99/D_Emissions!K$35*100,""))</f>
        <v/>
      </c>
      <c r="L122" s="1638" t="str">
        <f>IF(L99=EUconst_NA,EUconst_NA,IF(AND(ISNUMBER(D_Emissions!L$35),L99&lt;&gt;""),L99/D_Emissions!L$35*100,""))</f>
        <v/>
      </c>
      <c r="M122" s="1638" t="str">
        <f>IF(M99=EUconst_NA,EUconst_NA,IF(AND(ISNUMBER(D_Emissions!M$35),M99&lt;&gt;""),M99/D_Emissions!M$35*100,""))</f>
        <v/>
      </c>
      <c r="N122" s="1638" t="str">
        <f>IF(N99=EUconst_NA,EUconst_NA,IF(AND(ISNUMBER(D_Emissions!N$35),N99&lt;&gt;""),N99/D_Emissions!N$35*100,""))</f>
        <v/>
      </c>
      <c r="O122" s="698"/>
      <c r="P122" s="1651"/>
      <c r="Q122" s="694"/>
      <c r="R122" s="694"/>
      <c r="S122" s="694"/>
      <c r="T122" s="694"/>
      <c r="U122" s="343"/>
      <c r="V122" s="343"/>
    </row>
    <row r="123" spans="1:22" x14ac:dyDescent="0.25">
      <c r="A123" s="694"/>
      <c r="B123" s="698"/>
      <c r="C123" s="698"/>
      <c r="D123" s="360"/>
      <c r="E123" s="2995" t="str">
        <f t="shared" si="12"/>
        <v/>
      </c>
      <c r="F123" s="2703"/>
      <c r="G123" s="1637" t="s">
        <v>1053</v>
      </c>
      <c r="H123" s="1638" t="str">
        <f>IF(H100=EUconst_NA,EUconst_NA,IF(AND(ISNUMBER(D_Emissions!H$35),H100&lt;&gt;""),H100/D_Emissions!H$35*100,""))</f>
        <v/>
      </c>
      <c r="I123" s="1638" t="str">
        <f>IF(I100=EUconst_NA,EUconst_NA,IF(AND(ISNUMBER(D_Emissions!I$35),I100&lt;&gt;""),I100/D_Emissions!I$35*100,""))</f>
        <v/>
      </c>
      <c r="J123" s="1638" t="str">
        <f>IF(J100=EUconst_NA,EUconst_NA,IF(AND(ISNUMBER(D_Emissions!J$35),J100&lt;&gt;""),J100/D_Emissions!J$35*100,""))</f>
        <v/>
      </c>
      <c r="K123" s="1638" t="str">
        <f>IF(K100=EUconst_NA,EUconst_NA,IF(AND(ISNUMBER(D_Emissions!K$35),K100&lt;&gt;""),K100/D_Emissions!K$35*100,""))</f>
        <v/>
      </c>
      <c r="L123" s="1638" t="str">
        <f>IF(L100=EUconst_NA,EUconst_NA,IF(AND(ISNUMBER(D_Emissions!L$35),L100&lt;&gt;""),L100/D_Emissions!L$35*100,""))</f>
        <v/>
      </c>
      <c r="M123" s="1638" t="str">
        <f>IF(M100=EUconst_NA,EUconst_NA,IF(AND(ISNUMBER(D_Emissions!M$35),M100&lt;&gt;""),M100/D_Emissions!M$35*100,""))</f>
        <v/>
      </c>
      <c r="N123" s="1638" t="str">
        <f>IF(N100=EUconst_NA,EUconst_NA,IF(AND(ISNUMBER(D_Emissions!N$35),N100&lt;&gt;""),N100/D_Emissions!N$35*100,""))</f>
        <v/>
      </c>
      <c r="O123" s="698"/>
      <c r="P123" s="1651"/>
      <c r="Q123" s="694"/>
      <c r="R123" s="694"/>
      <c r="S123" s="694"/>
      <c r="T123" s="694"/>
      <c r="U123" s="343"/>
      <c r="V123" s="343"/>
    </row>
    <row r="124" spans="1:22" x14ac:dyDescent="0.25">
      <c r="A124" s="694"/>
      <c r="B124" s="698"/>
      <c r="C124" s="698"/>
      <c r="D124" s="360"/>
      <c r="E124" s="2995" t="str">
        <f t="shared" si="12"/>
        <v/>
      </c>
      <c r="F124" s="2703"/>
      <c r="G124" s="1637" t="s">
        <v>1053</v>
      </c>
      <c r="H124" s="1638" t="str">
        <f>IF(H101=EUconst_NA,EUconst_NA,IF(AND(ISNUMBER(D_Emissions!H$35),H101&lt;&gt;""),H101/D_Emissions!H$35*100,""))</f>
        <v/>
      </c>
      <c r="I124" s="1638" t="str">
        <f>IF(I101=EUconst_NA,EUconst_NA,IF(AND(ISNUMBER(D_Emissions!I$35),I101&lt;&gt;""),I101/D_Emissions!I$35*100,""))</f>
        <v/>
      </c>
      <c r="J124" s="1638" t="str">
        <f>IF(J101=EUconst_NA,EUconst_NA,IF(AND(ISNUMBER(D_Emissions!J$35),J101&lt;&gt;""),J101/D_Emissions!J$35*100,""))</f>
        <v/>
      </c>
      <c r="K124" s="1638" t="str">
        <f>IF(K101=EUconst_NA,EUconst_NA,IF(AND(ISNUMBER(D_Emissions!K$35),K101&lt;&gt;""),K101/D_Emissions!K$35*100,""))</f>
        <v/>
      </c>
      <c r="L124" s="1638" t="str">
        <f>IF(L101=EUconst_NA,EUconst_NA,IF(AND(ISNUMBER(D_Emissions!L$35),L101&lt;&gt;""),L101/D_Emissions!L$35*100,""))</f>
        <v/>
      </c>
      <c r="M124" s="1638" t="str">
        <f>IF(M101=EUconst_NA,EUconst_NA,IF(AND(ISNUMBER(D_Emissions!M$35),M101&lt;&gt;""),M101/D_Emissions!M$35*100,""))</f>
        <v/>
      </c>
      <c r="N124" s="1638" t="str">
        <f>IF(N101=EUconst_NA,EUconst_NA,IF(AND(ISNUMBER(D_Emissions!N$35),N101&lt;&gt;""),N101/D_Emissions!N$35*100,""))</f>
        <v/>
      </c>
      <c r="O124" s="698"/>
      <c r="P124" s="1651"/>
      <c r="Q124" s="694"/>
      <c r="R124" s="694"/>
      <c r="S124" s="694"/>
      <c r="T124" s="694"/>
      <c r="U124" s="343"/>
      <c r="V124" s="343"/>
    </row>
    <row r="125" spans="1:22" x14ac:dyDescent="0.25">
      <c r="A125" s="694"/>
      <c r="B125" s="698"/>
      <c r="C125" s="698"/>
      <c r="D125" s="360"/>
      <c r="E125" s="2995" t="str">
        <f t="shared" si="12"/>
        <v/>
      </c>
      <c r="F125" s="2703"/>
      <c r="G125" s="1637" t="s">
        <v>1053</v>
      </c>
      <c r="H125" s="1638" t="str">
        <f>IF(H102=EUconst_NA,EUconst_NA,IF(AND(ISNUMBER(D_Emissions!H$35),H102&lt;&gt;""),H102/D_Emissions!H$35*100,""))</f>
        <v/>
      </c>
      <c r="I125" s="1638" t="str">
        <f>IF(I102=EUconst_NA,EUconst_NA,IF(AND(ISNUMBER(D_Emissions!I$35),I102&lt;&gt;""),I102/D_Emissions!I$35*100,""))</f>
        <v/>
      </c>
      <c r="J125" s="1638" t="str">
        <f>IF(J102=EUconst_NA,EUconst_NA,IF(AND(ISNUMBER(D_Emissions!J$35),J102&lt;&gt;""),J102/D_Emissions!J$35*100,""))</f>
        <v/>
      </c>
      <c r="K125" s="1638" t="str">
        <f>IF(K102=EUconst_NA,EUconst_NA,IF(AND(ISNUMBER(D_Emissions!K$35),K102&lt;&gt;""),K102/D_Emissions!K$35*100,""))</f>
        <v/>
      </c>
      <c r="L125" s="1638" t="str">
        <f>IF(L102=EUconst_NA,EUconst_NA,IF(AND(ISNUMBER(D_Emissions!L$35),L102&lt;&gt;""),L102/D_Emissions!L$35*100,""))</f>
        <v/>
      </c>
      <c r="M125" s="1638" t="str">
        <f>IF(M102=EUconst_NA,EUconst_NA,IF(AND(ISNUMBER(D_Emissions!M$35),M102&lt;&gt;""),M102/D_Emissions!M$35*100,""))</f>
        <v/>
      </c>
      <c r="N125" s="1638" t="str">
        <f>IF(N102=EUconst_NA,EUconst_NA,IF(AND(ISNUMBER(D_Emissions!N$35),N102&lt;&gt;""),N102/D_Emissions!N$35*100,""))</f>
        <v/>
      </c>
      <c r="O125" s="698"/>
      <c r="P125" s="1651"/>
      <c r="Q125" s="694"/>
      <c r="R125" s="694"/>
      <c r="S125" s="694"/>
      <c r="T125" s="694"/>
      <c r="U125" s="343"/>
      <c r="V125" s="343"/>
    </row>
    <row r="126" spans="1:22" x14ac:dyDescent="0.25">
      <c r="A126" s="694"/>
      <c r="B126" s="698"/>
      <c r="C126" s="698"/>
      <c r="D126" s="360"/>
      <c r="E126" s="2995" t="str">
        <f t="shared" si="12"/>
        <v/>
      </c>
      <c r="F126" s="2703"/>
      <c r="G126" s="1637" t="s">
        <v>1053</v>
      </c>
      <c r="H126" s="1638" t="str">
        <f>IF(H103=EUconst_NA,EUconst_NA,IF(AND(ISNUMBER(D_Emissions!H$35),H103&lt;&gt;""),H103/D_Emissions!H$35*100,""))</f>
        <v/>
      </c>
      <c r="I126" s="1638" t="str">
        <f>IF(I103=EUconst_NA,EUconst_NA,IF(AND(ISNUMBER(D_Emissions!I$35),I103&lt;&gt;""),I103/D_Emissions!I$35*100,""))</f>
        <v/>
      </c>
      <c r="J126" s="1638" t="str">
        <f>IF(J103=EUconst_NA,EUconst_NA,IF(AND(ISNUMBER(D_Emissions!J$35),J103&lt;&gt;""),J103/D_Emissions!J$35*100,""))</f>
        <v/>
      </c>
      <c r="K126" s="1638" t="str">
        <f>IF(K103=EUconst_NA,EUconst_NA,IF(AND(ISNUMBER(D_Emissions!K$35),K103&lt;&gt;""),K103/D_Emissions!K$35*100,""))</f>
        <v/>
      </c>
      <c r="L126" s="1638" t="str">
        <f>IF(L103=EUconst_NA,EUconst_NA,IF(AND(ISNUMBER(D_Emissions!L$35),L103&lt;&gt;""),L103/D_Emissions!L$35*100,""))</f>
        <v/>
      </c>
      <c r="M126" s="1638" t="str">
        <f>IF(M103=EUconst_NA,EUconst_NA,IF(AND(ISNUMBER(D_Emissions!M$35),M103&lt;&gt;""),M103/D_Emissions!M$35*100,""))</f>
        <v/>
      </c>
      <c r="N126" s="1638" t="str">
        <f>IF(N103=EUconst_NA,EUconst_NA,IF(AND(ISNUMBER(D_Emissions!N$35),N103&lt;&gt;""),N103/D_Emissions!N$35*100,""))</f>
        <v/>
      </c>
      <c r="O126" s="698"/>
      <c r="P126" s="1651"/>
      <c r="Q126" s="694"/>
      <c r="R126" s="694"/>
      <c r="S126" s="694"/>
      <c r="T126" s="694"/>
      <c r="U126" s="343"/>
      <c r="V126" s="343"/>
    </row>
    <row r="127" spans="1:22" x14ac:dyDescent="0.25">
      <c r="A127" s="694"/>
      <c r="B127" s="698"/>
      <c r="C127" s="698"/>
      <c r="D127" s="360"/>
      <c r="E127" s="2997" t="str">
        <f t="shared" si="12"/>
        <v/>
      </c>
      <c r="F127" s="2705"/>
      <c r="G127" s="1098" t="s">
        <v>1053</v>
      </c>
      <c r="H127" s="1104" t="str">
        <f>IF(H104=EUconst_NA,EUconst_NA,IF(AND(ISNUMBER(D_Emissions!H$35),H104&lt;&gt;""),H104/D_Emissions!H$35*100,""))</f>
        <v/>
      </c>
      <c r="I127" s="1104" t="str">
        <f>IF(I104=EUconst_NA,EUconst_NA,IF(AND(ISNUMBER(D_Emissions!I$35),I104&lt;&gt;""),I104/D_Emissions!I$35*100,""))</f>
        <v/>
      </c>
      <c r="J127" s="1104" t="str">
        <f>IF(J104=EUconst_NA,EUconst_NA,IF(AND(ISNUMBER(D_Emissions!J$35),J104&lt;&gt;""),J104/D_Emissions!J$35*100,""))</f>
        <v/>
      </c>
      <c r="K127" s="1104" t="str">
        <f>IF(K104=EUconst_NA,EUconst_NA,IF(AND(ISNUMBER(D_Emissions!K$35),K104&lt;&gt;""),K104/D_Emissions!K$35*100,""))</f>
        <v/>
      </c>
      <c r="L127" s="1104" t="str">
        <f>IF(L104=EUconst_NA,EUconst_NA,IF(AND(ISNUMBER(D_Emissions!L$35),L104&lt;&gt;""),L104/D_Emissions!L$35*100,""))</f>
        <v/>
      </c>
      <c r="M127" s="1104" t="str">
        <f>IF(M104=EUconst_NA,EUconst_NA,IF(AND(ISNUMBER(D_Emissions!M$35),M104&lt;&gt;""),M104/D_Emissions!M$35*100,""))</f>
        <v/>
      </c>
      <c r="N127" s="1104" t="str">
        <f>IF(N104=EUconst_NA,EUconst_NA,IF(AND(ISNUMBER(D_Emissions!N$35),N104&lt;&gt;""),N104/D_Emissions!N$35*100,""))</f>
        <v/>
      </c>
      <c r="O127" s="698"/>
      <c r="P127" s="1651"/>
      <c r="Q127" s="694"/>
      <c r="R127" s="694"/>
      <c r="S127" s="694"/>
      <c r="T127" s="694"/>
      <c r="U127" s="343"/>
      <c r="V127" s="343"/>
    </row>
    <row r="128" spans="1:22" ht="12.75" customHeight="1" x14ac:dyDescent="0.25">
      <c r="A128" s="694"/>
      <c r="B128" s="698"/>
      <c r="C128" s="698"/>
      <c r="D128" s="360"/>
      <c r="E128" s="2700" t="str">
        <f t="shared" si="12"/>
        <v>Подинсталация с топлинен показател (с риск от ИВЕ | извън МКВЕГ)</v>
      </c>
      <c r="F128" s="2701"/>
      <c r="G128" s="1637" t="s">
        <v>1053</v>
      </c>
      <c r="H128" s="1638" t="str">
        <f>IF(H105=EUconst_NA,EUconst_NA,IF(AND(ISNUMBER(D_Emissions!H$35),H105&lt;&gt;""),H105/D_Emissions!H$35*100,""))</f>
        <v/>
      </c>
      <c r="I128" s="1638" t="str">
        <f>IF(I105=EUconst_NA,EUconst_NA,IF(AND(ISNUMBER(D_Emissions!I$35),I105&lt;&gt;""),I105/D_Emissions!I$35*100,""))</f>
        <v/>
      </c>
      <c r="J128" s="1638" t="str">
        <f>IF(J105=EUconst_NA,EUconst_NA,IF(AND(ISNUMBER(D_Emissions!J$35),J105&lt;&gt;""),J105/D_Emissions!J$35*100,""))</f>
        <v/>
      </c>
      <c r="K128" s="1638" t="str">
        <f>IF(K105=EUconst_NA,EUconst_NA,IF(AND(ISNUMBER(D_Emissions!K$35),K105&lt;&gt;""),K105/D_Emissions!K$35*100,""))</f>
        <v/>
      </c>
      <c r="L128" s="1638" t="str">
        <f>IF(L105=EUconst_NA,EUconst_NA,IF(AND(ISNUMBER(D_Emissions!L$35),L105&lt;&gt;""),L105/D_Emissions!L$35*100,""))</f>
        <v/>
      </c>
      <c r="M128" s="1638" t="str">
        <f>IF(M105=EUconst_NA,EUconst_NA,IF(AND(ISNUMBER(D_Emissions!M$35),M105&lt;&gt;""),M105/D_Emissions!M$35*100,""))</f>
        <v/>
      </c>
      <c r="N128" s="1638" t="str">
        <f>IF(N105=EUconst_NA,EUconst_NA,IF(AND(ISNUMBER(D_Emissions!N$35),N105&lt;&gt;""),N105/D_Emissions!N$35*100,""))</f>
        <v/>
      </c>
      <c r="O128" s="698"/>
      <c r="P128" s="1651"/>
      <c r="Q128" s="694"/>
      <c r="R128" s="694"/>
      <c r="S128" s="694"/>
      <c r="T128" s="694"/>
      <c r="U128" s="343"/>
      <c r="V128" s="343"/>
    </row>
    <row r="129" spans="1:22" ht="12.75" customHeight="1" x14ac:dyDescent="0.25">
      <c r="A129" s="694"/>
      <c r="B129" s="698"/>
      <c r="C129" s="698"/>
      <c r="D129" s="360"/>
      <c r="E129" s="2702" t="str">
        <f t="shared" si="12"/>
        <v>Подинсталация с топлинен показател (без риск от ИВЕ | извън МКВЕГ)</v>
      </c>
      <c r="F129" s="2703"/>
      <c r="G129" s="1095" t="s">
        <v>1053</v>
      </c>
      <c r="H129" s="1643" t="str">
        <f>IF(H106=EUconst_NA,EUconst_NA,IF(AND(ISNUMBER(D_Emissions!H$35),H106&lt;&gt;""),H106/D_Emissions!H$35*100,""))</f>
        <v/>
      </c>
      <c r="I129" s="1643" t="str">
        <f>IF(I106=EUconst_NA,EUconst_NA,IF(AND(ISNUMBER(D_Emissions!I$35),I106&lt;&gt;""),I106/D_Emissions!I$35*100,""))</f>
        <v/>
      </c>
      <c r="J129" s="1643" t="str">
        <f>IF(J106=EUconst_NA,EUconst_NA,IF(AND(ISNUMBER(D_Emissions!J$35),J106&lt;&gt;""),J106/D_Emissions!J$35*100,""))</f>
        <v/>
      </c>
      <c r="K129" s="1643" t="str">
        <f>IF(K106=EUconst_NA,EUconst_NA,IF(AND(ISNUMBER(D_Emissions!K$35),K106&lt;&gt;""),K106/D_Emissions!K$35*100,""))</f>
        <v/>
      </c>
      <c r="L129" s="1643" t="str">
        <f>IF(L106=EUconst_NA,EUconst_NA,IF(AND(ISNUMBER(D_Emissions!L$35),L106&lt;&gt;""),L106/D_Emissions!L$35*100,""))</f>
        <v/>
      </c>
      <c r="M129" s="1643" t="str">
        <f>IF(M106=EUconst_NA,EUconst_NA,IF(AND(ISNUMBER(D_Emissions!M$35),M106&lt;&gt;""),M106/D_Emissions!M$35*100,""))</f>
        <v/>
      </c>
      <c r="N129" s="1643" t="str">
        <f>IF(N106=EUconst_NA,EUconst_NA,IF(AND(ISNUMBER(D_Emissions!N$35),N106&lt;&gt;""),N106/D_Emissions!N$35*100,""))</f>
        <v/>
      </c>
      <c r="O129" s="698"/>
      <c r="P129" s="1651"/>
      <c r="Q129" s="694"/>
      <c r="R129" s="694"/>
      <c r="S129" s="694"/>
      <c r="T129" s="694"/>
      <c r="U129" s="343"/>
      <c r="V129" s="343"/>
    </row>
    <row r="130" spans="1:22" ht="12.75" customHeight="1" x14ac:dyDescent="0.25">
      <c r="A130" s="694"/>
      <c r="B130" s="698"/>
      <c r="C130" s="698"/>
      <c r="D130" s="360"/>
      <c r="E130" s="2702" t="str">
        <f t="shared" ref="E130:E137" si="14">E107</f>
        <v>Подинсталация с топлинен показател (с риск от ИВЕ | в рамките на МКВЕГ)</v>
      </c>
      <c r="F130" s="2703"/>
      <c r="G130" s="1095" t="s">
        <v>1053</v>
      </c>
      <c r="H130" s="1643" t="str">
        <f>IF(H107=EUconst_NA,EUconst_NA,IF(AND(ISNUMBER(D_Emissions!H$35),H107&lt;&gt;""),H107/D_Emissions!H$35*100,""))</f>
        <v/>
      </c>
      <c r="I130" s="1643" t="str">
        <f>IF(I107=EUconst_NA,EUconst_NA,IF(AND(ISNUMBER(D_Emissions!I$35),I107&lt;&gt;""),I107/D_Emissions!I$35*100,""))</f>
        <v/>
      </c>
      <c r="J130" s="1643" t="str">
        <f>IF(J107=EUconst_NA,EUconst_NA,IF(AND(ISNUMBER(D_Emissions!J$35),J107&lt;&gt;""),J107/D_Emissions!J$35*100,""))</f>
        <v/>
      </c>
      <c r="K130" s="1643" t="str">
        <f>IF(K107=EUconst_NA,EUconst_NA,IF(AND(ISNUMBER(D_Emissions!K$35),K107&lt;&gt;""),K107/D_Emissions!K$35*100,""))</f>
        <v/>
      </c>
      <c r="L130" s="1643" t="str">
        <f>IF(L107=EUconst_NA,EUconst_NA,IF(AND(ISNUMBER(D_Emissions!L$35),L107&lt;&gt;""),L107/D_Emissions!L$35*100,""))</f>
        <v/>
      </c>
      <c r="M130" s="1643" t="str">
        <f>IF(M107=EUconst_NA,EUconst_NA,IF(AND(ISNUMBER(D_Emissions!M$35),M107&lt;&gt;""),M107/D_Emissions!M$35*100,""))</f>
        <v/>
      </c>
      <c r="N130" s="1643" t="str">
        <f>IF(N107=EUconst_NA,EUconst_NA,IF(AND(ISNUMBER(D_Emissions!N$35),N107&lt;&gt;""),N107/D_Emissions!N$35*100,""))</f>
        <v/>
      </c>
      <c r="O130" s="698"/>
      <c r="P130" s="1651"/>
      <c r="Q130" s="694"/>
      <c r="R130" s="694"/>
      <c r="S130" s="694"/>
      <c r="T130" s="694"/>
      <c r="U130" s="343"/>
      <c r="V130" s="343"/>
    </row>
    <row r="131" spans="1:22" ht="12.75" customHeight="1" x14ac:dyDescent="0.25">
      <c r="A131" s="694"/>
      <c r="B131" s="698"/>
      <c r="C131" s="698"/>
      <c r="D131" s="360"/>
      <c r="E131" s="2702" t="str">
        <f t="shared" si="14"/>
        <v>Подинсталация на топлофикационна мрежа</v>
      </c>
      <c r="F131" s="2703"/>
      <c r="G131" s="1095" t="s">
        <v>1053</v>
      </c>
      <c r="H131" s="1643" t="str">
        <f>IF(H108=EUconst_NA,EUconst_NA,IF(AND(ISNUMBER(D_Emissions!H$35),H108&lt;&gt;""),H108/D_Emissions!H$35*100,""))</f>
        <v/>
      </c>
      <c r="I131" s="1643" t="str">
        <f>IF(I108=EUconst_NA,EUconst_NA,IF(AND(ISNUMBER(D_Emissions!I$35),I108&lt;&gt;""),I108/D_Emissions!I$35*100,""))</f>
        <v/>
      </c>
      <c r="J131" s="1643" t="str">
        <f>IF(J108=EUconst_NA,EUconst_NA,IF(AND(ISNUMBER(D_Emissions!J$35),J108&lt;&gt;""),J108/D_Emissions!J$35*100,""))</f>
        <v/>
      </c>
      <c r="K131" s="1643" t="str">
        <f>IF(K108=EUconst_NA,EUconst_NA,IF(AND(ISNUMBER(D_Emissions!K$35),K108&lt;&gt;""),K108/D_Emissions!K$35*100,""))</f>
        <v/>
      </c>
      <c r="L131" s="1643" t="str">
        <f>IF(L108=EUconst_NA,EUconst_NA,IF(AND(ISNUMBER(D_Emissions!L$35),L108&lt;&gt;""),L108/D_Emissions!L$35*100,""))</f>
        <v/>
      </c>
      <c r="M131" s="1643" t="str">
        <f>IF(M108=EUconst_NA,EUconst_NA,IF(AND(ISNUMBER(D_Emissions!M$35),M108&lt;&gt;""),M108/D_Emissions!M$35*100,""))</f>
        <v/>
      </c>
      <c r="N131" s="1643" t="str">
        <f>IF(N108=EUconst_NA,EUconst_NA,IF(AND(ISNUMBER(D_Emissions!N$35),N108&lt;&gt;""),N108/D_Emissions!N$35*100,""))</f>
        <v/>
      </c>
      <c r="O131" s="698"/>
      <c r="P131" s="1651"/>
      <c r="Q131" s="694"/>
      <c r="R131" s="694"/>
      <c r="S131" s="694"/>
      <c r="T131" s="694"/>
      <c r="U131" s="343"/>
      <c r="V131" s="343"/>
    </row>
    <row r="132" spans="1:22" ht="12.75" customHeight="1" x14ac:dyDescent="0.25">
      <c r="A132" s="694"/>
      <c r="B132" s="698"/>
      <c r="C132" s="698"/>
      <c r="D132" s="360"/>
      <c r="E132" s="2702" t="str">
        <f t="shared" si="14"/>
        <v>Подинсталация с горивен показател (с риск от ИВЕ | извън МКВЕГ)</v>
      </c>
      <c r="F132" s="2703"/>
      <c r="G132" s="1095" t="s">
        <v>1053</v>
      </c>
      <c r="H132" s="1643" t="str">
        <f>IF(H109=EUconst_NA,EUconst_NA,IF(AND(ISNUMBER(D_Emissions!H$35),H109&lt;&gt;""),H109/D_Emissions!H$35*100,""))</f>
        <v/>
      </c>
      <c r="I132" s="1643" t="str">
        <f>IF(I109=EUconst_NA,EUconst_NA,IF(AND(ISNUMBER(D_Emissions!I$35),I109&lt;&gt;""),I109/D_Emissions!I$35*100,""))</f>
        <v/>
      </c>
      <c r="J132" s="1643" t="str">
        <f>IF(J109=EUconst_NA,EUconst_NA,IF(AND(ISNUMBER(D_Emissions!J$35),J109&lt;&gt;""),J109/D_Emissions!J$35*100,""))</f>
        <v/>
      </c>
      <c r="K132" s="1643" t="str">
        <f>IF(K109=EUconst_NA,EUconst_NA,IF(AND(ISNUMBER(D_Emissions!K$35),K109&lt;&gt;""),K109/D_Emissions!K$35*100,""))</f>
        <v/>
      </c>
      <c r="L132" s="1643" t="str">
        <f>IF(L109=EUconst_NA,EUconst_NA,IF(AND(ISNUMBER(D_Emissions!L$35),L109&lt;&gt;""),L109/D_Emissions!L$35*100,""))</f>
        <v/>
      </c>
      <c r="M132" s="1643" t="str">
        <f>IF(M109=EUconst_NA,EUconst_NA,IF(AND(ISNUMBER(D_Emissions!M$35),M109&lt;&gt;""),M109/D_Emissions!M$35*100,""))</f>
        <v/>
      </c>
      <c r="N132" s="1643" t="str">
        <f>IF(N109=EUconst_NA,EUconst_NA,IF(AND(ISNUMBER(D_Emissions!N$35),N109&lt;&gt;""),N109/D_Emissions!N$35*100,""))</f>
        <v/>
      </c>
      <c r="O132" s="698"/>
      <c r="P132" s="1651"/>
      <c r="Q132" s="694"/>
      <c r="R132" s="694"/>
      <c r="S132" s="694"/>
      <c r="T132" s="694"/>
      <c r="U132" s="343"/>
      <c r="V132" s="343"/>
    </row>
    <row r="133" spans="1:22" ht="12.75" customHeight="1" x14ac:dyDescent="0.25">
      <c r="A133" s="694"/>
      <c r="B133" s="698"/>
      <c r="C133" s="698"/>
      <c r="D133" s="360"/>
      <c r="E133" s="2702" t="str">
        <f t="shared" si="14"/>
        <v>Подинсталация с горивен показател (без риск от ИВЕ | извън МКВЕГ)</v>
      </c>
      <c r="F133" s="2703"/>
      <c r="G133" s="1095" t="s">
        <v>1053</v>
      </c>
      <c r="H133" s="1643" t="str">
        <f>IF(H110=EUconst_NA,EUconst_NA,IF(AND(ISNUMBER(D_Emissions!H$35),H110&lt;&gt;""),H110/D_Emissions!H$35*100,""))</f>
        <v/>
      </c>
      <c r="I133" s="1643" t="str">
        <f>IF(I110=EUconst_NA,EUconst_NA,IF(AND(ISNUMBER(D_Emissions!I$35),I110&lt;&gt;""),I110/D_Emissions!I$35*100,""))</f>
        <v/>
      </c>
      <c r="J133" s="1643" t="str">
        <f>IF(J110=EUconst_NA,EUconst_NA,IF(AND(ISNUMBER(D_Emissions!J$35),J110&lt;&gt;""),J110/D_Emissions!J$35*100,""))</f>
        <v/>
      </c>
      <c r="K133" s="1643" t="str">
        <f>IF(K110=EUconst_NA,EUconst_NA,IF(AND(ISNUMBER(D_Emissions!K$35),K110&lt;&gt;""),K110/D_Emissions!K$35*100,""))</f>
        <v/>
      </c>
      <c r="L133" s="1643" t="str">
        <f>IF(L110=EUconst_NA,EUconst_NA,IF(AND(ISNUMBER(D_Emissions!L$35),L110&lt;&gt;""),L110/D_Emissions!L$35*100,""))</f>
        <v/>
      </c>
      <c r="M133" s="1643" t="str">
        <f>IF(M110=EUconst_NA,EUconst_NA,IF(AND(ISNUMBER(D_Emissions!M$35),M110&lt;&gt;""),M110/D_Emissions!M$35*100,""))</f>
        <v/>
      </c>
      <c r="N133" s="1643" t="str">
        <f>IF(N110=EUconst_NA,EUconst_NA,IF(AND(ISNUMBER(D_Emissions!N$35),N110&lt;&gt;""),N110/D_Emissions!N$35*100,""))</f>
        <v/>
      </c>
      <c r="O133" s="698"/>
      <c r="P133" s="1651"/>
      <c r="Q133" s="694"/>
      <c r="R133" s="694"/>
      <c r="S133" s="694"/>
      <c r="T133" s="694"/>
      <c r="U133" s="343"/>
      <c r="V133" s="343"/>
    </row>
    <row r="134" spans="1:22" ht="12.75" customHeight="1" thickBot="1" x14ac:dyDescent="0.3">
      <c r="A134" s="694"/>
      <c r="B134" s="698"/>
      <c r="C134" s="698"/>
      <c r="D134" s="360"/>
      <c r="E134" s="3005" t="str">
        <f t="shared" si="14"/>
        <v>Подинсталация с горивен показател (с риск от ИВЕ | в рамките на МКВЕГ)</v>
      </c>
      <c r="F134" s="3006"/>
      <c r="G134" s="1642" t="s">
        <v>1053</v>
      </c>
      <c r="H134" s="1643" t="str">
        <f>IF(H111=EUconst_NA,EUconst_NA,IF(AND(ISNUMBER(D_Emissions!H$35),H111&lt;&gt;""),H111/D_Emissions!H$35*100,""))</f>
        <v/>
      </c>
      <c r="I134" s="1643" t="str">
        <f>IF(I111=EUconst_NA,EUconst_NA,IF(AND(ISNUMBER(D_Emissions!I$35),I111&lt;&gt;""),I111/D_Emissions!I$35*100,""))</f>
        <v/>
      </c>
      <c r="J134" s="1643" t="str">
        <f>IF(J111=EUconst_NA,EUconst_NA,IF(AND(ISNUMBER(D_Emissions!J$35),J111&lt;&gt;""),J111/D_Emissions!J$35*100,""))</f>
        <v/>
      </c>
      <c r="K134" s="1643" t="str">
        <f>IF(K111=EUconst_NA,EUconst_NA,IF(AND(ISNUMBER(D_Emissions!K$35),K111&lt;&gt;""),K111/D_Emissions!K$35*100,""))</f>
        <v/>
      </c>
      <c r="L134" s="1643" t="str">
        <f>IF(L111=EUconst_NA,EUconst_NA,IF(AND(ISNUMBER(D_Emissions!L$35),L111&lt;&gt;""),L111/D_Emissions!L$35*100,""))</f>
        <v/>
      </c>
      <c r="M134" s="1643" t="str">
        <f>IF(M111=EUconst_NA,EUconst_NA,IF(AND(ISNUMBER(D_Emissions!M$35),M111&lt;&gt;""),M111/D_Emissions!M$35*100,""))</f>
        <v/>
      </c>
      <c r="N134" s="1643" t="str">
        <f>IF(N111=EUconst_NA,EUconst_NA,IF(AND(ISNUMBER(D_Emissions!N$35),N111&lt;&gt;""),N111/D_Emissions!N$35*100,""))</f>
        <v/>
      </c>
      <c r="O134" s="698"/>
      <c r="P134" s="1651"/>
      <c r="Q134" s="694"/>
      <c r="R134" s="694"/>
      <c r="S134" s="694"/>
      <c r="T134" s="694"/>
      <c r="U134" s="343"/>
      <c r="V134" s="343"/>
    </row>
    <row r="135" spans="1:22" ht="12.75" customHeight="1" x14ac:dyDescent="0.25">
      <c r="A135" s="694"/>
      <c r="B135" s="698"/>
      <c r="C135" s="698"/>
      <c r="D135" s="360"/>
      <c r="E135" s="3002" t="str">
        <f t="shared" si="14"/>
        <v>Подинсталация с емисии от процеси (с риск от ИВЕ | извън МКВЕГ)</v>
      </c>
      <c r="F135" s="3007"/>
      <c r="G135" s="1644" t="s">
        <v>1053</v>
      </c>
      <c r="H135" s="1645" t="str">
        <f>IF(H112=EUconst_NA,EUconst_NA,IF(AND(ISNUMBER(D_Emissions!H$35),H112&lt;&gt;""),H112/D_Emissions!H$35*100,""))</f>
        <v/>
      </c>
      <c r="I135" s="1645" t="str">
        <f>IF(I112=EUconst_NA,EUconst_NA,IF(AND(ISNUMBER(D_Emissions!I$35),I112&lt;&gt;""),I112/D_Emissions!I$35*100,""))</f>
        <v/>
      </c>
      <c r="J135" s="1645" t="str">
        <f>IF(J112=EUconst_NA,EUconst_NA,IF(AND(ISNUMBER(D_Emissions!J$35),J112&lt;&gt;""),J112/D_Emissions!J$35*100,""))</f>
        <v/>
      </c>
      <c r="K135" s="1645" t="str">
        <f>IF(K112=EUconst_NA,EUconst_NA,IF(AND(ISNUMBER(D_Emissions!K$35),K112&lt;&gt;""),K112/D_Emissions!K$35*100,""))</f>
        <v/>
      </c>
      <c r="L135" s="1645" t="str">
        <f>IF(L112=EUconst_NA,EUconst_NA,IF(AND(ISNUMBER(D_Emissions!L$35),L112&lt;&gt;""),L112/D_Emissions!L$35*100,""))</f>
        <v/>
      </c>
      <c r="M135" s="1645" t="str">
        <f>IF(M112=EUconst_NA,EUconst_NA,IF(AND(ISNUMBER(D_Emissions!M$35),M112&lt;&gt;""),M112/D_Emissions!M$35*100,""))</f>
        <v/>
      </c>
      <c r="N135" s="1646" t="str">
        <f>IF(N112=EUconst_NA,EUconst_NA,IF(AND(ISNUMBER(D_Emissions!N$35),N112&lt;&gt;""),N112/D_Emissions!N$35*100,""))</f>
        <v/>
      </c>
      <c r="O135" s="698"/>
      <c r="P135" s="1651"/>
      <c r="Q135" s="694"/>
      <c r="R135" s="694"/>
      <c r="S135" s="694"/>
      <c r="T135" s="694"/>
      <c r="U135" s="343"/>
      <c r="V135" s="343"/>
    </row>
    <row r="136" spans="1:22" ht="13" customHeight="1" x14ac:dyDescent="0.25">
      <c r="A136" s="694"/>
      <c r="B136" s="698"/>
      <c r="C136" s="698"/>
      <c r="D136" s="360"/>
      <c r="E136" s="3044" t="str">
        <f t="shared" si="14"/>
        <v>Подинсталация с емисии от процеси (без риск от ИВЕ | извън МКВЕГ)</v>
      </c>
      <c r="F136" s="2703"/>
      <c r="G136" s="451" t="s">
        <v>1053</v>
      </c>
      <c r="H136" s="472" t="str">
        <f>IF(H113=EUconst_NA,EUconst_NA,IF(AND(ISNUMBER(D_Emissions!H$35),H113&lt;&gt;""),H113/D_Emissions!H$35*100,""))</f>
        <v/>
      </c>
      <c r="I136" s="472" t="str">
        <f>IF(I113=EUconst_NA,EUconst_NA,IF(AND(ISNUMBER(D_Emissions!I$35),I113&lt;&gt;""),I113/D_Emissions!I$35*100,""))</f>
        <v/>
      </c>
      <c r="J136" s="472" t="str">
        <f>IF(J113=EUconst_NA,EUconst_NA,IF(AND(ISNUMBER(D_Emissions!J$35),J113&lt;&gt;""),J113/D_Emissions!J$35*100,""))</f>
        <v/>
      </c>
      <c r="K136" s="472" t="str">
        <f>IF(K113=EUconst_NA,EUconst_NA,IF(AND(ISNUMBER(D_Emissions!K$35),K113&lt;&gt;""),K113/D_Emissions!K$35*100,""))</f>
        <v/>
      </c>
      <c r="L136" s="472" t="str">
        <f>IF(L113=EUconst_NA,EUconst_NA,IF(AND(ISNUMBER(D_Emissions!L$35),L113&lt;&gt;""),L113/D_Emissions!L$35*100,""))</f>
        <v/>
      </c>
      <c r="M136" s="472" t="str">
        <f>IF(M113=EUconst_NA,EUconst_NA,IF(AND(ISNUMBER(D_Emissions!M$35),M113&lt;&gt;""),M113/D_Emissions!M$35*100,""))</f>
        <v/>
      </c>
      <c r="N136" s="473" t="str">
        <f>IF(N113=EUconst_NA,EUconst_NA,IF(AND(ISNUMBER(D_Emissions!N$35),N113&lt;&gt;""),N113/D_Emissions!N$35*100,""))</f>
        <v/>
      </c>
      <c r="O136" s="698"/>
      <c r="P136" s="1651"/>
      <c r="Q136" s="694"/>
      <c r="R136" s="694"/>
      <c r="S136" s="694"/>
      <c r="T136" s="694"/>
      <c r="U136" s="343"/>
      <c r="V136" s="343"/>
    </row>
    <row r="137" spans="1:22" ht="13.5" customHeight="1" thickBot="1" x14ac:dyDescent="0.3">
      <c r="A137" s="694"/>
      <c r="B137" s="698"/>
      <c r="C137" s="698"/>
      <c r="D137" s="360"/>
      <c r="E137" s="3000" t="str">
        <f t="shared" si="14"/>
        <v>Подинсталация с емисии от процеси (с риск от ИВЕ | в рамките на МКВЕГ)</v>
      </c>
      <c r="F137" s="3001"/>
      <c r="G137" s="456" t="s">
        <v>1053</v>
      </c>
      <c r="H137" s="475" t="str">
        <f>IF(H114=EUconst_NA,EUconst_NA,IF(AND(ISNUMBER(D_Emissions!H$35),H114&lt;&gt;""),H114/D_Emissions!H$35*100,""))</f>
        <v/>
      </c>
      <c r="I137" s="475" t="str">
        <f>IF(I114=EUconst_NA,EUconst_NA,IF(AND(ISNUMBER(D_Emissions!I$35),I114&lt;&gt;""),I114/D_Emissions!I$35*100,""))</f>
        <v/>
      </c>
      <c r="J137" s="475" t="str">
        <f>IF(J114=EUconst_NA,EUconst_NA,IF(AND(ISNUMBER(D_Emissions!J$35),J114&lt;&gt;""),J114/D_Emissions!J$35*100,""))</f>
        <v/>
      </c>
      <c r="K137" s="475" t="str">
        <f>IF(K114=EUconst_NA,EUconst_NA,IF(AND(ISNUMBER(D_Emissions!K$35),K114&lt;&gt;""),K114/D_Emissions!K$35*100,""))</f>
        <v/>
      </c>
      <c r="L137" s="475" t="str">
        <f>IF(L114=EUconst_NA,EUconst_NA,IF(AND(ISNUMBER(D_Emissions!L$35),L114&lt;&gt;""),L114/D_Emissions!L$35*100,""))</f>
        <v/>
      </c>
      <c r="M137" s="475" t="str">
        <f>IF(M114=EUconst_NA,EUconst_NA,IF(AND(ISNUMBER(D_Emissions!M$35),M114&lt;&gt;""),M114/D_Emissions!M$35*100,""))</f>
        <v/>
      </c>
      <c r="N137" s="476" t="str">
        <f>IF(N114=EUconst_NA,EUconst_NA,IF(AND(ISNUMBER(D_Emissions!N$35),N114&lt;&gt;""),N114/D_Emissions!N$35*100,""))</f>
        <v/>
      </c>
      <c r="O137" s="698"/>
      <c r="P137" s="1651"/>
      <c r="Q137" s="694"/>
      <c r="R137" s="694"/>
      <c r="S137" s="694"/>
      <c r="T137" s="694"/>
      <c r="U137" s="343"/>
      <c r="V137" s="343"/>
    </row>
    <row r="138" spans="1:22" ht="13" customHeight="1" thickBot="1" x14ac:dyDescent="0.3">
      <c r="A138" s="694"/>
      <c r="B138" s="698"/>
      <c r="C138" s="698"/>
      <c r="D138" s="360"/>
      <c r="E138" s="3057" t="str">
        <f>E115</f>
        <v>Проверка: Други емисии</v>
      </c>
      <c r="F138" s="2999"/>
      <c r="G138" s="1640" t="s">
        <v>1053</v>
      </c>
      <c r="H138" s="1102" t="str">
        <f>IF(H115=EUconst_NA,EUconst_NA,IF(AND(ISNUMBER(D_Emissions!H$35),H115&lt;&gt;""),H115/D_Emissions!H$35*100,""))</f>
        <v/>
      </c>
      <c r="I138" s="1102" t="str">
        <f>IF(I115=EUconst_NA,EUconst_NA,IF(AND(ISNUMBER(D_Emissions!I$35),I115&lt;&gt;""),I115/D_Emissions!I$35*100,""))</f>
        <v/>
      </c>
      <c r="J138" s="1102" t="str">
        <f>IF(J115=EUconst_NA,EUconst_NA,IF(AND(ISNUMBER(D_Emissions!J$35),J115&lt;&gt;""),J115/D_Emissions!J$35*100,""))</f>
        <v/>
      </c>
      <c r="K138" s="1102" t="str">
        <f>IF(K115=EUconst_NA,EUconst_NA,IF(AND(ISNUMBER(D_Emissions!K$35),K115&lt;&gt;""),K115/D_Emissions!K$35*100,""))</f>
        <v/>
      </c>
      <c r="L138" s="1102" t="str">
        <f>IF(L115=EUconst_NA,EUconst_NA,IF(AND(ISNUMBER(D_Emissions!L$35),L115&lt;&gt;""),L115/D_Emissions!L$35*100,""))</f>
        <v/>
      </c>
      <c r="M138" s="1102" t="str">
        <f>IF(M115=EUconst_NA,EUconst_NA,IF(AND(ISNUMBER(D_Emissions!M$35),M115&lt;&gt;""),M115/D_Emissions!M$35*100,""))</f>
        <v/>
      </c>
      <c r="N138" s="1102" t="str">
        <f>IF(N115=EUconst_NA,EUconst_NA,IF(AND(ISNUMBER(D_Emissions!N$35),N115&lt;&gt;""),N115/D_Emissions!N$35*100,""))</f>
        <v/>
      </c>
      <c r="O138" s="698"/>
      <c r="P138" s="1652"/>
      <c r="Q138" s="694"/>
      <c r="R138" s="694"/>
      <c r="S138" s="694"/>
      <c r="T138" s="694"/>
      <c r="U138" s="343"/>
      <c r="V138" s="343"/>
    </row>
    <row r="139" spans="1:22" s="364" customFormat="1" ht="12.75" customHeight="1" x14ac:dyDescent="0.25">
      <c r="A139" s="729"/>
      <c r="B139" s="302"/>
      <c r="C139" s="302"/>
      <c r="D139" s="302"/>
      <c r="E139" s="302"/>
      <c r="F139" s="302"/>
      <c r="G139" s="302"/>
      <c r="H139" s="302"/>
      <c r="I139" s="302"/>
      <c r="J139" s="302"/>
      <c r="K139" s="302"/>
      <c r="L139" s="302"/>
      <c r="M139" s="302"/>
      <c r="N139" s="302"/>
      <c r="O139" s="698"/>
      <c r="P139" s="729"/>
      <c r="Q139" s="729"/>
      <c r="R139" s="729"/>
      <c r="S139" s="729"/>
      <c r="T139" s="729"/>
      <c r="U139" s="343"/>
      <c r="V139" s="343"/>
    </row>
    <row r="140" spans="1:22" s="364" customFormat="1" ht="14.15" customHeight="1" x14ac:dyDescent="0.3">
      <c r="A140" s="729"/>
      <c r="B140" s="302"/>
      <c r="C140" s="357">
        <v>3</v>
      </c>
      <c r="D140" s="2682" t="str">
        <f>Translations!$B$924</f>
        <v>Инструмент за комбинирано производство — раздел D.III</v>
      </c>
      <c r="E140" s="2240"/>
      <c r="F140" s="2240"/>
      <c r="G140" s="2240"/>
      <c r="H140" s="2240"/>
      <c r="I140" s="2240"/>
      <c r="J140" s="2240"/>
      <c r="K140" s="2240"/>
      <c r="L140" s="2240"/>
      <c r="M140" s="2240"/>
      <c r="N140" s="2240"/>
      <c r="O140" s="698"/>
      <c r="P140" s="729"/>
      <c r="Q140" s="729"/>
      <c r="R140" s="729"/>
      <c r="S140" s="729"/>
      <c r="T140" s="729"/>
      <c r="U140" s="343"/>
      <c r="V140" s="343"/>
    </row>
    <row r="141" spans="1:22" s="364" customFormat="1" ht="5.15" customHeight="1" x14ac:dyDescent="0.25">
      <c r="A141" s="729"/>
      <c r="B141" s="284"/>
      <c r="C141" s="284"/>
      <c r="D141" s="284"/>
      <c r="E141" s="284"/>
      <c r="F141" s="284"/>
      <c r="G141" s="284"/>
      <c r="H141" s="284"/>
      <c r="I141" s="284"/>
      <c r="J141" s="284"/>
      <c r="K141" s="284"/>
      <c r="L141" s="284"/>
      <c r="M141" s="336"/>
      <c r="N141" s="336"/>
      <c r="O141" s="698"/>
      <c r="P141" s="770"/>
      <c r="Q141" s="770"/>
      <c r="R141" s="729"/>
      <c r="S141" s="729"/>
      <c r="T141" s="729"/>
      <c r="U141" s="343"/>
      <c r="V141" s="343"/>
    </row>
    <row r="142" spans="1:22" s="364" customFormat="1" ht="12.75" customHeight="1" x14ac:dyDescent="0.25">
      <c r="A142" s="729"/>
      <c r="B142" s="302"/>
      <c r="C142" s="284"/>
      <c r="D142" s="300" t="s">
        <v>408</v>
      </c>
      <c r="E142" s="2463" t="str">
        <f>Translations!$B$925</f>
        <v>Инструмент за комбинирано производство 1</v>
      </c>
      <c r="F142" s="2240"/>
      <c r="G142" s="2240"/>
      <c r="H142" s="2240"/>
      <c r="I142" s="2240"/>
      <c r="J142" s="2240"/>
      <c r="K142" s="2240"/>
      <c r="L142" s="2684"/>
      <c r="M142" s="478" t="str">
        <f>IF(ISBLANK(D_Emissions!M45),"",D_Emissions!M45)</f>
        <v/>
      </c>
      <c r="N142" s="1039"/>
      <c r="O142" s="698"/>
      <c r="P142" s="729"/>
      <c r="Q142" s="729"/>
      <c r="R142" s="729"/>
      <c r="S142" s="729"/>
      <c r="T142" s="729"/>
      <c r="U142" s="343"/>
      <c r="V142" s="343"/>
    </row>
    <row r="143" spans="1:22" s="364" customFormat="1" ht="5.15" customHeight="1" x14ac:dyDescent="0.25">
      <c r="A143" s="729"/>
      <c r="B143" s="302"/>
      <c r="C143" s="698"/>
      <c r="D143" s="698"/>
      <c r="E143" s="698"/>
      <c r="F143" s="698"/>
      <c r="G143" s="698"/>
      <c r="H143" s="698"/>
      <c r="I143" s="698"/>
      <c r="J143" s="698"/>
      <c r="K143" s="698"/>
      <c r="L143" s="698"/>
      <c r="M143" s="698"/>
      <c r="N143" s="698"/>
      <c r="O143" s="698"/>
      <c r="P143" s="729"/>
      <c r="Q143" s="729"/>
      <c r="R143" s="729"/>
      <c r="S143" s="729"/>
      <c r="T143" s="729"/>
      <c r="U143" s="343"/>
      <c r="V143" s="343"/>
    </row>
    <row r="144" spans="1:22" s="364" customFormat="1" ht="12.75" customHeight="1" x14ac:dyDescent="0.25">
      <c r="A144" s="729"/>
      <c r="B144" s="302"/>
      <c r="C144" s="698"/>
      <c r="D144" s="698"/>
      <c r="E144" s="2671" t="str">
        <f>Translations!$B$926</f>
        <v>Енергиен баланс</v>
      </c>
      <c r="F144" s="2672"/>
      <c r="G144" s="390" t="str">
        <f>D_Emissions!G56</f>
        <v>Единица мярка</v>
      </c>
      <c r="H144" s="391">
        <f t="shared" ref="H144:N144" si="15">H$2505</f>
        <v>2024</v>
      </c>
      <c r="I144" s="391">
        <f t="shared" si="15"/>
        <v>2025</v>
      </c>
      <c r="J144" s="391">
        <f t="shared" si="15"/>
        <v>2026</v>
      </c>
      <c r="K144" s="391">
        <f t="shared" si="15"/>
        <v>2027</v>
      </c>
      <c r="L144" s="391">
        <f t="shared" si="15"/>
        <v>2028</v>
      </c>
      <c r="M144" s="391">
        <f t="shared" si="15"/>
        <v>2029</v>
      </c>
      <c r="N144" s="391">
        <f t="shared" si="15"/>
        <v>2030</v>
      </c>
      <c r="O144" s="698"/>
      <c r="P144" s="729"/>
      <c r="Q144" s="729"/>
      <c r="R144" s="729"/>
      <c r="S144" s="729"/>
      <c r="T144" s="729"/>
      <c r="U144" s="343"/>
      <c r="V144" s="343"/>
    </row>
    <row r="145" spans="1:22" s="364" customFormat="1" ht="12.75" customHeight="1" x14ac:dyDescent="0.25">
      <c r="A145" s="729"/>
      <c r="B145" s="302"/>
      <c r="C145" s="698"/>
      <c r="D145" s="698"/>
      <c r="E145" s="2687" t="str">
        <f>D_Emissions!E57</f>
        <v>Гориво, вложено в КПТЕ</v>
      </c>
      <c r="F145" s="2258"/>
      <c r="G145" s="1016" t="str">
        <f>D_Emissions!G57</f>
        <v>TJ / година</v>
      </c>
      <c r="H145" s="1653" t="str">
        <f>IF(ISBLANK(D_Emissions!H57),"",D_Emissions!H57)</f>
        <v/>
      </c>
      <c r="I145" s="1653" t="str">
        <f>IF(ISBLANK(D_Emissions!I57),"",D_Emissions!I57)</f>
        <v/>
      </c>
      <c r="J145" s="1653" t="str">
        <f>IF(ISBLANK(D_Emissions!J57),"",D_Emissions!J57)</f>
        <v/>
      </c>
      <c r="K145" s="1653" t="str">
        <f>IF(ISBLANK(D_Emissions!K57),"",D_Emissions!K57)</f>
        <v/>
      </c>
      <c r="L145" s="1653" t="str">
        <f>IF(ISBLANK(D_Emissions!L57),"",D_Emissions!L57)</f>
        <v/>
      </c>
      <c r="M145" s="1653" t="str">
        <f>IF(ISBLANK(D_Emissions!M57),"",D_Emissions!M57)</f>
        <v/>
      </c>
      <c r="N145" s="1653" t="str">
        <f>IF(ISBLANK(D_Emissions!N57),"",D_Emissions!N57)</f>
        <v/>
      </c>
      <c r="O145" s="698"/>
      <c r="P145" s="729"/>
      <c r="Q145" s="729"/>
      <c r="R145" s="729"/>
      <c r="S145" s="729"/>
      <c r="T145" s="729"/>
      <c r="U145" s="343"/>
      <c r="V145" s="343"/>
    </row>
    <row r="146" spans="1:22" s="364" customFormat="1" ht="12.75" customHeight="1" x14ac:dyDescent="0.25">
      <c r="A146" s="729"/>
      <c r="B146" s="302"/>
      <c r="C146" s="698"/>
      <c r="D146" s="698"/>
      <c r="E146" s="3056" t="str">
        <f>D_Emissions!E62</f>
        <v>Изходяща топлинна енергия от КПТЕ</v>
      </c>
      <c r="F146" s="2701"/>
      <c r="G146" s="1085" t="str">
        <f>D_Emissions!G62</f>
        <v>TJ / година</v>
      </c>
      <c r="H146" s="1654" t="str">
        <f>IF(ISBLANK(D_Emissions!H62),"",D_Emissions!H62)</f>
        <v/>
      </c>
      <c r="I146" s="1654" t="str">
        <f>IF(ISBLANK(D_Emissions!I62),"",D_Emissions!I62)</f>
        <v/>
      </c>
      <c r="J146" s="1654" t="str">
        <f>IF(ISBLANK(D_Emissions!J62),"",D_Emissions!J62)</f>
        <v/>
      </c>
      <c r="K146" s="1654" t="str">
        <f>IF(ISBLANK(D_Emissions!K62),"",D_Emissions!K62)</f>
        <v/>
      </c>
      <c r="L146" s="1654" t="str">
        <f>IF(ISBLANK(D_Emissions!L62),"",D_Emissions!L62)</f>
        <v/>
      </c>
      <c r="M146" s="1654" t="str">
        <f>IF(ISBLANK(D_Emissions!M62),"",D_Emissions!M62)</f>
        <v/>
      </c>
      <c r="N146" s="1654" t="str">
        <f>IF(ISBLANK(D_Emissions!N62),"",D_Emissions!N62)</f>
        <v/>
      </c>
      <c r="O146" s="698"/>
      <c r="P146" s="729"/>
      <c r="Q146" s="729"/>
      <c r="R146" s="729"/>
      <c r="S146" s="729"/>
      <c r="T146" s="729"/>
      <c r="U146" s="343"/>
      <c r="V146" s="343"/>
    </row>
    <row r="147" spans="1:22" s="364" customFormat="1" ht="12.75" customHeight="1" x14ac:dyDescent="0.25">
      <c r="A147" s="729"/>
      <c r="B147" s="302"/>
      <c r="C147" s="698"/>
      <c r="D147" s="698"/>
      <c r="E147" s="3011" t="str">
        <f>D_Emissions!E68</f>
        <v>Изходяща електроенергия от КПТЕ</v>
      </c>
      <c r="F147" s="2705"/>
      <c r="G147" s="1088" t="str">
        <f>D_Emissions!G68</f>
        <v>TJ / година</v>
      </c>
      <c r="H147" s="1655" t="str">
        <f>IF(ISBLANK(D_Emissions!H68),"",D_Emissions!H68)</f>
        <v/>
      </c>
      <c r="I147" s="1655" t="str">
        <f>IF(ISBLANK(D_Emissions!I68),"",D_Emissions!I68)</f>
        <v/>
      </c>
      <c r="J147" s="1655" t="str">
        <f>IF(ISBLANK(D_Emissions!J68),"",D_Emissions!J68)</f>
        <v/>
      </c>
      <c r="K147" s="1655" t="str">
        <f>IF(ISBLANK(D_Emissions!K68),"",D_Emissions!K68)</f>
        <v/>
      </c>
      <c r="L147" s="1655" t="str">
        <f>IF(ISBLANK(D_Emissions!L68),"",D_Emissions!L68)</f>
        <v/>
      </c>
      <c r="M147" s="1655" t="str">
        <f>IF(ISBLANK(D_Emissions!M68),"",D_Emissions!M68)</f>
        <v/>
      </c>
      <c r="N147" s="1655" t="str">
        <f>IF(ISBLANK(D_Emissions!N68),"",D_Emissions!N68)</f>
        <v/>
      </c>
      <c r="O147" s="698"/>
      <c r="P147" s="729"/>
      <c r="Q147" s="729"/>
      <c r="R147" s="729"/>
      <c r="S147" s="729"/>
      <c r="T147" s="729"/>
      <c r="U147" s="343"/>
      <c r="V147" s="343"/>
    </row>
    <row r="148" spans="1:22" s="364" customFormat="1" ht="5.15" customHeight="1" x14ac:dyDescent="0.25">
      <c r="A148" s="729"/>
      <c r="B148" s="302"/>
      <c r="C148" s="698"/>
      <c r="D148" s="698"/>
      <c r="E148" s="698"/>
      <c r="F148" s="698"/>
      <c r="G148" s="698"/>
      <c r="H148" s="698"/>
      <c r="I148" s="698"/>
      <c r="J148" s="698"/>
      <c r="K148" s="698"/>
      <c r="L148" s="698"/>
      <c r="M148" s="698"/>
      <c r="N148" s="698"/>
      <c r="O148" s="698"/>
      <c r="P148" s="729"/>
      <c r="Q148" s="729"/>
      <c r="R148" s="729"/>
      <c r="S148" s="729"/>
      <c r="T148" s="729"/>
      <c r="U148" s="343"/>
      <c r="V148" s="343"/>
    </row>
    <row r="149" spans="1:22" s="364" customFormat="1" ht="12.75" customHeight="1" x14ac:dyDescent="0.25">
      <c r="A149" s="729"/>
      <c r="B149" s="302"/>
      <c r="C149" s="698"/>
      <c r="D149" s="698"/>
      <c r="E149" s="2671" t="str">
        <f>Translations!$B$927</f>
        <v>Емисии</v>
      </c>
      <c r="F149" s="2672"/>
      <c r="G149" s="390" t="str">
        <f>D_Emissions!G61</f>
        <v>Единица мярка</v>
      </c>
      <c r="H149" s="391">
        <f t="shared" ref="H149:N149" si="16">H$2505</f>
        <v>2024</v>
      </c>
      <c r="I149" s="391">
        <f t="shared" si="16"/>
        <v>2025</v>
      </c>
      <c r="J149" s="391">
        <f t="shared" si="16"/>
        <v>2026</v>
      </c>
      <c r="K149" s="391">
        <f t="shared" si="16"/>
        <v>2027</v>
      </c>
      <c r="L149" s="391">
        <f t="shared" si="16"/>
        <v>2028</v>
      </c>
      <c r="M149" s="391">
        <f t="shared" si="16"/>
        <v>2029</v>
      </c>
      <c r="N149" s="391">
        <f t="shared" si="16"/>
        <v>2030</v>
      </c>
      <c r="O149" s="698"/>
      <c r="P149" s="729"/>
      <c r="Q149" s="729"/>
      <c r="R149" s="729"/>
      <c r="S149" s="729"/>
      <c r="T149" s="729"/>
      <c r="U149" s="343"/>
      <c r="V149" s="343"/>
    </row>
    <row r="150" spans="1:22" s="364" customFormat="1" ht="12.75" customHeight="1" x14ac:dyDescent="0.25">
      <c r="A150" s="729"/>
      <c r="B150" s="302"/>
      <c r="C150" s="698"/>
      <c r="D150" s="698"/>
      <c r="E150" s="3056" t="str">
        <f>D_Emissions!E73</f>
        <v>От горива, вложени в КПТЕ</v>
      </c>
      <c r="F150" s="2701"/>
      <c r="G150" s="1085" t="str">
        <f>D_Emissions!G73</f>
        <v>t CO2 / година</v>
      </c>
      <c r="H150" s="1654" t="str">
        <f>IF(ISBLANK(D_Emissions!H73),"",D_Emissions!H73)</f>
        <v/>
      </c>
      <c r="I150" s="1654" t="str">
        <f>IF(ISBLANK(D_Emissions!I73),"",D_Emissions!I73)</f>
        <v/>
      </c>
      <c r="J150" s="1654" t="str">
        <f>IF(ISBLANK(D_Emissions!J73),"",D_Emissions!J73)</f>
        <v/>
      </c>
      <c r="K150" s="1654" t="str">
        <f>IF(ISBLANK(D_Emissions!K73),"",D_Emissions!K73)</f>
        <v/>
      </c>
      <c r="L150" s="1654" t="str">
        <f>IF(ISBLANK(D_Emissions!L73),"",D_Emissions!L73)</f>
        <v/>
      </c>
      <c r="M150" s="1654" t="str">
        <f>IF(ISBLANK(D_Emissions!M73),"",D_Emissions!M73)</f>
        <v/>
      </c>
      <c r="N150" s="1654" t="str">
        <f>IF(ISBLANK(D_Emissions!N73),"",D_Emissions!N73)</f>
        <v/>
      </c>
      <c r="O150" s="698"/>
      <c r="P150" s="729"/>
      <c r="Q150" s="729"/>
      <c r="R150" s="729"/>
      <c r="S150" s="729"/>
      <c r="T150" s="729"/>
      <c r="U150" s="343"/>
      <c r="V150" s="343"/>
    </row>
    <row r="151" spans="1:22" s="364" customFormat="1" ht="12.75" customHeight="1" x14ac:dyDescent="0.25">
      <c r="A151" s="729"/>
      <c r="B151" s="302"/>
      <c r="C151" s="698"/>
      <c r="D151" s="698"/>
      <c r="E151" s="3011" t="str">
        <f>D_Emissions!E74</f>
        <v>От очистване на димни газове</v>
      </c>
      <c r="F151" s="2705"/>
      <c r="G151" s="1088" t="str">
        <f>D_Emissions!G74</f>
        <v>t CO2 / година</v>
      </c>
      <c r="H151" s="1655" t="str">
        <f>IF(ISBLANK(D_Emissions!H74),"",D_Emissions!H74)</f>
        <v/>
      </c>
      <c r="I151" s="1655" t="str">
        <f>IF(ISBLANK(D_Emissions!I74),"",D_Emissions!I74)</f>
        <v/>
      </c>
      <c r="J151" s="1655" t="str">
        <f>IF(ISBLANK(D_Emissions!J74),"",D_Emissions!J74)</f>
        <v/>
      </c>
      <c r="K151" s="1655" t="str">
        <f>IF(ISBLANK(D_Emissions!K74),"",D_Emissions!K74)</f>
        <v/>
      </c>
      <c r="L151" s="1655" t="str">
        <f>IF(ISBLANK(D_Emissions!L74),"",D_Emissions!L74)</f>
        <v/>
      </c>
      <c r="M151" s="1655" t="str">
        <f>IF(ISBLANK(D_Emissions!M74),"",D_Emissions!M74)</f>
        <v/>
      </c>
      <c r="N151" s="1655" t="str">
        <f>IF(ISBLANK(D_Emissions!N74),"",D_Emissions!N74)</f>
        <v/>
      </c>
      <c r="O151" s="698"/>
      <c r="P151" s="729"/>
      <c r="Q151" s="729"/>
      <c r="R151" s="729"/>
      <c r="S151" s="729"/>
      <c r="T151" s="729"/>
      <c r="U151" s="343"/>
      <c r="V151" s="343"/>
    </row>
    <row r="152" spans="1:22" s="364" customFormat="1" ht="12.75" customHeight="1" x14ac:dyDescent="0.25">
      <c r="A152" s="729"/>
      <c r="B152" s="302"/>
      <c r="C152" s="698"/>
      <c r="D152" s="698"/>
      <c r="E152" s="2687" t="str">
        <f>D_Emissions!E75</f>
        <v>Общо емисии</v>
      </c>
      <c r="F152" s="2258"/>
      <c r="G152" s="1016" t="str">
        <f>D_Emissions!G75</f>
        <v>t CO2 / година</v>
      </c>
      <c r="H152" s="1653" t="str">
        <f>D_Emissions!H75</f>
        <v/>
      </c>
      <c r="I152" s="1653" t="str">
        <f>D_Emissions!I75</f>
        <v/>
      </c>
      <c r="J152" s="1653" t="str">
        <f>D_Emissions!J75</f>
        <v/>
      </c>
      <c r="K152" s="1653" t="str">
        <f>D_Emissions!K75</f>
        <v/>
      </c>
      <c r="L152" s="1653" t="str">
        <f>D_Emissions!L75</f>
        <v/>
      </c>
      <c r="M152" s="1653" t="str">
        <f>D_Emissions!M75</f>
        <v/>
      </c>
      <c r="N152" s="1653" t="str">
        <f>D_Emissions!N75</f>
        <v/>
      </c>
      <c r="O152" s="698"/>
      <c r="P152" s="729"/>
      <c r="Q152" s="729"/>
      <c r="R152" s="729"/>
      <c r="S152" s="729"/>
      <c r="T152" s="729"/>
      <c r="U152" s="343"/>
      <c r="V152" s="343"/>
    </row>
    <row r="153" spans="1:22" s="364" customFormat="1" ht="5.15" customHeight="1" x14ac:dyDescent="0.25">
      <c r="A153" s="729"/>
      <c r="B153" s="302"/>
      <c r="C153" s="698"/>
      <c r="D153" s="698"/>
      <c r="O153" s="698"/>
      <c r="P153" s="729"/>
      <c r="Q153" s="729"/>
      <c r="R153" s="729"/>
      <c r="S153" s="729"/>
      <c r="T153" s="729"/>
      <c r="U153" s="343"/>
      <c r="V153" s="343"/>
    </row>
    <row r="154" spans="1:22" s="364" customFormat="1" ht="12.75" customHeight="1" x14ac:dyDescent="0.25">
      <c r="A154" s="729"/>
      <c r="B154" s="302"/>
      <c r="C154" s="698"/>
      <c r="D154" s="698"/>
      <c r="E154" s="2671" t="str">
        <f>Translations!$B$928</f>
        <v>Стойности на к.п.д.</v>
      </c>
      <c r="F154" s="2672"/>
      <c r="G154" s="390" t="str">
        <f>D_Emissions!G82</f>
        <v>Единица мярка</v>
      </c>
      <c r="H154" s="391">
        <f t="shared" ref="H154:N154" si="17">H$2505</f>
        <v>2024</v>
      </c>
      <c r="I154" s="391">
        <f t="shared" si="17"/>
        <v>2025</v>
      </c>
      <c r="J154" s="391">
        <f t="shared" si="17"/>
        <v>2026</v>
      </c>
      <c r="K154" s="391">
        <f t="shared" si="17"/>
        <v>2027</v>
      </c>
      <c r="L154" s="391">
        <f t="shared" si="17"/>
        <v>2028</v>
      </c>
      <c r="M154" s="391">
        <f t="shared" si="17"/>
        <v>2029</v>
      </c>
      <c r="N154" s="391">
        <f t="shared" si="17"/>
        <v>2030</v>
      </c>
      <c r="O154" s="698"/>
      <c r="P154" s="729"/>
      <c r="Q154" s="729"/>
      <c r="R154" s="729"/>
      <c r="S154" s="729"/>
      <c r="T154" s="729"/>
      <c r="U154" s="343"/>
      <c r="V154" s="343"/>
    </row>
    <row r="155" spans="1:22" s="364" customFormat="1" ht="12.75" customHeight="1" x14ac:dyDescent="0.25">
      <c r="A155" s="729"/>
      <c r="B155" s="302"/>
      <c r="C155" s="698"/>
      <c r="D155" s="698"/>
      <c r="E155" s="3056" t="str">
        <f>D_Emissions!E83</f>
        <v>Производство на топлинна енергия</v>
      </c>
      <c r="F155" s="2701"/>
      <c r="G155" s="485" t="str">
        <f>D_Emissions!G83</f>
        <v>-</v>
      </c>
      <c r="H155" s="1656" t="str">
        <f>D_Emissions!H83</f>
        <v/>
      </c>
      <c r="I155" s="1656" t="str">
        <f>D_Emissions!I83</f>
        <v/>
      </c>
      <c r="J155" s="1656" t="str">
        <f>D_Emissions!J83</f>
        <v/>
      </c>
      <c r="K155" s="1656" t="str">
        <f>D_Emissions!K83</f>
        <v/>
      </c>
      <c r="L155" s="1656" t="str">
        <f>D_Emissions!L83</f>
        <v/>
      </c>
      <c r="M155" s="1656" t="str">
        <f>D_Emissions!M83</f>
        <v/>
      </c>
      <c r="N155" s="1656" t="str">
        <f>D_Emissions!N83</f>
        <v/>
      </c>
      <c r="O155" s="698"/>
      <c r="P155" s="729"/>
      <c r="Q155" s="729"/>
      <c r="R155" s="729"/>
      <c r="S155" s="729"/>
      <c r="T155" s="729"/>
      <c r="U155" s="343"/>
      <c r="V155" s="343"/>
    </row>
    <row r="156" spans="1:22" s="364" customFormat="1" ht="12.75" customHeight="1" x14ac:dyDescent="0.25">
      <c r="A156" s="729"/>
      <c r="B156" s="302"/>
      <c r="C156" s="698"/>
      <c r="D156" s="698"/>
      <c r="E156" s="3011" t="str">
        <f>D_Emissions!E84</f>
        <v>Производство на електроенергия</v>
      </c>
      <c r="F156" s="2705"/>
      <c r="G156" s="487" t="str">
        <f>D_Emissions!G84</f>
        <v>-</v>
      </c>
      <c r="H156" s="1657" t="str">
        <f>D_Emissions!H84</f>
        <v/>
      </c>
      <c r="I156" s="1657" t="str">
        <f>D_Emissions!I84</f>
        <v/>
      </c>
      <c r="J156" s="1657" t="str">
        <f>D_Emissions!J84</f>
        <v/>
      </c>
      <c r="K156" s="1657" t="str">
        <f>D_Emissions!K84</f>
        <v/>
      </c>
      <c r="L156" s="1657" t="str">
        <f>D_Emissions!L84</f>
        <v/>
      </c>
      <c r="M156" s="1657" t="str">
        <f>D_Emissions!M84</f>
        <v/>
      </c>
      <c r="N156" s="1657" t="str">
        <f>D_Emissions!N84</f>
        <v/>
      </c>
      <c r="O156" s="698"/>
      <c r="P156" s="729"/>
      <c r="Q156" s="729"/>
      <c r="R156" s="729"/>
      <c r="S156" s="729"/>
      <c r="T156" s="729"/>
      <c r="U156" s="343"/>
      <c r="V156" s="343"/>
    </row>
    <row r="157" spans="1:22" s="364" customFormat="1" ht="12.75" customHeight="1" x14ac:dyDescent="0.25">
      <c r="A157" s="729"/>
      <c r="B157" s="302"/>
      <c r="C157" s="698"/>
      <c r="D157" s="698"/>
      <c r="E157" s="3056" t="str">
        <f>Translations!$B$929</f>
        <v>Производство на топлинна енергия (референтно)</v>
      </c>
      <c r="F157" s="2701"/>
      <c r="G157" s="485" t="str">
        <f>D_Emissions!G92</f>
        <v>-</v>
      </c>
      <c r="H157" s="1658" t="str">
        <f>IF(ISBLANK(D_Emissions!H92),"",D_Emissions!H92)</f>
        <v/>
      </c>
      <c r="I157" s="1658" t="str">
        <f>IF(ISBLANK(D_Emissions!I92),"",D_Emissions!I92)</f>
        <v/>
      </c>
      <c r="J157" s="1658" t="str">
        <f>IF(ISBLANK(D_Emissions!J92),"",D_Emissions!J92)</f>
        <v/>
      </c>
      <c r="K157" s="1658" t="str">
        <f>IF(ISBLANK(D_Emissions!K92),"",D_Emissions!K92)</f>
        <v/>
      </c>
      <c r="L157" s="1658" t="str">
        <f>IF(ISBLANK(D_Emissions!L92),"",D_Emissions!L92)</f>
        <v/>
      </c>
      <c r="M157" s="1658" t="str">
        <f>IF(ISBLANK(D_Emissions!M92),"",D_Emissions!M92)</f>
        <v/>
      </c>
      <c r="N157" s="1658" t="str">
        <f>IF(ISBLANK(D_Emissions!N92),"",D_Emissions!N92)</f>
        <v/>
      </c>
      <c r="O157" s="698"/>
      <c r="P157" s="729"/>
      <c r="Q157" s="729"/>
      <c r="R157" s="729"/>
      <c r="S157" s="729"/>
      <c r="T157" s="729"/>
      <c r="U157" s="343"/>
      <c r="V157" s="343"/>
    </row>
    <row r="158" spans="1:22" s="364" customFormat="1" ht="12.75" customHeight="1" x14ac:dyDescent="0.25">
      <c r="A158" s="729"/>
      <c r="B158" s="302"/>
      <c r="C158" s="698"/>
      <c r="D158" s="698"/>
      <c r="E158" s="3011" t="str">
        <f>Translations!$B$930</f>
        <v>Производство на електроенергия (референтно)</v>
      </c>
      <c r="F158" s="2705"/>
      <c r="G158" s="487" t="str">
        <f>D_Emissions!G93</f>
        <v>-</v>
      </c>
      <c r="H158" s="1659" t="str">
        <f>IF(ISBLANK(D_Emissions!H93),"",D_Emissions!H93)</f>
        <v/>
      </c>
      <c r="I158" s="1659" t="str">
        <f>IF(ISBLANK(D_Emissions!I93),"",D_Emissions!I93)</f>
        <v/>
      </c>
      <c r="J158" s="1659" t="str">
        <f>IF(ISBLANK(D_Emissions!J93),"",D_Emissions!J93)</f>
        <v/>
      </c>
      <c r="K158" s="1659" t="str">
        <f>IF(ISBLANK(D_Emissions!K93),"",D_Emissions!K93)</f>
        <v/>
      </c>
      <c r="L158" s="1659" t="str">
        <f>IF(ISBLANK(D_Emissions!L93),"",D_Emissions!L93)</f>
        <v/>
      </c>
      <c r="M158" s="1659" t="str">
        <f>IF(ISBLANK(D_Emissions!M93),"",D_Emissions!M93)</f>
        <v/>
      </c>
      <c r="N158" s="1659" t="str">
        <f>IF(ISBLANK(D_Emissions!N93),"",D_Emissions!N93)</f>
        <v/>
      </c>
      <c r="O158" s="698"/>
      <c r="P158" s="729"/>
      <c r="Q158" s="729"/>
      <c r="R158" s="729"/>
      <c r="S158" s="729"/>
      <c r="T158" s="729"/>
      <c r="U158" s="343"/>
      <c r="V158" s="343"/>
    </row>
    <row r="159" spans="1:22" s="364" customFormat="1" ht="5.15" customHeight="1" x14ac:dyDescent="0.25">
      <c r="A159" s="729"/>
      <c r="B159" s="302"/>
      <c r="C159" s="698"/>
      <c r="D159" s="698"/>
      <c r="E159" s="698"/>
      <c r="F159" s="698"/>
      <c r="G159" s="698"/>
      <c r="H159" s="698"/>
      <c r="I159" s="698"/>
      <c r="J159" s="698"/>
      <c r="K159" s="698"/>
      <c r="L159" s="698"/>
      <c r="M159" s="698"/>
      <c r="N159" s="698"/>
      <c r="O159" s="698"/>
      <c r="P159" s="729"/>
      <c r="Q159" s="729"/>
      <c r="R159" s="729"/>
      <c r="S159" s="729"/>
      <c r="T159" s="729"/>
      <c r="U159" s="343"/>
      <c r="V159" s="343"/>
    </row>
    <row r="160" spans="1:22" s="364" customFormat="1" ht="12.75" customHeight="1" x14ac:dyDescent="0.25">
      <c r="A160" s="729"/>
      <c r="B160" s="302"/>
      <c r="C160" s="698"/>
      <c r="D160" s="698"/>
      <c r="E160" s="2671" t="str">
        <f>Translations!$B$931</f>
        <v>Резултати</v>
      </c>
      <c r="F160" s="2672"/>
      <c r="G160" s="390" t="str">
        <f>D_Emissions!G145</f>
        <v>Единица мярка</v>
      </c>
      <c r="H160" s="391">
        <f t="shared" ref="H160:N160" si="18">H$2505</f>
        <v>2024</v>
      </c>
      <c r="I160" s="391">
        <f t="shared" si="18"/>
        <v>2025</v>
      </c>
      <c r="J160" s="391">
        <f t="shared" si="18"/>
        <v>2026</v>
      </c>
      <c r="K160" s="391">
        <f t="shared" si="18"/>
        <v>2027</v>
      </c>
      <c r="L160" s="391">
        <f t="shared" si="18"/>
        <v>2028</v>
      </c>
      <c r="M160" s="391">
        <f t="shared" si="18"/>
        <v>2029</v>
      </c>
      <c r="N160" s="391">
        <f t="shared" si="18"/>
        <v>2030</v>
      </c>
      <c r="O160" s="698"/>
      <c r="P160" s="729"/>
      <c r="Q160" s="729"/>
      <c r="R160" s="729"/>
      <c r="S160" s="729"/>
      <c r="T160" s="729"/>
      <c r="U160" s="343"/>
      <c r="V160" s="343"/>
    </row>
    <row r="161" spans="1:22" s="364" customFormat="1" ht="12.75" customHeight="1" x14ac:dyDescent="0.25">
      <c r="A161" s="729"/>
      <c r="B161" s="302"/>
      <c r="C161" s="698"/>
      <c r="D161" s="698"/>
      <c r="E161" s="3058" t="str">
        <f>D_Emissions!E100</f>
        <v>Емисии, свързани с производство на топлинна енергия</v>
      </c>
      <c r="F161" s="2258"/>
      <c r="G161" s="492" t="str">
        <f>D_Emissions!G100</f>
        <v>t CO2 / година</v>
      </c>
      <c r="H161" s="493" t="str">
        <f>D_Emissions!H100</f>
        <v/>
      </c>
      <c r="I161" s="493" t="str">
        <f>D_Emissions!I100</f>
        <v/>
      </c>
      <c r="J161" s="493" t="str">
        <f>D_Emissions!J100</f>
        <v/>
      </c>
      <c r="K161" s="493" t="str">
        <f>D_Emissions!K100</f>
        <v/>
      </c>
      <c r="L161" s="493" t="str">
        <f>D_Emissions!L100</f>
        <v/>
      </c>
      <c r="M161" s="493" t="str">
        <f>D_Emissions!M100</f>
        <v/>
      </c>
      <c r="N161" s="493" t="str">
        <f>D_Emissions!N100</f>
        <v/>
      </c>
      <c r="O161" s="698"/>
      <c r="P161" s="729"/>
      <c r="Q161" s="729"/>
      <c r="R161" s="729"/>
      <c r="S161" s="729"/>
      <c r="T161" s="729"/>
      <c r="U161" s="343"/>
      <c r="V161" s="343"/>
    </row>
    <row r="162" spans="1:22" s="364" customFormat="1" ht="12.75" customHeight="1" x14ac:dyDescent="0.25">
      <c r="A162" s="729"/>
      <c r="B162" s="302"/>
      <c r="C162" s="698"/>
      <c r="D162" s="698"/>
      <c r="E162" s="2687" t="str">
        <f>D_Emissions!E101</f>
        <v>Емисионен фактор, топлинна енергия:</v>
      </c>
      <c r="F162" s="2258"/>
      <c r="G162" s="1016" t="str">
        <f>D_Emissions!G101</f>
        <v>t CO2 / TJ</v>
      </c>
      <c r="H162" s="1653" t="str">
        <f>D_Emissions!H101</f>
        <v/>
      </c>
      <c r="I162" s="1653" t="str">
        <f>D_Emissions!I101</f>
        <v/>
      </c>
      <c r="J162" s="1653" t="str">
        <f>D_Emissions!J101</f>
        <v/>
      </c>
      <c r="K162" s="1653" t="str">
        <f>D_Emissions!K101</f>
        <v/>
      </c>
      <c r="L162" s="1653" t="str">
        <f>D_Emissions!L101</f>
        <v/>
      </c>
      <c r="M162" s="1653" t="str">
        <f>D_Emissions!M101</f>
        <v/>
      </c>
      <c r="N162" s="1653" t="str">
        <f>D_Emissions!N101</f>
        <v/>
      </c>
      <c r="O162" s="698"/>
      <c r="P162" s="729"/>
      <c r="Q162" s="729"/>
      <c r="R162" s="729"/>
      <c r="S162" s="729"/>
      <c r="T162" s="729"/>
      <c r="U162" s="343"/>
      <c r="V162" s="343"/>
    </row>
    <row r="163" spans="1:22" s="364" customFormat="1" ht="5.15" customHeight="1" x14ac:dyDescent="0.25">
      <c r="A163" s="729"/>
      <c r="B163" s="302"/>
      <c r="C163" s="698"/>
      <c r="D163" s="698"/>
      <c r="E163" s="698"/>
      <c r="F163" s="698"/>
      <c r="G163" s="698"/>
      <c r="H163" s="698"/>
      <c r="I163" s="698"/>
      <c r="J163" s="698"/>
      <c r="K163" s="698"/>
      <c r="L163" s="698"/>
      <c r="M163" s="698"/>
      <c r="N163" s="698"/>
      <c r="O163" s="698"/>
      <c r="P163" s="729"/>
      <c r="Q163" s="729"/>
      <c r="R163" s="729"/>
      <c r="S163" s="729"/>
      <c r="T163" s="729"/>
      <c r="U163" s="343"/>
      <c r="V163" s="343"/>
    </row>
    <row r="164" spans="1:22" s="364" customFormat="1" ht="12.75" customHeight="1" x14ac:dyDescent="0.25">
      <c r="A164" s="729"/>
      <c r="B164" s="302"/>
      <c r="C164" s="698"/>
      <c r="D164" s="698"/>
      <c r="E164" s="3056" t="str">
        <f>D_Emissions!E106</f>
        <v>Вложени горива за топлинна енергия</v>
      </c>
      <c r="F164" s="2701"/>
      <c r="G164" s="1085" t="str">
        <f>D_Emissions!G106</f>
        <v>TJ / година</v>
      </c>
      <c r="H164" s="1654" t="str">
        <f>D_Emissions!H106</f>
        <v/>
      </c>
      <c r="I164" s="1654" t="str">
        <f>D_Emissions!I106</f>
        <v/>
      </c>
      <c r="J164" s="1654" t="str">
        <f>D_Emissions!J106</f>
        <v/>
      </c>
      <c r="K164" s="1654" t="str">
        <f>D_Emissions!K106</f>
        <v/>
      </c>
      <c r="L164" s="1654" t="str">
        <f>D_Emissions!L106</f>
        <v/>
      </c>
      <c r="M164" s="1654" t="str">
        <f>D_Emissions!M106</f>
        <v/>
      </c>
      <c r="N164" s="1654" t="str">
        <f>D_Emissions!N106</f>
        <v/>
      </c>
      <c r="O164" s="698"/>
      <c r="P164" s="729"/>
      <c r="Q164" s="729"/>
      <c r="R164" s="729"/>
      <c r="S164" s="729"/>
      <c r="T164" s="729"/>
      <c r="U164" s="343"/>
      <c r="V164" s="343"/>
    </row>
    <row r="165" spans="1:22" s="364" customFormat="1" ht="12.75" customHeight="1" x14ac:dyDescent="0.25">
      <c r="A165" s="729"/>
      <c r="B165" s="302"/>
      <c r="C165" s="698"/>
      <c r="D165" s="698"/>
      <c r="E165" s="3011" t="str">
        <f>D_Emissions!E107</f>
        <v>Вложени горива за електроенергия</v>
      </c>
      <c r="F165" s="2705"/>
      <c r="G165" s="1088" t="str">
        <f>D_Emissions!G107</f>
        <v>TJ / година</v>
      </c>
      <c r="H165" s="1655" t="str">
        <f>D_Emissions!H107</f>
        <v/>
      </c>
      <c r="I165" s="1655" t="str">
        <f>D_Emissions!I107</f>
        <v/>
      </c>
      <c r="J165" s="1655" t="str">
        <f>D_Emissions!J107</f>
        <v/>
      </c>
      <c r="K165" s="1655" t="str">
        <f>D_Emissions!K107</f>
        <v/>
      </c>
      <c r="L165" s="1655" t="str">
        <f>D_Emissions!L107</f>
        <v/>
      </c>
      <c r="M165" s="1655" t="str">
        <f>D_Emissions!M107</f>
        <v/>
      </c>
      <c r="N165" s="1655" t="str">
        <f>D_Emissions!N107</f>
        <v/>
      </c>
      <c r="O165" s="698"/>
      <c r="P165" s="729"/>
      <c r="Q165" s="729"/>
      <c r="R165" s="729"/>
      <c r="S165" s="729"/>
      <c r="T165" s="729"/>
      <c r="U165" s="343"/>
      <c r="V165" s="343"/>
    </row>
    <row r="166" spans="1:22" s="364" customFormat="1" ht="12.75" customHeight="1" x14ac:dyDescent="0.25">
      <c r="A166" s="729"/>
      <c r="B166" s="302"/>
      <c r="C166" s="284"/>
      <c r="D166" s="284"/>
      <c r="E166" s="284"/>
      <c r="F166" s="284"/>
      <c r="G166" s="284"/>
      <c r="H166" s="284"/>
      <c r="I166" s="284"/>
      <c r="J166" s="284"/>
      <c r="K166" s="284"/>
      <c r="L166" s="284"/>
      <c r="M166" s="336"/>
      <c r="N166" s="336"/>
      <c r="O166" s="698"/>
      <c r="P166" s="729"/>
      <c r="Q166" s="729"/>
      <c r="R166" s="729"/>
      <c r="S166" s="729"/>
      <c r="T166" s="729"/>
      <c r="U166" s="343"/>
      <c r="V166" s="343"/>
    </row>
    <row r="167" spans="1:22" s="364" customFormat="1" ht="12.75" customHeight="1" x14ac:dyDescent="0.25">
      <c r="A167" s="729"/>
      <c r="B167" s="302"/>
      <c r="C167" s="284"/>
      <c r="D167" s="300" t="s">
        <v>901</v>
      </c>
      <c r="E167" s="2463" t="str">
        <f>Translations!$B$932</f>
        <v>Инструмент за комбинирано производство 2</v>
      </c>
      <c r="F167" s="2240"/>
      <c r="G167" s="2240"/>
      <c r="H167" s="2240"/>
      <c r="I167" s="2240"/>
      <c r="J167" s="2240"/>
      <c r="K167" s="2240"/>
      <c r="L167" s="2684"/>
      <c r="M167" s="478" t="str">
        <f>M142</f>
        <v/>
      </c>
      <c r="N167" s="1039"/>
      <c r="O167" s="698"/>
      <c r="P167" s="729"/>
      <c r="Q167" s="729"/>
      <c r="R167" s="729"/>
      <c r="S167" s="729"/>
      <c r="T167" s="729"/>
      <c r="U167" s="343"/>
      <c r="V167" s="343"/>
    </row>
    <row r="168" spans="1:22" s="364" customFormat="1" ht="5.15" customHeight="1" x14ac:dyDescent="0.25">
      <c r="A168" s="729"/>
      <c r="B168" s="302"/>
      <c r="C168" s="698"/>
      <c r="D168" s="698"/>
      <c r="E168" s="698"/>
      <c r="F168" s="698"/>
      <c r="G168" s="698"/>
      <c r="H168" s="698"/>
      <c r="I168" s="698"/>
      <c r="J168" s="698"/>
      <c r="K168" s="698"/>
      <c r="L168" s="698"/>
      <c r="M168" s="698"/>
      <c r="N168" s="698"/>
      <c r="O168" s="698"/>
      <c r="P168" s="729"/>
      <c r="Q168" s="729"/>
      <c r="R168" s="729"/>
      <c r="S168" s="729"/>
      <c r="T168" s="729"/>
      <c r="U168" s="343"/>
      <c r="V168" s="343"/>
    </row>
    <row r="169" spans="1:22" s="364" customFormat="1" ht="12.75" customHeight="1" x14ac:dyDescent="0.25">
      <c r="A169" s="729"/>
      <c r="B169" s="302"/>
      <c r="C169" s="698"/>
      <c r="D169" s="698"/>
      <c r="E169" s="2671" t="str">
        <f>Translations!$B$926</f>
        <v>Енергиен баланс</v>
      </c>
      <c r="F169" s="2672"/>
      <c r="G169" s="390" t="str">
        <f>D_Emissions!G114</f>
        <v>Единица мярка</v>
      </c>
      <c r="H169" s="391">
        <f t="shared" ref="H169:N169" si="19">H$2505</f>
        <v>2024</v>
      </c>
      <c r="I169" s="391">
        <f t="shared" si="19"/>
        <v>2025</v>
      </c>
      <c r="J169" s="391">
        <f t="shared" si="19"/>
        <v>2026</v>
      </c>
      <c r="K169" s="391">
        <f t="shared" si="19"/>
        <v>2027</v>
      </c>
      <c r="L169" s="391">
        <f t="shared" si="19"/>
        <v>2028</v>
      </c>
      <c r="M169" s="391">
        <f t="shared" si="19"/>
        <v>2029</v>
      </c>
      <c r="N169" s="391">
        <f t="shared" si="19"/>
        <v>2030</v>
      </c>
      <c r="O169" s="698"/>
      <c r="P169" s="729"/>
      <c r="Q169" s="729"/>
      <c r="R169" s="729"/>
      <c r="S169" s="729"/>
      <c r="T169" s="729"/>
      <c r="U169" s="343"/>
      <c r="V169" s="343"/>
    </row>
    <row r="170" spans="1:22" s="364" customFormat="1" ht="12.75" customHeight="1" x14ac:dyDescent="0.25">
      <c r="A170" s="729"/>
      <c r="B170" s="302"/>
      <c r="C170" s="698"/>
      <c r="D170" s="698"/>
      <c r="E170" s="2687" t="str">
        <f>D_Emissions!E115</f>
        <v>Гориво, вложено в КПТЕ</v>
      </c>
      <c r="F170" s="2258"/>
      <c r="G170" s="1016" t="str">
        <f>D_Emissions!G115</f>
        <v>TJ / година</v>
      </c>
      <c r="H170" s="1653" t="str">
        <f>IF(ISBLANK(D_Emissions!H115),"",D_Emissions!H115)</f>
        <v/>
      </c>
      <c r="I170" s="1653" t="str">
        <f>IF(ISBLANK(D_Emissions!I115),"",D_Emissions!I115)</f>
        <v/>
      </c>
      <c r="J170" s="1653" t="str">
        <f>IF(ISBLANK(D_Emissions!J115),"",D_Emissions!J115)</f>
        <v/>
      </c>
      <c r="K170" s="1653" t="str">
        <f>IF(ISBLANK(D_Emissions!K115),"",D_Emissions!K115)</f>
        <v/>
      </c>
      <c r="L170" s="1653" t="str">
        <f>IF(ISBLANK(D_Emissions!L115),"",D_Emissions!L115)</f>
        <v/>
      </c>
      <c r="M170" s="1653" t="str">
        <f>IF(ISBLANK(D_Emissions!M115),"",D_Emissions!M115)</f>
        <v/>
      </c>
      <c r="N170" s="1653" t="str">
        <f>IF(ISBLANK(D_Emissions!N115),"",D_Emissions!N115)</f>
        <v/>
      </c>
      <c r="O170" s="698"/>
      <c r="P170" s="729"/>
      <c r="Q170" s="729"/>
      <c r="R170" s="729"/>
      <c r="S170" s="729"/>
      <c r="T170" s="729"/>
      <c r="U170" s="343"/>
      <c r="V170" s="343"/>
    </row>
    <row r="171" spans="1:22" s="364" customFormat="1" ht="12.75" customHeight="1" x14ac:dyDescent="0.25">
      <c r="A171" s="729"/>
      <c r="B171" s="302"/>
      <c r="C171" s="698"/>
      <c r="D171" s="698"/>
      <c r="E171" s="3056" t="str">
        <f>D_Emissions!E119</f>
        <v>Изходяща топлинна енергия от КПТЕ</v>
      </c>
      <c r="F171" s="2701"/>
      <c r="G171" s="1085" t="str">
        <f>D_Emissions!G119</f>
        <v>TJ / година</v>
      </c>
      <c r="H171" s="1654" t="str">
        <f>IF(ISBLANK(D_Emissions!H119),"",D_Emissions!H119)</f>
        <v/>
      </c>
      <c r="I171" s="1654" t="str">
        <f>IF(ISBLANK(D_Emissions!I119),"",D_Emissions!I119)</f>
        <v/>
      </c>
      <c r="J171" s="1654" t="str">
        <f>IF(ISBLANK(D_Emissions!J119),"",D_Emissions!J119)</f>
        <v/>
      </c>
      <c r="K171" s="1654" t="str">
        <f>IF(ISBLANK(D_Emissions!K119),"",D_Emissions!K119)</f>
        <v/>
      </c>
      <c r="L171" s="1654" t="str">
        <f>IF(ISBLANK(D_Emissions!L119),"",D_Emissions!L119)</f>
        <v/>
      </c>
      <c r="M171" s="1654" t="str">
        <f>IF(ISBLANK(D_Emissions!M119),"",D_Emissions!M119)</f>
        <v/>
      </c>
      <c r="N171" s="1654" t="str">
        <f>IF(ISBLANK(D_Emissions!N119),"",D_Emissions!N119)</f>
        <v/>
      </c>
      <c r="O171" s="698"/>
      <c r="P171" s="729"/>
      <c r="Q171" s="729"/>
      <c r="R171" s="729"/>
      <c r="S171" s="729"/>
      <c r="T171" s="729"/>
      <c r="U171" s="343"/>
      <c r="V171" s="343"/>
    </row>
    <row r="172" spans="1:22" s="364" customFormat="1" ht="12.75" customHeight="1" x14ac:dyDescent="0.25">
      <c r="A172" s="729"/>
      <c r="B172" s="302"/>
      <c r="C172" s="698"/>
      <c r="D172" s="698"/>
      <c r="E172" s="3011" t="str">
        <f>D_Emissions!E124</f>
        <v>Изходяща електроенергия от КПТЕ</v>
      </c>
      <c r="F172" s="2705"/>
      <c r="G172" s="1088" t="str">
        <f>D_Emissions!G124</f>
        <v>TJ / година</v>
      </c>
      <c r="H172" s="1655" t="str">
        <f>IF(ISBLANK(D_Emissions!H124),"",D_Emissions!H124)</f>
        <v/>
      </c>
      <c r="I172" s="1655" t="str">
        <f>IF(ISBLANK(D_Emissions!I124),"",D_Emissions!I124)</f>
        <v/>
      </c>
      <c r="J172" s="1655" t="str">
        <f>IF(ISBLANK(D_Emissions!J124),"",D_Emissions!J124)</f>
        <v/>
      </c>
      <c r="K172" s="1655" t="str">
        <f>IF(ISBLANK(D_Emissions!K124),"",D_Emissions!K124)</f>
        <v/>
      </c>
      <c r="L172" s="1655" t="str">
        <f>IF(ISBLANK(D_Emissions!L124),"",D_Emissions!L124)</f>
        <v/>
      </c>
      <c r="M172" s="1655" t="str">
        <f>IF(ISBLANK(D_Emissions!M124),"",D_Emissions!M124)</f>
        <v/>
      </c>
      <c r="N172" s="1655" t="str">
        <f>IF(ISBLANK(D_Emissions!N124),"",D_Emissions!N124)</f>
        <v/>
      </c>
      <c r="O172" s="698"/>
      <c r="P172" s="729"/>
      <c r="Q172" s="729"/>
      <c r="R172" s="729"/>
      <c r="S172" s="729"/>
      <c r="T172" s="729"/>
      <c r="U172" s="343"/>
      <c r="V172" s="343"/>
    </row>
    <row r="173" spans="1:22" s="364" customFormat="1" ht="5.15" customHeight="1" x14ac:dyDescent="0.25">
      <c r="A173" s="729"/>
      <c r="B173" s="302"/>
      <c r="C173" s="698"/>
      <c r="D173" s="698"/>
      <c r="E173" s="698"/>
      <c r="F173" s="698"/>
      <c r="G173" s="698"/>
      <c r="H173" s="698"/>
      <c r="I173" s="698"/>
      <c r="J173" s="698"/>
      <c r="K173" s="698"/>
      <c r="L173" s="698"/>
      <c r="M173" s="698"/>
      <c r="N173" s="698"/>
      <c r="O173" s="698"/>
      <c r="P173" s="729"/>
      <c r="Q173" s="729"/>
      <c r="R173" s="729"/>
      <c r="S173" s="729"/>
      <c r="T173" s="729"/>
      <c r="U173" s="343"/>
      <c r="V173" s="343"/>
    </row>
    <row r="174" spans="1:22" s="364" customFormat="1" ht="12.75" customHeight="1" x14ac:dyDescent="0.25">
      <c r="A174" s="729"/>
      <c r="B174" s="302"/>
      <c r="C174" s="284"/>
      <c r="D174" s="302"/>
      <c r="E174" s="2671" t="str">
        <f>Translations!$B$927</f>
        <v>Емисии</v>
      </c>
      <c r="F174" s="2672"/>
      <c r="G174" s="390" t="str">
        <f>D_Emissions!G127</f>
        <v>Единица мярка</v>
      </c>
      <c r="H174" s="391">
        <f t="shared" ref="H174:N174" si="20">H$2505</f>
        <v>2024</v>
      </c>
      <c r="I174" s="391">
        <f t="shared" si="20"/>
        <v>2025</v>
      </c>
      <c r="J174" s="391">
        <f t="shared" si="20"/>
        <v>2026</v>
      </c>
      <c r="K174" s="391">
        <f t="shared" si="20"/>
        <v>2027</v>
      </c>
      <c r="L174" s="391">
        <f t="shared" si="20"/>
        <v>2028</v>
      </c>
      <c r="M174" s="391">
        <f t="shared" si="20"/>
        <v>2029</v>
      </c>
      <c r="N174" s="391">
        <f t="shared" si="20"/>
        <v>2030</v>
      </c>
      <c r="O174" s="698"/>
      <c r="P174" s="729"/>
      <c r="Q174" s="729"/>
      <c r="R174" s="729"/>
      <c r="S174" s="729"/>
      <c r="T174" s="729"/>
      <c r="U174" s="343"/>
      <c r="V174" s="343"/>
    </row>
    <row r="175" spans="1:22" s="364" customFormat="1" ht="12.75" customHeight="1" x14ac:dyDescent="0.25">
      <c r="A175" s="729"/>
      <c r="B175" s="302"/>
      <c r="C175" s="698"/>
      <c r="D175" s="698"/>
      <c r="E175" s="3056" t="str">
        <f>D_Emissions!E128</f>
        <v>От горива, вложени в КПТЕ</v>
      </c>
      <c r="F175" s="2701"/>
      <c r="G175" s="1085" t="str">
        <f>D_Emissions!G128</f>
        <v>t CO2 / година</v>
      </c>
      <c r="H175" s="1654" t="str">
        <f>IF(ISBLANK(D_Emissions!H128),"",D_Emissions!H128)</f>
        <v/>
      </c>
      <c r="I175" s="1654" t="str">
        <f>IF(ISBLANK(D_Emissions!I128),"",D_Emissions!I128)</f>
        <v/>
      </c>
      <c r="J175" s="1654" t="str">
        <f>IF(ISBLANK(D_Emissions!J128),"",D_Emissions!J128)</f>
        <v/>
      </c>
      <c r="K175" s="1654" t="str">
        <f>IF(ISBLANK(D_Emissions!K128),"",D_Emissions!K128)</f>
        <v/>
      </c>
      <c r="L175" s="1654" t="str">
        <f>IF(ISBLANK(D_Emissions!L128),"",D_Emissions!L128)</f>
        <v/>
      </c>
      <c r="M175" s="1654" t="str">
        <f>IF(ISBLANK(D_Emissions!M128),"",D_Emissions!M128)</f>
        <v/>
      </c>
      <c r="N175" s="1654" t="str">
        <f>IF(ISBLANK(D_Emissions!N128),"",D_Emissions!N128)</f>
        <v/>
      </c>
      <c r="O175" s="698"/>
      <c r="P175" s="729"/>
      <c r="Q175" s="729"/>
      <c r="R175" s="729"/>
      <c r="S175" s="729"/>
      <c r="T175" s="729"/>
      <c r="U175" s="343"/>
      <c r="V175" s="343"/>
    </row>
    <row r="176" spans="1:22" s="364" customFormat="1" ht="12.75" customHeight="1" x14ac:dyDescent="0.25">
      <c r="A176" s="729"/>
      <c r="B176" s="302"/>
      <c r="C176" s="698"/>
      <c r="D176" s="698"/>
      <c r="E176" s="3011" t="str">
        <f>D_Emissions!E129</f>
        <v>От очистване на димни газове</v>
      </c>
      <c r="F176" s="2705"/>
      <c r="G176" s="1088" t="str">
        <f>D_Emissions!G129</f>
        <v>t CO2 / година</v>
      </c>
      <c r="H176" s="1655" t="str">
        <f>IF(ISBLANK(D_Emissions!H129),"",D_Emissions!H129)</f>
        <v/>
      </c>
      <c r="I176" s="1655" t="str">
        <f>IF(ISBLANK(D_Emissions!I129),"",D_Emissions!I129)</f>
        <v/>
      </c>
      <c r="J176" s="1655" t="str">
        <f>IF(ISBLANK(D_Emissions!J129),"",D_Emissions!J129)</f>
        <v/>
      </c>
      <c r="K176" s="1655" t="str">
        <f>IF(ISBLANK(D_Emissions!K129),"",D_Emissions!K129)</f>
        <v/>
      </c>
      <c r="L176" s="1655" t="str">
        <f>IF(ISBLANK(D_Emissions!L129),"",D_Emissions!L129)</f>
        <v/>
      </c>
      <c r="M176" s="1655" t="str">
        <f>IF(ISBLANK(D_Emissions!M129),"",D_Emissions!M129)</f>
        <v/>
      </c>
      <c r="N176" s="1655" t="str">
        <f>IF(ISBLANK(D_Emissions!N129),"",D_Emissions!N129)</f>
        <v/>
      </c>
      <c r="O176" s="698"/>
      <c r="P176" s="729"/>
      <c r="Q176" s="729"/>
      <c r="R176" s="729"/>
      <c r="S176" s="729"/>
      <c r="T176" s="729"/>
      <c r="U176" s="343"/>
      <c r="V176" s="343"/>
    </row>
    <row r="177" spans="1:22" s="364" customFormat="1" ht="12.75" customHeight="1" x14ac:dyDescent="0.25">
      <c r="A177" s="729"/>
      <c r="B177" s="302"/>
      <c r="C177" s="698"/>
      <c r="D177" s="698"/>
      <c r="E177" s="2687" t="str">
        <f>D_Emissions!E130</f>
        <v>Общо емисии</v>
      </c>
      <c r="F177" s="2258"/>
      <c r="G177" s="1016" t="str">
        <f>D_Emissions!G130</f>
        <v>t CO2 / година</v>
      </c>
      <c r="H177" s="1653" t="str">
        <f>D_Emissions!H130</f>
        <v/>
      </c>
      <c r="I177" s="1653" t="str">
        <f>D_Emissions!I130</f>
        <v/>
      </c>
      <c r="J177" s="1653" t="str">
        <f>D_Emissions!J130</f>
        <v/>
      </c>
      <c r="K177" s="1653" t="str">
        <f>D_Emissions!K130</f>
        <v/>
      </c>
      <c r="L177" s="1653" t="str">
        <f>D_Emissions!L130</f>
        <v/>
      </c>
      <c r="M177" s="1653" t="str">
        <f>D_Emissions!M130</f>
        <v/>
      </c>
      <c r="N177" s="1653" t="str">
        <f>D_Emissions!N130</f>
        <v/>
      </c>
      <c r="O177" s="698"/>
      <c r="P177" s="729"/>
      <c r="Q177" s="729"/>
      <c r="R177" s="729"/>
      <c r="S177" s="729"/>
      <c r="T177" s="729"/>
      <c r="U177" s="343"/>
      <c r="V177" s="343"/>
    </row>
    <row r="178" spans="1:22" s="364" customFormat="1" ht="5.15" customHeight="1" x14ac:dyDescent="0.25">
      <c r="A178" s="729"/>
      <c r="B178" s="302"/>
      <c r="C178" s="698"/>
      <c r="D178" s="698"/>
      <c r="O178" s="698"/>
      <c r="P178" s="729"/>
      <c r="Q178" s="729"/>
      <c r="R178" s="729"/>
      <c r="S178" s="729"/>
      <c r="T178" s="729"/>
      <c r="U178" s="343"/>
      <c r="V178" s="343"/>
    </row>
    <row r="179" spans="1:22" s="364" customFormat="1" ht="12.75" customHeight="1" x14ac:dyDescent="0.25">
      <c r="A179" s="729"/>
      <c r="B179" s="302"/>
      <c r="C179" s="698"/>
      <c r="D179" s="698"/>
      <c r="E179" s="2671" t="str">
        <f>Translations!$B$928</f>
        <v>Стойности на к.п.д.</v>
      </c>
      <c r="F179" s="2672"/>
      <c r="G179" s="390" t="str">
        <f>D_Emissions!G135</f>
        <v>Единица мярка</v>
      </c>
      <c r="H179" s="391">
        <f t="shared" ref="H179:N179" si="21">H$2505</f>
        <v>2024</v>
      </c>
      <c r="I179" s="391">
        <f t="shared" si="21"/>
        <v>2025</v>
      </c>
      <c r="J179" s="391">
        <f t="shared" si="21"/>
        <v>2026</v>
      </c>
      <c r="K179" s="391">
        <f t="shared" si="21"/>
        <v>2027</v>
      </c>
      <c r="L179" s="391">
        <f t="shared" si="21"/>
        <v>2028</v>
      </c>
      <c r="M179" s="391">
        <f t="shared" si="21"/>
        <v>2029</v>
      </c>
      <c r="N179" s="391">
        <f t="shared" si="21"/>
        <v>2030</v>
      </c>
      <c r="O179" s="698"/>
      <c r="P179" s="729"/>
      <c r="Q179" s="729"/>
      <c r="R179" s="729"/>
      <c r="S179" s="729"/>
      <c r="T179" s="729"/>
      <c r="U179" s="343"/>
      <c r="V179" s="343"/>
    </row>
    <row r="180" spans="1:22" s="364" customFormat="1" ht="12.75" customHeight="1" x14ac:dyDescent="0.25">
      <c r="A180" s="729"/>
      <c r="B180" s="302"/>
      <c r="C180" s="698"/>
      <c r="D180" s="698"/>
      <c r="E180" s="3056" t="str">
        <f>D_Emissions!E136</f>
        <v>Производство на топлинна енергия</v>
      </c>
      <c r="F180" s="2701"/>
      <c r="G180" s="485" t="str">
        <f>D_Emissions!G136</f>
        <v>-</v>
      </c>
      <c r="H180" s="1656" t="str">
        <f>D_Emissions!H136</f>
        <v/>
      </c>
      <c r="I180" s="1656" t="str">
        <f>D_Emissions!I136</f>
        <v/>
      </c>
      <c r="J180" s="1656" t="str">
        <f>D_Emissions!J136</f>
        <v/>
      </c>
      <c r="K180" s="1656" t="str">
        <f>D_Emissions!K136</f>
        <v/>
      </c>
      <c r="L180" s="1656" t="str">
        <f>D_Emissions!L136</f>
        <v/>
      </c>
      <c r="M180" s="1656" t="str">
        <f>D_Emissions!M136</f>
        <v/>
      </c>
      <c r="N180" s="1656" t="str">
        <f>D_Emissions!N136</f>
        <v/>
      </c>
      <c r="O180" s="698"/>
      <c r="P180" s="729"/>
      <c r="Q180" s="729"/>
      <c r="R180" s="729"/>
      <c r="S180" s="729"/>
      <c r="T180" s="729"/>
      <c r="U180" s="343"/>
      <c r="V180" s="343"/>
    </row>
    <row r="181" spans="1:22" s="364" customFormat="1" ht="12.75" customHeight="1" x14ac:dyDescent="0.25">
      <c r="A181" s="729"/>
      <c r="B181" s="302"/>
      <c r="C181" s="698"/>
      <c r="D181" s="698"/>
      <c r="E181" s="3011" t="str">
        <f>D_Emissions!E137</f>
        <v>Производство на електроенергия</v>
      </c>
      <c r="F181" s="2705"/>
      <c r="G181" s="487" t="str">
        <f>D_Emissions!G137</f>
        <v>-</v>
      </c>
      <c r="H181" s="1657" t="str">
        <f>D_Emissions!H137</f>
        <v/>
      </c>
      <c r="I181" s="1657" t="str">
        <f>D_Emissions!I137</f>
        <v/>
      </c>
      <c r="J181" s="1657" t="str">
        <f>D_Emissions!J137</f>
        <v/>
      </c>
      <c r="K181" s="1657" t="str">
        <f>D_Emissions!K137</f>
        <v/>
      </c>
      <c r="L181" s="1657" t="str">
        <f>D_Emissions!L137</f>
        <v/>
      </c>
      <c r="M181" s="1657" t="str">
        <f>D_Emissions!M137</f>
        <v/>
      </c>
      <c r="N181" s="1657" t="str">
        <f>D_Emissions!N137</f>
        <v/>
      </c>
      <c r="O181" s="698"/>
      <c r="P181" s="729"/>
      <c r="Q181" s="729"/>
      <c r="R181" s="729"/>
      <c r="S181" s="729"/>
      <c r="T181" s="729"/>
      <c r="U181" s="343"/>
      <c r="V181" s="343"/>
    </row>
    <row r="182" spans="1:22" s="364" customFormat="1" ht="12.75" customHeight="1" x14ac:dyDescent="0.25">
      <c r="A182" s="729"/>
      <c r="B182" s="302"/>
      <c r="C182" s="698"/>
      <c r="D182" s="698"/>
      <c r="E182" s="3056" t="str">
        <f>Translations!$B$929</f>
        <v>Производство на топлинна енергия (референтно)</v>
      </c>
      <c r="F182" s="2701"/>
      <c r="G182" s="485" t="str">
        <f>D_Emissions!G141</f>
        <v>-</v>
      </c>
      <c r="H182" s="1658" t="str">
        <f>IF(ISBLANK(D_Emissions!H141),"",D_Emissions!H141)</f>
        <v/>
      </c>
      <c r="I182" s="1658" t="str">
        <f>IF(ISBLANK(D_Emissions!I141),"",D_Emissions!I141)</f>
        <v/>
      </c>
      <c r="J182" s="1658" t="str">
        <f>IF(ISBLANK(D_Emissions!J141),"",D_Emissions!J141)</f>
        <v/>
      </c>
      <c r="K182" s="1658" t="str">
        <f>IF(ISBLANK(D_Emissions!K141),"",D_Emissions!K141)</f>
        <v/>
      </c>
      <c r="L182" s="1658" t="str">
        <f>IF(ISBLANK(D_Emissions!L141),"",D_Emissions!L141)</f>
        <v/>
      </c>
      <c r="M182" s="1658" t="str">
        <f>IF(ISBLANK(D_Emissions!M141),"",D_Emissions!M141)</f>
        <v/>
      </c>
      <c r="N182" s="1658" t="str">
        <f>IF(ISBLANK(D_Emissions!N141),"",D_Emissions!N141)</f>
        <v/>
      </c>
      <c r="O182" s="698"/>
      <c r="P182" s="729"/>
      <c r="Q182" s="729"/>
      <c r="R182" s="729"/>
      <c r="S182" s="729"/>
      <c r="T182" s="729"/>
      <c r="U182" s="343"/>
      <c r="V182" s="343"/>
    </row>
    <row r="183" spans="1:22" s="364" customFormat="1" ht="12.75" customHeight="1" x14ac:dyDescent="0.25">
      <c r="A183" s="729"/>
      <c r="B183" s="302"/>
      <c r="C183" s="698"/>
      <c r="D183" s="698"/>
      <c r="E183" s="3011" t="str">
        <f>Translations!$B$930</f>
        <v>Производство на електроенергия (референтно)</v>
      </c>
      <c r="F183" s="2705"/>
      <c r="G183" s="487" t="str">
        <f>D_Emissions!G142</f>
        <v>-</v>
      </c>
      <c r="H183" s="1659" t="str">
        <f>IF(ISBLANK(D_Emissions!H142),"",D_Emissions!H142)</f>
        <v/>
      </c>
      <c r="I183" s="1659" t="str">
        <f>IF(ISBLANK(D_Emissions!I142),"",D_Emissions!I142)</f>
        <v/>
      </c>
      <c r="J183" s="1659" t="str">
        <f>IF(ISBLANK(D_Emissions!J142),"",D_Emissions!J142)</f>
        <v/>
      </c>
      <c r="K183" s="1659" t="str">
        <f>IF(ISBLANK(D_Emissions!K142),"",D_Emissions!K142)</f>
        <v/>
      </c>
      <c r="L183" s="1659" t="str">
        <f>IF(ISBLANK(D_Emissions!L142),"",D_Emissions!L142)</f>
        <v/>
      </c>
      <c r="M183" s="1659" t="str">
        <f>IF(ISBLANK(D_Emissions!M142),"",D_Emissions!M142)</f>
        <v/>
      </c>
      <c r="N183" s="1659" t="str">
        <f>IF(ISBLANK(D_Emissions!N142),"",D_Emissions!N142)</f>
        <v/>
      </c>
      <c r="O183" s="698"/>
      <c r="P183" s="729"/>
      <c r="Q183" s="729"/>
      <c r="R183" s="729"/>
      <c r="S183" s="729"/>
      <c r="T183" s="729"/>
      <c r="U183" s="343"/>
      <c r="V183" s="343"/>
    </row>
    <row r="184" spans="1:22" s="364" customFormat="1" ht="5.15" customHeight="1" x14ac:dyDescent="0.25">
      <c r="A184" s="729"/>
      <c r="B184" s="302"/>
      <c r="C184" s="698"/>
      <c r="D184" s="698"/>
      <c r="E184" s="698"/>
      <c r="F184" s="698"/>
      <c r="G184" s="698"/>
      <c r="H184" s="698"/>
      <c r="I184" s="698"/>
      <c r="J184" s="698"/>
      <c r="K184" s="698"/>
      <c r="L184" s="698"/>
      <c r="M184" s="698"/>
      <c r="N184" s="698"/>
      <c r="O184" s="698"/>
      <c r="P184" s="729"/>
      <c r="Q184" s="729"/>
      <c r="R184" s="729"/>
      <c r="S184" s="729"/>
      <c r="T184" s="729"/>
      <c r="U184" s="343"/>
      <c r="V184" s="343"/>
    </row>
    <row r="185" spans="1:22" s="364" customFormat="1" ht="12.75" customHeight="1" x14ac:dyDescent="0.25">
      <c r="A185" s="729"/>
      <c r="B185" s="302"/>
      <c r="C185" s="698"/>
      <c r="D185" s="698"/>
      <c r="E185" s="2671" t="str">
        <f>Translations!$B$931</f>
        <v>Резултати</v>
      </c>
      <c r="F185" s="2672"/>
      <c r="G185" s="390" t="str">
        <f>D_Emissions!G145</f>
        <v>Единица мярка</v>
      </c>
      <c r="H185" s="391">
        <f t="shared" ref="H185:N185" si="22">H$2505</f>
        <v>2024</v>
      </c>
      <c r="I185" s="391">
        <f t="shared" si="22"/>
        <v>2025</v>
      </c>
      <c r="J185" s="391">
        <f t="shared" si="22"/>
        <v>2026</v>
      </c>
      <c r="K185" s="391">
        <f t="shared" si="22"/>
        <v>2027</v>
      </c>
      <c r="L185" s="391">
        <f t="shared" si="22"/>
        <v>2028</v>
      </c>
      <c r="M185" s="391">
        <f t="shared" si="22"/>
        <v>2029</v>
      </c>
      <c r="N185" s="391">
        <f t="shared" si="22"/>
        <v>2030</v>
      </c>
      <c r="O185" s="698"/>
      <c r="P185" s="729"/>
      <c r="Q185" s="729"/>
      <c r="R185" s="729"/>
      <c r="S185" s="729"/>
      <c r="T185" s="729"/>
      <c r="U185" s="343"/>
      <c r="V185" s="343"/>
    </row>
    <row r="186" spans="1:22" s="364" customFormat="1" ht="12.75" customHeight="1" x14ac:dyDescent="0.25">
      <c r="A186" s="729"/>
      <c r="B186" s="302"/>
      <c r="C186" s="698"/>
      <c r="D186" s="698"/>
      <c r="E186" s="3058" t="str">
        <f>D_Emissions!E146</f>
        <v>Емисии, свързани с производство на топлинна енергия</v>
      </c>
      <c r="F186" s="2258"/>
      <c r="G186" s="492" t="str">
        <f>D_Emissions!G146</f>
        <v>t CO2 / година</v>
      </c>
      <c r="H186" s="493" t="str">
        <f>D_Emissions!H146</f>
        <v/>
      </c>
      <c r="I186" s="493" t="str">
        <f>D_Emissions!I146</f>
        <v/>
      </c>
      <c r="J186" s="493" t="str">
        <f>D_Emissions!J146</f>
        <v/>
      </c>
      <c r="K186" s="493" t="str">
        <f>D_Emissions!K146</f>
        <v/>
      </c>
      <c r="L186" s="493" t="str">
        <f>D_Emissions!L146</f>
        <v/>
      </c>
      <c r="M186" s="493" t="str">
        <f>D_Emissions!M146</f>
        <v/>
      </c>
      <c r="N186" s="493" t="str">
        <f>D_Emissions!N146</f>
        <v/>
      </c>
      <c r="O186" s="698"/>
      <c r="P186" s="729"/>
      <c r="Q186" s="729"/>
      <c r="R186" s="729"/>
      <c r="S186" s="729"/>
      <c r="T186" s="729"/>
      <c r="U186" s="343"/>
      <c r="V186" s="343"/>
    </row>
    <row r="187" spans="1:22" s="364" customFormat="1" ht="12.75" customHeight="1" x14ac:dyDescent="0.25">
      <c r="A187" s="729"/>
      <c r="B187" s="302"/>
      <c r="C187" s="698"/>
      <c r="D187" s="698"/>
      <c r="E187" s="2687" t="str">
        <f>D_Emissions!E147</f>
        <v>Емисионен фактор, топлинна енергия:</v>
      </c>
      <c r="F187" s="2258"/>
      <c r="G187" s="1016" t="str">
        <f>D_Emissions!G147</f>
        <v>t CO2 / TJ</v>
      </c>
      <c r="H187" s="1653" t="str">
        <f>D_Emissions!H147</f>
        <v/>
      </c>
      <c r="I187" s="1653" t="str">
        <f>D_Emissions!I147</f>
        <v/>
      </c>
      <c r="J187" s="1653" t="str">
        <f>D_Emissions!J147</f>
        <v/>
      </c>
      <c r="K187" s="1653" t="str">
        <f>D_Emissions!K147</f>
        <v/>
      </c>
      <c r="L187" s="1653" t="str">
        <f>D_Emissions!L147</f>
        <v/>
      </c>
      <c r="M187" s="1653" t="str">
        <f>D_Emissions!M147</f>
        <v/>
      </c>
      <c r="N187" s="1653" t="str">
        <f>D_Emissions!N147</f>
        <v/>
      </c>
      <c r="O187" s="698"/>
      <c r="P187" s="729"/>
      <c r="Q187" s="729"/>
      <c r="R187" s="729"/>
      <c r="S187" s="729"/>
      <c r="T187" s="729"/>
      <c r="U187" s="343"/>
      <c r="V187" s="343"/>
    </row>
    <row r="188" spans="1:22" s="364" customFormat="1" ht="5.15" customHeight="1" x14ac:dyDescent="0.25">
      <c r="A188" s="729"/>
      <c r="B188" s="302"/>
      <c r="C188" s="698"/>
      <c r="D188" s="698"/>
      <c r="E188" s="698"/>
      <c r="F188" s="698"/>
      <c r="G188" s="698"/>
      <c r="H188" s="698"/>
      <c r="I188" s="698"/>
      <c r="J188" s="698"/>
      <c r="K188" s="698"/>
      <c r="L188" s="698"/>
      <c r="M188" s="698"/>
      <c r="N188" s="698"/>
      <c r="O188" s="698"/>
      <c r="P188" s="729"/>
      <c r="Q188" s="729"/>
      <c r="R188" s="729"/>
      <c r="S188" s="729"/>
      <c r="T188" s="729"/>
      <c r="U188" s="343"/>
      <c r="V188" s="343"/>
    </row>
    <row r="189" spans="1:22" s="364" customFormat="1" ht="12.75" customHeight="1" x14ac:dyDescent="0.25">
      <c r="A189" s="729"/>
      <c r="B189" s="302"/>
      <c r="C189" s="698"/>
      <c r="D189" s="698"/>
      <c r="E189" s="3056" t="str">
        <f>D_Emissions!E151</f>
        <v>Вложени горива за топлинна енергия</v>
      </c>
      <c r="F189" s="2701"/>
      <c r="G189" s="1085" t="str">
        <f>D_Emissions!G151</f>
        <v>TJ / година</v>
      </c>
      <c r="H189" s="1654" t="str">
        <f>D_Emissions!H151</f>
        <v/>
      </c>
      <c r="I189" s="1654" t="str">
        <f>D_Emissions!I151</f>
        <v/>
      </c>
      <c r="J189" s="1654" t="str">
        <f>D_Emissions!J151</f>
        <v/>
      </c>
      <c r="K189" s="1654" t="str">
        <f>D_Emissions!K151</f>
        <v/>
      </c>
      <c r="L189" s="1654" t="str">
        <f>D_Emissions!L151</f>
        <v/>
      </c>
      <c r="M189" s="1654" t="str">
        <f>D_Emissions!M151</f>
        <v/>
      </c>
      <c r="N189" s="1654" t="str">
        <f>D_Emissions!N151</f>
        <v/>
      </c>
      <c r="O189" s="698"/>
      <c r="P189" s="729"/>
      <c r="Q189" s="729"/>
      <c r="R189" s="729"/>
      <c r="S189" s="729"/>
      <c r="T189" s="729"/>
      <c r="U189" s="343"/>
      <c r="V189" s="343"/>
    </row>
    <row r="190" spans="1:22" s="364" customFormat="1" ht="12.75" customHeight="1" x14ac:dyDescent="0.25">
      <c r="A190" s="729"/>
      <c r="B190" s="302"/>
      <c r="C190" s="698"/>
      <c r="D190" s="698"/>
      <c r="E190" s="3011" t="str">
        <f>D_Emissions!E152</f>
        <v>Вложени горива за електроенергия</v>
      </c>
      <c r="F190" s="2705"/>
      <c r="G190" s="1088" t="str">
        <f>D_Emissions!G152</f>
        <v>TJ / година</v>
      </c>
      <c r="H190" s="1655" t="str">
        <f>D_Emissions!H152</f>
        <v/>
      </c>
      <c r="I190" s="1655" t="str">
        <f>D_Emissions!I152</f>
        <v/>
      </c>
      <c r="J190" s="1655" t="str">
        <f>D_Emissions!J152</f>
        <v/>
      </c>
      <c r="K190" s="1655" t="str">
        <f>D_Emissions!K152</f>
        <v/>
      </c>
      <c r="L190" s="1655" t="str">
        <f>D_Emissions!L152</f>
        <v/>
      </c>
      <c r="M190" s="1655" t="str">
        <f>D_Emissions!M152</f>
        <v/>
      </c>
      <c r="N190" s="1655" t="str">
        <f>D_Emissions!N152</f>
        <v/>
      </c>
      <c r="O190" s="698"/>
      <c r="P190" s="729"/>
      <c r="Q190" s="729"/>
      <c r="R190" s="729"/>
      <c r="S190" s="729"/>
      <c r="T190" s="729"/>
      <c r="U190" s="343"/>
      <c r="V190" s="343"/>
    </row>
    <row r="191" spans="1:22" s="364" customFormat="1" ht="12.75" customHeight="1" x14ac:dyDescent="0.25">
      <c r="A191" s="729"/>
      <c r="B191" s="302"/>
      <c r="C191" s="302"/>
      <c r="D191" s="302"/>
      <c r="E191" s="302"/>
      <c r="F191" s="302"/>
      <c r="G191" s="302"/>
      <c r="H191" s="302"/>
      <c r="I191" s="302"/>
      <c r="J191" s="302"/>
      <c r="K191" s="302"/>
      <c r="L191" s="302"/>
      <c r="M191" s="302"/>
      <c r="N191" s="302"/>
      <c r="O191" s="698"/>
      <c r="P191" s="729"/>
      <c r="Q191" s="729"/>
      <c r="R191" s="729"/>
      <c r="S191" s="729"/>
      <c r="T191" s="729"/>
      <c r="U191" s="343"/>
      <c r="V191" s="343"/>
    </row>
    <row r="192" spans="1:22" s="364" customFormat="1" ht="14.15" customHeight="1" x14ac:dyDescent="0.3">
      <c r="A192" s="729"/>
      <c r="B192" s="302"/>
      <c r="C192" s="357">
        <v>4</v>
      </c>
      <c r="D192" s="2682" t="str">
        <f>Translations!$B$933</f>
        <v>Инструмент за отпадни газове (отпадни газове, необхванати от продуктови показатели) — раздел D.IV</v>
      </c>
      <c r="E192" s="2240"/>
      <c r="F192" s="2240"/>
      <c r="G192" s="2240"/>
      <c r="H192" s="2240"/>
      <c r="I192" s="2240"/>
      <c r="J192" s="2240"/>
      <c r="K192" s="2240"/>
      <c r="L192" s="2240"/>
      <c r="M192" s="2240"/>
      <c r="N192" s="2240"/>
      <c r="O192" s="698"/>
      <c r="P192" s="729"/>
      <c r="Q192" s="729"/>
      <c r="R192" s="750" t="s">
        <v>2064</v>
      </c>
      <c r="S192" s="729"/>
      <c r="T192" s="729"/>
      <c r="U192" s="343"/>
      <c r="V192" s="343"/>
    </row>
    <row r="193" spans="1:22" s="364" customFormat="1" ht="5.15" customHeight="1" thickBot="1" x14ac:dyDescent="0.3">
      <c r="A193" s="729"/>
      <c r="B193" s="284"/>
      <c r="C193" s="284"/>
      <c r="D193" s="284"/>
      <c r="E193" s="284"/>
      <c r="F193" s="284"/>
      <c r="G193" s="284"/>
      <c r="H193" s="284"/>
      <c r="I193" s="284"/>
      <c r="J193" s="284"/>
      <c r="K193" s="284"/>
      <c r="L193" s="284"/>
      <c r="M193" s="336"/>
      <c r="N193" s="336"/>
      <c r="O193" s="698"/>
      <c r="P193" s="770"/>
      <c r="Q193" s="770"/>
      <c r="R193" s="694"/>
      <c r="S193" s="729"/>
      <c r="T193" s="729"/>
      <c r="U193" s="343"/>
      <c r="V193" s="343"/>
    </row>
    <row r="194" spans="1:22" s="364" customFormat="1" ht="12.75" customHeight="1" thickBot="1" x14ac:dyDescent="0.35">
      <c r="A194" s="729"/>
      <c r="B194" s="302"/>
      <c r="C194" s="284"/>
      <c r="D194" s="300" t="s">
        <v>408</v>
      </c>
      <c r="E194" s="2463" t="str">
        <f>D_Emissions!E170</f>
        <v>Този раздел се отнася до подинсталациите за технологични емисии от този вид:</v>
      </c>
      <c r="F194" s="2463"/>
      <c r="G194" s="2463"/>
      <c r="H194" s="2463"/>
      <c r="I194" s="2463"/>
      <c r="J194" s="2463"/>
      <c r="K194" s="2699"/>
      <c r="L194" s="3065" t="str">
        <f>IF(ISBLANK(D_Emissions!L170),"",D_Emissions!L170)</f>
        <v/>
      </c>
      <c r="M194" s="3066"/>
      <c r="N194" s="3067"/>
      <c r="O194" s="698"/>
      <c r="P194" s="729"/>
      <c r="Q194" s="729"/>
      <c r="R194" s="1177" t="str">
        <f>IF(D_Emissions!L170="","",MATCH(D_Emissions!L170,EUconst_CLnonCL,0)+1320)</f>
        <v/>
      </c>
      <c r="S194" s="729"/>
      <c r="T194" s="729"/>
      <c r="U194" s="343"/>
      <c r="V194" s="343"/>
    </row>
    <row r="195" spans="1:22" s="364" customFormat="1" ht="12.75" customHeight="1" x14ac:dyDescent="0.25">
      <c r="A195" s="729"/>
      <c r="B195" s="302"/>
      <c r="C195" s="284"/>
      <c r="D195" s="300"/>
      <c r="E195" s="2463" t="str">
        <f>D_Emissions!E176</f>
        <v>Вид отпаден газ:</v>
      </c>
      <c r="F195" s="2240"/>
      <c r="G195" s="2684"/>
      <c r="H195" s="2296" t="str">
        <f>IF(ISBLANK(D_Emissions!H176),"",D_Emissions!H176)</f>
        <v/>
      </c>
      <c r="I195" s="2297"/>
      <c r="J195" s="2297"/>
      <c r="K195" s="2297"/>
      <c r="L195" s="2297"/>
      <c r="M195" s="2297"/>
      <c r="N195" s="2298"/>
      <c r="O195" s="698"/>
      <c r="P195" s="729"/>
      <c r="Q195" s="729"/>
      <c r="R195" s="729"/>
      <c r="S195" s="729"/>
      <c r="T195" s="729"/>
      <c r="U195" s="343"/>
      <c r="V195" s="343"/>
    </row>
    <row r="196" spans="1:22" s="364" customFormat="1" ht="12.75" customHeight="1" x14ac:dyDescent="0.25">
      <c r="A196" s="729"/>
      <c r="B196" s="302"/>
      <c r="C196" s="698"/>
      <c r="D196" s="698"/>
      <c r="E196" s="461"/>
      <c r="F196" s="742"/>
      <c r="G196" s="390" t="str">
        <f>Translations!$B$934</f>
        <v>Единица мярка</v>
      </c>
      <c r="H196" s="391">
        <f t="shared" ref="H196:N196" si="23">H$2505</f>
        <v>2024</v>
      </c>
      <c r="I196" s="391">
        <f t="shared" si="23"/>
        <v>2025</v>
      </c>
      <c r="J196" s="391">
        <f t="shared" si="23"/>
        <v>2026</v>
      </c>
      <c r="K196" s="391">
        <f t="shared" si="23"/>
        <v>2027</v>
      </c>
      <c r="L196" s="391">
        <f t="shared" si="23"/>
        <v>2028</v>
      </c>
      <c r="M196" s="391">
        <f t="shared" si="23"/>
        <v>2029</v>
      </c>
      <c r="N196" s="391">
        <f t="shared" si="23"/>
        <v>2030</v>
      </c>
      <c r="O196" s="698"/>
      <c r="P196" s="729"/>
      <c r="Q196" s="729"/>
      <c r="R196" s="729"/>
      <c r="S196" s="729"/>
      <c r="T196" s="729"/>
      <c r="U196" s="343"/>
      <c r="V196" s="343"/>
    </row>
    <row r="197" spans="1:22" s="364" customFormat="1" ht="12.75" customHeight="1" x14ac:dyDescent="0.25">
      <c r="A197" s="729"/>
      <c r="B197" s="302"/>
      <c r="C197" s="698"/>
      <c r="D197" s="698"/>
      <c r="E197" s="2667" t="str">
        <f>D_Emissions!E185</f>
        <v>Некоригирани технологични емисии</v>
      </c>
      <c r="F197" s="2258"/>
      <c r="G197" s="1016" t="str">
        <f>D_Emissions!G185</f>
        <v>t CO2e/година</v>
      </c>
      <c r="H197" s="1356" t="str">
        <f>IF(ISBLANK(D_Emissions!H185),"",D_Emissions!H185)</f>
        <v/>
      </c>
      <c r="I197" s="1356" t="str">
        <f>IF(ISBLANK(D_Emissions!I185),"",D_Emissions!I185)</f>
        <v/>
      </c>
      <c r="J197" s="1356" t="str">
        <f>IF(ISBLANK(D_Emissions!J185),"",D_Emissions!J185)</f>
        <v/>
      </c>
      <c r="K197" s="1356" t="str">
        <f>IF(ISBLANK(D_Emissions!K185),"",D_Emissions!K185)</f>
        <v/>
      </c>
      <c r="L197" s="1356" t="str">
        <f>IF(ISBLANK(D_Emissions!L185),"",D_Emissions!L185)</f>
        <v/>
      </c>
      <c r="M197" s="1356" t="str">
        <f>IF(ISBLANK(D_Emissions!M185),"",D_Emissions!M185)</f>
        <v/>
      </c>
      <c r="N197" s="1356" t="str">
        <f>IF(ISBLANK(D_Emissions!N185),"",D_Emissions!N185)</f>
        <v/>
      </c>
      <c r="O197" s="698"/>
      <c r="P197" s="729"/>
      <c r="Q197" s="729"/>
      <c r="R197" s="729"/>
      <c r="S197" s="729"/>
      <c r="T197" s="729"/>
      <c r="U197" s="343"/>
      <c r="V197" s="343"/>
    </row>
    <row r="198" spans="1:22" s="364" customFormat="1" ht="12.75" customHeight="1" x14ac:dyDescent="0.25">
      <c r="A198" s="729"/>
      <c r="B198" s="302"/>
      <c r="C198" s="698"/>
      <c r="D198" s="698"/>
      <c r="E198" s="2667" t="str">
        <f>Translations!$B$288</f>
        <v>Емисии от отпадни газове</v>
      </c>
      <c r="F198" s="2258"/>
      <c r="G198" s="1016" t="str">
        <f>D_Emissions!G191</f>
        <v>t CO2e/година</v>
      </c>
      <c r="H198" s="1356" t="str">
        <f>IF(ISBLANK(D_Emissions!H191),"",D_Emissions!H191)</f>
        <v/>
      </c>
      <c r="I198" s="1356" t="str">
        <f>IF(ISBLANK(D_Emissions!I191),"",D_Emissions!I191)</f>
        <v/>
      </c>
      <c r="J198" s="1356" t="str">
        <f>IF(ISBLANK(D_Emissions!J191),"",D_Emissions!J191)</f>
        <v/>
      </c>
      <c r="K198" s="1356" t="str">
        <f>IF(ISBLANK(D_Emissions!K191),"",D_Emissions!K191)</f>
        <v/>
      </c>
      <c r="L198" s="1356" t="str">
        <f>IF(ISBLANK(D_Emissions!L191),"",D_Emissions!L191)</f>
        <v/>
      </c>
      <c r="M198" s="1356" t="str">
        <f>IF(ISBLANK(D_Emissions!M191),"",D_Emissions!M191)</f>
        <v/>
      </c>
      <c r="N198" s="1356" t="str">
        <f>IF(ISBLANK(D_Emissions!N191),"",D_Emissions!N191)</f>
        <v/>
      </c>
      <c r="O198" s="698"/>
      <c r="P198" s="729"/>
      <c r="Q198" s="729"/>
      <c r="R198" s="729"/>
      <c r="S198" s="729"/>
      <c r="T198" s="729"/>
      <c r="U198" s="343"/>
      <c r="V198" s="343"/>
    </row>
    <row r="199" spans="1:22" s="364" customFormat="1" ht="12.75" customHeight="1" x14ac:dyDescent="0.25">
      <c r="A199" s="729"/>
      <c r="B199" s="302"/>
      <c r="C199" s="698"/>
      <c r="D199" s="698"/>
      <c r="E199" s="2667" t="str">
        <f>Translations!$B$293</f>
        <v>Годишно количество отпадни газове</v>
      </c>
      <c r="F199" s="2258"/>
      <c r="G199" s="1464" t="str">
        <f>IF(ISBLANK(D_Emissions!G198),"",D_Emissions!G198)</f>
        <v/>
      </c>
      <c r="H199" s="1356" t="str">
        <f>IF(ISBLANK(D_Emissions!H198),"",D_Emissions!H198)</f>
        <v/>
      </c>
      <c r="I199" s="1356" t="str">
        <f>IF(ISBLANK(D_Emissions!I198),"",D_Emissions!I198)</f>
        <v/>
      </c>
      <c r="J199" s="1356" t="str">
        <f>IF(ISBLANK(D_Emissions!J198),"",D_Emissions!J198)</f>
        <v/>
      </c>
      <c r="K199" s="1356" t="str">
        <f>IF(ISBLANK(D_Emissions!K198),"",D_Emissions!K198)</f>
        <v/>
      </c>
      <c r="L199" s="1356" t="str">
        <f>IF(ISBLANK(D_Emissions!L198),"",D_Emissions!L198)</f>
        <v/>
      </c>
      <c r="M199" s="1356" t="str">
        <f>IF(ISBLANK(D_Emissions!M198),"",D_Emissions!M198)</f>
        <v/>
      </c>
      <c r="N199" s="1356" t="str">
        <f>IF(ISBLANK(D_Emissions!N198),"",D_Emissions!N198)</f>
        <v/>
      </c>
      <c r="O199" s="698"/>
      <c r="P199" s="729"/>
      <c r="Q199" s="729"/>
      <c r="R199" s="729"/>
      <c r="S199" s="729"/>
      <c r="T199" s="729"/>
      <c r="U199" s="343"/>
      <c r="V199" s="343"/>
    </row>
    <row r="200" spans="1:22" s="364" customFormat="1" ht="12.75" customHeight="1" x14ac:dyDescent="0.25">
      <c r="A200" s="729"/>
      <c r="B200" s="302"/>
      <c r="C200" s="698"/>
      <c r="D200" s="698"/>
      <c r="E200" s="2667" t="str">
        <f>D_Emissions!E203</f>
        <v>Долна топлина на изгаряне</v>
      </c>
      <c r="F200" s="2258"/>
      <c r="G200" s="1464" t="str">
        <f>D_Emissions!G203</f>
        <v>GJ / Единица мярка</v>
      </c>
      <c r="H200" s="1356" t="str">
        <f>IF(ISBLANK(D_Emissions!H203),"",D_Emissions!H203)</f>
        <v/>
      </c>
      <c r="I200" s="1356" t="str">
        <f>IF(ISBLANK(D_Emissions!I203),"",D_Emissions!I203)</f>
        <v/>
      </c>
      <c r="J200" s="1356" t="str">
        <f>IF(ISBLANK(D_Emissions!J203),"",D_Emissions!J203)</f>
        <v/>
      </c>
      <c r="K200" s="1356" t="str">
        <f>IF(ISBLANK(D_Emissions!K203),"",D_Emissions!K203)</f>
        <v/>
      </c>
      <c r="L200" s="1356" t="str">
        <f>IF(ISBLANK(D_Emissions!L203),"",D_Emissions!L203)</f>
        <v/>
      </c>
      <c r="M200" s="1356" t="str">
        <f>IF(ISBLANK(D_Emissions!M203),"",D_Emissions!M203)</f>
        <v/>
      </c>
      <c r="N200" s="1356" t="str">
        <f>IF(ISBLANK(D_Emissions!N203),"",D_Emissions!N203)</f>
        <v/>
      </c>
      <c r="O200" s="698"/>
      <c r="P200" s="729"/>
      <c r="Q200" s="729"/>
      <c r="R200" s="729"/>
      <c r="S200" s="729"/>
      <c r="T200" s="729"/>
      <c r="U200" s="343"/>
      <c r="V200" s="343"/>
    </row>
    <row r="201" spans="1:22" s="364" customFormat="1" ht="12.75" customHeight="1" x14ac:dyDescent="0.25">
      <c r="A201" s="729"/>
      <c r="B201" s="302"/>
      <c r="C201" s="698"/>
      <c r="D201" s="698"/>
      <c r="E201" s="3058" t="str">
        <f>Translations!$B$304</f>
        <v>Приспадане за отпадни газове</v>
      </c>
      <c r="F201" s="2258"/>
      <c r="G201" s="492" t="str">
        <f>D_Emissions!G212</f>
        <v>t CO2 / година</v>
      </c>
      <c r="H201" s="553" t="str">
        <f>D_Emissions!H212</f>
        <v/>
      </c>
      <c r="I201" s="553" t="str">
        <f>D_Emissions!I212</f>
        <v/>
      </c>
      <c r="J201" s="553" t="str">
        <f>D_Emissions!J212</f>
        <v/>
      </c>
      <c r="K201" s="553" t="str">
        <f>D_Emissions!K212</f>
        <v/>
      </c>
      <c r="L201" s="553" t="str">
        <f>D_Emissions!L212</f>
        <v/>
      </c>
      <c r="M201" s="553" t="str">
        <f>D_Emissions!M212</f>
        <v/>
      </c>
      <c r="N201" s="553" t="str">
        <f>D_Emissions!N212</f>
        <v/>
      </c>
      <c r="O201" s="698"/>
      <c r="P201" s="729"/>
      <c r="Q201" s="729"/>
      <c r="R201" s="729"/>
      <c r="S201" s="729"/>
      <c r="T201" s="729"/>
      <c r="U201" s="343"/>
      <c r="V201" s="343"/>
    </row>
    <row r="202" spans="1:22" s="364" customFormat="1" ht="12.75" customHeight="1" x14ac:dyDescent="0.25">
      <c r="A202" s="729"/>
      <c r="B202" s="302"/>
      <c r="C202" s="698"/>
      <c r="D202" s="698"/>
      <c r="E202" s="3058" t="str">
        <f>D_Emissions!E219</f>
        <v>Резултат от инструмента за отпадни газове:</v>
      </c>
      <c r="F202" s="2258"/>
      <c r="G202" s="502" t="str">
        <f>D_Emissions!G219</f>
        <v>t CO2 / година</v>
      </c>
      <c r="H202" s="553" t="str">
        <f>D_Emissions!H219</f>
        <v/>
      </c>
      <c r="I202" s="553" t="str">
        <f>D_Emissions!I219</f>
        <v/>
      </c>
      <c r="J202" s="553" t="str">
        <f>D_Emissions!J219</f>
        <v/>
      </c>
      <c r="K202" s="553" t="str">
        <f>D_Emissions!K219</f>
        <v/>
      </c>
      <c r="L202" s="553" t="str">
        <f>D_Emissions!L219</f>
        <v/>
      </c>
      <c r="M202" s="553" t="str">
        <f>D_Emissions!M219</f>
        <v/>
      </c>
      <c r="N202" s="553" t="str">
        <f>D_Emissions!N219</f>
        <v/>
      </c>
      <c r="O202" s="698"/>
      <c r="P202" s="729"/>
      <c r="Q202" s="729"/>
      <c r="R202" s="729"/>
      <c r="S202" s="729"/>
      <c r="T202" s="729"/>
      <c r="U202" s="343"/>
      <c r="V202" s="343"/>
    </row>
    <row r="203" spans="1:22" s="364" customFormat="1" ht="5.15" customHeight="1" x14ac:dyDescent="0.25">
      <c r="A203" s="729"/>
      <c r="B203" s="302"/>
      <c r="C203" s="698"/>
      <c r="D203" s="698"/>
      <c r="E203" s="698"/>
      <c r="F203" s="698"/>
      <c r="G203" s="698"/>
      <c r="H203" s="698"/>
      <c r="I203" s="698"/>
      <c r="J203" s="698"/>
      <c r="K203" s="698"/>
      <c r="L203" s="698"/>
      <c r="M203" s="698"/>
      <c r="N203" s="698"/>
      <c r="O203" s="698"/>
      <c r="P203" s="729"/>
      <c r="Q203" s="729"/>
      <c r="R203" s="729"/>
      <c r="S203" s="729"/>
      <c r="T203" s="729"/>
      <c r="U203" s="343"/>
      <c r="V203" s="343"/>
    </row>
    <row r="204" spans="1:22" s="364" customFormat="1" ht="12.75" customHeight="1" x14ac:dyDescent="0.25">
      <c r="A204" s="729"/>
      <c r="B204" s="302"/>
      <c r="C204" s="698"/>
      <c r="D204" s="698"/>
      <c r="E204" s="2668" t="str">
        <f>D_Emissions!E206</f>
        <v>Референтна стойност на к.п.д. при производството на електроенергия:</v>
      </c>
      <c r="F204" s="2668"/>
      <c r="G204" s="2668"/>
      <c r="H204" s="2668"/>
      <c r="I204" s="1035"/>
      <c r="J204" s="1035" t="str">
        <f>D_Emissions!J206</f>
        <v>при използване на природен газ:</v>
      </c>
      <c r="K204" s="1660">
        <f>IF(ISBLANK(D_Emissions!K206),"",D_Emissions!K206)</f>
        <v>0.52500000000000002</v>
      </c>
      <c r="L204" s="1036"/>
      <c r="M204" s="1035" t="str">
        <f>D_Emissions!M206</f>
        <v>при използване на отпаден газ:</v>
      </c>
      <c r="N204" s="1660">
        <f>IF(ISBLANK(D_Emissions!N206),"",D_Emissions!N206)</f>
        <v>0.35</v>
      </c>
      <c r="O204" s="698"/>
      <c r="P204" s="729"/>
      <c r="Q204" s="729"/>
      <c r="R204" s="750" t="s">
        <v>2064</v>
      </c>
      <c r="S204" s="729"/>
      <c r="T204" s="729"/>
      <c r="U204" s="343"/>
      <c r="V204" s="343"/>
    </row>
    <row r="205" spans="1:22" s="364" customFormat="1" ht="12.75" customHeight="1" thickBot="1" x14ac:dyDescent="0.3">
      <c r="A205" s="729"/>
      <c r="B205" s="302"/>
      <c r="C205" s="284"/>
      <c r="D205" s="284"/>
      <c r="E205" s="284"/>
      <c r="F205" s="284"/>
      <c r="G205" s="284"/>
      <c r="H205" s="284"/>
      <c r="I205" s="284"/>
      <c r="J205" s="284"/>
      <c r="K205" s="284"/>
      <c r="L205" s="284"/>
      <c r="M205" s="336"/>
      <c r="N205" s="336"/>
      <c r="O205" s="698"/>
      <c r="P205" s="729"/>
      <c r="Q205" s="729"/>
      <c r="R205" s="694"/>
      <c r="S205" s="729"/>
      <c r="T205" s="729"/>
      <c r="U205" s="343"/>
      <c r="V205" s="343"/>
    </row>
    <row r="206" spans="1:22" s="364" customFormat="1" ht="12.75" customHeight="1" thickBot="1" x14ac:dyDescent="0.35">
      <c r="A206" s="729"/>
      <c r="B206" s="302"/>
      <c r="C206" s="284"/>
      <c r="D206" s="300" t="s">
        <v>901</v>
      </c>
      <c r="E206" s="2463" t="str">
        <f>D_Emissions!E226</f>
        <v>Този раздел се отнася до подинсталациите за технологични емисии от този вид:</v>
      </c>
      <c r="F206" s="2240"/>
      <c r="G206" s="2240"/>
      <c r="H206" s="2240"/>
      <c r="I206" s="2240"/>
      <c r="J206" s="2240"/>
      <c r="K206" s="2684"/>
      <c r="L206" s="3065" t="str">
        <f>IF(ISBLANK(D_Emissions!L226),"",D_Emissions!L226)</f>
        <v/>
      </c>
      <c r="M206" s="3066"/>
      <c r="N206" s="3067"/>
      <c r="O206" s="698"/>
      <c r="P206" s="729"/>
      <c r="Q206" s="729"/>
      <c r="R206" s="1177" t="str">
        <f>IF(D_Emissions!L226="","",MATCH(D_Emissions!L226,EUconst_CLnonCL,0)+1320)</f>
        <v/>
      </c>
      <c r="S206" s="729"/>
      <c r="T206" s="729"/>
      <c r="U206" s="343"/>
      <c r="V206" s="343"/>
    </row>
    <row r="207" spans="1:22" s="364" customFormat="1" ht="12.75" customHeight="1" x14ac:dyDescent="0.25">
      <c r="A207" s="729"/>
      <c r="B207" s="302"/>
      <c r="C207" s="284"/>
      <c r="D207" s="300"/>
      <c r="E207" s="2463" t="str">
        <f>D_Emissions!E230</f>
        <v>Вид отпаден газ:</v>
      </c>
      <c r="F207" s="2240"/>
      <c r="G207" s="2684"/>
      <c r="H207" s="2296" t="str">
        <f>IF(ISBLANK(D_Emissions!H230),"",D_Emissions!H230)</f>
        <v/>
      </c>
      <c r="I207" s="2297"/>
      <c r="J207" s="2297"/>
      <c r="K207" s="2297"/>
      <c r="L207" s="2297"/>
      <c r="M207" s="2297"/>
      <c r="N207" s="2298"/>
      <c r="O207" s="698"/>
      <c r="P207" s="729"/>
      <c r="Q207" s="729"/>
      <c r="R207" s="729"/>
      <c r="S207" s="729"/>
      <c r="T207" s="729"/>
      <c r="U207" s="343"/>
      <c r="V207" s="343"/>
    </row>
    <row r="208" spans="1:22" s="364" customFormat="1" ht="12.75" customHeight="1" x14ac:dyDescent="0.25">
      <c r="A208" s="729"/>
      <c r="B208" s="302"/>
      <c r="C208" s="698"/>
      <c r="D208" s="300"/>
      <c r="E208" s="461"/>
      <c r="F208" s="742"/>
      <c r="G208" s="390" t="str">
        <f>D_Emissions!G237</f>
        <v>Единица мярка</v>
      </c>
      <c r="H208" s="391">
        <f t="shared" ref="H208:N208" si="24">H$2505</f>
        <v>2024</v>
      </c>
      <c r="I208" s="391">
        <f t="shared" si="24"/>
        <v>2025</v>
      </c>
      <c r="J208" s="391">
        <f t="shared" si="24"/>
        <v>2026</v>
      </c>
      <c r="K208" s="391">
        <f t="shared" si="24"/>
        <v>2027</v>
      </c>
      <c r="L208" s="391">
        <f t="shared" si="24"/>
        <v>2028</v>
      </c>
      <c r="M208" s="391">
        <f t="shared" si="24"/>
        <v>2029</v>
      </c>
      <c r="N208" s="391">
        <f t="shared" si="24"/>
        <v>2030</v>
      </c>
      <c r="O208" s="698"/>
      <c r="P208" s="729"/>
      <c r="Q208" s="729"/>
      <c r="R208" s="729"/>
      <c r="S208" s="729"/>
      <c r="T208" s="729"/>
      <c r="U208" s="343"/>
      <c r="V208" s="343"/>
    </row>
    <row r="209" spans="1:22" s="364" customFormat="1" ht="12.75" customHeight="1" x14ac:dyDescent="0.25">
      <c r="A209" s="729"/>
      <c r="B209" s="302"/>
      <c r="C209" s="698"/>
      <c r="D209" s="698"/>
      <c r="E209" s="2667" t="str">
        <f>D_Emissions!E238</f>
        <v>Некоригирани технологични емисии</v>
      </c>
      <c r="F209" s="2258"/>
      <c r="G209" s="1016" t="str">
        <f>D_Emissions!G238</f>
        <v>t CO2e/година</v>
      </c>
      <c r="H209" s="1356" t="str">
        <f>IF(ISBLANK(D_Emissions!H238),"",D_Emissions!H238)</f>
        <v/>
      </c>
      <c r="I209" s="1356" t="str">
        <f>IF(ISBLANK(D_Emissions!I238),"",D_Emissions!I238)</f>
        <v/>
      </c>
      <c r="J209" s="1356" t="str">
        <f>IF(ISBLANK(D_Emissions!J238),"",D_Emissions!J238)</f>
        <v/>
      </c>
      <c r="K209" s="1356" t="str">
        <f>IF(ISBLANK(D_Emissions!K238),"",D_Emissions!K238)</f>
        <v/>
      </c>
      <c r="L209" s="1356" t="str">
        <f>IF(ISBLANK(D_Emissions!L238),"",D_Emissions!L238)</f>
        <v/>
      </c>
      <c r="M209" s="1356" t="str">
        <f>IF(ISBLANK(D_Emissions!M238),"",D_Emissions!M238)</f>
        <v/>
      </c>
      <c r="N209" s="1356" t="str">
        <f>IF(ISBLANK(D_Emissions!N238),"",D_Emissions!N238)</f>
        <v/>
      </c>
      <c r="O209" s="698"/>
      <c r="P209" s="729"/>
      <c r="Q209" s="729"/>
      <c r="R209" s="729"/>
      <c r="S209" s="729"/>
      <c r="T209" s="729"/>
      <c r="U209" s="343"/>
      <c r="V209" s="343"/>
    </row>
    <row r="210" spans="1:22" s="364" customFormat="1" ht="12.75" customHeight="1" x14ac:dyDescent="0.25">
      <c r="A210" s="729"/>
      <c r="B210" s="302"/>
      <c r="C210" s="698"/>
      <c r="D210" s="698"/>
      <c r="E210" s="2667" t="str">
        <f>Translations!$B$288</f>
        <v>Емисии от отпадни газове</v>
      </c>
      <c r="F210" s="2258"/>
      <c r="G210" s="1016" t="str">
        <f>D_Emissions!G243</f>
        <v>t CO2e/година</v>
      </c>
      <c r="H210" s="1356" t="str">
        <f>IF(ISBLANK(D_Emissions!H243),"",D_Emissions!H243)</f>
        <v/>
      </c>
      <c r="I210" s="1356" t="str">
        <f>IF(ISBLANK(D_Emissions!I243),"",D_Emissions!I243)</f>
        <v/>
      </c>
      <c r="J210" s="1356" t="str">
        <f>IF(ISBLANK(D_Emissions!J243),"",D_Emissions!J243)</f>
        <v/>
      </c>
      <c r="K210" s="1356" t="str">
        <f>IF(ISBLANK(D_Emissions!K243),"",D_Emissions!K243)</f>
        <v/>
      </c>
      <c r="L210" s="1356" t="str">
        <f>IF(ISBLANK(D_Emissions!L243),"",D_Emissions!L243)</f>
        <v/>
      </c>
      <c r="M210" s="1356" t="str">
        <f>IF(ISBLANK(D_Emissions!M243),"",D_Emissions!M243)</f>
        <v/>
      </c>
      <c r="N210" s="1356" t="str">
        <f>IF(ISBLANK(D_Emissions!N243),"",D_Emissions!N243)</f>
        <v/>
      </c>
      <c r="O210" s="698"/>
      <c r="P210" s="729"/>
      <c r="Q210" s="729"/>
      <c r="R210" s="729"/>
      <c r="S210" s="729"/>
      <c r="T210" s="729"/>
      <c r="U210" s="343"/>
      <c r="V210" s="343"/>
    </row>
    <row r="211" spans="1:22" s="364" customFormat="1" ht="12.75" customHeight="1" x14ac:dyDescent="0.25">
      <c r="A211" s="729"/>
      <c r="B211" s="302"/>
      <c r="C211" s="698"/>
      <c r="D211" s="698"/>
      <c r="E211" s="2667" t="str">
        <f>Translations!$B$293</f>
        <v>Годишно количество отпадни газове</v>
      </c>
      <c r="F211" s="2258"/>
      <c r="G211" s="1464" t="str">
        <f>IF(ISBLANK(D_Emissions!G248),"",D_Emissions!G248)</f>
        <v/>
      </c>
      <c r="H211" s="1356" t="str">
        <f>IF(ISBLANK(D_Emissions!H248),"",D_Emissions!H248)</f>
        <v/>
      </c>
      <c r="I211" s="1356" t="str">
        <f>IF(ISBLANK(D_Emissions!I248),"",D_Emissions!I248)</f>
        <v/>
      </c>
      <c r="J211" s="1356" t="str">
        <f>IF(ISBLANK(D_Emissions!J248),"",D_Emissions!J248)</f>
        <v/>
      </c>
      <c r="K211" s="1356" t="str">
        <f>IF(ISBLANK(D_Emissions!K248),"",D_Emissions!K248)</f>
        <v/>
      </c>
      <c r="L211" s="1356" t="str">
        <f>IF(ISBLANK(D_Emissions!L248),"",D_Emissions!L248)</f>
        <v/>
      </c>
      <c r="M211" s="1356" t="str">
        <f>IF(ISBLANK(D_Emissions!M248),"",D_Emissions!M248)</f>
        <v/>
      </c>
      <c r="N211" s="1356" t="str">
        <f>IF(ISBLANK(D_Emissions!N248),"",D_Emissions!N248)</f>
        <v/>
      </c>
      <c r="O211" s="698"/>
      <c r="P211" s="729"/>
      <c r="Q211" s="729"/>
      <c r="R211" s="729"/>
      <c r="S211" s="729"/>
      <c r="T211" s="729"/>
      <c r="U211" s="343"/>
      <c r="V211" s="343"/>
    </row>
    <row r="212" spans="1:22" s="364" customFormat="1" ht="12.75" customHeight="1" x14ac:dyDescent="0.25">
      <c r="A212" s="729"/>
      <c r="B212" s="302"/>
      <c r="C212" s="698"/>
      <c r="D212" s="698"/>
      <c r="E212" s="2667" t="str">
        <f>D_Emissions!E252</f>
        <v>Долна топлина на изгаряне</v>
      </c>
      <c r="F212" s="2258"/>
      <c r="G212" s="1464" t="str">
        <f>D_Emissions!G252</f>
        <v>GJ / Единица мярка</v>
      </c>
      <c r="H212" s="1356" t="str">
        <f>IF(ISBLANK(D_Emissions!H252),"",D_Emissions!H252)</f>
        <v/>
      </c>
      <c r="I212" s="1356" t="str">
        <f>IF(ISBLANK(D_Emissions!I252),"",D_Emissions!I252)</f>
        <v/>
      </c>
      <c r="J212" s="1356" t="str">
        <f>IF(ISBLANK(D_Emissions!J252),"",D_Emissions!J252)</f>
        <v/>
      </c>
      <c r="K212" s="1356" t="str">
        <f>IF(ISBLANK(D_Emissions!K252),"",D_Emissions!K252)</f>
        <v/>
      </c>
      <c r="L212" s="1356" t="str">
        <f>IF(ISBLANK(D_Emissions!L252),"",D_Emissions!L252)</f>
        <v/>
      </c>
      <c r="M212" s="1356" t="str">
        <f>IF(ISBLANK(D_Emissions!M252),"",D_Emissions!M252)</f>
        <v/>
      </c>
      <c r="N212" s="1356" t="str">
        <f>IF(ISBLANK(D_Emissions!N252),"",D_Emissions!N252)</f>
        <v/>
      </c>
      <c r="O212" s="698"/>
      <c r="P212" s="729"/>
      <c r="Q212" s="729"/>
      <c r="R212" s="729"/>
      <c r="S212" s="729"/>
      <c r="T212" s="729"/>
      <c r="U212" s="343"/>
      <c r="V212" s="343"/>
    </row>
    <row r="213" spans="1:22" s="364" customFormat="1" ht="12.75" customHeight="1" x14ac:dyDescent="0.25">
      <c r="A213" s="729"/>
      <c r="B213" s="302"/>
      <c r="C213" s="698"/>
      <c r="D213" s="698"/>
      <c r="E213" s="3058" t="str">
        <f>Translations!$B$304</f>
        <v>Приспадане за отпадни газове</v>
      </c>
      <c r="F213" s="2258"/>
      <c r="G213" s="492" t="str">
        <f>D_Emissions!G262</f>
        <v>t CO2 / година</v>
      </c>
      <c r="H213" s="553" t="str">
        <f>D_Emissions!H262</f>
        <v/>
      </c>
      <c r="I213" s="553" t="str">
        <f>D_Emissions!I262</f>
        <v/>
      </c>
      <c r="J213" s="553" t="str">
        <f>D_Emissions!J262</f>
        <v/>
      </c>
      <c r="K213" s="553" t="str">
        <f>D_Emissions!K262</f>
        <v/>
      </c>
      <c r="L213" s="553" t="str">
        <f>D_Emissions!L262</f>
        <v/>
      </c>
      <c r="M213" s="553" t="str">
        <f>D_Emissions!M262</f>
        <v/>
      </c>
      <c r="N213" s="553" t="str">
        <f>D_Emissions!N262</f>
        <v/>
      </c>
      <c r="O213" s="698"/>
      <c r="P213" s="729"/>
      <c r="Q213" s="729"/>
      <c r="R213" s="729"/>
      <c r="S213" s="729"/>
      <c r="T213" s="729"/>
      <c r="U213" s="343"/>
      <c r="V213" s="343"/>
    </row>
    <row r="214" spans="1:22" s="364" customFormat="1" ht="12.75" customHeight="1" x14ac:dyDescent="0.25">
      <c r="A214" s="729"/>
      <c r="B214" s="302"/>
      <c r="C214" s="698"/>
      <c r="D214" s="698"/>
      <c r="E214" s="3058" t="str">
        <f>D_Emissions!E267</f>
        <v>Резултат от инструмента за отпадни газове:</v>
      </c>
      <c r="F214" s="2258"/>
      <c r="G214" s="502" t="str">
        <f>D_Emissions!G267</f>
        <v>t CO2 / година</v>
      </c>
      <c r="H214" s="553" t="str">
        <f>D_Emissions!H267</f>
        <v/>
      </c>
      <c r="I214" s="553" t="str">
        <f>D_Emissions!I267</f>
        <v/>
      </c>
      <c r="J214" s="553" t="str">
        <f>D_Emissions!J267</f>
        <v/>
      </c>
      <c r="K214" s="553" t="str">
        <f>D_Emissions!K267</f>
        <v/>
      </c>
      <c r="L214" s="553" t="str">
        <f>D_Emissions!L267</f>
        <v/>
      </c>
      <c r="M214" s="553" t="str">
        <f>D_Emissions!M267</f>
        <v/>
      </c>
      <c r="N214" s="553" t="str">
        <f>D_Emissions!N267</f>
        <v/>
      </c>
      <c r="O214" s="698"/>
      <c r="P214" s="729"/>
      <c r="Q214" s="729"/>
      <c r="R214" s="729"/>
      <c r="S214" s="729"/>
      <c r="T214" s="729"/>
      <c r="U214" s="343"/>
      <c r="V214" s="343"/>
    </row>
    <row r="215" spans="1:22" s="364" customFormat="1" ht="5.15" customHeight="1" x14ac:dyDescent="0.25">
      <c r="A215" s="729"/>
      <c r="B215" s="302"/>
      <c r="C215" s="284"/>
      <c r="D215" s="284"/>
      <c r="E215" s="284"/>
      <c r="F215" s="284"/>
      <c r="G215" s="284"/>
      <c r="H215" s="284"/>
      <c r="I215" s="284"/>
      <c r="J215" s="284"/>
      <c r="K215" s="284"/>
      <c r="L215" s="284"/>
      <c r="M215" s="336"/>
      <c r="N215" s="336"/>
      <c r="O215" s="698"/>
      <c r="P215" s="729"/>
      <c r="Q215" s="729"/>
      <c r="R215" s="729"/>
      <c r="S215" s="729"/>
      <c r="T215" s="729"/>
      <c r="U215" s="343"/>
      <c r="V215" s="343"/>
    </row>
    <row r="216" spans="1:22" s="364" customFormat="1" ht="12.75" customHeight="1" x14ac:dyDescent="0.25">
      <c r="A216" s="729"/>
      <c r="B216" s="302"/>
      <c r="C216" s="698"/>
      <c r="D216" s="698"/>
      <c r="E216" s="2668" t="str">
        <f>D_Emissions!E256</f>
        <v>Референтна стойност на к.п.д. при производството на електроенергия:</v>
      </c>
      <c r="F216" s="2669"/>
      <c r="G216" s="2669"/>
      <c r="H216" s="2669"/>
      <c r="I216" s="1035"/>
      <c r="J216" s="1035" t="str">
        <f>D_Emissions!J256</f>
        <v>при използване на природен газ:</v>
      </c>
      <c r="K216" s="1660">
        <f>IF(ISBLANK(D_Emissions!K256),"",D_Emissions!K256)</f>
        <v>0.52500000000000002</v>
      </c>
      <c r="L216" s="1036"/>
      <c r="M216" s="1035" t="str">
        <f>D_Emissions!M256</f>
        <v>при използване на отпаден газ:</v>
      </c>
      <c r="N216" s="1660">
        <f>IF(ISBLANK(D_Emissions!N256),"",D_Emissions!N256)</f>
        <v>0.35</v>
      </c>
      <c r="O216" s="698"/>
      <c r="P216" s="729"/>
      <c r="Q216" s="729"/>
      <c r="R216" s="729"/>
      <c r="S216" s="729"/>
      <c r="T216" s="729"/>
      <c r="U216" s="343"/>
      <c r="V216" s="343"/>
    </row>
    <row r="217" spans="1:22" s="364" customFormat="1" ht="12.75" customHeight="1" x14ac:dyDescent="0.25">
      <c r="A217" s="729"/>
      <c r="B217" s="302"/>
      <c r="C217" s="302"/>
      <c r="D217" s="302"/>
      <c r="E217" s="302"/>
      <c r="F217" s="302"/>
      <c r="G217" s="302"/>
      <c r="H217" s="302"/>
      <c r="I217" s="302"/>
      <c r="J217" s="302"/>
      <c r="K217" s="302"/>
      <c r="L217" s="302"/>
      <c r="M217" s="302"/>
      <c r="N217" s="302"/>
      <c r="O217" s="698"/>
      <c r="P217" s="729"/>
      <c r="Q217" s="729"/>
      <c r="R217" s="729"/>
      <c r="S217" s="729"/>
      <c r="T217" s="729"/>
      <c r="U217" s="343"/>
      <c r="V217" s="343"/>
    </row>
    <row r="218" spans="1:22" s="364" customFormat="1" ht="14.15" customHeight="1" x14ac:dyDescent="0.3">
      <c r="A218" s="729"/>
      <c r="B218" s="302"/>
      <c r="C218" s="357">
        <v>5</v>
      </c>
      <c r="D218" s="2682" t="str">
        <f>Translations!$B$935</f>
        <v>Вложена енергия от горива — разделена по категории на употреба (раздел E.I)</v>
      </c>
      <c r="E218" s="2240"/>
      <c r="F218" s="2240"/>
      <c r="G218" s="2240"/>
      <c r="H218" s="2240"/>
      <c r="I218" s="2240"/>
      <c r="J218" s="2240"/>
      <c r="K218" s="2240"/>
      <c r="L218" s="2240"/>
      <c r="M218" s="2240"/>
      <c r="N218" s="2240"/>
      <c r="O218" s="698"/>
      <c r="P218" s="729"/>
      <c r="Q218" s="729"/>
      <c r="R218" s="729"/>
      <c r="S218" s="729"/>
      <c r="T218" s="729"/>
      <c r="U218" s="343"/>
      <c r="V218" s="343"/>
    </row>
    <row r="219" spans="1:22" s="364" customFormat="1" ht="5.15" customHeight="1" x14ac:dyDescent="0.25">
      <c r="A219" s="729"/>
      <c r="B219" s="284"/>
      <c r="C219" s="284"/>
      <c r="D219" s="284"/>
      <c r="E219" s="284"/>
      <c r="F219" s="284"/>
      <c r="G219" s="284"/>
      <c r="H219" s="284"/>
      <c r="I219" s="284"/>
      <c r="J219" s="284"/>
      <c r="K219" s="284"/>
      <c r="L219" s="284"/>
      <c r="M219" s="336"/>
      <c r="N219" s="336"/>
      <c r="O219" s="698"/>
      <c r="P219" s="729"/>
      <c r="Q219" s="729"/>
      <c r="R219" s="729"/>
      <c r="S219" s="729"/>
      <c r="T219" s="729"/>
      <c r="U219" s="343"/>
      <c r="V219" s="343"/>
    </row>
    <row r="220" spans="1:22" s="364" customFormat="1" ht="13" customHeight="1" x14ac:dyDescent="0.25">
      <c r="A220" s="711"/>
      <c r="B220" s="302"/>
      <c r="C220" s="302"/>
      <c r="D220" s="300" t="s">
        <v>408</v>
      </c>
      <c r="E220" s="2671" t="str">
        <f>E_EnergyFlows!E55</f>
        <v>Вид използване на вложената енергия</v>
      </c>
      <c r="F220" s="2672"/>
      <c r="G220" s="300" t="str">
        <f>E_EnergyFlows!G55</f>
        <v>Единица мярка</v>
      </c>
      <c r="H220" s="391">
        <f t="shared" ref="H220:N220" si="25">H$2505</f>
        <v>2024</v>
      </c>
      <c r="I220" s="391">
        <f t="shared" si="25"/>
        <v>2025</v>
      </c>
      <c r="J220" s="391">
        <f t="shared" si="25"/>
        <v>2026</v>
      </c>
      <c r="K220" s="391">
        <f t="shared" si="25"/>
        <v>2027</v>
      </c>
      <c r="L220" s="391">
        <f t="shared" si="25"/>
        <v>2028</v>
      </c>
      <c r="M220" s="391">
        <f t="shared" si="25"/>
        <v>2029</v>
      </c>
      <c r="N220" s="391">
        <f t="shared" si="25"/>
        <v>2030</v>
      </c>
      <c r="O220" s="698"/>
      <c r="P220" s="729"/>
      <c r="Q220" s="729"/>
      <c r="R220" s="729"/>
      <c r="S220" s="729"/>
      <c r="T220" s="729"/>
      <c r="U220" s="343"/>
      <c r="V220" s="343"/>
    </row>
    <row r="221" spans="1:22" s="364" customFormat="1" ht="12.65" customHeight="1" x14ac:dyDescent="0.25">
      <c r="A221" s="711"/>
      <c r="B221" s="302"/>
      <c r="C221" s="302"/>
      <c r="D221" s="360"/>
      <c r="E221" s="2687" t="str">
        <f>E_EnergyFlows!E57</f>
        <v>Вложена енергия за производство на измерима топлинна енергия</v>
      </c>
      <c r="F221" s="2258"/>
      <c r="G221" s="1016" t="str">
        <f t="shared" ref="G221:G229" si="26">EUconst_TJpa</f>
        <v>TJ / година</v>
      </c>
      <c r="H221" s="422" t="str">
        <f>IF(ISNUMBER(CTRL_InputMethodFuelDistribution),IF(CTRL_InputMethodFuelDistribution=1,IF(ISNUMBER(E_EnergyFlows!H44),E_EnergyFlows!H44,""),E_EnergyFlows!H57),"")</f>
        <v/>
      </c>
      <c r="I221" s="422" t="str">
        <f>IF(ISNUMBER(CTRL_InputMethodFuelDistribution),IF(CTRL_InputMethodFuelDistribution=1,IF(ISNUMBER(E_EnergyFlows!I44),E_EnergyFlows!I44,""),E_EnergyFlows!I57),"")</f>
        <v/>
      </c>
      <c r="J221" s="422" t="str">
        <f>IF(ISNUMBER(CTRL_InputMethodFuelDistribution),IF(CTRL_InputMethodFuelDistribution=1,IF(ISNUMBER(E_EnergyFlows!J44),E_EnergyFlows!J44,""),E_EnergyFlows!J57),"")</f>
        <v/>
      </c>
      <c r="K221" s="422" t="str">
        <f>IF(ISNUMBER(CTRL_InputMethodFuelDistribution),IF(CTRL_InputMethodFuelDistribution=1,IF(ISNUMBER(E_EnergyFlows!K44),E_EnergyFlows!K44,""),E_EnergyFlows!K57),"")</f>
        <v/>
      </c>
      <c r="L221" s="422" t="str">
        <f>IF(ISNUMBER(CTRL_InputMethodFuelDistribution),IF(CTRL_InputMethodFuelDistribution=1,IF(ISNUMBER(E_EnergyFlows!L44),E_EnergyFlows!L44,""),E_EnergyFlows!L57),"")</f>
        <v/>
      </c>
      <c r="M221" s="422" t="str">
        <f>IF(ISNUMBER(CTRL_InputMethodFuelDistribution),IF(CTRL_InputMethodFuelDistribution=1,IF(ISNUMBER(E_EnergyFlows!M44),E_EnergyFlows!M44,""),E_EnergyFlows!M57),"")</f>
        <v/>
      </c>
      <c r="N221" s="422" t="str">
        <f>IF(ISNUMBER(CTRL_InputMethodFuelDistribution),IF(CTRL_InputMethodFuelDistribution=1,IF(ISNUMBER(E_EnergyFlows!N44),E_EnergyFlows!N44,""),E_EnergyFlows!N57),"")</f>
        <v/>
      </c>
      <c r="O221" s="698"/>
      <c r="P221" s="729"/>
      <c r="Q221" s="729"/>
      <c r="R221" s="729"/>
      <c r="S221" s="729"/>
      <c r="T221" s="729"/>
      <c r="U221" s="343"/>
      <c r="V221" s="343"/>
    </row>
    <row r="222" spans="1:22" s="364" customFormat="1" ht="12.65" customHeight="1" x14ac:dyDescent="0.25">
      <c r="A222" s="711"/>
      <c r="B222" s="302"/>
      <c r="C222" s="302"/>
      <c r="D222" s="360"/>
      <c r="E222" s="2687" t="str">
        <f>E_EnergyFlows!E61</f>
        <v>Вложена енергия за производството на електроенергия</v>
      </c>
      <c r="F222" s="2258"/>
      <c r="G222" s="1016" t="str">
        <f t="shared" si="26"/>
        <v>TJ / година</v>
      </c>
      <c r="H222" s="477" t="str">
        <f>IF(ISNUMBER(CTRL_InputMethodFuelDistribution),IF(CTRL_InputMethodFuelDistribution=1,IF(ISNUMBER(E_EnergyFlows!H48),E_EnergyFlows!H48,""),E_EnergyFlows!H61),"")</f>
        <v/>
      </c>
      <c r="I222" s="477" t="str">
        <f>IF(ISNUMBER(CTRL_InputMethodFuelDistribution),IF(CTRL_InputMethodFuelDistribution=1,IF(ISNUMBER(E_EnergyFlows!I48),E_EnergyFlows!I48,""),E_EnergyFlows!I61),"")</f>
        <v/>
      </c>
      <c r="J222" s="477" t="str">
        <f>IF(ISNUMBER(CTRL_InputMethodFuelDistribution),IF(CTRL_InputMethodFuelDistribution=1,IF(ISNUMBER(E_EnergyFlows!J48),E_EnergyFlows!J48,""),E_EnergyFlows!J61),"")</f>
        <v/>
      </c>
      <c r="K222" s="477" t="str">
        <f>IF(ISNUMBER(CTRL_InputMethodFuelDistribution),IF(CTRL_InputMethodFuelDistribution=1,IF(ISNUMBER(E_EnergyFlows!K48),E_EnergyFlows!K48,""),E_EnergyFlows!K61),"")</f>
        <v/>
      </c>
      <c r="L222" s="477" t="str">
        <f>IF(ISNUMBER(CTRL_InputMethodFuelDistribution),IF(CTRL_InputMethodFuelDistribution=1,IF(ISNUMBER(E_EnergyFlows!L48),E_EnergyFlows!L48,""),E_EnergyFlows!L61),"")</f>
        <v/>
      </c>
      <c r="M222" s="477" t="str">
        <f>IF(ISNUMBER(CTRL_InputMethodFuelDistribution),IF(CTRL_InputMethodFuelDistribution=1,IF(ISNUMBER(E_EnergyFlows!M48),E_EnergyFlows!M48,""),E_EnergyFlows!M61),"")</f>
        <v/>
      </c>
      <c r="N222" s="477" t="str">
        <f>IF(ISNUMBER(CTRL_InputMethodFuelDistribution),IF(CTRL_InputMethodFuelDistribution=1,IF(ISNUMBER(E_EnergyFlows!N48),E_EnergyFlows!N48,""),E_EnergyFlows!N61),"")</f>
        <v/>
      </c>
      <c r="O222" s="698"/>
      <c r="P222" s="729"/>
      <c r="Q222" s="729"/>
      <c r="R222" s="729"/>
      <c r="S222" s="729"/>
      <c r="T222" s="729"/>
      <c r="U222" s="343"/>
      <c r="V222" s="343"/>
    </row>
    <row r="223" spans="1:22" s="364" customFormat="1" ht="12.65" customHeight="1" x14ac:dyDescent="0.25">
      <c r="A223" s="711"/>
      <c r="B223" s="302"/>
      <c r="C223" s="302"/>
      <c r="D223" s="360"/>
      <c r="E223" s="2740" t="str">
        <f>Translations!$B$1488</f>
        <v>Вложена енергия за неенергийни цели</v>
      </c>
      <c r="F223" s="2739"/>
      <c r="G223" s="1016" t="str">
        <f t="shared" si="26"/>
        <v>TJ / година</v>
      </c>
      <c r="H223" s="477" t="str">
        <f>IF(ISNUMBER(CTRL_InputMethodFuelDistribution),IF(CTRL_InputMethodFuelDistribution=1,IF(ISNUMBER(E_EnergyFlows!H49),E_EnergyFlows!H49,""),E_EnergyFlows!H62),"")</f>
        <v/>
      </c>
      <c r="I223" s="477" t="str">
        <f>IF(ISNUMBER(CTRL_InputMethodFuelDistribution),IF(CTRL_InputMethodFuelDistribution=1,IF(ISNUMBER(E_EnergyFlows!I49),E_EnergyFlows!I49,""),E_EnergyFlows!I62),"")</f>
        <v/>
      </c>
      <c r="J223" s="477" t="str">
        <f>IF(ISNUMBER(CTRL_InputMethodFuelDistribution),IF(CTRL_InputMethodFuelDistribution=1,IF(ISNUMBER(E_EnergyFlows!J49),E_EnergyFlows!J49,""),E_EnergyFlows!J62),"")</f>
        <v/>
      </c>
      <c r="K223" s="477" t="str">
        <f>IF(ISNUMBER(CTRL_InputMethodFuelDistribution),IF(CTRL_InputMethodFuelDistribution=1,IF(ISNUMBER(E_EnergyFlows!K49),E_EnergyFlows!K49,""),E_EnergyFlows!K62),"")</f>
        <v/>
      </c>
      <c r="L223" s="477" t="str">
        <f>IF(ISNUMBER(CTRL_InputMethodFuelDistribution),IF(CTRL_InputMethodFuelDistribution=1,IF(ISNUMBER(E_EnergyFlows!L49),E_EnergyFlows!L49,""),E_EnergyFlows!L62),"")</f>
        <v/>
      </c>
      <c r="M223" s="477" t="str">
        <f>IF(ISNUMBER(CTRL_InputMethodFuelDistribution),IF(CTRL_InputMethodFuelDistribution=1,IF(ISNUMBER(E_EnergyFlows!M49),E_EnergyFlows!M49,""),E_EnergyFlows!M62),"")</f>
        <v/>
      </c>
      <c r="N223" s="477" t="str">
        <f>IF(ISNUMBER(CTRL_InputMethodFuelDistribution),IF(CTRL_InputMethodFuelDistribution=1,IF(ISNUMBER(E_EnergyFlows!N49),E_EnergyFlows!N49,""),E_EnergyFlows!N62),"")</f>
        <v/>
      </c>
      <c r="O223" s="698"/>
      <c r="P223" s="729"/>
      <c r="Q223" s="729"/>
      <c r="R223" s="729"/>
      <c r="S223" s="729"/>
      <c r="T223" s="729"/>
      <c r="U223" s="343"/>
      <c r="V223" s="343"/>
    </row>
    <row r="224" spans="1:22" s="364" customFormat="1" ht="12.65" customHeight="1" x14ac:dyDescent="0.25">
      <c r="A224" s="711"/>
      <c r="B224" s="302"/>
      <c r="C224" s="302"/>
      <c r="D224" s="360"/>
      <c r="E224" s="2740" t="str">
        <f>Translations!$B$1489</f>
        <v>Друга вложена енергия за недопустими цели</v>
      </c>
      <c r="F224" s="2739"/>
      <c r="G224" s="1016" t="str">
        <f t="shared" si="26"/>
        <v>TJ / година</v>
      </c>
      <c r="H224" s="477" t="str">
        <f>IF(ISNUMBER(CTRL_InputMethodFuelDistribution),IF(CTRL_InputMethodFuelDistribution=1,IF(ISNUMBER(E_EnergyFlows!H50),E_EnergyFlows!H50,""),E_EnergyFlows!H63),"")</f>
        <v/>
      </c>
      <c r="I224" s="477" t="str">
        <f>IF(ISNUMBER(CTRL_InputMethodFuelDistribution),IF(CTRL_InputMethodFuelDistribution=1,IF(ISNUMBER(E_EnergyFlows!I50),E_EnergyFlows!I50,""),E_EnergyFlows!I63),"")</f>
        <v/>
      </c>
      <c r="J224" s="477" t="str">
        <f>IF(ISNUMBER(CTRL_InputMethodFuelDistribution),IF(CTRL_InputMethodFuelDistribution=1,IF(ISNUMBER(E_EnergyFlows!J50),E_EnergyFlows!J50,""),E_EnergyFlows!J63),"")</f>
        <v/>
      </c>
      <c r="K224" s="477" t="str">
        <f>IF(ISNUMBER(CTRL_InputMethodFuelDistribution),IF(CTRL_InputMethodFuelDistribution=1,IF(ISNUMBER(E_EnergyFlows!K50),E_EnergyFlows!K50,""),E_EnergyFlows!K63),"")</f>
        <v/>
      </c>
      <c r="L224" s="477" t="str">
        <f>IF(ISNUMBER(CTRL_InputMethodFuelDistribution),IF(CTRL_InputMethodFuelDistribution=1,IF(ISNUMBER(E_EnergyFlows!L50),E_EnergyFlows!L50,""),E_EnergyFlows!L63),"")</f>
        <v/>
      </c>
      <c r="M224" s="477" t="str">
        <f>IF(ISNUMBER(CTRL_InputMethodFuelDistribution),IF(CTRL_InputMethodFuelDistribution=1,IF(ISNUMBER(E_EnergyFlows!M50),E_EnergyFlows!M50,""),E_EnergyFlows!M63),"")</f>
        <v/>
      </c>
      <c r="N224" s="477" t="str">
        <f>IF(ISNUMBER(CTRL_InputMethodFuelDistribution),IF(CTRL_InputMethodFuelDistribution=1,IF(ISNUMBER(E_EnergyFlows!N50),E_EnergyFlows!N50,""),E_EnergyFlows!N63),"")</f>
        <v/>
      </c>
      <c r="O224" s="698"/>
      <c r="P224" s="729"/>
      <c r="Q224" s="729"/>
      <c r="R224" s="729"/>
      <c r="S224" s="729"/>
      <c r="T224" s="729"/>
      <c r="U224" s="343"/>
      <c r="V224" s="343"/>
    </row>
    <row r="225" spans="1:22" s="364" customFormat="1" ht="13.5" customHeight="1" thickBot="1" x14ac:dyDescent="0.3">
      <c r="A225" s="711"/>
      <c r="B225" s="302"/>
      <c r="C225" s="302"/>
      <c r="D225" s="360"/>
      <c r="E225" s="3004" t="str">
        <f>E_EnergyFlows!E56</f>
        <v>Вложена енергия в подинсталации с продуктов показател</v>
      </c>
      <c r="F225" s="2707"/>
      <c r="G225" s="1661" t="str">
        <f t="shared" si="26"/>
        <v>TJ / година</v>
      </c>
      <c r="H225" s="510" t="str">
        <f>IF(ISNUMBER(CTRL_InputMethodFuelDistribution),IF(CTRL_InputMethodFuelDistribution=1,IF(ISNUMBER(E_EnergyFlows!H43),E_EnergyFlows!H43,""),E_EnergyFlows!H56),"")</f>
        <v/>
      </c>
      <c r="I225" s="510" t="str">
        <f>IF(ISNUMBER(CTRL_InputMethodFuelDistribution),IF(CTRL_InputMethodFuelDistribution=1,IF(ISNUMBER(E_EnergyFlows!I43),E_EnergyFlows!I43,""),E_EnergyFlows!I56),"")</f>
        <v/>
      </c>
      <c r="J225" s="510" t="str">
        <f>IF(ISNUMBER(CTRL_InputMethodFuelDistribution),IF(CTRL_InputMethodFuelDistribution=1,IF(ISNUMBER(E_EnergyFlows!J43),E_EnergyFlows!J43,""),E_EnergyFlows!J56),"")</f>
        <v/>
      </c>
      <c r="K225" s="510" t="str">
        <f>IF(ISNUMBER(CTRL_InputMethodFuelDistribution),IF(CTRL_InputMethodFuelDistribution=1,IF(ISNUMBER(E_EnergyFlows!K43),E_EnergyFlows!K43,""),E_EnergyFlows!K56),"")</f>
        <v/>
      </c>
      <c r="L225" s="510" t="str">
        <f>IF(ISNUMBER(CTRL_InputMethodFuelDistribution),IF(CTRL_InputMethodFuelDistribution=1,IF(ISNUMBER(E_EnergyFlows!L43),E_EnergyFlows!L43,""),E_EnergyFlows!L56),"")</f>
        <v/>
      </c>
      <c r="M225" s="510" t="str">
        <f>IF(ISNUMBER(CTRL_InputMethodFuelDistribution),IF(CTRL_InputMethodFuelDistribution=1,IF(ISNUMBER(E_EnergyFlows!M43),E_EnergyFlows!M43,""),E_EnergyFlows!M56),"")</f>
        <v/>
      </c>
      <c r="N225" s="510" t="str">
        <f>IF(ISNUMBER(CTRL_InputMethodFuelDistribution),IF(CTRL_InputMethodFuelDistribution=1,IF(ISNUMBER(E_EnergyFlows!N43),E_EnergyFlows!N43,""),E_EnergyFlows!N56),"")</f>
        <v/>
      </c>
      <c r="O225" s="698"/>
      <c r="P225" s="729"/>
      <c r="Q225" s="729"/>
      <c r="R225" s="729"/>
      <c r="S225" s="729"/>
      <c r="T225" s="729"/>
      <c r="U225" s="343"/>
      <c r="V225" s="343"/>
    </row>
    <row r="226" spans="1:22" s="364" customFormat="1" ht="13" customHeight="1" x14ac:dyDescent="0.25">
      <c r="A226" s="711"/>
      <c r="B226" s="302"/>
      <c r="C226" s="302"/>
      <c r="D226" s="360"/>
      <c r="E226" s="3002" t="str">
        <f>E_EnergyFlows!E58</f>
        <v>Подинсталация с горивен показател (с риск от ИВЕ | извън МКВЕГ)</v>
      </c>
      <c r="F226" s="3003"/>
      <c r="G226" s="1662" t="str">
        <f t="shared" si="26"/>
        <v>TJ / година</v>
      </c>
      <c r="H226" s="469" t="str">
        <f>IF(ISNUMBER(CTRL_InputMethodFuelDistribution),IF(CTRL_InputMethodFuelDistribution=1,IF(ISNUMBER(E_EnergyFlows!H45),E_EnergyFlows!H45,""),E_EnergyFlows!H58),"")</f>
        <v/>
      </c>
      <c r="I226" s="469" t="str">
        <f>IF(ISNUMBER(CTRL_InputMethodFuelDistribution),IF(CTRL_InputMethodFuelDistribution=1,IF(ISNUMBER(E_EnergyFlows!I45),E_EnergyFlows!I45,""),E_EnergyFlows!I58),"")</f>
        <v/>
      </c>
      <c r="J226" s="469" t="str">
        <f>IF(ISNUMBER(CTRL_InputMethodFuelDistribution),IF(CTRL_InputMethodFuelDistribution=1,IF(ISNUMBER(E_EnergyFlows!J45),E_EnergyFlows!J45,""),E_EnergyFlows!J58),"")</f>
        <v/>
      </c>
      <c r="K226" s="469" t="str">
        <f>IF(ISNUMBER(CTRL_InputMethodFuelDistribution),IF(CTRL_InputMethodFuelDistribution=1,IF(ISNUMBER(E_EnergyFlows!K45),E_EnergyFlows!K45,""),E_EnergyFlows!K58),"")</f>
        <v/>
      </c>
      <c r="L226" s="469" t="str">
        <f>IF(ISNUMBER(CTRL_InputMethodFuelDistribution),IF(CTRL_InputMethodFuelDistribution=1,IF(ISNUMBER(E_EnergyFlows!L45),E_EnergyFlows!L45,""),E_EnergyFlows!L58),"")</f>
        <v/>
      </c>
      <c r="M226" s="469" t="str">
        <f>IF(ISNUMBER(CTRL_InputMethodFuelDistribution),IF(CTRL_InputMethodFuelDistribution=1,IF(ISNUMBER(E_EnergyFlows!M45),E_EnergyFlows!M45,""),E_EnergyFlows!M58),"")</f>
        <v/>
      </c>
      <c r="N226" s="470" t="str">
        <f>IF(ISNUMBER(CTRL_InputMethodFuelDistribution),IF(CTRL_InputMethodFuelDistribution=1,IF(ISNUMBER(E_EnergyFlows!N45),E_EnergyFlows!N45,""),E_EnergyFlows!N58),"")</f>
        <v/>
      </c>
      <c r="O226" s="698"/>
      <c r="P226" s="729"/>
      <c r="Q226" s="729"/>
      <c r="R226" s="729"/>
      <c r="S226" s="729"/>
      <c r="T226" s="729"/>
      <c r="U226" s="343"/>
      <c r="V226" s="343"/>
    </row>
    <row r="227" spans="1:22" s="364" customFormat="1" ht="13" customHeight="1" x14ac:dyDescent="0.25">
      <c r="A227" s="711"/>
      <c r="B227" s="302"/>
      <c r="C227" s="302"/>
      <c r="D227" s="360"/>
      <c r="E227" s="1663" t="str">
        <f>E_EnergyFlows!E59</f>
        <v>Подинсталация с горивен показател (без риск от ИВЕ | извън МКВЕГ)</v>
      </c>
      <c r="F227" s="1664"/>
      <c r="G227" s="1087" t="str">
        <f t="shared" si="26"/>
        <v>TJ / година</v>
      </c>
      <c r="H227" s="472" t="str">
        <f>IF(ISNUMBER(CTRL_InputMethodFuelDistribution),IF(CTRL_InputMethodFuelDistribution=1,IF(ISNUMBER(E_EnergyFlows!H46),E_EnergyFlows!H46,""),E_EnergyFlows!H59),"")</f>
        <v/>
      </c>
      <c r="I227" s="472" t="str">
        <f>IF(ISNUMBER(CTRL_InputMethodFuelDistribution),IF(CTRL_InputMethodFuelDistribution=1,IF(ISNUMBER(E_EnergyFlows!I46),E_EnergyFlows!I46,""),E_EnergyFlows!I59),"")</f>
        <v/>
      </c>
      <c r="J227" s="472" t="str">
        <f>IF(ISNUMBER(CTRL_InputMethodFuelDistribution),IF(CTRL_InputMethodFuelDistribution=1,IF(ISNUMBER(E_EnergyFlows!J46),E_EnergyFlows!J46,""),E_EnergyFlows!J59),"")</f>
        <v/>
      </c>
      <c r="K227" s="472" t="str">
        <f>IF(ISNUMBER(CTRL_InputMethodFuelDistribution),IF(CTRL_InputMethodFuelDistribution=1,IF(ISNUMBER(E_EnergyFlows!K46),E_EnergyFlows!K46,""),E_EnergyFlows!K59),"")</f>
        <v/>
      </c>
      <c r="L227" s="472" t="str">
        <f>IF(ISNUMBER(CTRL_InputMethodFuelDistribution),IF(CTRL_InputMethodFuelDistribution=1,IF(ISNUMBER(E_EnergyFlows!L46),E_EnergyFlows!L46,""),E_EnergyFlows!L59),"")</f>
        <v/>
      </c>
      <c r="M227" s="472" t="str">
        <f>IF(ISNUMBER(CTRL_InputMethodFuelDistribution),IF(CTRL_InputMethodFuelDistribution=1,IF(ISNUMBER(E_EnergyFlows!M46),E_EnergyFlows!M46,""),E_EnergyFlows!M59),"")</f>
        <v/>
      </c>
      <c r="N227" s="473" t="str">
        <f>IF(ISNUMBER(CTRL_InputMethodFuelDistribution),IF(CTRL_InputMethodFuelDistribution=1,IF(ISNUMBER(E_EnergyFlows!N46),E_EnergyFlows!N46,""),E_EnergyFlows!N59),"")</f>
        <v/>
      </c>
      <c r="O227" s="698"/>
      <c r="P227" s="729"/>
      <c r="Q227" s="729"/>
      <c r="R227" s="729"/>
      <c r="S227" s="729"/>
      <c r="T227" s="729"/>
      <c r="U227" s="343"/>
      <c r="V227" s="343"/>
    </row>
    <row r="228" spans="1:22" s="364" customFormat="1" ht="13.5" customHeight="1" thickBot="1" x14ac:dyDescent="0.3">
      <c r="A228" s="711"/>
      <c r="B228" s="302"/>
      <c r="C228" s="302"/>
      <c r="D228" s="360"/>
      <c r="E228" s="3000" t="str">
        <f>E_EnergyFlows!E60</f>
        <v>Подинсталация с горивен показател (с риск от ИВЕ | в рамките на МКВЕГ)</v>
      </c>
      <c r="F228" s="3001"/>
      <c r="G228" s="1665" t="str">
        <f t="shared" si="26"/>
        <v>TJ / година</v>
      </c>
      <c r="H228" s="475" t="str">
        <f>IF(ISNUMBER(CTRL_InputMethodFuelDistribution),IF(CTRL_InputMethodFuelDistribution=1,IF(ISNUMBER(E_EnergyFlows!H47),E_EnergyFlows!H47,""),E_EnergyFlows!H60),"")</f>
        <v/>
      </c>
      <c r="I228" s="475" t="str">
        <f>IF(ISNUMBER(CTRL_InputMethodFuelDistribution),IF(CTRL_InputMethodFuelDistribution=1,IF(ISNUMBER(E_EnergyFlows!I47),E_EnergyFlows!I47,""),E_EnergyFlows!I60),"")</f>
        <v/>
      </c>
      <c r="J228" s="475" t="str">
        <f>IF(ISNUMBER(CTRL_InputMethodFuelDistribution),IF(CTRL_InputMethodFuelDistribution=1,IF(ISNUMBER(E_EnergyFlows!J47),E_EnergyFlows!J47,""),E_EnergyFlows!J60),"")</f>
        <v/>
      </c>
      <c r="K228" s="475" t="str">
        <f>IF(ISNUMBER(CTRL_InputMethodFuelDistribution),IF(CTRL_InputMethodFuelDistribution=1,IF(ISNUMBER(E_EnergyFlows!K47),E_EnergyFlows!K47,""),E_EnergyFlows!K60),"")</f>
        <v/>
      </c>
      <c r="L228" s="475" t="str">
        <f>IF(ISNUMBER(CTRL_InputMethodFuelDistribution),IF(CTRL_InputMethodFuelDistribution=1,IF(ISNUMBER(E_EnergyFlows!L47),E_EnergyFlows!L47,""),E_EnergyFlows!L60),"")</f>
        <v/>
      </c>
      <c r="M228" s="475" t="str">
        <f>IF(ISNUMBER(CTRL_InputMethodFuelDistribution),IF(CTRL_InputMethodFuelDistribution=1,IF(ISNUMBER(E_EnergyFlows!M47),E_EnergyFlows!M47,""),E_EnergyFlows!M60),"")</f>
        <v/>
      </c>
      <c r="N228" s="476" t="str">
        <f>IF(ISNUMBER(CTRL_InputMethodFuelDistribution),IF(CTRL_InputMethodFuelDistribution=1,IF(ISNUMBER(E_EnergyFlows!N47),E_EnergyFlows!N47,""),E_EnergyFlows!N60),"")</f>
        <v/>
      </c>
      <c r="O228" s="698"/>
      <c r="P228" s="729"/>
      <c r="Q228" s="729"/>
      <c r="R228" s="729"/>
      <c r="S228" s="729"/>
      <c r="T228" s="729"/>
      <c r="U228" s="343"/>
      <c r="V228" s="343"/>
    </row>
    <row r="229" spans="1:22" s="364" customFormat="1" x14ac:dyDescent="0.25">
      <c r="A229" s="711"/>
      <c r="B229" s="302"/>
      <c r="C229" s="302"/>
      <c r="D229" s="360"/>
      <c r="E229" s="2998" t="str">
        <f>E_EnergyFlows!E64</f>
        <v>Други</v>
      </c>
      <c r="F229" s="2999"/>
      <c r="G229" s="1130" t="str">
        <f t="shared" si="26"/>
        <v>TJ / година</v>
      </c>
      <c r="H229" s="477" t="str">
        <f>IF(ISNUMBER(CTRL_InputMethodFuelDistribution),IF(CTRL_InputMethodFuelDistribution=1,IF(ISNUMBER(E_EnergyFlows!H51),E_EnergyFlows!H51,""),E_EnergyFlows!H64),"")</f>
        <v/>
      </c>
      <c r="I229" s="477" t="str">
        <f>IF(ISNUMBER(CTRL_InputMethodFuelDistribution),IF(CTRL_InputMethodFuelDistribution=1,IF(ISNUMBER(E_EnergyFlows!I51),E_EnergyFlows!I51,""),E_EnergyFlows!I64),"")</f>
        <v/>
      </c>
      <c r="J229" s="477" t="str">
        <f>IF(ISNUMBER(CTRL_InputMethodFuelDistribution),IF(CTRL_InputMethodFuelDistribution=1,IF(ISNUMBER(E_EnergyFlows!J51),E_EnergyFlows!J51,""),E_EnergyFlows!J64),"")</f>
        <v/>
      </c>
      <c r="K229" s="477" t="str">
        <f>IF(ISNUMBER(CTRL_InputMethodFuelDistribution),IF(CTRL_InputMethodFuelDistribution=1,IF(ISNUMBER(E_EnergyFlows!K51),E_EnergyFlows!K51,""),E_EnergyFlows!K64),"")</f>
        <v/>
      </c>
      <c r="L229" s="477" t="str">
        <f>IF(ISNUMBER(CTRL_InputMethodFuelDistribution),IF(CTRL_InputMethodFuelDistribution=1,IF(ISNUMBER(E_EnergyFlows!L51),E_EnergyFlows!L51,""),E_EnergyFlows!L64),"")</f>
        <v/>
      </c>
      <c r="M229" s="477" t="str">
        <f>IF(ISNUMBER(CTRL_InputMethodFuelDistribution),IF(CTRL_InputMethodFuelDistribution=1,IF(ISNUMBER(E_EnergyFlows!M51),E_EnergyFlows!M51,""),E_EnergyFlows!M64),"")</f>
        <v/>
      </c>
      <c r="N229" s="477" t="str">
        <f>IF(ISNUMBER(CTRL_InputMethodFuelDistribution),IF(CTRL_InputMethodFuelDistribution=1,IF(ISNUMBER(E_EnergyFlows!N51),E_EnergyFlows!N51,""),E_EnergyFlows!N64),"")</f>
        <v/>
      </c>
      <c r="O229" s="698"/>
      <c r="P229" s="729"/>
      <c r="Q229" s="729"/>
      <c r="R229" s="729"/>
      <c r="S229" s="729"/>
      <c r="T229" s="729"/>
      <c r="U229" s="343"/>
      <c r="V229" s="343"/>
    </row>
    <row r="230" spans="1:22" s="364" customFormat="1" ht="5.15" customHeight="1" x14ac:dyDescent="0.25">
      <c r="A230" s="711"/>
      <c r="B230" s="302"/>
      <c r="C230" s="302"/>
      <c r="D230" s="360"/>
      <c r="E230" s="360"/>
      <c r="F230" s="360"/>
      <c r="G230" s="360"/>
      <c r="H230" s="360"/>
      <c r="I230" s="360"/>
      <c r="J230" s="360"/>
      <c r="K230" s="360"/>
      <c r="L230" s="360"/>
      <c r="M230" s="360"/>
      <c r="N230" s="360"/>
      <c r="O230" s="698"/>
      <c r="P230" s="729"/>
      <c r="Q230" s="729"/>
      <c r="R230" s="729"/>
      <c r="S230" s="729"/>
      <c r="T230" s="729"/>
      <c r="U230" s="343"/>
      <c r="V230" s="343"/>
    </row>
    <row r="231" spans="1:22" s="364" customFormat="1" ht="13" x14ac:dyDescent="0.25">
      <c r="A231" s="711"/>
      <c r="B231" s="284"/>
      <c r="C231" s="284"/>
      <c r="D231" s="300" t="s">
        <v>901</v>
      </c>
      <c r="E231" s="2353" t="str">
        <f>Translations!$B$1305</f>
        <v>Емисионен фактор за горива, използвани за производство на измерима топлинна и електрическа енергия</v>
      </c>
      <c r="F231" s="2354"/>
      <c r="G231" s="2354"/>
      <c r="H231" s="2354"/>
      <c r="I231" s="2354"/>
      <c r="J231" s="2354"/>
      <c r="K231" s="2354"/>
      <c r="L231" s="2354"/>
      <c r="M231" s="2354"/>
      <c r="N231" s="2354"/>
      <c r="O231" s="336"/>
      <c r="P231" s="729"/>
      <c r="Q231" s="729"/>
      <c r="R231" s="729"/>
      <c r="S231" s="729"/>
      <c r="T231" s="729"/>
      <c r="U231" s="343"/>
      <c r="V231" s="343"/>
    </row>
    <row r="232" spans="1:22" s="364" customFormat="1" ht="5.15" customHeight="1" x14ac:dyDescent="0.25">
      <c r="A232" s="711"/>
      <c r="B232" s="284"/>
      <c r="C232" s="284"/>
      <c r="D232" s="284"/>
      <c r="E232" s="284"/>
      <c r="F232" s="284"/>
      <c r="G232" s="284"/>
      <c r="H232" s="284"/>
      <c r="I232" s="284"/>
      <c r="J232" s="284"/>
      <c r="K232" s="284"/>
      <c r="L232" s="284"/>
      <c r="M232" s="284"/>
      <c r="N232" s="284"/>
      <c r="O232" s="336"/>
      <c r="P232" s="729"/>
      <c r="Q232" s="729"/>
      <c r="R232" s="729"/>
      <c r="S232" s="729"/>
      <c r="T232" s="729"/>
      <c r="U232" s="343"/>
      <c r="V232" s="343"/>
    </row>
    <row r="233" spans="1:22" s="364" customFormat="1" ht="13.5" customHeight="1" x14ac:dyDescent="0.25">
      <c r="A233" s="711"/>
      <c r="B233" s="302"/>
      <c r="C233" s="302"/>
      <c r="D233" s="302"/>
      <c r="E233" s="2671" t="str">
        <f>Translations!$B$1308</f>
        <v>Емисионен фактор (EF)</v>
      </c>
      <c r="F233" s="2672"/>
      <c r="G233" s="300" t="str">
        <f>EUconst_Unit</f>
        <v>Единица мярка</v>
      </c>
      <c r="H233" s="391">
        <f t="shared" ref="H233:N233" si="27">H$2505</f>
        <v>2024</v>
      </c>
      <c r="I233" s="391">
        <f t="shared" si="27"/>
        <v>2025</v>
      </c>
      <c r="J233" s="391">
        <f t="shared" si="27"/>
        <v>2026</v>
      </c>
      <c r="K233" s="391">
        <f t="shared" si="27"/>
        <v>2027</v>
      </c>
      <c r="L233" s="391">
        <f t="shared" si="27"/>
        <v>2028</v>
      </c>
      <c r="M233" s="391">
        <f t="shared" si="27"/>
        <v>2029</v>
      </c>
      <c r="N233" s="391">
        <f t="shared" si="27"/>
        <v>2030</v>
      </c>
      <c r="O233" s="336"/>
      <c r="P233" s="729"/>
      <c r="Q233" s="729"/>
      <c r="R233" s="729"/>
      <c r="S233" s="729"/>
      <c r="T233" s="729"/>
      <c r="U233" s="343"/>
      <c r="V233" s="343"/>
    </row>
    <row r="234" spans="1:22" s="364" customFormat="1" ht="13.5" customHeight="1" x14ac:dyDescent="0.25">
      <c r="A234" s="711"/>
      <c r="B234" s="302"/>
      <c r="C234" s="302"/>
      <c r="D234" s="360" t="s">
        <v>6</v>
      </c>
      <c r="E234" s="2741" t="str">
        <f>Translations!$B$1309</f>
        <v>Горивен EF за общо вложени горива</v>
      </c>
      <c r="F234" s="2741"/>
      <c r="G234" s="1080" t="str">
        <f>EUconst_tCO2pTJ</f>
        <v>t CO2 / TJ</v>
      </c>
      <c r="H234" s="532" t="str">
        <f>IF(E_EnergyFlows!H72="","",E_EnergyFlows!H72)</f>
        <v/>
      </c>
      <c r="I234" s="532" t="str">
        <f>IF(E_EnergyFlows!I72="","",E_EnergyFlows!I72)</f>
        <v/>
      </c>
      <c r="J234" s="532" t="str">
        <f>IF(E_EnergyFlows!J72="","",E_EnergyFlows!J72)</f>
        <v/>
      </c>
      <c r="K234" s="532" t="str">
        <f>IF(E_EnergyFlows!K72="","",E_EnergyFlows!K72)</f>
        <v/>
      </c>
      <c r="L234" s="532" t="str">
        <f>IF(E_EnergyFlows!L72="","",E_EnergyFlows!L72)</f>
        <v/>
      </c>
      <c r="M234" s="532" t="str">
        <f>IF(E_EnergyFlows!M72="","",E_EnergyFlows!M72)</f>
        <v/>
      </c>
      <c r="N234" s="532" t="str">
        <f>IF(E_EnergyFlows!N72="","",E_EnergyFlows!N72)</f>
        <v/>
      </c>
      <c r="O234" s="336"/>
      <c r="P234" s="729"/>
      <c r="Q234" s="729"/>
      <c r="R234" s="729"/>
      <c r="S234" s="729"/>
      <c r="T234" s="729"/>
      <c r="U234" s="343"/>
      <c r="V234" s="343"/>
    </row>
    <row r="235" spans="1:22" s="364" customFormat="1" ht="12.75" customHeight="1" x14ac:dyDescent="0.25">
      <c r="A235" s="711"/>
      <c r="B235" s="302"/>
      <c r="C235" s="302"/>
      <c r="D235" s="360" t="s">
        <v>7</v>
      </c>
      <c r="E235" s="2719" t="str">
        <f>Translations!$B$1310</f>
        <v>Горивен EF за измерима топлинна енергия</v>
      </c>
      <c r="F235" s="2719"/>
      <c r="G235" s="1081" t="str">
        <f>EUconst_tCO2pTJ</f>
        <v>t CO2 / TJ</v>
      </c>
      <c r="H235" s="533" t="str">
        <f>IF(E_EnergyFlows!H73="","",E_EnergyFlows!H73)</f>
        <v/>
      </c>
      <c r="I235" s="533" t="str">
        <f>IF(E_EnergyFlows!I73="","",E_EnergyFlows!I73)</f>
        <v/>
      </c>
      <c r="J235" s="533" t="str">
        <f>IF(E_EnergyFlows!J73="","",E_EnergyFlows!J73)</f>
        <v/>
      </c>
      <c r="K235" s="533" t="str">
        <f>IF(E_EnergyFlows!K73="","",E_EnergyFlows!K73)</f>
        <v/>
      </c>
      <c r="L235" s="533" t="str">
        <f>IF(E_EnergyFlows!L73="","",E_EnergyFlows!L73)</f>
        <v/>
      </c>
      <c r="M235" s="533" t="str">
        <f>IF(E_EnergyFlows!M73="","",E_EnergyFlows!M73)</f>
        <v/>
      </c>
      <c r="N235" s="533" t="str">
        <f>IF(E_EnergyFlows!N73="","",E_EnergyFlows!N73)</f>
        <v/>
      </c>
      <c r="O235" s="336"/>
      <c r="P235" s="729"/>
      <c r="Q235" s="729"/>
      <c r="R235" s="729"/>
      <c r="S235" s="729"/>
      <c r="T235" s="729"/>
      <c r="U235" s="343"/>
      <c r="V235" s="343"/>
    </row>
    <row r="236" spans="1:22" x14ac:dyDescent="0.25">
      <c r="A236" s="343"/>
      <c r="B236" s="698"/>
      <c r="C236" s="698"/>
      <c r="D236" s="360" t="s">
        <v>8</v>
      </c>
      <c r="E236" s="2777" t="str">
        <f>Translations!$B$1311</f>
        <v>Горивен EF за електроенергия</v>
      </c>
      <c r="F236" s="2732"/>
      <c r="G236" s="1082" t="str">
        <f>EUconst_tCO2pTJ</f>
        <v>t CO2 / TJ</v>
      </c>
      <c r="H236" s="534" t="str">
        <f>IF(E_EnergyFlows!H74="","",E_EnergyFlows!H74)</f>
        <v/>
      </c>
      <c r="I236" s="534" t="str">
        <f>IF(E_EnergyFlows!I74="","",E_EnergyFlows!I74)</f>
        <v/>
      </c>
      <c r="J236" s="534" t="str">
        <f>IF(E_EnergyFlows!J74="","",E_EnergyFlows!J74)</f>
        <v/>
      </c>
      <c r="K236" s="534" t="str">
        <f>IF(E_EnergyFlows!K74="","",E_EnergyFlows!K74)</f>
        <v/>
      </c>
      <c r="L236" s="534" t="str">
        <f>IF(E_EnergyFlows!L74="","",E_EnergyFlows!L74)</f>
        <v/>
      </c>
      <c r="M236" s="534" t="str">
        <f>IF(E_EnergyFlows!M74="","",E_EnergyFlows!M74)</f>
        <v/>
      </c>
      <c r="N236" s="534" t="str">
        <f>IF(E_EnergyFlows!N74="","",E_EnergyFlows!N74)</f>
        <v/>
      </c>
      <c r="O236" s="336"/>
      <c r="P236" s="729"/>
      <c r="Q236" s="729"/>
      <c r="R236" s="729"/>
      <c r="S236" s="729"/>
      <c r="T236" s="729"/>
      <c r="U236" s="343"/>
      <c r="V236" s="343"/>
    </row>
    <row r="237" spans="1:22" ht="5.15" customHeight="1" x14ac:dyDescent="0.25">
      <c r="A237" s="343"/>
      <c r="B237" s="698"/>
      <c r="C237" s="698"/>
      <c r="D237" s="698"/>
      <c r="E237" s="698"/>
      <c r="F237" s="698"/>
      <c r="G237" s="698"/>
      <c r="H237" s="698"/>
      <c r="I237" s="698"/>
      <c r="J237" s="698"/>
      <c r="K237" s="698"/>
      <c r="L237" s="698"/>
      <c r="M237" s="698"/>
      <c r="N237" s="698"/>
      <c r="O237" s="336"/>
      <c r="P237" s="729"/>
      <c r="Q237" s="729"/>
      <c r="R237" s="729"/>
      <c r="S237" s="729"/>
      <c r="T237" s="729"/>
      <c r="U237" s="343"/>
      <c r="V237" s="343"/>
    </row>
    <row r="238" spans="1:22" s="364" customFormat="1" ht="12.75" customHeight="1" x14ac:dyDescent="0.25">
      <c r="A238" s="711"/>
      <c r="B238" s="302"/>
      <c r="C238" s="302"/>
      <c r="D238" s="300" t="s">
        <v>46</v>
      </c>
      <c r="E238" s="2671" t="str">
        <f>Translations!$B$936</f>
        <v>Вложено гориво във всяка подинсталация от работни листове F и G:</v>
      </c>
      <c r="F238" s="2672"/>
      <c r="G238" s="2672"/>
      <c r="H238" s="2672"/>
      <c r="I238" s="2672"/>
      <c r="J238" s="2672"/>
      <c r="K238" s="2672"/>
      <c r="L238" s="2672"/>
      <c r="M238" s="2672"/>
      <c r="N238" s="2672"/>
      <c r="O238" s="698"/>
      <c r="P238" s="729"/>
      <c r="Q238" s="729"/>
      <c r="R238" s="729"/>
      <c r="S238" s="729"/>
      <c r="T238" s="729"/>
      <c r="U238" s="343"/>
      <c r="V238" s="343"/>
    </row>
    <row r="239" spans="1:22" s="364" customFormat="1" ht="12.75" customHeight="1" x14ac:dyDescent="0.25">
      <c r="A239" s="729"/>
      <c r="B239" s="302"/>
      <c r="C239" s="302"/>
      <c r="D239" s="302"/>
      <c r="E239" s="3045" t="str">
        <f t="shared" ref="E239:E255" si="28">E118</f>
        <v/>
      </c>
      <c r="F239" s="2701"/>
      <c r="G239" s="1085" t="str">
        <f t="shared" ref="G239:G255" si="29">EUconst_TJpa</f>
        <v>TJ / година</v>
      </c>
      <c r="H239" s="482" t="str">
        <f>IF($E239="","",INDEX(H$499:H$2397,MATCH($P239,$P$499:$P$2397,0)))</f>
        <v/>
      </c>
      <c r="I239" s="482" t="str">
        <f t="shared" ref="I239:N254" si="30">IF($E239="","",INDEX(I$499:I$2397,MATCH($P239,$P$499:$P$2397,0)))</f>
        <v/>
      </c>
      <c r="J239" s="482" t="str">
        <f t="shared" si="30"/>
        <v/>
      </c>
      <c r="K239" s="482" t="str">
        <f t="shared" si="30"/>
        <v/>
      </c>
      <c r="L239" s="482" t="str">
        <f t="shared" si="30"/>
        <v/>
      </c>
      <c r="M239" s="482" t="str">
        <f t="shared" si="30"/>
        <v/>
      </c>
      <c r="N239" s="482" t="str">
        <f t="shared" si="30"/>
        <v/>
      </c>
      <c r="O239" s="698"/>
      <c r="P239" s="1500" t="str">
        <f t="shared" ref="P239:P255" si="31">EUconst_CNTR_FuelInput &amp; E239</f>
        <v>FuelInput_</v>
      </c>
      <c r="Q239" s="729"/>
      <c r="R239" s="729"/>
      <c r="S239" s="729"/>
      <c r="T239" s="729"/>
      <c r="U239" s="343"/>
      <c r="V239" s="343"/>
    </row>
    <row r="240" spans="1:22" s="364" customFormat="1" ht="12.75" customHeight="1" x14ac:dyDescent="0.25">
      <c r="A240" s="729"/>
      <c r="B240" s="302"/>
      <c r="C240" s="302"/>
      <c r="D240" s="302"/>
      <c r="E240" s="2995" t="str">
        <f t="shared" si="28"/>
        <v/>
      </c>
      <c r="F240" s="2703"/>
      <c r="G240" s="1087" t="str">
        <f t="shared" si="29"/>
        <v>TJ / година</v>
      </c>
      <c r="H240" s="524" t="str">
        <f t="shared" ref="H240:N255" si="32">IF($E240="","",INDEX(H$499:H$2397,MATCH($P240,$P$499:$P$2397,0)))</f>
        <v/>
      </c>
      <c r="I240" s="524" t="str">
        <f t="shared" si="30"/>
        <v/>
      </c>
      <c r="J240" s="524" t="str">
        <f t="shared" si="30"/>
        <v/>
      </c>
      <c r="K240" s="524" t="str">
        <f t="shared" si="30"/>
        <v/>
      </c>
      <c r="L240" s="524" t="str">
        <f t="shared" si="30"/>
        <v/>
      </c>
      <c r="M240" s="524" t="str">
        <f t="shared" si="30"/>
        <v/>
      </c>
      <c r="N240" s="524" t="str">
        <f t="shared" si="30"/>
        <v/>
      </c>
      <c r="O240" s="698"/>
      <c r="P240" s="1500" t="str">
        <f t="shared" si="31"/>
        <v>FuelInput_</v>
      </c>
      <c r="Q240" s="729"/>
      <c r="R240" s="729"/>
      <c r="S240" s="729"/>
      <c r="T240" s="729"/>
      <c r="U240" s="343"/>
      <c r="V240" s="343"/>
    </row>
    <row r="241" spans="1:22" s="364" customFormat="1" ht="12.75" customHeight="1" x14ac:dyDescent="0.25">
      <c r="A241" s="729"/>
      <c r="B241" s="302"/>
      <c r="C241" s="302"/>
      <c r="D241" s="302"/>
      <c r="E241" s="2995" t="str">
        <f t="shared" si="28"/>
        <v/>
      </c>
      <c r="F241" s="2703"/>
      <c r="G241" s="1087" t="str">
        <f t="shared" si="29"/>
        <v>TJ / година</v>
      </c>
      <c r="H241" s="524" t="str">
        <f t="shared" si="32"/>
        <v/>
      </c>
      <c r="I241" s="524" t="str">
        <f t="shared" si="30"/>
        <v/>
      </c>
      <c r="J241" s="524" t="str">
        <f t="shared" si="30"/>
        <v/>
      </c>
      <c r="K241" s="524" t="str">
        <f t="shared" si="30"/>
        <v/>
      </c>
      <c r="L241" s="524" t="str">
        <f t="shared" si="30"/>
        <v/>
      </c>
      <c r="M241" s="524" t="str">
        <f t="shared" si="30"/>
        <v/>
      </c>
      <c r="N241" s="524" t="str">
        <f t="shared" si="30"/>
        <v/>
      </c>
      <c r="O241" s="698"/>
      <c r="P241" s="1500" t="str">
        <f t="shared" si="31"/>
        <v>FuelInput_</v>
      </c>
      <c r="Q241" s="729"/>
      <c r="R241" s="729"/>
      <c r="S241" s="729"/>
      <c r="T241" s="729"/>
      <c r="U241" s="343"/>
      <c r="V241" s="343"/>
    </row>
    <row r="242" spans="1:22" s="364" customFormat="1" ht="12.75" customHeight="1" x14ac:dyDescent="0.25">
      <c r="A242" s="729"/>
      <c r="B242" s="302"/>
      <c r="C242" s="302"/>
      <c r="D242" s="302"/>
      <c r="E242" s="2995" t="str">
        <f t="shared" si="28"/>
        <v/>
      </c>
      <c r="F242" s="2703"/>
      <c r="G242" s="1087" t="str">
        <f t="shared" si="29"/>
        <v>TJ / година</v>
      </c>
      <c r="H242" s="524" t="str">
        <f t="shared" si="32"/>
        <v/>
      </c>
      <c r="I242" s="524" t="str">
        <f t="shared" si="30"/>
        <v/>
      </c>
      <c r="J242" s="524" t="str">
        <f t="shared" si="30"/>
        <v/>
      </c>
      <c r="K242" s="524" t="str">
        <f t="shared" si="30"/>
        <v/>
      </c>
      <c r="L242" s="524" t="str">
        <f t="shared" si="30"/>
        <v/>
      </c>
      <c r="M242" s="524" t="str">
        <f t="shared" si="30"/>
        <v/>
      </c>
      <c r="N242" s="524" t="str">
        <f t="shared" si="30"/>
        <v/>
      </c>
      <c r="O242" s="698"/>
      <c r="P242" s="1500" t="str">
        <f t="shared" si="31"/>
        <v>FuelInput_</v>
      </c>
      <c r="Q242" s="729"/>
      <c r="R242" s="729"/>
      <c r="S242" s="729"/>
      <c r="T242" s="729"/>
      <c r="U242" s="343"/>
      <c r="V242" s="343"/>
    </row>
    <row r="243" spans="1:22" s="364" customFormat="1" ht="12.75" customHeight="1" x14ac:dyDescent="0.25">
      <c r="A243" s="729"/>
      <c r="B243" s="302"/>
      <c r="C243" s="302"/>
      <c r="D243" s="302"/>
      <c r="E243" s="2995" t="str">
        <f t="shared" si="28"/>
        <v/>
      </c>
      <c r="F243" s="2703"/>
      <c r="G243" s="1087" t="str">
        <f t="shared" si="29"/>
        <v>TJ / година</v>
      </c>
      <c r="H243" s="524" t="str">
        <f t="shared" si="32"/>
        <v/>
      </c>
      <c r="I243" s="524" t="str">
        <f t="shared" si="30"/>
        <v/>
      </c>
      <c r="J243" s="524" t="str">
        <f t="shared" si="30"/>
        <v/>
      </c>
      <c r="K243" s="524" t="str">
        <f t="shared" si="30"/>
        <v/>
      </c>
      <c r="L243" s="524" t="str">
        <f t="shared" si="30"/>
        <v/>
      </c>
      <c r="M243" s="524" t="str">
        <f t="shared" si="30"/>
        <v/>
      </c>
      <c r="N243" s="524" t="str">
        <f t="shared" si="30"/>
        <v/>
      </c>
      <c r="O243" s="698"/>
      <c r="P243" s="1500" t="str">
        <f t="shared" si="31"/>
        <v>FuelInput_</v>
      </c>
      <c r="Q243" s="729"/>
      <c r="R243" s="729"/>
      <c r="S243" s="729"/>
      <c r="T243" s="729"/>
      <c r="U243" s="343"/>
      <c r="V243" s="343"/>
    </row>
    <row r="244" spans="1:22" s="364" customFormat="1" ht="12.75" customHeight="1" x14ac:dyDescent="0.25">
      <c r="A244" s="729"/>
      <c r="B244" s="302"/>
      <c r="C244" s="302"/>
      <c r="D244" s="302"/>
      <c r="E244" s="2995" t="str">
        <f t="shared" si="28"/>
        <v/>
      </c>
      <c r="F244" s="2703"/>
      <c r="G244" s="1087" t="str">
        <f t="shared" si="29"/>
        <v>TJ / година</v>
      </c>
      <c r="H244" s="524" t="str">
        <f t="shared" si="32"/>
        <v/>
      </c>
      <c r="I244" s="524" t="str">
        <f t="shared" si="30"/>
        <v/>
      </c>
      <c r="J244" s="524" t="str">
        <f t="shared" si="30"/>
        <v/>
      </c>
      <c r="K244" s="524" t="str">
        <f t="shared" si="30"/>
        <v/>
      </c>
      <c r="L244" s="524" t="str">
        <f t="shared" si="30"/>
        <v/>
      </c>
      <c r="M244" s="524" t="str">
        <f t="shared" si="30"/>
        <v/>
      </c>
      <c r="N244" s="524" t="str">
        <f t="shared" si="30"/>
        <v/>
      </c>
      <c r="O244" s="698"/>
      <c r="P244" s="1500" t="str">
        <f t="shared" si="31"/>
        <v>FuelInput_</v>
      </c>
      <c r="Q244" s="729"/>
      <c r="R244" s="729"/>
      <c r="S244" s="729"/>
      <c r="T244" s="729"/>
      <c r="U244" s="343"/>
      <c r="V244" s="343"/>
    </row>
    <row r="245" spans="1:22" s="364" customFormat="1" ht="12.75" customHeight="1" x14ac:dyDescent="0.25">
      <c r="A245" s="729"/>
      <c r="B245" s="302"/>
      <c r="C245" s="302"/>
      <c r="D245" s="302"/>
      <c r="E245" s="2995" t="str">
        <f t="shared" si="28"/>
        <v/>
      </c>
      <c r="F245" s="2703"/>
      <c r="G245" s="1087" t="str">
        <f t="shared" si="29"/>
        <v>TJ / година</v>
      </c>
      <c r="H245" s="524" t="str">
        <f t="shared" si="32"/>
        <v/>
      </c>
      <c r="I245" s="524" t="str">
        <f t="shared" si="30"/>
        <v/>
      </c>
      <c r="J245" s="524" t="str">
        <f t="shared" si="30"/>
        <v/>
      </c>
      <c r="K245" s="524" t="str">
        <f t="shared" si="30"/>
        <v/>
      </c>
      <c r="L245" s="524" t="str">
        <f t="shared" si="30"/>
        <v/>
      </c>
      <c r="M245" s="524" t="str">
        <f t="shared" si="30"/>
        <v/>
      </c>
      <c r="N245" s="524" t="str">
        <f t="shared" si="30"/>
        <v/>
      </c>
      <c r="O245" s="698"/>
      <c r="P245" s="1500" t="str">
        <f t="shared" si="31"/>
        <v>FuelInput_</v>
      </c>
      <c r="Q245" s="729"/>
      <c r="R245" s="729"/>
      <c r="S245" s="729"/>
      <c r="T245" s="729"/>
      <c r="U245" s="343"/>
      <c r="V245" s="343"/>
    </row>
    <row r="246" spans="1:22" s="364" customFormat="1" ht="12.75" customHeight="1" x14ac:dyDescent="0.25">
      <c r="A246" s="729"/>
      <c r="B246" s="302"/>
      <c r="C246" s="302"/>
      <c r="D246" s="302"/>
      <c r="E246" s="2995" t="str">
        <f t="shared" si="28"/>
        <v/>
      </c>
      <c r="F246" s="2703"/>
      <c r="G246" s="1087" t="str">
        <f t="shared" si="29"/>
        <v>TJ / година</v>
      </c>
      <c r="H246" s="524" t="str">
        <f t="shared" si="32"/>
        <v/>
      </c>
      <c r="I246" s="524" t="str">
        <f t="shared" si="30"/>
        <v/>
      </c>
      <c r="J246" s="524" t="str">
        <f t="shared" si="30"/>
        <v/>
      </c>
      <c r="K246" s="524" t="str">
        <f t="shared" si="30"/>
        <v/>
      </c>
      <c r="L246" s="524" t="str">
        <f t="shared" si="30"/>
        <v/>
      </c>
      <c r="M246" s="524" t="str">
        <f t="shared" si="30"/>
        <v/>
      </c>
      <c r="N246" s="524" t="str">
        <f t="shared" si="30"/>
        <v/>
      </c>
      <c r="O246" s="698"/>
      <c r="P246" s="1500" t="str">
        <f t="shared" si="31"/>
        <v>FuelInput_</v>
      </c>
      <c r="Q246" s="729"/>
      <c r="R246" s="729"/>
      <c r="S246" s="729"/>
      <c r="T246" s="729"/>
      <c r="U246" s="343"/>
      <c r="V246" s="343"/>
    </row>
    <row r="247" spans="1:22" s="364" customFormat="1" ht="12.75" customHeight="1" x14ac:dyDescent="0.25">
      <c r="A247" s="729"/>
      <c r="B247" s="302"/>
      <c r="C247" s="302"/>
      <c r="D247" s="302"/>
      <c r="E247" s="2995" t="str">
        <f t="shared" si="28"/>
        <v/>
      </c>
      <c r="F247" s="2703"/>
      <c r="G247" s="1087" t="str">
        <f t="shared" si="29"/>
        <v>TJ / година</v>
      </c>
      <c r="H247" s="524" t="str">
        <f t="shared" si="32"/>
        <v/>
      </c>
      <c r="I247" s="524" t="str">
        <f t="shared" si="30"/>
        <v/>
      </c>
      <c r="J247" s="524" t="str">
        <f t="shared" si="30"/>
        <v/>
      </c>
      <c r="K247" s="524" t="str">
        <f t="shared" si="30"/>
        <v/>
      </c>
      <c r="L247" s="524" t="str">
        <f t="shared" si="30"/>
        <v/>
      </c>
      <c r="M247" s="524" t="str">
        <f t="shared" si="30"/>
        <v/>
      </c>
      <c r="N247" s="524" t="str">
        <f t="shared" si="30"/>
        <v/>
      </c>
      <c r="O247" s="698"/>
      <c r="P247" s="1500" t="str">
        <f t="shared" si="31"/>
        <v>FuelInput_</v>
      </c>
      <c r="Q247" s="729"/>
      <c r="R247" s="729"/>
      <c r="S247" s="729"/>
      <c r="T247" s="729"/>
      <c r="U247" s="343"/>
      <c r="V247" s="343"/>
    </row>
    <row r="248" spans="1:22" s="364" customFormat="1" ht="12.75" customHeight="1" x14ac:dyDescent="0.25">
      <c r="A248" s="729"/>
      <c r="B248" s="302"/>
      <c r="C248" s="302"/>
      <c r="D248" s="302"/>
      <c r="E248" s="2997" t="str">
        <f t="shared" si="28"/>
        <v/>
      </c>
      <c r="F248" s="2705"/>
      <c r="G248" s="1088" t="str">
        <f t="shared" si="29"/>
        <v>TJ / година</v>
      </c>
      <c r="H248" s="484" t="str">
        <f t="shared" si="32"/>
        <v/>
      </c>
      <c r="I248" s="484" t="str">
        <f t="shared" si="30"/>
        <v/>
      </c>
      <c r="J248" s="484" t="str">
        <f t="shared" si="30"/>
        <v/>
      </c>
      <c r="K248" s="484" t="str">
        <f t="shared" si="30"/>
        <v/>
      </c>
      <c r="L248" s="484" t="str">
        <f t="shared" si="30"/>
        <v/>
      </c>
      <c r="M248" s="484" t="str">
        <f t="shared" si="30"/>
        <v/>
      </c>
      <c r="N248" s="484" t="str">
        <f t="shared" si="30"/>
        <v/>
      </c>
      <c r="O248" s="698"/>
      <c r="P248" s="1500" t="str">
        <f t="shared" si="31"/>
        <v>FuelInput_</v>
      </c>
      <c r="Q248" s="729"/>
      <c r="R248" s="729"/>
      <c r="S248" s="729"/>
      <c r="T248" s="729"/>
      <c r="U248" s="343"/>
      <c r="V248" s="343"/>
    </row>
    <row r="249" spans="1:22" s="364" customFormat="1" ht="12.75" customHeight="1" x14ac:dyDescent="0.25">
      <c r="A249" s="729"/>
      <c r="B249" s="302"/>
      <c r="C249" s="302"/>
      <c r="D249" s="302"/>
      <c r="E249" s="2700" t="str">
        <f t="shared" si="28"/>
        <v>Подинсталация с топлинен показател (с риск от ИВЕ | извън МКВЕГ)</v>
      </c>
      <c r="F249" s="2701"/>
      <c r="G249" s="1093" t="str">
        <f t="shared" si="29"/>
        <v>TJ / година</v>
      </c>
      <c r="H249" s="482" t="str">
        <f t="shared" si="32"/>
        <v/>
      </c>
      <c r="I249" s="482" t="str">
        <f t="shared" si="30"/>
        <v/>
      </c>
      <c r="J249" s="482" t="str">
        <f t="shared" si="30"/>
        <v/>
      </c>
      <c r="K249" s="482" t="str">
        <f t="shared" si="30"/>
        <v/>
      </c>
      <c r="L249" s="482" t="str">
        <f t="shared" si="30"/>
        <v/>
      </c>
      <c r="M249" s="482" t="str">
        <f t="shared" si="30"/>
        <v/>
      </c>
      <c r="N249" s="482" t="str">
        <f t="shared" si="30"/>
        <v/>
      </c>
      <c r="O249" s="698"/>
      <c r="P249" s="1500" t="str">
        <f t="shared" si="31"/>
        <v>FuelInput_Подинсталация с топлинен показател (с риск от ИВЕ | извън МКВЕГ)</v>
      </c>
      <c r="Q249" s="729"/>
      <c r="R249" s="729"/>
      <c r="S249" s="729"/>
      <c r="T249" s="729"/>
      <c r="U249" s="343"/>
      <c r="V249" s="343"/>
    </row>
    <row r="250" spans="1:22" s="364" customFormat="1" ht="12.75" customHeight="1" x14ac:dyDescent="0.25">
      <c r="A250" s="729"/>
      <c r="B250" s="302"/>
      <c r="C250" s="302"/>
      <c r="D250" s="302"/>
      <c r="E250" s="2702" t="str">
        <f t="shared" si="28"/>
        <v>Подинсталация с топлинен показател (без риск от ИВЕ | извън МКВЕГ)</v>
      </c>
      <c r="F250" s="2703"/>
      <c r="G250" s="1095" t="str">
        <f t="shared" si="29"/>
        <v>TJ / година</v>
      </c>
      <c r="H250" s="524" t="str">
        <f t="shared" si="32"/>
        <v/>
      </c>
      <c r="I250" s="524" t="str">
        <f t="shared" si="30"/>
        <v/>
      </c>
      <c r="J250" s="524" t="str">
        <f t="shared" si="30"/>
        <v/>
      </c>
      <c r="K250" s="524" t="str">
        <f t="shared" si="30"/>
        <v/>
      </c>
      <c r="L250" s="524" t="str">
        <f t="shared" si="30"/>
        <v/>
      </c>
      <c r="M250" s="524" t="str">
        <f t="shared" si="30"/>
        <v/>
      </c>
      <c r="N250" s="524" t="str">
        <f t="shared" si="30"/>
        <v/>
      </c>
      <c r="O250" s="698"/>
      <c r="P250" s="1500" t="str">
        <f t="shared" si="31"/>
        <v>FuelInput_Подинсталация с топлинен показател (без риск от ИВЕ | извън МКВЕГ)</v>
      </c>
      <c r="Q250" s="729"/>
      <c r="R250" s="729"/>
      <c r="S250" s="729"/>
      <c r="T250" s="729"/>
      <c r="U250" s="343"/>
      <c r="V250" s="343"/>
    </row>
    <row r="251" spans="1:22" s="364" customFormat="1" ht="12.75" customHeight="1" x14ac:dyDescent="0.25">
      <c r="A251" s="729"/>
      <c r="B251" s="302"/>
      <c r="C251" s="302"/>
      <c r="D251" s="302"/>
      <c r="E251" s="2702" t="str">
        <f t="shared" si="28"/>
        <v>Подинсталация с топлинен показател (с риск от ИВЕ | в рамките на МКВЕГ)</v>
      </c>
      <c r="F251" s="2703"/>
      <c r="G251" s="1095" t="str">
        <f t="shared" si="29"/>
        <v>TJ / година</v>
      </c>
      <c r="H251" s="524" t="str">
        <f t="shared" si="32"/>
        <v/>
      </c>
      <c r="I251" s="524" t="str">
        <f t="shared" si="30"/>
        <v/>
      </c>
      <c r="J251" s="524" t="str">
        <f t="shared" si="30"/>
        <v/>
      </c>
      <c r="K251" s="524" t="str">
        <f t="shared" si="30"/>
        <v/>
      </c>
      <c r="L251" s="524" t="str">
        <f t="shared" si="30"/>
        <v/>
      </c>
      <c r="M251" s="524" t="str">
        <f t="shared" si="30"/>
        <v/>
      </c>
      <c r="N251" s="524" t="str">
        <f t="shared" si="30"/>
        <v/>
      </c>
      <c r="O251" s="698"/>
      <c r="P251" s="1500" t="str">
        <f t="shared" si="31"/>
        <v>FuelInput_Подинсталация с топлинен показател (с риск от ИВЕ | в рамките на МКВЕГ)</v>
      </c>
      <c r="Q251" s="729"/>
      <c r="R251" s="729"/>
      <c r="S251" s="729"/>
      <c r="T251" s="729"/>
      <c r="U251" s="343"/>
      <c r="V251" s="343"/>
    </row>
    <row r="252" spans="1:22" s="364" customFormat="1" ht="12.75" customHeight="1" x14ac:dyDescent="0.25">
      <c r="A252" s="729"/>
      <c r="B252" s="302"/>
      <c r="C252" s="302"/>
      <c r="D252" s="302"/>
      <c r="E252" s="2702" t="str">
        <f t="shared" si="28"/>
        <v>Подинсталация на топлофикационна мрежа</v>
      </c>
      <c r="F252" s="2703"/>
      <c r="G252" s="1095" t="str">
        <f t="shared" si="29"/>
        <v>TJ / година</v>
      </c>
      <c r="H252" s="524" t="str">
        <f t="shared" si="32"/>
        <v/>
      </c>
      <c r="I252" s="524" t="str">
        <f t="shared" si="30"/>
        <v/>
      </c>
      <c r="J252" s="524" t="str">
        <f t="shared" si="30"/>
        <v/>
      </c>
      <c r="K252" s="524" t="str">
        <f t="shared" si="30"/>
        <v/>
      </c>
      <c r="L252" s="524" t="str">
        <f t="shared" si="30"/>
        <v/>
      </c>
      <c r="M252" s="524" t="str">
        <f t="shared" si="30"/>
        <v/>
      </c>
      <c r="N252" s="524" t="str">
        <f t="shared" si="30"/>
        <v/>
      </c>
      <c r="O252" s="698"/>
      <c r="P252" s="1500" t="str">
        <f t="shared" si="31"/>
        <v>FuelInput_Подинсталация на топлофикационна мрежа</v>
      </c>
      <c r="Q252" s="729"/>
      <c r="R252" s="729"/>
      <c r="S252" s="729"/>
      <c r="T252" s="729"/>
      <c r="U252" s="343"/>
      <c r="V252" s="343"/>
    </row>
    <row r="253" spans="1:22" s="364" customFormat="1" ht="12.75" customHeight="1" x14ac:dyDescent="0.25">
      <c r="A253" s="729"/>
      <c r="B253" s="302"/>
      <c r="C253" s="302"/>
      <c r="D253" s="302"/>
      <c r="E253" s="2702" t="str">
        <f t="shared" si="28"/>
        <v>Подинсталация с горивен показател (с риск от ИВЕ | извън МКВЕГ)</v>
      </c>
      <c r="F253" s="2703"/>
      <c r="G253" s="1095" t="str">
        <f t="shared" si="29"/>
        <v>TJ / година</v>
      </c>
      <c r="H253" s="524" t="str">
        <f t="shared" si="32"/>
        <v/>
      </c>
      <c r="I253" s="524" t="str">
        <f t="shared" si="30"/>
        <v/>
      </c>
      <c r="J253" s="524" t="str">
        <f t="shared" si="30"/>
        <v/>
      </c>
      <c r="K253" s="524" t="str">
        <f t="shared" si="30"/>
        <v/>
      </c>
      <c r="L253" s="524" t="str">
        <f t="shared" si="30"/>
        <v/>
      </c>
      <c r="M253" s="524" t="str">
        <f t="shared" si="30"/>
        <v/>
      </c>
      <c r="N253" s="524" t="str">
        <f t="shared" si="30"/>
        <v/>
      </c>
      <c r="O253" s="698"/>
      <c r="P253" s="1500" t="str">
        <f t="shared" si="31"/>
        <v>FuelInput_Подинсталация с горивен показател (с риск от ИВЕ | извън МКВЕГ)</v>
      </c>
      <c r="Q253" s="729"/>
      <c r="R253" s="729"/>
      <c r="S253" s="729"/>
      <c r="T253" s="729"/>
      <c r="U253" s="343"/>
      <c r="V253" s="343"/>
    </row>
    <row r="254" spans="1:22" s="364" customFormat="1" ht="12.75" customHeight="1" x14ac:dyDescent="0.25">
      <c r="A254" s="729"/>
      <c r="B254" s="302"/>
      <c r="C254" s="302"/>
      <c r="D254" s="302"/>
      <c r="E254" s="2702" t="str">
        <f t="shared" si="28"/>
        <v>Подинсталация с горивен показател (без риск от ИВЕ | извън МКВЕГ)</v>
      </c>
      <c r="F254" s="2703"/>
      <c r="G254" s="1095" t="str">
        <f t="shared" si="29"/>
        <v>TJ / година</v>
      </c>
      <c r="H254" s="524" t="str">
        <f t="shared" si="32"/>
        <v/>
      </c>
      <c r="I254" s="524" t="str">
        <f t="shared" si="30"/>
        <v/>
      </c>
      <c r="J254" s="524" t="str">
        <f t="shared" si="30"/>
        <v/>
      </c>
      <c r="K254" s="524" t="str">
        <f t="shared" si="30"/>
        <v/>
      </c>
      <c r="L254" s="524" t="str">
        <f t="shared" si="30"/>
        <v/>
      </c>
      <c r="M254" s="524" t="str">
        <f t="shared" si="30"/>
        <v/>
      </c>
      <c r="N254" s="524" t="str">
        <f t="shared" si="30"/>
        <v/>
      </c>
      <c r="O254" s="698"/>
      <c r="P254" s="1500" t="str">
        <f t="shared" si="31"/>
        <v>FuelInput_Подинсталация с горивен показател (без риск от ИВЕ | извън МКВЕГ)</v>
      </c>
      <c r="Q254" s="729"/>
      <c r="R254" s="729"/>
      <c r="S254" s="729"/>
      <c r="T254" s="729"/>
      <c r="U254" s="343"/>
      <c r="V254" s="343"/>
    </row>
    <row r="255" spans="1:22" s="364" customFormat="1" ht="12.75" customHeight="1" x14ac:dyDescent="0.25">
      <c r="A255" s="729"/>
      <c r="B255" s="302"/>
      <c r="C255" s="302"/>
      <c r="D255" s="302"/>
      <c r="E255" s="2704" t="str">
        <f t="shared" si="28"/>
        <v>Подинсталация с горивен показател (с риск от ИВЕ | в рамките на МКВЕГ)</v>
      </c>
      <c r="F255" s="2705"/>
      <c r="G255" s="1098" t="str">
        <f t="shared" si="29"/>
        <v>TJ / година</v>
      </c>
      <c r="H255" s="484" t="str">
        <f t="shared" si="32"/>
        <v/>
      </c>
      <c r="I255" s="484" t="str">
        <f t="shared" si="32"/>
        <v/>
      </c>
      <c r="J255" s="484" t="str">
        <f t="shared" si="32"/>
        <v/>
      </c>
      <c r="K255" s="484" t="str">
        <f t="shared" si="32"/>
        <v/>
      </c>
      <c r="L255" s="484" t="str">
        <f t="shared" si="32"/>
        <v/>
      </c>
      <c r="M255" s="484" t="str">
        <f t="shared" si="32"/>
        <v/>
      </c>
      <c r="N255" s="484" t="str">
        <f t="shared" si="32"/>
        <v/>
      </c>
      <c r="O255" s="698"/>
      <c r="P255" s="1500" t="str">
        <f t="shared" si="31"/>
        <v>FuelInput_Подинсталация с горивен показател (с риск от ИВЕ | в рамките на МКВЕГ)</v>
      </c>
      <c r="Q255" s="729"/>
      <c r="R255" s="729"/>
      <c r="S255" s="729"/>
      <c r="T255" s="729"/>
      <c r="U255" s="343"/>
      <c r="V255" s="343"/>
    </row>
    <row r="256" spans="1:22" s="364" customFormat="1" ht="12.75" customHeight="1" x14ac:dyDescent="0.25">
      <c r="A256" s="729"/>
      <c r="B256" s="302"/>
      <c r="C256" s="302"/>
      <c r="D256" s="302"/>
      <c r="E256" s="302"/>
      <c r="F256" s="302"/>
      <c r="G256" s="302"/>
      <c r="H256" s="302"/>
      <c r="I256" s="302"/>
      <c r="J256" s="302"/>
      <c r="K256" s="302"/>
      <c r="L256" s="302"/>
      <c r="M256" s="302"/>
      <c r="N256" s="302"/>
      <c r="O256" s="698"/>
      <c r="P256" s="729"/>
      <c r="Q256" s="729"/>
      <c r="R256" s="729"/>
      <c r="S256" s="729"/>
      <c r="T256" s="729"/>
      <c r="U256" s="343"/>
      <c r="V256" s="343"/>
    </row>
    <row r="257" spans="1:22" s="364" customFormat="1" ht="14.15" customHeight="1" x14ac:dyDescent="0.3">
      <c r="A257" s="729"/>
      <c r="B257" s="302"/>
      <c r="C257" s="357">
        <v>6</v>
      </c>
      <c r="D257" s="2682" t="str">
        <f>Translations!$B$937</f>
        <v>Изчисление на измеримата топлинна енергия (раздел E.II)</v>
      </c>
      <c r="E257" s="2682"/>
      <c r="F257" s="2682"/>
      <c r="G257" s="2682"/>
      <c r="H257" s="2682"/>
      <c r="I257" s="2682"/>
      <c r="J257" s="2682"/>
      <c r="K257" s="2682"/>
      <c r="L257" s="2682"/>
      <c r="M257" s="2682"/>
      <c r="N257" s="2682"/>
      <c r="O257" s="698"/>
      <c r="P257" s="729"/>
      <c r="Q257" s="729"/>
      <c r="R257" s="729"/>
      <c r="S257" s="729"/>
      <c r="T257" s="729"/>
      <c r="U257" s="343"/>
      <c r="V257" s="343"/>
    </row>
    <row r="258" spans="1:22" s="364" customFormat="1" ht="5.15" customHeight="1" x14ac:dyDescent="0.25">
      <c r="A258" s="729"/>
      <c r="B258" s="284"/>
      <c r="C258" s="284"/>
      <c r="D258" s="284"/>
      <c r="E258" s="284"/>
      <c r="F258" s="284"/>
      <c r="G258" s="284"/>
      <c r="H258" s="284"/>
      <c r="I258" s="284"/>
      <c r="J258" s="284"/>
      <c r="K258" s="284"/>
      <c r="L258" s="284"/>
      <c r="M258" s="336"/>
      <c r="N258" s="336"/>
      <c r="O258" s="698"/>
      <c r="P258" s="729"/>
      <c r="Q258" s="729"/>
      <c r="R258" s="729"/>
      <c r="S258" s="729"/>
      <c r="T258" s="729"/>
      <c r="U258" s="343"/>
      <c r="V258" s="343"/>
    </row>
    <row r="259" spans="1:22" ht="13" customHeight="1" x14ac:dyDescent="0.25">
      <c r="A259" s="343"/>
      <c r="B259" s="284"/>
      <c r="C259" s="300"/>
      <c r="D259" s="300" t="str">
        <f>E_EnergyFlows!D105</f>
        <v>(a)</v>
      </c>
      <c r="E259" s="2463" t="str">
        <f>E_EnergyFlows!E105</f>
        <v>Общо нетно количество измерима топлинна енергия, произведена в инсталацията:</v>
      </c>
      <c r="F259" s="2240"/>
      <c r="G259" s="2240"/>
      <c r="H259" s="2240"/>
      <c r="I259" s="2240"/>
      <c r="J259" s="2240"/>
      <c r="K259" s="2240"/>
      <c r="L259" s="2240"/>
      <c r="M259" s="2240"/>
      <c r="N259" s="2240"/>
      <c r="O259" s="698"/>
      <c r="P259" s="695"/>
      <c r="Q259" s="343"/>
      <c r="R259" s="343"/>
      <c r="S259" s="343"/>
      <c r="T259" s="729"/>
      <c r="U259" s="343"/>
      <c r="V259" s="343"/>
    </row>
    <row r="260" spans="1:22" ht="13" x14ac:dyDescent="0.25">
      <c r="A260" s="343"/>
      <c r="B260" s="698"/>
      <c r="C260" s="698"/>
      <c r="D260" s="698"/>
      <c r="E260" s="461"/>
      <c r="F260" s="742"/>
      <c r="G260" s="527" t="str">
        <f>E_EnergyFlows!G112</f>
        <v>Единица мярка</v>
      </c>
      <c r="H260" s="391">
        <f>E_EnergyFlows!H112</f>
        <v>2024</v>
      </c>
      <c r="I260" s="391">
        <f>E_EnergyFlows!I112</f>
        <v>2025</v>
      </c>
      <c r="J260" s="391">
        <f>E_EnergyFlows!J112</f>
        <v>2026</v>
      </c>
      <c r="K260" s="391">
        <f>E_EnergyFlows!K112</f>
        <v>2027</v>
      </c>
      <c r="L260" s="391">
        <f>E_EnergyFlows!L112</f>
        <v>2028</v>
      </c>
      <c r="M260" s="391">
        <f>E_EnergyFlows!M112</f>
        <v>2029</v>
      </c>
      <c r="N260" s="391">
        <f>E_EnergyFlows!N112</f>
        <v>2030</v>
      </c>
      <c r="O260" s="698"/>
      <c r="P260" s="343"/>
      <c r="Q260" s="343"/>
      <c r="R260" s="343"/>
      <c r="S260" s="343"/>
      <c r="T260" s="729"/>
      <c r="U260" s="343"/>
      <c r="V260" s="343"/>
    </row>
    <row r="261" spans="1:22" x14ac:dyDescent="0.25">
      <c r="A261" s="343"/>
      <c r="B261" s="698"/>
      <c r="C261" s="698"/>
      <c r="D261" s="698"/>
      <c r="E261" s="2741" t="str">
        <f>Translations!$B$1497</f>
        <v>Топлинна енергия от КПЕ</v>
      </c>
      <c r="F261" s="2729"/>
      <c r="G261" s="1085" t="str">
        <f>E_EnergyFlows!G113</f>
        <v>TJ / година</v>
      </c>
      <c r="H261" s="1654" t="str">
        <f>IF(ISBLANK(E_EnergyFlows!H113),"",E_EnergyFlows!H113)</f>
        <v/>
      </c>
      <c r="I261" s="1654" t="str">
        <f>IF(ISBLANK(E_EnergyFlows!I113),"",E_EnergyFlows!I113)</f>
        <v/>
      </c>
      <c r="J261" s="1654" t="str">
        <f>IF(ISBLANK(E_EnergyFlows!J113),"",E_EnergyFlows!J113)</f>
        <v/>
      </c>
      <c r="K261" s="1126" t="str">
        <f>IF(ISBLANK(E_EnergyFlows!K113),"",E_EnergyFlows!K113)</f>
        <v/>
      </c>
      <c r="L261" s="1126" t="str">
        <f>IF(ISBLANK(E_EnergyFlows!L113),"",E_EnergyFlows!L113)</f>
        <v/>
      </c>
      <c r="M261" s="1126" t="str">
        <f>IF(ISBLANK(E_EnergyFlows!M113),"",E_EnergyFlows!M113)</f>
        <v/>
      </c>
      <c r="N261" s="1126" t="str">
        <f>IF(ISBLANK(E_EnergyFlows!N113),"",E_EnergyFlows!N113)</f>
        <v/>
      </c>
      <c r="O261" s="698"/>
      <c r="P261" s="343"/>
      <c r="Q261" s="343"/>
      <c r="R261" s="343"/>
      <c r="S261" s="343"/>
      <c r="T261" s="729"/>
      <c r="U261" s="343"/>
      <c r="V261" s="343"/>
    </row>
    <row r="262" spans="1:22" x14ac:dyDescent="0.25">
      <c r="A262" s="343"/>
      <c r="B262" s="698"/>
      <c r="C262" s="698"/>
      <c r="D262" s="698"/>
      <c r="E262" s="2719" t="str">
        <f>Translations!$B$1498</f>
        <v>Топлинна енергия от котли и др.</v>
      </c>
      <c r="F262" s="2720"/>
      <c r="G262" s="1087" t="str">
        <f>E_EnergyFlows!G114</f>
        <v>TJ / година</v>
      </c>
      <c r="H262" s="1666" t="str">
        <f>IF(ISBLANK(E_EnergyFlows!H114),"",E_EnergyFlows!H114)</f>
        <v/>
      </c>
      <c r="I262" s="1666" t="str">
        <f>IF(ISBLANK(E_EnergyFlows!I114),"",E_EnergyFlows!I114)</f>
        <v/>
      </c>
      <c r="J262" s="1666" t="str">
        <f>IF(ISBLANK(E_EnergyFlows!J114),"",E_EnergyFlows!J114)</f>
        <v/>
      </c>
      <c r="K262" s="1127" t="str">
        <f>IF(ISBLANK(E_EnergyFlows!K114),"",E_EnergyFlows!K114)</f>
        <v/>
      </c>
      <c r="L262" s="1127" t="str">
        <f>IF(ISBLANK(E_EnergyFlows!L114),"",E_EnergyFlows!L114)</f>
        <v/>
      </c>
      <c r="M262" s="1127" t="str">
        <f>IF(ISBLANK(E_EnergyFlows!M114),"",E_EnergyFlows!M114)</f>
        <v/>
      </c>
      <c r="N262" s="1127" t="str">
        <f>IF(ISBLANK(E_EnergyFlows!N114),"",E_EnergyFlows!N114)</f>
        <v/>
      </c>
      <c r="O262" s="698"/>
      <c r="P262" s="343"/>
      <c r="Q262" s="343"/>
      <c r="R262" s="343"/>
      <c r="S262" s="343"/>
      <c r="T262" s="729"/>
      <c r="U262" s="343"/>
      <c r="V262" s="343"/>
    </row>
    <row r="263" spans="1:22" x14ac:dyDescent="0.25">
      <c r="A263" s="343"/>
      <c r="B263" s="698"/>
      <c r="C263" s="698"/>
      <c r="D263" s="698"/>
      <c r="E263" s="2719" t="str">
        <f>Translations!$B$357</f>
        <v>Топлинна енергия от ел. енергия</v>
      </c>
      <c r="F263" s="2720"/>
      <c r="G263" s="1087" t="str">
        <f>E_EnergyFlows!G115</f>
        <v>TJ / година</v>
      </c>
      <c r="H263" s="1666" t="str">
        <f>IF(ISBLANK(E_EnergyFlows!H115),"",E_EnergyFlows!H115)</f>
        <v/>
      </c>
      <c r="I263" s="1666" t="str">
        <f>IF(ISBLANK(E_EnergyFlows!I115),"",E_EnergyFlows!I115)</f>
        <v/>
      </c>
      <c r="J263" s="1666" t="str">
        <f>IF(ISBLANK(E_EnergyFlows!J115),"",E_EnergyFlows!J115)</f>
        <v/>
      </c>
      <c r="K263" s="1127" t="str">
        <f>IF(ISBLANK(E_EnergyFlows!K115),"",E_EnergyFlows!K115)</f>
        <v/>
      </c>
      <c r="L263" s="1127" t="str">
        <f>IF(ISBLANK(E_EnergyFlows!L115),"",E_EnergyFlows!L115)</f>
        <v/>
      </c>
      <c r="M263" s="1127" t="str">
        <f>IF(ISBLANK(E_EnergyFlows!M115),"",E_EnergyFlows!M115)</f>
        <v/>
      </c>
      <c r="N263" s="1127" t="str">
        <f>IF(ISBLANK(E_EnergyFlows!N115),"",E_EnergyFlows!N115)</f>
        <v/>
      </c>
      <c r="O263" s="698"/>
      <c r="P263" s="343"/>
      <c r="Q263" s="343"/>
      <c r="R263" s="343"/>
      <c r="S263" s="343"/>
      <c r="T263" s="729"/>
      <c r="U263" s="343"/>
      <c r="V263" s="343"/>
    </row>
    <row r="264" spans="1:22" x14ac:dyDescent="0.25">
      <c r="A264" s="343"/>
      <c r="B264" s="698"/>
      <c r="C264" s="698"/>
      <c r="D264" s="698"/>
      <c r="E264" s="2777" t="str">
        <f>Translations!$B$1499</f>
        <v>Топлинна енергия от други източници</v>
      </c>
      <c r="F264" s="2732"/>
      <c r="G264" s="1088" t="str">
        <f>E_EnergyFlows!G116</f>
        <v>TJ / година</v>
      </c>
      <c r="H264" s="1655" t="str">
        <f>IF(ISBLANK(E_EnergyFlows!H116),"",E_EnergyFlows!H116)</f>
        <v/>
      </c>
      <c r="I264" s="1655" t="str">
        <f>IF(ISBLANK(E_EnergyFlows!I116),"",E_EnergyFlows!I116)</f>
        <v/>
      </c>
      <c r="J264" s="1655" t="str">
        <f>IF(ISBLANK(E_EnergyFlows!J116),"",E_EnergyFlows!J116)</f>
        <v/>
      </c>
      <c r="K264" s="1128" t="str">
        <f>IF(ISBLANK(E_EnergyFlows!K116),"",E_EnergyFlows!K116)</f>
        <v/>
      </c>
      <c r="L264" s="1128" t="str">
        <f>IF(ISBLANK(E_EnergyFlows!L116),"",E_EnergyFlows!L116)</f>
        <v/>
      </c>
      <c r="M264" s="1128" t="str">
        <f>IF(ISBLANK(E_EnergyFlows!M116),"",E_EnergyFlows!M116)</f>
        <v/>
      </c>
      <c r="N264" s="1128" t="str">
        <f>IF(ISBLANK(E_EnergyFlows!N116),"",E_EnergyFlows!N116)</f>
        <v/>
      </c>
      <c r="O264" s="698"/>
      <c r="P264" s="343"/>
      <c r="Q264" s="343"/>
      <c r="R264" s="343"/>
      <c r="S264" s="343"/>
      <c r="T264" s="729"/>
      <c r="U264" s="343"/>
      <c r="V264" s="343"/>
    </row>
    <row r="265" spans="1:22" ht="12.65" customHeight="1" x14ac:dyDescent="0.25">
      <c r="A265" s="343"/>
      <c r="B265" s="698"/>
      <c r="C265" s="698"/>
      <c r="D265" s="698"/>
      <c r="E265" s="2667" t="str">
        <f>E_EnergyFlows!E117</f>
        <v>Междинен сбор</v>
      </c>
      <c r="F265" s="2258"/>
      <c r="G265" s="1016" t="str">
        <f>E_EnergyFlows!G117</f>
        <v>TJ / година</v>
      </c>
      <c r="H265" s="1653" t="str">
        <f>IF(ISBLANK(E_EnergyFlows!H117),"",E_EnergyFlows!H117)</f>
        <v/>
      </c>
      <c r="I265" s="1653" t="str">
        <f>IF(ISBLANK(E_EnergyFlows!I117),"",E_EnergyFlows!I117)</f>
        <v/>
      </c>
      <c r="J265" s="1653" t="str">
        <f>IF(ISBLANK(E_EnergyFlows!J117),"",E_EnergyFlows!J117)</f>
        <v/>
      </c>
      <c r="K265" s="1020" t="str">
        <f>IF(ISBLANK(E_EnergyFlows!K117),"",E_EnergyFlows!K117)</f>
        <v/>
      </c>
      <c r="L265" s="1020" t="str">
        <f>IF(ISBLANK(E_EnergyFlows!L117),"",E_EnergyFlows!L117)</f>
        <v/>
      </c>
      <c r="M265" s="1020" t="str">
        <f>IF(ISBLANK(E_EnergyFlows!M117),"",E_EnergyFlows!M117)</f>
        <v/>
      </c>
      <c r="N265" s="1020" t="str">
        <f>IF(ISBLANK(E_EnergyFlows!N117),"",E_EnergyFlows!N117)</f>
        <v/>
      </c>
      <c r="O265" s="698"/>
      <c r="P265" s="343"/>
      <c r="Q265" s="343"/>
      <c r="R265" s="343"/>
      <c r="S265" s="343"/>
      <c r="T265" s="729"/>
      <c r="U265" s="343"/>
      <c r="V265" s="343"/>
    </row>
    <row r="266" spans="1:22" ht="5.15" customHeight="1" x14ac:dyDescent="0.25">
      <c r="A266" s="343"/>
      <c r="B266" s="284"/>
      <c r="C266" s="284"/>
      <c r="D266" s="284"/>
      <c r="E266" s="284"/>
      <c r="F266" s="284"/>
      <c r="G266" s="284"/>
      <c r="H266" s="284"/>
      <c r="I266" s="284"/>
      <c r="J266" s="284"/>
      <c r="K266" s="284"/>
      <c r="L266" s="284"/>
      <c r="M266" s="284"/>
      <c r="N266" s="284"/>
      <c r="O266" s="698"/>
      <c r="P266" s="695"/>
      <c r="Q266" s="343"/>
      <c r="R266" s="343"/>
      <c r="S266" s="343"/>
      <c r="T266" s="729"/>
      <c r="U266" s="343"/>
      <c r="V266" s="343"/>
    </row>
    <row r="267" spans="1:22" ht="13" customHeight="1" x14ac:dyDescent="0.25">
      <c r="A267" s="343"/>
      <c r="B267" s="284"/>
      <c r="C267" s="300"/>
      <c r="D267" s="300" t="str">
        <f>E_EnergyFlows!D119</f>
        <v>(b)</v>
      </c>
      <c r="E267" s="2463" t="str">
        <f>E_EnergyFlows!E119</f>
        <v>Допълнителна информация за справка: топлинна енергия, подадена от подинсталации с горивен показател</v>
      </c>
      <c r="F267" s="2240"/>
      <c r="G267" s="2240"/>
      <c r="H267" s="2240"/>
      <c r="I267" s="2240"/>
      <c r="J267" s="2240"/>
      <c r="K267" s="2240"/>
      <c r="L267" s="2240"/>
      <c r="M267" s="2240"/>
      <c r="N267" s="2240"/>
      <c r="O267" s="698"/>
      <c r="P267" s="695"/>
      <c r="Q267" s="343"/>
      <c r="R267" s="343"/>
      <c r="S267" s="343"/>
      <c r="T267" s="729"/>
      <c r="U267" s="343"/>
      <c r="V267" s="343"/>
    </row>
    <row r="268" spans="1:22" ht="13" customHeight="1" x14ac:dyDescent="0.25">
      <c r="A268" s="343"/>
      <c r="B268" s="698"/>
      <c r="C268" s="698"/>
      <c r="D268" s="698"/>
      <c r="E268" s="2671"/>
      <c r="F268" s="2672"/>
      <c r="G268" s="527" t="str">
        <f>E_EnergyFlows!G121</f>
        <v>Единица мярка</v>
      </c>
      <c r="H268" s="391">
        <f>E_EnergyFlows!H121</f>
        <v>2024</v>
      </c>
      <c r="I268" s="391">
        <f>E_EnergyFlows!I121</f>
        <v>2025</v>
      </c>
      <c r="J268" s="391">
        <f>E_EnergyFlows!J121</f>
        <v>2026</v>
      </c>
      <c r="K268" s="391">
        <f>E_EnergyFlows!K121</f>
        <v>2027</v>
      </c>
      <c r="L268" s="391">
        <f>E_EnergyFlows!L121</f>
        <v>2028</v>
      </c>
      <c r="M268" s="391">
        <f>E_EnergyFlows!M121</f>
        <v>2029</v>
      </c>
      <c r="N268" s="391">
        <f>E_EnergyFlows!N121</f>
        <v>2030</v>
      </c>
      <c r="O268" s="698"/>
      <c r="P268" s="343"/>
      <c r="Q268" s="343"/>
      <c r="R268" s="343"/>
      <c r="S268" s="343"/>
      <c r="T268" s="729"/>
      <c r="U268" s="343"/>
      <c r="V268" s="343"/>
    </row>
    <row r="269" spans="1:22" ht="12.75" customHeight="1" x14ac:dyDescent="0.25">
      <c r="A269" s="343"/>
      <c r="B269" s="698"/>
      <c r="C269" s="1084"/>
      <c r="D269" s="1084"/>
      <c r="E269" s="2779" t="str">
        <f>Translations!$B$1500</f>
        <v>Допълнителна информация за справка: топлинна енергия, подадена от подинсталации с горивен показател</v>
      </c>
      <c r="F269" s="2780"/>
      <c r="G269" s="1038" t="str">
        <f>E_EnergyFlows!G122</f>
        <v>TJ / година</v>
      </c>
      <c r="H269" s="1653" t="str">
        <f>E_EnergyFlows!H122</f>
        <v/>
      </c>
      <c r="I269" s="1653" t="str">
        <f>E_EnergyFlows!I122</f>
        <v/>
      </c>
      <c r="J269" s="1653" t="str">
        <f>E_EnergyFlows!J122</f>
        <v/>
      </c>
      <c r="K269" s="1020" t="str">
        <f>E_EnergyFlows!K122</f>
        <v/>
      </c>
      <c r="L269" s="1020" t="str">
        <f>E_EnergyFlows!L122</f>
        <v/>
      </c>
      <c r="M269" s="1020" t="str">
        <f>E_EnergyFlows!M122</f>
        <v/>
      </c>
      <c r="N269" s="1020" t="str">
        <f>E_EnergyFlows!N122</f>
        <v/>
      </c>
      <c r="O269" s="698"/>
      <c r="P269" s="343"/>
      <c r="Q269" s="343"/>
      <c r="R269" s="343"/>
      <c r="S269" s="343"/>
      <c r="T269" s="729"/>
      <c r="U269" s="343"/>
      <c r="V269" s="343"/>
    </row>
    <row r="270" spans="1:22" ht="5.15" customHeight="1" x14ac:dyDescent="0.25">
      <c r="A270" s="343"/>
      <c r="B270" s="698"/>
      <c r="C270" s="1084"/>
      <c r="D270" s="1084"/>
      <c r="E270" s="1084"/>
      <c r="F270" s="1084"/>
      <c r="G270" s="1084"/>
      <c r="H270" s="1084"/>
      <c r="I270" s="1084"/>
      <c r="J270" s="1084"/>
      <c r="K270" s="1084"/>
      <c r="L270" s="1084"/>
      <c r="M270" s="1084"/>
      <c r="N270" s="1084"/>
      <c r="O270" s="698"/>
      <c r="P270" s="343"/>
      <c r="Q270" s="343"/>
      <c r="R270" s="343"/>
      <c r="S270" s="343"/>
      <c r="T270" s="729"/>
      <c r="U270" s="343"/>
      <c r="V270" s="343"/>
    </row>
    <row r="271" spans="1:22" ht="13" customHeight="1" x14ac:dyDescent="0.25">
      <c r="A271" s="343"/>
      <c r="B271" s="284"/>
      <c r="C271" s="300"/>
      <c r="D271" s="300" t="str">
        <f>E_EnergyFlows!D124</f>
        <v>(c)</v>
      </c>
      <c r="E271" s="2463" t="str">
        <f>E_EnergyFlows!E124</f>
        <v>Измерима топлинна енергия, внесена от инсталации, обхванати от СТЕ на ЕС:</v>
      </c>
      <c r="F271" s="2240"/>
      <c r="G271" s="2240"/>
      <c r="H271" s="2240"/>
      <c r="I271" s="2240"/>
      <c r="J271" s="2240"/>
      <c r="K271" s="2240"/>
      <c r="L271" s="2240"/>
      <c r="M271" s="2240"/>
      <c r="N271" s="2240"/>
      <c r="O271" s="698"/>
      <c r="P271" s="695"/>
      <c r="Q271" s="343"/>
      <c r="R271" s="343"/>
      <c r="S271" s="343"/>
      <c r="T271" s="729"/>
      <c r="U271" s="343"/>
      <c r="V271" s="343"/>
    </row>
    <row r="272" spans="1:22" ht="13" customHeight="1" x14ac:dyDescent="0.25">
      <c r="A272" s="343"/>
      <c r="B272" s="698"/>
      <c r="C272" s="698"/>
      <c r="D272" s="698"/>
      <c r="E272" s="2671" t="str">
        <f>E_EnergyFlows!E127</f>
        <v>Наименование на инсталацията</v>
      </c>
      <c r="F272" s="2672"/>
      <c r="G272" s="527" t="str">
        <f>E_EnergyFlows!G127</f>
        <v>Единица мярка</v>
      </c>
      <c r="H272" s="391">
        <f>E_EnergyFlows!H127</f>
        <v>2024</v>
      </c>
      <c r="I272" s="391">
        <f>E_EnergyFlows!I127</f>
        <v>2025</v>
      </c>
      <c r="J272" s="391">
        <f>E_EnergyFlows!J127</f>
        <v>2026</v>
      </c>
      <c r="K272" s="391">
        <f>E_EnergyFlows!K127</f>
        <v>2027</v>
      </c>
      <c r="L272" s="391">
        <f>E_EnergyFlows!L127</f>
        <v>2028</v>
      </c>
      <c r="M272" s="391">
        <f>E_EnergyFlows!M127</f>
        <v>2029</v>
      </c>
      <c r="N272" s="391">
        <f>E_EnergyFlows!N127</f>
        <v>2030</v>
      </c>
      <c r="O272" s="698"/>
      <c r="P272" s="343"/>
      <c r="Q272" s="343"/>
      <c r="R272" s="343"/>
      <c r="S272" s="343"/>
      <c r="T272" s="729"/>
      <c r="U272" s="343"/>
      <c r="V272" s="343"/>
    </row>
    <row r="273" spans="1:22" x14ac:dyDescent="0.25">
      <c r="A273" s="343"/>
      <c r="B273" s="698"/>
      <c r="C273" s="1084"/>
      <c r="D273" s="1084"/>
      <c r="E273" s="3045" t="str">
        <f>IF(ISBLANK(E_EnergyFlows!E128),"",E_EnergyFlows!E128)</f>
        <v/>
      </c>
      <c r="F273" s="2701"/>
      <c r="G273" s="981" t="str">
        <f>E_EnergyFlows!G128</f>
        <v>TJ / година</v>
      </c>
      <c r="H273" s="1654" t="str">
        <f>IF(ISBLANK(E_EnergyFlows!H128),"",E_EnergyFlows!H128)</f>
        <v/>
      </c>
      <c r="I273" s="1654" t="str">
        <f>IF(ISBLANK(E_EnergyFlows!I128),"",E_EnergyFlows!I128)</f>
        <v/>
      </c>
      <c r="J273" s="1654" t="str">
        <f>IF(ISBLANK(E_EnergyFlows!J128),"",E_EnergyFlows!J128)</f>
        <v/>
      </c>
      <c r="K273" s="1126" t="str">
        <f>IF(ISBLANK(E_EnergyFlows!K128),"",E_EnergyFlows!K128)</f>
        <v/>
      </c>
      <c r="L273" s="1126" t="str">
        <f>IF(ISBLANK(E_EnergyFlows!L128),"",E_EnergyFlows!L128)</f>
        <v/>
      </c>
      <c r="M273" s="1126" t="str">
        <f>IF(ISBLANK(E_EnergyFlows!M128),"",E_EnergyFlows!M128)</f>
        <v/>
      </c>
      <c r="N273" s="1126" t="str">
        <f>IF(ISBLANK(E_EnergyFlows!N128),"",E_EnergyFlows!N128)</f>
        <v/>
      </c>
      <c r="O273" s="698"/>
      <c r="P273" s="343"/>
      <c r="Q273" s="343"/>
      <c r="R273" s="343"/>
      <c r="S273" s="343"/>
      <c r="T273" s="729"/>
      <c r="U273" s="343"/>
      <c r="V273" s="343"/>
    </row>
    <row r="274" spans="1:22" x14ac:dyDescent="0.25">
      <c r="A274" s="343"/>
      <c r="B274" s="698"/>
      <c r="C274" s="1084"/>
      <c r="D274" s="1084"/>
      <c r="E274" s="2995" t="str">
        <f>IF(ISBLANK(E_EnergyFlows!E129),"",E_EnergyFlows!E129)</f>
        <v/>
      </c>
      <c r="F274" s="2703"/>
      <c r="G274" s="990" t="str">
        <f>E_EnergyFlows!G129</f>
        <v>TJ / година</v>
      </c>
      <c r="H274" s="1666" t="str">
        <f>IF(ISBLANK(E_EnergyFlows!H129),"",E_EnergyFlows!H129)</f>
        <v/>
      </c>
      <c r="I274" s="1666" t="str">
        <f>IF(ISBLANK(E_EnergyFlows!I129),"",E_EnergyFlows!I129)</f>
        <v/>
      </c>
      <c r="J274" s="1666" t="str">
        <f>IF(ISBLANK(E_EnergyFlows!J129),"",E_EnergyFlows!J129)</f>
        <v/>
      </c>
      <c r="K274" s="1127" t="str">
        <f>IF(ISBLANK(E_EnergyFlows!K129),"",E_EnergyFlows!K129)</f>
        <v/>
      </c>
      <c r="L274" s="1127" t="str">
        <f>IF(ISBLANK(E_EnergyFlows!L129),"",E_EnergyFlows!L129)</f>
        <v/>
      </c>
      <c r="M274" s="1127" t="str">
        <f>IF(ISBLANK(E_EnergyFlows!M129),"",E_EnergyFlows!M129)</f>
        <v/>
      </c>
      <c r="N274" s="1127" t="str">
        <f>IF(ISBLANK(E_EnergyFlows!N129),"",E_EnergyFlows!N129)</f>
        <v/>
      </c>
      <c r="O274" s="698"/>
      <c r="P274" s="343"/>
      <c r="Q274" s="343"/>
      <c r="R274" s="343"/>
      <c r="S274" s="343"/>
      <c r="T274" s="729"/>
      <c r="U274" s="343"/>
      <c r="V274" s="343"/>
    </row>
    <row r="275" spans="1:22" x14ac:dyDescent="0.25">
      <c r="A275" s="343"/>
      <c r="B275" s="698"/>
      <c r="C275" s="1084"/>
      <c r="D275" s="1084"/>
      <c r="E275" s="2997" t="str">
        <f>IF(ISBLANK(E_EnergyFlows!E130),"",E_EnergyFlows!E130)</f>
        <v/>
      </c>
      <c r="F275" s="2705"/>
      <c r="G275" s="994" t="str">
        <f>E_EnergyFlows!G130</f>
        <v>TJ / година</v>
      </c>
      <c r="H275" s="1655" t="str">
        <f>IF(ISBLANK(E_EnergyFlows!H130),"",E_EnergyFlows!H130)</f>
        <v/>
      </c>
      <c r="I275" s="1655" t="str">
        <f>IF(ISBLANK(E_EnergyFlows!I130),"",E_EnergyFlows!I130)</f>
        <v/>
      </c>
      <c r="J275" s="1655" t="str">
        <f>IF(ISBLANK(E_EnergyFlows!J130),"",E_EnergyFlows!J130)</f>
        <v/>
      </c>
      <c r="K275" s="1128" t="str">
        <f>IF(ISBLANK(E_EnergyFlows!K130),"",E_EnergyFlows!K130)</f>
        <v/>
      </c>
      <c r="L275" s="1128" t="str">
        <f>IF(ISBLANK(E_EnergyFlows!L130),"",E_EnergyFlows!L130)</f>
        <v/>
      </c>
      <c r="M275" s="1128" t="str">
        <f>IF(ISBLANK(E_EnergyFlows!M130),"",E_EnergyFlows!M130)</f>
        <v/>
      </c>
      <c r="N275" s="1128" t="str">
        <f>IF(ISBLANK(E_EnergyFlows!N130),"",E_EnergyFlows!N130)</f>
        <v/>
      </c>
      <c r="O275" s="698"/>
      <c r="P275" s="343"/>
      <c r="Q275" s="343"/>
      <c r="R275" s="343"/>
      <c r="S275" s="343"/>
      <c r="T275" s="729"/>
      <c r="U275" s="343"/>
      <c r="V275" s="343"/>
    </row>
    <row r="276" spans="1:22" x14ac:dyDescent="0.25">
      <c r="A276" s="343"/>
      <c r="B276" s="698"/>
      <c r="C276" s="1084"/>
      <c r="D276" s="1084"/>
      <c r="E276" s="2667" t="str">
        <f>E_EnergyFlows!E131</f>
        <v>Междинен сбор</v>
      </c>
      <c r="F276" s="2258"/>
      <c r="G276" s="1038" t="str">
        <f>E_EnergyFlows!G131</f>
        <v>TJ / година</v>
      </c>
      <c r="H276" s="1653" t="str">
        <f>E_EnergyFlows!H131</f>
        <v/>
      </c>
      <c r="I276" s="1653" t="str">
        <f>E_EnergyFlows!I131</f>
        <v/>
      </c>
      <c r="J276" s="1653" t="str">
        <f>E_EnergyFlows!J131</f>
        <v/>
      </c>
      <c r="K276" s="1024" t="str">
        <f>E_EnergyFlows!K131</f>
        <v/>
      </c>
      <c r="L276" s="1024" t="str">
        <f>E_EnergyFlows!L131</f>
        <v/>
      </c>
      <c r="M276" s="1024" t="str">
        <f>E_EnergyFlows!M131</f>
        <v/>
      </c>
      <c r="N276" s="1024" t="str">
        <f>E_EnergyFlows!N131</f>
        <v/>
      </c>
      <c r="O276" s="698"/>
      <c r="P276" s="343"/>
      <c r="Q276" s="343"/>
      <c r="R276" s="343"/>
      <c r="S276" s="343"/>
      <c r="T276" s="729"/>
      <c r="U276" s="343"/>
      <c r="V276" s="343"/>
    </row>
    <row r="277" spans="1:22" ht="5.15" customHeight="1" x14ac:dyDescent="0.25">
      <c r="A277" s="343"/>
      <c r="B277" s="284"/>
      <c r="C277" s="284"/>
      <c r="D277" s="284"/>
      <c r="E277" s="284"/>
      <c r="F277" s="284"/>
      <c r="G277" s="284"/>
      <c r="H277" s="284"/>
      <c r="I277" s="284"/>
      <c r="J277" s="284"/>
      <c r="K277" s="284"/>
      <c r="L277" s="284"/>
      <c r="M277" s="284"/>
      <c r="N277" s="284"/>
      <c r="O277" s="698"/>
      <c r="P277" s="695"/>
      <c r="Q277" s="343"/>
      <c r="R277" s="343"/>
      <c r="S277" s="343"/>
      <c r="T277" s="729"/>
      <c r="U277" s="343"/>
      <c r="V277" s="343"/>
    </row>
    <row r="278" spans="1:22" ht="13" customHeight="1" x14ac:dyDescent="0.25">
      <c r="A278" s="343"/>
      <c r="B278" s="284"/>
      <c r="C278" s="300"/>
      <c r="D278" s="300" t="str">
        <f>E_EnergyFlows!D133</f>
        <v>(d)</v>
      </c>
      <c r="E278" s="2463" t="str">
        <f>E_EnergyFlows!E133</f>
        <v>Измерима топлинна енергия, внесена от инсталации и обекти, необхванати от СТЕ на ЕС (не отговаря на условията за топлинен показател):</v>
      </c>
      <c r="F278" s="2240"/>
      <c r="G278" s="2240"/>
      <c r="H278" s="2240"/>
      <c r="I278" s="2240"/>
      <c r="J278" s="2240"/>
      <c r="K278" s="2240"/>
      <c r="L278" s="2240"/>
      <c r="M278" s="2240"/>
      <c r="N278" s="2240"/>
      <c r="O278" s="698"/>
      <c r="P278" s="695"/>
      <c r="Q278" s="343"/>
      <c r="R278" s="343"/>
      <c r="S278" s="343"/>
      <c r="T278" s="729"/>
      <c r="U278" s="343"/>
      <c r="V278" s="343"/>
    </row>
    <row r="279" spans="1:22" ht="13" customHeight="1" x14ac:dyDescent="0.25">
      <c r="A279" s="343"/>
      <c r="B279" s="698"/>
      <c r="C279" s="698"/>
      <c r="D279" s="698"/>
      <c r="E279" s="2671" t="str">
        <f>E_EnergyFlows!E137</f>
        <v>Наименование на инсталацията или партньора</v>
      </c>
      <c r="F279" s="2672"/>
      <c r="G279" s="527" t="str">
        <f>E_EnergyFlows!G137</f>
        <v>Единица мярка</v>
      </c>
      <c r="H279" s="391">
        <f>E_EnergyFlows!H137</f>
        <v>2024</v>
      </c>
      <c r="I279" s="391">
        <f>E_EnergyFlows!I137</f>
        <v>2025</v>
      </c>
      <c r="J279" s="391">
        <f>E_EnergyFlows!J137</f>
        <v>2026</v>
      </c>
      <c r="K279" s="391">
        <f>E_EnergyFlows!K137</f>
        <v>2027</v>
      </c>
      <c r="L279" s="391">
        <f>E_EnergyFlows!L137</f>
        <v>2028</v>
      </c>
      <c r="M279" s="391">
        <f>E_EnergyFlows!M137</f>
        <v>2029</v>
      </c>
      <c r="N279" s="391">
        <f>E_EnergyFlows!N137</f>
        <v>2030</v>
      </c>
      <c r="O279" s="698"/>
      <c r="P279" s="343"/>
      <c r="Q279" s="343"/>
      <c r="R279" s="343"/>
      <c r="S279" s="343"/>
      <c r="T279" s="729"/>
      <c r="U279" s="343"/>
      <c r="V279" s="343"/>
    </row>
    <row r="280" spans="1:22" x14ac:dyDescent="0.25">
      <c r="A280" s="343"/>
      <c r="B280" s="698"/>
      <c r="C280" s="1084"/>
      <c r="D280" s="1084"/>
      <c r="E280" s="3045" t="str">
        <f>IF(ISBLANK(E_EnergyFlows!E138),"",E_EnergyFlows!E138)</f>
        <v/>
      </c>
      <c r="F280" s="2701"/>
      <c r="G280" s="981" t="str">
        <f>E_EnergyFlows!G138</f>
        <v>TJ / година</v>
      </c>
      <c r="H280" s="1654" t="str">
        <f>IF(ISBLANK(E_EnergyFlows!H138),"",E_EnergyFlows!H138)</f>
        <v/>
      </c>
      <c r="I280" s="1654" t="str">
        <f>IF(ISBLANK(E_EnergyFlows!I138),"",E_EnergyFlows!I138)</f>
        <v/>
      </c>
      <c r="J280" s="1654" t="str">
        <f>IF(ISBLANK(E_EnergyFlows!J138),"",E_EnergyFlows!J138)</f>
        <v/>
      </c>
      <c r="K280" s="1126" t="str">
        <f>IF(ISBLANK(E_EnergyFlows!K138),"",E_EnergyFlows!K138)</f>
        <v/>
      </c>
      <c r="L280" s="1126" t="str">
        <f>IF(ISBLANK(E_EnergyFlows!L138),"",E_EnergyFlows!L138)</f>
        <v/>
      </c>
      <c r="M280" s="1126" t="str">
        <f>IF(ISBLANK(E_EnergyFlows!M138),"",E_EnergyFlows!M138)</f>
        <v/>
      </c>
      <c r="N280" s="1667" t="str">
        <f>IF(ISBLANK(E_EnergyFlows!N138),"",E_EnergyFlows!N138)</f>
        <v/>
      </c>
      <c r="O280" s="698"/>
      <c r="P280" s="343"/>
      <c r="Q280" s="343"/>
      <c r="R280" s="343"/>
      <c r="S280" s="343"/>
      <c r="T280" s="729"/>
      <c r="U280" s="343"/>
      <c r="V280" s="343"/>
    </row>
    <row r="281" spans="1:22" x14ac:dyDescent="0.25">
      <c r="A281" s="343"/>
      <c r="B281" s="698"/>
      <c r="C281" s="1084"/>
      <c r="D281" s="1084"/>
      <c r="E281" s="2995" t="str">
        <f>IF(ISBLANK(E_EnergyFlows!E139),"",E_EnergyFlows!E139)</f>
        <v/>
      </c>
      <c r="F281" s="2703"/>
      <c r="G281" s="990" t="str">
        <f>E_EnergyFlows!G139</f>
        <v>TJ / година</v>
      </c>
      <c r="H281" s="1666" t="str">
        <f>IF(ISBLANK(E_EnergyFlows!H139),"",E_EnergyFlows!H139)</f>
        <v/>
      </c>
      <c r="I281" s="1666" t="str">
        <f>IF(ISBLANK(E_EnergyFlows!I139),"",E_EnergyFlows!I139)</f>
        <v/>
      </c>
      <c r="J281" s="1666" t="str">
        <f>IF(ISBLANK(E_EnergyFlows!J139),"",E_EnergyFlows!J139)</f>
        <v/>
      </c>
      <c r="K281" s="1127" t="str">
        <f>IF(ISBLANK(E_EnergyFlows!K139),"",E_EnergyFlows!K139)</f>
        <v/>
      </c>
      <c r="L281" s="1127" t="str">
        <f>IF(ISBLANK(E_EnergyFlows!L139),"",E_EnergyFlows!L139)</f>
        <v/>
      </c>
      <c r="M281" s="1127" t="str">
        <f>IF(ISBLANK(E_EnergyFlows!M139),"",E_EnergyFlows!M139)</f>
        <v/>
      </c>
      <c r="N281" s="1668" t="str">
        <f>IF(ISBLANK(E_EnergyFlows!N139),"",E_EnergyFlows!N139)</f>
        <v/>
      </c>
      <c r="O281" s="698"/>
      <c r="P281" s="343"/>
      <c r="Q281" s="343"/>
      <c r="R281" s="343"/>
      <c r="S281" s="343"/>
      <c r="T281" s="729"/>
      <c r="U281" s="343"/>
      <c r="V281" s="343"/>
    </row>
    <row r="282" spans="1:22" x14ac:dyDescent="0.25">
      <c r="A282" s="343"/>
      <c r="B282" s="698"/>
      <c r="C282" s="1084"/>
      <c r="D282" s="1084"/>
      <c r="E282" s="2997" t="str">
        <f>IF(ISBLANK(E_EnergyFlows!E140),"",E_EnergyFlows!E140)</f>
        <v/>
      </c>
      <c r="F282" s="2705"/>
      <c r="G282" s="994" t="str">
        <f>E_EnergyFlows!G140</f>
        <v>TJ / година</v>
      </c>
      <c r="H282" s="1655" t="str">
        <f>IF(ISBLANK(E_EnergyFlows!H140),"",E_EnergyFlows!H140)</f>
        <v/>
      </c>
      <c r="I282" s="1655" t="str">
        <f>IF(ISBLANK(E_EnergyFlows!I140),"",E_EnergyFlows!I140)</f>
        <v/>
      </c>
      <c r="J282" s="1655" t="str">
        <f>IF(ISBLANK(E_EnergyFlows!J140),"",E_EnergyFlows!J140)</f>
        <v/>
      </c>
      <c r="K282" s="1128" t="str">
        <f>IF(ISBLANK(E_EnergyFlows!K140),"",E_EnergyFlows!K140)</f>
        <v/>
      </c>
      <c r="L282" s="1128" t="str">
        <f>IF(ISBLANK(E_EnergyFlows!L140),"",E_EnergyFlows!L140)</f>
        <v/>
      </c>
      <c r="M282" s="1128" t="str">
        <f>IF(ISBLANK(E_EnergyFlows!M140),"",E_EnergyFlows!M140)</f>
        <v/>
      </c>
      <c r="N282" s="1669" t="str">
        <f>IF(ISBLANK(E_EnergyFlows!N140),"",E_EnergyFlows!N140)</f>
        <v/>
      </c>
      <c r="O282" s="698"/>
      <c r="P282" s="343"/>
      <c r="Q282" s="343"/>
      <c r="R282" s="343"/>
      <c r="S282" s="343"/>
      <c r="T282" s="729"/>
      <c r="U282" s="343"/>
      <c r="V282" s="343"/>
    </row>
    <row r="283" spans="1:22" x14ac:dyDescent="0.25">
      <c r="A283" s="343"/>
      <c r="B283" s="698"/>
      <c r="C283" s="1084"/>
      <c r="D283" s="1084"/>
      <c r="E283" s="2667" t="str">
        <f>E_EnergyFlows!E141</f>
        <v>Междинен сбор</v>
      </c>
      <c r="F283" s="2258"/>
      <c r="G283" s="1038" t="str">
        <f>E_EnergyFlows!G141</f>
        <v>TJ / година</v>
      </c>
      <c r="H283" s="1653" t="str">
        <f>E_EnergyFlows!H141</f>
        <v/>
      </c>
      <c r="I283" s="1653" t="str">
        <f>E_EnergyFlows!I141</f>
        <v/>
      </c>
      <c r="J283" s="1653" t="str">
        <f>E_EnergyFlows!J141</f>
        <v/>
      </c>
      <c r="K283" s="1024" t="str">
        <f>E_EnergyFlows!K141</f>
        <v/>
      </c>
      <c r="L283" s="1024" t="str">
        <f>E_EnergyFlows!L141</f>
        <v/>
      </c>
      <c r="M283" s="1024" t="str">
        <f>E_EnergyFlows!M141</f>
        <v/>
      </c>
      <c r="N283" s="1091" t="str">
        <f>E_EnergyFlows!N141</f>
        <v/>
      </c>
      <c r="O283" s="698"/>
      <c r="P283" s="343"/>
      <c r="Q283" s="343"/>
      <c r="R283" s="343"/>
      <c r="S283" s="343"/>
      <c r="T283" s="729"/>
      <c r="U283" s="343"/>
      <c r="V283" s="343"/>
    </row>
    <row r="284" spans="1:22" ht="5.15" customHeight="1" x14ac:dyDescent="0.25">
      <c r="A284" s="343"/>
      <c r="B284" s="284"/>
      <c r="C284" s="284"/>
      <c r="D284" s="284"/>
      <c r="E284" s="284"/>
      <c r="F284" s="284"/>
      <c r="G284" s="284"/>
      <c r="H284" s="284"/>
      <c r="I284" s="284"/>
      <c r="J284" s="284"/>
      <c r="K284" s="284"/>
      <c r="L284" s="284"/>
      <c r="M284" s="284"/>
      <c r="N284" s="284"/>
      <c r="O284" s="698"/>
      <c r="P284" s="695"/>
      <c r="Q284" s="343"/>
      <c r="R284" s="343"/>
      <c r="S284" s="343"/>
      <c r="T284" s="729"/>
      <c r="U284" s="343"/>
      <c r="V284" s="343"/>
    </row>
    <row r="285" spans="1:22" ht="13" customHeight="1" x14ac:dyDescent="0.25">
      <c r="A285" s="343"/>
      <c r="B285" s="284"/>
      <c r="C285" s="300"/>
      <c r="D285" s="300" t="str">
        <f>E_EnergyFlows!D119</f>
        <v>(b)</v>
      </c>
      <c r="E285" s="2671" t="str">
        <f>E_EnergyFlows!E119</f>
        <v>Допълнителна информация за справка: топлинна енергия, подадена от подинсталации с горивен показател</v>
      </c>
      <c r="F285" s="2672"/>
      <c r="G285" s="2672"/>
      <c r="H285" s="2672"/>
      <c r="I285" s="2672"/>
      <c r="J285" s="2672"/>
      <c r="K285" s="2672"/>
      <c r="L285" s="2672"/>
      <c r="M285" s="2672"/>
      <c r="N285" s="2672"/>
      <c r="O285" s="698"/>
      <c r="P285" s="695"/>
      <c r="Q285" s="343"/>
      <c r="R285" s="343"/>
      <c r="S285" s="343"/>
      <c r="T285" s="729"/>
      <c r="U285" s="343"/>
      <c r="V285" s="343"/>
    </row>
    <row r="286" spans="1:22" ht="12.65" customHeight="1" x14ac:dyDescent="0.25">
      <c r="A286" s="343"/>
      <c r="B286" s="698"/>
      <c r="C286" s="698"/>
      <c r="D286" s="698"/>
      <c r="E286" s="2687" t="str">
        <f>E_EnergyFlows!E115</f>
        <v>Топлинна енергия от ел. енергия</v>
      </c>
      <c r="F286" s="2258"/>
      <c r="G286" s="1016" t="str">
        <f>E_EnergyFlows!G115</f>
        <v>TJ / година</v>
      </c>
      <c r="H286" s="1653" t="str">
        <f>IF(ISBLANK(E_EnergyFlows!H115),"",E_EnergyFlows!H115)</f>
        <v/>
      </c>
      <c r="I286" s="1653" t="str">
        <f>IF(ISBLANK(E_EnergyFlows!I115),"",E_EnergyFlows!I115)</f>
        <v/>
      </c>
      <c r="J286" s="1653" t="str">
        <f>IF(ISBLANK(E_EnergyFlows!J115),"",E_EnergyFlows!J115)</f>
        <v/>
      </c>
      <c r="K286" s="1020" t="str">
        <f>IF(ISBLANK(E_EnergyFlows!K115),"",E_EnergyFlows!K115)</f>
        <v/>
      </c>
      <c r="L286" s="1020" t="str">
        <f>IF(ISBLANK(E_EnergyFlows!L115),"",E_EnergyFlows!L115)</f>
        <v/>
      </c>
      <c r="M286" s="1020" t="str">
        <f>IF(ISBLANK(E_EnergyFlows!M115),"",E_EnergyFlows!M115)</f>
        <v/>
      </c>
      <c r="N286" s="1020" t="str">
        <f>IF(ISBLANK(E_EnergyFlows!N115),"",E_EnergyFlows!N115)</f>
        <v/>
      </c>
      <c r="O286" s="698"/>
      <c r="P286" s="343"/>
      <c r="Q286" s="343"/>
      <c r="R286" s="343"/>
      <c r="S286" s="343"/>
      <c r="T286" s="729"/>
      <c r="U286" s="343"/>
      <c r="V286" s="343"/>
    </row>
    <row r="287" spans="1:22" ht="5.15" customHeight="1" x14ac:dyDescent="0.25">
      <c r="A287" s="343"/>
      <c r="B287" s="284"/>
      <c r="C287" s="284"/>
      <c r="D287" s="284"/>
      <c r="E287" s="284"/>
      <c r="F287" s="284"/>
      <c r="G287" s="284"/>
      <c r="H287" s="284"/>
      <c r="I287" s="284"/>
      <c r="J287" s="284"/>
      <c r="K287" s="284"/>
      <c r="L287" s="284"/>
      <c r="M287" s="284"/>
      <c r="N287" s="284"/>
      <c r="O287" s="698"/>
      <c r="P287" s="695"/>
      <c r="Q287" s="343"/>
      <c r="R287" s="343"/>
      <c r="S287" s="343"/>
      <c r="T287" s="729"/>
      <c r="U287" s="343"/>
      <c r="V287" s="343"/>
    </row>
    <row r="288" spans="1:22" ht="13" customHeight="1" x14ac:dyDescent="0.25">
      <c r="A288" s="343"/>
      <c r="B288" s="284"/>
      <c r="C288" s="300"/>
      <c r="D288" s="300" t="str">
        <f>E_EnergyFlows!D143</f>
        <v>(e)</v>
      </c>
      <c r="E288" s="2671" t="str">
        <f>E_EnergyFlows!E143</f>
        <v>Сума на измеримата топлинна енергия, налична в инсталацията (=a+c+d)</v>
      </c>
      <c r="F288" s="2672"/>
      <c r="G288" s="2672"/>
      <c r="H288" s="2672"/>
      <c r="I288" s="2672"/>
      <c r="J288" s="2672"/>
      <c r="K288" s="2672"/>
      <c r="L288" s="2672"/>
      <c r="M288" s="2672"/>
      <c r="N288" s="2672"/>
      <c r="O288" s="698"/>
      <c r="P288" s="695"/>
      <c r="Q288" s="343"/>
      <c r="R288" s="343"/>
      <c r="S288" s="343"/>
      <c r="T288" s="729"/>
      <c r="U288" s="343"/>
      <c r="V288" s="343"/>
    </row>
    <row r="289" spans="1:22" ht="12.65" customHeight="1" x14ac:dyDescent="0.25">
      <c r="A289" s="343"/>
      <c r="B289" s="698"/>
      <c r="C289" s="698"/>
      <c r="D289" s="698"/>
      <c r="E289" s="2667" t="str">
        <f>E_EnergyFlows!E144</f>
        <v>Общо измерима топлинна енергия</v>
      </c>
      <c r="F289" s="2258"/>
      <c r="G289" s="1038" t="str">
        <f>E_EnergyFlows!G144</f>
        <v>TJ / година</v>
      </c>
      <c r="H289" s="1653" t="str">
        <f>E_EnergyFlows!H144</f>
        <v/>
      </c>
      <c r="I289" s="1653" t="str">
        <f>E_EnergyFlows!I144</f>
        <v/>
      </c>
      <c r="J289" s="1653" t="str">
        <f>E_EnergyFlows!J144</f>
        <v/>
      </c>
      <c r="K289" s="1024" t="str">
        <f>E_EnergyFlows!K144</f>
        <v/>
      </c>
      <c r="L289" s="1024" t="str">
        <f>E_EnergyFlows!L144</f>
        <v/>
      </c>
      <c r="M289" s="1024" t="str">
        <f>E_EnergyFlows!M144</f>
        <v/>
      </c>
      <c r="N289" s="1024" t="str">
        <f>E_EnergyFlows!N144</f>
        <v/>
      </c>
      <c r="O289" s="698"/>
      <c r="P289" s="343"/>
      <c r="Q289" s="343"/>
      <c r="R289" s="343"/>
      <c r="S289" s="343"/>
      <c r="T289" s="729"/>
      <c r="U289" s="343"/>
      <c r="V289" s="343"/>
    </row>
    <row r="290" spans="1:22" ht="5.15" customHeight="1" x14ac:dyDescent="0.25">
      <c r="A290" s="343"/>
      <c r="B290" s="284"/>
      <c r="C290" s="284"/>
      <c r="D290" s="284"/>
      <c r="E290" s="284"/>
      <c r="F290" s="284"/>
      <c r="G290" s="284"/>
      <c r="H290" s="284"/>
      <c r="I290" s="284"/>
      <c r="J290" s="284"/>
      <c r="K290" s="284"/>
      <c r="L290" s="284"/>
      <c r="M290" s="284"/>
      <c r="N290" s="284"/>
      <c r="O290" s="698"/>
      <c r="P290" s="695"/>
      <c r="Q290" s="343"/>
      <c r="R290" s="343"/>
      <c r="S290" s="343"/>
      <c r="T290" s="729"/>
      <c r="U290" s="343"/>
      <c r="V290" s="343"/>
    </row>
    <row r="291" spans="1:22" ht="13" customHeight="1" x14ac:dyDescent="0.25">
      <c r="A291" s="343"/>
      <c r="B291" s="284"/>
      <c r="C291" s="300"/>
      <c r="D291" s="300" t="str">
        <f>E_EnergyFlows!D146</f>
        <v>(f)</v>
      </c>
      <c r="E291" s="2671" t="str">
        <f>E_EnergyFlows!E146</f>
        <v>Съотношение „топлинна енергия по СТЕ“ спрямо „общо топлинна енергия“</v>
      </c>
      <c r="F291" s="2672"/>
      <c r="G291" s="2672"/>
      <c r="H291" s="2672"/>
      <c r="I291" s="2672"/>
      <c r="J291" s="2672"/>
      <c r="K291" s="2672"/>
      <c r="L291" s="2672"/>
      <c r="M291" s="2672"/>
      <c r="N291" s="2672"/>
      <c r="O291" s="698"/>
      <c r="P291" s="695"/>
      <c r="Q291" s="343"/>
      <c r="R291" s="343"/>
      <c r="S291" s="343"/>
      <c r="T291" s="729"/>
      <c r="U291" s="343"/>
      <c r="V291" s="343"/>
    </row>
    <row r="292" spans="1:22" ht="12.65" customHeight="1" x14ac:dyDescent="0.25">
      <c r="A292" s="343"/>
      <c r="B292" s="698"/>
      <c r="C292" s="698"/>
      <c r="D292" s="698"/>
      <c r="E292" s="2667" t="str">
        <f>E_EnergyFlows!E150</f>
        <v>Съотношение на вложената топлинна енергия (a+c) / (a+c+d):</v>
      </c>
      <c r="F292" s="2258"/>
      <c r="G292" s="1038" t="str">
        <f>E_EnergyFlows!G150</f>
        <v>%</v>
      </c>
      <c r="H292" s="84" t="str">
        <f>E_EnergyFlows!H150</f>
        <v/>
      </c>
      <c r="I292" s="84" t="str">
        <f>E_EnergyFlows!I150</f>
        <v/>
      </c>
      <c r="J292" s="84" t="str">
        <f>E_EnergyFlows!J150</f>
        <v/>
      </c>
      <c r="K292" s="22" t="str">
        <f>E_EnergyFlows!K150</f>
        <v/>
      </c>
      <c r="L292" s="22" t="str">
        <f>E_EnergyFlows!L150</f>
        <v/>
      </c>
      <c r="M292" s="22" t="str">
        <f>E_EnergyFlows!M150</f>
        <v/>
      </c>
      <c r="N292" s="22" t="str">
        <f>E_EnergyFlows!N150</f>
        <v/>
      </c>
      <c r="O292" s="698"/>
      <c r="P292" s="343"/>
      <c r="Q292" s="343"/>
      <c r="R292" s="343"/>
      <c r="S292" s="343"/>
      <c r="T292" s="729"/>
      <c r="U292" s="343"/>
      <c r="V292" s="343"/>
    </row>
    <row r="293" spans="1:22" ht="5.15" customHeight="1" x14ac:dyDescent="0.25">
      <c r="A293" s="343"/>
      <c r="B293" s="284"/>
      <c r="C293" s="284"/>
      <c r="D293" s="284"/>
      <c r="E293" s="284"/>
      <c r="F293" s="284"/>
      <c r="G293" s="284"/>
      <c r="H293" s="284"/>
      <c r="I293" s="284"/>
      <c r="J293" s="284"/>
      <c r="K293" s="284"/>
      <c r="L293" s="284"/>
      <c r="M293" s="284"/>
      <c r="N293" s="284"/>
      <c r="O293" s="698"/>
      <c r="P293" s="695"/>
      <c r="Q293" s="343"/>
      <c r="R293" s="343"/>
      <c r="S293" s="343"/>
      <c r="T293" s="729"/>
      <c r="U293" s="343"/>
      <c r="V293" s="343"/>
    </row>
    <row r="294" spans="1:22" ht="13" customHeight="1" x14ac:dyDescent="0.25">
      <c r="A294" s="343"/>
      <c r="B294" s="284"/>
      <c r="C294" s="300"/>
      <c r="D294" s="300" t="str">
        <f>E_EnergyFlows!D157</f>
        <v>(g)</v>
      </c>
      <c r="E294" s="2463" t="str">
        <f>E_EnergyFlows!E157</f>
        <v>Измерима топлинна енергия, консумирана за производство на електроенергия в инсталацията (неотговаряща на условията за топлинен показател):</v>
      </c>
      <c r="F294" s="2240"/>
      <c r="G294" s="2240"/>
      <c r="H294" s="2240"/>
      <c r="I294" s="2240"/>
      <c r="J294" s="2240"/>
      <c r="K294" s="2240"/>
      <c r="L294" s="2240"/>
      <c r="M294" s="2240"/>
      <c r="N294" s="2240"/>
      <c r="O294" s="698"/>
      <c r="P294" s="695"/>
      <c r="Q294" s="343"/>
      <c r="R294" s="343"/>
      <c r="S294" s="343"/>
      <c r="T294" s="729"/>
      <c r="U294" s="343"/>
      <c r="V294" s="343"/>
    </row>
    <row r="295" spans="1:22" ht="13" x14ac:dyDescent="0.25">
      <c r="A295" s="343"/>
      <c r="B295" s="698"/>
      <c r="C295" s="698"/>
      <c r="D295" s="698"/>
      <c r="E295" s="461"/>
      <c r="F295" s="742"/>
      <c r="G295" s="527"/>
      <c r="H295" s="391">
        <f>E_EnergyFlows!H160</f>
        <v>2024</v>
      </c>
      <c r="I295" s="391">
        <f>E_EnergyFlows!I160</f>
        <v>2025</v>
      </c>
      <c r="J295" s="391">
        <f>E_EnergyFlows!J160</f>
        <v>2026</v>
      </c>
      <c r="K295" s="391">
        <f>E_EnergyFlows!K160</f>
        <v>2027</v>
      </c>
      <c r="L295" s="391">
        <f>E_EnergyFlows!L160</f>
        <v>2028</v>
      </c>
      <c r="M295" s="391">
        <f>E_EnergyFlows!M160</f>
        <v>2029</v>
      </c>
      <c r="N295" s="391">
        <f>E_EnergyFlows!N160</f>
        <v>2030</v>
      </c>
      <c r="O295" s="698"/>
      <c r="P295" s="343"/>
      <c r="Q295" s="343"/>
      <c r="R295" s="343"/>
      <c r="S295" s="343"/>
      <c r="T295" s="729"/>
      <c r="U295" s="343"/>
      <c r="V295" s="343"/>
    </row>
    <row r="296" spans="1:22" ht="12.65" customHeight="1" x14ac:dyDescent="0.25">
      <c r="A296" s="343"/>
      <c r="B296" s="698"/>
      <c r="C296" s="1084"/>
      <c r="D296" s="1084"/>
      <c r="E296" s="2667" t="str">
        <f>E_EnergyFlows!E161</f>
        <v>Топлинна енергия, използвана за производство на ел. енергия</v>
      </c>
      <c r="F296" s="2258"/>
      <c r="G296" s="1038" t="str">
        <f>E_EnergyFlows!G161</f>
        <v>TJ / година</v>
      </c>
      <c r="H296" s="1653" t="str">
        <f>IF(ISBLANK(E_EnergyFlows!H161),"",E_EnergyFlows!H161)</f>
        <v/>
      </c>
      <c r="I296" s="1653" t="str">
        <f>IF(ISBLANK(E_EnergyFlows!I161),"",E_EnergyFlows!I161)</f>
        <v/>
      </c>
      <c r="J296" s="1653" t="str">
        <f>IF(ISBLANK(E_EnergyFlows!J161),"",E_EnergyFlows!J161)</f>
        <v/>
      </c>
      <c r="K296" s="1020" t="str">
        <f>IF(ISBLANK(E_EnergyFlows!K161),"",E_EnergyFlows!K161)</f>
        <v/>
      </c>
      <c r="L296" s="1020" t="str">
        <f>IF(ISBLANK(E_EnergyFlows!L161),"",E_EnergyFlows!L161)</f>
        <v/>
      </c>
      <c r="M296" s="1020" t="str">
        <f>IF(ISBLANK(E_EnergyFlows!M161),"",E_EnergyFlows!M161)</f>
        <v/>
      </c>
      <c r="N296" s="1020" t="str">
        <f>IF(ISBLANK(E_EnergyFlows!N161),"",E_EnergyFlows!N161)</f>
        <v/>
      </c>
      <c r="O296" s="698"/>
      <c r="P296" s="695"/>
      <c r="Q296" s="695"/>
      <c r="R296" s="695"/>
      <c r="S296" s="695"/>
      <c r="T296" s="729"/>
      <c r="U296" s="343"/>
      <c r="V296" s="343"/>
    </row>
    <row r="297" spans="1:22" ht="12.65" customHeight="1" x14ac:dyDescent="0.25">
      <c r="A297" s="343"/>
      <c r="B297" s="698"/>
      <c r="C297" s="1084"/>
      <c r="D297" s="1084"/>
      <c r="E297" s="2667" t="str">
        <f>E_EnergyFlows!E162</f>
        <v>Количество топлинна енергия от източници извън СТЕ</v>
      </c>
      <c r="F297" s="2258"/>
      <c r="G297" s="1092" t="str">
        <f>E_EnergyFlows!G162</f>
        <v>TJ / година</v>
      </c>
      <c r="H297" s="84" t="str">
        <f>E_EnergyFlows!H162</f>
        <v/>
      </c>
      <c r="I297" s="84" t="str">
        <f>E_EnergyFlows!I162</f>
        <v/>
      </c>
      <c r="J297" s="84" t="str">
        <f>E_EnergyFlows!J162</f>
        <v/>
      </c>
      <c r="K297" s="22" t="str">
        <f>E_EnergyFlows!K162</f>
        <v/>
      </c>
      <c r="L297" s="22" t="str">
        <f>E_EnergyFlows!L162</f>
        <v/>
      </c>
      <c r="M297" s="22" t="str">
        <f>E_EnergyFlows!M162</f>
        <v/>
      </c>
      <c r="N297" s="22" t="str">
        <f>E_EnergyFlows!N162</f>
        <v/>
      </c>
      <c r="O297" s="698"/>
      <c r="P297" s="695"/>
      <c r="Q297" s="695"/>
      <c r="R297" s="695"/>
      <c r="S297" s="695"/>
      <c r="T297" s="729"/>
      <c r="U297" s="343"/>
      <c r="V297" s="343"/>
    </row>
    <row r="298" spans="1:22" ht="12.65" customHeight="1" x14ac:dyDescent="0.25">
      <c r="A298" s="343"/>
      <c r="B298" s="698"/>
      <c r="C298" s="1084"/>
      <c r="D298" s="1084"/>
      <c r="E298" s="2667" t="str">
        <f>E_EnergyFlows!E163</f>
        <v>Ръчна корекция на ii)</v>
      </c>
      <c r="F298" s="2258"/>
      <c r="G298" s="1092" t="str">
        <f>E_EnergyFlows!G163</f>
        <v>TJ / година</v>
      </c>
      <c r="H298" s="1653" t="str">
        <f>IF(ISBLANK(E_EnergyFlows!H163),"",E_EnergyFlows!H163)</f>
        <v/>
      </c>
      <c r="I298" s="1653" t="str">
        <f>IF(ISBLANK(E_EnergyFlows!I163),"",E_EnergyFlows!I163)</f>
        <v/>
      </c>
      <c r="J298" s="1653" t="str">
        <f>IF(ISBLANK(E_EnergyFlows!J163),"",E_EnergyFlows!J163)</f>
        <v/>
      </c>
      <c r="K298" s="1020" t="str">
        <f>IF(ISBLANK(E_EnergyFlows!K163),"",E_EnergyFlows!K163)</f>
        <v/>
      </c>
      <c r="L298" s="1020" t="str">
        <f>IF(ISBLANK(E_EnergyFlows!L163),"",E_EnergyFlows!L163)</f>
        <v/>
      </c>
      <c r="M298" s="1020" t="str">
        <f>IF(ISBLANK(E_EnergyFlows!M163),"",E_EnergyFlows!M163)</f>
        <v/>
      </c>
      <c r="N298" s="1020" t="str">
        <f>IF(ISBLANK(E_EnergyFlows!N163),"",E_EnergyFlows!N163)</f>
        <v/>
      </c>
      <c r="O298" s="698"/>
      <c r="P298" s="695"/>
      <c r="Q298" s="695"/>
      <c r="R298" s="695"/>
      <c r="S298" s="695"/>
      <c r="T298" s="729"/>
      <c r="U298" s="343"/>
      <c r="V298" s="343"/>
    </row>
    <row r="299" spans="1:22" ht="5.15" customHeight="1" x14ac:dyDescent="0.25">
      <c r="A299" s="343"/>
      <c r="B299" s="284"/>
      <c r="C299" s="284"/>
      <c r="D299" s="284"/>
      <c r="E299" s="284"/>
      <c r="F299" s="284"/>
      <c r="G299" s="284"/>
      <c r="H299" s="284"/>
      <c r="I299" s="284"/>
      <c r="J299" s="284"/>
      <c r="K299" s="284"/>
      <c r="L299" s="284"/>
      <c r="M299" s="284"/>
      <c r="N299" s="284"/>
      <c r="O299" s="698"/>
      <c r="P299" s="695"/>
      <c r="Q299" s="695"/>
      <c r="R299" s="695"/>
      <c r="S299" s="695"/>
      <c r="T299" s="729"/>
      <c r="U299" s="343"/>
      <c r="V299" s="343"/>
    </row>
    <row r="300" spans="1:22" ht="13" customHeight="1" x14ac:dyDescent="0.25">
      <c r="A300" s="343"/>
      <c r="B300" s="284"/>
      <c r="C300" s="300"/>
      <c r="D300" s="300" t="str">
        <f>E_EnergyFlows!D165</f>
        <v>(h)</v>
      </c>
      <c r="E300" s="2463" t="str">
        <f>E_EnergyFlows!E165</f>
        <v>Консумирана измерима топлинна енергия за подинсталации с продуктов показател в рамките на инсталацията (неотговарящи на условията за топлинен показател):</v>
      </c>
      <c r="F300" s="2240"/>
      <c r="G300" s="2240"/>
      <c r="H300" s="2240"/>
      <c r="I300" s="2240"/>
      <c r="J300" s="2240"/>
      <c r="K300" s="2240"/>
      <c r="L300" s="2240"/>
      <c r="M300" s="2240"/>
      <c r="N300" s="2240"/>
      <c r="O300" s="698"/>
      <c r="P300" s="695"/>
      <c r="Q300" s="695"/>
      <c r="R300" s="695"/>
      <c r="S300" s="695"/>
      <c r="T300" s="729"/>
      <c r="U300" s="343"/>
      <c r="V300" s="343"/>
    </row>
    <row r="301" spans="1:22" ht="13" x14ac:dyDescent="0.25">
      <c r="A301" s="343"/>
      <c r="B301" s="698"/>
      <c r="C301" s="698"/>
      <c r="D301" s="698"/>
      <c r="E301" s="461"/>
      <c r="F301" s="742"/>
      <c r="G301" s="527" t="str">
        <f>E_EnergyFlows!G168</f>
        <v>Единица мярка</v>
      </c>
      <c r="H301" s="391">
        <f>E_EnergyFlows!H168</f>
        <v>2024</v>
      </c>
      <c r="I301" s="391">
        <f>E_EnergyFlows!I168</f>
        <v>2025</v>
      </c>
      <c r="J301" s="391">
        <f>E_EnergyFlows!J168</f>
        <v>2026</v>
      </c>
      <c r="K301" s="391">
        <f>E_EnergyFlows!K168</f>
        <v>2027</v>
      </c>
      <c r="L301" s="391">
        <f>E_EnergyFlows!L168</f>
        <v>2028</v>
      </c>
      <c r="M301" s="391">
        <f>E_EnergyFlows!M168</f>
        <v>2029</v>
      </c>
      <c r="N301" s="391">
        <f>E_EnergyFlows!N168</f>
        <v>2030</v>
      </c>
      <c r="O301" s="698"/>
      <c r="P301" s="695"/>
      <c r="Q301" s="695"/>
      <c r="R301" s="695"/>
      <c r="S301" s="695"/>
      <c r="T301" s="729"/>
      <c r="U301" s="343"/>
      <c r="V301" s="343"/>
    </row>
    <row r="302" spans="1:22" ht="12.75" customHeight="1" x14ac:dyDescent="0.25">
      <c r="A302" s="343"/>
      <c r="B302" s="698"/>
      <c r="C302" s="698"/>
      <c r="D302" s="360"/>
      <c r="E302" s="3045" t="str">
        <f>E_EnergyFlows!E169</f>
        <v/>
      </c>
      <c r="F302" s="2701"/>
      <c r="G302" s="1093" t="str">
        <f>E_EnergyFlows!G169</f>
        <v>TJ / година</v>
      </c>
      <c r="H302" s="1654" t="str">
        <f>IF(ISBLANK(E_EnergyFlows!H169),"",E_EnergyFlows!H169)</f>
        <v/>
      </c>
      <c r="I302" s="1654" t="str">
        <f>IF(ISBLANK(E_EnergyFlows!I169),"",E_EnergyFlows!I169)</f>
        <v/>
      </c>
      <c r="J302" s="1654" t="str">
        <f>IF(ISBLANK(E_EnergyFlows!J169),"",E_EnergyFlows!J169)</f>
        <v/>
      </c>
      <c r="K302" s="1126" t="str">
        <f>IF(ISBLANK(E_EnergyFlows!K169),"",E_EnergyFlows!K169)</f>
        <v/>
      </c>
      <c r="L302" s="1126" t="str">
        <f>IF(ISBLANK(E_EnergyFlows!L169),"",E_EnergyFlows!L169)</f>
        <v/>
      </c>
      <c r="M302" s="1126" t="str">
        <f>IF(ISBLANK(E_EnergyFlows!M169),"",E_EnergyFlows!M169)</f>
        <v/>
      </c>
      <c r="N302" s="1126" t="str">
        <f>IF(ISBLANK(E_EnergyFlows!N169),"",E_EnergyFlows!N169)</f>
        <v/>
      </c>
      <c r="O302" s="698"/>
      <c r="P302" s="695"/>
      <c r="Q302" s="695"/>
      <c r="R302" s="695"/>
      <c r="S302" s="695"/>
      <c r="T302" s="729"/>
      <c r="U302" s="343"/>
      <c r="V302" s="343"/>
    </row>
    <row r="303" spans="1:22" x14ac:dyDescent="0.25">
      <c r="A303" s="343"/>
      <c r="B303" s="698"/>
      <c r="C303" s="698"/>
      <c r="D303" s="360"/>
      <c r="E303" s="2995" t="str">
        <f>E_EnergyFlows!E170</f>
        <v/>
      </c>
      <c r="F303" s="2703"/>
      <c r="G303" s="1095" t="str">
        <f>E_EnergyFlows!G170</f>
        <v>TJ / година</v>
      </c>
      <c r="H303" s="1666" t="str">
        <f>IF(ISBLANK(E_EnergyFlows!H170),"",E_EnergyFlows!H170)</f>
        <v/>
      </c>
      <c r="I303" s="1666" t="str">
        <f>IF(ISBLANK(E_EnergyFlows!I170),"",E_EnergyFlows!I170)</f>
        <v/>
      </c>
      <c r="J303" s="1666" t="str">
        <f>IF(ISBLANK(E_EnergyFlows!J170),"",E_EnergyFlows!J170)</f>
        <v/>
      </c>
      <c r="K303" s="1127" t="str">
        <f>IF(ISBLANK(E_EnergyFlows!K170),"",E_EnergyFlows!K170)</f>
        <v/>
      </c>
      <c r="L303" s="1127" t="str">
        <f>IF(ISBLANK(E_EnergyFlows!L170),"",E_EnergyFlows!L170)</f>
        <v/>
      </c>
      <c r="M303" s="1127" t="str">
        <f>IF(ISBLANK(E_EnergyFlows!M170),"",E_EnergyFlows!M170)</f>
        <v/>
      </c>
      <c r="N303" s="1127" t="str">
        <f>IF(ISBLANK(E_EnergyFlows!N170),"",E_EnergyFlows!N170)</f>
        <v/>
      </c>
      <c r="O303" s="698"/>
      <c r="P303" s="695"/>
      <c r="Q303" s="695"/>
      <c r="R303" s="695"/>
      <c r="S303" s="695"/>
      <c r="T303" s="729"/>
      <c r="U303" s="343"/>
      <c r="V303" s="343"/>
    </row>
    <row r="304" spans="1:22" ht="12.75" customHeight="1" x14ac:dyDescent="0.25">
      <c r="A304" s="343"/>
      <c r="B304" s="698"/>
      <c r="C304" s="698"/>
      <c r="D304" s="360"/>
      <c r="E304" s="2995" t="str">
        <f>E_EnergyFlows!E171</f>
        <v/>
      </c>
      <c r="F304" s="2703"/>
      <c r="G304" s="1095" t="str">
        <f>E_EnergyFlows!G171</f>
        <v>TJ / година</v>
      </c>
      <c r="H304" s="1666" t="str">
        <f>IF(ISBLANK(E_EnergyFlows!H171),"",E_EnergyFlows!H171)</f>
        <v/>
      </c>
      <c r="I304" s="1666" t="str">
        <f>IF(ISBLANK(E_EnergyFlows!I171),"",E_EnergyFlows!I171)</f>
        <v/>
      </c>
      <c r="J304" s="1666" t="str">
        <f>IF(ISBLANK(E_EnergyFlows!J171),"",E_EnergyFlows!J171)</f>
        <v/>
      </c>
      <c r="K304" s="1127" t="str">
        <f>IF(ISBLANK(E_EnergyFlows!K171),"",E_EnergyFlows!K171)</f>
        <v/>
      </c>
      <c r="L304" s="1127" t="str">
        <f>IF(ISBLANK(E_EnergyFlows!L171),"",E_EnergyFlows!L171)</f>
        <v/>
      </c>
      <c r="M304" s="1127" t="str">
        <f>IF(ISBLANK(E_EnergyFlows!M171),"",E_EnergyFlows!M171)</f>
        <v/>
      </c>
      <c r="N304" s="1127" t="str">
        <f>IF(ISBLANK(E_EnergyFlows!N171),"",E_EnergyFlows!N171)</f>
        <v/>
      </c>
      <c r="O304" s="698"/>
      <c r="P304" s="695"/>
      <c r="Q304" s="695"/>
      <c r="R304" s="695"/>
      <c r="S304" s="695"/>
      <c r="T304" s="729"/>
      <c r="U304" s="343"/>
      <c r="V304" s="343"/>
    </row>
    <row r="305" spans="1:22" x14ac:dyDescent="0.25">
      <c r="A305" s="343"/>
      <c r="B305" s="698"/>
      <c r="C305" s="698"/>
      <c r="D305" s="360"/>
      <c r="E305" s="2995" t="str">
        <f>E_EnergyFlows!E172</f>
        <v/>
      </c>
      <c r="F305" s="2703"/>
      <c r="G305" s="1095" t="str">
        <f>E_EnergyFlows!G172</f>
        <v>TJ / година</v>
      </c>
      <c r="H305" s="1666" t="str">
        <f>IF(ISBLANK(E_EnergyFlows!H172),"",E_EnergyFlows!H172)</f>
        <v/>
      </c>
      <c r="I305" s="1666" t="str">
        <f>IF(ISBLANK(E_EnergyFlows!I172),"",E_EnergyFlows!I172)</f>
        <v/>
      </c>
      <c r="J305" s="1666" t="str">
        <f>IF(ISBLANK(E_EnergyFlows!J172),"",E_EnergyFlows!J172)</f>
        <v/>
      </c>
      <c r="K305" s="1127" t="str">
        <f>IF(ISBLANK(E_EnergyFlows!K172),"",E_EnergyFlows!K172)</f>
        <v/>
      </c>
      <c r="L305" s="1127" t="str">
        <f>IF(ISBLANK(E_EnergyFlows!L172),"",E_EnergyFlows!L172)</f>
        <v/>
      </c>
      <c r="M305" s="1127" t="str">
        <f>IF(ISBLANK(E_EnergyFlows!M172),"",E_EnergyFlows!M172)</f>
        <v/>
      </c>
      <c r="N305" s="1127" t="str">
        <f>IF(ISBLANK(E_EnergyFlows!N172),"",E_EnergyFlows!N172)</f>
        <v/>
      </c>
      <c r="O305" s="698"/>
      <c r="P305" s="695"/>
      <c r="Q305" s="695"/>
      <c r="R305" s="695"/>
      <c r="S305" s="695"/>
      <c r="T305" s="729"/>
      <c r="U305" s="343"/>
      <c r="V305" s="343"/>
    </row>
    <row r="306" spans="1:22" x14ac:dyDescent="0.25">
      <c r="A306" s="343"/>
      <c r="B306" s="698"/>
      <c r="C306" s="698"/>
      <c r="D306" s="360"/>
      <c r="E306" s="2995" t="str">
        <f>E_EnergyFlows!E173</f>
        <v/>
      </c>
      <c r="F306" s="2703"/>
      <c r="G306" s="1095" t="str">
        <f>E_EnergyFlows!G173</f>
        <v>TJ / година</v>
      </c>
      <c r="H306" s="1666" t="str">
        <f>IF(ISBLANK(E_EnergyFlows!H173),"",E_EnergyFlows!H173)</f>
        <v/>
      </c>
      <c r="I306" s="1666" t="str">
        <f>IF(ISBLANK(E_EnergyFlows!I173),"",E_EnergyFlows!I173)</f>
        <v/>
      </c>
      <c r="J306" s="1666" t="str">
        <f>IF(ISBLANK(E_EnergyFlows!J173),"",E_EnergyFlows!J173)</f>
        <v/>
      </c>
      <c r="K306" s="1127" t="str">
        <f>IF(ISBLANK(E_EnergyFlows!K173),"",E_EnergyFlows!K173)</f>
        <v/>
      </c>
      <c r="L306" s="1127" t="str">
        <f>IF(ISBLANK(E_EnergyFlows!L173),"",E_EnergyFlows!L173)</f>
        <v/>
      </c>
      <c r="M306" s="1127" t="str">
        <f>IF(ISBLANK(E_EnergyFlows!M173),"",E_EnergyFlows!M173)</f>
        <v/>
      </c>
      <c r="N306" s="1127" t="str">
        <f>IF(ISBLANK(E_EnergyFlows!N173),"",E_EnergyFlows!N173)</f>
        <v/>
      </c>
      <c r="O306" s="698"/>
      <c r="P306" s="695"/>
      <c r="Q306" s="695"/>
      <c r="R306" s="695"/>
      <c r="S306" s="695"/>
      <c r="T306" s="729"/>
      <c r="U306" s="343"/>
      <c r="V306" s="343"/>
    </row>
    <row r="307" spans="1:22" x14ac:dyDescent="0.25">
      <c r="A307" s="343"/>
      <c r="B307" s="698"/>
      <c r="C307" s="698"/>
      <c r="D307" s="360"/>
      <c r="E307" s="2995" t="str">
        <f>E_EnergyFlows!E174</f>
        <v/>
      </c>
      <c r="F307" s="2703"/>
      <c r="G307" s="1095" t="str">
        <f>E_EnergyFlows!G174</f>
        <v>TJ / година</v>
      </c>
      <c r="H307" s="1666" t="str">
        <f>IF(ISBLANK(E_EnergyFlows!H174),"",E_EnergyFlows!H174)</f>
        <v/>
      </c>
      <c r="I307" s="1666" t="str">
        <f>IF(ISBLANK(E_EnergyFlows!I174),"",E_EnergyFlows!I174)</f>
        <v/>
      </c>
      <c r="J307" s="1666" t="str">
        <f>IF(ISBLANK(E_EnergyFlows!J174),"",E_EnergyFlows!J174)</f>
        <v/>
      </c>
      <c r="K307" s="1127" t="str">
        <f>IF(ISBLANK(E_EnergyFlows!K174),"",E_EnergyFlows!K174)</f>
        <v/>
      </c>
      <c r="L307" s="1127" t="str">
        <f>IF(ISBLANK(E_EnergyFlows!L174),"",E_EnergyFlows!L174)</f>
        <v/>
      </c>
      <c r="M307" s="1127" t="str">
        <f>IF(ISBLANK(E_EnergyFlows!M174),"",E_EnergyFlows!M174)</f>
        <v/>
      </c>
      <c r="N307" s="1127" t="str">
        <f>IF(ISBLANK(E_EnergyFlows!N174),"",E_EnergyFlows!N174)</f>
        <v/>
      </c>
      <c r="O307" s="698"/>
      <c r="P307" s="695"/>
      <c r="Q307" s="695"/>
      <c r="R307" s="695"/>
      <c r="S307" s="695"/>
      <c r="T307" s="729"/>
      <c r="U307" s="343"/>
      <c r="V307" s="343"/>
    </row>
    <row r="308" spans="1:22" x14ac:dyDescent="0.25">
      <c r="A308" s="343"/>
      <c r="B308" s="698"/>
      <c r="C308" s="698"/>
      <c r="D308" s="360"/>
      <c r="E308" s="2995" t="str">
        <f>E_EnergyFlows!E175</f>
        <v/>
      </c>
      <c r="F308" s="2703"/>
      <c r="G308" s="1095" t="str">
        <f>E_EnergyFlows!G175</f>
        <v>TJ / година</v>
      </c>
      <c r="H308" s="1666" t="str">
        <f>IF(ISBLANK(E_EnergyFlows!H175),"",E_EnergyFlows!H175)</f>
        <v/>
      </c>
      <c r="I308" s="1666" t="str">
        <f>IF(ISBLANK(E_EnergyFlows!I175),"",E_EnergyFlows!I175)</f>
        <v/>
      </c>
      <c r="J308" s="1666" t="str">
        <f>IF(ISBLANK(E_EnergyFlows!J175),"",E_EnergyFlows!J175)</f>
        <v/>
      </c>
      <c r="K308" s="1127" t="str">
        <f>IF(ISBLANK(E_EnergyFlows!K175),"",E_EnergyFlows!K175)</f>
        <v/>
      </c>
      <c r="L308" s="1127" t="str">
        <f>IF(ISBLANK(E_EnergyFlows!L175),"",E_EnergyFlows!L175)</f>
        <v/>
      </c>
      <c r="M308" s="1127" t="str">
        <f>IF(ISBLANK(E_EnergyFlows!M175),"",E_EnergyFlows!M175)</f>
        <v/>
      </c>
      <c r="N308" s="1127" t="str">
        <f>IF(ISBLANK(E_EnergyFlows!N175),"",E_EnergyFlows!N175)</f>
        <v/>
      </c>
      <c r="O308" s="698"/>
      <c r="P308" s="695"/>
      <c r="Q308" s="695"/>
      <c r="R308" s="695"/>
      <c r="S308" s="695"/>
      <c r="T308" s="729"/>
      <c r="U308" s="343"/>
      <c r="V308" s="343"/>
    </row>
    <row r="309" spans="1:22" x14ac:dyDescent="0.25">
      <c r="A309" s="343"/>
      <c r="B309" s="698"/>
      <c r="C309" s="698"/>
      <c r="D309" s="360"/>
      <c r="E309" s="2995" t="str">
        <f>E_EnergyFlows!E176</f>
        <v/>
      </c>
      <c r="F309" s="2703"/>
      <c r="G309" s="1095" t="str">
        <f>E_EnergyFlows!G176</f>
        <v>TJ / година</v>
      </c>
      <c r="H309" s="1666" t="str">
        <f>IF(ISBLANK(E_EnergyFlows!H176),"",E_EnergyFlows!H176)</f>
        <v/>
      </c>
      <c r="I309" s="1666" t="str">
        <f>IF(ISBLANK(E_EnergyFlows!I176),"",E_EnergyFlows!I176)</f>
        <v/>
      </c>
      <c r="J309" s="1666" t="str">
        <f>IF(ISBLANK(E_EnergyFlows!J176),"",E_EnergyFlows!J176)</f>
        <v/>
      </c>
      <c r="K309" s="1127" t="str">
        <f>IF(ISBLANK(E_EnergyFlows!K176),"",E_EnergyFlows!K176)</f>
        <v/>
      </c>
      <c r="L309" s="1127" t="str">
        <f>IF(ISBLANK(E_EnergyFlows!L176),"",E_EnergyFlows!L176)</f>
        <v/>
      </c>
      <c r="M309" s="1127" t="str">
        <f>IF(ISBLANK(E_EnergyFlows!M176),"",E_EnergyFlows!M176)</f>
        <v/>
      </c>
      <c r="N309" s="1127" t="str">
        <f>IF(ISBLANK(E_EnergyFlows!N176),"",E_EnergyFlows!N176)</f>
        <v/>
      </c>
      <c r="O309" s="698"/>
      <c r="P309" s="695"/>
      <c r="Q309" s="695"/>
      <c r="R309" s="695"/>
      <c r="S309" s="695"/>
      <c r="T309" s="729"/>
      <c r="U309" s="343"/>
      <c r="V309" s="343"/>
    </row>
    <row r="310" spans="1:22" x14ac:dyDescent="0.25">
      <c r="A310" s="343"/>
      <c r="B310" s="698"/>
      <c r="C310" s="698"/>
      <c r="D310" s="360"/>
      <c r="E310" s="2995" t="str">
        <f>E_EnergyFlows!E177</f>
        <v/>
      </c>
      <c r="F310" s="2703"/>
      <c r="G310" s="1095" t="str">
        <f>E_EnergyFlows!G177</f>
        <v>TJ / година</v>
      </c>
      <c r="H310" s="1666" t="str">
        <f>IF(ISBLANK(E_EnergyFlows!H177),"",E_EnergyFlows!H177)</f>
        <v/>
      </c>
      <c r="I310" s="1666" t="str">
        <f>IF(ISBLANK(E_EnergyFlows!I177),"",E_EnergyFlows!I177)</f>
        <v/>
      </c>
      <c r="J310" s="1666" t="str">
        <f>IF(ISBLANK(E_EnergyFlows!J177),"",E_EnergyFlows!J177)</f>
        <v/>
      </c>
      <c r="K310" s="1127" t="str">
        <f>IF(ISBLANK(E_EnergyFlows!K177),"",E_EnergyFlows!K177)</f>
        <v/>
      </c>
      <c r="L310" s="1127" t="str">
        <f>IF(ISBLANK(E_EnergyFlows!L177),"",E_EnergyFlows!L177)</f>
        <v/>
      </c>
      <c r="M310" s="1127" t="str">
        <f>IF(ISBLANK(E_EnergyFlows!M177),"",E_EnergyFlows!M177)</f>
        <v/>
      </c>
      <c r="N310" s="1127" t="str">
        <f>IF(ISBLANK(E_EnergyFlows!N177),"",E_EnergyFlows!N177)</f>
        <v/>
      </c>
      <c r="O310" s="698"/>
      <c r="P310" s="695"/>
      <c r="Q310" s="695"/>
      <c r="R310" s="695"/>
      <c r="S310" s="695"/>
      <c r="T310" s="729"/>
      <c r="U310" s="343"/>
      <c r="V310" s="343"/>
    </row>
    <row r="311" spans="1:22" x14ac:dyDescent="0.25">
      <c r="A311" s="343"/>
      <c r="B311" s="698"/>
      <c r="C311" s="698"/>
      <c r="D311" s="360"/>
      <c r="E311" s="2997" t="str">
        <f>E_EnergyFlows!E178</f>
        <v/>
      </c>
      <c r="F311" s="2705"/>
      <c r="G311" s="1098" t="str">
        <f>E_EnergyFlows!G178</f>
        <v>TJ / година</v>
      </c>
      <c r="H311" s="1655" t="str">
        <f>IF(ISBLANK(E_EnergyFlows!H178),"",E_EnergyFlows!H178)</f>
        <v/>
      </c>
      <c r="I311" s="1655" t="str">
        <f>IF(ISBLANK(E_EnergyFlows!I178),"",E_EnergyFlows!I178)</f>
        <v/>
      </c>
      <c r="J311" s="1655" t="str">
        <f>IF(ISBLANK(E_EnergyFlows!J178),"",E_EnergyFlows!J178)</f>
        <v/>
      </c>
      <c r="K311" s="1128" t="str">
        <f>IF(ISBLANK(E_EnergyFlows!K178),"",E_EnergyFlows!K178)</f>
        <v/>
      </c>
      <c r="L311" s="1128" t="str">
        <f>IF(ISBLANK(E_EnergyFlows!L178),"",E_EnergyFlows!L178)</f>
        <v/>
      </c>
      <c r="M311" s="1128" t="str">
        <f>IF(ISBLANK(E_EnergyFlows!M178),"",E_EnergyFlows!M178)</f>
        <v/>
      </c>
      <c r="N311" s="1128" t="str">
        <f>IF(ISBLANK(E_EnergyFlows!N178),"",E_EnergyFlows!N178)</f>
        <v/>
      </c>
      <c r="O311" s="698"/>
      <c r="P311" s="695"/>
      <c r="Q311" s="695"/>
      <c r="R311" s="695"/>
      <c r="S311" s="695"/>
      <c r="T311" s="729"/>
      <c r="U311" s="343"/>
      <c r="V311" s="343"/>
    </row>
    <row r="312" spans="1:22" ht="12.75" customHeight="1" x14ac:dyDescent="0.25">
      <c r="A312" s="343"/>
      <c r="B312" s="698"/>
      <c r="C312" s="1084"/>
      <c r="D312" s="360"/>
      <c r="E312" s="2667" t="str">
        <f>E_EnergyFlows!E179</f>
        <v>Междинен сбор</v>
      </c>
      <c r="F312" s="2258"/>
      <c r="G312" s="994" t="str">
        <f>E_EnergyFlows!G179</f>
        <v>TJ / година</v>
      </c>
      <c r="H312" s="1653" t="str">
        <f>E_EnergyFlows!H179</f>
        <v/>
      </c>
      <c r="I312" s="1653" t="str">
        <f>E_EnergyFlows!I179</f>
        <v/>
      </c>
      <c r="J312" s="1653" t="str">
        <f>E_EnergyFlows!J179</f>
        <v/>
      </c>
      <c r="K312" s="1020" t="str">
        <f>E_EnergyFlows!K179</f>
        <v/>
      </c>
      <c r="L312" s="1020" t="str">
        <f>E_EnergyFlows!L179</f>
        <v/>
      </c>
      <c r="M312" s="1020" t="str">
        <f>E_EnergyFlows!M179</f>
        <v/>
      </c>
      <c r="N312" s="1020" t="str">
        <f>E_EnergyFlows!N179</f>
        <v/>
      </c>
      <c r="O312" s="698"/>
      <c r="P312" s="695"/>
      <c r="Q312" s="695"/>
      <c r="R312" s="695"/>
      <c r="S312" s="695"/>
      <c r="T312" s="729"/>
      <c r="U312" s="343"/>
      <c r="V312" s="343"/>
    </row>
    <row r="313" spans="1:22" ht="5.15" customHeight="1" x14ac:dyDescent="0.25">
      <c r="A313" s="343"/>
      <c r="B313" s="284"/>
      <c r="C313" s="284"/>
      <c r="D313" s="284"/>
      <c r="E313" s="284"/>
      <c r="F313" s="284"/>
      <c r="G313" s="284"/>
      <c r="H313" s="284"/>
      <c r="I313" s="284"/>
      <c r="J313" s="284"/>
      <c r="K313" s="284"/>
      <c r="L313" s="284"/>
      <c r="M313" s="284"/>
      <c r="N313" s="284"/>
      <c r="O313" s="698"/>
      <c r="P313" s="695"/>
      <c r="Q313" s="695"/>
      <c r="R313" s="695"/>
      <c r="S313" s="695"/>
      <c r="T313" s="729"/>
      <c r="U313" s="343"/>
      <c r="V313" s="343"/>
    </row>
    <row r="314" spans="1:22" ht="12.65" customHeight="1" x14ac:dyDescent="0.25">
      <c r="A314" s="343"/>
      <c r="B314" s="698"/>
      <c r="C314" s="698"/>
      <c r="D314" s="698"/>
      <c r="E314" s="2671" t="str">
        <f>E_EnergyFlows!E181</f>
        <v>Стойности, въведени в работен лист „F_ProductBM“:</v>
      </c>
      <c r="F314" s="2672"/>
      <c r="G314" s="2672"/>
      <c r="H314" s="2672"/>
      <c r="I314" s="2672"/>
      <c r="J314" s="2672"/>
      <c r="K314" s="2672"/>
      <c r="L314" s="2672"/>
      <c r="M314" s="2672"/>
      <c r="N314" s="2672"/>
      <c r="O314" s="698"/>
      <c r="P314" s="695"/>
      <c r="Q314" s="695"/>
      <c r="R314" s="695"/>
      <c r="S314" s="695"/>
      <c r="T314" s="729"/>
      <c r="U314" s="343"/>
      <c r="V314" s="343"/>
    </row>
    <row r="315" spans="1:22" ht="12.65" customHeight="1" x14ac:dyDescent="0.25">
      <c r="A315" s="343"/>
      <c r="B315" s="698"/>
      <c r="C315" s="1084"/>
      <c r="D315" s="360"/>
      <c r="E315" s="2667" t="str">
        <f>E_EnergyFlows!E182</f>
        <v>Количество топлинна енергия от източници извън СТЕ</v>
      </c>
      <c r="F315" s="2258"/>
      <c r="G315" s="1092" t="str">
        <f>E_EnergyFlows!G182</f>
        <v>TJ / година</v>
      </c>
      <c r="H315" s="84" t="str">
        <f>E_EnergyFlows!H182</f>
        <v/>
      </c>
      <c r="I315" s="84" t="str">
        <f>E_EnergyFlows!I182</f>
        <v/>
      </c>
      <c r="J315" s="84" t="str">
        <f>E_EnergyFlows!J182</f>
        <v/>
      </c>
      <c r="K315" s="22" t="str">
        <f>E_EnergyFlows!K182</f>
        <v/>
      </c>
      <c r="L315" s="22" t="str">
        <f>E_EnergyFlows!L182</f>
        <v/>
      </c>
      <c r="M315" s="22" t="str">
        <f>E_EnergyFlows!M182</f>
        <v/>
      </c>
      <c r="N315" s="22" t="str">
        <f>E_EnergyFlows!N182</f>
        <v/>
      </c>
      <c r="O315" s="698"/>
      <c r="P315" s="343"/>
      <c r="Q315" s="343"/>
      <c r="R315" s="343"/>
      <c r="S315" s="343"/>
      <c r="T315" s="729"/>
      <c r="U315" s="343"/>
      <c r="V315" s="343"/>
    </row>
    <row r="316" spans="1:22" ht="5.15" customHeight="1" x14ac:dyDescent="0.25">
      <c r="A316" s="343"/>
      <c r="B316" s="284"/>
      <c r="C316" s="284"/>
      <c r="D316" s="284"/>
      <c r="E316" s="284"/>
      <c r="F316" s="284"/>
      <c r="G316" s="284"/>
      <c r="H316" s="284"/>
      <c r="I316" s="284"/>
      <c r="J316" s="284"/>
      <c r="K316" s="284"/>
      <c r="L316" s="284"/>
      <c r="M316" s="284"/>
      <c r="N316" s="284"/>
      <c r="O316" s="698"/>
      <c r="P316" s="695"/>
      <c r="Q316" s="343"/>
      <c r="R316" s="343"/>
      <c r="S316" s="343"/>
      <c r="T316" s="729"/>
      <c r="U316" s="343"/>
      <c r="V316" s="343"/>
    </row>
    <row r="317" spans="1:22" ht="12.65" customHeight="1" x14ac:dyDescent="0.25">
      <c r="A317" s="343"/>
      <c r="B317" s="698"/>
      <c r="C317" s="698"/>
      <c r="D317" s="698"/>
      <c r="E317" s="2671" t="str">
        <f>E_EnergyFlows!E188</f>
        <v>Топлинна енергия извън СТЕ, въведена в работен лист „F_ProductBM“, сравнена с общото количество топлинна енергия за всички продуктови показатели:</v>
      </c>
      <c r="F317" s="2672"/>
      <c r="G317" s="2672"/>
      <c r="H317" s="2672"/>
      <c r="I317" s="2672"/>
      <c r="J317" s="2672"/>
      <c r="K317" s="2672"/>
      <c r="L317" s="2672"/>
      <c r="M317" s="2672"/>
      <c r="N317" s="2672"/>
      <c r="O317" s="698"/>
      <c r="P317" s="343"/>
      <c r="Q317" s="343"/>
      <c r="R317" s="343"/>
      <c r="S317" s="343"/>
      <c r="T317" s="729"/>
      <c r="U317" s="343"/>
      <c r="V317" s="343"/>
    </row>
    <row r="318" spans="1:22" ht="12.65" customHeight="1" x14ac:dyDescent="0.25">
      <c r="A318" s="343"/>
      <c r="B318" s="698"/>
      <c r="C318" s="1084"/>
      <c r="D318" s="360"/>
      <c r="E318" s="2687" t="str">
        <f>E_EnergyFlows!E189</f>
        <v>Точка xii във връзка с точка xi:</v>
      </c>
      <c r="F318" s="2258"/>
      <c r="G318" s="1038" t="str">
        <f>E_EnergyFlows!G189</f>
        <v>%</v>
      </c>
      <c r="H318" s="84" t="str">
        <f>E_EnergyFlows!H189</f>
        <v/>
      </c>
      <c r="I318" s="84" t="str">
        <f>E_EnergyFlows!I189</f>
        <v/>
      </c>
      <c r="J318" s="84" t="str">
        <f>E_EnergyFlows!J189</f>
        <v/>
      </c>
      <c r="K318" s="22" t="str">
        <f>E_EnergyFlows!K189</f>
        <v/>
      </c>
      <c r="L318" s="22" t="str">
        <f>E_EnergyFlows!L189</f>
        <v/>
      </c>
      <c r="M318" s="22" t="str">
        <f>E_EnergyFlows!M189</f>
        <v/>
      </c>
      <c r="N318" s="22" t="str">
        <f>E_EnergyFlows!N189</f>
        <v/>
      </c>
      <c r="O318" s="698"/>
      <c r="P318" s="343"/>
      <c r="Q318" s="343"/>
      <c r="R318" s="343"/>
      <c r="S318" s="343"/>
      <c r="T318" s="729"/>
      <c r="U318" s="343"/>
      <c r="V318" s="343"/>
    </row>
    <row r="319" spans="1:22" ht="5.15" customHeight="1" x14ac:dyDescent="0.25">
      <c r="A319" s="343"/>
      <c r="B319" s="284"/>
      <c r="C319" s="541"/>
      <c r="D319" s="541"/>
      <c r="E319" s="284"/>
      <c r="F319" s="284"/>
      <c r="G319" s="284"/>
      <c r="H319" s="284"/>
      <c r="I319" s="284"/>
      <c r="J319" s="284"/>
      <c r="K319" s="284"/>
      <c r="L319" s="284"/>
      <c r="M319" s="284"/>
      <c r="N319" s="284"/>
      <c r="O319" s="698"/>
      <c r="P319" s="695"/>
      <c r="Q319" s="343"/>
      <c r="R319" s="343"/>
      <c r="S319" s="343"/>
      <c r="T319" s="729"/>
      <c r="U319" s="343"/>
      <c r="V319" s="343"/>
    </row>
    <row r="320" spans="1:22" ht="12.65" customHeight="1" x14ac:dyDescent="0.25">
      <c r="A320" s="343"/>
      <c r="B320" s="698"/>
      <c r="C320" s="1084"/>
      <c r="D320" s="1084"/>
      <c r="E320" s="2671" t="str">
        <f>E_EnergyFlows!E191</f>
        <v>Топлинна енергия извън СТЕ, въведена в работен лист „F_ProductBM“, сравнена с общото количество топлинна енергия, получена от извън СТЕ, въведено по-горе по буква c):</v>
      </c>
      <c r="F320" s="2672"/>
      <c r="G320" s="2672"/>
      <c r="H320" s="2672"/>
      <c r="I320" s="2672"/>
      <c r="J320" s="2672"/>
      <c r="K320" s="2672"/>
      <c r="L320" s="2672"/>
      <c r="M320" s="2672"/>
      <c r="N320" s="2672"/>
      <c r="O320" s="698"/>
      <c r="P320" s="343"/>
      <c r="Q320" s="343"/>
      <c r="R320" s="343"/>
      <c r="S320" s="343"/>
      <c r="T320" s="729"/>
      <c r="U320" s="343"/>
      <c r="V320" s="343"/>
    </row>
    <row r="321" spans="1:22" ht="12.65" customHeight="1" x14ac:dyDescent="0.25">
      <c r="A321" s="343"/>
      <c r="B321" s="698"/>
      <c r="C321" s="1084"/>
      <c r="D321" s="360"/>
      <c r="E321" s="2687" t="str">
        <f>E_EnergyFlows!E192</f>
        <v>Точка xii във връзка с буква c) по-горе:</v>
      </c>
      <c r="F321" s="2258"/>
      <c r="G321" s="1038" t="str">
        <f>E_EnergyFlows!G192</f>
        <v>%</v>
      </c>
      <c r="H321" s="84" t="str">
        <f>E_EnergyFlows!H192</f>
        <v/>
      </c>
      <c r="I321" s="84" t="str">
        <f>E_EnergyFlows!I192</f>
        <v/>
      </c>
      <c r="J321" s="84" t="str">
        <f>E_EnergyFlows!J192</f>
        <v/>
      </c>
      <c r="K321" s="22" t="str">
        <f>E_EnergyFlows!K192</f>
        <v/>
      </c>
      <c r="L321" s="22" t="str">
        <f>E_EnergyFlows!L192</f>
        <v/>
      </c>
      <c r="M321" s="22" t="str">
        <f>E_EnergyFlows!M192</f>
        <v/>
      </c>
      <c r="N321" s="22" t="str">
        <f>E_EnergyFlows!N192</f>
        <v/>
      </c>
      <c r="O321" s="698"/>
      <c r="P321" s="343"/>
      <c r="Q321" s="343"/>
      <c r="R321" s="343"/>
      <c r="S321" s="343"/>
      <c r="T321" s="729"/>
      <c r="U321" s="343"/>
      <c r="V321" s="343"/>
    </row>
    <row r="322" spans="1:22" ht="5.15" customHeight="1" x14ac:dyDescent="0.25">
      <c r="A322" s="343"/>
      <c r="B322" s="698"/>
      <c r="C322" s="698"/>
      <c r="D322" s="698"/>
      <c r="E322" s="698"/>
      <c r="F322" s="698"/>
      <c r="G322" s="698"/>
      <c r="H322" s="698"/>
      <c r="I322" s="698"/>
      <c r="J322" s="698"/>
      <c r="K322" s="698"/>
      <c r="L322" s="698"/>
      <c r="M322" s="698"/>
      <c r="N322" s="698"/>
      <c r="O322" s="698"/>
      <c r="P322" s="343"/>
      <c r="Q322" s="343"/>
      <c r="R322" s="343"/>
      <c r="S322" s="343"/>
      <c r="T322" s="729"/>
      <c r="U322" s="343"/>
      <c r="V322" s="343"/>
    </row>
    <row r="323" spans="1:22" ht="13" customHeight="1" x14ac:dyDescent="0.25">
      <c r="A323" s="343"/>
      <c r="B323" s="698"/>
      <c r="C323" s="300"/>
      <c r="D323" s="300" t="str">
        <f>E_EnergyFlows!D194</f>
        <v>(i)</v>
      </c>
      <c r="E323" s="2463" t="str">
        <f>E_EnergyFlows!E194</f>
        <v>Топлинна енергия, подадена към инсталации по СТЕ (която не отговаря на условията за топлинен показател):</v>
      </c>
      <c r="F323" s="2240"/>
      <c r="G323" s="2240"/>
      <c r="H323" s="2240"/>
      <c r="I323" s="2240"/>
      <c r="J323" s="2240"/>
      <c r="K323" s="2240"/>
      <c r="L323" s="2240"/>
      <c r="M323" s="2240"/>
      <c r="N323" s="2240"/>
      <c r="O323" s="698"/>
      <c r="P323" s="343"/>
      <c r="Q323" s="343"/>
      <c r="R323" s="343"/>
      <c r="S323" s="343"/>
      <c r="T323" s="729"/>
      <c r="U323" s="343"/>
      <c r="V323" s="343"/>
    </row>
    <row r="324" spans="1:22" ht="13" customHeight="1" x14ac:dyDescent="0.25">
      <c r="A324" s="343"/>
      <c r="B324" s="698"/>
      <c r="C324" s="698"/>
      <c r="D324" s="698"/>
      <c r="E324" s="2671" t="str">
        <f>E_EnergyFlows!E198</f>
        <v>Наименование на инсталацията</v>
      </c>
      <c r="F324" s="2672"/>
      <c r="G324" s="527" t="str">
        <f>E_EnergyFlows!G198</f>
        <v>Единица мярка</v>
      </c>
      <c r="H324" s="387">
        <f>E_EnergyFlows!H198</f>
        <v>2024</v>
      </c>
      <c r="I324" s="387">
        <f>E_EnergyFlows!I198</f>
        <v>2025</v>
      </c>
      <c r="J324" s="387">
        <f>E_EnergyFlows!J198</f>
        <v>2026</v>
      </c>
      <c r="K324" s="387">
        <f>E_EnergyFlows!K198</f>
        <v>2027</v>
      </c>
      <c r="L324" s="387">
        <f>E_EnergyFlows!L198</f>
        <v>2028</v>
      </c>
      <c r="M324" s="387">
        <f>E_EnergyFlows!M198</f>
        <v>2029</v>
      </c>
      <c r="N324" s="387">
        <f>E_EnergyFlows!N198</f>
        <v>2030</v>
      </c>
      <c r="O324" s="698"/>
      <c r="P324" s="343"/>
      <c r="Q324" s="343"/>
      <c r="R324" s="343"/>
      <c r="S324" s="343"/>
      <c r="T324" s="729"/>
      <c r="U324" s="343"/>
      <c r="V324" s="343"/>
    </row>
    <row r="325" spans="1:22" x14ac:dyDescent="0.25">
      <c r="A325" s="343"/>
      <c r="B325" s="698"/>
      <c r="C325" s="1084"/>
      <c r="D325" s="1084"/>
      <c r="E325" s="3045" t="str">
        <f>IF(ISBLANK(E_EnergyFlows!E199),"",E_EnergyFlows!E199)</f>
        <v/>
      </c>
      <c r="F325" s="2701"/>
      <c r="G325" s="1100" t="str">
        <f>E_EnergyFlows!G199</f>
        <v>TJ / година</v>
      </c>
      <c r="H325" s="1670" t="str">
        <f>IF(ISBLANK(E_EnergyFlows!H199),"",E_EnergyFlows!H199)</f>
        <v/>
      </c>
      <c r="I325" s="1670" t="str">
        <f>IF(ISBLANK(E_EnergyFlows!I199),"",E_EnergyFlows!I199)</f>
        <v/>
      </c>
      <c r="J325" s="1670" t="str">
        <f>IF(ISBLANK(E_EnergyFlows!J199),"",E_EnergyFlows!J199)</f>
        <v/>
      </c>
      <c r="K325" s="1591" t="str">
        <f>IF(ISBLANK(E_EnergyFlows!K199),"",E_EnergyFlows!K199)</f>
        <v/>
      </c>
      <c r="L325" s="1591" t="str">
        <f>IF(ISBLANK(E_EnergyFlows!L199),"",E_EnergyFlows!L199)</f>
        <v/>
      </c>
      <c r="M325" s="1591" t="str">
        <f>IF(ISBLANK(E_EnergyFlows!M199),"",E_EnergyFlows!M199)</f>
        <v/>
      </c>
      <c r="N325" s="1591" t="str">
        <f>IF(ISBLANK(E_EnergyFlows!N199),"",E_EnergyFlows!N199)</f>
        <v/>
      </c>
      <c r="O325" s="698"/>
      <c r="P325" s="343"/>
      <c r="Q325" s="343"/>
      <c r="R325" s="343"/>
      <c r="S325" s="343"/>
      <c r="T325" s="729"/>
      <c r="U325" s="343"/>
      <c r="V325" s="343"/>
    </row>
    <row r="326" spans="1:22" x14ac:dyDescent="0.25">
      <c r="A326" s="343"/>
      <c r="B326" s="698"/>
      <c r="C326" s="1084"/>
      <c r="D326" s="1084"/>
      <c r="E326" s="2995" t="str">
        <f>IF(ISBLANK(E_EnergyFlows!E200),"",E_EnergyFlows!E200)</f>
        <v/>
      </c>
      <c r="F326" s="2703"/>
      <c r="G326" s="990" t="str">
        <f>E_EnergyFlows!G200</f>
        <v>TJ / година</v>
      </c>
      <c r="H326" s="1666" t="str">
        <f>IF(ISBLANK(E_EnergyFlows!H200),"",E_EnergyFlows!H200)</f>
        <v/>
      </c>
      <c r="I326" s="1666" t="str">
        <f>IF(ISBLANK(E_EnergyFlows!I200),"",E_EnergyFlows!I200)</f>
        <v/>
      </c>
      <c r="J326" s="1666" t="str">
        <f>IF(ISBLANK(E_EnergyFlows!J200),"",E_EnergyFlows!J200)</f>
        <v/>
      </c>
      <c r="K326" s="1127" t="str">
        <f>IF(ISBLANK(E_EnergyFlows!K200),"",E_EnergyFlows!K200)</f>
        <v/>
      </c>
      <c r="L326" s="1127" t="str">
        <f>IF(ISBLANK(E_EnergyFlows!L200),"",E_EnergyFlows!L200)</f>
        <v/>
      </c>
      <c r="M326" s="1127" t="str">
        <f>IF(ISBLANK(E_EnergyFlows!M200),"",E_EnergyFlows!M200)</f>
        <v/>
      </c>
      <c r="N326" s="1127" t="str">
        <f>IF(ISBLANK(E_EnergyFlows!N200),"",E_EnergyFlows!N200)</f>
        <v/>
      </c>
      <c r="O326" s="698"/>
      <c r="P326" s="343"/>
      <c r="Q326" s="343"/>
      <c r="R326" s="343"/>
      <c r="S326" s="343"/>
      <c r="T326" s="729"/>
      <c r="U326" s="343"/>
      <c r="V326" s="343"/>
    </row>
    <row r="327" spans="1:22" x14ac:dyDescent="0.25">
      <c r="A327" s="343"/>
      <c r="B327" s="698"/>
      <c r="C327" s="1084"/>
      <c r="D327" s="1084"/>
      <c r="E327" s="2995" t="str">
        <f>IF(ISBLANK(E_EnergyFlows!E201),"",E_EnergyFlows!E201)</f>
        <v/>
      </c>
      <c r="F327" s="2703"/>
      <c r="G327" s="990" t="str">
        <f>E_EnergyFlows!G201</f>
        <v>TJ / година</v>
      </c>
      <c r="H327" s="1666" t="str">
        <f>IF(ISBLANK(E_EnergyFlows!H201),"",E_EnergyFlows!H201)</f>
        <v/>
      </c>
      <c r="I327" s="1666" t="str">
        <f>IF(ISBLANK(E_EnergyFlows!I201),"",E_EnergyFlows!I201)</f>
        <v/>
      </c>
      <c r="J327" s="1666" t="str">
        <f>IF(ISBLANK(E_EnergyFlows!J201),"",E_EnergyFlows!J201)</f>
        <v/>
      </c>
      <c r="K327" s="1127" t="str">
        <f>IF(ISBLANK(E_EnergyFlows!K201),"",E_EnergyFlows!K201)</f>
        <v/>
      </c>
      <c r="L327" s="1127" t="str">
        <f>IF(ISBLANK(E_EnergyFlows!L201),"",E_EnergyFlows!L201)</f>
        <v/>
      </c>
      <c r="M327" s="1127" t="str">
        <f>IF(ISBLANK(E_EnergyFlows!M201),"",E_EnergyFlows!M201)</f>
        <v/>
      </c>
      <c r="N327" s="1127" t="str">
        <f>IF(ISBLANK(E_EnergyFlows!N201),"",E_EnergyFlows!N201)</f>
        <v/>
      </c>
      <c r="O327" s="698"/>
      <c r="P327" s="343"/>
      <c r="Q327" s="343"/>
      <c r="R327" s="343"/>
      <c r="S327" s="343"/>
      <c r="T327" s="729"/>
      <c r="U327" s="343"/>
      <c r="V327" s="343"/>
    </row>
    <row r="328" spans="1:22" x14ac:dyDescent="0.25">
      <c r="A328" s="343"/>
      <c r="B328" s="698"/>
      <c r="C328" s="1084"/>
      <c r="D328" s="1084"/>
      <c r="E328" s="2995" t="str">
        <f>IF(ISBLANK(E_EnergyFlows!E202),"",E_EnergyFlows!E202)</f>
        <v/>
      </c>
      <c r="F328" s="2703"/>
      <c r="G328" s="990" t="str">
        <f>E_EnergyFlows!G202</f>
        <v>TJ / година</v>
      </c>
      <c r="H328" s="1666" t="str">
        <f>IF(ISBLANK(E_EnergyFlows!H202),"",E_EnergyFlows!H202)</f>
        <v/>
      </c>
      <c r="I328" s="1666" t="str">
        <f>IF(ISBLANK(E_EnergyFlows!I202),"",E_EnergyFlows!I202)</f>
        <v/>
      </c>
      <c r="J328" s="1666" t="str">
        <f>IF(ISBLANK(E_EnergyFlows!J202),"",E_EnergyFlows!J202)</f>
        <v/>
      </c>
      <c r="K328" s="1127" t="str">
        <f>IF(ISBLANK(E_EnergyFlows!K202),"",E_EnergyFlows!K202)</f>
        <v/>
      </c>
      <c r="L328" s="1127" t="str">
        <f>IF(ISBLANK(E_EnergyFlows!L202),"",E_EnergyFlows!L202)</f>
        <v/>
      </c>
      <c r="M328" s="1127" t="str">
        <f>IF(ISBLANK(E_EnergyFlows!M202),"",E_EnergyFlows!M202)</f>
        <v/>
      </c>
      <c r="N328" s="1127" t="str">
        <f>IF(ISBLANK(E_EnergyFlows!N202),"",E_EnergyFlows!N202)</f>
        <v/>
      </c>
      <c r="O328" s="698"/>
      <c r="P328" s="343"/>
      <c r="Q328" s="343"/>
      <c r="R328" s="343"/>
      <c r="S328" s="343"/>
      <c r="T328" s="729"/>
      <c r="U328" s="343"/>
      <c r="V328" s="343"/>
    </row>
    <row r="329" spans="1:22" x14ac:dyDescent="0.25">
      <c r="A329" s="343"/>
      <c r="B329" s="698"/>
      <c r="C329" s="1084"/>
      <c r="D329" s="1084"/>
      <c r="E329" s="2997" t="str">
        <f>IF(ISBLANK(E_EnergyFlows!E203),"",E_EnergyFlows!E203)</f>
        <v/>
      </c>
      <c r="F329" s="2705"/>
      <c r="G329" s="994" t="str">
        <f>E_EnergyFlows!G203</f>
        <v>TJ / година</v>
      </c>
      <c r="H329" s="1655" t="str">
        <f>IF(ISBLANK(E_EnergyFlows!H203),"",E_EnergyFlows!H203)</f>
        <v/>
      </c>
      <c r="I329" s="1655" t="str">
        <f>IF(ISBLANK(E_EnergyFlows!I203),"",E_EnergyFlows!I203)</f>
        <v/>
      </c>
      <c r="J329" s="1655" t="str">
        <f>IF(ISBLANK(E_EnergyFlows!J203),"",E_EnergyFlows!J203)</f>
        <v/>
      </c>
      <c r="K329" s="1128" t="str">
        <f>IF(ISBLANK(E_EnergyFlows!K203),"",E_EnergyFlows!K203)</f>
        <v/>
      </c>
      <c r="L329" s="1128" t="str">
        <f>IF(ISBLANK(E_EnergyFlows!L203),"",E_EnergyFlows!L203)</f>
        <v/>
      </c>
      <c r="M329" s="1128" t="str">
        <f>IF(ISBLANK(E_EnergyFlows!M203),"",E_EnergyFlows!M203)</f>
        <v/>
      </c>
      <c r="N329" s="1128" t="str">
        <f>IF(ISBLANK(E_EnergyFlows!N203),"",E_EnergyFlows!N203)</f>
        <v/>
      </c>
      <c r="O329" s="698"/>
      <c r="P329" s="343"/>
      <c r="Q329" s="343"/>
      <c r="R329" s="343"/>
      <c r="S329" s="343"/>
      <c r="T329" s="729"/>
      <c r="U329" s="343"/>
      <c r="V329" s="343"/>
    </row>
    <row r="330" spans="1:22" ht="12.65" customHeight="1" x14ac:dyDescent="0.25">
      <c r="A330" s="343"/>
      <c r="B330" s="698"/>
      <c r="C330" s="1084"/>
      <c r="D330" s="1084"/>
      <c r="E330" s="2667" t="str">
        <f>E_EnergyFlows!E204</f>
        <v>Общо топлинна енергия, подадена към инсталации по СТЕ</v>
      </c>
      <c r="F330" s="2258"/>
      <c r="G330" s="1101" t="str">
        <f>E_EnergyFlows!G204</f>
        <v>TJ / година</v>
      </c>
      <c r="H330" s="1671" t="str">
        <f>E_EnergyFlows!H204</f>
        <v/>
      </c>
      <c r="I330" s="1671" t="str">
        <f>E_EnergyFlows!I204</f>
        <v/>
      </c>
      <c r="J330" s="1671" t="str">
        <f>E_EnergyFlows!J204</f>
        <v/>
      </c>
      <c r="K330" s="1102" t="str">
        <f>E_EnergyFlows!K204</f>
        <v/>
      </c>
      <c r="L330" s="1102" t="str">
        <f>E_EnergyFlows!L204</f>
        <v/>
      </c>
      <c r="M330" s="1102" t="str">
        <f>E_EnergyFlows!M204</f>
        <v/>
      </c>
      <c r="N330" s="1102" t="str">
        <f>E_EnergyFlows!N204</f>
        <v/>
      </c>
      <c r="O330" s="698"/>
      <c r="P330" s="343"/>
      <c r="Q330" s="343"/>
      <c r="R330" s="343"/>
      <c r="S330" s="343"/>
      <c r="T330" s="729"/>
      <c r="U330" s="343"/>
      <c r="V330" s="343"/>
    </row>
    <row r="331" spans="1:22" ht="5.15" customHeight="1" x14ac:dyDescent="0.25">
      <c r="A331" s="343"/>
      <c r="B331" s="284"/>
      <c r="C331" s="284"/>
      <c r="D331" s="284"/>
      <c r="E331" s="284"/>
      <c r="F331" s="284"/>
      <c r="G331" s="284"/>
      <c r="H331" s="284"/>
      <c r="I331" s="284"/>
      <c r="J331" s="284"/>
      <c r="K331" s="284"/>
      <c r="L331" s="284"/>
      <c r="M331" s="284"/>
      <c r="N331" s="284"/>
      <c r="O331" s="698"/>
      <c r="P331" s="695"/>
      <c r="Q331" s="343"/>
      <c r="R331" s="343"/>
      <c r="S331" s="343"/>
      <c r="T331" s="729"/>
      <c r="U331" s="343"/>
      <c r="V331" s="343"/>
    </row>
    <row r="332" spans="1:22" ht="13" customHeight="1" x14ac:dyDescent="0.25">
      <c r="A332" s="343"/>
      <c r="B332" s="284"/>
      <c r="C332" s="300"/>
      <c r="D332" s="300" t="str">
        <f>E_EnergyFlows!D208</f>
        <v>(j)</v>
      </c>
      <c r="E332" s="2463" t="str">
        <f>E_EnergyFlows!E208</f>
        <v>Междинен сбор: оставащо общо количество измерима топлинна енергия, която потенциално е от подинсталации с топлинен показател (=e-g-h-i):</v>
      </c>
      <c r="F332" s="2240"/>
      <c r="G332" s="2240"/>
      <c r="H332" s="2240"/>
      <c r="I332" s="2240"/>
      <c r="J332" s="2240"/>
      <c r="K332" s="2240"/>
      <c r="L332" s="2240"/>
      <c r="M332" s="2240"/>
      <c r="N332" s="2240"/>
      <c r="O332" s="698"/>
      <c r="P332" s="695"/>
      <c r="Q332" s="343"/>
      <c r="R332" s="343"/>
      <c r="S332" s="343"/>
      <c r="T332" s="729"/>
      <c r="U332" s="343"/>
      <c r="V332" s="343"/>
    </row>
    <row r="333" spans="1:22" ht="5.15" customHeight="1" x14ac:dyDescent="0.25">
      <c r="A333" s="343"/>
      <c r="B333" s="284"/>
      <c r="C333" s="284"/>
      <c r="D333" s="284"/>
      <c r="E333" s="284"/>
      <c r="F333" s="284"/>
      <c r="G333" s="284"/>
      <c r="H333" s="284"/>
      <c r="I333" s="284"/>
      <c r="J333" s="284"/>
      <c r="K333" s="284"/>
      <c r="L333" s="284"/>
      <c r="M333" s="284"/>
      <c r="N333" s="284"/>
      <c r="O333" s="698"/>
      <c r="P333" s="695"/>
      <c r="Q333" s="343"/>
      <c r="R333" s="343"/>
      <c r="S333" s="343"/>
      <c r="T333" s="729"/>
      <c r="U333" s="343"/>
      <c r="V333" s="343"/>
    </row>
    <row r="334" spans="1:22" ht="13" x14ac:dyDescent="0.25">
      <c r="A334" s="343"/>
      <c r="B334" s="698"/>
      <c r="C334" s="698"/>
      <c r="D334" s="698"/>
      <c r="E334" s="461"/>
      <c r="F334" s="742"/>
      <c r="G334" s="527" t="str">
        <f>E_EnergyFlows!G210</f>
        <v>Единица мярка</v>
      </c>
      <c r="H334" s="391">
        <f>E_EnergyFlows!H210</f>
        <v>2024</v>
      </c>
      <c r="I334" s="391">
        <f>E_EnergyFlows!I210</f>
        <v>2025</v>
      </c>
      <c r="J334" s="391">
        <f>E_EnergyFlows!J210</f>
        <v>2026</v>
      </c>
      <c r="K334" s="391">
        <f>E_EnergyFlows!K210</f>
        <v>2027</v>
      </c>
      <c r="L334" s="391">
        <f>E_EnergyFlows!L210</f>
        <v>2028</v>
      </c>
      <c r="M334" s="391">
        <f>E_EnergyFlows!M210</f>
        <v>2029</v>
      </c>
      <c r="N334" s="391">
        <f>E_EnergyFlows!N210</f>
        <v>2030</v>
      </c>
      <c r="O334" s="698"/>
      <c r="P334" s="343"/>
      <c r="Q334" s="343"/>
      <c r="R334" s="343"/>
      <c r="S334" s="343"/>
      <c r="T334" s="729"/>
      <c r="U334" s="343"/>
      <c r="V334" s="343"/>
    </row>
    <row r="335" spans="1:22" x14ac:dyDescent="0.25">
      <c r="A335" s="343"/>
      <c r="B335" s="698"/>
      <c r="C335" s="1084"/>
      <c r="D335" s="1084"/>
      <c r="E335" s="2687" t="str">
        <f>E_EnergyFlows!E211</f>
        <v>Междинен сбор:</v>
      </c>
      <c r="F335" s="2258"/>
      <c r="G335" s="1038" t="str">
        <f>E_EnergyFlows!G211</f>
        <v>TJ / година</v>
      </c>
      <c r="H335" s="1653" t="str">
        <f>E_EnergyFlows!H211</f>
        <v/>
      </c>
      <c r="I335" s="1653" t="str">
        <f>E_EnergyFlows!I211</f>
        <v/>
      </c>
      <c r="J335" s="1653" t="str">
        <f>E_EnergyFlows!J211</f>
        <v/>
      </c>
      <c r="K335" s="1024" t="str">
        <f>E_EnergyFlows!K211</f>
        <v/>
      </c>
      <c r="L335" s="1024" t="str">
        <f>E_EnergyFlows!L211</f>
        <v/>
      </c>
      <c r="M335" s="1024" t="str">
        <f>E_EnergyFlows!M211</f>
        <v/>
      </c>
      <c r="N335" s="1024" t="str">
        <f>E_EnergyFlows!N211</f>
        <v/>
      </c>
      <c r="O335" s="698"/>
      <c r="P335" s="343"/>
      <c r="Q335" s="343"/>
      <c r="R335" s="343"/>
      <c r="S335" s="343"/>
      <c r="T335" s="729"/>
      <c r="U335" s="343"/>
      <c r="V335" s="343"/>
    </row>
    <row r="336" spans="1:22" ht="5.15" customHeight="1" x14ac:dyDescent="0.25">
      <c r="A336" s="343"/>
      <c r="B336" s="284"/>
      <c r="C336" s="284"/>
      <c r="D336" s="284"/>
      <c r="E336" s="284"/>
      <c r="F336" s="284"/>
      <c r="G336" s="284"/>
      <c r="H336" s="284"/>
      <c r="I336" s="284"/>
      <c r="J336" s="284"/>
      <c r="K336" s="284"/>
      <c r="L336" s="284"/>
      <c r="M336" s="284"/>
      <c r="N336" s="284"/>
      <c r="O336" s="698"/>
      <c r="P336" s="695"/>
      <c r="Q336" s="343"/>
      <c r="R336" s="343"/>
      <c r="S336" s="343"/>
      <c r="T336" s="729"/>
      <c r="U336" s="343"/>
      <c r="V336" s="343"/>
    </row>
    <row r="337" spans="1:22" ht="12.65" customHeight="1" x14ac:dyDescent="0.25">
      <c r="A337" s="343"/>
      <c r="B337" s="698"/>
      <c r="C337" s="1084"/>
      <c r="D337" s="1084"/>
      <c r="E337" s="3056" t="str">
        <f>E_EnergyFlows!E215</f>
        <v>отговаря на условията поради своя произход:</v>
      </c>
      <c r="F337" s="2701"/>
      <c r="G337" s="981" t="str">
        <f>E_EnergyFlows!G215</f>
        <v>TJ / година</v>
      </c>
      <c r="H337" s="1654" t="str">
        <f>E_EnergyFlows!H215</f>
        <v/>
      </c>
      <c r="I337" s="1654" t="str">
        <f>E_EnergyFlows!I215</f>
        <v/>
      </c>
      <c r="J337" s="1654" t="str">
        <f>E_EnergyFlows!J215</f>
        <v/>
      </c>
      <c r="K337" s="1103" t="str">
        <f>E_EnergyFlows!K215</f>
        <v/>
      </c>
      <c r="L337" s="1103" t="str">
        <f>E_EnergyFlows!L215</f>
        <v/>
      </c>
      <c r="M337" s="1103" t="str">
        <f>E_EnergyFlows!M215</f>
        <v/>
      </c>
      <c r="N337" s="1103" t="str">
        <f>E_EnergyFlows!N215</f>
        <v/>
      </c>
      <c r="O337" s="698"/>
      <c r="P337" s="343"/>
      <c r="Q337" s="343"/>
      <c r="R337" s="343"/>
      <c r="S337" s="343"/>
      <c r="T337" s="729"/>
      <c r="U337" s="343"/>
      <c r="V337" s="343"/>
    </row>
    <row r="338" spans="1:22" ht="12.65" customHeight="1" x14ac:dyDescent="0.25">
      <c r="A338" s="343"/>
      <c r="B338" s="698"/>
      <c r="C338" s="1084"/>
      <c r="D338" s="1084"/>
      <c r="E338" s="3011" t="str">
        <f>E_EnergyFlows!E216</f>
        <v>не отговаря на условията поради своя произход:</v>
      </c>
      <c r="F338" s="2705"/>
      <c r="G338" s="994" t="str">
        <f>E_EnergyFlows!G216</f>
        <v>TJ / година</v>
      </c>
      <c r="H338" s="1655" t="str">
        <f>E_EnergyFlows!H216</f>
        <v/>
      </c>
      <c r="I338" s="1655" t="str">
        <f>E_EnergyFlows!I216</f>
        <v/>
      </c>
      <c r="J338" s="1655" t="str">
        <f>E_EnergyFlows!J216</f>
        <v/>
      </c>
      <c r="K338" s="1104" t="str">
        <f>E_EnergyFlows!K216</f>
        <v/>
      </c>
      <c r="L338" s="1104" t="str">
        <f>E_EnergyFlows!L216</f>
        <v/>
      </c>
      <c r="M338" s="1104" t="str">
        <f>E_EnergyFlows!M216</f>
        <v/>
      </c>
      <c r="N338" s="1104" t="str">
        <f>E_EnergyFlows!N216</f>
        <v/>
      </c>
      <c r="O338" s="698"/>
      <c r="P338" s="343"/>
      <c r="Q338" s="343"/>
      <c r="R338" s="343"/>
      <c r="S338" s="343"/>
      <c r="T338" s="729"/>
      <c r="U338" s="343"/>
      <c r="V338" s="343"/>
    </row>
    <row r="339" spans="1:22" ht="5.15" customHeight="1" x14ac:dyDescent="0.25">
      <c r="A339" s="343"/>
      <c r="B339" s="698"/>
      <c r="C339" s="698"/>
      <c r="D339" s="698"/>
      <c r="E339" s="698"/>
      <c r="F339" s="698"/>
      <c r="G339" s="698"/>
      <c r="H339" s="698"/>
      <c r="I339" s="698"/>
      <c r="J339" s="698"/>
      <c r="K339" s="698"/>
      <c r="L339" s="698"/>
      <c r="M339" s="698"/>
      <c r="N339" s="698"/>
      <c r="O339" s="698"/>
      <c r="P339" s="343"/>
      <c r="Q339" s="343"/>
      <c r="R339" s="343"/>
      <c r="S339" s="343"/>
      <c r="T339" s="729"/>
      <c r="U339" s="343"/>
      <c r="V339" s="343"/>
    </row>
    <row r="340" spans="1:22" ht="13" customHeight="1" x14ac:dyDescent="0.25">
      <c r="A340" s="343"/>
      <c r="B340" s="284"/>
      <c r="C340" s="300"/>
      <c r="D340" s="300" t="str">
        <f>E_EnergyFlows!D218</f>
        <v>(k)</v>
      </c>
      <c r="E340" s="2671" t="str">
        <f>E_EnergyFlows!E218</f>
        <v>Съотношение за допустимост за останалата топлинна енергия, изчислена съгласно буква j):</v>
      </c>
      <c r="F340" s="2672"/>
      <c r="G340" s="2672"/>
      <c r="H340" s="2672"/>
      <c r="I340" s="2672"/>
      <c r="J340" s="2672"/>
      <c r="K340" s="2672"/>
      <c r="L340" s="2672"/>
      <c r="M340" s="2672"/>
      <c r="N340" s="2672"/>
      <c r="O340" s="698"/>
      <c r="P340" s="695"/>
      <c r="Q340" s="343"/>
      <c r="R340" s="343"/>
      <c r="S340" s="343"/>
      <c r="T340" s="729"/>
      <c r="U340" s="343"/>
      <c r="V340" s="343"/>
    </row>
    <row r="341" spans="1:22" ht="13" customHeight="1" x14ac:dyDescent="0.25">
      <c r="A341" s="343"/>
      <c r="B341" s="698"/>
      <c r="C341" s="1084"/>
      <c r="D341" s="1084"/>
      <c r="E341" s="3058" t="str">
        <f>E_EnergyFlows!E219</f>
        <v>коригирано съотношение за допустимост (=(j).ii / (j).i):</v>
      </c>
      <c r="F341" s="2258"/>
      <c r="G341" s="492" t="str">
        <f>E_EnergyFlows!G219</f>
        <v>%</v>
      </c>
      <c r="H341" s="493" t="str">
        <f>E_EnergyFlows!H219</f>
        <v/>
      </c>
      <c r="I341" s="493" t="str">
        <f>E_EnergyFlows!I219</f>
        <v/>
      </c>
      <c r="J341" s="493" t="str">
        <f>E_EnergyFlows!J219</f>
        <v/>
      </c>
      <c r="K341" s="553" t="str">
        <f>E_EnergyFlows!K219</f>
        <v/>
      </c>
      <c r="L341" s="553" t="str">
        <f>E_EnergyFlows!L219</f>
        <v/>
      </c>
      <c r="M341" s="553" t="str">
        <f>E_EnergyFlows!M219</f>
        <v/>
      </c>
      <c r="N341" s="553" t="str">
        <f>E_EnergyFlows!N219</f>
        <v/>
      </c>
      <c r="O341" s="698"/>
      <c r="P341" s="343"/>
      <c r="Q341" s="343"/>
      <c r="R341" s="343"/>
      <c r="S341" s="343"/>
      <c r="T341" s="729"/>
      <c r="U341" s="343"/>
      <c r="V341" s="343"/>
    </row>
    <row r="342" spans="1:22" ht="5.15" customHeight="1" x14ac:dyDescent="0.25">
      <c r="A342" s="343"/>
      <c r="B342" s="284"/>
      <c r="C342" s="284"/>
      <c r="D342" s="284"/>
      <c r="E342" s="284"/>
      <c r="F342" s="284"/>
      <c r="G342" s="284"/>
      <c r="H342" s="284"/>
      <c r="I342" s="284"/>
      <c r="J342" s="284"/>
      <c r="K342" s="284"/>
      <c r="L342" s="284"/>
      <c r="M342" s="284"/>
      <c r="N342" s="284"/>
      <c r="O342" s="698"/>
      <c r="P342" s="695"/>
      <c r="Q342" s="343"/>
      <c r="R342" s="343"/>
      <c r="S342" s="343"/>
      <c r="T342" s="729"/>
      <c r="U342" s="343"/>
      <c r="V342" s="343"/>
    </row>
    <row r="343" spans="1:22" ht="13" customHeight="1" x14ac:dyDescent="0.25">
      <c r="A343" s="343"/>
      <c r="B343" s="284"/>
      <c r="C343" s="300"/>
      <c r="D343" s="300" t="str">
        <f>E_EnergyFlows!D221</f>
        <v>(l)</v>
      </c>
      <c r="E343" s="2671" t="str">
        <f>E_EnergyFlows!E221</f>
        <v>Нетно количество измерима топлинна енергия, консумирана в инсталацията и отговаряща на условията съгласно топлинния показател:</v>
      </c>
      <c r="F343" s="2672"/>
      <c r="G343" s="2672"/>
      <c r="H343" s="2672"/>
      <c r="I343" s="2672"/>
      <c r="J343" s="2672"/>
      <c r="K343" s="2672"/>
      <c r="L343" s="2672"/>
      <c r="M343" s="2672"/>
      <c r="N343" s="2672"/>
      <c r="O343" s="698"/>
      <c r="P343" s="695"/>
      <c r="Q343" s="343"/>
      <c r="R343" s="343"/>
      <c r="S343" s="343"/>
      <c r="T343" s="729"/>
      <c r="U343" s="343"/>
      <c r="V343" s="343"/>
    </row>
    <row r="344" spans="1:22" ht="12.65" customHeight="1" x14ac:dyDescent="0.25">
      <c r="A344" s="343"/>
      <c r="B344" s="698"/>
      <c r="C344" s="698"/>
      <c r="D344" s="698"/>
      <c r="E344" s="2687" t="str">
        <f>E_EnergyFlows!E223</f>
        <v>Топлинна енергия, консумирана в рамките на инсталацията</v>
      </c>
      <c r="F344" s="2258"/>
      <c r="G344" s="1038" t="str">
        <f>E_EnergyFlows!G223</f>
        <v>TJ / година</v>
      </c>
      <c r="H344" s="1653" t="str">
        <f>IF(ISBLANK(E_EnergyFlows!H223),"",E_EnergyFlows!H223)</f>
        <v/>
      </c>
      <c r="I344" s="1653" t="str">
        <f>IF(ISBLANK(E_EnergyFlows!I223),"",E_EnergyFlows!I223)</f>
        <v/>
      </c>
      <c r="J344" s="1653" t="str">
        <f>IF(ISBLANK(E_EnergyFlows!J223),"",E_EnergyFlows!J223)</f>
        <v/>
      </c>
      <c r="K344" s="1020" t="str">
        <f>IF(ISBLANK(E_EnergyFlows!K223),"",E_EnergyFlows!K223)</f>
        <v/>
      </c>
      <c r="L344" s="1020" t="str">
        <f>IF(ISBLANK(E_EnergyFlows!L223),"",E_EnergyFlows!L223)</f>
        <v/>
      </c>
      <c r="M344" s="1020" t="str">
        <f>IF(ISBLANK(E_EnergyFlows!M223),"",E_EnergyFlows!M223)</f>
        <v/>
      </c>
      <c r="N344" s="1020" t="str">
        <f>IF(ISBLANK(E_EnergyFlows!N223),"",E_EnergyFlows!N223)</f>
        <v/>
      </c>
      <c r="O344" s="698"/>
      <c r="P344" s="343"/>
      <c r="Q344" s="343"/>
      <c r="R344" s="343"/>
      <c r="S344" s="343"/>
      <c r="T344" s="729"/>
      <c r="U344" s="343"/>
      <c r="V344" s="343"/>
    </row>
    <row r="345" spans="1:22" ht="5.15" customHeight="1" x14ac:dyDescent="0.25">
      <c r="A345" s="343"/>
      <c r="B345" s="284"/>
      <c r="C345" s="284"/>
      <c r="D345" s="284"/>
      <c r="E345" s="284"/>
      <c r="F345" s="284"/>
      <c r="G345" s="284"/>
      <c r="H345" s="284"/>
      <c r="I345" s="284"/>
      <c r="J345" s="284"/>
      <c r="K345" s="284"/>
      <c r="L345" s="284"/>
      <c r="M345" s="284"/>
      <c r="N345" s="284"/>
      <c r="O345" s="698"/>
      <c r="P345" s="695"/>
      <c r="Q345" s="343"/>
      <c r="R345" s="343"/>
      <c r="S345" s="343"/>
      <c r="T345" s="729"/>
      <c r="U345" s="343"/>
      <c r="V345" s="343"/>
    </row>
    <row r="346" spans="1:22" ht="13" customHeight="1" x14ac:dyDescent="0.25">
      <c r="A346" s="343"/>
      <c r="B346" s="698"/>
      <c r="C346" s="300"/>
      <c r="D346" s="300" t="str">
        <f>E_EnergyFlows!D225</f>
        <v>(m)</v>
      </c>
      <c r="E346" s="2463" t="str">
        <f>E_EnergyFlows!E225</f>
        <v>Топлинна енергия, подадена към инсталации или обекти, необхванати от СТЕ на ЕС (напр. топлофикационни мрежи):</v>
      </c>
      <c r="F346" s="2240"/>
      <c r="G346" s="2240"/>
      <c r="H346" s="2240"/>
      <c r="I346" s="2240"/>
      <c r="J346" s="2240"/>
      <c r="K346" s="2240"/>
      <c r="L346" s="2240"/>
      <c r="M346" s="2240"/>
      <c r="N346" s="2240"/>
      <c r="O346" s="698"/>
      <c r="P346" s="343"/>
      <c r="Q346" s="343"/>
      <c r="R346" s="343"/>
      <c r="S346" s="343"/>
      <c r="T346" s="729"/>
      <c r="U346" s="343"/>
      <c r="V346" s="343"/>
    </row>
    <row r="347" spans="1:22" ht="13" customHeight="1" x14ac:dyDescent="0.25">
      <c r="A347" s="343"/>
      <c r="B347" s="698"/>
      <c r="C347" s="698"/>
      <c r="D347" s="698"/>
      <c r="E347" s="2671" t="str">
        <f>E_EnergyFlows!E228</f>
        <v>Наименование на приемащия обект или инсталация</v>
      </c>
      <c r="F347" s="2672"/>
      <c r="G347" s="527" t="str">
        <f>E_EnergyFlows!G228</f>
        <v>Единица мярка</v>
      </c>
      <c r="H347" s="387">
        <f>E_EnergyFlows!H228</f>
        <v>2024</v>
      </c>
      <c r="I347" s="387">
        <f>E_EnergyFlows!I228</f>
        <v>2025</v>
      </c>
      <c r="J347" s="387">
        <f>E_EnergyFlows!J228</f>
        <v>2026</v>
      </c>
      <c r="K347" s="387">
        <f>E_EnergyFlows!K228</f>
        <v>2027</v>
      </c>
      <c r="L347" s="387">
        <f>E_EnergyFlows!L228</f>
        <v>2028</v>
      </c>
      <c r="M347" s="387">
        <f>E_EnergyFlows!M228</f>
        <v>2029</v>
      </c>
      <c r="N347" s="387">
        <f>E_EnergyFlows!N228</f>
        <v>2030</v>
      </c>
      <c r="O347" s="698"/>
      <c r="P347" s="343"/>
      <c r="Q347" s="343"/>
      <c r="R347" s="343"/>
      <c r="S347" s="343"/>
      <c r="T347" s="729"/>
      <c r="U347" s="343"/>
      <c r="V347" s="343"/>
    </row>
    <row r="348" spans="1:22" x14ac:dyDescent="0.25">
      <c r="A348" s="343"/>
      <c r="B348" s="698"/>
      <c r="C348" s="1084"/>
      <c r="D348" s="1084"/>
      <c r="E348" s="3045" t="str">
        <f>IF(ISBLANK(E_EnergyFlows!E229),"",E_EnergyFlows!E229)</f>
        <v/>
      </c>
      <c r="F348" s="2701"/>
      <c r="G348" s="990" t="str">
        <f>E_EnergyFlows!G229</f>
        <v>TJ / година</v>
      </c>
      <c r="H348" s="1670" t="str">
        <f>IF(ISBLANK(E_EnergyFlows!H229),"",E_EnergyFlows!H229)</f>
        <v/>
      </c>
      <c r="I348" s="1670" t="str">
        <f>IF(ISBLANK(E_EnergyFlows!I229),"",E_EnergyFlows!I229)</f>
        <v/>
      </c>
      <c r="J348" s="1670" t="str">
        <f>IF(ISBLANK(E_EnergyFlows!J229),"",E_EnergyFlows!J229)</f>
        <v/>
      </c>
      <c r="K348" s="1591" t="str">
        <f>IF(ISBLANK(E_EnergyFlows!K229),"",E_EnergyFlows!K229)</f>
        <v/>
      </c>
      <c r="L348" s="1591" t="str">
        <f>IF(ISBLANK(E_EnergyFlows!L229),"",E_EnergyFlows!L229)</f>
        <v/>
      </c>
      <c r="M348" s="1591" t="str">
        <f>IF(ISBLANK(E_EnergyFlows!M229),"",E_EnergyFlows!M229)</f>
        <v/>
      </c>
      <c r="N348" s="1591" t="str">
        <f>IF(ISBLANK(E_EnergyFlows!N229),"",E_EnergyFlows!N229)</f>
        <v/>
      </c>
      <c r="O348" s="698"/>
      <c r="P348" s="343"/>
      <c r="Q348" s="343"/>
      <c r="R348" s="343"/>
      <c r="S348" s="343"/>
      <c r="T348" s="729"/>
      <c r="U348" s="343"/>
      <c r="V348" s="343"/>
    </row>
    <row r="349" spans="1:22" x14ac:dyDescent="0.25">
      <c r="A349" s="343"/>
      <c r="B349" s="698"/>
      <c r="C349" s="1084"/>
      <c r="D349" s="1084"/>
      <c r="E349" s="2995" t="str">
        <f>IF(ISBLANK(E_EnergyFlows!E230),"",E_EnergyFlows!E230)</f>
        <v/>
      </c>
      <c r="F349" s="2703"/>
      <c r="G349" s="990" t="str">
        <f>E_EnergyFlows!G230</f>
        <v>TJ / година</v>
      </c>
      <c r="H349" s="1666" t="str">
        <f>IF(ISBLANK(E_EnergyFlows!H230),"",E_EnergyFlows!H230)</f>
        <v/>
      </c>
      <c r="I349" s="1666" t="str">
        <f>IF(ISBLANK(E_EnergyFlows!I230),"",E_EnergyFlows!I230)</f>
        <v/>
      </c>
      <c r="J349" s="1666" t="str">
        <f>IF(ISBLANK(E_EnergyFlows!J230),"",E_EnergyFlows!J230)</f>
        <v/>
      </c>
      <c r="K349" s="1127" t="str">
        <f>IF(ISBLANK(E_EnergyFlows!K230),"",E_EnergyFlows!K230)</f>
        <v/>
      </c>
      <c r="L349" s="1127" t="str">
        <f>IF(ISBLANK(E_EnergyFlows!L230),"",E_EnergyFlows!L230)</f>
        <v/>
      </c>
      <c r="M349" s="1127" t="str">
        <f>IF(ISBLANK(E_EnergyFlows!M230),"",E_EnergyFlows!M230)</f>
        <v/>
      </c>
      <c r="N349" s="1127" t="str">
        <f>IF(ISBLANK(E_EnergyFlows!N230),"",E_EnergyFlows!N230)</f>
        <v/>
      </c>
      <c r="O349" s="698"/>
      <c r="P349" s="343"/>
      <c r="Q349" s="343"/>
      <c r="R349" s="343"/>
      <c r="S349" s="343"/>
      <c r="T349" s="729"/>
      <c r="U349" s="343"/>
      <c r="V349" s="343"/>
    </row>
    <row r="350" spans="1:22" x14ac:dyDescent="0.25">
      <c r="A350" s="343"/>
      <c r="B350" s="698"/>
      <c r="C350" s="1084"/>
      <c r="D350" s="1084"/>
      <c r="E350" s="2995" t="str">
        <f>IF(ISBLANK(E_EnergyFlows!E231),"",E_EnergyFlows!E231)</f>
        <v/>
      </c>
      <c r="F350" s="2703"/>
      <c r="G350" s="990" t="str">
        <f>E_EnergyFlows!G231</f>
        <v>TJ / година</v>
      </c>
      <c r="H350" s="1666" t="str">
        <f>IF(ISBLANK(E_EnergyFlows!H231),"",E_EnergyFlows!H231)</f>
        <v/>
      </c>
      <c r="I350" s="1666" t="str">
        <f>IF(ISBLANK(E_EnergyFlows!I231),"",E_EnergyFlows!I231)</f>
        <v/>
      </c>
      <c r="J350" s="1666" t="str">
        <f>IF(ISBLANK(E_EnergyFlows!J231),"",E_EnergyFlows!J231)</f>
        <v/>
      </c>
      <c r="K350" s="1127" t="str">
        <f>IF(ISBLANK(E_EnergyFlows!K231),"",E_EnergyFlows!K231)</f>
        <v/>
      </c>
      <c r="L350" s="1127" t="str">
        <f>IF(ISBLANK(E_EnergyFlows!L231),"",E_EnergyFlows!L231)</f>
        <v/>
      </c>
      <c r="M350" s="1127" t="str">
        <f>IF(ISBLANK(E_EnergyFlows!M231),"",E_EnergyFlows!M231)</f>
        <v/>
      </c>
      <c r="N350" s="1127" t="str">
        <f>IF(ISBLANK(E_EnergyFlows!N231),"",E_EnergyFlows!N231)</f>
        <v/>
      </c>
      <c r="O350" s="698"/>
      <c r="P350" s="343"/>
      <c r="Q350" s="343"/>
      <c r="R350" s="343"/>
      <c r="S350" s="343"/>
      <c r="T350" s="729"/>
      <c r="U350" s="343"/>
      <c r="V350" s="343"/>
    </row>
    <row r="351" spans="1:22" x14ac:dyDescent="0.25">
      <c r="A351" s="343"/>
      <c r="B351" s="698"/>
      <c r="C351" s="1084"/>
      <c r="D351" s="1084"/>
      <c r="E351" s="2995" t="str">
        <f>IF(ISBLANK(E_EnergyFlows!E232),"",E_EnergyFlows!E232)</f>
        <v/>
      </c>
      <c r="F351" s="2703"/>
      <c r="G351" s="990" t="str">
        <f>E_EnergyFlows!G232</f>
        <v>TJ / година</v>
      </c>
      <c r="H351" s="1666" t="str">
        <f>IF(ISBLANK(E_EnergyFlows!H232),"",E_EnergyFlows!H232)</f>
        <v/>
      </c>
      <c r="I351" s="1666" t="str">
        <f>IF(ISBLANK(E_EnergyFlows!I232),"",E_EnergyFlows!I232)</f>
        <v/>
      </c>
      <c r="J351" s="1666" t="str">
        <f>IF(ISBLANK(E_EnergyFlows!J232),"",E_EnergyFlows!J232)</f>
        <v/>
      </c>
      <c r="K351" s="1127" t="str">
        <f>IF(ISBLANK(E_EnergyFlows!K232),"",E_EnergyFlows!K232)</f>
        <v/>
      </c>
      <c r="L351" s="1127" t="str">
        <f>IF(ISBLANK(E_EnergyFlows!L232),"",E_EnergyFlows!L232)</f>
        <v/>
      </c>
      <c r="M351" s="1127" t="str">
        <f>IF(ISBLANK(E_EnergyFlows!M232),"",E_EnergyFlows!M232)</f>
        <v/>
      </c>
      <c r="N351" s="1127" t="str">
        <f>IF(ISBLANK(E_EnergyFlows!N232),"",E_EnergyFlows!N232)</f>
        <v/>
      </c>
      <c r="O351" s="698"/>
      <c r="P351" s="343"/>
      <c r="Q351" s="343"/>
      <c r="R351" s="343"/>
      <c r="S351" s="343"/>
      <c r="T351" s="729"/>
      <c r="U351" s="343"/>
      <c r="V351" s="343"/>
    </row>
    <row r="352" spans="1:22" x14ac:dyDescent="0.25">
      <c r="A352" s="343"/>
      <c r="B352" s="698"/>
      <c r="C352" s="1084"/>
      <c r="D352" s="1084"/>
      <c r="E352" s="2997" t="str">
        <f>IF(ISBLANK(E_EnergyFlows!E233),"",E_EnergyFlows!E233)</f>
        <v/>
      </c>
      <c r="F352" s="2705"/>
      <c r="G352" s="994" t="str">
        <f>E_EnergyFlows!G233</f>
        <v>TJ / година</v>
      </c>
      <c r="H352" s="1655" t="str">
        <f>IF(ISBLANK(E_EnergyFlows!H233),"",E_EnergyFlows!H233)</f>
        <v/>
      </c>
      <c r="I352" s="1655" t="str">
        <f>IF(ISBLANK(E_EnergyFlows!I233),"",E_EnergyFlows!I233)</f>
        <v/>
      </c>
      <c r="J352" s="1655" t="str">
        <f>IF(ISBLANK(E_EnergyFlows!J233),"",E_EnergyFlows!J233)</f>
        <v/>
      </c>
      <c r="K352" s="1128" t="str">
        <f>IF(ISBLANK(E_EnergyFlows!K233),"",E_EnergyFlows!K233)</f>
        <v/>
      </c>
      <c r="L352" s="1128" t="str">
        <f>IF(ISBLANK(E_EnergyFlows!L233),"",E_EnergyFlows!L233)</f>
        <v/>
      </c>
      <c r="M352" s="1128" t="str">
        <f>IF(ISBLANK(E_EnergyFlows!M233),"",E_EnergyFlows!M233)</f>
        <v/>
      </c>
      <c r="N352" s="1128" t="str">
        <f>IF(ISBLANK(E_EnergyFlows!N233),"",E_EnergyFlows!N233)</f>
        <v/>
      </c>
      <c r="O352" s="698"/>
      <c r="P352" s="343"/>
      <c r="Q352" s="343"/>
      <c r="R352" s="343"/>
      <c r="S352" s="343"/>
      <c r="T352" s="729"/>
      <c r="U352" s="343"/>
      <c r="V352" s="343"/>
    </row>
    <row r="353" spans="1:22" ht="12.65" customHeight="1" x14ac:dyDescent="0.25">
      <c r="A353" s="343"/>
      <c r="B353" s="698"/>
      <c r="C353" s="1084"/>
      <c r="D353" s="1084"/>
      <c r="E353" s="2667" t="str">
        <f>E_EnergyFlows!E234</f>
        <v>Общо топлинна енергия, изнесена извън СТЕ:</v>
      </c>
      <c r="F353" s="2258"/>
      <c r="G353" s="1101" t="str">
        <f>E_EnergyFlows!G234</f>
        <v>TJ / година</v>
      </c>
      <c r="H353" s="1102" t="str">
        <f>E_EnergyFlows!H234</f>
        <v/>
      </c>
      <c r="I353" s="1102" t="str">
        <f>E_EnergyFlows!I234</f>
        <v/>
      </c>
      <c r="J353" s="1102" t="str">
        <f>E_EnergyFlows!J234</f>
        <v/>
      </c>
      <c r="K353" s="1102" t="str">
        <f>E_EnergyFlows!K234</f>
        <v/>
      </c>
      <c r="L353" s="1102" t="str">
        <f>E_EnergyFlows!L234</f>
        <v/>
      </c>
      <c r="M353" s="1102" t="str">
        <f>E_EnergyFlows!M234</f>
        <v/>
      </c>
      <c r="N353" s="1102" t="str">
        <f>E_EnergyFlows!N234</f>
        <v/>
      </c>
      <c r="O353" s="698"/>
      <c r="P353" s="343"/>
      <c r="Q353" s="343"/>
      <c r="R353" s="343"/>
      <c r="S353" s="343"/>
      <c r="T353" s="729"/>
      <c r="U353" s="343"/>
      <c r="V353" s="343"/>
    </row>
    <row r="354" spans="1:22" ht="5.15" customHeight="1" x14ac:dyDescent="0.25">
      <c r="A354" s="343"/>
      <c r="B354" s="284"/>
      <c r="C354" s="284"/>
      <c r="D354" s="284"/>
      <c r="E354" s="284"/>
      <c r="F354" s="284"/>
      <c r="G354" s="284"/>
      <c r="H354" s="284"/>
      <c r="I354" s="284"/>
      <c r="J354" s="284"/>
      <c r="K354" s="284"/>
      <c r="L354" s="284"/>
      <c r="M354" s="284"/>
      <c r="N354" s="284"/>
      <c r="O354" s="698"/>
      <c r="P354" s="695"/>
      <c r="Q354" s="343"/>
      <c r="R354" s="343"/>
      <c r="S354" s="343"/>
      <c r="T354" s="729"/>
      <c r="U354" s="343"/>
      <c r="V354" s="343"/>
    </row>
    <row r="355" spans="1:22" ht="13" customHeight="1" x14ac:dyDescent="0.25">
      <c r="A355" s="343"/>
      <c r="B355" s="698"/>
      <c r="C355" s="300"/>
      <c r="D355" s="300" t="str">
        <f>E_EnergyFlows!D236</f>
        <v>(n)</v>
      </c>
      <c r="E355" s="2463" t="str">
        <f>E_EnergyFlows!E236</f>
        <v>Загуба на топлинна енергия (=j-l-m)</v>
      </c>
      <c r="F355" s="2240"/>
      <c r="G355" s="2240"/>
      <c r="H355" s="2240"/>
      <c r="I355" s="2240"/>
      <c r="J355" s="2240"/>
      <c r="K355" s="2240"/>
      <c r="L355" s="2240"/>
      <c r="M355" s="2240"/>
      <c r="N355" s="2240"/>
      <c r="O355" s="698"/>
      <c r="P355" s="343"/>
      <c r="Q355" s="343"/>
      <c r="R355" s="343"/>
      <c r="S355" s="343"/>
      <c r="T355" s="729"/>
      <c r="U355" s="343"/>
      <c r="V355" s="343"/>
    </row>
    <row r="356" spans="1:22" ht="13" x14ac:dyDescent="0.25">
      <c r="A356" s="343"/>
      <c r="B356" s="698"/>
      <c r="C356" s="698"/>
      <c r="D356" s="698"/>
      <c r="E356" s="461"/>
      <c r="F356" s="742"/>
      <c r="G356" s="527" t="str">
        <f>E_EnergyFlows!G239</f>
        <v>Единица мярка</v>
      </c>
      <c r="H356" s="391">
        <f>E_EnergyFlows!H239</f>
        <v>2024</v>
      </c>
      <c r="I356" s="391">
        <f>E_EnergyFlows!I239</f>
        <v>2025</v>
      </c>
      <c r="J356" s="391">
        <f>E_EnergyFlows!J239</f>
        <v>2026</v>
      </c>
      <c r="K356" s="391">
        <f>E_EnergyFlows!K239</f>
        <v>2027</v>
      </c>
      <c r="L356" s="391">
        <f>E_EnergyFlows!L239</f>
        <v>2028</v>
      </c>
      <c r="M356" s="391">
        <f>E_EnergyFlows!M239</f>
        <v>2029</v>
      </c>
      <c r="N356" s="391">
        <f>E_EnergyFlows!N239</f>
        <v>2030</v>
      </c>
      <c r="O356" s="698"/>
      <c r="P356" s="343"/>
      <c r="Q356" s="343"/>
      <c r="R356" s="343"/>
      <c r="S356" s="343"/>
      <c r="T356" s="729"/>
      <c r="U356" s="343"/>
      <c r="V356" s="343"/>
    </row>
    <row r="357" spans="1:22" ht="12.65" customHeight="1" x14ac:dyDescent="0.25">
      <c r="A357" s="343"/>
      <c r="B357" s="698"/>
      <c r="C357" s="698"/>
      <c r="D357" s="1084"/>
      <c r="E357" s="2687" t="str">
        <f>E_EnergyFlows!E240</f>
        <v>Загуби на топлинна енергия (изчислени)</v>
      </c>
      <c r="F357" s="2258"/>
      <c r="G357" s="1038" t="str">
        <f>E_EnergyFlows!G240</f>
        <v>TJ / година</v>
      </c>
      <c r="H357" s="1653" t="str">
        <f>E_EnergyFlows!H240</f>
        <v/>
      </c>
      <c r="I357" s="1653" t="str">
        <f>E_EnergyFlows!I240</f>
        <v/>
      </c>
      <c r="J357" s="1653" t="str">
        <f>E_EnergyFlows!J240</f>
        <v/>
      </c>
      <c r="K357" s="1024" t="str">
        <f>E_EnergyFlows!K240</f>
        <v/>
      </c>
      <c r="L357" s="1024" t="str">
        <f>E_EnergyFlows!L240</f>
        <v/>
      </c>
      <c r="M357" s="1024" t="str">
        <f>E_EnergyFlows!M240</f>
        <v/>
      </c>
      <c r="N357" s="1024" t="str">
        <f>E_EnergyFlows!N240</f>
        <v/>
      </c>
      <c r="O357" s="698"/>
      <c r="P357" s="343"/>
      <c r="Q357" s="343"/>
      <c r="R357" s="343"/>
      <c r="S357" s="343"/>
      <c r="T357" s="729"/>
      <c r="U357" s="343"/>
      <c r="V357" s="343"/>
    </row>
    <row r="358" spans="1:22" ht="25.5" customHeight="1" x14ac:dyDescent="0.25">
      <c r="A358" s="343"/>
      <c r="B358" s="698"/>
      <c r="C358" s="698"/>
      <c r="D358" s="1084"/>
      <c r="E358" s="2687" t="str">
        <f>E_EnergyFlows!E241</f>
        <v>Загуби на топлинна енергия (дял на наличната топлинна енергия = e)</v>
      </c>
      <c r="F358" s="2258"/>
      <c r="G358" s="1038" t="str">
        <f>E_EnergyFlows!G241</f>
        <v>%</v>
      </c>
      <c r="H358" s="1653" t="str">
        <f>E_EnergyFlows!H241</f>
        <v/>
      </c>
      <c r="I358" s="1653" t="str">
        <f>E_EnergyFlows!I241</f>
        <v/>
      </c>
      <c r="J358" s="1653" t="str">
        <f>E_EnergyFlows!J241</f>
        <v/>
      </c>
      <c r="K358" s="1024" t="str">
        <f>E_EnergyFlows!K241</f>
        <v/>
      </c>
      <c r="L358" s="1024" t="str">
        <f>E_EnergyFlows!L241</f>
        <v/>
      </c>
      <c r="M358" s="1024" t="str">
        <f>E_EnergyFlows!M241</f>
        <v/>
      </c>
      <c r="N358" s="1024" t="str">
        <f>E_EnergyFlows!N241</f>
        <v/>
      </c>
      <c r="O358" s="698"/>
      <c r="P358" s="343"/>
      <c r="Q358" s="343"/>
      <c r="R358" s="343"/>
      <c r="S358" s="343"/>
      <c r="T358" s="729"/>
      <c r="U358" s="343"/>
      <c r="V358" s="343"/>
    </row>
    <row r="359" spans="1:22" ht="5.15" customHeight="1" x14ac:dyDescent="0.25">
      <c r="A359" s="343"/>
      <c r="B359" s="698"/>
      <c r="C359" s="698"/>
      <c r="D359" s="698"/>
      <c r="E359" s="698"/>
      <c r="F359" s="698"/>
      <c r="G359" s="698"/>
      <c r="H359" s="698"/>
      <c r="I359" s="698"/>
      <c r="J359" s="698"/>
      <c r="K359" s="698"/>
      <c r="L359" s="698"/>
      <c r="M359" s="698"/>
      <c r="N359" s="698"/>
      <c r="O359" s="698"/>
      <c r="P359" s="343"/>
      <c r="Q359" s="343"/>
      <c r="R359" s="343"/>
      <c r="S359" s="343"/>
      <c r="T359" s="729"/>
      <c r="U359" s="343"/>
      <c r="V359" s="343"/>
    </row>
    <row r="360" spans="1:22" ht="13" customHeight="1" x14ac:dyDescent="0.25">
      <c r="A360" s="343"/>
      <c r="B360" s="284"/>
      <c r="C360" s="300"/>
      <c r="D360" s="300" t="str">
        <f>E_EnergyFlows!D243</f>
        <v>(o)</v>
      </c>
      <c r="E360" s="2671" t="str">
        <f>E_EnergyFlows!E243</f>
        <v>Общо количество топлинна енергия, която потенциално е част от подинсталациите с топлинен показател или подинсталации на топлофикационна мрежа (=l+m):</v>
      </c>
      <c r="F360" s="2672"/>
      <c r="G360" s="2672"/>
      <c r="H360" s="2672"/>
      <c r="I360" s="2672"/>
      <c r="J360" s="2672"/>
      <c r="K360" s="2672"/>
      <c r="L360" s="2672"/>
      <c r="M360" s="2672"/>
      <c r="N360" s="2672"/>
      <c r="O360" s="698"/>
      <c r="P360" s="695"/>
      <c r="Q360" s="343"/>
      <c r="R360" s="343"/>
      <c r="S360" s="343"/>
      <c r="T360" s="729"/>
      <c r="U360" s="343"/>
      <c r="V360" s="343"/>
    </row>
    <row r="361" spans="1:22" ht="12.65" customHeight="1" x14ac:dyDescent="0.25">
      <c r="A361" s="343"/>
      <c r="B361" s="698"/>
      <c r="C361" s="698"/>
      <c r="D361" s="698"/>
      <c r="E361" s="2687" t="str">
        <f>E_EnergyFlows!E244</f>
        <v>Общо подинсталации с топлинен показател:</v>
      </c>
      <c r="F361" s="2258"/>
      <c r="G361" s="1038" t="str">
        <f>E_EnergyFlows!G244</f>
        <v>TJ / година</v>
      </c>
      <c r="H361" s="1653" t="str">
        <f>E_EnergyFlows!H244</f>
        <v/>
      </c>
      <c r="I361" s="1653" t="str">
        <f>E_EnergyFlows!I244</f>
        <v/>
      </c>
      <c r="J361" s="1653" t="str">
        <f>E_EnergyFlows!J244</f>
        <v/>
      </c>
      <c r="K361" s="1024" t="str">
        <f>E_EnergyFlows!K244</f>
        <v/>
      </c>
      <c r="L361" s="1024" t="str">
        <f>E_EnergyFlows!L244</f>
        <v/>
      </c>
      <c r="M361" s="1024" t="str">
        <f>E_EnergyFlows!M244</f>
        <v/>
      </c>
      <c r="N361" s="1024" t="str">
        <f>E_EnergyFlows!N244</f>
        <v/>
      </c>
      <c r="O361" s="698"/>
      <c r="P361" s="343"/>
      <c r="Q361" s="343"/>
      <c r="R361" s="343"/>
      <c r="S361" s="343"/>
      <c r="T361" s="729"/>
      <c r="U361" s="343"/>
      <c r="V361" s="343"/>
    </row>
    <row r="362" spans="1:22" ht="5.15" customHeight="1" x14ac:dyDescent="0.25">
      <c r="A362" s="343"/>
      <c r="B362" s="284"/>
      <c r="C362" s="284"/>
      <c r="D362" s="284"/>
      <c r="E362" s="284"/>
      <c r="F362" s="284"/>
      <c r="G362" s="284"/>
      <c r="H362" s="284"/>
      <c r="I362" s="284"/>
      <c r="J362" s="284"/>
      <c r="K362" s="284"/>
      <c r="L362" s="284"/>
      <c r="M362" s="284"/>
      <c r="N362" s="284"/>
      <c r="O362" s="698"/>
      <c r="P362" s="695"/>
      <c r="Q362" s="343"/>
      <c r="R362" s="343"/>
      <c r="S362" s="343"/>
      <c r="T362" s="729"/>
      <c r="U362" s="343"/>
      <c r="V362" s="343"/>
    </row>
    <row r="363" spans="1:22" ht="13" customHeight="1" x14ac:dyDescent="0.25">
      <c r="A363" s="343"/>
      <c r="B363" s="284"/>
      <c r="C363" s="300"/>
      <c r="D363" s="300" t="str">
        <f>E_EnergyFlows!D246</f>
        <v>(p)</v>
      </c>
      <c r="E363" s="2463" t="str">
        <f>E_EnergyFlows!E246</f>
        <v>Краен резултат: Количество топлинна енергия, която може да се разпредели на подинсталации с топлинен показател или подинсталации на топлофикационна мрежа</v>
      </c>
      <c r="F363" s="2240"/>
      <c r="G363" s="2240"/>
      <c r="H363" s="2240"/>
      <c r="I363" s="2240"/>
      <c r="J363" s="2240"/>
      <c r="K363" s="2240"/>
      <c r="L363" s="2240"/>
      <c r="M363" s="2240"/>
      <c r="N363" s="2240"/>
      <c r="O363" s="698"/>
      <c r="P363" s="695"/>
      <c r="Q363" s="343"/>
      <c r="R363" s="343"/>
      <c r="S363" s="343"/>
      <c r="T363" s="729"/>
      <c r="U363" s="343"/>
      <c r="V363" s="343"/>
    </row>
    <row r="364" spans="1:22" ht="13" x14ac:dyDescent="0.25">
      <c r="A364" s="343"/>
      <c r="B364" s="698"/>
      <c r="C364" s="698"/>
      <c r="D364" s="698"/>
      <c r="E364" s="461"/>
      <c r="F364" s="742"/>
      <c r="G364" s="527" t="str">
        <f>E_EnergyFlows!G249</f>
        <v>Единица мярка</v>
      </c>
      <c r="H364" s="391">
        <f>E_EnergyFlows!H249</f>
        <v>2024</v>
      </c>
      <c r="I364" s="391">
        <f>E_EnergyFlows!I249</f>
        <v>2025</v>
      </c>
      <c r="J364" s="391">
        <f>E_EnergyFlows!J249</f>
        <v>2026</v>
      </c>
      <c r="K364" s="391">
        <f>E_EnergyFlows!K249</f>
        <v>2027</v>
      </c>
      <c r="L364" s="391">
        <f>E_EnergyFlows!L249</f>
        <v>2028</v>
      </c>
      <c r="M364" s="391">
        <f>E_EnergyFlows!M249</f>
        <v>2029</v>
      </c>
      <c r="N364" s="391">
        <f>E_EnergyFlows!N249</f>
        <v>2030</v>
      </c>
      <c r="O364" s="698"/>
      <c r="P364" s="343"/>
      <c r="Q364" s="343"/>
      <c r="R364" s="343"/>
      <c r="S364" s="343"/>
      <c r="T364" s="729"/>
      <c r="U364" s="343"/>
      <c r="V364" s="343"/>
    </row>
    <row r="365" spans="1:22" ht="25.5" customHeight="1" x14ac:dyDescent="0.25">
      <c r="A365" s="343"/>
      <c r="B365" s="698"/>
      <c r="C365" s="698"/>
      <c r="D365" s="698"/>
      <c r="E365" s="2687" t="str">
        <f>E_EnergyFlows!E250</f>
        <v>Топлинна енергия, която отговаря на условията за подинсталации с топлинен показател</v>
      </c>
      <c r="F365" s="2258"/>
      <c r="G365" s="502" t="str">
        <f>E_EnergyFlows!G250</f>
        <v>TJ / година</v>
      </c>
      <c r="H365" s="553" t="str">
        <f>E_EnergyFlows!H250</f>
        <v/>
      </c>
      <c r="I365" s="553" t="str">
        <f>E_EnergyFlows!I250</f>
        <v/>
      </c>
      <c r="J365" s="553" t="str">
        <f>E_EnergyFlows!J250</f>
        <v/>
      </c>
      <c r="K365" s="553" t="str">
        <f>E_EnergyFlows!K250</f>
        <v/>
      </c>
      <c r="L365" s="553" t="str">
        <f>E_EnergyFlows!L250</f>
        <v/>
      </c>
      <c r="M365" s="553" t="str">
        <f>E_EnergyFlows!M250</f>
        <v/>
      </c>
      <c r="N365" s="553" t="str">
        <f>E_EnergyFlows!N250</f>
        <v/>
      </c>
      <c r="O365" s="698"/>
      <c r="P365" s="343"/>
      <c r="Q365" s="343"/>
      <c r="R365" s="343"/>
      <c r="S365" s="343"/>
      <c r="T365" s="729"/>
      <c r="U365" s="343"/>
      <c r="V365" s="343"/>
    </row>
    <row r="366" spans="1:22" s="364" customFormat="1" ht="5.15" customHeight="1" x14ac:dyDescent="0.25">
      <c r="A366" s="729"/>
      <c r="B366" s="302"/>
      <c r="C366" s="302"/>
      <c r="D366" s="302"/>
      <c r="E366" s="302"/>
      <c r="F366" s="302"/>
      <c r="G366" s="302"/>
      <c r="H366" s="302"/>
      <c r="I366" s="302"/>
      <c r="J366" s="302"/>
      <c r="K366" s="302"/>
      <c r="L366" s="302"/>
      <c r="M366" s="302"/>
      <c r="N366" s="302"/>
      <c r="O366" s="698"/>
      <c r="P366" s="729"/>
      <c r="Q366" s="729"/>
      <c r="R366" s="729"/>
      <c r="S366" s="729"/>
      <c r="T366" s="729"/>
      <c r="U366" s="343"/>
      <c r="V366" s="343"/>
    </row>
    <row r="367" spans="1:22" s="364" customFormat="1" ht="14.15" customHeight="1" x14ac:dyDescent="0.3">
      <c r="A367" s="729"/>
      <c r="B367" s="284"/>
      <c r="C367" s="357"/>
      <c r="D367" s="2682" t="str">
        <f>Translations!$B$938</f>
        <v>Обобщение за подинсталациите с топлинен показател и подинсталациите на топлофикационна мрежа</v>
      </c>
      <c r="E367" s="2240"/>
      <c r="F367" s="2240"/>
      <c r="G367" s="2240"/>
      <c r="H367" s="2240"/>
      <c r="I367" s="2240"/>
      <c r="J367" s="2240"/>
      <c r="K367" s="2240"/>
      <c r="L367" s="2240"/>
      <c r="M367" s="2240"/>
      <c r="N367" s="2240"/>
      <c r="O367" s="698"/>
      <c r="P367" s="729"/>
      <c r="Q367" s="729"/>
      <c r="R367" s="729"/>
      <c r="S367" s="729"/>
      <c r="T367" s="729"/>
      <c r="U367" s="343"/>
      <c r="V367" s="343"/>
    </row>
    <row r="368" spans="1:22" s="364" customFormat="1" ht="13.5" thickBot="1" x14ac:dyDescent="0.3">
      <c r="A368" s="729"/>
      <c r="B368" s="302"/>
      <c r="C368" s="302"/>
      <c r="D368" s="302"/>
      <c r="E368" s="556"/>
      <c r="F368" s="302"/>
      <c r="G368" s="390" t="str">
        <f>Translations!$B$934</f>
        <v>Единица мярка</v>
      </c>
      <c r="H368" s="391">
        <f t="shared" ref="H368:N368" si="33">H$2505</f>
        <v>2024</v>
      </c>
      <c r="I368" s="391">
        <f t="shared" si="33"/>
        <v>2025</v>
      </c>
      <c r="J368" s="391">
        <f t="shared" si="33"/>
        <v>2026</v>
      </c>
      <c r="K368" s="391">
        <f t="shared" si="33"/>
        <v>2027</v>
      </c>
      <c r="L368" s="391">
        <f t="shared" si="33"/>
        <v>2028</v>
      </c>
      <c r="M368" s="391">
        <f t="shared" si="33"/>
        <v>2029</v>
      </c>
      <c r="N368" s="391">
        <f t="shared" si="33"/>
        <v>2030</v>
      </c>
      <c r="O368" s="698"/>
      <c r="P368" s="729"/>
      <c r="Q368" s="729"/>
      <c r="R368" s="729"/>
      <c r="S368" s="729"/>
      <c r="T368" s="729"/>
      <c r="U368" s="343"/>
      <c r="V368" s="343"/>
    </row>
    <row r="369" spans="1:22" s="364" customFormat="1" ht="12.75" customHeight="1" x14ac:dyDescent="0.25">
      <c r="A369" s="729"/>
      <c r="B369" s="302"/>
      <c r="C369" s="302"/>
      <c r="D369" s="360"/>
      <c r="E369" s="3063" t="str">
        <f>E_EnergyFlows!E435</f>
        <v>Подинсталация с топлинен показател (с риск от ИВЕ | извън МКВЕГ)</v>
      </c>
      <c r="F369" s="2999"/>
      <c r="G369" s="559" t="str">
        <f>E_EnergyFlows!G435</f>
        <v>TJ / година</v>
      </c>
      <c r="H369" s="560" t="str">
        <f>E_EnergyFlows!H435</f>
        <v/>
      </c>
      <c r="I369" s="560" t="str">
        <f>E_EnergyFlows!I435</f>
        <v/>
      </c>
      <c r="J369" s="560" t="str">
        <f>E_EnergyFlows!J435</f>
        <v/>
      </c>
      <c r="K369" s="560" t="str">
        <f>E_EnergyFlows!K435</f>
        <v/>
      </c>
      <c r="L369" s="560" t="str">
        <f>E_EnergyFlows!L435</f>
        <v/>
      </c>
      <c r="M369" s="560" t="str">
        <f>E_EnergyFlows!M435</f>
        <v/>
      </c>
      <c r="N369" s="561" t="str">
        <f>E_EnergyFlows!N435</f>
        <v/>
      </c>
      <c r="O369" s="698"/>
      <c r="P369" s="729"/>
      <c r="Q369" s="729"/>
      <c r="R369" s="729"/>
      <c r="S369" s="729"/>
      <c r="T369" s="729"/>
      <c r="U369" s="343"/>
      <c r="V369" s="343"/>
    </row>
    <row r="370" spans="1:22" s="364" customFormat="1" ht="13.5" customHeight="1" x14ac:dyDescent="0.25">
      <c r="A370" s="729"/>
      <c r="B370" s="302"/>
      <c r="C370" s="302"/>
      <c r="D370" s="360"/>
      <c r="E370" s="3010" t="str">
        <f>E_EnergyFlows!E436</f>
        <v>Подинсталация с топлинен показател (без риск от ИВЕ | извън МКВЕГ)</v>
      </c>
      <c r="F370" s="2258"/>
      <c r="G370" s="563" t="str">
        <f>E_EnergyFlows!G436</f>
        <v>TJ / година</v>
      </c>
      <c r="H370" s="480" t="str">
        <f>E_EnergyFlows!H436</f>
        <v/>
      </c>
      <c r="I370" s="480" t="str">
        <f>E_EnergyFlows!I436</f>
        <v/>
      </c>
      <c r="J370" s="480" t="str">
        <f>E_EnergyFlows!J436</f>
        <v/>
      </c>
      <c r="K370" s="480" t="str">
        <f>E_EnergyFlows!K436</f>
        <v/>
      </c>
      <c r="L370" s="480" t="str">
        <f>E_EnergyFlows!L436</f>
        <v/>
      </c>
      <c r="M370" s="480" t="str">
        <f>E_EnergyFlows!M436</f>
        <v/>
      </c>
      <c r="N370" s="564" t="str">
        <f>E_EnergyFlows!N436</f>
        <v/>
      </c>
      <c r="O370" s="698"/>
      <c r="P370" s="729"/>
      <c r="Q370" s="729"/>
      <c r="R370" s="729"/>
      <c r="S370" s="729"/>
      <c r="T370" s="729"/>
      <c r="U370" s="343"/>
      <c r="V370" s="343"/>
    </row>
    <row r="371" spans="1:22" s="364" customFormat="1" ht="13.5" customHeight="1" x14ac:dyDescent="0.25">
      <c r="A371" s="729"/>
      <c r="B371" s="302"/>
      <c r="C371" s="302"/>
      <c r="D371" s="360"/>
      <c r="E371" s="3010" t="str">
        <f>E_EnergyFlows!E437</f>
        <v>Подинсталация с топлинен показател (с риск от ИВЕ | в рамките на МКВЕГ)</v>
      </c>
      <c r="F371" s="2258"/>
      <c r="G371" s="1672" t="str">
        <f>E_EnergyFlows!G437</f>
        <v>TJ / година</v>
      </c>
      <c r="H371" s="565" t="str">
        <f>E_EnergyFlows!H437</f>
        <v/>
      </c>
      <c r="I371" s="565" t="str">
        <f>E_EnergyFlows!I437</f>
        <v/>
      </c>
      <c r="J371" s="565" t="str">
        <f>E_EnergyFlows!J437</f>
        <v/>
      </c>
      <c r="K371" s="565" t="str">
        <f>E_EnergyFlows!K437</f>
        <v/>
      </c>
      <c r="L371" s="565" t="str">
        <f>E_EnergyFlows!L437</f>
        <v/>
      </c>
      <c r="M371" s="565" t="str">
        <f>E_EnergyFlows!M437</f>
        <v/>
      </c>
      <c r="N371" s="566" t="str">
        <f>E_EnergyFlows!N437</f>
        <v/>
      </c>
      <c r="O371" s="698"/>
      <c r="P371" s="729"/>
      <c r="Q371" s="729"/>
      <c r="R371" s="729"/>
      <c r="S371" s="729"/>
      <c r="T371" s="729"/>
      <c r="U371" s="343"/>
      <c r="V371" s="343"/>
    </row>
    <row r="372" spans="1:22" s="364" customFormat="1" ht="12.75" customHeight="1" thickBot="1" x14ac:dyDescent="0.3">
      <c r="A372" s="729"/>
      <c r="B372" s="302"/>
      <c r="C372" s="302"/>
      <c r="D372" s="302"/>
      <c r="E372" s="2996" t="str">
        <f>E_EnergyFlows!E438</f>
        <v>Подинсталация на топлофикационна мрежа</v>
      </c>
      <c r="F372" s="2707"/>
      <c r="G372" s="569" t="str">
        <f>E_EnergyFlows!G438</f>
        <v>TJ / година</v>
      </c>
      <c r="H372" s="570" t="str">
        <f>E_EnergyFlows!H438</f>
        <v/>
      </c>
      <c r="I372" s="570" t="str">
        <f>E_EnergyFlows!I438</f>
        <v/>
      </c>
      <c r="J372" s="570" t="str">
        <f>E_EnergyFlows!J438</f>
        <v/>
      </c>
      <c r="K372" s="570" t="str">
        <f>E_EnergyFlows!K438</f>
        <v/>
      </c>
      <c r="L372" s="570" t="str">
        <f>E_EnergyFlows!L438</f>
        <v/>
      </c>
      <c r="M372" s="570" t="str">
        <f>E_EnergyFlows!M438</f>
        <v/>
      </c>
      <c r="N372" s="571" t="str">
        <f>E_EnergyFlows!N438</f>
        <v/>
      </c>
      <c r="O372" s="698"/>
      <c r="P372" s="729"/>
      <c r="Q372" s="729"/>
      <c r="R372" s="729"/>
      <c r="S372" s="729"/>
      <c r="T372" s="729"/>
      <c r="U372" s="343"/>
      <c r="V372" s="343"/>
    </row>
    <row r="373" spans="1:22" s="364" customFormat="1" ht="12.75" customHeight="1" x14ac:dyDescent="0.25">
      <c r="A373" s="729"/>
      <c r="B373" s="302"/>
      <c r="C373" s="302"/>
      <c r="D373" s="302"/>
      <c r="E373" s="2983" t="str">
        <f>Translations!$B$405</f>
        <v>Общо подинсталации с топлинен показател:</v>
      </c>
      <c r="F373" s="2984"/>
      <c r="G373" s="1673" t="str">
        <f>E_EnergyFlows!G271</f>
        <v>% или TJ / година</v>
      </c>
      <c r="H373" s="1674" t="str">
        <f>E_EnergyFlows!H271</f>
        <v/>
      </c>
      <c r="I373" s="1674" t="str">
        <f>E_EnergyFlows!I271</f>
        <v/>
      </c>
      <c r="J373" s="1674" t="str">
        <f>E_EnergyFlows!J271</f>
        <v/>
      </c>
      <c r="K373" s="1674" t="str">
        <f>E_EnergyFlows!K271</f>
        <v/>
      </c>
      <c r="L373" s="1674" t="str">
        <f>E_EnergyFlows!L271</f>
        <v/>
      </c>
      <c r="M373" s="1674" t="str">
        <f>E_EnergyFlows!M271</f>
        <v/>
      </c>
      <c r="N373" s="1675" t="str">
        <f>E_EnergyFlows!N271</f>
        <v/>
      </c>
      <c r="O373" s="698"/>
      <c r="P373" s="729"/>
      <c r="Q373" s="729"/>
      <c r="R373" s="729"/>
      <c r="S373" s="729"/>
      <c r="T373" s="729"/>
      <c r="U373" s="343"/>
      <c r="V373" s="343"/>
    </row>
    <row r="374" spans="1:22" s="364" customFormat="1" ht="12.75" customHeight="1" thickBot="1" x14ac:dyDescent="0.3">
      <c r="A374" s="729"/>
      <c r="B374" s="302"/>
      <c r="C374" s="302"/>
      <c r="D374" s="302"/>
      <c r="E374" s="2985" t="str">
        <f>Translations!$B$405</f>
        <v>Общо подинсталации с топлинен показател:</v>
      </c>
      <c r="F374" s="2986"/>
      <c r="G374" s="1676" t="str">
        <f>E_EnergyFlows!G272</f>
        <v>% или TJ / година</v>
      </c>
      <c r="H374" s="1677" t="str">
        <f>E_EnergyFlows!H272</f>
        <v/>
      </c>
      <c r="I374" s="1677" t="str">
        <f>E_EnergyFlows!I272</f>
        <v/>
      </c>
      <c r="J374" s="1677" t="str">
        <f>E_EnergyFlows!J272</f>
        <v/>
      </c>
      <c r="K374" s="1677" t="str">
        <f>E_EnergyFlows!K272</f>
        <v/>
      </c>
      <c r="L374" s="1677" t="str">
        <f>E_EnergyFlows!L272</f>
        <v/>
      </c>
      <c r="M374" s="1677" t="str">
        <f>E_EnergyFlows!M272</f>
        <v/>
      </c>
      <c r="N374" s="1678" t="str">
        <f>E_EnergyFlows!N272</f>
        <v/>
      </c>
      <c r="O374" s="698"/>
      <c r="P374" s="729"/>
      <c r="Q374" s="729"/>
      <c r="R374" s="729"/>
      <c r="S374" s="729"/>
      <c r="T374" s="729"/>
      <c r="U374" s="343"/>
      <c r="V374" s="343"/>
    </row>
    <row r="375" spans="1:22" ht="12.75" customHeight="1" x14ac:dyDescent="0.25">
      <c r="A375" s="343"/>
      <c r="B375" s="284"/>
      <c r="C375" s="284"/>
      <c r="D375" s="284"/>
      <c r="E375" s="284"/>
      <c r="F375" s="284"/>
      <c r="G375" s="284"/>
      <c r="H375" s="284"/>
      <c r="I375" s="284"/>
      <c r="J375" s="284"/>
      <c r="K375" s="284"/>
      <c r="L375" s="284"/>
      <c r="M375" s="284"/>
      <c r="N375" s="284"/>
      <c r="O375" s="698"/>
      <c r="P375" s="695"/>
      <c r="Q375" s="343"/>
      <c r="R375" s="343"/>
      <c r="S375" s="343"/>
      <c r="T375" s="729"/>
      <c r="U375" s="343"/>
      <c r="V375" s="343"/>
    </row>
    <row r="376" spans="1:22" ht="15" customHeight="1" x14ac:dyDescent="0.3">
      <c r="A376" s="343"/>
      <c r="B376" s="284"/>
      <c r="C376" s="357">
        <v>7</v>
      </c>
      <c r="D376" s="2682" t="str">
        <f>E_EnergyFlows!D276</f>
        <v>Пълен баланс на отпадните газове в инсталацията</v>
      </c>
      <c r="E376" s="2240"/>
      <c r="F376" s="2240"/>
      <c r="G376" s="2240"/>
      <c r="H376" s="2240"/>
      <c r="I376" s="2240"/>
      <c r="J376" s="2240"/>
      <c r="K376" s="2240"/>
      <c r="L376" s="2240"/>
      <c r="M376" s="2240"/>
      <c r="N376" s="2240"/>
      <c r="O376" s="698"/>
      <c r="P376" s="695"/>
      <c r="Q376" s="343"/>
      <c r="R376" s="343"/>
      <c r="S376" s="343"/>
      <c r="T376" s="729"/>
      <c r="U376" s="343"/>
      <c r="V376" s="343"/>
    </row>
    <row r="377" spans="1:22" ht="5.15" customHeight="1" x14ac:dyDescent="0.25">
      <c r="A377" s="343"/>
      <c r="B377" s="284"/>
      <c r="C377" s="284"/>
      <c r="D377" s="284"/>
      <c r="E377" s="284"/>
      <c r="F377" s="284"/>
      <c r="G377" s="284"/>
      <c r="H377" s="284"/>
      <c r="I377" s="284"/>
      <c r="J377" s="284"/>
      <c r="K377" s="284"/>
      <c r="L377" s="284"/>
      <c r="M377" s="284"/>
      <c r="N377" s="284"/>
      <c r="O377" s="698"/>
      <c r="P377" s="695"/>
      <c r="Q377" s="343"/>
      <c r="R377" s="343"/>
      <c r="S377" s="343"/>
      <c r="T377" s="729"/>
      <c r="U377" s="343"/>
      <c r="V377" s="343"/>
    </row>
    <row r="378" spans="1:22" ht="13" customHeight="1" x14ac:dyDescent="0.25">
      <c r="A378" s="343"/>
      <c r="B378" s="284"/>
      <c r="C378" s="300"/>
      <c r="D378" s="300" t="str">
        <f>E_EnergyFlows!D284</f>
        <v>(a)</v>
      </c>
      <c r="E378" s="2463" t="str">
        <f>E_EnergyFlows!E284</f>
        <v>Отпадни газове, произведени в системните граници на подинсталация с продуктов показател</v>
      </c>
      <c r="F378" s="2240"/>
      <c r="G378" s="2240"/>
      <c r="H378" s="2240"/>
      <c r="I378" s="2240"/>
      <c r="J378" s="2240"/>
      <c r="K378" s="2240"/>
      <c r="L378" s="2240"/>
      <c r="M378" s="2240"/>
      <c r="N378" s="2240"/>
      <c r="O378" s="698"/>
      <c r="P378" s="695"/>
      <c r="Q378" s="695"/>
      <c r="R378" s="695"/>
      <c r="S378" s="343"/>
      <c r="T378" s="729"/>
      <c r="U378" s="343"/>
      <c r="V378" s="343"/>
    </row>
    <row r="379" spans="1:22" ht="13" customHeight="1" x14ac:dyDescent="0.25">
      <c r="A379" s="343"/>
      <c r="B379" s="698"/>
      <c r="C379" s="698"/>
      <c r="D379" s="698"/>
      <c r="E379" s="2671" t="str">
        <f>E_EnergyFlows!E286</f>
        <v>Подинсталация</v>
      </c>
      <c r="F379" s="2672"/>
      <c r="G379" s="527" t="str">
        <f>E_EnergyFlows!G286</f>
        <v>Единица мярка</v>
      </c>
      <c r="H379" s="391">
        <f>E_EnergyFlows!H286</f>
        <v>2024</v>
      </c>
      <c r="I379" s="391">
        <f>E_EnergyFlows!I286</f>
        <v>2025</v>
      </c>
      <c r="J379" s="391">
        <f>E_EnergyFlows!J286</f>
        <v>2026</v>
      </c>
      <c r="K379" s="391">
        <f>E_EnergyFlows!K286</f>
        <v>2027</v>
      </c>
      <c r="L379" s="391">
        <f>E_EnergyFlows!L286</f>
        <v>2028</v>
      </c>
      <c r="M379" s="391">
        <f>E_EnergyFlows!M286</f>
        <v>2029</v>
      </c>
      <c r="N379" s="572">
        <f>E_EnergyFlows!N286</f>
        <v>2030</v>
      </c>
      <c r="O379" s="698"/>
      <c r="P379" s="695"/>
      <c r="Q379" s="695"/>
      <c r="R379" s="695"/>
      <c r="S379" s="343"/>
      <c r="T379" s="729"/>
      <c r="U379" s="343"/>
      <c r="V379" s="343"/>
    </row>
    <row r="380" spans="1:22" ht="12.65" customHeight="1" x14ac:dyDescent="0.25">
      <c r="A380" s="343"/>
      <c r="B380" s="698"/>
      <c r="C380" s="698"/>
      <c r="D380" s="1084"/>
      <c r="E380" s="3045" t="str">
        <f>E_EnergyFlows!E287</f>
        <v/>
      </c>
      <c r="F380" s="2701"/>
      <c r="G380" s="1085" t="str">
        <f>E_EnergyFlows!G287</f>
        <v>TJ / година</v>
      </c>
      <c r="H380" s="1126" t="str">
        <f>E_EnergyFlows!H287</f>
        <v/>
      </c>
      <c r="I380" s="1126" t="str">
        <f>E_EnergyFlows!I287</f>
        <v/>
      </c>
      <c r="J380" s="1126" t="str">
        <f>E_EnergyFlows!J287</f>
        <v/>
      </c>
      <c r="K380" s="1126" t="str">
        <f>E_EnergyFlows!K287</f>
        <v/>
      </c>
      <c r="L380" s="1126" t="str">
        <f>E_EnergyFlows!L287</f>
        <v/>
      </c>
      <c r="M380" s="1126" t="str">
        <f>E_EnergyFlows!M287</f>
        <v/>
      </c>
      <c r="N380" s="1126" t="str">
        <f>E_EnergyFlows!N287</f>
        <v/>
      </c>
      <c r="O380" s="698"/>
      <c r="P380" s="695"/>
      <c r="Q380" s="695"/>
      <c r="R380" s="695"/>
      <c r="S380" s="343"/>
      <c r="T380" s="729"/>
      <c r="U380" s="343"/>
      <c r="V380" s="343"/>
    </row>
    <row r="381" spans="1:22" x14ac:dyDescent="0.25">
      <c r="A381" s="343"/>
      <c r="B381" s="698"/>
      <c r="C381" s="698"/>
      <c r="D381" s="1084"/>
      <c r="E381" s="2995" t="str">
        <f>E_EnergyFlows!E288</f>
        <v/>
      </c>
      <c r="F381" s="2703"/>
      <c r="G381" s="1087" t="str">
        <f>E_EnergyFlows!G288</f>
        <v>TJ / година</v>
      </c>
      <c r="H381" s="1127" t="str">
        <f>E_EnergyFlows!H288</f>
        <v/>
      </c>
      <c r="I381" s="1127" t="str">
        <f>E_EnergyFlows!I288</f>
        <v/>
      </c>
      <c r="J381" s="1127" t="str">
        <f>E_EnergyFlows!J288</f>
        <v/>
      </c>
      <c r="K381" s="1127" t="str">
        <f>E_EnergyFlows!K288</f>
        <v/>
      </c>
      <c r="L381" s="1127" t="str">
        <f>E_EnergyFlows!L288</f>
        <v/>
      </c>
      <c r="M381" s="1127" t="str">
        <f>E_EnergyFlows!M288</f>
        <v/>
      </c>
      <c r="N381" s="1127" t="str">
        <f>E_EnergyFlows!N288</f>
        <v/>
      </c>
      <c r="O381" s="698"/>
      <c r="P381" s="695"/>
      <c r="Q381" s="695"/>
      <c r="R381" s="695"/>
      <c r="S381" s="343"/>
      <c r="T381" s="729"/>
      <c r="U381" s="343"/>
      <c r="V381" s="343"/>
    </row>
    <row r="382" spans="1:22" x14ac:dyDescent="0.25">
      <c r="A382" s="343"/>
      <c r="B382" s="698"/>
      <c r="C382" s="698"/>
      <c r="D382" s="1084"/>
      <c r="E382" s="2995" t="str">
        <f>E_EnergyFlows!E289</f>
        <v/>
      </c>
      <c r="F382" s="2703"/>
      <c r="G382" s="1087" t="str">
        <f>E_EnergyFlows!G289</f>
        <v>TJ / година</v>
      </c>
      <c r="H382" s="1127" t="str">
        <f>E_EnergyFlows!H289</f>
        <v/>
      </c>
      <c r="I382" s="1127" t="str">
        <f>E_EnergyFlows!I289</f>
        <v/>
      </c>
      <c r="J382" s="1127" t="str">
        <f>E_EnergyFlows!J289</f>
        <v/>
      </c>
      <c r="K382" s="1127" t="str">
        <f>E_EnergyFlows!K289</f>
        <v/>
      </c>
      <c r="L382" s="1127" t="str">
        <f>E_EnergyFlows!L289</f>
        <v/>
      </c>
      <c r="M382" s="1127" t="str">
        <f>E_EnergyFlows!M289</f>
        <v/>
      </c>
      <c r="N382" s="1127" t="str">
        <f>E_EnergyFlows!N289</f>
        <v/>
      </c>
      <c r="O382" s="698"/>
      <c r="P382" s="695"/>
      <c r="Q382" s="695"/>
      <c r="R382" s="695"/>
      <c r="S382" s="343"/>
      <c r="T382" s="729"/>
      <c r="U382" s="343"/>
      <c r="V382" s="343"/>
    </row>
    <row r="383" spans="1:22" x14ac:dyDescent="0.25">
      <c r="A383" s="343"/>
      <c r="B383" s="698"/>
      <c r="C383" s="698"/>
      <c r="D383" s="1084"/>
      <c r="E383" s="2995" t="str">
        <f>E_EnergyFlows!E290</f>
        <v/>
      </c>
      <c r="F383" s="2703"/>
      <c r="G383" s="1087" t="str">
        <f>E_EnergyFlows!G290</f>
        <v>TJ / година</v>
      </c>
      <c r="H383" s="1127" t="str">
        <f>E_EnergyFlows!H290</f>
        <v/>
      </c>
      <c r="I383" s="1127" t="str">
        <f>E_EnergyFlows!I290</f>
        <v/>
      </c>
      <c r="J383" s="1127" t="str">
        <f>E_EnergyFlows!J290</f>
        <v/>
      </c>
      <c r="K383" s="1127" t="str">
        <f>E_EnergyFlows!K290</f>
        <v/>
      </c>
      <c r="L383" s="1127" t="str">
        <f>E_EnergyFlows!L290</f>
        <v/>
      </c>
      <c r="M383" s="1127" t="str">
        <f>E_EnergyFlows!M290</f>
        <v/>
      </c>
      <c r="N383" s="1127" t="str">
        <f>E_EnergyFlows!N290</f>
        <v/>
      </c>
      <c r="O383" s="698"/>
      <c r="P383" s="695"/>
      <c r="Q383" s="695"/>
      <c r="R383" s="695"/>
      <c r="S383" s="343"/>
      <c r="T383" s="729"/>
      <c r="U383" s="343"/>
      <c r="V383" s="343"/>
    </row>
    <row r="384" spans="1:22" x14ac:dyDescent="0.25">
      <c r="A384" s="343"/>
      <c r="B384" s="698"/>
      <c r="C384" s="698"/>
      <c r="D384" s="360"/>
      <c r="E384" s="2995" t="str">
        <f>E_EnergyFlows!E291</f>
        <v/>
      </c>
      <c r="F384" s="2703"/>
      <c r="G384" s="1087" t="str">
        <f>E_EnergyFlows!G291</f>
        <v>TJ / година</v>
      </c>
      <c r="H384" s="1127" t="str">
        <f>E_EnergyFlows!H291</f>
        <v/>
      </c>
      <c r="I384" s="1127" t="str">
        <f>E_EnergyFlows!I291</f>
        <v/>
      </c>
      <c r="J384" s="1127" t="str">
        <f>E_EnergyFlows!J291</f>
        <v/>
      </c>
      <c r="K384" s="1127" t="str">
        <f>E_EnergyFlows!K291</f>
        <v/>
      </c>
      <c r="L384" s="1127" t="str">
        <f>E_EnergyFlows!L291</f>
        <v/>
      </c>
      <c r="M384" s="1127" t="str">
        <f>E_EnergyFlows!M291</f>
        <v/>
      </c>
      <c r="N384" s="1127" t="str">
        <f>E_EnergyFlows!N291</f>
        <v/>
      </c>
      <c r="O384" s="698"/>
      <c r="P384" s="695"/>
      <c r="Q384" s="695"/>
      <c r="R384" s="695"/>
      <c r="S384" s="343"/>
      <c r="T384" s="729"/>
      <c r="U384" s="343"/>
      <c r="V384" s="343"/>
    </row>
    <row r="385" spans="1:22" x14ac:dyDescent="0.25">
      <c r="A385" s="343"/>
      <c r="B385" s="698"/>
      <c r="C385" s="698"/>
      <c r="D385" s="360"/>
      <c r="E385" s="2995" t="str">
        <f>E_EnergyFlows!E292</f>
        <v/>
      </c>
      <c r="F385" s="2703"/>
      <c r="G385" s="1087" t="str">
        <f>E_EnergyFlows!G292</f>
        <v>TJ / година</v>
      </c>
      <c r="H385" s="1127" t="str">
        <f>E_EnergyFlows!H292</f>
        <v/>
      </c>
      <c r="I385" s="1127" t="str">
        <f>E_EnergyFlows!I292</f>
        <v/>
      </c>
      <c r="J385" s="1127" t="str">
        <f>E_EnergyFlows!J292</f>
        <v/>
      </c>
      <c r="K385" s="1127" t="str">
        <f>E_EnergyFlows!K292</f>
        <v/>
      </c>
      <c r="L385" s="1127" t="str">
        <f>E_EnergyFlows!L292</f>
        <v/>
      </c>
      <c r="M385" s="1127" t="str">
        <f>E_EnergyFlows!M292</f>
        <v/>
      </c>
      <c r="N385" s="1127" t="str">
        <f>E_EnergyFlows!N292</f>
        <v/>
      </c>
      <c r="O385" s="698"/>
      <c r="P385" s="695"/>
      <c r="Q385" s="695"/>
      <c r="R385" s="695"/>
      <c r="S385" s="343"/>
      <c r="T385" s="729"/>
      <c r="U385" s="343"/>
      <c r="V385" s="343"/>
    </row>
    <row r="386" spans="1:22" x14ac:dyDescent="0.25">
      <c r="A386" s="343"/>
      <c r="B386" s="698"/>
      <c r="C386" s="698"/>
      <c r="D386" s="360"/>
      <c r="E386" s="2995" t="str">
        <f>E_EnergyFlows!E293</f>
        <v/>
      </c>
      <c r="F386" s="2703"/>
      <c r="G386" s="1087" t="str">
        <f>E_EnergyFlows!G293</f>
        <v>TJ / година</v>
      </c>
      <c r="H386" s="1127" t="str">
        <f>E_EnergyFlows!H293</f>
        <v/>
      </c>
      <c r="I386" s="1127" t="str">
        <f>E_EnergyFlows!I293</f>
        <v/>
      </c>
      <c r="J386" s="1127" t="str">
        <f>E_EnergyFlows!J293</f>
        <v/>
      </c>
      <c r="K386" s="1127" t="str">
        <f>E_EnergyFlows!K293</f>
        <v/>
      </c>
      <c r="L386" s="1127" t="str">
        <f>E_EnergyFlows!L293</f>
        <v/>
      </c>
      <c r="M386" s="1127" t="str">
        <f>E_EnergyFlows!M293</f>
        <v/>
      </c>
      <c r="N386" s="1127" t="str">
        <f>E_EnergyFlows!N293</f>
        <v/>
      </c>
      <c r="O386" s="698"/>
      <c r="P386" s="695"/>
      <c r="Q386" s="695"/>
      <c r="R386" s="695"/>
      <c r="S386" s="343"/>
      <c r="T386" s="729"/>
      <c r="U386" s="343"/>
      <c r="V386" s="343"/>
    </row>
    <row r="387" spans="1:22" x14ac:dyDescent="0.25">
      <c r="A387" s="343"/>
      <c r="B387" s="698"/>
      <c r="C387" s="698"/>
      <c r="D387" s="360"/>
      <c r="E387" s="2995" t="str">
        <f>E_EnergyFlows!E294</f>
        <v/>
      </c>
      <c r="F387" s="2703"/>
      <c r="G387" s="1087" t="str">
        <f>E_EnergyFlows!G294</f>
        <v>TJ / година</v>
      </c>
      <c r="H387" s="1127" t="str">
        <f>E_EnergyFlows!H294</f>
        <v/>
      </c>
      <c r="I387" s="1127" t="str">
        <f>E_EnergyFlows!I294</f>
        <v/>
      </c>
      <c r="J387" s="1127" t="str">
        <f>E_EnergyFlows!J294</f>
        <v/>
      </c>
      <c r="K387" s="1127" t="str">
        <f>E_EnergyFlows!K294</f>
        <v/>
      </c>
      <c r="L387" s="1127" t="str">
        <f>E_EnergyFlows!L294</f>
        <v/>
      </c>
      <c r="M387" s="1127" t="str">
        <f>E_EnergyFlows!M294</f>
        <v/>
      </c>
      <c r="N387" s="1127" t="str">
        <f>E_EnergyFlows!N294</f>
        <v/>
      </c>
      <c r="O387" s="698"/>
      <c r="P387" s="695"/>
      <c r="Q387" s="695"/>
      <c r="R387" s="695"/>
      <c r="S387" s="343"/>
      <c r="T387" s="729"/>
      <c r="U387" s="343"/>
      <c r="V387" s="343"/>
    </row>
    <row r="388" spans="1:22" x14ac:dyDescent="0.25">
      <c r="A388" s="343"/>
      <c r="B388" s="698"/>
      <c r="C388" s="698"/>
      <c r="D388" s="360"/>
      <c r="E388" s="2995" t="str">
        <f>E_EnergyFlows!E295</f>
        <v/>
      </c>
      <c r="F388" s="2703"/>
      <c r="G388" s="1087" t="str">
        <f>E_EnergyFlows!G295</f>
        <v>TJ / година</v>
      </c>
      <c r="H388" s="1127" t="str">
        <f>E_EnergyFlows!H295</f>
        <v/>
      </c>
      <c r="I388" s="1127" t="str">
        <f>E_EnergyFlows!I295</f>
        <v/>
      </c>
      <c r="J388" s="1127" t="str">
        <f>E_EnergyFlows!J295</f>
        <v/>
      </c>
      <c r="K388" s="1127" t="str">
        <f>E_EnergyFlows!K295</f>
        <v/>
      </c>
      <c r="L388" s="1127" t="str">
        <f>E_EnergyFlows!L295</f>
        <v/>
      </c>
      <c r="M388" s="1127" t="str">
        <f>E_EnergyFlows!M295</f>
        <v/>
      </c>
      <c r="N388" s="1127" t="str">
        <f>E_EnergyFlows!N295</f>
        <v/>
      </c>
      <c r="O388" s="698"/>
      <c r="P388" s="695"/>
      <c r="Q388" s="695"/>
      <c r="R388" s="695"/>
      <c r="S388" s="343"/>
      <c r="T388" s="729"/>
      <c r="U388" s="343"/>
      <c r="V388" s="343"/>
    </row>
    <row r="389" spans="1:22" x14ac:dyDescent="0.25">
      <c r="A389" s="343"/>
      <c r="B389" s="698"/>
      <c r="C389" s="698"/>
      <c r="D389" s="360"/>
      <c r="E389" s="2997" t="str">
        <f>E_EnergyFlows!E296</f>
        <v/>
      </c>
      <c r="F389" s="2705"/>
      <c r="G389" s="1088" t="str">
        <f>E_EnergyFlows!G296</f>
        <v>TJ / година</v>
      </c>
      <c r="H389" s="1128" t="str">
        <f>E_EnergyFlows!H296</f>
        <v/>
      </c>
      <c r="I389" s="1128" t="str">
        <f>E_EnergyFlows!I296</f>
        <v/>
      </c>
      <c r="J389" s="1128" t="str">
        <f>E_EnergyFlows!J296</f>
        <v/>
      </c>
      <c r="K389" s="1128" t="str">
        <f>E_EnergyFlows!K296</f>
        <v/>
      </c>
      <c r="L389" s="1128" t="str">
        <f>E_EnergyFlows!L296</f>
        <v/>
      </c>
      <c r="M389" s="1128" t="str">
        <f>E_EnergyFlows!M296</f>
        <v/>
      </c>
      <c r="N389" s="1128" t="str">
        <f>E_EnergyFlows!N296</f>
        <v/>
      </c>
      <c r="O389" s="698"/>
      <c r="P389" s="695"/>
      <c r="Q389" s="695"/>
      <c r="R389" s="695"/>
      <c r="S389" s="343"/>
      <c r="T389" s="729"/>
      <c r="U389" s="343"/>
      <c r="V389" s="343"/>
    </row>
    <row r="390" spans="1:22" ht="12.75" customHeight="1" x14ac:dyDescent="0.25">
      <c r="A390" s="343"/>
      <c r="B390" s="698"/>
      <c r="C390" s="698"/>
      <c r="D390" s="360"/>
      <c r="E390" s="2667" t="str">
        <f>E_EnergyFlows!E297</f>
        <v>Междинен сбор</v>
      </c>
      <c r="F390" s="2258"/>
      <c r="G390" s="1016" t="str">
        <f>E_EnergyFlows!G297</f>
        <v>TJ / година</v>
      </c>
      <c r="H390" s="1024" t="str">
        <f>E_EnergyFlows!H297</f>
        <v/>
      </c>
      <c r="I390" s="1024" t="str">
        <f>E_EnergyFlows!I297</f>
        <v/>
      </c>
      <c r="J390" s="1024" t="str">
        <f>E_EnergyFlows!J297</f>
        <v/>
      </c>
      <c r="K390" s="1024" t="str">
        <f>E_EnergyFlows!K297</f>
        <v/>
      </c>
      <c r="L390" s="1024" t="str">
        <f>E_EnergyFlows!L297</f>
        <v/>
      </c>
      <c r="M390" s="1024" t="str">
        <f>E_EnergyFlows!M297</f>
        <v/>
      </c>
      <c r="N390" s="1024" t="str">
        <f>E_EnergyFlows!N297</f>
        <v/>
      </c>
      <c r="O390" s="698"/>
      <c r="P390" s="695"/>
      <c r="Q390" s="695"/>
      <c r="R390" s="695"/>
      <c r="S390" s="343"/>
      <c r="T390" s="729"/>
      <c r="U390" s="343"/>
      <c r="V390" s="343"/>
    </row>
    <row r="391" spans="1:22" ht="5.15" customHeight="1" x14ac:dyDescent="0.25">
      <c r="A391" s="343"/>
      <c r="B391" s="284"/>
      <c r="C391" s="284"/>
      <c r="D391" s="284"/>
      <c r="E391" s="284"/>
      <c r="F391" s="284"/>
      <c r="G391" s="284"/>
      <c r="H391" s="284"/>
      <c r="I391" s="284"/>
      <c r="J391" s="284"/>
      <c r="K391" s="284"/>
      <c r="L391" s="284"/>
      <c r="M391" s="284"/>
      <c r="N391" s="284"/>
      <c r="O391" s="698"/>
      <c r="P391" s="695"/>
      <c r="Q391" s="695"/>
      <c r="R391" s="695"/>
      <c r="S391" s="343"/>
      <c r="T391" s="729"/>
      <c r="U391" s="343"/>
      <c r="V391" s="343"/>
    </row>
    <row r="392" spans="1:22" ht="12.75" customHeight="1" x14ac:dyDescent="0.25">
      <c r="A392" s="343"/>
      <c r="B392" s="284"/>
      <c r="C392" s="300"/>
      <c r="D392" s="300" t="str">
        <f>E_EnergyFlows!D299</f>
        <v>(b)</v>
      </c>
      <c r="E392" s="2463" t="str">
        <f>E_EnergyFlows!E299</f>
        <v>Отпадни газове, произведени извън системните граници на подинсталация с продуктов показател</v>
      </c>
      <c r="F392" s="2240"/>
      <c r="G392" s="2240"/>
      <c r="H392" s="2240"/>
      <c r="I392" s="2240"/>
      <c r="J392" s="2240"/>
      <c r="K392" s="2240"/>
      <c r="L392" s="2240"/>
      <c r="M392" s="2240"/>
      <c r="N392" s="2240"/>
      <c r="O392" s="698"/>
      <c r="P392" s="695"/>
      <c r="Q392" s="695"/>
      <c r="R392" s="695"/>
      <c r="S392" s="343"/>
      <c r="T392" s="729"/>
      <c r="U392" s="343"/>
      <c r="V392" s="343"/>
    </row>
    <row r="393" spans="1:22" ht="13" customHeight="1" x14ac:dyDescent="0.25">
      <c r="A393" s="343"/>
      <c r="B393" s="698"/>
      <c r="C393" s="698"/>
      <c r="D393" s="698"/>
      <c r="E393" s="2671" t="str">
        <f>E_EnergyFlows!E302</f>
        <v>от раздел D.IV.</v>
      </c>
      <c r="F393" s="2672"/>
      <c r="G393" s="527" t="str">
        <f>E_EnergyFlows!G302</f>
        <v>Единица мярка</v>
      </c>
      <c r="H393" s="391">
        <f>E_EnergyFlows!H302</f>
        <v>2024</v>
      </c>
      <c r="I393" s="391">
        <f>E_EnergyFlows!I302</f>
        <v>2025</v>
      </c>
      <c r="J393" s="391">
        <f>E_EnergyFlows!J302</f>
        <v>2026</v>
      </c>
      <c r="K393" s="391">
        <f>E_EnergyFlows!K302</f>
        <v>2027</v>
      </c>
      <c r="L393" s="391">
        <f>E_EnergyFlows!L302</f>
        <v>2028</v>
      </c>
      <c r="M393" s="391">
        <f>E_EnergyFlows!M302</f>
        <v>2029</v>
      </c>
      <c r="N393" s="572">
        <f>E_EnergyFlows!N302</f>
        <v>2030</v>
      </c>
      <c r="O393" s="698"/>
      <c r="P393" s="695"/>
      <c r="Q393" s="695"/>
      <c r="R393" s="695"/>
      <c r="S393" s="343"/>
      <c r="T393" s="729"/>
      <c r="U393" s="343"/>
      <c r="V393" s="343"/>
    </row>
    <row r="394" spans="1:22" x14ac:dyDescent="0.25">
      <c r="A394" s="343"/>
      <c r="B394" s="698"/>
      <c r="C394" s="698"/>
      <c r="D394" s="1084"/>
      <c r="E394" s="3061" t="str">
        <f>E_EnergyFlows!E303</f>
        <v>Отпаден газ 1</v>
      </c>
      <c r="F394" s="2701"/>
      <c r="G394" s="1085" t="str">
        <f>E_EnergyFlows!G303</f>
        <v>TJ / година</v>
      </c>
      <c r="H394" s="1126" t="str">
        <f>E_EnergyFlows!H303</f>
        <v/>
      </c>
      <c r="I394" s="1126" t="str">
        <f>E_EnergyFlows!I303</f>
        <v/>
      </c>
      <c r="J394" s="1126" t="str">
        <f>E_EnergyFlows!J303</f>
        <v/>
      </c>
      <c r="K394" s="1126" t="str">
        <f>E_EnergyFlows!K303</f>
        <v/>
      </c>
      <c r="L394" s="1126" t="str">
        <f>E_EnergyFlows!L303</f>
        <v/>
      </c>
      <c r="M394" s="1126" t="str">
        <f>E_EnergyFlows!M303</f>
        <v/>
      </c>
      <c r="N394" s="1126" t="str">
        <f>E_EnergyFlows!N303</f>
        <v/>
      </c>
      <c r="O394" s="698"/>
      <c r="P394" s="695"/>
      <c r="Q394" s="695"/>
      <c r="R394" s="695"/>
      <c r="S394" s="343"/>
      <c r="T394" s="729"/>
      <c r="U394" s="343"/>
      <c r="V394" s="343"/>
    </row>
    <row r="395" spans="1:22" x14ac:dyDescent="0.25">
      <c r="A395" s="343"/>
      <c r="B395" s="698"/>
      <c r="C395" s="698"/>
      <c r="D395" s="1084"/>
      <c r="E395" s="3062" t="str">
        <f>E_EnergyFlows!E304</f>
        <v>Отпаден газ 2</v>
      </c>
      <c r="F395" s="2705"/>
      <c r="G395" s="1087" t="str">
        <f>E_EnergyFlows!G304</f>
        <v>TJ / година</v>
      </c>
      <c r="H395" s="1128" t="str">
        <f>E_EnergyFlows!H304</f>
        <v/>
      </c>
      <c r="I395" s="1128" t="str">
        <f>E_EnergyFlows!I304</f>
        <v/>
      </c>
      <c r="J395" s="1128" t="str">
        <f>E_EnergyFlows!J304</f>
        <v/>
      </c>
      <c r="K395" s="1128" t="str">
        <f>E_EnergyFlows!K304</f>
        <v/>
      </c>
      <c r="L395" s="1128" t="str">
        <f>E_EnergyFlows!L304</f>
        <v/>
      </c>
      <c r="M395" s="1128" t="str">
        <f>E_EnergyFlows!M304</f>
        <v/>
      </c>
      <c r="N395" s="1128" t="str">
        <f>E_EnergyFlows!N304</f>
        <v/>
      </c>
      <c r="O395" s="698"/>
      <c r="P395" s="695"/>
      <c r="Q395" s="695"/>
      <c r="R395" s="695"/>
      <c r="S395" s="343"/>
      <c r="T395" s="729"/>
      <c r="U395" s="343"/>
      <c r="V395" s="343"/>
    </row>
    <row r="396" spans="1:22" ht="12.75" customHeight="1" x14ac:dyDescent="0.25">
      <c r="A396" s="343"/>
      <c r="B396" s="698"/>
      <c r="C396" s="698"/>
      <c r="D396" s="360"/>
      <c r="E396" s="2667" t="str">
        <f>E_EnergyFlows!E305</f>
        <v>Междинен сбор</v>
      </c>
      <c r="F396" s="2258"/>
      <c r="G396" s="1016" t="str">
        <f>E_EnergyFlows!G305</f>
        <v>TJ / година</v>
      </c>
      <c r="H396" s="1024" t="str">
        <f>E_EnergyFlows!H305</f>
        <v/>
      </c>
      <c r="I396" s="1024" t="str">
        <f>E_EnergyFlows!I305</f>
        <v/>
      </c>
      <c r="J396" s="1024" t="str">
        <f>E_EnergyFlows!J305</f>
        <v/>
      </c>
      <c r="K396" s="1024" t="str">
        <f>E_EnergyFlows!K305</f>
        <v/>
      </c>
      <c r="L396" s="1024" t="str">
        <f>E_EnergyFlows!L305</f>
        <v/>
      </c>
      <c r="M396" s="1024" t="str">
        <f>E_EnergyFlows!M305</f>
        <v/>
      </c>
      <c r="N396" s="1024" t="str">
        <f>E_EnergyFlows!N305</f>
        <v/>
      </c>
      <c r="O396" s="698"/>
      <c r="P396" s="695"/>
      <c r="Q396" s="695"/>
      <c r="R396" s="695"/>
      <c r="S396" s="343"/>
      <c r="T396" s="729"/>
      <c r="U396" s="343"/>
      <c r="V396" s="343"/>
    </row>
    <row r="397" spans="1:22" ht="5.15" customHeight="1" x14ac:dyDescent="0.25">
      <c r="A397" s="343"/>
      <c r="B397" s="284"/>
      <c r="C397" s="284"/>
      <c r="D397" s="284"/>
      <c r="E397" s="284"/>
      <c r="F397" s="284"/>
      <c r="G397" s="284"/>
      <c r="H397" s="284"/>
      <c r="I397" s="284"/>
      <c r="J397" s="284"/>
      <c r="K397" s="284"/>
      <c r="L397" s="284"/>
      <c r="M397" s="284"/>
      <c r="N397" s="284"/>
      <c r="O397" s="698"/>
      <c r="P397" s="695"/>
      <c r="Q397" s="695"/>
      <c r="R397" s="695"/>
      <c r="S397" s="343"/>
      <c r="T397" s="729"/>
      <c r="U397" s="343"/>
      <c r="V397" s="343"/>
    </row>
    <row r="398" spans="1:22" ht="13" customHeight="1" x14ac:dyDescent="0.25">
      <c r="A398" s="343"/>
      <c r="B398" s="284"/>
      <c r="C398" s="300"/>
      <c r="D398" s="300" t="str">
        <f>E_EnergyFlows!D309</f>
        <v>(c)</v>
      </c>
      <c r="E398" s="2671" t="str">
        <f>E_EnergyFlows!E309</f>
        <v>Сбор на отпадните газове (=a+b)</v>
      </c>
      <c r="F398" s="2672"/>
      <c r="G398" s="1679"/>
      <c r="H398" s="1679"/>
      <c r="I398" s="1679"/>
      <c r="J398" s="1679"/>
      <c r="K398" s="1679"/>
      <c r="L398" s="1679"/>
      <c r="M398" s="1679"/>
      <c r="N398" s="1679"/>
      <c r="O398" s="698"/>
      <c r="P398" s="695"/>
      <c r="Q398" s="695"/>
      <c r="R398" s="695"/>
      <c r="S398" s="343"/>
      <c r="T398" s="729"/>
      <c r="U398" s="343"/>
      <c r="V398" s="343"/>
    </row>
    <row r="399" spans="1:22" ht="12.65" customHeight="1" x14ac:dyDescent="0.25">
      <c r="A399" s="343"/>
      <c r="B399" s="698"/>
      <c r="C399" s="698"/>
      <c r="D399" s="698"/>
      <c r="E399" s="2687" t="str">
        <f>E_EnergyFlows!E310</f>
        <v>Произведени отпадни газове</v>
      </c>
      <c r="F399" s="2258"/>
      <c r="G399" s="1038" t="str">
        <f>E_EnergyFlows!G310</f>
        <v>TJ / година</v>
      </c>
      <c r="H399" s="1024" t="str">
        <f>E_EnergyFlows!H310</f>
        <v/>
      </c>
      <c r="I399" s="1024" t="str">
        <f>E_EnergyFlows!I310</f>
        <v/>
      </c>
      <c r="J399" s="1024" t="str">
        <f>E_EnergyFlows!J310</f>
        <v/>
      </c>
      <c r="K399" s="1024" t="str">
        <f>E_EnergyFlows!K310</f>
        <v/>
      </c>
      <c r="L399" s="1024" t="str">
        <f>E_EnergyFlows!L310</f>
        <v/>
      </c>
      <c r="M399" s="1024" t="str">
        <f>E_EnergyFlows!M310</f>
        <v/>
      </c>
      <c r="N399" s="1024" t="str">
        <f>E_EnergyFlows!N310</f>
        <v/>
      </c>
      <c r="O399" s="698"/>
      <c r="P399" s="343"/>
      <c r="Q399" s="343"/>
      <c r="R399" s="343"/>
      <c r="S399" s="343"/>
      <c r="T399" s="729"/>
      <c r="U399" s="343"/>
      <c r="V399" s="343"/>
    </row>
    <row r="400" spans="1:22" ht="5.15" customHeight="1" x14ac:dyDescent="0.25">
      <c r="A400" s="343"/>
      <c r="B400" s="698"/>
      <c r="C400" s="698"/>
      <c r="D400" s="698"/>
      <c r="E400" s="698"/>
      <c r="F400" s="698"/>
      <c r="G400" s="698"/>
      <c r="H400" s="698"/>
      <c r="I400" s="698"/>
      <c r="J400" s="698"/>
      <c r="K400" s="698"/>
      <c r="L400" s="698"/>
      <c r="M400" s="698"/>
      <c r="N400" s="698"/>
      <c r="O400" s="698"/>
      <c r="P400" s="343"/>
      <c r="Q400" s="343"/>
      <c r="R400" s="343"/>
      <c r="S400" s="343"/>
      <c r="T400" s="729"/>
      <c r="U400" s="343"/>
      <c r="V400" s="343"/>
    </row>
    <row r="401" spans="1:22" ht="13" customHeight="1" x14ac:dyDescent="0.25">
      <c r="A401" s="343"/>
      <c r="B401" s="284"/>
      <c r="C401" s="300"/>
      <c r="D401" s="300" t="str">
        <f>E_EnergyFlows!D312</f>
        <v>(d)</v>
      </c>
      <c r="E401" s="2463" t="str">
        <f>E_EnergyFlows!E312</f>
        <v>Отпадни газове, получени от други инсталации или обекти</v>
      </c>
      <c r="F401" s="2240"/>
      <c r="G401" s="2240"/>
      <c r="H401" s="2240"/>
      <c r="I401" s="2240"/>
      <c r="J401" s="2240"/>
      <c r="K401" s="2240"/>
      <c r="L401" s="2240"/>
      <c r="M401" s="2240"/>
      <c r="N401" s="2240"/>
      <c r="O401" s="698"/>
      <c r="P401" s="695"/>
      <c r="Q401" s="343"/>
      <c r="R401" s="343"/>
      <c r="S401" s="343"/>
      <c r="T401" s="729"/>
      <c r="U401" s="343"/>
      <c r="V401" s="343"/>
    </row>
    <row r="402" spans="1:22" ht="12.75" customHeight="1" x14ac:dyDescent="0.25">
      <c r="A402" s="343"/>
      <c r="B402" s="698"/>
      <c r="C402" s="698"/>
      <c r="D402" s="698"/>
      <c r="E402" s="2671" t="str">
        <f>E_EnergyFlows!E315</f>
        <v>Наименование на инсталацията или партньора</v>
      </c>
      <c r="F402" s="2672"/>
      <c r="G402" s="527" t="str">
        <f>E_EnergyFlows!G315</f>
        <v>Единица мярка</v>
      </c>
      <c r="H402" s="391">
        <f>E_EnergyFlows!H315</f>
        <v>2024</v>
      </c>
      <c r="I402" s="391">
        <f>E_EnergyFlows!I315</f>
        <v>2025</v>
      </c>
      <c r="J402" s="391">
        <f>E_EnergyFlows!J315</f>
        <v>2026</v>
      </c>
      <c r="K402" s="391">
        <f>E_EnergyFlows!K315</f>
        <v>2027</v>
      </c>
      <c r="L402" s="391">
        <f>E_EnergyFlows!L315</f>
        <v>2028</v>
      </c>
      <c r="M402" s="391">
        <f>E_EnergyFlows!M315</f>
        <v>2029</v>
      </c>
      <c r="N402" s="572">
        <f>E_EnergyFlows!N315</f>
        <v>2030</v>
      </c>
      <c r="O402" s="698"/>
      <c r="P402" s="343"/>
      <c r="Q402" s="343"/>
      <c r="R402" s="343"/>
      <c r="S402" s="343"/>
      <c r="T402" s="729"/>
      <c r="U402" s="343"/>
      <c r="V402" s="343"/>
    </row>
    <row r="403" spans="1:22" x14ac:dyDescent="0.25">
      <c r="A403" s="343"/>
      <c r="B403" s="698"/>
      <c r="C403" s="1084"/>
      <c r="D403" s="1084"/>
      <c r="E403" s="3045" t="str">
        <f>IF(ISBLANK(E_EnergyFlows!E316),"",E_EnergyFlows!E316)</f>
        <v/>
      </c>
      <c r="F403" s="2701"/>
      <c r="G403" s="981" t="str">
        <f>E_EnergyFlows!G316</f>
        <v>TJ / година</v>
      </c>
      <c r="H403" s="1126" t="str">
        <f>IF(ISBLANK(E_EnergyFlows!H316),"",E_EnergyFlows!H316)</f>
        <v/>
      </c>
      <c r="I403" s="1126" t="str">
        <f>IF(ISBLANK(E_EnergyFlows!I316),"",E_EnergyFlows!I316)</f>
        <v/>
      </c>
      <c r="J403" s="1126" t="str">
        <f>IF(ISBLANK(E_EnergyFlows!J316),"",E_EnergyFlows!J316)</f>
        <v/>
      </c>
      <c r="K403" s="1126" t="str">
        <f>IF(ISBLANK(E_EnergyFlows!K316),"",E_EnergyFlows!K316)</f>
        <v/>
      </c>
      <c r="L403" s="1126" t="str">
        <f>IF(ISBLANK(E_EnergyFlows!L316),"",E_EnergyFlows!L316)</f>
        <v/>
      </c>
      <c r="M403" s="1126" t="str">
        <f>IF(ISBLANK(E_EnergyFlows!M316),"",E_EnergyFlows!M316)</f>
        <v/>
      </c>
      <c r="N403" s="1126" t="str">
        <f>IF(ISBLANK(E_EnergyFlows!N316),"",E_EnergyFlows!N316)</f>
        <v/>
      </c>
      <c r="O403" s="698"/>
      <c r="P403" s="343"/>
      <c r="Q403" s="343"/>
      <c r="R403" s="343"/>
      <c r="S403" s="343"/>
      <c r="T403" s="729"/>
      <c r="U403" s="343"/>
      <c r="V403" s="343"/>
    </row>
    <row r="404" spans="1:22" x14ac:dyDescent="0.25">
      <c r="A404" s="343"/>
      <c r="B404" s="698"/>
      <c r="C404" s="1084"/>
      <c r="D404" s="1084"/>
      <c r="E404" s="2995" t="str">
        <f>IF(ISBLANK(E_EnergyFlows!E317),"",E_EnergyFlows!E317)</f>
        <v/>
      </c>
      <c r="F404" s="2703"/>
      <c r="G404" s="990" t="str">
        <f>E_EnergyFlows!G317</f>
        <v>TJ / година</v>
      </c>
      <c r="H404" s="1127" t="str">
        <f>IF(ISBLANK(E_EnergyFlows!H317),"",E_EnergyFlows!H317)</f>
        <v/>
      </c>
      <c r="I404" s="1127" t="str">
        <f>IF(ISBLANK(E_EnergyFlows!I317),"",E_EnergyFlows!I317)</f>
        <v/>
      </c>
      <c r="J404" s="1127" t="str">
        <f>IF(ISBLANK(E_EnergyFlows!J317),"",E_EnergyFlows!J317)</f>
        <v/>
      </c>
      <c r="K404" s="1127" t="str">
        <f>IF(ISBLANK(E_EnergyFlows!K317),"",E_EnergyFlows!K317)</f>
        <v/>
      </c>
      <c r="L404" s="1127" t="str">
        <f>IF(ISBLANK(E_EnergyFlows!L317),"",E_EnergyFlows!L317)</f>
        <v/>
      </c>
      <c r="M404" s="1127" t="str">
        <f>IF(ISBLANK(E_EnergyFlows!M317),"",E_EnergyFlows!M317)</f>
        <v/>
      </c>
      <c r="N404" s="1127" t="str">
        <f>IF(ISBLANK(E_EnergyFlows!N317),"",E_EnergyFlows!N317)</f>
        <v/>
      </c>
      <c r="O404" s="698"/>
      <c r="P404" s="343"/>
      <c r="Q404" s="343"/>
      <c r="R404" s="343"/>
      <c r="S404" s="343"/>
      <c r="T404" s="729"/>
      <c r="U404" s="343"/>
      <c r="V404" s="343"/>
    </row>
    <row r="405" spans="1:22" x14ac:dyDescent="0.25">
      <c r="A405" s="343"/>
      <c r="B405" s="698"/>
      <c r="C405" s="1084"/>
      <c r="D405" s="1084"/>
      <c r="E405" s="2997" t="str">
        <f>IF(ISBLANK(E_EnergyFlows!E318),"",E_EnergyFlows!E318)</f>
        <v/>
      </c>
      <c r="F405" s="2705"/>
      <c r="G405" s="994" t="str">
        <f>E_EnergyFlows!G318</f>
        <v>TJ / година</v>
      </c>
      <c r="H405" s="1128" t="str">
        <f>IF(ISBLANK(E_EnergyFlows!H318),"",E_EnergyFlows!H318)</f>
        <v/>
      </c>
      <c r="I405" s="1128" t="str">
        <f>IF(ISBLANK(E_EnergyFlows!I318),"",E_EnergyFlows!I318)</f>
        <v/>
      </c>
      <c r="J405" s="1128" t="str">
        <f>IF(ISBLANK(E_EnergyFlows!J318),"",E_EnergyFlows!J318)</f>
        <v/>
      </c>
      <c r="K405" s="1128" t="str">
        <f>IF(ISBLANK(E_EnergyFlows!K318),"",E_EnergyFlows!K318)</f>
        <v/>
      </c>
      <c r="L405" s="1128" t="str">
        <f>IF(ISBLANK(E_EnergyFlows!L318),"",E_EnergyFlows!L318)</f>
        <v/>
      </c>
      <c r="M405" s="1128" t="str">
        <f>IF(ISBLANK(E_EnergyFlows!M318),"",E_EnergyFlows!M318)</f>
        <v/>
      </c>
      <c r="N405" s="1128" t="str">
        <f>IF(ISBLANK(E_EnergyFlows!N318),"",E_EnergyFlows!N318)</f>
        <v/>
      </c>
      <c r="O405" s="698"/>
      <c r="P405" s="343"/>
      <c r="Q405" s="343"/>
      <c r="R405" s="343"/>
      <c r="S405" s="343"/>
      <c r="T405" s="729"/>
      <c r="U405" s="343"/>
      <c r="V405" s="343"/>
    </row>
    <row r="406" spans="1:22" x14ac:dyDescent="0.25">
      <c r="A406" s="343"/>
      <c r="B406" s="698"/>
      <c r="C406" s="1084"/>
      <c r="D406" s="1084"/>
      <c r="E406" s="2667" t="str">
        <f>E_EnergyFlows!E319</f>
        <v>Междинен сбор</v>
      </c>
      <c r="F406" s="2258"/>
      <c r="G406" s="1038" t="str">
        <f>E_EnergyFlows!G319</f>
        <v>TJ / година</v>
      </c>
      <c r="H406" s="1024" t="str">
        <f>E_EnergyFlows!H319</f>
        <v/>
      </c>
      <c r="I406" s="1024" t="str">
        <f>E_EnergyFlows!I319</f>
        <v/>
      </c>
      <c r="J406" s="1024" t="str">
        <f>E_EnergyFlows!J319</f>
        <v/>
      </c>
      <c r="K406" s="1024" t="str">
        <f>E_EnergyFlows!K319</f>
        <v/>
      </c>
      <c r="L406" s="1024" t="str">
        <f>E_EnergyFlows!L319</f>
        <v/>
      </c>
      <c r="M406" s="1024" t="str">
        <f>E_EnergyFlows!M319</f>
        <v/>
      </c>
      <c r="N406" s="1024" t="str">
        <f>E_EnergyFlows!N319</f>
        <v/>
      </c>
      <c r="O406" s="698"/>
      <c r="P406" s="343"/>
      <c r="Q406" s="343"/>
      <c r="R406" s="343"/>
      <c r="S406" s="343"/>
      <c r="T406" s="729"/>
      <c r="U406" s="343"/>
      <c r="V406" s="343"/>
    </row>
    <row r="407" spans="1:22" ht="5.15" customHeight="1" x14ac:dyDescent="0.25">
      <c r="A407" s="343"/>
      <c r="B407" s="284"/>
      <c r="C407" s="284"/>
      <c r="D407" s="284"/>
      <c r="E407" s="284"/>
      <c r="F407" s="284"/>
      <c r="G407" s="284"/>
      <c r="H407" s="284"/>
      <c r="I407" s="284"/>
      <c r="J407" s="284"/>
      <c r="K407" s="284"/>
      <c r="L407" s="284"/>
      <c r="M407" s="284"/>
      <c r="N407" s="284"/>
      <c r="O407" s="698"/>
      <c r="P407" s="695"/>
      <c r="Q407" s="343"/>
      <c r="R407" s="343"/>
      <c r="S407" s="343"/>
      <c r="T407" s="729"/>
      <c r="U407" s="343"/>
      <c r="V407" s="343"/>
    </row>
    <row r="408" spans="1:22" ht="12.75" customHeight="1" x14ac:dyDescent="0.25">
      <c r="A408" s="343"/>
      <c r="B408" s="284"/>
      <c r="C408" s="300"/>
      <c r="D408" s="300" t="str">
        <f>E_EnergyFlows!D321</f>
        <v>(e)</v>
      </c>
      <c r="E408" s="2463" t="str">
        <f>E_EnergyFlows!E321</f>
        <v>Отпадни газове, подадени към други инсталации или обекти</v>
      </c>
      <c r="F408" s="2240"/>
      <c r="G408" s="2240"/>
      <c r="H408" s="2240"/>
      <c r="I408" s="2240"/>
      <c r="J408" s="2240"/>
      <c r="K408" s="2240"/>
      <c r="L408" s="2240"/>
      <c r="M408" s="2240"/>
      <c r="N408" s="2240"/>
      <c r="O408" s="698"/>
      <c r="P408" s="695"/>
      <c r="Q408" s="343"/>
      <c r="R408" s="343"/>
      <c r="S408" s="343"/>
      <c r="T408" s="729"/>
      <c r="U408" s="343"/>
      <c r="V408" s="343"/>
    </row>
    <row r="409" spans="1:22" ht="13" customHeight="1" x14ac:dyDescent="0.25">
      <c r="A409" s="343"/>
      <c r="B409" s="698"/>
      <c r="C409" s="698"/>
      <c r="D409" s="698"/>
      <c r="E409" s="2671" t="str">
        <f>E_EnergyFlows!E323</f>
        <v>Наименование на инсталацията или партньора</v>
      </c>
      <c r="F409" s="2672"/>
      <c r="G409" s="527" t="str">
        <f>E_EnergyFlows!G323</f>
        <v>Единица мярка</v>
      </c>
      <c r="H409" s="391">
        <f>E_EnergyFlows!H323</f>
        <v>2024</v>
      </c>
      <c r="I409" s="391">
        <f>E_EnergyFlows!I323</f>
        <v>2025</v>
      </c>
      <c r="J409" s="391">
        <f>E_EnergyFlows!J323</f>
        <v>2026</v>
      </c>
      <c r="K409" s="391">
        <f>E_EnergyFlows!K323</f>
        <v>2027</v>
      </c>
      <c r="L409" s="391">
        <f>E_EnergyFlows!L323</f>
        <v>2028</v>
      </c>
      <c r="M409" s="391">
        <f>E_EnergyFlows!M323</f>
        <v>2029</v>
      </c>
      <c r="N409" s="572">
        <f>E_EnergyFlows!N323</f>
        <v>2030</v>
      </c>
      <c r="O409" s="698"/>
      <c r="P409" s="343"/>
      <c r="Q409" s="343"/>
      <c r="R409" s="343"/>
      <c r="S409" s="343"/>
      <c r="T409" s="729"/>
      <c r="U409" s="343"/>
      <c r="V409" s="343"/>
    </row>
    <row r="410" spans="1:22" x14ac:dyDescent="0.25">
      <c r="A410" s="343"/>
      <c r="B410" s="698"/>
      <c r="C410" s="1084"/>
      <c r="D410" s="1084"/>
      <c r="E410" s="3045" t="str">
        <f>IF(ISBLANK(E_EnergyFlows!E324),"",E_EnergyFlows!E324)</f>
        <v/>
      </c>
      <c r="F410" s="2701"/>
      <c r="G410" s="981" t="str">
        <f>E_EnergyFlows!G324</f>
        <v>TJ / година</v>
      </c>
      <c r="H410" s="1126" t="str">
        <f>IF(ISBLANK(E_EnergyFlows!H324),"",E_EnergyFlows!H324)</f>
        <v/>
      </c>
      <c r="I410" s="1126" t="str">
        <f>IF(ISBLANK(E_EnergyFlows!I324),"",E_EnergyFlows!I324)</f>
        <v/>
      </c>
      <c r="J410" s="1126" t="str">
        <f>IF(ISBLANK(E_EnergyFlows!J324),"",E_EnergyFlows!J324)</f>
        <v/>
      </c>
      <c r="K410" s="1126" t="str">
        <f>IF(ISBLANK(E_EnergyFlows!K324),"",E_EnergyFlows!K324)</f>
        <v/>
      </c>
      <c r="L410" s="1126" t="str">
        <f>IF(ISBLANK(E_EnergyFlows!L324),"",E_EnergyFlows!L324)</f>
        <v/>
      </c>
      <c r="M410" s="1126" t="str">
        <f>IF(ISBLANK(E_EnergyFlows!M324),"",E_EnergyFlows!M324)</f>
        <v/>
      </c>
      <c r="N410" s="1667" t="str">
        <f>IF(ISBLANK(E_EnergyFlows!N324),"",E_EnergyFlows!N324)</f>
        <v/>
      </c>
      <c r="O410" s="698"/>
      <c r="P410" s="343"/>
      <c r="Q410" s="343"/>
      <c r="R410" s="343"/>
      <c r="S410" s="343"/>
      <c r="T410" s="729"/>
      <c r="U410" s="343"/>
      <c r="V410" s="343"/>
    </row>
    <row r="411" spans="1:22" x14ac:dyDescent="0.25">
      <c r="A411" s="343"/>
      <c r="B411" s="698"/>
      <c r="C411" s="1084"/>
      <c r="D411" s="1084"/>
      <c r="E411" s="2995" t="str">
        <f>IF(ISBLANK(E_EnergyFlows!E325),"",E_EnergyFlows!E325)</f>
        <v/>
      </c>
      <c r="F411" s="2703"/>
      <c r="G411" s="990" t="str">
        <f>E_EnergyFlows!G325</f>
        <v>TJ / година</v>
      </c>
      <c r="H411" s="1127" t="str">
        <f>IF(ISBLANK(E_EnergyFlows!H325),"",E_EnergyFlows!H325)</f>
        <v/>
      </c>
      <c r="I411" s="1127" t="str">
        <f>IF(ISBLANK(E_EnergyFlows!I325),"",E_EnergyFlows!I325)</f>
        <v/>
      </c>
      <c r="J411" s="1127" t="str">
        <f>IF(ISBLANK(E_EnergyFlows!J325),"",E_EnergyFlows!J325)</f>
        <v/>
      </c>
      <c r="K411" s="1127" t="str">
        <f>IF(ISBLANK(E_EnergyFlows!K325),"",E_EnergyFlows!K325)</f>
        <v/>
      </c>
      <c r="L411" s="1127" t="str">
        <f>IF(ISBLANK(E_EnergyFlows!L325),"",E_EnergyFlows!L325)</f>
        <v/>
      </c>
      <c r="M411" s="1127" t="str">
        <f>IF(ISBLANK(E_EnergyFlows!M325),"",E_EnergyFlows!M325)</f>
        <v/>
      </c>
      <c r="N411" s="1668" t="str">
        <f>IF(ISBLANK(E_EnergyFlows!N325),"",E_EnergyFlows!N325)</f>
        <v/>
      </c>
      <c r="O411" s="698"/>
      <c r="P411" s="343"/>
      <c r="Q411" s="343"/>
      <c r="R411" s="343"/>
      <c r="S411" s="343"/>
      <c r="T411" s="729"/>
      <c r="U411" s="343"/>
      <c r="V411" s="343"/>
    </row>
    <row r="412" spans="1:22" x14ac:dyDescent="0.25">
      <c r="A412" s="343"/>
      <c r="B412" s="698"/>
      <c r="C412" s="1084"/>
      <c r="D412" s="1084"/>
      <c r="E412" s="2997" t="str">
        <f>IF(ISBLANK(E_EnergyFlows!E326),"",E_EnergyFlows!E326)</f>
        <v/>
      </c>
      <c r="F412" s="2705"/>
      <c r="G412" s="994" t="str">
        <f>E_EnergyFlows!G326</f>
        <v>TJ / година</v>
      </c>
      <c r="H412" s="1128" t="str">
        <f>IF(ISBLANK(E_EnergyFlows!H326),"",E_EnergyFlows!H326)</f>
        <v/>
      </c>
      <c r="I412" s="1128" t="str">
        <f>IF(ISBLANK(E_EnergyFlows!I326),"",E_EnergyFlows!I326)</f>
        <v/>
      </c>
      <c r="J412" s="1128" t="str">
        <f>IF(ISBLANK(E_EnergyFlows!J326),"",E_EnergyFlows!J326)</f>
        <v/>
      </c>
      <c r="K412" s="1128" t="str">
        <f>IF(ISBLANK(E_EnergyFlows!K326),"",E_EnergyFlows!K326)</f>
        <v/>
      </c>
      <c r="L412" s="1128" t="str">
        <f>IF(ISBLANK(E_EnergyFlows!L326),"",E_EnergyFlows!L326)</f>
        <v/>
      </c>
      <c r="M412" s="1128" t="str">
        <f>IF(ISBLANK(E_EnergyFlows!M326),"",E_EnergyFlows!M326)</f>
        <v/>
      </c>
      <c r="N412" s="1669" t="str">
        <f>IF(ISBLANK(E_EnergyFlows!N326),"",E_EnergyFlows!N326)</f>
        <v/>
      </c>
      <c r="O412" s="698"/>
      <c r="P412" s="343"/>
      <c r="Q412" s="343"/>
      <c r="R412" s="343"/>
      <c r="S412" s="343"/>
      <c r="T412" s="729"/>
      <c r="U412" s="343"/>
      <c r="V412" s="343"/>
    </row>
    <row r="413" spans="1:22" x14ac:dyDescent="0.25">
      <c r="A413" s="343"/>
      <c r="B413" s="698"/>
      <c r="C413" s="1084"/>
      <c r="D413" s="1084"/>
      <c r="E413" s="2667" t="str">
        <f>E_EnergyFlows!E327</f>
        <v>Междинен сбор</v>
      </c>
      <c r="F413" s="2258"/>
      <c r="G413" s="1038" t="str">
        <f>E_EnergyFlows!G327</f>
        <v>TJ / година</v>
      </c>
      <c r="H413" s="1024" t="str">
        <f>E_EnergyFlows!H327</f>
        <v/>
      </c>
      <c r="I413" s="1024" t="str">
        <f>E_EnergyFlows!I327</f>
        <v/>
      </c>
      <c r="J413" s="1024" t="str">
        <f>E_EnergyFlows!J327</f>
        <v/>
      </c>
      <c r="K413" s="1024" t="str">
        <f>E_EnergyFlows!K327</f>
        <v/>
      </c>
      <c r="L413" s="1024" t="str">
        <f>E_EnergyFlows!L327</f>
        <v/>
      </c>
      <c r="M413" s="1024" t="str">
        <f>E_EnergyFlows!M327</f>
        <v/>
      </c>
      <c r="N413" s="1091" t="str">
        <f>E_EnergyFlows!N327</f>
        <v/>
      </c>
      <c r="O413" s="698"/>
      <c r="P413" s="343"/>
      <c r="Q413" s="343"/>
      <c r="R413" s="343"/>
      <c r="S413" s="343"/>
      <c r="T413" s="729"/>
      <c r="U413" s="343"/>
      <c r="V413" s="343"/>
    </row>
    <row r="414" spans="1:22" ht="5.15" customHeight="1" x14ac:dyDescent="0.25">
      <c r="A414" s="343"/>
      <c r="B414" s="284"/>
      <c r="C414" s="284"/>
      <c r="D414" s="284"/>
      <c r="E414" s="284"/>
      <c r="F414" s="284"/>
      <c r="G414" s="284"/>
      <c r="H414" s="284"/>
      <c r="I414" s="284"/>
      <c r="J414" s="284"/>
      <c r="K414" s="284"/>
      <c r="L414" s="284"/>
      <c r="M414" s="284"/>
      <c r="N414" s="284"/>
      <c r="O414" s="698"/>
      <c r="P414" s="695"/>
      <c r="Q414" s="343"/>
      <c r="R414" s="343"/>
      <c r="S414" s="343"/>
      <c r="T414" s="729"/>
      <c r="U414" s="343"/>
      <c r="V414" s="343"/>
    </row>
    <row r="415" spans="1:22" ht="13" customHeight="1" x14ac:dyDescent="0.25">
      <c r="A415" s="343"/>
      <c r="B415" s="284"/>
      <c r="C415" s="300"/>
      <c r="D415" s="300" t="str">
        <f>E_EnergyFlows!D329</f>
        <v>(f)</v>
      </c>
      <c r="E415" s="2671" t="str">
        <f>E_EnergyFlows!E329</f>
        <v>Сбор на отпадните газове, налични в инсталацията (=c+d-e)</v>
      </c>
      <c r="F415" s="2672"/>
      <c r="G415" s="2672"/>
      <c r="H415" s="2672"/>
      <c r="I415" s="2672"/>
      <c r="J415" s="2672"/>
      <c r="K415" s="2672"/>
      <c r="L415" s="2672"/>
      <c r="M415" s="2672"/>
      <c r="N415" s="2672"/>
      <c r="O415" s="698"/>
      <c r="P415" s="695"/>
      <c r="Q415" s="343"/>
      <c r="R415" s="343"/>
      <c r="S415" s="343"/>
      <c r="T415" s="729"/>
      <c r="U415" s="343"/>
      <c r="V415" s="343"/>
    </row>
    <row r="416" spans="1:22" ht="12.65" customHeight="1" x14ac:dyDescent="0.25">
      <c r="A416" s="343"/>
      <c r="B416" s="698"/>
      <c r="C416" s="698"/>
      <c r="D416" s="698"/>
      <c r="E416" s="2687" t="str">
        <f>E_EnergyFlows!E330</f>
        <v>Налични отпадни газове</v>
      </c>
      <c r="F416" s="2258"/>
      <c r="G416" s="1038" t="str">
        <f>E_EnergyFlows!G330</f>
        <v>TJ / година</v>
      </c>
      <c r="H416" s="1024" t="str">
        <f>E_EnergyFlows!H330</f>
        <v/>
      </c>
      <c r="I416" s="1024" t="str">
        <f>E_EnergyFlows!I330</f>
        <v/>
      </c>
      <c r="J416" s="1024" t="str">
        <f>E_EnergyFlows!J330</f>
        <v/>
      </c>
      <c r="K416" s="1024" t="str">
        <f>E_EnergyFlows!K330</f>
        <v/>
      </c>
      <c r="L416" s="1024" t="str">
        <f>E_EnergyFlows!L330</f>
        <v/>
      </c>
      <c r="M416" s="1024" t="str">
        <f>E_EnergyFlows!M330</f>
        <v/>
      </c>
      <c r="N416" s="1024" t="str">
        <f>E_EnergyFlows!N330</f>
        <v/>
      </c>
      <c r="O416" s="698"/>
      <c r="P416" s="343"/>
      <c r="Q416" s="343"/>
      <c r="R416" s="343"/>
      <c r="S416" s="343"/>
      <c r="T416" s="729"/>
      <c r="U416" s="343"/>
      <c r="V416" s="343"/>
    </row>
    <row r="417" spans="1:22" ht="5.15" customHeight="1" x14ac:dyDescent="0.25">
      <c r="A417" s="343"/>
      <c r="B417" s="698"/>
      <c r="C417" s="698"/>
      <c r="D417" s="698"/>
      <c r="E417" s="698"/>
      <c r="F417" s="698"/>
      <c r="G417" s="698"/>
      <c r="H417" s="698"/>
      <c r="I417" s="698"/>
      <c r="J417" s="698"/>
      <c r="K417" s="698"/>
      <c r="L417" s="698"/>
      <c r="M417" s="698"/>
      <c r="N417" s="698"/>
      <c r="O417" s="698"/>
      <c r="P417" s="343"/>
      <c r="Q417" s="343"/>
      <c r="R417" s="343"/>
      <c r="S417" s="343"/>
      <c r="T417" s="729"/>
      <c r="U417" s="343"/>
      <c r="V417" s="343"/>
    </row>
    <row r="418" spans="1:22" ht="13" customHeight="1" x14ac:dyDescent="0.25">
      <c r="A418" s="343"/>
      <c r="B418" s="284"/>
      <c r="C418" s="300"/>
      <c r="D418" s="300" t="str">
        <f>E_EnergyFlows!D332</f>
        <v>(g)</v>
      </c>
      <c r="E418" s="2463" t="str">
        <f>E_EnergyFlows!E332</f>
        <v>Отпадни газове, консумирани в подинсталации с продуктов показател</v>
      </c>
      <c r="F418" s="2240"/>
      <c r="G418" s="2240"/>
      <c r="H418" s="2240"/>
      <c r="I418" s="2240"/>
      <c r="J418" s="2240"/>
      <c r="K418" s="2240"/>
      <c r="L418" s="2240"/>
      <c r="M418" s="2240"/>
      <c r="N418" s="2240"/>
      <c r="O418" s="698"/>
      <c r="P418" s="695"/>
      <c r="Q418" s="343"/>
      <c r="R418" s="343"/>
      <c r="S418" s="343"/>
      <c r="T418" s="729"/>
      <c r="U418" s="343"/>
      <c r="V418" s="343"/>
    </row>
    <row r="419" spans="1:22" ht="13" customHeight="1" x14ac:dyDescent="0.25">
      <c r="A419" s="343"/>
      <c r="B419" s="698"/>
      <c r="C419" s="698"/>
      <c r="D419" s="698"/>
      <c r="E419" s="2671" t="str">
        <f>E_EnergyFlows!E334</f>
        <v>Тип подинсталация с продуктов показател</v>
      </c>
      <c r="F419" s="2672"/>
      <c r="G419" s="527" t="str">
        <f>E_EnergyFlows!G334</f>
        <v>Единица мярка</v>
      </c>
      <c r="H419" s="391">
        <f>E_EnergyFlows!H334</f>
        <v>2024</v>
      </c>
      <c r="I419" s="391">
        <f>E_EnergyFlows!I334</f>
        <v>2025</v>
      </c>
      <c r="J419" s="391">
        <f>E_EnergyFlows!J334</f>
        <v>2026</v>
      </c>
      <c r="K419" s="391">
        <f>E_EnergyFlows!K334</f>
        <v>2027</v>
      </c>
      <c r="L419" s="391">
        <f>E_EnergyFlows!L334</f>
        <v>2028</v>
      </c>
      <c r="M419" s="391">
        <f>E_EnergyFlows!M334</f>
        <v>2029</v>
      </c>
      <c r="N419" s="391">
        <f>E_EnergyFlows!N334</f>
        <v>2030</v>
      </c>
      <c r="O419" s="698"/>
      <c r="P419" s="695"/>
      <c r="Q419" s="695"/>
      <c r="R419" s="695"/>
      <c r="S419" s="695"/>
      <c r="T419" s="729"/>
      <c r="U419" s="343"/>
      <c r="V419" s="343"/>
    </row>
    <row r="420" spans="1:22" ht="12.75" customHeight="1" x14ac:dyDescent="0.25">
      <c r="A420" s="343"/>
      <c r="B420" s="698"/>
      <c r="C420" s="698"/>
      <c r="D420" s="360"/>
      <c r="E420" s="3045" t="str">
        <f>E_EnergyFlows!E335</f>
        <v/>
      </c>
      <c r="F420" s="2701"/>
      <c r="G420" s="1093" t="str">
        <f>E_EnergyFlows!G335</f>
        <v>TJ / година</v>
      </c>
      <c r="H420" s="1126" t="str">
        <f>E_EnergyFlows!H335</f>
        <v/>
      </c>
      <c r="I420" s="1126" t="str">
        <f>E_EnergyFlows!I335</f>
        <v/>
      </c>
      <c r="J420" s="1126" t="str">
        <f>E_EnergyFlows!J335</f>
        <v/>
      </c>
      <c r="K420" s="1126" t="str">
        <f>E_EnergyFlows!K335</f>
        <v/>
      </c>
      <c r="L420" s="1126" t="str">
        <f>E_EnergyFlows!L335</f>
        <v/>
      </c>
      <c r="M420" s="1126" t="str">
        <f>E_EnergyFlows!M335</f>
        <v/>
      </c>
      <c r="N420" s="1126" t="str">
        <f>E_EnergyFlows!N335</f>
        <v/>
      </c>
      <c r="O420" s="698"/>
      <c r="P420" s="695"/>
      <c r="Q420" s="695"/>
      <c r="R420" s="695"/>
      <c r="S420" s="695"/>
      <c r="T420" s="729"/>
      <c r="U420" s="343"/>
      <c r="V420" s="343"/>
    </row>
    <row r="421" spans="1:22" x14ac:dyDescent="0.25">
      <c r="A421" s="343"/>
      <c r="B421" s="698"/>
      <c r="C421" s="698"/>
      <c r="D421" s="360"/>
      <c r="E421" s="2995" t="str">
        <f>E_EnergyFlows!E336</f>
        <v/>
      </c>
      <c r="F421" s="2703"/>
      <c r="G421" s="1095" t="str">
        <f>E_EnergyFlows!G336</f>
        <v>TJ / година</v>
      </c>
      <c r="H421" s="1127" t="str">
        <f>E_EnergyFlows!H336</f>
        <v/>
      </c>
      <c r="I421" s="1127" t="str">
        <f>E_EnergyFlows!I336</f>
        <v/>
      </c>
      <c r="J421" s="1127" t="str">
        <f>E_EnergyFlows!J336</f>
        <v/>
      </c>
      <c r="K421" s="1127" t="str">
        <f>E_EnergyFlows!K336</f>
        <v/>
      </c>
      <c r="L421" s="1127" t="str">
        <f>E_EnergyFlows!L336</f>
        <v/>
      </c>
      <c r="M421" s="1127" t="str">
        <f>E_EnergyFlows!M336</f>
        <v/>
      </c>
      <c r="N421" s="1127" t="str">
        <f>E_EnergyFlows!N336</f>
        <v/>
      </c>
      <c r="O421" s="698"/>
      <c r="P421" s="695"/>
      <c r="Q421" s="695"/>
      <c r="R421" s="695"/>
      <c r="S421" s="695"/>
      <c r="T421" s="729"/>
      <c r="U421" s="343"/>
      <c r="V421" s="343"/>
    </row>
    <row r="422" spans="1:22" ht="12.75" customHeight="1" x14ac:dyDescent="0.25">
      <c r="A422" s="343"/>
      <c r="B422" s="698"/>
      <c r="C422" s="698"/>
      <c r="D422" s="360"/>
      <c r="E422" s="2995" t="str">
        <f>E_EnergyFlows!E337</f>
        <v/>
      </c>
      <c r="F422" s="2703"/>
      <c r="G422" s="1095" t="str">
        <f>E_EnergyFlows!G337</f>
        <v>TJ / година</v>
      </c>
      <c r="H422" s="1127" t="str">
        <f>E_EnergyFlows!H337</f>
        <v/>
      </c>
      <c r="I422" s="1127" t="str">
        <f>E_EnergyFlows!I337</f>
        <v/>
      </c>
      <c r="J422" s="1127" t="str">
        <f>E_EnergyFlows!J337</f>
        <v/>
      </c>
      <c r="K422" s="1127" t="str">
        <f>E_EnergyFlows!K337</f>
        <v/>
      </c>
      <c r="L422" s="1127" t="str">
        <f>E_EnergyFlows!L337</f>
        <v/>
      </c>
      <c r="M422" s="1127" t="str">
        <f>E_EnergyFlows!M337</f>
        <v/>
      </c>
      <c r="N422" s="1127" t="str">
        <f>E_EnergyFlows!N337</f>
        <v/>
      </c>
      <c r="O422" s="698"/>
      <c r="P422" s="695"/>
      <c r="Q422" s="695"/>
      <c r="R422" s="695"/>
      <c r="S422" s="695"/>
      <c r="T422" s="729"/>
      <c r="U422" s="343"/>
      <c r="V422" s="343"/>
    </row>
    <row r="423" spans="1:22" x14ac:dyDescent="0.25">
      <c r="A423" s="343"/>
      <c r="B423" s="698"/>
      <c r="C423" s="698"/>
      <c r="D423" s="360"/>
      <c r="E423" s="2995" t="str">
        <f>E_EnergyFlows!E338</f>
        <v/>
      </c>
      <c r="F423" s="2703"/>
      <c r="G423" s="1095" t="str">
        <f>E_EnergyFlows!G338</f>
        <v>TJ / година</v>
      </c>
      <c r="H423" s="1127" t="str">
        <f>E_EnergyFlows!H338</f>
        <v/>
      </c>
      <c r="I423" s="1127" t="str">
        <f>E_EnergyFlows!I338</f>
        <v/>
      </c>
      <c r="J423" s="1127" t="str">
        <f>E_EnergyFlows!J338</f>
        <v/>
      </c>
      <c r="K423" s="1127" t="str">
        <f>E_EnergyFlows!K338</f>
        <v/>
      </c>
      <c r="L423" s="1127" t="str">
        <f>E_EnergyFlows!L338</f>
        <v/>
      </c>
      <c r="M423" s="1127" t="str">
        <f>E_EnergyFlows!M338</f>
        <v/>
      </c>
      <c r="N423" s="1127" t="str">
        <f>E_EnergyFlows!N338</f>
        <v/>
      </c>
      <c r="O423" s="698"/>
      <c r="P423" s="695"/>
      <c r="Q423" s="695"/>
      <c r="R423" s="695"/>
      <c r="S423" s="695"/>
      <c r="T423" s="729"/>
      <c r="U423" s="343"/>
      <c r="V423" s="343"/>
    </row>
    <row r="424" spans="1:22" x14ac:dyDescent="0.25">
      <c r="A424" s="343"/>
      <c r="B424" s="698"/>
      <c r="C424" s="698"/>
      <c r="D424" s="360"/>
      <c r="E424" s="2995" t="str">
        <f>E_EnergyFlows!E339</f>
        <v/>
      </c>
      <c r="F424" s="2703"/>
      <c r="G424" s="1095" t="str">
        <f>E_EnergyFlows!G339</f>
        <v>TJ / година</v>
      </c>
      <c r="H424" s="1127" t="str">
        <f>E_EnergyFlows!H339</f>
        <v/>
      </c>
      <c r="I424" s="1127" t="str">
        <f>E_EnergyFlows!I339</f>
        <v/>
      </c>
      <c r="J424" s="1127" t="str">
        <f>E_EnergyFlows!J339</f>
        <v/>
      </c>
      <c r="K424" s="1127" t="str">
        <f>E_EnergyFlows!K339</f>
        <v/>
      </c>
      <c r="L424" s="1127" t="str">
        <f>E_EnergyFlows!L339</f>
        <v/>
      </c>
      <c r="M424" s="1127" t="str">
        <f>E_EnergyFlows!M339</f>
        <v/>
      </c>
      <c r="N424" s="1127" t="str">
        <f>E_EnergyFlows!N339</f>
        <v/>
      </c>
      <c r="O424" s="698"/>
      <c r="P424" s="695"/>
      <c r="Q424" s="695"/>
      <c r="R424" s="695"/>
      <c r="S424" s="695"/>
      <c r="T424" s="729"/>
      <c r="U424" s="343"/>
      <c r="V424" s="343"/>
    </row>
    <row r="425" spans="1:22" x14ac:dyDescent="0.25">
      <c r="A425" s="343"/>
      <c r="B425" s="698"/>
      <c r="C425" s="698"/>
      <c r="D425" s="360"/>
      <c r="E425" s="2995" t="str">
        <f>E_EnergyFlows!E340</f>
        <v/>
      </c>
      <c r="F425" s="2703"/>
      <c r="G425" s="1095" t="str">
        <f>E_EnergyFlows!G340</f>
        <v>TJ / година</v>
      </c>
      <c r="H425" s="1127" t="str">
        <f>E_EnergyFlows!H340</f>
        <v/>
      </c>
      <c r="I425" s="1127" t="str">
        <f>E_EnergyFlows!I340</f>
        <v/>
      </c>
      <c r="J425" s="1127" t="str">
        <f>E_EnergyFlows!J340</f>
        <v/>
      </c>
      <c r="K425" s="1127" t="str">
        <f>E_EnergyFlows!K340</f>
        <v/>
      </c>
      <c r="L425" s="1127" t="str">
        <f>E_EnergyFlows!L340</f>
        <v/>
      </c>
      <c r="M425" s="1127" t="str">
        <f>E_EnergyFlows!M340</f>
        <v/>
      </c>
      <c r="N425" s="1127" t="str">
        <f>E_EnergyFlows!N340</f>
        <v/>
      </c>
      <c r="O425" s="698"/>
      <c r="P425" s="695"/>
      <c r="Q425" s="695"/>
      <c r="R425" s="695"/>
      <c r="S425" s="695"/>
      <c r="T425" s="729"/>
      <c r="U425" s="343"/>
      <c r="V425" s="343"/>
    </row>
    <row r="426" spans="1:22" x14ac:dyDescent="0.25">
      <c r="A426" s="343"/>
      <c r="B426" s="698"/>
      <c r="C426" s="698"/>
      <c r="D426" s="360"/>
      <c r="E426" s="2995" t="str">
        <f>E_EnergyFlows!E341</f>
        <v/>
      </c>
      <c r="F426" s="2703"/>
      <c r="G426" s="1095" t="str">
        <f>E_EnergyFlows!G341</f>
        <v>TJ / година</v>
      </c>
      <c r="H426" s="1127" t="str">
        <f>E_EnergyFlows!H341</f>
        <v/>
      </c>
      <c r="I426" s="1127" t="str">
        <f>E_EnergyFlows!I341</f>
        <v/>
      </c>
      <c r="J426" s="1127" t="str">
        <f>E_EnergyFlows!J341</f>
        <v/>
      </c>
      <c r="K426" s="1127" t="str">
        <f>E_EnergyFlows!K341</f>
        <v/>
      </c>
      <c r="L426" s="1127" t="str">
        <f>E_EnergyFlows!L341</f>
        <v/>
      </c>
      <c r="M426" s="1127" t="str">
        <f>E_EnergyFlows!M341</f>
        <v/>
      </c>
      <c r="N426" s="1127" t="str">
        <f>E_EnergyFlows!N341</f>
        <v/>
      </c>
      <c r="O426" s="698"/>
      <c r="P426" s="695"/>
      <c r="Q426" s="695"/>
      <c r="R426" s="695"/>
      <c r="S426" s="695"/>
      <c r="T426" s="729"/>
      <c r="U426" s="343"/>
      <c r="V426" s="343"/>
    </row>
    <row r="427" spans="1:22" x14ac:dyDescent="0.25">
      <c r="A427" s="343"/>
      <c r="B427" s="698"/>
      <c r="C427" s="698"/>
      <c r="D427" s="360"/>
      <c r="E427" s="2995" t="str">
        <f>E_EnergyFlows!E342</f>
        <v/>
      </c>
      <c r="F427" s="2703"/>
      <c r="G427" s="1095" t="str">
        <f>E_EnergyFlows!G342</f>
        <v>TJ / година</v>
      </c>
      <c r="H427" s="1127" t="str">
        <f>E_EnergyFlows!H342</f>
        <v/>
      </c>
      <c r="I427" s="1127" t="str">
        <f>E_EnergyFlows!I342</f>
        <v/>
      </c>
      <c r="J427" s="1127" t="str">
        <f>E_EnergyFlows!J342</f>
        <v/>
      </c>
      <c r="K427" s="1127" t="str">
        <f>E_EnergyFlows!K342</f>
        <v/>
      </c>
      <c r="L427" s="1127" t="str">
        <f>E_EnergyFlows!L342</f>
        <v/>
      </c>
      <c r="M427" s="1127" t="str">
        <f>E_EnergyFlows!M342</f>
        <v/>
      </c>
      <c r="N427" s="1127" t="str">
        <f>E_EnergyFlows!N342</f>
        <v/>
      </c>
      <c r="O427" s="698"/>
      <c r="P427" s="695"/>
      <c r="Q427" s="695"/>
      <c r="R427" s="695"/>
      <c r="S427" s="695"/>
      <c r="T427" s="729"/>
      <c r="U427" s="343"/>
      <c r="V427" s="343"/>
    </row>
    <row r="428" spans="1:22" x14ac:dyDescent="0.25">
      <c r="A428" s="343"/>
      <c r="B428" s="698"/>
      <c r="C428" s="698"/>
      <c r="D428" s="360"/>
      <c r="E428" s="2995" t="str">
        <f>E_EnergyFlows!E343</f>
        <v/>
      </c>
      <c r="F428" s="2703"/>
      <c r="G428" s="1095" t="str">
        <f>E_EnergyFlows!G343</f>
        <v>TJ / година</v>
      </c>
      <c r="H428" s="1127" t="str">
        <f>E_EnergyFlows!H343</f>
        <v/>
      </c>
      <c r="I428" s="1127" t="str">
        <f>E_EnergyFlows!I343</f>
        <v/>
      </c>
      <c r="J428" s="1127" t="str">
        <f>E_EnergyFlows!J343</f>
        <v/>
      </c>
      <c r="K428" s="1127" t="str">
        <f>E_EnergyFlows!K343</f>
        <v/>
      </c>
      <c r="L428" s="1127" t="str">
        <f>E_EnergyFlows!L343</f>
        <v/>
      </c>
      <c r="M428" s="1127" t="str">
        <f>E_EnergyFlows!M343</f>
        <v/>
      </c>
      <c r="N428" s="1127" t="str">
        <f>E_EnergyFlows!N343</f>
        <v/>
      </c>
      <c r="O428" s="698"/>
      <c r="P428" s="695"/>
      <c r="Q428" s="695"/>
      <c r="R428" s="695"/>
      <c r="S428" s="695"/>
      <c r="T428" s="729"/>
      <c r="U428" s="343"/>
      <c r="V428" s="343"/>
    </row>
    <row r="429" spans="1:22" x14ac:dyDescent="0.25">
      <c r="A429" s="343"/>
      <c r="B429" s="698"/>
      <c r="C429" s="698"/>
      <c r="D429" s="360"/>
      <c r="E429" s="2997" t="str">
        <f>E_EnergyFlows!E344</f>
        <v/>
      </c>
      <c r="F429" s="2705"/>
      <c r="G429" s="1098" t="str">
        <f>E_EnergyFlows!G344</f>
        <v>TJ / година</v>
      </c>
      <c r="H429" s="1128" t="str">
        <f>E_EnergyFlows!H344</f>
        <v/>
      </c>
      <c r="I429" s="1128" t="str">
        <f>E_EnergyFlows!I344</f>
        <v/>
      </c>
      <c r="J429" s="1128" t="str">
        <f>E_EnergyFlows!J344</f>
        <v/>
      </c>
      <c r="K429" s="1128" t="str">
        <f>E_EnergyFlows!K344</f>
        <v/>
      </c>
      <c r="L429" s="1128" t="str">
        <f>E_EnergyFlows!L344</f>
        <v/>
      </c>
      <c r="M429" s="1128" t="str">
        <f>E_EnergyFlows!M344</f>
        <v/>
      </c>
      <c r="N429" s="1128" t="str">
        <f>E_EnergyFlows!N344</f>
        <v/>
      </c>
      <c r="O429" s="698"/>
      <c r="P429" s="695"/>
      <c r="Q429" s="695"/>
      <c r="R429" s="695"/>
      <c r="S429" s="695"/>
      <c r="T429" s="729"/>
      <c r="U429" s="343"/>
      <c r="V429" s="343"/>
    </row>
    <row r="430" spans="1:22" ht="12.75" customHeight="1" x14ac:dyDescent="0.25">
      <c r="A430" s="343"/>
      <c r="B430" s="698"/>
      <c r="C430" s="1084"/>
      <c r="D430" s="360"/>
      <c r="E430" s="2667" t="str">
        <f>E_EnergyFlows!E345</f>
        <v>Междинен сбор</v>
      </c>
      <c r="F430" s="2258"/>
      <c r="G430" s="994" t="str">
        <f>E_EnergyFlows!G345</f>
        <v>TJ / година</v>
      </c>
      <c r="H430" s="1020" t="str">
        <f>E_EnergyFlows!H345</f>
        <v/>
      </c>
      <c r="I430" s="1020" t="str">
        <f>E_EnergyFlows!I345</f>
        <v/>
      </c>
      <c r="J430" s="1020" t="str">
        <f>E_EnergyFlows!J345</f>
        <v/>
      </c>
      <c r="K430" s="1020" t="str">
        <f>E_EnergyFlows!K345</f>
        <v/>
      </c>
      <c r="L430" s="1020" t="str">
        <f>E_EnergyFlows!L345</f>
        <v/>
      </c>
      <c r="M430" s="1020" t="str">
        <f>E_EnergyFlows!M345</f>
        <v/>
      </c>
      <c r="N430" s="1020" t="str">
        <f>E_EnergyFlows!N345</f>
        <v/>
      </c>
      <c r="O430" s="698"/>
      <c r="P430" s="695"/>
      <c r="Q430" s="695"/>
      <c r="R430" s="695"/>
      <c r="S430" s="695"/>
      <c r="T430" s="729"/>
      <c r="U430" s="343"/>
      <c r="V430" s="343"/>
    </row>
    <row r="431" spans="1:22" ht="5.15" customHeight="1" x14ac:dyDescent="0.25">
      <c r="A431" s="343"/>
      <c r="B431" s="284"/>
      <c r="C431" s="284"/>
      <c r="D431" s="284"/>
      <c r="E431" s="284"/>
      <c r="F431" s="284"/>
      <c r="G431" s="284"/>
      <c r="H431" s="284"/>
      <c r="I431" s="284"/>
      <c r="J431" s="284"/>
      <c r="K431" s="284"/>
      <c r="L431" s="284"/>
      <c r="M431" s="284"/>
      <c r="N431" s="284"/>
      <c r="O431" s="698"/>
      <c r="P431" s="695"/>
      <c r="Q431" s="695"/>
      <c r="R431" s="695"/>
      <c r="S431" s="695"/>
      <c r="T431" s="729"/>
      <c r="U431" s="343"/>
      <c r="V431" s="343"/>
    </row>
    <row r="432" spans="1:22" ht="13" customHeight="1" x14ac:dyDescent="0.25">
      <c r="A432" s="343"/>
      <c r="B432" s="284"/>
      <c r="C432" s="300"/>
      <c r="D432" s="300" t="str">
        <f>E_EnergyFlows!D347</f>
        <v>(h)</v>
      </c>
      <c r="E432" s="2463" t="str">
        <f>E_EnergyFlows!E347</f>
        <v>Отпадни газове, консумирани в алтернативни подинсталации („fall-back sub-installations“)</v>
      </c>
      <c r="F432" s="2240"/>
      <c r="G432" s="2240"/>
      <c r="H432" s="2240"/>
      <c r="I432" s="2240"/>
      <c r="J432" s="2240"/>
      <c r="K432" s="2240"/>
      <c r="L432" s="2240"/>
      <c r="M432" s="2240"/>
      <c r="N432" s="2240"/>
      <c r="O432" s="698"/>
      <c r="P432" s="695"/>
      <c r="Q432" s="695"/>
      <c r="R432" s="695"/>
      <c r="S432" s="695"/>
      <c r="T432" s="729"/>
      <c r="U432" s="343"/>
      <c r="V432" s="343"/>
    </row>
    <row r="433" spans="1:22" ht="13" customHeight="1" x14ac:dyDescent="0.25">
      <c r="A433" s="343"/>
      <c r="B433" s="698"/>
      <c r="C433" s="698"/>
      <c r="D433" s="698"/>
      <c r="E433" s="2671" t="str">
        <f>E_EnergyFlows!E349</f>
        <v>Тип алтернативна подинсталация („fall-back sub-installation“)</v>
      </c>
      <c r="F433" s="2672"/>
      <c r="G433" s="300" t="str">
        <f>E_EnergyFlows!G349</f>
        <v>Единица мярка</v>
      </c>
      <c r="H433" s="391">
        <f>E_EnergyFlows!H349</f>
        <v>2024</v>
      </c>
      <c r="I433" s="391">
        <f>E_EnergyFlows!I349</f>
        <v>2025</v>
      </c>
      <c r="J433" s="391">
        <f>E_EnergyFlows!J349</f>
        <v>2026</v>
      </c>
      <c r="K433" s="391">
        <f>E_EnergyFlows!K349</f>
        <v>2027</v>
      </c>
      <c r="L433" s="391">
        <f>E_EnergyFlows!L349</f>
        <v>2028</v>
      </c>
      <c r="M433" s="391">
        <f>E_EnergyFlows!M349</f>
        <v>2029</v>
      </c>
      <c r="N433" s="572">
        <f>E_EnergyFlows!N349</f>
        <v>2030</v>
      </c>
      <c r="O433" s="698"/>
      <c r="P433" s="695"/>
      <c r="Q433" s="695"/>
      <c r="R433" s="695"/>
      <c r="S433" s="695"/>
      <c r="T433" s="729"/>
      <c r="U433" s="343"/>
      <c r="V433" s="343"/>
    </row>
    <row r="434" spans="1:22" ht="12.75" customHeight="1" x14ac:dyDescent="0.25">
      <c r="A434" s="694"/>
      <c r="B434" s="698"/>
      <c r="C434" s="698"/>
      <c r="D434" s="1084"/>
      <c r="E434" s="2700" t="str">
        <f>E_EnergyFlows!E350</f>
        <v>Подинсталация с топлинен показател (с риск от ИВЕ | извън МКВЕГ)</v>
      </c>
      <c r="F434" s="2701"/>
      <c r="G434" s="1093" t="str">
        <f>E_EnergyFlows!G350</f>
        <v>TJ / година</v>
      </c>
      <c r="H434" s="1126" t="str">
        <f>E_EnergyFlows!H350</f>
        <v/>
      </c>
      <c r="I434" s="1126" t="str">
        <f>E_EnergyFlows!I350</f>
        <v/>
      </c>
      <c r="J434" s="1126" t="str">
        <f>E_EnergyFlows!J350</f>
        <v/>
      </c>
      <c r="K434" s="1126" t="str">
        <f>E_EnergyFlows!K350</f>
        <v/>
      </c>
      <c r="L434" s="1126" t="str">
        <f>E_EnergyFlows!L350</f>
        <v/>
      </c>
      <c r="M434" s="1126" t="str">
        <f>E_EnergyFlows!M350</f>
        <v/>
      </c>
      <c r="N434" s="1126" t="str">
        <f>E_EnergyFlows!N350</f>
        <v/>
      </c>
      <c r="O434" s="698"/>
      <c r="P434" s="695"/>
      <c r="Q434" s="695"/>
      <c r="R434" s="695"/>
      <c r="S434" s="695"/>
      <c r="T434" s="729"/>
      <c r="U434" s="343"/>
      <c r="V434" s="343"/>
    </row>
    <row r="435" spans="1:22" ht="12.75" customHeight="1" x14ac:dyDescent="0.25">
      <c r="A435" s="694"/>
      <c r="B435" s="698"/>
      <c r="C435" s="698"/>
      <c r="D435" s="1084"/>
      <c r="E435" s="2702" t="str">
        <f>E_EnergyFlows!E351</f>
        <v>Подинсталация с топлинен показател (без риск от ИВЕ | извън МКВЕГ)</v>
      </c>
      <c r="F435" s="2703"/>
      <c r="G435" s="1095" t="str">
        <f>E_EnergyFlows!G351</f>
        <v>TJ / година</v>
      </c>
      <c r="H435" s="1127" t="str">
        <f>E_EnergyFlows!H351</f>
        <v/>
      </c>
      <c r="I435" s="1127" t="str">
        <f>E_EnergyFlows!I351</f>
        <v/>
      </c>
      <c r="J435" s="1127" t="str">
        <f>E_EnergyFlows!J351</f>
        <v/>
      </c>
      <c r="K435" s="1127" t="str">
        <f>E_EnergyFlows!K351</f>
        <v/>
      </c>
      <c r="L435" s="1127" t="str">
        <f>E_EnergyFlows!L351</f>
        <v/>
      </c>
      <c r="M435" s="1127" t="str">
        <f>E_EnergyFlows!M351</f>
        <v/>
      </c>
      <c r="N435" s="1127" t="str">
        <f>E_EnergyFlows!N351</f>
        <v/>
      </c>
      <c r="O435" s="698"/>
      <c r="P435" s="695"/>
      <c r="Q435" s="695"/>
      <c r="R435" s="695"/>
      <c r="S435" s="695"/>
      <c r="T435" s="729"/>
      <c r="U435" s="343"/>
      <c r="V435" s="343"/>
    </row>
    <row r="436" spans="1:22" ht="12.75" customHeight="1" x14ac:dyDescent="0.25">
      <c r="A436" s="694"/>
      <c r="B436" s="698"/>
      <c r="C436" s="698"/>
      <c r="D436" s="1084"/>
      <c r="E436" s="2702" t="str">
        <f>E_EnergyFlows!E352</f>
        <v>Подинсталация с топлинен показател (с риск от ИВЕ | в рамките на МКВЕГ)</v>
      </c>
      <c r="F436" s="2703"/>
      <c r="G436" s="1095" t="str">
        <f>E_EnergyFlows!G352</f>
        <v>TJ / година</v>
      </c>
      <c r="H436" s="1127" t="str">
        <f>E_EnergyFlows!H352</f>
        <v/>
      </c>
      <c r="I436" s="1127" t="str">
        <f>E_EnergyFlows!I352</f>
        <v/>
      </c>
      <c r="J436" s="1127" t="str">
        <f>E_EnergyFlows!J352</f>
        <v/>
      </c>
      <c r="K436" s="1127" t="str">
        <f>E_EnergyFlows!K352</f>
        <v/>
      </c>
      <c r="L436" s="1127" t="str">
        <f>E_EnergyFlows!L352</f>
        <v/>
      </c>
      <c r="M436" s="1127" t="str">
        <f>E_EnergyFlows!M352</f>
        <v/>
      </c>
      <c r="N436" s="1127" t="str">
        <f>E_EnergyFlows!N352</f>
        <v/>
      </c>
      <c r="O436" s="698"/>
      <c r="P436" s="695"/>
      <c r="Q436" s="695"/>
      <c r="R436" s="695"/>
      <c r="S436" s="695"/>
      <c r="T436" s="729"/>
      <c r="U436" s="343"/>
      <c r="V436" s="343"/>
    </row>
    <row r="437" spans="1:22" ht="12.75" customHeight="1" x14ac:dyDescent="0.25">
      <c r="A437" s="694"/>
      <c r="B437" s="698"/>
      <c r="C437" s="698"/>
      <c r="D437" s="1084"/>
      <c r="E437" s="2702" t="str">
        <f>E_EnergyFlows!E355</f>
        <v>Подинсталация с горивен показател (без риск от ИВЕ | извън МКВЕГ)</v>
      </c>
      <c r="F437" s="2703"/>
      <c r="G437" s="1095" t="str">
        <f>E_EnergyFlows!G355</f>
        <v>TJ / година</v>
      </c>
      <c r="H437" s="1127" t="str">
        <f>E_EnergyFlows!H355</f>
        <v/>
      </c>
      <c r="I437" s="1127" t="str">
        <f>E_EnergyFlows!I355</f>
        <v/>
      </c>
      <c r="J437" s="1127" t="str">
        <f>E_EnergyFlows!J355</f>
        <v/>
      </c>
      <c r="K437" s="1127" t="str">
        <f>E_EnergyFlows!K355</f>
        <v/>
      </c>
      <c r="L437" s="1127" t="str">
        <f>E_EnergyFlows!L355</f>
        <v/>
      </c>
      <c r="M437" s="1127" t="str">
        <f>E_EnergyFlows!M355</f>
        <v/>
      </c>
      <c r="N437" s="1127" t="str">
        <f>E_EnergyFlows!N355</f>
        <v/>
      </c>
      <c r="O437" s="698"/>
      <c r="P437" s="695"/>
      <c r="Q437" s="695"/>
      <c r="R437" s="695"/>
      <c r="S437" s="695"/>
      <c r="T437" s="729"/>
      <c r="U437" s="343"/>
      <c r="V437" s="343"/>
    </row>
    <row r="438" spans="1:22" ht="12.75" customHeight="1" x14ac:dyDescent="0.25">
      <c r="A438" s="694"/>
      <c r="B438" s="698"/>
      <c r="C438" s="698"/>
      <c r="D438" s="360"/>
      <c r="E438" s="2704" t="str">
        <f>E_EnergyFlows!E356</f>
        <v>Подинсталация с горивен показател (с риск от ИВЕ | в рамките на МКВЕГ)</v>
      </c>
      <c r="F438" s="2705"/>
      <c r="G438" s="1098" t="str">
        <f>E_EnergyFlows!G356</f>
        <v>TJ / година</v>
      </c>
      <c r="H438" s="1128" t="str">
        <f>E_EnergyFlows!H356</f>
        <v/>
      </c>
      <c r="I438" s="1128" t="str">
        <f>E_EnergyFlows!I356</f>
        <v/>
      </c>
      <c r="J438" s="1128" t="str">
        <f>E_EnergyFlows!J356</f>
        <v/>
      </c>
      <c r="K438" s="1128" t="str">
        <f>E_EnergyFlows!K356</f>
        <v/>
      </c>
      <c r="L438" s="1128" t="str">
        <f>E_EnergyFlows!L356</f>
        <v/>
      </c>
      <c r="M438" s="1128" t="str">
        <f>E_EnergyFlows!M356</f>
        <v/>
      </c>
      <c r="N438" s="1128" t="str">
        <f>E_EnergyFlows!N356</f>
        <v/>
      </c>
      <c r="O438" s="698"/>
      <c r="P438" s="695"/>
      <c r="Q438" s="695"/>
      <c r="R438" s="695"/>
      <c r="S438" s="695"/>
      <c r="T438" s="729"/>
      <c r="U438" s="343"/>
      <c r="V438" s="343"/>
    </row>
    <row r="439" spans="1:22" ht="12.75" customHeight="1" x14ac:dyDescent="0.25">
      <c r="A439" s="343"/>
      <c r="B439" s="698"/>
      <c r="C439" s="698"/>
      <c r="D439" s="360"/>
      <c r="E439" s="2667" t="str">
        <f>E_EnergyFlows!E357</f>
        <v>Междинен сбор</v>
      </c>
      <c r="F439" s="2258"/>
      <c r="G439" s="1130" t="str">
        <f>E_EnergyFlows!G357</f>
        <v>TJ / година</v>
      </c>
      <c r="H439" s="1102" t="str">
        <f>E_EnergyFlows!H357</f>
        <v/>
      </c>
      <c r="I439" s="1102" t="str">
        <f>E_EnergyFlows!I357</f>
        <v/>
      </c>
      <c r="J439" s="1102" t="str">
        <f>E_EnergyFlows!J357</f>
        <v/>
      </c>
      <c r="K439" s="1102" t="str">
        <f>E_EnergyFlows!K357</f>
        <v/>
      </c>
      <c r="L439" s="1102" t="str">
        <f>E_EnergyFlows!L357</f>
        <v/>
      </c>
      <c r="M439" s="1102" t="str">
        <f>E_EnergyFlows!M357</f>
        <v/>
      </c>
      <c r="N439" s="1102" t="str">
        <f>E_EnergyFlows!N357</f>
        <v/>
      </c>
      <c r="O439" s="698"/>
      <c r="P439" s="695"/>
      <c r="Q439" s="695"/>
      <c r="R439" s="695"/>
      <c r="S439" s="695"/>
      <c r="T439" s="729"/>
      <c r="U439" s="343"/>
      <c r="V439" s="343"/>
    </row>
    <row r="440" spans="1:22" ht="5.15" customHeight="1" x14ac:dyDescent="0.25">
      <c r="A440" s="343"/>
      <c r="B440" s="698"/>
      <c r="C440" s="698"/>
      <c r="D440" s="698"/>
      <c r="E440" s="302"/>
      <c r="F440" s="698"/>
      <c r="G440" s="698"/>
      <c r="H440" s="698"/>
      <c r="I440" s="698"/>
      <c r="J440" s="698"/>
      <c r="K440" s="698"/>
      <c r="L440" s="698"/>
      <c r="M440" s="698"/>
      <c r="N440" s="698"/>
      <c r="O440" s="698"/>
      <c r="P440" s="695"/>
      <c r="Q440" s="695"/>
      <c r="R440" s="695"/>
      <c r="S440" s="695"/>
      <c r="T440" s="729"/>
      <c r="U440" s="343"/>
      <c r="V440" s="343"/>
    </row>
    <row r="441" spans="1:22" ht="13" customHeight="1" x14ac:dyDescent="0.25">
      <c r="A441" s="343"/>
      <c r="B441" s="284"/>
      <c r="C441" s="300"/>
      <c r="D441" s="300" t="str">
        <f>E_EnergyFlows!D359</f>
        <v>(i)</v>
      </c>
      <c r="E441" s="2671" t="str">
        <f>E_EnergyFlows!E359</f>
        <v>Количество отпадни газове, консумирано за производство на електроенергия</v>
      </c>
      <c r="F441" s="2672"/>
      <c r="G441" s="2672"/>
      <c r="H441" s="2672"/>
      <c r="I441" s="2672"/>
      <c r="J441" s="2672"/>
      <c r="K441" s="2672"/>
      <c r="L441" s="2672"/>
      <c r="M441" s="2672"/>
      <c r="N441" s="2672"/>
      <c r="O441" s="698"/>
      <c r="P441" s="695"/>
      <c r="Q441" s="695"/>
      <c r="R441" s="695"/>
      <c r="S441" s="695"/>
      <c r="T441" s="729"/>
      <c r="U441" s="343"/>
      <c r="V441" s="343"/>
    </row>
    <row r="442" spans="1:22" ht="12.65" customHeight="1" x14ac:dyDescent="0.25">
      <c r="A442" s="343"/>
      <c r="B442" s="698"/>
      <c r="C442" s="698"/>
      <c r="D442" s="698"/>
      <c r="E442" s="2687" t="str">
        <f>E_EnergyFlows!E360</f>
        <v>Отпадни газове за електроенергия</v>
      </c>
      <c r="F442" s="2258"/>
      <c r="G442" s="1038" t="str">
        <f>E_EnergyFlows!G360</f>
        <v>TJ / година</v>
      </c>
      <c r="H442" s="1020" t="str">
        <f>IF(ISBLANK(E_EnergyFlows!H360),"",E_EnergyFlows!H360)</f>
        <v/>
      </c>
      <c r="I442" s="1020" t="str">
        <f>IF(ISBLANK(E_EnergyFlows!I360),"",E_EnergyFlows!I360)</f>
        <v/>
      </c>
      <c r="J442" s="1020" t="str">
        <f>IF(ISBLANK(E_EnergyFlows!J360),"",E_EnergyFlows!J360)</f>
        <v/>
      </c>
      <c r="K442" s="1020" t="str">
        <f>IF(ISBLANK(E_EnergyFlows!K360),"",E_EnergyFlows!K360)</f>
        <v/>
      </c>
      <c r="L442" s="1020" t="str">
        <f>IF(ISBLANK(E_EnergyFlows!L360),"",E_EnergyFlows!L360)</f>
        <v/>
      </c>
      <c r="M442" s="1020" t="str">
        <f>IF(ISBLANK(E_EnergyFlows!M360),"",E_EnergyFlows!M360)</f>
        <v/>
      </c>
      <c r="N442" s="1020" t="str">
        <f>IF(ISBLANK(E_EnergyFlows!N360),"",E_EnergyFlows!N360)</f>
        <v/>
      </c>
      <c r="O442" s="698"/>
      <c r="P442" s="695"/>
      <c r="Q442" s="695"/>
      <c r="R442" s="695"/>
      <c r="S442" s="695"/>
      <c r="T442" s="729"/>
      <c r="U442" s="343"/>
      <c r="V442" s="343"/>
    </row>
    <row r="443" spans="1:22" ht="5.15" customHeight="1" x14ac:dyDescent="0.25">
      <c r="A443" s="343"/>
      <c r="B443" s="284"/>
      <c r="C443" s="284"/>
      <c r="D443" s="284"/>
      <c r="E443" s="284"/>
      <c r="F443" s="284"/>
      <c r="G443" s="284"/>
      <c r="H443" s="284"/>
      <c r="I443" s="284"/>
      <c r="J443" s="284"/>
      <c r="K443" s="284"/>
      <c r="L443" s="284"/>
      <c r="M443" s="284"/>
      <c r="N443" s="284"/>
      <c r="O443" s="698"/>
      <c r="P443" s="695"/>
      <c r="Q443" s="695"/>
      <c r="R443" s="695"/>
      <c r="S443" s="695"/>
      <c r="T443" s="729"/>
      <c r="U443" s="343"/>
      <c r="V443" s="343"/>
    </row>
    <row r="444" spans="1:22" ht="12.75" customHeight="1" x14ac:dyDescent="0.25">
      <c r="A444" s="343"/>
      <c r="B444" s="284"/>
      <c r="C444" s="300"/>
      <c r="D444" s="300" t="str">
        <f>E_EnergyFlows!D362</f>
        <v>(j)</v>
      </c>
      <c r="E444" s="2463" t="str">
        <f>E_EnergyFlows!E362</f>
        <v>Количество отпадни газове резултат от изгаряне във факел, различни от необходимото за безопасността изгаряне във факел</v>
      </c>
      <c r="F444" s="2240"/>
      <c r="G444" s="2240"/>
      <c r="H444" s="2240"/>
      <c r="I444" s="2240"/>
      <c r="J444" s="2240"/>
      <c r="K444" s="2240"/>
      <c r="L444" s="2240"/>
      <c r="M444" s="2240"/>
      <c r="N444" s="2240"/>
      <c r="O444" s="698"/>
      <c r="P444" s="695"/>
      <c r="Q444" s="695"/>
      <c r="R444" s="695"/>
      <c r="S444" s="695"/>
      <c r="T444" s="729"/>
      <c r="U444" s="343"/>
      <c r="V444" s="343"/>
    </row>
    <row r="445" spans="1:22" ht="13" customHeight="1" x14ac:dyDescent="0.25">
      <c r="A445" s="343"/>
      <c r="B445" s="698"/>
      <c r="C445" s="698"/>
      <c r="D445" s="698"/>
      <c r="E445" s="2671" t="str">
        <f>E_EnergyFlows!E365</f>
        <v>Подинсталация</v>
      </c>
      <c r="F445" s="2672"/>
      <c r="G445" s="527" t="str">
        <f>E_EnergyFlows!G365</f>
        <v>Единица мярка</v>
      </c>
      <c r="H445" s="387">
        <f>E_EnergyFlows!H365</f>
        <v>2024</v>
      </c>
      <c r="I445" s="387">
        <f>E_EnergyFlows!I365</f>
        <v>2025</v>
      </c>
      <c r="J445" s="387">
        <f>E_EnergyFlows!J365</f>
        <v>2026</v>
      </c>
      <c r="K445" s="387">
        <f>E_EnergyFlows!K365</f>
        <v>2027</v>
      </c>
      <c r="L445" s="387">
        <f>E_EnergyFlows!L365</f>
        <v>2028</v>
      </c>
      <c r="M445" s="387">
        <f>E_EnergyFlows!M365</f>
        <v>2029</v>
      </c>
      <c r="N445" s="387">
        <f>E_EnergyFlows!N365</f>
        <v>2030</v>
      </c>
      <c r="O445" s="698"/>
      <c r="P445" s="695"/>
      <c r="Q445" s="695"/>
      <c r="R445" s="695"/>
      <c r="S445" s="695"/>
      <c r="T445" s="729"/>
      <c r="U445" s="343"/>
      <c r="V445" s="343"/>
    </row>
    <row r="446" spans="1:22" ht="12.75" customHeight="1" x14ac:dyDescent="0.25">
      <c r="A446" s="343"/>
      <c r="B446" s="698"/>
      <c r="C446" s="698"/>
      <c r="D446" s="360"/>
      <c r="E446" s="3045" t="str">
        <f>E_EnergyFlows!E366</f>
        <v/>
      </c>
      <c r="F446" s="2701"/>
      <c r="G446" s="1093" t="str">
        <f>E_EnergyFlows!G366</f>
        <v>TJ / година</v>
      </c>
      <c r="H446" s="1126" t="str">
        <f>E_EnergyFlows!H366</f>
        <v/>
      </c>
      <c r="I446" s="1126" t="str">
        <f>E_EnergyFlows!I366</f>
        <v/>
      </c>
      <c r="J446" s="1126" t="str">
        <f>E_EnergyFlows!J366</f>
        <v/>
      </c>
      <c r="K446" s="1126" t="str">
        <f>E_EnergyFlows!K366</f>
        <v/>
      </c>
      <c r="L446" s="1126" t="str">
        <f>E_EnergyFlows!L366</f>
        <v/>
      </c>
      <c r="M446" s="1126" t="str">
        <f>E_EnergyFlows!M366</f>
        <v/>
      </c>
      <c r="N446" s="1126" t="str">
        <f>E_EnergyFlows!N366</f>
        <v/>
      </c>
      <c r="O446" s="698"/>
      <c r="P446" s="695"/>
      <c r="Q446" s="695"/>
      <c r="R446" s="695"/>
      <c r="S446" s="695"/>
      <c r="T446" s="729"/>
      <c r="U446" s="343"/>
      <c r="V446" s="343"/>
    </row>
    <row r="447" spans="1:22" ht="12.75" customHeight="1" x14ac:dyDescent="0.25">
      <c r="A447" s="343"/>
      <c r="B447" s="698"/>
      <c r="C447" s="698"/>
      <c r="D447" s="360"/>
      <c r="E447" s="2995" t="str">
        <f>E_EnergyFlows!E367</f>
        <v/>
      </c>
      <c r="F447" s="2703"/>
      <c r="G447" s="1095" t="str">
        <f>E_EnergyFlows!G367</f>
        <v>TJ / година</v>
      </c>
      <c r="H447" s="1127" t="str">
        <f>E_EnergyFlows!H367</f>
        <v/>
      </c>
      <c r="I447" s="1127" t="str">
        <f>E_EnergyFlows!I367</f>
        <v/>
      </c>
      <c r="J447" s="1127" t="str">
        <f>E_EnergyFlows!J367</f>
        <v/>
      </c>
      <c r="K447" s="1127" t="str">
        <f>E_EnergyFlows!K367</f>
        <v/>
      </c>
      <c r="L447" s="1127" t="str">
        <f>E_EnergyFlows!L367</f>
        <v/>
      </c>
      <c r="M447" s="1127" t="str">
        <f>E_EnergyFlows!M367</f>
        <v/>
      </c>
      <c r="N447" s="1127" t="str">
        <f>E_EnergyFlows!N367</f>
        <v/>
      </c>
      <c r="O447" s="698"/>
      <c r="P447" s="695"/>
      <c r="Q447" s="695"/>
      <c r="R447" s="695"/>
      <c r="S447" s="695"/>
      <c r="T447" s="729"/>
      <c r="U447" s="343"/>
      <c r="V447" s="343"/>
    </row>
    <row r="448" spans="1:22" ht="12.75" customHeight="1" x14ac:dyDescent="0.25">
      <c r="A448" s="343"/>
      <c r="B448" s="698"/>
      <c r="C448" s="698"/>
      <c r="D448" s="360"/>
      <c r="E448" s="2995" t="str">
        <f>E_EnergyFlows!E368</f>
        <v/>
      </c>
      <c r="F448" s="2703"/>
      <c r="G448" s="1095" t="str">
        <f>E_EnergyFlows!G368</f>
        <v>TJ / година</v>
      </c>
      <c r="H448" s="1127" t="str">
        <f>E_EnergyFlows!H368</f>
        <v/>
      </c>
      <c r="I448" s="1127" t="str">
        <f>E_EnergyFlows!I368</f>
        <v/>
      </c>
      <c r="J448" s="1127" t="str">
        <f>E_EnergyFlows!J368</f>
        <v/>
      </c>
      <c r="K448" s="1127" t="str">
        <f>E_EnergyFlows!K368</f>
        <v/>
      </c>
      <c r="L448" s="1127" t="str">
        <f>E_EnergyFlows!L368</f>
        <v/>
      </c>
      <c r="M448" s="1127" t="str">
        <f>E_EnergyFlows!M368</f>
        <v/>
      </c>
      <c r="N448" s="1127" t="str">
        <f>E_EnergyFlows!N368</f>
        <v/>
      </c>
      <c r="O448" s="698"/>
      <c r="P448" s="695"/>
      <c r="Q448" s="695"/>
      <c r="R448" s="695"/>
      <c r="S448" s="695"/>
      <c r="T448" s="729"/>
      <c r="U448" s="343"/>
      <c r="V448" s="343"/>
    </row>
    <row r="449" spans="1:22" ht="12.75" customHeight="1" x14ac:dyDescent="0.25">
      <c r="A449" s="343"/>
      <c r="B449" s="698"/>
      <c r="C449" s="698"/>
      <c r="D449" s="360"/>
      <c r="E449" s="2995" t="str">
        <f>E_EnergyFlows!E369</f>
        <v/>
      </c>
      <c r="F449" s="2703"/>
      <c r="G449" s="1095" t="str">
        <f>E_EnergyFlows!G369</f>
        <v>TJ / година</v>
      </c>
      <c r="H449" s="1127" t="str">
        <f>E_EnergyFlows!H369</f>
        <v/>
      </c>
      <c r="I449" s="1127" t="str">
        <f>E_EnergyFlows!I369</f>
        <v/>
      </c>
      <c r="J449" s="1127" t="str">
        <f>E_EnergyFlows!J369</f>
        <v/>
      </c>
      <c r="K449" s="1127" t="str">
        <f>E_EnergyFlows!K369</f>
        <v/>
      </c>
      <c r="L449" s="1127" t="str">
        <f>E_EnergyFlows!L369</f>
        <v/>
      </c>
      <c r="M449" s="1127" t="str">
        <f>E_EnergyFlows!M369</f>
        <v/>
      </c>
      <c r="N449" s="1127" t="str">
        <f>E_EnergyFlows!N369</f>
        <v/>
      </c>
      <c r="O449" s="698"/>
      <c r="P449" s="695"/>
      <c r="Q449" s="695"/>
      <c r="R449" s="695"/>
      <c r="S449" s="695"/>
      <c r="T449" s="729"/>
      <c r="U449" s="343"/>
      <c r="V449" s="343"/>
    </row>
    <row r="450" spans="1:22" ht="12.75" customHeight="1" x14ac:dyDescent="0.25">
      <c r="A450" s="343"/>
      <c r="B450" s="698"/>
      <c r="C450" s="698"/>
      <c r="D450" s="360"/>
      <c r="E450" s="2995" t="str">
        <f>E_EnergyFlows!E370</f>
        <v/>
      </c>
      <c r="F450" s="2703"/>
      <c r="G450" s="1095" t="str">
        <f>E_EnergyFlows!G370</f>
        <v>TJ / година</v>
      </c>
      <c r="H450" s="1127" t="str">
        <f>E_EnergyFlows!H370</f>
        <v/>
      </c>
      <c r="I450" s="1127" t="str">
        <f>E_EnergyFlows!I370</f>
        <v/>
      </c>
      <c r="J450" s="1127" t="str">
        <f>E_EnergyFlows!J370</f>
        <v/>
      </c>
      <c r="K450" s="1127" t="str">
        <f>E_EnergyFlows!K370</f>
        <v/>
      </c>
      <c r="L450" s="1127" t="str">
        <f>E_EnergyFlows!L370</f>
        <v/>
      </c>
      <c r="M450" s="1127" t="str">
        <f>E_EnergyFlows!M370</f>
        <v/>
      </c>
      <c r="N450" s="1127" t="str">
        <f>E_EnergyFlows!N370</f>
        <v/>
      </c>
      <c r="O450" s="698"/>
      <c r="P450" s="695"/>
      <c r="Q450" s="695"/>
      <c r="R450" s="695"/>
      <c r="S450" s="695"/>
      <c r="T450" s="729"/>
      <c r="U450" s="343"/>
      <c r="V450" s="343"/>
    </row>
    <row r="451" spans="1:22" ht="12.75" customHeight="1" x14ac:dyDescent="0.25">
      <c r="A451" s="343"/>
      <c r="B451" s="698"/>
      <c r="C451" s="698"/>
      <c r="D451" s="360"/>
      <c r="E451" s="2995" t="str">
        <f>E_EnergyFlows!E371</f>
        <v/>
      </c>
      <c r="F451" s="2703"/>
      <c r="G451" s="1095" t="str">
        <f>E_EnergyFlows!G371</f>
        <v>TJ / година</v>
      </c>
      <c r="H451" s="1127" t="str">
        <f>E_EnergyFlows!H371</f>
        <v/>
      </c>
      <c r="I451" s="1127" t="str">
        <f>E_EnergyFlows!I371</f>
        <v/>
      </c>
      <c r="J451" s="1127" t="str">
        <f>E_EnergyFlows!J371</f>
        <v/>
      </c>
      <c r="K451" s="1127" t="str">
        <f>E_EnergyFlows!K371</f>
        <v/>
      </c>
      <c r="L451" s="1127" t="str">
        <f>E_EnergyFlows!L371</f>
        <v/>
      </c>
      <c r="M451" s="1127" t="str">
        <f>E_EnergyFlows!M371</f>
        <v/>
      </c>
      <c r="N451" s="1127" t="str">
        <f>E_EnergyFlows!N371</f>
        <v/>
      </c>
      <c r="O451" s="698"/>
      <c r="P451" s="695"/>
      <c r="Q451" s="695"/>
      <c r="R451" s="695"/>
      <c r="S451" s="695"/>
      <c r="T451" s="729"/>
      <c r="U451" s="343"/>
      <c r="V451" s="343"/>
    </row>
    <row r="452" spans="1:22" ht="12.75" customHeight="1" x14ac:dyDescent="0.25">
      <c r="A452" s="343"/>
      <c r="B452" s="698"/>
      <c r="C452" s="698"/>
      <c r="D452" s="360"/>
      <c r="E452" s="2995" t="str">
        <f>E_EnergyFlows!E372</f>
        <v/>
      </c>
      <c r="F452" s="2703"/>
      <c r="G452" s="1095" t="str">
        <f>E_EnergyFlows!G372</f>
        <v>TJ / година</v>
      </c>
      <c r="H452" s="1127" t="str">
        <f>E_EnergyFlows!H372</f>
        <v/>
      </c>
      <c r="I452" s="1127" t="str">
        <f>E_EnergyFlows!I372</f>
        <v/>
      </c>
      <c r="J452" s="1127" t="str">
        <f>E_EnergyFlows!J372</f>
        <v/>
      </c>
      <c r="K452" s="1127" t="str">
        <f>E_EnergyFlows!K372</f>
        <v/>
      </c>
      <c r="L452" s="1127" t="str">
        <f>E_EnergyFlows!L372</f>
        <v/>
      </c>
      <c r="M452" s="1127" t="str">
        <f>E_EnergyFlows!M372</f>
        <v/>
      </c>
      <c r="N452" s="1127" t="str">
        <f>E_EnergyFlows!N372</f>
        <v/>
      </c>
      <c r="O452" s="698"/>
      <c r="P452" s="695"/>
      <c r="Q452" s="695"/>
      <c r="R452" s="695"/>
      <c r="S452" s="695"/>
      <c r="T452" s="729"/>
      <c r="U452" s="343"/>
      <c r="V452" s="343"/>
    </row>
    <row r="453" spans="1:22" ht="12.75" customHeight="1" x14ac:dyDescent="0.25">
      <c r="A453" s="343"/>
      <c r="B453" s="698"/>
      <c r="C453" s="698"/>
      <c r="D453" s="360"/>
      <c r="E453" s="2995" t="str">
        <f>E_EnergyFlows!E373</f>
        <v/>
      </c>
      <c r="F453" s="2703"/>
      <c r="G453" s="1095" t="str">
        <f>E_EnergyFlows!G373</f>
        <v>TJ / година</v>
      </c>
      <c r="H453" s="1127" t="str">
        <f>E_EnergyFlows!H373</f>
        <v/>
      </c>
      <c r="I453" s="1127" t="str">
        <f>E_EnergyFlows!I373</f>
        <v/>
      </c>
      <c r="J453" s="1127" t="str">
        <f>E_EnergyFlows!J373</f>
        <v/>
      </c>
      <c r="K453" s="1127" t="str">
        <f>E_EnergyFlows!K373</f>
        <v/>
      </c>
      <c r="L453" s="1127" t="str">
        <f>E_EnergyFlows!L373</f>
        <v/>
      </c>
      <c r="M453" s="1127" t="str">
        <f>E_EnergyFlows!M373</f>
        <v/>
      </c>
      <c r="N453" s="1127" t="str">
        <f>E_EnergyFlows!N373</f>
        <v/>
      </c>
      <c r="O453" s="698"/>
      <c r="P453" s="695"/>
      <c r="Q453" s="695"/>
      <c r="R453" s="695"/>
      <c r="S453" s="695"/>
      <c r="T453" s="729"/>
      <c r="U453" s="343"/>
      <c r="V453" s="343"/>
    </row>
    <row r="454" spans="1:22" ht="12.75" customHeight="1" x14ac:dyDescent="0.25">
      <c r="A454" s="343"/>
      <c r="B454" s="698"/>
      <c r="C454" s="698"/>
      <c r="D454" s="360"/>
      <c r="E454" s="2995" t="str">
        <f>E_EnergyFlows!E374</f>
        <v/>
      </c>
      <c r="F454" s="2703"/>
      <c r="G454" s="1095" t="str">
        <f>E_EnergyFlows!G374</f>
        <v>TJ / година</v>
      </c>
      <c r="H454" s="1127" t="str">
        <f>E_EnergyFlows!H374</f>
        <v/>
      </c>
      <c r="I454" s="1127" t="str">
        <f>E_EnergyFlows!I374</f>
        <v/>
      </c>
      <c r="J454" s="1127" t="str">
        <f>E_EnergyFlows!J374</f>
        <v/>
      </c>
      <c r="K454" s="1127" t="str">
        <f>E_EnergyFlows!K374</f>
        <v/>
      </c>
      <c r="L454" s="1127" t="str">
        <f>E_EnergyFlows!L374</f>
        <v/>
      </c>
      <c r="M454" s="1127" t="str">
        <f>E_EnergyFlows!M374</f>
        <v/>
      </c>
      <c r="N454" s="1127" t="str">
        <f>E_EnergyFlows!N374</f>
        <v/>
      </c>
      <c r="O454" s="698"/>
      <c r="P454" s="695"/>
      <c r="Q454" s="695"/>
      <c r="R454" s="695"/>
      <c r="S454" s="695"/>
      <c r="T454" s="729"/>
      <c r="U454" s="343"/>
      <c r="V454" s="343"/>
    </row>
    <row r="455" spans="1:22" ht="12.75" customHeight="1" x14ac:dyDescent="0.25">
      <c r="A455" s="343"/>
      <c r="B455" s="698"/>
      <c r="C455" s="698"/>
      <c r="D455" s="360"/>
      <c r="E455" s="2997" t="str">
        <f>E_EnergyFlows!E375</f>
        <v/>
      </c>
      <c r="F455" s="2705"/>
      <c r="G455" s="1098" t="str">
        <f>E_EnergyFlows!G375</f>
        <v>TJ / година</v>
      </c>
      <c r="H455" s="1128" t="str">
        <f>E_EnergyFlows!H375</f>
        <v/>
      </c>
      <c r="I455" s="1128" t="str">
        <f>E_EnergyFlows!I375</f>
        <v/>
      </c>
      <c r="J455" s="1128" t="str">
        <f>E_EnergyFlows!J375</f>
        <v/>
      </c>
      <c r="K455" s="1128" t="str">
        <f>E_EnergyFlows!K375</f>
        <v/>
      </c>
      <c r="L455" s="1128" t="str">
        <f>E_EnergyFlows!L375</f>
        <v/>
      </c>
      <c r="M455" s="1128" t="str">
        <f>E_EnergyFlows!M375</f>
        <v/>
      </c>
      <c r="N455" s="1128" t="str">
        <f>E_EnergyFlows!N375</f>
        <v/>
      </c>
      <c r="O455" s="698"/>
      <c r="P455" s="695"/>
      <c r="Q455" s="695"/>
      <c r="R455" s="695"/>
      <c r="S455" s="695"/>
      <c r="T455" s="729"/>
      <c r="U455" s="343"/>
      <c r="V455" s="343"/>
    </row>
    <row r="456" spans="1:22" ht="25.5" customHeight="1" x14ac:dyDescent="0.25">
      <c r="A456" s="343"/>
      <c r="B456" s="698"/>
      <c r="C456" s="698"/>
      <c r="D456" s="360"/>
      <c r="E456" s="2687" t="str">
        <f>E_EnergyFlows!E376</f>
        <v>произведени извън подинсталации с продуктов показател</v>
      </c>
      <c r="F456" s="2258"/>
      <c r="G456" s="1101" t="str">
        <f>E_EnergyFlows!G376</f>
        <v>TJ / година</v>
      </c>
      <c r="H456" s="1506" t="str">
        <f>IF(ISBLANK(E_EnergyFlows!H376),"",E_EnergyFlows!H376)</f>
        <v/>
      </c>
      <c r="I456" s="1506" t="str">
        <f>IF(ISBLANK(E_EnergyFlows!I376),"",E_EnergyFlows!I376)</f>
        <v/>
      </c>
      <c r="J456" s="1506" t="str">
        <f>IF(ISBLANK(E_EnergyFlows!J376),"",E_EnergyFlows!J376)</f>
        <v/>
      </c>
      <c r="K456" s="1506" t="str">
        <f>IF(ISBLANK(E_EnergyFlows!K376),"",E_EnergyFlows!K376)</f>
        <v/>
      </c>
      <c r="L456" s="1506" t="str">
        <f>IF(ISBLANK(E_EnergyFlows!L376),"",E_EnergyFlows!L376)</f>
        <v/>
      </c>
      <c r="M456" s="1506" t="str">
        <f>IF(ISBLANK(E_EnergyFlows!M376),"",E_EnergyFlows!M376)</f>
        <v/>
      </c>
      <c r="N456" s="1506" t="str">
        <f>IF(ISBLANK(E_EnergyFlows!N376),"",E_EnergyFlows!N376)</f>
        <v/>
      </c>
      <c r="O456" s="698"/>
      <c r="P456" s="695"/>
      <c r="Q456" s="695"/>
      <c r="R456" s="695"/>
      <c r="S456" s="695"/>
      <c r="T456" s="729"/>
      <c r="U456" s="343"/>
      <c r="V456" s="343"/>
    </row>
    <row r="457" spans="1:22" ht="12.75" customHeight="1" x14ac:dyDescent="0.25">
      <c r="A457" s="343"/>
      <c r="B457" s="698"/>
      <c r="C457" s="698"/>
      <c r="D457" s="360"/>
      <c r="E457" s="2667" t="str">
        <f>E_EnergyFlows!E377</f>
        <v>Междинен сбор</v>
      </c>
      <c r="F457" s="2258"/>
      <c r="G457" s="1038" t="str">
        <f>E_EnergyFlows!G377</f>
        <v>TJ / година</v>
      </c>
      <c r="H457" s="1024" t="str">
        <f>E_EnergyFlows!H377</f>
        <v/>
      </c>
      <c r="I457" s="1024" t="str">
        <f>E_EnergyFlows!I377</f>
        <v/>
      </c>
      <c r="J457" s="1024" t="str">
        <f>E_EnergyFlows!J377</f>
        <v/>
      </c>
      <c r="K457" s="1024" t="str">
        <f>E_EnergyFlows!K377</f>
        <v/>
      </c>
      <c r="L457" s="1024" t="str">
        <f>E_EnergyFlows!L377</f>
        <v/>
      </c>
      <c r="M457" s="1024" t="str">
        <f>E_EnergyFlows!M377</f>
        <v/>
      </c>
      <c r="N457" s="1024" t="str">
        <f>E_EnergyFlows!N377</f>
        <v/>
      </c>
      <c r="O457" s="698"/>
      <c r="P457" s="695"/>
      <c r="Q457" s="695"/>
      <c r="R457" s="695"/>
      <c r="S457" s="695"/>
      <c r="T457" s="729"/>
      <c r="U457" s="343"/>
      <c r="V457" s="343"/>
    </row>
    <row r="458" spans="1:22" ht="5.15" customHeight="1" x14ac:dyDescent="0.25">
      <c r="A458" s="343"/>
      <c r="B458" s="284"/>
      <c r="C458" s="284"/>
      <c r="D458" s="284"/>
      <c r="E458" s="284"/>
      <c r="F458" s="284"/>
      <c r="G458" s="284"/>
      <c r="H458" s="284"/>
      <c r="I458" s="284"/>
      <c r="J458" s="284"/>
      <c r="K458" s="284"/>
      <c r="L458" s="284"/>
      <c r="M458" s="284"/>
      <c r="N458" s="284"/>
      <c r="O458" s="698"/>
      <c r="P458" s="695"/>
      <c r="Q458" s="695"/>
      <c r="R458" s="695"/>
      <c r="S458" s="695"/>
      <c r="T458" s="729"/>
      <c r="U458" s="343"/>
      <c r="V458" s="343"/>
    </row>
    <row r="459" spans="1:22" ht="12.75" customHeight="1" x14ac:dyDescent="0.25">
      <c r="A459" s="343"/>
      <c r="B459" s="284"/>
      <c r="C459" s="300"/>
      <c r="D459" s="300" t="str">
        <f>E_EnergyFlows!D383</f>
        <v>(l)</v>
      </c>
      <c r="E459" s="2671" t="str">
        <f>E_EnergyFlows!E383</f>
        <v>Проверка на правдоподобността на данните</v>
      </c>
      <c r="F459" s="2672"/>
      <c r="G459" s="2672"/>
      <c r="H459" s="2672"/>
      <c r="I459" s="2672"/>
      <c r="J459" s="2672"/>
      <c r="K459" s="2672"/>
      <c r="L459" s="2672"/>
      <c r="M459" s="2672"/>
      <c r="N459" s="2672"/>
      <c r="O459" s="698"/>
      <c r="P459" s="695"/>
      <c r="Q459" s="695"/>
      <c r="R459" s="695"/>
      <c r="S459" s="695"/>
      <c r="T459" s="729"/>
      <c r="U459" s="343"/>
      <c r="V459" s="343"/>
    </row>
    <row r="460" spans="1:22" ht="12.75" customHeight="1" x14ac:dyDescent="0.25">
      <c r="A460" s="343"/>
      <c r="B460" s="698"/>
      <c r="C460" s="698"/>
      <c r="D460" s="1084"/>
      <c r="E460" s="2687" t="str">
        <f>E_EnergyFlows!E385</f>
        <v>Разлика (изчислена)</v>
      </c>
      <c r="F460" s="2258"/>
      <c r="G460" s="1038" t="str">
        <f>E_EnergyFlows!G385</f>
        <v>TJ / година</v>
      </c>
      <c r="H460" s="1024" t="str">
        <f>E_EnergyFlows!H385</f>
        <v/>
      </c>
      <c r="I460" s="1024" t="str">
        <f>E_EnergyFlows!I385</f>
        <v/>
      </c>
      <c r="J460" s="1024" t="str">
        <f>E_EnergyFlows!J385</f>
        <v/>
      </c>
      <c r="K460" s="1024" t="str">
        <f>E_EnergyFlows!K385</f>
        <v/>
      </c>
      <c r="L460" s="1024" t="str">
        <f>E_EnergyFlows!L385</f>
        <v/>
      </c>
      <c r="M460" s="1024" t="str">
        <f>E_EnergyFlows!M385</f>
        <v/>
      </c>
      <c r="N460" s="1024" t="str">
        <f>E_EnergyFlows!N385</f>
        <v/>
      </c>
      <c r="O460" s="698"/>
      <c r="P460" s="695"/>
      <c r="Q460" s="695"/>
      <c r="R460" s="695"/>
      <c r="S460" s="695"/>
      <c r="T460" s="729"/>
      <c r="U460" s="343"/>
      <c r="V460" s="343"/>
    </row>
    <row r="461" spans="1:22" ht="12.75" customHeight="1" x14ac:dyDescent="0.25">
      <c r="A461" s="343"/>
      <c r="B461" s="698"/>
      <c r="C461" s="698"/>
      <c r="D461" s="1084"/>
      <c r="E461" s="2687" t="str">
        <f>E_EnergyFlows!E386</f>
        <v>Разлика (като дял от f)</v>
      </c>
      <c r="F461" s="2258"/>
      <c r="G461" s="535" t="str">
        <f>E_EnergyFlows!G386</f>
        <v>%</v>
      </c>
      <c r="H461" s="1102" t="str">
        <f>E_EnergyFlows!H386</f>
        <v/>
      </c>
      <c r="I461" s="1102" t="str">
        <f>E_EnergyFlows!I386</f>
        <v/>
      </c>
      <c r="J461" s="1102" t="str">
        <f>E_EnergyFlows!J386</f>
        <v/>
      </c>
      <c r="K461" s="1102" t="str">
        <f>E_EnergyFlows!K386</f>
        <v/>
      </c>
      <c r="L461" s="1102" t="str">
        <f>E_EnergyFlows!L386</f>
        <v/>
      </c>
      <c r="M461" s="1102" t="str">
        <f>E_EnergyFlows!M386</f>
        <v/>
      </c>
      <c r="N461" s="1102" t="str">
        <f>E_EnergyFlows!N386</f>
        <v/>
      </c>
      <c r="O461" s="698"/>
      <c r="P461" s="695"/>
      <c r="Q461" s="695"/>
      <c r="R461" s="695"/>
      <c r="S461" s="695"/>
      <c r="T461" s="729"/>
      <c r="U461" s="343"/>
      <c r="V461" s="343"/>
    </row>
    <row r="462" spans="1:22" s="364" customFormat="1" ht="12.75" customHeight="1" x14ac:dyDescent="0.25">
      <c r="A462" s="729"/>
      <c r="B462" s="302"/>
      <c r="C462" s="302"/>
      <c r="D462" s="302"/>
      <c r="E462" s="302"/>
      <c r="F462" s="302"/>
      <c r="G462" s="302"/>
      <c r="H462" s="302"/>
      <c r="I462" s="302"/>
      <c r="J462" s="302"/>
      <c r="K462" s="302"/>
      <c r="L462" s="302"/>
      <c r="M462" s="302"/>
      <c r="N462" s="302"/>
      <c r="O462" s="698"/>
      <c r="P462" s="695"/>
      <c r="Q462" s="695"/>
      <c r="R462" s="695"/>
      <c r="S462" s="695"/>
      <c r="T462" s="729"/>
      <c r="U462" s="343"/>
      <c r="V462" s="343"/>
    </row>
    <row r="463" spans="1:22" ht="14.15" customHeight="1" x14ac:dyDescent="0.3">
      <c r="A463" s="343"/>
      <c r="B463" s="284"/>
      <c r="C463" s="357">
        <v>8</v>
      </c>
      <c r="D463" s="2682" t="str">
        <f>E_EnergyFlows!D390</f>
        <v>Пълен баланс на електроенергията в инсталацията</v>
      </c>
      <c r="E463" s="2240"/>
      <c r="F463" s="2240"/>
      <c r="G463" s="2240"/>
      <c r="H463" s="2240"/>
      <c r="I463" s="2240"/>
      <c r="J463" s="2240"/>
      <c r="K463" s="2240"/>
      <c r="L463" s="2240"/>
      <c r="M463" s="2240"/>
      <c r="N463" s="2240"/>
      <c r="O463" s="698"/>
      <c r="P463" s="695"/>
      <c r="Q463" s="695"/>
      <c r="R463" s="695"/>
      <c r="S463" s="695"/>
      <c r="T463" s="729"/>
      <c r="U463" s="343"/>
      <c r="V463" s="343"/>
    </row>
    <row r="464" spans="1:22" ht="5.15" customHeight="1" x14ac:dyDescent="0.25">
      <c r="A464" s="343"/>
      <c r="B464" s="284"/>
      <c r="C464" s="284"/>
      <c r="D464" s="284"/>
      <c r="E464" s="284"/>
      <c r="F464" s="284"/>
      <c r="G464" s="284"/>
      <c r="H464" s="284"/>
      <c r="I464" s="284"/>
      <c r="J464" s="284"/>
      <c r="K464" s="284"/>
      <c r="L464" s="284"/>
      <c r="M464" s="284"/>
      <c r="N464" s="284"/>
      <c r="O464" s="698"/>
      <c r="P464" s="695"/>
      <c r="Q464" s="695"/>
      <c r="R464" s="695"/>
      <c r="S464" s="695"/>
      <c r="T464" s="729"/>
      <c r="U464" s="343"/>
      <c r="V464" s="343"/>
    </row>
    <row r="465" spans="1:22" ht="13.5" customHeight="1" x14ac:dyDescent="0.25">
      <c r="A465" s="694"/>
      <c r="B465" s="698"/>
      <c r="C465" s="698"/>
      <c r="D465" s="300"/>
      <c r="E465" s="2463" t="str">
        <f>E_EnergyFlows!E392</f>
        <v>В инсталацията произвежда ли се електроенергия?</v>
      </c>
      <c r="F465" s="2240"/>
      <c r="G465" s="2240"/>
      <c r="H465" s="2240"/>
      <c r="I465" s="2240"/>
      <c r="J465" s="2240"/>
      <c r="K465" s="2240"/>
      <c r="L465" s="2684"/>
      <c r="M465" s="365" t="str">
        <f>IF(ISBLANK(E_EnergyFlows!M392),"",E_EnergyFlows!M392)</f>
        <v/>
      </c>
      <c r="N465" s="382"/>
      <c r="O465" s="698"/>
      <c r="P465" s="695"/>
      <c r="Q465" s="695"/>
      <c r="R465" s="695"/>
      <c r="S465" s="695"/>
      <c r="T465" s="729"/>
      <c r="U465" s="343"/>
      <c r="V465" s="343"/>
    </row>
    <row r="466" spans="1:22" ht="5.15" customHeight="1" x14ac:dyDescent="0.25">
      <c r="A466" s="343"/>
      <c r="B466" s="284"/>
      <c r="C466" s="284"/>
      <c r="D466" s="300"/>
      <c r="E466" s="1680"/>
      <c r="F466" s="1679"/>
      <c r="G466" s="1679"/>
      <c r="H466" s="1679"/>
      <c r="I466" s="1679"/>
      <c r="J466" s="1679"/>
      <c r="K466" s="1679"/>
      <c r="L466" s="1679"/>
      <c r="M466" s="1679"/>
      <c r="N466" s="1679"/>
      <c r="O466" s="698"/>
      <c r="P466" s="695"/>
      <c r="Q466" s="695"/>
      <c r="R466" s="695"/>
      <c r="S466" s="695"/>
      <c r="T466" s="729"/>
      <c r="U466" s="343"/>
      <c r="V466" s="343"/>
    </row>
    <row r="467" spans="1:22" ht="13" x14ac:dyDescent="0.25">
      <c r="A467" s="343"/>
      <c r="B467" s="698"/>
      <c r="C467" s="698"/>
      <c r="D467" s="698"/>
      <c r="E467" s="461"/>
      <c r="F467" s="742"/>
      <c r="G467" s="527" t="str">
        <f>E_EnergyFlows!G398</f>
        <v>Единица мярка</v>
      </c>
      <c r="H467" s="391">
        <f>E_EnergyFlows!H398</f>
        <v>2024</v>
      </c>
      <c r="I467" s="391">
        <f>E_EnergyFlows!I398</f>
        <v>2025</v>
      </c>
      <c r="J467" s="391">
        <f>E_EnergyFlows!J398</f>
        <v>2026</v>
      </c>
      <c r="K467" s="391">
        <f>E_EnergyFlows!K398</f>
        <v>2027</v>
      </c>
      <c r="L467" s="391">
        <f>E_EnergyFlows!L398</f>
        <v>2028</v>
      </c>
      <c r="M467" s="391">
        <f>E_EnergyFlows!M398</f>
        <v>2029</v>
      </c>
      <c r="N467" s="391">
        <f>E_EnergyFlows!N398</f>
        <v>2030</v>
      </c>
      <c r="O467" s="698"/>
      <c r="P467" s="695"/>
      <c r="Q467" s="695"/>
      <c r="R467" s="695"/>
      <c r="S467" s="695"/>
      <c r="T467" s="729"/>
      <c r="U467" s="343"/>
      <c r="V467" s="343"/>
    </row>
    <row r="468" spans="1:22" ht="12.65" customHeight="1" x14ac:dyDescent="0.25">
      <c r="A468" s="343"/>
      <c r="B468" s="698"/>
      <c r="C468" s="698"/>
      <c r="D468" s="1084"/>
      <c r="E468" s="2667" t="str">
        <f>E_EnergyFlows!E399</f>
        <v>Нетна електроенергия, произведена от горива</v>
      </c>
      <c r="F468" s="2258"/>
      <c r="G468" s="1016" t="str">
        <f>E_EnergyFlows!G399</f>
        <v>MWh / година</v>
      </c>
      <c r="H468" s="1020" t="str">
        <f>IF(ISBLANK(E_EnergyFlows!H399),"",E_EnergyFlows!H399)</f>
        <v/>
      </c>
      <c r="I468" s="1020" t="str">
        <f>IF(ISBLANK(E_EnergyFlows!I399),"",E_EnergyFlows!I399)</f>
        <v/>
      </c>
      <c r="J468" s="1020" t="str">
        <f>IF(ISBLANK(E_EnergyFlows!J399),"",E_EnergyFlows!J399)</f>
        <v/>
      </c>
      <c r="K468" s="1020" t="str">
        <f>IF(ISBLANK(E_EnergyFlows!K399),"",E_EnergyFlows!K399)</f>
        <v/>
      </c>
      <c r="L468" s="1020" t="str">
        <f>IF(ISBLANK(E_EnergyFlows!L399),"",E_EnergyFlows!L399)</f>
        <v/>
      </c>
      <c r="M468" s="1020" t="str">
        <f>IF(ISBLANK(E_EnergyFlows!M399),"",E_EnergyFlows!M399)</f>
        <v/>
      </c>
      <c r="N468" s="1020" t="str">
        <f>IF(ISBLANK(E_EnergyFlows!N399),"",E_EnergyFlows!N399)</f>
        <v/>
      </c>
      <c r="O468" s="698"/>
      <c r="P468" s="695"/>
      <c r="Q468" s="695"/>
      <c r="R468" s="695"/>
      <c r="S468" s="695"/>
      <c r="T468" s="729"/>
      <c r="U468" s="343"/>
      <c r="V468" s="343"/>
    </row>
    <row r="469" spans="1:22" ht="12.65" customHeight="1" x14ac:dyDescent="0.25">
      <c r="A469" s="343"/>
      <c r="B469" s="698"/>
      <c r="C469" s="698"/>
      <c r="D469" s="1084"/>
      <c r="E469" s="2667" t="str">
        <f>E_EnergyFlows!E400</f>
        <v>Друга произведена електроенергия</v>
      </c>
      <c r="F469" s="2258"/>
      <c r="G469" s="1016" t="str">
        <f>E_EnergyFlows!G400</f>
        <v>MWh / година</v>
      </c>
      <c r="H469" s="1020" t="str">
        <f>IF(ISBLANK(E_EnergyFlows!H400),"",E_EnergyFlows!H400)</f>
        <v/>
      </c>
      <c r="I469" s="1020" t="str">
        <f>IF(ISBLANK(E_EnergyFlows!I400),"",E_EnergyFlows!I400)</f>
        <v/>
      </c>
      <c r="J469" s="1020" t="str">
        <f>IF(ISBLANK(E_EnergyFlows!J400),"",E_EnergyFlows!J400)</f>
        <v/>
      </c>
      <c r="K469" s="1020" t="str">
        <f>IF(ISBLANK(E_EnergyFlows!K400),"",E_EnergyFlows!K400)</f>
        <v/>
      </c>
      <c r="L469" s="1020" t="str">
        <f>IF(ISBLANK(E_EnergyFlows!L400),"",E_EnergyFlows!L400)</f>
        <v/>
      </c>
      <c r="M469" s="1020" t="str">
        <f>IF(ISBLANK(E_EnergyFlows!M400),"",E_EnergyFlows!M400)</f>
        <v/>
      </c>
      <c r="N469" s="1020" t="str">
        <f>IF(ISBLANK(E_EnergyFlows!N400),"",E_EnergyFlows!N400)</f>
        <v/>
      </c>
      <c r="O469" s="698"/>
      <c r="P469" s="695"/>
      <c r="Q469" s="695"/>
      <c r="R469" s="695"/>
      <c r="S469" s="695"/>
      <c r="T469" s="729"/>
      <c r="U469" s="343"/>
      <c r="V469" s="343"/>
    </row>
    <row r="470" spans="1:22" ht="12.65" customHeight="1" x14ac:dyDescent="0.25">
      <c r="A470" s="343"/>
      <c r="B470" s="698"/>
      <c r="C470" s="698"/>
      <c r="D470" s="698"/>
      <c r="E470" s="2667" t="str">
        <f>E_EnergyFlows!E403</f>
        <v>Получена електроенергия</v>
      </c>
      <c r="F470" s="2258"/>
      <c r="G470" s="1016" t="str">
        <f>E_EnergyFlows!G403</f>
        <v>MWh / година</v>
      </c>
      <c r="H470" s="1020" t="str">
        <f>IF(ISBLANK(E_EnergyFlows!H403),"",E_EnergyFlows!H403)</f>
        <v/>
      </c>
      <c r="I470" s="1020" t="str">
        <f>IF(ISBLANK(E_EnergyFlows!I403),"",E_EnergyFlows!I403)</f>
        <v/>
      </c>
      <c r="J470" s="1020" t="str">
        <f>IF(ISBLANK(E_EnergyFlows!J403),"",E_EnergyFlows!J403)</f>
        <v/>
      </c>
      <c r="K470" s="1020" t="str">
        <f>IF(ISBLANK(E_EnergyFlows!K403),"",E_EnergyFlows!K403)</f>
        <v/>
      </c>
      <c r="L470" s="1020" t="str">
        <f>IF(ISBLANK(E_EnergyFlows!L403),"",E_EnergyFlows!L403)</f>
        <v/>
      </c>
      <c r="M470" s="1020" t="str">
        <f>IF(ISBLANK(E_EnergyFlows!M403),"",E_EnergyFlows!M403)</f>
        <v/>
      </c>
      <c r="N470" s="1020" t="str">
        <f>IF(ISBLANK(E_EnergyFlows!N403),"",E_EnergyFlows!N403)</f>
        <v/>
      </c>
      <c r="O470" s="698"/>
      <c r="P470" s="695"/>
      <c r="Q470" s="695"/>
      <c r="R470" s="695"/>
      <c r="S470" s="695"/>
      <c r="T470" s="729"/>
      <c r="U470" s="343"/>
      <c r="V470" s="343"/>
    </row>
    <row r="471" spans="1:22" ht="12.65" customHeight="1" x14ac:dyDescent="0.25">
      <c r="A471" s="343"/>
      <c r="B471" s="698"/>
      <c r="C471" s="698"/>
      <c r="D471" s="698"/>
      <c r="E471" s="2667" t="str">
        <f>E_EnergyFlows!E406</f>
        <v>Подадена електроенергия</v>
      </c>
      <c r="F471" s="2258"/>
      <c r="G471" s="1016" t="str">
        <f>E_EnergyFlows!G406</f>
        <v>MWh / година</v>
      </c>
      <c r="H471" s="1020" t="str">
        <f>IF(ISBLANK(E_EnergyFlows!H406),"",E_EnergyFlows!H406)</f>
        <v/>
      </c>
      <c r="I471" s="1020" t="str">
        <f>IF(ISBLANK(E_EnergyFlows!I406),"",E_EnergyFlows!I406)</f>
        <v/>
      </c>
      <c r="J471" s="1020" t="str">
        <f>IF(ISBLANK(E_EnergyFlows!J406),"",E_EnergyFlows!J406)</f>
        <v/>
      </c>
      <c r="K471" s="1020" t="str">
        <f>IF(ISBLANK(E_EnergyFlows!K406),"",E_EnergyFlows!K406)</f>
        <v/>
      </c>
      <c r="L471" s="1020" t="str">
        <f>IF(ISBLANK(E_EnergyFlows!L406),"",E_EnergyFlows!L406)</f>
        <v/>
      </c>
      <c r="M471" s="1020" t="str">
        <f>IF(ISBLANK(E_EnergyFlows!M406),"",E_EnergyFlows!M406)</f>
        <v/>
      </c>
      <c r="N471" s="1020" t="str">
        <f>IF(ISBLANK(E_EnergyFlows!N406),"",E_EnergyFlows!N406)</f>
        <v/>
      </c>
      <c r="O471" s="698"/>
      <c r="P471" s="695"/>
      <c r="Q471" s="695"/>
      <c r="R471" s="695"/>
      <c r="S471" s="695"/>
      <c r="T471" s="729"/>
      <c r="U471" s="343"/>
      <c r="V471" s="343"/>
    </row>
    <row r="472" spans="1:22" ht="12.65" customHeight="1" x14ac:dyDescent="0.25">
      <c r="A472" s="343"/>
      <c r="B472" s="698"/>
      <c r="C472" s="698"/>
      <c r="D472" s="698"/>
      <c r="E472" s="2667" t="str">
        <f>E_EnergyFlows!E409</f>
        <v>Използваема електроенергия</v>
      </c>
      <c r="F472" s="2258"/>
      <c r="G472" s="1016" t="str">
        <f>E_EnergyFlows!G409</f>
        <v>MWh / година</v>
      </c>
      <c r="H472" s="1024" t="str">
        <f>E_EnergyFlows!H409</f>
        <v/>
      </c>
      <c r="I472" s="1024" t="str">
        <f>E_EnergyFlows!I409</f>
        <v/>
      </c>
      <c r="J472" s="1024" t="str">
        <f>E_EnergyFlows!J409</f>
        <v/>
      </c>
      <c r="K472" s="1024" t="str">
        <f>E_EnergyFlows!K409</f>
        <v/>
      </c>
      <c r="L472" s="1024" t="str">
        <f>E_EnergyFlows!L409</f>
        <v/>
      </c>
      <c r="M472" s="1024" t="str">
        <f>E_EnergyFlows!M409</f>
        <v/>
      </c>
      <c r="N472" s="1024" t="str">
        <f>E_EnergyFlows!N409</f>
        <v/>
      </c>
      <c r="O472" s="698"/>
      <c r="P472" s="695"/>
      <c r="Q472" s="695"/>
      <c r="R472" s="695"/>
      <c r="S472" s="695"/>
      <c r="T472" s="729"/>
      <c r="U472" s="343"/>
      <c r="V472" s="343"/>
    </row>
    <row r="473" spans="1:22" ht="12.65" customHeight="1" x14ac:dyDescent="0.25">
      <c r="A473" s="343"/>
      <c r="B473" s="698"/>
      <c r="C473" s="698"/>
      <c r="D473" s="698"/>
      <c r="E473" s="2667" t="str">
        <f>E_EnergyFlows!E412</f>
        <v>Електроенергия, консумирана в инсталацията</v>
      </c>
      <c r="F473" s="2258"/>
      <c r="G473" s="1016" t="str">
        <f>E_EnergyFlows!G412</f>
        <v>MWh / година</v>
      </c>
      <c r="H473" s="1020" t="str">
        <f>IF(ISBLANK(E_EnergyFlows!H412),"",E_EnergyFlows!H412)</f>
        <v/>
      </c>
      <c r="I473" s="1020" t="str">
        <f>IF(ISBLANK(E_EnergyFlows!I412),"",E_EnergyFlows!I412)</f>
        <v/>
      </c>
      <c r="J473" s="1020" t="str">
        <f>IF(ISBLANK(E_EnergyFlows!J412),"",E_EnergyFlows!J412)</f>
        <v/>
      </c>
      <c r="K473" s="1020" t="str">
        <f>IF(ISBLANK(E_EnergyFlows!K412),"",E_EnergyFlows!K412)</f>
        <v/>
      </c>
      <c r="L473" s="1020" t="str">
        <f>IF(ISBLANK(E_EnergyFlows!L412),"",E_EnergyFlows!L412)</f>
        <v/>
      </c>
      <c r="M473" s="1020" t="str">
        <f>IF(ISBLANK(E_EnergyFlows!M412),"",E_EnergyFlows!M412)</f>
        <v/>
      </c>
      <c r="N473" s="1020" t="str">
        <f>IF(ISBLANK(E_EnergyFlows!N412),"",E_EnergyFlows!N412)</f>
        <v/>
      </c>
      <c r="O473" s="698"/>
      <c r="P473" s="695"/>
      <c r="Q473" s="695"/>
      <c r="R473" s="695"/>
      <c r="S473" s="695"/>
      <c r="T473" s="729"/>
      <c r="U473" s="343"/>
      <c r="V473" s="343"/>
    </row>
    <row r="474" spans="1:22" ht="12.75" customHeight="1" x14ac:dyDescent="0.25">
      <c r="A474" s="694"/>
      <c r="B474" s="698"/>
      <c r="C474" s="698"/>
      <c r="D474" s="698"/>
      <c r="E474" s="698"/>
      <c r="F474" s="698"/>
      <c r="G474" s="698"/>
      <c r="H474" s="698"/>
      <c r="I474" s="698"/>
      <c r="J474" s="698"/>
      <c r="K474" s="698"/>
      <c r="L474" s="698"/>
      <c r="M474" s="698"/>
      <c r="N474" s="698"/>
      <c r="O474" s="698"/>
      <c r="P474" s="770"/>
      <c r="Q474" s="770"/>
      <c r="R474" s="770"/>
      <c r="S474" s="770"/>
      <c r="T474" s="770"/>
      <c r="U474" s="343"/>
      <c r="V474" s="343"/>
    </row>
    <row r="475" spans="1:22" s="364" customFormat="1" ht="16" thickBot="1" x14ac:dyDescent="0.4">
      <c r="A475" s="729"/>
      <c r="B475" s="284"/>
      <c r="C475" s="327" t="s">
        <v>10</v>
      </c>
      <c r="D475" s="356" t="str">
        <f>Translations!$B$939</f>
        <v>Данни за подинсталациите, които имат значение за разпределянето на квоти и актуализирането на показателите</v>
      </c>
      <c r="E475" s="356"/>
      <c r="F475" s="356"/>
      <c r="G475" s="356"/>
      <c r="H475" s="356"/>
      <c r="I475" s="356"/>
      <c r="J475" s="356"/>
      <c r="K475" s="356"/>
      <c r="L475" s="356"/>
      <c r="M475" s="356"/>
      <c r="N475" s="356"/>
      <c r="O475" s="698"/>
      <c r="P475" s="770"/>
      <c r="Q475" s="770"/>
      <c r="R475" s="770"/>
      <c r="S475" s="770"/>
      <c r="T475" s="770"/>
      <c r="U475" s="343"/>
      <c r="V475" s="343"/>
    </row>
    <row r="476" spans="1:22" s="364" customFormat="1" ht="5.15" customHeight="1" x14ac:dyDescent="0.25">
      <c r="A476" s="729"/>
      <c r="B476" s="302"/>
      <c r="C476" s="581"/>
      <c r="D476" s="581"/>
      <c r="E476" s="581"/>
      <c r="F476" s="581"/>
      <c r="G476" s="581"/>
      <c r="H476" s="581"/>
      <c r="I476" s="581"/>
      <c r="J476" s="581"/>
      <c r="K476" s="581"/>
      <c r="L476" s="581"/>
      <c r="M476" s="581"/>
      <c r="N476" s="581"/>
      <c r="O476" s="698"/>
      <c r="P476" s="729"/>
      <c r="Q476" s="729"/>
      <c r="R476" s="729"/>
      <c r="S476" s="729"/>
      <c r="T476" s="770"/>
      <c r="U476" s="343"/>
      <c r="V476" s="343"/>
    </row>
    <row r="477" spans="1:22" s="364" customFormat="1" ht="14" x14ac:dyDescent="0.25">
      <c r="A477" s="729"/>
      <c r="B477" s="302"/>
      <c r="C477" s="302"/>
      <c r="D477" s="2323" t="str">
        <f>Translations!$B$940</f>
        <v>Изчисление на предварителния брой квоти</v>
      </c>
      <c r="E477" s="2323"/>
      <c r="F477" s="2323"/>
      <c r="G477" s="2323"/>
      <c r="H477" s="2323"/>
      <c r="I477" s="2323"/>
      <c r="J477" s="2323"/>
      <c r="K477" s="2323"/>
      <c r="L477" s="2323"/>
      <c r="M477" s="2323"/>
      <c r="N477" s="2323"/>
      <c r="O477" s="698"/>
      <c r="P477" s="729"/>
      <c r="Q477" s="729"/>
      <c r="R477" s="729"/>
      <c r="S477" s="729"/>
      <c r="T477" s="770"/>
      <c r="U477" s="343"/>
      <c r="V477" s="343"/>
    </row>
    <row r="478" spans="1:22" s="364" customFormat="1" ht="5.15" customHeight="1" x14ac:dyDescent="0.25">
      <c r="A478" s="729"/>
      <c r="B478" s="302"/>
      <c r="C478" s="284"/>
      <c r="D478" s="284"/>
      <c r="E478" s="284"/>
      <c r="F478" s="284"/>
      <c r="G478" s="284"/>
      <c r="H478" s="284"/>
      <c r="I478" s="284"/>
      <c r="J478" s="284"/>
      <c r="K478" s="284"/>
      <c r="L478" s="284"/>
      <c r="M478" s="284"/>
      <c r="N478" s="284"/>
      <c r="O478" s="698"/>
      <c r="P478" s="729"/>
      <c r="Q478" s="729"/>
      <c r="R478" s="729"/>
      <c r="S478" s="729"/>
      <c r="T478" s="770"/>
      <c r="U478" s="343"/>
      <c r="V478" s="343"/>
    </row>
    <row r="479" spans="1:22" s="364" customFormat="1" ht="12.75" customHeight="1" x14ac:dyDescent="0.25">
      <c r="A479" s="729"/>
      <c r="B479" s="284"/>
      <c r="C479" s="284"/>
      <c r="D479" s="2622" t="str">
        <f>Translations!$B$941</f>
        <v>В таблиците по-долу са използвани следните съкращения:</v>
      </c>
      <c r="E479" s="2622"/>
      <c r="F479" s="2622"/>
      <c r="G479" s="2622"/>
      <c r="H479" s="2622"/>
      <c r="I479" s="2622"/>
      <c r="J479" s="2622"/>
      <c r="K479" s="2622"/>
      <c r="L479" s="2622"/>
      <c r="M479" s="2622"/>
      <c r="N479" s="2622"/>
      <c r="O479" s="698"/>
      <c r="P479" s="770"/>
      <c r="Q479" s="729"/>
      <c r="R479" s="729"/>
      <c r="S479" s="729"/>
      <c r="T479" s="729"/>
      <c r="U479" s="343"/>
      <c r="V479" s="343"/>
    </row>
    <row r="480" spans="1:22" s="364" customFormat="1" ht="12.75" customHeight="1" x14ac:dyDescent="0.25">
      <c r="A480" s="729"/>
      <c r="B480" s="284"/>
      <c r="C480" s="284"/>
      <c r="D480" s="3014" t="str">
        <f>Translations!$B$942</f>
        <v>Риск от ИВЕ</v>
      </c>
      <c r="E480" s="3014"/>
      <c r="F480" s="3012" t="str">
        <f>Translations!$B$943</f>
        <v>Риск от изместване на въглеродни емисии Посочва се „вярно“, ако подинсталацията се използва в сектор, който се смята, че е изложен на значителен риск от изместване на въглеродни емисии.</v>
      </c>
      <c r="G480" s="3012"/>
      <c r="H480" s="3012"/>
      <c r="I480" s="3012"/>
      <c r="J480" s="3012"/>
      <c r="K480" s="3012"/>
      <c r="L480" s="3012"/>
      <c r="M480" s="3012"/>
      <c r="N480" s="3012"/>
      <c r="O480" s="698"/>
      <c r="P480" s="770"/>
      <c r="Q480" s="729"/>
      <c r="R480" s="729"/>
      <c r="S480" s="729"/>
      <c r="T480" s="729"/>
      <c r="U480" s="343"/>
      <c r="V480" s="343"/>
    </row>
    <row r="481" spans="1:22" s="364" customFormat="1" ht="12.75" customHeight="1" x14ac:dyDescent="0.25">
      <c r="A481" s="729"/>
      <c r="B481" s="284"/>
      <c r="C481" s="284"/>
      <c r="D481" s="3014" t="s">
        <v>2151</v>
      </c>
      <c r="E481" s="3014"/>
      <c r="F481" s="3012" t="str">
        <f>Translations!$B$1578</f>
        <v>Статус по МКВЕГ: „Вярно“, ако подинсталацията е обхваната от МКВЕГ</v>
      </c>
      <c r="G481" s="3012"/>
      <c r="H481" s="3012"/>
      <c r="I481" s="3012"/>
      <c r="J481" s="3012"/>
      <c r="K481" s="3012"/>
      <c r="L481" s="3012"/>
      <c r="M481" s="3012"/>
      <c r="N481" s="3012"/>
      <c r="O481" s="698"/>
      <c r="P481" s="770"/>
      <c r="Q481" s="729"/>
      <c r="R481" s="729"/>
      <c r="S481" s="729"/>
      <c r="T481" s="729"/>
      <c r="U481" s="343"/>
      <c r="V481" s="343"/>
    </row>
    <row r="482" spans="1:22" s="364" customFormat="1" ht="12.75" customHeight="1" x14ac:dyDescent="0.25">
      <c r="A482" s="729"/>
      <c r="B482" s="284"/>
      <c r="C482" s="284"/>
      <c r="D482" s="3014" t="str">
        <f>Translations!$B$944</f>
        <v>№ на п-л</v>
      </c>
      <c r="E482" s="3014"/>
      <c r="F482" s="3012" t="str">
        <f>Translations!$B$945</f>
        <v>Номер на показателя</v>
      </c>
      <c r="G482" s="3012"/>
      <c r="H482" s="3012"/>
      <c r="I482" s="3012"/>
      <c r="J482" s="3012"/>
      <c r="K482" s="3012"/>
      <c r="L482" s="3012"/>
      <c r="M482" s="3012"/>
      <c r="N482" s="3012"/>
      <c r="O482" s="698"/>
      <c r="P482" s="770"/>
      <c r="Q482" s="729"/>
      <c r="R482" s="729"/>
      <c r="S482" s="729"/>
      <c r="T482" s="729"/>
      <c r="U482" s="343"/>
      <c r="V482" s="343"/>
    </row>
    <row r="483" spans="1:22" s="364" customFormat="1" ht="12.75" customHeight="1" x14ac:dyDescent="0.25">
      <c r="A483" s="729"/>
      <c r="B483" s="284"/>
      <c r="C483" s="284"/>
      <c r="D483" s="3014" t="str">
        <f>Translations!$B$946</f>
        <v>В/Е</v>
      </c>
      <c r="E483" s="3014"/>
      <c r="F483" s="3012" t="str">
        <f>Translations!$B$947</f>
        <v>Дата на въвеждане на подинсталацията в експлоатация</v>
      </c>
      <c r="G483" s="3012"/>
      <c r="H483" s="3012"/>
      <c r="I483" s="3012"/>
      <c r="J483" s="3012"/>
      <c r="K483" s="3012"/>
      <c r="L483" s="3012"/>
      <c r="M483" s="3012"/>
      <c r="N483" s="3012"/>
      <c r="O483" s="698"/>
      <c r="P483" s="770"/>
      <c r="Q483" s="729"/>
      <c r="R483" s="729"/>
      <c r="S483" s="729"/>
      <c r="T483" s="729"/>
      <c r="U483" s="343"/>
      <c r="V483" s="343"/>
    </row>
    <row r="484" spans="1:22" s="364" customFormat="1" ht="12.75" customHeight="1" x14ac:dyDescent="0.25">
      <c r="A484" s="729"/>
      <c r="B484" s="284"/>
      <c r="C484" s="284"/>
      <c r="D484" s="3014" t="str">
        <f>Translations!$B$1360</f>
        <v>Спряна експлоатация</v>
      </c>
      <c r="E484" s="3014"/>
      <c r="F484" s="3012" t="str">
        <f>Translations!$B$1361</f>
        <v>Дата на спиране на експлоатацията на подинсталацията, ако е приложимо.</v>
      </c>
      <c r="G484" s="3012"/>
      <c r="H484" s="3012"/>
      <c r="I484" s="3012"/>
      <c r="J484" s="3012"/>
      <c r="K484" s="3012"/>
      <c r="L484" s="3012"/>
      <c r="M484" s="3012"/>
      <c r="N484" s="3012"/>
      <c r="O484" s="698"/>
      <c r="P484" s="770"/>
      <c r="Q484" s="729"/>
      <c r="R484" s="729"/>
      <c r="S484" s="729"/>
      <c r="T484" s="729"/>
      <c r="U484" s="343"/>
      <c r="V484" s="343"/>
    </row>
    <row r="485" spans="1:22" s="364" customFormat="1" ht="12.75" customHeight="1" x14ac:dyDescent="0.25">
      <c r="A485" s="729"/>
      <c r="B485" s="284"/>
      <c r="C485" s="284"/>
      <c r="D485" s="3014" t="str">
        <f>Translations!$B$948</f>
        <v>Стойност на п-л</v>
      </c>
      <c r="E485" s="3018"/>
      <c r="F485" s="3012" t="str">
        <f>Translations!$B$1362</f>
        <v>Стойност на показателя.</v>
      </c>
      <c r="G485" s="3012"/>
      <c r="H485" s="3012"/>
      <c r="I485" s="3012"/>
      <c r="J485" s="3012"/>
      <c r="K485" s="3012"/>
      <c r="L485" s="3012"/>
      <c r="M485" s="3012"/>
      <c r="N485" s="3012"/>
      <c r="O485" s="698"/>
      <c r="P485" s="770"/>
      <c r="Q485" s="729"/>
      <c r="R485" s="729"/>
      <c r="S485" s="729"/>
      <c r="T485" s="729"/>
      <c r="U485" s="343"/>
      <c r="V485" s="343"/>
    </row>
    <row r="486" spans="1:22" s="364" customFormat="1" ht="12.75" customHeight="1" x14ac:dyDescent="0.25">
      <c r="A486" s="729"/>
      <c r="B486" s="284"/>
      <c r="C486" s="284"/>
      <c r="D486" s="3014" t="str">
        <f>Translations!$B$949</f>
        <v>топл. ен. извън СТЕ</v>
      </c>
      <c r="E486" s="3014"/>
      <c r="F486" s="3012" t="str">
        <f>Translations!$B$950</f>
        <v>Количество, което трябва да се приспадне от предварителното годишно количество на квотите за емисии в съответствие с член 21 от ПРБ.</v>
      </c>
      <c r="G486" s="3012"/>
      <c r="H486" s="3012"/>
      <c r="I486" s="3012"/>
      <c r="J486" s="3012"/>
      <c r="K486" s="3012"/>
      <c r="L486" s="3012"/>
      <c r="M486" s="3012"/>
      <c r="N486" s="3012"/>
      <c r="O486" s="698"/>
      <c r="P486" s="770"/>
      <c r="Q486" s="729"/>
      <c r="R486" s="729"/>
      <c r="S486" s="729"/>
      <c r="T486" s="729"/>
      <c r="U486" s="343"/>
      <c r="V486" s="343"/>
    </row>
    <row r="487" spans="1:22" s="364" customFormat="1" ht="25.5" customHeight="1" x14ac:dyDescent="0.25">
      <c r="A487" s="729"/>
      <c r="B487" s="284"/>
      <c r="C487" s="284"/>
      <c r="D487" s="3014" t="str">
        <f>Translations!$B$951</f>
        <v>WGflare</v>
      </c>
      <c r="E487" s="3014"/>
      <c r="F487" s="3012" t="str">
        <f>Translations!$B$952</f>
        <v>Количество, което трябва да се приспадне от предварителното годишно количество на квотите за отпадни газове, изгорени във факел, от 2026 г. нататък съгласно член 16, параграф 5, алинея втора от ПРБ</v>
      </c>
      <c r="G487" s="3012"/>
      <c r="H487" s="3012"/>
      <c r="I487" s="3012"/>
      <c r="J487" s="3012"/>
      <c r="K487" s="3012"/>
      <c r="L487" s="3012"/>
      <c r="M487" s="3012"/>
      <c r="N487" s="3012"/>
      <c r="O487" s="698"/>
      <c r="P487" s="770"/>
      <c r="Q487" s="729"/>
      <c r="R487" s="729"/>
      <c r="S487" s="729"/>
      <c r="T487" s="729"/>
      <c r="U487" s="343"/>
      <c r="V487" s="343"/>
    </row>
    <row r="488" spans="1:22" s="364" customFormat="1" ht="12.75" customHeight="1" x14ac:dyDescent="0.25">
      <c r="A488" s="729"/>
      <c r="B488" s="284"/>
      <c r="C488" s="284"/>
      <c r="D488" s="3014" t="s">
        <v>1442</v>
      </c>
      <c r="E488" s="3014"/>
      <c r="F488" s="3012" t="str">
        <f>Translations!$B$953</f>
        <v>Количество, което трябва да се добави към предварителното годишно количество на квотите за емисии за подинсталациите за крекинг с водна пара в съответствие с член 19 от ПРБ</v>
      </c>
      <c r="G488" s="3012"/>
      <c r="H488" s="3012"/>
      <c r="I488" s="3012"/>
      <c r="J488" s="3012"/>
      <c r="K488" s="3012"/>
      <c r="L488" s="3012"/>
      <c r="M488" s="3012"/>
      <c r="N488" s="3012"/>
      <c r="O488" s="698"/>
      <c r="P488" s="770"/>
      <c r="Q488" s="770"/>
      <c r="R488" s="770"/>
      <c r="S488" s="770"/>
      <c r="T488" s="770"/>
      <c r="U488" s="343"/>
      <c r="V488" s="343"/>
    </row>
    <row r="489" spans="1:22" s="364" customFormat="1" ht="12.75" customHeight="1" x14ac:dyDescent="0.25">
      <c r="A489" s="729"/>
      <c r="B489" s="284"/>
      <c r="C489" s="284"/>
      <c r="D489" s="3014" t="s">
        <v>1443</v>
      </c>
      <c r="E489" s="3014"/>
      <c r="F489" s="3012" t="str">
        <f>Translations!$B$954</f>
        <v>Коефициент за отчитане на свързаните с водорода емисии от подинсталациите за винилхлориден мономер в съответствие с член 20 от ПРБ</v>
      </c>
      <c r="G489" s="3012"/>
      <c r="H489" s="3012"/>
      <c r="I489" s="3012"/>
      <c r="J489" s="3012"/>
      <c r="K489" s="3012"/>
      <c r="L489" s="3012"/>
      <c r="M489" s="3012"/>
      <c r="N489" s="3012"/>
      <c r="O489" s="698"/>
      <c r="P489" s="770"/>
      <c r="Q489" s="770"/>
      <c r="R489" s="770"/>
      <c r="S489" s="770"/>
      <c r="T489" s="770"/>
      <c r="U489" s="343"/>
      <c r="V489" s="343"/>
    </row>
    <row r="490" spans="1:22" s="1683" customFormat="1" ht="12.75" customHeight="1" x14ac:dyDescent="0.25">
      <c r="A490" s="729"/>
      <c r="B490" s="1614"/>
      <c r="C490" s="1614"/>
      <c r="D490" s="3012" t="str">
        <f>Translations!$B$1328</f>
        <v>Средна годишна стойност</v>
      </c>
      <c r="E490" s="3012"/>
      <c r="F490" s="3012" t="str">
        <f>Translations!$B$1363</f>
        <v>Пълзящата средна стойност за две години по член 2, параграф 1 от ALC-R за равнищата на дейност и по член 6, параграф 4 за други параметри.</v>
      </c>
      <c r="G490" s="3012"/>
      <c r="H490" s="3012"/>
      <c r="I490" s="3012"/>
      <c r="J490" s="3012"/>
      <c r="K490" s="3012"/>
      <c r="L490" s="3012"/>
      <c r="M490" s="3012"/>
      <c r="N490" s="3012"/>
      <c r="O490" s="698"/>
      <c r="P490" s="1681"/>
      <c r="Q490" s="1682"/>
      <c r="R490" s="1682"/>
      <c r="S490" s="1682"/>
      <c r="T490" s="1682"/>
      <c r="U490" s="343"/>
      <c r="V490" s="343"/>
    </row>
    <row r="491" spans="1:22" s="1683" customFormat="1" ht="12.75" customHeight="1" x14ac:dyDescent="0.25">
      <c r="A491" s="729"/>
      <c r="B491" s="1614"/>
      <c r="C491" s="1614"/>
      <c r="D491" s="3012" t="str">
        <f>Translations!$B$1579</f>
        <v>Очаквано равнище на дейност</v>
      </c>
      <c r="E491" s="3012"/>
      <c r="F491" s="3012" t="str">
        <f>Translations!$B$1580</f>
        <v>Равнищата на дейност на подинсталациите с непряк подход за определяне на емисиите, определени в съответствие с приложение I към ALC-R</v>
      </c>
      <c r="G491" s="3012"/>
      <c r="H491" s="3012"/>
      <c r="I491" s="3012"/>
      <c r="J491" s="3012"/>
      <c r="K491" s="3012"/>
      <c r="L491" s="3012"/>
      <c r="M491" s="3012"/>
      <c r="N491" s="3012"/>
      <c r="O491" s="698"/>
      <c r="P491" s="1681"/>
      <c r="Q491" s="1682"/>
      <c r="R491" s="1682"/>
      <c r="S491" s="1682"/>
      <c r="T491" s="1682"/>
      <c r="U491" s="343"/>
      <c r="V491" s="343"/>
    </row>
    <row r="492" spans="1:22" s="1683" customFormat="1" ht="25.5" customHeight="1" x14ac:dyDescent="0.25">
      <c r="A492" s="729"/>
      <c r="B492" s="1614"/>
      <c r="C492" s="1614"/>
      <c r="D492" s="3013" t="str">
        <f>Translations!$B$1364</f>
        <v>Критерий 1: В експлоатация &gt; 2 години?</v>
      </c>
      <c r="E492" s="3013"/>
      <c r="F492" s="3012" t="str">
        <f>Translations!$B$1365</f>
        <v>Ако е посочено „ВЯРНО“, пълзящата средна стойност ще бъде изчислена за всички корекции на разпределението. Ако е посочено „НЕВЯРНО“, се прилага член 4, параграф 2 от ALC-R.</v>
      </c>
      <c r="G492" s="3012"/>
      <c r="H492" s="3012"/>
      <c r="I492" s="3012"/>
      <c r="J492" s="3012"/>
      <c r="K492" s="3012"/>
      <c r="L492" s="3012"/>
      <c r="M492" s="3012"/>
      <c r="N492" s="3012"/>
      <c r="O492" s="698"/>
      <c r="P492" s="1681"/>
      <c r="Q492" s="1682"/>
      <c r="R492" s="1682"/>
      <c r="S492" s="1682"/>
      <c r="T492" s="1682"/>
      <c r="U492" s="343"/>
      <c r="V492" s="343"/>
    </row>
    <row r="493" spans="1:22" s="1683" customFormat="1" ht="25.5" customHeight="1" x14ac:dyDescent="0.25">
      <c r="A493" s="729"/>
      <c r="B493" s="1614"/>
      <c r="C493" s="1614"/>
      <c r="D493" s="3013" t="str">
        <f>Translations!$B$1366</f>
        <v>Критерий 2: Не е спряна от експлоатация през предходната година?</v>
      </c>
      <c r="E493" s="3013"/>
      <c r="F493" s="3012" t="str">
        <f>Translations!$B$1367</f>
        <v>Ако е посочено „НЕВЯРНО“, експлоатацията на (под)инсталацията е спряна през предходната година и разпределението ще бъде коригирано на нула съгласно член 5, параграф 4 от ALC-R.</v>
      </c>
      <c r="G493" s="3012"/>
      <c r="H493" s="3012"/>
      <c r="I493" s="3012"/>
      <c r="J493" s="3012"/>
      <c r="K493" s="3012"/>
      <c r="L493" s="3012"/>
      <c r="M493" s="3012"/>
      <c r="N493" s="3012"/>
      <c r="O493" s="698"/>
      <c r="P493" s="1681"/>
      <c r="Q493" s="1682"/>
      <c r="R493" s="1682"/>
      <c r="S493" s="1682"/>
      <c r="T493" s="1682"/>
      <c r="U493" s="343"/>
      <c r="V493" s="343"/>
    </row>
    <row r="494" spans="1:22" s="1683" customFormat="1" ht="25.5" customHeight="1" x14ac:dyDescent="0.25">
      <c r="A494" s="729"/>
      <c r="B494" s="1614"/>
      <c r="C494" s="1614"/>
      <c r="D494" s="3013" t="str">
        <f>Translations!$B$1368</f>
        <v>Критерий 3a: Надвишени ли са относителните прагове?</v>
      </c>
      <c r="E494" s="3013"/>
      <c r="F494" s="3012" t="str">
        <f>Translations!$B$1369</f>
        <v>„ВЯРНО“ означава, че относителните прагове, посочени в член 5 от ALC-R, са надвишени и разпределението ще бъде коригирано, сравнено с HAL.</v>
      </c>
      <c r="G494" s="3012"/>
      <c r="H494" s="3012"/>
      <c r="I494" s="3012"/>
      <c r="J494" s="3012"/>
      <c r="K494" s="3012"/>
      <c r="L494" s="3012"/>
      <c r="M494" s="3012"/>
      <c r="N494" s="3012"/>
      <c r="O494" s="698"/>
      <c r="P494" s="1681"/>
      <c r="Q494" s="1682"/>
      <c r="R494" s="1682"/>
      <c r="S494" s="1682"/>
      <c r="T494" s="1682"/>
      <c r="U494" s="343"/>
      <c r="V494" s="343"/>
    </row>
    <row r="495" spans="1:22" s="1683" customFormat="1" ht="25.5" customHeight="1" x14ac:dyDescent="0.25">
      <c r="A495" s="729"/>
      <c r="B495" s="1614"/>
      <c r="C495" s="1614"/>
      <c r="D495" s="3013" t="str">
        <f>Translations!$B$1581</f>
        <v>Критерий 4: Разлика от поне 300 квоти за емисии?</v>
      </c>
      <c r="E495" s="3013"/>
      <c r="F495" s="3012" t="str">
        <f>Translations!$B$1582</f>
        <v>„ВЯРНО“ означава, че абсолютният праг, посочен в член 6 от ALC-R (300 квоти за емисии), е надвишен и разпределението ще бъде коригирано.</v>
      </c>
      <c r="G495" s="3012"/>
      <c r="H495" s="3012"/>
      <c r="I495" s="3012"/>
      <c r="J495" s="3012"/>
      <c r="K495" s="3012"/>
      <c r="L495" s="3012"/>
      <c r="M495" s="3012"/>
      <c r="N495" s="3012"/>
      <c r="O495" s="698"/>
      <c r="P495" s="1681"/>
      <c r="Q495" s="1682"/>
      <c r="R495" s="1682"/>
      <c r="S495" s="1682"/>
      <c r="T495" s="1682"/>
      <c r="U495" s="343"/>
      <c r="V495" s="343"/>
    </row>
    <row r="496" spans="1:22" s="1683" customFormat="1" ht="25.5" customHeight="1" x14ac:dyDescent="0.25">
      <c r="A496" s="729"/>
      <c r="B496" s="1614"/>
      <c r="C496" s="1614"/>
      <c r="D496" s="3012" t="str">
        <f>Translations!$B$892</f>
        <v>Предварително разпределяне</v>
      </c>
      <c r="E496" s="3012"/>
      <c r="F496" s="2555" t="str">
        <f>Translations!$B$1370</f>
        <v>Предварителен годишен брой на квотите за емисии, които се разпределят безплатно за първата година от периода съгласно член 16, параграф 6 от правилата за безплатно разпределяне на квоти, т.е. след прилагане на коефициента за риск от ИВЕ и всички корекции вследствие на ALC-R, но преди да се приложи линейният коефициент или междуотрасловият корекционен коефициент.</v>
      </c>
      <c r="G496" s="2555"/>
      <c r="H496" s="2555"/>
      <c r="I496" s="2555"/>
      <c r="J496" s="2555"/>
      <c r="K496" s="2555"/>
      <c r="L496" s="2555"/>
      <c r="M496" s="2555"/>
      <c r="N496" s="2555"/>
      <c r="O496" s="698"/>
      <c r="P496" s="1681"/>
      <c r="Q496" s="1682"/>
      <c r="R496" s="1682"/>
      <c r="S496" s="1682"/>
      <c r="T496" s="1682"/>
      <c r="U496" s="343"/>
      <c r="V496" s="343"/>
    </row>
    <row r="497" spans="1:22" s="364" customFormat="1" ht="12.75" customHeight="1" thickBot="1" x14ac:dyDescent="0.3">
      <c r="A497" s="729"/>
      <c r="B497" s="284"/>
      <c r="C497" s="284"/>
      <c r="D497" s="302"/>
      <c r="E497" s="302"/>
      <c r="F497" s="302"/>
      <c r="G497" s="302"/>
      <c r="H497" s="302"/>
      <c r="I497" s="302"/>
      <c r="J497" s="302"/>
      <c r="K497" s="302"/>
      <c r="L497" s="302"/>
      <c r="M497" s="302"/>
      <c r="N497" s="302"/>
      <c r="O497" s="698"/>
      <c r="P497" s="770"/>
      <c r="Q497" s="770"/>
      <c r="R497" s="770"/>
      <c r="S497" s="770"/>
      <c r="T497" s="770"/>
      <c r="U497" s="343"/>
      <c r="V497" s="343"/>
    </row>
    <row r="498" spans="1:22" s="364" customFormat="1" ht="75" customHeight="1" thickBot="1" x14ac:dyDescent="0.3">
      <c r="A498" s="729"/>
      <c r="B498" s="284"/>
      <c r="C498" s="284"/>
      <c r="D498" s="3015" t="str">
        <f>Translations!$B$955</f>
        <v>Отказ от отговорност: Моля, имайте предвид, че стойностите за предварителното разпределение са само ориентировъчни, като се вземат предвид минималните или максималните стойности на показателите, както е обяснено по-горе. Когато обаче предварителното разпределение зависи и от стойността на топлинния или горивния показател (напр. ElExch-F или топлинна енергия извън СТЕ), които също подлежат на промяна въз основа на това събиране на данни, индикативната стойност може дори да не представлява минималния или максималния предварителен брой квоти, а да бъде подложена на допълнителна корекция.</v>
      </c>
      <c r="E498" s="3016"/>
      <c r="F498" s="3016"/>
      <c r="G498" s="3016"/>
      <c r="H498" s="3016"/>
      <c r="I498" s="3016"/>
      <c r="J498" s="3016"/>
      <c r="K498" s="3016"/>
      <c r="L498" s="3016"/>
      <c r="M498" s="3016"/>
      <c r="N498" s="3017"/>
      <c r="O498" s="698"/>
      <c r="P498" s="770"/>
      <c r="Q498" s="770"/>
      <c r="R498" s="770"/>
      <c r="S498" s="770"/>
      <c r="T498" s="770"/>
      <c r="U498" s="343"/>
      <c r="V498" s="343"/>
    </row>
    <row r="499" spans="1:22" s="364" customFormat="1" ht="13" thickBot="1" x14ac:dyDescent="0.3">
      <c r="A499" s="729"/>
      <c r="B499" s="302"/>
      <c r="C499" s="302"/>
      <c r="D499" s="302"/>
      <c r="E499" s="302"/>
      <c r="F499" s="302"/>
      <c r="G499" s="302"/>
      <c r="H499" s="302"/>
      <c r="I499" s="302"/>
      <c r="J499" s="302"/>
      <c r="K499" s="302"/>
      <c r="L499" s="302"/>
      <c r="M499" s="302"/>
      <c r="N499" s="302"/>
      <c r="O499" s="698"/>
      <c r="P499" s="729" t="s">
        <v>1307</v>
      </c>
      <c r="Q499" s="729" t="s">
        <v>1308</v>
      </c>
      <c r="R499" s="729" t="s">
        <v>892</v>
      </c>
      <c r="S499" s="729"/>
      <c r="T499" s="729"/>
      <c r="U499" s="343"/>
      <c r="V499" s="343"/>
    </row>
    <row r="500" spans="1:22" s="364" customFormat="1" ht="15" customHeight="1" thickBot="1" x14ac:dyDescent="0.35">
      <c r="A500" s="729"/>
      <c r="B500" s="302"/>
      <c r="C500" s="357">
        <v>1</v>
      </c>
      <c r="D500" s="2323" t="str">
        <f>CONCATENATE(EUconst_BMSubinst," ",C500, ":")</f>
        <v>Подинсталация с продуктов показател 1:</v>
      </c>
      <c r="E500" s="2323"/>
      <c r="F500" s="2323"/>
      <c r="G500" s="2323"/>
      <c r="H500" s="2987"/>
      <c r="I500" s="2843" t="str">
        <f>IF(INDEX(CNTR_SubInstListIsProdBM,$C500),INDEX(CNTR_SubInstListNames,$C500),"")</f>
        <v/>
      </c>
      <c r="J500" s="3019"/>
      <c r="K500" s="3019"/>
      <c r="L500" s="3019"/>
      <c r="M500" s="3019"/>
      <c r="N500" s="3020"/>
      <c r="O500" s="698"/>
      <c r="P500" s="729"/>
      <c r="Q500" s="1684">
        <f>C500</f>
        <v>1</v>
      </c>
      <c r="R500" s="1685" t="str">
        <f>I500</f>
        <v/>
      </c>
      <c r="S500" s="729"/>
      <c r="T500" s="729"/>
      <c r="U500" s="343"/>
      <c r="V500" s="343"/>
    </row>
    <row r="501" spans="1:22" s="364" customFormat="1" ht="5.15" customHeight="1" x14ac:dyDescent="0.3">
      <c r="A501" s="729"/>
      <c r="B501" s="302"/>
      <c r="C501" s="357"/>
      <c r="D501" s="357"/>
      <c r="E501" s="357"/>
      <c r="F501" s="357"/>
      <c r="G501" s="357"/>
      <c r="H501" s="357"/>
      <c r="I501" s="357"/>
      <c r="J501" s="357"/>
      <c r="K501" s="357"/>
      <c r="L501" s="357"/>
      <c r="M501" s="357"/>
      <c r="N501" s="357"/>
      <c r="O501" s="698"/>
      <c r="P501" s="729"/>
      <c r="Q501" s="729"/>
      <c r="R501" s="729"/>
      <c r="S501" s="729"/>
      <c r="T501" s="729"/>
      <c r="U501" s="343"/>
      <c r="V501" s="343"/>
    </row>
    <row r="502" spans="1:22" s="364" customFormat="1" ht="12.75" customHeight="1" x14ac:dyDescent="0.3">
      <c r="A502" s="729"/>
      <c r="B502" s="302"/>
      <c r="C502" s="357"/>
      <c r="D502" s="357"/>
      <c r="E502" s="357"/>
      <c r="F502" s="357"/>
      <c r="H502" s="595" t="str">
        <f>Translations!$B$942</f>
        <v>Риск от ИВЕ</v>
      </c>
      <c r="I502" s="595" t="s">
        <v>2151</v>
      </c>
      <c r="J502" s="595" t="str">
        <f>Translations!$B$946</f>
        <v>В/Е</v>
      </c>
      <c r="K502" s="595" t="str">
        <f>Translations!$B$1360</f>
        <v>Спряна експлоатация</v>
      </c>
      <c r="L502" s="654" t="str">
        <f>Translations!$B$944</f>
        <v>№ на п-л</v>
      </c>
      <c r="M502" s="2991" t="str">
        <f>Translations!$B$948</f>
        <v>Стойност на п-л</v>
      </c>
      <c r="N502" s="2991"/>
      <c r="O502" s="698"/>
      <c r="P502" s="729"/>
      <c r="Q502" s="729"/>
      <c r="R502" s="1176" t="str">
        <f>Translations!$B$944</f>
        <v>№ на п-л</v>
      </c>
      <c r="S502" s="729"/>
      <c r="T502" s="1686"/>
      <c r="U502" s="343"/>
      <c r="V502" s="343"/>
    </row>
    <row r="503" spans="1:22" s="364" customFormat="1" ht="12.75" customHeight="1" x14ac:dyDescent="0.3">
      <c r="A503" s="729"/>
      <c r="B503" s="302"/>
      <c r="C503" s="357"/>
      <c r="D503" s="357"/>
      <c r="E503" s="361" t="str">
        <f>I500</f>
        <v/>
      </c>
      <c r="F503" s="373"/>
      <c r="G503" s="373"/>
      <c r="H503" s="600" t="str">
        <f>IF(L503=EUconst_NA,EUconst_NA,INDEX(EUconst_BMlistCLstatus,MATCH(L503,EUconst_BMlistMainNumberOfBM,0)))</f>
        <v>Не е приложимо</v>
      </c>
      <c r="I503" s="600" t="str">
        <f>IF(R503=EUconst_NA,EUconst_NA,INDEX(EUconst_BMlistCBAMstatus,MATCH(R503,EUconst_BMlistNumberOfBM,0)))</f>
        <v>Не е приложимо</v>
      </c>
      <c r="J503" s="655" t="str">
        <f>IF($I500="",EUconst_NA,INDEX(CNTR_SubInstStartDate,MATCH(I500,CNTR_SubInstListNames,0)))</f>
        <v>Не е приложимо</v>
      </c>
      <c r="K503" s="655" t="str">
        <f>IF($I500="",EUconst_NA,IF(INDEX(CNTR_SubInstCessationDate,MATCH(I500,CNTR_SubInstListNames,0))=0,"",INDEX(CNTR_SubInstCessationDate,MATCH(I500,CNTR_SubInstListNames,0))))</f>
        <v>Не е приложимо</v>
      </c>
      <c r="L503" s="1687" t="str">
        <f>IF($I500="",EUconst_NA,INDEX(EUconst_BMlistMainNumberOfBM,MATCH(I500,EUconst_BMlistNames,0)))</f>
        <v>Не е приложимо</v>
      </c>
      <c r="M503" s="1688" t="str">
        <f>IF(I500="",EUconst_NA,INDEX(EUconst_BMlistBMvaluesMatrix,MATCH(L503,EUconst_BMlistMainNumberOfBM,0),3))</f>
        <v>Не е приложимо</v>
      </c>
      <c r="N503" s="382" t="str">
        <f>EUconst_EUA &amp; "/" &amp; F506</f>
        <v>Квота за емисии/тона</v>
      </c>
      <c r="O503" s="698"/>
      <c r="P503" s="729"/>
      <c r="Q503" s="729"/>
      <c r="R503" s="1176" t="str">
        <f>IF($I500="",EUconst_NA,INDEX(EUconst_BMlistNumberOfBM,MATCH(I500,EUconst_BMlistNames,0)))</f>
        <v>Не е приложимо</v>
      </c>
      <c r="S503" s="729"/>
      <c r="T503" s="1174" t="s">
        <v>1735</v>
      </c>
      <c r="U503" s="1176">
        <f>IF(SUM(K503)=0,2050,YEAR(K503))</f>
        <v>2050</v>
      </c>
      <c r="V503" s="343"/>
    </row>
    <row r="504" spans="1:22" s="364" customFormat="1" ht="5.15" customHeight="1" thickBot="1" x14ac:dyDescent="0.35">
      <c r="A504" s="729"/>
      <c r="B504" s="302"/>
      <c r="C504" s="302"/>
      <c r="D504" s="302"/>
      <c r="E504" s="357"/>
      <c r="J504" s="302"/>
      <c r="K504" s="302"/>
      <c r="L504" s="302"/>
      <c r="M504" s="302"/>
      <c r="N504" s="302"/>
      <c r="O504" s="698"/>
      <c r="P504" s="729"/>
      <c r="Q504" s="729"/>
      <c r="R504" s="729"/>
      <c r="S504" s="729"/>
      <c r="T504" s="770"/>
      <c r="U504" s="343"/>
      <c r="V504" s="343"/>
    </row>
    <row r="505" spans="1:22" s="364" customFormat="1" ht="12.75" customHeight="1" x14ac:dyDescent="0.25">
      <c r="A505" s="729"/>
      <c r="B505" s="302"/>
      <c r="C505" s="302"/>
      <c r="D505" s="302"/>
      <c r="E505" s="313"/>
      <c r="F505" s="300" t="str">
        <f>EUconst_Unit</f>
        <v>Единица мярка</v>
      </c>
      <c r="G505" s="1689" t="str">
        <f>Translations!$B$1284</f>
        <v>HAL</v>
      </c>
      <c r="H505" s="757">
        <f t="shared" ref="H505:N505" si="34">H$2505</f>
        <v>2024</v>
      </c>
      <c r="I505" s="572">
        <f t="shared" si="34"/>
        <v>2025</v>
      </c>
      <c r="J505" s="757">
        <f t="shared" si="34"/>
        <v>2026</v>
      </c>
      <c r="K505" s="391">
        <f t="shared" si="34"/>
        <v>2027</v>
      </c>
      <c r="L505" s="391">
        <f t="shared" si="34"/>
        <v>2028</v>
      </c>
      <c r="M505" s="391">
        <f t="shared" si="34"/>
        <v>2029</v>
      </c>
      <c r="N505" s="391">
        <f t="shared" si="34"/>
        <v>2030</v>
      </c>
      <c r="O505" s="698"/>
      <c r="P505" s="729"/>
      <c r="Q505" s="729" t="s">
        <v>1851</v>
      </c>
      <c r="R505" s="1690">
        <f>J$2505</f>
        <v>2026</v>
      </c>
      <c r="S505" s="1691">
        <f>K$2505</f>
        <v>2027</v>
      </c>
      <c r="T505" s="1691">
        <f>L$2505</f>
        <v>2028</v>
      </c>
      <c r="U505" s="1691">
        <f>M$2505</f>
        <v>2029</v>
      </c>
      <c r="V505" s="1692">
        <f>N$2505</f>
        <v>2030</v>
      </c>
    </row>
    <row r="506" spans="1:22" s="364" customFormat="1" ht="12.75" customHeight="1" thickBot="1" x14ac:dyDescent="0.3">
      <c r="A506" s="729"/>
      <c r="B506" s="302"/>
      <c r="C506" s="302"/>
      <c r="D506" s="302"/>
      <c r="E506" s="388" t="str">
        <f>Translations!$B$1371</f>
        <v>Докладвано равнище на дейност</v>
      </c>
      <c r="F506" s="1062" t="str">
        <f>IF(ISNUMBER(L503),INDEX(EUconst_BMlistUnits,MATCH(L503,EUconst_BMlistMainNumberOfBM,0)),EUconst_Tons)</f>
        <v>тона</v>
      </c>
      <c r="G506" s="1693" t="str">
        <f>I566</f>
        <v/>
      </c>
      <c r="H506" s="1694" t="str">
        <f>IF($I500="","",IF(H505&gt;=CNTR_ReportingYear,"",INDEX(F_ProductBM!H:H,MATCH($P506,F_ProductBM!$Q:$Q,0))))</f>
        <v/>
      </c>
      <c r="I506" s="608" t="str">
        <f>IF($I500="","",IF(I505&gt;=CNTR_ReportingYear,"",INDEX(F_ProductBM!I:I,MATCH($P506,F_ProductBM!$Q:$Q,0))))</f>
        <v/>
      </c>
      <c r="J506" s="1694" t="str">
        <f>IF($I500="","",IF(J505&gt;=CNTR_ReportingYear,"",INDEX(F_ProductBM!J:J,MATCH($P506,F_ProductBM!$Q:$Q,0))))</f>
        <v/>
      </c>
      <c r="K506" s="406" t="str">
        <f>IF($I500="","",IF(K505&gt;=CNTR_ReportingYear,"",INDEX(F_ProductBM!K:K,MATCH($P506,F_ProductBM!$Q:$Q,0))))</f>
        <v/>
      </c>
      <c r="L506" s="406" t="str">
        <f>IF($I500="","",IF(L505&gt;=CNTR_ReportingYear,"",INDEX(F_ProductBM!L:L,MATCH($P506,F_ProductBM!$Q:$Q,0))))</f>
        <v/>
      </c>
      <c r="M506" s="406" t="str">
        <f>IF($I500="","",IF(M505&gt;=CNTR_ReportingYear,"",INDEX(F_ProductBM!M:M,MATCH($P506,F_ProductBM!$Q:$Q,0))))</f>
        <v/>
      </c>
      <c r="N506" s="406" t="str">
        <f>IF($I500="","",IF(N505&gt;=CNTR_ReportingYear,"",INDEX(F_ProductBM!N:N,MATCH($P506,F_ProductBM!$Q:$Q,0))))</f>
        <v/>
      </c>
      <c r="O506" s="698"/>
      <c r="P506" s="1190" t="str">
        <f>EUconst_CNTR_HAL&amp;I500</f>
        <v>HAL_</v>
      </c>
      <c r="Q506" s="729"/>
      <c r="R506" s="1580" t="b">
        <f>AND($I500&lt;&gt;"",R505&lt;=CNTR_ReportingYear,IF($J503&lt;&gt;EUconst_NA,R505&gt;=YEAR($J503),TRUE))</f>
        <v>0</v>
      </c>
      <c r="S506" s="1255" t="b">
        <f>AND($I500&lt;&gt;"",S505&lt;=CNTR_ReportingYear,IF($J503&lt;&gt;EUconst_NA,S505&gt;=YEAR($J503),TRUE))</f>
        <v>0</v>
      </c>
      <c r="T506" s="1255" t="b">
        <f>AND($I500&lt;&gt;"",T505&lt;=CNTR_ReportingYear,IF($J503&lt;&gt;EUconst_NA,T505&gt;=YEAR($J503),TRUE))</f>
        <v>0</v>
      </c>
      <c r="U506" s="1255" t="b">
        <f>AND($I500&lt;&gt;"",U505&lt;=CNTR_ReportingYear,IF($J503&lt;&gt;EUconst_NA,U505&gt;=YEAR($J503),TRUE))</f>
        <v>0</v>
      </c>
      <c r="V506" s="1256" t="b">
        <f>AND($I500&lt;&gt;"",V505&lt;=CNTR_ReportingYear,IF($J503&lt;&gt;EUconst_NA,V505&gt;=YEAR($J503),TRUE))</f>
        <v>0</v>
      </c>
    </row>
    <row r="507" spans="1:22" s="364" customFormat="1" ht="5.15" customHeight="1" thickBot="1" x14ac:dyDescent="0.35">
      <c r="A507" s="729"/>
      <c r="B507" s="302"/>
      <c r="C507" s="357"/>
      <c r="D507" s="357"/>
      <c r="E507" s="357"/>
      <c r="F507" s="357"/>
      <c r="G507" s="357"/>
      <c r="H507" s="357"/>
      <c r="I507" s="357"/>
      <c r="J507" s="357"/>
      <c r="K507" s="357"/>
      <c r="L507" s="357"/>
      <c r="M507" s="357"/>
      <c r="N507" s="357"/>
      <c r="O507" s="698"/>
      <c r="P507" s="729"/>
      <c r="Q507" s="729"/>
      <c r="R507" s="729"/>
      <c r="S507" s="729"/>
      <c r="T507" s="729"/>
      <c r="U507" s="343"/>
      <c r="V507" s="343"/>
    </row>
    <row r="508" spans="1:22" s="364" customFormat="1" ht="5.15" customHeight="1" x14ac:dyDescent="0.3">
      <c r="A508" s="729"/>
      <c r="B508" s="302"/>
      <c r="C508" s="357"/>
      <c r="D508" s="1695"/>
      <c r="E508" s="1696"/>
      <c r="F508" s="1696"/>
      <c r="G508" s="1696"/>
      <c r="H508" s="1696"/>
      <c r="I508" s="1696"/>
      <c r="J508" s="1696"/>
      <c r="K508" s="1696"/>
      <c r="L508" s="1696"/>
      <c r="M508" s="1696"/>
      <c r="N508" s="1697"/>
      <c r="O508" s="698"/>
      <c r="P508" s="729"/>
      <c r="Q508" s="729"/>
      <c r="R508" s="729"/>
      <c r="S508" s="729"/>
      <c r="T508" s="729"/>
      <c r="U508" s="343"/>
      <c r="V508" s="343"/>
    </row>
    <row r="509" spans="1:22" s="364" customFormat="1" ht="12.75" customHeight="1" x14ac:dyDescent="0.3">
      <c r="A509" s="729"/>
      <c r="B509" s="302"/>
      <c r="C509" s="357"/>
      <c r="D509" s="1698"/>
      <c r="E509" s="389" t="str">
        <f>Translations!$B$1372</f>
        <v>Приложимост на пълзящата средна стойност</v>
      </c>
      <c r="F509" s="498"/>
      <c r="G509" s="498"/>
      <c r="H509" s="527"/>
      <c r="I509" s="1699"/>
      <c r="J509" s="1523">
        <f>J$2505</f>
        <v>2026</v>
      </c>
      <c r="K509" s="387">
        <f>K$2505</f>
        <v>2027</v>
      </c>
      <c r="L509" s="387">
        <f>L$2505</f>
        <v>2028</v>
      </c>
      <c r="M509" s="387">
        <f>M$2505</f>
        <v>2029</v>
      </c>
      <c r="N509" s="1544">
        <f>N$2505</f>
        <v>2030</v>
      </c>
      <c r="O509" s="698"/>
      <c r="P509" s="729"/>
      <c r="Q509" s="729"/>
      <c r="R509" s="729"/>
      <c r="S509" s="729"/>
      <c r="T509" s="729"/>
      <c r="U509" s="343"/>
      <c r="V509" s="343"/>
    </row>
    <row r="510" spans="1:22" s="364" customFormat="1" ht="12.75" customHeight="1" x14ac:dyDescent="0.3">
      <c r="A510" s="729"/>
      <c r="B510" s="302"/>
      <c r="C510" s="357"/>
      <c r="D510" s="1698"/>
      <c r="E510" s="1700" t="str">
        <f>Translations!$B$1364</f>
        <v>Критерий 1: В експлоатация &gt; 2 години?</v>
      </c>
      <c r="F510" s="1701"/>
      <c r="G510" s="1701"/>
      <c r="H510" s="1702"/>
      <c r="I510" s="1701"/>
      <c r="J510" s="1703" t="str">
        <f>IF(R506,INDEX(F_ProductBM!V:V,MATCH($P510,F_ProductBM!$Q:$Q,0))&gt;=3,"")</f>
        <v/>
      </c>
      <c r="K510" s="1704" t="str">
        <f>IF(S506,INDEX(F_ProductBM!W:W,MATCH($P510,F_ProductBM!$Q:$Q,0))&gt;=3,"")</f>
        <v/>
      </c>
      <c r="L510" s="1704" t="str">
        <f>IF(T506,INDEX(F_ProductBM!X:X,MATCH($P510,F_ProductBM!$Q:$Q,0))&gt;=3,"")</f>
        <v/>
      </c>
      <c r="M510" s="1704" t="str">
        <f>IF(U506,INDEX(F_ProductBM!Y:Y,MATCH($P510,F_ProductBM!$Q:$Q,0))&gt;=3,"")</f>
        <v/>
      </c>
      <c r="N510" s="1705" t="str">
        <f>IF(V506,INDEX(F_ProductBM!Z:Z,MATCH($P510,F_ProductBM!$Q:$Q,0))&gt;=3,"")</f>
        <v/>
      </c>
      <c r="O510" s="698"/>
      <c r="P510" s="1190" t="str">
        <f>EUconst_CNTR_HALinitial&amp;I500</f>
        <v>HALini_</v>
      </c>
      <c r="Q510" s="729"/>
      <c r="R510" s="729"/>
      <c r="S510" s="729"/>
      <c r="T510" s="729"/>
      <c r="U510" s="343"/>
      <c r="V510" s="343"/>
    </row>
    <row r="511" spans="1:22" s="364" customFormat="1" ht="12.75" customHeight="1" x14ac:dyDescent="0.3">
      <c r="A511" s="729"/>
      <c r="B511" s="302"/>
      <c r="C511" s="357"/>
      <c r="D511" s="1698"/>
      <c r="E511" s="1706" t="str">
        <f>Translations!$B$1366</f>
        <v>Критерий 2: Не е спряна от експлоатация през предходната година?</v>
      </c>
      <c r="F511" s="1707"/>
      <c r="G511" s="1707"/>
      <c r="H511" s="1708"/>
      <c r="I511" s="1707"/>
      <c r="J511" s="1709" t="str">
        <f>IF(R506,IF($K503="",2050,YEAR($K503))&lt;&gt;(J509-1),"")</f>
        <v/>
      </c>
      <c r="K511" s="1710" t="str">
        <f>IF(S506,IF($K503="",2050,YEAR($K503))&lt;&gt;(K509-1),"")</f>
        <v/>
      </c>
      <c r="L511" s="1710" t="str">
        <f>IF(T506,IF($K503="",2050,YEAR($K503))&lt;&gt;(L509-1),"")</f>
        <v/>
      </c>
      <c r="M511" s="1710" t="str">
        <f>IF(U506,IF($K503="",2050,YEAR($K503))&lt;&gt;(M509-1),"")</f>
        <v/>
      </c>
      <c r="N511" s="1711" t="str">
        <f>IF(V506,IF($K503="",2050,YEAR($K503))&lt;&gt;(N509-1),"")</f>
        <v/>
      </c>
      <c r="O511" s="698"/>
      <c r="P511" s="729"/>
      <c r="Q511" s="729"/>
      <c r="R511" s="729"/>
      <c r="S511" s="729"/>
      <c r="T511" s="729"/>
      <c r="U511" s="343"/>
      <c r="V511" s="343"/>
    </row>
    <row r="512" spans="1:22" s="364" customFormat="1" ht="5.15" customHeight="1" x14ac:dyDescent="0.3">
      <c r="A512" s="729"/>
      <c r="B512" s="302"/>
      <c r="C512" s="357"/>
      <c r="D512" s="1698"/>
      <c r="E512" s="357"/>
      <c r="F512" s="357"/>
      <c r="G512" s="357"/>
      <c r="H512" s="357"/>
      <c r="I512" s="357"/>
      <c r="J512" s="357"/>
      <c r="K512" s="357"/>
      <c r="L512" s="357"/>
      <c r="M512" s="357"/>
      <c r="N512" s="1712"/>
      <c r="O512" s="698"/>
      <c r="P512" s="729"/>
      <c r="Q512" s="729"/>
      <c r="R512" s="729"/>
      <c r="S512" s="729"/>
      <c r="T512" s="729"/>
      <c r="U512" s="343"/>
      <c r="V512" s="343"/>
    </row>
    <row r="513" spans="1:22" s="364" customFormat="1" ht="12.75" customHeight="1" x14ac:dyDescent="0.3">
      <c r="A513" s="729"/>
      <c r="B513" s="302"/>
      <c r="C513" s="357"/>
      <c r="D513" s="1698"/>
      <c r="E513" s="313" t="str">
        <f>Translations!$B$1373</f>
        <v>Промени: Няма промяна (базова стойност)</v>
      </c>
      <c r="F513" s="302"/>
      <c r="G513" s="302"/>
      <c r="H513" s="527" t="str">
        <f>EUconst_Unit</f>
        <v>Единица мярка</v>
      </c>
      <c r="I513" s="1699"/>
      <c r="J513" s="757">
        <f>J$2505</f>
        <v>2026</v>
      </c>
      <c r="K513" s="391">
        <f>K$2505</f>
        <v>2027</v>
      </c>
      <c r="L513" s="391">
        <f>L$2505</f>
        <v>2028</v>
      </c>
      <c r="M513" s="391">
        <f>M$2505</f>
        <v>2029</v>
      </c>
      <c r="N513" s="1713">
        <f>N$2505</f>
        <v>2030</v>
      </c>
      <c r="O513" s="698"/>
      <c r="P513" s="729"/>
      <c r="Q513" s="729"/>
      <c r="R513" s="729"/>
      <c r="S513" s="729"/>
      <c r="T513" s="729"/>
      <c r="U513" s="343"/>
      <c r="V513" s="343"/>
    </row>
    <row r="514" spans="1:22" s="364" customFormat="1" ht="12.75" hidden="1" customHeight="1" x14ac:dyDescent="0.3">
      <c r="A514" s="729" t="str">
        <f t="shared" ref="A514:A518" si="35">IF(P514="","ausblenden","")</f>
        <v>ausblenden</v>
      </c>
      <c r="B514" s="302"/>
      <c r="C514" s="357"/>
      <c r="D514" s="1698"/>
      <c r="E514" s="388" t="str">
        <f>Translations!$B$1388</f>
        <v>Равнище на дейност</v>
      </c>
      <c r="F514" s="388"/>
      <c r="G514" s="388"/>
      <c r="H514" s="1210" t="str">
        <f>F506</f>
        <v>тона</v>
      </c>
      <c r="I514" s="388"/>
      <c r="J514" s="1714" t="str">
        <f>IF(T571&gt;=$H$2505,S566,I566)</f>
        <v/>
      </c>
      <c r="K514" s="1693" t="str">
        <f t="shared" ref="K514:K517" si="36">J566</f>
        <v/>
      </c>
      <c r="L514" s="1693" t="str">
        <f t="shared" ref="L514:L517" si="37">K566</f>
        <v/>
      </c>
      <c r="M514" s="1693" t="str">
        <f t="shared" ref="M514:M517" si="38">L566</f>
        <v/>
      </c>
      <c r="N514" s="1715" t="str">
        <f t="shared" ref="N514:N517" si="39">M566</f>
        <v/>
      </c>
      <c r="O514" s="698"/>
      <c r="P514" s="729"/>
      <c r="Q514" s="729"/>
      <c r="R514" s="729"/>
      <c r="S514" s="729"/>
      <c r="T514" s="729"/>
      <c r="U514" s="343"/>
      <c r="V514" s="343"/>
    </row>
    <row r="515" spans="1:22" s="364" customFormat="1" ht="12.75" hidden="1" customHeight="1" x14ac:dyDescent="0.3">
      <c r="A515" s="729" t="str">
        <f t="shared" si="35"/>
        <v>ausblenden</v>
      </c>
      <c r="B515" s="302"/>
      <c r="C515" s="357"/>
      <c r="D515" s="1698"/>
      <c r="E515" s="392" t="str">
        <f>Translations!$B$949</f>
        <v>топл. ен. извън СТЕ</v>
      </c>
      <c r="F515" s="392"/>
      <c r="G515" s="392"/>
      <c r="H515" s="481" t="str">
        <f>EUconst_EUA</f>
        <v>Квота за емисии</v>
      </c>
      <c r="I515" s="1716"/>
      <c r="J515" s="1717" t="str">
        <f>IF(T571&gt;=$H$2505,S567,I567)</f>
        <v/>
      </c>
      <c r="K515" s="1718" t="str">
        <f t="shared" si="36"/>
        <v/>
      </c>
      <c r="L515" s="1718" t="str">
        <f t="shared" si="37"/>
        <v/>
      </c>
      <c r="M515" s="1718" t="str">
        <f t="shared" si="38"/>
        <v/>
      </c>
      <c r="N515" s="1719" t="str">
        <f t="shared" si="39"/>
        <v/>
      </c>
      <c r="O515" s="698"/>
      <c r="P515" s="729"/>
      <c r="Q515" s="729"/>
      <c r="R515" s="729"/>
      <c r="S515" s="729"/>
      <c r="T515" s="729"/>
      <c r="U515" s="343"/>
      <c r="V515" s="343"/>
    </row>
    <row r="516" spans="1:22" s="364" customFormat="1" ht="12.75" hidden="1" customHeight="1" x14ac:dyDescent="0.3">
      <c r="A516" s="729" t="str">
        <f t="shared" si="35"/>
        <v>ausblenden</v>
      </c>
      <c r="B516" s="302"/>
      <c r="C516" s="357"/>
      <c r="D516" s="1698"/>
      <c r="E516" s="398" t="str">
        <f>Translations!$B$951</f>
        <v>WGflare</v>
      </c>
      <c r="F516" s="398"/>
      <c r="G516" s="398"/>
      <c r="H516" s="516" t="str">
        <f>EUconst_EUA</f>
        <v>Квота за емисии</v>
      </c>
      <c r="I516" s="1720"/>
      <c r="J516" s="1721" t="str">
        <f>IF(T571&gt;=$H$2505,S568,I568)</f>
        <v/>
      </c>
      <c r="K516" s="1722" t="str">
        <f t="shared" si="36"/>
        <v/>
      </c>
      <c r="L516" s="1722" t="str">
        <f t="shared" si="37"/>
        <v/>
      </c>
      <c r="M516" s="1722" t="str">
        <f t="shared" si="38"/>
        <v/>
      </c>
      <c r="N516" s="1723" t="str">
        <f t="shared" si="39"/>
        <v/>
      </c>
      <c r="O516" s="698"/>
      <c r="P516" s="729"/>
      <c r="Q516" s="729"/>
      <c r="R516" s="729"/>
      <c r="S516" s="729"/>
      <c r="T516" s="729"/>
      <c r="U516" s="343"/>
      <c r="V516" s="343"/>
    </row>
    <row r="517" spans="1:22" s="364" customFormat="1" ht="12.75" hidden="1" customHeight="1" x14ac:dyDescent="0.3">
      <c r="A517" s="729" t="str">
        <f t="shared" si="35"/>
        <v>ausblenden</v>
      </c>
      <c r="B517" s="302"/>
      <c r="C517" s="357"/>
      <c r="D517" s="1698"/>
      <c r="E517" s="398" t="s">
        <v>1442</v>
      </c>
      <c r="F517" s="398"/>
      <c r="G517" s="398"/>
      <c r="H517" s="516" t="str">
        <f>EUconst_EUA</f>
        <v>Квота за емисии</v>
      </c>
      <c r="I517" s="1720"/>
      <c r="J517" s="1721" t="str">
        <f>IF(T571&gt;=$H$2505,S569,I569)</f>
        <v/>
      </c>
      <c r="K517" s="1722" t="str">
        <f t="shared" si="36"/>
        <v/>
      </c>
      <c r="L517" s="1722" t="str">
        <f t="shared" si="37"/>
        <v/>
      </c>
      <c r="M517" s="1722" t="str">
        <f t="shared" si="38"/>
        <v/>
      </c>
      <c r="N517" s="1723" t="str">
        <f t="shared" si="39"/>
        <v/>
      </c>
      <c r="O517" s="698"/>
      <c r="P517" s="729"/>
      <c r="Q517" s="729"/>
      <c r="R517" s="729"/>
      <c r="S517" s="729"/>
      <c r="T517" s="729"/>
      <c r="U517" s="343"/>
      <c r="V517" s="343"/>
    </row>
    <row r="518" spans="1:22" s="364" customFormat="1" ht="12.75" hidden="1" customHeight="1" x14ac:dyDescent="0.3">
      <c r="A518" s="729" t="str">
        <f t="shared" si="35"/>
        <v>ausblenden</v>
      </c>
      <c r="B518" s="302"/>
      <c r="C518" s="357"/>
      <c r="D518" s="1698"/>
      <c r="E518" s="401" t="s">
        <v>1443</v>
      </c>
      <c r="F518" s="401"/>
      <c r="G518" s="401"/>
      <c r="H518" s="483" t="s">
        <v>1052</v>
      </c>
      <c r="I518" s="1724"/>
      <c r="J518" s="1725" t="str">
        <f>IF(T571&gt;=$H$2505,S570,I570)</f>
        <v/>
      </c>
      <c r="K518" s="1726" t="str">
        <f>J570</f>
        <v/>
      </c>
      <c r="L518" s="1726" t="str">
        <f>K570</f>
        <v/>
      </c>
      <c r="M518" s="1726" t="str">
        <f>L570</f>
        <v/>
      </c>
      <c r="N518" s="1727" t="str">
        <f>M570</f>
        <v/>
      </c>
      <c r="O518" s="698"/>
      <c r="P518" s="729"/>
      <c r="Q518" s="729"/>
      <c r="R518" s="729"/>
      <c r="S518" s="729"/>
      <c r="T518" s="729"/>
      <c r="U518" s="343"/>
      <c r="V518" s="343"/>
    </row>
    <row r="519" spans="1:22" s="364" customFormat="1" ht="12.75" customHeight="1" x14ac:dyDescent="0.3">
      <c r="A519" s="729"/>
      <c r="B519" s="302"/>
      <c r="C519" s="357"/>
      <c r="D519" s="1698"/>
      <c r="E519" s="388" t="str">
        <f>Translations!$B$1374</f>
        <v>Стойност на предварително разпределяне</v>
      </c>
      <c r="F519" s="388"/>
      <c r="G519" s="388"/>
      <c r="H519" s="421" t="str">
        <f>EUconst_EUA</f>
        <v>Квота за емисии</v>
      </c>
      <c r="I519" s="1728"/>
      <c r="J519" s="1694" t="str">
        <f>IF($I500="","",MAX(0,ROUND((SUM($M503)*SUM(J514)*SUM(J518)-SUM(J515)-SUM(J516)+SUM(J517))*IF($H503=TRUE,1,J$2412)*IF($I503=TRUE,INDEX(EUconst_CBAMFactor,J509-2020),1),0)))</f>
        <v/>
      </c>
      <c r="K519" s="406" t="str">
        <f>IF($I500="","",MAX(0,ROUND((SUM($M503)*SUM(K514)*SUM(K518)-SUM(K515)-SUM(K516)+SUM(K517))*IF($H503=TRUE,1,K$2412)*IF($I503=TRUE,INDEX(EUconst_CBAMFactor,K509-2020),1),0)))</f>
        <v/>
      </c>
      <c r="L519" s="406" t="str">
        <f>IF($I500="","",MAX(0,ROUND((SUM($M503)*SUM(L514)*SUM(L518)-SUM(L515)-SUM(L516)+SUM(L517))*IF($H503=TRUE,1,L$2412)*IF($I503=TRUE,INDEX(EUconst_CBAMFactor,L509-2020),1),0)))</f>
        <v/>
      </c>
      <c r="M519" s="406" t="str">
        <f>IF($I500="","",MAX(0,ROUND((SUM($M503)*SUM(M514)*SUM(M518)-SUM(M515)-SUM(M516)+SUM(M517))*IF($H503=TRUE,1,M$2412)*IF($I503=TRUE,INDEX(EUconst_CBAMFactor,M509-2020),1),0)))</f>
        <v/>
      </c>
      <c r="N519" s="1729" t="str">
        <f>IF($I500="","",MAX(0,ROUND((SUM($M503)*SUM(N514)*SUM(N518)-SUM(N515)-SUM(N516)+SUM(N517))*IF($H503=TRUE,1,N$2412)*IF($I503=TRUE,INDEX(EUconst_CBAMFactor,N509-2020),1),0)))</f>
        <v/>
      </c>
      <c r="O519" s="698"/>
      <c r="P519" s="729"/>
      <c r="Q519" s="729"/>
      <c r="R519" s="729"/>
      <c r="S519" s="729"/>
      <c r="T519" s="729"/>
      <c r="U519" s="343"/>
      <c r="V519" s="343"/>
    </row>
    <row r="520" spans="1:22" s="364" customFormat="1" ht="5.15" customHeight="1" x14ac:dyDescent="0.3">
      <c r="A520" s="729"/>
      <c r="B520" s="302"/>
      <c r="C520" s="357"/>
      <c r="D520" s="1698"/>
      <c r="E520" s="357"/>
      <c r="F520" s="357"/>
      <c r="G520" s="357"/>
      <c r="H520" s="357"/>
      <c r="I520" s="357"/>
      <c r="J520" s="357"/>
      <c r="K520" s="357"/>
      <c r="L520" s="357"/>
      <c r="M520" s="357"/>
      <c r="N520" s="1712"/>
      <c r="O520" s="698"/>
      <c r="P520" s="729"/>
      <c r="Q520" s="729"/>
      <c r="R520" s="729"/>
      <c r="S520" s="729"/>
      <c r="T520" s="729"/>
      <c r="U520" s="343"/>
      <c r="V520" s="343"/>
    </row>
    <row r="521" spans="1:22" s="364" customFormat="1" ht="12.75" customHeight="1" x14ac:dyDescent="0.3">
      <c r="A521" s="729"/>
      <c r="B521" s="302"/>
      <c r="C521" s="357"/>
      <c r="D521" s="1698"/>
      <c r="E521" s="389" t="str">
        <f>Translations!$B$1375</f>
        <v>Промени: Равнище на дейност</v>
      </c>
      <c r="F521" s="498"/>
      <c r="G521" s="498"/>
      <c r="H521" s="527" t="str">
        <f>EUconst_Unit</f>
        <v>Единица мярка</v>
      </c>
      <c r="I521" s="1699"/>
      <c r="J521" s="1523">
        <f>J$2505</f>
        <v>2026</v>
      </c>
      <c r="K521" s="387">
        <f>K$2505</f>
        <v>2027</v>
      </c>
      <c r="L521" s="387">
        <f>L$2505</f>
        <v>2028</v>
      </c>
      <c r="M521" s="387">
        <f>M$2505</f>
        <v>2029</v>
      </c>
      <c r="N521" s="1544">
        <f>N$2505</f>
        <v>2030</v>
      </c>
      <c r="O521" s="698"/>
      <c r="P521" s="729"/>
      <c r="Q521" s="729"/>
      <c r="R521" s="729"/>
      <c r="S521" s="729"/>
      <c r="T521" s="729"/>
      <c r="U521" s="343"/>
      <c r="V521" s="343"/>
    </row>
    <row r="522" spans="1:22" s="364" customFormat="1" ht="12.75" customHeight="1" x14ac:dyDescent="0.3">
      <c r="A522" s="729"/>
      <c r="B522" s="302"/>
      <c r="C522" s="357"/>
      <c r="D522" s="1698"/>
      <c r="E522" s="392" t="str">
        <f>Translations!$B$1328</f>
        <v>Средна годишна стойност</v>
      </c>
      <c r="F522" s="392"/>
      <c r="G522" s="392"/>
      <c r="H522" s="1730" t="str">
        <f>H514</f>
        <v>тона</v>
      </c>
      <c r="I522" s="1731"/>
      <c r="J522" s="1732" t="str">
        <f>INDEX(F_ProductBM!J:J,MATCH($P522,F_ProductBM!$Q:$Q,0))</f>
        <v/>
      </c>
      <c r="K522" s="394" t="str">
        <f>INDEX(F_ProductBM!K:K,MATCH($P522,F_ProductBM!$Q:$Q,0))</f>
        <v/>
      </c>
      <c r="L522" s="394" t="str">
        <f>INDEX(F_ProductBM!L:L,MATCH($P522,F_ProductBM!$Q:$Q,0))</f>
        <v/>
      </c>
      <c r="M522" s="394" t="str">
        <f>INDEX(F_ProductBM!M:M,MATCH($P522,F_ProductBM!$Q:$Q,0))</f>
        <v/>
      </c>
      <c r="N522" s="1733" t="str">
        <f>INDEX(F_ProductBM!N:N,MATCH($P522,F_ProductBM!$Q:$Q,0))</f>
        <v/>
      </c>
      <c r="O522" s="698"/>
      <c r="P522" s="1190" t="str">
        <f>EUconst_CNTR_HALinitial&amp;I500</f>
        <v>HALini_</v>
      </c>
      <c r="Q522" s="729"/>
      <c r="R522" s="729"/>
      <c r="S522" s="729"/>
      <c r="T522" s="729"/>
      <c r="U522" s="343"/>
      <c r="V522" s="343"/>
    </row>
    <row r="523" spans="1:22" s="364" customFormat="1" ht="12.75" customHeight="1" x14ac:dyDescent="0.3">
      <c r="A523" s="729"/>
      <c r="B523" s="302"/>
      <c r="C523" s="357"/>
      <c r="D523" s="1698"/>
      <c r="E523" s="398" t="str">
        <f>Translations!$B$1376</f>
        <v>Промяна в сравнение с HAL</v>
      </c>
      <c r="F523" s="398"/>
      <c r="G523" s="398"/>
      <c r="H523" s="1734" t="s">
        <v>1052</v>
      </c>
      <c r="I523" s="1735"/>
      <c r="J523" s="159" t="str">
        <f>INDEX(F_ProductBM!J:J,MATCH($P523,F_ProductBM!$Q:$Q,0))</f>
        <v/>
      </c>
      <c r="K523" s="160" t="str">
        <f>INDEX(F_ProductBM!K:K,MATCH($P523,F_ProductBM!$Q:$Q,0))</f>
        <v/>
      </c>
      <c r="L523" s="160" t="str">
        <f>INDEX(F_ProductBM!L:L,MATCH($P523,F_ProductBM!$Q:$Q,0))</f>
        <v/>
      </c>
      <c r="M523" s="160" t="str">
        <f>INDEX(F_ProductBM!M:M,MATCH($P523,F_ProductBM!$Q:$Q,0))</f>
        <v/>
      </c>
      <c r="N523" s="161" t="str">
        <f>INDEX(F_ProductBM!N:N,MATCH($P523,F_ProductBM!$Q:$Q,0))</f>
        <v/>
      </c>
      <c r="O523" s="698"/>
      <c r="P523" s="1190" t="str">
        <f>EUconst_CNTR_RelThreshold &amp; P525</f>
        <v>RelThresh_HALprelim_</v>
      </c>
      <c r="Q523" s="729"/>
      <c r="R523" s="729"/>
      <c r="S523" s="729"/>
      <c r="T523" s="729"/>
      <c r="U523" s="343"/>
      <c r="V523" s="343"/>
    </row>
    <row r="524" spans="1:22" s="364" customFormat="1" ht="12.75" customHeight="1" x14ac:dyDescent="0.3">
      <c r="A524" s="729"/>
      <c r="B524" s="302"/>
      <c r="C524" s="357"/>
      <c r="D524" s="1698"/>
      <c r="E524" s="1736" t="str">
        <f>Translations!$B$1368</f>
        <v>Критерий 3a: Надвишени ли са относителните прагове?</v>
      </c>
      <c r="F524" s="1736"/>
      <c r="G524" s="1736"/>
      <c r="H524" s="1737" t="s">
        <v>1052</v>
      </c>
      <c r="I524" s="1738"/>
      <c r="J524" s="1739" t="str">
        <f>INDEX(F_ProductBM!V:V,MATCH($P524,F_ProductBM!$Q:$Q,0)+1)</f>
        <v/>
      </c>
      <c r="K524" s="1740" t="str">
        <f>INDEX(F_ProductBM!W:W,MATCH($P524,F_ProductBM!$Q:$Q,0)+1)</f>
        <v/>
      </c>
      <c r="L524" s="1740" t="str">
        <f>INDEX(F_ProductBM!X:X,MATCH($P524,F_ProductBM!$Q:$Q,0)+1)</f>
        <v/>
      </c>
      <c r="M524" s="1740" t="str">
        <f>INDEX(F_ProductBM!Y:Y,MATCH($P524,F_ProductBM!$Q:$Q,0)+1)</f>
        <v/>
      </c>
      <c r="N524" s="1741" t="str">
        <f>INDEX(F_ProductBM!Z:Z,MATCH($P524,F_ProductBM!$Q:$Q,0)+1)</f>
        <v/>
      </c>
      <c r="O524" s="698"/>
      <c r="P524" s="1190" t="str">
        <f>P523</f>
        <v>RelThresh_HALprelim_</v>
      </c>
      <c r="Q524" s="729"/>
      <c r="R524" s="729"/>
      <c r="S524" s="729"/>
      <c r="T524" s="729"/>
      <c r="U524" s="343"/>
      <c r="V524" s="343"/>
    </row>
    <row r="525" spans="1:22" s="364" customFormat="1" ht="12.75" customHeight="1" x14ac:dyDescent="0.3">
      <c r="A525" s="729" t="str">
        <f t="shared" ref="A525" si="40">IF(P525="","ausblenden","")</f>
        <v/>
      </c>
      <c r="B525" s="302"/>
      <c r="C525" s="357"/>
      <c r="D525" s="1698"/>
      <c r="E525" s="401" t="str">
        <f>Translations!$B$1377</f>
        <v>Предварителна стойност</v>
      </c>
      <c r="F525" s="401"/>
      <c r="G525" s="401"/>
      <c r="H525" s="1742" t="str">
        <f>F506</f>
        <v>тона</v>
      </c>
      <c r="I525" s="401"/>
      <c r="J525" s="1743" t="str">
        <f>INDEX(F_ProductBM!J:J,MATCH($P525,F_ProductBM!$Q:$Q,0))</f>
        <v/>
      </c>
      <c r="K525" s="1744" t="str">
        <f>INDEX(F_ProductBM!K:K,MATCH($P525,F_ProductBM!$Q:$Q,0))</f>
        <v/>
      </c>
      <c r="L525" s="1744" t="str">
        <f>INDEX(F_ProductBM!L:L,MATCH($P525,F_ProductBM!$Q:$Q,0))</f>
        <v/>
      </c>
      <c r="M525" s="1744" t="str">
        <f>INDEX(F_ProductBM!M:M,MATCH($P525,F_ProductBM!$Q:$Q,0))</f>
        <v/>
      </c>
      <c r="N525" s="1745" t="str">
        <f>INDEX(F_ProductBM!N:N,MATCH($P525,F_ProductBM!$Q:$Q,0))</f>
        <v/>
      </c>
      <c r="O525" s="698"/>
      <c r="P525" s="1190" t="str">
        <f>EUconst_CNTR_HALprelim&amp;I500</f>
        <v>HALprelim_</v>
      </c>
      <c r="Q525" s="729"/>
      <c r="R525" s="729"/>
      <c r="S525" s="729"/>
      <c r="T525" s="729"/>
      <c r="U525" s="343"/>
      <c r="V525" s="343"/>
    </row>
    <row r="526" spans="1:22" s="364" customFormat="1" ht="5.15" customHeight="1" x14ac:dyDescent="0.3">
      <c r="A526" s="729"/>
      <c r="B526" s="302"/>
      <c r="C526" s="357"/>
      <c r="D526" s="1698"/>
      <c r="E526" s="302"/>
      <c r="F526" s="302"/>
      <c r="G526" s="302"/>
      <c r="H526" s="302"/>
      <c r="I526" s="1746"/>
      <c r="J526" s="302"/>
      <c r="K526" s="302"/>
      <c r="L526" s="302"/>
      <c r="M526" s="302"/>
      <c r="N526" s="1747"/>
      <c r="O526" s="698"/>
      <c r="P526" s="729"/>
      <c r="Q526" s="729"/>
      <c r="R526" s="729"/>
      <c r="S526" s="729"/>
      <c r="T526" s="729"/>
      <c r="U526" s="343"/>
      <c r="V526" s="343"/>
    </row>
    <row r="527" spans="1:22" s="364" customFormat="1" ht="12.75" customHeight="1" x14ac:dyDescent="0.3">
      <c r="A527" s="729"/>
      <c r="B527" s="302"/>
      <c r="C527" s="357"/>
      <c r="D527" s="1698"/>
      <c r="E527" s="389" t="str">
        <f>Translations!$B$1380</f>
        <v>Промени: Топлинна енергия извън СТЕ</v>
      </c>
      <c r="F527" s="498"/>
      <c r="G527" s="498"/>
      <c r="H527" s="527" t="str">
        <f>EUconst_Unit</f>
        <v>Единица мярка</v>
      </c>
      <c r="I527" s="1699"/>
      <c r="J527" s="1523">
        <f>J$2505</f>
        <v>2026</v>
      </c>
      <c r="K527" s="387">
        <f>K$2505</f>
        <v>2027</v>
      </c>
      <c r="L527" s="387">
        <f>L$2505</f>
        <v>2028</v>
      </c>
      <c r="M527" s="387">
        <f>M$2505</f>
        <v>2029</v>
      </c>
      <c r="N527" s="1544">
        <f>N$2505</f>
        <v>2030</v>
      </c>
      <c r="O527" s="698"/>
      <c r="P527" s="729"/>
      <c r="Q527" s="729"/>
      <c r="R527" s="729"/>
      <c r="S527" s="729"/>
      <c r="T527" s="729"/>
      <c r="U527" s="343"/>
      <c r="V527" s="343"/>
    </row>
    <row r="528" spans="1:22" s="364" customFormat="1" ht="12.75" customHeight="1" x14ac:dyDescent="0.3">
      <c r="A528" s="729"/>
      <c r="B528" s="302"/>
      <c r="C528" s="357"/>
      <c r="D528" s="1698"/>
      <c r="E528" s="392" t="str">
        <f>Translations!$B$1328</f>
        <v>Средна годишна стойност</v>
      </c>
      <c r="F528" s="392"/>
      <c r="G528" s="392"/>
      <c r="H528" s="485" t="str">
        <f>EUconst_EUA</f>
        <v>Квота за емисии</v>
      </c>
      <c r="I528" s="1716"/>
      <c r="J528" s="1732" t="str">
        <f>IF(R506,SUM(INDEX(F_ProductBM!J:J,MATCH($P528,F_ProductBM!$Q:$Q,0))),"")</f>
        <v/>
      </c>
      <c r="K528" s="394" t="str">
        <f>IF(S506,SUM(INDEX(F_ProductBM!K:K,MATCH($P528,F_ProductBM!$Q:$Q,0))),"")</f>
        <v/>
      </c>
      <c r="L528" s="394" t="str">
        <f>IF(T506,SUM(INDEX(F_ProductBM!L:L,MATCH($P528,F_ProductBM!$Q:$Q,0))),"")</f>
        <v/>
      </c>
      <c r="M528" s="394" t="str">
        <f>IF(U506,SUM(INDEX(F_ProductBM!M:M,MATCH($P528,F_ProductBM!$Q:$Q,0))),"")</f>
        <v/>
      </c>
      <c r="N528" s="1733" t="str">
        <f>IF(V506,SUM(INDEX(F_ProductBM!N:N,MATCH($P528,F_ProductBM!$Q:$Q,0))),"")</f>
        <v/>
      </c>
      <c r="O528" s="698"/>
      <c r="P528" s="1190" t="str">
        <f>EUconst_CNTR_HEATInitial &amp; I500</f>
        <v>HEATIni_</v>
      </c>
      <c r="Q528" s="729"/>
      <c r="R528" s="729"/>
      <c r="S528" s="729"/>
      <c r="T528" s="729"/>
      <c r="U528" s="343"/>
      <c r="V528" s="343"/>
    </row>
    <row r="529" spans="1:22" s="364" customFormat="1" ht="12.75" customHeight="1" x14ac:dyDescent="0.3">
      <c r="A529" s="729"/>
      <c r="B529" s="302"/>
      <c r="C529" s="357"/>
      <c r="D529" s="1698"/>
      <c r="E529" s="398" t="str">
        <f>Translations!$B$1378</f>
        <v>Промяна в сравнение със стойността в НМИ</v>
      </c>
      <c r="F529" s="398"/>
      <c r="G529" s="398"/>
      <c r="H529" s="1734" t="s">
        <v>1052</v>
      </c>
      <c r="I529" s="1735"/>
      <c r="J529" s="159" t="str">
        <f>INDEX(F_ProductBM!J:J,MATCH($P529,F_ProductBM!$Q:$Q,0))</f>
        <v/>
      </c>
      <c r="K529" s="160" t="str">
        <f>INDEX(F_ProductBM!K:K,MATCH($P529,F_ProductBM!$Q:$Q,0))</f>
        <v/>
      </c>
      <c r="L529" s="160" t="str">
        <f>INDEX(F_ProductBM!L:L,MATCH($P529,F_ProductBM!$Q:$Q,0))</f>
        <v/>
      </c>
      <c r="M529" s="160" t="str">
        <f>INDEX(F_ProductBM!M:M,MATCH($P529,F_ProductBM!$Q:$Q,0))</f>
        <v/>
      </c>
      <c r="N529" s="161" t="str">
        <f>INDEX(F_ProductBM!N:N,MATCH($P529,F_ProductBM!$Q:$Q,0))</f>
        <v/>
      </c>
      <c r="O529" s="698"/>
      <c r="P529" s="1190" t="str">
        <f>EUconst_CNTR_RelThreshold &amp; P531</f>
        <v>RelThresh_HEATprelim_</v>
      </c>
      <c r="Q529" s="729"/>
      <c r="R529" s="729"/>
      <c r="S529" s="729"/>
      <c r="T529" s="729"/>
      <c r="U529" s="343"/>
      <c r="V529" s="343"/>
    </row>
    <row r="530" spans="1:22" s="364" customFormat="1" ht="12.75" customHeight="1" x14ac:dyDescent="0.3">
      <c r="A530" s="729"/>
      <c r="B530" s="302"/>
      <c r="C530" s="357"/>
      <c r="D530" s="1698"/>
      <c r="E530" s="1736" t="str">
        <f>Translations!$B$1379</f>
        <v>Критерий 3б: Надвишени ли са относителните прагове?</v>
      </c>
      <c r="F530" s="1736"/>
      <c r="G530" s="1736"/>
      <c r="H530" s="1737" t="s">
        <v>1052</v>
      </c>
      <c r="I530" s="1738"/>
      <c r="J530" s="1739" t="str">
        <f>INDEX(F_ProductBM!V:V,MATCH($P530,F_ProductBM!$Q:$Q,0))</f>
        <v/>
      </c>
      <c r="K530" s="1740" t="str">
        <f>INDEX(F_ProductBM!W:W,MATCH($P530,F_ProductBM!$Q:$Q,0))</f>
        <v/>
      </c>
      <c r="L530" s="1740" t="str">
        <f>INDEX(F_ProductBM!X:X,MATCH($P530,F_ProductBM!$Q:$Q,0))</f>
        <v/>
      </c>
      <c r="M530" s="1740" t="str">
        <f>INDEX(F_ProductBM!Y:Y,MATCH($P530,F_ProductBM!$Q:$Q,0))</f>
        <v/>
      </c>
      <c r="N530" s="1741" t="str">
        <f>INDEX(F_ProductBM!Z:Z,MATCH($P530,F_ProductBM!$Q:$Q,0))</f>
        <v/>
      </c>
      <c r="O530" s="698"/>
      <c r="P530" s="1190" t="str">
        <f>P529</f>
        <v>RelThresh_HEATprelim_</v>
      </c>
      <c r="Q530" s="729"/>
      <c r="R530" s="729"/>
      <c r="S530" s="729"/>
      <c r="T530" s="729"/>
      <c r="U530" s="343"/>
      <c r="V530" s="343"/>
    </row>
    <row r="531" spans="1:22" s="364" customFormat="1" ht="12.75" customHeight="1" x14ac:dyDescent="0.3">
      <c r="A531" s="729" t="str">
        <f>IF(P531="","ausblenden","")</f>
        <v/>
      </c>
      <c r="B531" s="302"/>
      <c r="C531" s="357"/>
      <c r="D531" s="1698"/>
      <c r="E531" s="401" t="str">
        <f>Translations!$B$1377</f>
        <v>Предварителна стойност</v>
      </c>
      <c r="F531" s="401"/>
      <c r="G531" s="401"/>
      <c r="H531" s="487" t="str">
        <f>EUconst_EUA</f>
        <v>Квота за емисии</v>
      </c>
      <c r="I531" s="401"/>
      <c r="J531" s="1743" t="str">
        <f>IF($I500="","",INDEX(F_ProductBM!J:J,MATCH($P531,F_ProductBM!$Q:$Q,0)))</f>
        <v/>
      </c>
      <c r="K531" s="1744" t="str">
        <f>IF($I500="","",INDEX(F_ProductBM!K:K,MATCH($P531,F_ProductBM!$Q:$Q,0)))</f>
        <v/>
      </c>
      <c r="L531" s="1744" t="str">
        <f>IF($I500="","",INDEX(F_ProductBM!L:L,MATCH($P531,F_ProductBM!$Q:$Q,0)))</f>
        <v/>
      </c>
      <c r="M531" s="1744" t="str">
        <f>IF($I500="","",INDEX(F_ProductBM!M:M,MATCH($P531,F_ProductBM!$Q:$Q,0)))</f>
        <v/>
      </c>
      <c r="N531" s="1745" t="str">
        <f>IF($I500="","",INDEX(F_ProductBM!N:N,MATCH($P531,F_ProductBM!$Q:$Q,0)))</f>
        <v/>
      </c>
      <c r="O531" s="698"/>
      <c r="P531" s="1190" t="str">
        <f>EUconst_CNTR_HEATprelim&amp;I500</f>
        <v>HEATprelim_</v>
      </c>
      <c r="Q531" s="729"/>
      <c r="R531" s="729"/>
      <c r="S531" s="729"/>
      <c r="T531" s="729"/>
      <c r="U531" s="343"/>
      <c r="V531" s="343"/>
    </row>
    <row r="532" spans="1:22" s="364" customFormat="1" ht="5.15" customHeight="1" x14ac:dyDescent="0.3">
      <c r="A532" s="729"/>
      <c r="B532" s="302"/>
      <c r="C532" s="357"/>
      <c r="D532" s="1698"/>
      <c r="E532" s="302"/>
      <c r="F532" s="302"/>
      <c r="G532" s="302"/>
      <c r="H532" s="302"/>
      <c r="I532" s="1746"/>
      <c r="J532" s="302"/>
      <c r="K532" s="302"/>
      <c r="L532" s="302"/>
      <c r="M532" s="302"/>
      <c r="N532" s="1747"/>
      <c r="O532" s="698"/>
      <c r="P532" s="729"/>
      <c r="Q532" s="729"/>
      <c r="R532" s="729"/>
      <c r="S532" s="729"/>
      <c r="T532" s="729"/>
      <c r="U532" s="343"/>
      <c r="V532" s="343"/>
    </row>
    <row r="533" spans="1:22" s="364" customFormat="1" ht="12.75" customHeight="1" x14ac:dyDescent="0.3">
      <c r="A533" s="729"/>
      <c r="B533" s="302"/>
      <c r="C533" s="357"/>
      <c r="D533" s="1698"/>
      <c r="E533" s="389" t="str">
        <f>Translations!$B$1382</f>
        <v>Промени: Корекция за ценни химически вещества (HVC)</v>
      </c>
      <c r="F533" s="498"/>
      <c r="G533" s="498"/>
      <c r="H533" s="527" t="str">
        <f>EUconst_Unit</f>
        <v>Единица мярка</v>
      </c>
      <c r="I533" s="1699"/>
      <c r="J533" s="1523">
        <f>J$2505</f>
        <v>2026</v>
      </c>
      <c r="K533" s="387">
        <f>K$2505</f>
        <v>2027</v>
      </c>
      <c r="L533" s="387">
        <f>L$2505</f>
        <v>2028</v>
      </c>
      <c r="M533" s="387">
        <f>M$2505</f>
        <v>2029</v>
      </c>
      <c r="N533" s="1544">
        <f>N$2505</f>
        <v>2030</v>
      </c>
      <c r="O533" s="698"/>
      <c r="P533" s="729"/>
      <c r="Q533" s="729"/>
      <c r="R533" s="729"/>
      <c r="S533" s="729"/>
      <c r="T533" s="729"/>
      <c r="U533" s="343"/>
      <c r="V533" s="343"/>
    </row>
    <row r="534" spans="1:22" s="364" customFormat="1" ht="12.75" customHeight="1" x14ac:dyDescent="0.3">
      <c r="A534" s="729"/>
      <c r="B534" s="302"/>
      <c r="C534" s="357"/>
      <c r="D534" s="1698"/>
      <c r="E534" s="392" t="str">
        <f>Translations!$B$1328</f>
        <v>Средна годишна стойност</v>
      </c>
      <c r="F534" s="392"/>
      <c r="G534" s="392"/>
      <c r="H534" s="481" t="str">
        <f>EUconst_EUA</f>
        <v>Квота за емисии</v>
      </c>
      <c r="I534" s="1716"/>
      <c r="J534" s="1748" t="str">
        <f>IF(L503=42,INDEX(H_SpecialBM!J:J,MATCH($P534,H_SpecialBM!$Q:$Q,0)),"")</f>
        <v/>
      </c>
      <c r="K534" s="1749" t="str">
        <f>IF(L503=42,INDEX(H_SpecialBM!K:K,MATCH($P534,H_SpecialBM!$Q:$Q,0)),"")</f>
        <v/>
      </c>
      <c r="L534" s="1749" t="str">
        <f>IF(L503=42,INDEX(H_SpecialBM!L:L,MATCH($P534,H_SpecialBM!$Q:$Q,0)),"")</f>
        <v/>
      </c>
      <c r="M534" s="1749" t="str">
        <f>IF(L503=42,INDEX(H_SpecialBM!M:M,MATCH($P534,H_SpecialBM!$Q:$Q,0)),"")</f>
        <v/>
      </c>
      <c r="N534" s="1750" t="str">
        <f>IF(L503=42,INDEX(H_SpecialBM!N:N,MATCH($P534,H_SpecialBM!$Q:$Q,0)),"")</f>
        <v/>
      </c>
      <c r="O534" s="698"/>
      <c r="P534" s="1190" t="str">
        <f>EUconst_CNTR_HVCInitial &amp; INDEX(EUconst_BMlistNames,MATCH(42,EUconst_BMlistMainNumberOfBM,0))</f>
        <v>HVCIni_Крекинг с водна пара</v>
      </c>
      <c r="Q534" s="729"/>
      <c r="R534" s="729"/>
      <c r="S534" s="729"/>
      <c r="T534" s="729"/>
      <c r="U534" s="343"/>
      <c r="V534" s="343"/>
    </row>
    <row r="535" spans="1:22" s="364" customFormat="1" ht="12.75" customHeight="1" x14ac:dyDescent="0.3">
      <c r="A535" s="729"/>
      <c r="B535" s="302"/>
      <c r="C535" s="357"/>
      <c r="D535" s="1698"/>
      <c r="E535" s="398" t="str">
        <f>Translations!$B$1378</f>
        <v>Промяна в сравнение със стойността в НМИ</v>
      </c>
      <c r="F535" s="398"/>
      <c r="G535" s="398"/>
      <c r="H535" s="1751" t="s">
        <v>1052</v>
      </c>
      <c r="I535" s="1735"/>
      <c r="J535" s="159" t="str">
        <f>IF(L503=42,INDEX(H_SpecialBM!J:J,MATCH($P535,H_SpecialBM!$Q:$Q,0)),"")</f>
        <v/>
      </c>
      <c r="K535" s="160" t="str">
        <f>IF(L503=42,INDEX(H_SpecialBM!K:K,MATCH($P535,H_SpecialBM!$Q:$Q,0)),"")</f>
        <v/>
      </c>
      <c r="L535" s="160" t="str">
        <f>IF(L503=42,INDEX(H_SpecialBM!L:L,MATCH($P535,H_SpecialBM!$Q:$Q,0)),"")</f>
        <v/>
      </c>
      <c r="M535" s="160" t="str">
        <f>IF(L503=42,INDEX(H_SpecialBM!M:M,MATCH($P535,H_SpecialBM!$Q:$Q,0)),"")</f>
        <v/>
      </c>
      <c r="N535" s="161" t="str">
        <f>IF(L503=42,INDEX(H_SpecialBM!N:N,MATCH($P535,H_SpecialBM!$Q:$Q,0)),"")</f>
        <v/>
      </c>
      <c r="O535" s="698"/>
      <c r="P535" s="1190" t="str">
        <f>EUconst_CNTR_RelThreshold &amp; P537</f>
        <v>RelThresh_HVCprelim_</v>
      </c>
      <c r="Q535" s="729"/>
      <c r="R535" s="729"/>
      <c r="S535" s="729"/>
      <c r="T535" s="729"/>
      <c r="U535" s="343"/>
      <c r="V535" s="343"/>
    </row>
    <row r="536" spans="1:22" s="364" customFormat="1" ht="12.75" customHeight="1" x14ac:dyDescent="0.3">
      <c r="A536" s="729"/>
      <c r="B536" s="302"/>
      <c r="C536" s="357"/>
      <c r="D536" s="1698"/>
      <c r="E536" s="1736" t="str">
        <f>Translations!$B$1381</f>
        <v>Критерий 3в: Надвишени ли са относителните прагове?</v>
      </c>
      <c r="F536" s="1736"/>
      <c r="G536" s="1736"/>
      <c r="H536" s="1738" t="s">
        <v>1052</v>
      </c>
      <c r="I536" s="1738"/>
      <c r="J536" s="1739" t="str">
        <f>IF(L503=42,INDEX(H_SpecialBM!V:V,MATCH($P536,H_SpecialBM!$Q:$Q,0)),"")</f>
        <v/>
      </c>
      <c r="K536" s="1740" t="str">
        <f>IF(L503=42,INDEX(H_SpecialBM!W:W,MATCH($P536,H_SpecialBM!$Q:$Q,0)),"")</f>
        <v/>
      </c>
      <c r="L536" s="1740" t="str">
        <f>IF(L503=42,INDEX(H_SpecialBM!X:X,MATCH($P536,H_SpecialBM!$Q:$Q,0)),"")</f>
        <v/>
      </c>
      <c r="M536" s="1740" t="str">
        <f>IF(L503=42,INDEX(H_SpecialBM!Y:Y,MATCH($P536,H_SpecialBM!$Q:$Q,0)),"")</f>
        <v/>
      </c>
      <c r="N536" s="1741" t="str">
        <f>IF(L503=42,INDEX(H_SpecialBM!Z:Z,MATCH($P536,H_SpecialBM!$Q:$Q,0)),"")</f>
        <v/>
      </c>
      <c r="O536" s="698"/>
      <c r="P536" s="1190" t="str">
        <f>P535</f>
        <v>RelThresh_HVCprelim_</v>
      </c>
      <c r="Q536" s="729"/>
      <c r="R536" s="729"/>
      <c r="S536" s="729"/>
      <c r="T536" s="729"/>
      <c r="U536" s="343"/>
      <c r="V536" s="343"/>
    </row>
    <row r="537" spans="1:22" s="364" customFormat="1" ht="12.75" customHeight="1" x14ac:dyDescent="0.3">
      <c r="A537" s="729" t="str">
        <f>IF(P537="","ausblenden","")</f>
        <v/>
      </c>
      <c r="B537" s="302"/>
      <c r="C537" s="357"/>
      <c r="D537" s="1698"/>
      <c r="E537" s="401" t="str">
        <f>Translations!$B$1377</f>
        <v>Предварителна стойност</v>
      </c>
      <c r="F537" s="401"/>
      <c r="G537" s="401"/>
      <c r="H537" s="483" t="str">
        <f>EUconst_EUA</f>
        <v>Квота за емисии</v>
      </c>
      <c r="I537" s="1724"/>
      <c r="J537" s="1752" t="str">
        <f>IF($L503=42,INDEX(H_SpecialBM!J:J,MATCH($P537,H_SpecialBM!$Q:$Q,0)),"")</f>
        <v/>
      </c>
      <c r="K537" s="1753" t="str">
        <f>IF($L503=42,INDEX(H_SpecialBM!K:K,MATCH($P537,H_SpecialBM!$Q:$Q,0)),"")</f>
        <v/>
      </c>
      <c r="L537" s="1753" t="str">
        <f>IF($L503=42,INDEX(H_SpecialBM!L:L,MATCH($P537,H_SpecialBM!$Q:$Q,0)),"")</f>
        <v/>
      </c>
      <c r="M537" s="1753" t="str">
        <f>IF($L503=42,INDEX(H_SpecialBM!M:M,MATCH($P537,H_SpecialBM!$Q:$Q,0)),"")</f>
        <v/>
      </c>
      <c r="N537" s="1754" t="str">
        <f>IF($L503=42,INDEX(H_SpecialBM!N:N,MATCH($P537,H_SpecialBM!$Q:$Q,0)),"")</f>
        <v/>
      </c>
      <c r="O537" s="698"/>
      <c r="P537" s="1190" t="str">
        <f>EUconst_CNTR_HVCprelim</f>
        <v>HVCprelim_</v>
      </c>
      <c r="Q537" s="729"/>
      <c r="R537" s="729"/>
      <c r="S537" s="729"/>
      <c r="T537" s="729"/>
      <c r="U537" s="343"/>
      <c r="V537" s="343"/>
    </row>
    <row r="538" spans="1:22" s="364" customFormat="1" ht="5.15" customHeight="1" x14ac:dyDescent="0.3">
      <c r="A538" s="729"/>
      <c r="B538" s="302"/>
      <c r="C538" s="357"/>
      <c r="D538" s="1698"/>
      <c r="E538" s="302"/>
      <c r="F538" s="302"/>
      <c r="G538" s="302"/>
      <c r="H538" s="302"/>
      <c r="I538" s="1746"/>
      <c r="J538" s="302"/>
      <c r="K538" s="302"/>
      <c r="L538" s="302"/>
      <c r="M538" s="302"/>
      <c r="N538" s="1747"/>
      <c r="O538" s="698"/>
      <c r="P538" s="729"/>
      <c r="Q538" s="729"/>
      <c r="R538" s="729"/>
      <c r="S538" s="729"/>
      <c r="T538" s="729"/>
      <c r="U538" s="343"/>
      <c r="V538" s="343"/>
    </row>
    <row r="539" spans="1:22" s="364" customFormat="1" ht="12.75" customHeight="1" x14ac:dyDescent="0.3">
      <c r="A539" s="729"/>
      <c r="B539" s="302"/>
      <c r="C539" s="357"/>
      <c r="D539" s="1698"/>
      <c r="E539" s="389" t="str">
        <f>Translations!$B$1384</f>
        <v>Промени: Корекция за винилхлориден мономер (VCM)</v>
      </c>
      <c r="F539" s="498"/>
      <c r="G539" s="498"/>
      <c r="H539" s="527" t="str">
        <f>EUconst_Unit</f>
        <v>Единица мярка</v>
      </c>
      <c r="I539" s="1699"/>
      <c r="J539" s="1523">
        <f>J$2505</f>
        <v>2026</v>
      </c>
      <c r="K539" s="387">
        <f>K$2505</f>
        <v>2027</v>
      </c>
      <c r="L539" s="387">
        <f>L$2505</f>
        <v>2028</v>
      </c>
      <c r="M539" s="387">
        <f>M$2505</f>
        <v>2029</v>
      </c>
      <c r="N539" s="1544">
        <f>N$2505</f>
        <v>2030</v>
      </c>
      <c r="O539" s="698"/>
      <c r="P539" s="729"/>
      <c r="Q539" s="729"/>
      <c r="R539" s="729"/>
      <c r="S539" s="729"/>
      <c r="T539" s="729"/>
      <c r="U539" s="343"/>
      <c r="V539" s="343"/>
    </row>
    <row r="540" spans="1:22" s="364" customFormat="1" ht="12.75" customHeight="1" x14ac:dyDescent="0.3">
      <c r="A540" s="729"/>
      <c r="B540" s="302"/>
      <c r="C540" s="357"/>
      <c r="D540" s="1698"/>
      <c r="E540" s="392" t="str">
        <f>Translations!$B$1328</f>
        <v>Средна годишна стойност</v>
      </c>
      <c r="F540" s="392"/>
      <c r="G540" s="392"/>
      <c r="H540" s="485" t="s">
        <v>1052</v>
      </c>
      <c r="I540" s="1716"/>
      <c r="J540" s="1755" t="str">
        <f>IF(L503=47,INDEX(H_SpecialBM!J:J,MATCH($P540,H_SpecialBM!$Q:$Q,0)),"")</f>
        <v/>
      </c>
      <c r="K540" s="1756" t="str">
        <f>IF(L503=47,INDEX(H_SpecialBM!K:K,MATCH($P540,H_SpecialBM!$Q:$Q,0)),"")</f>
        <v/>
      </c>
      <c r="L540" s="1756" t="str">
        <f>IF(L503=47,INDEX(H_SpecialBM!L:L,MATCH($P540,H_SpecialBM!$Q:$Q,0)),"")</f>
        <v/>
      </c>
      <c r="M540" s="1756" t="str">
        <f>IF(L503=47,INDEX(H_SpecialBM!M:M,MATCH($P540,H_SpecialBM!$Q:$Q,0)),"")</f>
        <v/>
      </c>
      <c r="N540" s="1757" t="str">
        <f>IF(L503=47,INDEX(H_SpecialBM!N:N,MATCH($P540,H_SpecialBM!$Q:$Q,0)),"")</f>
        <v/>
      </c>
      <c r="O540" s="698"/>
      <c r="P540" s="1190" t="str">
        <f>EUconst_CNTR_VCMInitial &amp; INDEX(EUconst_BMlistNames,MATCH(47,EUconst_BMlistMainNumberOfBM,0))</f>
        <v>VCMIni_Винилхлориден мономер</v>
      </c>
      <c r="Q540" s="729"/>
      <c r="R540" s="729"/>
      <c r="S540" s="729"/>
      <c r="T540" s="729"/>
      <c r="U540" s="343"/>
      <c r="V540" s="343"/>
    </row>
    <row r="541" spans="1:22" s="364" customFormat="1" ht="12.75" customHeight="1" x14ac:dyDescent="0.3">
      <c r="A541" s="729"/>
      <c r="B541" s="302"/>
      <c r="C541" s="357"/>
      <c r="D541" s="1698"/>
      <c r="E541" s="398" t="str">
        <f>Translations!$B$1378</f>
        <v>Промяна в сравнение със стойността в НМИ</v>
      </c>
      <c r="F541" s="398"/>
      <c r="G541" s="398"/>
      <c r="H541" s="1751" t="s">
        <v>1052</v>
      </c>
      <c r="I541" s="1735"/>
      <c r="J541" s="159" t="str">
        <f>IF(L503=47,INDEX(H_SpecialBM!J:J,MATCH($P541,H_SpecialBM!$Q:$Q,0)),"")</f>
        <v/>
      </c>
      <c r="K541" s="160" t="str">
        <f>IF(L503=47,INDEX(H_SpecialBM!K:K,MATCH($P541,H_SpecialBM!$Q:$Q,0)),"")</f>
        <v/>
      </c>
      <c r="L541" s="160" t="str">
        <f>IF(L503=47,INDEX(H_SpecialBM!L:L,MATCH($P541,H_SpecialBM!$Q:$Q,0)),"")</f>
        <v/>
      </c>
      <c r="M541" s="160" t="str">
        <f>IF(L503=47,INDEX(H_SpecialBM!M:M,MATCH($P541,H_SpecialBM!$Q:$Q,0)),"")</f>
        <v/>
      </c>
      <c r="N541" s="161" t="str">
        <f>IF(L503=47,INDEX(H_SpecialBM!N:N,MATCH($P541,H_SpecialBM!$Q:$Q,0)),"")</f>
        <v/>
      </c>
      <c r="O541" s="698"/>
      <c r="P541" s="1190" t="str">
        <f>EUconst_CNTR_RelThreshold &amp; P543</f>
        <v>RelThresh_VCMprelim_</v>
      </c>
      <c r="Q541" s="729"/>
      <c r="R541" s="729"/>
      <c r="S541" s="729"/>
      <c r="T541" s="729"/>
      <c r="U541" s="343"/>
      <c r="V541" s="343"/>
    </row>
    <row r="542" spans="1:22" s="364" customFormat="1" ht="12.75" customHeight="1" x14ac:dyDescent="0.3">
      <c r="A542" s="729"/>
      <c r="B542" s="302"/>
      <c r="C542" s="357"/>
      <c r="D542" s="1698"/>
      <c r="E542" s="1736" t="str">
        <f>Translations!$B$1383</f>
        <v>Критерий 3г: Надвишени ли са относителните прагове?</v>
      </c>
      <c r="F542" s="1736"/>
      <c r="G542" s="1736"/>
      <c r="H542" s="1738" t="s">
        <v>1052</v>
      </c>
      <c r="I542" s="1738"/>
      <c r="J542" s="1739" t="str">
        <f>IF(L503=47,INDEX(H_SpecialBM!V:V,MATCH($P542,H_SpecialBM!$Q:$Q,0)),"")</f>
        <v/>
      </c>
      <c r="K542" s="1740" t="str">
        <f>IF(L503=47,INDEX(H_SpecialBM!W:W,MATCH($P542,H_SpecialBM!$Q:$Q,0)),"")</f>
        <v/>
      </c>
      <c r="L542" s="1740" t="str">
        <f>IF(L503=47,INDEX(H_SpecialBM!X:X,MATCH($P542,H_SpecialBM!$Q:$Q,0)),"")</f>
        <v/>
      </c>
      <c r="M542" s="1740" t="str">
        <f>IF(L503=47,INDEX(H_SpecialBM!Y:Y,MATCH($P542,H_SpecialBM!$Q:$Q,0)),"")</f>
        <v/>
      </c>
      <c r="N542" s="1741" t="str">
        <f>IF(L503=47,INDEX(H_SpecialBM!Z:Z,MATCH($P542,H_SpecialBM!$Q:$Q,0)),"")</f>
        <v/>
      </c>
      <c r="O542" s="698"/>
      <c r="P542" s="1190" t="str">
        <f>P541</f>
        <v>RelThresh_VCMprelim_</v>
      </c>
      <c r="Q542" s="729"/>
      <c r="R542" s="729"/>
      <c r="S542" s="729"/>
      <c r="T542" s="729"/>
      <c r="U542" s="343"/>
      <c r="V542" s="343"/>
    </row>
    <row r="543" spans="1:22" s="364" customFormat="1" ht="12.75" customHeight="1" x14ac:dyDescent="0.3">
      <c r="A543" s="729" t="str">
        <f>IF(P543="","ausblenden","")</f>
        <v/>
      </c>
      <c r="B543" s="302"/>
      <c r="C543" s="357"/>
      <c r="D543" s="1698"/>
      <c r="E543" s="401" t="str">
        <f>Translations!$B$1377</f>
        <v>Предварителна стойност</v>
      </c>
      <c r="F543" s="401"/>
      <c r="G543" s="401"/>
      <c r="H543" s="483" t="s">
        <v>1052</v>
      </c>
      <c r="I543" s="1724"/>
      <c r="J543" s="1758" t="str">
        <f>IF($L503=47,IF(ISNUMBER(INDEX(H_SpecialBM!J:J,MATCH($P543,H_SpecialBM!$Q:$Q,0))),INDEX(H_SpecialBM!J:J,MATCH($P543,H_SpecialBM!$Q:$Q,0)),1),"")</f>
        <v/>
      </c>
      <c r="K543" s="1759" t="str">
        <f>IF($L503=47,IF(ISNUMBER(INDEX(H_SpecialBM!K:K,MATCH($P543,H_SpecialBM!$Q:$Q,0))),INDEX(H_SpecialBM!K:K,MATCH($P543,H_SpecialBM!$Q:$Q,0)),1),"")</f>
        <v/>
      </c>
      <c r="L543" s="1759" t="str">
        <f>IF($L503=47,IF(ISNUMBER(INDEX(H_SpecialBM!L:L,MATCH($P543,H_SpecialBM!$Q:$Q,0))),INDEX(H_SpecialBM!L:L,MATCH($P543,H_SpecialBM!$Q:$Q,0)),1),"")</f>
        <v/>
      </c>
      <c r="M543" s="1759" t="str">
        <f>IF($L503=47,IF(ISNUMBER(INDEX(H_SpecialBM!M:M,MATCH($P543,H_SpecialBM!$Q:$Q,0))),INDEX(H_SpecialBM!M:M,MATCH($P543,H_SpecialBM!$Q:$Q,0)),1),"")</f>
        <v/>
      </c>
      <c r="N543" s="1760" t="str">
        <f>IF($L503=47,IF(ISNUMBER(INDEX(H_SpecialBM!N:N,MATCH($P543,H_SpecialBM!$Q:$Q,0))),INDEX(H_SpecialBM!N:N,MATCH($P543,H_SpecialBM!$Q:$Q,0)),1),"")</f>
        <v/>
      </c>
      <c r="O543" s="698"/>
      <c r="P543" s="1190" t="str">
        <f>EUconst_CNTR_VCMprelim</f>
        <v>VCMprelim_</v>
      </c>
      <c r="Q543" s="729"/>
      <c r="R543" s="729"/>
      <c r="S543" s="729"/>
      <c r="T543" s="729"/>
      <c r="U543" s="343"/>
      <c r="V543" s="343"/>
    </row>
    <row r="544" spans="1:22" s="364" customFormat="1" ht="5.15" customHeight="1" x14ac:dyDescent="0.3">
      <c r="A544" s="729"/>
      <c r="B544" s="302"/>
      <c r="C544" s="357"/>
      <c r="D544" s="1698"/>
      <c r="E544" s="302"/>
      <c r="F544" s="302"/>
      <c r="G544" s="302"/>
      <c r="H544" s="302"/>
      <c r="I544" s="1746"/>
      <c r="J544" s="302"/>
      <c r="K544" s="302"/>
      <c r="L544" s="302"/>
      <c r="M544" s="302"/>
      <c r="N544" s="1747"/>
      <c r="O544" s="698"/>
      <c r="P544" s="729"/>
      <c r="Q544" s="729"/>
      <c r="R544" s="729"/>
      <c r="S544" s="729"/>
      <c r="T544" s="729"/>
      <c r="U544" s="343"/>
      <c r="V544" s="343"/>
    </row>
    <row r="545" spans="1:22" s="364" customFormat="1" ht="12.75" customHeight="1" x14ac:dyDescent="0.3">
      <c r="A545" s="729"/>
      <c r="B545" s="302"/>
      <c r="C545" s="357"/>
      <c r="D545" s="1698"/>
      <c r="E545" s="389" t="str">
        <f>Translations!$B$1386</f>
        <v>Промени: Изгорен във факел отпаден газ</v>
      </c>
      <c r="F545" s="498"/>
      <c r="G545" s="498"/>
      <c r="H545" s="527" t="str">
        <f>EUconst_Unit</f>
        <v>Единица мярка</v>
      </c>
      <c r="I545" s="1699"/>
      <c r="J545" s="1523">
        <f>J$2505</f>
        <v>2026</v>
      </c>
      <c r="K545" s="387">
        <f>K$2505</f>
        <v>2027</v>
      </c>
      <c r="L545" s="387">
        <f>L$2505</f>
        <v>2028</v>
      </c>
      <c r="M545" s="387">
        <f>M$2505</f>
        <v>2029</v>
      </c>
      <c r="N545" s="1544">
        <f>N$2505</f>
        <v>2030</v>
      </c>
      <c r="O545" s="698"/>
      <c r="P545" s="729"/>
      <c r="Q545" s="729"/>
      <c r="R545" s="729"/>
      <c r="S545" s="729"/>
      <c r="T545" s="729"/>
      <c r="U545" s="343"/>
      <c r="V545" s="343"/>
    </row>
    <row r="546" spans="1:22" s="364" customFormat="1" ht="12.75" customHeight="1" x14ac:dyDescent="0.3">
      <c r="A546" s="729"/>
      <c r="B546" s="302"/>
      <c r="C546" s="357"/>
      <c r="D546" s="1698"/>
      <c r="E546" s="392" t="str">
        <f>Translations!$B$1328</f>
        <v>Средна годишна стойност</v>
      </c>
      <c r="F546" s="392"/>
      <c r="G546" s="392"/>
      <c r="H546" s="485" t="str">
        <f>EUconst_tCO2</f>
        <v>t CO2</v>
      </c>
      <c r="I546" s="1716"/>
      <c r="J546" s="1732" t="str">
        <f>INDEX(F_ProductBM!J:J,MATCH($P546,F_ProductBM!$Q:$Q,0))</f>
        <v/>
      </c>
      <c r="K546" s="394" t="str">
        <f>INDEX(F_ProductBM!K:K,MATCH($P546,F_ProductBM!$Q:$Q,0))</f>
        <v/>
      </c>
      <c r="L546" s="394" t="str">
        <f>INDEX(F_ProductBM!L:L,MATCH($P546,F_ProductBM!$Q:$Q,0))</f>
        <v/>
      </c>
      <c r="M546" s="394" t="str">
        <f>INDEX(F_ProductBM!M:M,MATCH($P546,F_ProductBM!$Q:$Q,0))</f>
        <v/>
      </c>
      <c r="N546" s="1733" t="str">
        <f>INDEX(F_ProductBM!N:N,MATCH($P546,F_ProductBM!$Q:$Q,0))</f>
        <v/>
      </c>
      <c r="O546" s="698"/>
      <c r="P546" s="1190" t="str">
        <f>EUconst_CNTR_HALinitial &amp; EUconst_CNTR_WGFlared &amp; I500</f>
        <v>HALini_WasteGasFlare_</v>
      </c>
      <c r="Q546" s="729"/>
      <c r="R546" s="729"/>
      <c r="S546" s="729"/>
      <c r="T546" s="729"/>
      <c r="U546" s="343"/>
      <c r="V546" s="343"/>
    </row>
    <row r="547" spans="1:22" s="364" customFormat="1" ht="12.75" customHeight="1" x14ac:dyDescent="0.3">
      <c r="A547" s="729"/>
      <c r="B547" s="302"/>
      <c r="C547" s="357"/>
      <c r="D547" s="1698"/>
      <c r="E547" s="398" t="str">
        <f>Translations!$B$1378</f>
        <v>Промяна в сравнение със стойността в НМИ</v>
      </c>
      <c r="F547" s="398"/>
      <c r="G547" s="398"/>
      <c r="H547" s="1734" t="s">
        <v>1052</v>
      </c>
      <c r="I547" s="1735"/>
      <c r="J547" s="159" t="str">
        <f>INDEX(F_ProductBM!J:J,MATCH($P547,F_ProductBM!$Q:$Q,0))</f>
        <v/>
      </c>
      <c r="K547" s="160" t="str">
        <f>INDEX(F_ProductBM!K:K,MATCH($P547,F_ProductBM!$Q:$Q,0))</f>
        <v/>
      </c>
      <c r="L547" s="160" t="str">
        <f>INDEX(F_ProductBM!L:L,MATCH($P547,F_ProductBM!$Q:$Q,0))</f>
        <v/>
      </c>
      <c r="M547" s="160" t="str">
        <f>INDEX(F_ProductBM!M:M,MATCH($P547,F_ProductBM!$Q:$Q,0))</f>
        <v/>
      </c>
      <c r="N547" s="161" t="str">
        <f>INDEX(F_ProductBM!N:N,MATCH($P547,F_ProductBM!$Q:$Q,0))</f>
        <v/>
      </c>
      <c r="O547" s="698"/>
      <c r="P547" s="1190" t="str">
        <f>EUconst_CNTR_RelThreshold &amp; P549</f>
        <v>RelThresh_HALprelim_WasteGasFlare_</v>
      </c>
      <c r="Q547" s="729"/>
      <c r="R547" s="729"/>
      <c r="S547" s="729"/>
      <c r="T547" s="729"/>
      <c r="U547" s="343"/>
      <c r="V547" s="343"/>
    </row>
    <row r="548" spans="1:22" s="364" customFormat="1" ht="12.75" customHeight="1" x14ac:dyDescent="0.3">
      <c r="A548" s="729"/>
      <c r="B548" s="302"/>
      <c r="C548" s="357"/>
      <c r="D548" s="1698"/>
      <c r="E548" s="1736" t="str">
        <f>Translations!$B$1385</f>
        <v>Критерий 3д: Надвишени ли са относителните прагове?</v>
      </c>
      <c r="F548" s="1736"/>
      <c r="G548" s="1736"/>
      <c r="H548" s="1737" t="s">
        <v>1052</v>
      </c>
      <c r="I548" s="1738"/>
      <c r="J548" s="1739" t="str">
        <f>INDEX(F_ProductBM!V:V,MATCH($P548,F_ProductBM!$Q:$Q,0))</f>
        <v/>
      </c>
      <c r="K548" s="1740" t="str">
        <f>INDEX(F_ProductBM!W:W,MATCH($P548,F_ProductBM!$Q:$Q,0))</f>
        <v/>
      </c>
      <c r="L548" s="1740" t="str">
        <f>INDEX(F_ProductBM!X:X,MATCH($P548,F_ProductBM!$Q:$Q,0))</f>
        <v/>
      </c>
      <c r="M548" s="1740" t="str">
        <f>INDEX(F_ProductBM!Y:Y,MATCH($P548,F_ProductBM!$Q:$Q,0))</f>
        <v/>
      </c>
      <c r="N548" s="1741" t="str">
        <f>INDEX(F_ProductBM!Z:Z,MATCH($P548,F_ProductBM!$Q:$Q,0))</f>
        <v/>
      </c>
      <c r="O548" s="698"/>
      <c r="P548" s="1190" t="str">
        <f>P547</f>
        <v>RelThresh_HALprelim_WasteGasFlare_</v>
      </c>
      <c r="Q548" s="729"/>
      <c r="R548" s="729"/>
      <c r="S548" s="729"/>
      <c r="T548" s="729"/>
      <c r="U548" s="343"/>
      <c r="V548" s="343"/>
    </row>
    <row r="549" spans="1:22" s="364" customFormat="1" ht="12.75" customHeight="1" x14ac:dyDescent="0.3">
      <c r="A549" s="729" t="str">
        <f>IF(P549="","ausblenden","")</f>
        <v/>
      </c>
      <c r="B549" s="302"/>
      <c r="C549" s="357"/>
      <c r="D549" s="1698"/>
      <c r="E549" s="401" t="str">
        <f>Translations!$B$1377</f>
        <v>Предварителна стойност</v>
      </c>
      <c r="F549" s="401"/>
      <c r="G549" s="401"/>
      <c r="H549" s="483" t="str">
        <f>EUconst_tCO2</f>
        <v>t CO2</v>
      </c>
      <c r="I549" s="1724"/>
      <c r="J549" s="1743" t="str">
        <f>IF(OR($I500="",CNTR_SubPeriod=1),"",INDEX(F_ProductBM!J:J,MATCH($P549,F_ProductBM!$Q:$Q,0)))</f>
        <v/>
      </c>
      <c r="K549" s="1744" t="str">
        <f>IF(OR($I500="",CNTR_SubPeriod=1),"",INDEX(F_ProductBM!K:K,MATCH($P549,F_ProductBM!$Q:$Q,0)))</f>
        <v/>
      </c>
      <c r="L549" s="1744" t="str">
        <f>IF(OR($I500="",CNTR_SubPeriod=1),"",INDEX(F_ProductBM!L:L,MATCH($P549,F_ProductBM!$Q:$Q,0)))</f>
        <v/>
      </c>
      <c r="M549" s="1744" t="str">
        <f>IF(OR($I500="",CNTR_SubPeriod=1),"",INDEX(F_ProductBM!M:M,MATCH($P549,F_ProductBM!$Q:$Q,0)))</f>
        <v/>
      </c>
      <c r="N549" s="1745" t="str">
        <f>IF(OR($I500="",CNTR_SubPeriod=1),"",INDEX(F_ProductBM!N:N,MATCH($P549,F_ProductBM!$Q:$Q,0)))</f>
        <v/>
      </c>
      <c r="O549" s="698"/>
      <c r="P549" s="1190" t="str">
        <f>EUconst_CNTR_HALprelim&amp;EUconst_CNTR_WGFlared&amp;$I500</f>
        <v>HALprelim_WasteGasFlare_</v>
      </c>
      <c r="Q549" s="729"/>
      <c r="R549" s="729"/>
      <c r="S549" s="729"/>
      <c r="T549" s="729"/>
      <c r="U549" s="343"/>
      <c r="V549" s="343"/>
    </row>
    <row r="550" spans="1:22" s="364" customFormat="1" ht="12.75" customHeight="1" thickBot="1" x14ac:dyDescent="0.35">
      <c r="A550" s="729"/>
      <c r="B550" s="302"/>
      <c r="C550" s="357"/>
      <c r="D550" s="1761"/>
      <c r="E550" s="1762"/>
      <c r="F550" s="1762"/>
      <c r="G550" s="1762"/>
      <c r="H550" s="1762"/>
      <c r="I550" s="1763"/>
      <c r="J550" s="1762"/>
      <c r="K550" s="1762"/>
      <c r="L550" s="1762"/>
      <c r="M550" s="1762"/>
      <c r="N550" s="1764"/>
      <c r="O550" s="698"/>
      <c r="P550" s="729"/>
      <c r="Q550" s="729"/>
      <c r="R550" s="729"/>
      <c r="S550" s="729"/>
      <c r="T550" s="729"/>
      <c r="U550" s="343"/>
      <c r="V550" s="343"/>
    </row>
    <row r="551" spans="1:22" s="364" customFormat="1" ht="5.15" customHeight="1" thickBot="1" x14ac:dyDescent="0.35">
      <c r="A551" s="729"/>
      <c r="B551" s="302"/>
      <c r="C551" s="357"/>
      <c r="D551" s="357"/>
      <c r="E551" s="302"/>
      <c r="F551" s="302"/>
      <c r="G551" s="302"/>
      <c r="H551" s="302"/>
      <c r="I551" s="1746"/>
      <c r="J551" s="302"/>
      <c r="K551" s="302"/>
      <c r="L551" s="302"/>
      <c r="M551" s="302"/>
      <c r="N551" s="302"/>
      <c r="O551" s="698"/>
      <c r="P551" s="729"/>
      <c r="Q551" s="729"/>
      <c r="R551" s="729"/>
      <c r="S551" s="729"/>
      <c r="T551" s="729"/>
      <c r="U551" s="343"/>
      <c r="V551" s="343"/>
    </row>
    <row r="552" spans="1:22" s="364" customFormat="1" ht="5.15" customHeight="1" x14ac:dyDescent="0.25">
      <c r="A552" s="729"/>
      <c r="B552" s="302"/>
      <c r="C552" s="302"/>
      <c r="D552" s="1765"/>
      <c r="E552" s="1766"/>
      <c r="F552" s="1766"/>
      <c r="G552" s="1766"/>
      <c r="H552" s="1766"/>
      <c r="I552" s="1767"/>
      <c r="J552" s="1766"/>
      <c r="K552" s="1766"/>
      <c r="L552" s="1766"/>
      <c r="M552" s="1766"/>
      <c r="N552" s="1768"/>
      <c r="O552" s="698"/>
      <c r="P552" s="729"/>
      <c r="Q552" s="729"/>
      <c r="R552" s="729"/>
      <c r="S552" s="729"/>
      <c r="T552" s="770"/>
      <c r="U552" s="343"/>
      <c r="V552" s="343"/>
    </row>
    <row r="553" spans="1:22" s="364" customFormat="1" ht="13" x14ac:dyDescent="0.25">
      <c r="A553" s="729"/>
      <c r="B553" s="302"/>
      <c r="C553" s="302"/>
      <c r="D553" s="344"/>
      <c r="E553" s="1769" t="str">
        <f>Translations!$B$1583</f>
        <v>Предварителни стойности за критерий &gt; 300 EUA</v>
      </c>
      <c r="F553" s="1746"/>
      <c r="G553" s="1746"/>
      <c r="H553" s="1699" t="str">
        <f>EUconst_Unit</f>
        <v>Единица мярка</v>
      </c>
      <c r="I553" s="1770" t="str">
        <f>Translations!$B$1341</f>
        <v>Базова стойност</v>
      </c>
      <c r="J553" s="1771">
        <f>J$2505</f>
        <v>2026</v>
      </c>
      <c r="K553" s="1772">
        <f>K$2505</f>
        <v>2027</v>
      </c>
      <c r="L553" s="1772">
        <f>L$2505</f>
        <v>2028</v>
      </c>
      <c r="M553" s="1772">
        <f>M$2505</f>
        <v>2029</v>
      </c>
      <c r="N553" s="1773">
        <f>N$2505</f>
        <v>2030</v>
      </c>
      <c r="O553" s="698"/>
      <c r="P553" s="729"/>
      <c r="Q553" s="729"/>
      <c r="R553" s="729"/>
      <c r="S553" s="729"/>
      <c r="T553" s="729"/>
      <c r="U553" s="729"/>
      <c r="V553" s="729"/>
    </row>
    <row r="554" spans="1:22" s="364" customFormat="1" x14ac:dyDescent="0.25">
      <c r="A554" s="729"/>
      <c r="B554" s="302"/>
      <c r="C554" s="302"/>
      <c r="D554" s="344"/>
      <c r="E554" s="1774" t="str">
        <f>Translations!$B$1388</f>
        <v>Равнище на дейност</v>
      </c>
      <c r="F554" s="1774"/>
      <c r="G554" s="1774"/>
      <c r="H554" s="1775" t="str">
        <f>F506</f>
        <v>тона</v>
      </c>
      <c r="I554" s="1776" t="str">
        <f>IF($I500="","",IF(T571&gt;=$H$2505,0,S566))</f>
        <v/>
      </c>
      <c r="J554" s="1717" t="str">
        <f>IF($I500="","",INDEX(F_ProductBM!J:J,MATCH($P554,F_ProductBM!$Q:$Q,0)))</f>
        <v/>
      </c>
      <c r="K554" s="1718" t="str">
        <f>IF($I500="","",INDEX(F_ProductBM!K:K,MATCH($P554,F_ProductBM!$Q:$Q,0)))</f>
        <v/>
      </c>
      <c r="L554" s="1718" t="str">
        <f>IF($I500="","",INDEX(F_ProductBM!L:L,MATCH($P554,F_ProductBM!$Q:$Q,0)))</f>
        <v/>
      </c>
      <c r="M554" s="1718" t="str">
        <f>IF($I500="","",INDEX(F_ProductBM!M:M,MATCH($P554,F_ProductBM!$Q:$Q,0)))</f>
        <v/>
      </c>
      <c r="N554" s="1719" t="str">
        <f>IF($I500="","",INDEX(F_ProductBM!N:N,MATCH($P554,F_ProductBM!$Q:$Q,0)))</f>
        <v/>
      </c>
      <c r="O554" s="698"/>
      <c r="P554" s="1190" t="str">
        <f>EUconst_CNTR_HALprelim&amp;I500</f>
        <v>HALprelim_</v>
      </c>
      <c r="Q554" s="729"/>
      <c r="R554" s="729"/>
      <c r="S554" s="729"/>
      <c r="T554" s="729"/>
      <c r="U554" s="729"/>
      <c r="V554" s="729"/>
    </row>
    <row r="555" spans="1:22" s="364" customFormat="1" x14ac:dyDescent="0.25">
      <c r="A555" s="729"/>
      <c r="B555" s="302"/>
      <c r="C555" s="302"/>
      <c r="D555" s="344"/>
      <c r="E555" s="1777" t="str">
        <f>Translations!$B$949</f>
        <v>топл. ен. извън СТЕ</v>
      </c>
      <c r="F555" s="1777"/>
      <c r="G555" s="1777"/>
      <c r="H555" s="1778" t="str">
        <f>EUconst_EUA</f>
        <v>Квота за емисии</v>
      </c>
      <c r="I555" s="1779" t="str">
        <f>IF($I500="","",IF(YEAR(J503)&gt;=$H$2505-1,0,S567))</f>
        <v/>
      </c>
      <c r="J555" s="1780" t="str">
        <f>IF($I$500="","",INDEX(F_ProductBM!J:J,MATCH($P555,F_ProductBM!$Q:$Q,0)))</f>
        <v/>
      </c>
      <c r="K555" s="1781" t="str">
        <f>IF($I$500="","",INDEX(F_ProductBM!K:K,MATCH($P555,F_ProductBM!$Q:$Q,0)))</f>
        <v/>
      </c>
      <c r="L555" s="1781" t="str">
        <f>IF($I$500="","",INDEX(F_ProductBM!L:L,MATCH($P555,F_ProductBM!$Q:$Q,0)))</f>
        <v/>
      </c>
      <c r="M555" s="1781" t="str">
        <f>IF($I$500="","",INDEX(F_ProductBM!M:M,MATCH($P555,F_ProductBM!$Q:$Q,0)))</f>
        <v/>
      </c>
      <c r="N555" s="1782" t="str">
        <f>IF($I$500="","",INDEX(F_ProductBM!N:N,MATCH($P555,F_ProductBM!$Q:$Q,0)))</f>
        <v/>
      </c>
      <c r="O555" s="698"/>
      <c r="P555" s="1190" t="str">
        <f>EUconst_CNTR_HEATprelim&amp;I500</f>
        <v>HEATprelim_</v>
      </c>
      <c r="Q555" s="729"/>
      <c r="R555" s="729"/>
      <c r="S555" s="729"/>
      <c r="T555" s="729"/>
      <c r="U555" s="729"/>
      <c r="V555" s="729"/>
    </row>
    <row r="556" spans="1:22" s="364" customFormat="1" x14ac:dyDescent="0.25">
      <c r="A556" s="729"/>
      <c r="B556" s="302"/>
      <c r="C556" s="302"/>
      <c r="D556" s="344"/>
      <c r="E556" s="1783" t="str">
        <f>Translations!$B$951</f>
        <v>WGflare</v>
      </c>
      <c r="F556" s="1783"/>
      <c r="G556" s="1783"/>
      <c r="H556" s="1784" t="str">
        <f>EUconst_EUA</f>
        <v>Квота за емисии</v>
      </c>
      <c r="I556" s="1785" t="str">
        <f>IF($I500="","",IF(T571&gt;=$H$2505,0,S568))</f>
        <v/>
      </c>
      <c r="J556" s="1721" t="str">
        <f>IF($I500="","",INDEX(F_ProductBM!J:J,MATCH($P556,F_ProductBM!$Q:$Q,0)))</f>
        <v/>
      </c>
      <c r="K556" s="1722" t="str">
        <f>IF($I500="","",INDEX(F_ProductBM!K:K,MATCH($P556,F_ProductBM!$Q:$Q,0)))</f>
        <v/>
      </c>
      <c r="L556" s="1722" t="str">
        <f>IF($I500="","",INDEX(F_ProductBM!L:L,MATCH($P556,F_ProductBM!$Q:$Q,0)))</f>
        <v/>
      </c>
      <c r="M556" s="1722" t="str">
        <f>IF($I500="","",INDEX(F_ProductBM!M:M,MATCH($P556,F_ProductBM!$Q:$Q,0)))</f>
        <v/>
      </c>
      <c r="N556" s="1723" t="str">
        <f>IF($I500="","",INDEX(F_ProductBM!N:N,MATCH($P556,F_ProductBM!$Q:$Q,0)))</f>
        <v/>
      </c>
      <c r="O556" s="698"/>
      <c r="P556" s="1190" t="str">
        <f>EUconst_CNTR_HALprelim&amp;EUconst_CNTR_WGFlared&amp;$I500</f>
        <v>HALprelim_WasteGasFlare_</v>
      </c>
      <c r="Q556" s="729"/>
      <c r="R556" s="729"/>
      <c r="S556" s="729"/>
      <c r="T556" s="729"/>
      <c r="U556" s="729"/>
      <c r="V556" s="729"/>
    </row>
    <row r="557" spans="1:22" s="364" customFormat="1" x14ac:dyDescent="0.25">
      <c r="A557" s="729"/>
      <c r="B557" s="302"/>
      <c r="C557" s="302"/>
      <c r="D557" s="344"/>
      <c r="E557" s="1783" t="s">
        <v>1442</v>
      </c>
      <c r="F557" s="1783"/>
      <c r="G557" s="1783"/>
      <c r="H557" s="1784" t="str">
        <f>EUconst_EUA</f>
        <v>Квота за емисии</v>
      </c>
      <c r="I557" s="1785" t="str">
        <f>IF($I500="","",IF(T571&gt;=$H$2505,0,IF(L503=42,S569,0)))</f>
        <v/>
      </c>
      <c r="J557" s="1721" t="str">
        <f>IF($I500="","",IF($L503=42,INDEX(H_SpecialBM!J:J,MATCH($P557,H_SpecialBM!$Q:$Q,0)),0))</f>
        <v/>
      </c>
      <c r="K557" s="1722" t="str">
        <f>IF($I500="","",IF($L503=42,INDEX(H_SpecialBM!K:K,MATCH($P557,H_SpecialBM!$Q:$Q,0)),0))</f>
        <v/>
      </c>
      <c r="L557" s="1722" t="str">
        <f>IF($I500="","",IF($L503=42,INDEX(H_SpecialBM!L:L,MATCH($P557,H_SpecialBM!$Q:$Q,0)),0))</f>
        <v/>
      </c>
      <c r="M557" s="1722" t="str">
        <f>IF($I500="","",IF($L503=42,INDEX(H_SpecialBM!M:M,MATCH($P557,H_SpecialBM!$Q:$Q,0)),0))</f>
        <v/>
      </c>
      <c r="N557" s="1723" t="str">
        <f>IF($I500="","",IF($L503=42,INDEX(H_SpecialBM!N:N,MATCH($P557,H_SpecialBM!$Q:$Q,0)),0))</f>
        <v/>
      </c>
      <c r="O557" s="698"/>
      <c r="P557" s="1190" t="str">
        <f>EUconst_CNTR_HVCprelim</f>
        <v>HVCprelim_</v>
      </c>
      <c r="Q557" s="729"/>
      <c r="R557" s="729"/>
      <c r="S557" s="729"/>
      <c r="T557" s="729"/>
      <c r="U557" s="729"/>
      <c r="V557" s="729"/>
    </row>
    <row r="558" spans="1:22" s="364" customFormat="1" x14ac:dyDescent="0.25">
      <c r="A558" s="729"/>
      <c r="B558" s="302"/>
      <c r="C558" s="302"/>
      <c r="D558" s="344"/>
      <c r="E558" s="1786" t="s">
        <v>1443</v>
      </c>
      <c r="F558" s="1786"/>
      <c r="G558" s="1786"/>
      <c r="H558" s="1787" t="s">
        <v>1052</v>
      </c>
      <c r="I558" s="1788" t="str">
        <f>IF($I500="","",IF($L503=47,IF(AND(ISNUMBER(S570),YEAR(J503)&lt;$J$2505),S570,1),1))</f>
        <v/>
      </c>
      <c r="J558" s="1725" t="str">
        <f>IF($I500="","",IF($L503=47,IF(ISNUMBER(INDEX(H_SpecialBM!J:J,MATCH($P558,H_SpecialBM!$Q:$Q,0))),INDEX(H_SpecialBM!J:J,MATCH($P558,H_SpecialBM!$Q:$Q,0)),1),1))</f>
        <v/>
      </c>
      <c r="K558" s="1726" t="str">
        <f>IF($I500="","",IF($L503=47,IF(ISNUMBER(INDEX(H_SpecialBM!K:K,MATCH($P558,H_SpecialBM!$Q:$Q,0))),INDEX(H_SpecialBM!K:K,MATCH($P558,H_SpecialBM!$Q:$Q,0)),1),1))</f>
        <v/>
      </c>
      <c r="L558" s="1726" t="str">
        <f>IF($I500="","",IF($L503=47,IF(ISNUMBER(INDEX(H_SpecialBM!L:L,MATCH($P558,H_SpecialBM!$Q:$Q,0))),INDEX(H_SpecialBM!L:L,MATCH($P558,H_SpecialBM!$Q:$Q,0)),1),1))</f>
        <v/>
      </c>
      <c r="M558" s="1726" t="str">
        <f>IF($I500="","",IF($L503=47,IF(ISNUMBER(INDEX(H_SpecialBM!M:M,MATCH($P558,H_SpecialBM!$Q:$Q,0))),INDEX(H_SpecialBM!M:M,MATCH($P558,H_SpecialBM!$Q:$Q,0)),1),1))</f>
        <v/>
      </c>
      <c r="N558" s="1727" t="str">
        <f>IF($I500="","",IF($L503=47,IF(ISNUMBER(INDEX(H_SpecialBM!N:N,MATCH($P558,H_SpecialBM!$Q:$Q,0))),INDEX(H_SpecialBM!N:N,MATCH($P558,H_SpecialBM!$Q:$Q,0)),1),1))</f>
        <v/>
      </c>
      <c r="O558" s="698"/>
      <c r="P558" s="1190" t="str">
        <f>EUconst_CNTR_VCMprelim</f>
        <v>VCMprelim_</v>
      </c>
      <c r="Q558" s="729"/>
      <c r="R558" s="729"/>
      <c r="S558" s="729"/>
      <c r="T558" s="729"/>
      <c r="U558" s="729"/>
      <c r="V558" s="729"/>
    </row>
    <row r="559" spans="1:22" s="364" customFormat="1" x14ac:dyDescent="0.25">
      <c r="A559" s="729"/>
      <c r="B559" s="302"/>
      <c r="C559" s="302"/>
      <c r="D559" s="344"/>
      <c r="E559" s="1789" t="str">
        <f>Translations!$B$1377</f>
        <v>Предварителна стойност</v>
      </c>
      <c r="F559" s="1789"/>
      <c r="G559" s="1789"/>
      <c r="H559" s="1790" t="str">
        <f>EUconst_EUA</f>
        <v>Квота за емисии</v>
      </c>
      <c r="I559" s="1791" t="str">
        <f>IF($I500="","",MAX(0,ROUND((SUM($M503)*SUM(I554)*SUM(I558)-SUM(I555)-SUM(I556)+SUM(I557))*IF($H503=TRUE,1,J$2412),0)))</f>
        <v/>
      </c>
      <c r="J559" s="1714" t="str">
        <f>IF($I500="","",MAX(0,ROUND((SUM($M503)*SUM(J554)*SUM(J558)-SUM(J555)-SUM(J556)+SUM(J557))*IF($H503=TRUE,1,J$2412)*IF($I503=TRUE,INDEX(EUconst_CBAMFactor,J509-2020),1),0)))</f>
        <v/>
      </c>
      <c r="K559" s="1693" t="str">
        <f>IF($I500="","",MAX(0,ROUND((SUM($M503)*SUM(K554)*SUM(K558)-SUM(K555)-SUM(K556)+SUM(K557))*IF($H503=TRUE,1,K$2412)*IF($I503=TRUE,INDEX(EUconst_CBAMFactor,K509-2020),1),0)))</f>
        <v/>
      </c>
      <c r="L559" s="1693" t="str">
        <f>IF($I500="","",MAX(0,ROUND((SUM($M503)*SUM(L554)*SUM(L558)-SUM(L555)-SUM(L556)+SUM(L557))*IF($H503=TRUE,1,L$2412)*IF($I503=TRUE,INDEX(EUconst_CBAMFactor,L509-2020),1),0)))</f>
        <v/>
      </c>
      <c r="M559" s="1693" t="str">
        <f>IF($I500="","",MAX(0,ROUND((SUM($M503)*SUM(M554)*SUM(M558)-SUM(M555)-SUM(M556)+SUM(M557))*IF($H503=TRUE,1,M$2412)*IF($I503=TRUE,INDEX(EUconst_CBAMFactor,M509-2020),1),0)))</f>
        <v/>
      </c>
      <c r="N559" s="1715" t="str">
        <f>IF($I500="","",MAX(0,ROUND((SUM($M503)*SUM(N554)*SUM(N558)-SUM(N555)-SUM(N556)+SUM(N557))*IF($H503=TRUE,1,N$2412)*IF($I503=TRUE,INDEX(EUconst_CBAMFactor,N509-2020),1),0)))</f>
        <v/>
      </c>
      <c r="O559" s="698"/>
      <c r="P559" s="729"/>
      <c r="Q559" s="729"/>
      <c r="R559" s="729"/>
      <c r="S559" s="729"/>
      <c r="T559" s="729"/>
      <c r="U559" s="729"/>
      <c r="V559" s="729"/>
    </row>
    <row r="560" spans="1:22" s="364" customFormat="1" x14ac:dyDescent="0.25">
      <c r="A560" s="729"/>
      <c r="B560" s="302"/>
      <c r="C560" s="302"/>
      <c r="D560" s="344"/>
      <c r="E560" s="388" t="str">
        <f>Translations!$B$1584</f>
        <v>Разлика в предварителната стойност</v>
      </c>
      <c r="F560" s="388"/>
      <c r="G560" s="388"/>
      <c r="H560" s="421" t="str">
        <f>EUconst_EUA</f>
        <v>Квота за емисии</v>
      </c>
      <c r="I560" s="1792"/>
      <c r="J560" s="1793" t="str">
        <f>IF(J559="","",SUM(J559)-SUM(J519))</f>
        <v/>
      </c>
      <c r="K560" s="998" t="str">
        <f t="shared" ref="K560" si="41">IF(K559="","",SUM(K559)-SUM(K519))</f>
        <v/>
      </c>
      <c r="L560" s="998" t="str">
        <f t="shared" ref="L560:N560" si="42">IF(L559="","",SUM(L559)-SUM(L519))</f>
        <v/>
      </c>
      <c r="M560" s="998" t="str">
        <f t="shared" si="42"/>
        <v/>
      </c>
      <c r="N560" s="1794" t="str">
        <f t="shared" si="42"/>
        <v/>
      </c>
      <c r="O560" s="698"/>
      <c r="P560" s="729"/>
      <c r="Q560" s="729"/>
      <c r="R560" s="729"/>
      <c r="S560" s="1795"/>
      <c r="T560" s="1165"/>
      <c r="U560" s="711"/>
      <c r="V560" s="343"/>
    </row>
    <row r="561" spans="1:22" s="364" customFormat="1" x14ac:dyDescent="0.25">
      <c r="A561" s="729"/>
      <c r="B561" s="302"/>
      <c r="C561" s="302"/>
      <c r="D561" s="344"/>
      <c r="E561" s="1796" t="str">
        <f>Translations!$B$1581</f>
        <v>Критерий 4: Разлика от поне 300 квоти за емисии?</v>
      </c>
      <c r="F561" s="1796"/>
      <c r="G561" s="1796"/>
      <c r="H561" s="1797" t="s">
        <v>1052</v>
      </c>
      <c r="I561" s="1792"/>
      <c r="J561" s="1798" t="str">
        <f>IF(J560="","",ABS(J560)&gt;=300)</f>
        <v/>
      </c>
      <c r="K561" s="1799" t="str">
        <f t="shared" ref="K561:N561" si="43">IF(K560="","",ABS(K560)&gt;=300)</f>
        <v/>
      </c>
      <c r="L561" s="1799" t="str">
        <f t="shared" si="43"/>
        <v/>
      </c>
      <c r="M561" s="1799" t="str">
        <f t="shared" si="43"/>
        <v/>
      </c>
      <c r="N561" s="1800" t="str">
        <f t="shared" si="43"/>
        <v/>
      </c>
      <c r="O561" s="698"/>
      <c r="P561" s="1190" t="str">
        <f>EUconst_CNTR_300EUA&amp;I500</f>
        <v>EUA300_</v>
      </c>
      <c r="Q561" s="1174" t="s">
        <v>2547</v>
      </c>
      <c r="R561" s="280" t="str">
        <f>IF($I500="","",IF(R505&gt;$U503,0%,INDEX(F_ProductBM!V:V,MATCH($P561,F_ProductBM!$Q:$Q,0))))</f>
        <v/>
      </c>
      <c r="S561" s="280" t="str">
        <f>IF($I500="","",IF(S505&gt;$U503,0%,INDEX(F_ProductBM!W:W,MATCH($P561,F_ProductBM!$Q:$Q,0))))</f>
        <v/>
      </c>
      <c r="T561" s="280" t="str">
        <f>IF($I500="","",IF(T505&gt;$U503,0%,INDEX(F_ProductBM!X:X,MATCH($P561,F_ProductBM!$Q:$Q,0))))</f>
        <v/>
      </c>
      <c r="U561" s="280" t="str">
        <f>IF($I500="","",IF(U505&gt;$U503,0%,INDEX(F_ProductBM!Y:Y,MATCH($P561,F_ProductBM!$Q:$Q,0))))</f>
        <v/>
      </c>
      <c r="V561" s="280" t="str">
        <f>IF($I500="","",IF(V505&gt;$U503,0%,INDEX(F_ProductBM!Z:Z,MATCH($P561,F_ProductBM!$Q:$Q,0))))</f>
        <v/>
      </c>
    </row>
    <row r="562" spans="1:22" s="364" customFormat="1" ht="5.15" customHeight="1" thickBot="1" x14ac:dyDescent="0.3">
      <c r="A562" s="729"/>
      <c r="B562" s="302"/>
      <c r="C562" s="302"/>
      <c r="D562" s="1801"/>
      <c r="E562" s="1762"/>
      <c r="F562" s="1762"/>
      <c r="G562" s="1762"/>
      <c r="H562" s="1762"/>
      <c r="I562" s="1762"/>
      <c r="J562" s="1762"/>
      <c r="K562" s="1762"/>
      <c r="L562" s="1762"/>
      <c r="M562" s="1762"/>
      <c r="N562" s="1764"/>
      <c r="O562" s="698"/>
      <c r="P562" s="729"/>
      <c r="Q562" s="729"/>
      <c r="R562" s="729"/>
      <c r="S562" s="729"/>
      <c r="T562" s="729"/>
      <c r="U562" s="343"/>
      <c r="V562" s="343"/>
    </row>
    <row r="563" spans="1:22" s="364" customFormat="1" ht="5.15" customHeight="1" thickBot="1" x14ac:dyDescent="0.35">
      <c r="A563" s="729"/>
      <c r="B563" s="302"/>
      <c r="C563" s="357"/>
      <c r="D563" s="357"/>
      <c r="E563" s="302"/>
      <c r="F563" s="302"/>
      <c r="G563" s="302"/>
      <c r="H563" s="302"/>
      <c r="I563" s="1746"/>
      <c r="J563" s="302"/>
      <c r="K563" s="302"/>
      <c r="L563" s="302"/>
      <c r="M563" s="302"/>
      <c r="N563" s="302"/>
      <c r="O563" s="698"/>
      <c r="P563" s="729"/>
      <c r="Q563" s="729"/>
      <c r="R563" s="729"/>
      <c r="S563" s="729"/>
      <c r="T563" s="729"/>
      <c r="U563" s="343"/>
      <c r="V563" s="343"/>
    </row>
    <row r="564" spans="1:22" s="364" customFormat="1" ht="5.15" customHeight="1" x14ac:dyDescent="0.25">
      <c r="A564" s="729"/>
      <c r="B564" s="302"/>
      <c r="C564" s="302"/>
      <c r="D564" s="1765"/>
      <c r="E564" s="1766"/>
      <c r="F564" s="1766"/>
      <c r="G564" s="1766"/>
      <c r="H564" s="1766"/>
      <c r="I564" s="1767"/>
      <c r="J564" s="1766"/>
      <c r="K564" s="1766"/>
      <c r="L564" s="1766"/>
      <c r="M564" s="1766"/>
      <c r="N564" s="1768"/>
      <c r="O564" s="698"/>
      <c r="P564" s="729"/>
      <c r="Q564" s="729"/>
      <c r="R564" s="729"/>
      <c r="S564" s="729"/>
      <c r="T564" s="770"/>
      <c r="U564" s="343"/>
      <c r="V564" s="343"/>
    </row>
    <row r="565" spans="1:22" s="364" customFormat="1" ht="13" x14ac:dyDescent="0.25">
      <c r="A565" s="729"/>
      <c r="B565" s="302"/>
      <c r="C565" s="302"/>
      <c r="D565" s="344"/>
      <c r="E565" s="313" t="str">
        <f>Translations!$B$1387</f>
        <v>Използвани действителни стойности</v>
      </c>
      <c r="F565" s="302"/>
      <c r="G565" s="302"/>
      <c r="H565" s="527" t="str">
        <f>EUconst_Unit</f>
        <v>Единица мярка</v>
      </c>
      <c r="I565" s="1802" t="str">
        <f>Translations!$B$1341</f>
        <v>Базова стойност</v>
      </c>
      <c r="J565" s="1523">
        <f>J$2505</f>
        <v>2026</v>
      </c>
      <c r="K565" s="387">
        <f>K$2505</f>
        <v>2027</v>
      </c>
      <c r="L565" s="387">
        <f>L$2505</f>
        <v>2028</v>
      </c>
      <c r="M565" s="387">
        <f>M$2505</f>
        <v>2029</v>
      </c>
      <c r="N565" s="1544">
        <f>N$2505</f>
        <v>2030</v>
      </c>
      <c r="O565" s="698"/>
      <c r="P565" s="729"/>
      <c r="Q565" s="729"/>
      <c r="R565" s="729"/>
      <c r="S565" s="1519" t="str">
        <f>Translations!$B$1284</f>
        <v>HAL</v>
      </c>
      <c r="T565" s="770"/>
      <c r="U565" s="343"/>
      <c r="V565" s="343"/>
    </row>
    <row r="566" spans="1:22" s="364" customFormat="1" x14ac:dyDescent="0.25">
      <c r="A566" s="729"/>
      <c r="B566" s="302"/>
      <c r="C566" s="302"/>
      <c r="D566" s="344"/>
      <c r="E566" s="392" t="str">
        <f>Translations!$B$1388</f>
        <v>Равнище на дейност</v>
      </c>
      <c r="F566" s="392"/>
      <c r="G566" s="392"/>
      <c r="H566" s="1730" t="str">
        <f>H554</f>
        <v>тона</v>
      </c>
      <c r="I566" s="1776" t="str">
        <f>IF($I500="","",IF(T571&gt;=$H$2504,0,S566))</f>
        <v/>
      </c>
      <c r="J566" s="1732" t="str">
        <f>IF($I500="","",INDEX(F_ProductBM!J:J,MATCH($P566,F_ProductBM!$Q:$Q,0)))</f>
        <v/>
      </c>
      <c r="K566" s="394" t="str">
        <f>IF($I500="","",INDEX(F_ProductBM!K:K,MATCH($P566,F_ProductBM!$Q:$Q,0)))</f>
        <v/>
      </c>
      <c r="L566" s="394" t="str">
        <f>IF($I500="","",INDEX(F_ProductBM!L:L,MATCH($P566,F_ProductBM!$Q:$Q,0)))</f>
        <v/>
      </c>
      <c r="M566" s="394" t="str">
        <f>IF($I500="","",INDEX(F_ProductBM!M:M,MATCH($P566,F_ProductBM!$Q:$Q,0)))</f>
        <v/>
      </c>
      <c r="N566" s="1733" t="str">
        <f>IF($I500="","",INDEX(F_ProductBM!N:N,MATCH($P566,F_ProductBM!$Q:$Q,0)))</f>
        <v/>
      </c>
      <c r="O566" s="698"/>
      <c r="P566" s="1190" t="str">
        <f>EUconst_CNTR_HALfinal&amp;I500</f>
        <v>HALfinal_</v>
      </c>
      <c r="Q566" s="729"/>
      <c r="R566" s="729"/>
      <c r="S566" s="1803" t="str">
        <f>IF($I500="","",INDEX(F_ProductBM!I:I,MATCH($P566,F_ProductBM!$Q:$Q,0)))</f>
        <v/>
      </c>
      <c r="T566" s="770"/>
      <c r="U566" s="343"/>
      <c r="V566" s="343"/>
    </row>
    <row r="567" spans="1:22" s="364" customFormat="1" x14ac:dyDescent="0.25">
      <c r="A567" s="729"/>
      <c r="B567" s="302"/>
      <c r="C567" s="302"/>
      <c r="D567" s="344"/>
      <c r="E567" s="503" t="str">
        <f>Translations!$B$949</f>
        <v>топл. ен. извън СТЕ</v>
      </c>
      <c r="F567" s="503"/>
      <c r="G567" s="503"/>
      <c r="H567" s="1804" t="str">
        <f>EUconst_EUA</f>
        <v>Квота за емисии</v>
      </c>
      <c r="I567" s="1779" t="str">
        <f>IF($I500="","",IF(YEAR(J503)&gt;=$H$2504-1,0,S567))</f>
        <v/>
      </c>
      <c r="J567" s="1805" t="str">
        <f>IF($I500="","",INDEX(F_ProductBM!J:J,MATCH($P567,F_ProductBM!$Q:$Q,0)))</f>
        <v/>
      </c>
      <c r="K567" s="1806" t="str">
        <f>IF($I500="","",INDEX(F_ProductBM!K:K,MATCH($P567,F_ProductBM!$Q:$Q,0)))</f>
        <v/>
      </c>
      <c r="L567" s="1806" t="str">
        <f>IF($I500="","",INDEX(F_ProductBM!L:L,MATCH($P567,F_ProductBM!$Q:$Q,0)))</f>
        <v/>
      </c>
      <c r="M567" s="1806" t="str">
        <f>IF($I500="","",INDEX(F_ProductBM!M:M,MATCH($P567,F_ProductBM!$Q:$Q,0)))</f>
        <v/>
      </c>
      <c r="N567" s="1807" t="str">
        <f>IF($I500="","",INDEX(F_ProductBM!N:N,MATCH($P567,F_ProductBM!$Q:$Q,0)))</f>
        <v/>
      </c>
      <c r="O567" s="698"/>
      <c r="P567" s="1190" t="str">
        <f>EUconst_CNTR_HEATfinal&amp;I500</f>
        <v>HEATfinal_</v>
      </c>
      <c r="Q567" s="729"/>
      <c r="R567" s="729"/>
      <c r="S567" s="1808" t="str">
        <f>IF($I500="","",INDEX(F_ProductBM!I:I,MATCH($P567,F_ProductBM!$Q:$Q,0)))</f>
        <v/>
      </c>
      <c r="T567" s="770"/>
      <c r="U567" s="343"/>
      <c r="V567" s="343"/>
    </row>
    <row r="568" spans="1:22" s="364" customFormat="1" x14ac:dyDescent="0.25">
      <c r="A568" s="729"/>
      <c r="B568" s="302"/>
      <c r="C568" s="302"/>
      <c r="D568" s="344"/>
      <c r="E568" s="398" t="str">
        <f>Translations!$B$951</f>
        <v>WGflare</v>
      </c>
      <c r="F568" s="398"/>
      <c r="G568" s="398"/>
      <c r="H568" s="516" t="str">
        <f>EUconst_EUA</f>
        <v>Квота за емисии</v>
      </c>
      <c r="I568" s="1785" t="str">
        <f>IF($I500="","",IF(T571&gt;=$H$2504,0,S568))</f>
        <v/>
      </c>
      <c r="J568" s="1809" t="str">
        <f>IF($I500="","",INDEX(F_ProductBM!J:J,MATCH($P568,F_ProductBM!$Q:$Q,0)))</f>
        <v/>
      </c>
      <c r="K568" s="1810" t="str">
        <f>IF($I500="","",INDEX(F_ProductBM!K:K,MATCH($P568,F_ProductBM!$Q:$Q,0)))</f>
        <v/>
      </c>
      <c r="L568" s="1810" t="str">
        <f>IF($I500="","",INDEX(F_ProductBM!L:L,MATCH($P568,F_ProductBM!$Q:$Q,0)))</f>
        <v/>
      </c>
      <c r="M568" s="1810" t="str">
        <f>IF($I500="","",INDEX(F_ProductBM!M:M,MATCH($P568,F_ProductBM!$Q:$Q,0)))</f>
        <v/>
      </c>
      <c r="N568" s="1811" t="str">
        <f>IF($I500="","",INDEX(F_ProductBM!N:N,MATCH($P568,F_ProductBM!$Q:$Q,0)))</f>
        <v/>
      </c>
      <c r="O568" s="698"/>
      <c r="P568" s="1190" t="str">
        <f>EUconst_CNTR_HALfinal&amp;EUconst_CNTR_WGFlared&amp;$I500</f>
        <v>HALfinal_WasteGasFlare_</v>
      </c>
      <c r="Q568" s="729"/>
      <c r="R568" s="729"/>
      <c r="S568" s="1812" t="str">
        <f>IF($I500="","",INDEX(F_ProductBM!I:I,MATCH($P568,F_ProductBM!$Q:$Q,0)))</f>
        <v/>
      </c>
      <c r="T568" s="770"/>
      <c r="U568" s="343"/>
      <c r="V568" s="343"/>
    </row>
    <row r="569" spans="1:22" s="364" customFormat="1" x14ac:dyDescent="0.25">
      <c r="A569" s="729"/>
      <c r="B569" s="302"/>
      <c r="C569" s="302"/>
      <c r="D569" s="344"/>
      <c r="E569" s="398" t="s">
        <v>1442</v>
      </c>
      <c r="F569" s="398"/>
      <c r="G569" s="398"/>
      <c r="H569" s="516" t="str">
        <f>EUconst_EUA</f>
        <v>Квота за емисии</v>
      </c>
      <c r="I569" s="1785" t="str">
        <f>IF($I500="","",IF(T571&gt;=$H$2504,0,IF(L503=42,S569,0)))</f>
        <v/>
      </c>
      <c r="J569" s="1809" t="str">
        <f>IF($I500="","",IF($L503=42,INDEX(H_SpecialBM!J:J,MATCH($P569,H_SpecialBM!$Q:$Q,0)),0))</f>
        <v/>
      </c>
      <c r="K569" s="1810" t="str">
        <f>IF($I500="","",IF($L503=42,INDEX(H_SpecialBM!K:K,MATCH($P569,H_SpecialBM!$Q:$Q,0)),0))</f>
        <v/>
      </c>
      <c r="L569" s="1810" t="str">
        <f>IF($I500="","",IF($L503=42,INDEX(H_SpecialBM!L:L,MATCH($P569,H_SpecialBM!$Q:$Q,0)),0))</f>
        <v/>
      </c>
      <c r="M569" s="1810" t="str">
        <f>IF($I500="","",IF($L503=42,INDEX(H_SpecialBM!M:M,MATCH($P569,H_SpecialBM!$Q:$Q,0)),0))</f>
        <v/>
      </c>
      <c r="N569" s="1811" t="str">
        <f>IF($I500="","",IF($L503=42,INDEX(H_SpecialBM!N:N,MATCH($P569,H_SpecialBM!$Q:$Q,0)),0))</f>
        <v/>
      </c>
      <c r="O569" s="698"/>
      <c r="P569" s="1190" t="str">
        <f>EUconst_CNTR_HVCfinal</f>
        <v>HVCfinal_</v>
      </c>
      <c r="Q569" s="729"/>
      <c r="R569" s="729"/>
      <c r="S569" s="1812" t="str">
        <f>IF($I500="","",IF(L503=42,INDEX(H_SpecialBM!I:I,MATCH($P569,H_SpecialBM!$Q:$Q,0)),0))</f>
        <v/>
      </c>
      <c r="T569" s="770"/>
      <c r="U569" s="343"/>
      <c r="V569" s="343"/>
    </row>
    <row r="570" spans="1:22" s="364" customFormat="1" x14ac:dyDescent="0.25">
      <c r="A570" s="729"/>
      <c r="B570" s="302"/>
      <c r="C570" s="302"/>
      <c r="D570" s="344"/>
      <c r="E570" s="401" t="s">
        <v>1443</v>
      </c>
      <c r="F570" s="401"/>
      <c r="G570" s="401"/>
      <c r="H570" s="483" t="s">
        <v>1052</v>
      </c>
      <c r="I570" s="1788" t="str">
        <f>IF($I500="","",IF($L503=47,IF(AND(ISNUMBER(S570),YEAR(J503)&lt;2021),S570,1),1))</f>
        <v/>
      </c>
      <c r="J570" s="1813" t="str">
        <f>IF($I500="","",IF($L503=47,IF(ISNUMBER(INDEX(H_SpecialBM!J:J,MATCH($P570,H_SpecialBM!$Q:$Q,0))),INDEX(H_SpecialBM!J:J,MATCH($P570,H_SpecialBM!$Q:$Q,0)),1),1))</f>
        <v/>
      </c>
      <c r="K570" s="1814" t="str">
        <f>IF($I500="","",IF($L503=47,IF(ISNUMBER(INDEX(H_SpecialBM!K:K,MATCH($P570,H_SpecialBM!$Q:$Q,0))),INDEX(H_SpecialBM!K:K,MATCH($P570,H_SpecialBM!$Q:$Q,0)),1),1))</f>
        <v/>
      </c>
      <c r="L570" s="1814" t="str">
        <f>IF($I500="","",IF($L503=47,IF(ISNUMBER(INDEX(H_SpecialBM!L:L,MATCH($P570,H_SpecialBM!$Q:$Q,0))),INDEX(H_SpecialBM!L:L,MATCH($P570,H_SpecialBM!$Q:$Q,0)),1),1))</f>
        <v/>
      </c>
      <c r="M570" s="1814" t="str">
        <f>IF($I500="","",IF($L503=47,IF(ISNUMBER(INDEX(H_SpecialBM!M:M,MATCH($P570,H_SpecialBM!$Q:$Q,0))),INDEX(H_SpecialBM!M:M,MATCH($P570,H_SpecialBM!$Q:$Q,0)),1),1))</f>
        <v/>
      </c>
      <c r="N570" s="1815" t="str">
        <f>IF($I500="","",IF($L503=47,IF(ISNUMBER(INDEX(H_SpecialBM!N:N,MATCH($P570,H_SpecialBM!$Q:$Q,0))),INDEX(H_SpecialBM!N:N,MATCH($P570,H_SpecialBM!$Q:$Q,0)),1),1))</f>
        <v/>
      </c>
      <c r="O570" s="698"/>
      <c r="P570" s="1190" t="str">
        <f>EUconst_CNTR_VCMfinal</f>
        <v>VCMfinal_</v>
      </c>
      <c r="Q570" s="729"/>
      <c r="R570" s="729"/>
      <c r="S570" s="1816" t="str">
        <f>IF($I500="","",IF($L503=47,IF(ISNUMBER(INDEX(H_SpecialBM!I:I,MATCH($P570,H_SpecialBM!$Q:$Q,0))),INDEX(H_SpecialBM!I:I,MATCH($P570,H_SpecialBM!$Q:$Q,0)),1),1))</f>
        <v/>
      </c>
      <c r="T570" s="729"/>
      <c r="U570" s="343"/>
      <c r="V570" s="343"/>
    </row>
    <row r="571" spans="1:22" s="364" customFormat="1" x14ac:dyDescent="0.25">
      <c r="A571" s="729"/>
      <c r="B571" s="302"/>
      <c r="C571" s="302"/>
      <c r="D571" s="344"/>
      <c r="E571" s="388" t="str">
        <f>Translations!$B$892</f>
        <v>Предварително разпределяне</v>
      </c>
      <c r="F571" s="388"/>
      <c r="G571" s="388"/>
      <c r="H571" s="421" t="str">
        <f>EUconst_EUA</f>
        <v>Квота за емисии</v>
      </c>
      <c r="I571" s="1791" t="str">
        <f>IF($I500="","",MAX(0,ROUND((SUM($M503)*SUM(I566)*SUM(I570)-SUM(I567)-SUM(I568)+SUM(I569))*IF($H503=TRUE,1,J$2412),0)))</f>
        <v/>
      </c>
      <c r="J571" s="1694" t="str">
        <f>IF($I500="","",MAX(0,ROUND((SUM(R561)*SUM($M503)*SUM(J566)*SUM(J570)-SUM(J567)-SUM(J568)+SUM(J569))*IF($H503=TRUE,1,J$2412)*IF($I503=TRUE,INDEX(EUconst_CBAMFactor,J509-2020),1),0)))</f>
        <v/>
      </c>
      <c r="K571" s="406" t="str">
        <f>IF($I500="","",MAX(0,ROUND((SUM(S561)*SUM($M503)*SUM(K566)*SUM(K570)-SUM(K567)-SUM(K568)+SUM(K569))*IF($H503=TRUE,1,K$2412)*IF($I503=TRUE,INDEX(EUconst_CBAMFactor,K509-2020),1),0)))</f>
        <v/>
      </c>
      <c r="L571" s="406" t="str">
        <f>IF($I500="","",MAX(0,ROUND((SUM(T561)*SUM($M503)*SUM(L566)*SUM(L570)-SUM(L567)-SUM(L568)+SUM(L569))*IF($H503=TRUE,1,L$2412)*IF($I503=TRUE,INDEX(EUconst_CBAMFactor,L509-2020),1),0)))</f>
        <v/>
      </c>
      <c r="M571" s="406" t="str">
        <f>IF($I500="","",MAX(0,ROUND((SUM(U561)*SUM($M503)*SUM(M566)*SUM(M570)-SUM(M567)-SUM(M568)+SUM(M569))*IF($H503=TRUE,1,M$2412)*IF($I503=TRUE,INDEX(EUconst_CBAMFactor,M509-2020),1),0)))</f>
        <v/>
      </c>
      <c r="N571" s="1729" t="str">
        <f>IF($I500="","",MAX(0,ROUND((SUM(V561)*SUM($M503)*SUM(N566)*SUM(N570)-SUM(N567)-SUM(N568)+SUM(N569))*IF($H503=TRUE,1,N$2412)*IF($I503=TRUE,INDEX(EUconst_CBAMFactor,N509-2020),1),0)))</f>
        <v/>
      </c>
      <c r="O571" s="698"/>
      <c r="P571" s="1190" t="str">
        <f>EUconst_AllocPrelim&amp;I500</f>
        <v>AllocPrelim_</v>
      </c>
      <c r="Q571" s="729"/>
      <c r="R571" s="729"/>
      <c r="S571" s="1817" t="str">
        <f>IF($I500="","",MAX(0,ROUND((SUM($M503)*SUM(S566)*SUM(S570)-SUM(S567)-SUM(S568)+SUM(S569))*IF($H503=TRUE,1,J$2412),0)))</f>
        <v/>
      </c>
      <c r="T571" s="1176">
        <f>INDEX(F_ProductBM!V:V,MATCH(C500,F_ProductBM!C:C,0))</f>
        <v>2005</v>
      </c>
      <c r="U571" s="727" t="b">
        <f>OR(INDEX(I571:N571,CNTR_ReportingYear-$I$2505)&lt;&gt;INDEX(I571:N571,CNTR_ReportingYear-$H$2505),
(CNTR_ReportingYear-T571)&lt;=1)</f>
        <v>0</v>
      </c>
      <c r="V571" s="716" t="b">
        <f ca="1">IF(I571="",FALSE,COUNTIF(OFFSET(I571,,,,MAX(1,CNTR_ReportingYear-$I$2505)),"&lt;&gt;" &amp; INDEX(I571:N571,CNTR_ReportingYear-$H$2505))&gt;0)</f>
        <v>0</v>
      </c>
    </row>
    <row r="572" spans="1:22" s="364" customFormat="1" ht="5.15" customHeight="1" thickBot="1" x14ac:dyDescent="0.3">
      <c r="A572" s="729"/>
      <c r="B572" s="302"/>
      <c r="C572" s="302"/>
      <c r="D572" s="1801"/>
      <c r="E572" s="1762"/>
      <c r="F572" s="1762"/>
      <c r="G572" s="1762"/>
      <c r="H572" s="1762"/>
      <c r="I572" s="1762"/>
      <c r="J572" s="1762"/>
      <c r="K572" s="1762"/>
      <c r="L572" s="1762"/>
      <c r="M572" s="1762"/>
      <c r="N572" s="1764"/>
      <c r="O572" s="698"/>
      <c r="P572" s="729"/>
      <c r="Q572" s="729"/>
      <c r="R572" s="729"/>
      <c r="S572" s="729"/>
      <c r="T572" s="729"/>
      <c r="U572" s="343"/>
      <c r="V572" s="343"/>
    </row>
    <row r="573" spans="1:22" s="364" customFormat="1" ht="5.15" customHeight="1" thickBot="1" x14ac:dyDescent="0.3">
      <c r="A573" s="729"/>
      <c r="B573" s="302"/>
      <c r="C573" s="302"/>
      <c r="E573" s="360"/>
      <c r="F573" s="302"/>
      <c r="G573" s="302"/>
      <c r="H573" s="302"/>
      <c r="I573" s="302"/>
      <c r="J573" s="302"/>
      <c r="K573" s="302"/>
      <c r="L573" s="302"/>
      <c r="M573" s="302"/>
      <c r="N573" s="302"/>
      <c r="O573" s="698"/>
      <c r="P573" s="729"/>
      <c r="Q573" s="729"/>
      <c r="R573" s="729"/>
      <c r="S573" s="729"/>
      <c r="T573" s="729"/>
      <c r="U573" s="343"/>
      <c r="V573" s="343"/>
    </row>
    <row r="574" spans="1:22" s="364" customFormat="1" ht="12.75" customHeight="1" x14ac:dyDescent="0.25">
      <c r="A574" s="729"/>
      <c r="B574" s="302"/>
      <c r="C574" s="302"/>
      <c r="D574" s="1818"/>
      <c r="E574" s="1819"/>
      <c r="F574" s="1819"/>
      <c r="G574" s="1300"/>
      <c r="H574" s="1300"/>
      <c r="I574" s="1300"/>
      <c r="J574" s="1300"/>
      <c r="K574" s="1300"/>
      <c r="L574" s="1300"/>
      <c r="M574" s="1300"/>
      <c r="N574" s="1301"/>
      <c r="O574" s="698"/>
      <c r="P574" s="729"/>
      <c r="Q574" s="729"/>
      <c r="R574" s="729"/>
      <c r="S574" s="729"/>
      <c r="T574" s="729"/>
      <c r="U574" s="343"/>
      <c r="V574" s="343"/>
    </row>
    <row r="575" spans="1:22" s="364" customFormat="1" ht="13.5" thickBot="1" x14ac:dyDescent="0.3">
      <c r="A575" s="729"/>
      <c r="B575" s="302"/>
      <c r="C575" s="302"/>
      <c r="D575" s="1820"/>
      <c r="E575" s="625"/>
      <c r="F575" s="625"/>
      <c r="G575" s="627" t="str">
        <f>EUconst_Unit</f>
        <v>Единица мярка</v>
      </c>
      <c r="H575" s="628">
        <f t="shared" ref="H575:M575" si="44">H$2505</f>
        <v>2024</v>
      </c>
      <c r="I575" s="1821">
        <f t="shared" si="44"/>
        <v>2025</v>
      </c>
      <c r="J575" s="1311">
        <f t="shared" si="44"/>
        <v>2026</v>
      </c>
      <c r="K575" s="629">
        <f t="shared" si="44"/>
        <v>2027</v>
      </c>
      <c r="L575" s="629">
        <f t="shared" si="44"/>
        <v>2028</v>
      </c>
      <c r="M575" s="629">
        <f t="shared" si="44"/>
        <v>2029</v>
      </c>
      <c r="N575" s="1312">
        <f>N$2505</f>
        <v>2030</v>
      </c>
      <c r="O575" s="698"/>
      <c r="P575" s="729"/>
      <c r="Q575" s="729"/>
      <c r="R575" s="729"/>
      <c r="S575" s="729"/>
      <c r="T575" s="770"/>
      <c r="U575" s="343"/>
      <c r="V575" s="343"/>
    </row>
    <row r="576" spans="1:22" s="364" customFormat="1" ht="13.5" customHeight="1" thickBot="1" x14ac:dyDescent="0.3">
      <c r="A576" s="729"/>
      <c r="B576" s="302"/>
      <c r="C576" s="302"/>
      <c r="D576" s="1820"/>
      <c r="E576" s="2929" t="str">
        <f>Translations!$B$956</f>
        <v>Общо зададени емисии</v>
      </c>
      <c r="F576" s="2929"/>
      <c r="G576" s="631" t="str">
        <f>EUconst_tCO2epa</f>
        <v>t CO2e/година</v>
      </c>
      <c r="H576" s="661" t="str">
        <f t="shared" ref="H576:N576" si="45">INDEX(H$95:H$114,MATCH($I500,$E$95:$E$114,0))</f>
        <v/>
      </c>
      <c r="I576" s="1822" t="str">
        <f t="shared" si="45"/>
        <v/>
      </c>
      <c r="J576" s="661" t="str">
        <f t="shared" si="45"/>
        <v/>
      </c>
      <c r="K576" s="662" t="str">
        <f t="shared" si="45"/>
        <v/>
      </c>
      <c r="L576" s="662" t="str">
        <f t="shared" si="45"/>
        <v/>
      </c>
      <c r="M576" s="662" t="str">
        <f t="shared" si="45"/>
        <v/>
      </c>
      <c r="N576" s="663" t="str">
        <f t="shared" si="45"/>
        <v/>
      </c>
      <c r="O576" s="698"/>
      <c r="P576" s="729"/>
      <c r="Q576" s="729"/>
      <c r="R576" s="729"/>
      <c r="S576" s="729"/>
      <c r="T576" s="770"/>
      <c r="U576" s="343"/>
      <c r="V576" s="343"/>
    </row>
    <row r="577" spans="1:22" s="364" customFormat="1" ht="5.15" customHeight="1" x14ac:dyDescent="0.25">
      <c r="A577" s="729"/>
      <c r="B577" s="302"/>
      <c r="C577" s="302"/>
      <c r="D577" s="1820"/>
      <c r="E577" s="643"/>
      <c r="F577" s="643"/>
      <c r="G577" s="625"/>
      <c r="H577" s="635"/>
      <c r="I577" s="635"/>
      <c r="J577" s="635"/>
      <c r="K577" s="635"/>
      <c r="L577" s="635"/>
      <c r="M577" s="635"/>
      <c r="N577" s="1823"/>
      <c r="O577" s="698"/>
      <c r="P577" s="729"/>
      <c r="Q577" s="729"/>
      <c r="R577" s="729"/>
      <c r="S577" s="729"/>
      <c r="T577" s="770"/>
      <c r="U577" s="343"/>
      <c r="V577" s="343"/>
    </row>
    <row r="578" spans="1:22" s="364" customFormat="1" ht="12.75" customHeight="1" x14ac:dyDescent="0.25">
      <c r="A578" s="729"/>
      <c r="B578" s="302"/>
      <c r="C578" s="302"/>
      <c r="D578" s="1820"/>
      <c r="E578" s="2818" t="str">
        <f>Translations!$B$521</f>
        <v>Вложени горива</v>
      </c>
      <c r="F578" s="2701"/>
      <c r="G578" s="1326" t="str">
        <f>EUconst_TJpa</f>
        <v>TJ / година</v>
      </c>
      <c r="H578" s="482" t="str">
        <f>IF($I500="","",IF(INDEX(F_ProductBM!H:H,MATCH($P578,F_ProductBM!$Q:$Q,0))="","",INDEX(F_ProductBM!H:H,MATCH($P578,F_ProductBM!$Q:$Q,0))))</f>
        <v/>
      </c>
      <c r="I578" s="1824" t="str">
        <f>IF($I500="","",IF(INDEX(F_ProductBM!I:I,MATCH($P578,F_ProductBM!$Q:$Q,0))="","",INDEX(F_ProductBM!I:I,MATCH($P578,F_ProductBM!$Q:$Q,0))))</f>
        <v/>
      </c>
      <c r="J578" s="1825" t="str">
        <f>IF($I500="","",IF(INDEX(F_ProductBM!J:J,MATCH($P578,F_ProductBM!$Q:$Q,0))="","",INDEX(F_ProductBM!J:J,MATCH($P578,F_ProductBM!$Q:$Q,0))))</f>
        <v/>
      </c>
      <c r="K578" s="482" t="str">
        <f>IF($I500="","",IF(INDEX(F_ProductBM!K:K,MATCH($P578,F_ProductBM!$Q:$Q,0))="","",INDEX(F_ProductBM!K:K,MATCH($P578,F_ProductBM!$Q:$Q,0))))</f>
        <v/>
      </c>
      <c r="L578" s="482" t="str">
        <f>IF($I500="","",IF(INDEX(F_ProductBM!L:L,MATCH($P578,F_ProductBM!$Q:$Q,0))="","",INDEX(F_ProductBM!L:L,MATCH($P578,F_ProductBM!$Q:$Q,0))))</f>
        <v/>
      </c>
      <c r="M578" s="482" t="str">
        <f>IF($I500="","",IF(INDEX(F_ProductBM!M:M,MATCH($P578,F_ProductBM!$Q:$Q,0))="","",INDEX(F_ProductBM!M:M,MATCH($P578,F_ProductBM!$Q:$Q,0))))</f>
        <v/>
      </c>
      <c r="N578" s="1826" t="str">
        <f>IF($I500="","",IF(INDEX(F_ProductBM!N:N,MATCH($P578,F_ProductBM!$Q:$Q,0))="","",INDEX(F_ProductBM!N:N,MATCH($P578,F_ProductBM!$Q:$Q,0))))</f>
        <v/>
      </c>
      <c r="O578" s="698"/>
      <c r="P578" s="1827" t="str">
        <f>EUconst_CNTR_FuelInput &amp; I500</f>
        <v>FuelInput_</v>
      </c>
      <c r="Q578" s="729"/>
      <c r="R578" s="729"/>
      <c r="S578" s="729"/>
      <c r="T578" s="770"/>
      <c r="U578" s="343"/>
      <c r="V578" s="343"/>
    </row>
    <row r="579" spans="1:22" s="364" customFormat="1" ht="12.75" customHeight="1" x14ac:dyDescent="0.25">
      <c r="A579" s="729"/>
      <c r="B579" s="302"/>
      <c r="C579" s="302"/>
      <c r="D579" s="1820"/>
      <c r="E579" s="2819" t="str">
        <f>Translations!$B$522</f>
        <v>Претеглен емисионен фактор</v>
      </c>
      <c r="F579" s="2705"/>
      <c r="G579" s="1329" t="str">
        <f>EUconst_tCO2pTJ</f>
        <v>t CO2 / TJ</v>
      </c>
      <c r="H579" s="484" t="str">
        <f>IF($I500="","",IF(INDEX(F_ProductBM!H:H,MATCH($P579,F_ProductBM!$Q:$Q,0))="","",INDEX(F_ProductBM!H:H,MATCH($P579,F_ProductBM!$Q:$Q,0))))</f>
        <v/>
      </c>
      <c r="I579" s="1828" t="str">
        <f>IF($I500="","",IF(INDEX(F_ProductBM!I:I,MATCH($P579,F_ProductBM!$Q:$Q,0))="","",INDEX(F_ProductBM!I:I,MATCH($P579,F_ProductBM!$Q:$Q,0))))</f>
        <v/>
      </c>
      <c r="J579" s="1829" t="str">
        <f>IF($I500="","",IF(INDEX(F_ProductBM!J:J,MATCH($P579,F_ProductBM!$Q:$Q,0))="","",INDEX(F_ProductBM!J:J,MATCH($P579,F_ProductBM!$Q:$Q,0))))</f>
        <v/>
      </c>
      <c r="K579" s="484" t="str">
        <f>IF($I500="","",IF(INDEX(F_ProductBM!K:K,MATCH($P579,F_ProductBM!$Q:$Q,0))="","",INDEX(F_ProductBM!K:K,MATCH($P579,F_ProductBM!$Q:$Q,0))))</f>
        <v/>
      </c>
      <c r="L579" s="484" t="str">
        <f>IF($I500="","",IF(INDEX(F_ProductBM!L:L,MATCH($P579,F_ProductBM!$Q:$Q,0))="","",INDEX(F_ProductBM!L:L,MATCH($P579,F_ProductBM!$Q:$Q,0))))</f>
        <v/>
      </c>
      <c r="M579" s="484" t="str">
        <f>IF($I500="","",IF(INDEX(F_ProductBM!M:M,MATCH($P579,F_ProductBM!$Q:$Q,0))="","",INDEX(F_ProductBM!M:M,MATCH($P579,F_ProductBM!$Q:$Q,0))))</f>
        <v/>
      </c>
      <c r="N579" s="1830" t="str">
        <f>IF($I500="","",IF(INDEX(F_ProductBM!N:N,MATCH($P579,F_ProductBM!$Q:$Q,0))="","",INDEX(F_ProductBM!N:N,MATCH($P579,F_ProductBM!$Q:$Q,0))))</f>
        <v/>
      </c>
      <c r="O579" s="698"/>
      <c r="P579" s="1500" t="str">
        <f>EUconst_CNTR_FuelEF &amp; I500</f>
        <v>FuelEF_</v>
      </c>
      <c r="Q579" s="729"/>
      <c r="R579" s="729"/>
      <c r="S579" s="729"/>
      <c r="T579" s="770"/>
      <c r="U579" s="343"/>
      <c r="V579" s="343"/>
    </row>
    <row r="580" spans="1:22" s="364" customFormat="1" ht="5.15" customHeight="1" x14ac:dyDescent="0.25">
      <c r="A580" s="729"/>
      <c r="B580" s="302"/>
      <c r="C580" s="302"/>
      <c r="D580" s="1820"/>
      <c r="E580" s="643"/>
      <c r="F580" s="643"/>
      <c r="G580" s="626"/>
      <c r="H580" s="640"/>
      <c r="I580" s="640"/>
      <c r="J580" s="640"/>
      <c r="K580" s="640"/>
      <c r="L580" s="640"/>
      <c r="M580" s="640"/>
      <c r="N580" s="1831"/>
      <c r="O580" s="698"/>
      <c r="P580" s="729"/>
      <c r="Q580" s="729"/>
      <c r="R580" s="729"/>
      <c r="S580" s="729"/>
      <c r="T580" s="770"/>
      <c r="U580" s="343"/>
      <c r="V580" s="343"/>
    </row>
    <row r="581" spans="1:22" s="364" customFormat="1" ht="12.75" customHeight="1" x14ac:dyDescent="0.25">
      <c r="A581" s="729"/>
      <c r="B581" s="302"/>
      <c r="C581" s="302"/>
      <c r="D581" s="1820"/>
      <c r="E581" s="2820" t="str">
        <f>Translations!$B$484</f>
        <v>Преки емисии</v>
      </c>
      <c r="F581" s="2258"/>
      <c r="G581" s="1319" t="str">
        <f>EUconst_tCO2pa</f>
        <v>t CO2 / година</v>
      </c>
      <c r="H581" s="480" t="str">
        <f>IF($I500="","",IF(INDEX(F_ProductBM!H:H,MATCH($P581,F_ProductBM!$Q:$Q,0))="","",INDEX(F_ProductBM!H:H,MATCH($P581,F_ProductBM!$Q:$Q,0))))</f>
        <v/>
      </c>
      <c r="I581" s="1399" t="str">
        <f>IF($I500="","",IF(INDEX(F_ProductBM!I:I,MATCH($P581,F_ProductBM!$Q:$Q,0))="","",INDEX(F_ProductBM!I:I,MATCH($P581,F_ProductBM!$Q:$Q,0))))</f>
        <v/>
      </c>
      <c r="J581" s="1832" t="str">
        <f>IF($I500="","",IF(INDEX(F_ProductBM!J:J,MATCH($P581,F_ProductBM!$Q:$Q,0))="","",INDEX(F_ProductBM!J:J,MATCH($P581,F_ProductBM!$Q:$Q,0))))</f>
        <v/>
      </c>
      <c r="K581" s="480" t="str">
        <f>IF($I500="","",IF(INDEX(F_ProductBM!K:K,MATCH($P581,F_ProductBM!$Q:$Q,0))="","",INDEX(F_ProductBM!K:K,MATCH($P581,F_ProductBM!$Q:$Q,0))))</f>
        <v/>
      </c>
      <c r="L581" s="480" t="str">
        <f>IF($I500="","",IF(INDEX(F_ProductBM!L:L,MATCH($P581,F_ProductBM!$Q:$Q,0))="","",INDEX(F_ProductBM!L:L,MATCH($P581,F_ProductBM!$Q:$Q,0))))</f>
        <v/>
      </c>
      <c r="M581" s="480" t="str">
        <f>IF($I500="","",IF(INDEX(F_ProductBM!M:M,MATCH($P581,F_ProductBM!$Q:$Q,0))="","",INDEX(F_ProductBM!M:M,MATCH($P581,F_ProductBM!$Q:$Q,0))))</f>
        <v/>
      </c>
      <c r="N581" s="1833" t="str">
        <f>IF($I500="","",IF(INDEX(F_ProductBM!N:N,MATCH($P581,F_ProductBM!$Q:$Q,0))="","",INDEX(F_ProductBM!N:N,MATCH($P581,F_ProductBM!$Q:$Q,0))))</f>
        <v/>
      </c>
      <c r="O581" s="698"/>
      <c r="P581" s="1500" t="str">
        <f>EUconst_CNTR_Emissions &amp; I500</f>
        <v>DirEmissions_</v>
      </c>
      <c r="Q581" s="729"/>
      <c r="R581" s="729"/>
      <c r="S581" s="729"/>
      <c r="T581" s="770"/>
      <c r="U581" s="343"/>
      <c r="V581" s="343"/>
    </row>
    <row r="582" spans="1:22" s="364" customFormat="1" ht="12.75" customHeight="1" x14ac:dyDescent="0.25">
      <c r="A582" s="729"/>
      <c r="B582" s="302"/>
      <c r="C582" s="302"/>
      <c r="D582" s="1820"/>
      <c r="E582" s="2820" t="str">
        <f>Translations!$B$532</f>
        <v>Други пораждащи емисии потоци — 1</v>
      </c>
      <c r="F582" s="2258"/>
      <c r="G582" s="1319" t="str">
        <f>EUconst_tCO2pa</f>
        <v>t CO2 / година</v>
      </c>
      <c r="H582" s="480" t="str">
        <f>IF($I500="","",IF(INDEX(F_ProductBM!H:H,MATCH($P582,F_ProductBM!$Q:$Q,0))="","",INDEX(F_ProductBM!H:H,MATCH($P582,F_ProductBM!$Q:$Q,0))))</f>
        <v/>
      </c>
      <c r="I582" s="1399" t="str">
        <f>IF($I500="","",IF(INDEX(F_ProductBM!I:I,MATCH($P582,F_ProductBM!$Q:$Q,0))="","",INDEX(F_ProductBM!I:I,MATCH($P582,F_ProductBM!$Q:$Q,0))))</f>
        <v/>
      </c>
      <c r="J582" s="1832" t="str">
        <f>IF($I500="","",IF(INDEX(F_ProductBM!J:J,MATCH($P582,F_ProductBM!$Q:$Q,0))="","",INDEX(F_ProductBM!J:J,MATCH($P582,F_ProductBM!$Q:$Q,0))))</f>
        <v/>
      </c>
      <c r="K582" s="480" t="str">
        <f>IF($I500="","",IF(INDEX(F_ProductBM!K:K,MATCH($P582,F_ProductBM!$Q:$Q,0))="","",INDEX(F_ProductBM!K:K,MATCH($P582,F_ProductBM!$Q:$Q,0))))</f>
        <v/>
      </c>
      <c r="L582" s="480" t="str">
        <f>IF($I500="","",IF(INDEX(F_ProductBM!L:L,MATCH($P582,F_ProductBM!$Q:$Q,0))="","",INDEX(F_ProductBM!L:L,MATCH($P582,F_ProductBM!$Q:$Q,0))))</f>
        <v/>
      </c>
      <c r="M582" s="480" t="str">
        <f>IF($I500="","",IF(INDEX(F_ProductBM!M:M,MATCH($P582,F_ProductBM!$Q:$Q,0))="","",INDEX(F_ProductBM!M:M,MATCH($P582,F_ProductBM!$Q:$Q,0))))</f>
        <v/>
      </c>
      <c r="N582" s="1833" t="str">
        <f>IF($I500="","",IF(INDEX(F_ProductBM!N:N,MATCH($P582,F_ProductBM!$Q:$Q,0))="","",INDEX(F_ProductBM!N:N,MATCH($P582,F_ProductBM!$Q:$Q,0))))</f>
        <v/>
      </c>
      <c r="O582" s="698"/>
      <c r="P582" s="1500" t="str">
        <f>EUconst_CNTR_EmissionsIntSource1 &amp; I500</f>
        <v>EmInternalSource1_</v>
      </c>
      <c r="Q582" s="729"/>
      <c r="R582" s="729"/>
      <c r="S582" s="729"/>
      <c r="T582" s="770"/>
      <c r="U582" s="343"/>
      <c r="V582" s="343"/>
    </row>
    <row r="583" spans="1:22" s="364" customFormat="1" ht="12.75" customHeight="1" x14ac:dyDescent="0.25">
      <c r="A583" s="729"/>
      <c r="B583" s="302"/>
      <c r="C583" s="302"/>
      <c r="D583" s="1820"/>
      <c r="E583" s="2820" t="str">
        <f>Translations!$B$542</f>
        <v>Други пораждащи емисии потоци — 2</v>
      </c>
      <c r="F583" s="2258"/>
      <c r="G583" s="1319" t="str">
        <f>EUconst_tCO2pa</f>
        <v>t CO2 / година</v>
      </c>
      <c r="H583" s="480" t="str">
        <f>IF($I500="","",IF(INDEX(F_ProductBM!H:H,MATCH($P583,F_ProductBM!$Q:$Q,0))="","",INDEX(F_ProductBM!H:H,MATCH($P583,F_ProductBM!$Q:$Q,0))))</f>
        <v/>
      </c>
      <c r="I583" s="1399" t="str">
        <f>IF($I500="","",IF(INDEX(F_ProductBM!I:I,MATCH($P583,F_ProductBM!$Q:$Q,0))="","",INDEX(F_ProductBM!I:I,MATCH($P583,F_ProductBM!$Q:$Q,0))))</f>
        <v/>
      </c>
      <c r="J583" s="1832" t="str">
        <f>IF($I500="","",IF(INDEX(F_ProductBM!J:J,MATCH($P583,F_ProductBM!$Q:$Q,0))="","",INDEX(F_ProductBM!J:J,MATCH($P583,F_ProductBM!$Q:$Q,0))))</f>
        <v/>
      </c>
      <c r="K583" s="480" t="str">
        <f>IF($I500="","",IF(INDEX(F_ProductBM!K:K,MATCH($P583,F_ProductBM!$Q:$Q,0))="","",INDEX(F_ProductBM!K:K,MATCH($P583,F_ProductBM!$Q:$Q,0))))</f>
        <v/>
      </c>
      <c r="L583" s="480" t="str">
        <f>IF($I500="","",IF(INDEX(F_ProductBM!L:L,MATCH($P583,F_ProductBM!$Q:$Q,0))="","",INDEX(F_ProductBM!L:L,MATCH($P583,F_ProductBM!$Q:$Q,0))))</f>
        <v/>
      </c>
      <c r="M583" s="480" t="str">
        <f>IF($I500="","",IF(INDEX(F_ProductBM!M:M,MATCH($P583,F_ProductBM!$Q:$Q,0))="","",INDEX(F_ProductBM!M:M,MATCH($P583,F_ProductBM!$Q:$Q,0))))</f>
        <v/>
      </c>
      <c r="N583" s="1833" t="str">
        <f>IF($I500="","",IF(INDEX(F_ProductBM!N:N,MATCH($P583,F_ProductBM!$Q:$Q,0))="","",INDEX(F_ProductBM!N:N,MATCH($P583,F_ProductBM!$Q:$Q,0))))</f>
        <v/>
      </c>
      <c r="O583" s="698"/>
      <c r="P583" s="1500" t="str">
        <f>EUconst_CNTR_EmissionsIntSource2 &amp; I500</f>
        <v>EmInternalSource2_</v>
      </c>
      <c r="Q583" s="729"/>
      <c r="R583" s="729"/>
      <c r="S583" s="729"/>
      <c r="T583" s="770"/>
      <c r="U583" s="343"/>
      <c r="V583" s="343"/>
    </row>
    <row r="584" spans="1:22" s="364" customFormat="1" ht="12.75" customHeight="1" x14ac:dyDescent="0.25">
      <c r="A584" s="729"/>
      <c r="B584" s="302"/>
      <c r="C584" s="302"/>
      <c r="D584" s="1820"/>
      <c r="E584" s="2820" t="str">
        <f>Translations!$B$546</f>
        <v>Получени или подадени парникови газове</v>
      </c>
      <c r="F584" s="2258"/>
      <c r="G584" s="1319" t="str">
        <f>EUconst_tCO2epa</f>
        <v>t CO2e/година</v>
      </c>
      <c r="H584" s="480" t="str">
        <f>IF($I500="","",IF(INDEX(F_ProductBM!H:H,MATCH($P584,F_ProductBM!$Q:$Q,0))="","",INDEX(F_ProductBM!H:H,MATCH($P584,F_ProductBM!$Q:$Q,0))))</f>
        <v/>
      </c>
      <c r="I584" s="1399" t="str">
        <f>IF($I500="","",IF(INDEX(F_ProductBM!I:I,MATCH($P584,F_ProductBM!$Q:$Q,0))="","",INDEX(F_ProductBM!I:I,MATCH($P584,F_ProductBM!$Q:$Q,0))))</f>
        <v/>
      </c>
      <c r="J584" s="1832" t="str">
        <f>IF($I500="","",IF(INDEX(F_ProductBM!J:J,MATCH($P584,F_ProductBM!$Q:$Q,0))="","",INDEX(F_ProductBM!J:J,MATCH($P584,F_ProductBM!$Q:$Q,0))))</f>
        <v/>
      </c>
      <c r="K584" s="480" t="str">
        <f>IF($I500="","",IF(INDEX(F_ProductBM!K:K,MATCH($P584,F_ProductBM!$Q:$Q,0))="","",INDEX(F_ProductBM!K:K,MATCH($P584,F_ProductBM!$Q:$Q,0))))</f>
        <v/>
      </c>
      <c r="L584" s="480" t="str">
        <f>IF($I500="","",IF(INDEX(F_ProductBM!L:L,MATCH($P584,F_ProductBM!$Q:$Q,0))="","",INDEX(F_ProductBM!L:L,MATCH($P584,F_ProductBM!$Q:$Q,0))))</f>
        <v/>
      </c>
      <c r="M584" s="480" t="str">
        <f>IF($I500="","",IF(INDEX(F_ProductBM!M:M,MATCH($P584,F_ProductBM!$Q:$Q,0))="","",INDEX(F_ProductBM!M:M,MATCH($P584,F_ProductBM!$Q:$Q,0))))</f>
        <v/>
      </c>
      <c r="N584" s="1833" t="str">
        <f>IF($I500="","",IF(INDEX(F_ProductBM!N:N,MATCH($P584,F_ProductBM!$Q:$Q,0))="","",INDEX(F_ProductBM!N:N,MATCH($P584,F_ProductBM!$Q:$Q,0))))</f>
        <v/>
      </c>
      <c r="O584" s="698"/>
      <c r="P584" s="1500" t="str">
        <f>EUconst_CNTR_CO2Feedstock &amp; I500</f>
        <v>EmCO2Feedstock_</v>
      </c>
      <c r="Q584" s="729"/>
      <c r="R584" s="729"/>
      <c r="S584" s="729"/>
      <c r="T584" s="770"/>
      <c r="U584" s="343"/>
      <c r="V584" s="343"/>
    </row>
    <row r="585" spans="1:22" s="364" customFormat="1" ht="5.15" customHeight="1" x14ac:dyDescent="0.25">
      <c r="A585" s="729"/>
      <c r="B585" s="302"/>
      <c r="C585" s="302"/>
      <c r="D585" s="1820"/>
      <c r="E585" s="643"/>
      <c r="F585" s="643"/>
      <c r="G585" s="626"/>
      <c r="H585" s="640"/>
      <c r="I585" s="640"/>
      <c r="J585" s="640"/>
      <c r="K585" s="640"/>
      <c r="L585" s="640"/>
      <c r="M585" s="640"/>
      <c r="N585" s="1831"/>
      <c r="O585" s="698"/>
      <c r="P585" s="729"/>
      <c r="Q585" s="729"/>
      <c r="R585" s="729"/>
      <c r="S585" s="729"/>
      <c r="T585" s="770"/>
      <c r="U585" s="343"/>
      <c r="V585" s="343"/>
    </row>
    <row r="586" spans="1:22" s="364" customFormat="1" ht="12.75" customHeight="1" x14ac:dyDescent="0.25">
      <c r="A586" s="729"/>
      <c r="B586" s="302"/>
      <c r="C586" s="302"/>
      <c r="D586" s="1820"/>
      <c r="E586" s="2818" t="str">
        <f>Translations!$B$554</f>
        <v>Нетно количество получена топлинна енергия</v>
      </c>
      <c r="F586" s="2701"/>
      <c r="G586" s="1326" t="str">
        <f>EUconst_TJpa</f>
        <v>TJ / година</v>
      </c>
      <c r="H586" s="482" t="str">
        <f>IF($I500="","",IF(INDEX(F_ProductBM!H:H,MATCH($P586,F_ProductBM!$Q:$Q,0))="","",INDEX(F_ProductBM!H:H,MATCH($P586,F_ProductBM!$Q:$Q,0))))</f>
        <v/>
      </c>
      <c r="I586" s="1824" t="str">
        <f>IF($I500="","",IF(INDEX(F_ProductBM!I:I,MATCH($P586,F_ProductBM!$Q:$Q,0))="","",INDEX(F_ProductBM!I:I,MATCH($P586,F_ProductBM!$Q:$Q,0))))</f>
        <v/>
      </c>
      <c r="J586" s="1825" t="str">
        <f>IF($I500="","",IF(INDEX(F_ProductBM!J:J,MATCH($P586,F_ProductBM!$Q:$Q,0))="","",INDEX(F_ProductBM!J:J,MATCH($P586,F_ProductBM!$Q:$Q,0))))</f>
        <v/>
      </c>
      <c r="K586" s="482" t="str">
        <f>IF($I500="","",IF(INDEX(F_ProductBM!K:K,MATCH($P586,F_ProductBM!$Q:$Q,0))="","",INDEX(F_ProductBM!K:K,MATCH($P586,F_ProductBM!$Q:$Q,0))))</f>
        <v/>
      </c>
      <c r="L586" s="482" t="str">
        <f>IF($I500="","",IF(INDEX(F_ProductBM!L:L,MATCH($P586,F_ProductBM!$Q:$Q,0))="","",INDEX(F_ProductBM!L:L,MATCH($P586,F_ProductBM!$Q:$Q,0))))</f>
        <v/>
      </c>
      <c r="M586" s="482" t="str">
        <f>IF($I500="","",IF(INDEX(F_ProductBM!M:M,MATCH($P586,F_ProductBM!$Q:$Q,0))="","",INDEX(F_ProductBM!M:M,MATCH($P586,F_ProductBM!$Q:$Q,0))))</f>
        <v/>
      </c>
      <c r="N586" s="1826" t="str">
        <f>IF($I500="","",IF(INDEX(F_ProductBM!N:N,MATCH($P586,F_ProductBM!$Q:$Q,0))="","",INDEX(F_ProductBM!N:N,MATCH($P586,F_ProductBM!$Q:$Q,0))))</f>
        <v/>
      </c>
      <c r="O586" s="698"/>
      <c r="P586" s="1500" t="str">
        <f>EUconst_CNTR_HeatImport &amp; I500</f>
        <v>HeatIm_</v>
      </c>
      <c r="Q586" s="729"/>
      <c r="R586" s="729"/>
      <c r="S586" s="729"/>
      <c r="T586" s="770"/>
      <c r="U586" s="343"/>
      <c r="V586" s="343"/>
    </row>
    <row r="587" spans="1:22" s="364" customFormat="1" ht="12.75" customHeight="1" x14ac:dyDescent="0.25">
      <c r="A587" s="729"/>
      <c r="B587" s="302"/>
      <c r="C587" s="302"/>
      <c r="D587" s="1820"/>
      <c r="E587" s="2819" t="str">
        <f>Translations!$B$555</f>
        <v>Специфичен EF (получена топлинна енергия)</v>
      </c>
      <c r="F587" s="2705"/>
      <c r="G587" s="1329" t="str">
        <f>EUconst_tCO2pTJ</f>
        <v>t CO2 / TJ</v>
      </c>
      <c r="H587" s="484" t="str">
        <f>IF($I500="","",IF(INDEX(F_ProductBM!H:H,MATCH($P587,F_ProductBM!$Q:$Q,0))="","",INDEX(F_ProductBM!H:H,MATCH($P587,F_ProductBM!$Q:$Q,0))))</f>
        <v/>
      </c>
      <c r="I587" s="1828" t="str">
        <f>IF($I500="","",IF(INDEX(F_ProductBM!I:I,MATCH($P587,F_ProductBM!$Q:$Q,0))="","",INDEX(F_ProductBM!I:I,MATCH($P587,F_ProductBM!$Q:$Q,0))))</f>
        <v/>
      </c>
      <c r="J587" s="1829" t="str">
        <f>IF($I500="","",IF(INDEX(F_ProductBM!J:J,MATCH($P587,F_ProductBM!$Q:$Q,0))="","",INDEX(F_ProductBM!J:J,MATCH($P587,F_ProductBM!$Q:$Q,0))))</f>
        <v/>
      </c>
      <c r="K587" s="484" t="str">
        <f>IF($I500="","",IF(INDEX(F_ProductBM!K:K,MATCH($P587,F_ProductBM!$Q:$Q,0))="","",INDEX(F_ProductBM!K:K,MATCH($P587,F_ProductBM!$Q:$Q,0))))</f>
        <v/>
      </c>
      <c r="L587" s="484" t="str">
        <f>IF($I500="","",IF(INDEX(F_ProductBM!L:L,MATCH($P587,F_ProductBM!$Q:$Q,0))="","",INDEX(F_ProductBM!L:L,MATCH($P587,F_ProductBM!$Q:$Q,0))))</f>
        <v/>
      </c>
      <c r="M587" s="484" t="str">
        <f>IF($I500="","",IF(INDEX(F_ProductBM!M:M,MATCH($P587,F_ProductBM!$Q:$Q,0))="","",INDEX(F_ProductBM!M:M,MATCH($P587,F_ProductBM!$Q:$Q,0))))</f>
        <v/>
      </c>
      <c r="N587" s="1830" t="str">
        <f>IF($I500="","",IF(INDEX(F_ProductBM!N:N,MATCH($P587,F_ProductBM!$Q:$Q,0))="","",INDEX(F_ProductBM!N:N,MATCH($P587,F_ProductBM!$Q:$Q,0))))</f>
        <v/>
      </c>
      <c r="O587" s="698"/>
      <c r="P587" s="1500" t="str">
        <f>EUconst_CNTR_HeatImportEF &amp; I500</f>
        <v>HeatImEF_</v>
      </c>
      <c r="Q587" s="729"/>
      <c r="R587" s="729"/>
      <c r="S587" s="729"/>
      <c r="T587" s="770"/>
      <c r="U587" s="343"/>
      <c r="V587" s="343"/>
    </row>
    <row r="588" spans="1:22" s="364" customFormat="1" ht="5.15" customHeight="1" x14ac:dyDescent="0.25">
      <c r="A588" s="729"/>
      <c r="B588" s="302"/>
      <c r="C588" s="302"/>
      <c r="D588" s="1820"/>
      <c r="E588" s="643"/>
      <c r="F588" s="643"/>
      <c r="G588" s="626"/>
      <c r="H588" s="640"/>
      <c r="I588" s="640"/>
      <c r="J588" s="640"/>
      <c r="K588" s="640"/>
      <c r="L588" s="640"/>
      <c r="M588" s="640"/>
      <c r="N588" s="1831"/>
      <c r="O588" s="698"/>
      <c r="P588" s="770"/>
      <c r="Q588" s="729"/>
      <c r="R588" s="729"/>
      <c r="S588" s="729"/>
      <c r="T588" s="770"/>
      <c r="U588" s="343"/>
      <c r="V588" s="343"/>
    </row>
    <row r="589" spans="1:22" s="364" customFormat="1" ht="12.75" customHeight="1" x14ac:dyDescent="0.25">
      <c r="A589" s="729"/>
      <c r="B589" s="302"/>
      <c r="C589" s="302"/>
      <c r="D589" s="1820"/>
      <c r="E589" s="2820" t="str">
        <f>Translations!$B$609</f>
        <v>Нетно количество топлинна енергия, получена от пулп</v>
      </c>
      <c r="F589" s="2258"/>
      <c r="G589" s="1319" t="str">
        <f>EUconst_TJpa</f>
        <v>TJ / година</v>
      </c>
      <c r="H589" s="480" t="str">
        <f>IF($I500="","",IF(INDEX(F_ProductBM!H:H,MATCH($P589,F_ProductBM!$Q:$Q,0))="","",INDEX(F_ProductBM!H:H,MATCH($P589,F_ProductBM!$Q:$Q,0))))</f>
        <v/>
      </c>
      <c r="I589" s="1399" t="str">
        <f>IF($I500="","",IF(INDEX(F_ProductBM!I:I,MATCH($P589,F_ProductBM!$Q:$Q,0))="","",INDEX(F_ProductBM!I:I,MATCH($P589,F_ProductBM!$Q:$Q,0))))</f>
        <v/>
      </c>
      <c r="J589" s="1832" t="str">
        <f>IF($I500="","",IF(INDEX(F_ProductBM!J:J,MATCH($P589,F_ProductBM!$Q:$Q,0))="","",INDEX(F_ProductBM!J:J,MATCH($P589,F_ProductBM!$Q:$Q,0))))</f>
        <v/>
      </c>
      <c r="K589" s="480" t="str">
        <f>IF($I500="","",IF(INDEX(F_ProductBM!K:K,MATCH($P589,F_ProductBM!$Q:$Q,0))="","",INDEX(F_ProductBM!K:K,MATCH($P589,F_ProductBM!$Q:$Q,0))))</f>
        <v/>
      </c>
      <c r="L589" s="480" t="str">
        <f>IF($I500="","",IF(INDEX(F_ProductBM!L:L,MATCH($P589,F_ProductBM!$Q:$Q,0))="","",INDEX(F_ProductBM!L:L,MATCH($P589,F_ProductBM!$Q:$Q,0))))</f>
        <v/>
      </c>
      <c r="M589" s="480" t="str">
        <f>IF($I500="","",IF(INDEX(F_ProductBM!M:M,MATCH($P589,F_ProductBM!$Q:$Q,0))="","",INDEX(F_ProductBM!M:M,MATCH($P589,F_ProductBM!$Q:$Q,0))))</f>
        <v/>
      </c>
      <c r="N589" s="1833" t="str">
        <f>IF($I500="","",IF(INDEX(F_ProductBM!N:N,MATCH($P589,F_ProductBM!$Q:$Q,0))="","",INDEX(F_ProductBM!N:N,MATCH($P589,F_ProductBM!$Q:$Q,0))))</f>
        <v/>
      </c>
      <c r="O589" s="698"/>
      <c r="P589" s="1500" t="str">
        <f>EUconst_CNTR_HeatImportPulp &amp; I500</f>
        <v>HeatImPulp_</v>
      </c>
      <c r="Q589" s="729"/>
      <c r="R589" s="729"/>
      <c r="S589" s="729"/>
      <c r="T589" s="770"/>
      <c r="U589" s="343"/>
      <c r="V589" s="343"/>
    </row>
    <row r="590" spans="1:22" s="364" customFormat="1" ht="12.75" customHeight="1" x14ac:dyDescent="0.25">
      <c r="A590" s="729"/>
      <c r="B590" s="302"/>
      <c r="C590" s="302"/>
      <c r="D590" s="1820"/>
      <c r="E590" s="2820" t="str">
        <f>Translations!$B$558</f>
        <v>Нетно количество топлинна енергия, получена от подинсталации за азотна киселина</v>
      </c>
      <c r="F590" s="2258"/>
      <c r="G590" s="1319" t="str">
        <f>EUconst_TJpa</f>
        <v>TJ / година</v>
      </c>
      <c r="H590" s="480" t="str">
        <f>IF($I500="","",IF(INDEX(F_ProductBM!H:H,MATCH($P590,F_ProductBM!$Q:$Q,0))="","",INDEX(F_ProductBM!H:H,MATCH($P590,F_ProductBM!$Q:$Q,0))))</f>
        <v/>
      </c>
      <c r="I590" s="1399" t="str">
        <f>IF($I500="","",IF(INDEX(F_ProductBM!I:I,MATCH($P590,F_ProductBM!$Q:$Q,0))="","",INDEX(F_ProductBM!I:I,MATCH($P590,F_ProductBM!$Q:$Q,0))))</f>
        <v/>
      </c>
      <c r="J590" s="1832" t="str">
        <f>IF($I500="","",IF(INDEX(F_ProductBM!J:J,MATCH($P590,F_ProductBM!$Q:$Q,0))="","",INDEX(F_ProductBM!J:J,MATCH($P590,F_ProductBM!$Q:$Q,0))))</f>
        <v/>
      </c>
      <c r="K590" s="480" t="str">
        <f>IF($I500="","",IF(INDEX(F_ProductBM!K:K,MATCH($P590,F_ProductBM!$Q:$Q,0))="","",INDEX(F_ProductBM!K:K,MATCH($P590,F_ProductBM!$Q:$Q,0))))</f>
        <v/>
      </c>
      <c r="L590" s="480" t="str">
        <f>IF($I500="","",IF(INDEX(F_ProductBM!L:L,MATCH($P590,F_ProductBM!$Q:$Q,0))="","",INDEX(F_ProductBM!L:L,MATCH($P590,F_ProductBM!$Q:$Q,0))))</f>
        <v/>
      </c>
      <c r="M590" s="480" t="str">
        <f>IF($I500="","",IF(INDEX(F_ProductBM!M:M,MATCH($P590,F_ProductBM!$Q:$Q,0))="","",INDEX(F_ProductBM!M:M,MATCH($P590,F_ProductBM!$Q:$Q,0))))</f>
        <v/>
      </c>
      <c r="N590" s="1833" t="str">
        <f>IF($I500="","",IF(INDEX(F_ProductBM!N:N,MATCH($P590,F_ProductBM!$Q:$Q,0))="","",INDEX(F_ProductBM!N:N,MATCH($P590,F_ProductBM!$Q:$Q,0))))</f>
        <v/>
      </c>
      <c r="O590" s="698"/>
      <c r="P590" s="1500" t="str">
        <f>EUconst_CNTR_HeatImportNitric &amp; I500</f>
        <v>HeatImNitric_</v>
      </c>
      <c r="Q590" s="729"/>
      <c r="R590" s="729"/>
      <c r="S590" s="729"/>
      <c r="T590" s="770"/>
      <c r="U590" s="343"/>
      <c r="V590" s="343"/>
    </row>
    <row r="591" spans="1:22" s="364" customFormat="1" ht="5.15" customHeight="1" x14ac:dyDescent="0.25">
      <c r="A591" s="729"/>
      <c r="B591" s="302"/>
      <c r="C591" s="302"/>
      <c r="D591" s="1820"/>
      <c r="E591" s="643"/>
      <c r="F591" s="643"/>
      <c r="G591" s="625"/>
      <c r="H591" s="640"/>
      <c r="I591" s="640"/>
      <c r="J591" s="640"/>
      <c r="K591" s="640"/>
      <c r="L591" s="640"/>
      <c r="M591" s="640"/>
      <c r="N591" s="1831"/>
      <c r="O591" s="698"/>
      <c r="P591" s="770"/>
      <c r="Q591" s="729"/>
      <c r="R591" s="729"/>
      <c r="S591" s="729"/>
      <c r="T591" s="770"/>
      <c r="U591" s="343"/>
      <c r="V591" s="343"/>
    </row>
    <row r="592" spans="1:22" s="364" customFormat="1" ht="12.75" customHeight="1" x14ac:dyDescent="0.25">
      <c r="A592" s="729"/>
      <c r="B592" s="302"/>
      <c r="C592" s="302"/>
      <c r="D592" s="1820"/>
      <c r="E592" s="2818" t="str">
        <f>Translations!$B$560</f>
        <v>Нетно количество подадена топлинна енергия</v>
      </c>
      <c r="F592" s="2701"/>
      <c r="G592" s="1326" t="str">
        <f>EUconst_TJpa</f>
        <v>TJ / година</v>
      </c>
      <c r="H592" s="482" t="str">
        <f>IF($I500="","",IF(INDEX(F_ProductBM!H:H,MATCH($P592,F_ProductBM!$Q:$Q,0))="","",INDEX(F_ProductBM!H:H,MATCH($P592,F_ProductBM!$Q:$Q,0))))</f>
        <v/>
      </c>
      <c r="I592" s="1824" t="str">
        <f>IF($I500="","",IF(INDEX(F_ProductBM!I:I,MATCH($P592,F_ProductBM!$Q:$Q,0))="","",INDEX(F_ProductBM!I:I,MATCH($P592,F_ProductBM!$Q:$Q,0))))</f>
        <v/>
      </c>
      <c r="J592" s="1825" t="str">
        <f>IF($I500="","",IF(INDEX(F_ProductBM!J:J,MATCH($P592,F_ProductBM!$Q:$Q,0))="","",INDEX(F_ProductBM!J:J,MATCH($P592,F_ProductBM!$Q:$Q,0))))</f>
        <v/>
      </c>
      <c r="K592" s="482" t="str">
        <f>IF($I500="","",IF(INDEX(F_ProductBM!K:K,MATCH($P592,F_ProductBM!$Q:$Q,0))="","",INDEX(F_ProductBM!K:K,MATCH($P592,F_ProductBM!$Q:$Q,0))))</f>
        <v/>
      </c>
      <c r="L592" s="482" t="str">
        <f>IF($I500="","",IF(INDEX(F_ProductBM!L:L,MATCH($P592,F_ProductBM!$Q:$Q,0))="","",INDEX(F_ProductBM!L:L,MATCH($P592,F_ProductBM!$Q:$Q,0))))</f>
        <v/>
      </c>
      <c r="M592" s="482" t="str">
        <f>IF($I500="","",IF(INDEX(F_ProductBM!M:M,MATCH($P592,F_ProductBM!$Q:$Q,0))="","",INDEX(F_ProductBM!M:M,MATCH($P592,F_ProductBM!$Q:$Q,0))))</f>
        <v/>
      </c>
      <c r="N592" s="1826" t="str">
        <f>IF($I500="","",IF(INDEX(F_ProductBM!N:N,MATCH($P592,F_ProductBM!$Q:$Q,0))="","",INDEX(F_ProductBM!N:N,MATCH($P592,F_ProductBM!$Q:$Q,0))))</f>
        <v/>
      </c>
      <c r="O592" s="698"/>
      <c r="P592" s="1500" t="str">
        <f>EUconst_CNTR_HeatExport &amp; I500</f>
        <v>HeatEx_</v>
      </c>
      <c r="Q592" s="729"/>
      <c r="R592" s="729"/>
      <c r="S592" s="729"/>
      <c r="T592" s="770"/>
      <c r="U592" s="343"/>
      <c r="V592" s="343"/>
    </row>
    <row r="593" spans="1:22" s="364" customFormat="1" ht="12.75" customHeight="1" x14ac:dyDescent="0.25">
      <c r="A593" s="729"/>
      <c r="B593" s="302"/>
      <c r="C593" s="302"/>
      <c r="D593" s="1820"/>
      <c r="E593" s="2819" t="str">
        <f>Translations!$B$561</f>
        <v>Специфичен EF (подадена топлинна енергия)</v>
      </c>
      <c r="F593" s="2705"/>
      <c r="G593" s="1329" t="str">
        <f>EUconst_tCO2pTJ</f>
        <v>t CO2 / TJ</v>
      </c>
      <c r="H593" s="484" t="str">
        <f>IF($I500="","",IF(INDEX(F_ProductBM!H:H,MATCH($P593,F_ProductBM!$Q:$Q,0))="","",INDEX(F_ProductBM!H:H,MATCH($P593,F_ProductBM!$Q:$Q,0))))</f>
        <v/>
      </c>
      <c r="I593" s="1828" t="str">
        <f>IF($I500="","",IF(INDEX(F_ProductBM!I:I,MATCH($P593,F_ProductBM!$Q:$Q,0))="","",INDEX(F_ProductBM!I:I,MATCH($P593,F_ProductBM!$Q:$Q,0))))</f>
        <v/>
      </c>
      <c r="J593" s="1829" t="str">
        <f>IF($I500="","",IF(INDEX(F_ProductBM!J:J,MATCH($P593,F_ProductBM!$Q:$Q,0))="","",INDEX(F_ProductBM!J:J,MATCH($P593,F_ProductBM!$Q:$Q,0))))</f>
        <v/>
      </c>
      <c r="K593" s="484" t="str">
        <f>IF($I500="","",IF(INDEX(F_ProductBM!K:K,MATCH($P593,F_ProductBM!$Q:$Q,0))="","",INDEX(F_ProductBM!K:K,MATCH($P593,F_ProductBM!$Q:$Q,0))))</f>
        <v/>
      </c>
      <c r="L593" s="484" t="str">
        <f>IF($I500="","",IF(INDEX(F_ProductBM!L:L,MATCH($P593,F_ProductBM!$Q:$Q,0))="","",INDEX(F_ProductBM!L:L,MATCH($P593,F_ProductBM!$Q:$Q,0))))</f>
        <v/>
      </c>
      <c r="M593" s="484" t="str">
        <f>IF($I500="","",IF(INDEX(F_ProductBM!M:M,MATCH($P593,F_ProductBM!$Q:$Q,0))="","",INDEX(F_ProductBM!M:M,MATCH($P593,F_ProductBM!$Q:$Q,0))))</f>
        <v/>
      </c>
      <c r="N593" s="1830" t="str">
        <f>IF($I500="","",IF(INDEX(F_ProductBM!N:N,MATCH($P593,F_ProductBM!$Q:$Q,0))="","",INDEX(F_ProductBM!N:N,MATCH($P593,F_ProductBM!$Q:$Q,0))))</f>
        <v/>
      </c>
      <c r="O593" s="698"/>
      <c r="P593" s="1500" t="str">
        <f>EUconst_CNTR_HeatExportEF &amp; I500</f>
        <v>HeatExEF_</v>
      </c>
      <c r="Q593" s="729"/>
      <c r="R593" s="729"/>
      <c r="S593" s="729"/>
      <c r="T593" s="770"/>
      <c r="U593" s="343"/>
      <c r="V593" s="343"/>
    </row>
    <row r="594" spans="1:22" s="364" customFormat="1" ht="5.15" customHeight="1" x14ac:dyDescent="0.25">
      <c r="A594" s="729"/>
      <c r="B594" s="302"/>
      <c r="C594" s="302"/>
      <c r="D594" s="1820"/>
      <c r="E594" s="643"/>
      <c r="F594" s="643"/>
      <c r="G594" s="625"/>
      <c r="H594" s="640"/>
      <c r="I594" s="640"/>
      <c r="J594" s="640"/>
      <c r="K594" s="640"/>
      <c r="L594" s="640"/>
      <c r="M594" s="640"/>
      <c r="N594" s="1831"/>
      <c r="O594" s="698"/>
      <c r="P594" s="770"/>
      <c r="Q594" s="729"/>
      <c r="R594" s="729"/>
      <c r="S594" s="729"/>
      <c r="T594" s="770"/>
      <c r="U594" s="343"/>
      <c r="V594" s="343"/>
    </row>
    <row r="595" spans="1:22" s="364" customFormat="1" ht="12.75" customHeight="1" x14ac:dyDescent="0.25">
      <c r="A595" s="729"/>
      <c r="B595" s="302"/>
      <c r="C595" s="302"/>
      <c r="D595" s="1820"/>
      <c r="E595" s="2818" t="str">
        <f>Translations!$B$568</f>
        <v>Произведен отпаден газ</v>
      </c>
      <c r="F595" s="2701"/>
      <c r="G595" s="1326" t="str">
        <f>EUconst_TJpa</f>
        <v>TJ / година</v>
      </c>
      <c r="H595" s="482" t="str">
        <f>IF($I500="","",IF(INDEX(F_ProductBM!H:H,MATCH($P595,F_ProductBM!$Q:$Q,0))="","",INDEX(F_ProductBM!H:H,MATCH($P595,F_ProductBM!$Q:$Q,0))))</f>
        <v/>
      </c>
      <c r="I595" s="1824" t="str">
        <f>IF($I500="","",IF(INDEX(F_ProductBM!I:I,MATCH($P595,F_ProductBM!$Q:$Q,0))="","",INDEX(F_ProductBM!I:I,MATCH($P595,F_ProductBM!$Q:$Q,0))))</f>
        <v/>
      </c>
      <c r="J595" s="1825" t="str">
        <f>IF($I500="","",IF(INDEX(F_ProductBM!J:J,MATCH($P595,F_ProductBM!$Q:$Q,0))="","",INDEX(F_ProductBM!J:J,MATCH($P595,F_ProductBM!$Q:$Q,0))))</f>
        <v/>
      </c>
      <c r="K595" s="482" t="str">
        <f>IF($I500="","",IF(INDEX(F_ProductBM!K:K,MATCH($P595,F_ProductBM!$Q:$Q,0))="","",INDEX(F_ProductBM!K:K,MATCH($P595,F_ProductBM!$Q:$Q,0))))</f>
        <v/>
      </c>
      <c r="L595" s="482" t="str">
        <f>IF($I500="","",IF(INDEX(F_ProductBM!L:L,MATCH($P595,F_ProductBM!$Q:$Q,0))="","",INDEX(F_ProductBM!L:L,MATCH($P595,F_ProductBM!$Q:$Q,0))))</f>
        <v/>
      </c>
      <c r="M595" s="482" t="str">
        <f>IF($I500="","",IF(INDEX(F_ProductBM!M:M,MATCH($P595,F_ProductBM!$Q:$Q,0))="","",INDEX(F_ProductBM!M:M,MATCH($P595,F_ProductBM!$Q:$Q,0))))</f>
        <v/>
      </c>
      <c r="N595" s="1826" t="str">
        <f>IF($I500="","",IF(INDEX(F_ProductBM!N:N,MATCH($P595,F_ProductBM!$Q:$Q,0))="","",INDEX(F_ProductBM!N:N,MATCH($P595,F_ProductBM!$Q:$Q,0))))</f>
        <v/>
      </c>
      <c r="O595" s="698"/>
      <c r="P595" s="1827" t="str">
        <f>EUconst_CNTR_WGProduced &amp; I500</f>
        <v>WasteGasProd_</v>
      </c>
      <c r="Q595" s="729"/>
      <c r="R595" s="729"/>
      <c r="S595" s="729"/>
      <c r="T595" s="770"/>
      <c r="U595" s="343"/>
      <c r="V595" s="343"/>
    </row>
    <row r="596" spans="1:22" s="364" customFormat="1" ht="12.75" customHeight="1" x14ac:dyDescent="0.25">
      <c r="A596" s="729"/>
      <c r="B596" s="302"/>
      <c r="C596" s="302"/>
      <c r="D596" s="1820"/>
      <c r="E596" s="2819" t="str">
        <f>Translations!$B$569</f>
        <v>Специфичен EF (произведен отпаден газ)</v>
      </c>
      <c r="F596" s="2705"/>
      <c r="G596" s="1329" t="str">
        <f>EUconst_tCO2pTJ</f>
        <v>t CO2 / TJ</v>
      </c>
      <c r="H596" s="484" t="str">
        <f>IF($I500="","",IF(INDEX(F_ProductBM!H:H,MATCH($P596,F_ProductBM!$Q:$Q,0))="","",INDEX(F_ProductBM!H:H,MATCH($P596,F_ProductBM!$Q:$Q,0))))</f>
        <v/>
      </c>
      <c r="I596" s="1828" t="str">
        <f>IF($I500="","",IF(INDEX(F_ProductBM!I:I,MATCH($P596,F_ProductBM!$Q:$Q,0))="","",INDEX(F_ProductBM!I:I,MATCH($P596,F_ProductBM!$Q:$Q,0))))</f>
        <v/>
      </c>
      <c r="J596" s="1829" t="str">
        <f>IF($I500="","",IF(INDEX(F_ProductBM!J:J,MATCH($P596,F_ProductBM!$Q:$Q,0))="","",INDEX(F_ProductBM!J:J,MATCH($P596,F_ProductBM!$Q:$Q,0))))</f>
        <v/>
      </c>
      <c r="K596" s="484" t="str">
        <f>IF($I500="","",IF(INDEX(F_ProductBM!K:K,MATCH($P596,F_ProductBM!$Q:$Q,0))="","",INDEX(F_ProductBM!K:K,MATCH($P596,F_ProductBM!$Q:$Q,0))))</f>
        <v/>
      </c>
      <c r="L596" s="484" t="str">
        <f>IF($I500="","",IF(INDEX(F_ProductBM!L:L,MATCH($P596,F_ProductBM!$Q:$Q,0))="","",INDEX(F_ProductBM!L:L,MATCH($P596,F_ProductBM!$Q:$Q,0))))</f>
        <v/>
      </c>
      <c r="M596" s="484" t="str">
        <f>IF($I500="","",IF(INDEX(F_ProductBM!M:M,MATCH($P596,F_ProductBM!$Q:$Q,0))="","",INDEX(F_ProductBM!M:M,MATCH($P596,F_ProductBM!$Q:$Q,0))))</f>
        <v/>
      </c>
      <c r="N596" s="1830" t="str">
        <f>IF($I500="","",IF(INDEX(F_ProductBM!N:N,MATCH($P596,F_ProductBM!$Q:$Q,0))="","",INDEX(F_ProductBM!N:N,MATCH($P596,F_ProductBM!$Q:$Q,0))))</f>
        <v/>
      </c>
      <c r="O596" s="698"/>
      <c r="P596" s="1500" t="str">
        <f>EUconst_CNTR_WGProducedEF &amp; I500</f>
        <v>WasteGasProdEF_</v>
      </c>
      <c r="Q596" s="729"/>
      <c r="R596" s="729"/>
      <c r="S596" s="729"/>
      <c r="T596" s="770"/>
      <c r="U596" s="343"/>
      <c r="V596" s="343"/>
    </row>
    <row r="597" spans="1:22" s="364" customFormat="1" ht="12.75" customHeight="1" x14ac:dyDescent="0.25">
      <c r="A597" s="729"/>
      <c r="B597" s="302"/>
      <c r="C597" s="302"/>
      <c r="D597" s="1820"/>
      <c r="E597" s="2818" t="str">
        <f>Translations!$B$573</f>
        <v>Консумиран отпаден газ</v>
      </c>
      <c r="F597" s="2701"/>
      <c r="G597" s="1326" t="str">
        <f>EUconst_TJpa</f>
        <v>TJ / година</v>
      </c>
      <c r="H597" s="482" t="str">
        <f>IF($I500="","",IF(INDEX(F_ProductBM!H:H,MATCH($P597,F_ProductBM!$Q:$Q,0))="","",INDEX(F_ProductBM!H:H,MATCH($P597,F_ProductBM!$Q:$Q,0))))</f>
        <v/>
      </c>
      <c r="I597" s="1824" t="str">
        <f>IF($I500="","",IF(INDEX(F_ProductBM!I:I,MATCH($P597,F_ProductBM!$Q:$Q,0))="","",INDEX(F_ProductBM!I:I,MATCH($P597,F_ProductBM!$Q:$Q,0))))</f>
        <v/>
      </c>
      <c r="J597" s="1825" t="str">
        <f>IF($I500="","",IF(INDEX(F_ProductBM!J:J,MATCH($P597,F_ProductBM!$Q:$Q,0))="","",INDEX(F_ProductBM!J:J,MATCH($P597,F_ProductBM!$Q:$Q,0))))</f>
        <v/>
      </c>
      <c r="K597" s="482" t="str">
        <f>IF($I500="","",IF(INDEX(F_ProductBM!K:K,MATCH($P597,F_ProductBM!$Q:$Q,0))="","",INDEX(F_ProductBM!K:K,MATCH($P597,F_ProductBM!$Q:$Q,0))))</f>
        <v/>
      </c>
      <c r="L597" s="482" t="str">
        <f>IF($I500="","",IF(INDEX(F_ProductBM!L:L,MATCH($P597,F_ProductBM!$Q:$Q,0))="","",INDEX(F_ProductBM!L:L,MATCH($P597,F_ProductBM!$Q:$Q,0))))</f>
        <v/>
      </c>
      <c r="M597" s="482" t="str">
        <f>IF($I500="","",IF(INDEX(F_ProductBM!M:M,MATCH($P597,F_ProductBM!$Q:$Q,0))="","",INDEX(F_ProductBM!M:M,MATCH($P597,F_ProductBM!$Q:$Q,0))))</f>
        <v/>
      </c>
      <c r="N597" s="1826" t="str">
        <f>IF($I500="","",IF(INDEX(F_ProductBM!N:N,MATCH($P597,F_ProductBM!$Q:$Q,0))="","",INDEX(F_ProductBM!N:N,MATCH($P597,F_ProductBM!$Q:$Q,0))))</f>
        <v/>
      </c>
      <c r="O597" s="698"/>
      <c r="P597" s="1500" t="str">
        <f>EUconst_CNTR_WGConsumed &amp; I500</f>
        <v>WasteGasCons_</v>
      </c>
      <c r="Q597" s="729"/>
      <c r="R597" s="729"/>
      <c r="S597" s="729"/>
      <c r="T597" s="770"/>
      <c r="U597" s="343"/>
      <c r="V597" s="343"/>
    </row>
    <row r="598" spans="1:22" s="364" customFormat="1" ht="12.75" customHeight="1" x14ac:dyDescent="0.25">
      <c r="A598" s="729"/>
      <c r="B598" s="302"/>
      <c r="C598" s="302"/>
      <c r="D598" s="1820"/>
      <c r="E598" s="2819" t="str">
        <f>Translations!$B$574</f>
        <v>Специфичен EF (консумиран отпаден газ)</v>
      </c>
      <c r="F598" s="2705"/>
      <c r="G598" s="1329" t="str">
        <f>EUconst_tCO2pTJ</f>
        <v>t CO2 / TJ</v>
      </c>
      <c r="H598" s="484" t="str">
        <f>IF($I500="","",IF(INDEX(F_ProductBM!H:H,MATCH($P598,F_ProductBM!$Q:$Q,0))="","",INDEX(F_ProductBM!H:H,MATCH($P598,F_ProductBM!$Q:$Q,0))))</f>
        <v/>
      </c>
      <c r="I598" s="1828" t="str">
        <f>IF($I500="","",IF(INDEX(F_ProductBM!I:I,MATCH($P598,F_ProductBM!$Q:$Q,0))="","",INDEX(F_ProductBM!I:I,MATCH($P598,F_ProductBM!$Q:$Q,0))))</f>
        <v/>
      </c>
      <c r="J598" s="1829" t="str">
        <f>IF($I500="","",IF(INDEX(F_ProductBM!J:J,MATCH($P598,F_ProductBM!$Q:$Q,0))="","",INDEX(F_ProductBM!J:J,MATCH($P598,F_ProductBM!$Q:$Q,0))))</f>
        <v/>
      </c>
      <c r="K598" s="484" t="str">
        <f>IF($I500="","",IF(INDEX(F_ProductBM!K:K,MATCH($P598,F_ProductBM!$Q:$Q,0))="","",INDEX(F_ProductBM!K:K,MATCH($P598,F_ProductBM!$Q:$Q,0))))</f>
        <v/>
      </c>
      <c r="L598" s="484" t="str">
        <f>IF($I500="","",IF(INDEX(F_ProductBM!L:L,MATCH($P598,F_ProductBM!$Q:$Q,0))="","",INDEX(F_ProductBM!L:L,MATCH($P598,F_ProductBM!$Q:$Q,0))))</f>
        <v/>
      </c>
      <c r="M598" s="484" t="str">
        <f>IF($I500="","",IF(INDEX(F_ProductBM!M:M,MATCH($P598,F_ProductBM!$Q:$Q,0))="","",INDEX(F_ProductBM!M:M,MATCH($P598,F_ProductBM!$Q:$Q,0))))</f>
        <v/>
      </c>
      <c r="N598" s="1830" t="str">
        <f>IF($I500="","",IF(INDEX(F_ProductBM!N:N,MATCH($P598,F_ProductBM!$Q:$Q,0))="","",INDEX(F_ProductBM!N:N,MATCH($P598,F_ProductBM!$Q:$Q,0))))</f>
        <v/>
      </c>
      <c r="O598" s="698"/>
      <c r="P598" s="1500" t="str">
        <f>EUconst_CNTR_WGConsumedEF &amp; I500</f>
        <v>WasteGasConsEF_</v>
      </c>
      <c r="Q598" s="729"/>
      <c r="R598" s="729"/>
      <c r="S598" s="729"/>
      <c r="T598" s="770"/>
      <c r="U598" s="343"/>
      <c r="V598" s="343"/>
    </row>
    <row r="599" spans="1:22" s="364" customFormat="1" ht="12.75" customHeight="1" x14ac:dyDescent="0.25">
      <c r="A599" s="729"/>
      <c r="B599" s="302"/>
      <c r="C599" s="302"/>
      <c r="D599" s="1820"/>
      <c r="E599" s="2818" t="str">
        <f>Translations!$B$580</f>
        <v>Изгорен във факел отпаден газ</v>
      </c>
      <c r="F599" s="2701"/>
      <c r="G599" s="1326" t="str">
        <f>EUconst_TJpa</f>
        <v>TJ / година</v>
      </c>
      <c r="H599" s="482" t="str">
        <f>IF($I500="","",IF(INDEX(F_ProductBM!H:H,MATCH($P599,F_ProductBM!$Q:$Q,0))="","",INDEX(F_ProductBM!H:H,MATCH($P599,F_ProductBM!$Q:$Q,0))))</f>
        <v/>
      </c>
      <c r="I599" s="1824" t="str">
        <f>IF($I500="","",IF(INDEX(F_ProductBM!I:I,MATCH($P599,F_ProductBM!$Q:$Q,0))="","",INDEX(F_ProductBM!I:I,MATCH($P599,F_ProductBM!$Q:$Q,0))))</f>
        <v/>
      </c>
      <c r="J599" s="1825" t="str">
        <f>IF($I500="","",IF(INDEX(F_ProductBM!J:J,MATCH($P599,F_ProductBM!$Q:$Q,0))="","",INDEX(F_ProductBM!J:J,MATCH($P599,F_ProductBM!$Q:$Q,0))))</f>
        <v/>
      </c>
      <c r="K599" s="482" t="str">
        <f>IF($I500="","",IF(INDEX(F_ProductBM!K:K,MATCH($P599,F_ProductBM!$Q:$Q,0))="","",INDEX(F_ProductBM!K:K,MATCH($P599,F_ProductBM!$Q:$Q,0))))</f>
        <v/>
      </c>
      <c r="L599" s="482" t="str">
        <f>IF($I500="","",IF(INDEX(F_ProductBM!L:L,MATCH($P599,F_ProductBM!$Q:$Q,0))="","",INDEX(F_ProductBM!L:L,MATCH($P599,F_ProductBM!$Q:$Q,0))))</f>
        <v/>
      </c>
      <c r="M599" s="482" t="str">
        <f>IF($I500="","",IF(INDEX(F_ProductBM!M:M,MATCH($P599,F_ProductBM!$Q:$Q,0))="","",INDEX(F_ProductBM!M:M,MATCH($P599,F_ProductBM!$Q:$Q,0))))</f>
        <v/>
      </c>
      <c r="N599" s="1826" t="str">
        <f>IF($I500="","",IF(INDEX(F_ProductBM!N:N,MATCH($P599,F_ProductBM!$Q:$Q,0))="","",INDEX(F_ProductBM!N:N,MATCH($P599,F_ProductBM!$Q:$Q,0))))</f>
        <v/>
      </c>
      <c r="O599" s="698"/>
      <c r="P599" s="1500" t="str">
        <f>EUconst_CNTR_WGFlared &amp; I500</f>
        <v>WasteGasFlare_</v>
      </c>
      <c r="Q599" s="729"/>
      <c r="R599" s="729"/>
      <c r="S599" s="729"/>
      <c r="T599" s="770"/>
      <c r="U599" s="343"/>
      <c r="V599" s="343"/>
    </row>
    <row r="600" spans="1:22" s="364" customFormat="1" ht="12.75" customHeight="1" x14ac:dyDescent="0.25">
      <c r="A600" s="729"/>
      <c r="B600" s="302"/>
      <c r="C600" s="302"/>
      <c r="D600" s="1820"/>
      <c r="E600" s="2819" t="str">
        <f>Translations!$B$581</f>
        <v>Специфичен EF (изгорен във факел отпаден газ)</v>
      </c>
      <c r="F600" s="2705"/>
      <c r="G600" s="1329" t="str">
        <f>EUconst_tCO2pTJ</f>
        <v>t CO2 / TJ</v>
      </c>
      <c r="H600" s="484" t="str">
        <f>IF($I500="","",IF(INDEX(F_ProductBM!H:H,MATCH($P600,F_ProductBM!$Q:$Q,0))="","",INDEX(F_ProductBM!H:H,MATCH($P600,F_ProductBM!$Q:$Q,0))))</f>
        <v/>
      </c>
      <c r="I600" s="1828" t="str">
        <f>IF($I500="","",IF(INDEX(F_ProductBM!I:I,MATCH($P600,F_ProductBM!$Q:$Q,0))="","",INDEX(F_ProductBM!I:I,MATCH($P600,F_ProductBM!$Q:$Q,0))))</f>
        <v/>
      </c>
      <c r="J600" s="1829" t="str">
        <f>IF($I500="","",IF(INDEX(F_ProductBM!J:J,MATCH($P600,F_ProductBM!$Q:$Q,0))="","",INDEX(F_ProductBM!J:J,MATCH($P600,F_ProductBM!$Q:$Q,0))))</f>
        <v/>
      </c>
      <c r="K600" s="484" t="str">
        <f>IF($I500="","",IF(INDEX(F_ProductBM!K:K,MATCH($P600,F_ProductBM!$Q:$Q,0))="","",INDEX(F_ProductBM!K:K,MATCH($P600,F_ProductBM!$Q:$Q,0))))</f>
        <v/>
      </c>
      <c r="L600" s="484" t="str">
        <f>IF($I500="","",IF(INDEX(F_ProductBM!L:L,MATCH($P600,F_ProductBM!$Q:$Q,0))="","",INDEX(F_ProductBM!L:L,MATCH($P600,F_ProductBM!$Q:$Q,0))))</f>
        <v/>
      </c>
      <c r="M600" s="484" t="str">
        <f>IF($I500="","",IF(INDEX(F_ProductBM!M:M,MATCH($P600,F_ProductBM!$Q:$Q,0))="","",INDEX(F_ProductBM!M:M,MATCH($P600,F_ProductBM!$Q:$Q,0))))</f>
        <v/>
      </c>
      <c r="N600" s="1830" t="str">
        <f>IF($I500="","",IF(INDEX(F_ProductBM!N:N,MATCH($P600,F_ProductBM!$Q:$Q,0))="","",INDEX(F_ProductBM!N:N,MATCH($P600,F_ProductBM!$Q:$Q,0))))</f>
        <v/>
      </c>
      <c r="O600" s="698"/>
      <c r="P600" s="1500" t="str">
        <f>EUconst_CNTR_WGFlaredEF &amp; I500</f>
        <v>WasteGasFlareEF_</v>
      </c>
      <c r="Q600" s="729"/>
      <c r="R600" s="729"/>
      <c r="S600" s="729"/>
      <c r="T600" s="770"/>
      <c r="U600" s="343"/>
      <c r="V600" s="343"/>
    </row>
    <row r="601" spans="1:22" s="364" customFormat="1" ht="12.75" customHeight="1" x14ac:dyDescent="0.25">
      <c r="A601" s="729"/>
      <c r="B601" s="302"/>
      <c r="C601" s="302"/>
      <c r="D601" s="1820"/>
      <c r="E601" s="2818" t="str">
        <f>Translations!$B$586</f>
        <v>Получен отпаден газ</v>
      </c>
      <c r="F601" s="2701"/>
      <c r="G601" s="1326" t="str">
        <f>EUconst_TJpa</f>
        <v>TJ / година</v>
      </c>
      <c r="H601" s="482" t="str">
        <f>IF($I500="","",IF(INDEX(F_ProductBM!H:H,MATCH($P601,F_ProductBM!$Q:$Q,0))="","",INDEX(F_ProductBM!H:H,MATCH($P601,F_ProductBM!$Q:$Q,0))))</f>
        <v/>
      </c>
      <c r="I601" s="1824" t="str">
        <f>IF($I500="","",IF(INDEX(F_ProductBM!I:I,MATCH($P601,F_ProductBM!$Q:$Q,0))="","",INDEX(F_ProductBM!I:I,MATCH($P601,F_ProductBM!$Q:$Q,0))))</f>
        <v/>
      </c>
      <c r="J601" s="1825" t="str">
        <f>IF($I500="","",IF(INDEX(F_ProductBM!J:J,MATCH($P601,F_ProductBM!$Q:$Q,0))="","",INDEX(F_ProductBM!J:J,MATCH($P601,F_ProductBM!$Q:$Q,0))))</f>
        <v/>
      </c>
      <c r="K601" s="482" t="str">
        <f>IF($I500="","",IF(INDEX(F_ProductBM!K:K,MATCH($P601,F_ProductBM!$Q:$Q,0))="","",INDEX(F_ProductBM!K:K,MATCH($P601,F_ProductBM!$Q:$Q,0))))</f>
        <v/>
      </c>
      <c r="L601" s="482" t="str">
        <f>IF($I500="","",IF(INDEX(F_ProductBM!L:L,MATCH($P601,F_ProductBM!$Q:$Q,0))="","",INDEX(F_ProductBM!L:L,MATCH($P601,F_ProductBM!$Q:$Q,0))))</f>
        <v/>
      </c>
      <c r="M601" s="482" t="str">
        <f>IF($I500="","",IF(INDEX(F_ProductBM!M:M,MATCH($P601,F_ProductBM!$Q:$Q,0))="","",INDEX(F_ProductBM!M:M,MATCH($P601,F_ProductBM!$Q:$Q,0))))</f>
        <v/>
      </c>
      <c r="N601" s="1826" t="str">
        <f>IF($I500="","",IF(INDEX(F_ProductBM!N:N,MATCH($P601,F_ProductBM!$Q:$Q,0))="","",INDEX(F_ProductBM!N:N,MATCH($P601,F_ProductBM!$Q:$Q,0))))</f>
        <v/>
      </c>
      <c r="O601" s="698"/>
      <c r="P601" s="1500" t="str">
        <f>EUconst_CNTR_WGImport &amp; I500</f>
        <v>WasteGasIm_</v>
      </c>
      <c r="Q601" s="729"/>
      <c r="R601" s="729"/>
      <c r="S601" s="729"/>
      <c r="T601" s="770"/>
      <c r="U601" s="343"/>
      <c r="V601" s="343"/>
    </row>
    <row r="602" spans="1:22" s="364" customFormat="1" ht="12.75" customHeight="1" x14ac:dyDescent="0.25">
      <c r="A602" s="729"/>
      <c r="B602" s="302"/>
      <c r="C602" s="302"/>
      <c r="D602" s="1820"/>
      <c r="E602" s="1834" t="str">
        <f>Translations!$B$587</f>
        <v>Специфичен EF (получен отпаден газ)</v>
      </c>
      <c r="F602" s="1834"/>
      <c r="G602" s="639" t="str">
        <f>EUconst_tCO2pTJ</f>
        <v>t CO2 / TJ</v>
      </c>
      <c r="H602" s="484" t="str">
        <f>IF($I500="","",IF(INDEX(F_ProductBM!H:H,MATCH($P602,F_ProductBM!$Q:$Q,0))="","",INDEX(F_ProductBM!H:H,MATCH($P602,F_ProductBM!$Q:$Q,0))))</f>
        <v/>
      </c>
      <c r="I602" s="1828" t="str">
        <f>IF($I500="","",IF(INDEX(F_ProductBM!I:I,MATCH($P602,F_ProductBM!$Q:$Q,0))="","",INDEX(F_ProductBM!I:I,MATCH($P602,F_ProductBM!$Q:$Q,0))))</f>
        <v/>
      </c>
      <c r="J602" s="1829" t="str">
        <f>IF($I500="","",IF(INDEX(F_ProductBM!J:J,MATCH($P602,F_ProductBM!$Q:$Q,0))="","",INDEX(F_ProductBM!J:J,MATCH($P602,F_ProductBM!$Q:$Q,0))))</f>
        <v/>
      </c>
      <c r="K602" s="484" t="str">
        <f>IF($I500="","",IF(INDEX(F_ProductBM!K:K,MATCH($P602,F_ProductBM!$Q:$Q,0))="","",INDEX(F_ProductBM!K:K,MATCH($P602,F_ProductBM!$Q:$Q,0))))</f>
        <v/>
      </c>
      <c r="L602" s="484" t="str">
        <f>IF($I500="","",IF(INDEX(F_ProductBM!L:L,MATCH($P602,F_ProductBM!$Q:$Q,0))="","",INDEX(F_ProductBM!L:L,MATCH($P602,F_ProductBM!$Q:$Q,0))))</f>
        <v/>
      </c>
      <c r="M602" s="484" t="str">
        <f>IF($I500="","",IF(INDEX(F_ProductBM!M:M,MATCH($P602,F_ProductBM!$Q:$Q,0))="","",INDEX(F_ProductBM!M:M,MATCH($P602,F_ProductBM!$Q:$Q,0))))</f>
        <v/>
      </c>
      <c r="N602" s="1830" t="str">
        <f>IF($I500="","",IF(INDEX(F_ProductBM!N:N,MATCH($P602,F_ProductBM!$Q:$Q,0))="","",INDEX(F_ProductBM!N:N,MATCH($P602,F_ProductBM!$Q:$Q,0))))</f>
        <v/>
      </c>
      <c r="O602" s="698"/>
      <c r="P602" s="1500" t="str">
        <f>EUconst_CNTR_WGImportEF &amp; I500</f>
        <v>WasteGasImEF_</v>
      </c>
      <c r="Q602" s="729"/>
      <c r="R602" s="729"/>
      <c r="S602" s="729"/>
      <c r="T602" s="770"/>
      <c r="U602" s="343"/>
      <c r="V602" s="343"/>
    </row>
    <row r="603" spans="1:22" s="364" customFormat="1" ht="12.75" customHeight="1" x14ac:dyDescent="0.25">
      <c r="A603" s="729"/>
      <c r="B603" s="302"/>
      <c r="C603" s="302"/>
      <c r="D603" s="1820"/>
      <c r="E603" s="2818" t="str">
        <f>Translations!$B$591</f>
        <v>Подаден отпаден газ</v>
      </c>
      <c r="F603" s="2701"/>
      <c r="G603" s="1326" t="str">
        <f>EUconst_TJpa</f>
        <v>TJ / година</v>
      </c>
      <c r="H603" s="482" t="str">
        <f>IF($I500="","",IF(INDEX(F_ProductBM!H:H,MATCH($P603,F_ProductBM!$Q:$Q,0))="","",INDEX(F_ProductBM!H:H,MATCH($P603,F_ProductBM!$Q:$Q,0))))</f>
        <v/>
      </c>
      <c r="I603" s="1824" t="str">
        <f>IF($I500="","",IF(INDEX(F_ProductBM!I:I,MATCH($P603,F_ProductBM!$Q:$Q,0))="","",INDEX(F_ProductBM!I:I,MATCH($P603,F_ProductBM!$Q:$Q,0))))</f>
        <v/>
      </c>
      <c r="J603" s="1825" t="str">
        <f>IF($I500="","",IF(INDEX(F_ProductBM!J:J,MATCH($P603,F_ProductBM!$Q:$Q,0))="","",INDEX(F_ProductBM!J:J,MATCH($P603,F_ProductBM!$Q:$Q,0))))</f>
        <v/>
      </c>
      <c r="K603" s="482" t="str">
        <f>IF($I500="","",IF(INDEX(F_ProductBM!K:K,MATCH($P603,F_ProductBM!$Q:$Q,0))="","",INDEX(F_ProductBM!K:K,MATCH($P603,F_ProductBM!$Q:$Q,0))))</f>
        <v/>
      </c>
      <c r="L603" s="482" t="str">
        <f>IF($I500="","",IF(INDEX(F_ProductBM!L:L,MATCH($P603,F_ProductBM!$Q:$Q,0))="","",INDEX(F_ProductBM!L:L,MATCH($P603,F_ProductBM!$Q:$Q,0))))</f>
        <v/>
      </c>
      <c r="M603" s="482" t="str">
        <f>IF($I500="","",IF(INDEX(F_ProductBM!M:M,MATCH($P603,F_ProductBM!$Q:$Q,0))="","",INDEX(F_ProductBM!M:M,MATCH($P603,F_ProductBM!$Q:$Q,0))))</f>
        <v/>
      </c>
      <c r="N603" s="1826" t="str">
        <f>IF($I500="","",IF(INDEX(F_ProductBM!N:N,MATCH($P603,F_ProductBM!$Q:$Q,0))="","",INDEX(F_ProductBM!N:N,MATCH($P603,F_ProductBM!$Q:$Q,0))))</f>
        <v/>
      </c>
      <c r="O603" s="698"/>
      <c r="P603" s="1500" t="str">
        <f>EUconst_CNTR_WGExport &amp; I500</f>
        <v>WasteGasEx_</v>
      </c>
      <c r="Q603" s="729"/>
      <c r="R603" s="729"/>
      <c r="S603" s="729"/>
      <c r="T603" s="770"/>
      <c r="U603" s="343"/>
      <c r="V603" s="343"/>
    </row>
    <row r="604" spans="1:22" s="364" customFormat="1" ht="12.75" customHeight="1" x14ac:dyDescent="0.25">
      <c r="A604" s="729"/>
      <c r="B604" s="302"/>
      <c r="C604" s="302"/>
      <c r="D604" s="1820"/>
      <c r="E604" s="2819" t="str">
        <f>Translations!$B$592</f>
        <v>Специфичен EF (подаден отпаден газ)</v>
      </c>
      <c r="F604" s="2705"/>
      <c r="G604" s="639" t="str">
        <f>EUconst_tCO2pTJ</f>
        <v>t CO2 / TJ</v>
      </c>
      <c r="H604" s="484" t="str">
        <f>IF($I500="","",IF(INDEX(F_ProductBM!H:H,MATCH($P604,F_ProductBM!$Q:$Q,0))="","",INDEX(F_ProductBM!H:H,MATCH($P604,F_ProductBM!$Q:$Q,0))))</f>
        <v/>
      </c>
      <c r="I604" s="1828" t="str">
        <f>IF($I500="","",IF(INDEX(F_ProductBM!I:I,MATCH($P604,F_ProductBM!$Q:$Q,0))="","",INDEX(F_ProductBM!I:I,MATCH($P604,F_ProductBM!$Q:$Q,0))))</f>
        <v/>
      </c>
      <c r="J604" s="1829" t="str">
        <f>IF($I500="","",IF(INDEX(F_ProductBM!J:J,MATCH($P604,F_ProductBM!$Q:$Q,0))="","",INDEX(F_ProductBM!J:J,MATCH($P604,F_ProductBM!$Q:$Q,0))))</f>
        <v/>
      </c>
      <c r="K604" s="484" t="str">
        <f>IF($I500="","",IF(INDEX(F_ProductBM!K:K,MATCH($P604,F_ProductBM!$Q:$Q,0))="","",INDEX(F_ProductBM!K:K,MATCH($P604,F_ProductBM!$Q:$Q,0))))</f>
        <v/>
      </c>
      <c r="L604" s="484" t="str">
        <f>IF($I500="","",IF(INDEX(F_ProductBM!L:L,MATCH($P604,F_ProductBM!$Q:$Q,0))="","",INDEX(F_ProductBM!L:L,MATCH($P604,F_ProductBM!$Q:$Q,0))))</f>
        <v/>
      </c>
      <c r="M604" s="484" t="str">
        <f>IF($I500="","",IF(INDEX(F_ProductBM!M:M,MATCH($P604,F_ProductBM!$Q:$Q,0))="","",INDEX(F_ProductBM!M:M,MATCH($P604,F_ProductBM!$Q:$Q,0))))</f>
        <v/>
      </c>
      <c r="N604" s="1830" t="str">
        <f>IF($I500="","",IF(INDEX(F_ProductBM!N:N,MATCH($P604,F_ProductBM!$Q:$Q,0))="","",INDEX(F_ProductBM!N:N,MATCH($P604,F_ProductBM!$Q:$Q,0))))</f>
        <v/>
      </c>
      <c r="O604" s="698"/>
      <c r="P604" s="1500" t="str">
        <f>EUconst_CNTR_WGExportEF &amp; I500</f>
        <v>WasteGasExEF_</v>
      </c>
      <c r="Q604" s="729"/>
      <c r="R604" s="729"/>
      <c r="S604" s="729"/>
      <c r="T604" s="770"/>
      <c r="U604" s="343"/>
      <c r="V604" s="343"/>
    </row>
    <row r="605" spans="1:22" s="364" customFormat="1" ht="5.15" customHeight="1" x14ac:dyDescent="0.25">
      <c r="A605" s="729"/>
      <c r="B605" s="302"/>
      <c r="C605" s="302"/>
      <c r="D605" s="1820"/>
      <c r="E605" s="643"/>
      <c r="F605" s="643"/>
      <c r="G605" s="625"/>
      <c r="H605" s="640"/>
      <c r="I605" s="640"/>
      <c r="J605" s="640"/>
      <c r="K605" s="640"/>
      <c r="L605" s="640"/>
      <c r="M605" s="640"/>
      <c r="N605" s="1831"/>
      <c r="O605" s="698"/>
      <c r="P605" s="770"/>
      <c r="Q605" s="729"/>
      <c r="R605" s="729"/>
      <c r="S605" s="729"/>
      <c r="T605" s="770"/>
      <c r="U605" s="343"/>
      <c r="V605" s="343"/>
    </row>
    <row r="606" spans="1:22" s="364" customFormat="1" ht="12.75" customHeight="1" x14ac:dyDescent="0.25">
      <c r="A606" s="729"/>
      <c r="B606" s="302"/>
      <c r="C606" s="302"/>
      <c r="D606" s="1820"/>
      <c r="E606" s="2820" t="str">
        <f>Translations!$B$485</f>
        <v>Съответно потребление на електроенергия</v>
      </c>
      <c r="F606" s="2258"/>
      <c r="G606" s="1319" t="str">
        <f>EUconst_MWhpa</f>
        <v>MWh / година</v>
      </c>
      <c r="H606" s="480" t="str">
        <f>IF($I500="","",IF(INDEX(F_ProductBM!H:H,MATCH($P606,F_ProductBM!$Q:$Q,0))="","",INDEX(F_ProductBM!H:H,MATCH($P606,F_ProductBM!$Q:$Q,0))))</f>
        <v/>
      </c>
      <c r="I606" s="1399" t="str">
        <f>IF($I500="","",IF(INDEX(F_ProductBM!I:I,MATCH($P606,F_ProductBM!$Q:$Q,0))="","",INDEX(F_ProductBM!I:I,MATCH($P606,F_ProductBM!$Q:$Q,0))))</f>
        <v/>
      </c>
      <c r="J606" s="1832" t="str">
        <f>IF($I500="","",IF(INDEX(F_ProductBM!J:J,MATCH($P606,F_ProductBM!$Q:$Q,0))="","",INDEX(F_ProductBM!J:J,MATCH($P606,F_ProductBM!$Q:$Q,0))))</f>
        <v/>
      </c>
      <c r="K606" s="480" t="str">
        <f>IF($I500="","",IF(INDEX(F_ProductBM!K:K,MATCH($P606,F_ProductBM!$Q:$Q,0))="","",INDEX(F_ProductBM!K:K,MATCH($P606,F_ProductBM!$Q:$Q,0))))</f>
        <v/>
      </c>
      <c r="L606" s="480" t="str">
        <f>IF($I500="","",IF(INDEX(F_ProductBM!L:L,MATCH($P606,F_ProductBM!$Q:$Q,0))="","",INDEX(F_ProductBM!L:L,MATCH($P606,F_ProductBM!$Q:$Q,0))))</f>
        <v/>
      </c>
      <c r="M606" s="480" t="str">
        <f>IF($I500="","",IF(INDEX(F_ProductBM!M:M,MATCH($P606,F_ProductBM!$Q:$Q,0))="","",INDEX(F_ProductBM!M:M,MATCH($P606,F_ProductBM!$Q:$Q,0))))</f>
        <v/>
      </c>
      <c r="N606" s="1833" t="str">
        <f>IF($I500="","",IF(INDEX(F_ProductBM!N:N,MATCH($P606,F_ProductBM!$Q:$Q,0))="","",INDEX(F_ProductBM!N:N,MATCH($P606,F_ProductBM!$Q:$Q,0))))</f>
        <v/>
      </c>
      <c r="O606" s="698"/>
      <c r="P606" s="1190" t="str">
        <f>EUconst_CNTR_HAL&amp;EUconst_CNTR_ELEXCH &amp; I500</f>
        <v>HAL_ELEXCH_</v>
      </c>
      <c r="Q606" s="729"/>
      <c r="R606" s="729"/>
      <c r="S606" s="729"/>
      <c r="T606" s="770"/>
      <c r="U606" s="343"/>
      <c r="V606" s="343"/>
    </row>
    <row r="607" spans="1:22" s="364" customFormat="1" ht="12.75" customHeight="1" x14ac:dyDescent="0.25">
      <c r="A607" s="729"/>
      <c r="B607" s="302"/>
      <c r="C607" s="302"/>
      <c r="D607" s="1820"/>
      <c r="E607" s="2820" t="str">
        <f>Translations!$B$595</f>
        <v>Произведена електроенергия</v>
      </c>
      <c r="F607" s="2258"/>
      <c r="G607" s="1319" t="str">
        <f>EUconst_MWhpa</f>
        <v>MWh / година</v>
      </c>
      <c r="H607" s="480" t="str">
        <f>IF($I500="","",IF(INDEX(F_ProductBM!H:H,MATCH($P607,F_ProductBM!$Q:$Q,0))="","",INDEX(F_ProductBM!H:H,MATCH($P607,F_ProductBM!$Q:$Q,0))))</f>
        <v/>
      </c>
      <c r="I607" s="1399" t="str">
        <f>IF($I500="","",IF(INDEX(F_ProductBM!I:I,MATCH($P607,F_ProductBM!$Q:$Q,0))="","",INDEX(F_ProductBM!I:I,MATCH($P607,F_ProductBM!$Q:$Q,0))))</f>
        <v/>
      </c>
      <c r="J607" s="1832" t="str">
        <f>IF($I500="","",IF(INDEX(F_ProductBM!J:J,MATCH($P607,F_ProductBM!$Q:$Q,0))="","",INDEX(F_ProductBM!J:J,MATCH($P607,F_ProductBM!$Q:$Q,0))))</f>
        <v/>
      </c>
      <c r="K607" s="480" t="str">
        <f>IF($I500="","",IF(INDEX(F_ProductBM!K:K,MATCH($P607,F_ProductBM!$Q:$Q,0))="","",INDEX(F_ProductBM!K:K,MATCH($P607,F_ProductBM!$Q:$Q,0))))</f>
        <v/>
      </c>
      <c r="L607" s="480" t="str">
        <f>IF($I500="","",IF(INDEX(F_ProductBM!L:L,MATCH($P607,F_ProductBM!$Q:$Q,0))="","",INDEX(F_ProductBM!L:L,MATCH($P607,F_ProductBM!$Q:$Q,0))))</f>
        <v/>
      </c>
      <c r="M607" s="480" t="str">
        <f>IF($I500="","",IF(INDEX(F_ProductBM!M:M,MATCH($P607,F_ProductBM!$Q:$Q,0))="","",INDEX(F_ProductBM!M:M,MATCH($P607,F_ProductBM!$Q:$Q,0))))</f>
        <v/>
      </c>
      <c r="N607" s="1833" t="str">
        <f>IF($I500="","",IF(INDEX(F_ProductBM!N:N,MATCH($P607,F_ProductBM!$Q:$Q,0))="","",INDEX(F_ProductBM!N:N,MATCH($P607,F_ProductBM!$Q:$Q,0))))</f>
        <v/>
      </c>
      <c r="O607" s="698"/>
      <c r="P607" s="1500" t="str">
        <f>EUconst_CNTR_ElectricityExported &amp; I500</f>
        <v>ElecEx_</v>
      </c>
      <c r="Q607" s="729"/>
      <c r="R607" s="729"/>
      <c r="S607" s="729"/>
      <c r="T607" s="770"/>
      <c r="U607" s="343"/>
      <c r="V607" s="343"/>
    </row>
    <row r="608" spans="1:22" s="364" customFormat="1" ht="5.15" customHeight="1" x14ac:dyDescent="0.25">
      <c r="A608" s="729"/>
      <c r="B608" s="302"/>
      <c r="C608" s="302"/>
      <c r="D608" s="1820"/>
      <c r="E608" s="643"/>
      <c r="F608" s="643"/>
      <c r="G608" s="625"/>
      <c r="H608" s="640"/>
      <c r="I608" s="640"/>
      <c r="J608" s="640"/>
      <c r="K608" s="640"/>
      <c r="L608" s="640"/>
      <c r="M608" s="640"/>
      <c r="N608" s="1831"/>
      <c r="O608" s="698"/>
      <c r="P608" s="770"/>
      <c r="Q608" s="729"/>
      <c r="R608" s="729"/>
      <c r="S608" s="729"/>
      <c r="T608" s="770"/>
      <c r="U608" s="343"/>
      <c r="V608" s="343"/>
    </row>
    <row r="609" spans="1:22" s="364" customFormat="1" x14ac:dyDescent="0.25">
      <c r="A609" s="729"/>
      <c r="B609" s="302"/>
      <c r="C609" s="302"/>
      <c r="D609" s="1820"/>
      <c r="E609" s="3059" t="str">
        <f>Translations!$B$957</f>
        <v>Междинно получаване:</v>
      </c>
      <c r="F609" s="2672"/>
      <c r="G609" s="625"/>
      <c r="H609" s="640"/>
      <c r="I609" s="640"/>
      <c r="J609" s="640"/>
      <c r="K609" s="640"/>
      <c r="L609" s="640"/>
      <c r="M609" s="640"/>
      <c r="N609" s="1831"/>
      <c r="O609" s="698"/>
      <c r="P609" s="770"/>
      <c r="Q609" s="729"/>
      <c r="R609" s="729"/>
      <c r="S609" s="729"/>
      <c r="T609" s="770"/>
      <c r="U609" s="343"/>
      <c r="V609" s="343"/>
    </row>
    <row r="610" spans="1:22" s="364" customFormat="1" x14ac:dyDescent="0.25">
      <c r="A610" s="729"/>
      <c r="B610" s="302"/>
      <c r="C610" s="302"/>
      <c r="D610" s="1820"/>
      <c r="E610" s="2814" t="str">
        <f>IF(I500="","",IF(INDEX(F_ProductBM!E:E,MATCH($P610,F_ProductBM!$Q:$Q,0))="","",INDEX(F_ProductBM!E:E,MATCH($P610,F_ProductBM!$Q:$Q,0))))</f>
        <v/>
      </c>
      <c r="F610" s="2258"/>
      <c r="G610" s="1319" t="str">
        <f>EUconst_Tons</f>
        <v>тона</v>
      </c>
      <c r="H610" s="480" t="str">
        <f>IF($I500="","",IF(INDEX(F_ProductBM!H:H,MATCH($P610,F_ProductBM!$Q:$Q,0))="","",INDEX(F_ProductBM!H:H,MATCH($P610,F_ProductBM!$Q:$Q,0))))</f>
        <v/>
      </c>
      <c r="I610" s="1399" t="str">
        <f>IF($I500="","",IF(INDEX(F_ProductBM!I:I,MATCH($P610,F_ProductBM!$Q:$Q,0))="","",INDEX(F_ProductBM!I:I,MATCH($P610,F_ProductBM!$Q:$Q,0))))</f>
        <v/>
      </c>
      <c r="J610" s="1832" t="str">
        <f>IF($I500="","",IF(INDEX(F_ProductBM!J:J,MATCH($P610,F_ProductBM!$Q:$Q,0))="","",INDEX(F_ProductBM!J:J,MATCH($P610,F_ProductBM!$Q:$Q,0))))</f>
        <v/>
      </c>
      <c r="K610" s="480" t="str">
        <f>IF($I500="","",IF(INDEX(F_ProductBM!K:K,MATCH($P610,F_ProductBM!$Q:$Q,0))="","",INDEX(F_ProductBM!K:K,MATCH($P610,F_ProductBM!$Q:$Q,0))))</f>
        <v/>
      </c>
      <c r="L610" s="480" t="str">
        <f>IF($I500="","",IF(INDEX(F_ProductBM!L:L,MATCH($P610,F_ProductBM!$Q:$Q,0))="","",INDEX(F_ProductBM!L:L,MATCH($P610,F_ProductBM!$Q:$Q,0))))</f>
        <v/>
      </c>
      <c r="M610" s="480" t="str">
        <f>IF($I500="","",IF(INDEX(F_ProductBM!M:M,MATCH($P610,F_ProductBM!$Q:$Q,0))="","",INDEX(F_ProductBM!M:M,MATCH($P610,F_ProductBM!$Q:$Q,0))))</f>
        <v/>
      </c>
      <c r="N610" s="1833" t="str">
        <f>IF($I500="","",IF(INDEX(F_ProductBM!N:N,MATCH($P610,F_ProductBM!$Q:$Q,0))="","",INDEX(F_ProductBM!N:N,MATCH($P610,F_ProductBM!$Q:$Q,0))))</f>
        <v/>
      </c>
      <c r="O610" s="698"/>
      <c r="P610" s="1500" t="str">
        <f>EUconst_CNTR_IntermediateImport &amp; R610 &amp; "_" &amp; I500</f>
        <v>IntImp_1_</v>
      </c>
      <c r="Q610" s="729"/>
      <c r="R610" s="1176">
        <v>1</v>
      </c>
      <c r="S610" s="729"/>
      <c r="T610" s="770"/>
      <c r="U610" s="343"/>
      <c r="V610" s="343"/>
    </row>
    <row r="611" spans="1:22" s="364" customFormat="1" x14ac:dyDescent="0.25">
      <c r="A611" s="729"/>
      <c r="B611" s="302"/>
      <c r="C611" s="302"/>
      <c r="D611" s="1820"/>
      <c r="E611" s="2814" t="str">
        <f>IF(I500="","",IF(INDEX(F_ProductBM!E:E,MATCH($P611,F_ProductBM!$Q:$Q,0))="","",INDEX(F_ProductBM!E:E,MATCH($P611,F_ProductBM!$Q:$Q,0))))</f>
        <v/>
      </c>
      <c r="F611" s="2258"/>
      <c r="G611" s="1319" t="str">
        <f>EUconst_Tons</f>
        <v>тона</v>
      </c>
      <c r="H611" s="480" t="str">
        <f>IF($I500="","",IF(INDEX(F_ProductBM!H:H,MATCH($P611,F_ProductBM!$Q:$Q,0))="","",INDEX(F_ProductBM!H:H,MATCH($P611,F_ProductBM!$Q:$Q,0))))</f>
        <v/>
      </c>
      <c r="I611" s="1399" t="str">
        <f>IF($I500="","",IF(INDEX(F_ProductBM!I:I,MATCH($P611,F_ProductBM!$Q:$Q,0))="","",INDEX(F_ProductBM!I:I,MATCH($P611,F_ProductBM!$Q:$Q,0))))</f>
        <v/>
      </c>
      <c r="J611" s="1832" t="str">
        <f>IF($I500="","",IF(INDEX(F_ProductBM!J:J,MATCH($P611,F_ProductBM!$Q:$Q,0))="","",INDEX(F_ProductBM!J:J,MATCH($P611,F_ProductBM!$Q:$Q,0))))</f>
        <v/>
      </c>
      <c r="K611" s="480" t="str">
        <f>IF($I500="","",IF(INDEX(F_ProductBM!K:K,MATCH($P611,F_ProductBM!$Q:$Q,0))="","",INDEX(F_ProductBM!K:K,MATCH($P611,F_ProductBM!$Q:$Q,0))))</f>
        <v/>
      </c>
      <c r="L611" s="480" t="str">
        <f>IF($I500="","",IF(INDEX(F_ProductBM!L:L,MATCH($P611,F_ProductBM!$Q:$Q,0))="","",INDEX(F_ProductBM!L:L,MATCH($P611,F_ProductBM!$Q:$Q,0))))</f>
        <v/>
      </c>
      <c r="M611" s="480" t="str">
        <f>IF($I500="","",IF(INDEX(F_ProductBM!M:M,MATCH($P611,F_ProductBM!$Q:$Q,0))="","",INDEX(F_ProductBM!M:M,MATCH($P611,F_ProductBM!$Q:$Q,0))))</f>
        <v/>
      </c>
      <c r="N611" s="1833" t="str">
        <f>IF($I500="","",IF(INDEX(F_ProductBM!N:N,MATCH($P611,F_ProductBM!$Q:$Q,0))="","",INDEX(F_ProductBM!N:N,MATCH($P611,F_ProductBM!$Q:$Q,0))))</f>
        <v/>
      </c>
      <c r="O611" s="698"/>
      <c r="P611" s="1500" t="str">
        <f>EUconst_CNTR_IntermediateImport &amp; R611 &amp; "_" &amp; I500</f>
        <v>IntImp_2_</v>
      </c>
      <c r="Q611" s="729"/>
      <c r="R611" s="1176">
        <v>2</v>
      </c>
      <c r="S611" s="729"/>
      <c r="T611" s="770"/>
      <c r="U611" s="343"/>
      <c r="V611" s="343"/>
    </row>
    <row r="612" spans="1:22" s="364" customFormat="1" x14ac:dyDescent="0.25">
      <c r="A612" s="729"/>
      <c r="B612" s="302"/>
      <c r="C612" s="302"/>
      <c r="D612" s="1820"/>
      <c r="E612" s="2820" t="str">
        <f>Translations!$B$958</f>
        <v>Междинно подаване:</v>
      </c>
      <c r="F612" s="2258"/>
      <c r="G612" s="625"/>
      <c r="H612" s="640"/>
      <c r="I612" s="640"/>
      <c r="J612" s="640"/>
      <c r="K612" s="640"/>
      <c r="L612" s="640"/>
      <c r="M612" s="640"/>
      <c r="N612" s="1831"/>
      <c r="O612" s="698"/>
      <c r="P612" s="770"/>
      <c r="Q612" s="729"/>
      <c r="R612" s="729"/>
      <c r="S612" s="729"/>
      <c r="T612" s="770"/>
      <c r="U612" s="343"/>
      <c r="V612" s="343"/>
    </row>
    <row r="613" spans="1:22" s="364" customFormat="1" x14ac:dyDescent="0.25">
      <c r="A613" s="729"/>
      <c r="B613" s="302"/>
      <c r="C613" s="302"/>
      <c r="D613" s="1820"/>
      <c r="E613" s="2814" t="str">
        <f>IF(I500="","",IF(INDEX(F_ProductBM!E:E,MATCH($P613,F_ProductBM!$Q:$Q,0))="","",INDEX(F_ProductBM!E:E,MATCH($P613,F_ProductBM!$Q:$Q,0))))</f>
        <v/>
      </c>
      <c r="F613" s="2258"/>
      <c r="G613" s="1319" t="str">
        <f>EUconst_Tons</f>
        <v>тона</v>
      </c>
      <c r="H613" s="480" t="str">
        <f>IF($I500="","",IF(INDEX(F_ProductBM!H:H,MATCH($P613,F_ProductBM!$Q:$Q,0))="","",INDEX(F_ProductBM!H:H,MATCH($P613,F_ProductBM!$Q:$Q,0))))</f>
        <v/>
      </c>
      <c r="I613" s="1399" t="str">
        <f>IF($I500="","",IF(INDEX(F_ProductBM!I:I,MATCH($P613,F_ProductBM!$Q:$Q,0))="","",INDEX(F_ProductBM!I:I,MATCH($P613,F_ProductBM!$Q:$Q,0))))</f>
        <v/>
      </c>
      <c r="J613" s="1832" t="str">
        <f>IF($I500="","",IF(INDEX(F_ProductBM!J:J,MATCH($P613,F_ProductBM!$Q:$Q,0))="","",INDEX(F_ProductBM!J:J,MATCH($P613,F_ProductBM!$Q:$Q,0))))</f>
        <v/>
      </c>
      <c r="K613" s="480" t="str">
        <f>IF($I500="","",IF(INDEX(F_ProductBM!K:K,MATCH($P613,F_ProductBM!$Q:$Q,0))="","",INDEX(F_ProductBM!K:K,MATCH($P613,F_ProductBM!$Q:$Q,0))))</f>
        <v/>
      </c>
      <c r="L613" s="480" t="str">
        <f>IF($I500="","",IF(INDEX(F_ProductBM!L:L,MATCH($P613,F_ProductBM!$Q:$Q,0))="","",INDEX(F_ProductBM!L:L,MATCH($P613,F_ProductBM!$Q:$Q,0))))</f>
        <v/>
      </c>
      <c r="M613" s="480" t="str">
        <f>IF($I500="","",IF(INDEX(F_ProductBM!M:M,MATCH($P613,F_ProductBM!$Q:$Q,0))="","",INDEX(F_ProductBM!M:M,MATCH($P613,F_ProductBM!$Q:$Q,0))))</f>
        <v/>
      </c>
      <c r="N613" s="1833" t="str">
        <f>IF($I500="","",IF(INDEX(F_ProductBM!N:N,MATCH($P613,F_ProductBM!$Q:$Q,0))="","",INDEX(F_ProductBM!N:N,MATCH($P613,F_ProductBM!$Q:$Q,0))))</f>
        <v/>
      </c>
      <c r="O613" s="698"/>
      <c r="P613" s="1500" t="str">
        <f>EUconst_CNTR_IntermediateExport &amp; R610 &amp; "_" &amp; I500</f>
        <v>IntExp_1_</v>
      </c>
      <c r="Q613" s="729"/>
      <c r="R613" s="1176">
        <v>1</v>
      </c>
      <c r="S613" s="729"/>
      <c r="T613" s="770"/>
      <c r="U613" s="343"/>
      <c r="V613" s="343"/>
    </row>
    <row r="614" spans="1:22" s="364" customFormat="1" x14ac:dyDescent="0.25">
      <c r="A614" s="729"/>
      <c r="B614" s="302"/>
      <c r="C614" s="302"/>
      <c r="D614" s="1820"/>
      <c r="E614" s="2814" t="str">
        <f>IF(I500="","",IF(INDEX(F_ProductBM!E:E,MATCH($P614,F_ProductBM!$Q:$Q,0))="","",INDEX(F_ProductBM!E:E,MATCH($P614,F_ProductBM!$Q:$Q,0))))</f>
        <v/>
      </c>
      <c r="F614" s="2258"/>
      <c r="G614" s="1319" t="str">
        <f>EUconst_Tons</f>
        <v>тона</v>
      </c>
      <c r="H614" s="480" t="str">
        <f>IF($I500="","",IF(INDEX(F_ProductBM!H:H,MATCH($P614,F_ProductBM!$Q:$Q,0))="","",INDEX(F_ProductBM!H:H,MATCH($P614,F_ProductBM!$Q:$Q,0))))</f>
        <v/>
      </c>
      <c r="I614" s="1399" t="str">
        <f>IF($I500="","",IF(INDEX(F_ProductBM!I:I,MATCH($P614,F_ProductBM!$Q:$Q,0))="","",INDEX(F_ProductBM!I:I,MATCH($P614,F_ProductBM!$Q:$Q,0))))</f>
        <v/>
      </c>
      <c r="J614" s="1832" t="str">
        <f>IF($I500="","",IF(INDEX(F_ProductBM!J:J,MATCH($P614,F_ProductBM!$Q:$Q,0))="","",INDEX(F_ProductBM!J:J,MATCH($P614,F_ProductBM!$Q:$Q,0))))</f>
        <v/>
      </c>
      <c r="K614" s="480" t="str">
        <f>IF($I500="","",IF(INDEX(F_ProductBM!K:K,MATCH($P614,F_ProductBM!$Q:$Q,0))="","",INDEX(F_ProductBM!K:K,MATCH($P614,F_ProductBM!$Q:$Q,0))))</f>
        <v/>
      </c>
      <c r="L614" s="480" t="str">
        <f>IF($I500="","",IF(INDEX(F_ProductBM!L:L,MATCH($P614,F_ProductBM!$Q:$Q,0))="","",INDEX(F_ProductBM!L:L,MATCH($P614,F_ProductBM!$Q:$Q,0))))</f>
        <v/>
      </c>
      <c r="M614" s="480" t="str">
        <f>IF($I500="","",IF(INDEX(F_ProductBM!M:M,MATCH($P614,F_ProductBM!$Q:$Q,0))="","",INDEX(F_ProductBM!M:M,MATCH($P614,F_ProductBM!$Q:$Q,0))))</f>
        <v/>
      </c>
      <c r="N614" s="1833" t="str">
        <f>IF($I500="","",IF(INDEX(F_ProductBM!N:N,MATCH($P614,F_ProductBM!$Q:$Q,0))="","",INDEX(F_ProductBM!N:N,MATCH($P614,F_ProductBM!$Q:$Q,0))))</f>
        <v/>
      </c>
      <c r="O614" s="698"/>
      <c r="P614" s="1500" t="str">
        <f>EUconst_CNTR_IntermediateExport &amp; R614 &amp; "_" &amp; I500</f>
        <v>IntExp_2_</v>
      </c>
      <c r="Q614" s="729"/>
      <c r="R614" s="1176">
        <v>2</v>
      </c>
      <c r="S614" s="729"/>
      <c r="T614" s="770"/>
      <c r="U614" s="343"/>
      <c r="V614" s="343"/>
    </row>
    <row r="615" spans="1:22" s="364" customFormat="1" ht="5.15" customHeight="1" x14ac:dyDescent="0.25">
      <c r="A615" s="729"/>
      <c r="B615" s="302"/>
      <c r="C615" s="302"/>
      <c r="D615" s="1820"/>
      <c r="E615" s="625"/>
      <c r="F615" s="625"/>
      <c r="G615" s="625"/>
      <c r="H615" s="625"/>
      <c r="I615" s="644"/>
      <c r="J615" s="644"/>
      <c r="K615" s="644"/>
      <c r="L615" s="644"/>
      <c r="M615" s="644"/>
      <c r="N615" s="1316"/>
      <c r="O615" s="698"/>
      <c r="P615" s="770"/>
      <c r="Q615" s="729"/>
      <c r="R615" s="1165"/>
      <c r="S615" s="729"/>
      <c r="T615" s="770"/>
      <c r="U615" s="343"/>
      <c r="V615" s="343"/>
    </row>
    <row r="616" spans="1:22" s="364" customFormat="1" ht="13" x14ac:dyDescent="0.25">
      <c r="A616" s="729"/>
      <c r="B616" s="302"/>
      <c r="C616" s="302"/>
      <c r="D616" s="1820"/>
      <c r="E616" s="3060" t="str">
        <f>Translations!$B$1585</f>
        <v>Корекции за актуализиране на показателя при специфичен показател, когато е приложимо</v>
      </c>
      <c r="F616" s="3060"/>
      <c r="G616" s="3060"/>
      <c r="H616" s="3060"/>
      <c r="I616" s="3060"/>
      <c r="J616" s="3060"/>
      <c r="K616" s="3060"/>
      <c r="L616" s="3060"/>
      <c r="M616" s="3060"/>
      <c r="N616" s="1316"/>
      <c r="O616" s="698"/>
      <c r="P616" s="770"/>
      <c r="Q616" s="729"/>
      <c r="R616" s="1165"/>
      <c r="S616" s="729"/>
      <c r="T616" s="770"/>
      <c r="U616" s="343"/>
      <c r="V616" s="343"/>
    </row>
    <row r="617" spans="1:22" s="364" customFormat="1" x14ac:dyDescent="0.25">
      <c r="A617" s="729"/>
      <c r="B617" s="302"/>
      <c r="C617" s="302"/>
      <c r="D617" s="1820"/>
      <c r="E617" s="641" t="str">
        <f>Translations!$B$596</f>
        <v>Общо количество произведен пулп</v>
      </c>
      <c r="F617" s="1835"/>
      <c r="G617" s="642" t="str">
        <f>EUconst_Tons</f>
        <v>тона</v>
      </c>
      <c r="H617" s="499" t="str">
        <f>IF($I500="","",IF(INDEX(F_ProductBM!H:H,MATCH($P617,F_ProductBM!$Q:$Q,0))="","",INDEX(F_ProductBM!H:H,MATCH($P617,F_ProductBM!$Q:$Q,0))))</f>
        <v/>
      </c>
      <c r="I617" s="1399" t="str">
        <f>IF($I500="","",IF(INDEX(F_ProductBM!I:I,MATCH($P617,F_ProductBM!$Q:$Q,0))="","",INDEX(F_ProductBM!I:I,MATCH($P617,F_ProductBM!$Q:$Q,0))))</f>
        <v/>
      </c>
      <c r="J617" s="1832" t="str">
        <f>IF($I500="","",IF(INDEX(F_ProductBM!J:J,MATCH($P617,F_ProductBM!$Q:$Q,0))="","",INDEX(F_ProductBM!J:J,MATCH($P617,F_ProductBM!$Q:$Q,0))))</f>
        <v/>
      </c>
      <c r="K617" s="499" t="str">
        <f>IF($I500="","",IF(INDEX(F_ProductBM!K:K,MATCH($P617,F_ProductBM!$Q:$Q,0))="","",INDEX(F_ProductBM!K:K,MATCH($P617,F_ProductBM!$Q:$Q,0))))</f>
        <v/>
      </c>
      <c r="L617" s="499" t="str">
        <f>IF($I500="","",IF(INDEX(F_ProductBM!L:L,MATCH($P617,F_ProductBM!$Q:$Q,0))="","",INDEX(F_ProductBM!L:L,MATCH($P617,F_ProductBM!$Q:$Q,0))))</f>
        <v/>
      </c>
      <c r="M617" s="499" t="str">
        <f>IF($I500="","",IF(INDEX(F_ProductBM!M:M,MATCH($P617,F_ProductBM!$Q:$Q,0))="","",INDEX(F_ProductBM!M:M,MATCH($P617,F_ProductBM!$Q:$Q,0))))</f>
        <v/>
      </c>
      <c r="N617" s="1836" t="str">
        <f>IF($I500="","",IF(INDEX(F_ProductBM!N:N,MATCH($P617,F_ProductBM!$Q:$Q,0))="","",INDEX(F_ProductBM!N:N,MATCH($P617,F_ProductBM!$Q:$Q,0))))</f>
        <v/>
      </c>
      <c r="O617" s="698"/>
      <c r="P617" s="1500" t="str">
        <f>EUconst_CNTR_HALPulpTotal &amp;  I500</f>
        <v>HALPulpTotal_</v>
      </c>
      <c r="Q617" s="729"/>
      <c r="R617" s="729"/>
      <c r="S617" s="729"/>
      <c r="T617" s="770"/>
      <c r="U617" s="343"/>
      <c r="V617" s="343"/>
    </row>
    <row r="618" spans="1:22" s="364" customFormat="1" ht="5.15" customHeight="1" x14ac:dyDescent="0.25">
      <c r="A618" s="729"/>
      <c r="B618" s="302"/>
      <c r="C618" s="302"/>
      <c r="D618" s="1820"/>
      <c r="E618" s="625"/>
      <c r="F618" s="625"/>
      <c r="G618" s="625"/>
      <c r="H618" s="644"/>
      <c r="I618" s="644"/>
      <c r="J618" s="644"/>
      <c r="K618" s="644"/>
      <c r="L618" s="644"/>
      <c r="M618" s="644"/>
      <c r="N618" s="1837"/>
      <c r="O618" s="698"/>
      <c r="P618" s="770"/>
      <c r="Q618" s="729"/>
      <c r="R618" s="729"/>
      <c r="S618" s="729"/>
      <c r="T618" s="770"/>
      <c r="U618" s="343"/>
      <c r="V618" s="343"/>
    </row>
    <row r="619" spans="1:22" s="364" customFormat="1" ht="12.75" customHeight="1" x14ac:dyDescent="0.25">
      <c r="A619" s="729"/>
      <c r="B619" s="302"/>
      <c r="C619" s="302"/>
      <c r="D619" s="1820"/>
      <c r="E619" s="641" t="str">
        <f>Translations!$B$1586</f>
        <v>Производство на водород (действително + теоретично)</v>
      </c>
      <c r="F619" s="1835"/>
      <c r="G619" s="642" t="str">
        <f>EUconst_Tons</f>
        <v>тона</v>
      </c>
      <c r="H619" s="499" t="str">
        <f>IF($L503=$R619,SUMIFS(H_SpecialBM!H:H,H_SpecialBM!$Q:$Q,$P619),"")</f>
        <v/>
      </c>
      <c r="I619" s="1399" t="str">
        <f>IF($L503=$R619,SUMIFS(H_SpecialBM!I:I,H_SpecialBM!$Q:$Q,$P619),"")</f>
        <v/>
      </c>
      <c r="J619" s="1832" t="str">
        <f>IF($L503=$R619,SUMIFS(H_SpecialBM!J:J,H_SpecialBM!$Q:$Q,$P619),"")</f>
        <v/>
      </c>
      <c r="K619" s="499" t="str">
        <f>IF($L503=$R619,SUMIFS(H_SpecialBM!K:K,H_SpecialBM!$Q:$Q,$P619),"")</f>
        <v/>
      </c>
      <c r="L619" s="499" t="str">
        <f>IF($L503=$R619,SUMIFS(H_SpecialBM!L:L,H_SpecialBM!$Q:$Q,$P619),"")</f>
        <v/>
      </c>
      <c r="M619" s="499" t="str">
        <f>IF($L503=$R619,SUMIFS(H_SpecialBM!M:M,H_SpecialBM!$Q:$Q,$P619),"")</f>
        <v/>
      </c>
      <c r="N619" s="1836" t="str">
        <f>IF($L503=$R619,SUMIFS(H_SpecialBM!N:N,H_SpecialBM!$Q:$Q,$P619),"")</f>
        <v/>
      </c>
      <c r="O619" s="698"/>
      <c r="P619" s="1190" t="str">
        <f>EUconst_CNTR_H2ActualPlusTheoretical</f>
        <v>H2Total_</v>
      </c>
      <c r="Q619" s="729"/>
      <c r="R619" s="1176">
        <v>50</v>
      </c>
      <c r="S619" s="729"/>
      <c r="T619" s="770"/>
      <c r="U619" s="343"/>
      <c r="V619" s="343"/>
    </row>
    <row r="620" spans="1:22" s="364" customFormat="1" x14ac:dyDescent="0.25">
      <c r="A620" s="729"/>
      <c r="B620" s="302"/>
      <c r="C620" s="302"/>
      <c r="D620" s="1820"/>
      <c r="E620" s="641" t="str">
        <f>Translations!$B$1587</f>
        <v>Емисии във връзка с водород</v>
      </c>
      <c r="F620" s="1835"/>
      <c r="G620" s="642" t="str">
        <f>EUconst_tCO2pa</f>
        <v>t CO2 / година</v>
      </c>
      <c r="H620" s="499" t="str">
        <f>IF($L503=$R620,SUMIFS(H_SpecialBM!H:H,H_SpecialBM!$Q:$Q,$P620),"")</f>
        <v/>
      </c>
      <c r="I620" s="1399" t="str">
        <f>IF($L503=$R620,SUMIFS(H_SpecialBM!I:I,H_SpecialBM!$Q:$Q,$P620),"")</f>
        <v/>
      </c>
      <c r="J620" s="1832" t="str">
        <f>IF($L503=$R620,SUMIFS(H_SpecialBM!J:J,H_SpecialBM!$Q:$Q,$P620),"")</f>
        <v/>
      </c>
      <c r="K620" s="499" t="str">
        <f>IF($L503=$R620,SUMIFS(H_SpecialBM!K:K,H_SpecialBM!$Q:$Q,$P620),"")</f>
        <v/>
      </c>
      <c r="L620" s="499" t="str">
        <f>IF($L503=$R620,SUMIFS(H_SpecialBM!L:L,H_SpecialBM!$Q:$Q,$P620),"")</f>
        <v/>
      </c>
      <c r="M620" s="499" t="str">
        <f>IF($L503=$R620,SUMIFS(H_SpecialBM!M:M,H_SpecialBM!$Q:$Q,$P620),"")</f>
        <v/>
      </c>
      <c r="N620" s="1836" t="str">
        <f>IF($L503=$R620,SUMIFS(H_SpecialBM!N:N,H_SpecialBM!$Q:$Q,$P620),"")</f>
        <v/>
      </c>
      <c r="O620" s="698"/>
      <c r="P620" s="1190" t="str">
        <f>EUconst_CNTR_H2AdditionalEmissions</f>
        <v>H2AddEm_</v>
      </c>
      <c r="Q620" s="729"/>
      <c r="R620" s="1176">
        <v>50</v>
      </c>
      <c r="S620" s="729"/>
      <c r="T620" s="770"/>
      <c r="U620" s="343"/>
      <c r="V620" s="343"/>
    </row>
    <row r="621" spans="1:22" s="364" customFormat="1" ht="5.15" customHeight="1" x14ac:dyDescent="0.25">
      <c r="A621" s="729"/>
      <c r="B621" s="302"/>
      <c r="C621" s="302"/>
      <c r="D621" s="1820"/>
      <c r="E621" s="625"/>
      <c r="F621" s="625"/>
      <c r="G621" s="625"/>
      <c r="H621" s="644"/>
      <c r="I621" s="644"/>
      <c r="J621" s="644"/>
      <c r="K621" s="644"/>
      <c r="L621" s="644"/>
      <c r="M621" s="644"/>
      <c r="N621" s="1837"/>
      <c r="O621" s="698"/>
      <c r="P621" s="729"/>
      <c r="Q621" s="729"/>
      <c r="R621" s="729"/>
      <c r="S621" s="729"/>
      <c r="T621" s="770"/>
      <c r="U621" s="343"/>
      <c r="V621" s="343"/>
    </row>
    <row r="622" spans="1:22" s="364" customFormat="1" x14ac:dyDescent="0.25">
      <c r="A622" s="729"/>
      <c r="B622" s="302"/>
      <c r="C622" s="302"/>
      <c r="D622" s="1820"/>
      <c r="E622" s="641" t="str">
        <f>Translations!$B$1588</f>
        <v>Корекция на емисиите във връзка с HVC</v>
      </c>
      <c r="F622" s="1835"/>
      <c r="G622" s="642" t="str">
        <f>EUconst_tCO2pa</f>
        <v>t CO2 / година</v>
      </c>
      <c r="H622" s="499" t="str">
        <f>IF($L503=$R622,-SUMIFS(H_SpecialBM!H:H,H_SpecialBM!$Q:$Q,$P622),"")</f>
        <v/>
      </c>
      <c r="I622" s="1399" t="str">
        <f>IF($L503=$R622,-SUMIFS(H_SpecialBM!I:I,H_SpecialBM!$Q:$Q,$P622),"")</f>
        <v/>
      </c>
      <c r="J622" s="1832" t="str">
        <f>IF($L503=$R622,-SUMIFS(H_SpecialBM!J:J,H_SpecialBM!$Q:$Q,$P622),"")</f>
        <v/>
      </c>
      <c r="K622" s="499" t="str">
        <f>IF($L503=$R622,-SUMIFS(H_SpecialBM!K:K,H_SpecialBM!$Q:$Q,$P622),"")</f>
        <v/>
      </c>
      <c r="L622" s="499" t="str">
        <f>IF($L503=$R622,-SUMIFS(H_SpecialBM!L:L,H_SpecialBM!$Q:$Q,$P622),"")</f>
        <v/>
      </c>
      <c r="M622" s="499" t="str">
        <f>IF($L503=$R622,-SUMIFS(H_SpecialBM!M:M,H_SpecialBM!$Q:$Q,$P622),"")</f>
        <v/>
      </c>
      <c r="N622" s="1836" t="str">
        <f>IF($L503=$R622,-SUMIFS(H_SpecialBM!N:N,H_SpecialBM!$Q:$Q,$P622),"")</f>
        <v/>
      </c>
      <c r="O622" s="698"/>
      <c r="P622" s="1500" t="str">
        <f>EUconst_CNTR_HVC</f>
        <v>HVC_</v>
      </c>
      <c r="Q622" s="729"/>
      <c r="R622" s="1176">
        <v>42</v>
      </c>
      <c r="S622" s="729"/>
      <c r="T622" s="770"/>
      <c r="U622" s="343"/>
      <c r="V622" s="343"/>
    </row>
    <row r="623" spans="1:22" s="364" customFormat="1" ht="5.15" customHeight="1" x14ac:dyDescent="0.25">
      <c r="A623" s="729"/>
      <c r="B623" s="302"/>
      <c r="C623" s="302"/>
      <c r="D623" s="1820"/>
      <c r="E623" s="625"/>
      <c r="F623" s="625"/>
      <c r="G623" s="625"/>
      <c r="H623" s="644"/>
      <c r="I623" s="644"/>
      <c r="J623" s="644"/>
      <c r="K623" s="644"/>
      <c r="L623" s="644"/>
      <c r="M623" s="644"/>
      <c r="N623" s="1837"/>
      <c r="O623" s="698"/>
      <c r="P623" s="770"/>
      <c r="Q623" s="729"/>
      <c r="R623" s="729"/>
      <c r="S623" s="729"/>
      <c r="T623" s="770"/>
      <c r="U623" s="343"/>
      <c r="V623" s="343"/>
    </row>
    <row r="624" spans="1:22" s="364" customFormat="1" ht="12.75" customHeight="1" x14ac:dyDescent="0.25">
      <c r="A624" s="729"/>
      <c r="B624" s="302"/>
      <c r="C624" s="302"/>
      <c r="D624" s="1820"/>
      <c r="E624" s="641" t="str">
        <f>Translations!$B$1589</f>
        <v>Корекция на емисиите във връзка с VCM</v>
      </c>
      <c r="F624" s="1835"/>
      <c r="G624" s="642" t="str">
        <f>EUconst_tCO2pa</f>
        <v>t CO2 / година</v>
      </c>
      <c r="H624" s="499" t="str">
        <f>IF($L503=$R624,INDEX(H_SpecialBM!H:H,MATCH($P624,H_SpecialBM!$Q:$Q,0)-2),"")</f>
        <v/>
      </c>
      <c r="I624" s="1399" t="str">
        <f>IF($L503=$R624,INDEX(H_SpecialBM!I:I,MATCH($P624,H_SpecialBM!$Q:$Q,0)-2),"")</f>
        <v/>
      </c>
      <c r="J624" s="1832" t="str">
        <f>IF($L503=$R624,INDEX(H_SpecialBM!J:J,MATCH($P624,H_SpecialBM!$Q:$Q,0)-2),"")</f>
        <v/>
      </c>
      <c r="K624" s="499" t="str">
        <f>IF($L503=$R624,INDEX(H_SpecialBM!K:K,MATCH($P624,H_SpecialBM!$Q:$Q,0)-2),"")</f>
        <v/>
      </c>
      <c r="L624" s="499" t="str">
        <f>IF($L503=$R624,INDEX(H_SpecialBM!L:L,MATCH($P624,H_SpecialBM!$Q:$Q,0)-2),"")</f>
        <v/>
      </c>
      <c r="M624" s="499" t="str">
        <f>IF($L503=$R624,INDEX(H_SpecialBM!M:M,MATCH($P624,H_SpecialBM!$Q:$Q,0)-2),"")</f>
        <v/>
      </c>
      <c r="N624" s="1836" t="str">
        <f>IF($L503=$R624,INDEX(H_SpecialBM!N:N,MATCH($P624,H_SpecialBM!$Q:$Q,0)-2),"")</f>
        <v/>
      </c>
      <c r="O624" s="698"/>
      <c r="P624" s="1190" t="str">
        <f>EUconst_CNTR_VCM</f>
        <v>VCM_</v>
      </c>
      <c r="Q624" s="729"/>
      <c r="R624" s="1176">
        <v>47</v>
      </c>
      <c r="S624" s="729"/>
      <c r="T624" s="770"/>
      <c r="U624" s="343"/>
      <c r="V624" s="343"/>
    </row>
    <row r="625" spans="1:22" s="364" customFormat="1" ht="12.75" customHeight="1" thickBot="1" x14ac:dyDescent="0.3">
      <c r="A625" s="729"/>
      <c r="B625" s="302"/>
      <c r="C625" s="302"/>
      <c r="D625" s="1838"/>
      <c r="E625" s="1839"/>
      <c r="F625" s="1839"/>
      <c r="G625" s="1839"/>
      <c r="H625" s="1839"/>
      <c r="I625" s="1840"/>
      <c r="J625" s="1840"/>
      <c r="K625" s="1840"/>
      <c r="L625" s="1840"/>
      <c r="M625" s="1840"/>
      <c r="N625" s="1379"/>
      <c r="O625" s="698"/>
      <c r="P625" s="729"/>
      <c r="Q625" s="729"/>
      <c r="R625" s="1165"/>
      <c r="S625" s="729"/>
      <c r="T625" s="770"/>
      <c r="U625" s="343"/>
      <c r="V625" s="343"/>
    </row>
    <row r="626" spans="1:22" s="364" customFormat="1" ht="12.75" customHeight="1" thickBot="1" x14ac:dyDescent="0.3">
      <c r="A626" s="729"/>
      <c r="B626" s="302"/>
      <c r="C626" s="302"/>
      <c r="D626" s="302"/>
      <c r="E626" s="646"/>
      <c r="O626" s="698"/>
      <c r="P626" s="729"/>
      <c r="Q626" s="729"/>
      <c r="R626" s="729"/>
      <c r="S626" s="729"/>
      <c r="T626" s="729"/>
      <c r="U626" s="343"/>
      <c r="V626" s="343"/>
    </row>
    <row r="627" spans="1:22" s="364" customFormat="1" ht="5.15" customHeight="1" thickBot="1" x14ac:dyDescent="0.3">
      <c r="A627" s="729"/>
      <c r="B627" s="284"/>
      <c r="C627" s="581"/>
      <c r="D627" s="581"/>
      <c r="E627" s="581"/>
      <c r="F627" s="581"/>
      <c r="G627" s="581"/>
      <c r="H627" s="581"/>
      <c r="I627" s="581"/>
      <c r="J627" s="581"/>
      <c r="K627" s="581"/>
      <c r="L627" s="581"/>
      <c r="M627" s="581"/>
      <c r="N627" s="581"/>
      <c r="O627" s="698"/>
      <c r="P627" s="729"/>
      <c r="Q627" s="729"/>
      <c r="R627" s="729"/>
      <c r="S627" s="729"/>
      <c r="T627" s="729"/>
      <c r="U627" s="343"/>
      <c r="V627" s="343"/>
    </row>
    <row r="628" spans="1:22" s="364" customFormat="1" ht="15" customHeight="1" thickBot="1" x14ac:dyDescent="0.35">
      <c r="A628" s="729"/>
      <c r="B628" s="302"/>
      <c r="C628" s="357">
        <f>C500+1</f>
        <v>2</v>
      </c>
      <c r="D628" s="2323" t="str">
        <f>CONCATENATE(EUconst_BMSubinst," ",C628, ":")</f>
        <v>Подинсталация с продуктов показател 2:</v>
      </c>
      <c r="E628" s="2323"/>
      <c r="F628" s="2323"/>
      <c r="G628" s="2323"/>
      <c r="H628" s="2987"/>
      <c r="I628" s="2843" t="str">
        <f>IF(INDEX(CNTR_SubInstListIsProdBM,$C628),INDEX(CNTR_SubInstListNames,$C628),"")</f>
        <v/>
      </c>
      <c r="J628" s="3019"/>
      <c r="K628" s="3019"/>
      <c r="L628" s="3019"/>
      <c r="M628" s="3019"/>
      <c r="N628" s="3020"/>
      <c r="O628" s="698"/>
      <c r="P628" s="729"/>
      <c r="Q628" s="1684">
        <f>C628</f>
        <v>2</v>
      </c>
      <c r="R628" s="1685" t="str">
        <f>I628</f>
        <v/>
      </c>
      <c r="S628" s="729"/>
      <c r="T628" s="729"/>
      <c r="U628" s="343"/>
      <c r="V628" s="343"/>
    </row>
    <row r="629" spans="1:22" s="364" customFormat="1" ht="5.15" customHeight="1" x14ac:dyDescent="0.3">
      <c r="A629" s="729"/>
      <c r="B629" s="302"/>
      <c r="C629" s="357"/>
      <c r="D629" s="357"/>
      <c r="E629" s="357"/>
      <c r="F629" s="357"/>
      <c r="G629" s="357"/>
      <c r="H629" s="357"/>
      <c r="I629" s="357"/>
      <c r="J629" s="357"/>
      <c r="K629" s="357"/>
      <c r="L629" s="357"/>
      <c r="M629" s="357"/>
      <c r="N629" s="357"/>
      <c r="O629" s="698"/>
      <c r="P629" s="729"/>
      <c r="Q629" s="729"/>
      <c r="R629" s="729"/>
      <c r="S629" s="729"/>
      <c r="T629" s="729"/>
      <c r="U629" s="343"/>
      <c r="V629" s="343"/>
    </row>
    <row r="630" spans="1:22" s="364" customFormat="1" ht="12.75" customHeight="1" x14ac:dyDescent="0.3">
      <c r="A630" s="729"/>
      <c r="B630" s="302"/>
      <c r="C630" s="357"/>
      <c r="D630" s="357"/>
      <c r="E630" s="357"/>
      <c r="F630" s="357"/>
      <c r="H630" s="595" t="str">
        <f>Translations!$B$942</f>
        <v>Риск от ИВЕ</v>
      </c>
      <c r="I630" s="595" t="s">
        <v>2151</v>
      </c>
      <c r="J630" s="595" t="str">
        <f>Translations!$B$946</f>
        <v>В/Е</v>
      </c>
      <c r="K630" s="595" t="str">
        <f>Translations!$B$1360</f>
        <v>Спряна експлоатация</v>
      </c>
      <c r="L630" s="654" t="str">
        <f>Translations!$B$944</f>
        <v>№ на п-л</v>
      </c>
      <c r="M630" s="2991" t="str">
        <f>Translations!$B$948</f>
        <v>Стойност на п-л</v>
      </c>
      <c r="N630" s="2991"/>
      <c r="O630" s="698"/>
      <c r="P630" s="729"/>
      <c r="Q630" s="729"/>
      <c r="R630" s="1176" t="str">
        <f>Translations!$B$944</f>
        <v>№ на п-л</v>
      </c>
      <c r="S630" s="729"/>
      <c r="T630" s="1686"/>
      <c r="U630" s="343"/>
      <c r="V630" s="343"/>
    </row>
    <row r="631" spans="1:22" s="364" customFormat="1" ht="12.75" customHeight="1" x14ac:dyDescent="0.3">
      <c r="A631" s="729"/>
      <c r="B631" s="302"/>
      <c r="C631" s="357"/>
      <c r="D631" s="357"/>
      <c r="E631" s="361" t="str">
        <f>I628</f>
        <v/>
      </c>
      <c r="F631" s="373"/>
      <c r="G631" s="373"/>
      <c r="H631" s="600" t="str">
        <f>IF(L631=EUconst_NA,EUconst_NA,INDEX(EUconst_BMlistCLstatus,MATCH(L631,EUconst_BMlistMainNumberOfBM,0)))</f>
        <v>Не е приложимо</v>
      </c>
      <c r="I631" s="600" t="str">
        <f>IF(R631=EUconst_NA,EUconst_NA,INDEX(EUconst_BMlistCBAMstatus,MATCH(R631,EUconst_BMlistNumberOfBM,0)))</f>
        <v>Не е приложимо</v>
      </c>
      <c r="J631" s="655" t="str">
        <f>IF($I628="",EUconst_NA,INDEX(CNTR_SubInstStartDate,MATCH(I628,CNTR_SubInstListNames,0)))</f>
        <v>Не е приложимо</v>
      </c>
      <c r="K631" s="655" t="str">
        <f>IF($I628="",EUconst_NA,IF(INDEX(CNTR_SubInstCessationDate,MATCH(I628,CNTR_SubInstListNames,0))=0,"",INDEX(CNTR_SubInstCessationDate,MATCH(I628,CNTR_SubInstListNames,0))))</f>
        <v>Не е приложимо</v>
      </c>
      <c r="L631" s="1687" t="str">
        <f>IF($I628="",EUconst_NA,INDEX(EUconst_BMlistMainNumberOfBM,MATCH(I628,EUconst_BMlistNames,0)))</f>
        <v>Не е приложимо</v>
      </c>
      <c r="M631" s="1688" t="str">
        <f>IF(I628="",EUconst_NA,INDEX(EUconst_BMlistBMvaluesMatrix,MATCH(L631,EUconst_BMlistMainNumberOfBM,0),3))</f>
        <v>Не е приложимо</v>
      </c>
      <c r="N631" s="382" t="str">
        <f>EUconst_EUA &amp; "/" &amp; F634</f>
        <v>Квота за емисии/тона</v>
      </c>
      <c r="O631" s="698"/>
      <c r="P631" s="729"/>
      <c r="Q631" s="729"/>
      <c r="R631" s="1176" t="str">
        <f>IF($I628="",EUconst_NA,INDEX(EUconst_BMlistNumberOfBM,MATCH(I628,EUconst_BMlistNames,0)))</f>
        <v>Не е приложимо</v>
      </c>
      <c r="S631" s="729"/>
      <c r="T631" s="1174" t="s">
        <v>1735</v>
      </c>
      <c r="U631" s="1176">
        <f>IF(SUM(K631)=0,2050,YEAR(K631))</f>
        <v>2050</v>
      </c>
      <c r="V631" s="343"/>
    </row>
    <row r="632" spans="1:22" s="364" customFormat="1" ht="5.15" customHeight="1" thickBot="1" x14ac:dyDescent="0.35">
      <c r="A632" s="729"/>
      <c r="B632" s="302"/>
      <c r="C632" s="302"/>
      <c r="D632" s="302"/>
      <c r="E632" s="357"/>
      <c r="J632" s="302"/>
      <c r="K632" s="302"/>
      <c r="L632" s="302"/>
      <c r="M632" s="302"/>
      <c r="N632" s="302"/>
      <c r="O632" s="698"/>
      <c r="P632" s="729"/>
      <c r="Q632" s="729"/>
      <c r="R632" s="729"/>
      <c r="S632" s="729"/>
      <c r="T632" s="770"/>
      <c r="U632" s="343"/>
      <c r="V632" s="343"/>
    </row>
    <row r="633" spans="1:22" s="364" customFormat="1" ht="12.75" customHeight="1" x14ac:dyDescent="0.25">
      <c r="A633" s="729"/>
      <c r="B633" s="302"/>
      <c r="C633" s="302"/>
      <c r="D633" s="302"/>
      <c r="E633" s="313"/>
      <c r="F633" s="300" t="str">
        <f>EUconst_Unit</f>
        <v>Единица мярка</v>
      </c>
      <c r="G633" s="1689" t="str">
        <f>Translations!$B$1284</f>
        <v>HAL</v>
      </c>
      <c r="H633" s="757">
        <f t="shared" ref="H633:N633" si="46">H$2505</f>
        <v>2024</v>
      </c>
      <c r="I633" s="572">
        <f t="shared" si="46"/>
        <v>2025</v>
      </c>
      <c r="J633" s="757">
        <f t="shared" si="46"/>
        <v>2026</v>
      </c>
      <c r="K633" s="391">
        <f t="shared" si="46"/>
        <v>2027</v>
      </c>
      <c r="L633" s="391">
        <f t="shared" si="46"/>
        <v>2028</v>
      </c>
      <c r="M633" s="391">
        <f t="shared" si="46"/>
        <v>2029</v>
      </c>
      <c r="N633" s="391">
        <f t="shared" si="46"/>
        <v>2030</v>
      </c>
      <c r="O633" s="698"/>
      <c r="P633" s="729"/>
      <c r="Q633" s="729" t="s">
        <v>1851</v>
      </c>
      <c r="R633" s="1690">
        <f>J$2505</f>
        <v>2026</v>
      </c>
      <c r="S633" s="1691">
        <f>K$2505</f>
        <v>2027</v>
      </c>
      <c r="T633" s="1691">
        <f>L$2505</f>
        <v>2028</v>
      </c>
      <c r="U633" s="1691">
        <f>M$2505</f>
        <v>2029</v>
      </c>
      <c r="V633" s="1692">
        <f>N$2505</f>
        <v>2030</v>
      </c>
    </row>
    <row r="634" spans="1:22" s="364" customFormat="1" ht="12.75" customHeight="1" thickBot="1" x14ac:dyDescent="0.3">
      <c r="A634" s="729"/>
      <c r="B634" s="302"/>
      <c r="C634" s="302"/>
      <c r="D634" s="302"/>
      <c r="E634" s="388" t="str">
        <f>Translations!$B$1371</f>
        <v>Докладвано равнище на дейност</v>
      </c>
      <c r="F634" s="1062" t="str">
        <f>IF(ISNUMBER(L631),INDEX(EUconst_BMlistUnits,MATCH(L631,EUconst_BMlistMainNumberOfBM,0)),EUconst_Tons)</f>
        <v>тона</v>
      </c>
      <c r="G634" s="1693" t="str">
        <f>I694</f>
        <v/>
      </c>
      <c r="H634" s="1694" t="str">
        <f>IF($I628="","",IF(H633&gt;=CNTR_ReportingYear,"",INDEX(F_ProductBM!H:H,MATCH($P634,F_ProductBM!$Q:$Q,0))))</f>
        <v/>
      </c>
      <c r="I634" s="608" t="str">
        <f>IF($I628="","",IF(I633&gt;=CNTR_ReportingYear,"",INDEX(F_ProductBM!I:I,MATCH($P634,F_ProductBM!$Q:$Q,0))))</f>
        <v/>
      </c>
      <c r="J634" s="1694" t="str">
        <f>IF($I628="","",IF(J633&gt;=CNTR_ReportingYear,"",INDEX(F_ProductBM!J:J,MATCH($P634,F_ProductBM!$Q:$Q,0))))</f>
        <v/>
      </c>
      <c r="K634" s="406" t="str">
        <f>IF($I628="","",IF(K633&gt;=CNTR_ReportingYear,"",INDEX(F_ProductBM!K:K,MATCH($P634,F_ProductBM!$Q:$Q,0))))</f>
        <v/>
      </c>
      <c r="L634" s="406" t="str">
        <f>IF($I628="","",IF(L633&gt;=CNTR_ReportingYear,"",INDEX(F_ProductBM!L:L,MATCH($P634,F_ProductBM!$Q:$Q,0))))</f>
        <v/>
      </c>
      <c r="M634" s="406" t="str">
        <f>IF($I628="","",IF(M633&gt;=CNTR_ReportingYear,"",INDEX(F_ProductBM!M:M,MATCH($P634,F_ProductBM!$Q:$Q,0))))</f>
        <v/>
      </c>
      <c r="N634" s="406" t="str">
        <f>IF($I628="","",IF(N633&gt;=CNTR_ReportingYear,"",INDEX(F_ProductBM!N:N,MATCH($P634,F_ProductBM!$Q:$Q,0))))</f>
        <v/>
      </c>
      <c r="O634" s="698"/>
      <c r="P634" s="1190" t="str">
        <f>EUconst_CNTR_HAL&amp;I628</f>
        <v>HAL_</v>
      </c>
      <c r="Q634" s="729"/>
      <c r="R634" s="1580" t="b">
        <f>AND($I628&lt;&gt;"",R633&lt;=CNTR_ReportingYear,IF($J631&lt;&gt;EUconst_NA,R633&gt;=YEAR($J631),TRUE))</f>
        <v>0</v>
      </c>
      <c r="S634" s="1255" t="b">
        <f>AND($I628&lt;&gt;"",S633&lt;=CNTR_ReportingYear,IF($J631&lt;&gt;EUconst_NA,S633&gt;=YEAR($J631),TRUE))</f>
        <v>0</v>
      </c>
      <c r="T634" s="1255" t="b">
        <f>AND($I628&lt;&gt;"",T633&lt;=CNTR_ReportingYear,IF($J631&lt;&gt;EUconst_NA,T633&gt;=YEAR($J631),TRUE))</f>
        <v>0</v>
      </c>
      <c r="U634" s="1255" t="b">
        <f>AND($I628&lt;&gt;"",U633&lt;=CNTR_ReportingYear,IF($J631&lt;&gt;EUconst_NA,U633&gt;=YEAR($J631),TRUE))</f>
        <v>0</v>
      </c>
      <c r="V634" s="1256" t="b">
        <f>AND($I628&lt;&gt;"",V633&lt;=CNTR_ReportingYear,IF($J631&lt;&gt;EUconst_NA,V633&gt;=YEAR($J631),TRUE))</f>
        <v>0</v>
      </c>
    </row>
    <row r="635" spans="1:22" s="364" customFormat="1" ht="5.15" customHeight="1" thickBot="1" x14ac:dyDescent="0.35">
      <c r="A635" s="729"/>
      <c r="B635" s="302"/>
      <c r="C635" s="357"/>
      <c r="D635" s="357"/>
      <c r="E635" s="357"/>
      <c r="F635" s="357"/>
      <c r="G635" s="357"/>
      <c r="H635" s="357"/>
      <c r="I635" s="357"/>
      <c r="J635" s="357"/>
      <c r="K635" s="357"/>
      <c r="L635" s="357"/>
      <c r="M635" s="357"/>
      <c r="N635" s="357"/>
      <c r="O635" s="698"/>
      <c r="P635" s="729"/>
      <c r="Q635" s="729"/>
      <c r="R635" s="729"/>
      <c r="S635" s="729"/>
      <c r="T635" s="729"/>
      <c r="U635" s="343"/>
      <c r="V635" s="343"/>
    </row>
    <row r="636" spans="1:22" s="364" customFormat="1" ht="5.15" customHeight="1" x14ac:dyDescent="0.3">
      <c r="A636" s="729"/>
      <c r="B636" s="302"/>
      <c r="C636" s="357"/>
      <c r="D636" s="1695"/>
      <c r="E636" s="1696"/>
      <c r="F636" s="1696"/>
      <c r="G636" s="1696"/>
      <c r="H636" s="1696"/>
      <c r="I636" s="1696"/>
      <c r="J636" s="1696"/>
      <c r="K636" s="1696"/>
      <c r="L636" s="1696"/>
      <c r="M636" s="1696"/>
      <c r="N636" s="1697"/>
      <c r="O636" s="698"/>
      <c r="P636" s="729"/>
      <c r="Q636" s="729"/>
      <c r="R636" s="729"/>
      <c r="S636" s="729"/>
      <c r="T636" s="729"/>
      <c r="U636" s="343"/>
      <c r="V636" s="343"/>
    </row>
    <row r="637" spans="1:22" s="364" customFormat="1" ht="12.75" customHeight="1" x14ac:dyDescent="0.3">
      <c r="A637" s="729"/>
      <c r="B637" s="302"/>
      <c r="C637" s="357"/>
      <c r="D637" s="1698"/>
      <c r="E637" s="389" t="str">
        <f>Translations!$B$1372</f>
        <v>Приложимост на пълзящата средна стойност</v>
      </c>
      <c r="F637" s="498"/>
      <c r="G637" s="498"/>
      <c r="H637" s="527"/>
      <c r="I637" s="1699"/>
      <c r="J637" s="1523">
        <f>J$2505</f>
        <v>2026</v>
      </c>
      <c r="K637" s="387">
        <f>K$2505</f>
        <v>2027</v>
      </c>
      <c r="L637" s="387">
        <f>L$2505</f>
        <v>2028</v>
      </c>
      <c r="M637" s="387">
        <f>M$2505</f>
        <v>2029</v>
      </c>
      <c r="N637" s="1544">
        <f>N$2505</f>
        <v>2030</v>
      </c>
      <c r="O637" s="698"/>
      <c r="P637" s="729"/>
      <c r="Q637" s="729"/>
      <c r="R637" s="729"/>
      <c r="S637" s="729"/>
      <c r="T637" s="729"/>
      <c r="U637" s="343"/>
      <c r="V637" s="343"/>
    </row>
    <row r="638" spans="1:22" s="364" customFormat="1" ht="12.75" customHeight="1" x14ac:dyDescent="0.3">
      <c r="A638" s="729"/>
      <c r="B638" s="302"/>
      <c r="C638" s="357"/>
      <c r="D638" s="1698"/>
      <c r="E638" s="1700" t="str">
        <f>Translations!$B$1364</f>
        <v>Критерий 1: В експлоатация &gt; 2 години?</v>
      </c>
      <c r="F638" s="1701"/>
      <c r="G638" s="1701"/>
      <c r="H638" s="1702"/>
      <c r="I638" s="1701"/>
      <c r="J638" s="1703" t="str">
        <f>IF(R634,INDEX(F_ProductBM!V:V,MATCH($P638,F_ProductBM!$Q:$Q,0))&gt;=3,"")</f>
        <v/>
      </c>
      <c r="K638" s="1704" t="str">
        <f>IF(S634,INDEX(F_ProductBM!W:W,MATCH($P638,F_ProductBM!$Q:$Q,0))&gt;=3,"")</f>
        <v/>
      </c>
      <c r="L638" s="1704" t="str">
        <f>IF(T634,INDEX(F_ProductBM!X:X,MATCH($P638,F_ProductBM!$Q:$Q,0))&gt;=3,"")</f>
        <v/>
      </c>
      <c r="M638" s="1704" t="str">
        <f>IF(U634,INDEX(F_ProductBM!Y:Y,MATCH($P638,F_ProductBM!$Q:$Q,0))&gt;=3,"")</f>
        <v/>
      </c>
      <c r="N638" s="1705" t="str">
        <f>IF(V634,INDEX(F_ProductBM!Z:Z,MATCH($P638,F_ProductBM!$Q:$Q,0))&gt;=3,"")</f>
        <v/>
      </c>
      <c r="O638" s="698"/>
      <c r="P638" s="1190" t="str">
        <f>EUconst_CNTR_HALinitial&amp;I628</f>
        <v>HALini_</v>
      </c>
      <c r="Q638" s="729"/>
      <c r="R638" s="729"/>
      <c r="S638" s="729"/>
      <c r="T638" s="729"/>
      <c r="U638" s="343"/>
      <c r="V638" s="343"/>
    </row>
    <row r="639" spans="1:22" s="364" customFormat="1" ht="12.75" customHeight="1" x14ac:dyDescent="0.3">
      <c r="A639" s="729"/>
      <c r="B639" s="302"/>
      <c r="C639" s="357"/>
      <c r="D639" s="1698"/>
      <c r="E639" s="1706" t="str">
        <f>Translations!$B$1366</f>
        <v>Критерий 2: Не е спряна от експлоатация през предходната година?</v>
      </c>
      <c r="F639" s="1707"/>
      <c r="G639" s="1707"/>
      <c r="H639" s="1708"/>
      <c r="I639" s="1707"/>
      <c r="J639" s="1709" t="str">
        <f>IF(R634,IF($K631="",2050,YEAR($K631))&lt;&gt;(J637-1),"")</f>
        <v/>
      </c>
      <c r="K639" s="1710" t="str">
        <f>IF(S634,IF($K631="",2050,YEAR($K631))&lt;&gt;(K637-1),"")</f>
        <v/>
      </c>
      <c r="L639" s="1710" t="str">
        <f>IF(T634,IF($K631="",2050,YEAR($K631))&lt;&gt;(L637-1),"")</f>
        <v/>
      </c>
      <c r="M639" s="1710" t="str">
        <f>IF(U634,IF($K631="",2050,YEAR($K631))&lt;&gt;(M637-1),"")</f>
        <v/>
      </c>
      <c r="N639" s="1711" t="str">
        <f>IF(V634,IF($K631="",2050,YEAR($K631))&lt;&gt;(N637-1),"")</f>
        <v/>
      </c>
      <c r="O639" s="698"/>
      <c r="P639" s="729"/>
      <c r="Q639" s="729"/>
      <c r="R639" s="729"/>
      <c r="S639" s="729"/>
      <c r="T639" s="729"/>
      <c r="U639" s="343"/>
      <c r="V639" s="343"/>
    </row>
    <row r="640" spans="1:22" s="364" customFormat="1" ht="5.15" customHeight="1" x14ac:dyDescent="0.3">
      <c r="A640" s="729"/>
      <c r="B640" s="302"/>
      <c r="C640" s="357"/>
      <c r="D640" s="1698"/>
      <c r="E640" s="357"/>
      <c r="F640" s="357"/>
      <c r="G640" s="357"/>
      <c r="H640" s="357"/>
      <c r="I640" s="357"/>
      <c r="J640" s="357"/>
      <c r="K640" s="357"/>
      <c r="L640" s="357"/>
      <c r="M640" s="357"/>
      <c r="N640" s="1712"/>
      <c r="O640" s="698"/>
      <c r="P640" s="729"/>
      <c r="Q640" s="729"/>
      <c r="R640" s="729"/>
      <c r="S640" s="729"/>
      <c r="T640" s="729"/>
      <c r="U640" s="343"/>
      <c r="V640" s="343"/>
    </row>
    <row r="641" spans="1:22" s="364" customFormat="1" ht="12.75" customHeight="1" x14ac:dyDescent="0.3">
      <c r="A641" s="729"/>
      <c r="B641" s="302"/>
      <c r="C641" s="357"/>
      <c r="D641" s="1698"/>
      <c r="E641" s="313" t="str">
        <f>Translations!$B$1373</f>
        <v>Промени: Няма промяна (базова стойност)</v>
      </c>
      <c r="F641" s="302"/>
      <c r="G641" s="302"/>
      <c r="H641" s="527" t="str">
        <f>EUconst_Unit</f>
        <v>Единица мярка</v>
      </c>
      <c r="I641" s="1699"/>
      <c r="J641" s="757">
        <f>J$2505</f>
        <v>2026</v>
      </c>
      <c r="K641" s="391">
        <f>K$2505</f>
        <v>2027</v>
      </c>
      <c r="L641" s="391">
        <f>L$2505</f>
        <v>2028</v>
      </c>
      <c r="M641" s="391">
        <f>M$2505</f>
        <v>2029</v>
      </c>
      <c r="N641" s="1713">
        <f>N$2505</f>
        <v>2030</v>
      </c>
      <c r="O641" s="698"/>
      <c r="P641" s="729"/>
      <c r="Q641" s="729"/>
      <c r="R641" s="729"/>
      <c r="S641" s="729"/>
      <c r="T641" s="729"/>
      <c r="U641" s="343"/>
      <c r="V641" s="343"/>
    </row>
    <row r="642" spans="1:22" s="364" customFormat="1" ht="12.75" hidden="1" customHeight="1" x14ac:dyDescent="0.3">
      <c r="A642" s="729" t="str">
        <f t="shared" ref="A642:A646" si="47">IF(P642="","ausblenden","")</f>
        <v>ausblenden</v>
      </c>
      <c r="B642" s="302"/>
      <c r="C642" s="357"/>
      <c r="D642" s="1698"/>
      <c r="E642" s="388" t="str">
        <f>Translations!$B$1388</f>
        <v>Равнище на дейност</v>
      </c>
      <c r="F642" s="388"/>
      <c r="G642" s="388"/>
      <c r="H642" s="1210" t="str">
        <f>F634</f>
        <v>тона</v>
      </c>
      <c r="I642" s="388"/>
      <c r="J642" s="1714" t="str">
        <f>IF(T699&gt;=$H$2505,S694,I694)</f>
        <v/>
      </c>
      <c r="K642" s="1693" t="str">
        <f t="shared" ref="K642:K645" si="48">J694</f>
        <v/>
      </c>
      <c r="L642" s="1693" t="str">
        <f t="shared" ref="L642:L645" si="49">K694</f>
        <v/>
      </c>
      <c r="M642" s="1693" t="str">
        <f t="shared" ref="M642:M645" si="50">L694</f>
        <v/>
      </c>
      <c r="N642" s="1715" t="str">
        <f t="shared" ref="N642:N645" si="51">M694</f>
        <v/>
      </c>
      <c r="O642" s="698"/>
      <c r="P642" s="729"/>
      <c r="Q642" s="729"/>
      <c r="R642" s="729"/>
      <c r="S642" s="729"/>
      <c r="T642" s="729"/>
      <c r="U642" s="343"/>
      <c r="V642" s="343"/>
    </row>
    <row r="643" spans="1:22" s="364" customFormat="1" ht="12.75" hidden="1" customHeight="1" x14ac:dyDescent="0.3">
      <c r="A643" s="729" t="str">
        <f t="shared" si="47"/>
        <v>ausblenden</v>
      </c>
      <c r="B643" s="302"/>
      <c r="C643" s="357"/>
      <c r="D643" s="1698"/>
      <c r="E643" s="392" t="str">
        <f>Translations!$B$949</f>
        <v>топл. ен. извън СТЕ</v>
      </c>
      <c r="F643" s="392"/>
      <c r="G643" s="392"/>
      <c r="H643" s="481" t="str">
        <f>EUconst_EUA</f>
        <v>Квота за емисии</v>
      </c>
      <c r="I643" s="1716"/>
      <c r="J643" s="1717" t="str">
        <f>IF(T699&gt;=$H$2505,S695,I695)</f>
        <v/>
      </c>
      <c r="K643" s="1718" t="str">
        <f t="shared" si="48"/>
        <v/>
      </c>
      <c r="L643" s="1718" t="str">
        <f t="shared" si="49"/>
        <v/>
      </c>
      <c r="M643" s="1718" t="str">
        <f t="shared" si="50"/>
        <v/>
      </c>
      <c r="N643" s="1719" t="str">
        <f t="shared" si="51"/>
        <v/>
      </c>
      <c r="O643" s="698"/>
      <c r="P643" s="729"/>
      <c r="Q643" s="729"/>
      <c r="R643" s="729"/>
      <c r="S643" s="729"/>
      <c r="T643" s="729"/>
      <c r="U643" s="343"/>
      <c r="V643" s="343"/>
    </row>
    <row r="644" spans="1:22" s="364" customFormat="1" ht="12.75" hidden="1" customHeight="1" x14ac:dyDescent="0.3">
      <c r="A644" s="729" t="str">
        <f t="shared" si="47"/>
        <v>ausblenden</v>
      </c>
      <c r="B644" s="302"/>
      <c r="C644" s="357"/>
      <c r="D644" s="1698"/>
      <c r="E644" s="398" t="str">
        <f>Translations!$B$951</f>
        <v>WGflare</v>
      </c>
      <c r="F644" s="398"/>
      <c r="G644" s="398"/>
      <c r="H644" s="516" t="str">
        <f>EUconst_EUA</f>
        <v>Квота за емисии</v>
      </c>
      <c r="I644" s="1720"/>
      <c r="J644" s="1721" t="str">
        <f>IF(T699&gt;=$H$2505,S696,I696)</f>
        <v/>
      </c>
      <c r="K644" s="1722" t="str">
        <f t="shared" si="48"/>
        <v/>
      </c>
      <c r="L644" s="1722" t="str">
        <f t="shared" si="49"/>
        <v/>
      </c>
      <c r="M644" s="1722" t="str">
        <f t="shared" si="50"/>
        <v/>
      </c>
      <c r="N644" s="1723" t="str">
        <f t="shared" si="51"/>
        <v/>
      </c>
      <c r="O644" s="698"/>
      <c r="P644" s="729"/>
      <c r="Q644" s="729"/>
      <c r="R644" s="729"/>
      <c r="S644" s="729"/>
      <c r="T644" s="729"/>
      <c r="U644" s="343"/>
      <c r="V644" s="343"/>
    </row>
    <row r="645" spans="1:22" s="364" customFormat="1" ht="12.75" hidden="1" customHeight="1" x14ac:dyDescent="0.3">
      <c r="A645" s="729" t="str">
        <f t="shared" si="47"/>
        <v>ausblenden</v>
      </c>
      <c r="B645" s="302"/>
      <c r="C645" s="357"/>
      <c r="D645" s="1698"/>
      <c r="E645" s="398" t="s">
        <v>1442</v>
      </c>
      <c r="F645" s="398"/>
      <c r="G645" s="398"/>
      <c r="H645" s="516" t="str">
        <f>EUconst_EUA</f>
        <v>Квота за емисии</v>
      </c>
      <c r="I645" s="1720"/>
      <c r="J645" s="1721" t="str">
        <f>IF(T699&gt;=$H$2505,S697,I697)</f>
        <v/>
      </c>
      <c r="K645" s="1722" t="str">
        <f t="shared" si="48"/>
        <v/>
      </c>
      <c r="L645" s="1722" t="str">
        <f t="shared" si="49"/>
        <v/>
      </c>
      <c r="M645" s="1722" t="str">
        <f t="shared" si="50"/>
        <v/>
      </c>
      <c r="N645" s="1723" t="str">
        <f t="shared" si="51"/>
        <v/>
      </c>
      <c r="O645" s="698"/>
      <c r="P645" s="729"/>
      <c r="Q645" s="729"/>
      <c r="R645" s="729"/>
      <c r="S645" s="729"/>
      <c r="T645" s="729"/>
      <c r="U645" s="343"/>
      <c r="V645" s="343"/>
    </row>
    <row r="646" spans="1:22" s="364" customFormat="1" ht="12.75" hidden="1" customHeight="1" x14ac:dyDescent="0.3">
      <c r="A646" s="729" t="str">
        <f t="shared" si="47"/>
        <v>ausblenden</v>
      </c>
      <c r="B646" s="302"/>
      <c r="C646" s="357"/>
      <c r="D646" s="1698"/>
      <c r="E646" s="401" t="s">
        <v>1443</v>
      </c>
      <c r="F646" s="401"/>
      <c r="G646" s="401"/>
      <c r="H646" s="483" t="s">
        <v>1052</v>
      </c>
      <c r="I646" s="1724"/>
      <c r="J646" s="1725" t="str">
        <f>IF(T699&gt;=$H$2505,S698,I698)</f>
        <v/>
      </c>
      <c r="K646" s="1726" t="str">
        <f>J698</f>
        <v/>
      </c>
      <c r="L646" s="1726" t="str">
        <f>K698</f>
        <v/>
      </c>
      <c r="M646" s="1726" t="str">
        <f>L698</f>
        <v/>
      </c>
      <c r="N646" s="1727" t="str">
        <f>M698</f>
        <v/>
      </c>
      <c r="O646" s="698"/>
      <c r="P646" s="729"/>
      <c r="Q646" s="729"/>
      <c r="R646" s="729"/>
      <c r="S646" s="729"/>
      <c r="T646" s="729"/>
      <c r="U646" s="343"/>
      <c r="V646" s="343"/>
    </row>
    <row r="647" spans="1:22" s="364" customFormat="1" ht="12.75" customHeight="1" x14ac:dyDescent="0.3">
      <c r="A647" s="729"/>
      <c r="B647" s="302"/>
      <c r="C647" s="357"/>
      <c r="D647" s="1698"/>
      <c r="E647" s="388" t="str">
        <f>Translations!$B$1374</f>
        <v>Стойност на предварително разпределяне</v>
      </c>
      <c r="F647" s="388"/>
      <c r="G647" s="388"/>
      <c r="H647" s="421" t="str">
        <f>EUconst_EUA</f>
        <v>Квота за емисии</v>
      </c>
      <c r="I647" s="1728"/>
      <c r="J647" s="1694" t="str">
        <f>IF($I628="","",MAX(0,ROUND((SUM($M631)*SUM(J642)*SUM(J646)-SUM(J643)-SUM(J644)+SUM(J645))*IF($H631=TRUE,1,J$2412)*IF($I631=TRUE,INDEX(EUconst_CBAMFactor,J637-2020),1),0)))</f>
        <v/>
      </c>
      <c r="K647" s="406" t="str">
        <f>IF($I628="","",MAX(0,ROUND((SUM($M631)*SUM(K642)*SUM(K646)-SUM(K643)-SUM(K644)+SUM(K645))*IF($H631=TRUE,1,K$2412)*IF($I631=TRUE,INDEX(EUconst_CBAMFactor,K637-2020),1),0)))</f>
        <v/>
      </c>
      <c r="L647" s="406" t="str">
        <f>IF($I628="","",MAX(0,ROUND((SUM($M631)*SUM(L642)*SUM(L646)-SUM(L643)-SUM(L644)+SUM(L645))*IF($H631=TRUE,1,L$2412)*IF($I631=TRUE,INDEX(EUconst_CBAMFactor,L637-2020),1),0)))</f>
        <v/>
      </c>
      <c r="M647" s="406" t="str">
        <f>IF($I628="","",MAX(0,ROUND((SUM($M631)*SUM(M642)*SUM(M646)-SUM(M643)-SUM(M644)+SUM(M645))*IF($H631=TRUE,1,M$2412)*IF($I631=TRUE,INDEX(EUconst_CBAMFactor,M637-2020),1),0)))</f>
        <v/>
      </c>
      <c r="N647" s="1729" t="str">
        <f>IF($I628="","",MAX(0,ROUND((SUM($M631)*SUM(N642)*SUM(N646)-SUM(N643)-SUM(N644)+SUM(N645))*IF($H631=TRUE,1,N$2412)*IF($I631=TRUE,INDEX(EUconst_CBAMFactor,N637-2020),1),0)))</f>
        <v/>
      </c>
      <c r="O647" s="698"/>
      <c r="P647" s="729"/>
      <c r="Q647" s="729"/>
      <c r="R647" s="729"/>
      <c r="S647" s="729"/>
      <c r="T647" s="729"/>
      <c r="U647" s="343"/>
      <c r="V647" s="343"/>
    </row>
    <row r="648" spans="1:22" s="364" customFormat="1" ht="5.15" customHeight="1" x14ac:dyDescent="0.3">
      <c r="A648" s="729"/>
      <c r="B648" s="302"/>
      <c r="C648" s="357"/>
      <c r="D648" s="1698"/>
      <c r="E648" s="357"/>
      <c r="F648" s="357"/>
      <c r="G648" s="357"/>
      <c r="H648" s="357"/>
      <c r="I648" s="357"/>
      <c r="J648" s="357"/>
      <c r="K648" s="357"/>
      <c r="L648" s="357"/>
      <c r="M648" s="357"/>
      <c r="N648" s="1712"/>
      <c r="O648" s="698"/>
      <c r="P648" s="729"/>
      <c r="Q648" s="729"/>
      <c r="R648" s="729"/>
      <c r="S648" s="729"/>
      <c r="T648" s="729"/>
      <c r="U648" s="343"/>
      <c r="V648" s="343"/>
    </row>
    <row r="649" spans="1:22" s="364" customFormat="1" ht="12.75" customHeight="1" x14ac:dyDescent="0.3">
      <c r="A649" s="729"/>
      <c r="B649" s="302"/>
      <c r="C649" s="357"/>
      <c r="D649" s="1698"/>
      <c r="E649" s="389" t="str">
        <f>Translations!$B$1375</f>
        <v>Промени: Равнище на дейност</v>
      </c>
      <c r="F649" s="498"/>
      <c r="G649" s="498"/>
      <c r="H649" s="527" t="str">
        <f>EUconst_Unit</f>
        <v>Единица мярка</v>
      </c>
      <c r="I649" s="1699"/>
      <c r="J649" s="1523">
        <f>J$2505</f>
        <v>2026</v>
      </c>
      <c r="K649" s="387">
        <f>K$2505</f>
        <v>2027</v>
      </c>
      <c r="L649" s="387">
        <f>L$2505</f>
        <v>2028</v>
      </c>
      <c r="M649" s="387">
        <f>M$2505</f>
        <v>2029</v>
      </c>
      <c r="N649" s="1544">
        <f>N$2505</f>
        <v>2030</v>
      </c>
      <c r="O649" s="698"/>
      <c r="P649" s="729"/>
      <c r="Q649" s="729"/>
      <c r="R649" s="729"/>
      <c r="S649" s="729"/>
      <c r="T649" s="729"/>
      <c r="U649" s="343"/>
      <c r="V649" s="343"/>
    </row>
    <row r="650" spans="1:22" s="364" customFormat="1" ht="12.75" customHeight="1" x14ac:dyDescent="0.3">
      <c r="A650" s="729"/>
      <c r="B650" s="302"/>
      <c r="C650" s="357"/>
      <c r="D650" s="1698"/>
      <c r="E650" s="392" t="str">
        <f>Translations!$B$1328</f>
        <v>Средна годишна стойност</v>
      </c>
      <c r="F650" s="392"/>
      <c r="G650" s="392"/>
      <c r="H650" s="1730" t="str">
        <f>H642</f>
        <v>тона</v>
      </c>
      <c r="I650" s="1731"/>
      <c r="J650" s="1732" t="str">
        <f>INDEX(F_ProductBM!J:J,MATCH($P650,F_ProductBM!$Q:$Q,0))</f>
        <v/>
      </c>
      <c r="K650" s="394" t="str">
        <f>INDEX(F_ProductBM!K:K,MATCH($P650,F_ProductBM!$Q:$Q,0))</f>
        <v/>
      </c>
      <c r="L650" s="394" t="str">
        <f>INDEX(F_ProductBM!L:L,MATCH($P650,F_ProductBM!$Q:$Q,0))</f>
        <v/>
      </c>
      <c r="M650" s="394" t="str">
        <f>INDEX(F_ProductBM!M:M,MATCH($P650,F_ProductBM!$Q:$Q,0))</f>
        <v/>
      </c>
      <c r="N650" s="1733" t="str">
        <f>INDEX(F_ProductBM!N:N,MATCH($P650,F_ProductBM!$Q:$Q,0))</f>
        <v/>
      </c>
      <c r="O650" s="698"/>
      <c r="P650" s="1190" t="str">
        <f>EUconst_CNTR_HALinitial&amp;I628</f>
        <v>HALini_</v>
      </c>
      <c r="Q650" s="729"/>
      <c r="R650" s="729"/>
      <c r="S650" s="729"/>
      <c r="T650" s="729"/>
      <c r="U650" s="343"/>
      <c r="V650" s="343"/>
    </row>
    <row r="651" spans="1:22" s="364" customFormat="1" ht="12.75" customHeight="1" x14ac:dyDescent="0.3">
      <c r="A651" s="729"/>
      <c r="B651" s="302"/>
      <c r="C651" s="357"/>
      <c r="D651" s="1698"/>
      <c r="E651" s="398" t="str">
        <f>Translations!$B$1376</f>
        <v>Промяна в сравнение с HAL</v>
      </c>
      <c r="F651" s="398"/>
      <c r="G651" s="398"/>
      <c r="H651" s="1734" t="s">
        <v>1052</v>
      </c>
      <c r="I651" s="1735"/>
      <c r="J651" s="159" t="str">
        <f>INDEX(F_ProductBM!J:J,MATCH($P651,F_ProductBM!$Q:$Q,0))</f>
        <v/>
      </c>
      <c r="K651" s="160" t="str">
        <f>INDEX(F_ProductBM!K:K,MATCH($P651,F_ProductBM!$Q:$Q,0))</f>
        <v/>
      </c>
      <c r="L651" s="160" t="str">
        <f>INDEX(F_ProductBM!L:L,MATCH($P651,F_ProductBM!$Q:$Q,0))</f>
        <v/>
      </c>
      <c r="M651" s="160" t="str">
        <f>INDEX(F_ProductBM!M:M,MATCH($P651,F_ProductBM!$Q:$Q,0))</f>
        <v/>
      </c>
      <c r="N651" s="161" t="str">
        <f>INDEX(F_ProductBM!N:N,MATCH($P651,F_ProductBM!$Q:$Q,0))</f>
        <v/>
      </c>
      <c r="O651" s="698"/>
      <c r="P651" s="1190" t="str">
        <f>EUconst_CNTR_RelThreshold &amp; P653</f>
        <v>RelThresh_HALprelim_</v>
      </c>
      <c r="Q651" s="729"/>
      <c r="R651" s="729"/>
      <c r="S651" s="729"/>
      <c r="T651" s="729"/>
      <c r="U651" s="343"/>
      <c r="V651" s="343"/>
    </row>
    <row r="652" spans="1:22" s="364" customFormat="1" ht="12.75" customHeight="1" x14ac:dyDescent="0.3">
      <c r="A652" s="729"/>
      <c r="B652" s="302"/>
      <c r="C652" s="357"/>
      <c r="D652" s="1698"/>
      <c r="E652" s="1736" t="str">
        <f>Translations!$B$1368</f>
        <v>Критерий 3a: Надвишени ли са относителните прагове?</v>
      </c>
      <c r="F652" s="1736"/>
      <c r="G652" s="1736"/>
      <c r="H652" s="1737" t="s">
        <v>1052</v>
      </c>
      <c r="I652" s="1738"/>
      <c r="J652" s="1739" t="str">
        <f>INDEX(F_ProductBM!V:V,MATCH($P652,F_ProductBM!$Q:$Q,0)+1)</f>
        <v/>
      </c>
      <c r="K652" s="1740" t="str">
        <f>INDEX(F_ProductBM!W:W,MATCH($P652,F_ProductBM!$Q:$Q,0)+1)</f>
        <v/>
      </c>
      <c r="L652" s="1740" t="str">
        <f>INDEX(F_ProductBM!X:X,MATCH($P652,F_ProductBM!$Q:$Q,0)+1)</f>
        <v/>
      </c>
      <c r="M652" s="1740" t="str">
        <f>INDEX(F_ProductBM!Y:Y,MATCH($P652,F_ProductBM!$Q:$Q,0)+1)</f>
        <v/>
      </c>
      <c r="N652" s="1741" t="str">
        <f>INDEX(F_ProductBM!Z:Z,MATCH($P652,F_ProductBM!$Q:$Q,0)+1)</f>
        <v/>
      </c>
      <c r="O652" s="698"/>
      <c r="P652" s="1190" t="str">
        <f>P651</f>
        <v>RelThresh_HALprelim_</v>
      </c>
      <c r="Q652" s="729"/>
      <c r="R652" s="729"/>
      <c r="S652" s="729"/>
      <c r="T652" s="729"/>
      <c r="U652" s="343"/>
      <c r="V652" s="343"/>
    </row>
    <row r="653" spans="1:22" s="364" customFormat="1" ht="12.75" customHeight="1" x14ac:dyDescent="0.3">
      <c r="A653" s="729" t="str">
        <f t="shared" ref="A653" si="52">IF(P653="","ausblenden","")</f>
        <v/>
      </c>
      <c r="B653" s="302"/>
      <c r="C653" s="357"/>
      <c r="D653" s="1698"/>
      <c r="E653" s="401" t="str">
        <f>Translations!$B$1377</f>
        <v>Предварителна стойност</v>
      </c>
      <c r="F653" s="401"/>
      <c r="G653" s="401"/>
      <c r="H653" s="1742" t="str">
        <f>F634</f>
        <v>тона</v>
      </c>
      <c r="I653" s="401"/>
      <c r="J653" s="1743" t="str">
        <f>INDEX(F_ProductBM!J:J,MATCH($P653,F_ProductBM!$Q:$Q,0))</f>
        <v/>
      </c>
      <c r="K653" s="1744" t="str">
        <f>INDEX(F_ProductBM!K:K,MATCH($P653,F_ProductBM!$Q:$Q,0))</f>
        <v/>
      </c>
      <c r="L653" s="1744" t="str">
        <f>INDEX(F_ProductBM!L:L,MATCH($P653,F_ProductBM!$Q:$Q,0))</f>
        <v/>
      </c>
      <c r="M653" s="1744" t="str">
        <f>INDEX(F_ProductBM!M:M,MATCH($P653,F_ProductBM!$Q:$Q,0))</f>
        <v/>
      </c>
      <c r="N653" s="1745" t="str">
        <f>INDEX(F_ProductBM!N:N,MATCH($P653,F_ProductBM!$Q:$Q,0))</f>
        <v/>
      </c>
      <c r="O653" s="698"/>
      <c r="P653" s="1190" t="str">
        <f>EUconst_CNTR_HALprelim&amp;I628</f>
        <v>HALprelim_</v>
      </c>
      <c r="Q653" s="729"/>
      <c r="R653" s="729"/>
      <c r="S653" s="729"/>
      <c r="T653" s="729"/>
      <c r="U653" s="343"/>
      <c r="V653" s="343"/>
    </row>
    <row r="654" spans="1:22" s="364" customFormat="1" ht="5.15" customHeight="1" x14ac:dyDescent="0.3">
      <c r="A654" s="729"/>
      <c r="B654" s="302"/>
      <c r="C654" s="357"/>
      <c r="D654" s="1698"/>
      <c r="E654" s="302"/>
      <c r="F654" s="302"/>
      <c r="G654" s="302"/>
      <c r="H654" s="302"/>
      <c r="I654" s="1746"/>
      <c r="J654" s="302"/>
      <c r="K654" s="302"/>
      <c r="L654" s="302"/>
      <c r="M654" s="302"/>
      <c r="N654" s="1747"/>
      <c r="O654" s="698"/>
      <c r="P654" s="729"/>
      <c r="Q654" s="729"/>
      <c r="R654" s="729"/>
      <c r="S654" s="729"/>
      <c r="T654" s="729"/>
      <c r="U654" s="343"/>
      <c r="V654" s="343"/>
    </row>
    <row r="655" spans="1:22" s="364" customFormat="1" ht="12.75" customHeight="1" x14ac:dyDescent="0.3">
      <c r="A655" s="729"/>
      <c r="B655" s="302"/>
      <c r="C655" s="357"/>
      <c r="D655" s="1698"/>
      <c r="E655" s="389" t="str">
        <f>Translations!$B$1380</f>
        <v>Промени: Топлинна енергия извън СТЕ</v>
      </c>
      <c r="F655" s="498"/>
      <c r="G655" s="498"/>
      <c r="H655" s="527" t="str">
        <f>EUconst_Unit</f>
        <v>Единица мярка</v>
      </c>
      <c r="I655" s="1699"/>
      <c r="J655" s="1523">
        <f>J$2505</f>
        <v>2026</v>
      </c>
      <c r="K655" s="387">
        <f>K$2505</f>
        <v>2027</v>
      </c>
      <c r="L655" s="387">
        <f>L$2505</f>
        <v>2028</v>
      </c>
      <c r="M655" s="387">
        <f>M$2505</f>
        <v>2029</v>
      </c>
      <c r="N655" s="1544">
        <f>N$2505</f>
        <v>2030</v>
      </c>
      <c r="O655" s="698"/>
      <c r="P655" s="729"/>
      <c r="Q655" s="729"/>
      <c r="R655" s="729"/>
      <c r="S655" s="729"/>
      <c r="T655" s="729"/>
      <c r="U655" s="343"/>
      <c r="V655" s="343"/>
    </row>
    <row r="656" spans="1:22" s="364" customFormat="1" ht="12.75" customHeight="1" x14ac:dyDescent="0.3">
      <c r="A656" s="729"/>
      <c r="B656" s="302"/>
      <c r="C656" s="357"/>
      <c r="D656" s="1698"/>
      <c r="E656" s="392" t="str">
        <f>Translations!$B$1328</f>
        <v>Средна годишна стойност</v>
      </c>
      <c r="F656" s="392"/>
      <c r="G656" s="392"/>
      <c r="H656" s="485" t="str">
        <f>EUconst_EUA</f>
        <v>Квота за емисии</v>
      </c>
      <c r="I656" s="1716"/>
      <c r="J656" s="1732" t="str">
        <f>IF(R634,SUM(INDEX(F_ProductBM!J:J,MATCH($P656,F_ProductBM!$Q:$Q,0))),"")</f>
        <v/>
      </c>
      <c r="K656" s="394" t="str">
        <f>IF(S634,SUM(INDEX(F_ProductBM!K:K,MATCH($P656,F_ProductBM!$Q:$Q,0))),"")</f>
        <v/>
      </c>
      <c r="L656" s="394" t="str">
        <f>IF(T634,SUM(INDEX(F_ProductBM!L:L,MATCH($P656,F_ProductBM!$Q:$Q,0))),"")</f>
        <v/>
      </c>
      <c r="M656" s="394" t="str">
        <f>IF(U634,SUM(INDEX(F_ProductBM!M:M,MATCH($P656,F_ProductBM!$Q:$Q,0))),"")</f>
        <v/>
      </c>
      <c r="N656" s="1733" t="str">
        <f>IF(V634,SUM(INDEX(F_ProductBM!N:N,MATCH($P656,F_ProductBM!$Q:$Q,0))),"")</f>
        <v/>
      </c>
      <c r="O656" s="698"/>
      <c r="P656" s="1190" t="str">
        <f>EUconst_CNTR_HEATInitial &amp; I628</f>
        <v>HEATIni_</v>
      </c>
      <c r="Q656" s="729"/>
      <c r="R656" s="729"/>
      <c r="S656" s="729"/>
      <c r="T656" s="729"/>
      <c r="U656" s="343"/>
      <c r="V656" s="343"/>
    </row>
    <row r="657" spans="1:22" s="364" customFormat="1" ht="12.75" customHeight="1" x14ac:dyDescent="0.3">
      <c r="A657" s="729"/>
      <c r="B657" s="302"/>
      <c r="C657" s="357"/>
      <c r="D657" s="1698"/>
      <c r="E657" s="398" t="str">
        <f>Translations!$B$1378</f>
        <v>Промяна в сравнение със стойността в НМИ</v>
      </c>
      <c r="F657" s="398"/>
      <c r="G657" s="398"/>
      <c r="H657" s="1734" t="s">
        <v>1052</v>
      </c>
      <c r="I657" s="1735"/>
      <c r="J657" s="159" t="str">
        <f>INDEX(F_ProductBM!J:J,MATCH($P657,F_ProductBM!$Q:$Q,0))</f>
        <v/>
      </c>
      <c r="K657" s="160" t="str">
        <f>INDEX(F_ProductBM!K:K,MATCH($P657,F_ProductBM!$Q:$Q,0))</f>
        <v/>
      </c>
      <c r="L657" s="160" t="str">
        <f>INDEX(F_ProductBM!L:L,MATCH($P657,F_ProductBM!$Q:$Q,0))</f>
        <v/>
      </c>
      <c r="M657" s="160" t="str">
        <f>INDEX(F_ProductBM!M:M,MATCH($P657,F_ProductBM!$Q:$Q,0))</f>
        <v/>
      </c>
      <c r="N657" s="161" t="str">
        <f>INDEX(F_ProductBM!N:N,MATCH($P657,F_ProductBM!$Q:$Q,0))</f>
        <v/>
      </c>
      <c r="O657" s="698"/>
      <c r="P657" s="1190" t="str">
        <f>EUconst_CNTR_RelThreshold &amp; P659</f>
        <v>RelThresh_HEATprelim_</v>
      </c>
      <c r="Q657" s="729"/>
      <c r="R657" s="729"/>
      <c r="S657" s="729"/>
      <c r="T657" s="729"/>
      <c r="U657" s="343"/>
      <c r="V657" s="343"/>
    </row>
    <row r="658" spans="1:22" s="364" customFormat="1" ht="12.75" customHeight="1" x14ac:dyDescent="0.3">
      <c r="A658" s="729"/>
      <c r="B658" s="302"/>
      <c r="C658" s="357"/>
      <c r="D658" s="1698"/>
      <c r="E658" s="1736" t="str">
        <f>Translations!$B$1379</f>
        <v>Критерий 3б: Надвишени ли са относителните прагове?</v>
      </c>
      <c r="F658" s="1736"/>
      <c r="G658" s="1736"/>
      <c r="H658" s="1737" t="s">
        <v>1052</v>
      </c>
      <c r="I658" s="1738"/>
      <c r="J658" s="1739" t="str">
        <f>INDEX(F_ProductBM!V:V,MATCH($P658,F_ProductBM!$Q:$Q,0))</f>
        <v/>
      </c>
      <c r="K658" s="1740" t="str">
        <f>INDEX(F_ProductBM!W:W,MATCH($P658,F_ProductBM!$Q:$Q,0))</f>
        <v/>
      </c>
      <c r="L658" s="1740" t="str">
        <f>INDEX(F_ProductBM!X:X,MATCH($P658,F_ProductBM!$Q:$Q,0))</f>
        <v/>
      </c>
      <c r="M658" s="1740" t="str">
        <f>INDEX(F_ProductBM!Y:Y,MATCH($P658,F_ProductBM!$Q:$Q,0))</f>
        <v/>
      </c>
      <c r="N658" s="1741" t="str">
        <f>INDEX(F_ProductBM!Z:Z,MATCH($P658,F_ProductBM!$Q:$Q,0))</f>
        <v/>
      </c>
      <c r="O658" s="698"/>
      <c r="P658" s="1190" t="str">
        <f>P657</f>
        <v>RelThresh_HEATprelim_</v>
      </c>
      <c r="Q658" s="729"/>
      <c r="R658" s="729"/>
      <c r="S658" s="729"/>
      <c r="T658" s="729"/>
      <c r="U658" s="343"/>
      <c r="V658" s="343"/>
    </row>
    <row r="659" spans="1:22" s="364" customFormat="1" ht="12.75" customHeight="1" x14ac:dyDescent="0.3">
      <c r="A659" s="729" t="str">
        <f>IF(P659="","ausblenden","")</f>
        <v/>
      </c>
      <c r="B659" s="302"/>
      <c r="C659" s="357"/>
      <c r="D659" s="1698"/>
      <c r="E659" s="401" t="str">
        <f>Translations!$B$1377</f>
        <v>Предварителна стойност</v>
      </c>
      <c r="F659" s="401"/>
      <c r="G659" s="401"/>
      <c r="H659" s="487" t="str">
        <f>EUconst_EUA</f>
        <v>Квота за емисии</v>
      </c>
      <c r="I659" s="401"/>
      <c r="J659" s="1743" t="str">
        <f>IF($I628="","",INDEX(F_ProductBM!J:J,MATCH($P659,F_ProductBM!$Q:$Q,0)))</f>
        <v/>
      </c>
      <c r="K659" s="1744" t="str">
        <f>IF($I628="","",INDEX(F_ProductBM!K:K,MATCH($P659,F_ProductBM!$Q:$Q,0)))</f>
        <v/>
      </c>
      <c r="L659" s="1744" t="str">
        <f>IF($I628="","",INDEX(F_ProductBM!L:L,MATCH($P659,F_ProductBM!$Q:$Q,0)))</f>
        <v/>
      </c>
      <c r="M659" s="1744" t="str">
        <f>IF($I628="","",INDEX(F_ProductBM!M:M,MATCH($P659,F_ProductBM!$Q:$Q,0)))</f>
        <v/>
      </c>
      <c r="N659" s="1745" t="str">
        <f>IF($I628="","",INDEX(F_ProductBM!N:N,MATCH($P659,F_ProductBM!$Q:$Q,0)))</f>
        <v/>
      </c>
      <c r="O659" s="698"/>
      <c r="P659" s="1190" t="str">
        <f>EUconst_CNTR_HEATprelim&amp;I628</f>
        <v>HEATprelim_</v>
      </c>
      <c r="Q659" s="729"/>
      <c r="R659" s="729"/>
      <c r="S659" s="729"/>
      <c r="T659" s="729"/>
      <c r="U659" s="343"/>
      <c r="V659" s="343"/>
    </row>
    <row r="660" spans="1:22" s="364" customFormat="1" ht="5.15" customHeight="1" x14ac:dyDescent="0.3">
      <c r="A660" s="729"/>
      <c r="B660" s="302"/>
      <c r="C660" s="357"/>
      <c r="D660" s="1698"/>
      <c r="E660" s="302"/>
      <c r="F660" s="302"/>
      <c r="G660" s="302"/>
      <c r="H660" s="302"/>
      <c r="I660" s="1746"/>
      <c r="J660" s="302"/>
      <c r="K660" s="302"/>
      <c r="L660" s="302"/>
      <c r="M660" s="302"/>
      <c r="N660" s="1747"/>
      <c r="O660" s="698"/>
      <c r="P660" s="729"/>
      <c r="Q660" s="729"/>
      <c r="R660" s="729"/>
      <c r="S660" s="729"/>
      <c r="T660" s="729"/>
      <c r="U660" s="343"/>
      <c r="V660" s="343"/>
    </row>
    <row r="661" spans="1:22" s="364" customFormat="1" ht="12.75" customHeight="1" x14ac:dyDescent="0.3">
      <c r="A661" s="729"/>
      <c r="B661" s="302"/>
      <c r="C661" s="357"/>
      <c r="D661" s="1698"/>
      <c r="E661" s="389" t="str">
        <f>Translations!$B$1382</f>
        <v>Промени: Корекция за ценни химически вещества (HVC)</v>
      </c>
      <c r="F661" s="498"/>
      <c r="G661" s="498"/>
      <c r="H661" s="527" t="str">
        <f>EUconst_Unit</f>
        <v>Единица мярка</v>
      </c>
      <c r="I661" s="1699"/>
      <c r="J661" s="1523">
        <f>J$2505</f>
        <v>2026</v>
      </c>
      <c r="K661" s="387">
        <f>K$2505</f>
        <v>2027</v>
      </c>
      <c r="L661" s="387">
        <f>L$2505</f>
        <v>2028</v>
      </c>
      <c r="M661" s="387">
        <f>M$2505</f>
        <v>2029</v>
      </c>
      <c r="N661" s="1544">
        <f>N$2505</f>
        <v>2030</v>
      </c>
      <c r="O661" s="698"/>
      <c r="P661" s="729"/>
      <c r="Q661" s="729"/>
      <c r="R661" s="729"/>
      <c r="S661" s="729"/>
      <c r="T661" s="729"/>
      <c r="U661" s="343"/>
      <c r="V661" s="343"/>
    </row>
    <row r="662" spans="1:22" s="364" customFormat="1" ht="12.75" customHeight="1" x14ac:dyDescent="0.3">
      <c r="A662" s="729"/>
      <c r="B662" s="302"/>
      <c r="C662" s="357"/>
      <c r="D662" s="1698"/>
      <c r="E662" s="392" t="str">
        <f>Translations!$B$1328</f>
        <v>Средна годишна стойност</v>
      </c>
      <c r="F662" s="392"/>
      <c r="G662" s="392"/>
      <c r="H662" s="481" t="str">
        <f>EUconst_EUA</f>
        <v>Квота за емисии</v>
      </c>
      <c r="I662" s="1716"/>
      <c r="J662" s="1748" t="str">
        <f>IF(L631=42,INDEX(H_SpecialBM!J:J,MATCH($P662,H_SpecialBM!$Q:$Q,0)),"")</f>
        <v/>
      </c>
      <c r="K662" s="1749" t="str">
        <f>IF(L631=42,INDEX(H_SpecialBM!K:K,MATCH($P662,H_SpecialBM!$Q:$Q,0)),"")</f>
        <v/>
      </c>
      <c r="L662" s="1749" t="str">
        <f>IF(L631=42,INDEX(H_SpecialBM!L:L,MATCH($P662,H_SpecialBM!$Q:$Q,0)),"")</f>
        <v/>
      </c>
      <c r="M662" s="1749" t="str">
        <f>IF(L631=42,INDEX(H_SpecialBM!M:M,MATCH($P662,H_SpecialBM!$Q:$Q,0)),"")</f>
        <v/>
      </c>
      <c r="N662" s="1750" t="str">
        <f>IF(L631=42,INDEX(H_SpecialBM!N:N,MATCH($P662,H_SpecialBM!$Q:$Q,0)),"")</f>
        <v/>
      </c>
      <c r="O662" s="698"/>
      <c r="P662" s="1190" t="str">
        <f>EUconst_CNTR_HVCInitial &amp; INDEX(EUconst_BMlistNames,MATCH(42,EUconst_BMlistMainNumberOfBM,0))</f>
        <v>HVCIni_Крекинг с водна пара</v>
      </c>
      <c r="Q662" s="729"/>
      <c r="R662" s="729"/>
      <c r="S662" s="729"/>
      <c r="T662" s="729"/>
      <c r="U662" s="343"/>
      <c r="V662" s="343"/>
    </row>
    <row r="663" spans="1:22" s="364" customFormat="1" ht="12.75" customHeight="1" x14ac:dyDescent="0.3">
      <c r="A663" s="729"/>
      <c r="B663" s="302"/>
      <c r="C663" s="357"/>
      <c r="D663" s="1698"/>
      <c r="E663" s="398" t="str">
        <f>Translations!$B$1378</f>
        <v>Промяна в сравнение със стойността в НМИ</v>
      </c>
      <c r="F663" s="398"/>
      <c r="G663" s="398"/>
      <c r="H663" s="1751" t="s">
        <v>1052</v>
      </c>
      <c r="I663" s="1735"/>
      <c r="J663" s="159" t="str">
        <f>IF(L631=42,INDEX(H_SpecialBM!J:J,MATCH($P663,H_SpecialBM!$Q:$Q,0)),"")</f>
        <v/>
      </c>
      <c r="K663" s="160" t="str">
        <f>IF(L631=42,INDEX(H_SpecialBM!K:K,MATCH($P663,H_SpecialBM!$Q:$Q,0)),"")</f>
        <v/>
      </c>
      <c r="L663" s="160" t="str">
        <f>IF(L631=42,INDEX(H_SpecialBM!L:L,MATCH($P663,H_SpecialBM!$Q:$Q,0)),"")</f>
        <v/>
      </c>
      <c r="M663" s="160" t="str">
        <f>IF(L631=42,INDEX(H_SpecialBM!M:M,MATCH($P663,H_SpecialBM!$Q:$Q,0)),"")</f>
        <v/>
      </c>
      <c r="N663" s="161" t="str">
        <f>IF(L631=42,INDEX(H_SpecialBM!N:N,MATCH($P663,H_SpecialBM!$Q:$Q,0)),"")</f>
        <v/>
      </c>
      <c r="O663" s="698"/>
      <c r="P663" s="1190" t="str">
        <f>EUconst_CNTR_RelThreshold &amp; P665</f>
        <v>RelThresh_HVCprelim_</v>
      </c>
      <c r="Q663" s="729"/>
      <c r="R663" s="729"/>
      <c r="S663" s="729"/>
      <c r="T663" s="729"/>
      <c r="U663" s="343"/>
      <c r="V663" s="343"/>
    </row>
    <row r="664" spans="1:22" s="364" customFormat="1" ht="12.75" customHeight="1" x14ac:dyDescent="0.3">
      <c r="A664" s="729"/>
      <c r="B664" s="302"/>
      <c r="C664" s="357"/>
      <c r="D664" s="1698"/>
      <c r="E664" s="1736" t="str">
        <f>Translations!$B$1381</f>
        <v>Критерий 3в: Надвишени ли са относителните прагове?</v>
      </c>
      <c r="F664" s="1736"/>
      <c r="G664" s="1736"/>
      <c r="H664" s="1738" t="s">
        <v>1052</v>
      </c>
      <c r="I664" s="1738"/>
      <c r="J664" s="1739" t="str">
        <f>IF(L631=42,INDEX(H_SpecialBM!V:V,MATCH($P664,H_SpecialBM!$Q:$Q,0)),"")</f>
        <v/>
      </c>
      <c r="K664" s="1740" t="str">
        <f>IF(L631=42,INDEX(H_SpecialBM!W:W,MATCH($P664,H_SpecialBM!$Q:$Q,0)),"")</f>
        <v/>
      </c>
      <c r="L664" s="1740" t="str">
        <f>IF(L631=42,INDEX(H_SpecialBM!X:X,MATCH($P664,H_SpecialBM!$Q:$Q,0)),"")</f>
        <v/>
      </c>
      <c r="M664" s="1740" t="str">
        <f>IF(L631=42,INDEX(H_SpecialBM!Y:Y,MATCH($P664,H_SpecialBM!$Q:$Q,0)),"")</f>
        <v/>
      </c>
      <c r="N664" s="1741" t="str">
        <f>IF(L631=42,INDEX(H_SpecialBM!Z:Z,MATCH($P664,H_SpecialBM!$Q:$Q,0)),"")</f>
        <v/>
      </c>
      <c r="O664" s="698"/>
      <c r="P664" s="1190" t="str">
        <f>P663</f>
        <v>RelThresh_HVCprelim_</v>
      </c>
      <c r="Q664" s="729"/>
      <c r="R664" s="729"/>
      <c r="S664" s="729"/>
      <c r="T664" s="729"/>
      <c r="U664" s="343"/>
      <c r="V664" s="343"/>
    </row>
    <row r="665" spans="1:22" s="364" customFormat="1" ht="12.75" customHeight="1" x14ac:dyDescent="0.3">
      <c r="A665" s="729" t="str">
        <f>IF(P665="","ausblenden","")</f>
        <v/>
      </c>
      <c r="B665" s="302"/>
      <c r="C665" s="357"/>
      <c r="D665" s="1698"/>
      <c r="E665" s="401" t="str">
        <f>Translations!$B$1377</f>
        <v>Предварителна стойност</v>
      </c>
      <c r="F665" s="401"/>
      <c r="G665" s="401"/>
      <c r="H665" s="483" t="str">
        <f>EUconst_EUA</f>
        <v>Квота за емисии</v>
      </c>
      <c r="I665" s="1724"/>
      <c r="J665" s="1752" t="str">
        <f>IF($L631=42,INDEX(H_SpecialBM!J:J,MATCH($P665,H_SpecialBM!$Q:$Q,0)),"")</f>
        <v/>
      </c>
      <c r="K665" s="1753" t="str">
        <f>IF($L631=42,INDEX(H_SpecialBM!K:K,MATCH($P665,H_SpecialBM!$Q:$Q,0)),"")</f>
        <v/>
      </c>
      <c r="L665" s="1753" t="str">
        <f>IF($L631=42,INDEX(H_SpecialBM!L:L,MATCH($P665,H_SpecialBM!$Q:$Q,0)),"")</f>
        <v/>
      </c>
      <c r="M665" s="1753" t="str">
        <f>IF($L631=42,INDEX(H_SpecialBM!M:M,MATCH($P665,H_SpecialBM!$Q:$Q,0)),"")</f>
        <v/>
      </c>
      <c r="N665" s="1754" t="str">
        <f>IF($L631=42,INDEX(H_SpecialBM!N:N,MATCH($P665,H_SpecialBM!$Q:$Q,0)),"")</f>
        <v/>
      </c>
      <c r="O665" s="698"/>
      <c r="P665" s="1190" t="str">
        <f>EUconst_CNTR_HVCprelim</f>
        <v>HVCprelim_</v>
      </c>
      <c r="Q665" s="729"/>
      <c r="R665" s="729"/>
      <c r="S665" s="729"/>
      <c r="T665" s="729"/>
      <c r="U665" s="343"/>
      <c r="V665" s="343"/>
    </row>
    <row r="666" spans="1:22" s="364" customFormat="1" ht="5.15" customHeight="1" x14ac:dyDescent="0.3">
      <c r="A666" s="729"/>
      <c r="B666" s="302"/>
      <c r="C666" s="357"/>
      <c r="D666" s="1698"/>
      <c r="E666" s="302"/>
      <c r="F666" s="302"/>
      <c r="G666" s="302"/>
      <c r="H666" s="302"/>
      <c r="I666" s="1746"/>
      <c r="J666" s="302"/>
      <c r="K666" s="302"/>
      <c r="L666" s="302"/>
      <c r="M666" s="302"/>
      <c r="N666" s="1747"/>
      <c r="O666" s="698"/>
      <c r="P666" s="729"/>
      <c r="Q666" s="729"/>
      <c r="R666" s="729"/>
      <c r="S666" s="729"/>
      <c r="T666" s="729"/>
      <c r="U666" s="343"/>
      <c r="V666" s="343"/>
    </row>
    <row r="667" spans="1:22" s="364" customFormat="1" ht="12.75" customHeight="1" x14ac:dyDescent="0.3">
      <c r="A667" s="729"/>
      <c r="B667" s="302"/>
      <c r="C667" s="357"/>
      <c r="D667" s="1698"/>
      <c r="E667" s="389" t="str">
        <f>Translations!$B$1384</f>
        <v>Промени: Корекция за винилхлориден мономер (VCM)</v>
      </c>
      <c r="F667" s="498"/>
      <c r="G667" s="498"/>
      <c r="H667" s="527" t="str">
        <f>EUconst_Unit</f>
        <v>Единица мярка</v>
      </c>
      <c r="I667" s="1699"/>
      <c r="J667" s="1523">
        <f>J$2505</f>
        <v>2026</v>
      </c>
      <c r="K667" s="387">
        <f>K$2505</f>
        <v>2027</v>
      </c>
      <c r="L667" s="387">
        <f>L$2505</f>
        <v>2028</v>
      </c>
      <c r="M667" s="387">
        <f>M$2505</f>
        <v>2029</v>
      </c>
      <c r="N667" s="1544">
        <f>N$2505</f>
        <v>2030</v>
      </c>
      <c r="O667" s="698"/>
      <c r="P667" s="729"/>
      <c r="Q667" s="729"/>
      <c r="R667" s="729"/>
      <c r="S667" s="729"/>
      <c r="T667" s="729"/>
      <c r="U667" s="343"/>
      <c r="V667" s="343"/>
    </row>
    <row r="668" spans="1:22" s="364" customFormat="1" ht="12.75" customHeight="1" x14ac:dyDescent="0.3">
      <c r="A668" s="729"/>
      <c r="B668" s="302"/>
      <c r="C668" s="357"/>
      <c r="D668" s="1698"/>
      <c r="E668" s="392" t="str">
        <f>Translations!$B$1328</f>
        <v>Средна годишна стойност</v>
      </c>
      <c r="F668" s="392"/>
      <c r="G668" s="392"/>
      <c r="H668" s="485" t="s">
        <v>1052</v>
      </c>
      <c r="I668" s="1716"/>
      <c r="J668" s="1755" t="str">
        <f>IF(L631=47,INDEX(H_SpecialBM!J:J,MATCH($P668,H_SpecialBM!$Q:$Q,0)),"")</f>
        <v/>
      </c>
      <c r="K668" s="1756" t="str">
        <f>IF(L631=47,INDEX(H_SpecialBM!K:K,MATCH($P668,H_SpecialBM!$Q:$Q,0)),"")</f>
        <v/>
      </c>
      <c r="L668" s="1756" t="str">
        <f>IF(L631=47,INDEX(H_SpecialBM!L:L,MATCH($P668,H_SpecialBM!$Q:$Q,0)),"")</f>
        <v/>
      </c>
      <c r="M668" s="1756" t="str">
        <f>IF(L631=47,INDEX(H_SpecialBM!M:M,MATCH($P668,H_SpecialBM!$Q:$Q,0)),"")</f>
        <v/>
      </c>
      <c r="N668" s="1757" t="str">
        <f>IF(L631=47,INDEX(H_SpecialBM!N:N,MATCH($P668,H_SpecialBM!$Q:$Q,0)),"")</f>
        <v/>
      </c>
      <c r="O668" s="698"/>
      <c r="P668" s="1190" t="str">
        <f>EUconst_CNTR_VCMInitial &amp; INDEX(EUconst_BMlistNames,MATCH(47,EUconst_BMlistMainNumberOfBM,0))</f>
        <v>VCMIni_Винилхлориден мономер</v>
      </c>
      <c r="Q668" s="729"/>
      <c r="R668" s="729"/>
      <c r="S668" s="729"/>
      <c r="T668" s="729"/>
      <c r="U668" s="343"/>
      <c r="V668" s="343"/>
    </row>
    <row r="669" spans="1:22" s="364" customFormat="1" ht="12.75" customHeight="1" x14ac:dyDescent="0.3">
      <c r="A669" s="729"/>
      <c r="B669" s="302"/>
      <c r="C669" s="357"/>
      <c r="D669" s="1698"/>
      <c r="E669" s="398" t="str">
        <f>Translations!$B$1378</f>
        <v>Промяна в сравнение със стойността в НМИ</v>
      </c>
      <c r="F669" s="398"/>
      <c r="G669" s="398"/>
      <c r="H669" s="1751" t="s">
        <v>1052</v>
      </c>
      <c r="I669" s="1735"/>
      <c r="J669" s="159" t="str">
        <f>IF(L631=47,INDEX(H_SpecialBM!J:J,MATCH($P669,H_SpecialBM!$Q:$Q,0)),"")</f>
        <v/>
      </c>
      <c r="K669" s="160" t="str">
        <f>IF(L631=47,INDEX(H_SpecialBM!K:K,MATCH($P669,H_SpecialBM!$Q:$Q,0)),"")</f>
        <v/>
      </c>
      <c r="L669" s="160" t="str">
        <f>IF(L631=47,INDEX(H_SpecialBM!L:L,MATCH($P669,H_SpecialBM!$Q:$Q,0)),"")</f>
        <v/>
      </c>
      <c r="M669" s="160" t="str">
        <f>IF(L631=47,INDEX(H_SpecialBM!M:M,MATCH($P669,H_SpecialBM!$Q:$Q,0)),"")</f>
        <v/>
      </c>
      <c r="N669" s="161" t="str">
        <f>IF(L631=47,INDEX(H_SpecialBM!N:N,MATCH($P669,H_SpecialBM!$Q:$Q,0)),"")</f>
        <v/>
      </c>
      <c r="O669" s="698"/>
      <c r="P669" s="1190" t="str">
        <f>EUconst_CNTR_RelThreshold &amp; P671</f>
        <v>RelThresh_VCMprelim_</v>
      </c>
      <c r="Q669" s="729"/>
      <c r="R669" s="729"/>
      <c r="S669" s="729"/>
      <c r="T669" s="729"/>
      <c r="U669" s="343"/>
      <c r="V669" s="343"/>
    </row>
    <row r="670" spans="1:22" s="364" customFormat="1" ht="12.75" customHeight="1" x14ac:dyDescent="0.3">
      <c r="A670" s="729"/>
      <c r="B670" s="302"/>
      <c r="C670" s="357"/>
      <c r="D670" s="1698"/>
      <c r="E670" s="1736" t="str">
        <f>Translations!$B$1383</f>
        <v>Критерий 3г: Надвишени ли са относителните прагове?</v>
      </c>
      <c r="F670" s="1736"/>
      <c r="G670" s="1736"/>
      <c r="H670" s="1738" t="s">
        <v>1052</v>
      </c>
      <c r="I670" s="1738"/>
      <c r="J670" s="1739" t="str">
        <f>IF(L631=47,INDEX(H_SpecialBM!V:V,MATCH($P670,H_SpecialBM!$Q:$Q,0)),"")</f>
        <v/>
      </c>
      <c r="K670" s="1740" t="str">
        <f>IF(L631=47,INDEX(H_SpecialBM!W:W,MATCH($P670,H_SpecialBM!$Q:$Q,0)),"")</f>
        <v/>
      </c>
      <c r="L670" s="1740" t="str">
        <f>IF(L631=47,INDEX(H_SpecialBM!X:X,MATCH($P670,H_SpecialBM!$Q:$Q,0)),"")</f>
        <v/>
      </c>
      <c r="M670" s="1740" t="str">
        <f>IF(L631=47,INDEX(H_SpecialBM!Y:Y,MATCH($P670,H_SpecialBM!$Q:$Q,0)),"")</f>
        <v/>
      </c>
      <c r="N670" s="1741" t="str">
        <f>IF(L631=47,INDEX(H_SpecialBM!Z:Z,MATCH($P670,H_SpecialBM!$Q:$Q,0)),"")</f>
        <v/>
      </c>
      <c r="O670" s="698"/>
      <c r="P670" s="1190" t="str">
        <f>P669</f>
        <v>RelThresh_VCMprelim_</v>
      </c>
      <c r="Q670" s="729"/>
      <c r="R670" s="729"/>
      <c r="S670" s="729"/>
      <c r="T670" s="729"/>
      <c r="U670" s="343"/>
      <c r="V670" s="343"/>
    </row>
    <row r="671" spans="1:22" s="364" customFormat="1" ht="12.75" customHeight="1" x14ac:dyDescent="0.3">
      <c r="A671" s="729" t="str">
        <f>IF(P671="","ausblenden","")</f>
        <v/>
      </c>
      <c r="B671" s="302"/>
      <c r="C671" s="357"/>
      <c r="D671" s="1698"/>
      <c r="E671" s="401" t="str">
        <f>Translations!$B$1377</f>
        <v>Предварителна стойност</v>
      </c>
      <c r="F671" s="401"/>
      <c r="G671" s="401"/>
      <c r="H671" s="483" t="s">
        <v>1052</v>
      </c>
      <c r="I671" s="1724"/>
      <c r="J671" s="1758" t="str">
        <f>IF($L631=47,IF(ISNUMBER(INDEX(H_SpecialBM!J:J,MATCH($P671,H_SpecialBM!$Q:$Q,0))),INDEX(H_SpecialBM!J:J,MATCH($P671,H_SpecialBM!$Q:$Q,0)),1),"")</f>
        <v/>
      </c>
      <c r="K671" s="1759" t="str">
        <f>IF($L631=47,IF(ISNUMBER(INDEX(H_SpecialBM!K:K,MATCH($P671,H_SpecialBM!$Q:$Q,0))),INDEX(H_SpecialBM!K:K,MATCH($P671,H_SpecialBM!$Q:$Q,0)),1),"")</f>
        <v/>
      </c>
      <c r="L671" s="1759" t="str">
        <f>IF($L631=47,IF(ISNUMBER(INDEX(H_SpecialBM!L:L,MATCH($P671,H_SpecialBM!$Q:$Q,0))),INDEX(H_SpecialBM!L:L,MATCH($P671,H_SpecialBM!$Q:$Q,0)),1),"")</f>
        <v/>
      </c>
      <c r="M671" s="1759" t="str">
        <f>IF($L631=47,IF(ISNUMBER(INDEX(H_SpecialBM!M:M,MATCH($P671,H_SpecialBM!$Q:$Q,0))),INDEX(H_SpecialBM!M:M,MATCH($P671,H_SpecialBM!$Q:$Q,0)),1),"")</f>
        <v/>
      </c>
      <c r="N671" s="1760" t="str">
        <f>IF($L631=47,IF(ISNUMBER(INDEX(H_SpecialBM!N:N,MATCH($P671,H_SpecialBM!$Q:$Q,0))),INDEX(H_SpecialBM!N:N,MATCH($P671,H_SpecialBM!$Q:$Q,0)),1),"")</f>
        <v/>
      </c>
      <c r="O671" s="698"/>
      <c r="P671" s="1190" t="str">
        <f>EUconst_CNTR_VCMprelim</f>
        <v>VCMprelim_</v>
      </c>
      <c r="Q671" s="729"/>
      <c r="R671" s="729"/>
      <c r="S671" s="729"/>
      <c r="T671" s="729"/>
      <c r="U671" s="343"/>
      <c r="V671" s="343"/>
    </row>
    <row r="672" spans="1:22" s="364" customFormat="1" ht="5.15" customHeight="1" x14ac:dyDescent="0.3">
      <c r="A672" s="729"/>
      <c r="B672" s="302"/>
      <c r="C672" s="357"/>
      <c r="D672" s="1698"/>
      <c r="E672" s="302"/>
      <c r="F672" s="302"/>
      <c r="G672" s="302"/>
      <c r="H672" s="302"/>
      <c r="I672" s="1746"/>
      <c r="J672" s="302"/>
      <c r="K672" s="302"/>
      <c r="L672" s="302"/>
      <c r="M672" s="302"/>
      <c r="N672" s="1747"/>
      <c r="O672" s="698"/>
      <c r="P672" s="729"/>
      <c r="Q672" s="729"/>
      <c r="R672" s="729"/>
      <c r="S672" s="729"/>
      <c r="T672" s="729"/>
      <c r="U672" s="343"/>
      <c r="V672" s="343"/>
    </row>
    <row r="673" spans="1:22" s="364" customFormat="1" ht="12.75" customHeight="1" x14ac:dyDescent="0.3">
      <c r="A673" s="729"/>
      <c r="B673" s="302"/>
      <c r="C673" s="357"/>
      <c r="D673" s="1698"/>
      <c r="E673" s="389" t="str">
        <f>Translations!$B$1386</f>
        <v>Промени: Изгорен във факел отпаден газ</v>
      </c>
      <c r="F673" s="498"/>
      <c r="G673" s="498"/>
      <c r="H673" s="527" t="str">
        <f>EUconst_Unit</f>
        <v>Единица мярка</v>
      </c>
      <c r="I673" s="1699"/>
      <c r="J673" s="1523">
        <f>J$2505</f>
        <v>2026</v>
      </c>
      <c r="K673" s="387">
        <f>K$2505</f>
        <v>2027</v>
      </c>
      <c r="L673" s="387">
        <f>L$2505</f>
        <v>2028</v>
      </c>
      <c r="M673" s="387">
        <f>M$2505</f>
        <v>2029</v>
      </c>
      <c r="N673" s="1544">
        <f>N$2505</f>
        <v>2030</v>
      </c>
      <c r="O673" s="698"/>
      <c r="P673" s="729"/>
      <c r="Q673" s="729"/>
      <c r="R673" s="729"/>
      <c r="S673" s="729"/>
      <c r="T673" s="729"/>
      <c r="U673" s="343"/>
      <c r="V673" s="343"/>
    </row>
    <row r="674" spans="1:22" s="364" customFormat="1" ht="12.75" customHeight="1" x14ac:dyDescent="0.3">
      <c r="A674" s="729"/>
      <c r="B674" s="302"/>
      <c r="C674" s="357"/>
      <c r="D674" s="1698"/>
      <c r="E674" s="392" t="str">
        <f>Translations!$B$1328</f>
        <v>Средна годишна стойност</v>
      </c>
      <c r="F674" s="392"/>
      <c r="G674" s="392"/>
      <c r="H674" s="485" t="str">
        <f>EUconst_tCO2</f>
        <v>t CO2</v>
      </c>
      <c r="I674" s="1716"/>
      <c r="J674" s="1732" t="str">
        <f>INDEX(F_ProductBM!J:J,MATCH($P674,F_ProductBM!$Q:$Q,0))</f>
        <v/>
      </c>
      <c r="K674" s="394" t="str">
        <f>INDEX(F_ProductBM!K:K,MATCH($P674,F_ProductBM!$Q:$Q,0))</f>
        <v/>
      </c>
      <c r="L674" s="394" t="str">
        <f>INDEX(F_ProductBM!L:L,MATCH($P674,F_ProductBM!$Q:$Q,0))</f>
        <v/>
      </c>
      <c r="M674" s="394" t="str">
        <f>INDEX(F_ProductBM!M:M,MATCH($P674,F_ProductBM!$Q:$Q,0))</f>
        <v/>
      </c>
      <c r="N674" s="1733" t="str">
        <f>INDEX(F_ProductBM!N:N,MATCH($P674,F_ProductBM!$Q:$Q,0))</f>
        <v/>
      </c>
      <c r="O674" s="698"/>
      <c r="P674" s="1190" t="str">
        <f>EUconst_CNTR_HALinitial &amp; EUconst_CNTR_WGFlared &amp; I628</f>
        <v>HALini_WasteGasFlare_</v>
      </c>
      <c r="Q674" s="729"/>
      <c r="R674" s="729"/>
      <c r="S674" s="729"/>
      <c r="T674" s="729"/>
      <c r="U674" s="343"/>
      <c r="V674" s="343"/>
    </row>
    <row r="675" spans="1:22" s="364" customFormat="1" ht="12.75" customHeight="1" x14ac:dyDescent="0.3">
      <c r="A675" s="729"/>
      <c r="B675" s="302"/>
      <c r="C675" s="357"/>
      <c r="D675" s="1698"/>
      <c r="E675" s="398" t="str">
        <f>Translations!$B$1378</f>
        <v>Промяна в сравнение със стойността в НМИ</v>
      </c>
      <c r="F675" s="398"/>
      <c r="G675" s="398"/>
      <c r="H675" s="1734" t="s">
        <v>1052</v>
      </c>
      <c r="I675" s="1735"/>
      <c r="J675" s="159" t="str">
        <f>INDEX(F_ProductBM!J:J,MATCH($P675,F_ProductBM!$Q:$Q,0))</f>
        <v/>
      </c>
      <c r="K675" s="160" t="str">
        <f>INDEX(F_ProductBM!K:K,MATCH($P675,F_ProductBM!$Q:$Q,0))</f>
        <v/>
      </c>
      <c r="L675" s="160" t="str">
        <f>INDEX(F_ProductBM!L:L,MATCH($P675,F_ProductBM!$Q:$Q,0))</f>
        <v/>
      </c>
      <c r="M675" s="160" t="str">
        <f>INDEX(F_ProductBM!M:M,MATCH($P675,F_ProductBM!$Q:$Q,0))</f>
        <v/>
      </c>
      <c r="N675" s="161" t="str">
        <f>INDEX(F_ProductBM!N:N,MATCH($P675,F_ProductBM!$Q:$Q,0))</f>
        <v/>
      </c>
      <c r="O675" s="698"/>
      <c r="P675" s="1190" t="str">
        <f>EUconst_CNTR_RelThreshold &amp; P677</f>
        <v>RelThresh_HALprelim_WasteGasFlare_</v>
      </c>
      <c r="Q675" s="729"/>
      <c r="R675" s="729"/>
      <c r="S675" s="729"/>
      <c r="T675" s="729"/>
      <c r="U675" s="343"/>
      <c r="V675" s="343"/>
    </row>
    <row r="676" spans="1:22" s="364" customFormat="1" ht="12.75" customHeight="1" x14ac:dyDescent="0.3">
      <c r="A676" s="729"/>
      <c r="B676" s="302"/>
      <c r="C676" s="357"/>
      <c r="D676" s="1698"/>
      <c r="E676" s="1736" t="str">
        <f>Translations!$B$1385</f>
        <v>Критерий 3д: Надвишени ли са относителните прагове?</v>
      </c>
      <c r="F676" s="1736"/>
      <c r="G676" s="1736"/>
      <c r="H676" s="1737" t="s">
        <v>1052</v>
      </c>
      <c r="I676" s="1738"/>
      <c r="J676" s="1739" t="str">
        <f>INDEX(F_ProductBM!V:V,MATCH($P676,F_ProductBM!$Q:$Q,0))</f>
        <v/>
      </c>
      <c r="K676" s="1740" t="str">
        <f>INDEX(F_ProductBM!W:W,MATCH($P676,F_ProductBM!$Q:$Q,0))</f>
        <v/>
      </c>
      <c r="L676" s="1740" t="str">
        <f>INDEX(F_ProductBM!X:X,MATCH($P676,F_ProductBM!$Q:$Q,0))</f>
        <v/>
      </c>
      <c r="M676" s="1740" t="str">
        <f>INDEX(F_ProductBM!Y:Y,MATCH($P676,F_ProductBM!$Q:$Q,0))</f>
        <v/>
      </c>
      <c r="N676" s="1741" t="str">
        <f>INDEX(F_ProductBM!Z:Z,MATCH($P676,F_ProductBM!$Q:$Q,0))</f>
        <v/>
      </c>
      <c r="O676" s="698"/>
      <c r="P676" s="1190" t="str">
        <f>P675</f>
        <v>RelThresh_HALprelim_WasteGasFlare_</v>
      </c>
      <c r="Q676" s="729"/>
      <c r="R676" s="729"/>
      <c r="S676" s="729"/>
      <c r="T676" s="729"/>
      <c r="U676" s="343"/>
      <c r="V676" s="343"/>
    </row>
    <row r="677" spans="1:22" s="364" customFormat="1" ht="12.75" customHeight="1" x14ac:dyDescent="0.3">
      <c r="A677" s="729" t="str">
        <f>IF(P677="","ausblenden","")</f>
        <v/>
      </c>
      <c r="B677" s="302"/>
      <c r="C677" s="357"/>
      <c r="D677" s="1698"/>
      <c r="E677" s="401" t="str">
        <f>Translations!$B$1377</f>
        <v>Предварителна стойност</v>
      </c>
      <c r="F677" s="401"/>
      <c r="G677" s="401"/>
      <c r="H677" s="483" t="str">
        <f>EUconst_tCO2</f>
        <v>t CO2</v>
      </c>
      <c r="I677" s="1724"/>
      <c r="J677" s="1743" t="str">
        <f>IF(OR($I628="",CNTR_SubPeriod=1),"",INDEX(F_ProductBM!J:J,MATCH($P677,F_ProductBM!$Q:$Q,0)))</f>
        <v/>
      </c>
      <c r="K677" s="1744" t="str">
        <f>IF(OR($I628="",CNTR_SubPeriod=1),"",INDEX(F_ProductBM!K:K,MATCH($P677,F_ProductBM!$Q:$Q,0)))</f>
        <v/>
      </c>
      <c r="L677" s="1744" t="str">
        <f>IF(OR($I628="",CNTR_SubPeriod=1),"",INDEX(F_ProductBM!L:L,MATCH($P677,F_ProductBM!$Q:$Q,0)))</f>
        <v/>
      </c>
      <c r="M677" s="1744" t="str">
        <f>IF(OR($I628="",CNTR_SubPeriod=1),"",INDEX(F_ProductBM!M:M,MATCH($P677,F_ProductBM!$Q:$Q,0)))</f>
        <v/>
      </c>
      <c r="N677" s="1745" t="str">
        <f>IF(OR($I628="",CNTR_SubPeriod=1),"",INDEX(F_ProductBM!N:N,MATCH($P677,F_ProductBM!$Q:$Q,0)))</f>
        <v/>
      </c>
      <c r="O677" s="698"/>
      <c r="P677" s="1190" t="str">
        <f>EUconst_CNTR_HALprelim&amp;EUconst_CNTR_WGFlared&amp;$I628</f>
        <v>HALprelim_WasteGasFlare_</v>
      </c>
      <c r="Q677" s="729"/>
      <c r="R677" s="729"/>
      <c r="S677" s="729"/>
      <c r="T677" s="729"/>
      <c r="U677" s="343"/>
      <c r="V677" s="343"/>
    </row>
    <row r="678" spans="1:22" s="364" customFormat="1" ht="12.75" customHeight="1" thickBot="1" x14ac:dyDescent="0.35">
      <c r="A678" s="729"/>
      <c r="B678" s="302"/>
      <c r="C678" s="357"/>
      <c r="D678" s="1761"/>
      <c r="E678" s="1762"/>
      <c r="F678" s="1762"/>
      <c r="G678" s="1762"/>
      <c r="H678" s="1762"/>
      <c r="I678" s="1763"/>
      <c r="J678" s="1762"/>
      <c r="K678" s="1762"/>
      <c r="L678" s="1762"/>
      <c r="M678" s="1762"/>
      <c r="N678" s="1764"/>
      <c r="O678" s="698"/>
      <c r="P678" s="729"/>
      <c r="Q678" s="729"/>
      <c r="R678" s="729"/>
      <c r="S678" s="729"/>
      <c r="T678" s="729"/>
      <c r="U678" s="343"/>
      <c r="V678" s="343"/>
    </row>
    <row r="679" spans="1:22" s="364" customFormat="1" ht="5.15" customHeight="1" thickBot="1" x14ac:dyDescent="0.35">
      <c r="A679" s="729"/>
      <c r="B679" s="302"/>
      <c r="C679" s="357"/>
      <c r="D679" s="357"/>
      <c r="E679" s="302"/>
      <c r="F679" s="302"/>
      <c r="G679" s="302"/>
      <c r="H679" s="302"/>
      <c r="I679" s="1746"/>
      <c r="J679" s="302"/>
      <c r="K679" s="302"/>
      <c r="L679" s="302"/>
      <c r="M679" s="302"/>
      <c r="N679" s="302"/>
      <c r="O679" s="698"/>
      <c r="P679" s="729"/>
      <c r="Q679" s="729"/>
      <c r="R679" s="729"/>
      <c r="S679" s="729"/>
      <c r="T679" s="729"/>
      <c r="U679" s="343"/>
      <c r="V679" s="343"/>
    </row>
    <row r="680" spans="1:22" s="364" customFormat="1" ht="5.15" customHeight="1" x14ac:dyDescent="0.25">
      <c r="A680" s="729"/>
      <c r="B680" s="302"/>
      <c r="C680" s="302"/>
      <c r="D680" s="1765"/>
      <c r="E680" s="1766"/>
      <c r="F680" s="1766"/>
      <c r="G680" s="1766"/>
      <c r="H680" s="1766"/>
      <c r="I680" s="1767"/>
      <c r="J680" s="1766"/>
      <c r="K680" s="1766"/>
      <c r="L680" s="1766"/>
      <c r="M680" s="1766"/>
      <c r="N680" s="1768"/>
      <c r="O680" s="698"/>
      <c r="P680" s="729"/>
      <c r="Q680" s="729"/>
      <c r="R680" s="729"/>
      <c r="S680" s="729"/>
      <c r="T680" s="770"/>
      <c r="U680" s="343"/>
      <c r="V680" s="343"/>
    </row>
    <row r="681" spans="1:22" s="364" customFormat="1" ht="13" x14ac:dyDescent="0.25">
      <c r="A681" s="729"/>
      <c r="B681" s="302"/>
      <c r="C681" s="302"/>
      <c r="D681" s="344"/>
      <c r="E681" s="1769" t="str">
        <f>Translations!$B$1583</f>
        <v>Предварителни стойности за критерий &gt; 300 EUA</v>
      </c>
      <c r="F681" s="1746"/>
      <c r="G681" s="1746"/>
      <c r="H681" s="1699" t="str">
        <f>EUconst_Unit</f>
        <v>Единица мярка</v>
      </c>
      <c r="I681" s="1770" t="str">
        <f>Translations!$B$1341</f>
        <v>Базова стойност</v>
      </c>
      <c r="J681" s="1771">
        <f>J$2505</f>
        <v>2026</v>
      </c>
      <c r="K681" s="1772">
        <f>K$2505</f>
        <v>2027</v>
      </c>
      <c r="L681" s="1772">
        <f>L$2505</f>
        <v>2028</v>
      </c>
      <c r="M681" s="1772">
        <f>M$2505</f>
        <v>2029</v>
      </c>
      <c r="N681" s="1773">
        <f>N$2505</f>
        <v>2030</v>
      </c>
      <c r="O681" s="698"/>
      <c r="P681" s="729"/>
      <c r="Q681" s="729"/>
      <c r="R681" s="729"/>
      <c r="S681" s="729"/>
      <c r="T681" s="729"/>
      <c r="U681" s="729"/>
      <c r="V681" s="729"/>
    </row>
    <row r="682" spans="1:22" s="364" customFormat="1" x14ac:dyDescent="0.25">
      <c r="A682" s="729"/>
      <c r="B682" s="302"/>
      <c r="C682" s="302"/>
      <c r="D682" s="344"/>
      <c r="E682" s="1774" t="str">
        <f>Translations!$B$1388</f>
        <v>Равнище на дейност</v>
      </c>
      <c r="F682" s="1774"/>
      <c r="G682" s="1774"/>
      <c r="H682" s="1775" t="str">
        <f>F634</f>
        <v>тона</v>
      </c>
      <c r="I682" s="1776" t="str">
        <f>IF($I628="","",IF(T699&gt;=$H$2505,0,S694))</f>
        <v/>
      </c>
      <c r="J682" s="1717" t="str">
        <f>IF($I628="","",INDEX(F_ProductBM!J:J,MATCH($P682,F_ProductBM!$Q:$Q,0)))</f>
        <v/>
      </c>
      <c r="K682" s="1718" t="str">
        <f>IF($I628="","",INDEX(F_ProductBM!K:K,MATCH($P682,F_ProductBM!$Q:$Q,0)))</f>
        <v/>
      </c>
      <c r="L682" s="1718" t="str">
        <f>IF($I628="","",INDEX(F_ProductBM!L:L,MATCH($P682,F_ProductBM!$Q:$Q,0)))</f>
        <v/>
      </c>
      <c r="M682" s="1718" t="str">
        <f>IF($I628="","",INDEX(F_ProductBM!M:M,MATCH($P682,F_ProductBM!$Q:$Q,0)))</f>
        <v/>
      </c>
      <c r="N682" s="1719" t="str">
        <f>IF($I628="","",INDEX(F_ProductBM!N:N,MATCH($P682,F_ProductBM!$Q:$Q,0)))</f>
        <v/>
      </c>
      <c r="O682" s="698"/>
      <c r="P682" s="1190" t="str">
        <f>EUconst_CNTR_HALprelim&amp;I628</f>
        <v>HALprelim_</v>
      </c>
      <c r="Q682" s="729"/>
      <c r="R682" s="729"/>
      <c r="S682" s="729"/>
      <c r="T682" s="729"/>
      <c r="U682" s="729"/>
      <c r="V682" s="729"/>
    </row>
    <row r="683" spans="1:22" s="364" customFormat="1" x14ac:dyDescent="0.25">
      <c r="A683" s="729"/>
      <c r="B683" s="302"/>
      <c r="C683" s="302"/>
      <c r="D683" s="344"/>
      <c r="E683" s="1777" t="str">
        <f>Translations!$B$949</f>
        <v>топл. ен. извън СТЕ</v>
      </c>
      <c r="F683" s="1777"/>
      <c r="G683" s="1777"/>
      <c r="H683" s="1778" t="str">
        <f>EUconst_EUA</f>
        <v>Квота за емисии</v>
      </c>
      <c r="I683" s="1779" t="str">
        <f>IF($I628="","",IF(YEAR(J631)&gt;=$H$2505-1,0,S695))</f>
        <v/>
      </c>
      <c r="J683" s="1780" t="str">
        <f>IF($I$500="","",INDEX(F_ProductBM!J:J,MATCH($P683,F_ProductBM!$Q:$Q,0)))</f>
        <v/>
      </c>
      <c r="K683" s="1781" t="str">
        <f>IF($I$500="","",INDEX(F_ProductBM!K:K,MATCH($P683,F_ProductBM!$Q:$Q,0)))</f>
        <v/>
      </c>
      <c r="L683" s="1781" t="str">
        <f>IF($I$500="","",INDEX(F_ProductBM!L:L,MATCH($P683,F_ProductBM!$Q:$Q,0)))</f>
        <v/>
      </c>
      <c r="M683" s="1781" t="str">
        <f>IF($I$500="","",INDEX(F_ProductBM!M:M,MATCH($P683,F_ProductBM!$Q:$Q,0)))</f>
        <v/>
      </c>
      <c r="N683" s="1782" t="str">
        <f>IF($I$500="","",INDEX(F_ProductBM!N:N,MATCH($P683,F_ProductBM!$Q:$Q,0)))</f>
        <v/>
      </c>
      <c r="O683" s="698"/>
      <c r="P683" s="1190" t="str">
        <f>EUconst_CNTR_HEATprelim&amp;I628</f>
        <v>HEATprelim_</v>
      </c>
      <c r="Q683" s="729"/>
      <c r="R683" s="729"/>
      <c r="S683" s="729"/>
      <c r="T683" s="729"/>
      <c r="U683" s="729"/>
      <c r="V683" s="729"/>
    </row>
    <row r="684" spans="1:22" s="364" customFormat="1" x14ac:dyDescent="0.25">
      <c r="A684" s="729"/>
      <c r="B684" s="302"/>
      <c r="C684" s="302"/>
      <c r="D684" s="344"/>
      <c r="E684" s="1783" t="str">
        <f>Translations!$B$951</f>
        <v>WGflare</v>
      </c>
      <c r="F684" s="1783"/>
      <c r="G684" s="1783"/>
      <c r="H684" s="1784" t="str">
        <f>EUconst_EUA</f>
        <v>Квота за емисии</v>
      </c>
      <c r="I684" s="1785" t="str">
        <f>IF($I628="","",IF(T699&gt;=$H$2505,0,S696))</f>
        <v/>
      </c>
      <c r="J684" s="1721" t="str">
        <f>IF($I628="","",INDEX(F_ProductBM!J:J,MATCH($P684,F_ProductBM!$Q:$Q,0)))</f>
        <v/>
      </c>
      <c r="K684" s="1722" t="str">
        <f>IF($I628="","",INDEX(F_ProductBM!K:K,MATCH($P684,F_ProductBM!$Q:$Q,0)))</f>
        <v/>
      </c>
      <c r="L684" s="1722" t="str">
        <f>IF($I628="","",INDEX(F_ProductBM!L:L,MATCH($P684,F_ProductBM!$Q:$Q,0)))</f>
        <v/>
      </c>
      <c r="M684" s="1722" t="str">
        <f>IF($I628="","",INDEX(F_ProductBM!M:M,MATCH($P684,F_ProductBM!$Q:$Q,0)))</f>
        <v/>
      </c>
      <c r="N684" s="1723" t="str">
        <f>IF($I628="","",INDEX(F_ProductBM!N:N,MATCH($P684,F_ProductBM!$Q:$Q,0)))</f>
        <v/>
      </c>
      <c r="O684" s="698"/>
      <c r="P684" s="1190" t="str">
        <f>EUconst_CNTR_HALprelim&amp;EUconst_CNTR_WGFlared&amp;$I628</f>
        <v>HALprelim_WasteGasFlare_</v>
      </c>
      <c r="Q684" s="729"/>
      <c r="R684" s="729"/>
      <c r="S684" s="729"/>
      <c r="T684" s="729"/>
      <c r="U684" s="729"/>
      <c r="V684" s="729"/>
    </row>
    <row r="685" spans="1:22" s="364" customFormat="1" x14ac:dyDescent="0.25">
      <c r="A685" s="729"/>
      <c r="B685" s="302"/>
      <c r="C685" s="302"/>
      <c r="D685" s="344"/>
      <c r="E685" s="1783" t="s">
        <v>1442</v>
      </c>
      <c r="F685" s="1783"/>
      <c r="G685" s="1783"/>
      <c r="H685" s="1784" t="str">
        <f>EUconst_EUA</f>
        <v>Квота за емисии</v>
      </c>
      <c r="I685" s="1785" t="str">
        <f>IF($I628="","",IF(T699&gt;=$H$2505,0,IF(L631=42,S697,0)))</f>
        <v/>
      </c>
      <c r="J685" s="1721" t="str">
        <f>IF($I628="","",IF($L631=42,INDEX(H_SpecialBM!J:J,MATCH($P685,H_SpecialBM!$Q:$Q,0)),0))</f>
        <v/>
      </c>
      <c r="K685" s="1722" t="str">
        <f>IF($I628="","",IF($L631=42,INDEX(H_SpecialBM!K:K,MATCH($P685,H_SpecialBM!$Q:$Q,0)),0))</f>
        <v/>
      </c>
      <c r="L685" s="1722" t="str">
        <f>IF($I628="","",IF($L631=42,INDEX(H_SpecialBM!L:L,MATCH($P685,H_SpecialBM!$Q:$Q,0)),0))</f>
        <v/>
      </c>
      <c r="M685" s="1722" t="str">
        <f>IF($I628="","",IF($L631=42,INDEX(H_SpecialBM!M:M,MATCH($P685,H_SpecialBM!$Q:$Q,0)),0))</f>
        <v/>
      </c>
      <c r="N685" s="1723" t="str">
        <f>IF($I628="","",IF($L631=42,INDEX(H_SpecialBM!N:N,MATCH($P685,H_SpecialBM!$Q:$Q,0)),0))</f>
        <v/>
      </c>
      <c r="O685" s="698"/>
      <c r="P685" s="1190" t="str">
        <f>EUconst_CNTR_HVCprelim</f>
        <v>HVCprelim_</v>
      </c>
      <c r="Q685" s="729"/>
      <c r="R685" s="729"/>
      <c r="S685" s="729"/>
      <c r="T685" s="729"/>
      <c r="U685" s="729"/>
      <c r="V685" s="729"/>
    </row>
    <row r="686" spans="1:22" s="364" customFormat="1" x14ac:dyDescent="0.25">
      <c r="A686" s="729"/>
      <c r="B686" s="302"/>
      <c r="C686" s="302"/>
      <c r="D686" s="344"/>
      <c r="E686" s="1786" t="s">
        <v>1443</v>
      </c>
      <c r="F686" s="1786"/>
      <c r="G686" s="1786"/>
      <c r="H686" s="1787" t="s">
        <v>1052</v>
      </c>
      <c r="I686" s="1788" t="str">
        <f>IF($I628="","",IF($L631=47,IF(AND(ISNUMBER(S698),YEAR(J631)&lt;$J$2505),S698,1),1))</f>
        <v/>
      </c>
      <c r="J686" s="1725" t="str">
        <f>IF($I628="","",IF($L631=47,IF(ISNUMBER(INDEX(H_SpecialBM!J:J,MATCH($P686,H_SpecialBM!$Q:$Q,0))),INDEX(H_SpecialBM!J:J,MATCH($P686,H_SpecialBM!$Q:$Q,0)),1),1))</f>
        <v/>
      </c>
      <c r="K686" s="1726" t="str">
        <f>IF($I628="","",IF($L631=47,IF(ISNUMBER(INDEX(H_SpecialBM!K:K,MATCH($P686,H_SpecialBM!$Q:$Q,0))),INDEX(H_SpecialBM!K:K,MATCH($P686,H_SpecialBM!$Q:$Q,0)),1),1))</f>
        <v/>
      </c>
      <c r="L686" s="1726" t="str">
        <f>IF($I628="","",IF($L631=47,IF(ISNUMBER(INDEX(H_SpecialBM!L:L,MATCH($P686,H_SpecialBM!$Q:$Q,0))),INDEX(H_SpecialBM!L:L,MATCH($P686,H_SpecialBM!$Q:$Q,0)),1),1))</f>
        <v/>
      </c>
      <c r="M686" s="1726" t="str">
        <f>IF($I628="","",IF($L631=47,IF(ISNUMBER(INDEX(H_SpecialBM!M:M,MATCH($P686,H_SpecialBM!$Q:$Q,0))),INDEX(H_SpecialBM!M:M,MATCH($P686,H_SpecialBM!$Q:$Q,0)),1),1))</f>
        <v/>
      </c>
      <c r="N686" s="1727" t="str">
        <f>IF($I628="","",IF($L631=47,IF(ISNUMBER(INDEX(H_SpecialBM!N:N,MATCH($P686,H_SpecialBM!$Q:$Q,0))),INDEX(H_SpecialBM!N:N,MATCH($P686,H_SpecialBM!$Q:$Q,0)),1),1))</f>
        <v/>
      </c>
      <c r="O686" s="698"/>
      <c r="P686" s="1190" t="str">
        <f>EUconst_CNTR_VCMprelim</f>
        <v>VCMprelim_</v>
      </c>
      <c r="Q686" s="729"/>
      <c r="R686" s="729"/>
      <c r="S686" s="729"/>
      <c r="T686" s="729"/>
      <c r="U686" s="729"/>
      <c r="V686" s="729"/>
    </row>
    <row r="687" spans="1:22" s="364" customFormat="1" x14ac:dyDescent="0.25">
      <c r="A687" s="729"/>
      <c r="B687" s="302"/>
      <c r="C687" s="302"/>
      <c r="D687" s="344"/>
      <c r="E687" s="1789" t="str">
        <f>Translations!$B$1377</f>
        <v>Предварителна стойност</v>
      </c>
      <c r="F687" s="1789"/>
      <c r="G687" s="1789"/>
      <c r="H687" s="1790" t="str">
        <f>EUconst_EUA</f>
        <v>Квота за емисии</v>
      </c>
      <c r="I687" s="1791" t="str">
        <f>IF($I628="","",MAX(0,ROUND((SUM($M631)*SUM(I682)*SUM(I686)-SUM(I683)-SUM(I684)+SUM(I685))*IF($H631=TRUE,1,J$2412),0)))</f>
        <v/>
      </c>
      <c r="J687" s="1714" t="str">
        <f>IF($I628="","",MAX(0,ROUND((SUM($M631)*SUM(J682)*SUM(J686)-SUM(J683)-SUM(J684)+SUM(J685))*IF($H631=TRUE,1,J$2412)*IF($I631=TRUE,INDEX(EUconst_CBAMFactor,J637-2020),1),0)))</f>
        <v/>
      </c>
      <c r="K687" s="1693" t="str">
        <f>IF($I628="","",MAX(0,ROUND((SUM($M631)*SUM(K682)*SUM(K686)-SUM(K683)-SUM(K684)+SUM(K685))*IF($H631=TRUE,1,K$2412)*IF($I631=TRUE,INDEX(EUconst_CBAMFactor,K637-2020),1),0)))</f>
        <v/>
      </c>
      <c r="L687" s="1693" t="str">
        <f>IF($I628="","",MAX(0,ROUND((SUM($M631)*SUM(L682)*SUM(L686)-SUM(L683)-SUM(L684)+SUM(L685))*IF($H631=TRUE,1,L$2412)*IF($I631=TRUE,INDEX(EUconst_CBAMFactor,L637-2020),1),0)))</f>
        <v/>
      </c>
      <c r="M687" s="1693" t="str">
        <f>IF($I628="","",MAX(0,ROUND((SUM($M631)*SUM(M682)*SUM(M686)-SUM(M683)-SUM(M684)+SUM(M685))*IF($H631=TRUE,1,M$2412)*IF($I631=TRUE,INDEX(EUconst_CBAMFactor,M637-2020),1),0)))</f>
        <v/>
      </c>
      <c r="N687" s="1715" t="str">
        <f>IF($I628="","",MAX(0,ROUND((SUM($M631)*SUM(N682)*SUM(N686)-SUM(N683)-SUM(N684)+SUM(N685))*IF($H631=TRUE,1,N$2412)*IF($I631=TRUE,INDEX(EUconst_CBAMFactor,N637-2020),1),0)))</f>
        <v/>
      </c>
      <c r="O687" s="698"/>
      <c r="P687" s="729"/>
      <c r="Q687" s="729"/>
      <c r="R687" s="729"/>
      <c r="S687" s="729"/>
      <c r="T687" s="729"/>
      <c r="U687" s="729"/>
      <c r="V687" s="729"/>
    </row>
    <row r="688" spans="1:22" s="364" customFormat="1" x14ac:dyDescent="0.25">
      <c r="A688" s="729"/>
      <c r="B688" s="302"/>
      <c r="C688" s="302"/>
      <c r="D688" s="344"/>
      <c r="E688" s="388" t="str">
        <f>Translations!$B$1584</f>
        <v>Разлика в предварителната стойност</v>
      </c>
      <c r="F688" s="388"/>
      <c r="G688" s="388"/>
      <c r="H688" s="421" t="str">
        <f>EUconst_EUA</f>
        <v>Квота за емисии</v>
      </c>
      <c r="I688" s="1792"/>
      <c r="J688" s="1793" t="str">
        <f>IF(J687="","",SUM(J687)-SUM(J647))</f>
        <v/>
      </c>
      <c r="K688" s="998" t="str">
        <f t="shared" ref="K688" si="53">IF(K687="","",SUM(K687)-SUM(K647))</f>
        <v/>
      </c>
      <c r="L688" s="998" t="str">
        <f t="shared" ref="L688:N688" si="54">IF(L687="","",SUM(L687)-SUM(L647))</f>
        <v/>
      </c>
      <c r="M688" s="998" t="str">
        <f t="shared" si="54"/>
        <v/>
      </c>
      <c r="N688" s="1794" t="str">
        <f t="shared" si="54"/>
        <v/>
      </c>
      <c r="O688" s="698"/>
      <c r="P688" s="729"/>
      <c r="Q688" s="729"/>
      <c r="R688" s="729"/>
      <c r="S688" s="1795"/>
      <c r="T688" s="1165"/>
      <c r="U688" s="711"/>
      <c r="V688" s="343"/>
    </row>
    <row r="689" spans="1:22" s="364" customFormat="1" x14ac:dyDescent="0.25">
      <c r="A689" s="729"/>
      <c r="B689" s="302"/>
      <c r="C689" s="302"/>
      <c r="D689" s="344"/>
      <c r="E689" s="1796" t="str">
        <f>Translations!$B$1581</f>
        <v>Критерий 4: Разлика от поне 300 квоти за емисии?</v>
      </c>
      <c r="F689" s="1796"/>
      <c r="G689" s="1796"/>
      <c r="H689" s="1797" t="s">
        <v>1052</v>
      </c>
      <c r="I689" s="1792"/>
      <c r="J689" s="1798" t="str">
        <f>IF(J688="","",ABS(J688)&gt;=300)</f>
        <v/>
      </c>
      <c r="K689" s="1799" t="str">
        <f t="shared" ref="K689:N689" si="55">IF(K688="","",ABS(K688)&gt;=300)</f>
        <v/>
      </c>
      <c r="L689" s="1799" t="str">
        <f t="shared" si="55"/>
        <v/>
      </c>
      <c r="M689" s="1799" t="str">
        <f t="shared" si="55"/>
        <v/>
      </c>
      <c r="N689" s="1800" t="str">
        <f t="shared" si="55"/>
        <v/>
      </c>
      <c r="O689" s="698"/>
      <c r="P689" s="1190" t="str">
        <f>EUconst_CNTR_300EUA&amp;I628</f>
        <v>EUA300_</v>
      </c>
      <c r="Q689" s="1174" t="s">
        <v>2547</v>
      </c>
      <c r="R689" s="280" t="str">
        <f>IF($I628="","",IF(R633&gt;$U631,0%,INDEX(F_ProductBM!V:V,MATCH($P689,F_ProductBM!$Q:$Q,0))))</f>
        <v/>
      </c>
      <c r="S689" s="280" t="str">
        <f>IF($I628="","",IF(S633&gt;$U631,0%,INDEX(F_ProductBM!W:W,MATCH($P689,F_ProductBM!$Q:$Q,0))))</f>
        <v/>
      </c>
      <c r="T689" s="280" t="str">
        <f>IF($I628="","",IF(T633&gt;$U631,0%,INDEX(F_ProductBM!X:X,MATCH($P689,F_ProductBM!$Q:$Q,0))))</f>
        <v/>
      </c>
      <c r="U689" s="280" t="str">
        <f>IF($I628="","",IF(U633&gt;$U631,0%,INDEX(F_ProductBM!Y:Y,MATCH($P689,F_ProductBM!$Q:$Q,0))))</f>
        <v/>
      </c>
      <c r="V689" s="280" t="str">
        <f>IF($I628="","",IF(V633&gt;$U631,0%,INDEX(F_ProductBM!Z:Z,MATCH($P689,F_ProductBM!$Q:$Q,0))))</f>
        <v/>
      </c>
    </row>
    <row r="690" spans="1:22" s="364" customFormat="1" ht="5.15" customHeight="1" thickBot="1" x14ac:dyDescent="0.3">
      <c r="A690" s="729"/>
      <c r="B690" s="302"/>
      <c r="C690" s="302"/>
      <c r="D690" s="1801"/>
      <c r="E690" s="1762"/>
      <c r="F690" s="1762"/>
      <c r="G690" s="1762"/>
      <c r="H690" s="1762"/>
      <c r="I690" s="1762"/>
      <c r="J690" s="1762"/>
      <c r="K690" s="1762"/>
      <c r="L690" s="1762"/>
      <c r="M690" s="1762"/>
      <c r="N690" s="1764"/>
      <c r="O690" s="698"/>
      <c r="P690" s="729"/>
      <c r="Q690" s="729"/>
      <c r="R690" s="729"/>
      <c r="S690" s="729"/>
      <c r="T690" s="729"/>
      <c r="U690" s="343"/>
      <c r="V690" s="343"/>
    </row>
    <row r="691" spans="1:22" s="364" customFormat="1" ht="5.15" customHeight="1" thickBot="1" x14ac:dyDescent="0.35">
      <c r="A691" s="729"/>
      <c r="B691" s="302"/>
      <c r="C691" s="357"/>
      <c r="D691" s="357"/>
      <c r="E691" s="302"/>
      <c r="F691" s="302"/>
      <c r="G691" s="302"/>
      <c r="H691" s="302"/>
      <c r="I691" s="1746"/>
      <c r="J691" s="302"/>
      <c r="K691" s="302"/>
      <c r="L691" s="302"/>
      <c r="M691" s="302"/>
      <c r="N691" s="302"/>
      <c r="O691" s="698"/>
      <c r="P691" s="729"/>
      <c r="Q691" s="729"/>
      <c r="R691" s="729"/>
      <c r="S691" s="729"/>
      <c r="T691" s="729"/>
      <c r="U691" s="343"/>
      <c r="V691" s="343"/>
    </row>
    <row r="692" spans="1:22" s="364" customFormat="1" ht="5.15" customHeight="1" x14ac:dyDescent="0.25">
      <c r="A692" s="729"/>
      <c r="B692" s="302"/>
      <c r="C692" s="302"/>
      <c r="D692" s="1765"/>
      <c r="E692" s="1766"/>
      <c r="F692" s="1766"/>
      <c r="G692" s="1766"/>
      <c r="H692" s="1766"/>
      <c r="I692" s="1767"/>
      <c r="J692" s="1766"/>
      <c r="K692" s="1766"/>
      <c r="L692" s="1766"/>
      <c r="M692" s="1766"/>
      <c r="N692" s="1768"/>
      <c r="O692" s="698"/>
      <c r="P692" s="729"/>
      <c r="Q692" s="729"/>
      <c r="R692" s="729"/>
      <c r="S692" s="729"/>
      <c r="T692" s="770"/>
      <c r="U692" s="343"/>
      <c r="V692" s="343"/>
    </row>
    <row r="693" spans="1:22" s="364" customFormat="1" ht="13" x14ac:dyDescent="0.25">
      <c r="A693" s="729"/>
      <c r="B693" s="302"/>
      <c r="C693" s="302"/>
      <c r="D693" s="344"/>
      <c r="E693" s="313" t="str">
        <f>Translations!$B$1387</f>
        <v>Използвани действителни стойности</v>
      </c>
      <c r="F693" s="302"/>
      <c r="G693" s="302"/>
      <c r="H693" s="527" t="str">
        <f>EUconst_Unit</f>
        <v>Единица мярка</v>
      </c>
      <c r="I693" s="1802" t="str">
        <f>Translations!$B$1341</f>
        <v>Базова стойност</v>
      </c>
      <c r="J693" s="1523">
        <f>J$2505</f>
        <v>2026</v>
      </c>
      <c r="K693" s="387">
        <f>K$2505</f>
        <v>2027</v>
      </c>
      <c r="L693" s="387">
        <f>L$2505</f>
        <v>2028</v>
      </c>
      <c r="M693" s="387">
        <f>M$2505</f>
        <v>2029</v>
      </c>
      <c r="N693" s="1544">
        <f>N$2505</f>
        <v>2030</v>
      </c>
      <c r="O693" s="698"/>
      <c r="P693" s="729"/>
      <c r="Q693" s="729"/>
      <c r="R693" s="729"/>
      <c r="S693" s="1519" t="str">
        <f>Translations!$B$1284</f>
        <v>HAL</v>
      </c>
      <c r="T693" s="770"/>
      <c r="U693" s="343"/>
      <c r="V693" s="343"/>
    </row>
    <row r="694" spans="1:22" s="364" customFormat="1" x14ac:dyDescent="0.25">
      <c r="A694" s="729"/>
      <c r="B694" s="302"/>
      <c r="C694" s="302"/>
      <c r="D694" s="344"/>
      <c r="E694" s="392" t="str">
        <f>Translations!$B$1388</f>
        <v>Равнище на дейност</v>
      </c>
      <c r="F694" s="392"/>
      <c r="G694" s="392"/>
      <c r="H694" s="1730" t="str">
        <f>H682</f>
        <v>тона</v>
      </c>
      <c r="I694" s="1776" t="str">
        <f>IF($I628="","",IF(T699&gt;=$H$2504,0,S694))</f>
        <v/>
      </c>
      <c r="J694" s="1732" t="str">
        <f>IF($I628="","",INDEX(F_ProductBM!J:J,MATCH($P694,F_ProductBM!$Q:$Q,0)))</f>
        <v/>
      </c>
      <c r="K694" s="394" t="str">
        <f>IF($I628="","",INDEX(F_ProductBM!K:K,MATCH($P694,F_ProductBM!$Q:$Q,0)))</f>
        <v/>
      </c>
      <c r="L694" s="394" t="str">
        <f>IF($I628="","",INDEX(F_ProductBM!L:L,MATCH($P694,F_ProductBM!$Q:$Q,0)))</f>
        <v/>
      </c>
      <c r="M694" s="394" t="str">
        <f>IF($I628="","",INDEX(F_ProductBM!M:M,MATCH($P694,F_ProductBM!$Q:$Q,0)))</f>
        <v/>
      </c>
      <c r="N694" s="1733" t="str">
        <f>IF($I628="","",INDEX(F_ProductBM!N:N,MATCH($P694,F_ProductBM!$Q:$Q,0)))</f>
        <v/>
      </c>
      <c r="O694" s="698"/>
      <c r="P694" s="1190" t="str">
        <f>EUconst_CNTR_HALfinal&amp;I628</f>
        <v>HALfinal_</v>
      </c>
      <c r="Q694" s="729"/>
      <c r="R694" s="729"/>
      <c r="S694" s="1803" t="str">
        <f>IF($I628="","",INDEX(F_ProductBM!I:I,MATCH($P694,F_ProductBM!$Q:$Q,0)))</f>
        <v/>
      </c>
      <c r="T694" s="770"/>
      <c r="U694" s="343"/>
      <c r="V694" s="343"/>
    </row>
    <row r="695" spans="1:22" s="364" customFormat="1" x14ac:dyDescent="0.25">
      <c r="A695" s="729"/>
      <c r="B695" s="302"/>
      <c r="C695" s="302"/>
      <c r="D695" s="344"/>
      <c r="E695" s="503" t="str">
        <f>Translations!$B$949</f>
        <v>топл. ен. извън СТЕ</v>
      </c>
      <c r="F695" s="503"/>
      <c r="G695" s="503"/>
      <c r="H695" s="1804" t="str">
        <f>EUconst_EUA</f>
        <v>Квота за емисии</v>
      </c>
      <c r="I695" s="1779" t="str">
        <f>IF($I628="","",IF(YEAR(J631)&gt;=$H$2504-1,0,S695))</f>
        <v/>
      </c>
      <c r="J695" s="1805" t="str">
        <f>IF($I628="","",INDEX(F_ProductBM!J:J,MATCH($P695,F_ProductBM!$Q:$Q,0)))</f>
        <v/>
      </c>
      <c r="K695" s="1806" t="str">
        <f>IF($I628="","",INDEX(F_ProductBM!K:K,MATCH($P695,F_ProductBM!$Q:$Q,0)))</f>
        <v/>
      </c>
      <c r="L695" s="1806" t="str">
        <f>IF($I628="","",INDEX(F_ProductBM!L:L,MATCH($P695,F_ProductBM!$Q:$Q,0)))</f>
        <v/>
      </c>
      <c r="M695" s="1806" t="str">
        <f>IF($I628="","",INDEX(F_ProductBM!M:M,MATCH($P695,F_ProductBM!$Q:$Q,0)))</f>
        <v/>
      </c>
      <c r="N695" s="1807" t="str">
        <f>IF($I628="","",INDEX(F_ProductBM!N:N,MATCH($P695,F_ProductBM!$Q:$Q,0)))</f>
        <v/>
      </c>
      <c r="O695" s="698"/>
      <c r="P695" s="1190" t="str">
        <f>EUconst_CNTR_HEATfinal&amp;I628</f>
        <v>HEATfinal_</v>
      </c>
      <c r="Q695" s="729"/>
      <c r="R695" s="729"/>
      <c r="S695" s="1808" t="str">
        <f>IF($I628="","",INDEX(F_ProductBM!I:I,MATCH($P695,F_ProductBM!$Q:$Q,0)))</f>
        <v/>
      </c>
      <c r="T695" s="770"/>
      <c r="U695" s="343"/>
      <c r="V695" s="343"/>
    </row>
    <row r="696" spans="1:22" s="364" customFormat="1" x14ac:dyDescent="0.25">
      <c r="A696" s="729"/>
      <c r="B696" s="302"/>
      <c r="C696" s="302"/>
      <c r="D696" s="344"/>
      <c r="E696" s="398" t="str">
        <f>Translations!$B$951</f>
        <v>WGflare</v>
      </c>
      <c r="F696" s="398"/>
      <c r="G696" s="398"/>
      <c r="H696" s="516" t="str">
        <f>EUconst_EUA</f>
        <v>Квота за емисии</v>
      </c>
      <c r="I696" s="1785" t="str">
        <f>IF($I628="","",IF(T699&gt;=$H$2504,0,S696))</f>
        <v/>
      </c>
      <c r="J696" s="1809" t="str">
        <f>IF($I628="","",INDEX(F_ProductBM!J:J,MATCH($P696,F_ProductBM!$Q:$Q,0)))</f>
        <v/>
      </c>
      <c r="K696" s="1810" t="str">
        <f>IF($I628="","",INDEX(F_ProductBM!K:K,MATCH($P696,F_ProductBM!$Q:$Q,0)))</f>
        <v/>
      </c>
      <c r="L696" s="1810" t="str">
        <f>IF($I628="","",INDEX(F_ProductBM!L:L,MATCH($P696,F_ProductBM!$Q:$Q,0)))</f>
        <v/>
      </c>
      <c r="M696" s="1810" t="str">
        <f>IF($I628="","",INDEX(F_ProductBM!M:M,MATCH($P696,F_ProductBM!$Q:$Q,0)))</f>
        <v/>
      </c>
      <c r="N696" s="1811" t="str">
        <f>IF($I628="","",INDEX(F_ProductBM!N:N,MATCH($P696,F_ProductBM!$Q:$Q,0)))</f>
        <v/>
      </c>
      <c r="O696" s="698"/>
      <c r="P696" s="1190" t="str">
        <f>EUconst_CNTR_HALfinal&amp;EUconst_CNTR_WGFlared&amp;$I628</f>
        <v>HALfinal_WasteGasFlare_</v>
      </c>
      <c r="Q696" s="729"/>
      <c r="R696" s="729"/>
      <c r="S696" s="1812" t="str">
        <f>IF($I628="","",INDEX(F_ProductBM!I:I,MATCH($P696,F_ProductBM!$Q:$Q,0)))</f>
        <v/>
      </c>
      <c r="T696" s="770"/>
      <c r="U696" s="343"/>
      <c r="V696" s="343"/>
    </row>
    <row r="697" spans="1:22" s="364" customFormat="1" x14ac:dyDescent="0.25">
      <c r="A697" s="729"/>
      <c r="B697" s="302"/>
      <c r="C697" s="302"/>
      <c r="D697" s="344"/>
      <c r="E697" s="398" t="s">
        <v>1442</v>
      </c>
      <c r="F697" s="398"/>
      <c r="G697" s="398"/>
      <c r="H697" s="516" t="str">
        <f>EUconst_EUA</f>
        <v>Квота за емисии</v>
      </c>
      <c r="I697" s="1785" t="str">
        <f>IF($I628="","",IF(T699&gt;=$H$2504,0,IF(L631=42,S697,0)))</f>
        <v/>
      </c>
      <c r="J697" s="1809" t="str">
        <f>IF($I628="","",IF($L631=42,INDEX(H_SpecialBM!J:J,MATCH($P697,H_SpecialBM!$Q:$Q,0)),0))</f>
        <v/>
      </c>
      <c r="K697" s="1810" t="str">
        <f>IF($I628="","",IF($L631=42,INDEX(H_SpecialBM!K:K,MATCH($P697,H_SpecialBM!$Q:$Q,0)),0))</f>
        <v/>
      </c>
      <c r="L697" s="1810" t="str">
        <f>IF($I628="","",IF($L631=42,INDEX(H_SpecialBM!L:L,MATCH($P697,H_SpecialBM!$Q:$Q,0)),0))</f>
        <v/>
      </c>
      <c r="M697" s="1810" t="str">
        <f>IF($I628="","",IF($L631=42,INDEX(H_SpecialBM!M:M,MATCH($P697,H_SpecialBM!$Q:$Q,0)),0))</f>
        <v/>
      </c>
      <c r="N697" s="1811" t="str">
        <f>IF($I628="","",IF($L631=42,INDEX(H_SpecialBM!N:N,MATCH($P697,H_SpecialBM!$Q:$Q,0)),0))</f>
        <v/>
      </c>
      <c r="O697" s="698"/>
      <c r="P697" s="1190" t="str">
        <f>EUconst_CNTR_HVCfinal</f>
        <v>HVCfinal_</v>
      </c>
      <c r="Q697" s="729"/>
      <c r="R697" s="729"/>
      <c r="S697" s="1812" t="str">
        <f>IF($I628="","",IF(L631=42,INDEX(H_SpecialBM!I:I,MATCH($P697,H_SpecialBM!$Q:$Q,0)),0))</f>
        <v/>
      </c>
      <c r="T697" s="770"/>
      <c r="U697" s="343"/>
      <c r="V697" s="343"/>
    </row>
    <row r="698" spans="1:22" s="364" customFormat="1" x14ac:dyDescent="0.25">
      <c r="A698" s="729"/>
      <c r="B698" s="302"/>
      <c r="C698" s="302"/>
      <c r="D698" s="344"/>
      <c r="E698" s="401" t="s">
        <v>1443</v>
      </c>
      <c r="F698" s="401"/>
      <c r="G698" s="401"/>
      <c r="H698" s="483" t="s">
        <v>1052</v>
      </c>
      <c r="I698" s="1788" t="str">
        <f>IF($I628="","",IF($L631=47,IF(AND(ISNUMBER(S698),YEAR(J631)&lt;2021),S698,1),1))</f>
        <v/>
      </c>
      <c r="J698" s="1813" t="str">
        <f>IF($I628="","",IF($L631=47,IF(ISNUMBER(INDEX(H_SpecialBM!J:J,MATCH($P698,H_SpecialBM!$Q:$Q,0))),INDEX(H_SpecialBM!J:J,MATCH($P698,H_SpecialBM!$Q:$Q,0)),1),1))</f>
        <v/>
      </c>
      <c r="K698" s="1814" t="str">
        <f>IF($I628="","",IF($L631=47,IF(ISNUMBER(INDEX(H_SpecialBM!K:K,MATCH($P698,H_SpecialBM!$Q:$Q,0))),INDEX(H_SpecialBM!K:K,MATCH($P698,H_SpecialBM!$Q:$Q,0)),1),1))</f>
        <v/>
      </c>
      <c r="L698" s="1814" t="str">
        <f>IF($I628="","",IF($L631=47,IF(ISNUMBER(INDEX(H_SpecialBM!L:L,MATCH($P698,H_SpecialBM!$Q:$Q,0))),INDEX(H_SpecialBM!L:L,MATCH($P698,H_SpecialBM!$Q:$Q,0)),1),1))</f>
        <v/>
      </c>
      <c r="M698" s="1814" t="str">
        <f>IF($I628="","",IF($L631=47,IF(ISNUMBER(INDEX(H_SpecialBM!M:M,MATCH($P698,H_SpecialBM!$Q:$Q,0))),INDEX(H_SpecialBM!M:M,MATCH($P698,H_SpecialBM!$Q:$Q,0)),1),1))</f>
        <v/>
      </c>
      <c r="N698" s="1815" t="str">
        <f>IF($I628="","",IF($L631=47,IF(ISNUMBER(INDEX(H_SpecialBM!N:N,MATCH($P698,H_SpecialBM!$Q:$Q,0))),INDEX(H_SpecialBM!N:N,MATCH($P698,H_SpecialBM!$Q:$Q,0)),1),1))</f>
        <v/>
      </c>
      <c r="O698" s="698"/>
      <c r="P698" s="1190" t="str">
        <f>EUconst_CNTR_VCMfinal</f>
        <v>VCMfinal_</v>
      </c>
      <c r="Q698" s="729"/>
      <c r="R698" s="729"/>
      <c r="S698" s="1816" t="str">
        <f>IF($I628="","",IF($L631=47,IF(ISNUMBER(INDEX(H_SpecialBM!I:I,MATCH($P698,H_SpecialBM!$Q:$Q,0))),INDEX(H_SpecialBM!I:I,MATCH($P698,H_SpecialBM!$Q:$Q,0)),1),1))</f>
        <v/>
      </c>
      <c r="T698" s="729"/>
      <c r="U698" s="343"/>
      <c r="V698" s="343"/>
    </row>
    <row r="699" spans="1:22" s="364" customFormat="1" x14ac:dyDescent="0.25">
      <c r="A699" s="729"/>
      <c r="B699" s="302"/>
      <c r="C699" s="302"/>
      <c r="D699" s="344"/>
      <c r="E699" s="388" t="str">
        <f>Translations!$B$892</f>
        <v>Предварително разпределяне</v>
      </c>
      <c r="F699" s="388"/>
      <c r="G699" s="388"/>
      <c r="H699" s="421" t="str">
        <f>EUconst_EUA</f>
        <v>Квота за емисии</v>
      </c>
      <c r="I699" s="1791" t="str">
        <f>IF($I628="","",MAX(0,ROUND((SUM($M631)*SUM(I694)*SUM(I698)-SUM(I695)-SUM(I696)+SUM(I697))*IF($H631=TRUE,1,J$2412),0)))</f>
        <v/>
      </c>
      <c r="J699" s="1694" t="str">
        <f>IF($I628="","",MAX(0,ROUND((SUM(R689)*SUM($M631)*SUM(J694)*SUM(J698)-SUM(J695)-SUM(J696)+SUM(J697))*IF($H631=TRUE,1,J$2412)*IF($I631=TRUE,INDEX(EUconst_CBAMFactor,J637-2020),1),0)))</f>
        <v/>
      </c>
      <c r="K699" s="406" t="str">
        <f>IF($I628="","",MAX(0,ROUND((SUM(S689)*SUM($M631)*SUM(K694)*SUM(K698)-SUM(K695)-SUM(K696)+SUM(K697))*IF($H631=TRUE,1,K$2412)*IF($I631=TRUE,INDEX(EUconst_CBAMFactor,K637-2020),1),0)))</f>
        <v/>
      </c>
      <c r="L699" s="406" t="str">
        <f>IF($I628="","",MAX(0,ROUND((SUM(T689)*SUM($M631)*SUM(L694)*SUM(L698)-SUM(L695)-SUM(L696)+SUM(L697))*IF($H631=TRUE,1,L$2412)*IF($I631=TRUE,INDEX(EUconst_CBAMFactor,L637-2020),1),0)))</f>
        <v/>
      </c>
      <c r="M699" s="406" t="str">
        <f>IF($I628="","",MAX(0,ROUND((SUM(U689)*SUM($M631)*SUM(M694)*SUM(M698)-SUM(M695)-SUM(M696)+SUM(M697))*IF($H631=TRUE,1,M$2412)*IF($I631=TRUE,INDEX(EUconst_CBAMFactor,M637-2020),1),0)))</f>
        <v/>
      </c>
      <c r="N699" s="1729" t="str">
        <f>IF($I628="","",MAX(0,ROUND((SUM(V689)*SUM($M631)*SUM(N694)*SUM(N698)-SUM(N695)-SUM(N696)+SUM(N697))*IF($H631=TRUE,1,N$2412)*IF($I631=TRUE,INDEX(EUconst_CBAMFactor,N637-2020),1),0)))</f>
        <v/>
      </c>
      <c r="O699" s="698"/>
      <c r="P699" s="1190" t="str">
        <f>EUconst_AllocPrelim&amp;I628</f>
        <v>AllocPrelim_</v>
      </c>
      <c r="Q699" s="729"/>
      <c r="R699" s="729"/>
      <c r="S699" s="1817" t="str">
        <f>IF($I628="","",MAX(0,ROUND((SUM($M631)*SUM(S694)*SUM(S698)-SUM(S695)-SUM(S696)+SUM(S697))*IF($H631=TRUE,1,J$2412),0)))</f>
        <v/>
      </c>
      <c r="T699" s="1176">
        <f>INDEX(F_ProductBM!V:V,MATCH(C628,F_ProductBM!C:C,0))</f>
        <v>2005</v>
      </c>
      <c r="U699" s="727" t="b">
        <f>OR(INDEX(I699:N699,CNTR_ReportingYear-$I$2505)&lt;&gt;INDEX(I699:N699,CNTR_ReportingYear-$H$2505),
(CNTR_ReportingYear-T699)&lt;=1)</f>
        <v>0</v>
      </c>
      <c r="V699" s="716" t="b">
        <f ca="1">IF(I699="",FALSE,COUNTIF(OFFSET(I699,,,,MAX(1,CNTR_ReportingYear-$I$2505)),"&lt;&gt;" &amp; INDEX(I699:N699,CNTR_ReportingYear-$H$2505))&gt;0)</f>
        <v>0</v>
      </c>
    </row>
    <row r="700" spans="1:22" s="364" customFormat="1" ht="5.15" customHeight="1" thickBot="1" x14ac:dyDescent="0.3">
      <c r="A700" s="729"/>
      <c r="B700" s="302"/>
      <c r="C700" s="302"/>
      <c r="D700" s="1801"/>
      <c r="E700" s="1762"/>
      <c r="F700" s="1762"/>
      <c r="G700" s="1762"/>
      <c r="H700" s="1762"/>
      <c r="I700" s="1762"/>
      <c r="J700" s="1762"/>
      <c r="K700" s="1762"/>
      <c r="L700" s="1762"/>
      <c r="M700" s="1762"/>
      <c r="N700" s="1764"/>
      <c r="O700" s="698"/>
      <c r="P700" s="729"/>
      <c r="Q700" s="729"/>
      <c r="R700" s="729"/>
      <c r="S700" s="729"/>
      <c r="T700" s="729"/>
      <c r="U700" s="343"/>
      <c r="V700" s="343"/>
    </row>
    <row r="701" spans="1:22" s="364" customFormat="1" ht="5.15" customHeight="1" thickBot="1" x14ac:dyDescent="0.3">
      <c r="A701" s="729"/>
      <c r="B701" s="302"/>
      <c r="C701" s="302"/>
      <c r="E701" s="360"/>
      <c r="F701" s="302"/>
      <c r="G701" s="302"/>
      <c r="H701" s="302"/>
      <c r="I701" s="302"/>
      <c r="J701" s="302"/>
      <c r="K701" s="302"/>
      <c r="L701" s="302"/>
      <c r="M701" s="302"/>
      <c r="N701" s="302"/>
      <c r="O701" s="698"/>
      <c r="P701" s="729"/>
      <c r="Q701" s="729"/>
      <c r="R701" s="729"/>
      <c r="S701" s="729"/>
      <c r="T701" s="729"/>
      <c r="U701" s="343"/>
      <c r="V701" s="343"/>
    </row>
    <row r="702" spans="1:22" s="364" customFormat="1" ht="12.75" customHeight="1" x14ac:dyDescent="0.25">
      <c r="A702" s="729"/>
      <c r="B702" s="302"/>
      <c r="C702" s="302"/>
      <c r="D702" s="1818"/>
      <c r="E702" s="1819"/>
      <c r="F702" s="1819"/>
      <c r="G702" s="1300"/>
      <c r="H702" s="1300"/>
      <c r="I702" s="1300"/>
      <c r="J702" s="1300"/>
      <c r="K702" s="1300"/>
      <c r="L702" s="1300"/>
      <c r="M702" s="1300"/>
      <c r="N702" s="1301"/>
      <c r="O702" s="698"/>
      <c r="P702" s="729"/>
      <c r="Q702" s="729"/>
      <c r="R702" s="729"/>
      <c r="S702" s="729"/>
      <c r="T702" s="729"/>
      <c r="U702" s="343"/>
      <c r="V702" s="343"/>
    </row>
    <row r="703" spans="1:22" s="364" customFormat="1" ht="13.5" thickBot="1" x14ac:dyDescent="0.3">
      <c r="A703" s="729"/>
      <c r="B703" s="302"/>
      <c r="C703" s="302"/>
      <c r="D703" s="1820"/>
      <c r="E703" s="625"/>
      <c r="F703" s="625"/>
      <c r="G703" s="627" t="str">
        <f>EUconst_Unit</f>
        <v>Единица мярка</v>
      </c>
      <c r="H703" s="628">
        <f t="shared" ref="H703:M703" si="56">H$2505</f>
        <v>2024</v>
      </c>
      <c r="I703" s="1821">
        <f t="shared" si="56"/>
        <v>2025</v>
      </c>
      <c r="J703" s="1311">
        <f t="shared" si="56"/>
        <v>2026</v>
      </c>
      <c r="K703" s="629">
        <f t="shared" si="56"/>
        <v>2027</v>
      </c>
      <c r="L703" s="629">
        <f t="shared" si="56"/>
        <v>2028</v>
      </c>
      <c r="M703" s="629">
        <f t="shared" si="56"/>
        <v>2029</v>
      </c>
      <c r="N703" s="1312">
        <f>N$2505</f>
        <v>2030</v>
      </c>
      <c r="O703" s="698"/>
      <c r="P703" s="729"/>
      <c r="Q703" s="729"/>
      <c r="R703" s="729"/>
      <c r="S703" s="729"/>
      <c r="T703" s="770"/>
      <c r="U703" s="343"/>
      <c r="V703" s="343"/>
    </row>
    <row r="704" spans="1:22" s="364" customFormat="1" ht="13.5" customHeight="1" thickBot="1" x14ac:dyDescent="0.3">
      <c r="A704" s="729"/>
      <c r="B704" s="302"/>
      <c r="C704" s="302"/>
      <c r="D704" s="1820"/>
      <c r="E704" s="2929" t="str">
        <f>Translations!$B$956</f>
        <v>Общо зададени емисии</v>
      </c>
      <c r="F704" s="2929"/>
      <c r="G704" s="631" t="str">
        <f>EUconst_tCO2epa</f>
        <v>t CO2e/година</v>
      </c>
      <c r="H704" s="661" t="str">
        <f t="shared" ref="H704:N704" si="57">INDEX(H$95:H$114,MATCH($I628,$E$95:$E$114,0))</f>
        <v/>
      </c>
      <c r="I704" s="1822" t="str">
        <f t="shared" si="57"/>
        <v/>
      </c>
      <c r="J704" s="661" t="str">
        <f t="shared" si="57"/>
        <v/>
      </c>
      <c r="K704" s="662" t="str">
        <f t="shared" si="57"/>
        <v/>
      </c>
      <c r="L704" s="662" t="str">
        <f t="shared" si="57"/>
        <v/>
      </c>
      <c r="M704" s="662" t="str">
        <f t="shared" si="57"/>
        <v/>
      </c>
      <c r="N704" s="663" t="str">
        <f t="shared" si="57"/>
        <v/>
      </c>
      <c r="O704" s="698"/>
      <c r="P704" s="729"/>
      <c r="Q704" s="729"/>
      <c r="R704" s="729"/>
      <c r="S704" s="729"/>
      <c r="T704" s="770"/>
      <c r="U704" s="343"/>
      <c r="V704" s="343"/>
    </row>
    <row r="705" spans="1:22" s="364" customFormat="1" ht="5.15" customHeight="1" x14ac:dyDescent="0.25">
      <c r="A705" s="729"/>
      <c r="B705" s="302"/>
      <c r="C705" s="302"/>
      <c r="D705" s="1820"/>
      <c r="E705" s="643"/>
      <c r="F705" s="643"/>
      <c r="G705" s="625"/>
      <c r="H705" s="635"/>
      <c r="I705" s="635"/>
      <c r="J705" s="635"/>
      <c r="K705" s="635"/>
      <c r="L705" s="635"/>
      <c r="M705" s="635"/>
      <c r="N705" s="1823"/>
      <c r="O705" s="698"/>
      <c r="P705" s="729"/>
      <c r="Q705" s="729"/>
      <c r="R705" s="729"/>
      <c r="S705" s="729"/>
      <c r="T705" s="770"/>
      <c r="U705" s="343"/>
      <c r="V705" s="343"/>
    </row>
    <row r="706" spans="1:22" s="364" customFormat="1" ht="12.75" customHeight="1" x14ac:dyDescent="0.25">
      <c r="A706" s="729"/>
      <c r="B706" s="302"/>
      <c r="C706" s="302"/>
      <c r="D706" s="1820"/>
      <c r="E706" s="2818" t="str">
        <f>Translations!$B$521</f>
        <v>Вложени горива</v>
      </c>
      <c r="F706" s="2701"/>
      <c r="G706" s="1326" t="str">
        <f>EUconst_TJpa</f>
        <v>TJ / година</v>
      </c>
      <c r="H706" s="482" t="str">
        <f>IF($I628="","",IF(INDEX(F_ProductBM!H:H,MATCH($P706,F_ProductBM!$Q:$Q,0))="","",INDEX(F_ProductBM!H:H,MATCH($P706,F_ProductBM!$Q:$Q,0))))</f>
        <v/>
      </c>
      <c r="I706" s="1824" t="str">
        <f>IF($I628="","",IF(INDEX(F_ProductBM!I:I,MATCH($P706,F_ProductBM!$Q:$Q,0))="","",INDEX(F_ProductBM!I:I,MATCH($P706,F_ProductBM!$Q:$Q,0))))</f>
        <v/>
      </c>
      <c r="J706" s="1825" t="str">
        <f>IF($I628="","",IF(INDEX(F_ProductBM!J:J,MATCH($P706,F_ProductBM!$Q:$Q,0))="","",INDEX(F_ProductBM!J:J,MATCH($P706,F_ProductBM!$Q:$Q,0))))</f>
        <v/>
      </c>
      <c r="K706" s="482" t="str">
        <f>IF($I628="","",IF(INDEX(F_ProductBM!K:K,MATCH($P706,F_ProductBM!$Q:$Q,0))="","",INDEX(F_ProductBM!K:K,MATCH($P706,F_ProductBM!$Q:$Q,0))))</f>
        <v/>
      </c>
      <c r="L706" s="482" t="str">
        <f>IF($I628="","",IF(INDEX(F_ProductBM!L:L,MATCH($P706,F_ProductBM!$Q:$Q,0))="","",INDEX(F_ProductBM!L:L,MATCH($P706,F_ProductBM!$Q:$Q,0))))</f>
        <v/>
      </c>
      <c r="M706" s="482" t="str">
        <f>IF($I628="","",IF(INDEX(F_ProductBM!M:M,MATCH($P706,F_ProductBM!$Q:$Q,0))="","",INDEX(F_ProductBM!M:M,MATCH($P706,F_ProductBM!$Q:$Q,0))))</f>
        <v/>
      </c>
      <c r="N706" s="1826" t="str">
        <f>IF($I628="","",IF(INDEX(F_ProductBM!N:N,MATCH($P706,F_ProductBM!$Q:$Q,0))="","",INDEX(F_ProductBM!N:N,MATCH($P706,F_ProductBM!$Q:$Q,0))))</f>
        <v/>
      </c>
      <c r="O706" s="698"/>
      <c r="P706" s="1827" t="str">
        <f>EUconst_CNTR_FuelInput &amp; I628</f>
        <v>FuelInput_</v>
      </c>
      <c r="Q706" s="729"/>
      <c r="R706" s="729"/>
      <c r="S706" s="729"/>
      <c r="T706" s="770"/>
      <c r="U706" s="343"/>
      <c r="V706" s="343"/>
    </row>
    <row r="707" spans="1:22" s="364" customFormat="1" ht="12.75" customHeight="1" x14ac:dyDescent="0.25">
      <c r="A707" s="729"/>
      <c r="B707" s="302"/>
      <c r="C707" s="302"/>
      <c r="D707" s="1820"/>
      <c r="E707" s="2819" t="str">
        <f>Translations!$B$522</f>
        <v>Претеглен емисионен фактор</v>
      </c>
      <c r="F707" s="2705"/>
      <c r="G707" s="1329" t="str">
        <f>EUconst_tCO2pTJ</f>
        <v>t CO2 / TJ</v>
      </c>
      <c r="H707" s="484" t="str">
        <f>IF($I628="","",IF(INDEX(F_ProductBM!H:H,MATCH($P707,F_ProductBM!$Q:$Q,0))="","",INDEX(F_ProductBM!H:H,MATCH($P707,F_ProductBM!$Q:$Q,0))))</f>
        <v/>
      </c>
      <c r="I707" s="1828" t="str">
        <f>IF($I628="","",IF(INDEX(F_ProductBM!I:I,MATCH($P707,F_ProductBM!$Q:$Q,0))="","",INDEX(F_ProductBM!I:I,MATCH($P707,F_ProductBM!$Q:$Q,0))))</f>
        <v/>
      </c>
      <c r="J707" s="1829" t="str">
        <f>IF($I628="","",IF(INDEX(F_ProductBM!J:J,MATCH($P707,F_ProductBM!$Q:$Q,0))="","",INDEX(F_ProductBM!J:J,MATCH($P707,F_ProductBM!$Q:$Q,0))))</f>
        <v/>
      </c>
      <c r="K707" s="484" t="str">
        <f>IF($I628="","",IF(INDEX(F_ProductBM!K:K,MATCH($P707,F_ProductBM!$Q:$Q,0))="","",INDEX(F_ProductBM!K:K,MATCH($P707,F_ProductBM!$Q:$Q,0))))</f>
        <v/>
      </c>
      <c r="L707" s="484" t="str">
        <f>IF($I628="","",IF(INDEX(F_ProductBM!L:L,MATCH($P707,F_ProductBM!$Q:$Q,0))="","",INDEX(F_ProductBM!L:L,MATCH($P707,F_ProductBM!$Q:$Q,0))))</f>
        <v/>
      </c>
      <c r="M707" s="484" t="str">
        <f>IF($I628="","",IF(INDEX(F_ProductBM!M:M,MATCH($P707,F_ProductBM!$Q:$Q,0))="","",INDEX(F_ProductBM!M:M,MATCH($P707,F_ProductBM!$Q:$Q,0))))</f>
        <v/>
      </c>
      <c r="N707" s="1830" t="str">
        <f>IF($I628="","",IF(INDEX(F_ProductBM!N:N,MATCH($P707,F_ProductBM!$Q:$Q,0))="","",INDEX(F_ProductBM!N:N,MATCH($P707,F_ProductBM!$Q:$Q,0))))</f>
        <v/>
      </c>
      <c r="O707" s="698"/>
      <c r="P707" s="1500" t="str">
        <f>EUconst_CNTR_FuelEF &amp; I628</f>
        <v>FuelEF_</v>
      </c>
      <c r="Q707" s="729"/>
      <c r="R707" s="729"/>
      <c r="S707" s="729"/>
      <c r="T707" s="770"/>
      <c r="U707" s="343"/>
      <c r="V707" s="343"/>
    </row>
    <row r="708" spans="1:22" s="364" customFormat="1" ht="5.15" customHeight="1" x14ac:dyDescent="0.25">
      <c r="A708" s="729"/>
      <c r="B708" s="302"/>
      <c r="C708" s="302"/>
      <c r="D708" s="1820"/>
      <c r="E708" s="643"/>
      <c r="F708" s="643"/>
      <c r="G708" s="626"/>
      <c r="H708" s="640"/>
      <c r="I708" s="640"/>
      <c r="J708" s="640"/>
      <c r="K708" s="640"/>
      <c r="L708" s="640"/>
      <c r="M708" s="640"/>
      <c r="N708" s="1831"/>
      <c r="O708" s="698"/>
      <c r="P708" s="729"/>
      <c r="Q708" s="729"/>
      <c r="R708" s="729"/>
      <c r="S708" s="729"/>
      <c r="T708" s="770"/>
      <c r="U708" s="343"/>
      <c r="V708" s="343"/>
    </row>
    <row r="709" spans="1:22" s="364" customFormat="1" ht="12.75" customHeight="1" x14ac:dyDescent="0.25">
      <c r="A709" s="729"/>
      <c r="B709" s="302"/>
      <c r="C709" s="302"/>
      <c r="D709" s="1820"/>
      <c r="E709" s="2820" t="str">
        <f>Translations!$B$484</f>
        <v>Преки емисии</v>
      </c>
      <c r="F709" s="2258"/>
      <c r="G709" s="1319" t="str">
        <f>EUconst_tCO2pa</f>
        <v>t CO2 / година</v>
      </c>
      <c r="H709" s="480" t="str">
        <f>IF($I628="","",IF(INDEX(F_ProductBM!H:H,MATCH($P709,F_ProductBM!$Q:$Q,0))="","",INDEX(F_ProductBM!H:H,MATCH($P709,F_ProductBM!$Q:$Q,0))))</f>
        <v/>
      </c>
      <c r="I709" s="1399" t="str">
        <f>IF($I628="","",IF(INDEX(F_ProductBM!I:I,MATCH($P709,F_ProductBM!$Q:$Q,0))="","",INDEX(F_ProductBM!I:I,MATCH($P709,F_ProductBM!$Q:$Q,0))))</f>
        <v/>
      </c>
      <c r="J709" s="1832" t="str">
        <f>IF($I628="","",IF(INDEX(F_ProductBM!J:J,MATCH($P709,F_ProductBM!$Q:$Q,0))="","",INDEX(F_ProductBM!J:J,MATCH($P709,F_ProductBM!$Q:$Q,0))))</f>
        <v/>
      </c>
      <c r="K709" s="480" t="str">
        <f>IF($I628="","",IF(INDEX(F_ProductBM!K:K,MATCH($P709,F_ProductBM!$Q:$Q,0))="","",INDEX(F_ProductBM!K:K,MATCH($P709,F_ProductBM!$Q:$Q,0))))</f>
        <v/>
      </c>
      <c r="L709" s="480" t="str">
        <f>IF($I628="","",IF(INDEX(F_ProductBM!L:L,MATCH($P709,F_ProductBM!$Q:$Q,0))="","",INDEX(F_ProductBM!L:L,MATCH($P709,F_ProductBM!$Q:$Q,0))))</f>
        <v/>
      </c>
      <c r="M709" s="480" t="str">
        <f>IF($I628="","",IF(INDEX(F_ProductBM!M:M,MATCH($P709,F_ProductBM!$Q:$Q,0))="","",INDEX(F_ProductBM!M:M,MATCH($P709,F_ProductBM!$Q:$Q,0))))</f>
        <v/>
      </c>
      <c r="N709" s="1833" t="str">
        <f>IF($I628="","",IF(INDEX(F_ProductBM!N:N,MATCH($P709,F_ProductBM!$Q:$Q,0))="","",INDEX(F_ProductBM!N:N,MATCH($P709,F_ProductBM!$Q:$Q,0))))</f>
        <v/>
      </c>
      <c r="O709" s="698"/>
      <c r="P709" s="1500" t="str">
        <f>EUconst_CNTR_Emissions &amp; I628</f>
        <v>DirEmissions_</v>
      </c>
      <c r="Q709" s="729"/>
      <c r="R709" s="729"/>
      <c r="S709" s="729"/>
      <c r="T709" s="770"/>
      <c r="U709" s="343"/>
      <c r="V709" s="343"/>
    </row>
    <row r="710" spans="1:22" s="364" customFormat="1" ht="12.75" customHeight="1" x14ac:dyDescent="0.25">
      <c r="A710" s="729"/>
      <c r="B710" s="302"/>
      <c r="C710" s="302"/>
      <c r="D710" s="1820"/>
      <c r="E710" s="2820" t="str">
        <f>Translations!$B$532</f>
        <v>Други пораждащи емисии потоци — 1</v>
      </c>
      <c r="F710" s="2258"/>
      <c r="G710" s="1319" t="str">
        <f>EUconst_tCO2pa</f>
        <v>t CO2 / година</v>
      </c>
      <c r="H710" s="480" t="str">
        <f>IF($I628="","",IF(INDEX(F_ProductBM!H:H,MATCH($P710,F_ProductBM!$Q:$Q,0))="","",INDEX(F_ProductBM!H:H,MATCH($P710,F_ProductBM!$Q:$Q,0))))</f>
        <v/>
      </c>
      <c r="I710" s="1399" t="str">
        <f>IF($I628="","",IF(INDEX(F_ProductBM!I:I,MATCH($P710,F_ProductBM!$Q:$Q,0))="","",INDEX(F_ProductBM!I:I,MATCH($P710,F_ProductBM!$Q:$Q,0))))</f>
        <v/>
      </c>
      <c r="J710" s="1832" t="str">
        <f>IF($I628="","",IF(INDEX(F_ProductBM!J:J,MATCH($P710,F_ProductBM!$Q:$Q,0))="","",INDEX(F_ProductBM!J:J,MATCH($P710,F_ProductBM!$Q:$Q,0))))</f>
        <v/>
      </c>
      <c r="K710" s="480" t="str">
        <f>IF($I628="","",IF(INDEX(F_ProductBM!K:K,MATCH($P710,F_ProductBM!$Q:$Q,0))="","",INDEX(F_ProductBM!K:K,MATCH($P710,F_ProductBM!$Q:$Q,0))))</f>
        <v/>
      </c>
      <c r="L710" s="480" t="str">
        <f>IF($I628="","",IF(INDEX(F_ProductBM!L:L,MATCH($P710,F_ProductBM!$Q:$Q,0))="","",INDEX(F_ProductBM!L:L,MATCH($P710,F_ProductBM!$Q:$Q,0))))</f>
        <v/>
      </c>
      <c r="M710" s="480" t="str">
        <f>IF($I628="","",IF(INDEX(F_ProductBM!M:M,MATCH($P710,F_ProductBM!$Q:$Q,0))="","",INDEX(F_ProductBM!M:M,MATCH($P710,F_ProductBM!$Q:$Q,0))))</f>
        <v/>
      </c>
      <c r="N710" s="1833" t="str">
        <f>IF($I628="","",IF(INDEX(F_ProductBM!N:N,MATCH($P710,F_ProductBM!$Q:$Q,0))="","",INDEX(F_ProductBM!N:N,MATCH($P710,F_ProductBM!$Q:$Q,0))))</f>
        <v/>
      </c>
      <c r="O710" s="698"/>
      <c r="P710" s="1500" t="str">
        <f>EUconst_CNTR_EmissionsIntSource1 &amp; I628</f>
        <v>EmInternalSource1_</v>
      </c>
      <c r="Q710" s="729"/>
      <c r="R710" s="729"/>
      <c r="S710" s="729"/>
      <c r="T710" s="770"/>
      <c r="U710" s="343"/>
      <c r="V710" s="343"/>
    </row>
    <row r="711" spans="1:22" s="364" customFormat="1" ht="12.75" customHeight="1" x14ac:dyDescent="0.25">
      <c r="A711" s="729"/>
      <c r="B711" s="302"/>
      <c r="C711" s="302"/>
      <c r="D711" s="1820"/>
      <c r="E711" s="2820" t="str">
        <f>Translations!$B$542</f>
        <v>Други пораждащи емисии потоци — 2</v>
      </c>
      <c r="F711" s="2258"/>
      <c r="G711" s="1319" t="str">
        <f>EUconst_tCO2pa</f>
        <v>t CO2 / година</v>
      </c>
      <c r="H711" s="480" t="str">
        <f>IF($I628="","",IF(INDEX(F_ProductBM!H:H,MATCH($P711,F_ProductBM!$Q:$Q,0))="","",INDEX(F_ProductBM!H:H,MATCH($P711,F_ProductBM!$Q:$Q,0))))</f>
        <v/>
      </c>
      <c r="I711" s="1399" t="str">
        <f>IF($I628="","",IF(INDEX(F_ProductBM!I:I,MATCH($P711,F_ProductBM!$Q:$Q,0))="","",INDEX(F_ProductBM!I:I,MATCH($P711,F_ProductBM!$Q:$Q,0))))</f>
        <v/>
      </c>
      <c r="J711" s="1832" t="str">
        <f>IF($I628="","",IF(INDEX(F_ProductBM!J:J,MATCH($P711,F_ProductBM!$Q:$Q,0))="","",INDEX(F_ProductBM!J:J,MATCH($P711,F_ProductBM!$Q:$Q,0))))</f>
        <v/>
      </c>
      <c r="K711" s="480" t="str">
        <f>IF($I628="","",IF(INDEX(F_ProductBM!K:K,MATCH($P711,F_ProductBM!$Q:$Q,0))="","",INDEX(F_ProductBM!K:K,MATCH($P711,F_ProductBM!$Q:$Q,0))))</f>
        <v/>
      </c>
      <c r="L711" s="480" t="str">
        <f>IF($I628="","",IF(INDEX(F_ProductBM!L:L,MATCH($P711,F_ProductBM!$Q:$Q,0))="","",INDEX(F_ProductBM!L:L,MATCH($P711,F_ProductBM!$Q:$Q,0))))</f>
        <v/>
      </c>
      <c r="M711" s="480" t="str">
        <f>IF($I628="","",IF(INDEX(F_ProductBM!M:M,MATCH($P711,F_ProductBM!$Q:$Q,0))="","",INDEX(F_ProductBM!M:M,MATCH($P711,F_ProductBM!$Q:$Q,0))))</f>
        <v/>
      </c>
      <c r="N711" s="1833" t="str">
        <f>IF($I628="","",IF(INDEX(F_ProductBM!N:N,MATCH($P711,F_ProductBM!$Q:$Q,0))="","",INDEX(F_ProductBM!N:N,MATCH($P711,F_ProductBM!$Q:$Q,0))))</f>
        <v/>
      </c>
      <c r="O711" s="698"/>
      <c r="P711" s="1500" t="str">
        <f>EUconst_CNTR_EmissionsIntSource2 &amp; I628</f>
        <v>EmInternalSource2_</v>
      </c>
      <c r="Q711" s="729"/>
      <c r="R711" s="729"/>
      <c r="S711" s="729"/>
      <c r="T711" s="770"/>
      <c r="U711" s="343"/>
      <c r="V711" s="343"/>
    </row>
    <row r="712" spans="1:22" s="364" customFormat="1" ht="12.75" customHeight="1" x14ac:dyDescent="0.25">
      <c r="A712" s="729"/>
      <c r="B712" s="302"/>
      <c r="C712" s="302"/>
      <c r="D712" s="1820"/>
      <c r="E712" s="2820" t="str">
        <f>Translations!$B$546</f>
        <v>Получени или подадени парникови газове</v>
      </c>
      <c r="F712" s="2258"/>
      <c r="G712" s="1319" t="str">
        <f>EUconst_tCO2epa</f>
        <v>t CO2e/година</v>
      </c>
      <c r="H712" s="480" t="str">
        <f>IF($I628="","",IF(INDEX(F_ProductBM!H:H,MATCH($P712,F_ProductBM!$Q:$Q,0))="","",INDEX(F_ProductBM!H:H,MATCH($P712,F_ProductBM!$Q:$Q,0))))</f>
        <v/>
      </c>
      <c r="I712" s="1399" t="str">
        <f>IF($I628="","",IF(INDEX(F_ProductBM!I:I,MATCH($P712,F_ProductBM!$Q:$Q,0))="","",INDEX(F_ProductBM!I:I,MATCH($P712,F_ProductBM!$Q:$Q,0))))</f>
        <v/>
      </c>
      <c r="J712" s="1832" t="str">
        <f>IF($I628="","",IF(INDEX(F_ProductBM!J:J,MATCH($P712,F_ProductBM!$Q:$Q,0))="","",INDEX(F_ProductBM!J:J,MATCH($P712,F_ProductBM!$Q:$Q,0))))</f>
        <v/>
      </c>
      <c r="K712" s="480" t="str">
        <f>IF($I628="","",IF(INDEX(F_ProductBM!K:K,MATCH($P712,F_ProductBM!$Q:$Q,0))="","",INDEX(F_ProductBM!K:K,MATCH($P712,F_ProductBM!$Q:$Q,0))))</f>
        <v/>
      </c>
      <c r="L712" s="480" t="str">
        <f>IF($I628="","",IF(INDEX(F_ProductBM!L:L,MATCH($P712,F_ProductBM!$Q:$Q,0))="","",INDEX(F_ProductBM!L:L,MATCH($P712,F_ProductBM!$Q:$Q,0))))</f>
        <v/>
      </c>
      <c r="M712" s="480" t="str">
        <f>IF($I628="","",IF(INDEX(F_ProductBM!M:M,MATCH($P712,F_ProductBM!$Q:$Q,0))="","",INDEX(F_ProductBM!M:M,MATCH($P712,F_ProductBM!$Q:$Q,0))))</f>
        <v/>
      </c>
      <c r="N712" s="1833" t="str">
        <f>IF($I628="","",IF(INDEX(F_ProductBM!N:N,MATCH($P712,F_ProductBM!$Q:$Q,0))="","",INDEX(F_ProductBM!N:N,MATCH($P712,F_ProductBM!$Q:$Q,0))))</f>
        <v/>
      </c>
      <c r="O712" s="698"/>
      <c r="P712" s="1500" t="str">
        <f>EUconst_CNTR_CO2Feedstock &amp; I628</f>
        <v>EmCO2Feedstock_</v>
      </c>
      <c r="Q712" s="729"/>
      <c r="R712" s="729"/>
      <c r="S712" s="729"/>
      <c r="T712" s="770"/>
      <c r="U712" s="343"/>
      <c r="V712" s="343"/>
    </row>
    <row r="713" spans="1:22" s="364" customFormat="1" ht="5.15" customHeight="1" x14ac:dyDescent="0.25">
      <c r="A713" s="729"/>
      <c r="B713" s="302"/>
      <c r="C713" s="302"/>
      <c r="D713" s="1820"/>
      <c r="E713" s="643"/>
      <c r="F713" s="643"/>
      <c r="G713" s="626"/>
      <c r="H713" s="640"/>
      <c r="I713" s="640"/>
      <c r="J713" s="640"/>
      <c r="K713" s="640"/>
      <c r="L713" s="640"/>
      <c r="M713" s="640"/>
      <c r="N713" s="1831"/>
      <c r="O713" s="698"/>
      <c r="P713" s="729"/>
      <c r="Q713" s="729"/>
      <c r="R713" s="729"/>
      <c r="S713" s="729"/>
      <c r="T713" s="770"/>
      <c r="U713" s="343"/>
      <c r="V713" s="343"/>
    </row>
    <row r="714" spans="1:22" s="364" customFormat="1" ht="12.75" customHeight="1" x14ac:dyDescent="0.25">
      <c r="A714" s="729"/>
      <c r="B714" s="302"/>
      <c r="C714" s="302"/>
      <c r="D714" s="1820"/>
      <c r="E714" s="2818" t="str">
        <f>Translations!$B$554</f>
        <v>Нетно количество получена топлинна енергия</v>
      </c>
      <c r="F714" s="2701"/>
      <c r="G714" s="1326" t="str">
        <f>EUconst_TJpa</f>
        <v>TJ / година</v>
      </c>
      <c r="H714" s="482" t="str">
        <f>IF($I628="","",IF(INDEX(F_ProductBM!H:H,MATCH($P714,F_ProductBM!$Q:$Q,0))="","",INDEX(F_ProductBM!H:H,MATCH($P714,F_ProductBM!$Q:$Q,0))))</f>
        <v/>
      </c>
      <c r="I714" s="1824" t="str">
        <f>IF($I628="","",IF(INDEX(F_ProductBM!I:I,MATCH($P714,F_ProductBM!$Q:$Q,0))="","",INDEX(F_ProductBM!I:I,MATCH($P714,F_ProductBM!$Q:$Q,0))))</f>
        <v/>
      </c>
      <c r="J714" s="1825" t="str">
        <f>IF($I628="","",IF(INDEX(F_ProductBM!J:J,MATCH($P714,F_ProductBM!$Q:$Q,0))="","",INDEX(F_ProductBM!J:J,MATCH($P714,F_ProductBM!$Q:$Q,0))))</f>
        <v/>
      </c>
      <c r="K714" s="482" t="str">
        <f>IF($I628="","",IF(INDEX(F_ProductBM!K:K,MATCH($P714,F_ProductBM!$Q:$Q,0))="","",INDEX(F_ProductBM!K:K,MATCH($P714,F_ProductBM!$Q:$Q,0))))</f>
        <v/>
      </c>
      <c r="L714" s="482" t="str">
        <f>IF($I628="","",IF(INDEX(F_ProductBM!L:L,MATCH($P714,F_ProductBM!$Q:$Q,0))="","",INDEX(F_ProductBM!L:L,MATCH($P714,F_ProductBM!$Q:$Q,0))))</f>
        <v/>
      </c>
      <c r="M714" s="482" t="str">
        <f>IF($I628="","",IF(INDEX(F_ProductBM!M:M,MATCH($P714,F_ProductBM!$Q:$Q,0))="","",INDEX(F_ProductBM!M:M,MATCH($P714,F_ProductBM!$Q:$Q,0))))</f>
        <v/>
      </c>
      <c r="N714" s="1826" t="str">
        <f>IF($I628="","",IF(INDEX(F_ProductBM!N:N,MATCH($P714,F_ProductBM!$Q:$Q,0))="","",INDEX(F_ProductBM!N:N,MATCH($P714,F_ProductBM!$Q:$Q,0))))</f>
        <v/>
      </c>
      <c r="O714" s="698"/>
      <c r="P714" s="1500" t="str">
        <f>EUconst_CNTR_HeatImport &amp; I628</f>
        <v>HeatIm_</v>
      </c>
      <c r="Q714" s="729"/>
      <c r="R714" s="729"/>
      <c r="S714" s="729"/>
      <c r="T714" s="770"/>
      <c r="U714" s="343"/>
      <c r="V714" s="343"/>
    </row>
    <row r="715" spans="1:22" s="364" customFormat="1" ht="12.75" customHeight="1" x14ac:dyDescent="0.25">
      <c r="A715" s="729"/>
      <c r="B715" s="302"/>
      <c r="C715" s="302"/>
      <c r="D715" s="1820"/>
      <c r="E715" s="2819" t="str">
        <f>Translations!$B$555</f>
        <v>Специфичен EF (получена топлинна енергия)</v>
      </c>
      <c r="F715" s="2705"/>
      <c r="G715" s="1329" t="str">
        <f>EUconst_tCO2pTJ</f>
        <v>t CO2 / TJ</v>
      </c>
      <c r="H715" s="484" t="str">
        <f>IF($I628="","",IF(INDEX(F_ProductBM!H:H,MATCH($P715,F_ProductBM!$Q:$Q,0))="","",INDEX(F_ProductBM!H:H,MATCH($P715,F_ProductBM!$Q:$Q,0))))</f>
        <v/>
      </c>
      <c r="I715" s="1828" t="str">
        <f>IF($I628="","",IF(INDEX(F_ProductBM!I:I,MATCH($P715,F_ProductBM!$Q:$Q,0))="","",INDEX(F_ProductBM!I:I,MATCH($P715,F_ProductBM!$Q:$Q,0))))</f>
        <v/>
      </c>
      <c r="J715" s="1829" t="str">
        <f>IF($I628="","",IF(INDEX(F_ProductBM!J:J,MATCH($P715,F_ProductBM!$Q:$Q,0))="","",INDEX(F_ProductBM!J:J,MATCH($P715,F_ProductBM!$Q:$Q,0))))</f>
        <v/>
      </c>
      <c r="K715" s="484" t="str">
        <f>IF($I628="","",IF(INDEX(F_ProductBM!K:K,MATCH($P715,F_ProductBM!$Q:$Q,0))="","",INDEX(F_ProductBM!K:K,MATCH($P715,F_ProductBM!$Q:$Q,0))))</f>
        <v/>
      </c>
      <c r="L715" s="484" t="str">
        <f>IF($I628="","",IF(INDEX(F_ProductBM!L:L,MATCH($P715,F_ProductBM!$Q:$Q,0))="","",INDEX(F_ProductBM!L:L,MATCH($P715,F_ProductBM!$Q:$Q,0))))</f>
        <v/>
      </c>
      <c r="M715" s="484" t="str">
        <f>IF($I628="","",IF(INDEX(F_ProductBM!M:M,MATCH($P715,F_ProductBM!$Q:$Q,0))="","",INDEX(F_ProductBM!M:M,MATCH($P715,F_ProductBM!$Q:$Q,0))))</f>
        <v/>
      </c>
      <c r="N715" s="1830" t="str">
        <f>IF($I628="","",IF(INDEX(F_ProductBM!N:N,MATCH($P715,F_ProductBM!$Q:$Q,0))="","",INDEX(F_ProductBM!N:N,MATCH($P715,F_ProductBM!$Q:$Q,0))))</f>
        <v/>
      </c>
      <c r="O715" s="698"/>
      <c r="P715" s="1500" t="str">
        <f>EUconst_CNTR_HeatImportEF &amp; I628</f>
        <v>HeatImEF_</v>
      </c>
      <c r="Q715" s="729"/>
      <c r="R715" s="729"/>
      <c r="S715" s="729"/>
      <c r="T715" s="770"/>
      <c r="U715" s="343"/>
      <c r="V715" s="343"/>
    </row>
    <row r="716" spans="1:22" s="364" customFormat="1" ht="5.15" customHeight="1" x14ac:dyDescent="0.25">
      <c r="A716" s="729"/>
      <c r="B716" s="302"/>
      <c r="C716" s="302"/>
      <c r="D716" s="1820"/>
      <c r="E716" s="643"/>
      <c r="F716" s="643"/>
      <c r="G716" s="626"/>
      <c r="H716" s="640"/>
      <c r="I716" s="640"/>
      <c r="J716" s="640"/>
      <c r="K716" s="640"/>
      <c r="L716" s="640"/>
      <c r="M716" s="640"/>
      <c r="N716" s="1831"/>
      <c r="O716" s="698"/>
      <c r="P716" s="770"/>
      <c r="Q716" s="729"/>
      <c r="R716" s="729"/>
      <c r="S716" s="729"/>
      <c r="T716" s="770"/>
      <c r="U716" s="343"/>
      <c r="V716" s="343"/>
    </row>
    <row r="717" spans="1:22" s="364" customFormat="1" ht="12.75" customHeight="1" x14ac:dyDescent="0.25">
      <c r="A717" s="729"/>
      <c r="B717" s="302"/>
      <c r="C717" s="302"/>
      <c r="D717" s="1820"/>
      <c r="E717" s="2820" t="str">
        <f>Translations!$B$609</f>
        <v>Нетно количество топлинна енергия, получена от пулп</v>
      </c>
      <c r="F717" s="2258"/>
      <c r="G717" s="1319" t="str">
        <f>EUconst_TJpa</f>
        <v>TJ / година</v>
      </c>
      <c r="H717" s="480" t="str">
        <f>IF($I628="","",IF(INDEX(F_ProductBM!H:H,MATCH($P717,F_ProductBM!$Q:$Q,0))="","",INDEX(F_ProductBM!H:H,MATCH($P717,F_ProductBM!$Q:$Q,0))))</f>
        <v/>
      </c>
      <c r="I717" s="1399" t="str">
        <f>IF($I628="","",IF(INDEX(F_ProductBM!I:I,MATCH($P717,F_ProductBM!$Q:$Q,0))="","",INDEX(F_ProductBM!I:I,MATCH($P717,F_ProductBM!$Q:$Q,0))))</f>
        <v/>
      </c>
      <c r="J717" s="1832" t="str">
        <f>IF($I628="","",IF(INDEX(F_ProductBM!J:J,MATCH($P717,F_ProductBM!$Q:$Q,0))="","",INDEX(F_ProductBM!J:J,MATCH($P717,F_ProductBM!$Q:$Q,0))))</f>
        <v/>
      </c>
      <c r="K717" s="480" t="str">
        <f>IF($I628="","",IF(INDEX(F_ProductBM!K:K,MATCH($P717,F_ProductBM!$Q:$Q,0))="","",INDEX(F_ProductBM!K:K,MATCH($P717,F_ProductBM!$Q:$Q,0))))</f>
        <v/>
      </c>
      <c r="L717" s="480" t="str">
        <f>IF($I628="","",IF(INDEX(F_ProductBM!L:L,MATCH($P717,F_ProductBM!$Q:$Q,0))="","",INDEX(F_ProductBM!L:L,MATCH($P717,F_ProductBM!$Q:$Q,0))))</f>
        <v/>
      </c>
      <c r="M717" s="480" t="str">
        <f>IF($I628="","",IF(INDEX(F_ProductBM!M:M,MATCH($P717,F_ProductBM!$Q:$Q,0))="","",INDEX(F_ProductBM!M:M,MATCH($P717,F_ProductBM!$Q:$Q,0))))</f>
        <v/>
      </c>
      <c r="N717" s="1833" t="str">
        <f>IF($I628="","",IF(INDEX(F_ProductBM!N:N,MATCH($P717,F_ProductBM!$Q:$Q,0))="","",INDEX(F_ProductBM!N:N,MATCH($P717,F_ProductBM!$Q:$Q,0))))</f>
        <v/>
      </c>
      <c r="O717" s="698"/>
      <c r="P717" s="1500" t="str">
        <f>EUconst_CNTR_HeatImportPulp &amp; I628</f>
        <v>HeatImPulp_</v>
      </c>
      <c r="Q717" s="729"/>
      <c r="R717" s="729"/>
      <c r="S717" s="729"/>
      <c r="T717" s="770"/>
      <c r="U717" s="343"/>
      <c r="V717" s="343"/>
    </row>
    <row r="718" spans="1:22" s="364" customFormat="1" ht="12.75" customHeight="1" x14ac:dyDescent="0.25">
      <c r="A718" s="729"/>
      <c r="B718" s="302"/>
      <c r="C718" s="302"/>
      <c r="D718" s="1820"/>
      <c r="E718" s="2820" t="str">
        <f>Translations!$B$558</f>
        <v>Нетно количество топлинна енергия, получена от подинсталации за азотна киселина</v>
      </c>
      <c r="F718" s="2258"/>
      <c r="G718" s="1319" t="str">
        <f>EUconst_TJpa</f>
        <v>TJ / година</v>
      </c>
      <c r="H718" s="480" t="str">
        <f>IF($I628="","",IF(INDEX(F_ProductBM!H:H,MATCH($P718,F_ProductBM!$Q:$Q,0))="","",INDEX(F_ProductBM!H:H,MATCH($P718,F_ProductBM!$Q:$Q,0))))</f>
        <v/>
      </c>
      <c r="I718" s="1399" t="str">
        <f>IF($I628="","",IF(INDEX(F_ProductBM!I:I,MATCH($P718,F_ProductBM!$Q:$Q,0))="","",INDEX(F_ProductBM!I:I,MATCH($P718,F_ProductBM!$Q:$Q,0))))</f>
        <v/>
      </c>
      <c r="J718" s="1832" t="str">
        <f>IF($I628="","",IF(INDEX(F_ProductBM!J:J,MATCH($P718,F_ProductBM!$Q:$Q,0))="","",INDEX(F_ProductBM!J:J,MATCH($P718,F_ProductBM!$Q:$Q,0))))</f>
        <v/>
      </c>
      <c r="K718" s="480" t="str">
        <f>IF($I628="","",IF(INDEX(F_ProductBM!K:K,MATCH($P718,F_ProductBM!$Q:$Q,0))="","",INDEX(F_ProductBM!K:K,MATCH($P718,F_ProductBM!$Q:$Q,0))))</f>
        <v/>
      </c>
      <c r="L718" s="480" t="str">
        <f>IF($I628="","",IF(INDEX(F_ProductBM!L:L,MATCH($P718,F_ProductBM!$Q:$Q,0))="","",INDEX(F_ProductBM!L:L,MATCH($P718,F_ProductBM!$Q:$Q,0))))</f>
        <v/>
      </c>
      <c r="M718" s="480" t="str">
        <f>IF($I628="","",IF(INDEX(F_ProductBM!M:M,MATCH($P718,F_ProductBM!$Q:$Q,0))="","",INDEX(F_ProductBM!M:M,MATCH($P718,F_ProductBM!$Q:$Q,0))))</f>
        <v/>
      </c>
      <c r="N718" s="1833" t="str">
        <f>IF($I628="","",IF(INDEX(F_ProductBM!N:N,MATCH($P718,F_ProductBM!$Q:$Q,0))="","",INDEX(F_ProductBM!N:N,MATCH($P718,F_ProductBM!$Q:$Q,0))))</f>
        <v/>
      </c>
      <c r="O718" s="698"/>
      <c r="P718" s="1500" t="str">
        <f>EUconst_CNTR_HeatImportNitric &amp; I628</f>
        <v>HeatImNitric_</v>
      </c>
      <c r="Q718" s="729"/>
      <c r="R718" s="729"/>
      <c r="S718" s="729"/>
      <c r="T718" s="770"/>
      <c r="U718" s="343"/>
      <c r="V718" s="343"/>
    </row>
    <row r="719" spans="1:22" s="364" customFormat="1" ht="5.15" customHeight="1" x14ac:dyDescent="0.25">
      <c r="A719" s="729"/>
      <c r="B719" s="302"/>
      <c r="C719" s="302"/>
      <c r="D719" s="1820"/>
      <c r="E719" s="643"/>
      <c r="F719" s="643"/>
      <c r="G719" s="625"/>
      <c r="H719" s="640"/>
      <c r="I719" s="640"/>
      <c r="J719" s="640"/>
      <c r="K719" s="640"/>
      <c r="L719" s="640"/>
      <c r="M719" s="640"/>
      <c r="N719" s="1831"/>
      <c r="O719" s="698"/>
      <c r="P719" s="770"/>
      <c r="Q719" s="729"/>
      <c r="R719" s="729"/>
      <c r="S719" s="729"/>
      <c r="T719" s="770"/>
      <c r="U719" s="343"/>
      <c r="V719" s="343"/>
    </row>
    <row r="720" spans="1:22" s="364" customFormat="1" ht="12.75" customHeight="1" x14ac:dyDescent="0.25">
      <c r="A720" s="729"/>
      <c r="B720" s="302"/>
      <c r="C720" s="302"/>
      <c r="D720" s="1820"/>
      <c r="E720" s="2818" t="str">
        <f>Translations!$B$560</f>
        <v>Нетно количество подадена топлинна енергия</v>
      </c>
      <c r="F720" s="2701"/>
      <c r="G720" s="1326" t="str">
        <f>EUconst_TJpa</f>
        <v>TJ / година</v>
      </c>
      <c r="H720" s="482" t="str">
        <f>IF($I628="","",IF(INDEX(F_ProductBM!H:H,MATCH($P720,F_ProductBM!$Q:$Q,0))="","",INDEX(F_ProductBM!H:H,MATCH($P720,F_ProductBM!$Q:$Q,0))))</f>
        <v/>
      </c>
      <c r="I720" s="1824" t="str">
        <f>IF($I628="","",IF(INDEX(F_ProductBM!I:I,MATCH($P720,F_ProductBM!$Q:$Q,0))="","",INDEX(F_ProductBM!I:I,MATCH($P720,F_ProductBM!$Q:$Q,0))))</f>
        <v/>
      </c>
      <c r="J720" s="1825" t="str">
        <f>IF($I628="","",IF(INDEX(F_ProductBM!J:J,MATCH($P720,F_ProductBM!$Q:$Q,0))="","",INDEX(F_ProductBM!J:J,MATCH($P720,F_ProductBM!$Q:$Q,0))))</f>
        <v/>
      </c>
      <c r="K720" s="482" t="str">
        <f>IF($I628="","",IF(INDEX(F_ProductBM!K:K,MATCH($P720,F_ProductBM!$Q:$Q,0))="","",INDEX(F_ProductBM!K:K,MATCH($P720,F_ProductBM!$Q:$Q,0))))</f>
        <v/>
      </c>
      <c r="L720" s="482" t="str">
        <f>IF($I628="","",IF(INDEX(F_ProductBM!L:L,MATCH($P720,F_ProductBM!$Q:$Q,0))="","",INDEX(F_ProductBM!L:L,MATCH($P720,F_ProductBM!$Q:$Q,0))))</f>
        <v/>
      </c>
      <c r="M720" s="482" t="str">
        <f>IF($I628="","",IF(INDEX(F_ProductBM!M:M,MATCH($P720,F_ProductBM!$Q:$Q,0))="","",INDEX(F_ProductBM!M:M,MATCH($P720,F_ProductBM!$Q:$Q,0))))</f>
        <v/>
      </c>
      <c r="N720" s="1826" t="str">
        <f>IF($I628="","",IF(INDEX(F_ProductBM!N:N,MATCH($P720,F_ProductBM!$Q:$Q,0))="","",INDEX(F_ProductBM!N:N,MATCH($P720,F_ProductBM!$Q:$Q,0))))</f>
        <v/>
      </c>
      <c r="O720" s="698"/>
      <c r="P720" s="1500" t="str">
        <f>EUconst_CNTR_HeatExport &amp; I628</f>
        <v>HeatEx_</v>
      </c>
      <c r="Q720" s="729"/>
      <c r="R720" s="729"/>
      <c r="S720" s="729"/>
      <c r="T720" s="770"/>
      <c r="U720" s="343"/>
      <c r="V720" s="343"/>
    </row>
    <row r="721" spans="1:22" s="364" customFormat="1" ht="12.75" customHeight="1" x14ac:dyDescent="0.25">
      <c r="A721" s="729"/>
      <c r="B721" s="302"/>
      <c r="C721" s="302"/>
      <c r="D721" s="1820"/>
      <c r="E721" s="2819" t="str">
        <f>Translations!$B$561</f>
        <v>Специфичен EF (подадена топлинна енергия)</v>
      </c>
      <c r="F721" s="2705"/>
      <c r="G721" s="1329" t="str">
        <f>EUconst_tCO2pTJ</f>
        <v>t CO2 / TJ</v>
      </c>
      <c r="H721" s="484" t="str">
        <f>IF($I628="","",IF(INDEX(F_ProductBM!H:H,MATCH($P721,F_ProductBM!$Q:$Q,0))="","",INDEX(F_ProductBM!H:H,MATCH($P721,F_ProductBM!$Q:$Q,0))))</f>
        <v/>
      </c>
      <c r="I721" s="1828" t="str">
        <f>IF($I628="","",IF(INDEX(F_ProductBM!I:I,MATCH($P721,F_ProductBM!$Q:$Q,0))="","",INDEX(F_ProductBM!I:I,MATCH($P721,F_ProductBM!$Q:$Q,0))))</f>
        <v/>
      </c>
      <c r="J721" s="1829" t="str">
        <f>IF($I628="","",IF(INDEX(F_ProductBM!J:J,MATCH($P721,F_ProductBM!$Q:$Q,0))="","",INDEX(F_ProductBM!J:J,MATCH($P721,F_ProductBM!$Q:$Q,0))))</f>
        <v/>
      </c>
      <c r="K721" s="484" t="str">
        <f>IF($I628="","",IF(INDEX(F_ProductBM!K:K,MATCH($P721,F_ProductBM!$Q:$Q,0))="","",INDEX(F_ProductBM!K:K,MATCH($P721,F_ProductBM!$Q:$Q,0))))</f>
        <v/>
      </c>
      <c r="L721" s="484" t="str">
        <f>IF($I628="","",IF(INDEX(F_ProductBM!L:L,MATCH($P721,F_ProductBM!$Q:$Q,0))="","",INDEX(F_ProductBM!L:L,MATCH($P721,F_ProductBM!$Q:$Q,0))))</f>
        <v/>
      </c>
      <c r="M721" s="484" t="str">
        <f>IF($I628="","",IF(INDEX(F_ProductBM!M:M,MATCH($P721,F_ProductBM!$Q:$Q,0))="","",INDEX(F_ProductBM!M:M,MATCH($P721,F_ProductBM!$Q:$Q,0))))</f>
        <v/>
      </c>
      <c r="N721" s="1830" t="str">
        <f>IF($I628="","",IF(INDEX(F_ProductBM!N:N,MATCH($P721,F_ProductBM!$Q:$Q,0))="","",INDEX(F_ProductBM!N:N,MATCH($P721,F_ProductBM!$Q:$Q,0))))</f>
        <v/>
      </c>
      <c r="O721" s="698"/>
      <c r="P721" s="1500" t="str">
        <f>EUconst_CNTR_HeatExportEF &amp; I628</f>
        <v>HeatExEF_</v>
      </c>
      <c r="Q721" s="729"/>
      <c r="R721" s="729"/>
      <c r="S721" s="729"/>
      <c r="T721" s="770"/>
      <c r="U721" s="343"/>
      <c r="V721" s="343"/>
    </row>
    <row r="722" spans="1:22" s="364" customFormat="1" ht="5.15" customHeight="1" x14ac:dyDescent="0.25">
      <c r="A722" s="729"/>
      <c r="B722" s="302"/>
      <c r="C722" s="302"/>
      <c r="D722" s="1820"/>
      <c r="E722" s="643"/>
      <c r="F722" s="643"/>
      <c r="G722" s="625"/>
      <c r="H722" s="640"/>
      <c r="I722" s="640"/>
      <c r="J722" s="640"/>
      <c r="K722" s="640"/>
      <c r="L722" s="640"/>
      <c r="M722" s="640"/>
      <c r="N722" s="1831"/>
      <c r="O722" s="698"/>
      <c r="P722" s="770"/>
      <c r="Q722" s="729"/>
      <c r="R722" s="729"/>
      <c r="S722" s="729"/>
      <c r="T722" s="770"/>
      <c r="U722" s="343"/>
      <c r="V722" s="343"/>
    </row>
    <row r="723" spans="1:22" s="364" customFormat="1" ht="12.75" customHeight="1" x14ac:dyDescent="0.25">
      <c r="A723" s="729"/>
      <c r="B723" s="302"/>
      <c r="C723" s="302"/>
      <c r="D723" s="1820"/>
      <c r="E723" s="2818" t="str">
        <f>Translations!$B$568</f>
        <v>Произведен отпаден газ</v>
      </c>
      <c r="F723" s="2701"/>
      <c r="G723" s="1326" t="str">
        <f>EUconst_TJpa</f>
        <v>TJ / година</v>
      </c>
      <c r="H723" s="482" t="str">
        <f>IF($I628="","",IF(INDEX(F_ProductBM!H:H,MATCH($P723,F_ProductBM!$Q:$Q,0))="","",INDEX(F_ProductBM!H:H,MATCH($P723,F_ProductBM!$Q:$Q,0))))</f>
        <v/>
      </c>
      <c r="I723" s="1824" t="str">
        <f>IF($I628="","",IF(INDEX(F_ProductBM!I:I,MATCH($P723,F_ProductBM!$Q:$Q,0))="","",INDEX(F_ProductBM!I:I,MATCH($P723,F_ProductBM!$Q:$Q,0))))</f>
        <v/>
      </c>
      <c r="J723" s="1825" t="str">
        <f>IF($I628="","",IF(INDEX(F_ProductBM!J:J,MATCH($P723,F_ProductBM!$Q:$Q,0))="","",INDEX(F_ProductBM!J:J,MATCH($P723,F_ProductBM!$Q:$Q,0))))</f>
        <v/>
      </c>
      <c r="K723" s="482" t="str">
        <f>IF($I628="","",IF(INDEX(F_ProductBM!K:K,MATCH($P723,F_ProductBM!$Q:$Q,0))="","",INDEX(F_ProductBM!K:K,MATCH($P723,F_ProductBM!$Q:$Q,0))))</f>
        <v/>
      </c>
      <c r="L723" s="482" t="str">
        <f>IF($I628="","",IF(INDEX(F_ProductBM!L:L,MATCH($P723,F_ProductBM!$Q:$Q,0))="","",INDEX(F_ProductBM!L:L,MATCH($P723,F_ProductBM!$Q:$Q,0))))</f>
        <v/>
      </c>
      <c r="M723" s="482" t="str">
        <f>IF($I628="","",IF(INDEX(F_ProductBM!M:M,MATCH($P723,F_ProductBM!$Q:$Q,0))="","",INDEX(F_ProductBM!M:M,MATCH($P723,F_ProductBM!$Q:$Q,0))))</f>
        <v/>
      </c>
      <c r="N723" s="1826" t="str">
        <f>IF($I628="","",IF(INDEX(F_ProductBM!N:N,MATCH($P723,F_ProductBM!$Q:$Q,0))="","",INDEX(F_ProductBM!N:N,MATCH($P723,F_ProductBM!$Q:$Q,0))))</f>
        <v/>
      </c>
      <c r="O723" s="698"/>
      <c r="P723" s="1827" t="str">
        <f>EUconst_CNTR_WGProduced &amp; I628</f>
        <v>WasteGasProd_</v>
      </c>
      <c r="Q723" s="729"/>
      <c r="R723" s="729"/>
      <c r="S723" s="729"/>
      <c r="T723" s="770"/>
      <c r="U723" s="343"/>
      <c r="V723" s="343"/>
    </row>
    <row r="724" spans="1:22" s="364" customFormat="1" ht="12.75" customHeight="1" x14ac:dyDescent="0.25">
      <c r="A724" s="729"/>
      <c r="B724" s="302"/>
      <c r="C724" s="302"/>
      <c r="D724" s="1820"/>
      <c r="E724" s="2819" t="str">
        <f>Translations!$B$569</f>
        <v>Специфичен EF (произведен отпаден газ)</v>
      </c>
      <c r="F724" s="2705"/>
      <c r="G724" s="1329" t="str">
        <f>EUconst_tCO2pTJ</f>
        <v>t CO2 / TJ</v>
      </c>
      <c r="H724" s="484" t="str">
        <f>IF($I628="","",IF(INDEX(F_ProductBM!H:H,MATCH($P724,F_ProductBM!$Q:$Q,0))="","",INDEX(F_ProductBM!H:H,MATCH($P724,F_ProductBM!$Q:$Q,0))))</f>
        <v/>
      </c>
      <c r="I724" s="1828" t="str">
        <f>IF($I628="","",IF(INDEX(F_ProductBM!I:I,MATCH($P724,F_ProductBM!$Q:$Q,0))="","",INDEX(F_ProductBM!I:I,MATCH($P724,F_ProductBM!$Q:$Q,0))))</f>
        <v/>
      </c>
      <c r="J724" s="1829" t="str">
        <f>IF($I628="","",IF(INDEX(F_ProductBM!J:J,MATCH($P724,F_ProductBM!$Q:$Q,0))="","",INDEX(F_ProductBM!J:J,MATCH($P724,F_ProductBM!$Q:$Q,0))))</f>
        <v/>
      </c>
      <c r="K724" s="484" t="str">
        <f>IF($I628="","",IF(INDEX(F_ProductBM!K:K,MATCH($P724,F_ProductBM!$Q:$Q,0))="","",INDEX(F_ProductBM!K:K,MATCH($P724,F_ProductBM!$Q:$Q,0))))</f>
        <v/>
      </c>
      <c r="L724" s="484" t="str">
        <f>IF($I628="","",IF(INDEX(F_ProductBM!L:L,MATCH($P724,F_ProductBM!$Q:$Q,0))="","",INDEX(F_ProductBM!L:L,MATCH($P724,F_ProductBM!$Q:$Q,0))))</f>
        <v/>
      </c>
      <c r="M724" s="484" t="str">
        <f>IF($I628="","",IF(INDEX(F_ProductBM!M:M,MATCH($P724,F_ProductBM!$Q:$Q,0))="","",INDEX(F_ProductBM!M:M,MATCH($P724,F_ProductBM!$Q:$Q,0))))</f>
        <v/>
      </c>
      <c r="N724" s="1830" t="str">
        <f>IF($I628="","",IF(INDEX(F_ProductBM!N:N,MATCH($P724,F_ProductBM!$Q:$Q,0))="","",INDEX(F_ProductBM!N:N,MATCH($P724,F_ProductBM!$Q:$Q,0))))</f>
        <v/>
      </c>
      <c r="O724" s="698"/>
      <c r="P724" s="1500" t="str">
        <f>EUconst_CNTR_WGProducedEF &amp; I628</f>
        <v>WasteGasProdEF_</v>
      </c>
      <c r="Q724" s="729"/>
      <c r="R724" s="729"/>
      <c r="S724" s="729"/>
      <c r="T724" s="770"/>
      <c r="U724" s="343"/>
      <c r="V724" s="343"/>
    </row>
    <row r="725" spans="1:22" s="364" customFormat="1" ht="12.75" customHeight="1" x14ac:dyDescent="0.25">
      <c r="A725" s="729"/>
      <c r="B725" s="302"/>
      <c r="C725" s="302"/>
      <c r="D725" s="1820"/>
      <c r="E725" s="2818" t="str">
        <f>Translations!$B$573</f>
        <v>Консумиран отпаден газ</v>
      </c>
      <c r="F725" s="2701"/>
      <c r="G725" s="1326" t="str">
        <f>EUconst_TJpa</f>
        <v>TJ / година</v>
      </c>
      <c r="H725" s="482" t="str">
        <f>IF($I628="","",IF(INDEX(F_ProductBM!H:H,MATCH($P725,F_ProductBM!$Q:$Q,0))="","",INDEX(F_ProductBM!H:H,MATCH($P725,F_ProductBM!$Q:$Q,0))))</f>
        <v/>
      </c>
      <c r="I725" s="1824" t="str">
        <f>IF($I628="","",IF(INDEX(F_ProductBM!I:I,MATCH($P725,F_ProductBM!$Q:$Q,0))="","",INDEX(F_ProductBM!I:I,MATCH($P725,F_ProductBM!$Q:$Q,0))))</f>
        <v/>
      </c>
      <c r="J725" s="1825" t="str">
        <f>IF($I628="","",IF(INDEX(F_ProductBM!J:J,MATCH($P725,F_ProductBM!$Q:$Q,0))="","",INDEX(F_ProductBM!J:J,MATCH($P725,F_ProductBM!$Q:$Q,0))))</f>
        <v/>
      </c>
      <c r="K725" s="482" t="str">
        <f>IF($I628="","",IF(INDEX(F_ProductBM!K:K,MATCH($P725,F_ProductBM!$Q:$Q,0))="","",INDEX(F_ProductBM!K:K,MATCH($P725,F_ProductBM!$Q:$Q,0))))</f>
        <v/>
      </c>
      <c r="L725" s="482" t="str">
        <f>IF($I628="","",IF(INDEX(F_ProductBM!L:L,MATCH($P725,F_ProductBM!$Q:$Q,0))="","",INDEX(F_ProductBM!L:L,MATCH($P725,F_ProductBM!$Q:$Q,0))))</f>
        <v/>
      </c>
      <c r="M725" s="482" t="str">
        <f>IF($I628="","",IF(INDEX(F_ProductBM!M:M,MATCH($P725,F_ProductBM!$Q:$Q,0))="","",INDEX(F_ProductBM!M:M,MATCH($P725,F_ProductBM!$Q:$Q,0))))</f>
        <v/>
      </c>
      <c r="N725" s="1826" t="str">
        <f>IF($I628="","",IF(INDEX(F_ProductBM!N:N,MATCH($P725,F_ProductBM!$Q:$Q,0))="","",INDEX(F_ProductBM!N:N,MATCH($P725,F_ProductBM!$Q:$Q,0))))</f>
        <v/>
      </c>
      <c r="O725" s="698"/>
      <c r="P725" s="1500" t="str">
        <f>EUconst_CNTR_WGConsumed &amp; I628</f>
        <v>WasteGasCons_</v>
      </c>
      <c r="Q725" s="729"/>
      <c r="R725" s="729"/>
      <c r="S725" s="729"/>
      <c r="T725" s="770"/>
      <c r="U725" s="343"/>
      <c r="V725" s="343"/>
    </row>
    <row r="726" spans="1:22" s="364" customFormat="1" ht="12.75" customHeight="1" x14ac:dyDescent="0.25">
      <c r="A726" s="729"/>
      <c r="B726" s="302"/>
      <c r="C726" s="302"/>
      <c r="D726" s="1820"/>
      <c r="E726" s="2819" t="str">
        <f>Translations!$B$574</f>
        <v>Специфичен EF (консумиран отпаден газ)</v>
      </c>
      <c r="F726" s="2705"/>
      <c r="G726" s="1329" t="str">
        <f>EUconst_tCO2pTJ</f>
        <v>t CO2 / TJ</v>
      </c>
      <c r="H726" s="484" t="str">
        <f>IF($I628="","",IF(INDEX(F_ProductBM!H:H,MATCH($P726,F_ProductBM!$Q:$Q,0))="","",INDEX(F_ProductBM!H:H,MATCH($P726,F_ProductBM!$Q:$Q,0))))</f>
        <v/>
      </c>
      <c r="I726" s="1828" t="str">
        <f>IF($I628="","",IF(INDEX(F_ProductBM!I:I,MATCH($P726,F_ProductBM!$Q:$Q,0))="","",INDEX(F_ProductBM!I:I,MATCH($P726,F_ProductBM!$Q:$Q,0))))</f>
        <v/>
      </c>
      <c r="J726" s="1829" t="str">
        <f>IF($I628="","",IF(INDEX(F_ProductBM!J:J,MATCH($P726,F_ProductBM!$Q:$Q,0))="","",INDEX(F_ProductBM!J:J,MATCH($P726,F_ProductBM!$Q:$Q,0))))</f>
        <v/>
      </c>
      <c r="K726" s="484" t="str">
        <f>IF($I628="","",IF(INDEX(F_ProductBM!K:K,MATCH($P726,F_ProductBM!$Q:$Q,0))="","",INDEX(F_ProductBM!K:K,MATCH($P726,F_ProductBM!$Q:$Q,0))))</f>
        <v/>
      </c>
      <c r="L726" s="484" t="str">
        <f>IF($I628="","",IF(INDEX(F_ProductBM!L:L,MATCH($P726,F_ProductBM!$Q:$Q,0))="","",INDEX(F_ProductBM!L:L,MATCH($P726,F_ProductBM!$Q:$Q,0))))</f>
        <v/>
      </c>
      <c r="M726" s="484" t="str">
        <f>IF($I628="","",IF(INDEX(F_ProductBM!M:M,MATCH($P726,F_ProductBM!$Q:$Q,0))="","",INDEX(F_ProductBM!M:M,MATCH($P726,F_ProductBM!$Q:$Q,0))))</f>
        <v/>
      </c>
      <c r="N726" s="1830" t="str">
        <f>IF($I628="","",IF(INDEX(F_ProductBM!N:N,MATCH($P726,F_ProductBM!$Q:$Q,0))="","",INDEX(F_ProductBM!N:N,MATCH($P726,F_ProductBM!$Q:$Q,0))))</f>
        <v/>
      </c>
      <c r="O726" s="698"/>
      <c r="P726" s="1500" t="str">
        <f>EUconst_CNTR_WGConsumedEF &amp; I628</f>
        <v>WasteGasConsEF_</v>
      </c>
      <c r="Q726" s="729"/>
      <c r="R726" s="729"/>
      <c r="S726" s="729"/>
      <c r="T726" s="770"/>
      <c r="U726" s="343"/>
      <c r="V726" s="343"/>
    </row>
    <row r="727" spans="1:22" s="364" customFormat="1" ht="12.75" customHeight="1" x14ac:dyDescent="0.25">
      <c r="A727" s="729"/>
      <c r="B727" s="302"/>
      <c r="C727" s="302"/>
      <c r="D727" s="1820"/>
      <c r="E727" s="2818" t="str">
        <f>Translations!$B$580</f>
        <v>Изгорен във факел отпаден газ</v>
      </c>
      <c r="F727" s="2701"/>
      <c r="G727" s="1326" t="str">
        <f>EUconst_TJpa</f>
        <v>TJ / година</v>
      </c>
      <c r="H727" s="482" t="str">
        <f>IF($I628="","",IF(INDEX(F_ProductBM!H:H,MATCH($P727,F_ProductBM!$Q:$Q,0))="","",INDEX(F_ProductBM!H:H,MATCH($P727,F_ProductBM!$Q:$Q,0))))</f>
        <v/>
      </c>
      <c r="I727" s="1824" t="str">
        <f>IF($I628="","",IF(INDEX(F_ProductBM!I:I,MATCH($P727,F_ProductBM!$Q:$Q,0))="","",INDEX(F_ProductBM!I:I,MATCH($P727,F_ProductBM!$Q:$Q,0))))</f>
        <v/>
      </c>
      <c r="J727" s="1825" t="str">
        <f>IF($I628="","",IF(INDEX(F_ProductBM!J:J,MATCH($P727,F_ProductBM!$Q:$Q,0))="","",INDEX(F_ProductBM!J:J,MATCH($P727,F_ProductBM!$Q:$Q,0))))</f>
        <v/>
      </c>
      <c r="K727" s="482" t="str">
        <f>IF($I628="","",IF(INDEX(F_ProductBM!K:K,MATCH($P727,F_ProductBM!$Q:$Q,0))="","",INDEX(F_ProductBM!K:K,MATCH($P727,F_ProductBM!$Q:$Q,0))))</f>
        <v/>
      </c>
      <c r="L727" s="482" t="str">
        <f>IF($I628="","",IF(INDEX(F_ProductBM!L:L,MATCH($P727,F_ProductBM!$Q:$Q,0))="","",INDEX(F_ProductBM!L:L,MATCH($P727,F_ProductBM!$Q:$Q,0))))</f>
        <v/>
      </c>
      <c r="M727" s="482" t="str">
        <f>IF($I628="","",IF(INDEX(F_ProductBM!M:M,MATCH($P727,F_ProductBM!$Q:$Q,0))="","",INDEX(F_ProductBM!M:M,MATCH($P727,F_ProductBM!$Q:$Q,0))))</f>
        <v/>
      </c>
      <c r="N727" s="1826" t="str">
        <f>IF($I628="","",IF(INDEX(F_ProductBM!N:N,MATCH($P727,F_ProductBM!$Q:$Q,0))="","",INDEX(F_ProductBM!N:N,MATCH($P727,F_ProductBM!$Q:$Q,0))))</f>
        <v/>
      </c>
      <c r="O727" s="698"/>
      <c r="P727" s="1500" t="str">
        <f>EUconst_CNTR_WGFlared &amp; I628</f>
        <v>WasteGasFlare_</v>
      </c>
      <c r="Q727" s="729"/>
      <c r="R727" s="729"/>
      <c r="S727" s="729"/>
      <c r="T727" s="770"/>
      <c r="U727" s="343"/>
      <c r="V727" s="343"/>
    </row>
    <row r="728" spans="1:22" s="364" customFormat="1" ht="12.75" customHeight="1" x14ac:dyDescent="0.25">
      <c r="A728" s="729"/>
      <c r="B728" s="302"/>
      <c r="C728" s="302"/>
      <c r="D728" s="1820"/>
      <c r="E728" s="2819" t="str">
        <f>Translations!$B$581</f>
        <v>Специфичен EF (изгорен във факел отпаден газ)</v>
      </c>
      <c r="F728" s="2705"/>
      <c r="G728" s="1329" t="str">
        <f>EUconst_tCO2pTJ</f>
        <v>t CO2 / TJ</v>
      </c>
      <c r="H728" s="484" t="str">
        <f>IF($I628="","",IF(INDEX(F_ProductBM!H:H,MATCH($P728,F_ProductBM!$Q:$Q,0))="","",INDEX(F_ProductBM!H:H,MATCH($P728,F_ProductBM!$Q:$Q,0))))</f>
        <v/>
      </c>
      <c r="I728" s="1828" t="str">
        <f>IF($I628="","",IF(INDEX(F_ProductBM!I:I,MATCH($P728,F_ProductBM!$Q:$Q,0))="","",INDEX(F_ProductBM!I:I,MATCH($P728,F_ProductBM!$Q:$Q,0))))</f>
        <v/>
      </c>
      <c r="J728" s="1829" t="str">
        <f>IF($I628="","",IF(INDEX(F_ProductBM!J:J,MATCH($P728,F_ProductBM!$Q:$Q,0))="","",INDEX(F_ProductBM!J:J,MATCH($P728,F_ProductBM!$Q:$Q,0))))</f>
        <v/>
      </c>
      <c r="K728" s="484" t="str">
        <f>IF($I628="","",IF(INDEX(F_ProductBM!K:K,MATCH($P728,F_ProductBM!$Q:$Q,0))="","",INDEX(F_ProductBM!K:K,MATCH($P728,F_ProductBM!$Q:$Q,0))))</f>
        <v/>
      </c>
      <c r="L728" s="484" t="str">
        <f>IF($I628="","",IF(INDEX(F_ProductBM!L:L,MATCH($P728,F_ProductBM!$Q:$Q,0))="","",INDEX(F_ProductBM!L:L,MATCH($P728,F_ProductBM!$Q:$Q,0))))</f>
        <v/>
      </c>
      <c r="M728" s="484" t="str">
        <f>IF($I628="","",IF(INDEX(F_ProductBM!M:M,MATCH($P728,F_ProductBM!$Q:$Q,0))="","",INDEX(F_ProductBM!M:M,MATCH($P728,F_ProductBM!$Q:$Q,0))))</f>
        <v/>
      </c>
      <c r="N728" s="1830" t="str">
        <f>IF($I628="","",IF(INDEX(F_ProductBM!N:N,MATCH($P728,F_ProductBM!$Q:$Q,0))="","",INDEX(F_ProductBM!N:N,MATCH($P728,F_ProductBM!$Q:$Q,0))))</f>
        <v/>
      </c>
      <c r="O728" s="698"/>
      <c r="P728" s="1500" t="str">
        <f>EUconst_CNTR_WGFlaredEF &amp; I628</f>
        <v>WasteGasFlareEF_</v>
      </c>
      <c r="Q728" s="729"/>
      <c r="R728" s="729"/>
      <c r="S728" s="729"/>
      <c r="T728" s="770"/>
      <c r="U728" s="343"/>
      <c r="V728" s="343"/>
    </row>
    <row r="729" spans="1:22" s="364" customFormat="1" ht="12.75" customHeight="1" x14ac:dyDescent="0.25">
      <c r="A729" s="729"/>
      <c r="B729" s="302"/>
      <c r="C729" s="302"/>
      <c r="D729" s="1820"/>
      <c r="E729" s="2818" t="str">
        <f>Translations!$B$586</f>
        <v>Получен отпаден газ</v>
      </c>
      <c r="F729" s="2701"/>
      <c r="G729" s="1326" t="str">
        <f>EUconst_TJpa</f>
        <v>TJ / година</v>
      </c>
      <c r="H729" s="482" t="str">
        <f>IF($I628="","",IF(INDEX(F_ProductBM!H:H,MATCH($P729,F_ProductBM!$Q:$Q,0))="","",INDEX(F_ProductBM!H:H,MATCH($P729,F_ProductBM!$Q:$Q,0))))</f>
        <v/>
      </c>
      <c r="I729" s="1824" t="str">
        <f>IF($I628="","",IF(INDEX(F_ProductBM!I:I,MATCH($P729,F_ProductBM!$Q:$Q,0))="","",INDEX(F_ProductBM!I:I,MATCH($P729,F_ProductBM!$Q:$Q,0))))</f>
        <v/>
      </c>
      <c r="J729" s="1825" t="str">
        <f>IF($I628="","",IF(INDEX(F_ProductBM!J:J,MATCH($P729,F_ProductBM!$Q:$Q,0))="","",INDEX(F_ProductBM!J:J,MATCH($P729,F_ProductBM!$Q:$Q,0))))</f>
        <v/>
      </c>
      <c r="K729" s="482" t="str">
        <f>IF($I628="","",IF(INDEX(F_ProductBM!K:K,MATCH($P729,F_ProductBM!$Q:$Q,0))="","",INDEX(F_ProductBM!K:K,MATCH($P729,F_ProductBM!$Q:$Q,0))))</f>
        <v/>
      </c>
      <c r="L729" s="482" t="str">
        <f>IF($I628="","",IF(INDEX(F_ProductBM!L:L,MATCH($P729,F_ProductBM!$Q:$Q,0))="","",INDEX(F_ProductBM!L:L,MATCH($P729,F_ProductBM!$Q:$Q,0))))</f>
        <v/>
      </c>
      <c r="M729" s="482" t="str">
        <f>IF($I628="","",IF(INDEX(F_ProductBM!M:M,MATCH($P729,F_ProductBM!$Q:$Q,0))="","",INDEX(F_ProductBM!M:M,MATCH($P729,F_ProductBM!$Q:$Q,0))))</f>
        <v/>
      </c>
      <c r="N729" s="1826" t="str">
        <f>IF($I628="","",IF(INDEX(F_ProductBM!N:N,MATCH($P729,F_ProductBM!$Q:$Q,0))="","",INDEX(F_ProductBM!N:N,MATCH($P729,F_ProductBM!$Q:$Q,0))))</f>
        <v/>
      </c>
      <c r="O729" s="698"/>
      <c r="P729" s="1500" t="str">
        <f>EUconst_CNTR_WGImport &amp; I628</f>
        <v>WasteGasIm_</v>
      </c>
      <c r="Q729" s="729"/>
      <c r="R729" s="729"/>
      <c r="S729" s="729"/>
      <c r="T729" s="770"/>
      <c r="U729" s="343"/>
      <c r="V729" s="343"/>
    </row>
    <row r="730" spans="1:22" s="364" customFormat="1" ht="12.75" customHeight="1" x14ac:dyDescent="0.25">
      <c r="A730" s="729"/>
      <c r="B730" s="302"/>
      <c r="C730" s="302"/>
      <c r="D730" s="1820"/>
      <c r="E730" s="1834" t="str">
        <f>Translations!$B$587</f>
        <v>Специфичен EF (получен отпаден газ)</v>
      </c>
      <c r="F730" s="1834"/>
      <c r="G730" s="639" t="str">
        <f>EUconst_tCO2pTJ</f>
        <v>t CO2 / TJ</v>
      </c>
      <c r="H730" s="484" t="str">
        <f>IF($I628="","",IF(INDEX(F_ProductBM!H:H,MATCH($P730,F_ProductBM!$Q:$Q,0))="","",INDEX(F_ProductBM!H:H,MATCH($P730,F_ProductBM!$Q:$Q,0))))</f>
        <v/>
      </c>
      <c r="I730" s="1828" t="str">
        <f>IF($I628="","",IF(INDEX(F_ProductBM!I:I,MATCH($P730,F_ProductBM!$Q:$Q,0))="","",INDEX(F_ProductBM!I:I,MATCH($P730,F_ProductBM!$Q:$Q,0))))</f>
        <v/>
      </c>
      <c r="J730" s="1829" t="str">
        <f>IF($I628="","",IF(INDEX(F_ProductBM!J:J,MATCH($P730,F_ProductBM!$Q:$Q,0))="","",INDEX(F_ProductBM!J:J,MATCH($P730,F_ProductBM!$Q:$Q,0))))</f>
        <v/>
      </c>
      <c r="K730" s="484" t="str">
        <f>IF($I628="","",IF(INDEX(F_ProductBM!K:K,MATCH($P730,F_ProductBM!$Q:$Q,0))="","",INDEX(F_ProductBM!K:K,MATCH($P730,F_ProductBM!$Q:$Q,0))))</f>
        <v/>
      </c>
      <c r="L730" s="484" t="str">
        <f>IF($I628="","",IF(INDEX(F_ProductBM!L:L,MATCH($P730,F_ProductBM!$Q:$Q,0))="","",INDEX(F_ProductBM!L:L,MATCH($P730,F_ProductBM!$Q:$Q,0))))</f>
        <v/>
      </c>
      <c r="M730" s="484" t="str">
        <f>IF($I628="","",IF(INDEX(F_ProductBM!M:M,MATCH($P730,F_ProductBM!$Q:$Q,0))="","",INDEX(F_ProductBM!M:M,MATCH($P730,F_ProductBM!$Q:$Q,0))))</f>
        <v/>
      </c>
      <c r="N730" s="1830" t="str">
        <f>IF($I628="","",IF(INDEX(F_ProductBM!N:N,MATCH($P730,F_ProductBM!$Q:$Q,0))="","",INDEX(F_ProductBM!N:N,MATCH($P730,F_ProductBM!$Q:$Q,0))))</f>
        <v/>
      </c>
      <c r="O730" s="698"/>
      <c r="P730" s="1500" t="str">
        <f>EUconst_CNTR_WGImportEF &amp; I628</f>
        <v>WasteGasImEF_</v>
      </c>
      <c r="Q730" s="729"/>
      <c r="R730" s="729"/>
      <c r="S730" s="729"/>
      <c r="T730" s="770"/>
      <c r="U730" s="343"/>
      <c r="V730" s="343"/>
    </row>
    <row r="731" spans="1:22" s="364" customFormat="1" ht="12.75" customHeight="1" x14ac:dyDescent="0.25">
      <c r="A731" s="729"/>
      <c r="B731" s="302"/>
      <c r="C731" s="302"/>
      <c r="D731" s="1820"/>
      <c r="E731" s="2818" t="str">
        <f>Translations!$B$591</f>
        <v>Подаден отпаден газ</v>
      </c>
      <c r="F731" s="2701"/>
      <c r="G731" s="1326" t="str">
        <f>EUconst_TJpa</f>
        <v>TJ / година</v>
      </c>
      <c r="H731" s="482" t="str">
        <f>IF($I628="","",IF(INDEX(F_ProductBM!H:H,MATCH($P731,F_ProductBM!$Q:$Q,0))="","",INDEX(F_ProductBM!H:H,MATCH($P731,F_ProductBM!$Q:$Q,0))))</f>
        <v/>
      </c>
      <c r="I731" s="1824" t="str">
        <f>IF($I628="","",IF(INDEX(F_ProductBM!I:I,MATCH($P731,F_ProductBM!$Q:$Q,0))="","",INDEX(F_ProductBM!I:I,MATCH($P731,F_ProductBM!$Q:$Q,0))))</f>
        <v/>
      </c>
      <c r="J731" s="1825" t="str">
        <f>IF($I628="","",IF(INDEX(F_ProductBM!J:J,MATCH($P731,F_ProductBM!$Q:$Q,0))="","",INDEX(F_ProductBM!J:J,MATCH($P731,F_ProductBM!$Q:$Q,0))))</f>
        <v/>
      </c>
      <c r="K731" s="482" t="str">
        <f>IF($I628="","",IF(INDEX(F_ProductBM!K:K,MATCH($P731,F_ProductBM!$Q:$Q,0))="","",INDEX(F_ProductBM!K:K,MATCH($P731,F_ProductBM!$Q:$Q,0))))</f>
        <v/>
      </c>
      <c r="L731" s="482" t="str">
        <f>IF($I628="","",IF(INDEX(F_ProductBM!L:L,MATCH($P731,F_ProductBM!$Q:$Q,0))="","",INDEX(F_ProductBM!L:L,MATCH($P731,F_ProductBM!$Q:$Q,0))))</f>
        <v/>
      </c>
      <c r="M731" s="482" t="str">
        <f>IF($I628="","",IF(INDEX(F_ProductBM!M:M,MATCH($P731,F_ProductBM!$Q:$Q,0))="","",INDEX(F_ProductBM!M:M,MATCH($P731,F_ProductBM!$Q:$Q,0))))</f>
        <v/>
      </c>
      <c r="N731" s="1826" t="str">
        <f>IF($I628="","",IF(INDEX(F_ProductBM!N:N,MATCH($P731,F_ProductBM!$Q:$Q,0))="","",INDEX(F_ProductBM!N:N,MATCH($P731,F_ProductBM!$Q:$Q,0))))</f>
        <v/>
      </c>
      <c r="O731" s="698"/>
      <c r="P731" s="1500" t="str">
        <f>EUconst_CNTR_WGExport &amp; I628</f>
        <v>WasteGasEx_</v>
      </c>
      <c r="Q731" s="729"/>
      <c r="R731" s="729"/>
      <c r="S731" s="729"/>
      <c r="T731" s="770"/>
      <c r="U731" s="343"/>
      <c r="V731" s="343"/>
    </row>
    <row r="732" spans="1:22" s="364" customFormat="1" ht="12.75" customHeight="1" x14ac:dyDescent="0.25">
      <c r="A732" s="729"/>
      <c r="B732" s="302"/>
      <c r="C732" s="302"/>
      <c r="D732" s="1820"/>
      <c r="E732" s="2819" t="str">
        <f>Translations!$B$592</f>
        <v>Специфичен EF (подаден отпаден газ)</v>
      </c>
      <c r="F732" s="2705"/>
      <c r="G732" s="639" t="str">
        <f>EUconst_tCO2pTJ</f>
        <v>t CO2 / TJ</v>
      </c>
      <c r="H732" s="484" t="str">
        <f>IF($I628="","",IF(INDEX(F_ProductBM!H:H,MATCH($P732,F_ProductBM!$Q:$Q,0))="","",INDEX(F_ProductBM!H:H,MATCH($P732,F_ProductBM!$Q:$Q,0))))</f>
        <v/>
      </c>
      <c r="I732" s="1828" t="str">
        <f>IF($I628="","",IF(INDEX(F_ProductBM!I:I,MATCH($P732,F_ProductBM!$Q:$Q,0))="","",INDEX(F_ProductBM!I:I,MATCH($P732,F_ProductBM!$Q:$Q,0))))</f>
        <v/>
      </c>
      <c r="J732" s="1829" t="str">
        <f>IF($I628="","",IF(INDEX(F_ProductBM!J:J,MATCH($P732,F_ProductBM!$Q:$Q,0))="","",INDEX(F_ProductBM!J:J,MATCH($P732,F_ProductBM!$Q:$Q,0))))</f>
        <v/>
      </c>
      <c r="K732" s="484" t="str">
        <f>IF($I628="","",IF(INDEX(F_ProductBM!K:K,MATCH($P732,F_ProductBM!$Q:$Q,0))="","",INDEX(F_ProductBM!K:K,MATCH($P732,F_ProductBM!$Q:$Q,0))))</f>
        <v/>
      </c>
      <c r="L732" s="484" t="str">
        <f>IF($I628="","",IF(INDEX(F_ProductBM!L:L,MATCH($P732,F_ProductBM!$Q:$Q,0))="","",INDEX(F_ProductBM!L:L,MATCH($P732,F_ProductBM!$Q:$Q,0))))</f>
        <v/>
      </c>
      <c r="M732" s="484" t="str">
        <f>IF($I628="","",IF(INDEX(F_ProductBM!M:M,MATCH($P732,F_ProductBM!$Q:$Q,0))="","",INDEX(F_ProductBM!M:M,MATCH($P732,F_ProductBM!$Q:$Q,0))))</f>
        <v/>
      </c>
      <c r="N732" s="1830" t="str">
        <f>IF($I628="","",IF(INDEX(F_ProductBM!N:N,MATCH($P732,F_ProductBM!$Q:$Q,0))="","",INDEX(F_ProductBM!N:N,MATCH($P732,F_ProductBM!$Q:$Q,0))))</f>
        <v/>
      </c>
      <c r="O732" s="698"/>
      <c r="P732" s="1500" t="str">
        <f>EUconst_CNTR_WGExportEF &amp; I628</f>
        <v>WasteGasExEF_</v>
      </c>
      <c r="Q732" s="729"/>
      <c r="R732" s="729"/>
      <c r="S732" s="729"/>
      <c r="T732" s="770"/>
      <c r="U732" s="343"/>
      <c r="V732" s="343"/>
    </row>
    <row r="733" spans="1:22" s="364" customFormat="1" ht="5.15" customHeight="1" x14ac:dyDescent="0.25">
      <c r="A733" s="729"/>
      <c r="B733" s="302"/>
      <c r="C733" s="302"/>
      <c r="D733" s="1820"/>
      <c r="E733" s="643"/>
      <c r="F733" s="643"/>
      <c r="G733" s="625"/>
      <c r="H733" s="640"/>
      <c r="I733" s="640"/>
      <c r="J733" s="640"/>
      <c r="K733" s="640"/>
      <c r="L733" s="640"/>
      <c r="M733" s="640"/>
      <c r="N733" s="1831"/>
      <c r="O733" s="698"/>
      <c r="P733" s="770"/>
      <c r="Q733" s="729"/>
      <c r="R733" s="729"/>
      <c r="S733" s="729"/>
      <c r="T733" s="770"/>
      <c r="U733" s="343"/>
      <c r="V733" s="343"/>
    </row>
    <row r="734" spans="1:22" s="364" customFormat="1" ht="12.75" customHeight="1" x14ac:dyDescent="0.25">
      <c r="A734" s="729"/>
      <c r="B734" s="302"/>
      <c r="C734" s="302"/>
      <c r="D734" s="1820"/>
      <c r="E734" s="2820" t="str">
        <f>Translations!$B$485</f>
        <v>Съответно потребление на електроенергия</v>
      </c>
      <c r="F734" s="2258"/>
      <c r="G734" s="1319" t="str">
        <f>EUconst_MWhpa</f>
        <v>MWh / година</v>
      </c>
      <c r="H734" s="480" t="str">
        <f>IF($I628="","",IF(INDEX(F_ProductBM!H:H,MATCH($P734,F_ProductBM!$Q:$Q,0))="","",INDEX(F_ProductBM!H:H,MATCH($P734,F_ProductBM!$Q:$Q,0))))</f>
        <v/>
      </c>
      <c r="I734" s="1399" t="str">
        <f>IF($I628="","",IF(INDEX(F_ProductBM!I:I,MATCH($P734,F_ProductBM!$Q:$Q,0))="","",INDEX(F_ProductBM!I:I,MATCH($P734,F_ProductBM!$Q:$Q,0))))</f>
        <v/>
      </c>
      <c r="J734" s="1832" t="str">
        <f>IF($I628="","",IF(INDEX(F_ProductBM!J:J,MATCH($P734,F_ProductBM!$Q:$Q,0))="","",INDEX(F_ProductBM!J:J,MATCH($P734,F_ProductBM!$Q:$Q,0))))</f>
        <v/>
      </c>
      <c r="K734" s="480" t="str">
        <f>IF($I628="","",IF(INDEX(F_ProductBM!K:K,MATCH($P734,F_ProductBM!$Q:$Q,0))="","",INDEX(F_ProductBM!K:K,MATCH($P734,F_ProductBM!$Q:$Q,0))))</f>
        <v/>
      </c>
      <c r="L734" s="480" t="str">
        <f>IF($I628="","",IF(INDEX(F_ProductBM!L:L,MATCH($P734,F_ProductBM!$Q:$Q,0))="","",INDEX(F_ProductBM!L:L,MATCH($P734,F_ProductBM!$Q:$Q,0))))</f>
        <v/>
      </c>
      <c r="M734" s="480" t="str">
        <f>IF($I628="","",IF(INDEX(F_ProductBM!M:M,MATCH($P734,F_ProductBM!$Q:$Q,0))="","",INDEX(F_ProductBM!M:M,MATCH($P734,F_ProductBM!$Q:$Q,0))))</f>
        <v/>
      </c>
      <c r="N734" s="1833" t="str">
        <f>IF($I628="","",IF(INDEX(F_ProductBM!N:N,MATCH($P734,F_ProductBM!$Q:$Q,0))="","",INDEX(F_ProductBM!N:N,MATCH($P734,F_ProductBM!$Q:$Q,0))))</f>
        <v/>
      </c>
      <c r="O734" s="698"/>
      <c r="P734" s="1190" t="str">
        <f>EUconst_CNTR_HAL&amp;EUconst_CNTR_ELEXCH &amp; I628</f>
        <v>HAL_ELEXCH_</v>
      </c>
      <c r="Q734" s="729"/>
      <c r="R734" s="729"/>
      <c r="S734" s="729"/>
      <c r="T734" s="770"/>
      <c r="U734" s="343"/>
      <c r="V734" s="343"/>
    </row>
    <row r="735" spans="1:22" s="364" customFormat="1" ht="12.75" customHeight="1" x14ac:dyDescent="0.25">
      <c r="A735" s="729"/>
      <c r="B735" s="302"/>
      <c r="C735" s="302"/>
      <c r="D735" s="1820"/>
      <c r="E735" s="2820" t="str">
        <f>Translations!$B$595</f>
        <v>Произведена електроенергия</v>
      </c>
      <c r="F735" s="2258"/>
      <c r="G735" s="1319" t="str">
        <f>EUconst_MWhpa</f>
        <v>MWh / година</v>
      </c>
      <c r="H735" s="480" t="str">
        <f>IF($I628="","",IF(INDEX(F_ProductBM!H:H,MATCH($P735,F_ProductBM!$Q:$Q,0))="","",INDEX(F_ProductBM!H:H,MATCH($P735,F_ProductBM!$Q:$Q,0))))</f>
        <v/>
      </c>
      <c r="I735" s="1399" t="str">
        <f>IF($I628="","",IF(INDEX(F_ProductBM!I:I,MATCH($P735,F_ProductBM!$Q:$Q,0))="","",INDEX(F_ProductBM!I:I,MATCH($P735,F_ProductBM!$Q:$Q,0))))</f>
        <v/>
      </c>
      <c r="J735" s="1832" t="str">
        <f>IF($I628="","",IF(INDEX(F_ProductBM!J:J,MATCH($P735,F_ProductBM!$Q:$Q,0))="","",INDEX(F_ProductBM!J:J,MATCH($P735,F_ProductBM!$Q:$Q,0))))</f>
        <v/>
      </c>
      <c r="K735" s="480" t="str">
        <f>IF($I628="","",IF(INDEX(F_ProductBM!K:K,MATCH($P735,F_ProductBM!$Q:$Q,0))="","",INDEX(F_ProductBM!K:K,MATCH($P735,F_ProductBM!$Q:$Q,0))))</f>
        <v/>
      </c>
      <c r="L735" s="480" t="str">
        <f>IF($I628="","",IF(INDEX(F_ProductBM!L:L,MATCH($P735,F_ProductBM!$Q:$Q,0))="","",INDEX(F_ProductBM!L:L,MATCH($P735,F_ProductBM!$Q:$Q,0))))</f>
        <v/>
      </c>
      <c r="M735" s="480" t="str">
        <f>IF($I628="","",IF(INDEX(F_ProductBM!M:M,MATCH($P735,F_ProductBM!$Q:$Q,0))="","",INDEX(F_ProductBM!M:M,MATCH($P735,F_ProductBM!$Q:$Q,0))))</f>
        <v/>
      </c>
      <c r="N735" s="1833" t="str">
        <f>IF($I628="","",IF(INDEX(F_ProductBM!N:N,MATCH($P735,F_ProductBM!$Q:$Q,0))="","",INDEX(F_ProductBM!N:N,MATCH($P735,F_ProductBM!$Q:$Q,0))))</f>
        <v/>
      </c>
      <c r="O735" s="698"/>
      <c r="P735" s="1500" t="str">
        <f>EUconst_CNTR_ElectricityExported &amp; I628</f>
        <v>ElecEx_</v>
      </c>
      <c r="Q735" s="729"/>
      <c r="R735" s="729"/>
      <c r="S735" s="729"/>
      <c r="T735" s="770"/>
      <c r="U735" s="343"/>
      <c r="V735" s="343"/>
    </row>
    <row r="736" spans="1:22" s="364" customFormat="1" ht="5.15" customHeight="1" x14ac:dyDescent="0.25">
      <c r="A736" s="729"/>
      <c r="B736" s="302"/>
      <c r="C736" s="302"/>
      <c r="D736" s="1820"/>
      <c r="E736" s="643"/>
      <c r="F736" s="643"/>
      <c r="G736" s="625"/>
      <c r="H736" s="640"/>
      <c r="I736" s="640"/>
      <c r="J736" s="640"/>
      <c r="K736" s="640"/>
      <c r="L736" s="640"/>
      <c r="M736" s="640"/>
      <c r="N736" s="1831"/>
      <c r="O736" s="698"/>
      <c r="P736" s="770"/>
      <c r="Q736" s="729"/>
      <c r="R736" s="729"/>
      <c r="S736" s="729"/>
      <c r="T736" s="770"/>
      <c r="U736" s="343"/>
      <c r="V736" s="343"/>
    </row>
    <row r="737" spans="1:22" s="364" customFormat="1" x14ac:dyDescent="0.25">
      <c r="A737" s="729"/>
      <c r="B737" s="302"/>
      <c r="C737" s="302"/>
      <c r="D737" s="1820"/>
      <c r="E737" s="3059" t="str">
        <f>Translations!$B$957</f>
        <v>Междинно получаване:</v>
      </c>
      <c r="F737" s="2672"/>
      <c r="G737" s="625"/>
      <c r="H737" s="640"/>
      <c r="I737" s="640"/>
      <c r="J737" s="640"/>
      <c r="K737" s="640"/>
      <c r="L737" s="640"/>
      <c r="M737" s="640"/>
      <c r="N737" s="1831"/>
      <c r="O737" s="698"/>
      <c r="P737" s="770"/>
      <c r="Q737" s="729"/>
      <c r="R737" s="729"/>
      <c r="S737" s="729"/>
      <c r="T737" s="770"/>
      <c r="U737" s="343"/>
      <c r="V737" s="343"/>
    </row>
    <row r="738" spans="1:22" s="364" customFormat="1" x14ac:dyDescent="0.25">
      <c r="A738" s="729"/>
      <c r="B738" s="302"/>
      <c r="C738" s="302"/>
      <c r="D738" s="1820"/>
      <c r="E738" s="2814" t="str">
        <f>IF(I628="","",IF(INDEX(F_ProductBM!E:E,MATCH($P738,F_ProductBM!$Q:$Q,0))="","",INDEX(F_ProductBM!E:E,MATCH($P738,F_ProductBM!$Q:$Q,0))))</f>
        <v/>
      </c>
      <c r="F738" s="2258"/>
      <c r="G738" s="1319" t="str">
        <f>EUconst_Tons</f>
        <v>тона</v>
      </c>
      <c r="H738" s="480" t="str">
        <f>IF($I628="","",IF(INDEX(F_ProductBM!H:H,MATCH($P738,F_ProductBM!$Q:$Q,0))="","",INDEX(F_ProductBM!H:H,MATCH($P738,F_ProductBM!$Q:$Q,0))))</f>
        <v/>
      </c>
      <c r="I738" s="1399" t="str">
        <f>IF($I628="","",IF(INDEX(F_ProductBM!I:I,MATCH($P738,F_ProductBM!$Q:$Q,0))="","",INDEX(F_ProductBM!I:I,MATCH($P738,F_ProductBM!$Q:$Q,0))))</f>
        <v/>
      </c>
      <c r="J738" s="1832" t="str">
        <f>IF($I628="","",IF(INDEX(F_ProductBM!J:J,MATCH($P738,F_ProductBM!$Q:$Q,0))="","",INDEX(F_ProductBM!J:J,MATCH($P738,F_ProductBM!$Q:$Q,0))))</f>
        <v/>
      </c>
      <c r="K738" s="480" t="str">
        <f>IF($I628="","",IF(INDEX(F_ProductBM!K:K,MATCH($P738,F_ProductBM!$Q:$Q,0))="","",INDEX(F_ProductBM!K:K,MATCH($P738,F_ProductBM!$Q:$Q,0))))</f>
        <v/>
      </c>
      <c r="L738" s="480" t="str">
        <f>IF($I628="","",IF(INDEX(F_ProductBM!L:L,MATCH($P738,F_ProductBM!$Q:$Q,0))="","",INDEX(F_ProductBM!L:L,MATCH($P738,F_ProductBM!$Q:$Q,0))))</f>
        <v/>
      </c>
      <c r="M738" s="480" t="str">
        <f>IF($I628="","",IF(INDEX(F_ProductBM!M:M,MATCH($P738,F_ProductBM!$Q:$Q,0))="","",INDEX(F_ProductBM!M:M,MATCH($P738,F_ProductBM!$Q:$Q,0))))</f>
        <v/>
      </c>
      <c r="N738" s="1833" t="str">
        <f>IF($I628="","",IF(INDEX(F_ProductBM!N:N,MATCH($P738,F_ProductBM!$Q:$Q,0))="","",INDEX(F_ProductBM!N:N,MATCH($P738,F_ProductBM!$Q:$Q,0))))</f>
        <v/>
      </c>
      <c r="O738" s="698"/>
      <c r="P738" s="1500" t="str">
        <f>EUconst_CNTR_IntermediateImport &amp; R738 &amp; "_" &amp; I628</f>
        <v>IntImp_1_</v>
      </c>
      <c r="Q738" s="729"/>
      <c r="R738" s="1176">
        <v>1</v>
      </c>
      <c r="S738" s="729"/>
      <c r="T738" s="770"/>
      <c r="U738" s="343"/>
      <c r="V738" s="343"/>
    </row>
    <row r="739" spans="1:22" s="364" customFormat="1" x14ac:dyDescent="0.25">
      <c r="A739" s="729"/>
      <c r="B739" s="302"/>
      <c r="C739" s="302"/>
      <c r="D739" s="1820"/>
      <c r="E739" s="2814" t="str">
        <f>IF(I628="","",IF(INDEX(F_ProductBM!E:E,MATCH($P739,F_ProductBM!$Q:$Q,0))="","",INDEX(F_ProductBM!E:E,MATCH($P739,F_ProductBM!$Q:$Q,0))))</f>
        <v/>
      </c>
      <c r="F739" s="2258"/>
      <c r="G739" s="1319" t="str">
        <f>EUconst_Tons</f>
        <v>тона</v>
      </c>
      <c r="H739" s="480" t="str">
        <f>IF($I628="","",IF(INDEX(F_ProductBM!H:H,MATCH($P739,F_ProductBM!$Q:$Q,0))="","",INDEX(F_ProductBM!H:H,MATCH($P739,F_ProductBM!$Q:$Q,0))))</f>
        <v/>
      </c>
      <c r="I739" s="1399" t="str">
        <f>IF($I628="","",IF(INDEX(F_ProductBM!I:I,MATCH($P739,F_ProductBM!$Q:$Q,0))="","",INDEX(F_ProductBM!I:I,MATCH($P739,F_ProductBM!$Q:$Q,0))))</f>
        <v/>
      </c>
      <c r="J739" s="1832" t="str">
        <f>IF($I628="","",IF(INDEX(F_ProductBM!J:J,MATCH($P739,F_ProductBM!$Q:$Q,0))="","",INDEX(F_ProductBM!J:J,MATCH($P739,F_ProductBM!$Q:$Q,0))))</f>
        <v/>
      </c>
      <c r="K739" s="480" t="str">
        <f>IF($I628="","",IF(INDEX(F_ProductBM!K:K,MATCH($P739,F_ProductBM!$Q:$Q,0))="","",INDEX(F_ProductBM!K:K,MATCH($P739,F_ProductBM!$Q:$Q,0))))</f>
        <v/>
      </c>
      <c r="L739" s="480" t="str">
        <f>IF($I628="","",IF(INDEX(F_ProductBM!L:L,MATCH($P739,F_ProductBM!$Q:$Q,0))="","",INDEX(F_ProductBM!L:L,MATCH($P739,F_ProductBM!$Q:$Q,0))))</f>
        <v/>
      </c>
      <c r="M739" s="480" t="str">
        <f>IF($I628="","",IF(INDEX(F_ProductBM!M:M,MATCH($P739,F_ProductBM!$Q:$Q,0))="","",INDEX(F_ProductBM!M:M,MATCH($P739,F_ProductBM!$Q:$Q,0))))</f>
        <v/>
      </c>
      <c r="N739" s="1833" t="str">
        <f>IF($I628="","",IF(INDEX(F_ProductBM!N:N,MATCH($P739,F_ProductBM!$Q:$Q,0))="","",INDEX(F_ProductBM!N:N,MATCH($P739,F_ProductBM!$Q:$Q,0))))</f>
        <v/>
      </c>
      <c r="O739" s="698"/>
      <c r="P739" s="1500" t="str">
        <f>EUconst_CNTR_IntermediateImport &amp; R739 &amp; "_" &amp; I628</f>
        <v>IntImp_2_</v>
      </c>
      <c r="Q739" s="729"/>
      <c r="R739" s="1176">
        <v>2</v>
      </c>
      <c r="S739" s="729"/>
      <c r="T739" s="770"/>
      <c r="U739" s="343"/>
      <c r="V739" s="343"/>
    </row>
    <row r="740" spans="1:22" s="364" customFormat="1" x14ac:dyDescent="0.25">
      <c r="A740" s="729"/>
      <c r="B740" s="302"/>
      <c r="C740" s="302"/>
      <c r="D740" s="1820"/>
      <c r="E740" s="2820" t="str">
        <f>Translations!$B$958</f>
        <v>Междинно подаване:</v>
      </c>
      <c r="F740" s="2258"/>
      <c r="G740" s="625"/>
      <c r="H740" s="640"/>
      <c r="I740" s="640"/>
      <c r="J740" s="640"/>
      <c r="K740" s="640"/>
      <c r="L740" s="640"/>
      <c r="M740" s="640"/>
      <c r="N740" s="1831"/>
      <c r="O740" s="698"/>
      <c r="P740" s="770"/>
      <c r="Q740" s="729"/>
      <c r="R740" s="729"/>
      <c r="S740" s="729"/>
      <c r="T740" s="770"/>
      <c r="U740" s="343"/>
      <c r="V740" s="343"/>
    </row>
    <row r="741" spans="1:22" s="364" customFormat="1" x14ac:dyDescent="0.25">
      <c r="A741" s="729"/>
      <c r="B741" s="302"/>
      <c r="C741" s="302"/>
      <c r="D741" s="1820"/>
      <c r="E741" s="2814" t="str">
        <f>IF(I628="","",IF(INDEX(F_ProductBM!E:E,MATCH($P741,F_ProductBM!$Q:$Q,0))="","",INDEX(F_ProductBM!E:E,MATCH($P741,F_ProductBM!$Q:$Q,0))))</f>
        <v/>
      </c>
      <c r="F741" s="2258"/>
      <c r="G741" s="1319" t="str">
        <f>EUconst_Tons</f>
        <v>тона</v>
      </c>
      <c r="H741" s="480" t="str">
        <f>IF($I628="","",IF(INDEX(F_ProductBM!H:H,MATCH($P741,F_ProductBM!$Q:$Q,0))="","",INDEX(F_ProductBM!H:H,MATCH($P741,F_ProductBM!$Q:$Q,0))))</f>
        <v/>
      </c>
      <c r="I741" s="1399" t="str">
        <f>IF($I628="","",IF(INDEX(F_ProductBM!I:I,MATCH($P741,F_ProductBM!$Q:$Q,0))="","",INDEX(F_ProductBM!I:I,MATCH($P741,F_ProductBM!$Q:$Q,0))))</f>
        <v/>
      </c>
      <c r="J741" s="1832" t="str">
        <f>IF($I628="","",IF(INDEX(F_ProductBM!J:J,MATCH($P741,F_ProductBM!$Q:$Q,0))="","",INDEX(F_ProductBM!J:J,MATCH($P741,F_ProductBM!$Q:$Q,0))))</f>
        <v/>
      </c>
      <c r="K741" s="480" t="str">
        <f>IF($I628="","",IF(INDEX(F_ProductBM!K:K,MATCH($P741,F_ProductBM!$Q:$Q,0))="","",INDEX(F_ProductBM!K:K,MATCH($P741,F_ProductBM!$Q:$Q,0))))</f>
        <v/>
      </c>
      <c r="L741" s="480" t="str">
        <f>IF($I628="","",IF(INDEX(F_ProductBM!L:L,MATCH($P741,F_ProductBM!$Q:$Q,0))="","",INDEX(F_ProductBM!L:L,MATCH($P741,F_ProductBM!$Q:$Q,0))))</f>
        <v/>
      </c>
      <c r="M741" s="480" t="str">
        <f>IF($I628="","",IF(INDEX(F_ProductBM!M:M,MATCH($P741,F_ProductBM!$Q:$Q,0))="","",INDEX(F_ProductBM!M:M,MATCH($P741,F_ProductBM!$Q:$Q,0))))</f>
        <v/>
      </c>
      <c r="N741" s="1833" t="str">
        <f>IF($I628="","",IF(INDEX(F_ProductBM!N:N,MATCH($P741,F_ProductBM!$Q:$Q,0))="","",INDEX(F_ProductBM!N:N,MATCH($P741,F_ProductBM!$Q:$Q,0))))</f>
        <v/>
      </c>
      <c r="O741" s="698"/>
      <c r="P741" s="1500" t="str">
        <f>EUconst_CNTR_IntermediateExport &amp; R738 &amp; "_" &amp; I628</f>
        <v>IntExp_1_</v>
      </c>
      <c r="Q741" s="729"/>
      <c r="R741" s="1176">
        <v>1</v>
      </c>
      <c r="S741" s="729"/>
      <c r="T741" s="770"/>
      <c r="U741" s="343"/>
      <c r="V741" s="343"/>
    </row>
    <row r="742" spans="1:22" s="364" customFormat="1" x14ac:dyDescent="0.25">
      <c r="A742" s="729"/>
      <c r="B742" s="302"/>
      <c r="C742" s="302"/>
      <c r="D742" s="1820"/>
      <c r="E742" s="2814" t="str">
        <f>IF(I628="","",IF(INDEX(F_ProductBM!E:E,MATCH($P742,F_ProductBM!$Q:$Q,0))="","",INDEX(F_ProductBM!E:E,MATCH($P742,F_ProductBM!$Q:$Q,0))))</f>
        <v/>
      </c>
      <c r="F742" s="2258"/>
      <c r="G742" s="1319" t="str">
        <f>EUconst_Tons</f>
        <v>тона</v>
      </c>
      <c r="H742" s="480" t="str">
        <f>IF($I628="","",IF(INDEX(F_ProductBM!H:H,MATCH($P742,F_ProductBM!$Q:$Q,0))="","",INDEX(F_ProductBM!H:H,MATCH($P742,F_ProductBM!$Q:$Q,0))))</f>
        <v/>
      </c>
      <c r="I742" s="1399" t="str">
        <f>IF($I628="","",IF(INDEX(F_ProductBM!I:I,MATCH($P742,F_ProductBM!$Q:$Q,0))="","",INDEX(F_ProductBM!I:I,MATCH($P742,F_ProductBM!$Q:$Q,0))))</f>
        <v/>
      </c>
      <c r="J742" s="1832" t="str">
        <f>IF($I628="","",IF(INDEX(F_ProductBM!J:J,MATCH($P742,F_ProductBM!$Q:$Q,0))="","",INDEX(F_ProductBM!J:J,MATCH($P742,F_ProductBM!$Q:$Q,0))))</f>
        <v/>
      </c>
      <c r="K742" s="480" t="str">
        <f>IF($I628="","",IF(INDEX(F_ProductBM!K:K,MATCH($P742,F_ProductBM!$Q:$Q,0))="","",INDEX(F_ProductBM!K:K,MATCH($P742,F_ProductBM!$Q:$Q,0))))</f>
        <v/>
      </c>
      <c r="L742" s="480" t="str">
        <f>IF($I628="","",IF(INDEX(F_ProductBM!L:L,MATCH($P742,F_ProductBM!$Q:$Q,0))="","",INDEX(F_ProductBM!L:L,MATCH($P742,F_ProductBM!$Q:$Q,0))))</f>
        <v/>
      </c>
      <c r="M742" s="480" t="str">
        <f>IF($I628="","",IF(INDEX(F_ProductBM!M:M,MATCH($P742,F_ProductBM!$Q:$Q,0))="","",INDEX(F_ProductBM!M:M,MATCH($P742,F_ProductBM!$Q:$Q,0))))</f>
        <v/>
      </c>
      <c r="N742" s="1833" t="str">
        <f>IF($I628="","",IF(INDEX(F_ProductBM!N:N,MATCH($P742,F_ProductBM!$Q:$Q,0))="","",INDEX(F_ProductBM!N:N,MATCH($P742,F_ProductBM!$Q:$Q,0))))</f>
        <v/>
      </c>
      <c r="O742" s="698"/>
      <c r="P742" s="1500" t="str">
        <f>EUconst_CNTR_IntermediateExport &amp; R742 &amp; "_" &amp; I628</f>
        <v>IntExp_2_</v>
      </c>
      <c r="Q742" s="729"/>
      <c r="R742" s="1176">
        <v>2</v>
      </c>
      <c r="S742" s="729"/>
      <c r="T742" s="770"/>
      <c r="U742" s="343"/>
      <c r="V742" s="343"/>
    </row>
    <row r="743" spans="1:22" s="364" customFormat="1" ht="5.15" customHeight="1" x14ac:dyDescent="0.25">
      <c r="A743" s="729"/>
      <c r="B743" s="302"/>
      <c r="C743" s="302"/>
      <c r="D743" s="1820"/>
      <c r="E743" s="625"/>
      <c r="F743" s="625"/>
      <c r="G743" s="625"/>
      <c r="H743" s="625"/>
      <c r="I743" s="644"/>
      <c r="J743" s="644"/>
      <c r="K743" s="644"/>
      <c r="L743" s="644"/>
      <c r="M743" s="644"/>
      <c r="N743" s="1316"/>
      <c r="O743" s="698"/>
      <c r="P743" s="770"/>
      <c r="Q743" s="729"/>
      <c r="R743" s="1165"/>
      <c r="S743" s="729"/>
      <c r="T743" s="770"/>
      <c r="U743" s="343"/>
      <c r="V743" s="343"/>
    </row>
    <row r="744" spans="1:22" s="364" customFormat="1" ht="13" x14ac:dyDescent="0.25">
      <c r="A744" s="729"/>
      <c r="B744" s="302"/>
      <c r="C744" s="302"/>
      <c r="D744" s="1820"/>
      <c r="E744" s="3060" t="str">
        <f>Translations!$B$1585</f>
        <v>Корекции за актуализиране на показателя при специфичен показател, когато е приложимо</v>
      </c>
      <c r="F744" s="3060"/>
      <c r="G744" s="3060"/>
      <c r="H744" s="3060"/>
      <c r="I744" s="3060"/>
      <c r="J744" s="3060"/>
      <c r="K744" s="3060"/>
      <c r="L744" s="3060"/>
      <c r="M744" s="3060"/>
      <c r="N744" s="1316"/>
      <c r="O744" s="698"/>
      <c r="P744" s="770"/>
      <c r="Q744" s="729"/>
      <c r="R744" s="1165"/>
      <c r="S744" s="729"/>
      <c r="T744" s="770"/>
      <c r="U744" s="343"/>
      <c r="V744" s="343"/>
    </row>
    <row r="745" spans="1:22" s="364" customFormat="1" x14ac:dyDescent="0.25">
      <c r="A745" s="729"/>
      <c r="B745" s="302"/>
      <c r="C745" s="302"/>
      <c r="D745" s="1820"/>
      <c r="E745" s="641" t="str">
        <f>Translations!$B$596</f>
        <v>Общо количество произведен пулп</v>
      </c>
      <c r="F745" s="1835"/>
      <c r="G745" s="642" t="str">
        <f>EUconst_Tons</f>
        <v>тона</v>
      </c>
      <c r="H745" s="499" t="str">
        <f>IF($I628="","",IF(INDEX(F_ProductBM!H:H,MATCH($P745,F_ProductBM!$Q:$Q,0))="","",INDEX(F_ProductBM!H:H,MATCH($P745,F_ProductBM!$Q:$Q,0))))</f>
        <v/>
      </c>
      <c r="I745" s="1399" t="str">
        <f>IF($I628="","",IF(INDEX(F_ProductBM!I:I,MATCH($P745,F_ProductBM!$Q:$Q,0))="","",INDEX(F_ProductBM!I:I,MATCH($P745,F_ProductBM!$Q:$Q,0))))</f>
        <v/>
      </c>
      <c r="J745" s="1832" t="str">
        <f>IF($I628="","",IF(INDEX(F_ProductBM!J:J,MATCH($P745,F_ProductBM!$Q:$Q,0))="","",INDEX(F_ProductBM!J:J,MATCH($P745,F_ProductBM!$Q:$Q,0))))</f>
        <v/>
      </c>
      <c r="K745" s="499" t="str">
        <f>IF($I628="","",IF(INDEX(F_ProductBM!K:K,MATCH($P745,F_ProductBM!$Q:$Q,0))="","",INDEX(F_ProductBM!K:K,MATCH($P745,F_ProductBM!$Q:$Q,0))))</f>
        <v/>
      </c>
      <c r="L745" s="499" t="str">
        <f>IF($I628="","",IF(INDEX(F_ProductBM!L:L,MATCH($P745,F_ProductBM!$Q:$Q,0))="","",INDEX(F_ProductBM!L:L,MATCH($P745,F_ProductBM!$Q:$Q,0))))</f>
        <v/>
      </c>
      <c r="M745" s="499" t="str">
        <f>IF($I628="","",IF(INDEX(F_ProductBM!M:M,MATCH($P745,F_ProductBM!$Q:$Q,0))="","",INDEX(F_ProductBM!M:M,MATCH($P745,F_ProductBM!$Q:$Q,0))))</f>
        <v/>
      </c>
      <c r="N745" s="1836" t="str">
        <f>IF($I628="","",IF(INDEX(F_ProductBM!N:N,MATCH($P745,F_ProductBM!$Q:$Q,0))="","",INDEX(F_ProductBM!N:N,MATCH($P745,F_ProductBM!$Q:$Q,0))))</f>
        <v/>
      </c>
      <c r="O745" s="698"/>
      <c r="P745" s="1500" t="str">
        <f>EUconst_CNTR_HALPulpTotal &amp;  I628</f>
        <v>HALPulpTotal_</v>
      </c>
      <c r="Q745" s="729"/>
      <c r="R745" s="729"/>
      <c r="S745" s="729"/>
      <c r="T745" s="770"/>
      <c r="U745" s="343"/>
      <c r="V745" s="343"/>
    </row>
    <row r="746" spans="1:22" s="364" customFormat="1" ht="5.15" customHeight="1" x14ac:dyDescent="0.25">
      <c r="A746" s="729"/>
      <c r="B746" s="302"/>
      <c r="C746" s="302"/>
      <c r="D746" s="1820"/>
      <c r="E746" s="625"/>
      <c r="F746" s="625"/>
      <c r="G746" s="625"/>
      <c r="H746" s="644"/>
      <c r="I746" s="644"/>
      <c r="J746" s="644"/>
      <c r="K746" s="644"/>
      <c r="L746" s="644"/>
      <c r="M746" s="644"/>
      <c r="N746" s="1837"/>
      <c r="O746" s="698"/>
      <c r="P746" s="770"/>
      <c r="Q746" s="729"/>
      <c r="R746" s="729"/>
      <c r="S746" s="729"/>
      <c r="T746" s="770"/>
      <c r="U746" s="343"/>
      <c r="V746" s="343"/>
    </row>
    <row r="747" spans="1:22" s="364" customFormat="1" ht="12.75" customHeight="1" x14ac:dyDescent="0.25">
      <c r="A747" s="729"/>
      <c r="B747" s="302"/>
      <c r="C747" s="302"/>
      <c r="D747" s="1820"/>
      <c r="E747" s="641" t="str">
        <f>Translations!$B$1586</f>
        <v>Производство на водород (действително + теоретично)</v>
      </c>
      <c r="F747" s="1835"/>
      <c r="G747" s="642" t="str">
        <f>EUconst_Tons</f>
        <v>тона</v>
      </c>
      <c r="H747" s="499" t="str">
        <f>IF($L631=$R747,SUMIFS(H_SpecialBM!H:H,H_SpecialBM!$Q:$Q,$P747),"")</f>
        <v/>
      </c>
      <c r="I747" s="1399" t="str">
        <f>IF($L631=$R747,SUMIFS(H_SpecialBM!I:I,H_SpecialBM!$Q:$Q,$P747),"")</f>
        <v/>
      </c>
      <c r="J747" s="1832" t="str">
        <f>IF($L631=$R747,SUMIFS(H_SpecialBM!J:J,H_SpecialBM!$Q:$Q,$P747),"")</f>
        <v/>
      </c>
      <c r="K747" s="499" t="str">
        <f>IF($L631=$R747,SUMIFS(H_SpecialBM!K:K,H_SpecialBM!$Q:$Q,$P747),"")</f>
        <v/>
      </c>
      <c r="L747" s="499" t="str">
        <f>IF($L631=$R747,SUMIFS(H_SpecialBM!L:L,H_SpecialBM!$Q:$Q,$P747),"")</f>
        <v/>
      </c>
      <c r="M747" s="499" t="str">
        <f>IF($L631=$R747,SUMIFS(H_SpecialBM!M:M,H_SpecialBM!$Q:$Q,$P747),"")</f>
        <v/>
      </c>
      <c r="N747" s="1836" t="str">
        <f>IF($L631=$R747,SUMIFS(H_SpecialBM!N:N,H_SpecialBM!$Q:$Q,$P747),"")</f>
        <v/>
      </c>
      <c r="O747" s="698"/>
      <c r="P747" s="1190" t="str">
        <f>EUconst_CNTR_H2ActualPlusTheoretical</f>
        <v>H2Total_</v>
      </c>
      <c r="Q747" s="729"/>
      <c r="R747" s="1176">
        <v>50</v>
      </c>
      <c r="S747" s="729"/>
      <c r="T747" s="770"/>
      <c r="U747" s="343"/>
      <c r="V747" s="343"/>
    </row>
    <row r="748" spans="1:22" s="364" customFormat="1" x14ac:dyDescent="0.25">
      <c r="A748" s="729"/>
      <c r="B748" s="302"/>
      <c r="C748" s="302"/>
      <c r="D748" s="1820"/>
      <c r="E748" s="641" t="str">
        <f>Translations!$B$1587</f>
        <v>Емисии във връзка с водород</v>
      </c>
      <c r="F748" s="1835"/>
      <c r="G748" s="642" t="str">
        <f>EUconst_tCO2pa</f>
        <v>t CO2 / година</v>
      </c>
      <c r="H748" s="499" t="str">
        <f>IF($L631=$R748,SUMIFS(H_SpecialBM!H:H,H_SpecialBM!$Q:$Q,$P748),"")</f>
        <v/>
      </c>
      <c r="I748" s="1399" t="str">
        <f>IF($L631=$R748,SUMIFS(H_SpecialBM!I:I,H_SpecialBM!$Q:$Q,$P748),"")</f>
        <v/>
      </c>
      <c r="J748" s="1832" t="str">
        <f>IF($L631=$R748,SUMIFS(H_SpecialBM!J:J,H_SpecialBM!$Q:$Q,$P748),"")</f>
        <v/>
      </c>
      <c r="K748" s="499" t="str">
        <f>IF($L631=$R748,SUMIFS(H_SpecialBM!K:K,H_SpecialBM!$Q:$Q,$P748),"")</f>
        <v/>
      </c>
      <c r="L748" s="499" t="str">
        <f>IF($L631=$R748,SUMIFS(H_SpecialBM!L:L,H_SpecialBM!$Q:$Q,$P748),"")</f>
        <v/>
      </c>
      <c r="M748" s="499" t="str">
        <f>IF($L631=$R748,SUMIFS(H_SpecialBM!M:M,H_SpecialBM!$Q:$Q,$P748),"")</f>
        <v/>
      </c>
      <c r="N748" s="1836" t="str">
        <f>IF($L631=$R748,SUMIFS(H_SpecialBM!N:N,H_SpecialBM!$Q:$Q,$P748),"")</f>
        <v/>
      </c>
      <c r="O748" s="698"/>
      <c r="P748" s="1190" t="str">
        <f>EUconst_CNTR_H2AdditionalEmissions</f>
        <v>H2AddEm_</v>
      </c>
      <c r="Q748" s="729"/>
      <c r="R748" s="1176">
        <v>50</v>
      </c>
      <c r="S748" s="729"/>
      <c r="T748" s="770"/>
      <c r="U748" s="343"/>
      <c r="V748" s="343"/>
    </row>
    <row r="749" spans="1:22" s="364" customFormat="1" ht="5.15" customHeight="1" x14ac:dyDescent="0.25">
      <c r="A749" s="729"/>
      <c r="B749" s="302"/>
      <c r="C749" s="302"/>
      <c r="D749" s="1820"/>
      <c r="E749" s="625"/>
      <c r="F749" s="625"/>
      <c r="G749" s="625"/>
      <c r="H749" s="644"/>
      <c r="I749" s="644"/>
      <c r="J749" s="644"/>
      <c r="K749" s="644"/>
      <c r="L749" s="644"/>
      <c r="M749" s="644"/>
      <c r="N749" s="1837"/>
      <c r="O749" s="698"/>
      <c r="P749" s="729"/>
      <c r="Q749" s="729"/>
      <c r="R749" s="729"/>
      <c r="S749" s="729"/>
      <c r="T749" s="770"/>
      <c r="U749" s="343"/>
      <c r="V749" s="343"/>
    </row>
    <row r="750" spans="1:22" s="364" customFormat="1" x14ac:dyDescent="0.25">
      <c r="A750" s="729"/>
      <c r="B750" s="302"/>
      <c r="C750" s="302"/>
      <c r="D750" s="1820"/>
      <c r="E750" s="641" t="str">
        <f>Translations!$B$1588</f>
        <v>Корекция на емисиите във връзка с HVC</v>
      </c>
      <c r="F750" s="1835"/>
      <c r="G750" s="642" t="str">
        <f>EUconst_tCO2pa</f>
        <v>t CO2 / година</v>
      </c>
      <c r="H750" s="499" t="str">
        <f>IF($L631=$R750,-SUMIFS(H_SpecialBM!H:H,H_SpecialBM!$Q:$Q,$P750),"")</f>
        <v/>
      </c>
      <c r="I750" s="1399" t="str">
        <f>IF($L631=$R750,-SUMIFS(H_SpecialBM!I:I,H_SpecialBM!$Q:$Q,$P750),"")</f>
        <v/>
      </c>
      <c r="J750" s="1832" t="str">
        <f>IF($L631=$R750,-SUMIFS(H_SpecialBM!J:J,H_SpecialBM!$Q:$Q,$P750),"")</f>
        <v/>
      </c>
      <c r="K750" s="499" t="str">
        <f>IF($L631=$R750,-SUMIFS(H_SpecialBM!K:K,H_SpecialBM!$Q:$Q,$P750),"")</f>
        <v/>
      </c>
      <c r="L750" s="499" t="str">
        <f>IF($L631=$R750,-SUMIFS(H_SpecialBM!L:L,H_SpecialBM!$Q:$Q,$P750),"")</f>
        <v/>
      </c>
      <c r="M750" s="499" t="str">
        <f>IF($L631=$R750,-SUMIFS(H_SpecialBM!M:M,H_SpecialBM!$Q:$Q,$P750),"")</f>
        <v/>
      </c>
      <c r="N750" s="1836" t="str">
        <f>IF($L631=$R750,-SUMIFS(H_SpecialBM!N:N,H_SpecialBM!$Q:$Q,$P750),"")</f>
        <v/>
      </c>
      <c r="O750" s="698"/>
      <c r="P750" s="1500" t="str">
        <f>EUconst_CNTR_HVC</f>
        <v>HVC_</v>
      </c>
      <c r="Q750" s="729"/>
      <c r="R750" s="1176">
        <v>42</v>
      </c>
      <c r="S750" s="729"/>
      <c r="T750" s="770"/>
      <c r="U750" s="343"/>
      <c r="V750" s="343"/>
    </row>
    <row r="751" spans="1:22" s="364" customFormat="1" ht="5.15" customHeight="1" x14ac:dyDescent="0.25">
      <c r="A751" s="729"/>
      <c r="B751" s="302"/>
      <c r="C751" s="302"/>
      <c r="D751" s="1820"/>
      <c r="E751" s="625"/>
      <c r="F751" s="625"/>
      <c r="G751" s="625"/>
      <c r="H751" s="644"/>
      <c r="I751" s="644"/>
      <c r="J751" s="644"/>
      <c r="K751" s="644"/>
      <c r="L751" s="644"/>
      <c r="M751" s="644"/>
      <c r="N751" s="1837"/>
      <c r="O751" s="698"/>
      <c r="P751" s="770"/>
      <c r="Q751" s="729"/>
      <c r="R751" s="729"/>
      <c r="S751" s="729"/>
      <c r="T751" s="770"/>
      <c r="U751" s="343"/>
      <c r="V751" s="343"/>
    </row>
    <row r="752" spans="1:22" s="364" customFormat="1" ht="12.75" customHeight="1" x14ac:dyDescent="0.25">
      <c r="A752" s="729"/>
      <c r="B752" s="302"/>
      <c r="C752" s="302"/>
      <c r="D752" s="1820"/>
      <c r="E752" s="641" t="str">
        <f>Translations!$B$1589</f>
        <v>Корекция на емисиите във връзка с VCM</v>
      </c>
      <c r="F752" s="1835"/>
      <c r="G752" s="642" t="str">
        <f>EUconst_tCO2pa</f>
        <v>t CO2 / година</v>
      </c>
      <c r="H752" s="499" t="str">
        <f>IF($L631=$R752,INDEX(H_SpecialBM!H:H,MATCH($P752,H_SpecialBM!$Q:$Q,0)-2),"")</f>
        <v/>
      </c>
      <c r="I752" s="1399" t="str">
        <f>IF($L631=$R752,INDEX(H_SpecialBM!I:I,MATCH($P752,H_SpecialBM!$Q:$Q,0)-2),"")</f>
        <v/>
      </c>
      <c r="J752" s="1832" t="str">
        <f>IF($L631=$R752,INDEX(H_SpecialBM!J:J,MATCH($P752,H_SpecialBM!$Q:$Q,0)-2),"")</f>
        <v/>
      </c>
      <c r="K752" s="499" t="str">
        <f>IF($L631=$R752,INDEX(H_SpecialBM!K:K,MATCH($P752,H_SpecialBM!$Q:$Q,0)-2),"")</f>
        <v/>
      </c>
      <c r="L752" s="499" t="str">
        <f>IF($L631=$R752,INDEX(H_SpecialBM!L:L,MATCH($P752,H_SpecialBM!$Q:$Q,0)-2),"")</f>
        <v/>
      </c>
      <c r="M752" s="499" t="str">
        <f>IF($L631=$R752,INDEX(H_SpecialBM!M:M,MATCH($P752,H_SpecialBM!$Q:$Q,0)-2),"")</f>
        <v/>
      </c>
      <c r="N752" s="1836" t="str">
        <f>IF($L631=$R752,INDEX(H_SpecialBM!N:N,MATCH($P752,H_SpecialBM!$Q:$Q,0)-2),"")</f>
        <v/>
      </c>
      <c r="O752" s="698"/>
      <c r="P752" s="1190" t="str">
        <f>EUconst_CNTR_VCM</f>
        <v>VCM_</v>
      </c>
      <c r="Q752" s="729"/>
      <c r="R752" s="1176">
        <v>47</v>
      </c>
      <c r="S752" s="729"/>
      <c r="T752" s="770"/>
      <c r="U752" s="343"/>
      <c r="V752" s="343"/>
    </row>
    <row r="753" spans="1:22" s="364" customFormat="1" ht="12.75" customHeight="1" thickBot="1" x14ac:dyDescent="0.3">
      <c r="A753" s="729"/>
      <c r="B753" s="302"/>
      <c r="C753" s="302"/>
      <c r="D753" s="1838"/>
      <c r="E753" s="1839"/>
      <c r="F753" s="1839"/>
      <c r="G753" s="1839"/>
      <c r="H753" s="1839"/>
      <c r="I753" s="1840"/>
      <c r="J753" s="1840"/>
      <c r="K753" s="1840"/>
      <c r="L753" s="1840"/>
      <c r="M753" s="1840"/>
      <c r="N753" s="1379"/>
      <c r="O753" s="698"/>
      <c r="P753" s="729"/>
      <c r="Q753" s="729"/>
      <c r="R753" s="1165"/>
      <c r="S753" s="729"/>
      <c r="T753" s="770"/>
      <c r="U753" s="343"/>
      <c r="V753" s="343"/>
    </row>
    <row r="754" spans="1:22" s="364" customFormat="1" ht="12.75" customHeight="1" thickBot="1" x14ac:dyDescent="0.3">
      <c r="A754" s="729"/>
      <c r="B754" s="302"/>
      <c r="C754" s="302"/>
      <c r="D754" s="302"/>
      <c r="E754" s="646"/>
      <c r="O754" s="698"/>
      <c r="P754" s="729"/>
      <c r="Q754" s="729"/>
      <c r="R754" s="729"/>
      <c r="S754" s="729"/>
      <c r="T754" s="729"/>
      <c r="U754" s="343"/>
      <c r="V754" s="343"/>
    </row>
    <row r="755" spans="1:22" s="364" customFormat="1" ht="5.15" customHeight="1" thickBot="1" x14ac:dyDescent="0.3">
      <c r="A755" s="729"/>
      <c r="B755" s="284"/>
      <c r="C755" s="581"/>
      <c r="D755" s="581"/>
      <c r="E755" s="581"/>
      <c r="F755" s="581"/>
      <c r="G755" s="581"/>
      <c r="H755" s="581"/>
      <c r="I755" s="581"/>
      <c r="J755" s="581"/>
      <c r="K755" s="581"/>
      <c r="L755" s="581"/>
      <c r="M755" s="581"/>
      <c r="N755" s="581"/>
      <c r="O755" s="698"/>
      <c r="P755" s="729"/>
      <c r="Q755" s="729"/>
      <c r="R755" s="729"/>
      <c r="S755" s="729"/>
      <c r="T755" s="729"/>
      <c r="U755" s="343"/>
      <c r="V755" s="343"/>
    </row>
    <row r="756" spans="1:22" s="364" customFormat="1" ht="15" customHeight="1" thickBot="1" x14ac:dyDescent="0.35">
      <c r="A756" s="729"/>
      <c r="B756" s="302"/>
      <c r="C756" s="357">
        <f>C628+1</f>
        <v>3</v>
      </c>
      <c r="D756" s="2323" t="str">
        <f>CONCATENATE(EUconst_BMSubinst," ",C756, ":")</f>
        <v>Подинсталация с продуктов показател 3:</v>
      </c>
      <c r="E756" s="2323"/>
      <c r="F756" s="2323"/>
      <c r="G756" s="2323"/>
      <c r="H756" s="2987"/>
      <c r="I756" s="2843" t="str">
        <f>IF(INDEX(CNTR_SubInstListIsProdBM,$C756),INDEX(CNTR_SubInstListNames,$C756),"")</f>
        <v/>
      </c>
      <c r="J756" s="3019"/>
      <c r="K756" s="3019"/>
      <c r="L756" s="3019"/>
      <c r="M756" s="3019"/>
      <c r="N756" s="3020"/>
      <c r="O756" s="698"/>
      <c r="P756" s="729"/>
      <c r="Q756" s="1684">
        <f>C756</f>
        <v>3</v>
      </c>
      <c r="R756" s="1685" t="str">
        <f>I756</f>
        <v/>
      </c>
      <c r="S756" s="729"/>
      <c r="T756" s="729"/>
      <c r="U756" s="343"/>
      <c r="V756" s="343"/>
    </row>
    <row r="757" spans="1:22" s="364" customFormat="1" ht="5.15" customHeight="1" x14ac:dyDescent="0.3">
      <c r="A757" s="729"/>
      <c r="B757" s="302"/>
      <c r="C757" s="357"/>
      <c r="D757" s="357"/>
      <c r="E757" s="357"/>
      <c r="F757" s="357"/>
      <c r="G757" s="357"/>
      <c r="H757" s="357"/>
      <c r="I757" s="357"/>
      <c r="J757" s="357"/>
      <c r="K757" s="357"/>
      <c r="L757" s="357"/>
      <c r="M757" s="357"/>
      <c r="N757" s="357"/>
      <c r="O757" s="698"/>
      <c r="P757" s="729"/>
      <c r="Q757" s="729"/>
      <c r="R757" s="729"/>
      <c r="S757" s="729"/>
      <c r="T757" s="729"/>
      <c r="U757" s="343"/>
      <c r="V757" s="343"/>
    </row>
    <row r="758" spans="1:22" s="364" customFormat="1" ht="12.75" customHeight="1" x14ac:dyDescent="0.3">
      <c r="A758" s="729"/>
      <c r="B758" s="302"/>
      <c r="C758" s="357"/>
      <c r="D758" s="357"/>
      <c r="E758" s="357"/>
      <c r="F758" s="357"/>
      <c r="H758" s="595" t="str">
        <f>Translations!$B$942</f>
        <v>Риск от ИВЕ</v>
      </c>
      <c r="I758" s="595" t="s">
        <v>2151</v>
      </c>
      <c r="J758" s="595" t="str">
        <f>Translations!$B$946</f>
        <v>В/Е</v>
      </c>
      <c r="K758" s="595" t="str">
        <f>Translations!$B$1360</f>
        <v>Спряна експлоатация</v>
      </c>
      <c r="L758" s="654" t="str">
        <f>Translations!$B$944</f>
        <v>№ на п-л</v>
      </c>
      <c r="M758" s="2991" t="str">
        <f>Translations!$B$948</f>
        <v>Стойност на п-л</v>
      </c>
      <c r="N758" s="2991"/>
      <c r="O758" s="698"/>
      <c r="P758" s="729"/>
      <c r="Q758" s="729"/>
      <c r="R758" s="1176" t="str">
        <f>Translations!$B$944</f>
        <v>№ на п-л</v>
      </c>
      <c r="S758" s="729"/>
      <c r="T758" s="1686"/>
      <c r="U758" s="343"/>
      <c r="V758" s="343"/>
    </row>
    <row r="759" spans="1:22" s="364" customFormat="1" ht="12.75" customHeight="1" x14ac:dyDescent="0.3">
      <c r="A759" s="729"/>
      <c r="B759" s="302"/>
      <c r="C759" s="357"/>
      <c r="D759" s="357"/>
      <c r="E759" s="361" t="str">
        <f>I756</f>
        <v/>
      </c>
      <c r="F759" s="373"/>
      <c r="G759" s="373"/>
      <c r="H759" s="600" t="str">
        <f>IF(L759=EUconst_NA,EUconst_NA,INDEX(EUconst_BMlistCLstatus,MATCH(L759,EUconst_BMlistMainNumberOfBM,0)))</f>
        <v>Не е приложимо</v>
      </c>
      <c r="I759" s="600" t="str">
        <f>IF(R759=EUconst_NA,EUconst_NA,INDEX(EUconst_BMlistCBAMstatus,MATCH(R759,EUconst_BMlistNumberOfBM,0)))</f>
        <v>Не е приложимо</v>
      </c>
      <c r="J759" s="655" t="str">
        <f>IF($I756="",EUconst_NA,INDEX(CNTR_SubInstStartDate,MATCH(I756,CNTR_SubInstListNames,0)))</f>
        <v>Не е приложимо</v>
      </c>
      <c r="K759" s="655" t="str">
        <f>IF($I756="",EUconst_NA,IF(INDEX(CNTR_SubInstCessationDate,MATCH(I756,CNTR_SubInstListNames,0))=0,"",INDEX(CNTR_SubInstCessationDate,MATCH(I756,CNTR_SubInstListNames,0))))</f>
        <v>Не е приложимо</v>
      </c>
      <c r="L759" s="1687" t="str">
        <f>IF($I756="",EUconst_NA,INDEX(EUconst_BMlistMainNumberOfBM,MATCH(I756,EUconst_BMlistNames,0)))</f>
        <v>Не е приложимо</v>
      </c>
      <c r="M759" s="1688" t="str">
        <f>IF(I756="",EUconst_NA,INDEX(EUconst_BMlistBMvaluesMatrix,MATCH(L759,EUconst_BMlistMainNumberOfBM,0),3))</f>
        <v>Не е приложимо</v>
      </c>
      <c r="N759" s="382" t="str">
        <f>EUconst_EUA &amp; "/" &amp; F762</f>
        <v>Квота за емисии/тона</v>
      </c>
      <c r="O759" s="698"/>
      <c r="P759" s="729"/>
      <c r="Q759" s="729"/>
      <c r="R759" s="1176" t="str">
        <f>IF($I756="",EUconst_NA,INDEX(EUconst_BMlistNumberOfBM,MATCH(I756,EUconst_BMlistNames,0)))</f>
        <v>Не е приложимо</v>
      </c>
      <c r="S759" s="729"/>
      <c r="T759" s="1174" t="s">
        <v>1735</v>
      </c>
      <c r="U759" s="1176">
        <f>IF(SUM(K759)=0,2050,YEAR(K759))</f>
        <v>2050</v>
      </c>
      <c r="V759" s="343"/>
    </row>
    <row r="760" spans="1:22" s="364" customFormat="1" ht="5.15" customHeight="1" thickBot="1" x14ac:dyDescent="0.35">
      <c r="A760" s="729"/>
      <c r="B760" s="302"/>
      <c r="C760" s="302"/>
      <c r="D760" s="302"/>
      <c r="E760" s="357"/>
      <c r="J760" s="302"/>
      <c r="K760" s="302"/>
      <c r="L760" s="302"/>
      <c r="M760" s="302"/>
      <c r="N760" s="302"/>
      <c r="O760" s="698"/>
      <c r="P760" s="729"/>
      <c r="Q760" s="729"/>
      <c r="R760" s="729"/>
      <c r="S760" s="729"/>
      <c r="T760" s="770"/>
      <c r="U760" s="343"/>
      <c r="V760" s="343"/>
    </row>
    <row r="761" spans="1:22" s="364" customFormat="1" ht="12.75" customHeight="1" x14ac:dyDescent="0.25">
      <c r="A761" s="729"/>
      <c r="B761" s="302"/>
      <c r="C761" s="302"/>
      <c r="D761" s="302"/>
      <c r="E761" s="313"/>
      <c r="F761" s="300" t="str">
        <f>EUconst_Unit</f>
        <v>Единица мярка</v>
      </c>
      <c r="G761" s="1689" t="str">
        <f>Translations!$B$1284</f>
        <v>HAL</v>
      </c>
      <c r="H761" s="757">
        <f t="shared" ref="H761:N761" si="58">H$2505</f>
        <v>2024</v>
      </c>
      <c r="I761" s="572">
        <f t="shared" si="58"/>
        <v>2025</v>
      </c>
      <c r="J761" s="757">
        <f t="shared" si="58"/>
        <v>2026</v>
      </c>
      <c r="K761" s="391">
        <f t="shared" si="58"/>
        <v>2027</v>
      </c>
      <c r="L761" s="391">
        <f t="shared" si="58"/>
        <v>2028</v>
      </c>
      <c r="M761" s="391">
        <f t="shared" si="58"/>
        <v>2029</v>
      </c>
      <c r="N761" s="391">
        <f t="shared" si="58"/>
        <v>2030</v>
      </c>
      <c r="O761" s="698"/>
      <c r="P761" s="729"/>
      <c r="Q761" s="729" t="s">
        <v>1851</v>
      </c>
      <c r="R761" s="1690">
        <f>J$2505</f>
        <v>2026</v>
      </c>
      <c r="S761" s="1691">
        <f>K$2505</f>
        <v>2027</v>
      </c>
      <c r="T761" s="1691">
        <f>L$2505</f>
        <v>2028</v>
      </c>
      <c r="U761" s="1691">
        <f>M$2505</f>
        <v>2029</v>
      </c>
      <c r="V761" s="1692">
        <f>N$2505</f>
        <v>2030</v>
      </c>
    </row>
    <row r="762" spans="1:22" s="364" customFormat="1" ht="12.75" customHeight="1" thickBot="1" x14ac:dyDescent="0.3">
      <c r="A762" s="729"/>
      <c r="B762" s="302"/>
      <c r="C762" s="302"/>
      <c r="D762" s="302"/>
      <c r="E762" s="388" t="str">
        <f>Translations!$B$1371</f>
        <v>Докладвано равнище на дейност</v>
      </c>
      <c r="F762" s="1062" t="str">
        <f>IF(ISNUMBER(L759),INDEX(EUconst_BMlistUnits,MATCH(L759,EUconst_BMlistMainNumberOfBM,0)),EUconst_Tons)</f>
        <v>тона</v>
      </c>
      <c r="G762" s="1693" t="str">
        <f>I822</f>
        <v/>
      </c>
      <c r="H762" s="1694" t="str">
        <f>IF($I756="","",IF(H761&gt;=CNTR_ReportingYear,"",INDEX(F_ProductBM!H:H,MATCH($P762,F_ProductBM!$Q:$Q,0))))</f>
        <v/>
      </c>
      <c r="I762" s="608" t="str">
        <f>IF($I756="","",IF(I761&gt;=CNTR_ReportingYear,"",INDEX(F_ProductBM!I:I,MATCH($P762,F_ProductBM!$Q:$Q,0))))</f>
        <v/>
      </c>
      <c r="J762" s="1694" t="str">
        <f>IF($I756="","",IF(J761&gt;=CNTR_ReportingYear,"",INDEX(F_ProductBM!J:J,MATCH($P762,F_ProductBM!$Q:$Q,0))))</f>
        <v/>
      </c>
      <c r="K762" s="406" t="str">
        <f>IF($I756="","",IF(K761&gt;=CNTR_ReportingYear,"",INDEX(F_ProductBM!K:K,MATCH($P762,F_ProductBM!$Q:$Q,0))))</f>
        <v/>
      </c>
      <c r="L762" s="406" t="str">
        <f>IF($I756="","",IF(L761&gt;=CNTR_ReportingYear,"",INDEX(F_ProductBM!L:L,MATCH($P762,F_ProductBM!$Q:$Q,0))))</f>
        <v/>
      </c>
      <c r="M762" s="406" t="str">
        <f>IF($I756="","",IF(M761&gt;=CNTR_ReportingYear,"",INDEX(F_ProductBM!M:M,MATCH($P762,F_ProductBM!$Q:$Q,0))))</f>
        <v/>
      </c>
      <c r="N762" s="406" t="str">
        <f>IF($I756="","",IF(N761&gt;=CNTR_ReportingYear,"",INDEX(F_ProductBM!N:N,MATCH($P762,F_ProductBM!$Q:$Q,0))))</f>
        <v/>
      </c>
      <c r="O762" s="698"/>
      <c r="P762" s="1190" t="str">
        <f>EUconst_CNTR_HAL&amp;I756</f>
        <v>HAL_</v>
      </c>
      <c r="Q762" s="729"/>
      <c r="R762" s="1580" t="b">
        <f>AND($I756&lt;&gt;"",R761&lt;=CNTR_ReportingYear,IF($J759&lt;&gt;EUconst_NA,R761&gt;=YEAR($J759),TRUE))</f>
        <v>0</v>
      </c>
      <c r="S762" s="1255" t="b">
        <f>AND($I756&lt;&gt;"",S761&lt;=CNTR_ReportingYear,IF($J759&lt;&gt;EUconst_NA,S761&gt;=YEAR($J759),TRUE))</f>
        <v>0</v>
      </c>
      <c r="T762" s="1255" t="b">
        <f>AND($I756&lt;&gt;"",T761&lt;=CNTR_ReportingYear,IF($J759&lt;&gt;EUconst_NA,T761&gt;=YEAR($J759),TRUE))</f>
        <v>0</v>
      </c>
      <c r="U762" s="1255" t="b">
        <f>AND($I756&lt;&gt;"",U761&lt;=CNTR_ReportingYear,IF($J759&lt;&gt;EUconst_NA,U761&gt;=YEAR($J759),TRUE))</f>
        <v>0</v>
      </c>
      <c r="V762" s="1256" t="b">
        <f>AND($I756&lt;&gt;"",V761&lt;=CNTR_ReportingYear,IF($J759&lt;&gt;EUconst_NA,V761&gt;=YEAR($J759),TRUE))</f>
        <v>0</v>
      </c>
    </row>
    <row r="763" spans="1:22" s="364" customFormat="1" ht="5.15" customHeight="1" thickBot="1" x14ac:dyDescent="0.35">
      <c r="A763" s="729"/>
      <c r="B763" s="302"/>
      <c r="C763" s="357"/>
      <c r="D763" s="357"/>
      <c r="E763" s="357"/>
      <c r="F763" s="357"/>
      <c r="G763" s="357"/>
      <c r="H763" s="357"/>
      <c r="I763" s="357"/>
      <c r="J763" s="357"/>
      <c r="K763" s="357"/>
      <c r="L763" s="357"/>
      <c r="M763" s="357"/>
      <c r="N763" s="357"/>
      <c r="O763" s="698"/>
      <c r="P763" s="729"/>
      <c r="Q763" s="729"/>
      <c r="R763" s="729"/>
      <c r="S763" s="729"/>
      <c r="T763" s="729"/>
      <c r="U763" s="343"/>
      <c r="V763" s="343"/>
    </row>
    <row r="764" spans="1:22" s="364" customFormat="1" ht="5.15" customHeight="1" x14ac:dyDescent="0.3">
      <c r="A764" s="729"/>
      <c r="B764" s="302"/>
      <c r="C764" s="357"/>
      <c r="D764" s="1695"/>
      <c r="E764" s="1696"/>
      <c r="F764" s="1696"/>
      <c r="G764" s="1696"/>
      <c r="H764" s="1696"/>
      <c r="I764" s="1696"/>
      <c r="J764" s="1696"/>
      <c r="K764" s="1696"/>
      <c r="L764" s="1696"/>
      <c r="M764" s="1696"/>
      <c r="N764" s="1697"/>
      <c r="O764" s="698"/>
      <c r="P764" s="729"/>
      <c r="Q764" s="729"/>
      <c r="R764" s="729"/>
      <c r="S764" s="729"/>
      <c r="T764" s="729"/>
      <c r="U764" s="343"/>
      <c r="V764" s="343"/>
    </row>
    <row r="765" spans="1:22" s="364" customFormat="1" ht="12.75" customHeight="1" x14ac:dyDescent="0.3">
      <c r="A765" s="729"/>
      <c r="B765" s="302"/>
      <c r="C765" s="357"/>
      <c r="D765" s="1698"/>
      <c r="E765" s="389" t="str">
        <f>Translations!$B$1372</f>
        <v>Приложимост на пълзящата средна стойност</v>
      </c>
      <c r="F765" s="498"/>
      <c r="G765" s="498"/>
      <c r="H765" s="527"/>
      <c r="I765" s="1699"/>
      <c r="J765" s="1523">
        <f>J$2505</f>
        <v>2026</v>
      </c>
      <c r="K765" s="387">
        <f>K$2505</f>
        <v>2027</v>
      </c>
      <c r="L765" s="387">
        <f>L$2505</f>
        <v>2028</v>
      </c>
      <c r="M765" s="387">
        <f>M$2505</f>
        <v>2029</v>
      </c>
      <c r="N765" s="1544">
        <f>N$2505</f>
        <v>2030</v>
      </c>
      <c r="O765" s="698"/>
      <c r="P765" s="729"/>
      <c r="Q765" s="729"/>
      <c r="R765" s="729"/>
      <c r="S765" s="729"/>
      <c r="T765" s="729"/>
      <c r="U765" s="343"/>
      <c r="V765" s="343"/>
    </row>
    <row r="766" spans="1:22" s="364" customFormat="1" ht="12.75" customHeight="1" x14ac:dyDescent="0.3">
      <c r="A766" s="729"/>
      <c r="B766" s="302"/>
      <c r="C766" s="357"/>
      <c r="D766" s="1698"/>
      <c r="E766" s="1700" t="str">
        <f>Translations!$B$1364</f>
        <v>Критерий 1: В експлоатация &gt; 2 години?</v>
      </c>
      <c r="F766" s="1701"/>
      <c r="G766" s="1701"/>
      <c r="H766" s="1702"/>
      <c r="I766" s="1701"/>
      <c r="J766" s="1703" t="str">
        <f>IF(R762,INDEX(F_ProductBM!V:V,MATCH($P766,F_ProductBM!$Q:$Q,0))&gt;=3,"")</f>
        <v/>
      </c>
      <c r="K766" s="1704" t="str">
        <f>IF(S762,INDEX(F_ProductBM!W:W,MATCH($P766,F_ProductBM!$Q:$Q,0))&gt;=3,"")</f>
        <v/>
      </c>
      <c r="L766" s="1704" t="str">
        <f>IF(T762,INDEX(F_ProductBM!X:X,MATCH($P766,F_ProductBM!$Q:$Q,0))&gt;=3,"")</f>
        <v/>
      </c>
      <c r="M766" s="1704" t="str">
        <f>IF(U762,INDEX(F_ProductBM!Y:Y,MATCH($P766,F_ProductBM!$Q:$Q,0))&gt;=3,"")</f>
        <v/>
      </c>
      <c r="N766" s="1705" t="str">
        <f>IF(V762,INDEX(F_ProductBM!Z:Z,MATCH($P766,F_ProductBM!$Q:$Q,0))&gt;=3,"")</f>
        <v/>
      </c>
      <c r="O766" s="698"/>
      <c r="P766" s="1190" t="str">
        <f>EUconst_CNTR_HALinitial&amp;I756</f>
        <v>HALini_</v>
      </c>
      <c r="Q766" s="729"/>
      <c r="R766" s="729"/>
      <c r="S766" s="729"/>
      <c r="T766" s="729"/>
      <c r="U766" s="343"/>
      <c r="V766" s="343"/>
    </row>
    <row r="767" spans="1:22" s="364" customFormat="1" ht="12.75" customHeight="1" x14ac:dyDescent="0.3">
      <c r="A767" s="729"/>
      <c r="B767" s="302"/>
      <c r="C767" s="357"/>
      <c r="D767" s="1698"/>
      <c r="E767" s="1706" t="str">
        <f>Translations!$B$1366</f>
        <v>Критерий 2: Не е спряна от експлоатация през предходната година?</v>
      </c>
      <c r="F767" s="1707"/>
      <c r="G767" s="1707"/>
      <c r="H767" s="1708"/>
      <c r="I767" s="1707"/>
      <c r="J767" s="1709" t="str">
        <f>IF(R762,IF($K759="",2050,YEAR($K759))&lt;&gt;(J765-1),"")</f>
        <v/>
      </c>
      <c r="K767" s="1710" t="str">
        <f>IF(S762,IF($K759="",2050,YEAR($K759))&lt;&gt;(K765-1),"")</f>
        <v/>
      </c>
      <c r="L767" s="1710" t="str">
        <f>IF(T762,IF($K759="",2050,YEAR($K759))&lt;&gt;(L765-1),"")</f>
        <v/>
      </c>
      <c r="M767" s="1710" t="str">
        <f>IF(U762,IF($K759="",2050,YEAR($K759))&lt;&gt;(M765-1),"")</f>
        <v/>
      </c>
      <c r="N767" s="1711" t="str">
        <f>IF(V762,IF($K759="",2050,YEAR($K759))&lt;&gt;(N765-1),"")</f>
        <v/>
      </c>
      <c r="O767" s="698"/>
      <c r="P767" s="729"/>
      <c r="Q767" s="729"/>
      <c r="R767" s="729"/>
      <c r="S767" s="729"/>
      <c r="T767" s="729"/>
      <c r="U767" s="343"/>
      <c r="V767" s="343"/>
    </row>
    <row r="768" spans="1:22" s="364" customFormat="1" ht="5.15" customHeight="1" x14ac:dyDescent="0.3">
      <c r="A768" s="729"/>
      <c r="B768" s="302"/>
      <c r="C768" s="357"/>
      <c r="D768" s="1698"/>
      <c r="E768" s="357"/>
      <c r="F768" s="357"/>
      <c r="G768" s="357"/>
      <c r="H768" s="357"/>
      <c r="I768" s="357"/>
      <c r="J768" s="357"/>
      <c r="K768" s="357"/>
      <c r="L768" s="357"/>
      <c r="M768" s="357"/>
      <c r="N768" s="1712"/>
      <c r="O768" s="698"/>
      <c r="P768" s="729"/>
      <c r="Q768" s="729"/>
      <c r="R768" s="729"/>
      <c r="S768" s="729"/>
      <c r="T768" s="729"/>
      <c r="U768" s="343"/>
      <c r="V768" s="343"/>
    </row>
    <row r="769" spans="1:22" s="364" customFormat="1" ht="12.75" customHeight="1" x14ac:dyDescent="0.3">
      <c r="A769" s="729"/>
      <c r="B769" s="302"/>
      <c r="C769" s="357"/>
      <c r="D769" s="1698"/>
      <c r="E769" s="313" t="str">
        <f>Translations!$B$1373</f>
        <v>Промени: Няма промяна (базова стойност)</v>
      </c>
      <c r="F769" s="302"/>
      <c r="G769" s="302"/>
      <c r="H769" s="527" t="str">
        <f>EUconst_Unit</f>
        <v>Единица мярка</v>
      </c>
      <c r="I769" s="1699"/>
      <c r="J769" s="757">
        <f>J$2505</f>
        <v>2026</v>
      </c>
      <c r="K769" s="391">
        <f>K$2505</f>
        <v>2027</v>
      </c>
      <c r="L769" s="391">
        <f>L$2505</f>
        <v>2028</v>
      </c>
      <c r="M769" s="391">
        <f>M$2505</f>
        <v>2029</v>
      </c>
      <c r="N769" s="1713">
        <f>N$2505</f>
        <v>2030</v>
      </c>
      <c r="O769" s="698"/>
      <c r="P769" s="729"/>
      <c r="Q769" s="729"/>
      <c r="R769" s="729"/>
      <c r="S769" s="729"/>
      <c r="T769" s="729"/>
      <c r="U769" s="343"/>
      <c r="V769" s="343"/>
    </row>
    <row r="770" spans="1:22" s="364" customFormat="1" ht="12.75" hidden="1" customHeight="1" x14ac:dyDescent="0.3">
      <c r="A770" s="729" t="str">
        <f t="shared" ref="A770:A774" si="59">IF(P770="","ausblenden","")</f>
        <v>ausblenden</v>
      </c>
      <c r="B770" s="302"/>
      <c r="C770" s="357"/>
      <c r="D770" s="1698"/>
      <c r="E770" s="388" t="str">
        <f>Translations!$B$1388</f>
        <v>Равнище на дейност</v>
      </c>
      <c r="F770" s="388"/>
      <c r="G770" s="388"/>
      <c r="H770" s="1210" t="str">
        <f>F762</f>
        <v>тона</v>
      </c>
      <c r="I770" s="388"/>
      <c r="J770" s="1714" t="str">
        <f>IF(T827&gt;=$H$2505,S822,I822)</f>
        <v/>
      </c>
      <c r="K770" s="1693" t="str">
        <f t="shared" ref="K770:K773" si="60">J822</f>
        <v/>
      </c>
      <c r="L770" s="1693" t="str">
        <f t="shared" ref="L770:L773" si="61">K822</f>
        <v/>
      </c>
      <c r="M770" s="1693" t="str">
        <f t="shared" ref="M770:M773" si="62">L822</f>
        <v/>
      </c>
      <c r="N770" s="1715" t="str">
        <f t="shared" ref="N770:N773" si="63">M822</f>
        <v/>
      </c>
      <c r="O770" s="698"/>
      <c r="P770" s="729"/>
      <c r="Q770" s="729"/>
      <c r="R770" s="729"/>
      <c r="S770" s="729"/>
      <c r="T770" s="729"/>
      <c r="U770" s="343"/>
      <c r="V770" s="343"/>
    </row>
    <row r="771" spans="1:22" s="364" customFormat="1" ht="12.75" hidden="1" customHeight="1" x14ac:dyDescent="0.3">
      <c r="A771" s="729" t="str">
        <f t="shared" si="59"/>
        <v>ausblenden</v>
      </c>
      <c r="B771" s="302"/>
      <c r="C771" s="357"/>
      <c r="D771" s="1698"/>
      <c r="E771" s="392" t="str">
        <f>Translations!$B$949</f>
        <v>топл. ен. извън СТЕ</v>
      </c>
      <c r="F771" s="392"/>
      <c r="G771" s="392"/>
      <c r="H771" s="481" t="str">
        <f>EUconst_EUA</f>
        <v>Квота за емисии</v>
      </c>
      <c r="I771" s="1716"/>
      <c r="J771" s="1717" t="str">
        <f>IF(T827&gt;=$H$2505,S823,I823)</f>
        <v/>
      </c>
      <c r="K771" s="1718" t="str">
        <f t="shared" si="60"/>
        <v/>
      </c>
      <c r="L771" s="1718" t="str">
        <f t="shared" si="61"/>
        <v/>
      </c>
      <c r="M771" s="1718" t="str">
        <f t="shared" si="62"/>
        <v/>
      </c>
      <c r="N771" s="1719" t="str">
        <f t="shared" si="63"/>
        <v/>
      </c>
      <c r="O771" s="698"/>
      <c r="P771" s="729"/>
      <c r="Q771" s="729"/>
      <c r="R771" s="729"/>
      <c r="S771" s="729"/>
      <c r="T771" s="729"/>
      <c r="U771" s="343"/>
      <c r="V771" s="343"/>
    </row>
    <row r="772" spans="1:22" s="364" customFormat="1" ht="12.75" hidden="1" customHeight="1" x14ac:dyDescent="0.3">
      <c r="A772" s="729" t="str">
        <f t="shared" si="59"/>
        <v>ausblenden</v>
      </c>
      <c r="B772" s="302"/>
      <c r="C772" s="357"/>
      <c r="D772" s="1698"/>
      <c r="E772" s="398" t="str">
        <f>Translations!$B$951</f>
        <v>WGflare</v>
      </c>
      <c r="F772" s="398"/>
      <c r="G772" s="398"/>
      <c r="H772" s="516" t="str">
        <f>EUconst_EUA</f>
        <v>Квота за емисии</v>
      </c>
      <c r="I772" s="1720"/>
      <c r="J772" s="1721" t="str">
        <f>IF(T827&gt;=$H$2505,S824,I824)</f>
        <v/>
      </c>
      <c r="K772" s="1722" t="str">
        <f t="shared" si="60"/>
        <v/>
      </c>
      <c r="L772" s="1722" t="str">
        <f t="shared" si="61"/>
        <v/>
      </c>
      <c r="M772" s="1722" t="str">
        <f t="shared" si="62"/>
        <v/>
      </c>
      <c r="N772" s="1723" t="str">
        <f t="shared" si="63"/>
        <v/>
      </c>
      <c r="O772" s="698"/>
      <c r="P772" s="729"/>
      <c r="Q772" s="729"/>
      <c r="R772" s="729"/>
      <c r="S772" s="729"/>
      <c r="T772" s="729"/>
      <c r="U772" s="343"/>
      <c r="V772" s="343"/>
    </row>
    <row r="773" spans="1:22" s="364" customFormat="1" ht="12.75" hidden="1" customHeight="1" x14ac:dyDescent="0.3">
      <c r="A773" s="729" t="str">
        <f t="shared" si="59"/>
        <v>ausblenden</v>
      </c>
      <c r="B773" s="302"/>
      <c r="C773" s="357"/>
      <c r="D773" s="1698"/>
      <c r="E773" s="398" t="s">
        <v>1442</v>
      </c>
      <c r="F773" s="398"/>
      <c r="G773" s="398"/>
      <c r="H773" s="516" t="str">
        <f>EUconst_EUA</f>
        <v>Квота за емисии</v>
      </c>
      <c r="I773" s="1720"/>
      <c r="J773" s="1721" t="str">
        <f>IF(T827&gt;=$H$2505,S825,I825)</f>
        <v/>
      </c>
      <c r="K773" s="1722" t="str">
        <f t="shared" si="60"/>
        <v/>
      </c>
      <c r="L773" s="1722" t="str">
        <f t="shared" si="61"/>
        <v/>
      </c>
      <c r="M773" s="1722" t="str">
        <f t="shared" si="62"/>
        <v/>
      </c>
      <c r="N773" s="1723" t="str">
        <f t="shared" si="63"/>
        <v/>
      </c>
      <c r="O773" s="698"/>
      <c r="P773" s="729"/>
      <c r="Q773" s="729"/>
      <c r="R773" s="729"/>
      <c r="S773" s="729"/>
      <c r="T773" s="729"/>
      <c r="U773" s="343"/>
      <c r="V773" s="343"/>
    </row>
    <row r="774" spans="1:22" s="364" customFormat="1" ht="12.75" hidden="1" customHeight="1" x14ac:dyDescent="0.3">
      <c r="A774" s="729" t="str">
        <f t="shared" si="59"/>
        <v>ausblenden</v>
      </c>
      <c r="B774" s="302"/>
      <c r="C774" s="357"/>
      <c r="D774" s="1698"/>
      <c r="E774" s="401" t="s">
        <v>1443</v>
      </c>
      <c r="F774" s="401"/>
      <c r="G774" s="401"/>
      <c r="H774" s="483" t="s">
        <v>1052</v>
      </c>
      <c r="I774" s="1724"/>
      <c r="J774" s="1725" t="str">
        <f>IF(T827&gt;=$H$2505,S826,I826)</f>
        <v/>
      </c>
      <c r="K774" s="1726" t="str">
        <f>J826</f>
        <v/>
      </c>
      <c r="L774" s="1726" t="str">
        <f>K826</f>
        <v/>
      </c>
      <c r="M774" s="1726" t="str">
        <f>L826</f>
        <v/>
      </c>
      <c r="N774" s="1727" t="str">
        <f>M826</f>
        <v/>
      </c>
      <c r="O774" s="698"/>
      <c r="P774" s="729"/>
      <c r="Q774" s="729"/>
      <c r="R774" s="729"/>
      <c r="S774" s="729"/>
      <c r="T774" s="729"/>
      <c r="U774" s="343"/>
      <c r="V774" s="343"/>
    </row>
    <row r="775" spans="1:22" s="364" customFormat="1" ht="12.75" customHeight="1" x14ac:dyDescent="0.3">
      <c r="A775" s="729"/>
      <c r="B775" s="302"/>
      <c r="C775" s="357"/>
      <c r="D775" s="1698"/>
      <c r="E775" s="388" t="str">
        <f>Translations!$B$1374</f>
        <v>Стойност на предварително разпределяне</v>
      </c>
      <c r="F775" s="388"/>
      <c r="G775" s="388"/>
      <c r="H775" s="421" t="str">
        <f>EUconst_EUA</f>
        <v>Квота за емисии</v>
      </c>
      <c r="I775" s="1728"/>
      <c r="J775" s="1694" t="str">
        <f>IF($I756="","",MAX(0,ROUND((SUM($M759)*SUM(J770)*SUM(J774)-SUM(J771)-SUM(J772)+SUM(J773))*IF($H759=TRUE,1,J$2412)*IF($I759=TRUE,INDEX(EUconst_CBAMFactor,J765-2020),1),0)))</f>
        <v/>
      </c>
      <c r="K775" s="406" t="str">
        <f>IF($I756="","",MAX(0,ROUND((SUM($M759)*SUM(K770)*SUM(K774)-SUM(K771)-SUM(K772)+SUM(K773))*IF($H759=TRUE,1,K$2412)*IF($I759=TRUE,INDEX(EUconst_CBAMFactor,K765-2020),1),0)))</f>
        <v/>
      </c>
      <c r="L775" s="406" t="str">
        <f>IF($I756="","",MAX(0,ROUND((SUM($M759)*SUM(L770)*SUM(L774)-SUM(L771)-SUM(L772)+SUM(L773))*IF($H759=TRUE,1,L$2412)*IF($I759=TRUE,INDEX(EUconst_CBAMFactor,L765-2020),1),0)))</f>
        <v/>
      </c>
      <c r="M775" s="406" t="str">
        <f>IF($I756="","",MAX(0,ROUND((SUM($M759)*SUM(M770)*SUM(M774)-SUM(M771)-SUM(M772)+SUM(M773))*IF($H759=TRUE,1,M$2412)*IF($I759=TRUE,INDEX(EUconst_CBAMFactor,M765-2020),1),0)))</f>
        <v/>
      </c>
      <c r="N775" s="1729" t="str">
        <f>IF($I756="","",MAX(0,ROUND((SUM($M759)*SUM(N770)*SUM(N774)-SUM(N771)-SUM(N772)+SUM(N773))*IF($H759=TRUE,1,N$2412)*IF($I759=TRUE,INDEX(EUconst_CBAMFactor,N765-2020),1),0)))</f>
        <v/>
      </c>
      <c r="O775" s="698"/>
      <c r="P775" s="729"/>
      <c r="Q775" s="729"/>
      <c r="R775" s="729"/>
      <c r="S775" s="729"/>
      <c r="T775" s="729"/>
      <c r="U775" s="343"/>
      <c r="V775" s="343"/>
    </row>
    <row r="776" spans="1:22" s="364" customFormat="1" ht="5.15" customHeight="1" x14ac:dyDescent="0.3">
      <c r="A776" s="729"/>
      <c r="B776" s="302"/>
      <c r="C776" s="357"/>
      <c r="D776" s="1698"/>
      <c r="E776" s="357"/>
      <c r="F776" s="357"/>
      <c r="G776" s="357"/>
      <c r="H776" s="357"/>
      <c r="I776" s="357"/>
      <c r="J776" s="357"/>
      <c r="K776" s="357"/>
      <c r="L776" s="357"/>
      <c r="M776" s="357"/>
      <c r="N776" s="1712"/>
      <c r="O776" s="698"/>
      <c r="P776" s="729"/>
      <c r="Q776" s="729"/>
      <c r="R776" s="729"/>
      <c r="S776" s="729"/>
      <c r="T776" s="729"/>
      <c r="U776" s="343"/>
      <c r="V776" s="343"/>
    </row>
    <row r="777" spans="1:22" s="364" customFormat="1" ht="12.75" customHeight="1" x14ac:dyDescent="0.3">
      <c r="A777" s="729"/>
      <c r="B777" s="302"/>
      <c r="C777" s="357"/>
      <c r="D777" s="1698"/>
      <c r="E777" s="389" t="str">
        <f>Translations!$B$1375</f>
        <v>Промени: Равнище на дейност</v>
      </c>
      <c r="F777" s="498"/>
      <c r="G777" s="498"/>
      <c r="H777" s="527" t="str">
        <f>EUconst_Unit</f>
        <v>Единица мярка</v>
      </c>
      <c r="I777" s="1699"/>
      <c r="J777" s="1523">
        <f>J$2505</f>
        <v>2026</v>
      </c>
      <c r="K777" s="387">
        <f>K$2505</f>
        <v>2027</v>
      </c>
      <c r="L777" s="387">
        <f>L$2505</f>
        <v>2028</v>
      </c>
      <c r="M777" s="387">
        <f>M$2505</f>
        <v>2029</v>
      </c>
      <c r="N777" s="1544">
        <f>N$2505</f>
        <v>2030</v>
      </c>
      <c r="O777" s="698"/>
      <c r="P777" s="729"/>
      <c r="Q777" s="729"/>
      <c r="R777" s="729"/>
      <c r="S777" s="729"/>
      <c r="T777" s="729"/>
      <c r="U777" s="343"/>
      <c r="V777" s="343"/>
    </row>
    <row r="778" spans="1:22" s="364" customFormat="1" ht="12.75" customHeight="1" x14ac:dyDescent="0.3">
      <c r="A778" s="729"/>
      <c r="B778" s="302"/>
      <c r="C778" s="357"/>
      <c r="D778" s="1698"/>
      <c r="E778" s="392" t="str">
        <f>Translations!$B$1328</f>
        <v>Средна годишна стойност</v>
      </c>
      <c r="F778" s="392"/>
      <c r="G778" s="392"/>
      <c r="H778" s="1730" t="str">
        <f>H770</f>
        <v>тона</v>
      </c>
      <c r="I778" s="1731"/>
      <c r="J778" s="1732" t="str">
        <f>INDEX(F_ProductBM!J:J,MATCH($P778,F_ProductBM!$Q:$Q,0))</f>
        <v/>
      </c>
      <c r="K778" s="394" t="str">
        <f>INDEX(F_ProductBM!K:K,MATCH($P778,F_ProductBM!$Q:$Q,0))</f>
        <v/>
      </c>
      <c r="L778" s="394" t="str">
        <f>INDEX(F_ProductBM!L:L,MATCH($P778,F_ProductBM!$Q:$Q,0))</f>
        <v/>
      </c>
      <c r="M778" s="394" t="str">
        <f>INDEX(F_ProductBM!M:M,MATCH($P778,F_ProductBM!$Q:$Q,0))</f>
        <v/>
      </c>
      <c r="N778" s="1733" t="str">
        <f>INDEX(F_ProductBM!N:N,MATCH($P778,F_ProductBM!$Q:$Q,0))</f>
        <v/>
      </c>
      <c r="O778" s="698"/>
      <c r="P778" s="1190" t="str">
        <f>EUconst_CNTR_HALinitial&amp;I756</f>
        <v>HALini_</v>
      </c>
      <c r="Q778" s="729"/>
      <c r="R778" s="729"/>
      <c r="S778" s="729"/>
      <c r="T778" s="729"/>
      <c r="U778" s="343"/>
      <c r="V778" s="343"/>
    </row>
    <row r="779" spans="1:22" s="364" customFormat="1" ht="12.75" customHeight="1" x14ac:dyDescent="0.3">
      <c r="A779" s="729"/>
      <c r="B779" s="302"/>
      <c r="C779" s="357"/>
      <c r="D779" s="1698"/>
      <c r="E779" s="398" t="str">
        <f>Translations!$B$1376</f>
        <v>Промяна в сравнение с HAL</v>
      </c>
      <c r="F779" s="398"/>
      <c r="G779" s="398"/>
      <c r="H779" s="1734" t="s">
        <v>1052</v>
      </c>
      <c r="I779" s="1735"/>
      <c r="J779" s="159" t="str">
        <f>INDEX(F_ProductBM!J:J,MATCH($P779,F_ProductBM!$Q:$Q,0))</f>
        <v/>
      </c>
      <c r="K779" s="160" t="str">
        <f>INDEX(F_ProductBM!K:K,MATCH($P779,F_ProductBM!$Q:$Q,0))</f>
        <v/>
      </c>
      <c r="L779" s="160" t="str">
        <f>INDEX(F_ProductBM!L:L,MATCH($P779,F_ProductBM!$Q:$Q,0))</f>
        <v/>
      </c>
      <c r="M779" s="160" t="str">
        <f>INDEX(F_ProductBM!M:M,MATCH($P779,F_ProductBM!$Q:$Q,0))</f>
        <v/>
      </c>
      <c r="N779" s="161" t="str">
        <f>INDEX(F_ProductBM!N:N,MATCH($P779,F_ProductBM!$Q:$Q,0))</f>
        <v/>
      </c>
      <c r="O779" s="698"/>
      <c r="P779" s="1190" t="str">
        <f>EUconst_CNTR_RelThreshold &amp; P781</f>
        <v>RelThresh_HALprelim_</v>
      </c>
      <c r="Q779" s="729"/>
      <c r="R779" s="729"/>
      <c r="S779" s="729"/>
      <c r="T779" s="729"/>
      <c r="U779" s="343"/>
      <c r="V779" s="343"/>
    </row>
    <row r="780" spans="1:22" s="364" customFormat="1" ht="12.75" customHeight="1" x14ac:dyDescent="0.3">
      <c r="A780" s="729"/>
      <c r="B780" s="302"/>
      <c r="C780" s="357"/>
      <c r="D780" s="1698"/>
      <c r="E780" s="1736" t="str">
        <f>Translations!$B$1368</f>
        <v>Критерий 3a: Надвишени ли са относителните прагове?</v>
      </c>
      <c r="F780" s="1736"/>
      <c r="G780" s="1736"/>
      <c r="H780" s="1737" t="s">
        <v>1052</v>
      </c>
      <c r="I780" s="1738"/>
      <c r="J780" s="1739" t="str">
        <f>INDEX(F_ProductBM!V:V,MATCH($P780,F_ProductBM!$Q:$Q,0)+1)</f>
        <v/>
      </c>
      <c r="K780" s="1740" t="str">
        <f>INDEX(F_ProductBM!W:W,MATCH($P780,F_ProductBM!$Q:$Q,0)+1)</f>
        <v/>
      </c>
      <c r="L780" s="1740" t="str">
        <f>INDEX(F_ProductBM!X:X,MATCH($P780,F_ProductBM!$Q:$Q,0)+1)</f>
        <v/>
      </c>
      <c r="M780" s="1740" t="str">
        <f>INDEX(F_ProductBM!Y:Y,MATCH($P780,F_ProductBM!$Q:$Q,0)+1)</f>
        <v/>
      </c>
      <c r="N780" s="1741" t="str">
        <f>INDEX(F_ProductBM!Z:Z,MATCH($P780,F_ProductBM!$Q:$Q,0)+1)</f>
        <v/>
      </c>
      <c r="O780" s="698"/>
      <c r="P780" s="1190" t="str">
        <f>P779</f>
        <v>RelThresh_HALprelim_</v>
      </c>
      <c r="Q780" s="729"/>
      <c r="R780" s="729"/>
      <c r="S780" s="729"/>
      <c r="T780" s="729"/>
      <c r="U780" s="343"/>
      <c r="V780" s="343"/>
    </row>
    <row r="781" spans="1:22" s="364" customFormat="1" ht="12.75" customHeight="1" x14ac:dyDescent="0.3">
      <c r="A781" s="729" t="str">
        <f t="shared" ref="A781" si="64">IF(P781="","ausblenden","")</f>
        <v/>
      </c>
      <c r="B781" s="302"/>
      <c r="C781" s="357"/>
      <c r="D781" s="1698"/>
      <c r="E781" s="401" t="str">
        <f>Translations!$B$1377</f>
        <v>Предварителна стойност</v>
      </c>
      <c r="F781" s="401"/>
      <c r="G781" s="401"/>
      <c r="H781" s="1742" t="str">
        <f>F762</f>
        <v>тона</v>
      </c>
      <c r="I781" s="401"/>
      <c r="J781" s="1743" t="str">
        <f>INDEX(F_ProductBM!J:J,MATCH($P781,F_ProductBM!$Q:$Q,0))</f>
        <v/>
      </c>
      <c r="K781" s="1744" t="str">
        <f>INDEX(F_ProductBM!K:K,MATCH($P781,F_ProductBM!$Q:$Q,0))</f>
        <v/>
      </c>
      <c r="L781" s="1744" t="str">
        <f>INDEX(F_ProductBM!L:L,MATCH($P781,F_ProductBM!$Q:$Q,0))</f>
        <v/>
      </c>
      <c r="M781" s="1744" t="str">
        <f>INDEX(F_ProductBM!M:M,MATCH($P781,F_ProductBM!$Q:$Q,0))</f>
        <v/>
      </c>
      <c r="N781" s="1745" t="str">
        <f>INDEX(F_ProductBM!N:N,MATCH($P781,F_ProductBM!$Q:$Q,0))</f>
        <v/>
      </c>
      <c r="O781" s="698"/>
      <c r="P781" s="1190" t="str">
        <f>EUconst_CNTR_HALprelim&amp;I756</f>
        <v>HALprelim_</v>
      </c>
      <c r="Q781" s="729"/>
      <c r="R781" s="729"/>
      <c r="S781" s="729"/>
      <c r="T781" s="729"/>
      <c r="U781" s="343"/>
      <c r="V781" s="343"/>
    </row>
    <row r="782" spans="1:22" s="364" customFormat="1" ht="5.15" customHeight="1" x14ac:dyDescent="0.3">
      <c r="A782" s="729"/>
      <c r="B782" s="302"/>
      <c r="C782" s="357"/>
      <c r="D782" s="1698"/>
      <c r="E782" s="302"/>
      <c r="F782" s="302"/>
      <c r="G782" s="302"/>
      <c r="H782" s="302"/>
      <c r="I782" s="1746"/>
      <c r="J782" s="302"/>
      <c r="K782" s="302"/>
      <c r="L782" s="302"/>
      <c r="M782" s="302"/>
      <c r="N782" s="1747"/>
      <c r="O782" s="698"/>
      <c r="P782" s="729"/>
      <c r="Q782" s="729"/>
      <c r="R782" s="729"/>
      <c r="S782" s="729"/>
      <c r="T782" s="729"/>
      <c r="U782" s="343"/>
      <c r="V782" s="343"/>
    </row>
    <row r="783" spans="1:22" s="364" customFormat="1" ht="12.75" customHeight="1" x14ac:dyDescent="0.3">
      <c r="A783" s="729"/>
      <c r="B783" s="302"/>
      <c r="C783" s="357"/>
      <c r="D783" s="1698"/>
      <c r="E783" s="389" t="str">
        <f>Translations!$B$1380</f>
        <v>Промени: Топлинна енергия извън СТЕ</v>
      </c>
      <c r="F783" s="498"/>
      <c r="G783" s="498"/>
      <c r="H783" s="527" t="str">
        <f>EUconst_Unit</f>
        <v>Единица мярка</v>
      </c>
      <c r="I783" s="1699"/>
      <c r="J783" s="1523">
        <f>J$2505</f>
        <v>2026</v>
      </c>
      <c r="K783" s="387">
        <f>K$2505</f>
        <v>2027</v>
      </c>
      <c r="L783" s="387">
        <f>L$2505</f>
        <v>2028</v>
      </c>
      <c r="M783" s="387">
        <f>M$2505</f>
        <v>2029</v>
      </c>
      <c r="N783" s="1544">
        <f>N$2505</f>
        <v>2030</v>
      </c>
      <c r="O783" s="698"/>
      <c r="P783" s="729"/>
      <c r="Q783" s="729"/>
      <c r="R783" s="729"/>
      <c r="S783" s="729"/>
      <c r="T783" s="729"/>
      <c r="U783" s="343"/>
      <c r="V783" s="343"/>
    </row>
    <row r="784" spans="1:22" s="364" customFormat="1" ht="12.75" customHeight="1" x14ac:dyDescent="0.3">
      <c r="A784" s="729"/>
      <c r="B784" s="302"/>
      <c r="C784" s="357"/>
      <c r="D784" s="1698"/>
      <c r="E784" s="392" t="str">
        <f>Translations!$B$1328</f>
        <v>Средна годишна стойност</v>
      </c>
      <c r="F784" s="392"/>
      <c r="G784" s="392"/>
      <c r="H784" s="485" t="str">
        <f>EUconst_EUA</f>
        <v>Квота за емисии</v>
      </c>
      <c r="I784" s="1716"/>
      <c r="J784" s="1732" t="str">
        <f>IF(R762,SUM(INDEX(F_ProductBM!J:J,MATCH($P784,F_ProductBM!$Q:$Q,0))),"")</f>
        <v/>
      </c>
      <c r="K784" s="394" t="str">
        <f>IF(S762,SUM(INDEX(F_ProductBM!K:K,MATCH($P784,F_ProductBM!$Q:$Q,0))),"")</f>
        <v/>
      </c>
      <c r="L784" s="394" t="str">
        <f>IF(T762,SUM(INDEX(F_ProductBM!L:L,MATCH($P784,F_ProductBM!$Q:$Q,0))),"")</f>
        <v/>
      </c>
      <c r="M784" s="394" t="str">
        <f>IF(U762,SUM(INDEX(F_ProductBM!M:M,MATCH($P784,F_ProductBM!$Q:$Q,0))),"")</f>
        <v/>
      </c>
      <c r="N784" s="1733" t="str">
        <f>IF(V762,SUM(INDEX(F_ProductBM!N:N,MATCH($P784,F_ProductBM!$Q:$Q,0))),"")</f>
        <v/>
      </c>
      <c r="O784" s="698"/>
      <c r="P784" s="1190" t="str">
        <f>EUconst_CNTR_HEATInitial &amp; I756</f>
        <v>HEATIni_</v>
      </c>
      <c r="Q784" s="729"/>
      <c r="R784" s="729"/>
      <c r="S784" s="729"/>
      <c r="T784" s="729"/>
      <c r="U784" s="343"/>
      <c r="V784" s="343"/>
    </row>
    <row r="785" spans="1:22" s="364" customFormat="1" ht="12.75" customHeight="1" x14ac:dyDescent="0.3">
      <c r="A785" s="729"/>
      <c r="B785" s="302"/>
      <c r="C785" s="357"/>
      <c r="D785" s="1698"/>
      <c r="E785" s="398" t="str">
        <f>Translations!$B$1378</f>
        <v>Промяна в сравнение със стойността в НМИ</v>
      </c>
      <c r="F785" s="398"/>
      <c r="G785" s="398"/>
      <c r="H785" s="1734" t="s">
        <v>1052</v>
      </c>
      <c r="I785" s="1735"/>
      <c r="J785" s="159" t="str">
        <f>INDEX(F_ProductBM!J:J,MATCH($P785,F_ProductBM!$Q:$Q,0))</f>
        <v/>
      </c>
      <c r="K785" s="160" t="str">
        <f>INDEX(F_ProductBM!K:K,MATCH($P785,F_ProductBM!$Q:$Q,0))</f>
        <v/>
      </c>
      <c r="L785" s="160" t="str">
        <f>INDEX(F_ProductBM!L:L,MATCH($P785,F_ProductBM!$Q:$Q,0))</f>
        <v/>
      </c>
      <c r="M785" s="160" t="str">
        <f>INDEX(F_ProductBM!M:M,MATCH($P785,F_ProductBM!$Q:$Q,0))</f>
        <v/>
      </c>
      <c r="N785" s="161" t="str">
        <f>INDEX(F_ProductBM!N:N,MATCH($P785,F_ProductBM!$Q:$Q,0))</f>
        <v/>
      </c>
      <c r="O785" s="698"/>
      <c r="P785" s="1190" t="str">
        <f>EUconst_CNTR_RelThreshold &amp; P787</f>
        <v>RelThresh_HEATprelim_</v>
      </c>
      <c r="Q785" s="729"/>
      <c r="R785" s="729"/>
      <c r="S785" s="729"/>
      <c r="T785" s="729"/>
      <c r="U785" s="343"/>
      <c r="V785" s="343"/>
    </row>
    <row r="786" spans="1:22" s="364" customFormat="1" ht="12.75" customHeight="1" x14ac:dyDescent="0.3">
      <c r="A786" s="729"/>
      <c r="B786" s="302"/>
      <c r="C786" s="357"/>
      <c r="D786" s="1698"/>
      <c r="E786" s="1736" t="str">
        <f>Translations!$B$1379</f>
        <v>Критерий 3б: Надвишени ли са относителните прагове?</v>
      </c>
      <c r="F786" s="1736"/>
      <c r="G786" s="1736"/>
      <c r="H786" s="1737" t="s">
        <v>1052</v>
      </c>
      <c r="I786" s="1738"/>
      <c r="J786" s="1739" t="str">
        <f>INDEX(F_ProductBM!V:V,MATCH($P786,F_ProductBM!$Q:$Q,0))</f>
        <v/>
      </c>
      <c r="K786" s="1740" t="str">
        <f>INDEX(F_ProductBM!W:W,MATCH($P786,F_ProductBM!$Q:$Q,0))</f>
        <v/>
      </c>
      <c r="L786" s="1740" t="str">
        <f>INDEX(F_ProductBM!X:X,MATCH($P786,F_ProductBM!$Q:$Q,0))</f>
        <v/>
      </c>
      <c r="M786" s="1740" t="str">
        <f>INDEX(F_ProductBM!Y:Y,MATCH($P786,F_ProductBM!$Q:$Q,0))</f>
        <v/>
      </c>
      <c r="N786" s="1741" t="str">
        <f>INDEX(F_ProductBM!Z:Z,MATCH($P786,F_ProductBM!$Q:$Q,0))</f>
        <v/>
      </c>
      <c r="O786" s="698"/>
      <c r="P786" s="1190" t="str">
        <f>P785</f>
        <v>RelThresh_HEATprelim_</v>
      </c>
      <c r="Q786" s="729"/>
      <c r="R786" s="729"/>
      <c r="S786" s="729"/>
      <c r="T786" s="729"/>
      <c r="U786" s="343"/>
      <c r="V786" s="343"/>
    </row>
    <row r="787" spans="1:22" s="364" customFormat="1" ht="12.75" customHeight="1" x14ac:dyDescent="0.3">
      <c r="A787" s="729" t="str">
        <f>IF(P787="","ausblenden","")</f>
        <v/>
      </c>
      <c r="B787" s="302"/>
      <c r="C787" s="357"/>
      <c r="D787" s="1698"/>
      <c r="E787" s="401" t="str">
        <f>Translations!$B$1377</f>
        <v>Предварителна стойност</v>
      </c>
      <c r="F787" s="401"/>
      <c r="G787" s="401"/>
      <c r="H787" s="487" t="str">
        <f>EUconst_EUA</f>
        <v>Квота за емисии</v>
      </c>
      <c r="I787" s="401"/>
      <c r="J787" s="1743" t="str">
        <f>IF($I756="","",INDEX(F_ProductBM!J:J,MATCH($P787,F_ProductBM!$Q:$Q,0)))</f>
        <v/>
      </c>
      <c r="K787" s="1744" t="str">
        <f>IF($I756="","",INDEX(F_ProductBM!K:K,MATCH($P787,F_ProductBM!$Q:$Q,0)))</f>
        <v/>
      </c>
      <c r="L787" s="1744" t="str">
        <f>IF($I756="","",INDEX(F_ProductBM!L:L,MATCH($P787,F_ProductBM!$Q:$Q,0)))</f>
        <v/>
      </c>
      <c r="M787" s="1744" t="str">
        <f>IF($I756="","",INDEX(F_ProductBM!M:M,MATCH($P787,F_ProductBM!$Q:$Q,0)))</f>
        <v/>
      </c>
      <c r="N787" s="1745" t="str">
        <f>IF($I756="","",INDEX(F_ProductBM!N:N,MATCH($P787,F_ProductBM!$Q:$Q,0)))</f>
        <v/>
      </c>
      <c r="O787" s="698"/>
      <c r="P787" s="1190" t="str">
        <f>EUconst_CNTR_HEATprelim&amp;I756</f>
        <v>HEATprelim_</v>
      </c>
      <c r="Q787" s="729"/>
      <c r="R787" s="729"/>
      <c r="S787" s="729"/>
      <c r="T787" s="729"/>
      <c r="U787" s="343"/>
      <c r="V787" s="343"/>
    </row>
    <row r="788" spans="1:22" s="364" customFormat="1" ht="5.15" customHeight="1" x14ac:dyDescent="0.3">
      <c r="A788" s="729"/>
      <c r="B788" s="302"/>
      <c r="C788" s="357"/>
      <c r="D788" s="1698"/>
      <c r="E788" s="302"/>
      <c r="F788" s="302"/>
      <c r="G788" s="302"/>
      <c r="H788" s="302"/>
      <c r="I788" s="1746"/>
      <c r="J788" s="302"/>
      <c r="K788" s="302"/>
      <c r="L788" s="302"/>
      <c r="M788" s="302"/>
      <c r="N788" s="1747"/>
      <c r="O788" s="698"/>
      <c r="P788" s="729"/>
      <c r="Q788" s="729"/>
      <c r="R788" s="729"/>
      <c r="S788" s="729"/>
      <c r="T788" s="729"/>
      <c r="U788" s="343"/>
      <c r="V788" s="343"/>
    </row>
    <row r="789" spans="1:22" s="364" customFormat="1" ht="12.75" customHeight="1" x14ac:dyDescent="0.3">
      <c r="A789" s="729"/>
      <c r="B789" s="302"/>
      <c r="C789" s="357"/>
      <c r="D789" s="1698"/>
      <c r="E789" s="389" t="str">
        <f>Translations!$B$1382</f>
        <v>Промени: Корекция за ценни химически вещества (HVC)</v>
      </c>
      <c r="F789" s="498"/>
      <c r="G789" s="498"/>
      <c r="H789" s="527" t="str">
        <f>EUconst_Unit</f>
        <v>Единица мярка</v>
      </c>
      <c r="I789" s="1699"/>
      <c r="J789" s="1523">
        <f>J$2505</f>
        <v>2026</v>
      </c>
      <c r="K789" s="387">
        <f>K$2505</f>
        <v>2027</v>
      </c>
      <c r="L789" s="387">
        <f>L$2505</f>
        <v>2028</v>
      </c>
      <c r="M789" s="387">
        <f>M$2505</f>
        <v>2029</v>
      </c>
      <c r="N789" s="1544">
        <f>N$2505</f>
        <v>2030</v>
      </c>
      <c r="O789" s="698"/>
      <c r="P789" s="729"/>
      <c r="Q789" s="729"/>
      <c r="R789" s="729"/>
      <c r="S789" s="729"/>
      <c r="T789" s="729"/>
      <c r="U789" s="343"/>
      <c r="V789" s="343"/>
    </row>
    <row r="790" spans="1:22" s="364" customFormat="1" ht="12.75" customHeight="1" x14ac:dyDescent="0.3">
      <c r="A790" s="729"/>
      <c r="B790" s="302"/>
      <c r="C790" s="357"/>
      <c r="D790" s="1698"/>
      <c r="E790" s="392" t="str">
        <f>Translations!$B$1328</f>
        <v>Средна годишна стойност</v>
      </c>
      <c r="F790" s="392"/>
      <c r="G790" s="392"/>
      <c r="H790" s="481" t="str">
        <f>EUconst_EUA</f>
        <v>Квота за емисии</v>
      </c>
      <c r="I790" s="1716"/>
      <c r="J790" s="1748" t="str">
        <f>IF(L759=42,INDEX(H_SpecialBM!J:J,MATCH($P790,H_SpecialBM!$Q:$Q,0)),"")</f>
        <v/>
      </c>
      <c r="K790" s="1749" t="str">
        <f>IF(L759=42,INDEX(H_SpecialBM!K:K,MATCH($P790,H_SpecialBM!$Q:$Q,0)),"")</f>
        <v/>
      </c>
      <c r="L790" s="1749" t="str">
        <f>IF(L759=42,INDEX(H_SpecialBM!L:L,MATCH($P790,H_SpecialBM!$Q:$Q,0)),"")</f>
        <v/>
      </c>
      <c r="M790" s="1749" t="str">
        <f>IF(L759=42,INDEX(H_SpecialBM!M:M,MATCH($P790,H_SpecialBM!$Q:$Q,0)),"")</f>
        <v/>
      </c>
      <c r="N790" s="1750" t="str">
        <f>IF(L759=42,INDEX(H_SpecialBM!N:N,MATCH($P790,H_SpecialBM!$Q:$Q,0)),"")</f>
        <v/>
      </c>
      <c r="O790" s="698"/>
      <c r="P790" s="1190" t="str">
        <f>EUconst_CNTR_HVCInitial &amp; INDEX(EUconst_BMlistNames,MATCH(42,EUconst_BMlistMainNumberOfBM,0))</f>
        <v>HVCIni_Крекинг с водна пара</v>
      </c>
      <c r="Q790" s="729"/>
      <c r="R790" s="729"/>
      <c r="S790" s="729"/>
      <c r="T790" s="729"/>
      <c r="U790" s="343"/>
      <c r="V790" s="343"/>
    </row>
    <row r="791" spans="1:22" s="364" customFormat="1" ht="12.75" customHeight="1" x14ac:dyDescent="0.3">
      <c r="A791" s="729"/>
      <c r="B791" s="302"/>
      <c r="C791" s="357"/>
      <c r="D791" s="1698"/>
      <c r="E791" s="398" t="str">
        <f>Translations!$B$1378</f>
        <v>Промяна в сравнение със стойността в НМИ</v>
      </c>
      <c r="F791" s="398"/>
      <c r="G791" s="398"/>
      <c r="H791" s="1751" t="s">
        <v>1052</v>
      </c>
      <c r="I791" s="1735"/>
      <c r="J791" s="159" t="str">
        <f>IF(L759=42,INDEX(H_SpecialBM!J:J,MATCH($P791,H_SpecialBM!$Q:$Q,0)),"")</f>
        <v/>
      </c>
      <c r="K791" s="160" t="str">
        <f>IF(L759=42,INDEX(H_SpecialBM!K:K,MATCH($P791,H_SpecialBM!$Q:$Q,0)),"")</f>
        <v/>
      </c>
      <c r="L791" s="160" t="str">
        <f>IF(L759=42,INDEX(H_SpecialBM!L:L,MATCH($P791,H_SpecialBM!$Q:$Q,0)),"")</f>
        <v/>
      </c>
      <c r="M791" s="160" t="str">
        <f>IF(L759=42,INDEX(H_SpecialBM!M:M,MATCH($P791,H_SpecialBM!$Q:$Q,0)),"")</f>
        <v/>
      </c>
      <c r="N791" s="161" t="str">
        <f>IF(L759=42,INDEX(H_SpecialBM!N:N,MATCH($P791,H_SpecialBM!$Q:$Q,0)),"")</f>
        <v/>
      </c>
      <c r="O791" s="698"/>
      <c r="P791" s="1190" t="str">
        <f>EUconst_CNTR_RelThreshold &amp; P793</f>
        <v>RelThresh_HVCprelim_</v>
      </c>
      <c r="Q791" s="729"/>
      <c r="R791" s="729"/>
      <c r="S791" s="729"/>
      <c r="T791" s="729"/>
      <c r="U791" s="343"/>
      <c r="V791" s="343"/>
    </row>
    <row r="792" spans="1:22" s="364" customFormat="1" ht="12.75" customHeight="1" x14ac:dyDescent="0.3">
      <c r="A792" s="729"/>
      <c r="B792" s="302"/>
      <c r="C792" s="357"/>
      <c r="D792" s="1698"/>
      <c r="E792" s="1736" t="str">
        <f>Translations!$B$1381</f>
        <v>Критерий 3в: Надвишени ли са относителните прагове?</v>
      </c>
      <c r="F792" s="1736"/>
      <c r="G792" s="1736"/>
      <c r="H792" s="1738" t="s">
        <v>1052</v>
      </c>
      <c r="I792" s="1738"/>
      <c r="J792" s="1739" t="str">
        <f>IF(L759=42,INDEX(H_SpecialBM!V:V,MATCH($P792,H_SpecialBM!$Q:$Q,0)),"")</f>
        <v/>
      </c>
      <c r="K792" s="1740" t="str">
        <f>IF(L759=42,INDEX(H_SpecialBM!W:W,MATCH($P792,H_SpecialBM!$Q:$Q,0)),"")</f>
        <v/>
      </c>
      <c r="L792" s="1740" t="str">
        <f>IF(L759=42,INDEX(H_SpecialBM!X:X,MATCH($P792,H_SpecialBM!$Q:$Q,0)),"")</f>
        <v/>
      </c>
      <c r="M792" s="1740" t="str">
        <f>IF(L759=42,INDEX(H_SpecialBM!Y:Y,MATCH($P792,H_SpecialBM!$Q:$Q,0)),"")</f>
        <v/>
      </c>
      <c r="N792" s="1741" t="str">
        <f>IF(L759=42,INDEX(H_SpecialBM!Z:Z,MATCH($P792,H_SpecialBM!$Q:$Q,0)),"")</f>
        <v/>
      </c>
      <c r="O792" s="698"/>
      <c r="P792" s="1190" t="str">
        <f>P791</f>
        <v>RelThresh_HVCprelim_</v>
      </c>
      <c r="Q792" s="729"/>
      <c r="R792" s="729"/>
      <c r="S792" s="729"/>
      <c r="T792" s="729"/>
      <c r="U792" s="343"/>
      <c r="V792" s="343"/>
    </row>
    <row r="793" spans="1:22" s="364" customFormat="1" ht="12.75" customHeight="1" x14ac:dyDescent="0.3">
      <c r="A793" s="729" t="str">
        <f>IF(P793="","ausblenden","")</f>
        <v/>
      </c>
      <c r="B793" s="302"/>
      <c r="C793" s="357"/>
      <c r="D793" s="1698"/>
      <c r="E793" s="401" t="str">
        <f>Translations!$B$1377</f>
        <v>Предварителна стойност</v>
      </c>
      <c r="F793" s="401"/>
      <c r="G793" s="401"/>
      <c r="H793" s="483" t="str">
        <f>EUconst_EUA</f>
        <v>Квота за емисии</v>
      </c>
      <c r="I793" s="1724"/>
      <c r="J793" s="1752" t="str">
        <f>IF($L759=42,INDEX(H_SpecialBM!J:J,MATCH($P793,H_SpecialBM!$Q:$Q,0)),"")</f>
        <v/>
      </c>
      <c r="K793" s="1753" t="str">
        <f>IF($L759=42,INDEX(H_SpecialBM!K:K,MATCH($P793,H_SpecialBM!$Q:$Q,0)),"")</f>
        <v/>
      </c>
      <c r="L793" s="1753" t="str">
        <f>IF($L759=42,INDEX(H_SpecialBM!L:L,MATCH($P793,H_SpecialBM!$Q:$Q,0)),"")</f>
        <v/>
      </c>
      <c r="M793" s="1753" t="str">
        <f>IF($L759=42,INDEX(H_SpecialBM!M:M,MATCH($P793,H_SpecialBM!$Q:$Q,0)),"")</f>
        <v/>
      </c>
      <c r="N793" s="1754" t="str">
        <f>IF($L759=42,INDEX(H_SpecialBM!N:N,MATCH($P793,H_SpecialBM!$Q:$Q,0)),"")</f>
        <v/>
      </c>
      <c r="O793" s="698"/>
      <c r="P793" s="1190" t="str">
        <f>EUconst_CNTR_HVCprelim</f>
        <v>HVCprelim_</v>
      </c>
      <c r="Q793" s="729"/>
      <c r="R793" s="729"/>
      <c r="S793" s="729"/>
      <c r="T793" s="729"/>
      <c r="U793" s="343"/>
      <c r="V793" s="343"/>
    </row>
    <row r="794" spans="1:22" s="364" customFormat="1" ht="5.15" customHeight="1" x14ac:dyDescent="0.3">
      <c r="A794" s="729"/>
      <c r="B794" s="302"/>
      <c r="C794" s="357"/>
      <c r="D794" s="1698"/>
      <c r="E794" s="302"/>
      <c r="F794" s="302"/>
      <c r="G794" s="302"/>
      <c r="H794" s="302"/>
      <c r="I794" s="1746"/>
      <c r="J794" s="302"/>
      <c r="K794" s="302"/>
      <c r="L794" s="302"/>
      <c r="M794" s="302"/>
      <c r="N794" s="1747"/>
      <c r="O794" s="698"/>
      <c r="P794" s="729"/>
      <c r="Q794" s="729"/>
      <c r="R794" s="729"/>
      <c r="S794" s="729"/>
      <c r="T794" s="729"/>
      <c r="U794" s="343"/>
      <c r="V794" s="343"/>
    </row>
    <row r="795" spans="1:22" s="364" customFormat="1" ht="12.75" customHeight="1" x14ac:dyDescent="0.3">
      <c r="A795" s="729"/>
      <c r="B795" s="302"/>
      <c r="C795" s="357"/>
      <c r="D795" s="1698"/>
      <c r="E795" s="389" t="str">
        <f>Translations!$B$1384</f>
        <v>Промени: Корекция за винилхлориден мономер (VCM)</v>
      </c>
      <c r="F795" s="498"/>
      <c r="G795" s="498"/>
      <c r="H795" s="527" t="str">
        <f>EUconst_Unit</f>
        <v>Единица мярка</v>
      </c>
      <c r="I795" s="1699"/>
      <c r="J795" s="1523">
        <f>J$2505</f>
        <v>2026</v>
      </c>
      <c r="K795" s="387">
        <f>K$2505</f>
        <v>2027</v>
      </c>
      <c r="L795" s="387">
        <f>L$2505</f>
        <v>2028</v>
      </c>
      <c r="M795" s="387">
        <f>M$2505</f>
        <v>2029</v>
      </c>
      <c r="N795" s="1544">
        <f>N$2505</f>
        <v>2030</v>
      </c>
      <c r="O795" s="698"/>
      <c r="P795" s="729"/>
      <c r="Q795" s="729"/>
      <c r="R795" s="729"/>
      <c r="S795" s="729"/>
      <c r="T795" s="729"/>
      <c r="U795" s="343"/>
      <c r="V795" s="343"/>
    </row>
    <row r="796" spans="1:22" s="364" customFormat="1" ht="12.75" customHeight="1" x14ac:dyDescent="0.3">
      <c r="A796" s="729"/>
      <c r="B796" s="302"/>
      <c r="C796" s="357"/>
      <c r="D796" s="1698"/>
      <c r="E796" s="392" t="str">
        <f>Translations!$B$1328</f>
        <v>Средна годишна стойност</v>
      </c>
      <c r="F796" s="392"/>
      <c r="G796" s="392"/>
      <c r="H796" s="485" t="s">
        <v>1052</v>
      </c>
      <c r="I796" s="1716"/>
      <c r="J796" s="1755" t="str">
        <f>IF(L759=47,INDEX(H_SpecialBM!J:J,MATCH($P796,H_SpecialBM!$Q:$Q,0)),"")</f>
        <v/>
      </c>
      <c r="K796" s="1756" t="str">
        <f>IF(L759=47,INDEX(H_SpecialBM!K:K,MATCH($P796,H_SpecialBM!$Q:$Q,0)),"")</f>
        <v/>
      </c>
      <c r="L796" s="1756" t="str">
        <f>IF(L759=47,INDEX(H_SpecialBM!L:L,MATCH($P796,H_SpecialBM!$Q:$Q,0)),"")</f>
        <v/>
      </c>
      <c r="M796" s="1756" t="str">
        <f>IF(L759=47,INDEX(H_SpecialBM!M:M,MATCH($P796,H_SpecialBM!$Q:$Q,0)),"")</f>
        <v/>
      </c>
      <c r="N796" s="1757" t="str">
        <f>IF(L759=47,INDEX(H_SpecialBM!N:N,MATCH($P796,H_SpecialBM!$Q:$Q,0)),"")</f>
        <v/>
      </c>
      <c r="O796" s="698"/>
      <c r="P796" s="1190" t="str">
        <f>EUconst_CNTR_VCMInitial &amp; INDEX(EUconst_BMlistNames,MATCH(47,EUconst_BMlistMainNumberOfBM,0))</f>
        <v>VCMIni_Винилхлориден мономер</v>
      </c>
      <c r="Q796" s="729"/>
      <c r="R796" s="729"/>
      <c r="S796" s="729"/>
      <c r="T796" s="729"/>
      <c r="U796" s="343"/>
      <c r="V796" s="343"/>
    </row>
    <row r="797" spans="1:22" s="364" customFormat="1" ht="12.75" customHeight="1" x14ac:dyDescent="0.3">
      <c r="A797" s="729"/>
      <c r="B797" s="302"/>
      <c r="C797" s="357"/>
      <c r="D797" s="1698"/>
      <c r="E797" s="398" t="str">
        <f>Translations!$B$1378</f>
        <v>Промяна в сравнение със стойността в НМИ</v>
      </c>
      <c r="F797" s="398"/>
      <c r="G797" s="398"/>
      <c r="H797" s="1751" t="s">
        <v>1052</v>
      </c>
      <c r="I797" s="1735"/>
      <c r="J797" s="159" t="str">
        <f>IF(L759=47,INDEX(H_SpecialBM!J:J,MATCH($P797,H_SpecialBM!$Q:$Q,0)),"")</f>
        <v/>
      </c>
      <c r="K797" s="160" t="str">
        <f>IF(L759=47,INDEX(H_SpecialBM!K:K,MATCH($P797,H_SpecialBM!$Q:$Q,0)),"")</f>
        <v/>
      </c>
      <c r="L797" s="160" t="str">
        <f>IF(L759=47,INDEX(H_SpecialBM!L:L,MATCH($P797,H_SpecialBM!$Q:$Q,0)),"")</f>
        <v/>
      </c>
      <c r="M797" s="160" t="str">
        <f>IF(L759=47,INDEX(H_SpecialBM!M:M,MATCH($P797,H_SpecialBM!$Q:$Q,0)),"")</f>
        <v/>
      </c>
      <c r="N797" s="161" t="str">
        <f>IF(L759=47,INDEX(H_SpecialBM!N:N,MATCH($P797,H_SpecialBM!$Q:$Q,0)),"")</f>
        <v/>
      </c>
      <c r="O797" s="698"/>
      <c r="P797" s="1190" t="str">
        <f>EUconst_CNTR_RelThreshold &amp; P799</f>
        <v>RelThresh_VCMprelim_</v>
      </c>
      <c r="Q797" s="729"/>
      <c r="R797" s="729"/>
      <c r="S797" s="729"/>
      <c r="T797" s="729"/>
      <c r="U797" s="343"/>
      <c r="V797" s="343"/>
    </row>
    <row r="798" spans="1:22" s="364" customFormat="1" ht="12.75" customHeight="1" x14ac:dyDescent="0.3">
      <c r="A798" s="729"/>
      <c r="B798" s="302"/>
      <c r="C798" s="357"/>
      <c r="D798" s="1698"/>
      <c r="E798" s="1736" t="str">
        <f>Translations!$B$1383</f>
        <v>Критерий 3г: Надвишени ли са относителните прагове?</v>
      </c>
      <c r="F798" s="1736"/>
      <c r="G798" s="1736"/>
      <c r="H798" s="1738" t="s">
        <v>1052</v>
      </c>
      <c r="I798" s="1738"/>
      <c r="J798" s="1739" t="str">
        <f>IF(L759=47,INDEX(H_SpecialBM!V:V,MATCH($P798,H_SpecialBM!$Q:$Q,0)),"")</f>
        <v/>
      </c>
      <c r="K798" s="1740" t="str">
        <f>IF(L759=47,INDEX(H_SpecialBM!W:W,MATCH($P798,H_SpecialBM!$Q:$Q,0)),"")</f>
        <v/>
      </c>
      <c r="L798" s="1740" t="str">
        <f>IF(L759=47,INDEX(H_SpecialBM!X:X,MATCH($P798,H_SpecialBM!$Q:$Q,0)),"")</f>
        <v/>
      </c>
      <c r="M798" s="1740" t="str">
        <f>IF(L759=47,INDEX(H_SpecialBM!Y:Y,MATCH($P798,H_SpecialBM!$Q:$Q,0)),"")</f>
        <v/>
      </c>
      <c r="N798" s="1741" t="str">
        <f>IF(L759=47,INDEX(H_SpecialBM!Z:Z,MATCH($P798,H_SpecialBM!$Q:$Q,0)),"")</f>
        <v/>
      </c>
      <c r="O798" s="698"/>
      <c r="P798" s="1190" t="str">
        <f>P797</f>
        <v>RelThresh_VCMprelim_</v>
      </c>
      <c r="Q798" s="729"/>
      <c r="R798" s="729"/>
      <c r="S798" s="729"/>
      <c r="T798" s="729"/>
      <c r="U798" s="343"/>
      <c r="V798" s="343"/>
    </row>
    <row r="799" spans="1:22" s="364" customFormat="1" ht="12.75" customHeight="1" x14ac:dyDescent="0.3">
      <c r="A799" s="729" t="str">
        <f>IF(P799="","ausblenden","")</f>
        <v/>
      </c>
      <c r="B799" s="302"/>
      <c r="C799" s="357"/>
      <c r="D799" s="1698"/>
      <c r="E799" s="401" t="str">
        <f>Translations!$B$1377</f>
        <v>Предварителна стойност</v>
      </c>
      <c r="F799" s="401"/>
      <c r="G799" s="401"/>
      <c r="H799" s="483" t="s">
        <v>1052</v>
      </c>
      <c r="I799" s="1724"/>
      <c r="J799" s="1758" t="str">
        <f>IF($L759=47,IF(ISNUMBER(INDEX(H_SpecialBM!J:J,MATCH($P799,H_SpecialBM!$Q:$Q,0))),INDEX(H_SpecialBM!J:J,MATCH($P799,H_SpecialBM!$Q:$Q,0)),1),"")</f>
        <v/>
      </c>
      <c r="K799" s="1759" t="str">
        <f>IF($L759=47,IF(ISNUMBER(INDEX(H_SpecialBM!K:K,MATCH($P799,H_SpecialBM!$Q:$Q,0))),INDEX(H_SpecialBM!K:K,MATCH($P799,H_SpecialBM!$Q:$Q,0)),1),"")</f>
        <v/>
      </c>
      <c r="L799" s="1759" t="str">
        <f>IF($L759=47,IF(ISNUMBER(INDEX(H_SpecialBM!L:L,MATCH($P799,H_SpecialBM!$Q:$Q,0))),INDEX(H_SpecialBM!L:L,MATCH($P799,H_SpecialBM!$Q:$Q,0)),1),"")</f>
        <v/>
      </c>
      <c r="M799" s="1759" t="str">
        <f>IF($L759=47,IF(ISNUMBER(INDEX(H_SpecialBM!M:M,MATCH($P799,H_SpecialBM!$Q:$Q,0))),INDEX(H_SpecialBM!M:M,MATCH($P799,H_SpecialBM!$Q:$Q,0)),1),"")</f>
        <v/>
      </c>
      <c r="N799" s="1760" t="str">
        <f>IF($L759=47,IF(ISNUMBER(INDEX(H_SpecialBM!N:N,MATCH($P799,H_SpecialBM!$Q:$Q,0))),INDEX(H_SpecialBM!N:N,MATCH($P799,H_SpecialBM!$Q:$Q,0)),1),"")</f>
        <v/>
      </c>
      <c r="O799" s="698"/>
      <c r="P799" s="1190" t="str">
        <f>EUconst_CNTR_VCMprelim</f>
        <v>VCMprelim_</v>
      </c>
      <c r="Q799" s="729"/>
      <c r="R799" s="729"/>
      <c r="S799" s="729"/>
      <c r="T799" s="729"/>
      <c r="U799" s="343"/>
      <c r="V799" s="343"/>
    </row>
    <row r="800" spans="1:22" s="364" customFormat="1" ht="5.15" customHeight="1" x14ac:dyDescent="0.3">
      <c r="A800" s="729"/>
      <c r="B800" s="302"/>
      <c r="C800" s="357"/>
      <c r="D800" s="1698"/>
      <c r="E800" s="302"/>
      <c r="F800" s="302"/>
      <c r="G800" s="302"/>
      <c r="H800" s="302"/>
      <c r="I800" s="1746"/>
      <c r="J800" s="302"/>
      <c r="K800" s="302"/>
      <c r="L800" s="302"/>
      <c r="M800" s="302"/>
      <c r="N800" s="1747"/>
      <c r="O800" s="698"/>
      <c r="P800" s="729"/>
      <c r="Q800" s="729"/>
      <c r="R800" s="729"/>
      <c r="S800" s="729"/>
      <c r="T800" s="729"/>
      <c r="U800" s="343"/>
      <c r="V800" s="343"/>
    </row>
    <row r="801" spans="1:22" s="364" customFormat="1" ht="12.75" customHeight="1" x14ac:dyDescent="0.3">
      <c r="A801" s="729"/>
      <c r="B801" s="302"/>
      <c r="C801" s="357"/>
      <c r="D801" s="1698"/>
      <c r="E801" s="389" t="str">
        <f>Translations!$B$1386</f>
        <v>Промени: Изгорен във факел отпаден газ</v>
      </c>
      <c r="F801" s="498"/>
      <c r="G801" s="498"/>
      <c r="H801" s="527" t="str">
        <f>EUconst_Unit</f>
        <v>Единица мярка</v>
      </c>
      <c r="I801" s="1699"/>
      <c r="J801" s="1523">
        <f>J$2505</f>
        <v>2026</v>
      </c>
      <c r="K801" s="387">
        <f>K$2505</f>
        <v>2027</v>
      </c>
      <c r="L801" s="387">
        <f>L$2505</f>
        <v>2028</v>
      </c>
      <c r="M801" s="387">
        <f>M$2505</f>
        <v>2029</v>
      </c>
      <c r="N801" s="1544">
        <f>N$2505</f>
        <v>2030</v>
      </c>
      <c r="O801" s="698"/>
      <c r="P801" s="729"/>
      <c r="Q801" s="729"/>
      <c r="R801" s="729"/>
      <c r="S801" s="729"/>
      <c r="T801" s="729"/>
      <c r="U801" s="343"/>
      <c r="V801" s="343"/>
    </row>
    <row r="802" spans="1:22" s="364" customFormat="1" ht="12.75" customHeight="1" x14ac:dyDescent="0.3">
      <c r="A802" s="729"/>
      <c r="B802" s="302"/>
      <c r="C802" s="357"/>
      <c r="D802" s="1698"/>
      <c r="E802" s="392" t="str">
        <f>Translations!$B$1328</f>
        <v>Средна годишна стойност</v>
      </c>
      <c r="F802" s="392"/>
      <c r="G802" s="392"/>
      <c r="H802" s="485" t="str">
        <f>EUconst_tCO2</f>
        <v>t CO2</v>
      </c>
      <c r="I802" s="1716"/>
      <c r="J802" s="1732" t="str">
        <f>INDEX(F_ProductBM!J:J,MATCH($P802,F_ProductBM!$Q:$Q,0))</f>
        <v/>
      </c>
      <c r="K802" s="394" t="str">
        <f>INDEX(F_ProductBM!K:K,MATCH($P802,F_ProductBM!$Q:$Q,0))</f>
        <v/>
      </c>
      <c r="L802" s="394" t="str">
        <f>INDEX(F_ProductBM!L:L,MATCH($P802,F_ProductBM!$Q:$Q,0))</f>
        <v/>
      </c>
      <c r="M802" s="394" t="str">
        <f>INDEX(F_ProductBM!M:M,MATCH($P802,F_ProductBM!$Q:$Q,0))</f>
        <v/>
      </c>
      <c r="N802" s="1733" t="str">
        <f>INDEX(F_ProductBM!N:N,MATCH($P802,F_ProductBM!$Q:$Q,0))</f>
        <v/>
      </c>
      <c r="O802" s="698"/>
      <c r="P802" s="1190" t="str">
        <f>EUconst_CNTR_HALinitial &amp; EUconst_CNTR_WGFlared &amp; I756</f>
        <v>HALini_WasteGasFlare_</v>
      </c>
      <c r="Q802" s="729"/>
      <c r="R802" s="729"/>
      <c r="S802" s="729"/>
      <c r="T802" s="729"/>
      <c r="U802" s="343"/>
      <c r="V802" s="343"/>
    </row>
    <row r="803" spans="1:22" s="364" customFormat="1" ht="12.75" customHeight="1" x14ac:dyDescent="0.3">
      <c r="A803" s="729"/>
      <c r="B803" s="302"/>
      <c r="C803" s="357"/>
      <c r="D803" s="1698"/>
      <c r="E803" s="398" t="str">
        <f>Translations!$B$1378</f>
        <v>Промяна в сравнение със стойността в НМИ</v>
      </c>
      <c r="F803" s="398"/>
      <c r="G803" s="398"/>
      <c r="H803" s="1734" t="s">
        <v>1052</v>
      </c>
      <c r="I803" s="1735"/>
      <c r="J803" s="159" t="str">
        <f>INDEX(F_ProductBM!J:J,MATCH($P803,F_ProductBM!$Q:$Q,0))</f>
        <v/>
      </c>
      <c r="K803" s="160" t="str">
        <f>INDEX(F_ProductBM!K:K,MATCH($P803,F_ProductBM!$Q:$Q,0))</f>
        <v/>
      </c>
      <c r="L803" s="160" t="str">
        <f>INDEX(F_ProductBM!L:L,MATCH($P803,F_ProductBM!$Q:$Q,0))</f>
        <v/>
      </c>
      <c r="M803" s="160" t="str">
        <f>INDEX(F_ProductBM!M:M,MATCH($P803,F_ProductBM!$Q:$Q,0))</f>
        <v/>
      </c>
      <c r="N803" s="161" t="str">
        <f>INDEX(F_ProductBM!N:N,MATCH($P803,F_ProductBM!$Q:$Q,0))</f>
        <v/>
      </c>
      <c r="O803" s="698"/>
      <c r="P803" s="1190" t="str">
        <f>EUconst_CNTR_RelThreshold &amp; P805</f>
        <v>RelThresh_HALprelim_WasteGasFlare_</v>
      </c>
      <c r="Q803" s="729"/>
      <c r="R803" s="729"/>
      <c r="S803" s="729"/>
      <c r="T803" s="729"/>
      <c r="U803" s="343"/>
      <c r="V803" s="343"/>
    </row>
    <row r="804" spans="1:22" s="364" customFormat="1" ht="12.75" customHeight="1" x14ac:dyDescent="0.3">
      <c r="A804" s="729"/>
      <c r="B804" s="302"/>
      <c r="C804" s="357"/>
      <c r="D804" s="1698"/>
      <c r="E804" s="1736" t="str">
        <f>Translations!$B$1385</f>
        <v>Критерий 3д: Надвишени ли са относителните прагове?</v>
      </c>
      <c r="F804" s="1736"/>
      <c r="G804" s="1736"/>
      <c r="H804" s="1737" t="s">
        <v>1052</v>
      </c>
      <c r="I804" s="1738"/>
      <c r="J804" s="1739" t="str">
        <f>INDEX(F_ProductBM!V:V,MATCH($P804,F_ProductBM!$Q:$Q,0))</f>
        <v/>
      </c>
      <c r="K804" s="1740" t="str">
        <f>INDEX(F_ProductBM!W:W,MATCH($P804,F_ProductBM!$Q:$Q,0))</f>
        <v/>
      </c>
      <c r="L804" s="1740" t="str">
        <f>INDEX(F_ProductBM!X:X,MATCH($P804,F_ProductBM!$Q:$Q,0))</f>
        <v/>
      </c>
      <c r="M804" s="1740" t="str">
        <f>INDEX(F_ProductBM!Y:Y,MATCH($P804,F_ProductBM!$Q:$Q,0))</f>
        <v/>
      </c>
      <c r="N804" s="1741" t="str">
        <f>INDEX(F_ProductBM!Z:Z,MATCH($P804,F_ProductBM!$Q:$Q,0))</f>
        <v/>
      </c>
      <c r="O804" s="698"/>
      <c r="P804" s="1190" t="str">
        <f>P803</f>
        <v>RelThresh_HALprelim_WasteGasFlare_</v>
      </c>
      <c r="Q804" s="729"/>
      <c r="R804" s="729"/>
      <c r="S804" s="729"/>
      <c r="T804" s="729"/>
      <c r="U804" s="343"/>
      <c r="V804" s="343"/>
    </row>
    <row r="805" spans="1:22" s="364" customFormat="1" ht="12.75" customHeight="1" x14ac:dyDescent="0.3">
      <c r="A805" s="729" t="str">
        <f>IF(P805="","ausblenden","")</f>
        <v/>
      </c>
      <c r="B805" s="302"/>
      <c r="C805" s="357"/>
      <c r="D805" s="1698"/>
      <c r="E805" s="401" t="str">
        <f>Translations!$B$1377</f>
        <v>Предварителна стойност</v>
      </c>
      <c r="F805" s="401"/>
      <c r="G805" s="401"/>
      <c r="H805" s="483" t="str">
        <f>EUconst_tCO2</f>
        <v>t CO2</v>
      </c>
      <c r="I805" s="1724"/>
      <c r="J805" s="1743" t="str">
        <f>IF(OR($I756="",CNTR_SubPeriod=1),"",INDEX(F_ProductBM!J:J,MATCH($P805,F_ProductBM!$Q:$Q,0)))</f>
        <v/>
      </c>
      <c r="K805" s="1744" t="str">
        <f>IF(OR($I756="",CNTR_SubPeriod=1),"",INDEX(F_ProductBM!K:K,MATCH($P805,F_ProductBM!$Q:$Q,0)))</f>
        <v/>
      </c>
      <c r="L805" s="1744" t="str">
        <f>IF(OR($I756="",CNTR_SubPeriod=1),"",INDEX(F_ProductBM!L:L,MATCH($P805,F_ProductBM!$Q:$Q,0)))</f>
        <v/>
      </c>
      <c r="M805" s="1744" t="str">
        <f>IF(OR($I756="",CNTR_SubPeriod=1),"",INDEX(F_ProductBM!M:M,MATCH($P805,F_ProductBM!$Q:$Q,0)))</f>
        <v/>
      </c>
      <c r="N805" s="1745" t="str">
        <f>IF(OR($I756="",CNTR_SubPeriod=1),"",INDEX(F_ProductBM!N:N,MATCH($P805,F_ProductBM!$Q:$Q,0)))</f>
        <v/>
      </c>
      <c r="O805" s="698"/>
      <c r="P805" s="1190" t="str">
        <f>EUconst_CNTR_HALprelim&amp;EUconst_CNTR_WGFlared&amp;$I756</f>
        <v>HALprelim_WasteGasFlare_</v>
      </c>
      <c r="Q805" s="729"/>
      <c r="R805" s="729"/>
      <c r="S805" s="729"/>
      <c r="T805" s="729"/>
      <c r="U805" s="343"/>
      <c r="V805" s="343"/>
    </row>
    <row r="806" spans="1:22" s="364" customFormat="1" ht="12.75" customHeight="1" thickBot="1" x14ac:dyDescent="0.35">
      <c r="A806" s="729"/>
      <c r="B806" s="302"/>
      <c r="C806" s="357"/>
      <c r="D806" s="1761"/>
      <c r="E806" s="1762"/>
      <c r="F806" s="1762"/>
      <c r="G806" s="1762"/>
      <c r="H806" s="1762"/>
      <c r="I806" s="1763"/>
      <c r="J806" s="1762"/>
      <c r="K806" s="1762"/>
      <c r="L806" s="1762"/>
      <c r="M806" s="1762"/>
      <c r="N806" s="1764"/>
      <c r="O806" s="698"/>
      <c r="P806" s="729"/>
      <c r="Q806" s="729"/>
      <c r="R806" s="729"/>
      <c r="S806" s="729"/>
      <c r="T806" s="729"/>
      <c r="U806" s="343"/>
      <c r="V806" s="343"/>
    </row>
    <row r="807" spans="1:22" s="364" customFormat="1" ht="5.15" customHeight="1" thickBot="1" x14ac:dyDescent="0.35">
      <c r="A807" s="729"/>
      <c r="B807" s="302"/>
      <c r="C807" s="357"/>
      <c r="D807" s="357"/>
      <c r="E807" s="302"/>
      <c r="F807" s="302"/>
      <c r="G807" s="302"/>
      <c r="H807" s="302"/>
      <c r="I807" s="1746"/>
      <c r="J807" s="302"/>
      <c r="K807" s="302"/>
      <c r="L807" s="302"/>
      <c r="M807" s="302"/>
      <c r="N807" s="302"/>
      <c r="O807" s="698"/>
      <c r="P807" s="729"/>
      <c r="Q807" s="729"/>
      <c r="R807" s="729"/>
      <c r="S807" s="729"/>
      <c r="T807" s="729"/>
      <c r="U807" s="343"/>
      <c r="V807" s="343"/>
    </row>
    <row r="808" spans="1:22" s="364" customFormat="1" ht="5.15" customHeight="1" x14ac:dyDescent="0.25">
      <c r="A808" s="729"/>
      <c r="B808" s="302"/>
      <c r="C808" s="302"/>
      <c r="D808" s="1765"/>
      <c r="E808" s="1766"/>
      <c r="F808" s="1766"/>
      <c r="G808" s="1766"/>
      <c r="H808" s="1766"/>
      <c r="I808" s="1767"/>
      <c r="J808" s="1766"/>
      <c r="K808" s="1766"/>
      <c r="L808" s="1766"/>
      <c r="M808" s="1766"/>
      <c r="N808" s="1768"/>
      <c r="O808" s="698"/>
      <c r="P808" s="729"/>
      <c r="Q808" s="729"/>
      <c r="R808" s="729"/>
      <c r="S808" s="729"/>
      <c r="T808" s="770"/>
      <c r="U808" s="343"/>
      <c r="V808" s="343"/>
    </row>
    <row r="809" spans="1:22" s="364" customFormat="1" ht="13" x14ac:dyDescent="0.25">
      <c r="A809" s="729"/>
      <c r="B809" s="302"/>
      <c r="C809" s="302"/>
      <c r="D809" s="344"/>
      <c r="E809" s="1769" t="str">
        <f>Translations!$B$1583</f>
        <v>Предварителни стойности за критерий &gt; 300 EUA</v>
      </c>
      <c r="F809" s="1746"/>
      <c r="G809" s="1746"/>
      <c r="H809" s="1699" t="str">
        <f>EUconst_Unit</f>
        <v>Единица мярка</v>
      </c>
      <c r="I809" s="1770" t="str">
        <f>Translations!$B$1341</f>
        <v>Базова стойност</v>
      </c>
      <c r="J809" s="1771">
        <f>J$2505</f>
        <v>2026</v>
      </c>
      <c r="K809" s="1772">
        <f>K$2505</f>
        <v>2027</v>
      </c>
      <c r="L809" s="1772">
        <f>L$2505</f>
        <v>2028</v>
      </c>
      <c r="M809" s="1772">
        <f>M$2505</f>
        <v>2029</v>
      </c>
      <c r="N809" s="1773">
        <f>N$2505</f>
        <v>2030</v>
      </c>
      <c r="O809" s="698"/>
      <c r="P809" s="729"/>
      <c r="Q809" s="729"/>
      <c r="R809" s="729"/>
      <c r="S809" s="729"/>
      <c r="T809" s="729"/>
      <c r="U809" s="729"/>
      <c r="V809" s="729"/>
    </row>
    <row r="810" spans="1:22" s="364" customFormat="1" x14ac:dyDescent="0.25">
      <c r="A810" s="729"/>
      <c r="B810" s="302"/>
      <c r="C810" s="302"/>
      <c r="D810" s="344"/>
      <c r="E810" s="1774" t="str">
        <f>Translations!$B$1388</f>
        <v>Равнище на дейност</v>
      </c>
      <c r="F810" s="1774"/>
      <c r="G810" s="1774"/>
      <c r="H810" s="1775" t="str">
        <f>F762</f>
        <v>тона</v>
      </c>
      <c r="I810" s="1776" t="str">
        <f>IF($I756="","",IF(T827&gt;=$H$2505,0,S822))</f>
        <v/>
      </c>
      <c r="J810" s="1717" t="str">
        <f>IF($I756="","",INDEX(F_ProductBM!J:J,MATCH($P810,F_ProductBM!$Q:$Q,0)))</f>
        <v/>
      </c>
      <c r="K810" s="1718" t="str">
        <f>IF($I756="","",INDEX(F_ProductBM!K:K,MATCH($P810,F_ProductBM!$Q:$Q,0)))</f>
        <v/>
      </c>
      <c r="L810" s="1718" t="str">
        <f>IF($I756="","",INDEX(F_ProductBM!L:L,MATCH($P810,F_ProductBM!$Q:$Q,0)))</f>
        <v/>
      </c>
      <c r="M810" s="1718" t="str">
        <f>IF($I756="","",INDEX(F_ProductBM!M:M,MATCH($P810,F_ProductBM!$Q:$Q,0)))</f>
        <v/>
      </c>
      <c r="N810" s="1719" t="str">
        <f>IF($I756="","",INDEX(F_ProductBM!N:N,MATCH($P810,F_ProductBM!$Q:$Q,0)))</f>
        <v/>
      </c>
      <c r="O810" s="698"/>
      <c r="P810" s="1190" t="str">
        <f>EUconst_CNTR_HALprelim&amp;I756</f>
        <v>HALprelim_</v>
      </c>
      <c r="Q810" s="729"/>
      <c r="R810" s="729"/>
      <c r="S810" s="729"/>
      <c r="T810" s="729"/>
      <c r="U810" s="729"/>
      <c r="V810" s="729"/>
    </row>
    <row r="811" spans="1:22" s="364" customFormat="1" x14ac:dyDescent="0.25">
      <c r="A811" s="729"/>
      <c r="B811" s="302"/>
      <c r="C811" s="302"/>
      <c r="D811" s="344"/>
      <c r="E811" s="1777" t="str">
        <f>Translations!$B$949</f>
        <v>топл. ен. извън СТЕ</v>
      </c>
      <c r="F811" s="1777"/>
      <c r="G811" s="1777"/>
      <c r="H811" s="1778" t="str">
        <f>EUconst_EUA</f>
        <v>Квота за емисии</v>
      </c>
      <c r="I811" s="1779" t="str">
        <f>IF($I756="","",IF(YEAR(J759)&gt;=$H$2505-1,0,S823))</f>
        <v/>
      </c>
      <c r="J811" s="1780" t="str">
        <f>IF($I$500="","",INDEX(F_ProductBM!J:J,MATCH($P811,F_ProductBM!$Q:$Q,0)))</f>
        <v/>
      </c>
      <c r="K811" s="1781" t="str">
        <f>IF($I$500="","",INDEX(F_ProductBM!K:K,MATCH($P811,F_ProductBM!$Q:$Q,0)))</f>
        <v/>
      </c>
      <c r="L811" s="1781" t="str">
        <f>IF($I$500="","",INDEX(F_ProductBM!L:L,MATCH($P811,F_ProductBM!$Q:$Q,0)))</f>
        <v/>
      </c>
      <c r="M811" s="1781" t="str">
        <f>IF($I$500="","",INDEX(F_ProductBM!M:M,MATCH($P811,F_ProductBM!$Q:$Q,0)))</f>
        <v/>
      </c>
      <c r="N811" s="1782" t="str">
        <f>IF($I$500="","",INDEX(F_ProductBM!N:N,MATCH($P811,F_ProductBM!$Q:$Q,0)))</f>
        <v/>
      </c>
      <c r="O811" s="698"/>
      <c r="P811" s="1190" t="str">
        <f>EUconst_CNTR_HEATprelim&amp;I756</f>
        <v>HEATprelim_</v>
      </c>
      <c r="Q811" s="729"/>
      <c r="R811" s="729"/>
      <c r="S811" s="729"/>
      <c r="T811" s="729"/>
      <c r="U811" s="729"/>
      <c r="V811" s="729"/>
    </row>
    <row r="812" spans="1:22" s="364" customFormat="1" x14ac:dyDescent="0.25">
      <c r="A812" s="729"/>
      <c r="B812" s="302"/>
      <c r="C812" s="302"/>
      <c r="D812" s="344"/>
      <c r="E812" s="1783" t="str">
        <f>Translations!$B$951</f>
        <v>WGflare</v>
      </c>
      <c r="F812" s="1783"/>
      <c r="G812" s="1783"/>
      <c r="H812" s="1784" t="str">
        <f>EUconst_EUA</f>
        <v>Квота за емисии</v>
      </c>
      <c r="I812" s="1785" t="str">
        <f>IF($I756="","",IF(T827&gt;=$H$2505,0,S824))</f>
        <v/>
      </c>
      <c r="J812" s="1721" t="str">
        <f>IF($I756="","",INDEX(F_ProductBM!J:J,MATCH($P812,F_ProductBM!$Q:$Q,0)))</f>
        <v/>
      </c>
      <c r="K812" s="1722" t="str">
        <f>IF($I756="","",INDEX(F_ProductBM!K:K,MATCH($P812,F_ProductBM!$Q:$Q,0)))</f>
        <v/>
      </c>
      <c r="L812" s="1722" t="str">
        <f>IF($I756="","",INDEX(F_ProductBM!L:L,MATCH($P812,F_ProductBM!$Q:$Q,0)))</f>
        <v/>
      </c>
      <c r="M812" s="1722" t="str">
        <f>IF($I756="","",INDEX(F_ProductBM!M:M,MATCH($P812,F_ProductBM!$Q:$Q,0)))</f>
        <v/>
      </c>
      <c r="N812" s="1723" t="str">
        <f>IF($I756="","",INDEX(F_ProductBM!N:N,MATCH($P812,F_ProductBM!$Q:$Q,0)))</f>
        <v/>
      </c>
      <c r="O812" s="698"/>
      <c r="P812" s="1190" t="str">
        <f>EUconst_CNTR_HALprelim&amp;EUconst_CNTR_WGFlared&amp;$I756</f>
        <v>HALprelim_WasteGasFlare_</v>
      </c>
      <c r="Q812" s="729"/>
      <c r="R812" s="729"/>
      <c r="S812" s="729"/>
      <c r="T812" s="729"/>
      <c r="U812" s="729"/>
      <c r="V812" s="729"/>
    </row>
    <row r="813" spans="1:22" s="364" customFormat="1" x14ac:dyDescent="0.25">
      <c r="A813" s="729"/>
      <c r="B813" s="302"/>
      <c r="C813" s="302"/>
      <c r="D813" s="344"/>
      <c r="E813" s="1783" t="s">
        <v>1442</v>
      </c>
      <c r="F813" s="1783"/>
      <c r="G813" s="1783"/>
      <c r="H813" s="1784" t="str">
        <f>EUconst_EUA</f>
        <v>Квота за емисии</v>
      </c>
      <c r="I813" s="1785" t="str">
        <f>IF($I756="","",IF(T827&gt;=$H$2505,0,IF(L759=42,S825,0)))</f>
        <v/>
      </c>
      <c r="J813" s="1721" t="str">
        <f>IF($I756="","",IF($L759=42,INDEX(H_SpecialBM!J:J,MATCH($P813,H_SpecialBM!$Q:$Q,0)),0))</f>
        <v/>
      </c>
      <c r="K813" s="1722" t="str">
        <f>IF($I756="","",IF($L759=42,INDEX(H_SpecialBM!K:K,MATCH($P813,H_SpecialBM!$Q:$Q,0)),0))</f>
        <v/>
      </c>
      <c r="L813" s="1722" t="str">
        <f>IF($I756="","",IF($L759=42,INDEX(H_SpecialBM!L:L,MATCH($P813,H_SpecialBM!$Q:$Q,0)),0))</f>
        <v/>
      </c>
      <c r="M813" s="1722" t="str">
        <f>IF($I756="","",IF($L759=42,INDEX(H_SpecialBM!M:M,MATCH($P813,H_SpecialBM!$Q:$Q,0)),0))</f>
        <v/>
      </c>
      <c r="N813" s="1723" t="str">
        <f>IF($I756="","",IF($L759=42,INDEX(H_SpecialBM!N:N,MATCH($P813,H_SpecialBM!$Q:$Q,0)),0))</f>
        <v/>
      </c>
      <c r="O813" s="698"/>
      <c r="P813" s="1190" t="str">
        <f>EUconst_CNTR_HVCprelim</f>
        <v>HVCprelim_</v>
      </c>
      <c r="Q813" s="729"/>
      <c r="R813" s="729"/>
      <c r="S813" s="729"/>
      <c r="T813" s="729"/>
      <c r="U813" s="729"/>
      <c r="V813" s="729"/>
    </row>
    <row r="814" spans="1:22" s="364" customFormat="1" x14ac:dyDescent="0.25">
      <c r="A814" s="729"/>
      <c r="B814" s="302"/>
      <c r="C814" s="302"/>
      <c r="D814" s="344"/>
      <c r="E814" s="1786" t="s">
        <v>1443</v>
      </c>
      <c r="F814" s="1786"/>
      <c r="G814" s="1786"/>
      <c r="H814" s="1787" t="s">
        <v>1052</v>
      </c>
      <c r="I814" s="1788" t="str">
        <f>IF($I756="","",IF($L759=47,IF(AND(ISNUMBER(S826),YEAR(J759)&lt;$J$2505),S826,1),1))</f>
        <v/>
      </c>
      <c r="J814" s="1725" t="str">
        <f>IF($I756="","",IF($L759=47,IF(ISNUMBER(INDEX(H_SpecialBM!J:J,MATCH($P814,H_SpecialBM!$Q:$Q,0))),INDEX(H_SpecialBM!J:J,MATCH($P814,H_SpecialBM!$Q:$Q,0)),1),1))</f>
        <v/>
      </c>
      <c r="K814" s="1726" t="str">
        <f>IF($I756="","",IF($L759=47,IF(ISNUMBER(INDEX(H_SpecialBM!K:K,MATCH($P814,H_SpecialBM!$Q:$Q,0))),INDEX(H_SpecialBM!K:K,MATCH($P814,H_SpecialBM!$Q:$Q,0)),1),1))</f>
        <v/>
      </c>
      <c r="L814" s="1726" t="str">
        <f>IF($I756="","",IF($L759=47,IF(ISNUMBER(INDEX(H_SpecialBM!L:L,MATCH($P814,H_SpecialBM!$Q:$Q,0))),INDEX(H_SpecialBM!L:L,MATCH($P814,H_SpecialBM!$Q:$Q,0)),1),1))</f>
        <v/>
      </c>
      <c r="M814" s="1726" t="str">
        <f>IF($I756="","",IF($L759=47,IF(ISNUMBER(INDEX(H_SpecialBM!M:M,MATCH($P814,H_SpecialBM!$Q:$Q,0))),INDEX(H_SpecialBM!M:M,MATCH($P814,H_SpecialBM!$Q:$Q,0)),1),1))</f>
        <v/>
      </c>
      <c r="N814" s="1727" t="str">
        <f>IF($I756="","",IF($L759=47,IF(ISNUMBER(INDEX(H_SpecialBM!N:N,MATCH($P814,H_SpecialBM!$Q:$Q,0))),INDEX(H_SpecialBM!N:N,MATCH($P814,H_SpecialBM!$Q:$Q,0)),1),1))</f>
        <v/>
      </c>
      <c r="O814" s="698"/>
      <c r="P814" s="1190" t="str">
        <f>EUconst_CNTR_VCMprelim</f>
        <v>VCMprelim_</v>
      </c>
      <c r="Q814" s="729"/>
      <c r="R814" s="729"/>
      <c r="S814" s="729"/>
      <c r="T814" s="729"/>
      <c r="U814" s="729"/>
      <c r="V814" s="729"/>
    </row>
    <row r="815" spans="1:22" s="364" customFormat="1" x14ac:dyDescent="0.25">
      <c r="A815" s="729"/>
      <c r="B815" s="302"/>
      <c r="C815" s="302"/>
      <c r="D815" s="344"/>
      <c r="E815" s="1789" t="str">
        <f>Translations!$B$1377</f>
        <v>Предварителна стойност</v>
      </c>
      <c r="F815" s="1789"/>
      <c r="G815" s="1789"/>
      <c r="H815" s="1790" t="str">
        <f>EUconst_EUA</f>
        <v>Квота за емисии</v>
      </c>
      <c r="I815" s="1791" t="str">
        <f>IF($I756="","",MAX(0,ROUND((SUM($M759)*SUM(I810)*SUM(I814)-SUM(I811)-SUM(I812)+SUM(I813))*IF($H759=TRUE,1,J$2412),0)))</f>
        <v/>
      </c>
      <c r="J815" s="1714" t="str">
        <f>IF($I756="","",MAX(0,ROUND((SUM($M759)*SUM(J810)*SUM(J814)-SUM(J811)-SUM(J812)+SUM(J813))*IF($H759=TRUE,1,J$2412)*IF($I759=TRUE,INDEX(EUconst_CBAMFactor,J765-2020),1),0)))</f>
        <v/>
      </c>
      <c r="K815" s="1693" t="str">
        <f>IF($I756="","",MAX(0,ROUND((SUM($M759)*SUM(K810)*SUM(K814)-SUM(K811)-SUM(K812)+SUM(K813))*IF($H759=TRUE,1,K$2412)*IF($I759=TRUE,INDEX(EUconst_CBAMFactor,K765-2020),1),0)))</f>
        <v/>
      </c>
      <c r="L815" s="1693" t="str">
        <f>IF($I756="","",MAX(0,ROUND((SUM($M759)*SUM(L810)*SUM(L814)-SUM(L811)-SUM(L812)+SUM(L813))*IF($H759=TRUE,1,L$2412)*IF($I759=TRUE,INDEX(EUconst_CBAMFactor,L765-2020),1),0)))</f>
        <v/>
      </c>
      <c r="M815" s="1693" t="str">
        <f>IF($I756="","",MAX(0,ROUND((SUM($M759)*SUM(M810)*SUM(M814)-SUM(M811)-SUM(M812)+SUM(M813))*IF($H759=TRUE,1,M$2412)*IF($I759=TRUE,INDEX(EUconst_CBAMFactor,M765-2020),1),0)))</f>
        <v/>
      </c>
      <c r="N815" s="1715" t="str">
        <f>IF($I756="","",MAX(0,ROUND((SUM($M759)*SUM(N810)*SUM(N814)-SUM(N811)-SUM(N812)+SUM(N813))*IF($H759=TRUE,1,N$2412)*IF($I759=TRUE,INDEX(EUconst_CBAMFactor,N765-2020),1),0)))</f>
        <v/>
      </c>
      <c r="O815" s="698"/>
      <c r="P815" s="729"/>
      <c r="Q815" s="729"/>
      <c r="R815" s="729"/>
      <c r="S815" s="729"/>
      <c r="T815" s="729"/>
      <c r="U815" s="729"/>
      <c r="V815" s="729"/>
    </row>
    <row r="816" spans="1:22" s="364" customFormat="1" x14ac:dyDescent="0.25">
      <c r="A816" s="729"/>
      <c r="B816" s="302"/>
      <c r="C816" s="302"/>
      <c r="D816" s="344"/>
      <c r="E816" s="388" t="str">
        <f>Translations!$B$1584</f>
        <v>Разлика в предварителната стойност</v>
      </c>
      <c r="F816" s="388"/>
      <c r="G816" s="388"/>
      <c r="H816" s="421" t="str">
        <f>EUconst_EUA</f>
        <v>Квота за емисии</v>
      </c>
      <c r="I816" s="1792"/>
      <c r="J816" s="1793" t="str">
        <f>IF(J815="","",SUM(J815)-SUM(J775))</f>
        <v/>
      </c>
      <c r="K816" s="998" t="str">
        <f t="shared" ref="K816" si="65">IF(K815="","",SUM(K815)-SUM(K775))</f>
        <v/>
      </c>
      <c r="L816" s="998" t="str">
        <f t="shared" ref="L816:N816" si="66">IF(L815="","",SUM(L815)-SUM(L775))</f>
        <v/>
      </c>
      <c r="M816" s="998" t="str">
        <f t="shared" si="66"/>
        <v/>
      </c>
      <c r="N816" s="1794" t="str">
        <f t="shared" si="66"/>
        <v/>
      </c>
      <c r="O816" s="698"/>
      <c r="P816" s="729"/>
      <c r="Q816" s="729"/>
      <c r="R816" s="729"/>
      <c r="S816" s="1795"/>
      <c r="T816" s="1165"/>
      <c r="U816" s="711"/>
      <c r="V816" s="343"/>
    </row>
    <row r="817" spans="1:22" s="364" customFormat="1" x14ac:dyDescent="0.25">
      <c r="A817" s="729"/>
      <c r="B817" s="302"/>
      <c r="C817" s="302"/>
      <c r="D817" s="344"/>
      <c r="E817" s="1796" t="str">
        <f>Translations!$B$1581</f>
        <v>Критерий 4: Разлика от поне 300 квоти за емисии?</v>
      </c>
      <c r="F817" s="1796"/>
      <c r="G817" s="1796"/>
      <c r="H817" s="1797" t="s">
        <v>1052</v>
      </c>
      <c r="I817" s="1792"/>
      <c r="J817" s="1798" t="str">
        <f>IF(J816="","",ABS(J816)&gt;=300)</f>
        <v/>
      </c>
      <c r="K817" s="1799" t="str">
        <f t="shared" ref="K817:N817" si="67">IF(K816="","",ABS(K816)&gt;=300)</f>
        <v/>
      </c>
      <c r="L817" s="1799" t="str">
        <f t="shared" si="67"/>
        <v/>
      </c>
      <c r="M817" s="1799" t="str">
        <f t="shared" si="67"/>
        <v/>
      </c>
      <c r="N817" s="1800" t="str">
        <f t="shared" si="67"/>
        <v/>
      </c>
      <c r="O817" s="698"/>
      <c r="P817" s="1190" t="str">
        <f>EUconst_CNTR_300EUA&amp;I756</f>
        <v>EUA300_</v>
      </c>
      <c r="Q817" s="1174" t="s">
        <v>2547</v>
      </c>
      <c r="R817" s="280" t="str">
        <f>IF($I756="","",IF(R761&gt;$U759,0%,INDEX(F_ProductBM!V:V,MATCH($P817,F_ProductBM!$Q:$Q,0))))</f>
        <v/>
      </c>
      <c r="S817" s="280" t="str">
        <f>IF($I756="","",IF(S761&gt;$U759,0%,INDEX(F_ProductBM!W:W,MATCH($P817,F_ProductBM!$Q:$Q,0))))</f>
        <v/>
      </c>
      <c r="T817" s="280" t="str">
        <f>IF($I756="","",IF(T761&gt;$U759,0%,INDEX(F_ProductBM!X:X,MATCH($P817,F_ProductBM!$Q:$Q,0))))</f>
        <v/>
      </c>
      <c r="U817" s="280" t="str">
        <f>IF($I756="","",IF(U761&gt;$U759,0%,INDEX(F_ProductBM!Y:Y,MATCH($P817,F_ProductBM!$Q:$Q,0))))</f>
        <v/>
      </c>
      <c r="V817" s="280" t="str">
        <f>IF($I756="","",IF(V761&gt;$U759,0%,INDEX(F_ProductBM!Z:Z,MATCH($P817,F_ProductBM!$Q:$Q,0))))</f>
        <v/>
      </c>
    </row>
    <row r="818" spans="1:22" s="364" customFormat="1" ht="5.15" customHeight="1" thickBot="1" x14ac:dyDescent="0.3">
      <c r="A818" s="729"/>
      <c r="B818" s="302"/>
      <c r="C818" s="302"/>
      <c r="D818" s="1801"/>
      <c r="E818" s="1762"/>
      <c r="F818" s="1762"/>
      <c r="G818" s="1762"/>
      <c r="H818" s="1762"/>
      <c r="I818" s="1762"/>
      <c r="J818" s="1762"/>
      <c r="K818" s="1762"/>
      <c r="L818" s="1762"/>
      <c r="M818" s="1762"/>
      <c r="N818" s="1764"/>
      <c r="O818" s="698"/>
      <c r="P818" s="729"/>
      <c r="Q818" s="729"/>
      <c r="R818" s="729"/>
      <c r="S818" s="729"/>
      <c r="T818" s="729"/>
      <c r="U818" s="343"/>
      <c r="V818" s="343"/>
    </row>
    <row r="819" spans="1:22" s="364" customFormat="1" ht="5.15" customHeight="1" thickBot="1" x14ac:dyDescent="0.35">
      <c r="A819" s="729"/>
      <c r="B819" s="302"/>
      <c r="C819" s="357"/>
      <c r="D819" s="357"/>
      <c r="E819" s="302"/>
      <c r="F819" s="302"/>
      <c r="G819" s="302"/>
      <c r="H819" s="302"/>
      <c r="I819" s="1746"/>
      <c r="J819" s="302"/>
      <c r="K819" s="302"/>
      <c r="L819" s="302"/>
      <c r="M819" s="302"/>
      <c r="N819" s="302"/>
      <c r="O819" s="698"/>
      <c r="P819" s="729"/>
      <c r="Q819" s="729"/>
      <c r="R819" s="729"/>
      <c r="S819" s="729"/>
      <c r="T819" s="729"/>
      <c r="U819" s="343"/>
      <c r="V819" s="343"/>
    </row>
    <row r="820" spans="1:22" s="364" customFormat="1" ht="5.15" customHeight="1" x14ac:dyDescent="0.25">
      <c r="A820" s="729"/>
      <c r="B820" s="302"/>
      <c r="C820" s="302"/>
      <c r="D820" s="1765"/>
      <c r="E820" s="1766"/>
      <c r="F820" s="1766"/>
      <c r="G820" s="1766"/>
      <c r="H820" s="1766"/>
      <c r="I820" s="1767"/>
      <c r="J820" s="1766"/>
      <c r="K820" s="1766"/>
      <c r="L820" s="1766"/>
      <c r="M820" s="1766"/>
      <c r="N820" s="1768"/>
      <c r="O820" s="698"/>
      <c r="P820" s="729"/>
      <c r="Q820" s="729"/>
      <c r="R820" s="729"/>
      <c r="S820" s="729"/>
      <c r="T820" s="770"/>
      <c r="U820" s="343"/>
      <c r="V820" s="343"/>
    </row>
    <row r="821" spans="1:22" s="364" customFormat="1" ht="13" x14ac:dyDescent="0.25">
      <c r="A821" s="729"/>
      <c r="B821" s="302"/>
      <c r="C821" s="302"/>
      <c r="D821" s="344"/>
      <c r="E821" s="313" t="str">
        <f>Translations!$B$1387</f>
        <v>Използвани действителни стойности</v>
      </c>
      <c r="F821" s="302"/>
      <c r="G821" s="302"/>
      <c r="H821" s="527" t="str">
        <f>EUconst_Unit</f>
        <v>Единица мярка</v>
      </c>
      <c r="I821" s="1802" t="str">
        <f>Translations!$B$1341</f>
        <v>Базова стойност</v>
      </c>
      <c r="J821" s="1523">
        <f>J$2505</f>
        <v>2026</v>
      </c>
      <c r="K821" s="387">
        <f>K$2505</f>
        <v>2027</v>
      </c>
      <c r="L821" s="387">
        <f>L$2505</f>
        <v>2028</v>
      </c>
      <c r="M821" s="387">
        <f>M$2505</f>
        <v>2029</v>
      </c>
      <c r="N821" s="1544">
        <f>N$2505</f>
        <v>2030</v>
      </c>
      <c r="O821" s="698"/>
      <c r="P821" s="729"/>
      <c r="Q821" s="729"/>
      <c r="R821" s="729"/>
      <c r="S821" s="1519" t="str">
        <f>Translations!$B$1284</f>
        <v>HAL</v>
      </c>
      <c r="T821" s="770"/>
      <c r="U821" s="343"/>
      <c r="V821" s="343"/>
    </row>
    <row r="822" spans="1:22" s="364" customFormat="1" x14ac:dyDescent="0.25">
      <c r="A822" s="729"/>
      <c r="B822" s="302"/>
      <c r="C822" s="302"/>
      <c r="D822" s="344"/>
      <c r="E822" s="392" t="str">
        <f>Translations!$B$1388</f>
        <v>Равнище на дейност</v>
      </c>
      <c r="F822" s="392"/>
      <c r="G822" s="392"/>
      <c r="H822" s="1730" t="str">
        <f>H810</f>
        <v>тона</v>
      </c>
      <c r="I822" s="1776" t="str">
        <f>IF($I756="","",IF(T827&gt;=$H$2504,0,S822))</f>
        <v/>
      </c>
      <c r="J822" s="1732" t="str">
        <f>IF($I756="","",INDEX(F_ProductBM!J:J,MATCH($P822,F_ProductBM!$Q:$Q,0)))</f>
        <v/>
      </c>
      <c r="K822" s="394" t="str">
        <f>IF($I756="","",INDEX(F_ProductBM!K:K,MATCH($P822,F_ProductBM!$Q:$Q,0)))</f>
        <v/>
      </c>
      <c r="L822" s="394" t="str">
        <f>IF($I756="","",INDEX(F_ProductBM!L:L,MATCH($P822,F_ProductBM!$Q:$Q,0)))</f>
        <v/>
      </c>
      <c r="M822" s="394" t="str">
        <f>IF($I756="","",INDEX(F_ProductBM!M:M,MATCH($P822,F_ProductBM!$Q:$Q,0)))</f>
        <v/>
      </c>
      <c r="N822" s="1733" t="str">
        <f>IF($I756="","",INDEX(F_ProductBM!N:N,MATCH($P822,F_ProductBM!$Q:$Q,0)))</f>
        <v/>
      </c>
      <c r="O822" s="698"/>
      <c r="P822" s="1190" t="str">
        <f>EUconst_CNTR_HALfinal&amp;I756</f>
        <v>HALfinal_</v>
      </c>
      <c r="Q822" s="729"/>
      <c r="R822" s="729"/>
      <c r="S822" s="1803" t="str">
        <f>IF($I756="","",INDEX(F_ProductBM!I:I,MATCH($P822,F_ProductBM!$Q:$Q,0)))</f>
        <v/>
      </c>
      <c r="T822" s="770"/>
      <c r="U822" s="343"/>
      <c r="V822" s="343"/>
    </row>
    <row r="823" spans="1:22" s="364" customFormat="1" x14ac:dyDescent="0.25">
      <c r="A823" s="729"/>
      <c r="B823" s="302"/>
      <c r="C823" s="302"/>
      <c r="D823" s="344"/>
      <c r="E823" s="503" t="str">
        <f>Translations!$B$949</f>
        <v>топл. ен. извън СТЕ</v>
      </c>
      <c r="F823" s="503"/>
      <c r="G823" s="503"/>
      <c r="H823" s="1804" t="str">
        <f>EUconst_EUA</f>
        <v>Квота за емисии</v>
      </c>
      <c r="I823" s="1779" t="str">
        <f>IF($I756="","",IF(YEAR(J759)&gt;=$H$2504-1,0,S823))</f>
        <v/>
      </c>
      <c r="J823" s="1805" t="str">
        <f>IF($I756="","",INDEX(F_ProductBM!J:J,MATCH($P823,F_ProductBM!$Q:$Q,0)))</f>
        <v/>
      </c>
      <c r="K823" s="1806" t="str">
        <f>IF($I756="","",INDEX(F_ProductBM!K:K,MATCH($P823,F_ProductBM!$Q:$Q,0)))</f>
        <v/>
      </c>
      <c r="L823" s="1806" t="str">
        <f>IF($I756="","",INDEX(F_ProductBM!L:L,MATCH($P823,F_ProductBM!$Q:$Q,0)))</f>
        <v/>
      </c>
      <c r="M823" s="1806" t="str">
        <f>IF($I756="","",INDEX(F_ProductBM!M:M,MATCH($P823,F_ProductBM!$Q:$Q,0)))</f>
        <v/>
      </c>
      <c r="N823" s="1807" t="str">
        <f>IF($I756="","",INDEX(F_ProductBM!N:N,MATCH($P823,F_ProductBM!$Q:$Q,0)))</f>
        <v/>
      </c>
      <c r="O823" s="698"/>
      <c r="P823" s="1190" t="str">
        <f>EUconst_CNTR_HEATfinal&amp;I756</f>
        <v>HEATfinal_</v>
      </c>
      <c r="Q823" s="729"/>
      <c r="R823" s="729"/>
      <c r="S823" s="1808" t="str">
        <f>IF($I756="","",INDEX(F_ProductBM!I:I,MATCH($P823,F_ProductBM!$Q:$Q,0)))</f>
        <v/>
      </c>
      <c r="T823" s="770"/>
      <c r="U823" s="343"/>
      <c r="V823" s="343"/>
    </row>
    <row r="824" spans="1:22" s="364" customFormat="1" x14ac:dyDescent="0.25">
      <c r="A824" s="729"/>
      <c r="B824" s="302"/>
      <c r="C824" s="302"/>
      <c r="D824" s="344"/>
      <c r="E824" s="398" t="str">
        <f>Translations!$B$951</f>
        <v>WGflare</v>
      </c>
      <c r="F824" s="398"/>
      <c r="G824" s="398"/>
      <c r="H824" s="516" t="str">
        <f>EUconst_EUA</f>
        <v>Квота за емисии</v>
      </c>
      <c r="I824" s="1785" t="str">
        <f>IF($I756="","",IF(T827&gt;=$H$2504,0,S824))</f>
        <v/>
      </c>
      <c r="J824" s="1809" t="str">
        <f>IF($I756="","",INDEX(F_ProductBM!J:J,MATCH($P824,F_ProductBM!$Q:$Q,0)))</f>
        <v/>
      </c>
      <c r="K824" s="1810" t="str">
        <f>IF($I756="","",INDEX(F_ProductBM!K:K,MATCH($P824,F_ProductBM!$Q:$Q,0)))</f>
        <v/>
      </c>
      <c r="L824" s="1810" t="str">
        <f>IF($I756="","",INDEX(F_ProductBM!L:L,MATCH($P824,F_ProductBM!$Q:$Q,0)))</f>
        <v/>
      </c>
      <c r="M824" s="1810" t="str">
        <f>IF($I756="","",INDEX(F_ProductBM!M:M,MATCH($P824,F_ProductBM!$Q:$Q,0)))</f>
        <v/>
      </c>
      <c r="N824" s="1811" t="str">
        <f>IF($I756="","",INDEX(F_ProductBM!N:N,MATCH($P824,F_ProductBM!$Q:$Q,0)))</f>
        <v/>
      </c>
      <c r="O824" s="698"/>
      <c r="P824" s="1190" t="str">
        <f>EUconst_CNTR_HALfinal&amp;EUconst_CNTR_WGFlared&amp;$I756</f>
        <v>HALfinal_WasteGasFlare_</v>
      </c>
      <c r="Q824" s="729"/>
      <c r="R824" s="729"/>
      <c r="S824" s="1812" t="str">
        <f>IF($I756="","",INDEX(F_ProductBM!I:I,MATCH($P824,F_ProductBM!$Q:$Q,0)))</f>
        <v/>
      </c>
      <c r="T824" s="770"/>
      <c r="U824" s="343"/>
      <c r="V824" s="343"/>
    </row>
    <row r="825" spans="1:22" s="364" customFormat="1" x14ac:dyDescent="0.25">
      <c r="A825" s="729"/>
      <c r="B825" s="302"/>
      <c r="C825" s="302"/>
      <c r="D825" s="344"/>
      <c r="E825" s="398" t="s">
        <v>1442</v>
      </c>
      <c r="F825" s="398"/>
      <c r="G825" s="398"/>
      <c r="H825" s="516" t="str">
        <f>EUconst_EUA</f>
        <v>Квота за емисии</v>
      </c>
      <c r="I825" s="1785" t="str">
        <f>IF($I756="","",IF(T827&gt;=$H$2504,0,IF(L759=42,S825,0)))</f>
        <v/>
      </c>
      <c r="J825" s="1809" t="str">
        <f>IF($I756="","",IF($L759=42,INDEX(H_SpecialBM!J:J,MATCH($P825,H_SpecialBM!$Q:$Q,0)),0))</f>
        <v/>
      </c>
      <c r="K825" s="1810" t="str">
        <f>IF($I756="","",IF($L759=42,INDEX(H_SpecialBM!K:K,MATCH($P825,H_SpecialBM!$Q:$Q,0)),0))</f>
        <v/>
      </c>
      <c r="L825" s="1810" t="str">
        <f>IF($I756="","",IF($L759=42,INDEX(H_SpecialBM!L:L,MATCH($P825,H_SpecialBM!$Q:$Q,0)),0))</f>
        <v/>
      </c>
      <c r="M825" s="1810" t="str">
        <f>IF($I756="","",IF($L759=42,INDEX(H_SpecialBM!M:M,MATCH($P825,H_SpecialBM!$Q:$Q,0)),0))</f>
        <v/>
      </c>
      <c r="N825" s="1811" t="str">
        <f>IF($I756="","",IF($L759=42,INDEX(H_SpecialBM!N:N,MATCH($P825,H_SpecialBM!$Q:$Q,0)),0))</f>
        <v/>
      </c>
      <c r="O825" s="698"/>
      <c r="P825" s="1190" t="str">
        <f>EUconst_CNTR_HVCfinal</f>
        <v>HVCfinal_</v>
      </c>
      <c r="Q825" s="729"/>
      <c r="R825" s="729"/>
      <c r="S825" s="1812" t="str">
        <f>IF($I756="","",IF(L759=42,INDEX(H_SpecialBM!I:I,MATCH($P825,H_SpecialBM!$Q:$Q,0)),0))</f>
        <v/>
      </c>
      <c r="T825" s="770"/>
      <c r="U825" s="343"/>
      <c r="V825" s="343"/>
    </row>
    <row r="826" spans="1:22" s="364" customFormat="1" x14ac:dyDescent="0.25">
      <c r="A826" s="729"/>
      <c r="B826" s="302"/>
      <c r="C826" s="302"/>
      <c r="D826" s="344"/>
      <c r="E826" s="401" t="s">
        <v>1443</v>
      </c>
      <c r="F826" s="401"/>
      <c r="G826" s="401"/>
      <c r="H826" s="483" t="s">
        <v>1052</v>
      </c>
      <c r="I826" s="1788" t="str">
        <f>IF($I756="","",IF($L759=47,IF(AND(ISNUMBER(S826),YEAR(J759)&lt;2021),S826,1),1))</f>
        <v/>
      </c>
      <c r="J826" s="1813" t="str">
        <f>IF($I756="","",IF($L759=47,IF(ISNUMBER(INDEX(H_SpecialBM!J:J,MATCH($P826,H_SpecialBM!$Q:$Q,0))),INDEX(H_SpecialBM!J:J,MATCH($P826,H_SpecialBM!$Q:$Q,0)),1),1))</f>
        <v/>
      </c>
      <c r="K826" s="1814" t="str">
        <f>IF($I756="","",IF($L759=47,IF(ISNUMBER(INDEX(H_SpecialBM!K:K,MATCH($P826,H_SpecialBM!$Q:$Q,0))),INDEX(H_SpecialBM!K:K,MATCH($P826,H_SpecialBM!$Q:$Q,0)),1),1))</f>
        <v/>
      </c>
      <c r="L826" s="1814" t="str">
        <f>IF($I756="","",IF($L759=47,IF(ISNUMBER(INDEX(H_SpecialBM!L:L,MATCH($P826,H_SpecialBM!$Q:$Q,0))),INDEX(H_SpecialBM!L:L,MATCH($P826,H_SpecialBM!$Q:$Q,0)),1),1))</f>
        <v/>
      </c>
      <c r="M826" s="1814" t="str">
        <f>IF($I756="","",IF($L759=47,IF(ISNUMBER(INDEX(H_SpecialBM!M:M,MATCH($P826,H_SpecialBM!$Q:$Q,0))),INDEX(H_SpecialBM!M:M,MATCH($P826,H_SpecialBM!$Q:$Q,0)),1),1))</f>
        <v/>
      </c>
      <c r="N826" s="1815" t="str">
        <f>IF($I756="","",IF($L759=47,IF(ISNUMBER(INDEX(H_SpecialBM!N:N,MATCH($P826,H_SpecialBM!$Q:$Q,0))),INDEX(H_SpecialBM!N:N,MATCH($P826,H_SpecialBM!$Q:$Q,0)),1),1))</f>
        <v/>
      </c>
      <c r="O826" s="698"/>
      <c r="P826" s="1190" t="str">
        <f>EUconst_CNTR_VCMfinal</f>
        <v>VCMfinal_</v>
      </c>
      <c r="Q826" s="729"/>
      <c r="R826" s="729"/>
      <c r="S826" s="1816" t="str">
        <f>IF($I756="","",IF($L759=47,IF(ISNUMBER(INDEX(H_SpecialBM!I:I,MATCH($P826,H_SpecialBM!$Q:$Q,0))),INDEX(H_SpecialBM!I:I,MATCH($P826,H_SpecialBM!$Q:$Q,0)),1),1))</f>
        <v/>
      </c>
      <c r="T826" s="729"/>
      <c r="U826" s="343"/>
      <c r="V826" s="343"/>
    </row>
    <row r="827" spans="1:22" s="364" customFormat="1" x14ac:dyDescent="0.25">
      <c r="A827" s="729"/>
      <c r="B827" s="302"/>
      <c r="C827" s="302"/>
      <c r="D827" s="344"/>
      <c r="E827" s="388" t="str">
        <f>Translations!$B$892</f>
        <v>Предварително разпределяне</v>
      </c>
      <c r="F827" s="388"/>
      <c r="G827" s="388"/>
      <c r="H827" s="421" t="str">
        <f>EUconst_EUA</f>
        <v>Квота за емисии</v>
      </c>
      <c r="I827" s="1791" t="str">
        <f>IF($I756="","",MAX(0,ROUND((SUM($M759)*SUM(I822)*SUM(I826)-SUM(I823)-SUM(I824)+SUM(I825))*IF($H759=TRUE,1,J$2412),0)))</f>
        <v/>
      </c>
      <c r="J827" s="1694" t="str">
        <f>IF($I756="","",MAX(0,ROUND((SUM(R817)*SUM($M759)*SUM(J822)*SUM(J826)-SUM(J823)-SUM(J824)+SUM(J825))*IF($H759=TRUE,1,J$2412)*IF($I759=TRUE,INDEX(EUconst_CBAMFactor,J765-2020),1),0)))</f>
        <v/>
      </c>
      <c r="K827" s="406" t="str">
        <f>IF($I756="","",MAX(0,ROUND((SUM(S817)*SUM($M759)*SUM(K822)*SUM(K826)-SUM(K823)-SUM(K824)+SUM(K825))*IF($H759=TRUE,1,K$2412)*IF($I759=TRUE,INDEX(EUconst_CBAMFactor,K765-2020),1),0)))</f>
        <v/>
      </c>
      <c r="L827" s="406" t="str">
        <f>IF($I756="","",MAX(0,ROUND((SUM(T817)*SUM($M759)*SUM(L822)*SUM(L826)-SUM(L823)-SUM(L824)+SUM(L825))*IF($H759=TRUE,1,L$2412)*IF($I759=TRUE,INDEX(EUconst_CBAMFactor,L765-2020),1),0)))</f>
        <v/>
      </c>
      <c r="M827" s="406" t="str">
        <f>IF($I756="","",MAX(0,ROUND((SUM(U817)*SUM($M759)*SUM(M822)*SUM(M826)-SUM(M823)-SUM(M824)+SUM(M825))*IF($H759=TRUE,1,M$2412)*IF($I759=TRUE,INDEX(EUconst_CBAMFactor,M765-2020),1),0)))</f>
        <v/>
      </c>
      <c r="N827" s="1729" t="str">
        <f>IF($I756="","",MAX(0,ROUND((SUM(V817)*SUM($M759)*SUM(N822)*SUM(N826)-SUM(N823)-SUM(N824)+SUM(N825))*IF($H759=TRUE,1,N$2412)*IF($I759=TRUE,INDEX(EUconst_CBAMFactor,N765-2020),1),0)))</f>
        <v/>
      </c>
      <c r="O827" s="698"/>
      <c r="P827" s="1190" t="str">
        <f>EUconst_AllocPrelim&amp;I756</f>
        <v>AllocPrelim_</v>
      </c>
      <c r="Q827" s="729"/>
      <c r="R827" s="729"/>
      <c r="S827" s="1817" t="str">
        <f>IF($I756="","",MAX(0,ROUND((SUM($M759)*SUM(S822)*SUM(S826)-SUM(S823)-SUM(S824)+SUM(S825))*IF($H759=TRUE,1,J$2412),0)))</f>
        <v/>
      </c>
      <c r="T827" s="1176">
        <f>INDEX(F_ProductBM!V:V,MATCH(C756,F_ProductBM!C:C,0))</f>
        <v>2005</v>
      </c>
      <c r="U827" s="727" t="b">
        <f>OR(INDEX(I827:N827,CNTR_ReportingYear-$I$2505)&lt;&gt;INDEX(I827:N827,CNTR_ReportingYear-$H$2505),
(CNTR_ReportingYear-T827)&lt;=1)</f>
        <v>0</v>
      </c>
      <c r="V827" s="716" t="b">
        <f ca="1">IF(I827="",FALSE,COUNTIF(OFFSET(I827,,,,MAX(1,CNTR_ReportingYear-$I$2505)),"&lt;&gt;" &amp; INDEX(I827:N827,CNTR_ReportingYear-$H$2505))&gt;0)</f>
        <v>0</v>
      </c>
    </row>
    <row r="828" spans="1:22" s="364" customFormat="1" ht="5.15" customHeight="1" thickBot="1" x14ac:dyDescent="0.3">
      <c r="A828" s="729"/>
      <c r="B828" s="302"/>
      <c r="C828" s="302"/>
      <c r="D828" s="1801"/>
      <c r="E828" s="1762"/>
      <c r="F828" s="1762"/>
      <c r="G828" s="1762"/>
      <c r="H828" s="1762"/>
      <c r="I828" s="1762"/>
      <c r="J828" s="1762"/>
      <c r="K828" s="1762"/>
      <c r="L828" s="1762"/>
      <c r="M828" s="1762"/>
      <c r="N828" s="1764"/>
      <c r="O828" s="698"/>
      <c r="P828" s="729"/>
      <c r="Q828" s="729"/>
      <c r="R828" s="729"/>
      <c r="S828" s="729"/>
      <c r="T828" s="729"/>
      <c r="U828" s="343"/>
      <c r="V828" s="343"/>
    </row>
    <row r="829" spans="1:22" s="364" customFormat="1" ht="5.15" customHeight="1" thickBot="1" x14ac:dyDescent="0.3">
      <c r="A829" s="729"/>
      <c r="B829" s="302"/>
      <c r="C829" s="302"/>
      <c r="E829" s="360"/>
      <c r="F829" s="302"/>
      <c r="G829" s="302"/>
      <c r="H829" s="302"/>
      <c r="I829" s="302"/>
      <c r="J829" s="302"/>
      <c r="K829" s="302"/>
      <c r="L829" s="302"/>
      <c r="M829" s="302"/>
      <c r="N829" s="302"/>
      <c r="O829" s="698"/>
      <c r="P829" s="729"/>
      <c r="Q829" s="729"/>
      <c r="R829" s="729"/>
      <c r="S829" s="729"/>
      <c r="T829" s="729"/>
      <c r="U829" s="343"/>
      <c r="V829" s="343"/>
    </row>
    <row r="830" spans="1:22" s="364" customFormat="1" ht="12.75" customHeight="1" x14ac:dyDescent="0.25">
      <c r="A830" s="729"/>
      <c r="B830" s="302"/>
      <c r="C830" s="302"/>
      <c r="D830" s="1818"/>
      <c r="E830" s="1819"/>
      <c r="F830" s="1819"/>
      <c r="G830" s="1300"/>
      <c r="H830" s="1300"/>
      <c r="I830" s="1300"/>
      <c r="J830" s="1300"/>
      <c r="K830" s="1300"/>
      <c r="L830" s="1300"/>
      <c r="M830" s="1300"/>
      <c r="N830" s="1301"/>
      <c r="O830" s="698"/>
      <c r="P830" s="729"/>
      <c r="Q830" s="729"/>
      <c r="R830" s="729"/>
      <c r="S830" s="729"/>
      <c r="T830" s="729"/>
      <c r="U830" s="343"/>
      <c r="V830" s="343"/>
    </row>
    <row r="831" spans="1:22" s="364" customFormat="1" ht="13.5" thickBot="1" x14ac:dyDescent="0.3">
      <c r="A831" s="729"/>
      <c r="B831" s="302"/>
      <c r="C831" s="302"/>
      <c r="D831" s="1820"/>
      <c r="E831" s="625"/>
      <c r="F831" s="625"/>
      <c r="G831" s="627" t="str">
        <f>EUconst_Unit</f>
        <v>Единица мярка</v>
      </c>
      <c r="H831" s="628">
        <f t="shared" ref="H831:M831" si="68">H$2505</f>
        <v>2024</v>
      </c>
      <c r="I831" s="1821">
        <f t="shared" si="68"/>
        <v>2025</v>
      </c>
      <c r="J831" s="1311">
        <f t="shared" si="68"/>
        <v>2026</v>
      </c>
      <c r="K831" s="629">
        <f t="shared" si="68"/>
        <v>2027</v>
      </c>
      <c r="L831" s="629">
        <f t="shared" si="68"/>
        <v>2028</v>
      </c>
      <c r="M831" s="629">
        <f t="shared" si="68"/>
        <v>2029</v>
      </c>
      <c r="N831" s="1312">
        <f>N$2505</f>
        <v>2030</v>
      </c>
      <c r="O831" s="698"/>
      <c r="P831" s="729"/>
      <c r="Q831" s="729"/>
      <c r="R831" s="729"/>
      <c r="S831" s="729"/>
      <c r="T831" s="770"/>
      <c r="U831" s="343"/>
      <c r="V831" s="343"/>
    </row>
    <row r="832" spans="1:22" s="364" customFormat="1" ht="13.5" customHeight="1" thickBot="1" x14ac:dyDescent="0.3">
      <c r="A832" s="729"/>
      <c r="B832" s="302"/>
      <c r="C832" s="302"/>
      <c r="D832" s="1820"/>
      <c r="E832" s="2929" t="str">
        <f>Translations!$B$956</f>
        <v>Общо зададени емисии</v>
      </c>
      <c r="F832" s="2929"/>
      <c r="G832" s="631" t="str">
        <f>EUconst_tCO2epa</f>
        <v>t CO2e/година</v>
      </c>
      <c r="H832" s="661" t="str">
        <f t="shared" ref="H832:N832" si="69">INDEX(H$95:H$114,MATCH($I756,$E$95:$E$114,0))</f>
        <v/>
      </c>
      <c r="I832" s="1822" t="str">
        <f t="shared" si="69"/>
        <v/>
      </c>
      <c r="J832" s="661" t="str">
        <f t="shared" si="69"/>
        <v/>
      </c>
      <c r="K832" s="662" t="str">
        <f t="shared" si="69"/>
        <v/>
      </c>
      <c r="L832" s="662" t="str">
        <f t="shared" si="69"/>
        <v/>
      </c>
      <c r="M832" s="662" t="str">
        <f t="shared" si="69"/>
        <v/>
      </c>
      <c r="N832" s="663" t="str">
        <f t="shared" si="69"/>
        <v/>
      </c>
      <c r="O832" s="698"/>
      <c r="P832" s="729"/>
      <c r="Q832" s="729"/>
      <c r="R832" s="729"/>
      <c r="S832" s="729"/>
      <c r="T832" s="770"/>
      <c r="U832" s="343"/>
      <c r="V832" s="343"/>
    </row>
    <row r="833" spans="1:22" s="364" customFormat="1" ht="5.15" customHeight="1" x14ac:dyDescent="0.25">
      <c r="A833" s="729"/>
      <c r="B833" s="302"/>
      <c r="C833" s="302"/>
      <c r="D833" s="1820"/>
      <c r="E833" s="643"/>
      <c r="F833" s="643"/>
      <c r="G833" s="625"/>
      <c r="H833" s="635"/>
      <c r="I833" s="635"/>
      <c r="J833" s="635"/>
      <c r="K833" s="635"/>
      <c r="L833" s="635"/>
      <c r="M833" s="635"/>
      <c r="N833" s="1823"/>
      <c r="O833" s="698"/>
      <c r="P833" s="729"/>
      <c r="Q833" s="729"/>
      <c r="R833" s="729"/>
      <c r="S833" s="729"/>
      <c r="T833" s="770"/>
      <c r="U833" s="343"/>
      <c r="V833" s="343"/>
    </row>
    <row r="834" spans="1:22" s="364" customFormat="1" ht="12.75" customHeight="1" x14ac:dyDescent="0.25">
      <c r="A834" s="729"/>
      <c r="B834" s="302"/>
      <c r="C834" s="302"/>
      <c r="D834" s="1820"/>
      <c r="E834" s="2818" t="str">
        <f>Translations!$B$521</f>
        <v>Вложени горива</v>
      </c>
      <c r="F834" s="2701"/>
      <c r="G834" s="1326" t="str">
        <f>EUconst_TJpa</f>
        <v>TJ / година</v>
      </c>
      <c r="H834" s="482" t="str">
        <f>IF($I756="","",IF(INDEX(F_ProductBM!H:H,MATCH($P834,F_ProductBM!$Q:$Q,0))="","",INDEX(F_ProductBM!H:H,MATCH($P834,F_ProductBM!$Q:$Q,0))))</f>
        <v/>
      </c>
      <c r="I834" s="1824" t="str">
        <f>IF($I756="","",IF(INDEX(F_ProductBM!I:I,MATCH($P834,F_ProductBM!$Q:$Q,0))="","",INDEX(F_ProductBM!I:I,MATCH($P834,F_ProductBM!$Q:$Q,0))))</f>
        <v/>
      </c>
      <c r="J834" s="1825" t="str">
        <f>IF($I756="","",IF(INDEX(F_ProductBM!J:J,MATCH($P834,F_ProductBM!$Q:$Q,0))="","",INDEX(F_ProductBM!J:J,MATCH($P834,F_ProductBM!$Q:$Q,0))))</f>
        <v/>
      </c>
      <c r="K834" s="482" t="str">
        <f>IF($I756="","",IF(INDEX(F_ProductBM!K:K,MATCH($P834,F_ProductBM!$Q:$Q,0))="","",INDEX(F_ProductBM!K:K,MATCH($P834,F_ProductBM!$Q:$Q,0))))</f>
        <v/>
      </c>
      <c r="L834" s="482" t="str">
        <f>IF($I756="","",IF(INDEX(F_ProductBM!L:L,MATCH($P834,F_ProductBM!$Q:$Q,0))="","",INDEX(F_ProductBM!L:L,MATCH($P834,F_ProductBM!$Q:$Q,0))))</f>
        <v/>
      </c>
      <c r="M834" s="482" t="str">
        <f>IF($I756="","",IF(INDEX(F_ProductBM!M:M,MATCH($P834,F_ProductBM!$Q:$Q,0))="","",INDEX(F_ProductBM!M:M,MATCH($P834,F_ProductBM!$Q:$Q,0))))</f>
        <v/>
      </c>
      <c r="N834" s="1826" t="str">
        <f>IF($I756="","",IF(INDEX(F_ProductBM!N:N,MATCH($P834,F_ProductBM!$Q:$Q,0))="","",INDEX(F_ProductBM!N:N,MATCH($P834,F_ProductBM!$Q:$Q,0))))</f>
        <v/>
      </c>
      <c r="O834" s="698"/>
      <c r="P834" s="1827" t="str">
        <f>EUconst_CNTR_FuelInput &amp; I756</f>
        <v>FuelInput_</v>
      </c>
      <c r="Q834" s="729"/>
      <c r="R834" s="729"/>
      <c r="S834" s="729"/>
      <c r="T834" s="770"/>
      <c r="U834" s="343"/>
      <c r="V834" s="343"/>
    </row>
    <row r="835" spans="1:22" s="364" customFormat="1" ht="12.75" customHeight="1" x14ac:dyDescent="0.25">
      <c r="A835" s="729"/>
      <c r="B835" s="302"/>
      <c r="C835" s="302"/>
      <c r="D835" s="1820"/>
      <c r="E835" s="2819" t="str">
        <f>Translations!$B$522</f>
        <v>Претеглен емисионен фактор</v>
      </c>
      <c r="F835" s="2705"/>
      <c r="G835" s="1329" t="str">
        <f>EUconst_tCO2pTJ</f>
        <v>t CO2 / TJ</v>
      </c>
      <c r="H835" s="484" t="str">
        <f>IF($I756="","",IF(INDEX(F_ProductBM!H:H,MATCH($P835,F_ProductBM!$Q:$Q,0))="","",INDEX(F_ProductBM!H:H,MATCH($P835,F_ProductBM!$Q:$Q,0))))</f>
        <v/>
      </c>
      <c r="I835" s="1828" t="str">
        <f>IF($I756="","",IF(INDEX(F_ProductBM!I:I,MATCH($P835,F_ProductBM!$Q:$Q,0))="","",INDEX(F_ProductBM!I:I,MATCH($P835,F_ProductBM!$Q:$Q,0))))</f>
        <v/>
      </c>
      <c r="J835" s="1829" t="str">
        <f>IF($I756="","",IF(INDEX(F_ProductBM!J:J,MATCH($P835,F_ProductBM!$Q:$Q,0))="","",INDEX(F_ProductBM!J:J,MATCH($P835,F_ProductBM!$Q:$Q,0))))</f>
        <v/>
      </c>
      <c r="K835" s="484" t="str">
        <f>IF($I756="","",IF(INDEX(F_ProductBM!K:K,MATCH($P835,F_ProductBM!$Q:$Q,0))="","",INDEX(F_ProductBM!K:K,MATCH($P835,F_ProductBM!$Q:$Q,0))))</f>
        <v/>
      </c>
      <c r="L835" s="484" t="str">
        <f>IF($I756="","",IF(INDEX(F_ProductBM!L:L,MATCH($P835,F_ProductBM!$Q:$Q,0))="","",INDEX(F_ProductBM!L:L,MATCH($P835,F_ProductBM!$Q:$Q,0))))</f>
        <v/>
      </c>
      <c r="M835" s="484" t="str">
        <f>IF($I756="","",IF(INDEX(F_ProductBM!M:M,MATCH($P835,F_ProductBM!$Q:$Q,0))="","",INDEX(F_ProductBM!M:M,MATCH($P835,F_ProductBM!$Q:$Q,0))))</f>
        <v/>
      </c>
      <c r="N835" s="1830" t="str">
        <f>IF($I756="","",IF(INDEX(F_ProductBM!N:N,MATCH($P835,F_ProductBM!$Q:$Q,0))="","",INDEX(F_ProductBM!N:N,MATCH($P835,F_ProductBM!$Q:$Q,0))))</f>
        <v/>
      </c>
      <c r="O835" s="698"/>
      <c r="P835" s="1500" t="str">
        <f>EUconst_CNTR_FuelEF &amp; I756</f>
        <v>FuelEF_</v>
      </c>
      <c r="Q835" s="729"/>
      <c r="R835" s="729"/>
      <c r="S835" s="729"/>
      <c r="T835" s="770"/>
      <c r="U835" s="343"/>
      <c r="V835" s="343"/>
    </row>
    <row r="836" spans="1:22" s="364" customFormat="1" ht="5.15" customHeight="1" x14ac:dyDescent="0.25">
      <c r="A836" s="729"/>
      <c r="B836" s="302"/>
      <c r="C836" s="302"/>
      <c r="D836" s="1820"/>
      <c r="E836" s="643"/>
      <c r="F836" s="643"/>
      <c r="G836" s="626"/>
      <c r="H836" s="640"/>
      <c r="I836" s="640"/>
      <c r="J836" s="640"/>
      <c r="K836" s="640"/>
      <c r="L836" s="640"/>
      <c r="M836" s="640"/>
      <c r="N836" s="1831"/>
      <c r="O836" s="698"/>
      <c r="P836" s="729"/>
      <c r="Q836" s="729"/>
      <c r="R836" s="729"/>
      <c r="S836" s="729"/>
      <c r="T836" s="770"/>
      <c r="U836" s="343"/>
      <c r="V836" s="343"/>
    </row>
    <row r="837" spans="1:22" s="364" customFormat="1" ht="12.75" customHeight="1" x14ac:dyDescent="0.25">
      <c r="A837" s="729"/>
      <c r="B837" s="302"/>
      <c r="C837" s="302"/>
      <c r="D837" s="1820"/>
      <c r="E837" s="2820" t="str">
        <f>Translations!$B$484</f>
        <v>Преки емисии</v>
      </c>
      <c r="F837" s="2258"/>
      <c r="G837" s="1319" t="str">
        <f>EUconst_tCO2pa</f>
        <v>t CO2 / година</v>
      </c>
      <c r="H837" s="480" t="str">
        <f>IF($I756="","",IF(INDEX(F_ProductBM!H:H,MATCH($P837,F_ProductBM!$Q:$Q,0))="","",INDEX(F_ProductBM!H:H,MATCH($P837,F_ProductBM!$Q:$Q,0))))</f>
        <v/>
      </c>
      <c r="I837" s="1399" t="str">
        <f>IF($I756="","",IF(INDEX(F_ProductBM!I:I,MATCH($P837,F_ProductBM!$Q:$Q,0))="","",INDEX(F_ProductBM!I:I,MATCH($P837,F_ProductBM!$Q:$Q,0))))</f>
        <v/>
      </c>
      <c r="J837" s="1832" t="str">
        <f>IF($I756="","",IF(INDEX(F_ProductBM!J:J,MATCH($P837,F_ProductBM!$Q:$Q,0))="","",INDEX(F_ProductBM!J:J,MATCH($P837,F_ProductBM!$Q:$Q,0))))</f>
        <v/>
      </c>
      <c r="K837" s="480" t="str">
        <f>IF($I756="","",IF(INDEX(F_ProductBM!K:K,MATCH($P837,F_ProductBM!$Q:$Q,0))="","",INDEX(F_ProductBM!K:K,MATCH($P837,F_ProductBM!$Q:$Q,0))))</f>
        <v/>
      </c>
      <c r="L837" s="480" t="str">
        <f>IF($I756="","",IF(INDEX(F_ProductBM!L:L,MATCH($P837,F_ProductBM!$Q:$Q,0))="","",INDEX(F_ProductBM!L:L,MATCH($P837,F_ProductBM!$Q:$Q,0))))</f>
        <v/>
      </c>
      <c r="M837" s="480" t="str">
        <f>IF($I756="","",IF(INDEX(F_ProductBM!M:M,MATCH($P837,F_ProductBM!$Q:$Q,0))="","",INDEX(F_ProductBM!M:M,MATCH($P837,F_ProductBM!$Q:$Q,0))))</f>
        <v/>
      </c>
      <c r="N837" s="1833" t="str">
        <f>IF($I756="","",IF(INDEX(F_ProductBM!N:N,MATCH($P837,F_ProductBM!$Q:$Q,0))="","",INDEX(F_ProductBM!N:N,MATCH($P837,F_ProductBM!$Q:$Q,0))))</f>
        <v/>
      </c>
      <c r="O837" s="698"/>
      <c r="P837" s="1500" t="str">
        <f>EUconst_CNTR_Emissions &amp; I756</f>
        <v>DirEmissions_</v>
      </c>
      <c r="Q837" s="729"/>
      <c r="R837" s="729"/>
      <c r="S837" s="729"/>
      <c r="T837" s="770"/>
      <c r="U837" s="343"/>
      <c r="V837" s="343"/>
    </row>
    <row r="838" spans="1:22" s="364" customFormat="1" ht="12.75" customHeight="1" x14ac:dyDescent="0.25">
      <c r="A838" s="729"/>
      <c r="B838" s="302"/>
      <c r="C838" s="302"/>
      <c r="D838" s="1820"/>
      <c r="E838" s="2820" t="str">
        <f>Translations!$B$532</f>
        <v>Други пораждащи емисии потоци — 1</v>
      </c>
      <c r="F838" s="2258"/>
      <c r="G838" s="1319" t="str">
        <f>EUconst_tCO2pa</f>
        <v>t CO2 / година</v>
      </c>
      <c r="H838" s="480" t="str">
        <f>IF($I756="","",IF(INDEX(F_ProductBM!H:H,MATCH($P838,F_ProductBM!$Q:$Q,0))="","",INDEX(F_ProductBM!H:H,MATCH($P838,F_ProductBM!$Q:$Q,0))))</f>
        <v/>
      </c>
      <c r="I838" s="1399" t="str">
        <f>IF($I756="","",IF(INDEX(F_ProductBM!I:I,MATCH($P838,F_ProductBM!$Q:$Q,0))="","",INDEX(F_ProductBM!I:I,MATCH($P838,F_ProductBM!$Q:$Q,0))))</f>
        <v/>
      </c>
      <c r="J838" s="1832" t="str">
        <f>IF($I756="","",IF(INDEX(F_ProductBM!J:J,MATCH($P838,F_ProductBM!$Q:$Q,0))="","",INDEX(F_ProductBM!J:J,MATCH($P838,F_ProductBM!$Q:$Q,0))))</f>
        <v/>
      </c>
      <c r="K838" s="480" t="str">
        <f>IF($I756="","",IF(INDEX(F_ProductBM!K:K,MATCH($P838,F_ProductBM!$Q:$Q,0))="","",INDEX(F_ProductBM!K:K,MATCH($P838,F_ProductBM!$Q:$Q,0))))</f>
        <v/>
      </c>
      <c r="L838" s="480" t="str">
        <f>IF($I756="","",IF(INDEX(F_ProductBM!L:L,MATCH($P838,F_ProductBM!$Q:$Q,0))="","",INDEX(F_ProductBM!L:L,MATCH($P838,F_ProductBM!$Q:$Q,0))))</f>
        <v/>
      </c>
      <c r="M838" s="480" t="str">
        <f>IF($I756="","",IF(INDEX(F_ProductBM!M:M,MATCH($P838,F_ProductBM!$Q:$Q,0))="","",INDEX(F_ProductBM!M:M,MATCH($P838,F_ProductBM!$Q:$Q,0))))</f>
        <v/>
      </c>
      <c r="N838" s="1833" t="str">
        <f>IF($I756="","",IF(INDEX(F_ProductBM!N:N,MATCH($P838,F_ProductBM!$Q:$Q,0))="","",INDEX(F_ProductBM!N:N,MATCH($P838,F_ProductBM!$Q:$Q,0))))</f>
        <v/>
      </c>
      <c r="O838" s="698"/>
      <c r="P838" s="1500" t="str">
        <f>EUconst_CNTR_EmissionsIntSource1 &amp; I756</f>
        <v>EmInternalSource1_</v>
      </c>
      <c r="Q838" s="729"/>
      <c r="R838" s="729"/>
      <c r="S838" s="729"/>
      <c r="T838" s="770"/>
      <c r="U838" s="343"/>
      <c r="V838" s="343"/>
    </row>
    <row r="839" spans="1:22" s="364" customFormat="1" ht="12.75" customHeight="1" x14ac:dyDescent="0.25">
      <c r="A839" s="729"/>
      <c r="B839" s="302"/>
      <c r="C839" s="302"/>
      <c r="D839" s="1820"/>
      <c r="E839" s="2820" t="str">
        <f>Translations!$B$542</f>
        <v>Други пораждащи емисии потоци — 2</v>
      </c>
      <c r="F839" s="2258"/>
      <c r="G839" s="1319" t="str">
        <f>EUconst_tCO2pa</f>
        <v>t CO2 / година</v>
      </c>
      <c r="H839" s="480" t="str">
        <f>IF($I756="","",IF(INDEX(F_ProductBM!H:H,MATCH($P839,F_ProductBM!$Q:$Q,0))="","",INDEX(F_ProductBM!H:H,MATCH($P839,F_ProductBM!$Q:$Q,0))))</f>
        <v/>
      </c>
      <c r="I839" s="1399" t="str">
        <f>IF($I756="","",IF(INDEX(F_ProductBM!I:I,MATCH($P839,F_ProductBM!$Q:$Q,0))="","",INDEX(F_ProductBM!I:I,MATCH($P839,F_ProductBM!$Q:$Q,0))))</f>
        <v/>
      </c>
      <c r="J839" s="1832" t="str">
        <f>IF($I756="","",IF(INDEX(F_ProductBM!J:J,MATCH($P839,F_ProductBM!$Q:$Q,0))="","",INDEX(F_ProductBM!J:J,MATCH($P839,F_ProductBM!$Q:$Q,0))))</f>
        <v/>
      </c>
      <c r="K839" s="480" t="str">
        <f>IF($I756="","",IF(INDEX(F_ProductBM!K:K,MATCH($P839,F_ProductBM!$Q:$Q,0))="","",INDEX(F_ProductBM!K:K,MATCH($P839,F_ProductBM!$Q:$Q,0))))</f>
        <v/>
      </c>
      <c r="L839" s="480" t="str">
        <f>IF($I756="","",IF(INDEX(F_ProductBM!L:L,MATCH($P839,F_ProductBM!$Q:$Q,0))="","",INDEX(F_ProductBM!L:L,MATCH($P839,F_ProductBM!$Q:$Q,0))))</f>
        <v/>
      </c>
      <c r="M839" s="480" t="str">
        <f>IF($I756="","",IF(INDEX(F_ProductBM!M:M,MATCH($P839,F_ProductBM!$Q:$Q,0))="","",INDEX(F_ProductBM!M:M,MATCH($P839,F_ProductBM!$Q:$Q,0))))</f>
        <v/>
      </c>
      <c r="N839" s="1833" t="str">
        <f>IF($I756="","",IF(INDEX(F_ProductBM!N:N,MATCH($P839,F_ProductBM!$Q:$Q,0))="","",INDEX(F_ProductBM!N:N,MATCH($P839,F_ProductBM!$Q:$Q,0))))</f>
        <v/>
      </c>
      <c r="O839" s="698"/>
      <c r="P839" s="1500" t="str">
        <f>EUconst_CNTR_EmissionsIntSource2 &amp; I756</f>
        <v>EmInternalSource2_</v>
      </c>
      <c r="Q839" s="729"/>
      <c r="R839" s="729"/>
      <c r="S839" s="729"/>
      <c r="T839" s="770"/>
      <c r="U839" s="343"/>
      <c r="V839" s="343"/>
    </row>
    <row r="840" spans="1:22" s="364" customFormat="1" ht="12.75" customHeight="1" x14ac:dyDescent="0.25">
      <c r="A840" s="729"/>
      <c r="B840" s="302"/>
      <c r="C840" s="302"/>
      <c r="D840" s="1820"/>
      <c r="E840" s="2820" t="str">
        <f>Translations!$B$546</f>
        <v>Получени или подадени парникови газове</v>
      </c>
      <c r="F840" s="2258"/>
      <c r="G840" s="1319" t="str">
        <f>EUconst_tCO2epa</f>
        <v>t CO2e/година</v>
      </c>
      <c r="H840" s="480" t="str">
        <f>IF($I756="","",IF(INDEX(F_ProductBM!H:H,MATCH($P840,F_ProductBM!$Q:$Q,0))="","",INDEX(F_ProductBM!H:H,MATCH($P840,F_ProductBM!$Q:$Q,0))))</f>
        <v/>
      </c>
      <c r="I840" s="1399" t="str">
        <f>IF($I756="","",IF(INDEX(F_ProductBM!I:I,MATCH($P840,F_ProductBM!$Q:$Q,0))="","",INDEX(F_ProductBM!I:I,MATCH($P840,F_ProductBM!$Q:$Q,0))))</f>
        <v/>
      </c>
      <c r="J840" s="1832" t="str">
        <f>IF($I756="","",IF(INDEX(F_ProductBM!J:J,MATCH($P840,F_ProductBM!$Q:$Q,0))="","",INDEX(F_ProductBM!J:J,MATCH($P840,F_ProductBM!$Q:$Q,0))))</f>
        <v/>
      </c>
      <c r="K840" s="480" t="str">
        <f>IF($I756="","",IF(INDEX(F_ProductBM!K:K,MATCH($P840,F_ProductBM!$Q:$Q,0))="","",INDEX(F_ProductBM!K:K,MATCH($P840,F_ProductBM!$Q:$Q,0))))</f>
        <v/>
      </c>
      <c r="L840" s="480" t="str">
        <f>IF($I756="","",IF(INDEX(F_ProductBM!L:L,MATCH($P840,F_ProductBM!$Q:$Q,0))="","",INDEX(F_ProductBM!L:L,MATCH($P840,F_ProductBM!$Q:$Q,0))))</f>
        <v/>
      </c>
      <c r="M840" s="480" t="str">
        <f>IF($I756="","",IF(INDEX(F_ProductBM!M:M,MATCH($P840,F_ProductBM!$Q:$Q,0))="","",INDEX(F_ProductBM!M:M,MATCH($P840,F_ProductBM!$Q:$Q,0))))</f>
        <v/>
      </c>
      <c r="N840" s="1833" t="str">
        <f>IF($I756="","",IF(INDEX(F_ProductBM!N:N,MATCH($P840,F_ProductBM!$Q:$Q,0))="","",INDEX(F_ProductBM!N:N,MATCH($P840,F_ProductBM!$Q:$Q,0))))</f>
        <v/>
      </c>
      <c r="O840" s="698"/>
      <c r="P840" s="1500" t="str">
        <f>EUconst_CNTR_CO2Feedstock &amp; I756</f>
        <v>EmCO2Feedstock_</v>
      </c>
      <c r="Q840" s="729"/>
      <c r="R840" s="729"/>
      <c r="S840" s="729"/>
      <c r="T840" s="770"/>
      <c r="U840" s="343"/>
      <c r="V840" s="343"/>
    </row>
    <row r="841" spans="1:22" s="364" customFormat="1" ht="5.15" customHeight="1" x14ac:dyDescent="0.25">
      <c r="A841" s="729"/>
      <c r="B841" s="302"/>
      <c r="C841" s="302"/>
      <c r="D841" s="1820"/>
      <c r="E841" s="643"/>
      <c r="F841" s="643"/>
      <c r="G841" s="626"/>
      <c r="H841" s="640"/>
      <c r="I841" s="640"/>
      <c r="J841" s="640"/>
      <c r="K841" s="640"/>
      <c r="L841" s="640"/>
      <c r="M841" s="640"/>
      <c r="N841" s="1831"/>
      <c r="O841" s="698"/>
      <c r="P841" s="729"/>
      <c r="Q841" s="729"/>
      <c r="R841" s="729"/>
      <c r="S841" s="729"/>
      <c r="T841" s="770"/>
      <c r="U841" s="343"/>
      <c r="V841" s="343"/>
    </row>
    <row r="842" spans="1:22" s="364" customFormat="1" ht="12.75" customHeight="1" x14ac:dyDescent="0.25">
      <c r="A842" s="729"/>
      <c r="B842" s="302"/>
      <c r="C842" s="302"/>
      <c r="D842" s="1820"/>
      <c r="E842" s="2818" t="str">
        <f>Translations!$B$554</f>
        <v>Нетно количество получена топлинна енергия</v>
      </c>
      <c r="F842" s="2701"/>
      <c r="G842" s="1326" t="str">
        <f>EUconst_TJpa</f>
        <v>TJ / година</v>
      </c>
      <c r="H842" s="482" t="str">
        <f>IF($I756="","",IF(INDEX(F_ProductBM!H:H,MATCH($P842,F_ProductBM!$Q:$Q,0))="","",INDEX(F_ProductBM!H:H,MATCH($P842,F_ProductBM!$Q:$Q,0))))</f>
        <v/>
      </c>
      <c r="I842" s="1824" t="str">
        <f>IF($I756="","",IF(INDEX(F_ProductBM!I:I,MATCH($P842,F_ProductBM!$Q:$Q,0))="","",INDEX(F_ProductBM!I:I,MATCH($P842,F_ProductBM!$Q:$Q,0))))</f>
        <v/>
      </c>
      <c r="J842" s="1825" t="str">
        <f>IF($I756="","",IF(INDEX(F_ProductBM!J:J,MATCH($P842,F_ProductBM!$Q:$Q,0))="","",INDEX(F_ProductBM!J:J,MATCH($P842,F_ProductBM!$Q:$Q,0))))</f>
        <v/>
      </c>
      <c r="K842" s="482" t="str">
        <f>IF($I756="","",IF(INDEX(F_ProductBM!K:K,MATCH($P842,F_ProductBM!$Q:$Q,0))="","",INDEX(F_ProductBM!K:K,MATCH($P842,F_ProductBM!$Q:$Q,0))))</f>
        <v/>
      </c>
      <c r="L842" s="482" t="str">
        <f>IF($I756="","",IF(INDEX(F_ProductBM!L:L,MATCH($P842,F_ProductBM!$Q:$Q,0))="","",INDEX(F_ProductBM!L:L,MATCH($P842,F_ProductBM!$Q:$Q,0))))</f>
        <v/>
      </c>
      <c r="M842" s="482" t="str">
        <f>IF($I756="","",IF(INDEX(F_ProductBM!M:M,MATCH($P842,F_ProductBM!$Q:$Q,0))="","",INDEX(F_ProductBM!M:M,MATCH($P842,F_ProductBM!$Q:$Q,0))))</f>
        <v/>
      </c>
      <c r="N842" s="1826" t="str">
        <f>IF($I756="","",IF(INDEX(F_ProductBM!N:N,MATCH($P842,F_ProductBM!$Q:$Q,0))="","",INDEX(F_ProductBM!N:N,MATCH($P842,F_ProductBM!$Q:$Q,0))))</f>
        <v/>
      </c>
      <c r="O842" s="698"/>
      <c r="P842" s="1500" t="str">
        <f>EUconst_CNTR_HeatImport &amp; I756</f>
        <v>HeatIm_</v>
      </c>
      <c r="Q842" s="729"/>
      <c r="R842" s="729"/>
      <c r="S842" s="729"/>
      <c r="T842" s="770"/>
      <c r="U842" s="343"/>
      <c r="V842" s="343"/>
    </row>
    <row r="843" spans="1:22" s="364" customFormat="1" ht="12.75" customHeight="1" x14ac:dyDescent="0.25">
      <c r="A843" s="729"/>
      <c r="B843" s="302"/>
      <c r="C843" s="302"/>
      <c r="D843" s="1820"/>
      <c r="E843" s="2819" t="str">
        <f>Translations!$B$555</f>
        <v>Специфичен EF (получена топлинна енергия)</v>
      </c>
      <c r="F843" s="2705"/>
      <c r="G843" s="1329" t="str">
        <f>EUconst_tCO2pTJ</f>
        <v>t CO2 / TJ</v>
      </c>
      <c r="H843" s="484" t="str">
        <f>IF($I756="","",IF(INDEX(F_ProductBM!H:H,MATCH($P843,F_ProductBM!$Q:$Q,0))="","",INDEX(F_ProductBM!H:H,MATCH($P843,F_ProductBM!$Q:$Q,0))))</f>
        <v/>
      </c>
      <c r="I843" s="1828" t="str">
        <f>IF($I756="","",IF(INDEX(F_ProductBM!I:I,MATCH($P843,F_ProductBM!$Q:$Q,0))="","",INDEX(F_ProductBM!I:I,MATCH($P843,F_ProductBM!$Q:$Q,0))))</f>
        <v/>
      </c>
      <c r="J843" s="1829" t="str">
        <f>IF($I756="","",IF(INDEX(F_ProductBM!J:J,MATCH($P843,F_ProductBM!$Q:$Q,0))="","",INDEX(F_ProductBM!J:J,MATCH($P843,F_ProductBM!$Q:$Q,0))))</f>
        <v/>
      </c>
      <c r="K843" s="484" t="str">
        <f>IF($I756="","",IF(INDEX(F_ProductBM!K:K,MATCH($P843,F_ProductBM!$Q:$Q,0))="","",INDEX(F_ProductBM!K:K,MATCH($P843,F_ProductBM!$Q:$Q,0))))</f>
        <v/>
      </c>
      <c r="L843" s="484" t="str">
        <f>IF($I756="","",IF(INDEX(F_ProductBM!L:L,MATCH($P843,F_ProductBM!$Q:$Q,0))="","",INDEX(F_ProductBM!L:L,MATCH($P843,F_ProductBM!$Q:$Q,0))))</f>
        <v/>
      </c>
      <c r="M843" s="484" t="str">
        <f>IF($I756="","",IF(INDEX(F_ProductBM!M:M,MATCH($P843,F_ProductBM!$Q:$Q,0))="","",INDEX(F_ProductBM!M:M,MATCH($P843,F_ProductBM!$Q:$Q,0))))</f>
        <v/>
      </c>
      <c r="N843" s="1830" t="str">
        <f>IF($I756="","",IF(INDEX(F_ProductBM!N:N,MATCH($P843,F_ProductBM!$Q:$Q,0))="","",INDEX(F_ProductBM!N:N,MATCH($P843,F_ProductBM!$Q:$Q,0))))</f>
        <v/>
      </c>
      <c r="O843" s="698"/>
      <c r="P843" s="1500" t="str">
        <f>EUconst_CNTR_HeatImportEF &amp; I756</f>
        <v>HeatImEF_</v>
      </c>
      <c r="Q843" s="729"/>
      <c r="R843" s="729"/>
      <c r="S843" s="729"/>
      <c r="T843" s="770"/>
      <c r="U843" s="343"/>
      <c r="V843" s="343"/>
    </row>
    <row r="844" spans="1:22" s="364" customFormat="1" ht="5.15" customHeight="1" x14ac:dyDescent="0.25">
      <c r="A844" s="729"/>
      <c r="B844" s="302"/>
      <c r="C844" s="302"/>
      <c r="D844" s="1820"/>
      <c r="E844" s="643"/>
      <c r="F844" s="643"/>
      <c r="G844" s="626"/>
      <c r="H844" s="640"/>
      <c r="I844" s="640"/>
      <c r="J844" s="640"/>
      <c r="K844" s="640"/>
      <c r="L844" s="640"/>
      <c r="M844" s="640"/>
      <c r="N844" s="1831"/>
      <c r="O844" s="698"/>
      <c r="P844" s="770"/>
      <c r="Q844" s="729"/>
      <c r="R844" s="729"/>
      <c r="S844" s="729"/>
      <c r="T844" s="770"/>
      <c r="U844" s="343"/>
      <c r="V844" s="343"/>
    </row>
    <row r="845" spans="1:22" s="364" customFormat="1" ht="12.75" customHeight="1" x14ac:dyDescent="0.25">
      <c r="A845" s="729"/>
      <c r="B845" s="302"/>
      <c r="C845" s="302"/>
      <c r="D845" s="1820"/>
      <c r="E845" s="2820" t="str">
        <f>Translations!$B$609</f>
        <v>Нетно количество топлинна енергия, получена от пулп</v>
      </c>
      <c r="F845" s="2258"/>
      <c r="G845" s="1319" t="str">
        <f>EUconst_TJpa</f>
        <v>TJ / година</v>
      </c>
      <c r="H845" s="480" t="str">
        <f>IF($I756="","",IF(INDEX(F_ProductBM!H:H,MATCH($P845,F_ProductBM!$Q:$Q,0))="","",INDEX(F_ProductBM!H:H,MATCH($P845,F_ProductBM!$Q:$Q,0))))</f>
        <v/>
      </c>
      <c r="I845" s="1399" t="str">
        <f>IF($I756="","",IF(INDEX(F_ProductBM!I:I,MATCH($P845,F_ProductBM!$Q:$Q,0))="","",INDEX(F_ProductBM!I:I,MATCH($P845,F_ProductBM!$Q:$Q,0))))</f>
        <v/>
      </c>
      <c r="J845" s="1832" t="str">
        <f>IF($I756="","",IF(INDEX(F_ProductBM!J:J,MATCH($P845,F_ProductBM!$Q:$Q,0))="","",INDEX(F_ProductBM!J:J,MATCH($P845,F_ProductBM!$Q:$Q,0))))</f>
        <v/>
      </c>
      <c r="K845" s="480" t="str">
        <f>IF($I756="","",IF(INDEX(F_ProductBM!K:K,MATCH($P845,F_ProductBM!$Q:$Q,0))="","",INDEX(F_ProductBM!K:K,MATCH($P845,F_ProductBM!$Q:$Q,0))))</f>
        <v/>
      </c>
      <c r="L845" s="480" t="str">
        <f>IF($I756="","",IF(INDEX(F_ProductBM!L:L,MATCH($P845,F_ProductBM!$Q:$Q,0))="","",INDEX(F_ProductBM!L:L,MATCH($P845,F_ProductBM!$Q:$Q,0))))</f>
        <v/>
      </c>
      <c r="M845" s="480" t="str">
        <f>IF($I756="","",IF(INDEX(F_ProductBM!M:M,MATCH($P845,F_ProductBM!$Q:$Q,0))="","",INDEX(F_ProductBM!M:M,MATCH($P845,F_ProductBM!$Q:$Q,0))))</f>
        <v/>
      </c>
      <c r="N845" s="1833" t="str">
        <f>IF($I756="","",IF(INDEX(F_ProductBM!N:N,MATCH($P845,F_ProductBM!$Q:$Q,0))="","",INDEX(F_ProductBM!N:N,MATCH($P845,F_ProductBM!$Q:$Q,0))))</f>
        <v/>
      </c>
      <c r="O845" s="698"/>
      <c r="P845" s="1500" t="str">
        <f>EUconst_CNTR_HeatImportPulp &amp; I756</f>
        <v>HeatImPulp_</v>
      </c>
      <c r="Q845" s="729"/>
      <c r="R845" s="729"/>
      <c r="S845" s="729"/>
      <c r="T845" s="770"/>
      <c r="U845" s="343"/>
      <c r="V845" s="343"/>
    </row>
    <row r="846" spans="1:22" s="364" customFormat="1" ht="12.75" customHeight="1" x14ac:dyDescent="0.25">
      <c r="A846" s="729"/>
      <c r="B846" s="302"/>
      <c r="C846" s="302"/>
      <c r="D846" s="1820"/>
      <c r="E846" s="2820" t="str">
        <f>Translations!$B$558</f>
        <v>Нетно количество топлинна енергия, получена от подинсталации за азотна киселина</v>
      </c>
      <c r="F846" s="2258"/>
      <c r="G846" s="1319" t="str">
        <f>EUconst_TJpa</f>
        <v>TJ / година</v>
      </c>
      <c r="H846" s="480" t="str">
        <f>IF($I756="","",IF(INDEX(F_ProductBM!H:H,MATCH($P846,F_ProductBM!$Q:$Q,0))="","",INDEX(F_ProductBM!H:H,MATCH($P846,F_ProductBM!$Q:$Q,0))))</f>
        <v/>
      </c>
      <c r="I846" s="1399" t="str">
        <f>IF($I756="","",IF(INDEX(F_ProductBM!I:I,MATCH($P846,F_ProductBM!$Q:$Q,0))="","",INDEX(F_ProductBM!I:I,MATCH($P846,F_ProductBM!$Q:$Q,0))))</f>
        <v/>
      </c>
      <c r="J846" s="1832" t="str">
        <f>IF($I756="","",IF(INDEX(F_ProductBM!J:J,MATCH($P846,F_ProductBM!$Q:$Q,0))="","",INDEX(F_ProductBM!J:J,MATCH($P846,F_ProductBM!$Q:$Q,0))))</f>
        <v/>
      </c>
      <c r="K846" s="480" t="str">
        <f>IF($I756="","",IF(INDEX(F_ProductBM!K:K,MATCH($P846,F_ProductBM!$Q:$Q,0))="","",INDEX(F_ProductBM!K:K,MATCH($P846,F_ProductBM!$Q:$Q,0))))</f>
        <v/>
      </c>
      <c r="L846" s="480" t="str">
        <f>IF($I756="","",IF(INDEX(F_ProductBM!L:L,MATCH($P846,F_ProductBM!$Q:$Q,0))="","",INDEX(F_ProductBM!L:L,MATCH($P846,F_ProductBM!$Q:$Q,0))))</f>
        <v/>
      </c>
      <c r="M846" s="480" t="str">
        <f>IF($I756="","",IF(INDEX(F_ProductBM!M:M,MATCH($P846,F_ProductBM!$Q:$Q,0))="","",INDEX(F_ProductBM!M:M,MATCH($P846,F_ProductBM!$Q:$Q,0))))</f>
        <v/>
      </c>
      <c r="N846" s="1833" t="str">
        <f>IF($I756="","",IF(INDEX(F_ProductBM!N:N,MATCH($P846,F_ProductBM!$Q:$Q,0))="","",INDEX(F_ProductBM!N:N,MATCH($P846,F_ProductBM!$Q:$Q,0))))</f>
        <v/>
      </c>
      <c r="O846" s="698"/>
      <c r="P846" s="1500" t="str">
        <f>EUconst_CNTR_HeatImportNitric &amp; I756</f>
        <v>HeatImNitric_</v>
      </c>
      <c r="Q846" s="729"/>
      <c r="R846" s="729"/>
      <c r="S846" s="729"/>
      <c r="T846" s="770"/>
      <c r="U846" s="343"/>
      <c r="V846" s="343"/>
    </row>
    <row r="847" spans="1:22" s="364" customFormat="1" ht="5.15" customHeight="1" x14ac:dyDescent="0.25">
      <c r="A847" s="729"/>
      <c r="B847" s="302"/>
      <c r="C847" s="302"/>
      <c r="D847" s="1820"/>
      <c r="E847" s="643"/>
      <c r="F847" s="643"/>
      <c r="G847" s="625"/>
      <c r="H847" s="640"/>
      <c r="I847" s="640"/>
      <c r="J847" s="640"/>
      <c r="K847" s="640"/>
      <c r="L847" s="640"/>
      <c r="M847" s="640"/>
      <c r="N847" s="1831"/>
      <c r="O847" s="698"/>
      <c r="P847" s="770"/>
      <c r="Q847" s="729"/>
      <c r="R847" s="729"/>
      <c r="S847" s="729"/>
      <c r="T847" s="770"/>
      <c r="U847" s="343"/>
      <c r="V847" s="343"/>
    </row>
    <row r="848" spans="1:22" s="364" customFormat="1" ht="12.75" customHeight="1" x14ac:dyDescent="0.25">
      <c r="A848" s="729"/>
      <c r="B848" s="302"/>
      <c r="C848" s="302"/>
      <c r="D848" s="1820"/>
      <c r="E848" s="2818" t="str">
        <f>Translations!$B$560</f>
        <v>Нетно количество подадена топлинна енергия</v>
      </c>
      <c r="F848" s="2701"/>
      <c r="G848" s="1326" t="str">
        <f>EUconst_TJpa</f>
        <v>TJ / година</v>
      </c>
      <c r="H848" s="482" t="str">
        <f>IF($I756="","",IF(INDEX(F_ProductBM!H:H,MATCH($P848,F_ProductBM!$Q:$Q,0))="","",INDEX(F_ProductBM!H:H,MATCH($P848,F_ProductBM!$Q:$Q,0))))</f>
        <v/>
      </c>
      <c r="I848" s="1824" t="str">
        <f>IF($I756="","",IF(INDEX(F_ProductBM!I:I,MATCH($P848,F_ProductBM!$Q:$Q,0))="","",INDEX(F_ProductBM!I:I,MATCH($P848,F_ProductBM!$Q:$Q,0))))</f>
        <v/>
      </c>
      <c r="J848" s="1825" t="str">
        <f>IF($I756="","",IF(INDEX(F_ProductBM!J:J,MATCH($P848,F_ProductBM!$Q:$Q,0))="","",INDEX(F_ProductBM!J:J,MATCH($P848,F_ProductBM!$Q:$Q,0))))</f>
        <v/>
      </c>
      <c r="K848" s="482" t="str">
        <f>IF($I756="","",IF(INDEX(F_ProductBM!K:K,MATCH($P848,F_ProductBM!$Q:$Q,0))="","",INDEX(F_ProductBM!K:K,MATCH($P848,F_ProductBM!$Q:$Q,0))))</f>
        <v/>
      </c>
      <c r="L848" s="482" t="str">
        <f>IF($I756="","",IF(INDEX(F_ProductBM!L:L,MATCH($P848,F_ProductBM!$Q:$Q,0))="","",INDEX(F_ProductBM!L:L,MATCH($P848,F_ProductBM!$Q:$Q,0))))</f>
        <v/>
      </c>
      <c r="M848" s="482" t="str">
        <f>IF($I756="","",IF(INDEX(F_ProductBM!M:M,MATCH($P848,F_ProductBM!$Q:$Q,0))="","",INDEX(F_ProductBM!M:M,MATCH($P848,F_ProductBM!$Q:$Q,0))))</f>
        <v/>
      </c>
      <c r="N848" s="1826" t="str">
        <f>IF($I756="","",IF(INDEX(F_ProductBM!N:N,MATCH($P848,F_ProductBM!$Q:$Q,0))="","",INDEX(F_ProductBM!N:N,MATCH($P848,F_ProductBM!$Q:$Q,0))))</f>
        <v/>
      </c>
      <c r="O848" s="698"/>
      <c r="P848" s="1500" t="str">
        <f>EUconst_CNTR_HeatExport &amp; I756</f>
        <v>HeatEx_</v>
      </c>
      <c r="Q848" s="729"/>
      <c r="R848" s="729"/>
      <c r="S848" s="729"/>
      <c r="T848" s="770"/>
      <c r="U848" s="343"/>
      <c r="V848" s="343"/>
    </row>
    <row r="849" spans="1:22" s="364" customFormat="1" ht="12.75" customHeight="1" x14ac:dyDescent="0.25">
      <c r="A849" s="729"/>
      <c r="B849" s="302"/>
      <c r="C849" s="302"/>
      <c r="D849" s="1820"/>
      <c r="E849" s="2819" t="str">
        <f>Translations!$B$561</f>
        <v>Специфичен EF (подадена топлинна енергия)</v>
      </c>
      <c r="F849" s="2705"/>
      <c r="G849" s="1329" t="str">
        <f>EUconst_tCO2pTJ</f>
        <v>t CO2 / TJ</v>
      </c>
      <c r="H849" s="484" t="str">
        <f>IF($I756="","",IF(INDEX(F_ProductBM!H:H,MATCH($P849,F_ProductBM!$Q:$Q,0))="","",INDEX(F_ProductBM!H:H,MATCH($P849,F_ProductBM!$Q:$Q,0))))</f>
        <v/>
      </c>
      <c r="I849" s="1828" t="str">
        <f>IF($I756="","",IF(INDEX(F_ProductBM!I:I,MATCH($P849,F_ProductBM!$Q:$Q,0))="","",INDEX(F_ProductBM!I:I,MATCH($P849,F_ProductBM!$Q:$Q,0))))</f>
        <v/>
      </c>
      <c r="J849" s="1829" t="str">
        <f>IF($I756="","",IF(INDEX(F_ProductBM!J:J,MATCH($P849,F_ProductBM!$Q:$Q,0))="","",INDEX(F_ProductBM!J:J,MATCH($P849,F_ProductBM!$Q:$Q,0))))</f>
        <v/>
      </c>
      <c r="K849" s="484" t="str">
        <f>IF($I756="","",IF(INDEX(F_ProductBM!K:K,MATCH($P849,F_ProductBM!$Q:$Q,0))="","",INDEX(F_ProductBM!K:K,MATCH($P849,F_ProductBM!$Q:$Q,0))))</f>
        <v/>
      </c>
      <c r="L849" s="484" t="str">
        <f>IF($I756="","",IF(INDEX(F_ProductBM!L:L,MATCH($P849,F_ProductBM!$Q:$Q,0))="","",INDEX(F_ProductBM!L:L,MATCH($P849,F_ProductBM!$Q:$Q,0))))</f>
        <v/>
      </c>
      <c r="M849" s="484" t="str">
        <f>IF($I756="","",IF(INDEX(F_ProductBM!M:M,MATCH($P849,F_ProductBM!$Q:$Q,0))="","",INDEX(F_ProductBM!M:M,MATCH($P849,F_ProductBM!$Q:$Q,0))))</f>
        <v/>
      </c>
      <c r="N849" s="1830" t="str">
        <f>IF($I756="","",IF(INDEX(F_ProductBM!N:N,MATCH($P849,F_ProductBM!$Q:$Q,0))="","",INDEX(F_ProductBM!N:N,MATCH($P849,F_ProductBM!$Q:$Q,0))))</f>
        <v/>
      </c>
      <c r="O849" s="698"/>
      <c r="P849" s="1500" t="str">
        <f>EUconst_CNTR_HeatExportEF &amp; I756</f>
        <v>HeatExEF_</v>
      </c>
      <c r="Q849" s="729"/>
      <c r="R849" s="729"/>
      <c r="S849" s="729"/>
      <c r="T849" s="770"/>
      <c r="U849" s="343"/>
      <c r="V849" s="343"/>
    </row>
    <row r="850" spans="1:22" s="364" customFormat="1" ht="5.15" customHeight="1" x14ac:dyDescent="0.25">
      <c r="A850" s="729"/>
      <c r="B850" s="302"/>
      <c r="C850" s="302"/>
      <c r="D850" s="1820"/>
      <c r="E850" s="643"/>
      <c r="F850" s="643"/>
      <c r="G850" s="625"/>
      <c r="H850" s="640"/>
      <c r="I850" s="640"/>
      <c r="J850" s="640"/>
      <c r="K850" s="640"/>
      <c r="L850" s="640"/>
      <c r="M850" s="640"/>
      <c r="N850" s="1831"/>
      <c r="O850" s="698"/>
      <c r="P850" s="770"/>
      <c r="Q850" s="729"/>
      <c r="R850" s="729"/>
      <c r="S850" s="729"/>
      <c r="T850" s="770"/>
      <c r="U850" s="343"/>
      <c r="V850" s="343"/>
    </row>
    <row r="851" spans="1:22" s="364" customFormat="1" ht="12.75" customHeight="1" x14ac:dyDescent="0.25">
      <c r="A851" s="729"/>
      <c r="B851" s="302"/>
      <c r="C851" s="302"/>
      <c r="D851" s="1820"/>
      <c r="E851" s="2818" t="str">
        <f>Translations!$B$568</f>
        <v>Произведен отпаден газ</v>
      </c>
      <c r="F851" s="2701"/>
      <c r="G851" s="1326" t="str">
        <f>EUconst_TJpa</f>
        <v>TJ / година</v>
      </c>
      <c r="H851" s="482" t="str">
        <f>IF($I756="","",IF(INDEX(F_ProductBM!H:H,MATCH($P851,F_ProductBM!$Q:$Q,0))="","",INDEX(F_ProductBM!H:H,MATCH($P851,F_ProductBM!$Q:$Q,0))))</f>
        <v/>
      </c>
      <c r="I851" s="1824" t="str">
        <f>IF($I756="","",IF(INDEX(F_ProductBM!I:I,MATCH($P851,F_ProductBM!$Q:$Q,0))="","",INDEX(F_ProductBM!I:I,MATCH($P851,F_ProductBM!$Q:$Q,0))))</f>
        <v/>
      </c>
      <c r="J851" s="1825" t="str">
        <f>IF($I756="","",IF(INDEX(F_ProductBM!J:J,MATCH($P851,F_ProductBM!$Q:$Q,0))="","",INDEX(F_ProductBM!J:J,MATCH($P851,F_ProductBM!$Q:$Q,0))))</f>
        <v/>
      </c>
      <c r="K851" s="482" t="str">
        <f>IF($I756="","",IF(INDEX(F_ProductBM!K:K,MATCH($P851,F_ProductBM!$Q:$Q,0))="","",INDEX(F_ProductBM!K:K,MATCH($P851,F_ProductBM!$Q:$Q,0))))</f>
        <v/>
      </c>
      <c r="L851" s="482" t="str">
        <f>IF($I756="","",IF(INDEX(F_ProductBM!L:L,MATCH($P851,F_ProductBM!$Q:$Q,0))="","",INDEX(F_ProductBM!L:L,MATCH($P851,F_ProductBM!$Q:$Q,0))))</f>
        <v/>
      </c>
      <c r="M851" s="482" t="str">
        <f>IF($I756="","",IF(INDEX(F_ProductBM!M:M,MATCH($P851,F_ProductBM!$Q:$Q,0))="","",INDEX(F_ProductBM!M:M,MATCH($P851,F_ProductBM!$Q:$Q,0))))</f>
        <v/>
      </c>
      <c r="N851" s="1826" t="str">
        <f>IF($I756="","",IF(INDEX(F_ProductBM!N:N,MATCH($P851,F_ProductBM!$Q:$Q,0))="","",INDEX(F_ProductBM!N:N,MATCH($P851,F_ProductBM!$Q:$Q,0))))</f>
        <v/>
      </c>
      <c r="O851" s="698"/>
      <c r="P851" s="1827" t="str">
        <f>EUconst_CNTR_WGProduced &amp; I756</f>
        <v>WasteGasProd_</v>
      </c>
      <c r="Q851" s="729"/>
      <c r="R851" s="729"/>
      <c r="S851" s="729"/>
      <c r="T851" s="770"/>
      <c r="U851" s="343"/>
      <c r="V851" s="343"/>
    </row>
    <row r="852" spans="1:22" s="364" customFormat="1" ht="12.75" customHeight="1" x14ac:dyDescent="0.25">
      <c r="A852" s="729"/>
      <c r="B852" s="302"/>
      <c r="C852" s="302"/>
      <c r="D852" s="1820"/>
      <c r="E852" s="2819" t="str">
        <f>Translations!$B$569</f>
        <v>Специфичен EF (произведен отпаден газ)</v>
      </c>
      <c r="F852" s="2705"/>
      <c r="G852" s="1329" t="str">
        <f>EUconst_tCO2pTJ</f>
        <v>t CO2 / TJ</v>
      </c>
      <c r="H852" s="484" t="str">
        <f>IF($I756="","",IF(INDEX(F_ProductBM!H:H,MATCH($P852,F_ProductBM!$Q:$Q,0))="","",INDEX(F_ProductBM!H:H,MATCH($P852,F_ProductBM!$Q:$Q,0))))</f>
        <v/>
      </c>
      <c r="I852" s="1828" t="str">
        <f>IF($I756="","",IF(INDEX(F_ProductBM!I:I,MATCH($P852,F_ProductBM!$Q:$Q,0))="","",INDEX(F_ProductBM!I:I,MATCH($P852,F_ProductBM!$Q:$Q,0))))</f>
        <v/>
      </c>
      <c r="J852" s="1829" t="str">
        <f>IF($I756="","",IF(INDEX(F_ProductBM!J:J,MATCH($P852,F_ProductBM!$Q:$Q,0))="","",INDEX(F_ProductBM!J:J,MATCH($P852,F_ProductBM!$Q:$Q,0))))</f>
        <v/>
      </c>
      <c r="K852" s="484" t="str">
        <f>IF($I756="","",IF(INDEX(F_ProductBM!K:K,MATCH($P852,F_ProductBM!$Q:$Q,0))="","",INDEX(F_ProductBM!K:K,MATCH($P852,F_ProductBM!$Q:$Q,0))))</f>
        <v/>
      </c>
      <c r="L852" s="484" t="str">
        <f>IF($I756="","",IF(INDEX(F_ProductBM!L:L,MATCH($P852,F_ProductBM!$Q:$Q,0))="","",INDEX(F_ProductBM!L:L,MATCH($P852,F_ProductBM!$Q:$Q,0))))</f>
        <v/>
      </c>
      <c r="M852" s="484" t="str">
        <f>IF($I756="","",IF(INDEX(F_ProductBM!M:M,MATCH($P852,F_ProductBM!$Q:$Q,0))="","",INDEX(F_ProductBM!M:M,MATCH($P852,F_ProductBM!$Q:$Q,0))))</f>
        <v/>
      </c>
      <c r="N852" s="1830" t="str">
        <f>IF($I756="","",IF(INDEX(F_ProductBM!N:N,MATCH($P852,F_ProductBM!$Q:$Q,0))="","",INDEX(F_ProductBM!N:N,MATCH($P852,F_ProductBM!$Q:$Q,0))))</f>
        <v/>
      </c>
      <c r="O852" s="698"/>
      <c r="P852" s="1500" t="str">
        <f>EUconst_CNTR_WGProducedEF &amp; I756</f>
        <v>WasteGasProdEF_</v>
      </c>
      <c r="Q852" s="729"/>
      <c r="R852" s="729"/>
      <c r="S852" s="729"/>
      <c r="T852" s="770"/>
      <c r="U852" s="343"/>
      <c r="V852" s="343"/>
    </row>
    <row r="853" spans="1:22" s="364" customFormat="1" ht="12.75" customHeight="1" x14ac:dyDescent="0.25">
      <c r="A853" s="729"/>
      <c r="B853" s="302"/>
      <c r="C853" s="302"/>
      <c r="D853" s="1820"/>
      <c r="E853" s="2818" t="str">
        <f>Translations!$B$573</f>
        <v>Консумиран отпаден газ</v>
      </c>
      <c r="F853" s="2701"/>
      <c r="G853" s="1326" t="str">
        <f>EUconst_TJpa</f>
        <v>TJ / година</v>
      </c>
      <c r="H853" s="482" t="str">
        <f>IF($I756="","",IF(INDEX(F_ProductBM!H:H,MATCH($P853,F_ProductBM!$Q:$Q,0))="","",INDEX(F_ProductBM!H:H,MATCH($P853,F_ProductBM!$Q:$Q,0))))</f>
        <v/>
      </c>
      <c r="I853" s="1824" t="str">
        <f>IF($I756="","",IF(INDEX(F_ProductBM!I:I,MATCH($P853,F_ProductBM!$Q:$Q,0))="","",INDEX(F_ProductBM!I:I,MATCH($P853,F_ProductBM!$Q:$Q,0))))</f>
        <v/>
      </c>
      <c r="J853" s="1825" t="str">
        <f>IF($I756="","",IF(INDEX(F_ProductBM!J:J,MATCH($P853,F_ProductBM!$Q:$Q,0))="","",INDEX(F_ProductBM!J:J,MATCH($P853,F_ProductBM!$Q:$Q,0))))</f>
        <v/>
      </c>
      <c r="K853" s="482" t="str">
        <f>IF($I756="","",IF(INDEX(F_ProductBM!K:K,MATCH($P853,F_ProductBM!$Q:$Q,0))="","",INDEX(F_ProductBM!K:K,MATCH($P853,F_ProductBM!$Q:$Q,0))))</f>
        <v/>
      </c>
      <c r="L853" s="482" t="str">
        <f>IF($I756="","",IF(INDEX(F_ProductBM!L:L,MATCH($P853,F_ProductBM!$Q:$Q,0))="","",INDEX(F_ProductBM!L:L,MATCH($P853,F_ProductBM!$Q:$Q,0))))</f>
        <v/>
      </c>
      <c r="M853" s="482" t="str">
        <f>IF($I756="","",IF(INDEX(F_ProductBM!M:M,MATCH($P853,F_ProductBM!$Q:$Q,0))="","",INDEX(F_ProductBM!M:M,MATCH($P853,F_ProductBM!$Q:$Q,0))))</f>
        <v/>
      </c>
      <c r="N853" s="1826" t="str">
        <f>IF($I756="","",IF(INDEX(F_ProductBM!N:N,MATCH($P853,F_ProductBM!$Q:$Q,0))="","",INDEX(F_ProductBM!N:N,MATCH($P853,F_ProductBM!$Q:$Q,0))))</f>
        <v/>
      </c>
      <c r="O853" s="698"/>
      <c r="P853" s="1500" t="str">
        <f>EUconst_CNTR_WGConsumed &amp; I756</f>
        <v>WasteGasCons_</v>
      </c>
      <c r="Q853" s="729"/>
      <c r="R853" s="729"/>
      <c r="S853" s="729"/>
      <c r="T853" s="770"/>
      <c r="U853" s="343"/>
      <c r="V853" s="343"/>
    </row>
    <row r="854" spans="1:22" s="364" customFormat="1" ht="12.75" customHeight="1" x14ac:dyDescent="0.25">
      <c r="A854" s="729"/>
      <c r="B854" s="302"/>
      <c r="C854" s="302"/>
      <c r="D854" s="1820"/>
      <c r="E854" s="2819" t="str">
        <f>Translations!$B$574</f>
        <v>Специфичен EF (консумиран отпаден газ)</v>
      </c>
      <c r="F854" s="2705"/>
      <c r="G854" s="1329" t="str">
        <f>EUconst_tCO2pTJ</f>
        <v>t CO2 / TJ</v>
      </c>
      <c r="H854" s="484" t="str">
        <f>IF($I756="","",IF(INDEX(F_ProductBM!H:H,MATCH($P854,F_ProductBM!$Q:$Q,0))="","",INDEX(F_ProductBM!H:H,MATCH($P854,F_ProductBM!$Q:$Q,0))))</f>
        <v/>
      </c>
      <c r="I854" s="1828" t="str">
        <f>IF($I756="","",IF(INDEX(F_ProductBM!I:I,MATCH($P854,F_ProductBM!$Q:$Q,0))="","",INDEX(F_ProductBM!I:I,MATCH($P854,F_ProductBM!$Q:$Q,0))))</f>
        <v/>
      </c>
      <c r="J854" s="1829" t="str">
        <f>IF($I756="","",IF(INDEX(F_ProductBM!J:J,MATCH($P854,F_ProductBM!$Q:$Q,0))="","",INDEX(F_ProductBM!J:J,MATCH($P854,F_ProductBM!$Q:$Q,0))))</f>
        <v/>
      </c>
      <c r="K854" s="484" t="str">
        <f>IF($I756="","",IF(INDEX(F_ProductBM!K:K,MATCH($P854,F_ProductBM!$Q:$Q,0))="","",INDEX(F_ProductBM!K:K,MATCH($P854,F_ProductBM!$Q:$Q,0))))</f>
        <v/>
      </c>
      <c r="L854" s="484" t="str">
        <f>IF($I756="","",IF(INDEX(F_ProductBM!L:L,MATCH($P854,F_ProductBM!$Q:$Q,0))="","",INDEX(F_ProductBM!L:L,MATCH($P854,F_ProductBM!$Q:$Q,0))))</f>
        <v/>
      </c>
      <c r="M854" s="484" t="str">
        <f>IF($I756="","",IF(INDEX(F_ProductBM!M:M,MATCH($P854,F_ProductBM!$Q:$Q,0))="","",INDEX(F_ProductBM!M:M,MATCH($P854,F_ProductBM!$Q:$Q,0))))</f>
        <v/>
      </c>
      <c r="N854" s="1830" t="str">
        <f>IF($I756="","",IF(INDEX(F_ProductBM!N:N,MATCH($P854,F_ProductBM!$Q:$Q,0))="","",INDEX(F_ProductBM!N:N,MATCH($P854,F_ProductBM!$Q:$Q,0))))</f>
        <v/>
      </c>
      <c r="O854" s="698"/>
      <c r="P854" s="1500" t="str">
        <f>EUconst_CNTR_WGConsumedEF &amp; I756</f>
        <v>WasteGasConsEF_</v>
      </c>
      <c r="Q854" s="729"/>
      <c r="R854" s="729"/>
      <c r="S854" s="729"/>
      <c r="T854" s="770"/>
      <c r="U854" s="343"/>
      <c r="V854" s="343"/>
    </row>
    <row r="855" spans="1:22" s="364" customFormat="1" ht="12.75" customHeight="1" x14ac:dyDescent="0.25">
      <c r="A855" s="729"/>
      <c r="B855" s="302"/>
      <c r="C855" s="302"/>
      <c r="D855" s="1820"/>
      <c r="E855" s="2818" t="str">
        <f>Translations!$B$580</f>
        <v>Изгорен във факел отпаден газ</v>
      </c>
      <c r="F855" s="2701"/>
      <c r="G855" s="1326" t="str">
        <f>EUconst_TJpa</f>
        <v>TJ / година</v>
      </c>
      <c r="H855" s="482" t="str">
        <f>IF($I756="","",IF(INDEX(F_ProductBM!H:H,MATCH($P855,F_ProductBM!$Q:$Q,0))="","",INDEX(F_ProductBM!H:H,MATCH($P855,F_ProductBM!$Q:$Q,0))))</f>
        <v/>
      </c>
      <c r="I855" s="1824" t="str">
        <f>IF($I756="","",IF(INDEX(F_ProductBM!I:I,MATCH($P855,F_ProductBM!$Q:$Q,0))="","",INDEX(F_ProductBM!I:I,MATCH($P855,F_ProductBM!$Q:$Q,0))))</f>
        <v/>
      </c>
      <c r="J855" s="1825" t="str">
        <f>IF($I756="","",IF(INDEX(F_ProductBM!J:J,MATCH($P855,F_ProductBM!$Q:$Q,0))="","",INDEX(F_ProductBM!J:J,MATCH($P855,F_ProductBM!$Q:$Q,0))))</f>
        <v/>
      </c>
      <c r="K855" s="482" t="str">
        <f>IF($I756="","",IF(INDEX(F_ProductBM!K:K,MATCH($P855,F_ProductBM!$Q:$Q,0))="","",INDEX(F_ProductBM!K:K,MATCH($P855,F_ProductBM!$Q:$Q,0))))</f>
        <v/>
      </c>
      <c r="L855" s="482" t="str">
        <f>IF($I756="","",IF(INDEX(F_ProductBM!L:L,MATCH($P855,F_ProductBM!$Q:$Q,0))="","",INDEX(F_ProductBM!L:L,MATCH($P855,F_ProductBM!$Q:$Q,0))))</f>
        <v/>
      </c>
      <c r="M855" s="482" t="str">
        <f>IF($I756="","",IF(INDEX(F_ProductBM!M:M,MATCH($P855,F_ProductBM!$Q:$Q,0))="","",INDEX(F_ProductBM!M:M,MATCH($P855,F_ProductBM!$Q:$Q,0))))</f>
        <v/>
      </c>
      <c r="N855" s="1826" t="str">
        <f>IF($I756="","",IF(INDEX(F_ProductBM!N:N,MATCH($P855,F_ProductBM!$Q:$Q,0))="","",INDEX(F_ProductBM!N:N,MATCH($P855,F_ProductBM!$Q:$Q,0))))</f>
        <v/>
      </c>
      <c r="O855" s="698"/>
      <c r="P855" s="1500" t="str">
        <f>EUconst_CNTR_WGFlared &amp; I756</f>
        <v>WasteGasFlare_</v>
      </c>
      <c r="Q855" s="729"/>
      <c r="R855" s="729"/>
      <c r="S855" s="729"/>
      <c r="T855" s="770"/>
      <c r="U855" s="343"/>
      <c r="V855" s="343"/>
    </row>
    <row r="856" spans="1:22" s="364" customFormat="1" ht="12.75" customHeight="1" x14ac:dyDescent="0.25">
      <c r="A856" s="729"/>
      <c r="B856" s="302"/>
      <c r="C856" s="302"/>
      <c r="D856" s="1820"/>
      <c r="E856" s="2819" t="str">
        <f>Translations!$B$581</f>
        <v>Специфичен EF (изгорен във факел отпаден газ)</v>
      </c>
      <c r="F856" s="2705"/>
      <c r="G856" s="1329" t="str">
        <f>EUconst_tCO2pTJ</f>
        <v>t CO2 / TJ</v>
      </c>
      <c r="H856" s="484" t="str">
        <f>IF($I756="","",IF(INDEX(F_ProductBM!H:H,MATCH($P856,F_ProductBM!$Q:$Q,0))="","",INDEX(F_ProductBM!H:H,MATCH($P856,F_ProductBM!$Q:$Q,0))))</f>
        <v/>
      </c>
      <c r="I856" s="1828" t="str">
        <f>IF($I756="","",IF(INDEX(F_ProductBM!I:I,MATCH($P856,F_ProductBM!$Q:$Q,0))="","",INDEX(F_ProductBM!I:I,MATCH($P856,F_ProductBM!$Q:$Q,0))))</f>
        <v/>
      </c>
      <c r="J856" s="1829" t="str">
        <f>IF($I756="","",IF(INDEX(F_ProductBM!J:J,MATCH($P856,F_ProductBM!$Q:$Q,0))="","",INDEX(F_ProductBM!J:J,MATCH($P856,F_ProductBM!$Q:$Q,0))))</f>
        <v/>
      </c>
      <c r="K856" s="484" t="str">
        <f>IF($I756="","",IF(INDEX(F_ProductBM!K:K,MATCH($P856,F_ProductBM!$Q:$Q,0))="","",INDEX(F_ProductBM!K:K,MATCH($P856,F_ProductBM!$Q:$Q,0))))</f>
        <v/>
      </c>
      <c r="L856" s="484" t="str">
        <f>IF($I756="","",IF(INDEX(F_ProductBM!L:L,MATCH($P856,F_ProductBM!$Q:$Q,0))="","",INDEX(F_ProductBM!L:L,MATCH($P856,F_ProductBM!$Q:$Q,0))))</f>
        <v/>
      </c>
      <c r="M856" s="484" t="str">
        <f>IF($I756="","",IF(INDEX(F_ProductBM!M:M,MATCH($P856,F_ProductBM!$Q:$Q,0))="","",INDEX(F_ProductBM!M:M,MATCH($P856,F_ProductBM!$Q:$Q,0))))</f>
        <v/>
      </c>
      <c r="N856" s="1830" t="str">
        <f>IF($I756="","",IF(INDEX(F_ProductBM!N:N,MATCH($P856,F_ProductBM!$Q:$Q,0))="","",INDEX(F_ProductBM!N:N,MATCH($P856,F_ProductBM!$Q:$Q,0))))</f>
        <v/>
      </c>
      <c r="O856" s="698"/>
      <c r="P856" s="1500" t="str">
        <f>EUconst_CNTR_WGFlaredEF &amp; I756</f>
        <v>WasteGasFlareEF_</v>
      </c>
      <c r="Q856" s="729"/>
      <c r="R856" s="729"/>
      <c r="S856" s="729"/>
      <c r="T856" s="770"/>
      <c r="U856" s="343"/>
      <c r="V856" s="343"/>
    </row>
    <row r="857" spans="1:22" s="364" customFormat="1" ht="12.75" customHeight="1" x14ac:dyDescent="0.25">
      <c r="A857" s="729"/>
      <c r="B857" s="302"/>
      <c r="C857" s="302"/>
      <c r="D857" s="1820"/>
      <c r="E857" s="2818" t="str">
        <f>Translations!$B$586</f>
        <v>Получен отпаден газ</v>
      </c>
      <c r="F857" s="2701"/>
      <c r="G857" s="1326" t="str">
        <f>EUconst_TJpa</f>
        <v>TJ / година</v>
      </c>
      <c r="H857" s="482" t="str">
        <f>IF($I756="","",IF(INDEX(F_ProductBM!H:H,MATCH($P857,F_ProductBM!$Q:$Q,0))="","",INDEX(F_ProductBM!H:H,MATCH($P857,F_ProductBM!$Q:$Q,0))))</f>
        <v/>
      </c>
      <c r="I857" s="1824" t="str">
        <f>IF($I756="","",IF(INDEX(F_ProductBM!I:I,MATCH($P857,F_ProductBM!$Q:$Q,0))="","",INDEX(F_ProductBM!I:I,MATCH($P857,F_ProductBM!$Q:$Q,0))))</f>
        <v/>
      </c>
      <c r="J857" s="1825" t="str">
        <f>IF($I756="","",IF(INDEX(F_ProductBM!J:J,MATCH($P857,F_ProductBM!$Q:$Q,0))="","",INDEX(F_ProductBM!J:J,MATCH($P857,F_ProductBM!$Q:$Q,0))))</f>
        <v/>
      </c>
      <c r="K857" s="482" t="str">
        <f>IF($I756="","",IF(INDEX(F_ProductBM!K:K,MATCH($P857,F_ProductBM!$Q:$Q,0))="","",INDEX(F_ProductBM!K:K,MATCH($P857,F_ProductBM!$Q:$Q,0))))</f>
        <v/>
      </c>
      <c r="L857" s="482" t="str">
        <f>IF($I756="","",IF(INDEX(F_ProductBM!L:L,MATCH($P857,F_ProductBM!$Q:$Q,0))="","",INDEX(F_ProductBM!L:L,MATCH($P857,F_ProductBM!$Q:$Q,0))))</f>
        <v/>
      </c>
      <c r="M857" s="482" t="str">
        <f>IF($I756="","",IF(INDEX(F_ProductBM!M:M,MATCH($P857,F_ProductBM!$Q:$Q,0))="","",INDEX(F_ProductBM!M:M,MATCH($P857,F_ProductBM!$Q:$Q,0))))</f>
        <v/>
      </c>
      <c r="N857" s="1826" t="str">
        <f>IF($I756="","",IF(INDEX(F_ProductBM!N:N,MATCH($P857,F_ProductBM!$Q:$Q,0))="","",INDEX(F_ProductBM!N:N,MATCH($P857,F_ProductBM!$Q:$Q,0))))</f>
        <v/>
      </c>
      <c r="O857" s="698"/>
      <c r="P857" s="1500" t="str">
        <f>EUconst_CNTR_WGImport &amp; I756</f>
        <v>WasteGasIm_</v>
      </c>
      <c r="Q857" s="729"/>
      <c r="R857" s="729"/>
      <c r="S857" s="729"/>
      <c r="T857" s="770"/>
      <c r="U857" s="343"/>
      <c r="V857" s="343"/>
    </row>
    <row r="858" spans="1:22" s="364" customFormat="1" ht="12.75" customHeight="1" x14ac:dyDescent="0.25">
      <c r="A858" s="729"/>
      <c r="B858" s="302"/>
      <c r="C858" s="302"/>
      <c r="D858" s="1820"/>
      <c r="E858" s="1834" t="str">
        <f>Translations!$B$587</f>
        <v>Специфичен EF (получен отпаден газ)</v>
      </c>
      <c r="F858" s="1834"/>
      <c r="G858" s="639" t="str">
        <f>EUconst_tCO2pTJ</f>
        <v>t CO2 / TJ</v>
      </c>
      <c r="H858" s="484" t="str">
        <f>IF($I756="","",IF(INDEX(F_ProductBM!H:H,MATCH($P858,F_ProductBM!$Q:$Q,0))="","",INDEX(F_ProductBM!H:H,MATCH($P858,F_ProductBM!$Q:$Q,0))))</f>
        <v/>
      </c>
      <c r="I858" s="1828" t="str">
        <f>IF($I756="","",IF(INDEX(F_ProductBM!I:I,MATCH($P858,F_ProductBM!$Q:$Q,0))="","",INDEX(F_ProductBM!I:I,MATCH($P858,F_ProductBM!$Q:$Q,0))))</f>
        <v/>
      </c>
      <c r="J858" s="1829" t="str">
        <f>IF($I756="","",IF(INDEX(F_ProductBM!J:J,MATCH($P858,F_ProductBM!$Q:$Q,0))="","",INDEX(F_ProductBM!J:J,MATCH($P858,F_ProductBM!$Q:$Q,0))))</f>
        <v/>
      </c>
      <c r="K858" s="484" t="str">
        <f>IF($I756="","",IF(INDEX(F_ProductBM!K:K,MATCH($P858,F_ProductBM!$Q:$Q,0))="","",INDEX(F_ProductBM!K:K,MATCH($P858,F_ProductBM!$Q:$Q,0))))</f>
        <v/>
      </c>
      <c r="L858" s="484" t="str">
        <f>IF($I756="","",IF(INDEX(F_ProductBM!L:L,MATCH($P858,F_ProductBM!$Q:$Q,0))="","",INDEX(F_ProductBM!L:L,MATCH($P858,F_ProductBM!$Q:$Q,0))))</f>
        <v/>
      </c>
      <c r="M858" s="484" t="str">
        <f>IF($I756="","",IF(INDEX(F_ProductBM!M:M,MATCH($P858,F_ProductBM!$Q:$Q,0))="","",INDEX(F_ProductBM!M:M,MATCH($P858,F_ProductBM!$Q:$Q,0))))</f>
        <v/>
      </c>
      <c r="N858" s="1830" t="str">
        <f>IF($I756="","",IF(INDEX(F_ProductBM!N:N,MATCH($P858,F_ProductBM!$Q:$Q,0))="","",INDEX(F_ProductBM!N:N,MATCH($P858,F_ProductBM!$Q:$Q,0))))</f>
        <v/>
      </c>
      <c r="O858" s="698"/>
      <c r="P858" s="1500" t="str">
        <f>EUconst_CNTR_WGImportEF &amp; I756</f>
        <v>WasteGasImEF_</v>
      </c>
      <c r="Q858" s="729"/>
      <c r="R858" s="729"/>
      <c r="S858" s="729"/>
      <c r="T858" s="770"/>
      <c r="U858" s="343"/>
      <c r="V858" s="343"/>
    </row>
    <row r="859" spans="1:22" s="364" customFormat="1" ht="12.75" customHeight="1" x14ac:dyDescent="0.25">
      <c r="A859" s="729"/>
      <c r="B859" s="302"/>
      <c r="C859" s="302"/>
      <c r="D859" s="1820"/>
      <c r="E859" s="2818" t="str">
        <f>Translations!$B$591</f>
        <v>Подаден отпаден газ</v>
      </c>
      <c r="F859" s="2701"/>
      <c r="G859" s="1326" t="str">
        <f>EUconst_TJpa</f>
        <v>TJ / година</v>
      </c>
      <c r="H859" s="482" t="str">
        <f>IF($I756="","",IF(INDEX(F_ProductBM!H:H,MATCH($P859,F_ProductBM!$Q:$Q,0))="","",INDEX(F_ProductBM!H:H,MATCH($P859,F_ProductBM!$Q:$Q,0))))</f>
        <v/>
      </c>
      <c r="I859" s="1824" t="str">
        <f>IF($I756="","",IF(INDEX(F_ProductBM!I:I,MATCH($P859,F_ProductBM!$Q:$Q,0))="","",INDEX(F_ProductBM!I:I,MATCH($P859,F_ProductBM!$Q:$Q,0))))</f>
        <v/>
      </c>
      <c r="J859" s="1825" t="str">
        <f>IF($I756="","",IF(INDEX(F_ProductBM!J:J,MATCH($P859,F_ProductBM!$Q:$Q,0))="","",INDEX(F_ProductBM!J:J,MATCH($P859,F_ProductBM!$Q:$Q,0))))</f>
        <v/>
      </c>
      <c r="K859" s="482" t="str">
        <f>IF($I756="","",IF(INDEX(F_ProductBM!K:K,MATCH($P859,F_ProductBM!$Q:$Q,0))="","",INDEX(F_ProductBM!K:K,MATCH($P859,F_ProductBM!$Q:$Q,0))))</f>
        <v/>
      </c>
      <c r="L859" s="482" t="str">
        <f>IF($I756="","",IF(INDEX(F_ProductBM!L:L,MATCH($P859,F_ProductBM!$Q:$Q,0))="","",INDEX(F_ProductBM!L:L,MATCH($P859,F_ProductBM!$Q:$Q,0))))</f>
        <v/>
      </c>
      <c r="M859" s="482" t="str">
        <f>IF($I756="","",IF(INDEX(F_ProductBM!M:M,MATCH($P859,F_ProductBM!$Q:$Q,0))="","",INDEX(F_ProductBM!M:M,MATCH($P859,F_ProductBM!$Q:$Q,0))))</f>
        <v/>
      </c>
      <c r="N859" s="1826" t="str">
        <f>IF($I756="","",IF(INDEX(F_ProductBM!N:N,MATCH($P859,F_ProductBM!$Q:$Q,0))="","",INDEX(F_ProductBM!N:N,MATCH($P859,F_ProductBM!$Q:$Q,0))))</f>
        <v/>
      </c>
      <c r="O859" s="698"/>
      <c r="P859" s="1500" t="str">
        <f>EUconst_CNTR_WGExport &amp; I756</f>
        <v>WasteGasEx_</v>
      </c>
      <c r="Q859" s="729"/>
      <c r="R859" s="729"/>
      <c r="S859" s="729"/>
      <c r="T859" s="770"/>
      <c r="U859" s="343"/>
      <c r="V859" s="343"/>
    </row>
    <row r="860" spans="1:22" s="364" customFormat="1" ht="12.75" customHeight="1" x14ac:dyDescent="0.25">
      <c r="A860" s="729"/>
      <c r="B860" s="302"/>
      <c r="C860" s="302"/>
      <c r="D860" s="1820"/>
      <c r="E860" s="2819" t="str">
        <f>Translations!$B$592</f>
        <v>Специфичен EF (подаден отпаден газ)</v>
      </c>
      <c r="F860" s="2705"/>
      <c r="G860" s="639" t="str">
        <f>EUconst_tCO2pTJ</f>
        <v>t CO2 / TJ</v>
      </c>
      <c r="H860" s="484" t="str">
        <f>IF($I756="","",IF(INDEX(F_ProductBM!H:H,MATCH($P860,F_ProductBM!$Q:$Q,0))="","",INDEX(F_ProductBM!H:H,MATCH($P860,F_ProductBM!$Q:$Q,0))))</f>
        <v/>
      </c>
      <c r="I860" s="1828" t="str">
        <f>IF($I756="","",IF(INDEX(F_ProductBM!I:I,MATCH($P860,F_ProductBM!$Q:$Q,0))="","",INDEX(F_ProductBM!I:I,MATCH($P860,F_ProductBM!$Q:$Q,0))))</f>
        <v/>
      </c>
      <c r="J860" s="1829" t="str">
        <f>IF($I756="","",IF(INDEX(F_ProductBM!J:J,MATCH($P860,F_ProductBM!$Q:$Q,0))="","",INDEX(F_ProductBM!J:J,MATCH($P860,F_ProductBM!$Q:$Q,0))))</f>
        <v/>
      </c>
      <c r="K860" s="484" t="str">
        <f>IF($I756="","",IF(INDEX(F_ProductBM!K:K,MATCH($P860,F_ProductBM!$Q:$Q,0))="","",INDEX(F_ProductBM!K:K,MATCH($P860,F_ProductBM!$Q:$Q,0))))</f>
        <v/>
      </c>
      <c r="L860" s="484" t="str">
        <f>IF($I756="","",IF(INDEX(F_ProductBM!L:L,MATCH($P860,F_ProductBM!$Q:$Q,0))="","",INDEX(F_ProductBM!L:L,MATCH($P860,F_ProductBM!$Q:$Q,0))))</f>
        <v/>
      </c>
      <c r="M860" s="484" t="str">
        <f>IF($I756="","",IF(INDEX(F_ProductBM!M:M,MATCH($P860,F_ProductBM!$Q:$Q,0))="","",INDEX(F_ProductBM!M:M,MATCH($P860,F_ProductBM!$Q:$Q,0))))</f>
        <v/>
      </c>
      <c r="N860" s="1830" t="str">
        <f>IF($I756="","",IF(INDEX(F_ProductBM!N:N,MATCH($P860,F_ProductBM!$Q:$Q,0))="","",INDEX(F_ProductBM!N:N,MATCH($P860,F_ProductBM!$Q:$Q,0))))</f>
        <v/>
      </c>
      <c r="O860" s="698"/>
      <c r="P860" s="1500" t="str">
        <f>EUconst_CNTR_WGExportEF &amp; I756</f>
        <v>WasteGasExEF_</v>
      </c>
      <c r="Q860" s="729"/>
      <c r="R860" s="729"/>
      <c r="S860" s="729"/>
      <c r="T860" s="770"/>
      <c r="U860" s="343"/>
      <c r="V860" s="343"/>
    </row>
    <row r="861" spans="1:22" s="364" customFormat="1" ht="5.15" customHeight="1" x14ac:dyDescent="0.25">
      <c r="A861" s="729"/>
      <c r="B861" s="302"/>
      <c r="C861" s="302"/>
      <c r="D861" s="1820"/>
      <c r="E861" s="643"/>
      <c r="F861" s="643"/>
      <c r="G861" s="625"/>
      <c r="H861" s="640"/>
      <c r="I861" s="640"/>
      <c r="J861" s="640"/>
      <c r="K861" s="640"/>
      <c r="L861" s="640"/>
      <c r="M861" s="640"/>
      <c r="N861" s="1831"/>
      <c r="O861" s="698"/>
      <c r="P861" s="770"/>
      <c r="Q861" s="729"/>
      <c r="R861" s="729"/>
      <c r="S861" s="729"/>
      <c r="T861" s="770"/>
      <c r="U861" s="343"/>
      <c r="V861" s="343"/>
    </row>
    <row r="862" spans="1:22" s="364" customFormat="1" ht="12.75" customHeight="1" x14ac:dyDescent="0.25">
      <c r="A862" s="729"/>
      <c r="B862" s="302"/>
      <c r="C862" s="302"/>
      <c r="D862" s="1820"/>
      <c r="E862" s="2820" t="str">
        <f>Translations!$B$485</f>
        <v>Съответно потребление на електроенергия</v>
      </c>
      <c r="F862" s="2258"/>
      <c r="G862" s="1319" t="str">
        <f>EUconst_MWhpa</f>
        <v>MWh / година</v>
      </c>
      <c r="H862" s="480" t="str">
        <f>IF($I756="","",IF(INDEX(F_ProductBM!H:H,MATCH($P862,F_ProductBM!$Q:$Q,0))="","",INDEX(F_ProductBM!H:H,MATCH($P862,F_ProductBM!$Q:$Q,0))))</f>
        <v/>
      </c>
      <c r="I862" s="1399" t="str">
        <f>IF($I756="","",IF(INDEX(F_ProductBM!I:I,MATCH($P862,F_ProductBM!$Q:$Q,0))="","",INDEX(F_ProductBM!I:I,MATCH($P862,F_ProductBM!$Q:$Q,0))))</f>
        <v/>
      </c>
      <c r="J862" s="1832" t="str">
        <f>IF($I756="","",IF(INDEX(F_ProductBM!J:J,MATCH($P862,F_ProductBM!$Q:$Q,0))="","",INDEX(F_ProductBM!J:J,MATCH($P862,F_ProductBM!$Q:$Q,0))))</f>
        <v/>
      </c>
      <c r="K862" s="480" t="str">
        <f>IF($I756="","",IF(INDEX(F_ProductBM!K:K,MATCH($P862,F_ProductBM!$Q:$Q,0))="","",INDEX(F_ProductBM!K:K,MATCH($P862,F_ProductBM!$Q:$Q,0))))</f>
        <v/>
      </c>
      <c r="L862" s="480" t="str">
        <f>IF($I756="","",IF(INDEX(F_ProductBM!L:L,MATCH($P862,F_ProductBM!$Q:$Q,0))="","",INDEX(F_ProductBM!L:L,MATCH($P862,F_ProductBM!$Q:$Q,0))))</f>
        <v/>
      </c>
      <c r="M862" s="480" t="str">
        <f>IF($I756="","",IF(INDEX(F_ProductBM!M:M,MATCH($P862,F_ProductBM!$Q:$Q,0))="","",INDEX(F_ProductBM!M:M,MATCH($P862,F_ProductBM!$Q:$Q,0))))</f>
        <v/>
      </c>
      <c r="N862" s="1833" t="str">
        <f>IF($I756="","",IF(INDEX(F_ProductBM!N:N,MATCH($P862,F_ProductBM!$Q:$Q,0))="","",INDEX(F_ProductBM!N:N,MATCH($P862,F_ProductBM!$Q:$Q,0))))</f>
        <v/>
      </c>
      <c r="O862" s="698"/>
      <c r="P862" s="1190" t="str">
        <f>EUconst_CNTR_HAL&amp;EUconst_CNTR_ELEXCH &amp; I756</f>
        <v>HAL_ELEXCH_</v>
      </c>
      <c r="Q862" s="729"/>
      <c r="R862" s="729"/>
      <c r="S862" s="729"/>
      <c r="T862" s="770"/>
      <c r="U862" s="343"/>
      <c r="V862" s="343"/>
    </row>
    <row r="863" spans="1:22" s="364" customFormat="1" ht="12.75" customHeight="1" x14ac:dyDescent="0.25">
      <c r="A863" s="729"/>
      <c r="B863" s="302"/>
      <c r="C863" s="302"/>
      <c r="D863" s="1820"/>
      <c r="E863" s="2820" t="str">
        <f>Translations!$B$595</f>
        <v>Произведена електроенергия</v>
      </c>
      <c r="F863" s="2258"/>
      <c r="G863" s="1319" t="str">
        <f>EUconst_MWhpa</f>
        <v>MWh / година</v>
      </c>
      <c r="H863" s="480" t="str">
        <f>IF($I756="","",IF(INDEX(F_ProductBM!H:H,MATCH($P863,F_ProductBM!$Q:$Q,0))="","",INDEX(F_ProductBM!H:H,MATCH($P863,F_ProductBM!$Q:$Q,0))))</f>
        <v/>
      </c>
      <c r="I863" s="1399" t="str">
        <f>IF($I756="","",IF(INDEX(F_ProductBM!I:I,MATCH($P863,F_ProductBM!$Q:$Q,0))="","",INDEX(F_ProductBM!I:I,MATCH($P863,F_ProductBM!$Q:$Q,0))))</f>
        <v/>
      </c>
      <c r="J863" s="1832" t="str">
        <f>IF($I756="","",IF(INDEX(F_ProductBM!J:J,MATCH($P863,F_ProductBM!$Q:$Q,0))="","",INDEX(F_ProductBM!J:J,MATCH($P863,F_ProductBM!$Q:$Q,0))))</f>
        <v/>
      </c>
      <c r="K863" s="480" t="str">
        <f>IF($I756="","",IF(INDEX(F_ProductBM!K:K,MATCH($P863,F_ProductBM!$Q:$Q,0))="","",INDEX(F_ProductBM!K:K,MATCH($P863,F_ProductBM!$Q:$Q,0))))</f>
        <v/>
      </c>
      <c r="L863" s="480" t="str">
        <f>IF($I756="","",IF(INDEX(F_ProductBM!L:L,MATCH($P863,F_ProductBM!$Q:$Q,0))="","",INDEX(F_ProductBM!L:L,MATCH($P863,F_ProductBM!$Q:$Q,0))))</f>
        <v/>
      </c>
      <c r="M863" s="480" t="str">
        <f>IF($I756="","",IF(INDEX(F_ProductBM!M:M,MATCH($P863,F_ProductBM!$Q:$Q,0))="","",INDEX(F_ProductBM!M:M,MATCH($P863,F_ProductBM!$Q:$Q,0))))</f>
        <v/>
      </c>
      <c r="N863" s="1833" t="str">
        <f>IF($I756="","",IF(INDEX(F_ProductBM!N:N,MATCH($P863,F_ProductBM!$Q:$Q,0))="","",INDEX(F_ProductBM!N:N,MATCH($P863,F_ProductBM!$Q:$Q,0))))</f>
        <v/>
      </c>
      <c r="O863" s="698"/>
      <c r="P863" s="1500" t="str">
        <f>EUconst_CNTR_ElectricityExported &amp; I756</f>
        <v>ElecEx_</v>
      </c>
      <c r="Q863" s="729"/>
      <c r="R863" s="729"/>
      <c r="S863" s="729"/>
      <c r="T863" s="770"/>
      <c r="U863" s="343"/>
      <c r="V863" s="343"/>
    </row>
    <row r="864" spans="1:22" s="364" customFormat="1" ht="5.15" customHeight="1" x14ac:dyDescent="0.25">
      <c r="A864" s="729"/>
      <c r="B864" s="302"/>
      <c r="C864" s="302"/>
      <c r="D864" s="1820"/>
      <c r="E864" s="643"/>
      <c r="F864" s="643"/>
      <c r="G864" s="625"/>
      <c r="H864" s="640"/>
      <c r="I864" s="640"/>
      <c r="J864" s="640"/>
      <c r="K864" s="640"/>
      <c r="L864" s="640"/>
      <c r="M864" s="640"/>
      <c r="N864" s="1831"/>
      <c r="O864" s="698"/>
      <c r="P864" s="770"/>
      <c r="Q864" s="729"/>
      <c r="R864" s="729"/>
      <c r="S864" s="729"/>
      <c r="T864" s="770"/>
      <c r="U864" s="343"/>
      <c r="V864" s="343"/>
    </row>
    <row r="865" spans="1:22" s="364" customFormat="1" x14ac:dyDescent="0.25">
      <c r="A865" s="729"/>
      <c r="B865" s="302"/>
      <c r="C865" s="302"/>
      <c r="D865" s="1820"/>
      <c r="E865" s="3059" t="str">
        <f>Translations!$B$957</f>
        <v>Междинно получаване:</v>
      </c>
      <c r="F865" s="2672"/>
      <c r="G865" s="625"/>
      <c r="H865" s="640"/>
      <c r="I865" s="640"/>
      <c r="J865" s="640"/>
      <c r="K865" s="640"/>
      <c r="L865" s="640"/>
      <c r="M865" s="640"/>
      <c r="N865" s="1831"/>
      <c r="O865" s="698"/>
      <c r="P865" s="770"/>
      <c r="Q865" s="729"/>
      <c r="R865" s="729"/>
      <c r="S865" s="729"/>
      <c r="T865" s="770"/>
      <c r="U865" s="343"/>
      <c r="V865" s="343"/>
    </row>
    <row r="866" spans="1:22" s="364" customFormat="1" x14ac:dyDescent="0.25">
      <c r="A866" s="729"/>
      <c r="B866" s="302"/>
      <c r="C866" s="302"/>
      <c r="D866" s="1820"/>
      <c r="E866" s="2814" t="str">
        <f>IF(I756="","",IF(INDEX(F_ProductBM!E:E,MATCH($P866,F_ProductBM!$Q:$Q,0))="","",INDEX(F_ProductBM!E:E,MATCH($P866,F_ProductBM!$Q:$Q,0))))</f>
        <v/>
      </c>
      <c r="F866" s="2258"/>
      <c r="G866" s="1319" t="str">
        <f>EUconst_Tons</f>
        <v>тона</v>
      </c>
      <c r="H866" s="480" t="str">
        <f>IF($I756="","",IF(INDEX(F_ProductBM!H:H,MATCH($P866,F_ProductBM!$Q:$Q,0))="","",INDEX(F_ProductBM!H:H,MATCH($P866,F_ProductBM!$Q:$Q,0))))</f>
        <v/>
      </c>
      <c r="I866" s="1399" t="str">
        <f>IF($I756="","",IF(INDEX(F_ProductBM!I:I,MATCH($P866,F_ProductBM!$Q:$Q,0))="","",INDEX(F_ProductBM!I:I,MATCH($P866,F_ProductBM!$Q:$Q,0))))</f>
        <v/>
      </c>
      <c r="J866" s="1832" t="str">
        <f>IF($I756="","",IF(INDEX(F_ProductBM!J:J,MATCH($P866,F_ProductBM!$Q:$Q,0))="","",INDEX(F_ProductBM!J:J,MATCH($P866,F_ProductBM!$Q:$Q,0))))</f>
        <v/>
      </c>
      <c r="K866" s="480" t="str">
        <f>IF($I756="","",IF(INDEX(F_ProductBM!K:K,MATCH($P866,F_ProductBM!$Q:$Q,0))="","",INDEX(F_ProductBM!K:K,MATCH($P866,F_ProductBM!$Q:$Q,0))))</f>
        <v/>
      </c>
      <c r="L866" s="480" t="str">
        <f>IF($I756="","",IF(INDEX(F_ProductBM!L:L,MATCH($P866,F_ProductBM!$Q:$Q,0))="","",INDEX(F_ProductBM!L:L,MATCH($P866,F_ProductBM!$Q:$Q,0))))</f>
        <v/>
      </c>
      <c r="M866" s="480" t="str">
        <f>IF($I756="","",IF(INDEX(F_ProductBM!M:M,MATCH($P866,F_ProductBM!$Q:$Q,0))="","",INDEX(F_ProductBM!M:M,MATCH($P866,F_ProductBM!$Q:$Q,0))))</f>
        <v/>
      </c>
      <c r="N866" s="1833" t="str">
        <f>IF($I756="","",IF(INDEX(F_ProductBM!N:N,MATCH($P866,F_ProductBM!$Q:$Q,0))="","",INDEX(F_ProductBM!N:N,MATCH($P866,F_ProductBM!$Q:$Q,0))))</f>
        <v/>
      </c>
      <c r="O866" s="698"/>
      <c r="P866" s="1500" t="str">
        <f>EUconst_CNTR_IntermediateImport &amp; R866 &amp; "_" &amp; I756</f>
        <v>IntImp_1_</v>
      </c>
      <c r="Q866" s="729"/>
      <c r="R866" s="1176">
        <v>1</v>
      </c>
      <c r="S866" s="729"/>
      <c r="T866" s="770"/>
      <c r="U866" s="343"/>
      <c r="V866" s="343"/>
    </row>
    <row r="867" spans="1:22" s="364" customFormat="1" x14ac:dyDescent="0.25">
      <c r="A867" s="729"/>
      <c r="B867" s="302"/>
      <c r="C867" s="302"/>
      <c r="D867" s="1820"/>
      <c r="E867" s="2814" t="str">
        <f>IF(I756="","",IF(INDEX(F_ProductBM!E:E,MATCH($P867,F_ProductBM!$Q:$Q,0))="","",INDEX(F_ProductBM!E:E,MATCH($P867,F_ProductBM!$Q:$Q,0))))</f>
        <v/>
      </c>
      <c r="F867" s="2258"/>
      <c r="G867" s="1319" t="str">
        <f>EUconst_Tons</f>
        <v>тона</v>
      </c>
      <c r="H867" s="480" t="str">
        <f>IF($I756="","",IF(INDEX(F_ProductBM!H:H,MATCH($P867,F_ProductBM!$Q:$Q,0))="","",INDEX(F_ProductBM!H:H,MATCH($P867,F_ProductBM!$Q:$Q,0))))</f>
        <v/>
      </c>
      <c r="I867" s="1399" t="str">
        <f>IF($I756="","",IF(INDEX(F_ProductBM!I:I,MATCH($P867,F_ProductBM!$Q:$Q,0))="","",INDEX(F_ProductBM!I:I,MATCH($P867,F_ProductBM!$Q:$Q,0))))</f>
        <v/>
      </c>
      <c r="J867" s="1832" t="str">
        <f>IF($I756="","",IF(INDEX(F_ProductBM!J:J,MATCH($P867,F_ProductBM!$Q:$Q,0))="","",INDEX(F_ProductBM!J:J,MATCH($P867,F_ProductBM!$Q:$Q,0))))</f>
        <v/>
      </c>
      <c r="K867" s="480" t="str">
        <f>IF($I756="","",IF(INDEX(F_ProductBM!K:K,MATCH($P867,F_ProductBM!$Q:$Q,0))="","",INDEX(F_ProductBM!K:K,MATCH($P867,F_ProductBM!$Q:$Q,0))))</f>
        <v/>
      </c>
      <c r="L867" s="480" t="str">
        <f>IF($I756="","",IF(INDEX(F_ProductBM!L:L,MATCH($P867,F_ProductBM!$Q:$Q,0))="","",INDEX(F_ProductBM!L:L,MATCH($P867,F_ProductBM!$Q:$Q,0))))</f>
        <v/>
      </c>
      <c r="M867" s="480" t="str">
        <f>IF($I756="","",IF(INDEX(F_ProductBM!M:M,MATCH($P867,F_ProductBM!$Q:$Q,0))="","",INDEX(F_ProductBM!M:M,MATCH($P867,F_ProductBM!$Q:$Q,0))))</f>
        <v/>
      </c>
      <c r="N867" s="1833" t="str">
        <f>IF($I756="","",IF(INDEX(F_ProductBM!N:N,MATCH($P867,F_ProductBM!$Q:$Q,0))="","",INDEX(F_ProductBM!N:N,MATCH($P867,F_ProductBM!$Q:$Q,0))))</f>
        <v/>
      </c>
      <c r="O867" s="698"/>
      <c r="P867" s="1500" t="str">
        <f>EUconst_CNTR_IntermediateImport &amp; R867 &amp; "_" &amp; I756</f>
        <v>IntImp_2_</v>
      </c>
      <c r="Q867" s="729"/>
      <c r="R867" s="1176">
        <v>2</v>
      </c>
      <c r="S867" s="729"/>
      <c r="T867" s="770"/>
      <c r="U867" s="343"/>
      <c r="V867" s="343"/>
    </row>
    <row r="868" spans="1:22" s="364" customFormat="1" x14ac:dyDescent="0.25">
      <c r="A868" s="729"/>
      <c r="B868" s="302"/>
      <c r="C868" s="302"/>
      <c r="D868" s="1820"/>
      <c r="E868" s="2820" t="str">
        <f>Translations!$B$958</f>
        <v>Междинно подаване:</v>
      </c>
      <c r="F868" s="2258"/>
      <c r="G868" s="625"/>
      <c r="H868" s="640"/>
      <c r="I868" s="640"/>
      <c r="J868" s="640"/>
      <c r="K868" s="640"/>
      <c r="L868" s="640"/>
      <c r="M868" s="640"/>
      <c r="N868" s="1831"/>
      <c r="O868" s="698"/>
      <c r="P868" s="770"/>
      <c r="Q868" s="729"/>
      <c r="R868" s="729"/>
      <c r="S868" s="729"/>
      <c r="T868" s="770"/>
      <c r="U868" s="343"/>
      <c r="V868" s="343"/>
    </row>
    <row r="869" spans="1:22" s="364" customFormat="1" x14ac:dyDescent="0.25">
      <c r="A869" s="729"/>
      <c r="B869" s="302"/>
      <c r="C869" s="302"/>
      <c r="D869" s="1820"/>
      <c r="E869" s="2814" t="str">
        <f>IF(I756="","",IF(INDEX(F_ProductBM!E:E,MATCH($P869,F_ProductBM!$Q:$Q,0))="","",INDEX(F_ProductBM!E:E,MATCH($P869,F_ProductBM!$Q:$Q,0))))</f>
        <v/>
      </c>
      <c r="F869" s="2258"/>
      <c r="G869" s="1319" t="str">
        <f>EUconst_Tons</f>
        <v>тона</v>
      </c>
      <c r="H869" s="480" t="str">
        <f>IF($I756="","",IF(INDEX(F_ProductBM!H:H,MATCH($P869,F_ProductBM!$Q:$Q,0))="","",INDEX(F_ProductBM!H:H,MATCH($P869,F_ProductBM!$Q:$Q,0))))</f>
        <v/>
      </c>
      <c r="I869" s="1399" t="str">
        <f>IF($I756="","",IF(INDEX(F_ProductBM!I:I,MATCH($P869,F_ProductBM!$Q:$Q,0))="","",INDEX(F_ProductBM!I:I,MATCH($P869,F_ProductBM!$Q:$Q,0))))</f>
        <v/>
      </c>
      <c r="J869" s="1832" t="str">
        <f>IF($I756="","",IF(INDEX(F_ProductBM!J:J,MATCH($P869,F_ProductBM!$Q:$Q,0))="","",INDEX(F_ProductBM!J:J,MATCH($P869,F_ProductBM!$Q:$Q,0))))</f>
        <v/>
      </c>
      <c r="K869" s="480" t="str">
        <f>IF($I756="","",IF(INDEX(F_ProductBM!K:K,MATCH($P869,F_ProductBM!$Q:$Q,0))="","",INDEX(F_ProductBM!K:K,MATCH($P869,F_ProductBM!$Q:$Q,0))))</f>
        <v/>
      </c>
      <c r="L869" s="480" t="str">
        <f>IF($I756="","",IF(INDEX(F_ProductBM!L:L,MATCH($P869,F_ProductBM!$Q:$Q,0))="","",INDEX(F_ProductBM!L:L,MATCH($P869,F_ProductBM!$Q:$Q,0))))</f>
        <v/>
      </c>
      <c r="M869" s="480" t="str">
        <f>IF($I756="","",IF(INDEX(F_ProductBM!M:M,MATCH($P869,F_ProductBM!$Q:$Q,0))="","",INDEX(F_ProductBM!M:M,MATCH($P869,F_ProductBM!$Q:$Q,0))))</f>
        <v/>
      </c>
      <c r="N869" s="1833" t="str">
        <f>IF($I756="","",IF(INDEX(F_ProductBM!N:N,MATCH($P869,F_ProductBM!$Q:$Q,0))="","",INDEX(F_ProductBM!N:N,MATCH($P869,F_ProductBM!$Q:$Q,0))))</f>
        <v/>
      </c>
      <c r="O869" s="698"/>
      <c r="P869" s="1500" t="str">
        <f>EUconst_CNTR_IntermediateExport &amp; R866 &amp; "_" &amp; I756</f>
        <v>IntExp_1_</v>
      </c>
      <c r="Q869" s="729"/>
      <c r="R869" s="1176">
        <v>1</v>
      </c>
      <c r="S869" s="729"/>
      <c r="T869" s="770"/>
      <c r="U869" s="343"/>
      <c r="V869" s="343"/>
    </row>
    <row r="870" spans="1:22" s="364" customFormat="1" x14ac:dyDescent="0.25">
      <c r="A870" s="729"/>
      <c r="B870" s="302"/>
      <c r="C870" s="302"/>
      <c r="D870" s="1820"/>
      <c r="E870" s="2814" t="str">
        <f>IF(I756="","",IF(INDEX(F_ProductBM!E:E,MATCH($P870,F_ProductBM!$Q:$Q,0))="","",INDEX(F_ProductBM!E:E,MATCH($P870,F_ProductBM!$Q:$Q,0))))</f>
        <v/>
      </c>
      <c r="F870" s="2258"/>
      <c r="G870" s="1319" t="str">
        <f>EUconst_Tons</f>
        <v>тона</v>
      </c>
      <c r="H870" s="480" t="str">
        <f>IF($I756="","",IF(INDEX(F_ProductBM!H:H,MATCH($P870,F_ProductBM!$Q:$Q,0))="","",INDEX(F_ProductBM!H:H,MATCH($P870,F_ProductBM!$Q:$Q,0))))</f>
        <v/>
      </c>
      <c r="I870" s="1399" t="str">
        <f>IF($I756="","",IF(INDEX(F_ProductBM!I:I,MATCH($P870,F_ProductBM!$Q:$Q,0))="","",INDEX(F_ProductBM!I:I,MATCH($P870,F_ProductBM!$Q:$Q,0))))</f>
        <v/>
      </c>
      <c r="J870" s="1832" t="str">
        <f>IF($I756="","",IF(INDEX(F_ProductBM!J:J,MATCH($P870,F_ProductBM!$Q:$Q,0))="","",INDEX(F_ProductBM!J:J,MATCH($P870,F_ProductBM!$Q:$Q,0))))</f>
        <v/>
      </c>
      <c r="K870" s="480" t="str">
        <f>IF($I756="","",IF(INDEX(F_ProductBM!K:K,MATCH($P870,F_ProductBM!$Q:$Q,0))="","",INDEX(F_ProductBM!K:K,MATCH($P870,F_ProductBM!$Q:$Q,0))))</f>
        <v/>
      </c>
      <c r="L870" s="480" t="str">
        <f>IF($I756="","",IF(INDEX(F_ProductBM!L:L,MATCH($P870,F_ProductBM!$Q:$Q,0))="","",INDEX(F_ProductBM!L:L,MATCH($P870,F_ProductBM!$Q:$Q,0))))</f>
        <v/>
      </c>
      <c r="M870" s="480" t="str">
        <f>IF($I756="","",IF(INDEX(F_ProductBM!M:M,MATCH($P870,F_ProductBM!$Q:$Q,0))="","",INDEX(F_ProductBM!M:M,MATCH($P870,F_ProductBM!$Q:$Q,0))))</f>
        <v/>
      </c>
      <c r="N870" s="1833" t="str">
        <f>IF($I756="","",IF(INDEX(F_ProductBM!N:N,MATCH($P870,F_ProductBM!$Q:$Q,0))="","",INDEX(F_ProductBM!N:N,MATCH($P870,F_ProductBM!$Q:$Q,0))))</f>
        <v/>
      </c>
      <c r="O870" s="698"/>
      <c r="P870" s="1500" t="str">
        <f>EUconst_CNTR_IntermediateExport &amp; R870 &amp; "_" &amp; I756</f>
        <v>IntExp_2_</v>
      </c>
      <c r="Q870" s="729"/>
      <c r="R870" s="1176">
        <v>2</v>
      </c>
      <c r="S870" s="729"/>
      <c r="T870" s="770"/>
      <c r="U870" s="343"/>
      <c r="V870" s="343"/>
    </row>
    <row r="871" spans="1:22" s="364" customFormat="1" ht="5.15" customHeight="1" x14ac:dyDescent="0.25">
      <c r="A871" s="729"/>
      <c r="B871" s="302"/>
      <c r="C871" s="302"/>
      <c r="D871" s="1820"/>
      <c r="E871" s="625"/>
      <c r="F871" s="625"/>
      <c r="G871" s="625"/>
      <c r="H871" s="625"/>
      <c r="I871" s="644"/>
      <c r="J871" s="644"/>
      <c r="K871" s="644"/>
      <c r="L871" s="644"/>
      <c r="M871" s="644"/>
      <c r="N871" s="1316"/>
      <c r="O871" s="698"/>
      <c r="P871" s="770"/>
      <c r="Q871" s="729"/>
      <c r="R871" s="1165"/>
      <c r="S871" s="729"/>
      <c r="T871" s="770"/>
      <c r="U871" s="343"/>
      <c r="V871" s="343"/>
    </row>
    <row r="872" spans="1:22" s="364" customFormat="1" ht="13" x14ac:dyDescent="0.25">
      <c r="A872" s="729"/>
      <c r="B872" s="302"/>
      <c r="C872" s="302"/>
      <c r="D872" s="1820"/>
      <c r="E872" s="3060" t="str">
        <f>Translations!$B$1585</f>
        <v>Корекции за актуализиране на показателя при специфичен показател, когато е приложимо</v>
      </c>
      <c r="F872" s="3060"/>
      <c r="G872" s="3060"/>
      <c r="H872" s="3060"/>
      <c r="I872" s="3060"/>
      <c r="J872" s="3060"/>
      <c r="K872" s="3060"/>
      <c r="L872" s="3060"/>
      <c r="M872" s="3060"/>
      <c r="N872" s="1316"/>
      <c r="O872" s="698"/>
      <c r="P872" s="770"/>
      <c r="Q872" s="729"/>
      <c r="R872" s="1165"/>
      <c r="S872" s="729"/>
      <c r="T872" s="770"/>
      <c r="U872" s="343"/>
      <c r="V872" s="343"/>
    </row>
    <row r="873" spans="1:22" s="364" customFormat="1" x14ac:dyDescent="0.25">
      <c r="A873" s="729"/>
      <c r="B873" s="302"/>
      <c r="C873" s="302"/>
      <c r="D873" s="1820"/>
      <c r="E873" s="641" t="str">
        <f>Translations!$B$596</f>
        <v>Общо количество произведен пулп</v>
      </c>
      <c r="F873" s="1835"/>
      <c r="G873" s="642" t="str">
        <f>EUconst_Tons</f>
        <v>тона</v>
      </c>
      <c r="H873" s="499" t="str">
        <f>IF($I756="","",IF(INDEX(F_ProductBM!H:H,MATCH($P873,F_ProductBM!$Q:$Q,0))="","",INDEX(F_ProductBM!H:H,MATCH($P873,F_ProductBM!$Q:$Q,0))))</f>
        <v/>
      </c>
      <c r="I873" s="1399" t="str">
        <f>IF($I756="","",IF(INDEX(F_ProductBM!I:I,MATCH($P873,F_ProductBM!$Q:$Q,0))="","",INDEX(F_ProductBM!I:I,MATCH($P873,F_ProductBM!$Q:$Q,0))))</f>
        <v/>
      </c>
      <c r="J873" s="1832" t="str">
        <f>IF($I756="","",IF(INDEX(F_ProductBM!J:J,MATCH($P873,F_ProductBM!$Q:$Q,0))="","",INDEX(F_ProductBM!J:J,MATCH($P873,F_ProductBM!$Q:$Q,0))))</f>
        <v/>
      </c>
      <c r="K873" s="499" t="str">
        <f>IF($I756="","",IF(INDEX(F_ProductBM!K:K,MATCH($P873,F_ProductBM!$Q:$Q,0))="","",INDEX(F_ProductBM!K:K,MATCH($P873,F_ProductBM!$Q:$Q,0))))</f>
        <v/>
      </c>
      <c r="L873" s="499" t="str">
        <f>IF($I756="","",IF(INDEX(F_ProductBM!L:L,MATCH($P873,F_ProductBM!$Q:$Q,0))="","",INDEX(F_ProductBM!L:L,MATCH($P873,F_ProductBM!$Q:$Q,0))))</f>
        <v/>
      </c>
      <c r="M873" s="499" t="str">
        <f>IF($I756="","",IF(INDEX(F_ProductBM!M:M,MATCH($P873,F_ProductBM!$Q:$Q,0))="","",INDEX(F_ProductBM!M:M,MATCH($P873,F_ProductBM!$Q:$Q,0))))</f>
        <v/>
      </c>
      <c r="N873" s="1836" t="str">
        <f>IF($I756="","",IF(INDEX(F_ProductBM!N:N,MATCH($P873,F_ProductBM!$Q:$Q,0))="","",INDEX(F_ProductBM!N:N,MATCH($P873,F_ProductBM!$Q:$Q,0))))</f>
        <v/>
      </c>
      <c r="O873" s="698"/>
      <c r="P873" s="1500" t="str">
        <f>EUconst_CNTR_HALPulpTotal &amp;  I756</f>
        <v>HALPulpTotal_</v>
      </c>
      <c r="Q873" s="729"/>
      <c r="R873" s="729"/>
      <c r="S873" s="729"/>
      <c r="T873" s="770"/>
      <c r="U873" s="343"/>
      <c r="V873" s="343"/>
    </row>
    <row r="874" spans="1:22" s="364" customFormat="1" ht="5.15" customHeight="1" x14ac:dyDescent="0.25">
      <c r="A874" s="729"/>
      <c r="B874" s="302"/>
      <c r="C874" s="302"/>
      <c r="D874" s="1820"/>
      <c r="E874" s="625"/>
      <c r="F874" s="625"/>
      <c r="G874" s="625"/>
      <c r="H874" s="644"/>
      <c r="I874" s="644"/>
      <c r="J874" s="644"/>
      <c r="K874" s="644"/>
      <c r="L874" s="644"/>
      <c r="M874" s="644"/>
      <c r="N874" s="1837"/>
      <c r="O874" s="698"/>
      <c r="P874" s="770"/>
      <c r="Q874" s="729"/>
      <c r="R874" s="729"/>
      <c r="S874" s="729"/>
      <c r="T874" s="770"/>
      <c r="U874" s="343"/>
      <c r="V874" s="343"/>
    </row>
    <row r="875" spans="1:22" s="364" customFormat="1" ht="12.75" customHeight="1" x14ac:dyDescent="0.25">
      <c r="A875" s="729"/>
      <c r="B875" s="302"/>
      <c r="C875" s="302"/>
      <c r="D875" s="1820"/>
      <c r="E875" s="641" t="str">
        <f>Translations!$B$1586</f>
        <v>Производство на водород (действително + теоретично)</v>
      </c>
      <c r="F875" s="1835"/>
      <c r="G875" s="642" t="str">
        <f>EUconst_Tons</f>
        <v>тона</v>
      </c>
      <c r="H875" s="499" t="str">
        <f>IF($L759=$R875,SUMIFS(H_SpecialBM!H:H,H_SpecialBM!$Q:$Q,$P875),"")</f>
        <v/>
      </c>
      <c r="I875" s="1399" t="str">
        <f>IF($L759=$R875,SUMIFS(H_SpecialBM!I:I,H_SpecialBM!$Q:$Q,$P875),"")</f>
        <v/>
      </c>
      <c r="J875" s="1832" t="str">
        <f>IF($L759=$R875,SUMIFS(H_SpecialBM!J:J,H_SpecialBM!$Q:$Q,$P875),"")</f>
        <v/>
      </c>
      <c r="K875" s="499" t="str">
        <f>IF($L759=$R875,SUMIFS(H_SpecialBM!K:K,H_SpecialBM!$Q:$Q,$P875),"")</f>
        <v/>
      </c>
      <c r="L875" s="499" t="str">
        <f>IF($L759=$R875,SUMIFS(H_SpecialBM!L:L,H_SpecialBM!$Q:$Q,$P875),"")</f>
        <v/>
      </c>
      <c r="M875" s="499" t="str">
        <f>IF($L759=$R875,SUMIFS(H_SpecialBM!M:M,H_SpecialBM!$Q:$Q,$P875),"")</f>
        <v/>
      </c>
      <c r="N875" s="1836" t="str">
        <f>IF($L759=$R875,SUMIFS(H_SpecialBM!N:N,H_SpecialBM!$Q:$Q,$P875),"")</f>
        <v/>
      </c>
      <c r="O875" s="698"/>
      <c r="P875" s="1190" t="str">
        <f>EUconst_CNTR_H2ActualPlusTheoretical</f>
        <v>H2Total_</v>
      </c>
      <c r="Q875" s="729"/>
      <c r="R875" s="1176">
        <v>50</v>
      </c>
      <c r="S875" s="729"/>
      <c r="T875" s="770"/>
      <c r="U875" s="343"/>
      <c r="V875" s="343"/>
    </row>
    <row r="876" spans="1:22" s="364" customFormat="1" x14ac:dyDescent="0.25">
      <c r="A876" s="729"/>
      <c r="B876" s="302"/>
      <c r="C876" s="302"/>
      <c r="D876" s="1820"/>
      <c r="E876" s="641" t="str">
        <f>Translations!$B$1587</f>
        <v>Емисии във връзка с водород</v>
      </c>
      <c r="F876" s="1835"/>
      <c r="G876" s="642" t="str">
        <f>EUconst_tCO2pa</f>
        <v>t CO2 / година</v>
      </c>
      <c r="H876" s="499" t="str">
        <f>IF($L759=$R876,SUMIFS(H_SpecialBM!H:H,H_SpecialBM!$Q:$Q,$P876),"")</f>
        <v/>
      </c>
      <c r="I876" s="1399" t="str">
        <f>IF($L759=$R876,SUMIFS(H_SpecialBM!I:I,H_SpecialBM!$Q:$Q,$P876),"")</f>
        <v/>
      </c>
      <c r="J876" s="1832" t="str">
        <f>IF($L759=$R876,SUMIFS(H_SpecialBM!J:J,H_SpecialBM!$Q:$Q,$P876),"")</f>
        <v/>
      </c>
      <c r="K876" s="499" t="str">
        <f>IF($L759=$R876,SUMIFS(H_SpecialBM!K:K,H_SpecialBM!$Q:$Q,$P876),"")</f>
        <v/>
      </c>
      <c r="L876" s="499" t="str">
        <f>IF($L759=$R876,SUMIFS(H_SpecialBM!L:L,H_SpecialBM!$Q:$Q,$P876),"")</f>
        <v/>
      </c>
      <c r="M876" s="499" t="str">
        <f>IF($L759=$R876,SUMIFS(H_SpecialBM!M:M,H_SpecialBM!$Q:$Q,$P876),"")</f>
        <v/>
      </c>
      <c r="N876" s="1836" t="str">
        <f>IF($L759=$R876,SUMIFS(H_SpecialBM!N:N,H_SpecialBM!$Q:$Q,$P876),"")</f>
        <v/>
      </c>
      <c r="O876" s="698"/>
      <c r="P876" s="1190" t="str">
        <f>EUconst_CNTR_H2AdditionalEmissions</f>
        <v>H2AddEm_</v>
      </c>
      <c r="Q876" s="729"/>
      <c r="R876" s="1176">
        <v>50</v>
      </c>
      <c r="S876" s="729"/>
      <c r="T876" s="770"/>
      <c r="U876" s="343"/>
      <c r="V876" s="343"/>
    </row>
    <row r="877" spans="1:22" s="364" customFormat="1" ht="5.15" customHeight="1" x14ac:dyDescent="0.25">
      <c r="A877" s="729"/>
      <c r="B877" s="302"/>
      <c r="C877" s="302"/>
      <c r="D877" s="1820"/>
      <c r="E877" s="625"/>
      <c r="F877" s="625"/>
      <c r="G877" s="625"/>
      <c r="H877" s="644"/>
      <c r="I877" s="644"/>
      <c r="J877" s="644"/>
      <c r="K877" s="644"/>
      <c r="L877" s="644"/>
      <c r="M877" s="644"/>
      <c r="N877" s="1837"/>
      <c r="O877" s="698"/>
      <c r="P877" s="729"/>
      <c r="Q877" s="729"/>
      <c r="R877" s="729"/>
      <c r="S877" s="729"/>
      <c r="T877" s="770"/>
      <c r="U877" s="343"/>
      <c r="V877" s="343"/>
    </row>
    <row r="878" spans="1:22" s="364" customFormat="1" x14ac:dyDescent="0.25">
      <c r="A878" s="729"/>
      <c r="B878" s="302"/>
      <c r="C878" s="302"/>
      <c r="D878" s="1820"/>
      <c r="E878" s="641" t="str">
        <f>Translations!$B$1588</f>
        <v>Корекция на емисиите във връзка с HVC</v>
      </c>
      <c r="F878" s="1835"/>
      <c r="G878" s="642" t="str">
        <f>EUconst_tCO2pa</f>
        <v>t CO2 / година</v>
      </c>
      <c r="H878" s="499" t="str">
        <f>IF($L759=$R878,-SUMIFS(H_SpecialBM!H:H,H_SpecialBM!$Q:$Q,$P878),"")</f>
        <v/>
      </c>
      <c r="I878" s="1399" t="str">
        <f>IF($L759=$R878,-SUMIFS(H_SpecialBM!I:I,H_SpecialBM!$Q:$Q,$P878),"")</f>
        <v/>
      </c>
      <c r="J878" s="1832" t="str">
        <f>IF($L759=$R878,-SUMIFS(H_SpecialBM!J:J,H_SpecialBM!$Q:$Q,$P878),"")</f>
        <v/>
      </c>
      <c r="K878" s="499" t="str">
        <f>IF($L759=$R878,-SUMIFS(H_SpecialBM!K:K,H_SpecialBM!$Q:$Q,$P878),"")</f>
        <v/>
      </c>
      <c r="L878" s="499" t="str">
        <f>IF($L759=$R878,-SUMIFS(H_SpecialBM!L:L,H_SpecialBM!$Q:$Q,$P878),"")</f>
        <v/>
      </c>
      <c r="M878" s="499" t="str">
        <f>IF($L759=$R878,-SUMIFS(H_SpecialBM!M:M,H_SpecialBM!$Q:$Q,$P878),"")</f>
        <v/>
      </c>
      <c r="N878" s="1836" t="str">
        <f>IF($L759=$R878,-SUMIFS(H_SpecialBM!N:N,H_SpecialBM!$Q:$Q,$P878),"")</f>
        <v/>
      </c>
      <c r="O878" s="698"/>
      <c r="P878" s="1500" t="str">
        <f>EUconst_CNTR_HVC</f>
        <v>HVC_</v>
      </c>
      <c r="Q878" s="729"/>
      <c r="R878" s="1176">
        <v>42</v>
      </c>
      <c r="S878" s="729"/>
      <c r="T878" s="770"/>
      <c r="U878" s="343"/>
      <c r="V878" s="343"/>
    </row>
    <row r="879" spans="1:22" s="364" customFormat="1" ht="5.15" customHeight="1" x14ac:dyDescent="0.25">
      <c r="A879" s="729"/>
      <c r="B879" s="302"/>
      <c r="C879" s="302"/>
      <c r="D879" s="1820"/>
      <c r="E879" s="625"/>
      <c r="F879" s="625"/>
      <c r="G879" s="625"/>
      <c r="H879" s="644"/>
      <c r="I879" s="644"/>
      <c r="J879" s="644"/>
      <c r="K879" s="644"/>
      <c r="L879" s="644"/>
      <c r="M879" s="644"/>
      <c r="N879" s="1837"/>
      <c r="O879" s="698"/>
      <c r="P879" s="770"/>
      <c r="Q879" s="729"/>
      <c r="R879" s="729"/>
      <c r="S879" s="729"/>
      <c r="T879" s="770"/>
      <c r="U879" s="343"/>
      <c r="V879" s="343"/>
    </row>
    <row r="880" spans="1:22" s="364" customFormat="1" ht="12.75" customHeight="1" x14ac:dyDescent="0.25">
      <c r="A880" s="729"/>
      <c r="B880" s="302"/>
      <c r="C880" s="302"/>
      <c r="D880" s="1820"/>
      <c r="E880" s="641" t="str">
        <f>Translations!$B$1589</f>
        <v>Корекция на емисиите във връзка с VCM</v>
      </c>
      <c r="F880" s="1835"/>
      <c r="G880" s="642" t="str">
        <f>EUconst_tCO2pa</f>
        <v>t CO2 / година</v>
      </c>
      <c r="H880" s="499" t="str">
        <f>IF($L759=$R880,INDEX(H_SpecialBM!H:H,MATCH($P880,H_SpecialBM!$Q:$Q,0)-2),"")</f>
        <v/>
      </c>
      <c r="I880" s="1399" t="str">
        <f>IF($L759=$R880,INDEX(H_SpecialBM!I:I,MATCH($P880,H_SpecialBM!$Q:$Q,0)-2),"")</f>
        <v/>
      </c>
      <c r="J880" s="1832" t="str">
        <f>IF($L759=$R880,INDEX(H_SpecialBM!J:J,MATCH($P880,H_SpecialBM!$Q:$Q,0)-2),"")</f>
        <v/>
      </c>
      <c r="K880" s="499" t="str">
        <f>IF($L759=$R880,INDEX(H_SpecialBM!K:K,MATCH($P880,H_SpecialBM!$Q:$Q,0)-2),"")</f>
        <v/>
      </c>
      <c r="L880" s="499" t="str">
        <f>IF($L759=$R880,INDEX(H_SpecialBM!L:L,MATCH($P880,H_SpecialBM!$Q:$Q,0)-2),"")</f>
        <v/>
      </c>
      <c r="M880" s="499" t="str">
        <f>IF($L759=$R880,INDEX(H_SpecialBM!M:M,MATCH($P880,H_SpecialBM!$Q:$Q,0)-2),"")</f>
        <v/>
      </c>
      <c r="N880" s="1836" t="str">
        <f>IF($L759=$R880,INDEX(H_SpecialBM!N:N,MATCH($P880,H_SpecialBM!$Q:$Q,0)-2),"")</f>
        <v/>
      </c>
      <c r="O880" s="698"/>
      <c r="P880" s="1190" t="str">
        <f>EUconst_CNTR_VCM</f>
        <v>VCM_</v>
      </c>
      <c r="Q880" s="729"/>
      <c r="R880" s="1176">
        <v>47</v>
      </c>
      <c r="S880" s="729"/>
      <c r="T880" s="770"/>
      <c r="U880" s="343"/>
      <c r="V880" s="343"/>
    </row>
    <row r="881" spans="1:22" s="364" customFormat="1" ht="12.75" customHeight="1" thickBot="1" x14ac:dyDescent="0.3">
      <c r="A881" s="729"/>
      <c r="B881" s="302"/>
      <c r="C881" s="302"/>
      <c r="D881" s="1838"/>
      <c r="E881" s="1839"/>
      <c r="F881" s="1839"/>
      <c r="G881" s="1839"/>
      <c r="H881" s="1839"/>
      <c r="I881" s="1840"/>
      <c r="J881" s="1840"/>
      <c r="K881" s="1840"/>
      <c r="L881" s="1840"/>
      <c r="M881" s="1840"/>
      <c r="N881" s="1379"/>
      <c r="O881" s="698"/>
      <c r="P881" s="729"/>
      <c r="Q881" s="729"/>
      <c r="R881" s="1165"/>
      <c r="S881" s="729"/>
      <c r="T881" s="770"/>
      <c r="U881" s="343"/>
      <c r="V881" s="343"/>
    </row>
    <row r="882" spans="1:22" s="364" customFormat="1" ht="12.75" customHeight="1" thickBot="1" x14ac:dyDescent="0.3">
      <c r="A882" s="729"/>
      <c r="B882" s="302"/>
      <c r="C882" s="302"/>
      <c r="D882" s="302"/>
      <c r="E882" s="646"/>
      <c r="O882" s="698"/>
      <c r="P882" s="729"/>
      <c r="Q882" s="729"/>
      <c r="R882" s="729"/>
      <c r="S882" s="729"/>
      <c r="T882" s="729"/>
      <c r="U882" s="343"/>
      <c r="V882" s="343"/>
    </row>
    <row r="883" spans="1:22" s="364" customFormat="1" ht="5.15" customHeight="1" thickBot="1" x14ac:dyDescent="0.3">
      <c r="A883" s="729"/>
      <c r="B883" s="284"/>
      <c r="C883" s="581"/>
      <c r="D883" s="581"/>
      <c r="E883" s="581"/>
      <c r="F883" s="581"/>
      <c r="G883" s="581"/>
      <c r="H883" s="581"/>
      <c r="I883" s="581"/>
      <c r="J883" s="581"/>
      <c r="K883" s="581"/>
      <c r="L883" s="581"/>
      <c r="M883" s="581"/>
      <c r="N883" s="581"/>
      <c r="O883" s="698"/>
      <c r="P883" s="729"/>
      <c r="Q883" s="729"/>
      <c r="R883" s="729"/>
      <c r="S883" s="729"/>
      <c r="T883" s="729"/>
      <c r="U883" s="343"/>
      <c r="V883" s="343"/>
    </row>
    <row r="884" spans="1:22" s="364" customFormat="1" ht="15" customHeight="1" thickBot="1" x14ac:dyDescent="0.35">
      <c r="A884" s="729"/>
      <c r="B884" s="302"/>
      <c r="C884" s="357">
        <f>C756+1</f>
        <v>4</v>
      </c>
      <c r="D884" s="2323" t="str">
        <f>CONCATENATE(EUconst_BMSubinst," ",C884, ":")</f>
        <v>Подинсталация с продуктов показател 4:</v>
      </c>
      <c r="E884" s="2323"/>
      <c r="F884" s="2323"/>
      <c r="G884" s="2323"/>
      <c r="H884" s="2987"/>
      <c r="I884" s="2843" t="str">
        <f>IF(INDEX(CNTR_SubInstListIsProdBM,$C884),INDEX(CNTR_SubInstListNames,$C884),"")</f>
        <v/>
      </c>
      <c r="J884" s="3019"/>
      <c r="K884" s="3019"/>
      <c r="L884" s="3019"/>
      <c r="M884" s="3019"/>
      <c r="N884" s="3020"/>
      <c r="O884" s="698"/>
      <c r="P884" s="729"/>
      <c r="Q884" s="1684">
        <f>C884</f>
        <v>4</v>
      </c>
      <c r="R884" s="1685" t="str">
        <f>I884</f>
        <v/>
      </c>
      <c r="S884" s="729"/>
      <c r="T884" s="729"/>
      <c r="U884" s="343"/>
      <c r="V884" s="343"/>
    </row>
    <row r="885" spans="1:22" s="364" customFormat="1" ht="5.15" customHeight="1" x14ac:dyDescent="0.3">
      <c r="A885" s="729"/>
      <c r="B885" s="302"/>
      <c r="C885" s="357"/>
      <c r="D885" s="357"/>
      <c r="E885" s="357"/>
      <c r="F885" s="357"/>
      <c r="G885" s="357"/>
      <c r="H885" s="357"/>
      <c r="I885" s="357"/>
      <c r="J885" s="357"/>
      <c r="K885" s="357"/>
      <c r="L885" s="357"/>
      <c r="M885" s="357"/>
      <c r="N885" s="357"/>
      <c r="O885" s="698"/>
      <c r="P885" s="729"/>
      <c r="Q885" s="729"/>
      <c r="R885" s="729"/>
      <c r="S885" s="729"/>
      <c r="T885" s="729"/>
      <c r="U885" s="343"/>
      <c r="V885" s="343"/>
    </row>
    <row r="886" spans="1:22" s="364" customFormat="1" ht="12.75" customHeight="1" x14ac:dyDescent="0.3">
      <c r="A886" s="729"/>
      <c r="B886" s="302"/>
      <c r="C886" s="357"/>
      <c r="D886" s="357"/>
      <c r="E886" s="357"/>
      <c r="F886" s="357"/>
      <c r="H886" s="595" t="str">
        <f>Translations!$B$942</f>
        <v>Риск от ИВЕ</v>
      </c>
      <c r="I886" s="595" t="s">
        <v>2151</v>
      </c>
      <c r="J886" s="595" t="str">
        <f>Translations!$B$946</f>
        <v>В/Е</v>
      </c>
      <c r="K886" s="595" t="str">
        <f>Translations!$B$1360</f>
        <v>Спряна експлоатация</v>
      </c>
      <c r="L886" s="654" t="str">
        <f>Translations!$B$944</f>
        <v>№ на п-л</v>
      </c>
      <c r="M886" s="2991" t="str">
        <f>Translations!$B$948</f>
        <v>Стойност на п-л</v>
      </c>
      <c r="N886" s="2991"/>
      <c r="O886" s="698"/>
      <c r="P886" s="729"/>
      <c r="Q886" s="729"/>
      <c r="R886" s="1176" t="str">
        <f>Translations!$B$944</f>
        <v>№ на п-л</v>
      </c>
      <c r="S886" s="729"/>
      <c r="T886" s="1686"/>
      <c r="U886" s="343"/>
      <c r="V886" s="343"/>
    </row>
    <row r="887" spans="1:22" s="364" customFormat="1" ht="12.75" customHeight="1" x14ac:dyDescent="0.3">
      <c r="A887" s="729"/>
      <c r="B887" s="302"/>
      <c r="C887" s="357"/>
      <c r="D887" s="357"/>
      <c r="E887" s="361" t="str">
        <f>I884</f>
        <v/>
      </c>
      <c r="F887" s="373"/>
      <c r="G887" s="373"/>
      <c r="H887" s="600" t="str">
        <f>IF(L887=EUconst_NA,EUconst_NA,INDEX(EUconst_BMlistCLstatus,MATCH(L887,EUconst_BMlistMainNumberOfBM,0)))</f>
        <v>Не е приложимо</v>
      </c>
      <c r="I887" s="600" t="str">
        <f>IF(R887=EUconst_NA,EUconst_NA,INDEX(EUconst_BMlistCBAMstatus,MATCH(R887,EUconst_BMlistNumberOfBM,0)))</f>
        <v>Не е приложимо</v>
      </c>
      <c r="J887" s="655" t="str">
        <f>IF($I884="",EUconst_NA,INDEX(CNTR_SubInstStartDate,MATCH(I884,CNTR_SubInstListNames,0)))</f>
        <v>Не е приложимо</v>
      </c>
      <c r="K887" s="655" t="str">
        <f>IF($I884="",EUconst_NA,IF(INDEX(CNTR_SubInstCessationDate,MATCH(I884,CNTR_SubInstListNames,0))=0,"",INDEX(CNTR_SubInstCessationDate,MATCH(I884,CNTR_SubInstListNames,0))))</f>
        <v>Не е приложимо</v>
      </c>
      <c r="L887" s="1687" t="str">
        <f>IF($I884="",EUconst_NA,INDEX(EUconst_BMlistMainNumberOfBM,MATCH(I884,EUconst_BMlistNames,0)))</f>
        <v>Не е приложимо</v>
      </c>
      <c r="M887" s="1688" t="str">
        <f>IF(I884="",EUconst_NA,INDEX(EUconst_BMlistBMvaluesMatrix,MATCH(L887,EUconst_BMlistMainNumberOfBM,0),3))</f>
        <v>Не е приложимо</v>
      </c>
      <c r="N887" s="382" t="str">
        <f>EUconst_EUA &amp; "/" &amp; F890</f>
        <v>Квота за емисии/тона</v>
      </c>
      <c r="O887" s="698"/>
      <c r="P887" s="729"/>
      <c r="Q887" s="729"/>
      <c r="R887" s="1176" t="str">
        <f>IF($I884="",EUconst_NA,INDEX(EUconst_BMlistNumberOfBM,MATCH(I884,EUconst_BMlistNames,0)))</f>
        <v>Не е приложимо</v>
      </c>
      <c r="S887" s="729"/>
      <c r="T887" s="1174" t="s">
        <v>1735</v>
      </c>
      <c r="U887" s="1176">
        <f>IF(SUM(K887)=0,2050,YEAR(K887))</f>
        <v>2050</v>
      </c>
      <c r="V887" s="343"/>
    </row>
    <row r="888" spans="1:22" s="364" customFormat="1" ht="5.15" customHeight="1" thickBot="1" x14ac:dyDescent="0.35">
      <c r="A888" s="729"/>
      <c r="B888" s="302"/>
      <c r="C888" s="302"/>
      <c r="D888" s="302"/>
      <c r="E888" s="357"/>
      <c r="J888" s="302"/>
      <c r="K888" s="302"/>
      <c r="L888" s="302"/>
      <c r="M888" s="302"/>
      <c r="N888" s="302"/>
      <c r="O888" s="698"/>
      <c r="P888" s="729"/>
      <c r="Q888" s="729"/>
      <c r="R888" s="729"/>
      <c r="S888" s="729"/>
      <c r="T888" s="770"/>
      <c r="U888" s="343"/>
      <c r="V888" s="343"/>
    </row>
    <row r="889" spans="1:22" s="364" customFormat="1" ht="12.75" customHeight="1" x14ac:dyDescent="0.25">
      <c r="A889" s="729"/>
      <c r="B889" s="302"/>
      <c r="C889" s="302"/>
      <c r="D889" s="302"/>
      <c r="E889" s="313"/>
      <c r="F889" s="300" t="str">
        <f>EUconst_Unit</f>
        <v>Единица мярка</v>
      </c>
      <c r="G889" s="1689" t="str">
        <f>Translations!$B$1284</f>
        <v>HAL</v>
      </c>
      <c r="H889" s="757">
        <f t="shared" ref="H889:N889" si="70">H$2505</f>
        <v>2024</v>
      </c>
      <c r="I889" s="572">
        <f t="shared" si="70"/>
        <v>2025</v>
      </c>
      <c r="J889" s="757">
        <f t="shared" si="70"/>
        <v>2026</v>
      </c>
      <c r="K889" s="391">
        <f t="shared" si="70"/>
        <v>2027</v>
      </c>
      <c r="L889" s="391">
        <f t="shared" si="70"/>
        <v>2028</v>
      </c>
      <c r="M889" s="391">
        <f t="shared" si="70"/>
        <v>2029</v>
      </c>
      <c r="N889" s="391">
        <f t="shared" si="70"/>
        <v>2030</v>
      </c>
      <c r="O889" s="698"/>
      <c r="P889" s="729"/>
      <c r="Q889" s="729" t="s">
        <v>1851</v>
      </c>
      <c r="R889" s="1690">
        <f>J$2505</f>
        <v>2026</v>
      </c>
      <c r="S889" s="1691">
        <f>K$2505</f>
        <v>2027</v>
      </c>
      <c r="T889" s="1691">
        <f>L$2505</f>
        <v>2028</v>
      </c>
      <c r="U889" s="1691">
        <f>M$2505</f>
        <v>2029</v>
      </c>
      <c r="V889" s="1692">
        <f>N$2505</f>
        <v>2030</v>
      </c>
    </row>
    <row r="890" spans="1:22" s="364" customFormat="1" ht="12.75" customHeight="1" thickBot="1" x14ac:dyDescent="0.3">
      <c r="A890" s="729"/>
      <c r="B890" s="302"/>
      <c r="C890" s="302"/>
      <c r="D890" s="302"/>
      <c r="E890" s="388" t="str">
        <f>Translations!$B$1371</f>
        <v>Докладвано равнище на дейност</v>
      </c>
      <c r="F890" s="1062" t="str">
        <f>IF(ISNUMBER(L887),INDEX(EUconst_BMlistUnits,MATCH(L887,EUconst_BMlistMainNumberOfBM,0)),EUconst_Tons)</f>
        <v>тона</v>
      </c>
      <c r="G890" s="1693" t="str">
        <f>I950</f>
        <v/>
      </c>
      <c r="H890" s="1694" t="str">
        <f>IF($I884="","",IF(H889&gt;=CNTR_ReportingYear,"",INDEX(F_ProductBM!H:H,MATCH($P890,F_ProductBM!$Q:$Q,0))))</f>
        <v/>
      </c>
      <c r="I890" s="608" t="str">
        <f>IF($I884="","",IF(I889&gt;=CNTR_ReportingYear,"",INDEX(F_ProductBM!I:I,MATCH($P890,F_ProductBM!$Q:$Q,0))))</f>
        <v/>
      </c>
      <c r="J890" s="1694" t="str">
        <f>IF($I884="","",IF(J889&gt;=CNTR_ReportingYear,"",INDEX(F_ProductBM!J:J,MATCH($P890,F_ProductBM!$Q:$Q,0))))</f>
        <v/>
      </c>
      <c r="K890" s="406" t="str">
        <f>IF($I884="","",IF(K889&gt;=CNTR_ReportingYear,"",INDEX(F_ProductBM!K:K,MATCH($P890,F_ProductBM!$Q:$Q,0))))</f>
        <v/>
      </c>
      <c r="L890" s="406" t="str">
        <f>IF($I884="","",IF(L889&gt;=CNTR_ReportingYear,"",INDEX(F_ProductBM!L:L,MATCH($P890,F_ProductBM!$Q:$Q,0))))</f>
        <v/>
      </c>
      <c r="M890" s="406" t="str">
        <f>IF($I884="","",IF(M889&gt;=CNTR_ReportingYear,"",INDEX(F_ProductBM!M:M,MATCH($P890,F_ProductBM!$Q:$Q,0))))</f>
        <v/>
      </c>
      <c r="N890" s="406" t="str">
        <f>IF($I884="","",IF(N889&gt;=CNTR_ReportingYear,"",INDEX(F_ProductBM!N:N,MATCH($P890,F_ProductBM!$Q:$Q,0))))</f>
        <v/>
      </c>
      <c r="O890" s="698"/>
      <c r="P890" s="1190" t="str">
        <f>EUconst_CNTR_HAL&amp;I884</f>
        <v>HAL_</v>
      </c>
      <c r="Q890" s="729"/>
      <c r="R890" s="1580" t="b">
        <f>AND($I884&lt;&gt;"",R889&lt;=CNTR_ReportingYear,IF($J887&lt;&gt;EUconst_NA,R889&gt;=YEAR($J887),TRUE))</f>
        <v>0</v>
      </c>
      <c r="S890" s="1255" t="b">
        <f>AND($I884&lt;&gt;"",S889&lt;=CNTR_ReportingYear,IF($J887&lt;&gt;EUconst_NA,S889&gt;=YEAR($J887),TRUE))</f>
        <v>0</v>
      </c>
      <c r="T890" s="1255" t="b">
        <f>AND($I884&lt;&gt;"",T889&lt;=CNTR_ReportingYear,IF($J887&lt;&gt;EUconst_NA,T889&gt;=YEAR($J887),TRUE))</f>
        <v>0</v>
      </c>
      <c r="U890" s="1255" t="b">
        <f>AND($I884&lt;&gt;"",U889&lt;=CNTR_ReportingYear,IF($J887&lt;&gt;EUconst_NA,U889&gt;=YEAR($J887),TRUE))</f>
        <v>0</v>
      </c>
      <c r="V890" s="1256" t="b">
        <f>AND($I884&lt;&gt;"",V889&lt;=CNTR_ReportingYear,IF($J887&lt;&gt;EUconst_NA,V889&gt;=YEAR($J887),TRUE))</f>
        <v>0</v>
      </c>
    </row>
    <row r="891" spans="1:22" s="364" customFormat="1" ht="5.15" customHeight="1" thickBot="1" x14ac:dyDescent="0.35">
      <c r="A891" s="729"/>
      <c r="B891" s="302"/>
      <c r="C891" s="357"/>
      <c r="D891" s="357"/>
      <c r="E891" s="357"/>
      <c r="F891" s="357"/>
      <c r="G891" s="357"/>
      <c r="H891" s="357"/>
      <c r="I891" s="357"/>
      <c r="J891" s="357"/>
      <c r="K891" s="357"/>
      <c r="L891" s="357"/>
      <c r="M891" s="357"/>
      <c r="N891" s="357"/>
      <c r="O891" s="698"/>
      <c r="P891" s="729"/>
      <c r="Q891" s="729"/>
      <c r="R891" s="729"/>
      <c r="S891" s="729"/>
      <c r="T891" s="729"/>
      <c r="U891" s="343"/>
      <c r="V891" s="343"/>
    </row>
    <row r="892" spans="1:22" s="364" customFormat="1" ht="5.15" customHeight="1" x14ac:dyDescent="0.3">
      <c r="A892" s="729"/>
      <c r="B892" s="302"/>
      <c r="C892" s="357"/>
      <c r="D892" s="1695"/>
      <c r="E892" s="1696"/>
      <c r="F892" s="1696"/>
      <c r="G892" s="1696"/>
      <c r="H892" s="1696"/>
      <c r="I892" s="1696"/>
      <c r="J892" s="1696"/>
      <c r="K892" s="1696"/>
      <c r="L892" s="1696"/>
      <c r="M892" s="1696"/>
      <c r="N892" s="1697"/>
      <c r="O892" s="698"/>
      <c r="P892" s="729"/>
      <c r="Q892" s="729"/>
      <c r="R892" s="729"/>
      <c r="S892" s="729"/>
      <c r="T892" s="729"/>
      <c r="U892" s="343"/>
      <c r="V892" s="343"/>
    </row>
    <row r="893" spans="1:22" s="364" customFormat="1" ht="12.75" customHeight="1" x14ac:dyDescent="0.3">
      <c r="A893" s="729"/>
      <c r="B893" s="302"/>
      <c r="C893" s="357"/>
      <c r="D893" s="1698"/>
      <c r="E893" s="389" t="str">
        <f>Translations!$B$1372</f>
        <v>Приложимост на пълзящата средна стойност</v>
      </c>
      <c r="F893" s="498"/>
      <c r="G893" s="498"/>
      <c r="H893" s="527"/>
      <c r="I893" s="1699"/>
      <c r="J893" s="1523">
        <f>J$2505</f>
        <v>2026</v>
      </c>
      <c r="K893" s="387">
        <f>K$2505</f>
        <v>2027</v>
      </c>
      <c r="L893" s="387">
        <f>L$2505</f>
        <v>2028</v>
      </c>
      <c r="M893" s="387">
        <f>M$2505</f>
        <v>2029</v>
      </c>
      <c r="N893" s="1544">
        <f>N$2505</f>
        <v>2030</v>
      </c>
      <c r="O893" s="698"/>
      <c r="P893" s="729"/>
      <c r="Q893" s="729"/>
      <c r="R893" s="729"/>
      <c r="S893" s="729"/>
      <c r="T893" s="729"/>
      <c r="U893" s="343"/>
      <c r="V893" s="343"/>
    </row>
    <row r="894" spans="1:22" s="364" customFormat="1" ht="12.75" customHeight="1" x14ac:dyDescent="0.3">
      <c r="A894" s="729"/>
      <c r="B894" s="302"/>
      <c r="C894" s="357"/>
      <c r="D894" s="1698"/>
      <c r="E894" s="1700" t="str">
        <f>Translations!$B$1364</f>
        <v>Критерий 1: В експлоатация &gt; 2 години?</v>
      </c>
      <c r="F894" s="1701"/>
      <c r="G894" s="1701"/>
      <c r="H894" s="1702"/>
      <c r="I894" s="1701"/>
      <c r="J894" s="1703" t="str">
        <f>IF(R890,INDEX(F_ProductBM!V:V,MATCH($P894,F_ProductBM!$Q:$Q,0))&gt;=3,"")</f>
        <v/>
      </c>
      <c r="K894" s="1704" t="str">
        <f>IF(S890,INDEX(F_ProductBM!W:W,MATCH($P894,F_ProductBM!$Q:$Q,0))&gt;=3,"")</f>
        <v/>
      </c>
      <c r="L894" s="1704" t="str">
        <f>IF(T890,INDEX(F_ProductBM!X:X,MATCH($P894,F_ProductBM!$Q:$Q,0))&gt;=3,"")</f>
        <v/>
      </c>
      <c r="M894" s="1704" t="str">
        <f>IF(U890,INDEX(F_ProductBM!Y:Y,MATCH($P894,F_ProductBM!$Q:$Q,0))&gt;=3,"")</f>
        <v/>
      </c>
      <c r="N894" s="1705" t="str">
        <f>IF(V890,INDEX(F_ProductBM!Z:Z,MATCH($P894,F_ProductBM!$Q:$Q,0))&gt;=3,"")</f>
        <v/>
      </c>
      <c r="O894" s="698"/>
      <c r="P894" s="1190" t="str">
        <f>EUconst_CNTR_HALinitial&amp;I884</f>
        <v>HALini_</v>
      </c>
      <c r="Q894" s="729"/>
      <c r="R894" s="729"/>
      <c r="S894" s="729"/>
      <c r="T894" s="729"/>
      <c r="U894" s="343"/>
      <c r="V894" s="343"/>
    </row>
    <row r="895" spans="1:22" s="364" customFormat="1" ht="12.75" customHeight="1" x14ac:dyDescent="0.3">
      <c r="A895" s="729"/>
      <c r="B895" s="302"/>
      <c r="C895" s="357"/>
      <c r="D895" s="1698"/>
      <c r="E895" s="1706" t="str">
        <f>Translations!$B$1366</f>
        <v>Критерий 2: Не е спряна от експлоатация през предходната година?</v>
      </c>
      <c r="F895" s="1707"/>
      <c r="G895" s="1707"/>
      <c r="H895" s="1708"/>
      <c r="I895" s="1707"/>
      <c r="J895" s="1709" t="str">
        <f>IF(R890,IF($K887="",2050,YEAR($K887))&lt;&gt;(J893-1),"")</f>
        <v/>
      </c>
      <c r="K895" s="1710" t="str">
        <f>IF(S890,IF($K887="",2050,YEAR($K887))&lt;&gt;(K893-1),"")</f>
        <v/>
      </c>
      <c r="L895" s="1710" t="str">
        <f>IF(T890,IF($K887="",2050,YEAR($K887))&lt;&gt;(L893-1),"")</f>
        <v/>
      </c>
      <c r="M895" s="1710" t="str">
        <f>IF(U890,IF($K887="",2050,YEAR($K887))&lt;&gt;(M893-1),"")</f>
        <v/>
      </c>
      <c r="N895" s="1711" t="str">
        <f>IF(V890,IF($K887="",2050,YEAR($K887))&lt;&gt;(N893-1),"")</f>
        <v/>
      </c>
      <c r="O895" s="698"/>
      <c r="P895" s="729"/>
      <c r="Q895" s="729"/>
      <c r="R895" s="729"/>
      <c r="S895" s="729"/>
      <c r="T895" s="729"/>
      <c r="U895" s="343"/>
      <c r="V895" s="343"/>
    </row>
    <row r="896" spans="1:22" s="364" customFormat="1" ht="5.15" customHeight="1" x14ac:dyDescent="0.3">
      <c r="A896" s="729"/>
      <c r="B896" s="302"/>
      <c r="C896" s="357"/>
      <c r="D896" s="1698"/>
      <c r="E896" s="357"/>
      <c r="F896" s="357"/>
      <c r="G896" s="357"/>
      <c r="H896" s="357"/>
      <c r="I896" s="357"/>
      <c r="J896" s="357"/>
      <c r="K896" s="357"/>
      <c r="L896" s="357"/>
      <c r="M896" s="357"/>
      <c r="N896" s="1712"/>
      <c r="O896" s="698"/>
      <c r="P896" s="729"/>
      <c r="Q896" s="729"/>
      <c r="R896" s="729"/>
      <c r="S896" s="729"/>
      <c r="T896" s="729"/>
      <c r="U896" s="343"/>
      <c r="V896" s="343"/>
    </row>
    <row r="897" spans="1:22" s="364" customFormat="1" ht="12.75" customHeight="1" x14ac:dyDescent="0.3">
      <c r="A897" s="729"/>
      <c r="B897" s="302"/>
      <c r="C897" s="357"/>
      <c r="D897" s="1698"/>
      <c r="E897" s="313" t="str">
        <f>Translations!$B$1373</f>
        <v>Промени: Няма промяна (базова стойност)</v>
      </c>
      <c r="F897" s="302"/>
      <c r="G897" s="302"/>
      <c r="H897" s="527" t="str">
        <f>EUconst_Unit</f>
        <v>Единица мярка</v>
      </c>
      <c r="I897" s="1699"/>
      <c r="J897" s="757">
        <f>J$2505</f>
        <v>2026</v>
      </c>
      <c r="K897" s="391">
        <f>K$2505</f>
        <v>2027</v>
      </c>
      <c r="L897" s="391">
        <f>L$2505</f>
        <v>2028</v>
      </c>
      <c r="M897" s="391">
        <f>M$2505</f>
        <v>2029</v>
      </c>
      <c r="N897" s="1713">
        <f>N$2505</f>
        <v>2030</v>
      </c>
      <c r="O897" s="698"/>
      <c r="P897" s="729"/>
      <c r="Q897" s="729"/>
      <c r="R897" s="729"/>
      <c r="S897" s="729"/>
      <c r="T897" s="729"/>
      <c r="U897" s="343"/>
      <c r="V897" s="343"/>
    </row>
    <row r="898" spans="1:22" s="364" customFormat="1" ht="12.75" hidden="1" customHeight="1" x14ac:dyDescent="0.3">
      <c r="A898" s="729" t="str">
        <f t="shared" ref="A898:A902" si="71">IF(P898="","ausblenden","")</f>
        <v>ausblenden</v>
      </c>
      <c r="B898" s="302"/>
      <c r="C898" s="357"/>
      <c r="D898" s="1698"/>
      <c r="E898" s="388" t="str">
        <f>Translations!$B$1388</f>
        <v>Равнище на дейност</v>
      </c>
      <c r="F898" s="388"/>
      <c r="G898" s="388"/>
      <c r="H898" s="1210" t="str">
        <f>F890</f>
        <v>тона</v>
      </c>
      <c r="I898" s="388"/>
      <c r="J898" s="1714" t="str">
        <f>IF(T955&gt;=$H$2505,S950,I950)</f>
        <v/>
      </c>
      <c r="K898" s="1693" t="str">
        <f t="shared" ref="K898:K901" si="72">J950</f>
        <v/>
      </c>
      <c r="L898" s="1693" t="str">
        <f t="shared" ref="L898:L901" si="73">K950</f>
        <v/>
      </c>
      <c r="M898" s="1693" t="str">
        <f t="shared" ref="M898:M901" si="74">L950</f>
        <v/>
      </c>
      <c r="N898" s="1715" t="str">
        <f t="shared" ref="N898:N901" si="75">M950</f>
        <v/>
      </c>
      <c r="O898" s="698"/>
      <c r="P898" s="729"/>
      <c r="Q898" s="729"/>
      <c r="R898" s="729"/>
      <c r="S898" s="729"/>
      <c r="T898" s="729"/>
      <c r="U898" s="343"/>
      <c r="V898" s="343"/>
    </row>
    <row r="899" spans="1:22" s="364" customFormat="1" ht="12.75" hidden="1" customHeight="1" x14ac:dyDescent="0.3">
      <c r="A899" s="729" t="str">
        <f t="shared" si="71"/>
        <v>ausblenden</v>
      </c>
      <c r="B899" s="302"/>
      <c r="C899" s="357"/>
      <c r="D899" s="1698"/>
      <c r="E899" s="392" t="str">
        <f>Translations!$B$949</f>
        <v>топл. ен. извън СТЕ</v>
      </c>
      <c r="F899" s="392"/>
      <c r="G899" s="392"/>
      <c r="H899" s="481" t="str">
        <f>EUconst_EUA</f>
        <v>Квота за емисии</v>
      </c>
      <c r="I899" s="1716"/>
      <c r="J899" s="1717" t="str">
        <f>IF(T955&gt;=$H$2505,S951,I951)</f>
        <v/>
      </c>
      <c r="K899" s="1718" t="str">
        <f t="shared" si="72"/>
        <v/>
      </c>
      <c r="L899" s="1718" t="str">
        <f t="shared" si="73"/>
        <v/>
      </c>
      <c r="M899" s="1718" t="str">
        <f t="shared" si="74"/>
        <v/>
      </c>
      <c r="N899" s="1719" t="str">
        <f t="shared" si="75"/>
        <v/>
      </c>
      <c r="O899" s="698"/>
      <c r="P899" s="729"/>
      <c r="Q899" s="729"/>
      <c r="R899" s="729"/>
      <c r="S899" s="729"/>
      <c r="T899" s="729"/>
      <c r="U899" s="343"/>
      <c r="V899" s="343"/>
    </row>
    <row r="900" spans="1:22" s="364" customFormat="1" ht="12.75" hidden="1" customHeight="1" x14ac:dyDescent="0.3">
      <c r="A900" s="729" t="str">
        <f t="shared" si="71"/>
        <v>ausblenden</v>
      </c>
      <c r="B900" s="302"/>
      <c r="C900" s="357"/>
      <c r="D900" s="1698"/>
      <c r="E900" s="398" t="str">
        <f>Translations!$B$951</f>
        <v>WGflare</v>
      </c>
      <c r="F900" s="398"/>
      <c r="G900" s="398"/>
      <c r="H900" s="516" t="str">
        <f>EUconst_EUA</f>
        <v>Квота за емисии</v>
      </c>
      <c r="I900" s="1720"/>
      <c r="J900" s="1721" t="str">
        <f>IF(T955&gt;=$H$2505,S952,I952)</f>
        <v/>
      </c>
      <c r="K900" s="1722" t="str">
        <f t="shared" si="72"/>
        <v/>
      </c>
      <c r="L900" s="1722" t="str">
        <f t="shared" si="73"/>
        <v/>
      </c>
      <c r="M900" s="1722" t="str">
        <f t="shared" si="74"/>
        <v/>
      </c>
      <c r="N900" s="1723" t="str">
        <f t="shared" si="75"/>
        <v/>
      </c>
      <c r="O900" s="698"/>
      <c r="P900" s="729"/>
      <c r="Q900" s="729"/>
      <c r="R900" s="729"/>
      <c r="S900" s="729"/>
      <c r="T900" s="729"/>
      <c r="U900" s="343"/>
      <c r="V900" s="343"/>
    </row>
    <row r="901" spans="1:22" s="364" customFormat="1" ht="12.75" hidden="1" customHeight="1" x14ac:dyDescent="0.3">
      <c r="A901" s="729" t="str">
        <f t="shared" si="71"/>
        <v>ausblenden</v>
      </c>
      <c r="B901" s="302"/>
      <c r="C901" s="357"/>
      <c r="D901" s="1698"/>
      <c r="E901" s="398" t="s">
        <v>1442</v>
      </c>
      <c r="F901" s="398"/>
      <c r="G901" s="398"/>
      <c r="H901" s="516" t="str">
        <f>EUconst_EUA</f>
        <v>Квота за емисии</v>
      </c>
      <c r="I901" s="1720"/>
      <c r="J901" s="1721" t="str">
        <f>IF(T955&gt;=$H$2505,S953,I953)</f>
        <v/>
      </c>
      <c r="K901" s="1722" t="str">
        <f t="shared" si="72"/>
        <v/>
      </c>
      <c r="L901" s="1722" t="str">
        <f t="shared" si="73"/>
        <v/>
      </c>
      <c r="M901" s="1722" t="str">
        <f t="shared" si="74"/>
        <v/>
      </c>
      <c r="N901" s="1723" t="str">
        <f t="shared" si="75"/>
        <v/>
      </c>
      <c r="O901" s="698"/>
      <c r="P901" s="729"/>
      <c r="Q901" s="729"/>
      <c r="R901" s="729"/>
      <c r="S901" s="729"/>
      <c r="T901" s="729"/>
      <c r="U901" s="343"/>
      <c r="V901" s="343"/>
    </row>
    <row r="902" spans="1:22" s="364" customFormat="1" ht="12.75" hidden="1" customHeight="1" x14ac:dyDescent="0.3">
      <c r="A902" s="729" t="str">
        <f t="shared" si="71"/>
        <v>ausblenden</v>
      </c>
      <c r="B902" s="302"/>
      <c r="C902" s="357"/>
      <c r="D902" s="1698"/>
      <c r="E902" s="401" t="s">
        <v>1443</v>
      </c>
      <c r="F902" s="401"/>
      <c r="G902" s="401"/>
      <c r="H902" s="483" t="s">
        <v>1052</v>
      </c>
      <c r="I902" s="1724"/>
      <c r="J902" s="1725" t="str">
        <f>IF(T955&gt;=$H$2505,S954,I954)</f>
        <v/>
      </c>
      <c r="K902" s="1726" t="str">
        <f>J954</f>
        <v/>
      </c>
      <c r="L902" s="1726" t="str">
        <f>K954</f>
        <v/>
      </c>
      <c r="M902" s="1726" t="str">
        <f>L954</f>
        <v/>
      </c>
      <c r="N902" s="1727" t="str">
        <f>M954</f>
        <v/>
      </c>
      <c r="O902" s="698"/>
      <c r="P902" s="729"/>
      <c r="Q902" s="729"/>
      <c r="R902" s="729"/>
      <c r="S902" s="729"/>
      <c r="T902" s="729"/>
      <c r="U902" s="343"/>
      <c r="V902" s="343"/>
    </row>
    <row r="903" spans="1:22" s="364" customFormat="1" ht="12.75" customHeight="1" x14ac:dyDescent="0.3">
      <c r="A903" s="729"/>
      <c r="B903" s="302"/>
      <c r="C903" s="357"/>
      <c r="D903" s="1698"/>
      <c r="E903" s="388" t="str">
        <f>Translations!$B$1374</f>
        <v>Стойност на предварително разпределяне</v>
      </c>
      <c r="F903" s="388"/>
      <c r="G903" s="388"/>
      <c r="H903" s="421" t="str">
        <f>EUconst_EUA</f>
        <v>Квота за емисии</v>
      </c>
      <c r="I903" s="1728"/>
      <c r="J903" s="1694" t="str">
        <f>IF($I884="","",MAX(0,ROUND((SUM($M887)*SUM(J898)*SUM(J902)-SUM(J899)-SUM(J900)+SUM(J901))*IF($H887=TRUE,1,J$2412)*IF($I887=TRUE,INDEX(EUconst_CBAMFactor,J893-2020),1),0)))</f>
        <v/>
      </c>
      <c r="K903" s="406" t="str">
        <f>IF($I884="","",MAX(0,ROUND((SUM($M887)*SUM(K898)*SUM(K902)-SUM(K899)-SUM(K900)+SUM(K901))*IF($H887=TRUE,1,K$2412)*IF($I887=TRUE,INDEX(EUconst_CBAMFactor,K893-2020),1),0)))</f>
        <v/>
      </c>
      <c r="L903" s="406" t="str">
        <f>IF($I884="","",MAX(0,ROUND((SUM($M887)*SUM(L898)*SUM(L902)-SUM(L899)-SUM(L900)+SUM(L901))*IF($H887=TRUE,1,L$2412)*IF($I887=TRUE,INDEX(EUconst_CBAMFactor,L893-2020),1),0)))</f>
        <v/>
      </c>
      <c r="M903" s="406" t="str">
        <f>IF($I884="","",MAX(0,ROUND((SUM($M887)*SUM(M898)*SUM(M902)-SUM(M899)-SUM(M900)+SUM(M901))*IF($H887=TRUE,1,M$2412)*IF($I887=TRUE,INDEX(EUconst_CBAMFactor,M893-2020),1),0)))</f>
        <v/>
      </c>
      <c r="N903" s="1729" t="str">
        <f>IF($I884="","",MAX(0,ROUND((SUM($M887)*SUM(N898)*SUM(N902)-SUM(N899)-SUM(N900)+SUM(N901))*IF($H887=TRUE,1,N$2412)*IF($I887=TRUE,INDEX(EUconst_CBAMFactor,N893-2020),1),0)))</f>
        <v/>
      </c>
      <c r="O903" s="698"/>
      <c r="P903" s="729"/>
      <c r="Q903" s="729"/>
      <c r="R903" s="729"/>
      <c r="S903" s="729"/>
      <c r="T903" s="729"/>
      <c r="U903" s="343"/>
      <c r="V903" s="343"/>
    </row>
    <row r="904" spans="1:22" s="364" customFormat="1" ht="5.15" customHeight="1" x14ac:dyDescent="0.3">
      <c r="A904" s="729"/>
      <c r="B904" s="302"/>
      <c r="C904" s="357"/>
      <c r="D904" s="1698"/>
      <c r="E904" s="357"/>
      <c r="F904" s="357"/>
      <c r="G904" s="357"/>
      <c r="H904" s="357"/>
      <c r="I904" s="357"/>
      <c r="J904" s="357"/>
      <c r="K904" s="357"/>
      <c r="L904" s="357"/>
      <c r="M904" s="357"/>
      <c r="N904" s="1712"/>
      <c r="O904" s="698"/>
      <c r="P904" s="729"/>
      <c r="Q904" s="729"/>
      <c r="R904" s="729"/>
      <c r="S904" s="729"/>
      <c r="T904" s="729"/>
      <c r="U904" s="343"/>
      <c r="V904" s="343"/>
    </row>
    <row r="905" spans="1:22" s="364" customFormat="1" ht="12.75" customHeight="1" x14ac:dyDescent="0.3">
      <c r="A905" s="729"/>
      <c r="B905" s="302"/>
      <c r="C905" s="357"/>
      <c r="D905" s="1698"/>
      <c r="E905" s="389" t="str">
        <f>Translations!$B$1375</f>
        <v>Промени: Равнище на дейност</v>
      </c>
      <c r="F905" s="498"/>
      <c r="G905" s="498"/>
      <c r="H905" s="527" t="str">
        <f>EUconst_Unit</f>
        <v>Единица мярка</v>
      </c>
      <c r="I905" s="1699"/>
      <c r="J905" s="1523">
        <f>J$2505</f>
        <v>2026</v>
      </c>
      <c r="K905" s="387">
        <f>K$2505</f>
        <v>2027</v>
      </c>
      <c r="L905" s="387">
        <f>L$2505</f>
        <v>2028</v>
      </c>
      <c r="M905" s="387">
        <f>M$2505</f>
        <v>2029</v>
      </c>
      <c r="N905" s="1544">
        <f>N$2505</f>
        <v>2030</v>
      </c>
      <c r="O905" s="698"/>
      <c r="P905" s="729"/>
      <c r="Q905" s="729"/>
      <c r="R905" s="729"/>
      <c r="S905" s="729"/>
      <c r="T905" s="729"/>
      <c r="U905" s="343"/>
      <c r="V905" s="343"/>
    </row>
    <row r="906" spans="1:22" s="364" customFormat="1" ht="12.75" customHeight="1" x14ac:dyDescent="0.3">
      <c r="A906" s="729"/>
      <c r="B906" s="302"/>
      <c r="C906" s="357"/>
      <c r="D906" s="1698"/>
      <c r="E906" s="392" t="str">
        <f>Translations!$B$1328</f>
        <v>Средна годишна стойност</v>
      </c>
      <c r="F906" s="392"/>
      <c r="G906" s="392"/>
      <c r="H906" s="1730" t="str">
        <f>H898</f>
        <v>тона</v>
      </c>
      <c r="I906" s="1731"/>
      <c r="J906" s="1732" t="str">
        <f>INDEX(F_ProductBM!J:J,MATCH($P906,F_ProductBM!$Q:$Q,0))</f>
        <v/>
      </c>
      <c r="K906" s="394" t="str">
        <f>INDEX(F_ProductBM!K:K,MATCH($P906,F_ProductBM!$Q:$Q,0))</f>
        <v/>
      </c>
      <c r="L906" s="394" t="str">
        <f>INDEX(F_ProductBM!L:L,MATCH($P906,F_ProductBM!$Q:$Q,0))</f>
        <v/>
      </c>
      <c r="M906" s="394" t="str">
        <f>INDEX(F_ProductBM!M:M,MATCH($P906,F_ProductBM!$Q:$Q,0))</f>
        <v/>
      </c>
      <c r="N906" s="1733" t="str">
        <f>INDEX(F_ProductBM!N:N,MATCH($P906,F_ProductBM!$Q:$Q,0))</f>
        <v/>
      </c>
      <c r="O906" s="698"/>
      <c r="P906" s="1190" t="str">
        <f>EUconst_CNTR_HALinitial&amp;I884</f>
        <v>HALini_</v>
      </c>
      <c r="Q906" s="729"/>
      <c r="R906" s="729"/>
      <c r="S906" s="729"/>
      <c r="T906" s="729"/>
      <c r="U906" s="343"/>
      <c r="V906" s="343"/>
    </row>
    <row r="907" spans="1:22" s="364" customFormat="1" ht="12.75" customHeight="1" x14ac:dyDescent="0.3">
      <c r="A907" s="729"/>
      <c r="B907" s="302"/>
      <c r="C907" s="357"/>
      <c r="D907" s="1698"/>
      <c r="E907" s="398" t="str">
        <f>Translations!$B$1376</f>
        <v>Промяна в сравнение с HAL</v>
      </c>
      <c r="F907" s="398"/>
      <c r="G907" s="398"/>
      <c r="H907" s="1734" t="s">
        <v>1052</v>
      </c>
      <c r="I907" s="1735"/>
      <c r="J907" s="159" t="str">
        <f>INDEX(F_ProductBM!J:J,MATCH($P907,F_ProductBM!$Q:$Q,0))</f>
        <v/>
      </c>
      <c r="K907" s="160" t="str">
        <f>INDEX(F_ProductBM!K:K,MATCH($P907,F_ProductBM!$Q:$Q,0))</f>
        <v/>
      </c>
      <c r="L907" s="160" t="str">
        <f>INDEX(F_ProductBM!L:L,MATCH($P907,F_ProductBM!$Q:$Q,0))</f>
        <v/>
      </c>
      <c r="M907" s="160" t="str">
        <f>INDEX(F_ProductBM!M:M,MATCH($P907,F_ProductBM!$Q:$Q,0))</f>
        <v/>
      </c>
      <c r="N907" s="161" t="str">
        <f>INDEX(F_ProductBM!N:N,MATCH($P907,F_ProductBM!$Q:$Q,0))</f>
        <v/>
      </c>
      <c r="O907" s="698"/>
      <c r="P907" s="1190" t="str">
        <f>EUconst_CNTR_RelThreshold &amp; P909</f>
        <v>RelThresh_HALprelim_</v>
      </c>
      <c r="Q907" s="729"/>
      <c r="R907" s="729"/>
      <c r="S907" s="729"/>
      <c r="T907" s="729"/>
      <c r="U907" s="343"/>
      <c r="V907" s="343"/>
    </row>
    <row r="908" spans="1:22" s="364" customFormat="1" ht="12.75" customHeight="1" x14ac:dyDescent="0.3">
      <c r="A908" s="729"/>
      <c r="B908" s="302"/>
      <c r="C908" s="357"/>
      <c r="D908" s="1698"/>
      <c r="E908" s="1736" t="str">
        <f>Translations!$B$1368</f>
        <v>Критерий 3a: Надвишени ли са относителните прагове?</v>
      </c>
      <c r="F908" s="1736"/>
      <c r="G908" s="1736"/>
      <c r="H908" s="1737" t="s">
        <v>1052</v>
      </c>
      <c r="I908" s="1738"/>
      <c r="J908" s="1739" t="str">
        <f>INDEX(F_ProductBM!V:V,MATCH($P908,F_ProductBM!$Q:$Q,0)+1)</f>
        <v/>
      </c>
      <c r="K908" s="1740" t="str">
        <f>INDEX(F_ProductBM!W:W,MATCH($P908,F_ProductBM!$Q:$Q,0)+1)</f>
        <v/>
      </c>
      <c r="L908" s="1740" t="str">
        <f>INDEX(F_ProductBM!X:X,MATCH($P908,F_ProductBM!$Q:$Q,0)+1)</f>
        <v/>
      </c>
      <c r="M908" s="1740" t="str">
        <f>INDEX(F_ProductBM!Y:Y,MATCH($P908,F_ProductBM!$Q:$Q,0)+1)</f>
        <v/>
      </c>
      <c r="N908" s="1741" t="str">
        <f>INDEX(F_ProductBM!Z:Z,MATCH($P908,F_ProductBM!$Q:$Q,0)+1)</f>
        <v/>
      </c>
      <c r="O908" s="698"/>
      <c r="P908" s="1190" t="str">
        <f>P907</f>
        <v>RelThresh_HALprelim_</v>
      </c>
      <c r="Q908" s="729"/>
      <c r="R908" s="729"/>
      <c r="S908" s="729"/>
      <c r="T908" s="729"/>
      <c r="U908" s="343"/>
      <c r="V908" s="343"/>
    </row>
    <row r="909" spans="1:22" s="364" customFormat="1" ht="12.75" customHeight="1" x14ac:dyDescent="0.3">
      <c r="A909" s="729" t="str">
        <f t="shared" ref="A909" si="76">IF(P909="","ausblenden","")</f>
        <v/>
      </c>
      <c r="B909" s="302"/>
      <c r="C909" s="357"/>
      <c r="D909" s="1698"/>
      <c r="E909" s="401" t="str">
        <f>Translations!$B$1377</f>
        <v>Предварителна стойност</v>
      </c>
      <c r="F909" s="401"/>
      <c r="G909" s="401"/>
      <c r="H909" s="1742" t="str">
        <f>F890</f>
        <v>тона</v>
      </c>
      <c r="I909" s="401"/>
      <c r="J909" s="1743" t="str">
        <f>INDEX(F_ProductBM!J:J,MATCH($P909,F_ProductBM!$Q:$Q,0))</f>
        <v/>
      </c>
      <c r="K909" s="1744" t="str">
        <f>INDEX(F_ProductBM!K:K,MATCH($P909,F_ProductBM!$Q:$Q,0))</f>
        <v/>
      </c>
      <c r="L909" s="1744" t="str">
        <f>INDEX(F_ProductBM!L:L,MATCH($P909,F_ProductBM!$Q:$Q,0))</f>
        <v/>
      </c>
      <c r="M909" s="1744" t="str">
        <f>INDEX(F_ProductBM!M:M,MATCH($P909,F_ProductBM!$Q:$Q,0))</f>
        <v/>
      </c>
      <c r="N909" s="1745" t="str">
        <f>INDEX(F_ProductBM!N:N,MATCH($P909,F_ProductBM!$Q:$Q,0))</f>
        <v/>
      </c>
      <c r="O909" s="698"/>
      <c r="P909" s="1190" t="str">
        <f>EUconst_CNTR_HALprelim&amp;I884</f>
        <v>HALprelim_</v>
      </c>
      <c r="Q909" s="729"/>
      <c r="R909" s="729"/>
      <c r="S909" s="729"/>
      <c r="T909" s="729"/>
      <c r="U909" s="343"/>
      <c r="V909" s="343"/>
    </row>
    <row r="910" spans="1:22" s="364" customFormat="1" ht="5.15" customHeight="1" x14ac:dyDescent="0.3">
      <c r="A910" s="729"/>
      <c r="B910" s="302"/>
      <c r="C910" s="357"/>
      <c r="D910" s="1698"/>
      <c r="E910" s="302"/>
      <c r="F910" s="302"/>
      <c r="G910" s="302"/>
      <c r="H910" s="302"/>
      <c r="I910" s="1746"/>
      <c r="J910" s="302"/>
      <c r="K910" s="302"/>
      <c r="L910" s="302"/>
      <c r="M910" s="302"/>
      <c r="N910" s="1747"/>
      <c r="O910" s="698"/>
      <c r="P910" s="729"/>
      <c r="Q910" s="729"/>
      <c r="R910" s="729"/>
      <c r="S910" s="729"/>
      <c r="T910" s="729"/>
      <c r="U910" s="343"/>
      <c r="V910" s="343"/>
    </row>
    <row r="911" spans="1:22" s="364" customFormat="1" ht="12.75" customHeight="1" x14ac:dyDescent="0.3">
      <c r="A911" s="729"/>
      <c r="B911" s="302"/>
      <c r="C911" s="357"/>
      <c r="D911" s="1698"/>
      <c r="E911" s="389" t="str">
        <f>Translations!$B$1380</f>
        <v>Промени: Топлинна енергия извън СТЕ</v>
      </c>
      <c r="F911" s="498"/>
      <c r="G911" s="498"/>
      <c r="H911" s="527" t="str">
        <f>EUconst_Unit</f>
        <v>Единица мярка</v>
      </c>
      <c r="I911" s="1699"/>
      <c r="J911" s="1523">
        <f>J$2505</f>
        <v>2026</v>
      </c>
      <c r="K911" s="387">
        <f>K$2505</f>
        <v>2027</v>
      </c>
      <c r="L911" s="387">
        <f>L$2505</f>
        <v>2028</v>
      </c>
      <c r="M911" s="387">
        <f>M$2505</f>
        <v>2029</v>
      </c>
      <c r="N911" s="1544">
        <f>N$2505</f>
        <v>2030</v>
      </c>
      <c r="O911" s="698"/>
      <c r="P911" s="729"/>
      <c r="Q911" s="729"/>
      <c r="R911" s="729"/>
      <c r="S911" s="729"/>
      <c r="T911" s="729"/>
      <c r="U911" s="343"/>
      <c r="V911" s="343"/>
    </row>
    <row r="912" spans="1:22" s="364" customFormat="1" ht="12.75" customHeight="1" x14ac:dyDescent="0.3">
      <c r="A912" s="729"/>
      <c r="B912" s="302"/>
      <c r="C912" s="357"/>
      <c r="D912" s="1698"/>
      <c r="E912" s="392" t="str">
        <f>Translations!$B$1328</f>
        <v>Средна годишна стойност</v>
      </c>
      <c r="F912" s="392"/>
      <c r="G912" s="392"/>
      <c r="H912" s="485" t="str">
        <f>EUconst_EUA</f>
        <v>Квота за емисии</v>
      </c>
      <c r="I912" s="1716"/>
      <c r="J912" s="1732" t="str">
        <f>IF(R890,SUM(INDEX(F_ProductBM!J:J,MATCH($P912,F_ProductBM!$Q:$Q,0))),"")</f>
        <v/>
      </c>
      <c r="K912" s="394" t="str">
        <f>IF(S890,SUM(INDEX(F_ProductBM!K:K,MATCH($P912,F_ProductBM!$Q:$Q,0))),"")</f>
        <v/>
      </c>
      <c r="L912" s="394" t="str">
        <f>IF(T890,SUM(INDEX(F_ProductBM!L:L,MATCH($P912,F_ProductBM!$Q:$Q,0))),"")</f>
        <v/>
      </c>
      <c r="M912" s="394" t="str">
        <f>IF(U890,SUM(INDEX(F_ProductBM!M:M,MATCH($P912,F_ProductBM!$Q:$Q,0))),"")</f>
        <v/>
      </c>
      <c r="N912" s="1733" t="str">
        <f>IF(V890,SUM(INDEX(F_ProductBM!N:N,MATCH($P912,F_ProductBM!$Q:$Q,0))),"")</f>
        <v/>
      </c>
      <c r="O912" s="698"/>
      <c r="P912" s="1190" t="str">
        <f>EUconst_CNTR_HEATInitial &amp; I884</f>
        <v>HEATIni_</v>
      </c>
      <c r="Q912" s="729"/>
      <c r="R912" s="729"/>
      <c r="S912" s="729"/>
      <c r="T912" s="729"/>
      <c r="U912" s="343"/>
      <c r="V912" s="343"/>
    </row>
    <row r="913" spans="1:22" s="364" customFormat="1" ht="12.75" customHeight="1" x14ac:dyDescent="0.3">
      <c r="A913" s="729"/>
      <c r="B913" s="302"/>
      <c r="C913" s="357"/>
      <c r="D913" s="1698"/>
      <c r="E913" s="398" t="str">
        <f>Translations!$B$1378</f>
        <v>Промяна в сравнение със стойността в НМИ</v>
      </c>
      <c r="F913" s="398"/>
      <c r="G913" s="398"/>
      <c r="H913" s="1734" t="s">
        <v>1052</v>
      </c>
      <c r="I913" s="1735"/>
      <c r="J913" s="159" t="str">
        <f>INDEX(F_ProductBM!J:J,MATCH($P913,F_ProductBM!$Q:$Q,0))</f>
        <v/>
      </c>
      <c r="K913" s="160" t="str">
        <f>INDEX(F_ProductBM!K:K,MATCH($P913,F_ProductBM!$Q:$Q,0))</f>
        <v/>
      </c>
      <c r="L913" s="160" t="str">
        <f>INDEX(F_ProductBM!L:L,MATCH($P913,F_ProductBM!$Q:$Q,0))</f>
        <v/>
      </c>
      <c r="M913" s="160" t="str">
        <f>INDEX(F_ProductBM!M:M,MATCH($P913,F_ProductBM!$Q:$Q,0))</f>
        <v/>
      </c>
      <c r="N913" s="161" t="str">
        <f>INDEX(F_ProductBM!N:N,MATCH($P913,F_ProductBM!$Q:$Q,0))</f>
        <v/>
      </c>
      <c r="O913" s="698"/>
      <c r="P913" s="1190" t="str">
        <f>EUconst_CNTR_RelThreshold &amp; P915</f>
        <v>RelThresh_HEATprelim_</v>
      </c>
      <c r="Q913" s="729"/>
      <c r="R913" s="729"/>
      <c r="S913" s="729"/>
      <c r="T913" s="729"/>
      <c r="U913" s="343"/>
      <c r="V913" s="343"/>
    </row>
    <row r="914" spans="1:22" s="364" customFormat="1" ht="12.75" customHeight="1" x14ac:dyDescent="0.3">
      <c r="A914" s="729"/>
      <c r="B914" s="302"/>
      <c r="C914" s="357"/>
      <c r="D914" s="1698"/>
      <c r="E914" s="1736" t="str">
        <f>Translations!$B$1379</f>
        <v>Критерий 3б: Надвишени ли са относителните прагове?</v>
      </c>
      <c r="F914" s="1736"/>
      <c r="G914" s="1736"/>
      <c r="H914" s="1737" t="s">
        <v>1052</v>
      </c>
      <c r="I914" s="1738"/>
      <c r="J914" s="1739" t="str">
        <f>INDEX(F_ProductBM!V:V,MATCH($P914,F_ProductBM!$Q:$Q,0))</f>
        <v/>
      </c>
      <c r="K914" s="1740" t="str">
        <f>INDEX(F_ProductBM!W:W,MATCH($P914,F_ProductBM!$Q:$Q,0))</f>
        <v/>
      </c>
      <c r="L914" s="1740" t="str">
        <f>INDEX(F_ProductBM!X:X,MATCH($P914,F_ProductBM!$Q:$Q,0))</f>
        <v/>
      </c>
      <c r="M914" s="1740" t="str">
        <f>INDEX(F_ProductBM!Y:Y,MATCH($P914,F_ProductBM!$Q:$Q,0))</f>
        <v/>
      </c>
      <c r="N914" s="1741" t="str">
        <f>INDEX(F_ProductBM!Z:Z,MATCH($P914,F_ProductBM!$Q:$Q,0))</f>
        <v/>
      </c>
      <c r="O914" s="698"/>
      <c r="P914" s="1190" t="str">
        <f>P913</f>
        <v>RelThresh_HEATprelim_</v>
      </c>
      <c r="Q914" s="729"/>
      <c r="R914" s="729"/>
      <c r="S914" s="729"/>
      <c r="T914" s="729"/>
      <c r="U914" s="343"/>
      <c r="V914" s="343"/>
    </row>
    <row r="915" spans="1:22" s="364" customFormat="1" ht="12.75" customHeight="1" x14ac:dyDescent="0.3">
      <c r="A915" s="729" t="str">
        <f>IF(P915="","ausblenden","")</f>
        <v/>
      </c>
      <c r="B915" s="302"/>
      <c r="C915" s="357"/>
      <c r="D915" s="1698"/>
      <c r="E915" s="401" t="str">
        <f>Translations!$B$1377</f>
        <v>Предварителна стойност</v>
      </c>
      <c r="F915" s="401"/>
      <c r="G915" s="401"/>
      <c r="H915" s="487" t="str">
        <f>EUconst_EUA</f>
        <v>Квота за емисии</v>
      </c>
      <c r="I915" s="401"/>
      <c r="J915" s="1743" t="str">
        <f>IF($I884="","",INDEX(F_ProductBM!J:J,MATCH($P915,F_ProductBM!$Q:$Q,0)))</f>
        <v/>
      </c>
      <c r="K915" s="1744" t="str">
        <f>IF($I884="","",INDEX(F_ProductBM!K:K,MATCH($P915,F_ProductBM!$Q:$Q,0)))</f>
        <v/>
      </c>
      <c r="L915" s="1744" t="str">
        <f>IF($I884="","",INDEX(F_ProductBM!L:L,MATCH($P915,F_ProductBM!$Q:$Q,0)))</f>
        <v/>
      </c>
      <c r="M915" s="1744" t="str">
        <f>IF($I884="","",INDEX(F_ProductBM!M:M,MATCH($P915,F_ProductBM!$Q:$Q,0)))</f>
        <v/>
      </c>
      <c r="N915" s="1745" t="str">
        <f>IF($I884="","",INDEX(F_ProductBM!N:N,MATCH($P915,F_ProductBM!$Q:$Q,0)))</f>
        <v/>
      </c>
      <c r="O915" s="698"/>
      <c r="P915" s="1190" t="str">
        <f>EUconst_CNTR_HEATprelim&amp;I884</f>
        <v>HEATprelim_</v>
      </c>
      <c r="Q915" s="729"/>
      <c r="R915" s="729"/>
      <c r="S915" s="729"/>
      <c r="T915" s="729"/>
      <c r="U915" s="343"/>
      <c r="V915" s="343"/>
    </row>
    <row r="916" spans="1:22" s="364" customFormat="1" ht="5.15" customHeight="1" x14ac:dyDescent="0.3">
      <c r="A916" s="729"/>
      <c r="B916" s="302"/>
      <c r="C916" s="357"/>
      <c r="D916" s="1698"/>
      <c r="E916" s="302"/>
      <c r="F916" s="302"/>
      <c r="G916" s="302"/>
      <c r="H916" s="302"/>
      <c r="I916" s="1746"/>
      <c r="J916" s="302"/>
      <c r="K916" s="302"/>
      <c r="L916" s="302"/>
      <c r="M916" s="302"/>
      <c r="N916" s="1747"/>
      <c r="O916" s="698"/>
      <c r="P916" s="729"/>
      <c r="Q916" s="729"/>
      <c r="R916" s="729"/>
      <c r="S916" s="729"/>
      <c r="T916" s="729"/>
      <c r="U916" s="343"/>
      <c r="V916" s="343"/>
    </row>
    <row r="917" spans="1:22" s="364" customFormat="1" ht="12.75" customHeight="1" x14ac:dyDescent="0.3">
      <c r="A917" s="729"/>
      <c r="B917" s="302"/>
      <c r="C917" s="357"/>
      <c r="D917" s="1698"/>
      <c r="E917" s="389" t="str">
        <f>Translations!$B$1382</f>
        <v>Промени: Корекция за ценни химически вещества (HVC)</v>
      </c>
      <c r="F917" s="498"/>
      <c r="G917" s="498"/>
      <c r="H917" s="527" t="str">
        <f>EUconst_Unit</f>
        <v>Единица мярка</v>
      </c>
      <c r="I917" s="1699"/>
      <c r="J917" s="1523">
        <f>J$2505</f>
        <v>2026</v>
      </c>
      <c r="K917" s="387">
        <f>K$2505</f>
        <v>2027</v>
      </c>
      <c r="L917" s="387">
        <f>L$2505</f>
        <v>2028</v>
      </c>
      <c r="M917" s="387">
        <f>M$2505</f>
        <v>2029</v>
      </c>
      <c r="N917" s="1544">
        <f>N$2505</f>
        <v>2030</v>
      </c>
      <c r="O917" s="698"/>
      <c r="P917" s="729"/>
      <c r="Q917" s="729"/>
      <c r="R917" s="729"/>
      <c r="S917" s="729"/>
      <c r="T917" s="729"/>
      <c r="U917" s="343"/>
      <c r="V917" s="343"/>
    </row>
    <row r="918" spans="1:22" s="364" customFormat="1" ht="12.75" customHeight="1" x14ac:dyDescent="0.3">
      <c r="A918" s="729"/>
      <c r="B918" s="302"/>
      <c r="C918" s="357"/>
      <c r="D918" s="1698"/>
      <c r="E918" s="392" t="str">
        <f>Translations!$B$1328</f>
        <v>Средна годишна стойност</v>
      </c>
      <c r="F918" s="392"/>
      <c r="G918" s="392"/>
      <c r="H918" s="481" t="str">
        <f>EUconst_EUA</f>
        <v>Квота за емисии</v>
      </c>
      <c r="I918" s="1716"/>
      <c r="J918" s="1748" t="str">
        <f>IF(L887=42,INDEX(H_SpecialBM!J:J,MATCH($P918,H_SpecialBM!$Q:$Q,0)),"")</f>
        <v/>
      </c>
      <c r="K918" s="1749" t="str">
        <f>IF(L887=42,INDEX(H_SpecialBM!K:K,MATCH($P918,H_SpecialBM!$Q:$Q,0)),"")</f>
        <v/>
      </c>
      <c r="L918" s="1749" t="str">
        <f>IF(L887=42,INDEX(H_SpecialBM!L:L,MATCH($P918,H_SpecialBM!$Q:$Q,0)),"")</f>
        <v/>
      </c>
      <c r="M918" s="1749" t="str">
        <f>IF(L887=42,INDEX(H_SpecialBM!M:M,MATCH($P918,H_SpecialBM!$Q:$Q,0)),"")</f>
        <v/>
      </c>
      <c r="N918" s="1750" t="str">
        <f>IF(L887=42,INDEX(H_SpecialBM!N:N,MATCH($P918,H_SpecialBM!$Q:$Q,0)),"")</f>
        <v/>
      </c>
      <c r="O918" s="698"/>
      <c r="P918" s="1190" t="str">
        <f>EUconst_CNTR_HVCInitial &amp; INDEX(EUconst_BMlistNames,MATCH(42,EUconst_BMlistMainNumberOfBM,0))</f>
        <v>HVCIni_Крекинг с водна пара</v>
      </c>
      <c r="Q918" s="729"/>
      <c r="R918" s="729"/>
      <c r="S918" s="729"/>
      <c r="T918" s="729"/>
      <c r="U918" s="343"/>
      <c r="V918" s="343"/>
    </row>
    <row r="919" spans="1:22" s="364" customFormat="1" ht="12.75" customHeight="1" x14ac:dyDescent="0.3">
      <c r="A919" s="729"/>
      <c r="B919" s="302"/>
      <c r="C919" s="357"/>
      <c r="D919" s="1698"/>
      <c r="E919" s="398" t="str">
        <f>Translations!$B$1378</f>
        <v>Промяна в сравнение със стойността в НМИ</v>
      </c>
      <c r="F919" s="398"/>
      <c r="G919" s="398"/>
      <c r="H919" s="1751" t="s">
        <v>1052</v>
      </c>
      <c r="I919" s="1735"/>
      <c r="J919" s="159" t="str">
        <f>IF(L887=42,INDEX(H_SpecialBM!J:J,MATCH($P919,H_SpecialBM!$Q:$Q,0)),"")</f>
        <v/>
      </c>
      <c r="K919" s="160" t="str">
        <f>IF(L887=42,INDEX(H_SpecialBM!K:K,MATCH($P919,H_SpecialBM!$Q:$Q,0)),"")</f>
        <v/>
      </c>
      <c r="L919" s="160" t="str">
        <f>IF(L887=42,INDEX(H_SpecialBM!L:L,MATCH($P919,H_SpecialBM!$Q:$Q,0)),"")</f>
        <v/>
      </c>
      <c r="M919" s="160" t="str">
        <f>IF(L887=42,INDEX(H_SpecialBM!M:M,MATCH($P919,H_SpecialBM!$Q:$Q,0)),"")</f>
        <v/>
      </c>
      <c r="N919" s="161" t="str">
        <f>IF(L887=42,INDEX(H_SpecialBM!N:N,MATCH($P919,H_SpecialBM!$Q:$Q,0)),"")</f>
        <v/>
      </c>
      <c r="O919" s="698"/>
      <c r="P919" s="1190" t="str">
        <f>EUconst_CNTR_RelThreshold &amp; P921</f>
        <v>RelThresh_HVCprelim_</v>
      </c>
      <c r="Q919" s="729"/>
      <c r="R919" s="729"/>
      <c r="S919" s="729"/>
      <c r="T919" s="729"/>
      <c r="U919" s="343"/>
      <c r="V919" s="343"/>
    </row>
    <row r="920" spans="1:22" s="364" customFormat="1" ht="12.75" customHeight="1" x14ac:dyDescent="0.3">
      <c r="A920" s="729"/>
      <c r="B920" s="302"/>
      <c r="C920" s="357"/>
      <c r="D920" s="1698"/>
      <c r="E920" s="1736" t="str">
        <f>Translations!$B$1381</f>
        <v>Критерий 3в: Надвишени ли са относителните прагове?</v>
      </c>
      <c r="F920" s="1736"/>
      <c r="G920" s="1736"/>
      <c r="H920" s="1738" t="s">
        <v>1052</v>
      </c>
      <c r="I920" s="1738"/>
      <c r="J920" s="1739" t="str">
        <f>IF(L887=42,INDEX(H_SpecialBM!V:V,MATCH($P920,H_SpecialBM!$Q:$Q,0)),"")</f>
        <v/>
      </c>
      <c r="K920" s="1740" t="str">
        <f>IF(L887=42,INDEX(H_SpecialBM!W:W,MATCH($P920,H_SpecialBM!$Q:$Q,0)),"")</f>
        <v/>
      </c>
      <c r="L920" s="1740" t="str">
        <f>IF(L887=42,INDEX(H_SpecialBM!X:X,MATCH($P920,H_SpecialBM!$Q:$Q,0)),"")</f>
        <v/>
      </c>
      <c r="M920" s="1740" t="str">
        <f>IF(L887=42,INDEX(H_SpecialBM!Y:Y,MATCH($P920,H_SpecialBM!$Q:$Q,0)),"")</f>
        <v/>
      </c>
      <c r="N920" s="1741" t="str">
        <f>IF(L887=42,INDEX(H_SpecialBM!Z:Z,MATCH($P920,H_SpecialBM!$Q:$Q,0)),"")</f>
        <v/>
      </c>
      <c r="O920" s="698"/>
      <c r="P920" s="1190" t="str">
        <f>P919</f>
        <v>RelThresh_HVCprelim_</v>
      </c>
      <c r="Q920" s="729"/>
      <c r="R920" s="729"/>
      <c r="S920" s="729"/>
      <c r="T920" s="729"/>
      <c r="U920" s="343"/>
      <c r="V920" s="343"/>
    </row>
    <row r="921" spans="1:22" s="364" customFormat="1" ht="12.75" customHeight="1" x14ac:dyDescent="0.3">
      <c r="A921" s="729" t="str">
        <f>IF(P921="","ausblenden","")</f>
        <v/>
      </c>
      <c r="B921" s="302"/>
      <c r="C921" s="357"/>
      <c r="D921" s="1698"/>
      <c r="E921" s="401" t="str">
        <f>Translations!$B$1377</f>
        <v>Предварителна стойност</v>
      </c>
      <c r="F921" s="401"/>
      <c r="G921" s="401"/>
      <c r="H921" s="483" t="str">
        <f>EUconst_EUA</f>
        <v>Квота за емисии</v>
      </c>
      <c r="I921" s="1724"/>
      <c r="J921" s="1752" t="str">
        <f>IF($L887=42,INDEX(H_SpecialBM!J:J,MATCH($P921,H_SpecialBM!$Q:$Q,0)),"")</f>
        <v/>
      </c>
      <c r="K921" s="1753" t="str">
        <f>IF($L887=42,INDEX(H_SpecialBM!K:K,MATCH($P921,H_SpecialBM!$Q:$Q,0)),"")</f>
        <v/>
      </c>
      <c r="L921" s="1753" t="str">
        <f>IF($L887=42,INDEX(H_SpecialBM!L:L,MATCH($P921,H_SpecialBM!$Q:$Q,0)),"")</f>
        <v/>
      </c>
      <c r="M921" s="1753" t="str">
        <f>IF($L887=42,INDEX(H_SpecialBM!M:M,MATCH($P921,H_SpecialBM!$Q:$Q,0)),"")</f>
        <v/>
      </c>
      <c r="N921" s="1754" t="str">
        <f>IF($L887=42,INDEX(H_SpecialBM!N:N,MATCH($P921,H_SpecialBM!$Q:$Q,0)),"")</f>
        <v/>
      </c>
      <c r="O921" s="698"/>
      <c r="P921" s="1190" t="str">
        <f>EUconst_CNTR_HVCprelim</f>
        <v>HVCprelim_</v>
      </c>
      <c r="Q921" s="729"/>
      <c r="R921" s="729"/>
      <c r="S921" s="729"/>
      <c r="T921" s="729"/>
      <c r="U921" s="343"/>
      <c r="V921" s="343"/>
    </row>
    <row r="922" spans="1:22" s="364" customFormat="1" ht="5.15" customHeight="1" x14ac:dyDescent="0.3">
      <c r="A922" s="729"/>
      <c r="B922" s="302"/>
      <c r="C922" s="357"/>
      <c r="D922" s="1698"/>
      <c r="E922" s="302"/>
      <c r="F922" s="302"/>
      <c r="G922" s="302"/>
      <c r="H922" s="302"/>
      <c r="I922" s="1746"/>
      <c r="J922" s="302"/>
      <c r="K922" s="302"/>
      <c r="L922" s="302"/>
      <c r="M922" s="302"/>
      <c r="N922" s="1747"/>
      <c r="O922" s="698"/>
      <c r="P922" s="729"/>
      <c r="Q922" s="729"/>
      <c r="R922" s="729"/>
      <c r="S922" s="729"/>
      <c r="T922" s="729"/>
      <c r="U922" s="343"/>
      <c r="V922" s="343"/>
    </row>
    <row r="923" spans="1:22" s="364" customFormat="1" ht="12.75" customHeight="1" x14ac:dyDescent="0.3">
      <c r="A923" s="729"/>
      <c r="B923" s="302"/>
      <c r="C923" s="357"/>
      <c r="D923" s="1698"/>
      <c r="E923" s="389" t="str">
        <f>Translations!$B$1384</f>
        <v>Промени: Корекция за винилхлориден мономер (VCM)</v>
      </c>
      <c r="F923" s="498"/>
      <c r="G923" s="498"/>
      <c r="H923" s="527" t="str">
        <f>EUconst_Unit</f>
        <v>Единица мярка</v>
      </c>
      <c r="I923" s="1699"/>
      <c r="J923" s="1523">
        <f>J$2505</f>
        <v>2026</v>
      </c>
      <c r="K923" s="387">
        <f>K$2505</f>
        <v>2027</v>
      </c>
      <c r="L923" s="387">
        <f>L$2505</f>
        <v>2028</v>
      </c>
      <c r="M923" s="387">
        <f>M$2505</f>
        <v>2029</v>
      </c>
      <c r="N923" s="1544">
        <f>N$2505</f>
        <v>2030</v>
      </c>
      <c r="O923" s="698"/>
      <c r="P923" s="729"/>
      <c r="Q923" s="729"/>
      <c r="R923" s="729"/>
      <c r="S923" s="729"/>
      <c r="T923" s="729"/>
      <c r="U923" s="343"/>
      <c r="V923" s="343"/>
    </row>
    <row r="924" spans="1:22" s="364" customFormat="1" ht="12.75" customHeight="1" x14ac:dyDescent="0.3">
      <c r="A924" s="729"/>
      <c r="B924" s="302"/>
      <c r="C924" s="357"/>
      <c r="D924" s="1698"/>
      <c r="E924" s="392" t="str">
        <f>Translations!$B$1328</f>
        <v>Средна годишна стойност</v>
      </c>
      <c r="F924" s="392"/>
      <c r="G924" s="392"/>
      <c r="H924" s="485" t="s">
        <v>1052</v>
      </c>
      <c r="I924" s="1716"/>
      <c r="J924" s="1755" t="str">
        <f>IF(L887=47,INDEX(H_SpecialBM!J:J,MATCH($P924,H_SpecialBM!$Q:$Q,0)),"")</f>
        <v/>
      </c>
      <c r="K924" s="1756" t="str">
        <f>IF(L887=47,INDEX(H_SpecialBM!K:K,MATCH($P924,H_SpecialBM!$Q:$Q,0)),"")</f>
        <v/>
      </c>
      <c r="L924" s="1756" t="str">
        <f>IF(L887=47,INDEX(H_SpecialBM!L:L,MATCH($P924,H_SpecialBM!$Q:$Q,0)),"")</f>
        <v/>
      </c>
      <c r="M924" s="1756" t="str">
        <f>IF(L887=47,INDEX(H_SpecialBM!M:M,MATCH($P924,H_SpecialBM!$Q:$Q,0)),"")</f>
        <v/>
      </c>
      <c r="N924" s="1757" t="str">
        <f>IF(L887=47,INDEX(H_SpecialBM!N:N,MATCH($P924,H_SpecialBM!$Q:$Q,0)),"")</f>
        <v/>
      </c>
      <c r="O924" s="698"/>
      <c r="P924" s="1190" t="str">
        <f>EUconst_CNTR_VCMInitial &amp; INDEX(EUconst_BMlistNames,MATCH(47,EUconst_BMlistMainNumberOfBM,0))</f>
        <v>VCMIni_Винилхлориден мономер</v>
      </c>
      <c r="Q924" s="729"/>
      <c r="R924" s="729"/>
      <c r="S924" s="729"/>
      <c r="T924" s="729"/>
      <c r="U924" s="343"/>
      <c r="V924" s="343"/>
    </row>
    <row r="925" spans="1:22" s="364" customFormat="1" ht="12.75" customHeight="1" x14ac:dyDescent="0.3">
      <c r="A925" s="729"/>
      <c r="B925" s="302"/>
      <c r="C925" s="357"/>
      <c r="D925" s="1698"/>
      <c r="E925" s="398" t="str">
        <f>Translations!$B$1378</f>
        <v>Промяна в сравнение със стойността в НМИ</v>
      </c>
      <c r="F925" s="398"/>
      <c r="G925" s="398"/>
      <c r="H925" s="1751" t="s">
        <v>1052</v>
      </c>
      <c r="I925" s="1735"/>
      <c r="J925" s="159" t="str">
        <f>IF(L887=47,INDEX(H_SpecialBM!J:J,MATCH($P925,H_SpecialBM!$Q:$Q,0)),"")</f>
        <v/>
      </c>
      <c r="K925" s="160" t="str">
        <f>IF(L887=47,INDEX(H_SpecialBM!K:K,MATCH($P925,H_SpecialBM!$Q:$Q,0)),"")</f>
        <v/>
      </c>
      <c r="L925" s="160" t="str">
        <f>IF(L887=47,INDEX(H_SpecialBM!L:L,MATCH($P925,H_SpecialBM!$Q:$Q,0)),"")</f>
        <v/>
      </c>
      <c r="M925" s="160" t="str">
        <f>IF(L887=47,INDEX(H_SpecialBM!M:M,MATCH($P925,H_SpecialBM!$Q:$Q,0)),"")</f>
        <v/>
      </c>
      <c r="N925" s="161" t="str">
        <f>IF(L887=47,INDEX(H_SpecialBM!N:N,MATCH($P925,H_SpecialBM!$Q:$Q,0)),"")</f>
        <v/>
      </c>
      <c r="O925" s="698"/>
      <c r="P925" s="1190" t="str">
        <f>EUconst_CNTR_RelThreshold &amp; P927</f>
        <v>RelThresh_VCMprelim_</v>
      </c>
      <c r="Q925" s="729"/>
      <c r="R925" s="729"/>
      <c r="S925" s="729"/>
      <c r="T925" s="729"/>
      <c r="U925" s="343"/>
      <c r="V925" s="343"/>
    </row>
    <row r="926" spans="1:22" s="364" customFormat="1" ht="12.75" customHeight="1" x14ac:dyDescent="0.3">
      <c r="A926" s="729"/>
      <c r="B926" s="302"/>
      <c r="C926" s="357"/>
      <c r="D926" s="1698"/>
      <c r="E926" s="1736" t="str">
        <f>Translations!$B$1383</f>
        <v>Критерий 3г: Надвишени ли са относителните прагове?</v>
      </c>
      <c r="F926" s="1736"/>
      <c r="G926" s="1736"/>
      <c r="H926" s="1738" t="s">
        <v>1052</v>
      </c>
      <c r="I926" s="1738"/>
      <c r="J926" s="1739" t="str">
        <f>IF(L887=47,INDEX(H_SpecialBM!V:V,MATCH($P926,H_SpecialBM!$Q:$Q,0)),"")</f>
        <v/>
      </c>
      <c r="K926" s="1740" t="str">
        <f>IF(L887=47,INDEX(H_SpecialBM!W:W,MATCH($P926,H_SpecialBM!$Q:$Q,0)),"")</f>
        <v/>
      </c>
      <c r="L926" s="1740" t="str">
        <f>IF(L887=47,INDEX(H_SpecialBM!X:X,MATCH($P926,H_SpecialBM!$Q:$Q,0)),"")</f>
        <v/>
      </c>
      <c r="M926" s="1740" t="str">
        <f>IF(L887=47,INDEX(H_SpecialBM!Y:Y,MATCH($P926,H_SpecialBM!$Q:$Q,0)),"")</f>
        <v/>
      </c>
      <c r="N926" s="1741" t="str">
        <f>IF(L887=47,INDEX(H_SpecialBM!Z:Z,MATCH($P926,H_SpecialBM!$Q:$Q,0)),"")</f>
        <v/>
      </c>
      <c r="O926" s="698"/>
      <c r="P926" s="1190" t="str">
        <f>P925</f>
        <v>RelThresh_VCMprelim_</v>
      </c>
      <c r="Q926" s="729"/>
      <c r="R926" s="729"/>
      <c r="S926" s="729"/>
      <c r="T926" s="729"/>
      <c r="U926" s="343"/>
      <c r="V926" s="343"/>
    </row>
    <row r="927" spans="1:22" s="364" customFormat="1" ht="12.75" customHeight="1" x14ac:dyDescent="0.3">
      <c r="A927" s="729" t="str">
        <f>IF(P927="","ausblenden","")</f>
        <v/>
      </c>
      <c r="B927" s="302"/>
      <c r="C927" s="357"/>
      <c r="D927" s="1698"/>
      <c r="E927" s="401" t="str">
        <f>Translations!$B$1377</f>
        <v>Предварителна стойност</v>
      </c>
      <c r="F927" s="401"/>
      <c r="G927" s="401"/>
      <c r="H927" s="483" t="s">
        <v>1052</v>
      </c>
      <c r="I927" s="1724"/>
      <c r="J927" s="1758" t="str">
        <f>IF($L887=47,IF(ISNUMBER(INDEX(H_SpecialBM!J:J,MATCH($P927,H_SpecialBM!$Q:$Q,0))),INDEX(H_SpecialBM!J:J,MATCH($P927,H_SpecialBM!$Q:$Q,0)),1),"")</f>
        <v/>
      </c>
      <c r="K927" s="1759" t="str">
        <f>IF($L887=47,IF(ISNUMBER(INDEX(H_SpecialBM!K:K,MATCH($P927,H_SpecialBM!$Q:$Q,0))),INDEX(H_SpecialBM!K:K,MATCH($P927,H_SpecialBM!$Q:$Q,0)),1),"")</f>
        <v/>
      </c>
      <c r="L927" s="1759" t="str">
        <f>IF($L887=47,IF(ISNUMBER(INDEX(H_SpecialBM!L:L,MATCH($P927,H_SpecialBM!$Q:$Q,0))),INDEX(H_SpecialBM!L:L,MATCH($P927,H_SpecialBM!$Q:$Q,0)),1),"")</f>
        <v/>
      </c>
      <c r="M927" s="1759" t="str">
        <f>IF($L887=47,IF(ISNUMBER(INDEX(H_SpecialBM!M:M,MATCH($P927,H_SpecialBM!$Q:$Q,0))),INDEX(H_SpecialBM!M:M,MATCH($P927,H_SpecialBM!$Q:$Q,0)),1),"")</f>
        <v/>
      </c>
      <c r="N927" s="1760" t="str">
        <f>IF($L887=47,IF(ISNUMBER(INDEX(H_SpecialBM!N:N,MATCH($P927,H_SpecialBM!$Q:$Q,0))),INDEX(H_SpecialBM!N:N,MATCH($P927,H_SpecialBM!$Q:$Q,0)),1),"")</f>
        <v/>
      </c>
      <c r="O927" s="698"/>
      <c r="P927" s="1190" t="str">
        <f>EUconst_CNTR_VCMprelim</f>
        <v>VCMprelim_</v>
      </c>
      <c r="Q927" s="729"/>
      <c r="R927" s="729"/>
      <c r="S927" s="729"/>
      <c r="T927" s="729"/>
      <c r="U927" s="343"/>
      <c r="V927" s="343"/>
    </row>
    <row r="928" spans="1:22" s="364" customFormat="1" ht="5.15" customHeight="1" x14ac:dyDescent="0.3">
      <c r="A928" s="729"/>
      <c r="B928" s="302"/>
      <c r="C928" s="357"/>
      <c r="D928" s="1698"/>
      <c r="E928" s="302"/>
      <c r="F928" s="302"/>
      <c r="G928" s="302"/>
      <c r="H928" s="302"/>
      <c r="I928" s="1746"/>
      <c r="J928" s="302"/>
      <c r="K928" s="302"/>
      <c r="L928" s="302"/>
      <c r="M928" s="302"/>
      <c r="N928" s="1747"/>
      <c r="O928" s="698"/>
      <c r="P928" s="729"/>
      <c r="Q928" s="729"/>
      <c r="R928" s="729"/>
      <c r="S928" s="729"/>
      <c r="T928" s="729"/>
      <c r="U928" s="343"/>
      <c r="V928" s="343"/>
    </row>
    <row r="929" spans="1:22" s="364" customFormat="1" ht="12.75" customHeight="1" x14ac:dyDescent="0.3">
      <c r="A929" s="729"/>
      <c r="B929" s="302"/>
      <c r="C929" s="357"/>
      <c r="D929" s="1698"/>
      <c r="E929" s="389" t="str">
        <f>Translations!$B$1386</f>
        <v>Промени: Изгорен във факел отпаден газ</v>
      </c>
      <c r="F929" s="498"/>
      <c r="G929" s="498"/>
      <c r="H929" s="527" t="str">
        <f>EUconst_Unit</f>
        <v>Единица мярка</v>
      </c>
      <c r="I929" s="1699"/>
      <c r="J929" s="1523">
        <f>J$2505</f>
        <v>2026</v>
      </c>
      <c r="K929" s="387">
        <f>K$2505</f>
        <v>2027</v>
      </c>
      <c r="L929" s="387">
        <f>L$2505</f>
        <v>2028</v>
      </c>
      <c r="M929" s="387">
        <f>M$2505</f>
        <v>2029</v>
      </c>
      <c r="N929" s="1544">
        <f>N$2505</f>
        <v>2030</v>
      </c>
      <c r="O929" s="698"/>
      <c r="P929" s="729"/>
      <c r="Q929" s="729"/>
      <c r="R929" s="729"/>
      <c r="S929" s="729"/>
      <c r="T929" s="729"/>
      <c r="U929" s="343"/>
      <c r="V929" s="343"/>
    </row>
    <row r="930" spans="1:22" s="364" customFormat="1" ht="12.75" customHeight="1" x14ac:dyDescent="0.3">
      <c r="A930" s="729"/>
      <c r="B930" s="302"/>
      <c r="C930" s="357"/>
      <c r="D930" s="1698"/>
      <c r="E930" s="392" t="str">
        <f>Translations!$B$1328</f>
        <v>Средна годишна стойност</v>
      </c>
      <c r="F930" s="392"/>
      <c r="G930" s="392"/>
      <c r="H930" s="485" t="str">
        <f>EUconst_tCO2</f>
        <v>t CO2</v>
      </c>
      <c r="I930" s="1716"/>
      <c r="J930" s="1732" t="str">
        <f>INDEX(F_ProductBM!J:J,MATCH($P930,F_ProductBM!$Q:$Q,0))</f>
        <v/>
      </c>
      <c r="K930" s="394" t="str">
        <f>INDEX(F_ProductBM!K:K,MATCH($P930,F_ProductBM!$Q:$Q,0))</f>
        <v/>
      </c>
      <c r="L930" s="394" t="str">
        <f>INDEX(F_ProductBM!L:L,MATCH($P930,F_ProductBM!$Q:$Q,0))</f>
        <v/>
      </c>
      <c r="M930" s="394" t="str">
        <f>INDEX(F_ProductBM!M:M,MATCH($P930,F_ProductBM!$Q:$Q,0))</f>
        <v/>
      </c>
      <c r="N930" s="1733" t="str">
        <f>INDEX(F_ProductBM!N:N,MATCH($P930,F_ProductBM!$Q:$Q,0))</f>
        <v/>
      </c>
      <c r="O930" s="698"/>
      <c r="P930" s="1190" t="str">
        <f>EUconst_CNTR_HALinitial &amp; EUconst_CNTR_WGFlared &amp; I884</f>
        <v>HALini_WasteGasFlare_</v>
      </c>
      <c r="Q930" s="729"/>
      <c r="R930" s="729"/>
      <c r="S930" s="729"/>
      <c r="T930" s="729"/>
      <c r="U930" s="343"/>
      <c r="V930" s="343"/>
    </row>
    <row r="931" spans="1:22" s="364" customFormat="1" ht="12.75" customHeight="1" x14ac:dyDescent="0.3">
      <c r="A931" s="729"/>
      <c r="B931" s="302"/>
      <c r="C931" s="357"/>
      <c r="D931" s="1698"/>
      <c r="E931" s="398" t="str">
        <f>Translations!$B$1378</f>
        <v>Промяна в сравнение със стойността в НМИ</v>
      </c>
      <c r="F931" s="398"/>
      <c r="G931" s="398"/>
      <c r="H931" s="1734" t="s">
        <v>1052</v>
      </c>
      <c r="I931" s="1735"/>
      <c r="J931" s="159" t="str">
        <f>INDEX(F_ProductBM!J:J,MATCH($P931,F_ProductBM!$Q:$Q,0))</f>
        <v/>
      </c>
      <c r="K931" s="160" t="str">
        <f>INDEX(F_ProductBM!K:K,MATCH($P931,F_ProductBM!$Q:$Q,0))</f>
        <v/>
      </c>
      <c r="L931" s="160" t="str">
        <f>INDEX(F_ProductBM!L:L,MATCH($P931,F_ProductBM!$Q:$Q,0))</f>
        <v/>
      </c>
      <c r="M931" s="160" t="str">
        <f>INDEX(F_ProductBM!M:M,MATCH($P931,F_ProductBM!$Q:$Q,0))</f>
        <v/>
      </c>
      <c r="N931" s="161" t="str">
        <f>INDEX(F_ProductBM!N:N,MATCH($P931,F_ProductBM!$Q:$Q,0))</f>
        <v/>
      </c>
      <c r="O931" s="698"/>
      <c r="P931" s="1190" t="str">
        <f>EUconst_CNTR_RelThreshold &amp; P933</f>
        <v>RelThresh_HALprelim_WasteGasFlare_</v>
      </c>
      <c r="Q931" s="729"/>
      <c r="R931" s="729"/>
      <c r="S931" s="729"/>
      <c r="T931" s="729"/>
      <c r="U931" s="343"/>
      <c r="V931" s="343"/>
    </row>
    <row r="932" spans="1:22" s="364" customFormat="1" ht="12.75" customHeight="1" x14ac:dyDescent="0.3">
      <c r="A932" s="729"/>
      <c r="B932" s="302"/>
      <c r="C932" s="357"/>
      <c r="D932" s="1698"/>
      <c r="E932" s="1736" t="str">
        <f>Translations!$B$1385</f>
        <v>Критерий 3д: Надвишени ли са относителните прагове?</v>
      </c>
      <c r="F932" s="1736"/>
      <c r="G932" s="1736"/>
      <c r="H932" s="1737" t="s">
        <v>1052</v>
      </c>
      <c r="I932" s="1738"/>
      <c r="J932" s="1739" t="str">
        <f>INDEX(F_ProductBM!V:V,MATCH($P932,F_ProductBM!$Q:$Q,0))</f>
        <v/>
      </c>
      <c r="K932" s="1740" t="str">
        <f>INDEX(F_ProductBM!W:W,MATCH($P932,F_ProductBM!$Q:$Q,0))</f>
        <v/>
      </c>
      <c r="L932" s="1740" t="str">
        <f>INDEX(F_ProductBM!X:X,MATCH($P932,F_ProductBM!$Q:$Q,0))</f>
        <v/>
      </c>
      <c r="M932" s="1740" t="str">
        <f>INDEX(F_ProductBM!Y:Y,MATCH($P932,F_ProductBM!$Q:$Q,0))</f>
        <v/>
      </c>
      <c r="N932" s="1741" t="str">
        <f>INDEX(F_ProductBM!Z:Z,MATCH($P932,F_ProductBM!$Q:$Q,0))</f>
        <v/>
      </c>
      <c r="O932" s="698"/>
      <c r="P932" s="1190" t="str">
        <f>P931</f>
        <v>RelThresh_HALprelim_WasteGasFlare_</v>
      </c>
      <c r="Q932" s="729"/>
      <c r="R932" s="729"/>
      <c r="S932" s="729"/>
      <c r="T932" s="729"/>
      <c r="U932" s="343"/>
      <c r="V932" s="343"/>
    </row>
    <row r="933" spans="1:22" s="364" customFormat="1" ht="12.75" customHeight="1" x14ac:dyDescent="0.3">
      <c r="A933" s="729" t="str">
        <f>IF(P933="","ausblenden","")</f>
        <v/>
      </c>
      <c r="B933" s="302"/>
      <c r="C933" s="357"/>
      <c r="D933" s="1698"/>
      <c r="E933" s="401" t="str">
        <f>Translations!$B$1377</f>
        <v>Предварителна стойност</v>
      </c>
      <c r="F933" s="401"/>
      <c r="G933" s="401"/>
      <c r="H933" s="483" t="str">
        <f>EUconst_tCO2</f>
        <v>t CO2</v>
      </c>
      <c r="I933" s="1724"/>
      <c r="J933" s="1743" t="str">
        <f>IF(OR($I884="",CNTR_SubPeriod=1),"",INDEX(F_ProductBM!J:J,MATCH($P933,F_ProductBM!$Q:$Q,0)))</f>
        <v/>
      </c>
      <c r="K933" s="1744" t="str">
        <f>IF(OR($I884="",CNTR_SubPeriod=1),"",INDEX(F_ProductBM!K:K,MATCH($P933,F_ProductBM!$Q:$Q,0)))</f>
        <v/>
      </c>
      <c r="L933" s="1744" t="str">
        <f>IF(OR($I884="",CNTR_SubPeriod=1),"",INDEX(F_ProductBM!L:L,MATCH($P933,F_ProductBM!$Q:$Q,0)))</f>
        <v/>
      </c>
      <c r="M933" s="1744" t="str">
        <f>IF(OR($I884="",CNTR_SubPeriod=1),"",INDEX(F_ProductBM!M:M,MATCH($P933,F_ProductBM!$Q:$Q,0)))</f>
        <v/>
      </c>
      <c r="N933" s="1745" t="str">
        <f>IF(OR($I884="",CNTR_SubPeriod=1),"",INDEX(F_ProductBM!N:N,MATCH($P933,F_ProductBM!$Q:$Q,0)))</f>
        <v/>
      </c>
      <c r="O933" s="698"/>
      <c r="P933" s="1190" t="str">
        <f>EUconst_CNTR_HALprelim&amp;EUconst_CNTR_WGFlared&amp;$I884</f>
        <v>HALprelim_WasteGasFlare_</v>
      </c>
      <c r="Q933" s="729"/>
      <c r="R933" s="729"/>
      <c r="S933" s="729"/>
      <c r="T933" s="729"/>
      <c r="U933" s="343"/>
      <c r="V933" s="343"/>
    </row>
    <row r="934" spans="1:22" s="364" customFormat="1" ht="12.75" customHeight="1" thickBot="1" x14ac:dyDescent="0.35">
      <c r="A934" s="729"/>
      <c r="B934" s="302"/>
      <c r="C934" s="357"/>
      <c r="D934" s="1761"/>
      <c r="E934" s="1762"/>
      <c r="F934" s="1762"/>
      <c r="G934" s="1762"/>
      <c r="H934" s="1762"/>
      <c r="I934" s="1763"/>
      <c r="J934" s="1762"/>
      <c r="K934" s="1762"/>
      <c r="L934" s="1762"/>
      <c r="M934" s="1762"/>
      <c r="N934" s="1764"/>
      <c r="O934" s="698"/>
      <c r="P934" s="729"/>
      <c r="Q934" s="729"/>
      <c r="R934" s="729"/>
      <c r="S934" s="729"/>
      <c r="T934" s="729"/>
      <c r="U934" s="343"/>
      <c r="V934" s="343"/>
    </row>
    <row r="935" spans="1:22" s="364" customFormat="1" ht="5.15" customHeight="1" thickBot="1" x14ac:dyDescent="0.35">
      <c r="A935" s="729"/>
      <c r="B935" s="302"/>
      <c r="C935" s="357"/>
      <c r="D935" s="357"/>
      <c r="E935" s="302"/>
      <c r="F935" s="302"/>
      <c r="G935" s="302"/>
      <c r="H935" s="302"/>
      <c r="I935" s="1746"/>
      <c r="J935" s="302"/>
      <c r="K935" s="302"/>
      <c r="L935" s="302"/>
      <c r="M935" s="302"/>
      <c r="N935" s="302"/>
      <c r="O935" s="698"/>
      <c r="P935" s="729"/>
      <c r="Q935" s="729"/>
      <c r="R935" s="729"/>
      <c r="S935" s="729"/>
      <c r="T935" s="729"/>
      <c r="U935" s="343"/>
      <c r="V935" s="343"/>
    </row>
    <row r="936" spans="1:22" s="364" customFormat="1" ht="5.15" customHeight="1" x14ac:dyDescent="0.25">
      <c r="A936" s="729"/>
      <c r="B936" s="302"/>
      <c r="C936" s="302"/>
      <c r="D936" s="1765"/>
      <c r="E936" s="1766"/>
      <c r="F936" s="1766"/>
      <c r="G936" s="1766"/>
      <c r="H936" s="1766"/>
      <c r="I936" s="1767"/>
      <c r="J936" s="1766"/>
      <c r="K936" s="1766"/>
      <c r="L936" s="1766"/>
      <c r="M936" s="1766"/>
      <c r="N936" s="1768"/>
      <c r="O936" s="698"/>
      <c r="P936" s="729"/>
      <c r="Q936" s="729"/>
      <c r="R936" s="729"/>
      <c r="S936" s="729"/>
      <c r="T936" s="770"/>
      <c r="U936" s="343"/>
      <c r="V936" s="343"/>
    </row>
    <row r="937" spans="1:22" s="364" customFormat="1" ht="13" x14ac:dyDescent="0.25">
      <c r="A937" s="729"/>
      <c r="B937" s="302"/>
      <c r="C937" s="302"/>
      <c r="D937" s="344"/>
      <c r="E937" s="1769" t="str">
        <f>Translations!$B$1583</f>
        <v>Предварителни стойности за критерий &gt; 300 EUA</v>
      </c>
      <c r="F937" s="1746"/>
      <c r="G937" s="1746"/>
      <c r="H937" s="1699" t="str">
        <f>EUconst_Unit</f>
        <v>Единица мярка</v>
      </c>
      <c r="I937" s="1770" t="str">
        <f>Translations!$B$1341</f>
        <v>Базова стойност</v>
      </c>
      <c r="J937" s="1771">
        <f>J$2505</f>
        <v>2026</v>
      </c>
      <c r="K937" s="1772">
        <f>K$2505</f>
        <v>2027</v>
      </c>
      <c r="L937" s="1772">
        <f>L$2505</f>
        <v>2028</v>
      </c>
      <c r="M937" s="1772">
        <f>M$2505</f>
        <v>2029</v>
      </c>
      <c r="N937" s="1773">
        <f>N$2505</f>
        <v>2030</v>
      </c>
      <c r="O937" s="698"/>
      <c r="P937" s="729"/>
      <c r="Q937" s="729"/>
      <c r="R937" s="729"/>
      <c r="S937" s="729"/>
      <c r="T937" s="729"/>
      <c r="U937" s="729"/>
      <c r="V937" s="729"/>
    </row>
    <row r="938" spans="1:22" s="364" customFormat="1" x14ac:dyDescent="0.25">
      <c r="A938" s="729"/>
      <c r="B938" s="302"/>
      <c r="C938" s="302"/>
      <c r="D938" s="344"/>
      <c r="E938" s="1774" t="str">
        <f>Translations!$B$1388</f>
        <v>Равнище на дейност</v>
      </c>
      <c r="F938" s="1774"/>
      <c r="G938" s="1774"/>
      <c r="H938" s="1775" t="str">
        <f>F890</f>
        <v>тона</v>
      </c>
      <c r="I938" s="1776" t="str">
        <f>IF($I884="","",IF(T955&gt;=$H$2505,0,S950))</f>
        <v/>
      </c>
      <c r="J938" s="1717" t="str">
        <f>IF($I884="","",INDEX(F_ProductBM!J:J,MATCH($P938,F_ProductBM!$Q:$Q,0)))</f>
        <v/>
      </c>
      <c r="K938" s="1718" t="str">
        <f>IF($I884="","",INDEX(F_ProductBM!K:K,MATCH($P938,F_ProductBM!$Q:$Q,0)))</f>
        <v/>
      </c>
      <c r="L938" s="1718" t="str">
        <f>IF($I884="","",INDEX(F_ProductBM!L:L,MATCH($P938,F_ProductBM!$Q:$Q,0)))</f>
        <v/>
      </c>
      <c r="M938" s="1718" t="str">
        <f>IF($I884="","",INDEX(F_ProductBM!M:M,MATCH($P938,F_ProductBM!$Q:$Q,0)))</f>
        <v/>
      </c>
      <c r="N938" s="1719" t="str">
        <f>IF($I884="","",INDEX(F_ProductBM!N:N,MATCH($P938,F_ProductBM!$Q:$Q,0)))</f>
        <v/>
      </c>
      <c r="O938" s="698"/>
      <c r="P938" s="1190" t="str">
        <f>EUconst_CNTR_HALprelim&amp;I884</f>
        <v>HALprelim_</v>
      </c>
      <c r="Q938" s="729"/>
      <c r="R938" s="729"/>
      <c r="S938" s="729"/>
      <c r="T938" s="729"/>
      <c r="U938" s="729"/>
      <c r="V938" s="729"/>
    </row>
    <row r="939" spans="1:22" s="364" customFormat="1" x14ac:dyDescent="0.25">
      <c r="A939" s="729"/>
      <c r="B939" s="302"/>
      <c r="C939" s="302"/>
      <c r="D939" s="344"/>
      <c r="E939" s="1777" t="str">
        <f>Translations!$B$949</f>
        <v>топл. ен. извън СТЕ</v>
      </c>
      <c r="F939" s="1777"/>
      <c r="G939" s="1777"/>
      <c r="H939" s="1778" t="str">
        <f>EUconst_EUA</f>
        <v>Квота за емисии</v>
      </c>
      <c r="I939" s="1779" t="str">
        <f>IF($I884="","",IF(YEAR(J887)&gt;=$H$2505-1,0,S951))</f>
        <v/>
      </c>
      <c r="J939" s="1780" t="str">
        <f>IF($I$500="","",INDEX(F_ProductBM!J:J,MATCH($P939,F_ProductBM!$Q:$Q,0)))</f>
        <v/>
      </c>
      <c r="K939" s="1781" t="str">
        <f>IF($I$500="","",INDEX(F_ProductBM!K:K,MATCH($P939,F_ProductBM!$Q:$Q,0)))</f>
        <v/>
      </c>
      <c r="L939" s="1781" t="str">
        <f>IF($I$500="","",INDEX(F_ProductBM!L:L,MATCH($P939,F_ProductBM!$Q:$Q,0)))</f>
        <v/>
      </c>
      <c r="M939" s="1781" t="str">
        <f>IF($I$500="","",INDEX(F_ProductBM!M:M,MATCH($P939,F_ProductBM!$Q:$Q,0)))</f>
        <v/>
      </c>
      <c r="N939" s="1782" t="str">
        <f>IF($I$500="","",INDEX(F_ProductBM!N:N,MATCH($P939,F_ProductBM!$Q:$Q,0)))</f>
        <v/>
      </c>
      <c r="O939" s="698"/>
      <c r="P939" s="1190" t="str">
        <f>EUconst_CNTR_HEATprelim&amp;I884</f>
        <v>HEATprelim_</v>
      </c>
      <c r="Q939" s="729"/>
      <c r="R939" s="729"/>
      <c r="S939" s="729"/>
      <c r="T939" s="729"/>
      <c r="U939" s="729"/>
      <c r="V939" s="729"/>
    </row>
    <row r="940" spans="1:22" s="364" customFormat="1" x14ac:dyDescent="0.25">
      <c r="A940" s="729"/>
      <c r="B940" s="302"/>
      <c r="C940" s="302"/>
      <c r="D940" s="344"/>
      <c r="E940" s="1783" t="str">
        <f>Translations!$B$951</f>
        <v>WGflare</v>
      </c>
      <c r="F940" s="1783"/>
      <c r="G940" s="1783"/>
      <c r="H940" s="1784" t="str">
        <f>EUconst_EUA</f>
        <v>Квота за емисии</v>
      </c>
      <c r="I940" s="1785" t="str">
        <f>IF($I884="","",IF(T955&gt;=$H$2505,0,S952))</f>
        <v/>
      </c>
      <c r="J940" s="1721" t="str">
        <f>IF($I884="","",INDEX(F_ProductBM!J:J,MATCH($P940,F_ProductBM!$Q:$Q,0)))</f>
        <v/>
      </c>
      <c r="K940" s="1722" t="str">
        <f>IF($I884="","",INDEX(F_ProductBM!K:K,MATCH($P940,F_ProductBM!$Q:$Q,0)))</f>
        <v/>
      </c>
      <c r="L940" s="1722" t="str">
        <f>IF($I884="","",INDEX(F_ProductBM!L:L,MATCH($P940,F_ProductBM!$Q:$Q,0)))</f>
        <v/>
      </c>
      <c r="M940" s="1722" t="str">
        <f>IF($I884="","",INDEX(F_ProductBM!M:M,MATCH($P940,F_ProductBM!$Q:$Q,0)))</f>
        <v/>
      </c>
      <c r="N940" s="1723" t="str">
        <f>IF($I884="","",INDEX(F_ProductBM!N:N,MATCH($P940,F_ProductBM!$Q:$Q,0)))</f>
        <v/>
      </c>
      <c r="O940" s="698"/>
      <c r="P940" s="1190" t="str">
        <f>EUconst_CNTR_HALprelim&amp;EUconst_CNTR_WGFlared&amp;$I884</f>
        <v>HALprelim_WasteGasFlare_</v>
      </c>
      <c r="Q940" s="729"/>
      <c r="R940" s="729"/>
      <c r="S940" s="729"/>
      <c r="T940" s="729"/>
      <c r="U940" s="729"/>
      <c r="V940" s="729"/>
    </row>
    <row r="941" spans="1:22" s="364" customFormat="1" x14ac:dyDescent="0.25">
      <c r="A941" s="729"/>
      <c r="B941" s="302"/>
      <c r="C941" s="302"/>
      <c r="D941" s="344"/>
      <c r="E941" s="1783" t="s">
        <v>1442</v>
      </c>
      <c r="F941" s="1783"/>
      <c r="G941" s="1783"/>
      <c r="H941" s="1784" t="str">
        <f>EUconst_EUA</f>
        <v>Квота за емисии</v>
      </c>
      <c r="I941" s="1785" t="str">
        <f>IF($I884="","",IF(T955&gt;=$H$2505,0,IF(L887=42,S953,0)))</f>
        <v/>
      </c>
      <c r="J941" s="1721" t="str">
        <f>IF($I884="","",IF($L887=42,INDEX(H_SpecialBM!J:J,MATCH($P941,H_SpecialBM!$Q:$Q,0)),0))</f>
        <v/>
      </c>
      <c r="K941" s="1722" t="str">
        <f>IF($I884="","",IF($L887=42,INDEX(H_SpecialBM!K:K,MATCH($P941,H_SpecialBM!$Q:$Q,0)),0))</f>
        <v/>
      </c>
      <c r="L941" s="1722" t="str">
        <f>IF($I884="","",IF($L887=42,INDEX(H_SpecialBM!L:L,MATCH($P941,H_SpecialBM!$Q:$Q,0)),0))</f>
        <v/>
      </c>
      <c r="M941" s="1722" t="str">
        <f>IF($I884="","",IF($L887=42,INDEX(H_SpecialBM!M:M,MATCH($P941,H_SpecialBM!$Q:$Q,0)),0))</f>
        <v/>
      </c>
      <c r="N941" s="1723" t="str">
        <f>IF($I884="","",IF($L887=42,INDEX(H_SpecialBM!N:N,MATCH($P941,H_SpecialBM!$Q:$Q,0)),0))</f>
        <v/>
      </c>
      <c r="O941" s="698"/>
      <c r="P941" s="1190" t="str">
        <f>EUconst_CNTR_HVCprelim</f>
        <v>HVCprelim_</v>
      </c>
      <c r="Q941" s="729"/>
      <c r="R941" s="729"/>
      <c r="S941" s="729"/>
      <c r="T941" s="729"/>
      <c r="U941" s="729"/>
      <c r="V941" s="729"/>
    </row>
    <row r="942" spans="1:22" s="364" customFormat="1" x14ac:dyDescent="0.25">
      <c r="A942" s="729"/>
      <c r="B942" s="302"/>
      <c r="C942" s="302"/>
      <c r="D942" s="344"/>
      <c r="E942" s="1786" t="s">
        <v>1443</v>
      </c>
      <c r="F942" s="1786"/>
      <c r="G942" s="1786"/>
      <c r="H942" s="1787" t="s">
        <v>1052</v>
      </c>
      <c r="I942" s="1788" t="str">
        <f>IF($I884="","",IF($L887=47,IF(AND(ISNUMBER(S954),YEAR(J887)&lt;$J$2505),S954,1),1))</f>
        <v/>
      </c>
      <c r="J942" s="1725" t="str">
        <f>IF($I884="","",IF($L887=47,IF(ISNUMBER(INDEX(H_SpecialBM!J:J,MATCH($P942,H_SpecialBM!$Q:$Q,0))),INDEX(H_SpecialBM!J:J,MATCH($P942,H_SpecialBM!$Q:$Q,0)),1),1))</f>
        <v/>
      </c>
      <c r="K942" s="1726" t="str">
        <f>IF($I884="","",IF($L887=47,IF(ISNUMBER(INDEX(H_SpecialBM!K:K,MATCH($P942,H_SpecialBM!$Q:$Q,0))),INDEX(H_SpecialBM!K:K,MATCH($P942,H_SpecialBM!$Q:$Q,0)),1),1))</f>
        <v/>
      </c>
      <c r="L942" s="1726" t="str">
        <f>IF($I884="","",IF($L887=47,IF(ISNUMBER(INDEX(H_SpecialBM!L:L,MATCH($P942,H_SpecialBM!$Q:$Q,0))),INDEX(H_SpecialBM!L:L,MATCH($P942,H_SpecialBM!$Q:$Q,0)),1),1))</f>
        <v/>
      </c>
      <c r="M942" s="1726" t="str">
        <f>IF($I884="","",IF($L887=47,IF(ISNUMBER(INDEX(H_SpecialBM!M:M,MATCH($P942,H_SpecialBM!$Q:$Q,0))),INDEX(H_SpecialBM!M:M,MATCH($P942,H_SpecialBM!$Q:$Q,0)),1),1))</f>
        <v/>
      </c>
      <c r="N942" s="1727" t="str">
        <f>IF($I884="","",IF($L887=47,IF(ISNUMBER(INDEX(H_SpecialBM!N:N,MATCH($P942,H_SpecialBM!$Q:$Q,0))),INDEX(H_SpecialBM!N:N,MATCH($P942,H_SpecialBM!$Q:$Q,0)),1),1))</f>
        <v/>
      </c>
      <c r="O942" s="698"/>
      <c r="P942" s="1190" t="str">
        <f>EUconst_CNTR_VCMprelim</f>
        <v>VCMprelim_</v>
      </c>
      <c r="Q942" s="729"/>
      <c r="R942" s="729"/>
      <c r="S942" s="729"/>
      <c r="T942" s="729"/>
      <c r="U942" s="729"/>
      <c r="V942" s="729"/>
    </row>
    <row r="943" spans="1:22" s="364" customFormat="1" x14ac:dyDescent="0.25">
      <c r="A943" s="729"/>
      <c r="B943" s="302"/>
      <c r="C943" s="302"/>
      <c r="D943" s="344"/>
      <c r="E943" s="1789" t="str">
        <f>Translations!$B$1377</f>
        <v>Предварителна стойност</v>
      </c>
      <c r="F943" s="1789"/>
      <c r="G943" s="1789"/>
      <c r="H943" s="1790" t="str">
        <f>EUconst_EUA</f>
        <v>Квота за емисии</v>
      </c>
      <c r="I943" s="1791" t="str">
        <f>IF($I884="","",MAX(0,ROUND((SUM($M887)*SUM(I938)*SUM(I942)-SUM(I939)-SUM(I940)+SUM(I941))*IF($H887=TRUE,1,J$2412),0)))</f>
        <v/>
      </c>
      <c r="J943" s="1714" t="str">
        <f>IF($I884="","",MAX(0,ROUND((SUM($M887)*SUM(J938)*SUM(J942)-SUM(J939)-SUM(J940)+SUM(J941))*IF($H887=TRUE,1,J$2412)*IF($I887=TRUE,INDEX(EUconst_CBAMFactor,J893-2020),1),0)))</f>
        <v/>
      </c>
      <c r="K943" s="1693" t="str">
        <f>IF($I884="","",MAX(0,ROUND((SUM($M887)*SUM(K938)*SUM(K942)-SUM(K939)-SUM(K940)+SUM(K941))*IF($H887=TRUE,1,K$2412)*IF($I887=TRUE,INDEX(EUconst_CBAMFactor,K893-2020),1),0)))</f>
        <v/>
      </c>
      <c r="L943" s="1693" t="str">
        <f>IF($I884="","",MAX(0,ROUND((SUM($M887)*SUM(L938)*SUM(L942)-SUM(L939)-SUM(L940)+SUM(L941))*IF($H887=TRUE,1,L$2412)*IF($I887=TRUE,INDEX(EUconst_CBAMFactor,L893-2020),1),0)))</f>
        <v/>
      </c>
      <c r="M943" s="1693" t="str">
        <f>IF($I884="","",MAX(0,ROUND((SUM($M887)*SUM(M938)*SUM(M942)-SUM(M939)-SUM(M940)+SUM(M941))*IF($H887=TRUE,1,M$2412)*IF($I887=TRUE,INDEX(EUconst_CBAMFactor,M893-2020),1),0)))</f>
        <v/>
      </c>
      <c r="N943" s="1715" t="str">
        <f>IF($I884="","",MAX(0,ROUND((SUM($M887)*SUM(N938)*SUM(N942)-SUM(N939)-SUM(N940)+SUM(N941))*IF($H887=TRUE,1,N$2412)*IF($I887=TRUE,INDEX(EUconst_CBAMFactor,N893-2020),1),0)))</f>
        <v/>
      </c>
      <c r="O943" s="698"/>
      <c r="P943" s="729"/>
      <c r="Q943" s="729"/>
      <c r="R943" s="729"/>
      <c r="S943" s="729"/>
      <c r="T943" s="729"/>
      <c r="U943" s="729"/>
      <c r="V943" s="729"/>
    </row>
    <row r="944" spans="1:22" s="364" customFormat="1" x14ac:dyDescent="0.25">
      <c r="A944" s="729"/>
      <c r="B944" s="302"/>
      <c r="C944" s="302"/>
      <c r="D944" s="344"/>
      <c r="E944" s="388" t="str">
        <f>Translations!$B$1584</f>
        <v>Разлика в предварителната стойност</v>
      </c>
      <c r="F944" s="388"/>
      <c r="G944" s="388"/>
      <c r="H944" s="421" t="str">
        <f>EUconst_EUA</f>
        <v>Квота за емисии</v>
      </c>
      <c r="I944" s="1792"/>
      <c r="J944" s="1793" t="str">
        <f>IF(J943="","",SUM(J943)-SUM(J903))</f>
        <v/>
      </c>
      <c r="K944" s="998" t="str">
        <f t="shared" ref="K944" si="77">IF(K943="","",SUM(K943)-SUM(K903))</f>
        <v/>
      </c>
      <c r="L944" s="998" t="str">
        <f t="shared" ref="L944:N944" si="78">IF(L943="","",SUM(L943)-SUM(L903))</f>
        <v/>
      </c>
      <c r="M944" s="998" t="str">
        <f t="shared" si="78"/>
        <v/>
      </c>
      <c r="N944" s="1794" t="str">
        <f t="shared" si="78"/>
        <v/>
      </c>
      <c r="O944" s="698"/>
      <c r="P944" s="729"/>
      <c r="Q944" s="729"/>
      <c r="R944" s="729"/>
      <c r="S944" s="1795"/>
      <c r="T944" s="1165"/>
      <c r="U944" s="711"/>
      <c r="V944" s="343"/>
    </row>
    <row r="945" spans="1:22" s="364" customFormat="1" x14ac:dyDescent="0.25">
      <c r="A945" s="729"/>
      <c r="B945" s="302"/>
      <c r="C945" s="302"/>
      <c r="D945" s="344"/>
      <c r="E945" s="1796" t="str">
        <f>Translations!$B$1581</f>
        <v>Критерий 4: Разлика от поне 300 квоти за емисии?</v>
      </c>
      <c r="F945" s="1796"/>
      <c r="G945" s="1796"/>
      <c r="H945" s="1797" t="s">
        <v>1052</v>
      </c>
      <c r="I945" s="1792"/>
      <c r="J945" s="1798" t="str">
        <f>IF(J944="","",ABS(J944)&gt;=300)</f>
        <v/>
      </c>
      <c r="K945" s="1799" t="str">
        <f t="shared" ref="K945:N945" si="79">IF(K944="","",ABS(K944)&gt;=300)</f>
        <v/>
      </c>
      <c r="L945" s="1799" t="str">
        <f t="shared" si="79"/>
        <v/>
      </c>
      <c r="M945" s="1799" t="str">
        <f t="shared" si="79"/>
        <v/>
      </c>
      <c r="N945" s="1800" t="str">
        <f t="shared" si="79"/>
        <v/>
      </c>
      <c r="O945" s="698"/>
      <c r="P945" s="1190" t="str">
        <f>EUconst_CNTR_300EUA&amp;I884</f>
        <v>EUA300_</v>
      </c>
      <c r="Q945" s="1174" t="s">
        <v>2547</v>
      </c>
      <c r="R945" s="280" t="str">
        <f>IF($I884="","",IF(R889&gt;$U887,0%,INDEX(F_ProductBM!V:V,MATCH($P945,F_ProductBM!$Q:$Q,0))))</f>
        <v/>
      </c>
      <c r="S945" s="280" t="str">
        <f>IF($I884="","",IF(S889&gt;$U887,0%,INDEX(F_ProductBM!W:W,MATCH($P945,F_ProductBM!$Q:$Q,0))))</f>
        <v/>
      </c>
      <c r="T945" s="280" t="str">
        <f>IF($I884="","",IF(T889&gt;$U887,0%,INDEX(F_ProductBM!X:X,MATCH($P945,F_ProductBM!$Q:$Q,0))))</f>
        <v/>
      </c>
      <c r="U945" s="280" t="str">
        <f>IF($I884="","",IF(U889&gt;$U887,0%,INDEX(F_ProductBM!Y:Y,MATCH($P945,F_ProductBM!$Q:$Q,0))))</f>
        <v/>
      </c>
      <c r="V945" s="280" t="str">
        <f>IF($I884="","",IF(V889&gt;$U887,0%,INDEX(F_ProductBM!Z:Z,MATCH($P945,F_ProductBM!$Q:$Q,0))))</f>
        <v/>
      </c>
    </row>
    <row r="946" spans="1:22" s="364" customFormat="1" ht="5.15" customHeight="1" thickBot="1" x14ac:dyDescent="0.3">
      <c r="A946" s="729"/>
      <c r="B946" s="302"/>
      <c r="C946" s="302"/>
      <c r="D946" s="1801"/>
      <c r="E946" s="1762"/>
      <c r="F946" s="1762"/>
      <c r="G946" s="1762"/>
      <c r="H946" s="1762"/>
      <c r="I946" s="1762"/>
      <c r="J946" s="1762"/>
      <c r="K946" s="1762"/>
      <c r="L946" s="1762"/>
      <c r="M946" s="1762"/>
      <c r="N946" s="1764"/>
      <c r="O946" s="698"/>
      <c r="P946" s="729"/>
      <c r="Q946" s="729"/>
      <c r="R946" s="729"/>
      <c r="S946" s="729"/>
      <c r="T946" s="729"/>
      <c r="U946" s="343"/>
      <c r="V946" s="343"/>
    </row>
    <row r="947" spans="1:22" s="364" customFormat="1" ht="5.15" customHeight="1" thickBot="1" x14ac:dyDescent="0.35">
      <c r="A947" s="729"/>
      <c r="B947" s="302"/>
      <c r="C947" s="357"/>
      <c r="D947" s="357"/>
      <c r="E947" s="302"/>
      <c r="F947" s="302"/>
      <c r="G947" s="302"/>
      <c r="H947" s="302"/>
      <c r="I947" s="1746"/>
      <c r="J947" s="302"/>
      <c r="K947" s="302"/>
      <c r="L947" s="302"/>
      <c r="M947" s="302"/>
      <c r="N947" s="302"/>
      <c r="O947" s="698"/>
      <c r="P947" s="729"/>
      <c r="Q947" s="729"/>
      <c r="R947" s="729"/>
      <c r="S947" s="729"/>
      <c r="T947" s="729"/>
      <c r="U947" s="343"/>
      <c r="V947" s="343"/>
    </row>
    <row r="948" spans="1:22" s="364" customFormat="1" ht="5.15" customHeight="1" x14ac:dyDescent="0.25">
      <c r="A948" s="729"/>
      <c r="B948" s="302"/>
      <c r="C948" s="302"/>
      <c r="D948" s="1765"/>
      <c r="E948" s="1766"/>
      <c r="F948" s="1766"/>
      <c r="G948" s="1766"/>
      <c r="H948" s="1766"/>
      <c r="I948" s="1767"/>
      <c r="J948" s="1766"/>
      <c r="K948" s="1766"/>
      <c r="L948" s="1766"/>
      <c r="M948" s="1766"/>
      <c r="N948" s="1768"/>
      <c r="O948" s="698"/>
      <c r="P948" s="729"/>
      <c r="Q948" s="729"/>
      <c r="R948" s="729"/>
      <c r="S948" s="729"/>
      <c r="T948" s="770"/>
      <c r="U948" s="343"/>
      <c r="V948" s="343"/>
    </row>
    <row r="949" spans="1:22" s="364" customFormat="1" ht="13" x14ac:dyDescent="0.25">
      <c r="A949" s="729"/>
      <c r="B949" s="302"/>
      <c r="C949" s="302"/>
      <c r="D949" s="344"/>
      <c r="E949" s="313" t="str">
        <f>Translations!$B$1387</f>
        <v>Използвани действителни стойности</v>
      </c>
      <c r="F949" s="302"/>
      <c r="G949" s="302"/>
      <c r="H949" s="527" t="str">
        <f>EUconst_Unit</f>
        <v>Единица мярка</v>
      </c>
      <c r="I949" s="1802" t="str">
        <f>Translations!$B$1341</f>
        <v>Базова стойност</v>
      </c>
      <c r="J949" s="1523">
        <f>J$2505</f>
        <v>2026</v>
      </c>
      <c r="K949" s="387">
        <f>K$2505</f>
        <v>2027</v>
      </c>
      <c r="L949" s="387">
        <f>L$2505</f>
        <v>2028</v>
      </c>
      <c r="M949" s="387">
        <f>M$2505</f>
        <v>2029</v>
      </c>
      <c r="N949" s="1544">
        <f>N$2505</f>
        <v>2030</v>
      </c>
      <c r="O949" s="698"/>
      <c r="P949" s="729"/>
      <c r="Q949" s="729"/>
      <c r="R949" s="729"/>
      <c r="S949" s="1519" t="str">
        <f>Translations!$B$1284</f>
        <v>HAL</v>
      </c>
      <c r="T949" s="770"/>
      <c r="U949" s="343"/>
      <c r="V949" s="343"/>
    </row>
    <row r="950" spans="1:22" s="364" customFormat="1" x14ac:dyDescent="0.25">
      <c r="A950" s="729"/>
      <c r="B950" s="302"/>
      <c r="C950" s="302"/>
      <c r="D950" s="344"/>
      <c r="E950" s="392" t="str">
        <f>Translations!$B$1388</f>
        <v>Равнище на дейност</v>
      </c>
      <c r="F950" s="392"/>
      <c r="G950" s="392"/>
      <c r="H950" s="1730" t="str">
        <f>H938</f>
        <v>тона</v>
      </c>
      <c r="I950" s="1776" t="str">
        <f>IF($I884="","",IF(T955&gt;=$H$2504,0,S950))</f>
        <v/>
      </c>
      <c r="J950" s="1732" t="str">
        <f>IF($I884="","",INDEX(F_ProductBM!J:J,MATCH($P950,F_ProductBM!$Q:$Q,0)))</f>
        <v/>
      </c>
      <c r="K950" s="394" t="str">
        <f>IF($I884="","",INDEX(F_ProductBM!K:K,MATCH($P950,F_ProductBM!$Q:$Q,0)))</f>
        <v/>
      </c>
      <c r="L950" s="394" t="str">
        <f>IF($I884="","",INDEX(F_ProductBM!L:L,MATCH($P950,F_ProductBM!$Q:$Q,0)))</f>
        <v/>
      </c>
      <c r="M950" s="394" t="str">
        <f>IF($I884="","",INDEX(F_ProductBM!M:M,MATCH($P950,F_ProductBM!$Q:$Q,0)))</f>
        <v/>
      </c>
      <c r="N950" s="1733" t="str">
        <f>IF($I884="","",INDEX(F_ProductBM!N:N,MATCH($P950,F_ProductBM!$Q:$Q,0)))</f>
        <v/>
      </c>
      <c r="O950" s="698"/>
      <c r="P950" s="1190" t="str">
        <f>EUconst_CNTR_HALfinal&amp;I884</f>
        <v>HALfinal_</v>
      </c>
      <c r="Q950" s="729"/>
      <c r="R950" s="729"/>
      <c r="S950" s="1803" t="str">
        <f>IF($I884="","",INDEX(F_ProductBM!I:I,MATCH($P950,F_ProductBM!$Q:$Q,0)))</f>
        <v/>
      </c>
      <c r="T950" s="770"/>
      <c r="U950" s="343"/>
      <c r="V950" s="343"/>
    </row>
    <row r="951" spans="1:22" s="364" customFormat="1" x14ac:dyDescent="0.25">
      <c r="A951" s="729"/>
      <c r="B951" s="302"/>
      <c r="C951" s="302"/>
      <c r="D951" s="344"/>
      <c r="E951" s="503" t="str">
        <f>Translations!$B$949</f>
        <v>топл. ен. извън СТЕ</v>
      </c>
      <c r="F951" s="503"/>
      <c r="G951" s="503"/>
      <c r="H951" s="1804" t="str">
        <f>EUconst_EUA</f>
        <v>Квота за емисии</v>
      </c>
      <c r="I951" s="1779" t="str">
        <f>IF($I884="","",IF(YEAR(J887)&gt;=$H$2504-1,0,S951))</f>
        <v/>
      </c>
      <c r="J951" s="1805" t="str">
        <f>IF($I884="","",INDEX(F_ProductBM!J:J,MATCH($P951,F_ProductBM!$Q:$Q,0)))</f>
        <v/>
      </c>
      <c r="K951" s="1806" t="str">
        <f>IF($I884="","",INDEX(F_ProductBM!K:K,MATCH($P951,F_ProductBM!$Q:$Q,0)))</f>
        <v/>
      </c>
      <c r="L951" s="1806" t="str">
        <f>IF($I884="","",INDEX(F_ProductBM!L:L,MATCH($P951,F_ProductBM!$Q:$Q,0)))</f>
        <v/>
      </c>
      <c r="M951" s="1806" t="str">
        <f>IF($I884="","",INDEX(F_ProductBM!M:M,MATCH($P951,F_ProductBM!$Q:$Q,0)))</f>
        <v/>
      </c>
      <c r="N951" s="1807" t="str">
        <f>IF($I884="","",INDEX(F_ProductBM!N:N,MATCH($P951,F_ProductBM!$Q:$Q,0)))</f>
        <v/>
      </c>
      <c r="O951" s="698"/>
      <c r="P951" s="1190" t="str">
        <f>EUconst_CNTR_HEATfinal&amp;I884</f>
        <v>HEATfinal_</v>
      </c>
      <c r="Q951" s="729"/>
      <c r="R951" s="729"/>
      <c r="S951" s="1808" t="str">
        <f>IF($I884="","",INDEX(F_ProductBM!I:I,MATCH($P951,F_ProductBM!$Q:$Q,0)))</f>
        <v/>
      </c>
      <c r="T951" s="770"/>
      <c r="U951" s="343"/>
      <c r="V951" s="343"/>
    </row>
    <row r="952" spans="1:22" s="364" customFormat="1" x14ac:dyDescent="0.25">
      <c r="A952" s="729"/>
      <c r="B952" s="302"/>
      <c r="C952" s="302"/>
      <c r="D952" s="344"/>
      <c r="E952" s="398" t="str">
        <f>Translations!$B$951</f>
        <v>WGflare</v>
      </c>
      <c r="F952" s="398"/>
      <c r="G952" s="398"/>
      <c r="H952" s="516" t="str">
        <f>EUconst_EUA</f>
        <v>Квота за емисии</v>
      </c>
      <c r="I952" s="1785" t="str">
        <f>IF($I884="","",IF(T955&gt;=$H$2504,0,S952))</f>
        <v/>
      </c>
      <c r="J952" s="1809" t="str">
        <f>IF($I884="","",INDEX(F_ProductBM!J:J,MATCH($P952,F_ProductBM!$Q:$Q,0)))</f>
        <v/>
      </c>
      <c r="K952" s="1810" t="str">
        <f>IF($I884="","",INDEX(F_ProductBM!K:K,MATCH($P952,F_ProductBM!$Q:$Q,0)))</f>
        <v/>
      </c>
      <c r="L952" s="1810" t="str">
        <f>IF($I884="","",INDEX(F_ProductBM!L:L,MATCH($P952,F_ProductBM!$Q:$Q,0)))</f>
        <v/>
      </c>
      <c r="M952" s="1810" t="str">
        <f>IF($I884="","",INDEX(F_ProductBM!M:M,MATCH($P952,F_ProductBM!$Q:$Q,0)))</f>
        <v/>
      </c>
      <c r="N952" s="1811" t="str">
        <f>IF($I884="","",INDEX(F_ProductBM!N:N,MATCH($P952,F_ProductBM!$Q:$Q,0)))</f>
        <v/>
      </c>
      <c r="O952" s="698"/>
      <c r="P952" s="1190" t="str">
        <f>EUconst_CNTR_HALfinal&amp;EUconst_CNTR_WGFlared&amp;$I884</f>
        <v>HALfinal_WasteGasFlare_</v>
      </c>
      <c r="Q952" s="729"/>
      <c r="R952" s="729"/>
      <c r="S952" s="1812" t="str">
        <f>IF($I884="","",INDEX(F_ProductBM!I:I,MATCH($P952,F_ProductBM!$Q:$Q,0)))</f>
        <v/>
      </c>
      <c r="T952" s="770"/>
      <c r="U952" s="343"/>
      <c r="V952" s="343"/>
    </row>
    <row r="953" spans="1:22" s="364" customFormat="1" x14ac:dyDescent="0.25">
      <c r="A953" s="729"/>
      <c r="B953" s="302"/>
      <c r="C953" s="302"/>
      <c r="D953" s="344"/>
      <c r="E953" s="398" t="s">
        <v>1442</v>
      </c>
      <c r="F953" s="398"/>
      <c r="G953" s="398"/>
      <c r="H953" s="516" t="str">
        <f>EUconst_EUA</f>
        <v>Квота за емисии</v>
      </c>
      <c r="I953" s="1785" t="str">
        <f>IF($I884="","",IF(T955&gt;=$H$2504,0,IF(L887=42,S953,0)))</f>
        <v/>
      </c>
      <c r="J953" s="1809" t="str">
        <f>IF($I884="","",IF($L887=42,INDEX(H_SpecialBM!J:J,MATCH($P953,H_SpecialBM!$Q:$Q,0)),0))</f>
        <v/>
      </c>
      <c r="K953" s="1810" t="str">
        <f>IF($I884="","",IF($L887=42,INDEX(H_SpecialBM!K:K,MATCH($P953,H_SpecialBM!$Q:$Q,0)),0))</f>
        <v/>
      </c>
      <c r="L953" s="1810" t="str">
        <f>IF($I884="","",IF($L887=42,INDEX(H_SpecialBM!L:L,MATCH($P953,H_SpecialBM!$Q:$Q,0)),0))</f>
        <v/>
      </c>
      <c r="M953" s="1810" t="str">
        <f>IF($I884="","",IF($L887=42,INDEX(H_SpecialBM!M:M,MATCH($P953,H_SpecialBM!$Q:$Q,0)),0))</f>
        <v/>
      </c>
      <c r="N953" s="1811" t="str">
        <f>IF($I884="","",IF($L887=42,INDEX(H_SpecialBM!N:N,MATCH($P953,H_SpecialBM!$Q:$Q,0)),0))</f>
        <v/>
      </c>
      <c r="O953" s="698"/>
      <c r="P953" s="1190" t="str">
        <f>EUconst_CNTR_HVCfinal</f>
        <v>HVCfinal_</v>
      </c>
      <c r="Q953" s="729"/>
      <c r="R953" s="729"/>
      <c r="S953" s="1812" t="str">
        <f>IF($I884="","",IF(L887=42,INDEX(H_SpecialBM!I:I,MATCH($P953,H_SpecialBM!$Q:$Q,0)),0))</f>
        <v/>
      </c>
      <c r="T953" s="770"/>
      <c r="U953" s="343"/>
      <c r="V953" s="343"/>
    </row>
    <row r="954" spans="1:22" s="364" customFormat="1" x14ac:dyDescent="0.25">
      <c r="A954" s="729"/>
      <c r="B954" s="302"/>
      <c r="C954" s="302"/>
      <c r="D954" s="344"/>
      <c r="E954" s="401" t="s">
        <v>1443</v>
      </c>
      <c r="F954" s="401"/>
      <c r="G954" s="401"/>
      <c r="H954" s="483" t="s">
        <v>1052</v>
      </c>
      <c r="I954" s="1788" t="str">
        <f>IF($I884="","",IF($L887=47,IF(AND(ISNUMBER(S954),YEAR(J887)&lt;2021),S954,1),1))</f>
        <v/>
      </c>
      <c r="J954" s="1813" t="str">
        <f>IF($I884="","",IF($L887=47,IF(ISNUMBER(INDEX(H_SpecialBM!J:J,MATCH($P954,H_SpecialBM!$Q:$Q,0))),INDEX(H_SpecialBM!J:J,MATCH($P954,H_SpecialBM!$Q:$Q,0)),1),1))</f>
        <v/>
      </c>
      <c r="K954" s="1814" t="str">
        <f>IF($I884="","",IF($L887=47,IF(ISNUMBER(INDEX(H_SpecialBM!K:K,MATCH($P954,H_SpecialBM!$Q:$Q,0))),INDEX(H_SpecialBM!K:K,MATCH($P954,H_SpecialBM!$Q:$Q,0)),1),1))</f>
        <v/>
      </c>
      <c r="L954" s="1814" t="str">
        <f>IF($I884="","",IF($L887=47,IF(ISNUMBER(INDEX(H_SpecialBM!L:L,MATCH($P954,H_SpecialBM!$Q:$Q,0))),INDEX(H_SpecialBM!L:L,MATCH($P954,H_SpecialBM!$Q:$Q,0)),1),1))</f>
        <v/>
      </c>
      <c r="M954" s="1814" t="str">
        <f>IF($I884="","",IF($L887=47,IF(ISNUMBER(INDEX(H_SpecialBM!M:M,MATCH($P954,H_SpecialBM!$Q:$Q,0))),INDEX(H_SpecialBM!M:M,MATCH($P954,H_SpecialBM!$Q:$Q,0)),1),1))</f>
        <v/>
      </c>
      <c r="N954" s="1815" t="str">
        <f>IF($I884="","",IF($L887=47,IF(ISNUMBER(INDEX(H_SpecialBM!N:N,MATCH($P954,H_SpecialBM!$Q:$Q,0))),INDEX(H_SpecialBM!N:N,MATCH($P954,H_SpecialBM!$Q:$Q,0)),1),1))</f>
        <v/>
      </c>
      <c r="O954" s="698"/>
      <c r="P954" s="1190" t="str">
        <f>EUconst_CNTR_VCMfinal</f>
        <v>VCMfinal_</v>
      </c>
      <c r="Q954" s="729"/>
      <c r="R954" s="729"/>
      <c r="S954" s="1816" t="str">
        <f>IF($I884="","",IF($L887=47,IF(ISNUMBER(INDEX(H_SpecialBM!I:I,MATCH($P954,H_SpecialBM!$Q:$Q,0))),INDEX(H_SpecialBM!I:I,MATCH($P954,H_SpecialBM!$Q:$Q,0)),1),1))</f>
        <v/>
      </c>
      <c r="T954" s="729"/>
      <c r="U954" s="343"/>
      <c r="V954" s="343"/>
    </row>
    <row r="955" spans="1:22" s="364" customFormat="1" x14ac:dyDescent="0.25">
      <c r="A955" s="729"/>
      <c r="B955" s="302"/>
      <c r="C955" s="302"/>
      <c r="D955" s="344"/>
      <c r="E955" s="388" t="str">
        <f>Translations!$B$892</f>
        <v>Предварително разпределяне</v>
      </c>
      <c r="F955" s="388"/>
      <c r="G955" s="388"/>
      <c r="H955" s="421" t="str">
        <f>EUconst_EUA</f>
        <v>Квота за емисии</v>
      </c>
      <c r="I955" s="1791" t="str">
        <f>IF($I884="","",MAX(0,ROUND((SUM($M887)*SUM(I950)*SUM(I954)-SUM(I951)-SUM(I952)+SUM(I953))*IF($H887=TRUE,1,J$2412),0)))</f>
        <v/>
      </c>
      <c r="J955" s="1694" t="str">
        <f>IF($I884="","",MAX(0,ROUND((SUM(R945)*SUM($M887)*SUM(J950)*SUM(J954)-SUM(J951)-SUM(J952)+SUM(J953))*IF($H887=TRUE,1,J$2412)*IF($I887=TRUE,INDEX(EUconst_CBAMFactor,J893-2020),1),0)))</f>
        <v/>
      </c>
      <c r="K955" s="406" t="str">
        <f>IF($I884="","",MAX(0,ROUND((SUM(S945)*SUM($M887)*SUM(K950)*SUM(K954)-SUM(K951)-SUM(K952)+SUM(K953))*IF($H887=TRUE,1,K$2412)*IF($I887=TRUE,INDEX(EUconst_CBAMFactor,K893-2020),1),0)))</f>
        <v/>
      </c>
      <c r="L955" s="406" t="str">
        <f>IF($I884="","",MAX(0,ROUND((SUM(T945)*SUM($M887)*SUM(L950)*SUM(L954)-SUM(L951)-SUM(L952)+SUM(L953))*IF($H887=TRUE,1,L$2412)*IF($I887=TRUE,INDEX(EUconst_CBAMFactor,L893-2020),1),0)))</f>
        <v/>
      </c>
      <c r="M955" s="406" t="str">
        <f>IF($I884="","",MAX(0,ROUND((SUM(U945)*SUM($M887)*SUM(M950)*SUM(M954)-SUM(M951)-SUM(M952)+SUM(M953))*IF($H887=TRUE,1,M$2412)*IF($I887=TRUE,INDEX(EUconst_CBAMFactor,M893-2020),1),0)))</f>
        <v/>
      </c>
      <c r="N955" s="1729" t="str">
        <f>IF($I884="","",MAX(0,ROUND((SUM(V945)*SUM($M887)*SUM(N950)*SUM(N954)-SUM(N951)-SUM(N952)+SUM(N953))*IF($H887=TRUE,1,N$2412)*IF($I887=TRUE,INDEX(EUconst_CBAMFactor,N893-2020),1),0)))</f>
        <v/>
      </c>
      <c r="O955" s="698"/>
      <c r="P955" s="1190" t="str">
        <f>EUconst_AllocPrelim&amp;I884</f>
        <v>AllocPrelim_</v>
      </c>
      <c r="Q955" s="729"/>
      <c r="R955" s="729"/>
      <c r="S955" s="1817" t="str">
        <f>IF($I884="","",MAX(0,ROUND((SUM($M887)*SUM(S950)*SUM(S954)-SUM(S951)-SUM(S952)+SUM(S953))*IF($H887=TRUE,1,J$2412),0)))</f>
        <v/>
      </c>
      <c r="T955" s="1176">
        <f>INDEX(F_ProductBM!V:V,MATCH(C884,F_ProductBM!C:C,0))</f>
        <v>2005</v>
      </c>
      <c r="U955" s="727" t="b">
        <f>OR(INDEX(I955:N955,CNTR_ReportingYear-$I$2505)&lt;&gt;INDEX(I955:N955,CNTR_ReportingYear-$H$2505),
(CNTR_ReportingYear-T955)&lt;=1)</f>
        <v>0</v>
      </c>
      <c r="V955" s="716" t="b">
        <f ca="1">IF(I955="",FALSE,COUNTIF(OFFSET(I955,,,,MAX(1,CNTR_ReportingYear-$I$2505)),"&lt;&gt;" &amp; INDEX(I955:N955,CNTR_ReportingYear-$H$2505))&gt;0)</f>
        <v>0</v>
      </c>
    </row>
    <row r="956" spans="1:22" s="364" customFormat="1" ht="5.15" customHeight="1" thickBot="1" x14ac:dyDescent="0.3">
      <c r="A956" s="729"/>
      <c r="B956" s="302"/>
      <c r="C956" s="302"/>
      <c r="D956" s="1801"/>
      <c r="E956" s="1762"/>
      <c r="F956" s="1762"/>
      <c r="G956" s="1762"/>
      <c r="H956" s="1762"/>
      <c r="I956" s="1762"/>
      <c r="J956" s="1762"/>
      <c r="K956" s="1762"/>
      <c r="L956" s="1762"/>
      <c r="M956" s="1762"/>
      <c r="N956" s="1764"/>
      <c r="O956" s="698"/>
      <c r="P956" s="729"/>
      <c r="Q956" s="729"/>
      <c r="R956" s="729"/>
      <c r="S956" s="729"/>
      <c r="T956" s="729"/>
      <c r="U956" s="343"/>
      <c r="V956" s="343"/>
    </row>
    <row r="957" spans="1:22" s="364" customFormat="1" ht="5.15" customHeight="1" thickBot="1" x14ac:dyDescent="0.3">
      <c r="A957" s="729"/>
      <c r="B957" s="302"/>
      <c r="C957" s="302"/>
      <c r="E957" s="360"/>
      <c r="F957" s="302"/>
      <c r="G957" s="302"/>
      <c r="H957" s="302"/>
      <c r="I957" s="302"/>
      <c r="J957" s="302"/>
      <c r="K957" s="302"/>
      <c r="L957" s="302"/>
      <c r="M957" s="302"/>
      <c r="N957" s="302"/>
      <c r="O957" s="698"/>
      <c r="P957" s="729"/>
      <c r="Q957" s="729"/>
      <c r="R957" s="729"/>
      <c r="S957" s="729"/>
      <c r="T957" s="729"/>
      <c r="U957" s="343"/>
      <c r="V957" s="343"/>
    </row>
    <row r="958" spans="1:22" s="364" customFormat="1" ht="12.75" customHeight="1" x14ac:dyDescent="0.25">
      <c r="A958" s="729"/>
      <c r="B958" s="302"/>
      <c r="C958" s="302"/>
      <c r="D958" s="1818"/>
      <c r="E958" s="1819"/>
      <c r="F958" s="1819"/>
      <c r="G958" s="1300"/>
      <c r="H958" s="1300"/>
      <c r="I958" s="1300"/>
      <c r="J958" s="1300"/>
      <c r="K958" s="1300"/>
      <c r="L958" s="1300"/>
      <c r="M958" s="1300"/>
      <c r="N958" s="1301"/>
      <c r="O958" s="698"/>
      <c r="P958" s="729"/>
      <c r="Q958" s="729"/>
      <c r="R958" s="729"/>
      <c r="S958" s="729"/>
      <c r="T958" s="729"/>
      <c r="U958" s="343"/>
      <c r="V958" s="343"/>
    </row>
    <row r="959" spans="1:22" s="364" customFormat="1" ht="13.5" thickBot="1" x14ac:dyDescent="0.3">
      <c r="A959" s="729"/>
      <c r="B959" s="302"/>
      <c r="C959" s="302"/>
      <c r="D959" s="1820"/>
      <c r="E959" s="625"/>
      <c r="F959" s="625"/>
      <c r="G959" s="627" t="str">
        <f>EUconst_Unit</f>
        <v>Единица мярка</v>
      </c>
      <c r="H959" s="628">
        <f t="shared" ref="H959:M959" si="80">H$2505</f>
        <v>2024</v>
      </c>
      <c r="I959" s="1821">
        <f t="shared" si="80"/>
        <v>2025</v>
      </c>
      <c r="J959" s="1311">
        <f t="shared" si="80"/>
        <v>2026</v>
      </c>
      <c r="K959" s="629">
        <f t="shared" si="80"/>
        <v>2027</v>
      </c>
      <c r="L959" s="629">
        <f t="shared" si="80"/>
        <v>2028</v>
      </c>
      <c r="M959" s="629">
        <f t="shared" si="80"/>
        <v>2029</v>
      </c>
      <c r="N959" s="1312">
        <f>N$2505</f>
        <v>2030</v>
      </c>
      <c r="O959" s="698"/>
      <c r="P959" s="729"/>
      <c r="Q959" s="729"/>
      <c r="R959" s="729"/>
      <c r="S959" s="729"/>
      <c r="T959" s="770"/>
      <c r="U959" s="343"/>
      <c r="V959" s="343"/>
    </row>
    <row r="960" spans="1:22" s="364" customFormat="1" ht="13.5" customHeight="1" thickBot="1" x14ac:dyDescent="0.3">
      <c r="A960" s="729"/>
      <c r="B960" s="302"/>
      <c r="C960" s="302"/>
      <c r="D960" s="1820"/>
      <c r="E960" s="2929" t="str">
        <f>Translations!$B$956</f>
        <v>Общо зададени емисии</v>
      </c>
      <c r="F960" s="2929"/>
      <c r="G960" s="631" t="str">
        <f>EUconst_tCO2epa</f>
        <v>t CO2e/година</v>
      </c>
      <c r="H960" s="661" t="str">
        <f t="shared" ref="H960:N960" si="81">INDEX(H$95:H$114,MATCH($I884,$E$95:$E$114,0))</f>
        <v/>
      </c>
      <c r="I960" s="1822" t="str">
        <f t="shared" si="81"/>
        <v/>
      </c>
      <c r="J960" s="661" t="str">
        <f t="shared" si="81"/>
        <v/>
      </c>
      <c r="K960" s="662" t="str">
        <f t="shared" si="81"/>
        <v/>
      </c>
      <c r="L960" s="662" t="str">
        <f t="shared" si="81"/>
        <v/>
      </c>
      <c r="M960" s="662" t="str">
        <f t="shared" si="81"/>
        <v/>
      </c>
      <c r="N960" s="663" t="str">
        <f t="shared" si="81"/>
        <v/>
      </c>
      <c r="O960" s="698"/>
      <c r="P960" s="729"/>
      <c r="Q960" s="729"/>
      <c r="R960" s="729"/>
      <c r="S960" s="729"/>
      <c r="T960" s="770"/>
      <c r="U960" s="343"/>
      <c r="V960" s="343"/>
    </row>
    <row r="961" spans="1:22" s="364" customFormat="1" ht="5.15" customHeight="1" x14ac:dyDescent="0.25">
      <c r="A961" s="729"/>
      <c r="B961" s="302"/>
      <c r="C961" s="302"/>
      <c r="D961" s="1820"/>
      <c r="E961" s="643"/>
      <c r="F961" s="643"/>
      <c r="G961" s="625"/>
      <c r="H961" s="635"/>
      <c r="I961" s="635"/>
      <c r="J961" s="635"/>
      <c r="K961" s="635"/>
      <c r="L961" s="635"/>
      <c r="M961" s="635"/>
      <c r="N961" s="1823"/>
      <c r="O961" s="698"/>
      <c r="P961" s="729"/>
      <c r="Q961" s="729"/>
      <c r="R961" s="729"/>
      <c r="S961" s="729"/>
      <c r="T961" s="770"/>
      <c r="U961" s="343"/>
      <c r="V961" s="343"/>
    </row>
    <row r="962" spans="1:22" s="364" customFormat="1" ht="12.75" customHeight="1" x14ac:dyDescent="0.25">
      <c r="A962" s="729"/>
      <c r="B962" s="302"/>
      <c r="C962" s="302"/>
      <c r="D962" s="1820"/>
      <c r="E962" s="2818" t="str">
        <f>Translations!$B$521</f>
        <v>Вложени горива</v>
      </c>
      <c r="F962" s="2701"/>
      <c r="G962" s="1326" t="str">
        <f>EUconst_TJpa</f>
        <v>TJ / година</v>
      </c>
      <c r="H962" s="482" t="str">
        <f>IF($I884="","",IF(INDEX(F_ProductBM!H:H,MATCH($P962,F_ProductBM!$Q:$Q,0))="","",INDEX(F_ProductBM!H:H,MATCH($P962,F_ProductBM!$Q:$Q,0))))</f>
        <v/>
      </c>
      <c r="I962" s="1824" t="str">
        <f>IF($I884="","",IF(INDEX(F_ProductBM!I:I,MATCH($P962,F_ProductBM!$Q:$Q,0))="","",INDEX(F_ProductBM!I:I,MATCH($P962,F_ProductBM!$Q:$Q,0))))</f>
        <v/>
      </c>
      <c r="J962" s="1825" t="str">
        <f>IF($I884="","",IF(INDEX(F_ProductBM!J:J,MATCH($P962,F_ProductBM!$Q:$Q,0))="","",INDEX(F_ProductBM!J:J,MATCH($P962,F_ProductBM!$Q:$Q,0))))</f>
        <v/>
      </c>
      <c r="K962" s="482" t="str">
        <f>IF($I884="","",IF(INDEX(F_ProductBM!K:K,MATCH($P962,F_ProductBM!$Q:$Q,0))="","",INDEX(F_ProductBM!K:K,MATCH($P962,F_ProductBM!$Q:$Q,0))))</f>
        <v/>
      </c>
      <c r="L962" s="482" t="str">
        <f>IF($I884="","",IF(INDEX(F_ProductBM!L:L,MATCH($P962,F_ProductBM!$Q:$Q,0))="","",INDEX(F_ProductBM!L:L,MATCH($P962,F_ProductBM!$Q:$Q,0))))</f>
        <v/>
      </c>
      <c r="M962" s="482" t="str">
        <f>IF($I884="","",IF(INDEX(F_ProductBM!M:M,MATCH($P962,F_ProductBM!$Q:$Q,0))="","",INDEX(F_ProductBM!M:M,MATCH($P962,F_ProductBM!$Q:$Q,0))))</f>
        <v/>
      </c>
      <c r="N962" s="1826" t="str">
        <f>IF($I884="","",IF(INDEX(F_ProductBM!N:N,MATCH($P962,F_ProductBM!$Q:$Q,0))="","",INDEX(F_ProductBM!N:N,MATCH($P962,F_ProductBM!$Q:$Q,0))))</f>
        <v/>
      </c>
      <c r="O962" s="698"/>
      <c r="P962" s="1827" t="str">
        <f>EUconst_CNTR_FuelInput &amp; I884</f>
        <v>FuelInput_</v>
      </c>
      <c r="Q962" s="729"/>
      <c r="R962" s="729"/>
      <c r="S962" s="729"/>
      <c r="T962" s="770"/>
      <c r="U962" s="343"/>
      <c r="V962" s="343"/>
    </row>
    <row r="963" spans="1:22" s="364" customFormat="1" ht="12.75" customHeight="1" x14ac:dyDescent="0.25">
      <c r="A963" s="729"/>
      <c r="B963" s="302"/>
      <c r="C963" s="302"/>
      <c r="D963" s="1820"/>
      <c r="E963" s="2819" t="str">
        <f>Translations!$B$522</f>
        <v>Претеглен емисионен фактор</v>
      </c>
      <c r="F963" s="2705"/>
      <c r="G963" s="1329" t="str">
        <f>EUconst_tCO2pTJ</f>
        <v>t CO2 / TJ</v>
      </c>
      <c r="H963" s="484" t="str">
        <f>IF($I884="","",IF(INDEX(F_ProductBM!H:H,MATCH($P963,F_ProductBM!$Q:$Q,0))="","",INDEX(F_ProductBM!H:H,MATCH($P963,F_ProductBM!$Q:$Q,0))))</f>
        <v/>
      </c>
      <c r="I963" s="1828" t="str">
        <f>IF($I884="","",IF(INDEX(F_ProductBM!I:I,MATCH($P963,F_ProductBM!$Q:$Q,0))="","",INDEX(F_ProductBM!I:I,MATCH($P963,F_ProductBM!$Q:$Q,0))))</f>
        <v/>
      </c>
      <c r="J963" s="1829" t="str">
        <f>IF($I884="","",IF(INDEX(F_ProductBM!J:J,MATCH($P963,F_ProductBM!$Q:$Q,0))="","",INDEX(F_ProductBM!J:J,MATCH($P963,F_ProductBM!$Q:$Q,0))))</f>
        <v/>
      </c>
      <c r="K963" s="484" t="str">
        <f>IF($I884="","",IF(INDEX(F_ProductBM!K:K,MATCH($P963,F_ProductBM!$Q:$Q,0))="","",INDEX(F_ProductBM!K:K,MATCH($P963,F_ProductBM!$Q:$Q,0))))</f>
        <v/>
      </c>
      <c r="L963" s="484" t="str">
        <f>IF($I884="","",IF(INDEX(F_ProductBM!L:L,MATCH($P963,F_ProductBM!$Q:$Q,0))="","",INDEX(F_ProductBM!L:L,MATCH($P963,F_ProductBM!$Q:$Q,0))))</f>
        <v/>
      </c>
      <c r="M963" s="484" t="str">
        <f>IF($I884="","",IF(INDEX(F_ProductBM!M:M,MATCH($P963,F_ProductBM!$Q:$Q,0))="","",INDEX(F_ProductBM!M:M,MATCH($P963,F_ProductBM!$Q:$Q,0))))</f>
        <v/>
      </c>
      <c r="N963" s="1830" t="str">
        <f>IF($I884="","",IF(INDEX(F_ProductBM!N:N,MATCH($P963,F_ProductBM!$Q:$Q,0))="","",INDEX(F_ProductBM!N:N,MATCH($P963,F_ProductBM!$Q:$Q,0))))</f>
        <v/>
      </c>
      <c r="O963" s="698"/>
      <c r="P963" s="1500" t="str">
        <f>EUconst_CNTR_FuelEF &amp; I884</f>
        <v>FuelEF_</v>
      </c>
      <c r="Q963" s="729"/>
      <c r="R963" s="729"/>
      <c r="S963" s="729"/>
      <c r="T963" s="770"/>
      <c r="U963" s="343"/>
      <c r="V963" s="343"/>
    </row>
    <row r="964" spans="1:22" s="364" customFormat="1" ht="5.15" customHeight="1" x14ac:dyDescent="0.25">
      <c r="A964" s="729"/>
      <c r="B964" s="302"/>
      <c r="C964" s="302"/>
      <c r="D964" s="1820"/>
      <c r="E964" s="643"/>
      <c r="F964" s="643"/>
      <c r="G964" s="626"/>
      <c r="H964" s="640"/>
      <c r="I964" s="640"/>
      <c r="J964" s="640"/>
      <c r="K964" s="640"/>
      <c r="L964" s="640"/>
      <c r="M964" s="640"/>
      <c r="N964" s="1831"/>
      <c r="O964" s="698"/>
      <c r="P964" s="729"/>
      <c r="Q964" s="729"/>
      <c r="R964" s="729"/>
      <c r="S964" s="729"/>
      <c r="T964" s="770"/>
      <c r="U964" s="343"/>
      <c r="V964" s="343"/>
    </row>
    <row r="965" spans="1:22" s="364" customFormat="1" ht="12.75" customHeight="1" x14ac:dyDescent="0.25">
      <c r="A965" s="729"/>
      <c r="B965" s="302"/>
      <c r="C965" s="302"/>
      <c r="D965" s="1820"/>
      <c r="E965" s="2820" t="str">
        <f>Translations!$B$484</f>
        <v>Преки емисии</v>
      </c>
      <c r="F965" s="2258"/>
      <c r="G965" s="1319" t="str">
        <f>EUconst_tCO2pa</f>
        <v>t CO2 / година</v>
      </c>
      <c r="H965" s="480" t="str">
        <f>IF($I884="","",IF(INDEX(F_ProductBM!H:H,MATCH($P965,F_ProductBM!$Q:$Q,0))="","",INDEX(F_ProductBM!H:H,MATCH($P965,F_ProductBM!$Q:$Q,0))))</f>
        <v/>
      </c>
      <c r="I965" s="1399" t="str">
        <f>IF($I884="","",IF(INDEX(F_ProductBM!I:I,MATCH($P965,F_ProductBM!$Q:$Q,0))="","",INDEX(F_ProductBM!I:I,MATCH($P965,F_ProductBM!$Q:$Q,0))))</f>
        <v/>
      </c>
      <c r="J965" s="1832" t="str">
        <f>IF($I884="","",IF(INDEX(F_ProductBM!J:J,MATCH($P965,F_ProductBM!$Q:$Q,0))="","",INDEX(F_ProductBM!J:J,MATCH($P965,F_ProductBM!$Q:$Q,0))))</f>
        <v/>
      </c>
      <c r="K965" s="480" t="str">
        <f>IF($I884="","",IF(INDEX(F_ProductBM!K:K,MATCH($P965,F_ProductBM!$Q:$Q,0))="","",INDEX(F_ProductBM!K:K,MATCH($P965,F_ProductBM!$Q:$Q,0))))</f>
        <v/>
      </c>
      <c r="L965" s="480" t="str">
        <f>IF($I884="","",IF(INDEX(F_ProductBM!L:L,MATCH($P965,F_ProductBM!$Q:$Q,0))="","",INDEX(F_ProductBM!L:L,MATCH($P965,F_ProductBM!$Q:$Q,0))))</f>
        <v/>
      </c>
      <c r="M965" s="480" t="str">
        <f>IF($I884="","",IF(INDEX(F_ProductBM!M:M,MATCH($P965,F_ProductBM!$Q:$Q,0))="","",INDEX(F_ProductBM!M:M,MATCH($P965,F_ProductBM!$Q:$Q,0))))</f>
        <v/>
      </c>
      <c r="N965" s="1833" t="str">
        <f>IF($I884="","",IF(INDEX(F_ProductBM!N:N,MATCH($P965,F_ProductBM!$Q:$Q,0))="","",INDEX(F_ProductBM!N:N,MATCH($P965,F_ProductBM!$Q:$Q,0))))</f>
        <v/>
      </c>
      <c r="O965" s="698"/>
      <c r="P965" s="1500" t="str">
        <f>EUconst_CNTR_Emissions &amp; I884</f>
        <v>DirEmissions_</v>
      </c>
      <c r="Q965" s="729"/>
      <c r="R965" s="729"/>
      <c r="S965" s="729"/>
      <c r="T965" s="770"/>
      <c r="U965" s="343"/>
      <c r="V965" s="343"/>
    </row>
    <row r="966" spans="1:22" s="364" customFormat="1" ht="12.75" customHeight="1" x14ac:dyDescent="0.25">
      <c r="A966" s="729"/>
      <c r="B966" s="302"/>
      <c r="C966" s="302"/>
      <c r="D966" s="1820"/>
      <c r="E966" s="2820" t="str">
        <f>Translations!$B$532</f>
        <v>Други пораждащи емисии потоци — 1</v>
      </c>
      <c r="F966" s="2258"/>
      <c r="G966" s="1319" t="str">
        <f>EUconst_tCO2pa</f>
        <v>t CO2 / година</v>
      </c>
      <c r="H966" s="480" t="str">
        <f>IF($I884="","",IF(INDEX(F_ProductBM!H:H,MATCH($P966,F_ProductBM!$Q:$Q,0))="","",INDEX(F_ProductBM!H:H,MATCH($P966,F_ProductBM!$Q:$Q,0))))</f>
        <v/>
      </c>
      <c r="I966" s="1399" t="str">
        <f>IF($I884="","",IF(INDEX(F_ProductBM!I:I,MATCH($P966,F_ProductBM!$Q:$Q,0))="","",INDEX(F_ProductBM!I:I,MATCH($P966,F_ProductBM!$Q:$Q,0))))</f>
        <v/>
      </c>
      <c r="J966" s="1832" t="str">
        <f>IF($I884="","",IF(INDEX(F_ProductBM!J:J,MATCH($P966,F_ProductBM!$Q:$Q,0))="","",INDEX(F_ProductBM!J:J,MATCH($P966,F_ProductBM!$Q:$Q,0))))</f>
        <v/>
      </c>
      <c r="K966" s="480" t="str">
        <f>IF($I884="","",IF(INDEX(F_ProductBM!K:K,MATCH($P966,F_ProductBM!$Q:$Q,0))="","",INDEX(F_ProductBM!K:K,MATCH($P966,F_ProductBM!$Q:$Q,0))))</f>
        <v/>
      </c>
      <c r="L966" s="480" t="str">
        <f>IF($I884="","",IF(INDEX(F_ProductBM!L:L,MATCH($P966,F_ProductBM!$Q:$Q,0))="","",INDEX(F_ProductBM!L:L,MATCH($P966,F_ProductBM!$Q:$Q,0))))</f>
        <v/>
      </c>
      <c r="M966" s="480" t="str">
        <f>IF($I884="","",IF(INDEX(F_ProductBM!M:M,MATCH($P966,F_ProductBM!$Q:$Q,0))="","",INDEX(F_ProductBM!M:M,MATCH($P966,F_ProductBM!$Q:$Q,0))))</f>
        <v/>
      </c>
      <c r="N966" s="1833" t="str">
        <f>IF($I884="","",IF(INDEX(F_ProductBM!N:N,MATCH($P966,F_ProductBM!$Q:$Q,0))="","",INDEX(F_ProductBM!N:N,MATCH($P966,F_ProductBM!$Q:$Q,0))))</f>
        <v/>
      </c>
      <c r="O966" s="698"/>
      <c r="P966" s="1500" t="str">
        <f>EUconst_CNTR_EmissionsIntSource1 &amp; I884</f>
        <v>EmInternalSource1_</v>
      </c>
      <c r="Q966" s="729"/>
      <c r="R966" s="729"/>
      <c r="S966" s="729"/>
      <c r="T966" s="770"/>
      <c r="U966" s="343"/>
      <c r="V966" s="343"/>
    </row>
    <row r="967" spans="1:22" s="364" customFormat="1" ht="12.75" customHeight="1" x14ac:dyDescent="0.25">
      <c r="A967" s="729"/>
      <c r="B967" s="302"/>
      <c r="C967" s="302"/>
      <c r="D967" s="1820"/>
      <c r="E967" s="2820" t="str">
        <f>Translations!$B$542</f>
        <v>Други пораждащи емисии потоци — 2</v>
      </c>
      <c r="F967" s="2258"/>
      <c r="G967" s="1319" t="str">
        <f>EUconst_tCO2pa</f>
        <v>t CO2 / година</v>
      </c>
      <c r="H967" s="480" t="str">
        <f>IF($I884="","",IF(INDEX(F_ProductBM!H:H,MATCH($P967,F_ProductBM!$Q:$Q,0))="","",INDEX(F_ProductBM!H:H,MATCH($P967,F_ProductBM!$Q:$Q,0))))</f>
        <v/>
      </c>
      <c r="I967" s="1399" t="str">
        <f>IF($I884="","",IF(INDEX(F_ProductBM!I:I,MATCH($P967,F_ProductBM!$Q:$Q,0))="","",INDEX(F_ProductBM!I:I,MATCH($P967,F_ProductBM!$Q:$Q,0))))</f>
        <v/>
      </c>
      <c r="J967" s="1832" t="str">
        <f>IF($I884="","",IF(INDEX(F_ProductBM!J:J,MATCH($P967,F_ProductBM!$Q:$Q,0))="","",INDEX(F_ProductBM!J:J,MATCH($P967,F_ProductBM!$Q:$Q,0))))</f>
        <v/>
      </c>
      <c r="K967" s="480" t="str">
        <f>IF($I884="","",IF(INDEX(F_ProductBM!K:K,MATCH($P967,F_ProductBM!$Q:$Q,0))="","",INDEX(F_ProductBM!K:K,MATCH($P967,F_ProductBM!$Q:$Q,0))))</f>
        <v/>
      </c>
      <c r="L967" s="480" t="str">
        <f>IF($I884="","",IF(INDEX(F_ProductBM!L:L,MATCH($P967,F_ProductBM!$Q:$Q,0))="","",INDEX(F_ProductBM!L:L,MATCH($P967,F_ProductBM!$Q:$Q,0))))</f>
        <v/>
      </c>
      <c r="M967" s="480" t="str">
        <f>IF($I884="","",IF(INDEX(F_ProductBM!M:M,MATCH($P967,F_ProductBM!$Q:$Q,0))="","",INDEX(F_ProductBM!M:M,MATCH($P967,F_ProductBM!$Q:$Q,0))))</f>
        <v/>
      </c>
      <c r="N967" s="1833" t="str">
        <f>IF($I884="","",IF(INDEX(F_ProductBM!N:N,MATCH($P967,F_ProductBM!$Q:$Q,0))="","",INDEX(F_ProductBM!N:N,MATCH($P967,F_ProductBM!$Q:$Q,0))))</f>
        <v/>
      </c>
      <c r="O967" s="698"/>
      <c r="P967" s="1500" t="str">
        <f>EUconst_CNTR_EmissionsIntSource2 &amp; I884</f>
        <v>EmInternalSource2_</v>
      </c>
      <c r="Q967" s="729"/>
      <c r="R967" s="729"/>
      <c r="S967" s="729"/>
      <c r="T967" s="770"/>
      <c r="U967" s="343"/>
      <c r="V967" s="343"/>
    </row>
    <row r="968" spans="1:22" s="364" customFormat="1" ht="12.75" customHeight="1" x14ac:dyDescent="0.25">
      <c r="A968" s="729"/>
      <c r="B968" s="302"/>
      <c r="C968" s="302"/>
      <c r="D968" s="1820"/>
      <c r="E968" s="2820" t="str">
        <f>Translations!$B$546</f>
        <v>Получени или подадени парникови газове</v>
      </c>
      <c r="F968" s="2258"/>
      <c r="G968" s="1319" t="str">
        <f>EUconst_tCO2epa</f>
        <v>t CO2e/година</v>
      </c>
      <c r="H968" s="480" t="str">
        <f>IF($I884="","",IF(INDEX(F_ProductBM!H:H,MATCH($P968,F_ProductBM!$Q:$Q,0))="","",INDEX(F_ProductBM!H:H,MATCH($P968,F_ProductBM!$Q:$Q,0))))</f>
        <v/>
      </c>
      <c r="I968" s="1399" t="str">
        <f>IF($I884="","",IF(INDEX(F_ProductBM!I:I,MATCH($P968,F_ProductBM!$Q:$Q,0))="","",INDEX(F_ProductBM!I:I,MATCH($P968,F_ProductBM!$Q:$Q,0))))</f>
        <v/>
      </c>
      <c r="J968" s="1832" t="str">
        <f>IF($I884="","",IF(INDEX(F_ProductBM!J:J,MATCH($P968,F_ProductBM!$Q:$Q,0))="","",INDEX(F_ProductBM!J:J,MATCH($P968,F_ProductBM!$Q:$Q,0))))</f>
        <v/>
      </c>
      <c r="K968" s="480" t="str">
        <f>IF($I884="","",IF(INDEX(F_ProductBM!K:K,MATCH($P968,F_ProductBM!$Q:$Q,0))="","",INDEX(F_ProductBM!K:K,MATCH($P968,F_ProductBM!$Q:$Q,0))))</f>
        <v/>
      </c>
      <c r="L968" s="480" t="str">
        <f>IF($I884="","",IF(INDEX(F_ProductBM!L:L,MATCH($P968,F_ProductBM!$Q:$Q,0))="","",INDEX(F_ProductBM!L:L,MATCH($P968,F_ProductBM!$Q:$Q,0))))</f>
        <v/>
      </c>
      <c r="M968" s="480" t="str">
        <f>IF($I884="","",IF(INDEX(F_ProductBM!M:M,MATCH($P968,F_ProductBM!$Q:$Q,0))="","",INDEX(F_ProductBM!M:M,MATCH($P968,F_ProductBM!$Q:$Q,0))))</f>
        <v/>
      </c>
      <c r="N968" s="1833" t="str">
        <f>IF($I884="","",IF(INDEX(F_ProductBM!N:N,MATCH($P968,F_ProductBM!$Q:$Q,0))="","",INDEX(F_ProductBM!N:N,MATCH($P968,F_ProductBM!$Q:$Q,0))))</f>
        <v/>
      </c>
      <c r="O968" s="698"/>
      <c r="P968" s="1500" t="str">
        <f>EUconst_CNTR_CO2Feedstock &amp; I884</f>
        <v>EmCO2Feedstock_</v>
      </c>
      <c r="Q968" s="729"/>
      <c r="R968" s="729"/>
      <c r="S968" s="729"/>
      <c r="T968" s="770"/>
      <c r="U968" s="343"/>
      <c r="V968" s="343"/>
    </row>
    <row r="969" spans="1:22" s="364" customFormat="1" ht="5.15" customHeight="1" x14ac:dyDescent="0.25">
      <c r="A969" s="729"/>
      <c r="B969" s="302"/>
      <c r="C969" s="302"/>
      <c r="D969" s="1820"/>
      <c r="E969" s="643"/>
      <c r="F969" s="643"/>
      <c r="G969" s="626"/>
      <c r="H969" s="640"/>
      <c r="I969" s="640"/>
      <c r="J969" s="640"/>
      <c r="K969" s="640"/>
      <c r="L969" s="640"/>
      <c r="M969" s="640"/>
      <c r="N969" s="1831"/>
      <c r="O969" s="698"/>
      <c r="P969" s="729"/>
      <c r="Q969" s="729"/>
      <c r="R969" s="729"/>
      <c r="S969" s="729"/>
      <c r="T969" s="770"/>
      <c r="U969" s="343"/>
      <c r="V969" s="343"/>
    </row>
    <row r="970" spans="1:22" s="364" customFormat="1" ht="12.75" customHeight="1" x14ac:dyDescent="0.25">
      <c r="A970" s="729"/>
      <c r="B970" s="302"/>
      <c r="C970" s="302"/>
      <c r="D970" s="1820"/>
      <c r="E970" s="2818" t="str">
        <f>Translations!$B$554</f>
        <v>Нетно количество получена топлинна енергия</v>
      </c>
      <c r="F970" s="2701"/>
      <c r="G970" s="1326" t="str">
        <f>EUconst_TJpa</f>
        <v>TJ / година</v>
      </c>
      <c r="H970" s="482" t="str">
        <f>IF($I884="","",IF(INDEX(F_ProductBM!H:H,MATCH($P970,F_ProductBM!$Q:$Q,0))="","",INDEX(F_ProductBM!H:H,MATCH($P970,F_ProductBM!$Q:$Q,0))))</f>
        <v/>
      </c>
      <c r="I970" s="1824" t="str">
        <f>IF($I884="","",IF(INDEX(F_ProductBM!I:I,MATCH($P970,F_ProductBM!$Q:$Q,0))="","",INDEX(F_ProductBM!I:I,MATCH($P970,F_ProductBM!$Q:$Q,0))))</f>
        <v/>
      </c>
      <c r="J970" s="1825" t="str">
        <f>IF($I884="","",IF(INDEX(F_ProductBM!J:J,MATCH($P970,F_ProductBM!$Q:$Q,0))="","",INDEX(F_ProductBM!J:J,MATCH($P970,F_ProductBM!$Q:$Q,0))))</f>
        <v/>
      </c>
      <c r="K970" s="482" t="str">
        <f>IF($I884="","",IF(INDEX(F_ProductBM!K:K,MATCH($P970,F_ProductBM!$Q:$Q,0))="","",INDEX(F_ProductBM!K:K,MATCH($P970,F_ProductBM!$Q:$Q,0))))</f>
        <v/>
      </c>
      <c r="L970" s="482" t="str">
        <f>IF($I884="","",IF(INDEX(F_ProductBM!L:L,MATCH($P970,F_ProductBM!$Q:$Q,0))="","",INDEX(F_ProductBM!L:L,MATCH($P970,F_ProductBM!$Q:$Q,0))))</f>
        <v/>
      </c>
      <c r="M970" s="482" t="str">
        <f>IF($I884="","",IF(INDEX(F_ProductBM!M:M,MATCH($P970,F_ProductBM!$Q:$Q,0))="","",INDEX(F_ProductBM!M:M,MATCH($P970,F_ProductBM!$Q:$Q,0))))</f>
        <v/>
      </c>
      <c r="N970" s="1826" t="str">
        <f>IF($I884="","",IF(INDEX(F_ProductBM!N:N,MATCH($P970,F_ProductBM!$Q:$Q,0))="","",INDEX(F_ProductBM!N:N,MATCH($P970,F_ProductBM!$Q:$Q,0))))</f>
        <v/>
      </c>
      <c r="O970" s="698"/>
      <c r="P970" s="1500" t="str">
        <f>EUconst_CNTR_HeatImport &amp; I884</f>
        <v>HeatIm_</v>
      </c>
      <c r="Q970" s="729"/>
      <c r="R970" s="729"/>
      <c r="S970" s="729"/>
      <c r="T970" s="770"/>
      <c r="U970" s="343"/>
      <c r="V970" s="343"/>
    </row>
    <row r="971" spans="1:22" s="364" customFormat="1" ht="12.75" customHeight="1" x14ac:dyDescent="0.25">
      <c r="A971" s="729"/>
      <c r="B971" s="302"/>
      <c r="C971" s="302"/>
      <c r="D971" s="1820"/>
      <c r="E971" s="2819" t="str">
        <f>Translations!$B$555</f>
        <v>Специфичен EF (получена топлинна енергия)</v>
      </c>
      <c r="F971" s="2705"/>
      <c r="G971" s="1329" t="str">
        <f>EUconst_tCO2pTJ</f>
        <v>t CO2 / TJ</v>
      </c>
      <c r="H971" s="484" t="str">
        <f>IF($I884="","",IF(INDEX(F_ProductBM!H:H,MATCH($P971,F_ProductBM!$Q:$Q,0))="","",INDEX(F_ProductBM!H:H,MATCH($P971,F_ProductBM!$Q:$Q,0))))</f>
        <v/>
      </c>
      <c r="I971" s="1828" t="str">
        <f>IF($I884="","",IF(INDEX(F_ProductBM!I:I,MATCH($P971,F_ProductBM!$Q:$Q,0))="","",INDEX(F_ProductBM!I:I,MATCH($P971,F_ProductBM!$Q:$Q,0))))</f>
        <v/>
      </c>
      <c r="J971" s="1829" t="str">
        <f>IF($I884="","",IF(INDEX(F_ProductBM!J:J,MATCH($P971,F_ProductBM!$Q:$Q,0))="","",INDEX(F_ProductBM!J:J,MATCH($P971,F_ProductBM!$Q:$Q,0))))</f>
        <v/>
      </c>
      <c r="K971" s="484" t="str">
        <f>IF($I884="","",IF(INDEX(F_ProductBM!K:K,MATCH($P971,F_ProductBM!$Q:$Q,0))="","",INDEX(F_ProductBM!K:K,MATCH($P971,F_ProductBM!$Q:$Q,0))))</f>
        <v/>
      </c>
      <c r="L971" s="484" t="str">
        <f>IF($I884="","",IF(INDEX(F_ProductBM!L:L,MATCH($P971,F_ProductBM!$Q:$Q,0))="","",INDEX(F_ProductBM!L:L,MATCH($P971,F_ProductBM!$Q:$Q,0))))</f>
        <v/>
      </c>
      <c r="M971" s="484" t="str">
        <f>IF($I884="","",IF(INDEX(F_ProductBM!M:M,MATCH($P971,F_ProductBM!$Q:$Q,0))="","",INDEX(F_ProductBM!M:M,MATCH($P971,F_ProductBM!$Q:$Q,0))))</f>
        <v/>
      </c>
      <c r="N971" s="1830" t="str">
        <f>IF($I884="","",IF(INDEX(F_ProductBM!N:N,MATCH($P971,F_ProductBM!$Q:$Q,0))="","",INDEX(F_ProductBM!N:N,MATCH($P971,F_ProductBM!$Q:$Q,0))))</f>
        <v/>
      </c>
      <c r="O971" s="698"/>
      <c r="P971" s="1500" t="str">
        <f>EUconst_CNTR_HeatImportEF &amp; I884</f>
        <v>HeatImEF_</v>
      </c>
      <c r="Q971" s="729"/>
      <c r="R971" s="729"/>
      <c r="S971" s="729"/>
      <c r="T971" s="770"/>
      <c r="U971" s="343"/>
      <c r="V971" s="343"/>
    </row>
    <row r="972" spans="1:22" s="364" customFormat="1" ht="5.15" customHeight="1" x14ac:dyDescent="0.25">
      <c r="A972" s="729"/>
      <c r="B972" s="302"/>
      <c r="C972" s="302"/>
      <c r="D972" s="1820"/>
      <c r="E972" s="643"/>
      <c r="F972" s="643"/>
      <c r="G972" s="626"/>
      <c r="H972" s="640"/>
      <c r="I972" s="640"/>
      <c r="J972" s="640"/>
      <c r="K972" s="640"/>
      <c r="L972" s="640"/>
      <c r="M972" s="640"/>
      <c r="N972" s="1831"/>
      <c r="O972" s="698"/>
      <c r="P972" s="770"/>
      <c r="Q972" s="729"/>
      <c r="R972" s="729"/>
      <c r="S972" s="729"/>
      <c r="T972" s="770"/>
      <c r="U972" s="343"/>
      <c r="V972" s="343"/>
    </row>
    <row r="973" spans="1:22" s="364" customFormat="1" ht="12.75" customHeight="1" x14ac:dyDescent="0.25">
      <c r="A973" s="729"/>
      <c r="B973" s="302"/>
      <c r="C973" s="302"/>
      <c r="D973" s="1820"/>
      <c r="E973" s="2820" t="str">
        <f>Translations!$B$609</f>
        <v>Нетно количество топлинна енергия, получена от пулп</v>
      </c>
      <c r="F973" s="2258"/>
      <c r="G973" s="1319" t="str">
        <f>EUconst_TJpa</f>
        <v>TJ / година</v>
      </c>
      <c r="H973" s="480" t="str">
        <f>IF($I884="","",IF(INDEX(F_ProductBM!H:H,MATCH($P973,F_ProductBM!$Q:$Q,0))="","",INDEX(F_ProductBM!H:H,MATCH($P973,F_ProductBM!$Q:$Q,0))))</f>
        <v/>
      </c>
      <c r="I973" s="1399" t="str">
        <f>IF($I884="","",IF(INDEX(F_ProductBM!I:I,MATCH($P973,F_ProductBM!$Q:$Q,0))="","",INDEX(F_ProductBM!I:I,MATCH($P973,F_ProductBM!$Q:$Q,0))))</f>
        <v/>
      </c>
      <c r="J973" s="1832" t="str">
        <f>IF($I884="","",IF(INDEX(F_ProductBM!J:J,MATCH($P973,F_ProductBM!$Q:$Q,0))="","",INDEX(F_ProductBM!J:J,MATCH($P973,F_ProductBM!$Q:$Q,0))))</f>
        <v/>
      </c>
      <c r="K973" s="480" t="str">
        <f>IF($I884="","",IF(INDEX(F_ProductBM!K:K,MATCH($P973,F_ProductBM!$Q:$Q,0))="","",INDEX(F_ProductBM!K:K,MATCH($P973,F_ProductBM!$Q:$Q,0))))</f>
        <v/>
      </c>
      <c r="L973" s="480" t="str">
        <f>IF($I884="","",IF(INDEX(F_ProductBM!L:L,MATCH($P973,F_ProductBM!$Q:$Q,0))="","",INDEX(F_ProductBM!L:L,MATCH($P973,F_ProductBM!$Q:$Q,0))))</f>
        <v/>
      </c>
      <c r="M973" s="480" t="str">
        <f>IF($I884="","",IF(INDEX(F_ProductBM!M:M,MATCH($P973,F_ProductBM!$Q:$Q,0))="","",INDEX(F_ProductBM!M:M,MATCH($P973,F_ProductBM!$Q:$Q,0))))</f>
        <v/>
      </c>
      <c r="N973" s="1833" t="str">
        <f>IF($I884="","",IF(INDEX(F_ProductBM!N:N,MATCH($P973,F_ProductBM!$Q:$Q,0))="","",INDEX(F_ProductBM!N:N,MATCH($P973,F_ProductBM!$Q:$Q,0))))</f>
        <v/>
      </c>
      <c r="O973" s="698"/>
      <c r="P973" s="1500" t="str">
        <f>EUconst_CNTR_HeatImportPulp &amp; I884</f>
        <v>HeatImPulp_</v>
      </c>
      <c r="Q973" s="729"/>
      <c r="R973" s="729"/>
      <c r="S973" s="729"/>
      <c r="T973" s="770"/>
      <c r="U973" s="343"/>
      <c r="V973" s="343"/>
    </row>
    <row r="974" spans="1:22" s="364" customFormat="1" ht="12.75" customHeight="1" x14ac:dyDescent="0.25">
      <c r="A974" s="729"/>
      <c r="B974" s="302"/>
      <c r="C974" s="302"/>
      <c r="D974" s="1820"/>
      <c r="E974" s="2820" t="str">
        <f>Translations!$B$558</f>
        <v>Нетно количество топлинна енергия, получена от подинсталации за азотна киселина</v>
      </c>
      <c r="F974" s="2258"/>
      <c r="G974" s="1319" t="str">
        <f>EUconst_TJpa</f>
        <v>TJ / година</v>
      </c>
      <c r="H974" s="480" t="str">
        <f>IF($I884="","",IF(INDEX(F_ProductBM!H:H,MATCH($P974,F_ProductBM!$Q:$Q,0))="","",INDEX(F_ProductBM!H:H,MATCH($P974,F_ProductBM!$Q:$Q,0))))</f>
        <v/>
      </c>
      <c r="I974" s="1399" t="str">
        <f>IF($I884="","",IF(INDEX(F_ProductBM!I:I,MATCH($P974,F_ProductBM!$Q:$Q,0))="","",INDEX(F_ProductBM!I:I,MATCH($P974,F_ProductBM!$Q:$Q,0))))</f>
        <v/>
      </c>
      <c r="J974" s="1832" t="str">
        <f>IF($I884="","",IF(INDEX(F_ProductBM!J:J,MATCH($P974,F_ProductBM!$Q:$Q,0))="","",INDEX(F_ProductBM!J:J,MATCH($P974,F_ProductBM!$Q:$Q,0))))</f>
        <v/>
      </c>
      <c r="K974" s="480" t="str">
        <f>IF($I884="","",IF(INDEX(F_ProductBM!K:K,MATCH($P974,F_ProductBM!$Q:$Q,0))="","",INDEX(F_ProductBM!K:K,MATCH($P974,F_ProductBM!$Q:$Q,0))))</f>
        <v/>
      </c>
      <c r="L974" s="480" t="str">
        <f>IF($I884="","",IF(INDEX(F_ProductBM!L:L,MATCH($P974,F_ProductBM!$Q:$Q,0))="","",INDEX(F_ProductBM!L:L,MATCH($P974,F_ProductBM!$Q:$Q,0))))</f>
        <v/>
      </c>
      <c r="M974" s="480" t="str">
        <f>IF($I884="","",IF(INDEX(F_ProductBM!M:M,MATCH($P974,F_ProductBM!$Q:$Q,0))="","",INDEX(F_ProductBM!M:M,MATCH($P974,F_ProductBM!$Q:$Q,0))))</f>
        <v/>
      </c>
      <c r="N974" s="1833" t="str">
        <f>IF($I884="","",IF(INDEX(F_ProductBM!N:N,MATCH($P974,F_ProductBM!$Q:$Q,0))="","",INDEX(F_ProductBM!N:N,MATCH($P974,F_ProductBM!$Q:$Q,0))))</f>
        <v/>
      </c>
      <c r="O974" s="698"/>
      <c r="P974" s="1500" t="str">
        <f>EUconst_CNTR_HeatImportNitric &amp; I884</f>
        <v>HeatImNitric_</v>
      </c>
      <c r="Q974" s="729"/>
      <c r="R974" s="729"/>
      <c r="S974" s="729"/>
      <c r="T974" s="770"/>
      <c r="U974" s="343"/>
      <c r="V974" s="343"/>
    </row>
    <row r="975" spans="1:22" s="364" customFormat="1" ht="5.15" customHeight="1" x14ac:dyDescent="0.25">
      <c r="A975" s="729"/>
      <c r="B975" s="302"/>
      <c r="C975" s="302"/>
      <c r="D975" s="1820"/>
      <c r="E975" s="643"/>
      <c r="F975" s="643"/>
      <c r="G975" s="625"/>
      <c r="H975" s="640"/>
      <c r="I975" s="640"/>
      <c r="J975" s="640"/>
      <c r="K975" s="640"/>
      <c r="L975" s="640"/>
      <c r="M975" s="640"/>
      <c r="N975" s="1831"/>
      <c r="O975" s="698"/>
      <c r="P975" s="770"/>
      <c r="Q975" s="729"/>
      <c r="R975" s="729"/>
      <c r="S975" s="729"/>
      <c r="T975" s="770"/>
      <c r="U975" s="343"/>
      <c r="V975" s="343"/>
    </row>
    <row r="976" spans="1:22" s="364" customFormat="1" ht="12.75" customHeight="1" x14ac:dyDescent="0.25">
      <c r="A976" s="729"/>
      <c r="B976" s="302"/>
      <c r="C976" s="302"/>
      <c r="D976" s="1820"/>
      <c r="E976" s="2818" t="str">
        <f>Translations!$B$560</f>
        <v>Нетно количество подадена топлинна енергия</v>
      </c>
      <c r="F976" s="2701"/>
      <c r="G976" s="1326" t="str">
        <f>EUconst_TJpa</f>
        <v>TJ / година</v>
      </c>
      <c r="H976" s="482" t="str">
        <f>IF($I884="","",IF(INDEX(F_ProductBM!H:H,MATCH($P976,F_ProductBM!$Q:$Q,0))="","",INDEX(F_ProductBM!H:H,MATCH($P976,F_ProductBM!$Q:$Q,0))))</f>
        <v/>
      </c>
      <c r="I976" s="1824" t="str">
        <f>IF($I884="","",IF(INDEX(F_ProductBM!I:I,MATCH($P976,F_ProductBM!$Q:$Q,0))="","",INDEX(F_ProductBM!I:I,MATCH($P976,F_ProductBM!$Q:$Q,0))))</f>
        <v/>
      </c>
      <c r="J976" s="1825" t="str">
        <f>IF($I884="","",IF(INDEX(F_ProductBM!J:J,MATCH($P976,F_ProductBM!$Q:$Q,0))="","",INDEX(F_ProductBM!J:J,MATCH($P976,F_ProductBM!$Q:$Q,0))))</f>
        <v/>
      </c>
      <c r="K976" s="482" t="str">
        <f>IF($I884="","",IF(INDEX(F_ProductBM!K:K,MATCH($P976,F_ProductBM!$Q:$Q,0))="","",INDEX(F_ProductBM!K:K,MATCH($P976,F_ProductBM!$Q:$Q,0))))</f>
        <v/>
      </c>
      <c r="L976" s="482" t="str">
        <f>IF($I884="","",IF(INDEX(F_ProductBM!L:L,MATCH($P976,F_ProductBM!$Q:$Q,0))="","",INDEX(F_ProductBM!L:L,MATCH($P976,F_ProductBM!$Q:$Q,0))))</f>
        <v/>
      </c>
      <c r="M976" s="482" t="str">
        <f>IF($I884="","",IF(INDEX(F_ProductBM!M:M,MATCH($P976,F_ProductBM!$Q:$Q,0))="","",INDEX(F_ProductBM!M:M,MATCH($P976,F_ProductBM!$Q:$Q,0))))</f>
        <v/>
      </c>
      <c r="N976" s="1826" t="str">
        <f>IF($I884="","",IF(INDEX(F_ProductBM!N:N,MATCH($P976,F_ProductBM!$Q:$Q,0))="","",INDEX(F_ProductBM!N:N,MATCH($P976,F_ProductBM!$Q:$Q,0))))</f>
        <v/>
      </c>
      <c r="O976" s="698"/>
      <c r="P976" s="1500" t="str">
        <f>EUconst_CNTR_HeatExport &amp; I884</f>
        <v>HeatEx_</v>
      </c>
      <c r="Q976" s="729"/>
      <c r="R976" s="729"/>
      <c r="S976" s="729"/>
      <c r="T976" s="770"/>
      <c r="U976" s="343"/>
      <c r="V976" s="343"/>
    </row>
    <row r="977" spans="1:22" s="364" customFormat="1" ht="12.75" customHeight="1" x14ac:dyDescent="0.25">
      <c r="A977" s="729"/>
      <c r="B977" s="302"/>
      <c r="C977" s="302"/>
      <c r="D977" s="1820"/>
      <c r="E977" s="2819" t="str">
        <f>Translations!$B$561</f>
        <v>Специфичен EF (подадена топлинна енергия)</v>
      </c>
      <c r="F977" s="2705"/>
      <c r="G977" s="1329" t="str">
        <f>EUconst_tCO2pTJ</f>
        <v>t CO2 / TJ</v>
      </c>
      <c r="H977" s="484" t="str">
        <f>IF($I884="","",IF(INDEX(F_ProductBM!H:H,MATCH($P977,F_ProductBM!$Q:$Q,0))="","",INDEX(F_ProductBM!H:H,MATCH($P977,F_ProductBM!$Q:$Q,0))))</f>
        <v/>
      </c>
      <c r="I977" s="1828" t="str">
        <f>IF($I884="","",IF(INDEX(F_ProductBM!I:I,MATCH($P977,F_ProductBM!$Q:$Q,0))="","",INDEX(F_ProductBM!I:I,MATCH($P977,F_ProductBM!$Q:$Q,0))))</f>
        <v/>
      </c>
      <c r="J977" s="1829" t="str">
        <f>IF($I884="","",IF(INDEX(F_ProductBM!J:J,MATCH($P977,F_ProductBM!$Q:$Q,0))="","",INDEX(F_ProductBM!J:J,MATCH($P977,F_ProductBM!$Q:$Q,0))))</f>
        <v/>
      </c>
      <c r="K977" s="484" t="str">
        <f>IF($I884="","",IF(INDEX(F_ProductBM!K:K,MATCH($P977,F_ProductBM!$Q:$Q,0))="","",INDEX(F_ProductBM!K:K,MATCH($P977,F_ProductBM!$Q:$Q,0))))</f>
        <v/>
      </c>
      <c r="L977" s="484" t="str">
        <f>IF($I884="","",IF(INDEX(F_ProductBM!L:L,MATCH($P977,F_ProductBM!$Q:$Q,0))="","",INDEX(F_ProductBM!L:L,MATCH($P977,F_ProductBM!$Q:$Q,0))))</f>
        <v/>
      </c>
      <c r="M977" s="484" t="str">
        <f>IF($I884="","",IF(INDEX(F_ProductBM!M:M,MATCH($P977,F_ProductBM!$Q:$Q,0))="","",INDEX(F_ProductBM!M:M,MATCH($P977,F_ProductBM!$Q:$Q,0))))</f>
        <v/>
      </c>
      <c r="N977" s="1830" t="str">
        <f>IF($I884="","",IF(INDEX(F_ProductBM!N:N,MATCH($P977,F_ProductBM!$Q:$Q,0))="","",INDEX(F_ProductBM!N:N,MATCH($P977,F_ProductBM!$Q:$Q,0))))</f>
        <v/>
      </c>
      <c r="O977" s="698"/>
      <c r="P977" s="1500" t="str">
        <f>EUconst_CNTR_HeatExportEF &amp; I884</f>
        <v>HeatExEF_</v>
      </c>
      <c r="Q977" s="729"/>
      <c r="R977" s="729"/>
      <c r="S977" s="729"/>
      <c r="T977" s="770"/>
      <c r="U977" s="343"/>
      <c r="V977" s="343"/>
    </row>
    <row r="978" spans="1:22" s="364" customFormat="1" ht="5.15" customHeight="1" x14ac:dyDescent="0.25">
      <c r="A978" s="729"/>
      <c r="B978" s="302"/>
      <c r="C978" s="302"/>
      <c r="D978" s="1820"/>
      <c r="E978" s="643"/>
      <c r="F978" s="643"/>
      <c r="G978" s="625"/>
      <c r="H978" s="640"/>
      <c r="I978" s="640"/>
      <c r="J978" s="640"/>
      <c r="K978" s="640"/>
      <c r="L978" s="640"/>
      <c r="M978" s="640"/>
      <c r="N978" s="1831"/>
      <c r="O978" s="698"/>
      <c r="P978" s="770"/>
      <c r="Q978" s="729"/>
      <c r="R978" s="729"/>
      <c r="S978" s="729"/>
      <c r="T978" s="770"/>
      <c r="U978" s="343"/>
      <c r="V978" s="343"/>
    </row>
    <row r="979" spans="1:22" s="364" customFormat="1" ht="12.75" customHeight="1" x14ac:dyDescent="0.25">
      <c r="A979" s="729"/>
      <c r="B979" s="302"/>
      <c r="C979" s="302"/>
      <c r="D979" s="1820"/>
      <c r="E979" s="2818" t="str">
        <f>Translations!$B$568</f>
        <v>Произведен отпаден газ</v>
      </c>
      <c r="F979" s="2701"/>
      <c r="G979" s="1326" t="str">
        <f>EUconst_TJpa</f>
        <v>TJ / година</v>
      </c>
      <c r="H979" s="482" t="str">
        <f>IF($I884="","",IF(INDEX(F_ProductBM!H:H,MATCH($P979,F_ProductBM!$Q:$Q,0))="","",INDEX(F_ProductBM!H:H,MATCH($P979,F_ProductBM!$Q:$Q,0))))</f>
        <v/>
      </c>
      <c r="I979" s="1824" t="str">
        <f>IF($I884="","",IF(INDEX(F_ProductBM!I:I,MATCH($P979,F_ProductBM!$Q:$Q,0))="","",INDEX(F_ProductBM!I:I,MATCH($P979,F_ProductBM!$Q:$Q,0))))</f>
        <v/>
      </c>
      <c r="J979" s="1825" t="str">
        <f>IF($I884="","",IF(INDEX(F_ProductBM!J:J,MATCH($P979,F_ProductBM!$Q:$Q,0))="","",INDEX(F_ProductBM!J:J,MATCH($P979,F_ProductBM!$Q:$Q,0))))</f>
        <v/>
      </c>
      <c r="K979" s="482" t="str">
        <f>IF($I884="","",IF(INDEX(F_ProductBM!K:K,MATCH($P979,F_ProductBM!$Q:$Q,0))="","",INDEX(F_ProductBM!K:K,MATCH($P979,F_ProductBM!$Q:$Q,0))))</f>
        <v/>
      </c>
      <c r="L979" s="482" t="str">
        <f>IF($I884="","",IF(INDEX(F_ProductBM!L:L,MATCH($P979,F_ProductBM!$Q:$Q,0))="","",INDEX(F_ProductBM!L:L,MATCH($P979,F_ProductBM!$Q:$Q,0))))</f>
        <v/>
      </c>
      <c r="M979" s="482" t="str">
        <f>IF($I884="","",IF(INDEX(F_ProductBM!M:M,MATCH($P979,F_ProductBM!$Q:$Q,0))="","",INDEX(F_ProductBM!M:M,MATCH($P979,F_ProductBM!$Q:$Q,0))))</f>
        <v/>
      </c>
      <c r="N979" s="1826" t="str">
        <f>IF($I884="","",IF(INDEX(F_ProductBM!N:N,MATCH($P979,F_ProductBM!$Q:$Q,0))="","",INDEX(F_ProductBM!N:N,MATCH($P979,F_ProductBM!$Q:$Q,0))))</f>
        <v/>
      </c>
      <c r="O979" s="698"/>
      <c r="P979" s="1827" t="str">
        <f>EUconst_CNTR_WGProduced &amp; I884</f>
        <v>WasteGasProd_</v>
      </c>
      <c r="Q979" s="729"/>
      <c r="R979" s="729"/>
      <c r="S979" s="729"/>
      <c r="T979" s="770"/>
      <c r="U979" s="343"/>
      <c r="V979" s="343"/>
    </row>
    <row r="980" spans="1:22" s="364" customFormat="1" ht="12.75" customHeight="1" x14ac:dyDescent="0.25">
      <c r="A980" s="729"/>
      <c r="B980" s="302"/>
      <c r="C980" s="302"/>
      <c r="D980" s="1820"/>
      <c r="E980" s="2819" t="str">
        <f>Translations!$B$569</f>
        <v>Специфичен EF (произведен отпаден газ)</v>
      </c>
      <c r="F980" s="2705"/>
      <c r="G980" s="1329" t="str">
        <f>EUconst_tCO2pTJ</f>
        <v>t CO2 / TJ</v>
      </c>
      <c r="H980" s="484" t="str">
        <f>IF($I884="","",IF(INDEX(F_ProductBM!H:H,MATCH($P980,F_ProductBM!$Q:$Q,0))="","",INDEX(F_ProductBM!H:H,MATCH($P980,F_ProductBM!$Q:$Q,0))))</f>
        <v/>
      </c>
      <c r="I980" s="1828" t="str">
        <f>IF($I884="","",IF(INDEX(F_ProductBM!I:I,MATCH($P980,F_ProductBM!$Q:$Q,0))="","",INDEX(F_ProductBM!I:I,MATCH($P980,F_ProductBM!$Q:$Q,0))))</f>
        <v/>
      </c>
      <c r="J980" s="1829" t="str">
        <f>IF($I884="","",IF(INDEX(F_ProductBM!J:J,MATCH($P980,F_ProductBM!$Q:$Q,0))="","",INDEX(F_ProductBM!J:J,MATCH($P980,F_ProductBM!$Q:$Q,0))))</f>
        <v/>
      </c>
      <c r="K980" s="484" t="str">
        <f>IF($I884="","",IF(INDEX(F_ProductBM!K:K,MATCH($P980,F_ProductBM!$Q:$Q,0))="","",INDEX(F_ProductBM!K:K,MATCH($P980,F_ProductBM!$Q:$Q,0))))</f>
        <v/>
      </c>
      <c r="L980" s="484" t="str">
        <f>IF($I884="","",IF(INDEX(F_ProductBM!L:L,MATCH($P980,F_ProductBM!$Q:$Q,0))="","",INDEX(F_ProductBM!L:L,MATCH($P980,F_ProductBM!$Q:$Q,0))))</f>
        <v/>
      </c>
      <c r="M980" s="484" t="str">
        <f>IF($I884="","",IF(INDEX(F_ProductBM!M:M,MATCH($P980,F_ProductBM!$Q:$Q,0))="","",INDEX(F_ProductBM!M:M,MATCH($P980,F_ProductBM!$Q:$Q,0))))</f>
        <v/>
      </c>
      <c r="N980" s="1830" t="str">
        <f>IF($I884="","",IF(INDEX(F_ProductBM!N:N,MATCH($P980,F_ProductBM!$Q:$Q,0))="","",INDEX(F_ProductBM!N:N,MATCH($P980,F_ProductBM!$Q:$Q,0))))</f>
        <v/>
      </c>
      <c r="O980" s="698"/>
      <c r="P980" s="1500" t="str">
        <f>EUconst_CNTR_WGProducedEF &amp; I884</f>
        <v>WasteGasProdEF_</v>
      </c>
      <c r="Q980" s="729"/>
      <c r="R980" s="729"/>
      <c r="S980" s="729"/>
      <c r="T980" s="770"/>
      <c r="U980" s="343"/>
      <c r="V980" s="343"/>
    </row>
    <row r="981" spans="1:22" s="364" customFormat="1" ht="12.75" customHeight="1" x14ac:dyDescent="0.25">
      <c r="A981" s="729"/>
      <c r="B981" s="302"/>
      <c r="C981" s="302"/>
      <c r="D981" s="1820"/>
      <c r="E981" s="2818" t="str">
        <f>Translations!$B$573</f>
        <v>Консумиран отпаден газ</v>
      </c>
      <c r="F981" s="2701"/>
      <c r="G981" s="1326" t="str">
        <f>EUconst_TJpa</f>
        <v>TJ / година</v>
      </c>
      <c r="H981" s="482" t="str">
        <f>IF($I884="","",IF(INDEX(F_ProductBM!H:H,MATCH($P981,F_ProductBM!$Q:$Q,0))="","",INDEX(F_ProductBM!H:H,MATCH($P981,F_ProductBM!$Q:$Q,0))))</f>
        <v/>
      </c>
      <c r="I981" s="1824" t="str">
        <f>IF($I884="","",IF(INDEX(F_ProductBM!I:I,MATCH($P981,F_ProductBM!$Q:$Q,0))="","",INDEX(F_ProductBM!I:I,MATCH($P981,F_ProductBM!$Q:$Q,0))))</f>
        <v/>
      </c>
      <c r="J981" s="1825" t="str">
        <f>IF($I884="","",IF(INDEX(F_ProductBM!J:J,MATCH($P981,F_ProductBM!$Q:$Q,0))="","",INDEX(F_ProductBM!J:J,MATCH($P981,F_ProductBM!$Q:$Q,0))))</f>
        <v/>
      </c>
      <c r="K981" s="482" t="str">
        <f>IF($I884="","",IF(INDEX(F_ProductBM!K:K,MATCH($P981,F_ProductBM!$Q:$Q,0))="","",INDEX(F_ProductBM!K:K,MATCH($P981,F_ProductBM!$Q:$Q,0))))</f>
        <v/>
      </c>
      <c r="L981" s="482" t="str">
        <f>IF($I884="","",IF(INDEX(F_ProductBM!L:L,MATCH($P981,F_ProductBM!$Q:$Q,0))="","",INDEX(F_ProductBM!L:L,MATCH($P981,F_ProductBM!$Q:$Q,0))))</f>
        <v/>
      </c>
      <c r="M981" s="482" t="str">
        <f>IF($I884="","",IF(INDEX(F_ProductBM!M:M,MATCH($P981,F_ProductBM!$Q:$Q,0))="","",INDEX(F_ProductBM!M:M,MATCH($P981,F_ProductBM!$Q:$Q,0))))</f>
        <v/>
      </c>
      <c r="N981" s="1826" t="str">
        <f>IF($I884="","",IF(INDEX(F_ProductBM!N:N,MATCH($P981,F_ProductBM!$Q:$Q,0))="","",INDEX(F_ProductBM!N:N,MATCH($P981,F_ProductBM!$Q:$Q,0))))</f>
        <v/>
      </c>
      <c r="O981" s="698"/>
      <c r="P981" s="1500" t="str">
        <f>EUconst_CNTR_WGConsumed &amp; I884</f>
        <v>WasteGasCons_</v>
      </c>
      <c r="Q981" s="729"/>
      <c r="R981" s="729"/>
      <c r="S981" s="729"/>
      <c r="T981" s="770"/>
      <c r="U981" s="343"/>
      <c r="V981" s="343"/>
    </row>
    <row r="982" spans="1:22" s="364" customFormat="1" ht="12.75" customHeight="1" x14ac:dyDescent="0.25">
      <c r="A982" s="729"/>
      <c r="B982" s="302"/>
      <c r="C982" s="302"/>
      <c r="D982" s="1820"/>
      <c r="E982" s="2819" t="str">
        <f>Translations!$B$574</f>
        <v>Специфичен EF (консумиран отпаден газ)</v>
      </c>
      <c r="F982" s="2705"/>
      <c r="G982" s="1329" t="str">
        <f>EUconst_tCO2pTJ</f>
        <v>t CO2 / TJ</v>
      </c>
      <c r="H982" s="484" t="str">
        <f>IF($I884="","",IF(INDEX(F_ProductBM!H:H,MATCH($P982,F_ProductBM!$Q:$Q,0))="","",INDEX(F_ProductBM!H:H,MATCH($P982,F_ProductBM!$Q:$Q,0))))</f>
        <v/>
      </c>
      <c r="I982" s="1828" t="str">
        <f>IF($I884="","",IF(INDEX(F_ProductBM!I:I,MATCH($P982,F_ProductBM!$Q:$Q,0))="","",INDEX(F_ProductBM!I:I,MATCH($P982,F_ProductBM!$Q:$Q,0))))</f>
        <v/>
      </c>
      <c r="J982" s="1829" t="str">
        <f>IF($I884="","",IF(INDEX(F_ProductBM!J:J,MATCH($P982,F_ProductBM!$Q:$Q,0))="","",INDEX(F_ProductBM!J:J,MATCH($P982,F_ProductBM!$Q:$Q,0))))</f>
        <v/>
      </c>
      <c r="K982" s="484" t="str">
        <f>IF($I884="","",IF(INDEX(F_ProductBM!K:K,MATCH($P982,F_ProductBM!$Q:$Q,0))="","",INDEX(F_ProductBM!K:K,MATCH($P982,F_ProductBM!$Q:$Q,0))))</f>
        <v/>
      </c>
      <c r="L982" s="484" t="str">
        <f>IF($I884="","",IF(INDEX(F_ProductBM!L:L,MATCH($P982,F_ProductBM!$Q:$Q,0))="","",INDEX(F_ProductBM!L:L,MATCH($P982,F_ProductBM!$Q:$Q,0))))</f>
        <v/>
      </c>
      <c r="M982" s="484" t="str">
        <f>IF($I884="","",IF(INDEX(F_ProductBM!M:M,MATCH($P982,F_ProductBM!$Q:$Q,0))="","",INDEX(F_ProductBM!M:M,MATCH($P982,F_ProductBM!$Q:$Q,0))))</f>
        <v/>
      </c>
      <c r="N982" s="1830" t="str">
        <f>IF($I884="","",IF(INDEX(F_ProductBM!N:N,MATCH($P982,F_ProductBM!$Q:$Q,0))="","",INDEX(F_ProductBM!N:N,MATCH($P982,F_ProductBM!$Q:$Q,0))))</f>
        <v/>
      </c>
      <c r="O982" s="698"/>
      <c r="P982" s="1500" t="str">
        <f>EUconst_CNTR_WGConsumedEF &amp; I884</f>
        <v>WasteGasConsEF_</v>
      </c>
      <c r="Q982" s="729"/>
      <c r="R982" s="729"/>
      <c r="S982" s="729"/>
      <c r="T982" s="770"/>
      <c r="U982" s="343"/>
      <c r="V982" s="343"/>
    </row>
    <row r="983" spans="1:22" s="364" customFormat="1" ht="12.75" customHeight="1" x14ac:dyDescent="0.25">
      <c r="A983" s="729"/>
      <c r="B983" s="302"/>
      <c r="C983" s="302"/>
      <c r="D983" s="1820"/>
      <c r="E983" s="2818" t="str">
        <f>Translations!$B$580</f>
        <v>Изгорен във факел отпаден газ</v>
      </c>
      <c r="F983" s="2701"/>
      <c r="G983" s="1326" t="str">
        <f>EUconst_TJpa</f>
        <v>TJ / година</v>
      </c>
      <c r="H983" s="482" t="str">
        <f>IF($I884="","",IF(INDEX(F_ProductBM!H:H,MATCH($P983,F_ProductBM!$Q:$Q,0))="","",INDEX(F_ProductBM!H:H,MATCH($P983,F_ProductBM!$Q:$Q,0))))</f>
        <v/>
      </c>
      <c r="I983" s="1824" t="str">
        <f>IF($I884="","",IF(INDEX(F_ProductBM!I:I,MATCH($P983,F_ProductBM!$Q:$Q,0))="","",INDEX(F_ProductBM!I:I,MATCH($P983,F_ProductBM!$Q:$Q,0))))</f>
        <v/>
      </c>
      <c r="J983" s="1825" t="str">
        <f>IF($I884="","",IF(INDEX(F_ProductBM!J:J,MATCH($P983,F_ProductBM!$Q:$Q,0))="","",INDEX(F_ProductBM!J:J,MATCH($P983,F_ProductBM!$Q:$Q,0))))</f>
        <v/>
      </c>
      <c r="K983" s="482" t="str">
        <f>IF($I884="","",IF(INDEX(F_ProductBM!K:K,MATCH($P983,F_ProductBM!$Q:$Q,0))="","",INDEX(F_ProductBM!K:K,MATCH($P983,F_ProductBM!$Q:$Q,0))))</f>
        <v/>
      </c>
      <c r="L983" s="482" t="str">
        <f>IF($I884="","",IF(INDEX(F_ProductBM!L:L,MATCH($P983,F_ProductBM!$Q:$Q,0))="","",INDEX(F_ProductBM!L:L,MATCH($P983,F_ProductBM!$Q:$Q,0))))</f>
        <v/>
      </c>
      <c r="M983" s="482" t="str">
        <f>IF($I884="","",IF(INDEX(F_ProductBM!M:M,MATCH($P983,F_ProductBM!$Q:$Q,0))="","",INDEX(F_ProductBM!M:M,MATCH($P983,F_ProductBM!$Q:$Q,0))))</f>
        <v/>
      </c>
      <c r="N983" s="1826" t="str">
        <f>IF($I884="","",IF(INDEX(F_ProductBM!N:N,MATCH($P983,F_ProductBM!$Q:$Q,0))="","",INDEX(F_ProductBM!N:N,MATCH($P983,F_ProductBM!$Q:$Q,0))))</f>
        <v/>
      </c>
      <c r="O983" s="698"/>
      <c r="P983" s="1500" t="str">
        <f>EUconst_CNTR_WGFlared &amp; I884</f>
        <v>WasteGasFlare_</v>
      </c>
      <c r="Q983" s="729"/>
      <c r="R983" s="729"/>
      <c r="S983" s="729"/>
      <c r="T983" s="770"/>
      <c r="U983" s="343"/>
      <c r="V983" s="343"/>
    </row>
    <row r="984" spans="1:22" s="364" customFormat="1" ht="12.75" customHeight="1" x14ac:dyDescent="0.25">
      <c r="A984" s="729"/>
      <c r="B984" s="302"/>
      <c r="C984" s="302"/>
      <c r="D984" s="1820"/>
      <c r="E984" s="2819" t="str">
        <f>Translations!$B$581</f>
        <v>Специфичен EF (изгорен във факел отпаден газ)</v>
      </c>
      <c r="F984" s="2705"/>
      <c r="G984" s="1329" t="str">
        <f>EUconst_tCO2pTJ</f>
        <v>t CO2 / TJ</v>
      </c>
      <c r="H984" s="484" t="str">
        <f>IF($I884="","",IF(INDEX(F_ProductBM!H:H,MATCH($P984,F_ProductBM!$Q:$Q,0))="","",INDEX(F_ProductBM!H:H,MATCH($P984,F_ProductBM!$Q:$Q,0))))</f>
        <v/>
      </c>
      <c r="I984" s="1828" t="str">
        <f>IF($I884="","",IF(INDEX(F_ProductBM!I:I,MATCH($P984,F_ProductBM!$Q:$Q,0))="","",INDEX(F_ProductBM!I:I,MATCH($P984,F_ProductBM!$Q:$Q,0))))</f>
        <v/>
      </c>
      <c r="J984" s="1829" t="str">
        <f>IF($I884="","",IF(INDEX(F_ProductBM!J:J,MATCH($P984,F_ProductBM!$Q:$Q,0))="","",INDEX(F_ProductBM!J:J,MATCH($P984,F_ProductBM!$Q:$Q,0))))</f>
        <v/>
      </c>
      <c r="K984" s="484" t="str">
        <f>IF($I884="","",IF(INDEX(F_ProductBM!K:K,MATCH($P984,F_ProductBM!$Q:$Q,0))="","",INDEX(F_ProductBM!K:K,MATCH($P984,F_ProductBM!$Q:$Q,0))))</f>
        <v/>
      </c>
      <c r="L984" s="484" t="str">
        <f>IF($I884="","",IF(INDEX(F_ProductBM!L:L,MATCH($P984,F_ProductBM!$Q:$Q,0))="","",INDEX(F_ProductBM!L:L,MATCH($P984,F_ProductBM!$Q:$Q,0))))</f>
        <v/>
      </c>
      <c r="M984" s="484" t="str">
        <f>IF($I884="","",IF(INDEX(F_ProductBM!M:M,MATCH($P984,F_ProductBM!$Q:$Q,0))="","",INDEX(F_ProductBM!M:M,MATCH($P984,F_ProductBM!$Q:$Q,0))))</f>
        <v/>
      </c>
      <c r="N984" s="1830" t="str">
        <f>IF($I884="","",IF(INDEX(F_ProductBM!N:N,MATCH($P984,F_ProductBM!$Q:$Q,0))="","",INDEX(F_ProductBM!N:N,MATCH($P984,F_ProductBM!$Q:$Q,0))))</f>
        <v/>
      </c>
      <c r="O984" s="698"/>
      <c r="P984" s="1500" t="str">
        <f>EUconst_CNTR_WGFlaredEF &amp; I884</f>
        <v>WasteGasFlareEF_</v>
      </c>
      <c r="Q984" s="729"/>
      <c r="R984" s="729"/>
      <c r="S984" s="729"/>
      <c r="T984" s="770"/>
      <c r="U984" s="343"/>
      <c r="V984" s="343"/>
    </row>
    <row r="985" spans="1:22" s="364" customFormat="1" ht="12.75" customHeight="1" x14ac:dyDescent="0.25">
      <c r="A985" s="729"/>
      <c r="B985" s="302"/>
      <c r="C985" s="302"/>
      <c r="D985" s="1820"/>
      <c r="E985" s="2818" t="str">
        <f>Translations!$B$586</f>
        <v>Получен отпаден газ</v>
      </c>
      <c r="F985" s="2701"/>
      <c r="G985" s="1326" t="str">
        <f>EUconst_TJpa</f>
        <v>TJ / година</v>
      </c>
      <c r="H985" s="482" t="str">
        <f>IF($I884="","",IF(INDEX(F_ProductBM!H:H,MATCH($P985,F_ProductBM!$Q:$Q,0))="","",INDEX(F_ProductBM!H:H,MATCH($P985,F_ProductBM!$Q:$Q,0))))</f>
        <v/>
      </c>
      <c r="I985" s="1824" t="str">
        <f>IF($I884="","",IF(INDEX(F_ProductBM!I:I,MATCH($P985,F_ProductBM!$Q:$Q,0))="","",INDEX(F_ProductBM!I:I,MATCH($P985,F_ProductBM!$Q:$Q,0))))</f>
        <v/>
      </c>
      <c r="J985" s="1825" t="str">
        <f>IF($I884="","",IF(INDEX(F_ProductBM!J:J,MATCH($P985,F_ProductBM!$Q:$Q,0))="","",INDEX(F_ProductBM!J:J,MATCH($P985,F_ProductBM!$Q:$Q,0))))</f>
        <v/>
      </c>
      <c r="K985" s="482" t="str">
        <f>IF($I884="","",IF(INDEX(F_ProductBM!K:K,MATCH($P985,F_ProductBM!$Q:$Q,0))="","",INDEX(F_ProductBM!K:K,MATCH($P985,F_ProductBM!$Q:$Q,0))))</f>
        <v/>
      </c>
      <c r="L985" s="482" t="str">
        <f>IF($I884="","",IF(INDEX(F_ProductBM!L:L,MATCH($P985,F_ProductBM!$Q:$Q,0))="","",INDEX(F_ProductBM!L:L,MATCH($P985,F_ProductBM!$Q:$Q,0))))</f>
        <v/>
      </c>
      <c r="M985" s="482" t="str">
        <f>IF($I884="","",IF(INDEX(F_ProductBM!M:M,MATCH($P985,F_ProductBM!$Q:$Q,0))="","",INDEX(F_ProductBM!M:M,MATCH($P985,F_ProductBM!$Q:$Q,0))))</f>
        <v/>
      </c>
      <c r="N985" s="1826" t="str">
        <f>IF($I884="","",IF(INDEX(F_ProductBM!N:N,MATCH($P985,F_ProductBM!$Q:$Q,0))="","",INDEX(F_ProductBM!N:N,MATCH($P985,F_ProductBM!$Q:$Q,0))))</f>
        <v/>
      </c>
      <c r="O985" s="698"/>
      <c r="P985" s="1500" t="str">
        <f>EUconst_CNTR_WGImport &amp; I884</f>
        <v>WasteGasIm_</v>
      </c>
      <c r="Q985" s="729"/>
      <c r="R985" s="729"/>
      <c r="S985" s="729"/>
      <c r="T985" s="770"/>
      <c r="U985" s="343"/>
      <c r="V985" s="343"/>
    </row>
    <row r="986" spans="1:22" s="364" customFormat="1" ht="12.75" customHeight="1" x14ac:dyDescent="0.25">
      <c r="A986" s="729"/>
      <c r="B986" s="302"/>
      <c r="C986" s="302"/>
      <c r="D986" s="1820"/>
      <c r="E986" s="1834" t="str">
        <f>Translations!$B$587</f>
        <v>Специфичен EF (получен отпаден газ)</v>
      </c>
      <c r="F986" s="1834"/>
      <c r="G986" s="639" t="str">
        <f>EUconst_tCO2pTJ</f>
        <v>t CO2 / TJ</v>
      </c>
      <c r="H986" s="484" t="str">
        <f>IF($I884="","",IF(INDEX(F_ProductBM!H:H,MATCH($P986,F_ProductBM!$Q:$Q,0))="","",INDEX(F_ProductBM!H:H,MATCH($P986,F_ProductBM!$Q:$Q,0))))</f>
        <v/>
      </c>
      <c r="I986" s="1828" t="str">
        <f>IF($I884="","",IF(INDEX(F_ProductBM!I:I,MATCH($P986,F_ProductBM!$Q:$Q,0))="","",INDEX(F_ProductBM!I:I,MATCH($P986,F_ProductBM!$Q:$Q,0))))</f>
        <v/>
      </c>
      <c r="J986" s="1829" t="str">
        <f>IF($I884="","",IF(INDEX(F_ProductBM!J:J,MATCH($P986,F_ProductBM!$Q:$Q,0))="","",INDEX(F_ProductBM!J:J,MATCH($P986,F_ProductBM!$Q:$Q,0))))</f>
        <v/>
      </c>
      <c r="K986" s="484" t="str">
        <f>IF($I884="","",IF(INDEX(F_ProductBM!K:K,MATCH($P986,F_ProductBM!$Q:$Q,0))="","",INDEX(F_ProductBM!K:K,MATCH($P986,F_ProductBM!$Q:$Q,0))))</f>
        <v/>
      </c>
      <c r="L986" s="484" t="str">
        <f>IF($I884="","",IF(INDEX(F_ProductBM!L:L,MATCH($P986,F_ProductBM!$Q:$Q,0))="","",INDEX(F_ProductBM!L:L,MATCH($P986,F_ProductBM!$Q:$Q,0))))</f>
        <v/>
      </c>
      <c r="M986" s="484" t="str">
        <f>IF($I884="","",IF(INDEX(F_ProductBM!M:M,MATCH($P986,F_ProductBM!$Q:$Q,0))="","",INDEX(F_ProductBM!M:M,MATCH($P986,F_ProductBM!$Q:$Q,0))))</f>
        <v/>
      </c>
      <c r="N986" s="1830" t="str">
        <f>IF($I884="","",IF(INDEX(F_ProductBM!N:N,MATCH($P986,F_ProductBM!$Q:$Q,0))="","",INDEX(F_ProductBM!N:N,MATCH($P986,F_ProductBM!$Q:$Q,0))))</f>
        <v/>
      </c>
      <c r="O986" s="698"/>
      <c r="P986" s="1500" t="str">
        <f>EUconst_CNTR_WGImportEF &amp; I884</f>
        <v>WasteGasImEF_</v>
      </c>
      <c r="Q986" s="729"/>
      <c r="R986" s="729"/>
      <c r="S986" s="729"/>
      <c r="T986" s="770"/>
      <c r="U986" s="343"/>
      <c r="V986" s="343"/>
    </row>
    <row r="987" spans="1:22" s="364" customFormat="1" ht="12.75" customHeight="1" x14ac:dyDescent="0.25">
      <c r="A987" s="729"/>
      <c r="B987" s="302"/>
      <c r="C987" s="302"/>
      <c r="D987" s="1820"/>
      <c r="E987" s="2818" t="str">
        <f>Translations!$B$591</f>
        <v>Подаден отпаден газ</v>
      </c>
      <c r="F987" s="2701"/>
      <c r="G987" s="1326" t="str">
        <f>EUconst_TJpa</f>
        <v>TJ / година</v>
      </c>
      <c r="H987" s="482" t="str">
        <f>IF($I884="","",IF(INDEX(F_ProductBM!H:H,MATCH($P987,F_ProductBM!$Q:$Q,0))="","",INDEX(F_ProductBM!H:H,MATCH($P987,F_ProductBM!$Q:$Q,0))))</f>
        <v/>
      </c>
      <c r="I987" s="1824" t="str">
        <f>IF($I884="","",IF(INDEX(F_ProductBM!I:I,MATCH($P987,F_ProductBM!$Q:$Q,0))="","",INDEX(F_ProductBM!I:I,MATCH($P987,F_ProductBM!$Q:$Q,0))))</f>
        <v/>
      </c>
      <c r="J987" s="1825" t="str">
        <f>IF($I884="","",IF(INDEX(F_ProductBM!J:J,MATCH($P987,F_ProductBM!$Q:$Q,0))="","",INDEX(F_ProductBM!J:J,MATCH($P987,F_ProductBM!$Q:$Q,0))))</f>
        <v/>
      </c>
      <c r="K987" s="482" t="str">
        <f>IF($I884="","",IF(INDEX(F_ProductBM!K:K,MATCH($P987,F_ProductBM!$Q:$Q,0))="","",INDEX(F_ProductBM!K:K,MATCH($P987,F_ProductBM!$Q:$Q,0))))</f>
        <v/>
      </c>
      <c r="L987" s="482" t="str">
        <f>IF($I884="","",IF(INDEX(F_ProductBM!L:L,MATCH($P987,F_ProductBM!$Q:$Q,0))="","",INDEX(F_ProductBM!L:L,MATCH($P987,F_ProductBM!$Q:$Q,0))))</f>
        <v/>
      </c>
      <c r="M987" s="482" t="str">
        <f>IF($I884="","",IF(INDEX(F_ProductBM!M:M,MATCH($P987,F_ProductBM!$Q:$Q,0))="","",INDEX(F_ProductBM!M:M,MATCH($P987,F_ProductBM!$Q:$Q,0))))</f>
        <v/>
      </c>
      <c r="N987" s="1826" t="str">
        <f>IF($I884="","",IF(INDEX(F_ProductBM!N:N,MATCH($P987,F_ProductBM!$Q:$Q,0))="","",INDEX(F_ProductBM!N:N,MATCH($P987,F_ProductBM!$Q:$Q,0))))</f>
        <v/>
      </c>
      <c r="O987" s="698"/>
      <c r="P987" s="1500" t="str">
        <f>EUconst_CNTR_WGExport &amp; I884</f>
        <v>WasteGasEx_</v>
      </c>
      <c r="Q987" s="729"/>
      <c r="R987" s="729"/>
      <c r="S987" s="729"/>
      <c r="T987" s="770"/>
      <c r="U987" s="343"/>
      <c r="V987" s="343"/>
    </row>
    <row r="988" spans="1:22" s="364" customFormat="1" ht="12.75" customHeight="1" x14ac:dyDescent="0.25">
      <c r="A988" s="729"/>
      <c r="B988" s="302"/>
      <c r="C988" s="302"/>
      <c r="D988" s="1820"/>
      <c r="E988" s="2819" t="str">
        <f>Translations!$B$592</f>
        <v>Специфичен EF (подаден отпаден газ)</v>
      </c>
      <c r="F988" s="2705"/>
      <c r="G988" s="639" t="str">
        <f>EUconst_tCO2pTJ</f>
        <v>t CO2 / TJ</v>
      </c>
      <c r="H988" s="484" t="str">
        <f>IF($I884="","",IF(INDEX(F_ProductBM!H:H,MATCH($P988,F_ProductBM!$Q:$Q,0))="","",INDEX(F_ProductBM!H:H,MATCH($P988,F_ProductBM!$Q:$Q,0))))</f>
        <v/>
      </c>
      <c r="I988" s="1828" t="str">
        <f>IF($I884="","",IF(INDEX(F_ProductBM!I:I,MATCH($P988,F_ProductBM!$Q:$Q,0))="","",INDEX(F_ProductBM!I:I,MATCH($P988,F_ProductBM!$Q:$Q,0))))</f>
        <v/>
      </c>
      <c r="J988" s="1829" t="str">
        <f>IF($I884="","",IF(INDEX(F_ProductBM!J:J,MATCH($P988,F_ProductBM!$Q:$Q,0))="","",INDEX(F_ProductBM!J:J,MATCH($P988,F_ProductBM!$Q:$Q,0))))</f>
        <v/>
      </c>
      <c r="K988" s="484" t="str">
        <f>IF($I884="","",IF(INDEX(F_ProductBM!K:K,MATCH($P988,F_ProductBM!$Q:$Q,0))="","",INDEX(F_ProductBM!K:K,MATCH($P988,F_ProductBM!$Q:$Q,0))))</f>
        <v/>
      </c>
      <c r="L988" s="484" t="str">
        <f>IF($I884="","",IF(INDEX(F_ProductBM!L:L,MATCH($P988,F_ProductBM!$Q:$Q,0))="","",INDEX(F_ProductBM!L:L,MATCH($P988,F_ProductBM!$Q:$Q,0))))</f>
        <v/>
      </c>
      <c r="M988" s="484" t="str">
        <f>IF($I884="","",IF(INDEX(F_ProductBM!M:M,MATCH($P988,F_ProductBM!$Q:$Q,0))="","",INDEX(F_ProductBM!M:M,MATCH($P988,F_ProductBM!$Q:$Q,0))))</f>
        <v/>
      </c>
      <c r="N988" s="1830" t="str">
        <f>IF($I884="","",IF(INDEX(F_ProductBM!N:N,MATCH($P988,F_ProductBM!$Q:$Q,0))="","",INDEX(F_ProductBM!N:N,MATCH($P988,F_ProductBM!$Q:$Q,0))))</f>
        <v/>
      </c>
      <c r="O988" s="698"/>
      <c r="P988" s="1500" t="str">
        <f>EUconst_CNTR_WGExportEF &amp; I884</f>
        <v>WasteGasExEF_</v>
      </c>
      <c r="Q988" s="729"/>
      <c r="R988" s="729"/>
      <c r="S988" s="729"/>
      <c r="T988" s="770"/>
      <c r="U988" s="343"/>
      <c r="V988" s="343"/>
    </row>
    <row r="989" spans="1:22" s="364" customFormat="1" ht="5.15" customHeight="1" x14ac:dyDescent="0.25">
      <c r="A989" s="729"/>
      <c r="B989" s="302"/>
      <c r="C989" s="302"/>
      <c r="D989" s="1820"/>
      <c r="E989" s="643"/>
      <c r="F989" s="643"/>
      <c r="G989" s="625"/>
      <c r="H989" s="640"/>
      <c r="I989" s="640"/>
      <c r="J989" s="640"/>
      <c r="K989" s="640"/>
      <c r="L989" s="640"/>
      <c r="M989" s="640"/>
      <c r="N989" s="1831"/>
      <c r="O989" s="698"/>
      <c r="P989" s="770"/>
      <c r="Q989" s="729"/>
      <c r="R989" s="729"/>
      <c r="S989" s="729"/>
      <c r="T989" s="770"/>
      <c r="U989" s="343"/>
      <c r="V989" s="343"/>
    </row>
    <row r="990" spans="1:22" s="364" customFormat="1" ht="12.75" customHeight="1" x14ac:dyDescent="0.25">
      <c r="A990" s="729"/>
      <c r="B990" s="302"/>
      <c r="C990" s="302"/>
      <c r="D990" s="1820"/>
      <c r="E990" s="2820" t="str">
        <f>Translations!$B$485</f>
        <v>Съответно потребление на електроенергия</v>
      </c>
      <c r="F990" s="2258"/>
      <c r="G990" s="1319" t="str">
        <f>EUconst_MWhpa</f>
        <v>MWh / година</v>
      </c>
      <c r="H990" s="480" t="str">
        <f>IF($I884="","",IF(INDEX(F_ProductBM!H:H,MATCH($P990,F_ProductBM!$Q:$Q,0))="","",INDEX(F_ProductBM!H:H,MATCH($P990,F_ProductBM!$Q:$Q,0))))</f>
        <v/>
      </c>
      <c r="I990" s="1399" t="str">
        <f>IF($I884="","",IF(INDEX(F_ProductBM!I:I,MATCH($P990,F_ProductBM!$Q:$Q,0))="","",INDEX(F_ProductBM!I:I,MATCH($P990,F_ProductBM!$Q:$Q,0))))</f>
        <v/>
      </c>
      <c r="J990" s="1832" t="str">
        <f>IF($I884="","",IF(INDEX(F_ProductBM!J:J,MATCH($P990,F_ProductBM!$Q:$Q,0))="","",INDEX(F_ProductBM!J:J,MATCH($P990,F_ProductBM!$Q:$Q,0))))</f>
        <v/>
      </c>
      <c r="K990" s="480" t="str">
        <f>IF($I884="","",IF(INDEX(F_ProductBM!K:K,MATCH($P990,F_ProductBM!$Q:$Q,0))="","",INDEX(F_ProductBM!K:K,MATCH($P990,F_ProductBM!$Q:$Q,0))))</f>
        <v/>
      </c>
      <c r="L990" s="480" t="str">
        <f>IF($I884="","",IF(INDEX(F_ProductBM!L:L,MATCH($P990,F_ProductBM!$Q:$Q,0))="","",INDEX(F_ProductBM!L:L,MATCH($P990,F_ProductBM!$Q:$Q,0))))</f>
        <v/>
      </c>
      <c r="M990" s="480" t="str">
        <f>IF($I884="","",IF(INDEX(F_ProductBM!M:M,MATCH($P990,F_ProductBM!$Q:$Q,0))="","",INDEX(F_ProductBM!M:M,MATCH($P990,F_ProductBM!$Q:$Q,0))))</f>
        <v/>
      </c>
      <c r="N990" s="1833" t="str">
        <f>IF($I884="","",IF(INDEX(F_ProductBM!N:N,MATCH($P990,F_ProductBM!$Q:$Q,0))="","",INDEX(F_ProductBM!N:N,MATCH($P990,F_ProductBM!$Q:$Q,0))))</f>
        <v/>
      </c>
      <c r="O990" s="698"/>
      <c r="P990" s="1190" t="str">
        <f>EUconst_CNTR_HAL&amp;EUconst_CNTR_ELEXCH &amp; I884</f>
        <v>HAL_ELEXCH_</v>
      </c>
      <c r="Q990" s="729"/>
      <c r="R990" s="729"/>
      <c r="S990" s="729"/>
      <c r="T990" s="770"/>
      <c r="U990" s="343"/>
      <c r="V990" s="343"/>
    </row>
    <row r="991" spans="1:22" s="364" customFormat="1" ht="12.75" customHeight="1" x14ac:dyDescent="0.25">
      <c r="A991" s="729"/>
      <c r="B991" s="302"/>
      <c r="C991" s="302"/>
      <c r="D991" s="1820"/>
      <c r="E991" s="2820" t="str">
        <f>Translations!$B$595</f>
        <v>Произведена електроенергия</v>
      </c>
      <c r="F991" s="2258"/>
      <c r="G991" s="1319" t="str">
        <f>EUconst_MWhpa</f>
        <v>MWh / година</v>
      </c>
      <c r="H991" s="480" t="str">
        <f>IF($I884="","",IF(INDEX(F_ProductBM!H:H,MATCH($P991,F_ProductBM!$Q:$Q,0))="","",INDEX(F_ProductBM!H:H,MATCH($P991,F_ProductBM!$Q:$Q,0))))</f>
        <v/>
      </c>
      <c r="I991" s="1399" t="str">
        <f>IF($I884="","",IF(INDEX(F_ProductBM!I:I,MATCH($P991,F_ProductBM!$Q:$Q,0))="","",INDEX(F_ProductBM!I:I,MATCH($P991,F_ProductBM!$Q:$Q,0))))</f>
        <v/>
      </c>
      <c r="J991" s="1832" t="str">
        <f>IF($I884="","",IF(INDEX(F_ProductBM!J:J,MATCH($P991,F_ProductBM!$Q:$Q,0))="","",INDEX(F_ProductBM!J:J,MATCH($P991,F_ProductBM!$Q:$Q,0))))</f>
        <v/>
      </c>
      <c r="K991" s="480" t="str">
        <f>IF($I884="","",IF(INDEX(F_ProductBM!K:K,MATCH($P991,F_ProductBM!$Q:$Q,0))="","",INDEX(F_ProductBM!K:K,MATCH($P991,F_ProductBM!$Q:$Q,0))))</f>
        <v/>
      </c>
      <c r="L991" s="480" t="str">
        <f>IF($I884="","",IF(INDEX(F_ProductBM!L:L,MATCH($P991,F_ProductBM!$Q:$Q,0))="","",INDEX(F_ProductBM!L:L,MATCH($P991,F_ProductBM!$Q:$Q,0))))</f>
        <v/>
      </c>
      <c r="M991" s="480" t="str">
        <f>IF($I884="","",IF(INDEX(F_ProductBM!M:M,MATCH($P991,F_ProductBM!$Q:$Q,0))="","",INDEX(F_ProductBM!M:M,MATCH($P991,F_ProductBM!$Q:$Q,0))))</f>
        <v/>
      </c>
      <c r="N991" s="1833" t="str">
        <f>IF($I884="","",IF(INDEX(F_ProductBM!N:N,MATCH($P991,F_ProductBM!$Q:$Q,0))="","",INDEX(F_ProductBM!N:N,MATCH($P991,F_ProductBM!$Q:$Q,0))))</f>
        <v/>
      </c>
      <c r="O991" s="698"/>
      <c r="P991" s="1500" t="str">
        <f>EUconst_CNTR_ElectricityExported &amp; I884</f>
        <v>ElecEx_</v>
      </c>
      <c r="Q991" s="729"/>
      <c r="R991" s="729"/>
      <c r="S991" s="729"/>
      <c r="T991" s="770"/>
      <c r="U991" s="343"/>
      <c r="V991" s="343"/>
    </row>
    <row r="992" spans="1:22" s="364" customFormat="1" ht="5.15" customHeight="1" x14ac:dyDescent="0.25">
      <c r="A992" s="729"/>
      <c r="B992" s="302"/>
      <c r="C992" s="302"/>
      <c r="D992" s="1820"/>
      <c r="E992" s="643"/>
      <c r="F992" s="643"/>
      <c r="G992" s="625"/>
      <c r="H992" s="640"/>
      <c r="I992" s="640"/>
      <c r="J992" s="640"/>
      <c r="K992" s="640"/>
      <c r="L992" s="640"/>
      <c r="M992" s="640"/>
      <c r="N992" s="1831"/>
      <c r="O992" s="698"/>
      <c r="P992" s="770"/>
      <c r="Q992" s="729"/>
      <c r="R992" s="729"/>
      <c r="S992" s="729"/>
      <c r="T992" s="770"/>
      <c r="U992" s="343"/>
      <c r="V992" s="343"/>
    </row>
    <row r="993" spans="1:22" s="364" customFormat="1" x14ac:dyDescent="0.25">
      <c r="A993" s="729"/>
      <c r="B993" s="302"/>
      <c r="C993" s="302"/>
      <c r="D993" s="1820"/>
      <c r="E993" s="3059" t="str">
        <f>Translations!$B$957</f>
        <v>Междинно получаване:</v>
      </c>
      <c r="F993" s="2672"/>
      <c r="G993" s="625"/>
      <c r="H993" s="640"/>
      <c r="I993" s="640"/>
      <c r="J993" s="640"/>
      <c r="K993" s="640"/>
      <c r="L993" s="640"/>
      <c r="M993" s="640"/>
      <c r="N993" s="1831"/>
      <c r="O993" s="698"/>
      <c r="P993" s="770"/>
      <c r="Q993" s="729"/>
      <c r="R993" s="729"/>
      <c r="S993" s="729"/>
      <c r="T993" s="770"/>
      <c r="U993" s="343"/>
      <c r="V993" s="343"/>
    </row>
    <row r="994" spans="1:22" s="364" customFormat="1" x14ac:dyDescent="0.25">
      <c r="A994" s="729"/>
      <c r="B994" s="302"/>
      <c r="C994" s="302"/>
      <c r="D994" s="1820"/>
      <c r="E994" s="2814" t="str">
        <f>IF(I884="","",IF(INDEX(F_ProductBM!E:E,MATCH($P994,F_ProductBM!$Q:$Q,0))="","",INDEX(F_ProductBM!E:E,MATCH($P994,F_ProductBM!$Q:$Q,0))))</f>
        <v/>
      </c>
      <c r="F994" s="2258"/>
      <c r="G994" s="1319" t="str">
        <f>EUconst_Tons</f>
        <v>тона</v>
      </c>
      <c r="H994" s="480" t="str">
        <f>IF($I884="","",IF(INDEX(F_ProductBM!H:H,MATCH($P994,F_ProductBM!$Q:$Q,0))="","",INDEX(F_ProductBM!H:H,MATCH($P994,F_ProductBM!$Q:$Q,0))))</f>
        <v/>
      </c>
      <c r="I994" s="1399" t="str">
        <f>IF($I884="","",IF(INDEX(F_ProductBM!I:I,MATCH($P994,F_ProductBM!$Q:$Q,0))="","",INDEX(F_ProductBM!I:I,MATCH($P994,F_ProductBM!$Q:$Q,0))))</f>
        <v/>
      </c>
      <c r="J994" s="1832" t="str">
        <f>IF($I884="","",IF(INDEX(F_ProductBM!J:J,MATCH($P994,F_ProductBM!$Q:$Q,0))="","",INDEX(F_ProductBM!J:J,MATCH($P994,F_ProductBM!$Q:$Q,0))))</f>
        <v/>
      </c>
      <c r="K994" s="480" t="str">
        <f>IF($I884="","",IF(INDEX(F_ProductBM!K:K,MATCH($P994,F_ProductBM!$Q:$Q,0))="","",INDEX(F_ProductBM!K:K,MATCH($P994,F_ProductBM!$Q:$Q,0))))</f>
        <v/>
      </c>
      <c r="L994" s="480" t="str">
        <f>IF($I884="","",IF(INDEX(F_ProductBM!L:L,MATCH($P994,F_ProductBM!$Q:$Q,0))="","",INDEX(F_ProductBM!L:L,MATCH($P994,F_ProductBM!$Q:$Q,0))))</f>
        <v/>
      </c>
      <c r="M994" s="480" t="str">
        <f>IF($I884="","",IF(INDEX(F_ProductBM!M:M,MATCH($P994,F_ProductBM!$Q:$Q,0))="","",INDEX(F_ProductBM!M:M,MATCH($P994,F_ProductBM!$Q:$Q,0))))</f>
        <v/>
      </c>
      <c r="N994" s="1833" t="str">
        <f>IF($I884="","",IF(INDEX(F_ProductBM!N:N,MATCH($P994,F_ProductBM!$Q:$Q,0))="","",INDEX(F_ProductBM!N:N,MATCH($P994,F_ProductBM!$Q:$Q,0))))</f>
        <v/>
      </c>
      <c r="O994" s="698"/>
      <c r="P994" s="1500" t="str">
        <f>EUconst_CNTR_IntermediateImport &amp; R994 &amp; "_" &amp; I884</f>
        <v>IntImp_1_</v>
      </c>
      <c r="Q994" s="729"/>
      <c r="R994" s="1176">
        <v>1</v>
      </c>
      <c r="S994" s="729"/>
      <c r="T994" s="770"/>
      <c r="U994" s="343"/>
      <c r="V994" s="343"/>
    </row>
    <row r="995" spans="1:22" s="364" customFormat="1" x14ac:dyDescent="0.25">
      <c r="A995" s="729"/>
      <c r="B995" s="302"/>
      <c r="C995" s="302"/>
      <c r="D995" s="1820"/>
      <c r="E995" s="2814" t="str">
        <f>IF(I884="","",IF(INDEX(F_ProductBM!E:E,MATCH($P995,F_ProductBM!$Q:$Q,0))="","",INDEX(F_ProductBM!E:E,MATCH($P995,F_ProductBM!$Q:$Q,0))))</f>
        <v/>
      </c>
      <c r="F995" s="2258"/>
      <c r="G995" s="1319" t="str">
        <f>EUconst_Tons</f>
        <v>тона</v>
      </c>
      <c r="H995" s="480" t="str">
        <f>IF($I884="","",IF(INDEX(F_ProductBM!H:H,MATCH($P995,F_ProductBM!$Q:$Q,0))="","",INDEX(F_ProductBM!H:H,MATCH($P995,F_ProductBM!$Q:$Q,0))))</f>
        <v/>
      </c>
      <c r="I995" s="1399" t="str">
        <f>IF($I884="","",IF(INDEX(F_ProductBM!I:I,MATCH($P995,F_ProductBM!$Q:$Q,0))="","",INDEX(F_ProductBM!I:I,MATCH($P995,F_ProductBM!$Q:$Q,0))))</f>
        <v/>
      </c>
      <c r="J995" s="1832" t="str">
        <f>IF($I884="","",IF(INDEX(F_ProductBM!J:J,MATCH($P995,F_ProductBM!$Q:$Q,0))="","",INDEX(F_ProductBM!J:J,MATCH($P995,F_ProductBM!$Q:$Q,0))))</f>
        <v/>
      </c>
      <c r="K995" s="480" t="str">
        <f>IF($I884="","",IF(INDEX(F_ProductBM!K:K,MATCH($P995,F_ProductBM!$Q:$Q,0))="","",INDEX(F_ProductBM!K:K,MATCH($P995,F_ProductBM!$Q:$Q,0))))</f>
        <v/>
      </c>
      <c r="L995" s="480" t="str">
        <f>IF($I884="","",IF(INDEX(F_ProductBM!L:L,MATCH($P995,F_ProductBM!$Q:$Q,0))="","",INDEX(F_ProductBM!L:L,MATCH($P995,F_ProductBM!$Q:$Q,0))))</f>
        <v/>
      </c>
      <c r="M995" s="480" t="str">
        <f>IF($I884="","",IF(INDEX(F_ProductBM!M:M,MATCH($P995,F_ProductBM!$Q:$Q,0))="","",INDEX(F_ProductBM!M:M,MATCH($P995,F_ProductBM!$Q:$Q,0))))</f>
        <v/>
      </c>
      <c r="N995" s="1833" t="str">
        <f>IF($I884="","",IF(INDEX(F_ProductBM!N:N,MATCH($P995,F_ProductBM!$Q:$Q,0))="","",INDEX(F_ProductBM!N:N,MATCH($P995,F_ProductBM!$Q:$Q,0))))</f>
        <v/>
      </c>
      <c r="O995" s="698"/>
      <c r="P995" s="1500" t="str">
        <f>EUconst_CNTR_IntermediateImport &amp; R995 &amp; "_" &amp; I884</f>
        <v>IntImp_2_</v>
      </c>
      <c r="Q995" s="729"/>
      <c r="R995" s="1176">
        <v>2</v>
      </c>
      <c r="S995" s="729"/>
      <c r="T995" s="770"/>
      <c r="U995" s="343"/>
      <c r="V995" s="343"/>
    </row>
    <row r="996" spans="1:22" s="364" customFormat="1" x14ac:dyDescent="0.25">
      <c r="A996" s="729"/>
      <c r="B996" s="302"/>
      <c r="C996" s="302"/>
      <c r="D996" s="1820"/>
      <c r="E996" s="2820" t="str">
        <f>Translations!$B$958</f>
        <v>Междинно подаване:</v>
      </c>
      <c r="F996" s="2258"/>
      <c r="G996" s="625"/>
      <c r="H996" s="640"/>
      <c r="I996" s="640"/>
      <c r="J996" s="640"/>
      <c r="K996" s="640"/>
      <c r="L996" s="640"/>
      <c r="M996" s="640"/>
      <c r="N996" s="1831"/>
      <c r="O996" s="698"/>
      <c r="P996" s="770"/>
      <c r="Q996" s="729"/>
      <c r="R996" s="729"/>
      <c r="S996" s="729"/>
      <c r="T996" s="770"/>
      <c r="U996" s="343"/>
      <c r="V996" s="343"/>
    </row>
    <row r="997" spans="1:22" s="364" customFormat="1" x14ac:dyDescent="0.25">
      <c r="A997" s="729"/>
      <c r="B997" s="302"/>
      <c r="C997" s="302"/>
      <c r="D997" s="1820"/>
      <c r="E997" s="2814" t="str">
        <f>IF(I884="","",IF(INDEX(F_ProductBM!E:E,MATCH($P997,F_ProductBM!$Q:$Q,0))="","",INDEX(F_ProductBM!E:E,MATCH($P997,F_ProductBM!$Q:$Q,0))))</f>
        <v/>
      </c>
      <c r="F997" s="2258"/>
      <c r="G997" s="1319" t="str">
        <f>EUconst_Tons</f>
        <v>тона</v>
      </c>
      <c r="H997" s="480" t="str">
        <f>IF($I884="","",IF(INDEX(F_ProductBM!H:H,MATCH($P997,F_ProductBM!$Q:$Q,0))="","",INDEX(F_ProductBM!H:H,MATCH($P997,F_ProductBM!$Q:$Q,0))))</f>
        <v/>
      </c>
      <c r="I997" s="1399" t="str">
        <f>IF($I884="","",IF(INDEX(F_ProductBM!I:I,MATCH($P997,F_ProductBM!$Q:$Q,0))="","",INDEX(F_ProductBM!I:I,MATCH($P997,F_ProductBM!$Q:$Q,0))))</f>
        <v/>
      </c>
      <c r="J997" s="1832" t="str">
        <f>IF($I884="","",IF(INDEX(F_ProductBM!J:J,MATCH($P997,F_ProductBM!$Q:$Q,0))="","",INDEX(F_ProductBM!J:J,MATCH($P997,F_ProductBM!$Q:$Q,0))))</f>
        <v/>
      </c>
      <c r="K997" s="480" t="str">
        <f>IF($I884="","",IF(INDEX(F_ProductBM!K:K,MATCH($P997,F_ProductBM!$Q:$Q,0))="","",INDEX(F_ProductBM!K:K,MATCH($P997,F_ProductBM!$Q:$Q,0))))</f>
        <v/>
      </c>
      <c r="L997" s="480" t="str">
        <f>IF($I884="","",IF(INDEX(F_ProductBM!L:L,MATCH($P997,F_ProductBM!$Q:$Q,0))="","",INDEX(F_ProductBM!L:L,MATCH($P997,F_ProductBM!$Q:$Q,0))))</f>
        <v/>
      </c>
      <c r="M997" s="480" t="str">
        <f>IF($I884="","",IF(INDEX(F_ProductBM!M:M,MATCH($P997,F_ProductBM!$Q:$Q,0))="","",INDEX(F_ProductBM!M:M,MATCH($P997,F_ProductBM!$Q:$Q,0))))</f>
        <v/>
      </c>
      <c r="N997" s="1833" t="str">
        <f>IF($I884="","",IF(INDEX(F_ProductBM!N:N,MATCH($P997,F_ProductBM!$Q:$Q,0))="","",INDEX(F_ProductBM!N:N,MATCH($P997,F_ProductBM!$Q:$Q,0))))</f>
        <v/>
      </c>
      <c r="O997" s="698"/>
      <c r="P997" s="1500" t="str">
        <f>EUconst_CNTR_IntermediateExport &amp; R994 &amp; "_" &amp; I884</f>
        <v>IntExp_1_</v>
      </c>
      <c r="Q997" s="729"/>
      <c r="R997" s="1176">
        <v>1</v>
      </c>
      <c r="S997" s="729"/>
      <c r="T997" s="770"/>
      <c r="U997" s="343"/>
      <c r="V997" s="343"/>
    </row>
    <row r="998" spans="1:22" s="364" customFormat="1" x14ac:dyDescent="0.25">
      <c r="A998" s="729"/>
      <c r="B998" s="302"/>
      <c r="C998" s="302"/>
      <c r="D998" s="1820"/>
      <c r="E998" s="2814" t="str">
        <f>IF(I884="","",IF(INDEX(F_ProductBM!E:E,MATCH($P998,F_ProductBM!$Q:$Q,0))="","",INDEX(F_ProductBM!E:E,MATCH($P998,F_ProductBM!$Q:$Q,0))))</f>
        <v/>
      </c>
      <c r="F998" s="2258"/>
      <c r="G998" s="1319" t="str">
        <f>EUconst_Tons</f>
        <v>тона</v>
      </c>
      <c r="H998" s="480" t="str">
        <f>IF($I884="","",IF(INDEX(F_ProductBM!H:H,MATCH($P998,F_ProductBM!$Q:$Q,0))="","",INDEX(F_ProductBM!H:H,MATCH($P998,F_ProductBM!$Q:$Q,0))))</f>
        <v/>
      </c>
      <c r="I998" s="1399" t="str">
        <f>IF($I884="","",IF(INDEX(F_ProductBM!I:I,MATCH($P998,F_ProductBM!$Q:$Q,0))="","",INDEX(F_ProductBM!I:I,MATCH($P998,F_ProductBM!$Q:$Q,0))))</f>
        <v/>
      </c>
      <c r="J998" s="1832" t="str">
        <f>IF($I884="","",IF(INDEX(F_ProductBM!J:J,MATCH($P998,F_ProductBM!$Q:$Q,0))="","",INDEX(F_ProductBM!J:J,MATCH($P998,F_ProductBM!$Q:$Q,0))))</f>
        <v/>
      </c>
      <c r="K998" s="480" t="str">
        <f>IF($I884="","",IF(INDEX(F_ProductBM!K:K,MATCH($P998,F_ProductBM!$Q:$Q,0))="","",INDEX(F_ProductBM!K:K,MATCH($P998,F_ProductBM!$Q:$Q,0))))</f>
        <v/>
      </c>
      <c r="L998" s="480" t="str">
        <f>IF($I884="","",IF(INDEX(F_ProductBM!L:L,MATCH($P998,F_ProductBM!$Q:$Q,0))="","",INDEX(F_ProductBM!L:L,MATCH($P998,F_ProductBM!$Q:$Q,0))))</f>
        <v/>
      </c>
      <c r="M998" s="480" t="str">
        <f>IF($I884="","",IF(INDEX(F_ProductBM!M:M,MATCH($P998,F_ProductBM!$Q:$Q,0))="","",INDEX(F_ProductBM!M:M,MATCH($P998,F_ProductBM!$Q:$Q,0))))</f>
        <v/>
      </c>
      <c r="N998" s="1833" t="str">
        <f>IF($I884="","",IF(INDEX(F_ProductBM!N:N,MATCH($P998,F_ProductBM!$Q:$Q,0))="","",INDEX(F_ProductBM!N:N,MATCH($P998,F_ProductBM!$Q:$Q,0))))</f>
        <v/>
      </c>
      <c r="O998" s="698"/>
      <c r="P998" s="1500" t="str">
        <f>EUconst_CNTR_IntermediateExport &amp; R998 &amp; "_" &amp; I884</f>
        <v>IntExp_2_</v>
      </c>
      <c r="Q998" s="729"/>
      <c r="R998" s="1176">
        <v>2</v>
      </c>
      <c r="S998" s="729"/>
      <c r="T998" s="770"/>
      <c r="U998" s="343"/>
      <c r="V998" s="343"/>
    </row>
    <row r="999" spans="1:22" s="364" customFormat="1" ht="5.15" customHeight="1" x14ac:dyDescent="0.25">
      <c r="A999" s="729"/>
      <c r="B999" s="302"/>
      <c r="C999" s="302"/>
      <c r="D999" s="1820"/>
      <c r="E999" s="625"/>
      <c r="F999" s="625"/>
      <c r="G999" s="625"/>
      <c r="H999" s="625"/>
      <c r="I999" s="644"/>
      <c r="J999" s="644"/>
      <c r="K999" s="644"/>
      <c r="L999" s="644"/>
      <c r="M999" s="644"/>
      <c r="N999" s="1316"/>
      <c r="O999" s="698"/>
      <c r="P999" s="770"/>
      <c r="Q999" s="729"/>
      <c r="R999" s="1165"/>
      <c r="S999" s="729"/>
      <c r="T999" s="770"/>
      <c r="U999" s="343"/>
      <c r="V999" s="343"/>
    </row>
    <row r="1000" spans="1:22" s="364" customFormat="1" ht="13" x14ac:dyDescent="0.25">
      <c r="A1000" s="729"/>
      <c r="B1000" s="302"/>
      <c r="C1000" s="302"/>
      <c r="D1000" s="1820"/>
      <c r="E1000" s="3060" t="str">
        <f>Translations!$B$1585</f>
        <v>Корекции за актуализиране на показателя при специфичен показател, когато е приложимо</v>
      </c>
      <c r="F1000" s="3060"/>
      <c r="G1000" s="3060"/>
      <c r="H1000" s="3060"/>
      <c r="I1000" s="3060"/>
      <c r="J1000" s="3060"/>
      <c r="K1000" s="3060"/>
      <c r="L1000" s="3060"/>
      <c r="M1000" s="3060"/>
      <c r="N1000" s="1316"/>
      <c r="O1000" s="698"/>
      <c r="P1000" s="770"/>
      <c r="Q1000" s="729"/>
      <c r="R1000" s="1165"/>
      <c r="S1000" s="729"/>
      <c r="T1000" s="770"/>
      <c r="U1000" s="343"/>
      <c r="V1000" s="343"/>
    </row>
    <row r="1001" spans="1:22" s="364" customFormat="1" x14ac:dyDescent="0.25">
      <c r="A1001" s="729"/>
      <c r="B1001" s="302"/>
      <c r="C1001" s="302"/>
      <c r="D1001" s="1820"/>
      <c r="E1001" s="641" t="str">
        <f>Translations!$B$596</f>
        <v>Общо количество произведен пулп</v>
      </c>
      <c r="F1001" s="1835"/>
      <c r="G1001" s="642" t="str">
        <f>EUconst_Tons</f>
        <v>тона</v>
      </c>
      <c r="H1001" s="499" t="str">
        <f>IF($I884="","",IF(INDEX(F_ProductBM!H:H,MATCH($P1001,F_ProductBM!$Q:$Q,0))="","",INDEX(F_ProductBM!H:H,MATCH($P1001,F_ProductBM!$Q:$Q,0))))</f>
        <v/>
      </c>
      <c r="I1001" s="1399" t="str">
        <f>IF($I884="","",IF(INDEX(F_ProductBM!I:I,MATCH($P1001,F_ProductBM!$Q:$Q,0))="","",INDEX(F_ProductBM!I:I,MATCH($P1001,F_ProductBM!$Q:$Q,0))))</f>
        <v/>
      </c>
      <c r="J1001" s="1832" t="str">
        <f>IF($I884="","",IF(INDEX(F_ProductBM!J:J,MATCH($P1001,F_ProductBM!$Q:$Q,0))="","",INDEX(F_ProductBM!J:J,MATCH($P1001,F_ProductBM!$Q:$Q,0))))</f>
        <v/>
      </c>
      <c r="K1001" s="499" t="str">
        <f>IF($I884="","",IF(INDEX(F_ProductBM!K:K,MATCH($P1001,F_ProductBM!$Q:$Q,0))="","",INDEX(F_ProductBM!K:K,MATCH($P1001,F_ProductBM!$Q:$Q,0))))</f>
        <v/>
      </c>
      <c r="L1001" s="499" t="str">
        <f>IF($I884="","",IF(INDEX(F_ProductBM!L:L,MATCH($P1001,F_ProductBM!$Q:$Q,0))="","",INDEX(F_ProductBM!L:L,MATCH($P1001,F_ProductBM!$Q:$Q,0))))</f>
        <v/>
      </c>
      <c r="M1001" s="499" t="str">
        <f>IF($I884="","",IF(INDEX(F_ProductBM!M:M,MATCH($P1001,F_ProductBM!$Q:$Q,0))="","",INDEX(F_ProductBM!M:M,MATCH($P1001,F_ProductBM!$Q:$Q,0))))</f>
        <v/>
      </c>
      <c r="N1001" s="1836" t="str">
        <f>IF($I884="","",IF(INDEX(F_ProductBM!N:N,MATCH($P1001,F_ProductBM!$Q:$Q,0))="","",INDEX(F_ProductBM!N:N,MATCH($P1001,F_ProductBM!$Q:$Q,0))))</f>
        <v/>
      </c>
      <c r="O1001" s="698"/>
      <c r="P1001" s="1500" t="str">
        <f>EUconst_CNTR_HALPulpTotal &amp;  I884</f>
        <v>HALPulpTotal_</v>
      </c>
      <c r="Q1001" s="729"/>
      <c r="R1001" s="729"/>
      <c r="S1001" s="729"/>
      <c r="T1001" s="770"/>
      <c r="U1001" s="343"/>
      <c r="V1001" s="343"/>
    </row>
    <row r="1002" spans="1:22" s="364" customFormat="1" ht="5.15" customHeight="1" x14ac:dyDescent="0.25">
      <c r="A1002" s="729"/>
      <c r="B1002" s="302"/>
      <c r="C1002" s="302"/>
      <c r="D1002" s="1820"/>
      <c r="E1002" s="625"/>
      <c r="F1002" s="625"/>
      <c r="G1002" s="625"/>
      <c r="H1002" s="644"/>
      <c r="I1002" s="644"/>
      <c r="J1002" s="644"/>
      <c r="K1002" s="644"/>
      <c r="L1002" s="644"/>
      <c r="M1002" s="644"/>
      <c r="N1002" s="1837"/>
      <c r="O1002" s="698"/>
      <c r="P1002" s="770"/>
      <c r="Q1002" s="729"/>
      <c r="R1002" s="729"/>
      <c r="S1002" s="729"/>
      <c r="T1002" s="770"/>
      <c r="U1002" s="343"/>
      <c r="V1002" s="343"/>
    </row>
    <row r="1003" spans="1:22" s="364" customFormat="1" ht="12.75" customHeight="1" x14ac:dyDescent="0.25">
      <c r="A1003" s="729"/>
      <c r="B1003" s="302"/>
      <c r="C1003" s="302"/>
      <c r="D1003" s="1820"/>
      <c r="E1003" s="641" t="str">
        <f>Translations!$B$1586</f>
        <v>Производство на водород (действително + теоретично)</v>
      </c>
      <c r="F1003" s="1835"/>
      <c r="G1003" s="642" t="str">
        <f>EUconst_Tons</f>
        <v>тона</v>
      </c>
      <c r="H1003" s="499" t="str">
        <f>IF($L887=$R1003,SUMIFS(H_SpecialBM!H:H,H_SpecialBM!$Q:$Q,$P1003),"")</f>
        <v/>
      </c>
      <c r="I1003" s="1399" t="str">
        <f>IF($L887=$R1003,SUMIFS(H_SpecialBM!I:I,H_SpecialBM!$Q:$Q,$P1003),"")</f>
        <v/>
      </c>
      <c r="J1003" s="1832" t="str">
        <f>IF($L887=$R1003,SUMIFS(H_SpecialBM!J:J,H_SpecialBM!$Q:$Q,$P1003),"")</f>
        <v/>
      </c>
      <c r="K1003" s="499" t="str">
        <f>IF($L887=$R1003,SUMIFS(H_SpecialBM!K:K,H_SpecialBM!$Q:$Q,$P1003),"")</f>
        <v/>
      </c>
      <c r="L1003" s="499" t="str">
        <f>IF($L887=$R1003,SUMIFS(H_SpecialBM!L:L,H_SpecialBM!$Q:$Q,$P1003),"")</f>
        <v/>
      </c>
      <c r="M1003" s="499" t="str">
        <f>IF($L887=$R1003,SUMIFS(H_SpecialBM!M:M,H_SpecialBM!$Q:$Q,$P1003),"")</f>
        <v/>
      </c>
      <c r="N1003" s="1836" t="str">
        <f>IF($L887=$R1003,SUMIFS(H_SpecialBM!N:N,H_SpecialBM!$Q:$Q,$P1003),"")</f>
        <v/>
      </c>
      <c r="O1003" s="698"/>
      <c r="P1003" s="1190" t="str">
        <f>EUconst_CNTR_H2ActualPlusTheoretical</f>
        <v>H2Total_</v>
      </c>
      <c r="Q1003" s="729"/>
      <c r="R1003" s="1176">
        <v>50</v>
      </c>
      <c r="S1003" s="729"/>
      <c r="T1003" s="770"/>
      <c r="U1003" s="343"/>
      <c r="V1003" s="343"/>
    </row>
    <row r="1004" spans="1:22" s="364" customFormat="1" x14ac:dyDescent="0.25">
      <c r="A1004" s="729"/>
      <c r="B1004" s="302"/>
      <c r="C1004" s="302"/>
      <c r="D1004" s="1820"/>
      <c r="E1004" s="641" t="str">
        <f>Translations!$B$1587</f>
        <v>Емисии във връзка с водород</v>
      </c>
      <c r="F1004" s="1835"/>
      <c r="G1004" s="642" t="str">
        <f>EUconst_tCO2pa</f>
        <v>t CO2 / година</v>
      </c>
      <c r="H1004" s="499" t="str">
        <f>IF($L887=$R1004,SUMIFS(H_SpecialBM!H:H,H_SpecialBM!$Q:$Q,$P1004),"")</f>
        <v/>
      </c>
      <c r="I1004" s="1399" t="str">
        <f>IF($L887=$R1004,SUMIFS(H_SpecialBM!I:I,H_SpecialBM!$Q:$Q,$P1004),"")</f>
        <v/>
      </c>
      <c r="J1004" s="1832" t="str">
        <f>IF($L887=$R1004,SUMIFS(H_SpecialBM!J:J,H_SpecialBM!$Q:$Q,$P1004),"")</f>
        <v/>
      </c>
      <c r="K1004" s="499" t="str">
        <f>IF($L887=$R1004,SUMIFS(H_SpecialBM!K:K,H_SpecialBM!$Q:$Q,$P1004),"")</f>
        <v/>
      </c>
      <c r="L1004" s="499" t="str">
        <f>IF($L887=$R1004,SUMIFS(H_SpecialBM!L:L,H_SpecialBM!$Q:$Q,$P1004),"")</f>
        <v/>
      </c>
      <c r="M1004" s="499" t="str">
        <f>IF($L887=$R1004,SUMIFS(H_SpecialBM!M:M,H_SpecialBM!$Q:$Q,$P1004),"")</f>
        <v/>
      </c>
      <c r="N1004" s="1836" t="str">
        <f>IF($L887=$R1004,SUMIFS(H_SpecialBM!N:N,H_SpecialBM!$Q:$Q,$P1004),"")</f>
        <v/>
      </c>
      <c r="O1004" s="698"/>
      <c r="P1004" s="1190" t="str">
        <f>EUconst_CNTR_H2AdditionalEmissions</f>
        <v>H2AddEm_</v>
      </c>
      <c r="Q1004" s="729"/>
      <c r="R1004" s="1176">
        <v>50</v>
      </c>
      <c r="S1004" s="729"/>
      <c r="T1004" s="770"/>
      <c r="U1004" s="343"/>
      <c r="V1004" s="343"/>
    </row>
    <row r="1005" spans="1:22" s="364" customFormat="1" ht="5.15" customHeight="1" x14ac:dyDescent="0.25">
      <c r="A1005" s="729"/>
      <c r="B1005" s="302"/>
      <c r="C1005" s="302"/>
      <c r="D1005" s="1820"/>
      <c r="E1005" s="625"/>
      <c r="F1005" s="625"/>
      <c r="G1005" s="625"/>
      <c r="H1005" s="644"/>
      <c r="I1005" s="644"/>
      <c r="J1005" s="644"/>
      <c r="K1005" s="644"/>
      <c r="L1005" s="644"/>
      <c r="M1005" s="644"/>
      <c r="N1005" s="1837"/>
      <c r="O1005" s="698"/>
      <c r="P1005" s="729"/>
      <c r="Q1005" s="729"/>
      <c r="R1005" s="729"/>
      <c r="S1005" s="729"/>
      <c r="T1005" s="770"/>
      <c r="U1005" s="343"/>
      <c r="V1005" s="343"/>
    </row>
    <row r="1006" spans="1:22" s="364" customFormat="1" x14ac:dyDescent="0.25">
      <c r="A1006" s="729"/>
      <c r="B1006" s="302"/>
      <c r="C1006" s="302"/>
      <c r="D1006" s="1820"/>
      <c r="E1006" s="641" t="str">
        <f>Translations!$B$1588</f>
        <v>Корекция на емисиите във връзка с HVC</v>
      </c>
      <c r="F1006" s="1835"/>
      <c r="G1006" s="642" t="str">
        <f>EUconst_tCO2pa</f>
        <v>t CO2 / година</v>
      </c>
      <c r="H1006" s="499" t="str">
        <f>IF($L887=$R1006,-SUMIFS(H_SpecialBM!H:H,H_SpecialBM!$Q:$Q,$P1006),"")</f>
        <v/>
      </c>
      <c r="I1006" s="1399" t="str">
        <f>IF($L887=$R1006,-SUMIFS(H_SpecialBM!I:I,H_SpecialBM!$Q:$Q,$P1006),"")</f>
        <v/>
      </c>
      <c r="J1006" s="1832" t="str">
        <f>IF($L887=$R1006,-SUMIFS(H_SpecialBM!J:J,H_SpecialBM!$Q:$Q,$P1006),"")</f>
        <v/>
      </c>
      <c r="K1006" s="499" t="str">
        <f>IF($L887=$R1006,-SUMIFS(H_SpecialBM!K:K,H_SpecialBM!$Q:$Q,$P1006),"")</f>
        <v/>
      </c>
      <c r="L1006" s="499" t="str">
        <f>IF($L887=$R1006,-SUMIFS(H_SpecialBM!L:L,H_SpecialBM!$Q:$Q,$P1006),"")</f>
        <v/>
      </c>
      <c r="M1006" s="499" t="str">
        <f>IF($L887=$R1006,-SUMIFS(H_SpecialBM!M:M,H_SpecialBM!$Q:$Q,$P1006),"")</f>
        <v/>
      </c>
      <c r="N1006" s="1836" t="str">
        <f>IF($L887=$R1006,-SUMIFS(H_SpecialBM!N:N,H_SpecialBM!$Q:$Q,$P1006),"")</f>
        <v/>
      </c>
      <c r="O1006" s="698"/>
      <c r="P1006" s="1500" t="str">
        <f>EUconst_CNTR_HVC</f>
        <v>HVC_</v>
      </c>
      <c r="Q1006" s="729"/>
      <c r="R1006" s="1176">
        <v>42</v>
      </c>
      <c r="S1006" s="729"/>
      <c r="T1006" s="770"/>
      <c r="U1006" s="343"/>
      <c r="V1006" s="343"/>
    </row>
    <row r="1007" spans="1:22" s="364" customFormat="1" ht="5.15" customHeight="1" x14ac:dyDescent="0.25">
      <c r="A1007" s="729"/>
      <c r="B1007" s="302"/>
      <c r="C1007" s="302"/>
      <c r="D1007" s="1820"/>
      <c r="E1007" s="625"/>
      <c r="F1007" s="625"/>
      <c r="G1007" s="625"/>
      <c r="H1007" s="644"/>
      <c r="I1007" s="644"/>
      <c r="J1007" s="644"/>
      <c r="K1007" s="644"/>
      <c r="L1007" s="644"/>
      <c r="M1007" s="644"/>
      <c r="N1007" s="1837"/>
      <c r="O1007" s="698"/>
      <c r="P1007" s="770"/>
      <c r="Q1007" s="729"/>
      <c r="R1007" s="729"/>
      <c r="S1007" s="729"/>
      <c r="T1007" s="770"/>
      <c r="U1007" s="343"/>
      <c r="V1007" s="343"/>
    </row>
    <row r="1008" spans="1:22" s="364" customFormat="1" ht="12.75" customHeight="1" x14ac:dyDescent="0.25">
      <c r="A1008" s="729"/>
      <c r="B1008" s="302"/>
      <c r="C1008" s="302"/>
      <c r="D1008" s="1820"/>
      <c r="E1008" s="641" t="str">
        <f>Translations!$B$1589</f>
        <v>Корекция на емисиите във връзка с VCM</v>
      </c>
      <c r="F1008" s="1835"/>
      <c r="G1008" s="642" t="str">
        <f>EUconst_tCO2pa</f>
        <v>t CO2 / година</v>
      </c>
      <c r="H1008" s="499" t="str">
        <f>IF($L887=$R1008,INDEX(H_SpecialBM!H:H,MATCH($P1008,H_SpecialBM!$Q:$Q,0)-2),"")</f>
        <v/>
      </c>
      <c r="I1008" s="1399" t="str">
        <f>IF($L887=$R1008,INDEX(H_SpecialBM!I:I,MATCH($P1008,H_SpecialBM!$Q:$Q,0)-2),"")</f>
        <v/>
      </c>
      <c r="J1008" s="1832" t="str">
        <f>IF($L887=$R1008,INDEX(H_SpecialBM!J:J,MATCH($P1008,H_SpecialBM!$Q:$Q,0)-2),"")</f>
        <v/>
      </c>
      <c r="K1008" s="499" t="str">
        <f>IF($L887=$R1008,INDEX(H_SpecialBM!K:K,MATCH($P1008,H_SpecialBM!$Q:$Q,0)-2),"")</f>
        <v/>
      </c>
      <c r="L1008" s="499" t="str">
        <f>IF($L887=$R1008,INDEX(H_SpecialBM!L:L,MATCH($P1008,H_SpecialBM!$Q:$Q,0)-2),"")</f>
        <v/>
      </c>
      <c r="M1008" s="499" t="str">
        <f>IF($L887=$R1008,INDEX(H_SpecialBM!M:M,MATCH($P1008,H_SpecialBM!$Q:$Q,0)-2),"")</f>
        <v/>
      </c>
      <c r="N1008" s="1836" t="str">
        <f>IF($L887=$R1008,INDEX(H_SpecialBM!N:N,MATCH($P1008,H_SpecialBM!$Q:$Q,0)-2),"")</f>
        <v/>
      </c>
      <c r="O1008" s="698"/>
      <c r="P1008" s="1190" t="str">
        <f>EUconst_CNTR_VCM</f>
        <v>VCM_</v>
      </c>
      <c r="Q1008" s="729"/>
      <c r="R1008" s="1176">
        <v>47</v>
      </c>
      <c r="S1008" s="729"/>
      <c r="T1008" s="770"/>
      <c r="U1008" s="343"/>
      <c r="V1008" s="343"/>
    </row>
    <row r="1009" spans="1:22" s="364" customFormat="1" ht="12.75" customHeight="1" thickBot="1" x14ac:dyDescent="0.3">
      <c r="A1009" s="729"/>
      <c r="B1009" s="302"/>
      <c r="C1009" s="302"/>
      <c r="D1009" s="1838"/>
      <c r="E1009" s="1839"/>
      <c r="F1009" s="1839"/>
      <c r="G1009" s="1839"/>
      <c r="H1009" s="1839"/>
      <c r="I1009" s="1840"/>
      <c r="J1009" s="1840"/>
      <c r="K1009" s="1840"/>
      <c r="L1009" s="1840"/>
      <c r="M1009" s="1840"/>
      <c r="N1009" s="1379"/>
      <c r="O1009" s="698"/>
      <c r="P1009" s="729"/>
      <c r="Q1009" s="729"/>
      <c r="R1009" s="1165"/>
      <c r="S1009" s="729"/>
      <c r="T1009" s="770"/>
      <c r="U1009" s="343"/>
      <c r="V1009" s="343"/>
    </row>
    <row r="1010" spans="1:22" s="364" customFormat="1" ht="12.75" customHeight="1" thickBot="1" x14ac:dyDescent="0.3">
      <c r="A1010" s="729"/>
      <c r="B1010" s="302"/>
      <c r="C1010" s="302"/>
      <c r="D1010" s="302"/>
      <c r="E1010" s="646"/>
      <c r="O1010" s="698"/>
      <c r="P1010" s="729"/>
      <c r="Q1010" s="729"/>
      <c r="R1010" s="729"/>
      <c r="S1010" s="729"/>
      <c r="T1010" s="729"/>
      <c r="U1010" s="343"/>
      <c r="V1010" s="343"/>
    </row>
    <row r="1011" spans="1:22" s="364" customFormat="1" ht="5.15" customHeight="1" thickBot="1" x14ac:dyDescent="0.3">
      <c r="A1011" s="729"/>
      <c r="B1011" s="284"/>
      <c r="C1011" s="581"/>
      <c r="D1011" s="581"/>
      <c r="E1011" s="581"/>
      <c r="F1011" s="581"/>
      <c r="G1011" s="581"/>
      <c r="H1011" s="581"/>
      <c r="I1011" s="581"/>
      <c r="J1011" s="581"/>
      <c r="K1011" s="581"/>
      <c r="L1011" s="581"/>
      <c r="M1011" s="581"/>
      <c r="N1011" s="581"/>
      <c r="O1011" s="698"/>
      <c r="P1011" s="729"/>
      <c r="Q1011" s="729"/>
      <c r="R1011" s="729"/>
      <c r="S1011" s="729"/>
      <c r="T1011" s="729"/>
      <c r="U1011" s="343"/>
      <c r="V1011" s="343"/>
    </row>
    <row r="1012" spans="1:22" s="364" customFormat="1" ht="15" customHeight="1" thickBot="1" x14ac:dyDescent="0.35">
      <c r="A1012" s="729"/>
      <c r="B1012" s="302"/>
      <c r="C1012" s="357">
        <f>C884+1</f>
        <v>5</v>
      </c>
      <c r="D1012" s="2323" t="str">
        <f>CONCATENATE(EUconst_BMSubinst," ",C1012, ":")</f>
        <v>Подинсталация с продуктов показател 5:</v>
      </c>
      <c r="E1012" s="2323"/>
      <c r="F1012" s="2323"/>
      <c r="G1012" s="2323"/>
      <c r="H1012" s="2987"/>
      <c r="I1012" s="2843" t="str">
        <f>IF(INDEX(CNTR_SubInstListIsProdBM,$C1012),INDEX(CNTR_SubInstListNames,$C1012),"")</f>
        <v/>
      </c>
      <c r="J1012" s="3019"/>
      <c r="K1012" s="3019"/>
      <c r="L1012" s="3019"/>
      <c r="M1012" s="3019"/>
      <c r="N1012" s="3020"/>
      <c r="O1012" s="698"/>
      <c r="P1012" s="729"/>
      <c r="Q1012" s="1684">
        <f>C1012</f>
        <v>5</v>
      </c>
      <c r="R1012" s="1685" t="str">
        <f>I1012</f>
        <v/>
      </c>
      <c r="S1012" s="729"/>
      <c r="T1012" s="729"/>
      <c r="U1012" s="343"/>
      <c r="V1012" s="343"/>
    </row>
    <row r="1013" spans="1:22" s="364" customFormat="1" ht="5.15" customHeight="1" x14ac:dyDescent="0.3">
      <c r="A1013" s="729"/>
      <c r="B1013" s="302"/>
      <c r="C1013" s="357"/>
      <c r="D1013" s="357"/>
      <c r="E1013" s="357"/>
      <c r="F1013" s="357"/>
      <c r="G1013" s="357"/>
      <c r="H1013" s="357"/>
      <c r="I1013" s="357"/>
      <c r="J1013" s="357"/>
      <c r="K1013" s="357"/>
      <c r="L1013" s="357"/>
      <c r="M1013" s="357"/>
      <c r="N1013" s="357"/>
      <c r="O1013" s="698"/>
      <c r="P1013" s="729"/>
      <c r="Q1013" s="729"/>
      <c r="R1013" s="729"/>
      <c r="S1013" s="729"/>
      <c r="T1013" s="729"/>
      <c r="U1013" s="343"/>
      <c r="V1013" s="343"/>
    </row>
    <row r="1014" spans="1:22" s="364" customFormat="1" ht="12.75" customHeight="1" x14ac:dyDescent="0.3">
      <c r="A1014" s="729"/>
      <c r="B1014" s="302"/>
      <c r="C1014" s="357"/>
      <c r="D1014" s="357"/>
      <c r="E1014" s="357"/>
      <c r="F1014" s="357"/>
      <c r="H1014" s="595" t="str">
        <f>Translations!$B$942</f>
        <v>Риск от ИВЕ</v>
      </c>
      <c r="I1014" s="595" t="s">
        <v>2151</v>
      </c>
      <c r="J1014" s="595" t="str">
        <f>Translations!$B$946</f>
        <v>В/Е</v>
      </c>
      <c r="K1014" s="595" t="str">
        <f>Translations!$B$1360</f>
        <v>Спряна експлоатация</v>
      </c>
      <c r="L1014" s="654" t="str">
        <f>Translations!$B$944</f>
        <v>№ на п-л</v>
      </c>
      <c r="M1014" s="2991" t="str">
        <f>Translations!$B$948</f>
        <v>Стойност на п-л</v>
      </c>
      <c r="N1014" s="2991"/>
      <c r="O1014" s="698"/>
      <c r="P1014" s="729"/>
      <c r="Q1014" s="729"/>
      <c r="R1014" s="1176" t="str">
        <f>Translations!$B$944</f>
        <v>№ на п-л</v>
      </c>
      <c r="S1014" s="729"/>
      <c r="T1014" s="1686"/>
      <c r="U1014" s="343"/>
      <c r="V1014" s="343"/>
    </row>
    <row r="1015" spans="1:22" s="364" customFormat="1" ht="12.75" customHeight="1" x14ac:dyDescent="0.3">
      <c r="A1015" s="729"/>
      <c r="B1015" s="302"/>
      <c r="C1015" s="357"/>
      <c r="D1015" s="357"/>
      <c r="E1015" s="361" t="str">
        <f>I1012</f>
        <v/>
      </c>
      <c r="F1015" s="373"/>
      <c r="G1015" s="373"/>
      <c r="H1015" s="600" t="str">
        <f>IF(L1015=EUconst_NA,EUconst_NA,INDEX(EUconst_BMlistCLstatus,MATCH(L1015,EUconst_BMlistMainNumberOfBM,0)))</f>
        <v>Не е приложимо</v>
      </c>
      <c r="I1015" s="600" t="str">
        <f>IF(R1015=EUconst_NA,EUconst_NA,INDEX(EUconst_BMlistCBAMstatus,MATCH(R1015,EUconst_BMlistNumberOfBM,0)))</f>
        <v>Не е приложимо</v>
      </c>
      <c r="J1015" s="655" t="str">
        <f>IF($I1012="",EUconst_NA,INDEX(CNTR_SubInstStartDate,MATCH(I1012,CNTR_SubInstListNames,0)))</f>
        <v>Не е приложимо</v>
      </c>
      <c r="K1015" s="655" t="str">
        <f>IF($I1012="",EUconst_NA,IF(INDEX(CNTR_SubInstCessationDate,MATCH(I1012,CNTR_SubInstListNames,0))=0,"",INDEX(CNTR_SubInstCessationDate,MATCH(I1012,CNTR_SubInstListNames,0))))</f>
        <v>Не е приложимо</v>
      </c>
      <c r="L1015" s="1687" t="str">
        <f>IF($I1012="",EUconst_NA,INDEX(EUconst_BMlistMainNumberOfBM,MATCH(I1012,EUconst_BMlistNames,0)))</f>
        <v>Не е приложимо</v>
      </c>
      <c r="M1015" s="1688" t="str">
        <f>IF(I1012="",EUconst_NA,INDEX(EUconst_BMlistBMvaluesMatrix,MATCH(L1015,EUconst_BMlistMainNumberOfBM,0),3))</f>
        <v>Не е приложимо</v>
      </c>
      <c r="N1015" s="382" t="str">
        <f>EUconst_EUA &amp; "/" &amp; F1018</f>
        <v>Квота за емисии/тона</v>
      </c>
      <c r="O1015" s="698"/>
      <c r="P1015" s="729"/>
      <c r="Q1015" s="729"/>
      <c r="R1015" s="1176" t="str">
        <f>IF($I1012="",EUconst_NA,INDEX(EUconst_BMlistNumberOfBM,MATCH(I1012,EUconst_BMlistNames,0)))</f>
        <v>Не е приложимо</v>
      </c>
      <c r="S1015" s="729"/>
      <c r="T1015" s="1174" t="s">
        <v>1735</v>
      </c>
      <c r="U1015" s="1176">
        <f>IF(SUM(K1015)=0,2050,YEAR(K1015))</f>
        <v>2050</v>
      </c>
      <c r="V1015" s="343"/>
    </row>
    <row r="1016" spans="1:22" s="364" customFormat="1" ht="5.15" customHeight="1" thickBot="1" x14ac:dyDescent="0.35">
      <c r="A1016" s="729"/>
      <c r="B1016" s="302"/>
      <c r="C1016" s="302"/>
      <c r="D1016" s="302"/>
      <c r="E1016" s="357"/>
      <c r="J1016" s="302"/>
      <c r="K1016" s="302"/>
      <c r="L1016" s="302"/>
      <c r="M1016" s="302"/>
      <c r="N1016" s="302"/>
      <c r="O1016" s="698"/>
      <c r="P1016" s="729"/>
      <c r="Q1016" s="729"/>
      <c r="R1016" s="729"/>
      <c r="S1016" s="729"/>
      <c r="T1016" s="770"/>
      <c r="U1016" s="343"/>
      <c r="V1016" s="343"/>
    </row>
    <row r="1017" spans="1:22" s="364" customFormat="1" ht="12.75" customHeight="1" x14ac:dyDescent="0.25">
      <c r="A1017" s="729"/>
      <c r="B1017" s="302"/>
      <c r="C1017" s="302"/>
      <c r="D1017" s="302"/>
      <c r="E1017" s="313"/>
      <c r="F1017" s="300" t="str">
        <f>EUconst_Unit</f>
        <v>Единица мярка</v>
      </c>
      <c r="G1017" s="1689" t="str">
        <f>Translations!$B$1284</f>
        <v>HAL</v>
      </c>
      <c r="H1017" s="757">
        <f t="shared" ref="H1017:N1017" si="82">H$2505</f>
        <v>2024</v>
      </c>
      <c r="I1017" s="572">
        <f t="shared" si="82"/>
        <v>2025</v>
      </c>
      <c r="J1017" s="757">
        <f t="shared" si="82"/>
        <v>2026</v>
      </c>
      <c r="K1017" s="391">
        <f t="shared" si="82"/>
        <v>2027</v>
      </c>
      <c r="L1017" s="391">
        <f t="shared" si="82"/>
        <v>2028</v>
      </c>
      <c r="M1017" s="391">
        <f t="shared" si="82"/>
        <v>2029</v>
      </c>
      <c r="N1017" s="391">
        <f t="shared" si="82"/>
        <v>2030</v>
      </c>
      <c r="O1017" s="698"/>
      <c r="P1017" s="729"/>
      <c r="Q1017" s="729" t="s">
        <v>1851</v>
      </c>
      <c r="R1017" s="1690">
        <f>J$2505</f>
        <v>2026</v>
      </c>
      <c r="S1017" s="1691">
        <f>K$2505</f>
        <v>2027</v>
      </c>
      <c r="T1017" s="1691">
        <f>L$2505</f>
        <v>2028</v>
      </c>
      <c r="U1017" s="1691">
        <f>M$2505</f>
        <v>2029</v>
      </c>
      <c r="V1017" s="1692">
        <f>N$2505</f>
        <v>2030</v>
      </c>
    </row>
    <row r="1018" spans="1:22" s="364" customFormat="1" ht="12.75" customHeight="1" thickBot="1" x14ac:dyDescent="0.3">
      <c r="A1018" s="729"/>
      <c r="B1018" s="302"/>
      <c r="C1018" s="302"/>
      <c r="D1018" s="302"/>
      <c r="E1018" s="388" t="str">
        <f>Translations!$B$1371</f>
        <v>Докладвано равнище на дейност</v>
      </c>
      <c r="F1018" s="1062" t="str">
        <f>IF(ISNUMBER(L1015),INDEX(EUconst_BMlistUnits,MATCH(L1015,EUconst_BMlistMainNumberOfBM,0)),EUconst_Tons)</f>
        <v>тона</v>
      </c>
      <c r="G1018" s="1693" t="str">
        <f>I1078</f>
        <v/>
      </c>
      <c r="H1018" s="1694" t="str">
        <f>IF($I1012="","",IF(H1017&gt;=CNTR_ReportingYear,"",INDEX(F_ProductBM!H:H,MATCH($P1018,F_ProductBM!$Q:$Q,0))))</f>
        <v/>
      </c>
      <c r="I1018" s="608" t="str">
        <f>IF($I1012="","",IF(I1017&gt;=CNTR_ReportingYear,"",INDEX(F_ProductBM!I:I,MATCH($P1018,F_ProductBM!$Q:$Q,0))))</f>
        <v/>
      </c>
      <c r="J1018" s="1694" t="str">
        <f>IF($I1012="","",IF(J1017&gt;=CNTR_ReportingYear,"",INDEX(F_ProductBM!J:J,MATCH($P1018,F_ProductBM!$Q:$Q,0))))</f>
        <v/>
      </c>
      <c r="K1018" s="406" t="str">
        <f>IF($I1012="","",IF(K1017&gt;=CNTR_ReportingYear,"",INDEX(F_ProductBM!K:K,MATCH($P1018,F_ProductBM!$Q:$Q,0))))</f>
        <v/>
      </c>
      <c r="L1018" s="406" t="str">
        <f>IF($I1012="","",IF(L1017&gt;=CNTR_ReportingYear,"",INDEX(F_ProductBM!L:L,MATCH($P1018,F_ProductBM!$Q:$Q,0))))</f>
        <v/>
      </c>
      <c r="M1018" s="406" t="str">
        <f>IF($I1012="","",IF(M1017&gt;=CNTR_ReportingYear,"",INDEX(F_ProductBM!M:M,MATCH($P1018,F_ProductBM!$Q:$Q,0))))</f>
        <v/>
      </c>
      <c r="N1018" s="406" t="str">
        <f>IF($I1012="","",IF(N1017&gt;=CNTR_ReportingYear,"",INDEX(F_ProductBM!N:N,MATCH($P1018,F_ProductBM!$Q:$Q,0))))</f>
        <v/>
      </c>
      <c r="O1018" s="698"/>
      <c r="P1018" s="1190" t="str">
        <f>EUconst_CNTR_HAL&amp;I1012</f>
        <v>HAL_</v>
      </c>
      <c r="Q1018" s="729"/>
      <c r="R1018" s="1580" t="b">
        <f>AND($I1012&lt;&gt;"",R1017&lt;=CNTR_ReportingYear,IF($J1015&lt;&gt;EUconst_NA,R1017&gt;=YEAR($J1015),TRUE))</f>
        <v>0</v>
      </c>
      <c r="S1018" s="1255" t="b">
        <f>AND($I1012&lt;&gt;"",S1017&lt;=CNTR_ReportingYear,IF($J1015&lt;&gt;EUconst_NA,S1017&gt;=YEAR($J1015),TRUE))</f>
        <v>0</v>
      </c>
      <c r="T1018" s="1255" t="b">
        <f>AND($I1012&lt;&gt;"",T1017&lt;=CNTR_ReportingYear,IF($J1015&lt;&gt;EUconst_NA,T1017&gt;=YEAR($J1015),TRUE))</f>
        <v>0</v>
      </c>
      <c r="U1018" s="1255" t="b">
        <f>AND($I1012&lt;&gt;"",U1017&lt;=CNTR_ReportingYear,IF($J1015&lt;&gt;EUconst_NA,U1017&gt;=YEAR($J1015),TRUE))</f>
        <v>0</v>
      </c>
      <c r="V1018" s="1256" t="b">
        <f>AND($I1012&lt;&gt;"",V1017&lt;=CNTR_ReportingYear,IF($J1015&lt;&gt;EUconst_NA,V1017&gt;=YEAR($J1015),TRUE))</f>
        <v>0</v>
      </c>
    </row>
    <row r="1019" spans="1:22" s="364" customFormat="1" ht="5.15" customHeight="1" thickBot="1" x14ac:dyDescent="0.35">
      <c r="A1019" s="729"/>
      <c r="B1019" s="302"/>
      <c r="C1019" s="357"/>
      <c r="D1019" s="357"/>
      <c r="E1019" s="357"/>
      <c r="F1019" s="357"/>
      <c r="G1019" s="357"/>
      <c r="H1019" s="357"/>
      <c r="I1019" s="357"/>
      <c r="J1019" s="357"/>
      <c r="K1019" s="357"/>
      <c r="L1019" s="357"/>
      <c r="M1019" s="357"/>
      <c r="N1019" s="357"/>
      <c r="O1019" s="698"/>
      <c r="P1019" s="729"/>
      <c r="Q1019" s="729"/>
      <c r="R1019" s="729"/>
      <c r="S1019" s="729"/>
      <c r="T1019" s="729"/>
      <c r="U1019" s="343"/>
      <c r="V1019" s="343"/>
    </row>
    <row r="1020" spans="1:22" s="364" customFormat="1" ht="5.15" customHeight="1" x14ac:dyDescent="0.3">
      <c r="A1020" s="729"/>
      <c r="B1020" s="302"/>
      <c r="C1020" s="357"/>
      <c r="D1020" s="1695"/>
      <c r="E1020" s="1696"/>
      <c r="F1020" s="1696"/>
      <c r="G1020" s="1696"/>
      <c r="H1020" s="1696"/>
      <c r="I1020" s="1696"/>
      <c r="J1020" s="1696"/>
      <c r="K1020" s="1696"/>
      <c r="L1020" s="1696"/>
      <c r="M1020" s="1696"/>
      <c r="N1020" s="1697"/>
      <c r="O1020" s="698"/>
      <c r="P1020" s="729"/>
      <c r="Q1020" s="729"/>
      <c r="R1020" s="729"/>
      <c r="S1020" s="729"/>
      <c r="T1020" s="729"/>
      <c r="U1020" s="343"/>
      <c r="V1020" s="343"/>
    </row>
    <row r="1021" spans="1:22" s="364" customFormat="1" ht="12.75" customHeight="1" x14ac:dyDescent="0.3">
      <c r="A1021" s="729"/>
      <c r="B1021" s="302"/>
      <c r="C1021" s="357"/>
      <c r="D1021" s="1698"/>
      <c r="E1021" s="389" t="str">
        <f>Translations!$B$1372</f>
        <v>Приложимост на пълзящата средна стойност</v>
      </c>
      <c r="F1021" s="498"/>
      <c r="G1021" s="498"/>
      <c r="H1021" s="527"/>
      <c r="I1021" s="1699"/>
      <c r="J1021" s="1523">
        <f>J$2505</f>
        <v>2026</v>
      </c>
      <c r="K1021" s="387">
        <f>K$2505</f>
        <v>2027</v>
      </c>
      <c r="L1021" s="387">
        <f>L$2505</f>
        <v>2028</v>
      </c>
      <c r="M1021" s="387">
        <f>M$2505</f>
        <v>2029</v>
      </c>
      <c r="N1021" s="1544">
        <f>N$2505</f>
        <v>2030</v>
      </c>
      <c r="O1021" s="698"/>
      <c r="P1021" s="729"/>
      <c r="Q1021" s="729"/>
      <c r="R1021" s="729"/>
      <c r="S1021" s="729"/>
      <c r="T1021" s="729"/>
      <c r="U1021" s="343"/>
      <c r="V1021" s="343"/>
    </row>
    <row r="1022" spans="1:22" s="364" customFormat="1" ht="12.75" customHeight="1" x14ac:dyDescent="0.3">
      <c r="A1022" s="729"/>
      <c r="B1022" s="302"/>
      <c r="C1022" s="357"/>
      <c r="D1022" s="1698"/>
      <c r="E1022" s="1700" t="str">
        <f>Translations!$B$1364</f>
        <v>Критерий 1: В експлоатация &gt; 2 години?</v>
      </c>
      <c r="F1022" s="1701"/>
      <c r="G1022" s="1701"/>
      <c r="H1022" s="1702"/>
      <c r="I1022" s="1701"/>
      <c r="J1022" s="1703" t="str">
        <f>IF(R1018,INDEX(F_ProductBM!V:V,MATCH($P1022,F_ProductBM!$Q:$Q,0))&gt;=3,"")</f>
        <v/>
      </c>
      <c r="K1022" s="1704" t="str">
        <f>IF(S1018,INDEX(F_ProductBM!W:W,MATCH($P1022,F_ProductBM!$Q:$Q,0))&gt;=3,"")</f>
        <v/>
      </c>
      <c r="L1022" s="1704" t="str">
        <f>IF(T1018,INDEX(F_ProductBM!X:X,MATCH($P1022,F_ProductBM!$Q:$Q,0))&gt;=3,"")</f>
        <v/>
      </c>
      <c r="M1022" s="1704" t="str">
        <f>IF(U1018,INDEX(F_ProductBM!Y:Y,MATCH($P1022,F_ProductBM!$Q:$Q,0))&gt;=3,"")</f>
        <v/>
      </c>
      <c r="N1022" s="1705" t="str">
        <f>IF(V1018,INDEX(F_ProductBM!Z:Z,MATCH($P1022,F_ProductBM!$Q:$Q,0))&gt;=3,"")</f>
        <v/>
      </c>
      <c r="O1022" s="698"/>
      <c r="P1022" s="1190" t="str">
        <f>EUconst_CNTR_HALinitial&amp;I1012</f>
        <v>HALini_</v>
      </c>
      <c r="Q1022" s="729"/>
      <c r="R1022" s="729"/>
      <c r="S1022" s="729"/>
      <c r="T1022" s="729"/>
      <c r="U1022" s="343"/>
      <c r="V1022" s="343"/>
    </row>
    <row r="1023" spans="1:22" s="364" customFormat="1" ht="12.75" customHeight="1" x14ac:dyDescent="0.3">
      <c r="A1023" s="729"/>
      <c r="B1023" s="302"/>
      <c r="C1023" s="357"/>
      <c r="D1023" s="1698"/>
      <c r="E1023" s="1706" t="str">
        <f>Translations!$B$1366</f>
        <v>Критерий 2: Не е спряна от експлоатация през предходната година?</v>
      </c>
      <c r="F1023" s="1707"/>
      <c r="G1023" s="1707"/>
      <c r="H1023" s="1708"/>
      <c r="I1023" s="1707"/>
      <c r="J1023" s="1709" t="str">
        <f>IF(R1018,IF($K1015="",2050,YEAR($K1015))&lt;&gt;(J1021-1),"")</f>
        <v/>
      </c>
      <c r="K1023" s="1710" t="str">
        <f>IF(S1018,IF($K1015="",2050,YEAR($K1015))&lt;&gt;(K1021-1),"")</f>
        <v/>
      </c>
      <c r="L1023" s="1710" t="str">
        <f>IF(T1018,IF($K1015="",2050,YEAR($K1015))&lt;&gt;(L1021-1),"")</f>
        <v/>
      </c>
      <c r="M1023" s="1710" t="str">
        <f>IF(U1018,IF($K1015="",2050,YEAR($K1015))&lt;&gt;(M1021-1),"")</f>
        <v/>
      </c>
      <c r="N1023" s="1711" t="str">
        <f>IF(V1018,IF($K1015="",2050,YEAR($K1015))&lt;&gt;(N1021-1),"")</f>
        <v/>
      </c>
      <c r="O1023" s="698"/>
      <c r="P1023" s="729"/>
      <c r="Q1023" s="729"/>
      <c r="R1023" s="729"/>
      <c r="S1023" s="729"/>
      <c r="T1023" s="729"/>
      <c r="U1023" s="343"/>
      <c r="V1023" s="343"/>
    </row>
    <row r="1024" spans="1:22" s="364" customFormat="1" ht="5.15" customHeight="1" x14ac:dyDescent="0.3">
      <c r="A1024" s="729"/>
      <c r="B1024" s="302"/>
      <c r="C1024" s="357"/>
      <c r="D1024" s="1698"/>
      <c r="E1024" s="357"/>
      <c r="F1024" s="357"/>
      <c r="G1024" s="357"/>
      <c r="H1024" s="357"/>
      <c r="I1024" s="357"/>
      <c r="J1024" s="357"/>
      <c r="K1024" s="357"/>
      <c r="L1024" s="357"/>
      <c r="M1024" s="357"/>
      <c r="N1024" s="1712"/>
      <c r="O1024" s="698"/>
      <c r="P1024" s="729"/>
      <c r="Q1024" s="729"/>
      <c r="R1024" s="729"/>
      <c r="S1024" s="729"/>
      <c r="T1024" s="729"/>
      <c r="U1024" s="343"/>
      <c r="V1024" s="343"/>
    </row>
    <row r="1025" spans="1:22" s="364" customFormat="1" ht="12.75" customHeight="1" x14ac:dyDescent="0.3">
      <c r="A1025" s="729"/>
      <c r="B1025" s="302"/>
      <c r="C1025" s="357"/>
      <c r="D1025" s="1698"/>
      <c r="E1025" s="313" t="str">
        <f>Translations!$B$1373</f>
        <v>Промени: Няма промяна (базова стойност)</v>
      </c>
      <c r="F1025" s="302"/>
      <c r="G1025" s="302"/>
      <c r="H1025" s="527" t="str">
        <f>EUconst_Unit</f>
        <v>Единица мярка</v>
      </c>
      <c r="I1025" s="1699"/>
      <c r="J1025" s="757">
        <f>J$2505</f>
        <v>2026</v>
      </c>
      <c r="K1025" s="391">
        <f>K$2505</f>
        <v>2027</v>
      </c>
      <c r="L1025" s="391">
        <f>L$2505</f>
        <v>2028</v>
      </c>
      <c r="M1025" s="391">
        <f>M$2505</f>
        <v>2029</v>
      </c>
      <c r="N1025" s="1713">
        <f>N$2505</f>
        <v>2030</v>
      </c>
      <c r="O1025" s="698"/>
      <c r="P1025" s="729"/>
      <c r="Q1025" s="729"/>
      <c r="R1025" s="729"/>
      <c r="S1025" s="729"/>
      <c r="T1025" s="729"/>
      <c r="U1025" s="343"/>
      <c r="V1025" s="343"/>
    </row>
    <row r="1026" spans="1:22" s="364" customFormat="1" ht="12.75" hidden="1" customHeight="1" x14ac:dyDescent="0.3">
      <c r="A1026" s="729" t="str">
        <f t="shared" ref="A1026:A1030" si="83">IF(P1026="","ausblenden","")</f>
        <v>ausblenden</v>
      </c>
      <c r="B1026" s="302"/>
      <c r="C1026" s="357"/>
      <c r="D1026" s="1698"/>
      <c r="E1026" s="388" t="str">
        <f>Translations!$B$1388</f>
        <v>Равнище на дейност</v>
      </c>
      <c r="F1026" s="388"/>
      <c r="G1026" s="388"/>
      <c r="H1026" s="1210" t="str">
        <f>F1018</f>
        <v>тона</v>
      </c>
      <c r="I1026" s="388"/>
      <c r="J1026" s="1714" t="str">
        <f>IF(T1083&gt;=$H$2505,S1078,I1078)</f>
        <v/>
      </c>
      <c r="K1026" s="1693" t="str">
        <f t="shared" ref="K1026:K1029" si="84">J1078</f>
        <v/>
      </c>
      <c r="L1026" s="1693" t="str">
        <f t="shared" ref="L1026:L1029" si="85">K1078</f>
        <v/>
      </c>
      <c r="M1026" s="1693" t="str">
        <f t="shared" ref="M1026:M1029" si="86">L1078</f>
        <v/>
      </c>
      <c r="N1026" s="1715" t="str">
        <f t="shared" ref="N1026:N1029" si="87">M1078</f>
        <v/>
      </c>
      <c r="O1026" s="698"/>
      <c r="P1026" s="729"/>
      <c r="Q1026" s="729"/>
      <c r="R1026" s="729"/>
      <c r="S1026" s="729"/>
      <c r="T1026" s="729"/>
      <c r="U1026" s="343"/>
      <c r="V1026" s="343"/>
    </row>
    <row r="1027" spans="1:22" s="364" customFormat="1" ht="12.75" hidden="1" customHeight="1" x14ac:dyDescent="0.3">
      <c r="A1027" s="729" t="str">
        <f t="shared" si="83"/>
        <v>ausblenden</v>
      </c>
      <c r="B1027" s="302"/>
      <c r="C1027" s="357"/>
      <c r="D1027" s="1698"/>
      <c r="E1027" s="392" t="str">
        <f>Translations!$B$949</f>
        <v>топл. ен. извън СТЕ</v>
      </c>
      <c r="F1027" s="392"/>
      <c r="G1027" s="392"/>
      <c r="H1027" s="481" t="str">
        <f>EUconst_EUA</f>
        <v>Квота за емисии</v>
      </c>
      <c r="I1027" s="1716"/>
      <c r="J1027" s="1717" t="str">
        <f>IF(T1083&gt;=$H$2505,S1079,I1079)</f>
        <v/>
      </c>
      <c r="K1027" s="1718" t="str">
        <f t="shared" si="84"/>
        <v/>
      </c>
      <c r="L1027" s="1718" t="str">
        <f t="shared" si="85"/>
        <v/>
      </c>
      <c r="M1027" s="1718" t="str">
        <f t="shared" si="86"/>
        <v/>
      </c>
      <c r="N1027" s="1719" t="str">
        <f t="shared" si="87"/>
        <v/>
      </c>
      <c r="O1027" s="698"/>
      <c r="P1027" s="729"/>
      <c r="Q1027" s="729"/>
      <c r="R1027" s="729"/>
      <c r="S1027" s="729"/>
      <c r="T1027" s="729"/>
      <c r="U1027" s="343"/>
      <c r="V1027" s="343"/>
    </row>
    <row r="1028" spans="1:22" s="364" customFormat="1" ht="12.75" hidden="1" customHeight="1" x14ac:dyDescent="0.3">
      <c r="A1028" s="729" t="str">
        <f t="shared" si="83"/>
        <v>ausblenden</v>
      </c>
      <c r="B1028" s="302"/>
      <c r="C1028" s="357"/>
      <c r="D1028" s="1698"/>
      <c r="E1028" s="398" t="str">
        <f>Translations!$B$951</f>
        <v>WGflare</v>
      </c>
      <c r="F1028" s="398"/>
      <c r="G1028" s="398"/>
      <c r="H1028" s="516" t="str">
        <f>EUconst_EUA</f>
        <v>Квота за емисии</v>
      </c>
      <c r="I1028" s="1720"/>
      <c r="J1028" s="1721" t="str">
        <f>IF(T1083&gt;=$H$2505,S1080,I1080)</f>
        <v/>
      </c>
      <c r="K1028" s="1722" t="str">
        <f t="shared" si="84"/>
        <v/>
      </c>
      <c r="L1028" s="1722" t="str">
        <f t="shared" si="85"/>
        <v/>
      </c>
      <c r="M1028" s="1722" t="str">
        <f t="shared" si="86"/>
        <v/>
      </c>
      <c r="N1028" s="1723" t="str">
        <f t="shared" si="87"/>
        <v/>
      </c>
      <c r="O1028" s="698"/>
      <c r="P1028" s="729"/>
      <c r="Q1028" s="729"/>
      <c r="R1028" s="729"/>
      <c r="S1028" s="729"/>
      <c r="T1028" s="729"/>
      <c r="U1028" s="343"/>
      <c r="V1028" s="343"/>
    </row>
    <row r="1029" spans="1:22" s="364" customFormat="1" ht="12.75" hidden="1" customHeight="1" x14ac:dyDescent="0.3">
      <c r="A1029" s="729" t="str">
        <f t="shared" si="83"/>
        <v>ausblenden</v>
      </c>
      <c r="B1029" s="302"/>
      <c r="C1029" s="357"/>
      <c r="D1029" s="1698"/>
      <c r="E1029" s="398" t="s">
        <v>1442</v>
      </c>
      <c r="F1029" s="398"/>
      <c r="G1029" s="398"/>
      <c r="H1029" s="516" t="str">
        <f>EUconst_EUA</f>
        <v>Квота за емисии</v>
      </c>
      <c r="I1029" s="1720"/>
      <c r="J1029" s="1721" t="str">
        <f>IF(T1083&gt;=$H$2505,S1081,I1081)</f>
        <v/>
      </c>
      <c r="K1029" s="1722" t="str">
        <f t="shared" si="84"/>
        <v/>
      </c>
      <c r="L1029" s="1722" t="str">
        <f t="shared" si="85"/>
        <v/>
      </c>
      <c r="M1029" s="1722" t="str">
        <f t="shared" si="86"/>
        <v/>
      </c>
      <c r="N1029" s="1723" t="str">
        <f t="shared" si="87"/>
        <v/>
      </c>
      <c r="O1029" s="698"/>
      <c r="P1029" s="729"/>
      <c r="Q1029" s="729"/>
      <c r="R1029" s="729"/>
      <c r="S1029" s="729"/>
      <c r="T1029" s="729"/>
      <c r="U1029" s="343"/>
      <c r="V1029" s="343"/>
    </row>
    <row r="1030" spans="1:22" s="364" customFormat="1" ht="12.75" hidden="1" customHeight="1" x14ac:dyDescent="0.3">
      <c r="A1030" s="729" t="str">
        <f t="shared" si="83"/>
        <v>ausblenden</v>
      </c>
      <c r="B1030" s="302"/>
      <c r="C1030" s="357"/>
      <c r="D1030" s="1698"/>
      <c r="E1030" s="401" t="s">
        <v>1443</v>
      </c>
      <c r="F1030" s="401"/>
      <c r="G1030" s="401"/>
      <c r="H1030" s="483" t="s">
        <v>1052</v>
      </c>
      <c r="I1030" s="1724"/>
      <c r="J1030" s="1725" t="str">
        <f>IF(T1083&gt;=$H$2505,S1082,I1082)</f>
        <v/>
      </c>
      <c r="K1030" s="1726" t="str">
        <f>J1082</f>
        <v/>
      </c>
      <c r="L1030" s="1726" t="str">
        <f>K1082</f>
        <v/>
      </c>
      <c r="M1030" s="1726" t="str">
        <f>L1082</f>
        <v/>
      </c>
      <c r="N1030" s="1727" t="str">
        <f>M1082</f>
        <v/>
      </c>
      <c r="O1030" s="698"/>
      <c r="P1030" s="729"/>
      <c r="Q1030" s="729"/>
      <c r="R1030" s="729"/>
      <c r="S1030" s="729"/>
      <c r="T1030" s="729"/>
      <c r="U1030" s="343"/>
      <c r="V1030" s="343"/>
    </row>
    <row r="1031" spans="1:22" s="364" customFormat="1" ht="12.75" customHeight="1" x14ac:dyDescent="0.3">
      <c r="A1031" s="729"/>
      <c r="B1031" s="302"/>
      <c r="C1031" s="357"/>
      <c r="D1031" s="1698"/>
      <c r="E1031" s="388" t="str">
        <f>Translations!$B$1374</f>
        <v>Стойност на предварително разпределяне</v>
      </c>
      <c r="F1031" s="388"/>
      <c r="G1031" s="388"/>
      <c r="H1031" s="421" t="str">
        <f>EUconst_EUA</f>
        <v>Квота за емисии</v>
      </c>
      <c r="I1031" s="1728"/>
      <c r="J1031" s="1694" t="str">
        <f>IF($I1012="","",MAX(0,ROUND((SUM($M1015)*SUM(J1026)*SUM(J1030)-SUM(J1027)-SUM(J1028)+SUM(J1029))*IF($H1015=TRUE,1,J$2412)*IF($I1015=TRUE,INDEX(EUconst_CBAMFactor,J1021-2020),1),0)))</f>
        <v/>
      </c>
      <c r="K1031" s="406" t="str">
        <f>IF($I1012="","",MAX(0,ROUND((SUM($M1015)*SUM(K1026)*SUM(K1030)-SUM(K1027)-SUM(K1028)+SUM(K1029))*IF($H1015=TRUE,1,K$2412)*IF($I1015=TRUE,INDEX(EUconst_CBAMFactor,K1021-2020),1),0)))</f>
        <v/>
      </c>
      <c r="L1031" s="406" t="str">
        <f>IF($I1012="","",MAX(0,ROUND((SUM($M1015)*SUM(L1026)*SUM(L1030)-SUM(L1027)-SUM(L1028)+SUM(L1029))*IF($H1015=TRUE,1,L$2412)*IF($I1015=TRUE,INDEX(EUconst_CBAMFactor,L1021-2020),1),0)))</f>
        <v/>
      </c>
      <c r="M1031" s="406" t="str">
        <f>IF($I1012="","",MAX(0,ROUND((SUM($M1015)*SUM(M1026)*SUM(M1030)-SUM(M1027)-SUM(M1028)+SUM(M1029))*IF($H1015=TRUE,1,M$2412)*IF($I1015=TRUE,INDEX(EUconst_CBAMFactor,M1021-2020),1),0)))</f>
        <v/>
      </c>
      <c r="N1031" s="1729" t="str">
        <f>IF($I1012="","",MAX(0,ROUND((SUM($M1015)*SUM(N1026)*SUM(N1030)-SUM(N1027)-SUM(N1028)+SUM(N1029))*IF($H1015=TRUE,1,N$2412)*IF($I1015=TRUE,INDEX(EUconst_CBAMFactor,N1021-2020),1),0)))</f>
        <v/>
      </c>
      <c r="O1031" s="698"/>
      <c r="P1031" s="729"/>
      <c r="Q1031" s="729"/>
      <c r="R1031" s="729"/>
      <c r="S1031" s="729"/>
      <c r="T1031" s="729"/>
      <c r="U1031" s="343"/>
      <c r="V1031" s="343"/>
    </row>
    <row r="1032" spans="1:22" s="364" customFormat="1" ht="5.15" customHeight="1" x14ac:dyDescent="0.3">
      <c r="A1032" s="729"/>
      <c r="B1032" s="302"/>
      <c r="C1032" s="357"/>
      <c r="D1032" s="1698"/>
      <c r="E1032" s="357"/>
      <c r="F1032" s="357"/>
      <c r="G1032" s="357"/>
      <c r="H1032" s="357"/>
      <c r="I1032" s="357"/>
      <c r="J1032" s="357"/>
      <c r="K1032" s="357"/>
      <c r="L1032" s="357"/>
      <c r="M1032" s="357"/>
      <c r="N1032" s="1712"/>
      <c r="O1032" s="698"/>
      <c r="P1032" s="729"/>
      <c r="Q1032" s="729"/>
      <c r="R1032" s="729"/>
      <c r="S1032" s="729"/>
      <c r="T1032" s="729"/>
      <c r="U1032" s="343"/>
      <c r="V1032" s="343"/>
    </row>
    <row r="1033" spans="1:22" s="364" customFormat="1" ht="12.75" customHeight="1" x14ac:dyDescent="0.3">
      <c r="A1033" s="729"/>
      <c r="B1033" s="302"/>
      <c r="C1033" s="357"/>
      <c r="D1033" s="1698"/>
      <c r="E1033" s="389" t="str">
        <f>Translations!$B$1375</f>
        <v>Промени: Равнище на дейност</v>
      </c>
      <c r="F1033" s="498"/>
      <c r="G1033" s="498"/>
      <c r="H1033" s="527" t="str">
        <f>EUconst_Unit</f>
        <v>Единица мярка</v>
      </c>
      <c r="I1033" s="1699"/>
      <c r="J1033" s="1523">
        <f>J$2505</f>
        <v>2026</v>
      </c>
      <c r="K1033" s="387">
        <f>K$2505</f>
        <v>2027</v>
      </c>
      <c r="L1033" s="387">
        <f>L$2505</f>
        <v>2028</v>
      </c>
      <c r="M1033" s="387">
        <f>M$2505</f>
        <v>2029</v>
      </c>
      <c r="N1033" s="1544">
        <f>N$2505</f>
        <v>2030</v>
      </c>
      <c r="O1033" s="698"/>
      <c r="P1033" s="729"/>
      <c r="Q1033" s="729"/>
      <c r="R1033" s="729"/>
      <c r="S1033" s="729"/>
      <c r="T1033" s="729"/>
      <c r="U1033" s="343"/>
      <c r="V1033" s="343"/>
    </row>
    <row r="1034" spans="1:22" s="364" customFormat="1" ht="12.75" customHeight="1" x14ac:dyDescent="0.3">
      <c r="A1034" s="729"/>
      <c r="B1034" s="302"/>
      <c r="C1034" s="357"/>
      <c r="D1034" s="1698"/>
      <c r="E1034" s="392" t="str">
        <f>Translations!$B$1328</f>
        <v>Средна годишна стойност</v>
      </c>
      <c r="F1034" s="392"/>
      <c r="G1034" s="392"/>
      <c r="H1034" s="1730" t="str">
        <f>H1026</f>
        <v>тона</v>
      </c>
      <c r="I1034" s="1731"/>
      <c r="J1034" s="1732" t="str">
        <f>INDEX(F_ProductBM!J:J,MATCH($P1034,F_ProductBM!$Q:$Q,0))</f>
        <v/>
      </c>
      <c r="K1034" s="394" t="str">
        <f>INDEX(F_ProductBM!K:K,MATCH($P1034,F_ProductBM!$Q:$Q,0))</f>
        <v/>
      </c>
      <c r="L1034" s="394" t="str">
        <f>INDEX(F_ProductBM!L:L,MATCH($P1034,F_ProductBM!$Q:$Q,0))</f>
        <v/>
      </c>
      <c r="M1034" s="394" t="str">
        <f>INDEX(F_ProductBM!M:M,MATCH($P1034,F_ProductBM!$Q:$Q,0))</f>
        <v/>
      </c>
      <c r="N1034" s="1733" t="str">
        <f>INDEX(F_ProductBM!N:N,MATCH($P1034,F_ProductBM!$Q:$Q,0))</f>
        <v/>
      </c>
      <c r="O1034" s="698"/>
      <c r="P1034" s="1190" t="str">
        <f>EUconst_CNTR_HALinitial&amp;I1012</f>
        <v>HALini_</v>
      </c>
      <c r="Q1034" s="729"/>
      <c r="R1034" s="729"/>
      <c r="S1034" s="729"/>
      <c r="T1034" s="729"/>
      <c r="U1034" s="343"/>
      <c r="V1034" s="343"/>
    </row>
    <row r="1035" spans="1:22" s="364" customFormat="1" ht="12.75" customHeight="1" x14ac:dyDescent="0.3">
      <c r="A1035" s="729"/>
      <c r="B1035" s="302"/>
      <c r="C1035" s="357"/>
      <c r="D1035" s="1698"/>
      <c r="E1035" s="398" t="str">
        <f>Translations!$B$1376</f>
        <v>Промяна в сравнение с HAL</v>
      </c>
      <c r="F1035" s="398"/>
      <c r="G1035" s="398"/>
      <c r="H1035" s="1734" t="s">
        <v>1052</v>
      </c>
      <c r="I1035" s="1735"/>
      <c r="J1035" s="159" t="str">
        <f>INDEX(F_ProductBM!J:J,MATCH($P1035,F_ProductBM!$Q:$Q,0))</f>
        <v/>
      </c>
      <c r="K1035" s="160" t="str">
        <f>INDEX(F_ProductBM!K:K,MATCH($P1035,F_ProductBM!$Q:$Q,0))</f>
        <v/>
      </c>
      <c r="L1035" s="160" t="str">
        <f>INDEX(F_ProductBM!L:L,MATCH($P1035,F_ProductBM!$Q:$Q,0))</f>
        <v/>
      </c>
      <c r="M1035" s="160" t="str">
        <f>INDEX(F_ProductBM!M:M,MATCH($P1035,F_ProductBM!$Q:$Q,0))</f>
        <v/>
      </c>
      <c r="N1035" s="161" t="str">
        <f>INDEX(F_ProductBM!N:N,MATCH($P1035,F_ProductBM!$Q:$Q,0))</f>
        <v/>
      </c>
      <c r="O1035" s="698"/>
      <c r="P1035" s="1190" t="str">
        <f>EUconst_CNTR_RelThreshold &amp; P1037</f>
        <v>RelThresh_HALprelim_</v>
      </c>
      <c r="Q1035" s="729"/>
      <c r="R1035" s="729"/>
      <c r="S1035" s="729"/>
      <c r="T1035" s="729"/>
      <c r="U1035" s="343"/>
      <c r="V1035" s="343"/>
    </row>
    <row r="1036" spans="1:22" s="364" customFormat="1" ht="12.75" customHeight="1" x14ac:dyDescent="0.3">
      <c r="A1036" s="729"/>
      <c r="B1036" s="302"/>
      <c r="C1036" s="357"/>
      <c r="D1036" s="1698"/>
      <c r="E1036" s="1736" t="str">
        <f>Translations!$B$1368</f>
        <v>Критерий 3a: Надвишени ли са относителните прагове?</v>
      </c>
      <c r="F1036" s="1736"/>
      <c r="G1036" s="1736"/>
      <c r="H1036" s="1737" t="s">
        <v>1052</v>
      </c>
      <c r="I1036" s="1738"/>
      <c r="J1036" s="1739" t="str">
        <f>INDEX(F_ProductBM!V:V,MATCH($P1036,F_ProductBM!$Q:$Q,0)+1)</f>
        <v/>
      </c>
      <c r="K1036" s="1740" t="str">
        <f>INDEX(F_ProductBM!W:W,MATCH($P1036,F_ProductBM!$Q:$Q,0)+1)</f>
        <v/>
      </c>
      <c r="L1036" s="1740" t="str">
        <f>INDEX(F_ProductBM!X:X,MATCH($P1036,F_ProductBM!$Q:$Q,0)+1)</f>
        <v/>
      </c>
      <c r="M1036" s="1740" t="str">
        <f>INDEX(F_ProductBM!Y:Y,MATCH($P1036,F_ProductBM!$Q:$Q,0)+1)</f>
        <v/>
      </c>
      <c r="N1036" s="1741" t="str">
        <f>INDEX(F_ProductBM!Z:Z,MATCH($P1036,F_ProductBM!$Q:$Q,0)+1)</f>
        <v/>
      </c>
      <c r="O1036" s="698"/>
      <c r="P1036" s="1190" t="str">
        <f>P1035</f>
        <v>RelThresh_HALprelim_</v>
      </c>
      <c r="Q1036" s="729"/>
      <c r="R1036" s="729"/>
      <c r="S1036" s="729"/>
      <c r="T1036" s="729"/>
      <c r="U1036" s="343"/>
      <c r="V1036" s="343"/>
    </row>
    <row r="1037" spans="1:22" s="364" customFormat="1" ht="12.75" customHeight="1" x14ac:dyDescent="0.3">
      <c r="A1037" s="729" t="str">
        <f t="shared" ref="A1037" si="88">IF(P1037="","ausblenden","")</f>
        <v/>
      </c>
      <c r="B1037" s="302"/>
      <c r="C1037" s="357"/>
      <c r="D1037" s="1698"/>
      <c r="E1037" s="401" t="str">
        <f>Translations!$B$1377</f>
        <v>Предварителна стойност</v>
      </c>
      <c r="F1037" s="401"/>
      <c r="G1037" s="401"/>
      <c r="H1037" s="1742" t="str">
        <f>F1018</f>
        <v>тона</v>
      </c>
      <c r="I1037" s="401"/>
      <c r="J1037" s="1743" t="str">
        <f>INDEX(F_ProductBM!J:J,MATCH($P1037,F_ProductBM!$Q:$Q,0))</f>
        <v/>
      </c>
      <c r="K1037" s="1744" t="str">
        <f>INDEX(F_ProductBM!K:K,MATCH($P1037,F_ProductBM!$Q:$Q,0))</f>
        <v/>
      </c>
      <c r="L1037" s="1744" t="str">
        <f>INDEX(F_ProductBM!L:L,MATCH($P1037,F_ProductBM!$Q:$Q,0))</f>
        <v/>
      </c>
      <c r="M1037" s="1744" t="str">
        <f>INDEX(F_ProductBM!M:M,MATCH($P1037,F_ProductBM!$Q:$Q,0))</f>
        <v/>
      </c>
      <c r="N1037" s="1745" t="str">
        <f>INDEX(F_ProductBM!N:N,MATCH($P1037,F_ProductBM!$Q:$Q,0))</f>
        <v/>
      </c>
      <c r="O1037" s="698"/>
      <c r="P1037" s="1190" t="str">
        <f>EUconst_CNTR_HALprelim&amp;I1012</f>
        <v>HALprelim_</v>
      </c>
      <c r="Q1037" s="729"/>
      <c r="R1037" s="729"/>
      <c r="S1037" s="729"/>
      <c r="T1037" s="729"/>
      <c r="U1037" s="343"/>
      <c r="V1037" s="343"/>
    </row>
    <row r="1038" spans="1:22" s="364" customFormat="1" ht="5.15" customHeight="1" x14ac:dyDescent="0.3">
      <c r="A1038" s="729"/>
      <c r="B1038" s="302"/>
      <c r="C1038" s="357"/>
      <c r="D1038" s="1698"/>
      <c r="E1038" s="302"/>
      <c r="F1038" s="302"/>
      <c r="G1038" s="302"/>
      <c r="H1038" s="302"/>
      <c r="I1038" s="1746"/>
      <c r="J1038" s="302"/>
      <c r="K1038" s="302"/>
      <c r="L1038" s="302"/>
      <c r="M1038" s="302"/>
      <c r="N1038" s="1747"/>
      <c r="O1038" s="698"/>
      <c r="P1038" s="729"/>
      <c r="Q1038" s="729"/>
      <c r="R1038" s="729"/>
      <c r="S1038" s="729"/>
      <c r="T1038" s="729"/>
      <c r="U1038" s="343"/>
      <c r="V1038" s="343"/>
    </row>
    <row r="1039" spans="1:22" s="364" customFormat="1" ht="12.75" customHeight="1" x14ac:dyDescent="0.3">
      <c r="A1039" s="729"/>
      <c r="B1039" s="302"/>
      <c r="C1039" s="357"/>
      <c r="D1039" s="1698"/>
      <c r="E1039" s="389" t="str">
        <f>Translations!$B$1380</f>
        <v>Промени: Топлинна енергия извън СТЕ</v>
      </c>
      <c r="F1039" s="498"/>
      <c r="G1039" s="498"/>
      <c r="H1039" s="527" t="str">
        <f>EUconst_Unit</f>
        <v>Единица мярка</v>
      </c>
      <c r="I1039" s="1699"/>
      <c r="J1039" s="1523">
        <f>J$2505</f>
        <v>2026</v>
      </c>
      <c r="K1039" s="387">
        <f>K$2505</f>
        <v>2027</v>
      </c>
      <c r="L1039" s="387">
        <f>L$2505</f>
        <v>2028</v>
      </c>
      <c r="M1039" s="387">
        <f>M$2505</f>
        <v>2029</v>
      </c>
      <c r="N1039" s="1544">
        <f>N$2505</f>
        <v>2030</v>
      </c>
      <c r="O1039" s="698"/>
      <c r="P1039" s="729"/>
      <c r="Q1039" s="729"/>
      <c r="R1039" s="729"/>
      <c r="S1039" s="729"/>
      <c r="T1039" s="729"/>
      <c r="U1039" s="343"/>
      <c r="V1039" s="343"/>
    </row>
    <row r="1040" spans="1:22" s="364" customFormat="1" ht="12.75" customHeight="1" x14ac:dyDescent="0.3">
      <c r="A1040" s="729"/>
      <c r="B1040" s="302"/>
      <c r="C1040" s="357"/>
      <c r="D1040" s="1698"/>
      <c r="E1040" s="392" t="str">
        <f>Translations!$B$1328</f>
        <v>Средна годишна стойност</v>
      </c>
      <c r="F1040" s="392"/>
      <c r="G1040" s="392"/>
      <c r="H1040" s="485" t="str">
        <f>EUconst_EUA</f>
        <v>Квота за емисии</v>
      </c>
      <c r="I1040" s="1716"/>
      <c r="J1040" s="1732" t="str">
        <f>IF(R1018,SUM(INDEX(F_ProductBM!J:J,MATCH($P1040,F_ProductBM!$Q:$Q,0))),"")</f>
        <v/>
      </c>
      <c r="K1040" s="394" t="str">
        <f>IF(S1018,SUM(INDEX(F_ProductBM!K:K,MATCH($P1040,F_ProductBM!$Q:$Q,0))),"")</f>
        <v/>
      </c>
      <c r="L1040" s="394" t="str">
        <f>IF(T1018,SUM(INDEX(F_ProductBM!L:L,MATCH($P1040,F_ProductBM!$Q:$Q,0))),"")</f>
        <v/>
      </c>
      <c r="M1040" s="394" t="str">
        <f>IF(U1018,SUM(INDEX(F_ProductBM!M:M,MATCH($P1040,F_ProductBM!$Q:$Q,0))),"")</f>
        <v/>
      </c>
      <c r="N1040" s="1733" t="str">
        <f>IF(V1018,SUM(INDEX(F_ProductBM!N:N,MATCH($P1040,F_ProductBM!$Q:$Q,0))),"")</f>
        <v/>
      </c>
      <c r="O1040" s="698"/>
      <c r="P1040" s="1190" t="str">
        <f>EUconst_CNTR_HEATInitial &amp; I1012</f>
        <v>HEATIni_</v>
      </c>
      <c r="Q1040" s="729"/>
      <c r="R1040" s="729"/>
      <c r="S1040" s="729"/>
      <c r="T1040" s="729"/>
      <c r="U1040" s="343"/>
      <c r="V1040" s="343"/>
    </row>
    <row r="1041" spans="1:22" s="364" customFormat="1" ht="12.75" customHeight="1" x14ac:dyDescent="0.3">
      <c r="A1041" s="729"/>
      <c r="B1041" s="302"/>
      <c r="C1041" s="357"/>
      <c r="D1041" s="1698"/>
      <c r="E1041" s="398" t="str">
        <f>Translations!$B$1378</f>
        <v>Промяна в сравнение със стойността в НМИ</v>
      </c>
      <c r="F1041" s="398"/>
      <c r="G1041" s="398"/>
      <c r="H1041" s="1734" t="s">
        <v>1052</v>
      </c>
      <c r="I1041" s="1735"/>
      <c r="J1041" s="159" t="str">
        <f>INDEX(F_ProductBM!J:J,MATCH($P1041,F_ProductBM!$Q:$Q,0))</f>
        <v/>
      </c>
      <c r="K1041" s="160" t="str">
        <f>INDEX(F_ProductBM!K:K,MATCH($P1041,F_ProductBM!$Q:$Q,0))</f>
        <v/>
      </c>
      <c r="L1041" s="160" t="str">
        <f>INDEX(F_ProductBM!L:L,MATCH($P1041,F_ProductBM!$Q:$Q,0))</f>
        <v/>
      </c>
      <c r="M1041" s="160" t="str">
        <f>INDEX(F_ProductBM!M:M,MATCH($P1041,F_ProductBM!$Q:$Q,0))</f>
        <v/>
      </c>
      <c r="N1041" s="161" t="str">
        <f>INDEX(F_ProductBM!N:N,MATCH($P1041,F_ProductBM!$Q:$Q,0))</f>
        <v/>
      </c>
      <c r="O1041" s="698"/>
      <c r="P1041" s="1190" t="str">
        <f>EUconst_CNTR_RelThreshold &amp; P1043</f>
        <v>RelThresh_HEATprelim_</v>
      </c>
      <c r="Q1041" s="729"/>
      <c r="R1041" s="729"/>
      <c r="S1041" s="729"/>
      <c r="T1041" s="729"/>
      <c r="U1041" s="343"/>
      <c r="V1041" s="343"/>
    </row>
    <row r="1042" spans="1:22" s="364" customFormat="1" ht="12.75" customHeight="1" x14ac:dyDescent="0.3">
      <c r="A1042" s="729"/>
      <c r="B1042" s="302"/>
      <c r="C1042" s="357"/>
      <c r="D1042" s="1698"/>
      <c r="E1042" s="1736" t="str">
        <f>Translations!$B$1379</f>
        <v>Критерий 3б: Надвишени ли са относителните прагове?</v>
      </c>
      <c r="F1042" s="1736"/>
      <c r="G1042" s="1736"/>
      <c r="H1042" s="1737" t="s">
        <v>1052</v>
      </c>
      <c r="I1042" s="1738"/>
      <c r="J1042" s="1739" t="str">
        <f>INDEX(F_ProductBM!V:V,MATCH($P1042,F_ProductBM!$Q:$Q,0))</f>
        <v/>
      </c>
      <c r="K1042" s="1740" t="str">
        <f>INDEX(F_ProductBM!W:W,MATCH($P1042,F_ProductBM!$Q:$Q,0))</f>
        <v/>
      </c>
      <c r="L1042" s="1740" t="str">
        <f>INDEX(F_ProductBM!X:X,MATCH($P1042,F_ProductBM!$Q:$Q,0))</f>
        <v/>
      </c>
      <c r="M1042" s="1740" t="str">
        <f>INDEX(F_ProductBM!Y:Y,MATCH($P1042,F_ProductBM!$Q:$Q,0))</f>
        <v/>
      </c>
      <c r="N1042" s="1741" t="str">
        <f>INDEX(F_ProductBM!Z:Z,MATCH($P1042,F_ProductBM!$Q:$Q,0))</f>
        <v/>
      </c>
      <c r="O1042" s="698"/>
      <c r="P1042" s="1190" t="str">
        <f>P1041</f>
        <v>RelThresh_HEATprelim_</v>
      </c>
      <c r="Q1042" s="729"/>
      <c r="R1042" s="729"/>
      <c r="S1042" s="729"/>
      <c r="T1042" s="729"/>
      <c r="U1042" s="343"/>
      <c r="V1042" s="343"/>
    </row>
    <row r="1043" spans="1:22" s="364" customFormat="1" ht="12.75" customHeight="1" x14ac:dyDescent="0.3">
      <c r="A1043" s="729" t="str">
        <f>IF(P1043="","ausblenden","")</f>
        <v/>
      </c>
      <c r="B1043" s="302"/>
      <c r="C1043" s="357"/>
      <c r="D1043" s="1698"/>
      <c r="E1043" s="401" t="str">
        <f>Translations!$B$1377</f>
        <v>Предварителна стойност</v>
      </c>
      <c r="F1043" s="401"/>
      <c r="G1043" s="401"/>
      <c r="H1043" s="487" t="str">
        <f>EUconst_EUA</f>
        <v>Квота за емисии</v>
      </c>
      <c r="I1043" s="401"/>
      <c r="J1043" s="1743" t="str">
        <f>IF($I1012="","",INDEX(F_ProductBM!J:J,MATCH($P1043,F_ProductBM!$Q:$Q,0)))</f>
        <v/>
      </c>
      <c r="K1043" s="1744" t="str">
        <f>IF($I1012="","",INDEX(F_ProductBM!K:K,MATCH($P1043,F_ProductBM!$Q:$Q,0)))</f>
        <v/>
      </c>
      <c r="L1043" s="1744" t="str">
        <f>IF($I1012="","",INDEX(F_ProductBM!L:L,MATCH($P1043,F_ProductBM!$Q:$Q,0)))</f>
        <v/>
      </c>
      <c r="M1043" s="1744" t="str">
        <f>IF($I1012="","",INDEX(F_ProductBM!M:M,MATCH($P1043,F_ProductBM!$Q:$Q,0)))</f>
        <v/>
      </c>
      <c r="N1043" s="1745" t="str">
        <f>IF($I1012="","",INDEX(F_ProductBM!N:N,MATCH($P1043,F_ProductBM!$Q:$Q,0)))</f>
        <v/>
      </c>
      <c r="O1043" s="698"/>
      <c r="P1043" s="1190" t="str">
        <f>EUconst_CNTR_HEATprelim&amp;I1012</f>
        <v>HEATprelim_</v>
      </c>
      <c r="Q1043" s="729"/>
      <c r="R1043" s="729"/>
      <c r="S1043" s="729"/>
      <c r="T1043" s="729"/>
      <c r="U1043" s="343"/>
      <c r="V1043" s="343"/>
    </row>
    <row r="1044" spans="1:22" s="364" customFormat="1" ht="5.15" customHeight="1" x14ac:dyDescent="0.3">
      <c r="A1044" s="729"/>
      <c r="B1044" s="302"/>
      <c r="C1044" s="357"/>
      <c r="D1044" s="1698"/>
      <c r="E1044" s="302"/>
      <c r="F1044" s="302"/>
      <c r="G1044" s="302"/>
      <c r="H1044" s="302"/>
      <c r="I1044" s="1746"/>
      <c r="J1044" s="302"/>
      <c r="K1044" s="302"/>
      <c r="L1044" s="302"/>
      <c r="M1044" s="302"/>
      <c r="N1044" s="1747"/>
      <c r="O1044" s="698"/>
      <c r="P1044" s="729"/>
      <c r="Q1044" s="729"/>
      <c r="R1044" s="729"/>
      <c r="S1044" s="729"/>
      <c r="T1044" s="729"/>
      <c r="U1044" s="343"/>
      <c r="V1044" s="343"/>
    </row>
    <row r="1045" spans="1:22" s="364" customFormat="1" ht="12.75" customHeight="1" x14ac:dyDescent="0.3">
      <c r="A1045" s="729"/>
      <c r="B1045" s="302"/>
      <c r="C1045" s="357"/>
      <c r="D1045" s="1698"/>
      <c r="E1045" s="389" t="str">
        <f>Translations!$B$1382</f>
        <v>Промени: Корекция за ценни химически вещества (HVC)</v>
      </c>
      <c r="F1045" s="498"/>
      <c r="G1045" s="498"/>
      <c r="H1045" s="527" t="str">
        <f>EUconst_Unit</f>
        <v>Единица мярка</v>
      </c>
      <c r="I1045" s="1699"/>
      <c r="J1045" s="1523">
        <f>J$2505</f>
        <v>2026</v>
      </c>
      <c r="K1045" s="387">
        <f>K$2505</f>
        <v>2027</v>
      </c>
      <c r="L1045" s="387">
        <f>L$2505</f>
        <v>2028</v>
      </c>
      <c r="M1045" s="387">
        <f>M$2505</f>
        <v>2029</v>
      </c>
      <c r="N1045" s="1544">
        <f>N$2505</f>
        <v>2030</v>
      </c>
      <c r="O1045" s="698"/>
      <c r="P1045" s="729"/>
      <c r="Q1045" s="729"/>
      <c r="R1045" s="729"/>
      <c r="S1045" s="729"/>
      <c r="T1045" s="729"/>
      <c r="U1045" s="343"/>
      <c r="V1045" s="343"/>
    </row>
    <row r="1046" spans="1:22" s="364" customFormat="1" ht="12.75" customHeight="1" x14ac:dyDescent="0.3">
      <c r="A1046" s="729"/>
      <c r="B1046" s="302"/>
      <c r="C1046" s="357"/>
      <c r="D1046" s="1698"/>
      <c r="E1046" s="392" t="str">
        <f>Translations!$B$1328</f>
        <v>Средна годишна стойност</v>
      </c>
      <c r="F1046" s="392"/>
      <c r="G1046" s="392"/>
      <c r="H1046" s="481" t="str">
        <f>EUconst_EUA</f>
        <v>Квота за емисии</v>
      </c>
      <c r="I1046" s="1716"/>
      <c r="J1046" s="1748" t="str">
        <f>IF(L1015=42,INDEX(H_SpecialBM!J:J,MATCH($P1046,H_SpecialBM!$Q:$Q,0)),"")</f>
        <v/>
      </c>
      <c r="K1046" s="1749" t="str">
        <f>IF(L1015=42,INDEX(H_SpecialBM!K:K,MATCH($P1046,H_SpecialBM!$Q:$Q,0)),"")</f>
        <v/>
      </c>
      <c r="L1046" s="1749" t="str">
        <f>IF(L1015=42,INDEX(H_SpecialBM!L:L,MATCH($P1046,H_SpecialBM!$Q:$Q,0)),"")</f>
        <v/>
      </c>
      <c r="M1046" s="1749" t="str">
        <f>IF(L1015=42,INDEX(H_SpecialBM!M:M,MATCH($P1046,H_SpecialBM!$Q:$Q,0)),"")</f>
        <v/>
      </c>
      <c r="N1046" s="1750" t="str">
        <f>IF(L1015=42,INDEX(H_SpecialBM!N:N,MATCH($P1046,H_SpecialBM!$Q:$Q,0)),"")</f>
        <v/>
      </c>
      <c r="O1046" s="698"/>
      <c r="P1046" s="1190" t="str">
        <f>EUconst_CNTR_HVCInitial &amp; INDEX(EUconst_BMlistNames,MATCH(42,EUconst_BMlistMainNumberOfBM,0))</f>
        <v>HVCIni_Крекинг с водна пара</v>
      </c>
      <c r="Q1046" s="729"/>
      <c r="R1046" s="729"/>
      <c r="S1046" s="729"/>
      <c r="T1046" s="729"/>
      <c r="U1046" s="343"/>
      <c r="V1046" s="343"/>
    </row>
    <row r="1047" spans="1:22" s="364" customFormat="1" ht="12.75" customHeight="1" x14ac:dyDescent="0.3">
      <c r="A1047" s="729"/>
      <c r="B1047" s="302"/>
      <c r="C1047" s="357"/>
      <c r="D1047" s="1698"/>
      <c r="E1047" s="398" t="str">
        <f>Translations!$B$1378</f>
        <v>Промяна в сравнение със стойността в НМИ</v>
      </c>
      <c r="F1047" s="398"/>
      <c r="G1047" s="398"/>
      <c r="H1047" s="1751" t="s">
        <v>1052</v>
      </c>
      <c r="I1047" s="1735"/>
      <c r="J1047" s="159" t="str">
        <f>IF(L1015=42,INDEX(H_SpecialBM!J:J,MATCH($P1047,H_SpecialBM!$Q:$Q,0)),"")</f>
        <v/>
      </c>
      <c r="K1047" s="160" t="str">
        <f>IF(L1015=42,INDEX(H_SpecialBM!K:K,MATCH($P1047,H_SpecialBM!$Q:$Q,0)),"")</f>
        <v/>
      </c>
      <c r="L1047" s="160" t="str">
        <f>IF(L1015=42,INDEX(H_SpecialBM!L:L,MATCH($P1047,H_SpecialBM!$Q:$Q,0)),"")</f>
        <v/>
      </c>
      <c r="M1047" s="160" t="str">
        <f>IF(L1015=42,INDEX(H_SpecialBM!M:M,MATCH($P1047,H_SpecialBM!$Q:$Q,0)),"")</f>
        <v/>
      </c>
      <c r="N1047" s="161" t="str">
        <f>IF(L1015=42,INDEX(H_SpecialBM!N:N,MATCH($P1047,H_SpecialBM!$Q:$Q,0)),"")</f>
        <v/>
      </c>
      <c r="O1047" s="698"/>
      <c r="P1047" s="1190" t="str">
        <f>EUconst_CNTR_RelThreshold &amp; P1049</f>
        <v>RelThresh_HVCprelim_</v>
      </c>
      <c r="Q1047" s="729"/>
      <c r="R1047" s="729"/>
      <c r="S1047" s="729"/>
      <c r="T1047" s="729"/>
      <c r="U1047" s="343"/>
      <c r="V1047" s="343"/>
    </row>
    <row r="1048" spans="1:22" s="364" customFormat="1" ht="12.75" customHeight="1" x14ac:dyDescent="0.3">
      <c r="A1048" s="729"/>
      <c r="B1048" s="302"/>
      <c r="C1048" s="357"/>
      <c r="D1048" s="1698"/>
      <c r="E1048" s="1736" t="str">
        <f>Translations!$B$1381</f>
        <v>Критерий 3в: Надвишени ли са относителните прагове?</v>
      </c>
      <c r="F1048" s="1736"/>
      <c r="G1048" s="1736"/>
      <c r="H1048" s="1738" t="s">
        <v>1052</v>
      </c>
      <c r="I1048" s="1738"/>
      <c r="J1048" s="1739" t="str">
        <f>IF(L1015=42,INDEX(H_SpecialBM!V:V,MATCH($P1048,H_SpecialBM!$Q:$Q,0)),"")</f>
        <v/>
      </c>
      <c r="K1048" s="1740" t="str">
        <f>IF(L1015=42,INDEX(H_SpecialBM!W:W,MATCH($P1048,H_SpecialBM!$Q:$Q,0)),"")</f>
        <v/>
      </c>
      <c r="L1048" s="1740" t="str">
        <f>IF(L1015=42,INDEX(H_SpecialBM!X:X,MATCH($P1048,H_SpecialBM!$Q:$Q,0)),"")</f>
        <v/>
      </c>
      <c r="M1048" s="1740" t="str">
        <f>IF(L1015=42,INDEX(H_SpecialBM!Y:Y,MATCH($P1048,H_SpecialBM!$Q:$Q,0)),"")</f>
        <v/>
      </c>
      <c r="N1048" s="1741" t="str">
        <f>IF(L1015=42,INDEX(H_SpecialBM!Z:Z,MATCH($P1048,H_SpecialBM!$Q:$Q,0)),"")</f>
        <v/>
      </c>
      <c r="O1048" s="698"/>
      <c r="P1048" s="1190" t="str">
        <f>P1047</f>
        <v>RelThresh_HVCprelim_</v>
      </c>
      <c r="Q1048" s="729"/>
      <c r="R1048" s="729"/>
      <c r="S1048" s="729"/>
      <c r="T1048" s="729"/>
      <c r="U1048" s="343"/>
      <c r="V1048" s="343"/>
    </row>
    <row r="1049" spans="1:22" s="364" customFormat="1" ht="12.75" customHeight="1" x14ac:dyDescent="0.3">
      <c r="A1049" s="729" t="str">
        <f>IF(P1049="","ausblenden","")</f>
        <v/>
      </c>
      <c r="B1049" s="302"/>
      <c r="C1049" s="357"/>
      <c r="D1049" s="1698"/>
      <c r="E1049" s="401" t="str">
        <f>Translations!$B$1377</f>
        <v>Предварителна стойност</v>
      </c>
      <c r="F1049" s="401"/>
      <c r="G1049" s="401"/>
      <c r="H1049" s="483" t="str">
        <f>EUconst_EUA</f>
        <v>Квота за емисии</v>
      </c>
      <c r="I1049" s="1724"/>
      <c r="J1049" s="1752" t="str">
        <f>IF($L1015=42,INDEX(H_SpecialBM!J:J,MATCH($P1049,H_SpecialBM!$Q:$Q,0)),"")</f>
        <v/>
      </c>
      <c r="K1049" s="1753" t="str">
        <f>IF($L1015=42,INDEX(H_SpecialBM!K:K,MATCH($P1049,H_SpecialBM!$Q:$Q,0)),"")</f>
        <v/>
      </c>
      <c r="L1049" s="1753" t="str">
        <f>IF($L1015=42,INDEX(H_SpecialBM!L:L,MATCH($P1049,H_SpecialBM!$Q:$Q,0)),"")</f>
        <v/>
      </c>
      <c r="M1049" s="1753" t="str">
        <f>IF($L1015=42,INDEX(H_SpecialBM!M:M,MATCH($P1049,H_SpecialBM!$Q:$Q,0)),"")</f>
        <v/>
      </c>
      <c r="N1049" s="1754" t="str">
        <f>IF($L1015=42,INDEX(H_SpecialBM!N:N,MATCH($P1049,H_SpecialBM!$Q:$Q,0)),"")</f>
        <v/>
      </c>
      <c r="O1049" s="698"/>
      <c r="P1049" s="1190" t="str">
        <f>EUconst_CNTR_HVCprelim</f>
        <v>HVCprelim_</v>
      </c>
      <c r="Q1049" s="729"/>
      <c r="R1049" s="729"/>
      <c r="S1049" s="729"/>
      <c r="T1049" s="729"/>
      <c r="U1049" s="343"/>
      <c r="V1049" s="343"/>
    </row>
    <row r="1050" spans="1:22" s="364" customFormat="1" ht="5.15" customHeight="1" x14ac:dyDescent="0.3">
      <c r="A1050" s="729"/>
      <c r="B1050" s="302"/>
      <c r="C1050" s="357"/>
      <c r="D1050" s="1698"/>
      <c r="E1050" s="302"/>
      <c r="F1050" s="302"/>
      <c r="G1050" s="302"/>
      <c r="H1050" s="302"/>
      <c r="I1050" s="1746"/>
      <c r="J1050" s="302"/>
      <c r="K1050" s="302"/>
      <c r="L1050" s="302"/>
      <c r="M1050" s="302"/>
      <c r="N1050" s="1747"/>
      <c r="O1050" s="698"/>
      <c r="P1050" s="729"/>
      <c r="Q1050" s="729"/>
      <c r="R1050" s="729"/>
      <c r="S1050" s="729"/>
      <c r="T1050" s="729"/>
      <c r="U1050" s="343"/>
      <c r="V1050" s="343"/>
    </row>
    <row r="1051" spans="1:22" s="364" customFormat="1" ht="12.75" customHeight="1" x14ac:dyDescent="0.3">
      <c r="A1051" s="729"/>
      <c r="B1051" s="302"/>
      <c r="C1051" s="357"/>
      <c r="D1051" s="1698"/>
      <c r="E1051" s="389" t="str">
        <f>Translations!$B$1384</f>
        <v>Промени: Корекция за винилхлориден мономер (VCM)</v>
      </c>
      <c r="F1051" s="498"/>
      <c r="G1051" s="498"/>
      <c r="H1051" s="527" t="str">
        <f>EUconst_Unit</f>
        <v>Единица мярка</v>
      </c>
      <c r="I1051" s="1699"/>
      <c r="J1051" s="1523">
        <f>J$2505</f>
        <v>2026</v>
      </c>
      <c r="K1051" s="387">
        <f>K$2505</f>
        <v>2027</v>
      </c>
      <c r="L1051" s="387">
        <f>L$2505</f>
        <v>2028</v>
      </c>
      <c r="M1051" s="387">
        <f>M$2505</f>
        <v>2029</v>
      </c>
      <c r="N1051" s="1544">
        <f>N$2505</f>
        <v>2030</v>
      </c>
      <c r="O1051" s="698"/>
      <c r="P1051" s="729"/>
      <c r="Q1051" s="729"/>
      <c r="R1051" s="729"/>
      <c r="S1051" s="729"/>
      <c r="T1051" s="729"/>
      <c r="U1051" s="343"/>
      <c r="V1051" s="343"/>
    </row>
    <row r="1052" spans="1:22" s="364" customFormat="1" ht="12.75" customHeight="1" x14ac:dyDescent="0.3">
      <c r="A1052" s="729"/>
      <c r="B1052" s="302"/>
      <c r="C1052" s="357"/>
      <c r="D1052" s="1698"/>
      <c r="E1052" s="392" t="str">
        <f>Translations!$B$1328</f>
        <v>Средна годишна стойност</v>
      </c>
      <c r="F1052" s="392"/>
      <c r="G1052" s="392"/>
      <c r="H1052" s="485" t="s">
        <v>1052</v>
      </c>
      <c r="I1052" s="1716"/>
      <c r="J1052" s="1755" t="str">
        <f>IF(L1015=47,INDEX(H_SpecialBM!J:J,MATCH($P1052,H_SpecialBM!$Q:$Q,0)),"")</f>
        <v/>
      </c>
      <c r="K1052" s="1756" t="str">
        <f>IF(L1015=47,INDEX(H_SpecialBM!K:K,MATCH($P1052,H_SpecialBM!$Q:$Q,0)),"")</f>
        <v/>
      </c>
      <c r="L1052" s="1756" t="str">
        <f>IF(L1015=47,INDEX(H_SpecialBM!L:L,MATCH($P1052,H_SpecialBM!$Q:$Q,0)),"")</f>
        <v/>
      </c>
      <c r="M1052" s="1756" t="str">
        <f>IF(L1015=47,INDEX(H_SpecialBM!M:M,MATCH($P1052,H_SpecialBM!$Q:$Q,0)),"")</f>
        <v/>
      </c>
      <c r="N1052" s="1757" t="str">
        <f>IF(L1015=47,INDEX(H_SpecialBM!N:N,MATCH($P1052,H_SpecialBM!$Q:$Q,0)),"")</f>
        <v/>
      </c>
      <c r="O1052" s="698"/>
      <c r="P1052" s="1190" t="str">
        <f>EUconst_CNTR_VCMInitial &amp; INDEX(EUconst_BMlistNames,MATCH(47,EUconst_BMlistMainNumberOfBM,0))</f>
        <v>VCMIni_Винилхлориден мономер</v>
      </c>
      <c r="Q1052" s="729"/>
      <c r="R1052" s="729"/>
      <c r="S1052" s="729"/>
      <c r="T1052" s="729"/>
      <c r="U1052" s="343"/>
      <c r="V1052" s="343"/>
    </row>
    <row r="1053" spans="1:22" s="364" customFormat="1" ht="12.75" customHeight="1" x14ac:dyDescent="0.3">
      <c r="A1053" s="729"/>
      <c r="B1053" s="302"/>
      <c r="C1053" s="357"/>
      <c r="D1053" s="1698"/>
      <c r="E1053" s="398" t="str">
        <f>Translations!$B$1378</f>
        <v>Промяна в сравнение със стойността в НМИ</v>
      </c>
      <c r="F1053" s="398"/>
      <c r="G1053" s="398"/>
      <c r="H1053" s="1751" t="s">
        <v>1052</v>
      </c>
      <c r="I1053" s="1735"/>
      <c r="J1053" s="159" t="str">
        <f>IF(L1015=47,INDEX(H_SpecialBM!J:J,MATCH($P1053,H_SpecialBM!$Q:$Q,0)),"")</f>
        <v/>
      </c>
      <c r="K1053" s="160" t="str">
        <f>IF(L1015=47,INDEX(H_SpecialBM!K:K,MATCH($P1053,H_SpecialBM!$Q:$Q,0)),"")</f>
        <v/>
      </c>
      <c r="L1053" s="160" t="str">
        <f>IF(L1015=47,INDEX(H_SpecialBM!L:L,MATCH($P1053,H_SpecialBM!$Q:$Q,0)),"")</f>
        <v/>
      </c>
      <c r="M1053" s="160" t="str">
        <f>IF(L1015=47,INDEX(H_SpecialBM!M:M,MATCH($P1053,H_SpecialBM!$Q:$Q,0)),"")</f>
        <v/>
      </c>
      <c r="N1053" s="161" t="str">
        <f>IF(L1015=47,INDEX(H_SpecialBM!N:N,MATCH($P1053,H_SpecialBM!$Q:$Q,0)),"")</f>
        <v/>
      </c>
      <c r="O1053" s="698"/>
      <c r="P1053" s="1190" t="str">
        <f>EUconst_CNTR_RelThreshold &amp; P1055</f>
        <v>RelThresh_VCMprelim_</v>
      </c>
      <c r="Q1053" s="729"/>
      <c r="R1053" s="729"/>
      <c r="S1053" s="729"/>
      <c r="T1053" s="729"/>
      <c r="U1053" s="343"/>
      <c r="V1053" s="343"/>
    </row>
    <row r="1054" spans="1:22" s="364" customFormat="1" ht="12.75" customHeight="1" x14ac:dyDescent="0.3">
      <c r="A1054" s="729"/>
      <c r="B1054" s="302"/>
      <c r="C1054" s="357"/>
      <c r="D1054" s="1698"/>
      <c r="E1054" s="1736" t="str">
        <f>Translations!$B$1383</f>
        <v>Критерий 3г: Надвишени ли са относителните прагове?</v>
      </c>
      <c r="F1054" s="1736"/>
      <c r="G1054" s="1736"/>
      <c r="H1054" s="1738" t="s">
        <v>1052</v>
      </c>
      <c r="I1054" s="1738"/>
      <c r="J1054" s="1739" t="str">
        <f>IF(L1015=47,INDEX(H_SpecialBM!V:V,MATCH($P1054,H_SpecialBM!$Q:$Q,0)),"")</f>
        <v/>
      </c>
      <c r="K1054" s="1740" t="str">
        <f>IF(L1015=47,INDEX(H_SpecialBM!W:W,MATCH($P1054,H_SpecialBM!$Q:$Q,0)),"")</f>
        <v/>
      </c>
      <c r="L1054" s="1740" t="str">
        <f>IF(L1015=47,INDEX(H_SpecialBM!X:X,MATCH($P1054,H_SpecialBM!$Q:$Q,0)),"")</f>
        <v/>
      </c>
      <c r="M1054" s="1740" t="str">
        <f>IF(L1015=47,INDEX(H_SpecialBM!Y:Y,MATCH($P1054,H_SpecialBM!$Q:$Q,0)),"")</f>
        <v/>
      </c>
      <c r="N1054" s="1741" t="str">
        <f>IF(L1015=47,INDEX(H_SpecialBM!Z:Z,MATCH($P1054,H_SpecialBM!$Q:$Q,0)),"")</f>
        <v/>
      </c>
      <c r="O1054" s="698"/>
      <c r="P1054" s="1190" t="str">
        <f>P1053</f>
        <v>RelThresh_VCMprelim_</v>
      </c>
      <c r="Q1054" s="729"/>
      <c r="R1054" s="729"/>
      <c r="S1054" s="729"/>
      <c r="T1054" s="729"/>
      <c r="U1054" s="343"/>
      <c r="V1054" s="343"/>
    </row>
    <row r="1055" spans="1:22" s="364" customFormat="1" ht="12.75" customHeight="1" x14ac:dyDescent="0.3">
      <c r="A1055" s="729" t="str">
        <f>IF(P1055="","ausblenden","")</f>
        <v/>
      </c>
      <c r="B1055" s="302"/>
      <c r="C1055" s="357"/>
      <c r="D1055" s="1698"/>
      <c r="E1055" s="401" t="str">
        <f>Translations!$B$1377</f>
        <v>Предварителна стойност</v>
      </c>
      <c r="F1055" s="401"/>
      <c r="G1055" s="401"/>
      <c r="H1055" s="483" t="s">
        <v>1052</v>
      </c>
      <c r="I1055" s="1724"/>
      <c r="J1055" s="1758" t="str">
        <f>IF($L1015=47,IF(ISNUMBER(INDEX(H_SpecialBM!J:J,MATCH($P1055,H_SpecialBM!$Q:$Q,0))),INDEX(H_SpecialBM!J:J,MATCH($P1055,H_SpecialBM!$Q:$Q,0)),1),"")</f>
        <v/>
      </c>
      <c r="K1055" s="1759" t="str">
        <f>IF($L1015=47,IF(ISNUMBER(INDEX(H_SpecialBM!K:K,MATCH($P1055,H_SpecialBM!$Q:$Q,0))),INDEX(H_SpecialBM!K:K,MATCH($P1055,H_SpecialBM!$Q:$Q,0)),1),"")</f>
        <v/>
      </c>
      <c r="L1055" s="1759" t="str">
        <f>IF($L1015=47,IF(ISNUMBER(INDEX(H_SpecialBM!L:L,MATCH($P1055,H_SpecialBM!$Q:$Q,0))),INDEX(H_SpecialBM!L:L,MATCH($P1055,H_SpecialBM!$Q:$Q,0)),1),"")</f>
        <v/>
      </c>
      <c r="M1055" s="1759" t="str">
        <f>IF($L1015=47,IF(ISNUMBER(INDEX(H_SpecialBM!M:M,MATCH($P1055,H_SpecialBM!$Q:$Q,0))),INDEX(H_SpecialBM!M:M,MATCH($P1055,H_SpecialBM!$Q:$Q,0)),1),"")</f>
        <v/>
      </c>
      <c r="N1055" s="1760" t="str">
        <f>IF($L1015=47,IF(ISNUMBER(INDEX(H_SpecialBM!N:N,MATCH($P1055,H_SpecialBM!$Q:$Q,0))),INDEX(H_SpecialBM!N:N,MATCH($P1055,H_SpecialBM!$Q:$Q,0)),1),"")</f>
        <v/>
      </c>
      <c r="O1055" s="698"/>
      <c r="P1055" s="1190" t="str">
        <f>EUconst_CNTR_VCMprelim</f>
        <v>VCMprelim_</v>
      </c>
      <c r="Q1055" s="729"/>
      <c r="R1055" s="729"/>
      <c r="S1055" s="729"/>
      <c r="T1055" s="729"/>
      <c r="U1055" s="343"/>
      <c r="V1055" s="343"/>
    </row>
    <row r="1056" spans="1:22" s="364" customFormat="1" ht="5.15" customHeight="1" x14ac:dyDescent="0.3">
      <c r="A1056" s="729"/>
      <c r="B1056" s="302"/>
      <c r="C1056" s="357"/>
      <c r="D1056" s="1698"/>
      <c r="E1056" s="302"/>
      <c r="F1056" s="302"/>
      <c r="G1056" s="302"/>
      <c r="H1056" s="302"/>
      <c r="I1056" s="1746"/>
      <c r="J1056" s="302"/>
      <c r="K1056" s="302"/>
      <c r="L1056" s="302"/>
      <c r="M1056" s="302"/>
      <c r="N1056" s="1747"/>
      <c r="O1056" s="698"/>
      <c r="P1056" s="729"/>
      <c r="Q1056" s="729"/>
      <c r="R1056" s="729"/>
      <c r="S1056" s="729"/>
      <c r="T1056" s="729"/>
      <c r="U1056" s="343"/>
      <c r="V1056" s="343"/>
    </row>
    <row r="1057" spans="1:22" s="364" customFormat="1" ht="12.75" customHeight="1" x14ac:dyDescent="0.3">
      <c r="A1057" s="729"/>
      <c r="B1057" s="302"/>
      <c r="C1057" s="357"/>
      <c r="D1057" s="1698"/>
      <c r="E1057" s="389" t="str">
        <f>Translations!$B$1386</f>
        <v>Промени: Изгорен във факел отпаден газ</v>
      </c>
      <c r="F1057" s="498"/>
      <c r="G1057" s="498"/>
      <c r="H1057" s="527" t="str">
        <f>EUconst_Unit</f>
        <v>Единица мярка</v>
      </c>
      <c r="I1057" s="1699"/>
      <c r="J1057" s="1523">
        <f>J$2505</f>
        <v>2026</v>
      </c>
      <c r="K1057" s="387">
        <f>K$2505</f>
        <v>2027</v>
      </c>
      <c r="L1057" s="387">
        <f>L$2505</f>
        <v>2028</v>
      </c>
      <c r="M1057" s="387">
        <f>M$2505</f>
        <v>2029</v>
      </c>
      <c r="N1057" s="1544">
        <f>N$2505</f>
        <v>2030</v>
      </c>
      <c r="O1057" s="698"/>
      <c r="P1057" s="729"/>
      <c r="Q1057" s="729"/>
      <c r="R1057" s="729"/>
      <c r="S1057" s="729"/>
      <c r="T1057" s="729"/>
      <c r="U1057" s="343"/>
      <c r="V1057" s="343"/>
    </row>
    <row r="1058" spans="1:22" s="364" customFormat="1" ht="12.75" customHeight="1" x14ac:dyDescent="0.3">
      <c r="A1058" s="729"/>
      <c r="B1058" s="302"/>
      <c r="C1058" s="357"/>
      <c r="D1058" s="1698"/>
      <c r="E1058" s="392" t="str">
        <f>Translations!$B$1328</f>
        <v>Средна годишна стойност</v>
      </c>
      <c r="F1058" s="392"/>
      <c r="G1058" s="392"/>
      <c r="H1058" s="485" t="str">
        <f>EUconst_tCO2</f>
        <v>t CO2</v>
      </c>
      <c r="I1058" s="1716"/>
      <c r="J1058" s="1732" t="str">
        <f>INDEX(F_ProductBM!J:J,MATCH($P1058,F_ProductBM!$Q:$Q,0))</f>
        <v/>
      </c>
      <c r="K1058" s="394" t="str">
        <f>INDEX(F_ProductBM!K:K,MATCH($P1058,F_ProductBM!$Q:$Q,0))</f>
        <v/>
      </c>
      <c r="L1058" s="394" t="str">
        <f>INDEX(F_ProductBM!L:L,MATCH($P1058,F_ProductBM!$Q:$Q,0))</f>
        <v/>
      </c>
      <c r="M1058" s="394" t="str">
        <f>INDEX(F_ProductBM!M:M,MATCH($P1058,F_ProductBM!$Q:$Q,0))</f>
        <v/>
      </c>
      <c r="N1058" s="1733" t="str">
        <f>INDEX(F_ProductBM!N:N,MATCH($P1058,F_ProductBM!$Q:$Q,0))</f>
        <v/>
      </c>
      <c r="O1058" s="698"/>
      <c r="P1058" s="1190" t="str">
        <f>EUconst_CNTR_HALinitial &amp; EUconst_CNTR_WGFlared &amp; I1012</f>
        <v>HALini_WasteGasFlare_</v>
      </c>
      <c r="Q1058" s="729"/>
      <c r="R1058" s="729"/>
      <c r="S1058" s="729"/>
      <c r="T1058" s="729"/>
      <c r="U1058" s="343"/>
      <c r="V1058" s="343"/>
    </row>
    <row r="1059" spans="1:22" s="364" customFormat="1" ht="12.75" customHeight="1" x14ac:dyDescent="0.3">
      <c r="A1059" s="729"/>
      <c r="B1059" s="302"/>
      <c r="C1059" s="357"/>
      <c r="D1059" s="1698"/>
      <c r="E1059" s="398" t="str">
        <f>Translations!$B$1378</f>
        <v>Промяна в сравнение със стойността в НМИ</v>
      </c>
      <c r="F1059" s="398"/>
      <c r="G1059" s="398"/>
      <c r="H1059" s="1734" t="s">
        <v>1052</v>
      </c>
      <c r="I1059" s="1735"/>
      <c r="J1059" s="159" t="str">
        <f>INDEX(F_ProductBM!J:J,MATCH($P1059,F_ProductBM!$Q:$Q,0))</f>
        <v/>
      </c>
      <c r="K1059" s="160" t="str">
        <f>INDEX(F_ProductBM!K:K,MATCH($P1059,F_ProductBM!$Q:$Q,0))</f>
        <v/>
      </c>
      <c r="L1059" s="160" t="str">
        <f>INDEX(F_ProductBM!L:L,MATCH($P1059,F_ProductBM!$Q:$Q,0))</f>
        <v/>
      </c>
      <c r="M1059" s="160" t="str">
        <f>INDEX(F_ProductBM!M:M,MATCH($P1059,F_ProductBM!$Q:$Q,0))</f>
        <v/>
      </c>
      <c r="N1059" s="161" t="str">
        <f>INDEX(F_ProductBM!N:N,MATCH($P1059,F_ProductBM!$Q:$Q,0))</f>
        <v/>
      </c>
      <c r="O1059" s="698"/>
      <c r="P1059" s="1190" t="str">
        <f>EUconst_CNTR_RelThreshold &amp; P1061</f>
        <v>RelThresh_HALprelim_WasteGasFlare_</v>
      </c>
      <c r="Q1059" s="729"/>
      <c r="R1059" s="729"/>
      <c r="S1059" s="729"/>
      <c r="T1059" s="729"/>
      <c r="U1059" s="343"/>
      <c r="V1059" s="343"/>
    </row>
    <row r="1060" spans="1:22" s="364" customFormat="1" ht="12.75" customHeight="1" x14ac:dyDescent="0.3">
      <c r="A1060" s="729"/>
      <c r="B1060" s="302"/>
      <c r="C1060" s="357"/>
      <c r="D1060" s="1698"/>
      <c r="E1060" s="1736" t="str">
        <f>Translations!$B$1385</f>
        <v>Критерий 3д: Надвишени ли са относителните прагове?</v>
      </c>
      <c r="F1060" s="1736"/>
      <c r="G1060" s="1736"/>
      <c r="H1060" s="1737" t="s">
        <v>1052</v>
      </c>
      <c r="I1060" s="1738"/>
      <c r="J1060" s="1739" t="str">
        <f>INDEX(F_ProductBM!V:V,MATCH($P1060,F_ProductBM!$Q:$Q,0))</f>
        <v/>
      </c>
      <c r="K1060" s="1740" t="str">
        <f>INDEX(F_ProductBM!W:W,MATCH($P1060,F_ProductBM!$Q:$Q,0))</f>
        <v/>
      </c>
      <c r="L1060" s="1740" t="str">
        <f>INDEX(F_ProductBM!X:X,MATCH($P1060,F_ProductBM!$Q:$Q,0))</f>
        <v/>
      </c>
      <c r="M1060" s="1740" t="str">
        <f>INDEX(F_ProductBM!Y:Y,MATCH($P1060,F_ProductBM!$Q:$Q,0))</f>
        <v/>
      </c>
      <c r="N1060" s="1741" t="str">
        <f>INDEX(F_ProductBM!Z:Z,MATCH($P1060,F_ProductBM!$Q:$Q,0))</f>
        <v/>
      </c>
      <c r="O1060" s="698"/>
      <c r="P1060" s="1190" t="str">
        <f>P1059</f>
        <v>RelThresh_HALprelim_WasteGasFlare_</v>
      </c>
      <c r="Q1060" s="729"/>
      <c r="R1060" s="729"/>
      <c r="S1060" s="729"/>
      <c r="T1060" s="729"/>
      <c r="U1060" s="343"/>
      <c r="V1060" s="343"/>
    </row>
    <row r="1061" spans="1:22" s="364" customFormat="1" ht="12.75" customHeight="1" x14ac:dyDescent="0.3">
      <c r="A1061" s="729" t="str">
        <f>IF(P1061="","ausblenden","")</f>
        <v/>
      </c>
      <c r="B1061" s="302"/>
      <c r="C1061" s="357"/>
      <c r="D1061" s="1698"/>
      <c r="E1061" s="401" t="str">
        <f>Translations!$B$1377</f>
        <v>Предварителна стойност</v>
      </c>
      <c r="F1061" s="401"/>
      <c r="G1061" s="401"/>
      <c r="H1061" s="483" t="str">
        <f>EUconst_tCO2</f>
        <v>t CO2</v>
      </c>
      <c r="I1061" s="1724"/>
      <c r="J1061" s="1743" t="str">
        <f>IF(OR($I1012="",CNTR_SubPeriod=1),"",INDEX(F_ProductBM!J:J,MATCH($P1061,F_ProductBM!$Q:$Q,0)))</f>
        <v/>
      </c>
      <c r="K1061" s="1744" t="str">
        <f>IF(OR($I1012="",CNTR_SubPeriod=1),"",INDEX(F_ProductBM!K:K,MATCH($P1061,F_ProductBM!$Q:$Q,0)))</f>
        <v/>
      </c>
      <c r="L1061" s="1744" t="str">
        <f>IF(OR($I1012="",CNTR_SubPeriod=1),"",INDEX(F_ProductBM!L:L,MATCH($P1061,F_ProductBM!$Q:$Q,0)))</f>
        <v/>
      </c>
      <c r="M1061" s="1744" t="str">
        <f>IF(OR($I1012="",CNTR_SubPeriod=1),"",INDEX(F_ProductBM!M:M,MATCH($P1061,F_ProductBM!$Q:$Q,0)))</f>
        <v/>
      </c>
      <c r="N1061" s="1745" t="str">
        <f>IF(OR($I1012="",CNTR_SubPeriod=1),"",INDEX(F_ProductBM!N:N,MATCH($P1061,F_ProductBM!$Q:$Q,0)))</f>
        <v/>
      </c>
      <c r="O1061" s="698"/>
      <c r="P1061" s="1190" t="str">
        <f>EUconst_CNTR_HALprelim&amp;EUconst_CNTR_WGFlared&amp;$I1012</f>
        <v>HALprelim_WasteGasFlare_</v>
      </c>
      <c r="Q1061" s="729"/>
      <c r="R1061" s="729"/>
      <c r="S1061" s="729"/>
      <c r="T1061" s="729"/>
      <c r="U1061" s="343"/>
      <c r="V1061" s="343"/>
    </row>
    <row r="1062" spans="1:22" s="364" customFormat="1" ht="12.75" customHeight="1" thickBot="1" x14ac:dyDescent="0.35">
      <c r="A1062" s="729"/>
      <c r="B1062" s="302"/>
      <c r="C1062" s="357"/>
      <c r="D1062" s="1761"/>
      <c r="E1062" s="1762"/>
      <c r="F1062" s="1762"/>
      <c r="G1062" s="1762"/>
      <c r="H1062" s="1762"/>
      <c r="I1062" s="1763"/>
      <c r="J1062" s="1762"/>
      <c r="K1062" s="1762"/>
      <c r="L1062" s="1762"/>
      <c r="M1062" s="1762"/>
      <c r="N1062" s="1764"/>
      <c r="O1062" s="698"/>
      <c r="P1062" s="729"/>
      <c r="Q1062" s="729"/>
      <c r="R1062" s="729"/>
      <c r="S1062" s="729"/>
      <c r="T1062" s="729"/>
      <c r="U1062" s="343"/>
      <c r="V1062" s="343"/>
    </row>
    <row r="1063" spans="1:22" s="364" customFormat="1" ht="5.15" customHeight="1" thickBot="1" x14ac:dyDescent="0.35">
      <c r="A1063" s="729"/>
      <c r="B1063" s="302"/>
      <c r="C1063" s="357"/>
      <c r="D1063" s="357"/>
      <c r="E1063" s="302"/>
      <c r="F1063" s="302"/>
      <c r="G1063" s="302"/>
      <c r="H1063" s="302"/>
      <c r="I1063" s="1746"/>
      <c r="J1063" s="302"/>
      <c r="K1063" s="302"/>
      <c r="L1063" s="302"/>
      <c r="M1063" s="302"/>
      <c r="N1063" s="302"/>
      <c r="O1063" s="698"/>
      <c r="P1063" s="729"/>
      <c r="Q1063" s="729"/>
      <c r="R1063" s="729"/>
      <c r="S1063" s="729"/>
      <c r="T1063" s="729"/>
      <c r="U1063" s="343"/>
      <c r="V1063" s="343"/>
    </row>
    <row r="1064" spans="1:22" s="364" customFormat="1" ht="5.15" customHeight="1" x14ac:dyDescent="0.25">
      <c r="A1064" s="729"/>
      <c r="B1064" s="302"/>
      <c r="C1064" s="302"/>
      <c r="D1064" s="1765"/>
      <c r="E1064" s="1766"/>
      <c r="F1064" s="1766"/>
      <c r="G1064" s="1766"/>
      <c r="H1064" s="1766"/>
      <c r="I1064" s="1767"/>
      <c r="J1064" s="1766"/>
      <c r="K1064" s="1766"/>
      <c r="L1064" s="1766"/>
      <c r="M1064" s="1766"/>
      <c r="N1064" s="1768"/>
      <c r="O1064" s="698"/>
      <c r="P1064" s="729"/>
      <c r="Q1064" s="729"/>
      <c r="R1064" s="729"/>
      <c r="S1064" s="729"/>
      <c r="T1064" s="770"/>
      <c r="U1064" s="343"/>
      <c r="V1064" s="343"/>
    </row>
    <row r="1065" spans="1:22" s="364" customFormat="1" ht="13" x14ac:dyDescent="0.25">
      <c r="A1065" s="729"/>
      <c r="B1065" s="302"/>
      <c r="C1065" s="302"/>
      <c r="D1065" s="344"/>
      <c r="E1065" s="1769" t="str">
        <f>Translations!$B$1583</f>
        <v>Предварителни стойности за критерий &gt; 300 EUA</v>
      </c>
      <c r="F1065" s="1746"/>
      <c r="G1065" s="1746"/>
      <c r="H1065" s="1699" t="str">
        <f>EUconst_Unit</f>
        <v>Единица мярка</v>
      </c>
      <c r="I1065" s="1770" t="str">
        <f>Translations!$B$1341</f>
        <v>Базова стойност</v>
      </c>
      <c r="J1065" s="1771">
        <f>J$2505</f>
        <v>2026</v>
      </c>
      <c r="K1065" s="1772">
        <f>K$2505</f>
        <v>2027</v>
      </c>
      <c r="L1065" s="1772">
        <f>L$2505</f>
        <v>2028</v>
      </c>
      <c r="M1065" s="1772">
        <f>M$2505</f>
        <v>2029</v>
      </c>
      <c r="N1065" s="1773">
        <f>N$2505</f>
        <v>2030</v>
      </c>
      <c r="O1065" s="698"/>
      <c r="P1065" s="729"/>
      <c r="Q1065" s="729"/>
      <c r="R1065" s="729"/>
      <c r="S1065" s="729"/>
      <c r="T1065" s="729"/>
      <c r="U1065" s="729"/>
      <c r="V1065" s="729"/>
    </row>
    <row r="1066" spans="1:22" s="364" customFormat="1" x14ac:dyDescent="0.25">
      <c r="A1066" s="729"/>
      <c r="B1066" s="302"/>
      <c r="C1066" s="302"/>
      <c r="D1066" s="344"/>
      <c r="E1066" s="1774" t="str">
        <f>Translations!$B$1388</f>
        <v>Равнище на дейност</v>
      </c>
      <c r="F1066" s="1774"/>
      <c r="G1066" s="1774"/>
      <c r="H1066" s="1775" t="str">
        <f>F1018</f>
        <v>тона</v>
      </c>
      <c r="I1066" s="1776" t="str">
        <f>IF($I1012="","",IF(T1083&gt;=$H$2505,0,S1078))</f>
        <v/>
      </c>
      <c r="J1066" s="1717" t="str">
        <f>IF($I1012="","",INDEX(F_ProductBM!J:J,MATCH($P1066,F_ProductBM!$Q:$Q,0)))</f>
        <v/>
      </c>
      <c r="K1066" s="1718" t="str">
        <f>IF($I1012="","",INDEX(F_ProductBM!K:K,MATCH($P1066,F_ProductBM!$Q:$Q,0)))</f>
        <v/>
      </c>
      <c r="L1066" s="1718" t="str">
        <f>IF($I1012="","",INDEX(F_ProductBM!L:L,MATCH($P1066,F_ProductBM!$Q:$Q,0)))</f>
        <v/>
      </c>
      <c r="M1066" s="1718" t="str">
        <f>IF($I1012="","",INDEX(F_ProductBM!M:M,MATCH($P1066,F_ProductBM!$Q:$Q,0)))</f>
        <v/>
      </c>
      <c r="N1066" s="1719" t="str">
        <f>IF($I1012="","",INDEX(F_ProductBM!N:N,MATCH($P1066,F_ProductBM!$Q:$Q,0)))</f>
        <v/>
      </c>
      <c r="O1066" s="698"/>
      <c r="P1066" s="1190" t="str">
        <f>EUconst_CNTR_HALprelim&amp;I1012</f>
        <v>HALprelim_</v>
      </c>
      <c r="Q1066" s="729"/>
      <c r="R1066" s="729"/>
      <c r="S1066" s="729"/>
      <c r="T1066" s="729"/>
      <c r="U1066" s="729"/>
      <c r="V1066" s="729"/>
    </row>
    <row r="1067" spans="1:22" s="364" customFormat="1" x14ac:dyDescent="0.25">
      <c r="A1067" s="729"/>
      <c r="B1067" s="302"/>
      <c r="C1067" s="302"/>
      <c r="D1067" s="344"/>
      <c r="E1067" s="1777" t="str">
        <f>Translations!$B$949</f>
        <v>топл. ен. извън СТЕ</v>
      </c>
      <c r="F1067" s="1777"/>
      <c r="G1067" s="1777"/>
      <c r="H1067" s="1778" t="str">
        <f>EUconst_EUA</f>
        <v>Квота за емисии</v>
      </c>
      <c r="I1067" s="1779" t="str">
        <f>IF($I1012="","",IF(YEAR(J1015)&gt;=$H$2505-1,0,S1079))</f>
        <v/>
      </c>
      <c r="J1067" s="1780" t="str">
        <f>IF($I$500="","",INDEX(F_ProductBM!J:J,MATCH($P1067,F_ProductBM!$Q:$Q,0)))</f>
        <v/>
      </c>
      <c r="K1067" s="1781" t="str">
        <f>IF($I$500="","",INDEX(F_ProductBM!K:K,MATCH($P1067,F_ProductBM!$Q:$Q,0)))</f>
        <v/>
      </c>
      <c r="L1067" s="1781" t="str">
        <f>IF($I$500="","",INDEX(F_ProductBM!L:L,MATCH($P1067,F_ProductBM!$Q:$Q,0)))</f>
        <v/>
      </c>
      <c r="M1067" s="1781" t="str">
        <f>IF($I$500="","",INDEX(F_ProductBM!M:M,MATCH($P1067,F_ProductBM!$Q:$Q,0)))</f>
        <v/>
      </c>
      <c r="N1067" s="1782" t="str">
        <f>IF($I$500="","",INDEX(F_ProductBM!N:N,MATCH($P1067,F_ProductBM!$Q:$Q,0)))</f>
        <v/>
      </c>
      <c r="O1067" s="698"/>
      <c r="P1067" s="1190" t="str">
        <f>EUconst_CNTR_HEATprelim&amp;I1012</f>
        <v>HEATprelim_</v>
      </c>
      <c r="Q1067" s="729"/>
      <c r="R1067" s="729"/>
      <c r="S1067" s="729"/>
      <c r="T1067" s="729"/>
      <c r="U1067" s="729"/>
      <c r="V1067" s="729"/>
    </row>
    <row r="1068" spans="1:22" s="364" customFormat="1" x14ac:dyDescent="0.25">
      <c r="A1068" s="729"/>
      <c r="B1068" s="302"/>
      <c r="C1068" s="302"/>
      <c r="D1068" s="344"/>
      <c r="E1068" s="1783" t="str">
        <f>Translations!$B$951</f>
        <v>WGflare</v>
      </c>
      <c r="F1068" s="1783"/>
      <c r="G1068" s="1783"/>
      <c r="H1068" s="1784" t="str">
        <f>EUconst_EUA</f>
        <v>Квота за емисии</v>
      </c>
      <c r="I1068" s="1785" t="str">
        <f>IF($I1012="","",IF(T1083&gt;=$H$2505,0,S1080))</f>
        <v/>
      </c>
      <c r="J1068" s="1721" t="str">
        <f>IF($I1012="","",INDEX(F_ProductBM!J:J,MATCH($P1068,F_ProductBM!$Q:$Q,0)))</f>
        <v/>
      </c>
      <c r="K1068" s="1722" t="str">
        <f>IF($I1012="","",INDEX(F_ProductBM!K:K,MATCH($P1068,F_ProductBM!$Q:$Q,0)))</f>
        <v/>
      </c>
      <c r="L1068" s="1722" t="str">
        <f>IF($I1012="","",INDEX(F_ProductBM!L:L,MATCH($P1068,F_ProductBM!$Q:$Q,0)))</f>
        <v/>
      </c>
      <c r="M1068" s="1722" t="str">
        <f>IF($I1012="","",INDEX(F_ProductBM!M:M,MATCH($P1068,F_ProductBM!$Q:$Q,0)))</f>
        <v/>
      </c>
      <c r="N1068" s="1723" t="str">
        <f>IF($I1012="","",INDEX(F_ProductBM!N:N,MATCH($P1068,F_ProductBM!$Q:$Q,0)))</f>
        <v/>
      </c>
      <c r="O1068" s="698"/>
      <c r="P1068" s="1190" t="str">
        <f>EUconst_CNTR_HALprelim&amp;EUconst_CNTR_WGFlared&amp;$I1012</f>
        <v>HALprelim_WasteGasFlare_</v>
      </c>
      <c r="Q1068" s="729"/>
      <c r="R1068" s="729"/>
      <c r="S1068" s="729"/>
      <c r="T1068" s="729"/>
      <c r="U1068" s="729"/>
      <c r="V1068" s="729"/>
    </row>
    <row r="1069" spans="1:22" s="364" customFormat="1" x14ac:dyDescent="0.25">
      <c r="A1069" s="729"/>
      <c r="B1069" s="302"/>
      <c r="C1069" s="302"/>
      <c r="D1069" s="344"/>
      <c r="E1069" s="1783" t="s">
        <v>1442</v>
      </c>
      <c r="F1069" s="1783"/>
      <c r="G1069" s="1783"/>
      <c r="H1069" s="1784" t="str">
        <f>EUconst_EUA</f>
        <v>Квота за емисии</v>
      </c>
      <c r="I1069" s="1785" t="str">
        <f>IF($I1012="","",IF(T1083&gt;=$H$2505,0,IF(L1015=42,S1081,0)))</f>
        <v/>
      </c>
      <c r="J1069" s="1721" t="str">
        <f>IF($I1012="","",IF($L1015=42,INDEX(H_SpecialBM!J:J,MATCH($P1069,H_SpecialBM!$Q:$Q,0)),0))</f>
        <v/>
      </c>
      <c r="K1069" s="1722" t="str">
        <f>IF($I1012="","",IF($L1015=42,INDEX(H_SpecialBM!K:K,MATCH($P1069,H_SpecialBM!$Q:$Q,0)),0))</f>
        <v/>
      </c>
      <c r="L1069" s="1722" t="str">
        <f>IF($I1012="","",IF($L1015=42,INDEX(H_SpecialBM!L:L,MATCH($P1069,H_SpecialBM!$Q:$Q,0)),0))</f>
        <v/>
      </c>
      <c r="M1069" s="1722" t="str">
        <f>IF($I1012="","",IF($L1015=42,INDEX(H_SpecialBM!M:M,MATCH($P1069,H_SpecialBM!$Q:$Q,0)),0))</f>
        <v/>
      </c>
      <c r="N1069" s="1723" t="str">
        <f>IF($I1012="","",IF($L1015=42,INDEX(H_SpecialBM!N:N,MATCH($P1069,H_SpecialBM!$Q:$Q,0)),0))</f>
        <v/>
      </c>
      <c r="O1069" s="698"/>
      <c r="P1069" s="1190" t="str">
        <f>EUconst_CNTR_HVCprelim</f>
        <v>HVCprelim_</v>
      </c>
      <c r="Q1069" s="729"/>
      <c r="R1069" s="729"/>
      <c r="S1069" s="729"/>
      <c r="T1069" s="729"/>
      <c r="U1069" s="729"/>
      <c r="V1069" s="729"/>
    </row>
    <row r="1070" spans="1:22" s="364" customFormat="1" x14ac:dyDescent="0.25">
      <c r="A1070" s="729"/>
      <c r="B1070" s="302"/>
      <c r="C1070" s="302"/>
      <c r="D1070" s="344"/>
      <c r="E1070" s="1786" t="s">
        <v>1443</v>
      </c>
      <c r="F1070" s="1786"/>
      <c r="G1070" s="1786"/>
      <c r="H1070" s="1787" t="s">
        <v>1052</v>
      </c>
      <c r="I1070" s="1788" t="str">
        <f>IF($I1012="","",IF($L1015=47,IF(AND(ISNUMBER(S1082),YEAR(J1015)&lt;$J$2505),S1082,1),1))</f>
        <v/>
      </c>
      <c r="J1070" s="1725" t="str">
        <f>IF($I1012="","",IF($L1015=47,IF(ISNUMBER(INDEX(H_SpecialBM!J:J,MATCH($P1070,H_SpecialBM!$Q:$Q,0))),INDEX(H_SpecialBM!J:J,MATCH($P1070,H_SpecialBM!$Q:$Q,0)),1),1))</f>
        <v/>
      </c>
      <c r="K1070" s="1726" t="str">
        <f>IF($I1012="","",IF($L1015=47,IF(ISNUMBER(INDEX(H_SpecialBM!K:K,MATCH($P1070,H_SpecialBM!$Q:$Q,0))),INDEX(H_SpecialBM!K:K,MATCH($P1070,H_SpecialBM!$Q:$Q,0)),1),1))</f>
        <v/>
      </c>
      <c r="L1070" s="1726" t="str">
        <f>IF($I1012="","",IF($L1015=47,IF(ISNUMBER(INDEX(H_SpecialBM!L:L,MATCH($P1070,H_SpecialBM!$Q:$Q,0))),INDEX(H_SpecialBM!L:L,MATCH($P1070,H_SpecialBM!$Q:$Q,0)),1),1))</f>
        <v/>
      </c>
      <c r="M1070" s="1726" t="str">
        <f>IF($I1012="","",IF($L1015=47,IF(ISNUMBER(INDEX(H_SpecialBM!M:M,MATCH($P1070,H_SpecialBM!$Q:$Q,0))),INDEX(H_SpecialBM!M:M,MATCH($P1070,H_SpecialBM!$Q:$Q,0)),1),1))</f>
        <v/>
      </c>
      <c r="N1070" s="1727" t="str">
        <f>IF($I1012="","",IF($L1015=47,IF(ISNUMBER(INDEX(H_SpecialBM!N:N,MATCH($P1070,H_SpecialBM!$Q:$Q,0))),INDEX(H_SpecialBM!N:N,MATCH($P1070,H_SpecialBM!$Q:$Q,0)),1),1))</f>
        <v/>
      </c>
      <c r="O1070" s="698"/>
      <c r="P1070" s="1190" t="str">
        <f>EUconst_CNTR_VCMprelim</f>
        <v>VCMprelim_</v>
      </c>
      <c r="Q1070" s="729"/>
      <c r="R1070" s="729"/>
      <c r="S1070" s="729"/>
      <c r="T1070" s="729"/>
      <c r="U1070" s="729"/>
      <c r="V1070" s="729"/>
    </row>
    <row r="1071" spans="1:22" s="364" customFormat="1" x14ac:dyDescent="0.25">
      <c r="A1071" s="729"/>
      <c r="B1071" s="302"/>
      <c r="C1071" s="302"/>
      <c r="D1071" s="344"/>
      <c r="E1071" s="1789" t="str">
        <f>Translations!$B$1377</f>
        <v>Предварителна стойност</v>
      </c>
      <c r="F1071" s="1789"/>
      <c r="G1071" s="1789"/>
      <c r="H1071" s="1790" t="str">
        <f>EUconst_EUA</f>
        <v>Квота за емисии</v>
      </c>
      <c r="I1071" s="1791" t="str">
        <f>IF($I1012="","",MAX(0,ROUND((SUM($M1015)*SUM(I1066)*SUM(I1070)-SUM(I1067)-SUM(I1068)+SUM(I1069))*IF($H1015=TRUE,1,J$2412),0)))</f>
        <v/>
      </c>
      <c r="J1071" s="1714" t="str">
        <f>IF($I1012="","",MAX(0,ROUND((SUM($M1015)*SUM(J1066)*SUM(J1070)-SUM(J1067)-SUM(J1068)+SUM(J1069))*IF($H1015=TRUE,1,J$2412)*IF($I1015=TRUE,INDEX(EUconst_CBAMFactor,J1021-2020),1),0)))</f>
        <v/>
      </c>
      <c r="K1071" s="1693" t="str">
        <f>IF($I1012="","",MAX(0,ROUND((SUM($M1015)*SUM(K1066)*SUM(K1070)-SUM(K1067)-SUM(K1068)+SUM(K1069))*IF($H1015=TRUE,1,K$2412)*IF($I1015=TRUE,INDEX(EUconst_CBAMFactor,K1021-2020),1),0)))</f>
        <v/>
      </c>
      <c r="L1071" s="1693" t="str">
        <f>IF($I1012="","",MAX(0,ROUND((SUM($M1015)*SUM(L1066)*SUM(L1070)-SUM(L1067)-SUM(L1068)+SUM(L1069))*IF($H1015=TRUE,1,L$2412)*IF($I1015=TRUE,INDEX(EUconst_CBAMFactor,L1021-2020),1),0)))</f>
        <v/>
      </c>
      <c r="M1071" s="1693" t="str">
        <f>IF($I1012="","",MAX(0,ROUND((SUM($M1015)*SUM(M1066)*SUM(M1070)-SUM(M1067)-SUM(M1068)+SUM(M1069))*IF($H1015=TRUE,1,M$2412)*IF($I1015=TRUE,INDEX(EUconst_CBAMFactor,M1021-2020),1),0)))</f>
        <v/>
      </c>
      <c r="N1071" s="1715" t="str">
        <f>IF($I1012="","",MAX(0,ROUND((SUM($M1015)*SUM(N1066)*SUM(N1070)-SUM(N1067)-SUM(N1068)+SUM(N1069))*IF($H1015=TRUE,1,N$2412)*IF($I1015=TRUE,INDEX(EUconst_CBAMFactor,N1021-2020),1),0)))</f>
        <v/>
      </c>
      <c r="O1071" s="698"/>
      <c r="P1071" s="729"/>
      <c r="Q1071" s="729"/>
      <c r="R1071" s="729"/>
      <c r="S1071" s="729"/>
      <c r="T1071" s="729"/>
      <c r="U1071" s="729"/>
      <c r="V1071" s="729"/>
    </row>
    <row r="1072" spans="1:22" s="364" customFormat="1" x14ac:dyDescent="0.25">
      <c r="A1072" s="729"/>
      <c r="B1072" s="302"/>
      <c r="C1072" s="302"/>
      <c r="D1072" s="344"/>
      <c r="E1072" s="388" t="str">
        <f>Translations!$B$1584</f>
        <v>Разлика в предварителната стойност</v>
      </c>
      <c r="F1072" s="388"/>
      <c r="G1072" s="388"/>
      <c r="H1072" s="421" t="str">
        <f>EUconst_EUA</f>
        <v>Квота за емисии</v>
      </c>
      <c r="I1072" s="1792"/>
      <c r="J1072" s="1793" t="str">
        <f>IF(J1071="","",SUM(J1071)-SUM(J1031))</f>
        <v/>
      </c>
      <c r="K1072" s="998" t="str">
        <f t="shared" ref="K1072" si="89">IF(K1071="","",SUM(K1071)-SUM(K1031))</f>
        <v/>
      </c>
      <c r="L1072" s="998" t="str">
        <f t="shared" ref="L1072:N1072" si="90">IF(L1071="","",SUM(L1071)-SUM(L1031))</f>
        <v/>
      </c>
      <c r="M1072" s="998" t="str">
        <f t="shared" si="90"/>
        <v/>
      </c>
      <c r="N1072" s="1794" t="str">
        <f t="shared" si="90"/>
        <v/>
      </c>
      <c r="O1072" s="698"/>
      <c r="P1072" s="729"/>
      <c r="Q1072" s="729"/>
      <c r="R1072" s="729"/>
      <c r="S1072" s="1795"/>
      <c r="T1072" s="1165"/>
      <c r="U1072" s="711"/>
      <c r="V1072" s="343"/>
    </row>
    <row r="1073" spans="1:22" s="364" customFormat="1" x14ac:dyDescent="0.25">
      <c r="A1073" s="729"/>
      <c r="B1073" s="302"/>
      <c r="C1073" s="302"/>
      <c r="D1073" s="344"/>
      <c r="E1073" s="1796" t="str">
        <f>Translations!$B$1581</f>
        <v>Критерий 4: Разлика от поне 300 квоти за емисии?</v>
      </c>
      <c r="F1073" s="1796"/>
      <c r="G1073" s="1796"/>
      <c r="H1073" s="1797" t="s">
        <v>1052</v>
      </c>
      <c r="I1073" s="1792"/>
      <c r="J1073" s="1798" t="str">
        <f>IF(J1072="","",ABS(J1072)&gt;=300)</f>
        <v/>
      </c>
      <c r="K1073" s="1799" t="str">
        <f t="shared" ref="K1073:N1073" si="91">IF(K1072="","",ABS(K1072)&gt;=300)</f>
        <v/>
      </c>
      <c r="L1073" s="1799" t="str">
        <f t="shared" si="91"/>
        <v/>
      </c>
      <c r="M1073" s="1799" t="str">
        <f t="shared" si="91"/>
        <v/>
      </c>
      <c r="N1073" s="1800" t="str">
        <f t="shared" si="91"/>
        <v/>
      </c>
      <c r="O1073" s="698"/>
      <c r="P1073" s="1190" t="str">
        <f>EUconst_CNTR_300EUA&amp;I1012</f>
        <v>EUA300_</v>
      </c>
      <c r="Q1073" s="1174" t="s">
        <v>2547</v>
      </c>
      <c r="R1073" s="280" t="str">
        <f>IF($I1012="","",IF(R1017&gt;$U1015,0%,INDEX(F_ProductBM!V:V,MATCH($P1073,F_ProductBM!$Q:$Q,0))))</f>
        <v/>
      </c>
      <c r="S1073" s="280" t="str">
        <f>IF($I1012="","",IF(S1017&gt;$U1015,0%,INDEX(F_ProductBM!W:W,MATCH($P1073,F_ProductBM!$Q:$Q,0))))</f>
        <v/>
      </c>
      <c r="T1073" s="280" t="str">
        <f>IF($I1012="","",IF(T1017&gt;$U1015,0%,INDEX(F_ProductBM!X:X,MATCH($P1073,F_ProductBM!$Q:$Q,0))))</f>
        <v/>
      </c>
      <c r="U1073" s="280" t="str">
        <f>IF($I1012="","",IF(U1017&gt;$U1015,0%,INDEX(F_ProductBM!Y:Y,MATCH($P1073,F_ProductBM!$Q:$Q,0))))</f>
        <v/>
      </c>
      <c r="V1073" s="280" t="str">
        <f>IF($I1012="","",IF(V1017&gt;$U1015,0%,INDEX(F_ProductBM!Z:Z,MATCH($P1073,F_ProductBM!$Q:$Q,0))))</f>
        <v/>
      </c>
    </row>
    <row r="1074" spans="1:22" s="364" customFormat="1" ht="5.15" customHeight="1" thickBot="1" x14ac:dyDescent="0.3">
      <c r="A1074" s="729"/>
      <c r="B1074" s="302"/>
      <c r="C1074" s="302"/>
      <c r="D1074" s="1801"/>
      <c r="E1074" s="1762"/>
      <c r="F1074" s="1762"/>
      <c r="G1074" s="1762"/>
      <c r="H1074" s="1762"/>
      <c r="I1074" s="1762"/>
      <c r="J1074" s="1762"/>
      <c r="K1074" s="1762"/>
      <c r="L1074" s="1762"/>
      <c r="M1074" s="1762"/>
      <c r="N1074" s="1764"/>
      <c r="O1074" s="698"/>
      <c r="P1074" s="729"/>
      <c r="Q1074" s="729"/>
      <c r="R1074" s="729"/>
      <c r="S1074" s="729"/>
      <c r="T1074" s="729"/>
      <c r="U1074" s="343"/>
      <c r="V1074" s="343"/>
    </row>
    <row r="1075" spans="1:22" s="364" customFormat="1" ht="5.15" customHeight="1" thickBot="1" x14ac:dyDescent="0.35">
      <c r="A1075" s="729"/>
      <c r="B1075" s="302"/>
      <c r="C1075" s="357"/>
      <c r="D1075" s="357"/>
      <c r="E1075" s="302"/>
      <c r="F1075" s="302"/>
      <c r="G1075" s="302"/>
      <c r="H1075" s="302"/>
      <c r="I1075" s="1746"/>
      <c r="J1075" s="302"/>
      <c r="K1075" s="302"/>
      <c r="L1075" s="302"/>
      <c r="M1075" s="302"/>
      <c r="N1075" s="302"/>
      <c r="O1075" s="698"/>
      <c r="P1075" s="729"/>
      <c r="Q1075" s="729"/>
      <c r="R1075" s="729"/>
      <c r="S1075" s="729"/>
      <c r="T1075" s="729"/>
      <c r="U1075" s="343"/>
      <c r="V1075" s="343"/>
    </row>
    <row r="1076" spans="1:22" s="364" customFormat="1" ht="5.15" customHeight="1" x14ac:dyDescent="0.25">
      <c r="A1076" s="729"/>
      <c r="B1076" s="302"/>
      <c r="C1076" s="302"/>
      <c r="D1076" s="1765"/>
      <c r="E1076" s="1766"/>
      <c r="F1076" s="1766"/>
      <c r="G1076" s="1766"/>
      <c r="H1076" s="1766"/>
      <c r="I1076" s="1767"/>
      <c r="J1076" s="1766"/>
      <c r="K1076" s="1766"/>
      <c r="L1076" s="1766"/>
      <c r="M1076" s="1766"/>
      <c r="N1076" s="1768"/>
      <c r="O1076" s="698"/>
      <c r="P1076" s="729"/>
      <c r="Q1076" s="729"/>
      <c r="R1076" s="729"/>
      <c r="S1076" s="729"/>
      <c r="T1076" s="770"/>
      <c r="U1076" s="343"/>
      <c r="V1076" s="343"/>
    </row>
    <row r="1077" spans="1:22" s="364" customFormat="1" ht="13" x14ac:dyDescent="0.25">
      <c r="A1077" s="729"/>
      <c r="B1077" s="302"/>
      <c r="C1077" s="302"/>
      <c r="D1077" s="344"/>
      <c r="E1077" s="313" t="str">
        <f>Translations!$B$1387</f>
        <v>Използвани действителни стойности</v>
      </c>
      <c r="F1077" s="302"/>
      <c r="G1077" s="302"/>
      <c r="H1077" s="527" t="str">
        <f>EUconst_Unit</f>
        <v>Единица мярка</v>
      </c>
      <c r="I1077" s="1802" t="str">
        <f>Translations!$B$1341</f>
        <v>Базова стойност</v>
      </c>
      <c r="J1077" s="1523">
        <f>J$2505</f>
        <v>2026</v>
      </c>
      <c r="K1077" s="387">
        <f>K$2505</f>
        <v>2027</v>
      </c>
      <c r="L1077" s="387">
        <f>L$2505</f>
        <v>2028</v>
      </c>
      <c r="M1077" s="387">
        <f>M$2505</f>
        <v>2029</v>
      </c>
      <c r="N1077" s="1544">
        <f>N$2505</f>
        <v>2030</v>
      </c>
      <c r="O1077" s="698"/>
      <c r="P1077" s="729"/>
      <c r="Q1077" s="729"/>
      <c r="R1077" s="729"/>
      <c r="S1077" s="1519" t="str">
        <f>Translations!$B$1284</f>
        <v>HAL</v>
      </c>
      <c r="T1077" s="770"/>
      <c r="U1077" s="343"/>
      <c r="V1077" s="343"/>
    </row>
    <row r="1078" spans="1:22" s="364" customFormat="1" x14ac:dyDescent="0.25">
      <c r="A1078" s="729"/>
      <c r="B1078" s="302"/>
      <c r="C1078" s="302"/>
      <c r="D1078" s="344"/>
      <c r="E1078" s="392" t="str">
        <f>Translations!$B$1388</f>
        <v>Равнище на дейност</v>
      </c>
      <c r="F1078" s="392"/>
      <c r="G1078" s="392"/>
      <c r="H1078" s="1730" t="str">
        <f>H1066</f>
        <v>тона</v>
      </c>
      <c r="I1078" s="1776" t="str">
        <f>IF($I1012="","",IF(T1083&gt;=$H$2504,0,S1078))</f>
        <v/>
      </c>
      <c r="J1078" s="1732" t="str">
        <f>IF($I1012="","",INDEX(F_ProductBM!J:J,MATCH($P1078,F_ProductBM!$Q:$Q,0)))</f>
        <v/>
      </c>
      <c r="K1078" s="394" t="str">
        <f>IF($I1012="","",INDEX(F_ProductBM!K:K,MATCH($P1078,F_ProductBM!$Q:$Q,0)))</f>
        <v/>
      </c>
      <c r="L1078" s="394" t="str">
        <f>IF($I1012="","",INDEX(F_ProductBM!L:L,MATCH($P1078,F_ProductBM!$Q:$Q,0)))</f>
        <v/>
      </c>
      <c r="M1078" s="394" t="str">
        <f>IF($I1012="","",INDEX(F_ProductBM!M:M,MATCH($P1078,F_ProductBM!$Q:$Q,0)))</f>
        <v/>
      </c>
      <c r="N1078" s="1733" t="str">
        <f>IF($I1012="","",INDEX(F_ProductBM!N:N,MATCH($P1078,F_ProductBM!$Q:$Q,0)))</f>
        <v/>
      </c>
      <c r="O1078" s="698"/>
      <c r="P1078" s="1190" t="str">
        <f>EUconst_CNTR_HALfinal&amp;I1012</f>
        <v>HALfinal_</v>
      </c>
      <c r="Q1078" s="729"/>
      <c r="R1078" s="729"/>
      <c r="S1078" s="1803" t="str">
        <f>IF($I1012="","",INDEX(F_ProductBM!I:I,MATCH($P1078,F_ProductBM!$Q:$Q,0)))</f>
        <v/>
      </c>
      <c r="T1078" s="770"/>
      <c r="U1078" s="343"/>
      <c r="V1078" s="343"/>
    </row>
    <row r="1079" spans="1:22" s="364" customFormat="1" x14ac:dyDescent="0.25">
      <c r="A1079" s="729"/>
      <c r="B1079" s="302"/>
      <c r="C1079" s="302"/>
      <c r="D1079" s="344"/>
      <c r="E1079" s="503" t="str">
        <f>Translations!$B$949</f>
        <v>топл. ен. извън СТЕ</v>
      </c>
      <c r="F1079" s="503"/>
      <c r="G1079" s="503"/>
      <c r="H1079" s="1804" t="str">
        <f>EUconst_EUA</f>
        <v>Квота за емисии</v>
      </c>
      <c r="I1079" s="1779" t="str">
        <f>IF($I1012="","",IF(YEAR(J1015)&gt;=$H$2504-1,0,S1079))</f>
        <v/>
      </c>
      <c r="J1079" s="1805" t="str">
        <f>IF($I1012="","",INDEX(F_ProductBM!J:J,MATCH($P1079,F_ProductBM!$Q:$Q,0)))</f>
        <v/>
      </c>
      <c r="K1079" s="1806" t="str">
        <f>IF($I1012="","",INDEX(F_ProductBM!K:K,MATCH($P1079,F_ProductBM!$Q:$Q,0)))</f>
        <v/>
      </c>
      <c r="L1079" s="1806" t="str">
        <f>IF($I1012="","",INDEX(F_ProductBM!L:L,MATCH($P1079,F_ProductBM!$Q:$Q,0)))</f>
        <v/>
      </c>
      <c r="M1079" s="1806" t="str">
        <f>IF($I1012="","",INDEX(F_ProductBM!M:M,MATCH($P1079,F_ProductBM!$Q:$Q,0)))</f>
        <v/>
      </c>
      <c r="N1079" s="1807" t="str">
        <f>IF($I1012="","",INDEX(F_ProductBM!N:N,MATCH($P1079,F_ProductBM!$Q:$Q,0)))</f>
        <v/>
      </c>
      <c r="O1079" s="698"/>
      <c r="P1079" s="1190" t="str">
        <f>EUconst_CNTR_HEATfinal&amp;I1012</f>
        <v>HEATfinal_</v>
      </c>
      <c r="Q1079" s="729"/>
      <c r="R1079" s="729"/>
      <c r="S1079" s="1808" t="str">
        <f>IF($I1012="","",INDEX(F_ProductBM!I:I,MATCH($P1079,F_ProductBM!$Q:$Q,0)))</f>
        <v/>
      </c>
      <c r="T1079" s="770"/>
      <c r="U1079" s="343"/>
      <c r="V1079" s="343"/>
    </row>
    <row r="1080" spans="1:22" s="364" customFormat="1" x14ac:dyDescent="0.25">
      <c r="A1080" s="729"/>
      <c r="B1080" s="302"/>
      <c r="C1080" s="302"/>
      <c r="D1080" s="344"/>
      <c r="E1080" s="398" t="str">
        <f>Translations!$B$951</f>
        <v>WGflare</v>
      </c>
      <c r="F1080" s="398"/>
      <c r="G1080" s="398"/>
      <c r="H1080" s="516" t="str">
        <f>EUconst_EUA</f>
        <v>Квота за емисии</v>
      </c>
      <c r="I1080" s="1785" t="str">
        <f>IF($I1012="","",IF(T1083&gt;=$H$2504,0,S1080))</f>
        <v/>
      </c>
      <c r="J1080" s="1809" t="str">
        <f>IF($I1012="","",INDEX(F_ProductBM!J:J,MATCH($P1080,F_ProductBM!$Q:$Q,0)))</f>
        <v/>
      </c>
      <c r="K1080" s="1810" t="str">
        <f>IF($I1012="","",INDEX(F_ProductBM!K:K,MATCH($P1080,F_ProductBM!$Q:$Q,0)))</f>
        <v/>
      </c>
      <c r="L1080" s="1810" t="str">
        <f>IF($I1012="","",INDEX(F_ProductBM!L:L,MATCH($P1080,F_ProductBM!$Q:$Q,0)))</f>
        <v/>
      </c>
      <c r="M1080" s="1810" t="str">
        <f>IF($I1012="","",INDEX(F_ProductBM!M:M,MATCH($P1080,F_ProductBM!$Q:$Q,0)))</f>
        <v/>
      </c>
      <c r="N1080" s="1811" t="str">
        <f>IF($I1012="","",INDEX(F_ProductBM!N:N,MATCH($P1080,F_ProductBM!$Q:$Q,0)))</f>
        <v/>
      </c>
      <c r="O1080" s="698"/>
      <c r="P1080" s="1190" t="str">
        <f>EUconst_CNTR_HALfinal&amp;EUconst_CNTR_WGFlared&amp;$I1012</f>
        <v>HALfinal_WasteGasFlare_</v>
      </c>
      <c r="Q1080" s="729"/>
      <c r="R1080" s="729"/>
      <c r="S1080" s="1812" t="str">
        <f>IF($I1012="","",INDEX(F_ProductBM!I:I,MATCH($P1080,F_ProductBM!$Q:$Q,0)))</f>
        <v/>
      </c>
      <c r="T1080" s="770"/>
      <c r="U1080" s="343"/>
      <c r="V1080" s="343"/>
    </row>
    <row r="1081" spans="1:22" s="364" customFormat="1" x14ac:dyDescent="0.25">
      <c r="A1081" s="729"/>
      <c r="B1081" s="302"/>
      <c r="C1081" s="302"/>
      <c r="D1081" s="344"/>
      <c r="E1081" s="398" t="s">
        <v>1442</v>
      </c>
      <c r="F1081" s="398"/>
      <c r="G1081" s="398"/>
      <c r="H1081" s="516" t="str">
        <f>EUconst_EUA</f>
        <v>Квота за емисии</v>
      </c>
      <c r="I1081" s="1785" t="str">
        <f>IF($I1012="","",IF(T1083&gt;=$H$2504,0,IF(L1015=42,S1081,0)))</f>
        <v/>
      </c>
      <c r="J1081" s="1809" t="str">
        <f>IF($I1012="","",IF($L1015=42,INDEX(H_SpecialBM!J:J,MATCH($P1081,H_SpecialBM!$Q:$Q,0)),0))</f>
        <v/>
      </c>
      <c r="K1081" s="1810" t="str">
        <f>IF($I1012="","",IF($L1015=42,INDEX(H_SpecialBM!K:K,MATCH($P1081,H_SpecialBM!$Q:$Q,0)),0))</f>
        <v/>
      </c>
      <c r="L1081" s="1810" t="str">
        <f>IF($I1012="","",IF($L1015=42,INDEX(H_SpecialBM!L:L,MATCH($P1081,H_SpecialBM!$Q:$Q,0)),0))</f>
        <v/>
      </c>
      <c r="M1081" s="1810" t="str">
        <f>IF($I1012="","",IF($L1015=42,INDEX(H_SpecialBM!M:M,MATCH($P1081,H_SpecialBM!$Q:$Q,0)),0))</f>
        <v/>
      </c>
      <c r="N1081" s="1811" t="str">
        <f>IF($I1012="","",IF($L1015=42,INDEX(H_SpecialBM!N:N,MATCH($P1081,H_SpecialBM!$Q:$Q,0)),0))</f>
        <v/>
      </c>
      <c r="O1081" s="698"/>
      <c r="P1081" s="1190" t="str">
        <f>EUconst_CNTR_HVCfinal</f>
        <v>HVCfinal_</v>
      </c>
      <c r="Q1081" s="729"/>
      <c r="R1081" s="729"/>
      <c r="S1081" s="1812" t="str">
        <f>IF($I1012="","",IF(L1015=42,INDEX(H_SpecialBM!I:I,MATCH($P1081,H_SpecialBM!$Q:$Q,0)),0))</f>
        <v/>
      </c>
      <c r="T1081" s="770"/>
      <c r="U1081" s="343"/>
      <c r="V1081" s="343"/>
    </row>
    <row r="1082" spans="1:22" s="364" customFormat="1" x14ac:dyDescent="0.25">
      <c r="A1082" s="729"/>
      <c r="B1082" s="302"/>
      <c r="C1082" s="302"/>
      <c r="D1082" s="344"/>
      <c r="E1082" s="401" t="s">
        <v>1443</v>
      </c>
      <c r="F1082" s="401"/>
      <c r="G1082" s="401"/>
      <c r="H1082" s="483" t="s">
        <v>1052</v>
      </c>
      <c r="I1082" s="1788" t="str">
        <f>IF($I1012="","",IF($L1015=47,IF(AND(ISNUMBER(S1082),YEAR(J1015)&lt;2021),S1082,1),1))</f>
        <v/>
      </c>
      <c r="J1082" s="1813" t="str">
        <f>IF($I1012="","",IF($L1015=47,IF(ISNUMBER(INDEX(H_SpecialBM!J:J,MATCH($P1082,H_SpecialBM!$Q:$Q,0))),INDEX(H_SpecialBM!J:J,MATCH($P1082,H_SpecialBM!$Q:$Q,0)),1),1))</f>
        <v/>
      </c>
      <c r="K1082" s="1814" t="str">
        <f>IF($I1012="","",IF($L1015=47,IF(ISNUMBER(INDEX(H_SpecialBM!K:K,MATCH($P1082,H_SpecialBM!$Q:$Q,0))),INDEX(H_SpecialBM!K:K,MATCH($P1082,H_SpecialBM!$Q:$Q,0)),1),1))</f>
        <v/>
      </c>
      <c r="L1082" s="1814" t="str">
        <f>IF($I1012="","",IF($L1015=47,IF(ISNUMBER(INDEX(H_SpecialBM!L:L,MATCH($P1082,H_SpecialBM!$Q:$Q,0))),INDEX(H_SpecialBM!L:L,MATCH($P1082,H_SpecialBM!$Q:$Q,0)),1),1))</f>
        <v/>
      </c>
      <c r="M1082" s="1814" t="str">
        <f>IF($I1012="","",IF($L1015=47,IF(ISNUMBER(INDEX(H_SpecialBM!M:M,MATCH($P1082,H_SpecialBM!$Q:$Q,0))),INDEX(H_SpecialBM!M:M,MATCH($P1082,H_SpecialBM!$Q:$Q,0)),1),1))</f>
        <v/>
      </c>
      <c r="N1082" s="1815" t="str">
        <f>IF($I1012="","",IF($L1015=47,IF(ISNUMBER(INDEX(H_SpecialBM!N:N,MATCH($P1082,H_SpecialBM!$Q:$Q,0))),INDEX(H_SpecialBM!N:N,MATCH($P1082,H_SpecialBM!$Q:$Q,0)),1),1))</f>
        <v/>
      </c>
      <c r="O1082" s="698"/>
      <c r="P1082" s="1190" t="str">
        <f>EUconst_CNTR_VCMfinal</f>
        <v>VCMfinal_</v>
      </c>
      <c r="Q1082" s="729"/>
      <c r="R1082" s="729"/>
      <c r="S1082" s="1816" t="str">
        <f>IF($I1012="","",IF($L1015=47,IF(ISNUMBER(INDEX(H_SpecialBM!I:I,MATCH($P1082,H_SpecialBM!$Q:$Q,0))),INDEX(H_SpecialBM!I:I,MATCH($P1082,H_SpecialBM!$Q:$Q,0)),1),1))</f>
        <v/>
      </c>
      <c r="T1082" s="729"/>
      <c r="U1082" s="343"/>
      <c r="V1082" s="343"/>
    </row>
    <row r="1083" spans="1:22" s="364" customFormat="1" x14ac:dyDescent="0.25">
      <c r="A1083" s="729"/>
      <c r="B1083" s="302"/>
      <c r="C1083" s="302"/>
      <c r="D1083" s="344"/>
      <c r="E1083" s="388" t="str">
        <f>Translations!$B$892</f>
        <v>Предварително разпределяне</v>
      </c>
      <c r="F1083" s="388"/>
      <c r="G1083" s="388"/>
      <c r="H1083" s="421" t="str">
        <f>EUconst_EUA</f>
        <v>Квота за емисии</v>
      </c>
      <c r="I1083" s="1791" t="str">
        <f>IF($I1012="","",MAX(0,ROUND((SUM($M1015)*SUM(I1078)*SUM(I1082)-SUM(I1079)-SUM(I1080)+SUM(I1081))*IF($H1015=TRUE,1,J$2412),0)))</f>
        <v/>
      </c>
      <c r="J1083" s="1694" t="str">
        <f>IF($I1012="","",MAX(0,ROUND((SUM(R1073)*SUM($M1015)*SUM(J1078)*SUM(J1082)-SUM(J1079)-SUM(J1080)+SUM(J1081))*IF($H1015=TRUE,1,J$2412)*IF($I1015=TRUE,INDEX(EUconst_CBAMFactor,J1021-2020),1),0)))</f>
        <v/>
      </c>
      <c r="K1083" s="406" t="str">
        <f>IF($I1012="","",MAX(0,ROUND((SUM(S1073)*SUM($M1015)*SUM(K1078)*SUM(K1082)-SUM(K1079)-SUM(K1080)+SUM(K1081))*IF($H1015=TRUE,1,K$2412)*IF($I1015=TRUE,INDEX(EUconst_CBAMFactor,K1021-2020),1),0)))</f>
        <v/>
      </c>
      <c r="L1083" s="406" t="str">
        <f>IF($I1012="","",MAX(0,ROUND((SUM(T1073)*SUM($M1015)*SUM(L1078)*SUM(L1082)-SUM(L1079)-SUM(L1080)+SUM(L1081))*IF($H1015=TRUE,1,L$2412)*IF($I1015=TRUE,INDEX(EUconst_CBAMFactor,L1021-2020),1),0)))</f>
        <v/>
      </c>
      <c r="M1083" s="406" t="str">
        <f>IF($I1012="","",MAX(0,ROUND((SUM(U1073)*SUM($M1015)*SUM(M1078)*SUM(M1082)-SUM(M1079)-SUM(M1080)+SUM(M1081))*IF($H1015=TRUE,1,M$2412)*IF($I1015=TRUE,INDEX(EUconst_CBAMFactor,M1021-2020),1),0)))</f>
        <v/>
      </c>
      <c r="N1083" s="1729" t="str">
        <f>IF($I1012="","",MAX(0,ROUND((SUM(V1073)*SUM($M1015)*SUM(N1078)*SUM(N1082)-SUM(N1079)-SUM(N1080)+SUM(N1081))*IF($H1015=TRUE,1,N$2412)*IF($I1015=TRUE,INDEX(EUconst_CBAMFactor,N1021-2020),1),0)))</f>
        <v/>
      </c>
      <c r="O1083" s="698"/>
      <c r="P1083" s="1190" t="str">
        <f>EUconst_AllocPrelim&amp;I1012</f>
        <v>AllocPrelim_</v>
      </c>
      <c r="Q1083" s="729"/>
      <c r="R1083" s="729"/>
      <c r="S1083" s="1817" t="str">
        <f>IF($I1012="","",MAX(0,ROUND((SUM($M1015)*SUM(S1078)*SUM(S1082)-SUM(S1079)-SUM(S1080)+SUM(S1081))*IF($H1015=TRUE,1,J$2412),0)))</f>
        <v/>
      </c>
      <c r="T1083" s="1176">
        <f>INDEX(F_ProductBM!V:V,MATCH(C1012,F_ProductBM!C:C,0))</f>
        <v>2005</v>
      </c>
      <c r="U1083" s="727" t="b">
        <f>OR(INDEX(I1083:N1083,CNTR_ReportingYear-$I$2505)&lt;&gt;INDEX(I1083:N1083,CNTR_ReportingYear-$H$2505),
(CNTR_ReportingYear-T1083)&lt;=1)</f>
        <v>0</v>
      </c>
      <c r="V1083" s="716" t="b">
        <f ca="1">IF(I1083="",FALSE,COUNTIF(OFFSET(I1083,,,,MAX(1,CNTR_ReportingYear-$I$2505)),"&lt;&gt;" &amp; INDEX(I1083:N1083,CNTR_ReportingYear-$H$2505))&gt;0)</f>
        <v>0</v>
      </c>
    </row>
    <row r="1084" spans="1:22" s="364" customFormat="1" ht="5.15" customHeight="1" thickBot="1" x14ac:dyDescent="0.3">
      <c r="A1084" s="729"/>
      <c r="B1084" s="302"/>
      <c r="C1084" s="302"/>
      <c r="D1084" s="1801"/>
      <c r="E1084" s="1762"/>
      <c r="F1084" s="1762"/>
      <c r="G1084" s="1762"/>
      <c r="H1084" s="1762"/>
      <c r="I1084" s="1762"/>
      <c r="J1084" s="1762"/>
      <c r="K1084" s="1762"/>
      <c r="L1084" s="1762"/>
      <c r="M1084" s="1762"/>
      <c r="N1084" s="1764"/>
      <c r="O1084" s="698"/>
      <c r="P1084" s="729"/>
      <c r="Q1084" s="729"/>
      <c r="R1084" s="729"/>
      <c r="S1084" s="729"/>
      <c r="T1084" s="729"/>
      <c r="U1084" s="343"/>
      <c r="V1084" s="343"/>
    </row>
    <row r="1085" spans="1:22" s="364" customFormat="1" ht="5.15" customHeight="1" thickBot="1" x14ac:dyDescent="0.3">
      <c r="A1085" s="729"/>
      <c r="B1085" s="302"/>
      <c r="C1085" s="302"/>
      <c r="E1085" s="360"/>
      <c r="F1085" s="302"/>
      <c r="G1085" s="302"/>
      <c r="H1085" s="302"/>
      <c r="I1085" s="302"/>
      <c r="J1085" s="302"/>
      <c r="K1085" s="302"/>
      <c r="L1085" s="302"/>
      <c r="M1085" s="302"/>
      <c r="N1085" s="302"/>
      <c r="O1085" s="698"/>
      <c r="P1085" s="729"/>
      <c r="Q1085" s="729"/>
      <c r="R1085" s="729"/>
      <c r="S1085" s="729"/>
      <c r="T1085" s="729"/>
      <c r="U1085" s="343"/>
      <c r="V1085" s="343"/>
    </row>
    <row r="1086" spans="1:22" s="364" customFormat="1" ht="12.75" customHeight="1" x14ac:dyDescent="0.25">
      <c r="A1086" s="729"/>
      <c r="B1086" s="302"/>
      <c r="C1086" s="302"/>
      <c r="D1086" s="1818"/>
      <c r="E1086" s="1819"/>
      <c r="F1086" s="1819"/>
      <c r="G1086" s="1300"/>
      <c r="H1086" s="1300"/>
      <c r="I1086" s="1300"/>
      <c r="J1086" s="1300"/>
      <c r="K1086" s="1300"/>
      <c r="L1086" s="1300"/>
      <c r="M1086" s="1300"/>
      <c r="N1086" s="1301"/>
      <c r="O1086" s="698"/>
      <c r="P1086" s="729"/>
      <c r="Q1086" s="729"/>
      <c r="R1086" s="729"/>
      <c r="S1086" s="729"/>
      <c r="T1086" s="729"/>
      <c r="U1086" s="343"/>
      <c r="V1086" s="343"/>
    </row>
    <row r="1087" spans="1:22" s="364" customFormat="1" ht="13.5" thickBot="1" x14ac:dyDescent="0.3">
      <c r="A1087" s="729"/>
      <c r="B1087" s="302"/>
      <c r="C1087" s="302"/>
      <c r="D1087" s="1820"/>
      <c r="E1087" s="625"/>
      <c r="F1087" s="625"/>
      <c r="G1087" s="627" t="str">
        <f>EUconst_Unit</f>
        <v>Единица мярка</v>
      </c>
      <c r="H1087" s="628">
        <f t="shared" ref="H1087:M1087" si="92">H$2505</f>
        <v>2024</v>
      </c>
      <c r="I1087" s="1821">
        <f t="shared" si="92"/>
        <v>2025</v>
      </c>
      <c r="J1087" s="1311">
        <f t="shared" si="92"/>
        <v>2026</v>
      </c>
      <c r="K1087" s="629">
        <f t="shared" si="92"/>
        <v>2027</v>
      </c>
      <c r="L1087" s="629">
        <f t="shared" si="92"/>
        <v>2028</v>
      </c>
      <c r="M1087" s="629">
        <f t="shared" si="92"/>
        <v>2029</v>
      </c>
      <c r="N1087" s="1312">
        <f>N$2505</f>
        <v>2030</v>
      </c>
      <c r="O1087" s="698"/>
      <c r="P1087" s="729"/>
      <c r="Q1087" s="729"/>
      <c r="R1087" s="729"/>
      <c r="S1087" s="729"/>
      <c r="T1087" s="770"/>
      <c r="U1087" s="343"/>
      <c r="V1087" s="343"/>
    </row>
    <row r="1088" spans="1:22" s="364" customFormat="1" ht="13.5" customHeight="1" thickBot="1" x14ac:dyDescent="0.3">
      <c r="A1088" s="729"/>
      <c r="B1088" s="302"/>
      <c r="C1088" s="302"/>
      <c r="D1088" s="1820"/>
      <c r="E1088" s="2929" t="str">
        <f>Translations!$B$956</f>
        <v>Общо зададени емисии</v>
      </c>
      <c r="F1088" s="2929"/>
      <c r="G1088" s="631" t="str">
        <f>EUconst_tCO2epa</f>
        <v>t CO2e/година</v>
      </c>
      <c r="H1088" s="661" t="str">
        <f t="shared" ref="H1088:N1088" si="93">INDEX(H$95:H$114,MATCH($I1012,$E$95:$E$114,0))</f>
        <v/>
      </c>
      <c r="I1088" s="1822" t="str">
        <f t="shared" si="93"/>
        <v/>
      </c>
      <c r="J1088" s="661" t="str">
        <f t="shared" si="93"/>
        <v/>
      </c>
      <c r="K1088" s="662" t="str">
        <f t="shared" si="93"/>
        <v/>
      </c>
      <c r="L1088" s="662" t="str">
        <f t="shared" si="93"/>
        <v/>
      </c>
      <c r="M1088" s="662" t="str">
        <f t="shared" si="93"/>
        <v/>
      </c>
      <c r="N1088" s="663" t="str">
        <f t="shared" si="93"/>
        <v/>
      </c>
      <c r="O1088" s="698"/>
      <c r="P1088" s="729"/>
      <c r="Q1088" s="729"/>
      <c r="R1088" s="729"/>
      <c r="S1088" s="729"/>
      <c r="T1088" s="770"/>
      <c r="U1088" s="343"/>
      <c r="V1088" s="343"/>
    </row>
    <row r="1089" spans="1:22" s="364" customFormat="1" ht="5.15" customHeight="1" x14ac:dyDescent="0.25">
      <c r="A1089" s="729"/>
      <c r="B1089" s="302"/>
      <c r="C1089" s="302"/>
      <c r="D1089" s="1820"/>
      <c r="E1089" s="643"/>
      <c r="F1089" s="643"/>
      <c r="G1089" s="625"/>
      <c r="H1089" s="635"/>
      <c r="I1089" s="635"/>
      <c r="J1089" s="635"/>
      <c r="K1089" s="635"/>
      <c r="L1089" s="635"/>
      <c r="M1089" s="635"/>
      <c r="N1089" s="1823"/>
      <c r="O1089" s="698"/>
      <c r="P1089" s="729"/>
      <c r="Q1089" s="729"/>
      <c r="R1089" s="729"/>
      <c r="S1089" s="729"/>
      <c r="T1089" s="770"/>
      <c r="U1089" s="343"/>
      <c r="V1089" s="343"/>
    </row>
    <row r="1090" spans="1:22" s="364" customFormat="1" ht="12.75" customHeight="1" x14ac:dyDescent="0.25">
      <c r="A1090" s="729"/>
      <c r="B1090" s="302"/>
      <c r="C1090" s="302"/>
      <c r="D1090" s="1820"/>
      <c r="E1090" s="2818" t="str">
        <f>Translations!$B$521</f>
        <v>Вложени горива</v>
      </c>
      <c r="F1090" s="2701"/>
      <c r="G1090" s="1326" t="str">
        <f>EUconst_TJpa</f>
        <v>TJ / година</v>
      </c>
      <c r="H1090" s="482" t="str">
        <f>IF($I1012="","",IF(INDEX(F_ProductBM!H:H,MATCH($P1090,F_ProductBM!$Q:$Q,0))="","",INDEX(F_ProductBM!H:H,MATCH($P1090,F_ProductBM!$Q:$Q,0))))</f>
        <v/>
      </c>
      <c r="I1090" s="1824" t="str">
        <f>IF($I1012="","",IF(INDEX(F_ProductBM!I:I,MATCH($P1090,F_ProductBM!$Q:$Q,0))="","",INDEX(F_ProductBM!I:I,MATCH($P1090,F_ProductBM!$Q:$Q,0))))</f>
        <v/>
      </c>
      <c r="J1090" s="1825" t="str">
        <f>IF($I1012="","",IF(INDEX(F_ProductBM!J:J,MATCH($P1090,F_ProductBM!$Q:$Q,0))="","",INDEX(F_ProductBM!J:J,MATCH($P1090,F_ProductBM!$Q:$Q,0))))</f>
        <v/>
      </c>
      <c r="K1090" s="482" t="str">
        <f>IF($I1012="","",IF(INDEX(F_ProductBM!K:K,MATCH($P1090,F_ProductBM!$Q:$Q,0))="","",INDEX(F_ProductBM!K:K,MATCH($P1090,F_ProductBM!$Q:$Q,0))))</f>
        <v/>
      </c>
      <c r="L1090" s="482" t="str">
        <f>IF($I1012="","",IF(INDEX(F_ProductBM!L:L,MATCH($P1090,F_ProductBM!$Q:$Q,0))="","",INDEX(F_ProductBM!L:L,MATCH($P1090,F_ProductBM!$Q:$Q,0))))</f>
        <v/>
      </c>
      <c r="M1090" s="482" t="str">
        <f>IF($I1012="","",IF(INDEX(F_ProductBM!M:M,MATCH($P1090,F_ProductBM!$Q:$Q,0))="","",INDEX(F_ProductBM!M:M,MATCH($P1090,F_ProductBM!$Q:$Q,0))))</f>
        <v/>
      </c>
      <c r="N1090" s="1826" t="str">
        <f>IF($I1012="","",IF(INDEX(F_ProductBM!N:N,MATCH($P1090,F_ProductBM!$Q:$Q,0))="","",INDEX(F_ProductBM!N:N,MATCH($P1090,F_ProductBM!$Q:$Q,0))))</f>
        <v/>
      </c>
      <c r="O1090" s="698"/>
      <c r="P1090" s="1827" t="str">
        <f>EUconst_CNTR_FuelInput &amp; I1012</f>
        <v>FuelInput_</v>
      </c>
      <c r="Q1090" s="729"/>
      <c r="R1090" s="729"/>
      <c r="S1090" s="729"/>
      <c r="T1090" s="770"/>
      <c r="U1090" s="343"/>
      <c r="V1090" s="343"/>
    </row>
    <row r="1091" spans="1:22" s="364" customFormat="1" ht="12.75" customHeight="1" x14ac:dyDescent="0.25">
      <c r="A1091" s="729"/>
      <c r="B1091" s="302"/>
      <c r="C1091" s="302"/>
      <c r="D1091" s="1820"/>
      <c r="E1091" s="2819" t="str">
        <f>Translations!$B$522</f>
        <v>Претеглен емисионен фактор</v>
      </c>
      <c r="F1091" s="2705"/>
      <c r="G1091" s="1329" t="str">
        <f>EUconst_tCO2pTJ</f>
        <v>t CO2 / TJ</v>
      </c>
      <c r="H1091" s="484" t="str">
        <f>IF($I1012="","",IF(INDEX(F_ProductBM!H:H,MATCH($P1091,F_ProductBM!$Q:$Q,0))="","",INDEX(F_ProductBM!H:H,MATCH($P1091,F_ProductBM!$Q:$Q,0))))</f>
        <v/>
      </c>
      <c r="I1091" s="1828" t="str">
        <f>IF($I1012="","",IF(INDEX(F_ProductBM!I:I,MATCH($P1091,F_ProductBM!$Q:$Q,0))="","",INDEX(F_ProductBM!I:I,MATCH($P1091,F_ProductBM!$Q:$Q,0))))</f>
        <v/>
      </c>
      <c r="J1091" s="1829" t="str">
        <f>IF($I1012="","",IF(INDEX(F_ProductBM!J:J,MATCH($P1091,F_ProductBM!$Q:$Q,0))="","",INDEX(F_ProductBM!J:J,MATCH($P1091,F_ProductBM!$Q:$Q,0))))</f>
        <v/>
      </c>
      <c r="K1091" s="484" t="str">
        <f>IF($I1012="","",IF(INDEX(F_ProductBM!K:K,MATCH($P1091,F_ProductBM!$Q:$Q,0))="","",INDEX(F_ProductBM!K:K,MATCH($P1091,F_ProductBM!$Q:$Q,0))))</f>
        <v/>
      </c>
      <c r="L1091" s="484" t="str">
        <f>IF($I1012="","",IF(INDEX(F_ProductBM!L:L,MATCH($P1091,F_ProductBM!$Q:$Q,0))="","",INDEX(F_ProductBM!L:L,MATCH($P1091,F_ProductBM!$Q:$Q,0))))</f>
        <v/>
      </c>
      <c r="M1091" s="484" t="str">
        <f>IF($I1012="","",IF(INDEX(F_ProductBM!M:M,MATCH($P1091,F_ProductBM!$Q:$Q,0))="","",INDEX(F_ProductBM!M:M,MATCH($P1091,F_ProductBM!$Q:$Q,0))))</f>
        <v/>
      </c>
      <c r="N1091" s="1830" t="str">
        <f>IF($I1012="","",IF(INDEX(F_ProductBM!N:N,MATCH($P1091,F_ProductBM!$Q:$Q,0))="","",INDEX(F_ProductBM!N:N,MATCH($P1091,F_ProductBM!$Q:$Q,0))))</f>
        <v/>
      </c>
      <c r="O1091" s="698"/>
      <c r="P1091" s="1500" t="str">
        <f>EUconst_CNTR_FuelEF &amp; I1012</f>
        <v>FuelEF_</v>
      </c>
      <c r="Q1091" s="729"/>
      <c r="R1091" s="729"/>
      <c r="S1091" s="729"/>
      <c r="T1091" s="770"/>
      <c r="U1091" s="343"/>
      <c r="V1091" s="343"/>
    </row>
    <row r="1092" spans="1:22" s="364" customFormat="1" ht="5.15" customHeight="1" x14ac:dyDescent="0.25">
      <c r="A1092" s="729"/>
      <c r="B1092" s="302"/>
      <c r="C1092" s="302"/>
      <c r="D1092" s="1820"/>
      <c r="E1092" s="643"/>
      <c r="F1092" s="643"/>
      <c r="G1092" s="626"/>
      <c r="H1092" s="640"/>
      <c r="I1092" s="640"/>
      <c r="J1092" s="640"/>
      <c r="K1092" s="640"/>
      <c r="L1092" s="640"/>
      <c r="M1092" s="640"/>
      <c r="N1092" s="1831"/>
      <c r="O1092" s="698"/>
      <c r="P1092" s="729"/>
      <c r="Q1092" s="729"/>
      <c r="R1092" s="729"/>
      <c r="S1092" s="729"/>
      <c r="T1092" s="770"/>
      <c r="U1092" s="343"/>
      <c r="V1092" s="343"/>
    </row>
    <row r="1093" spans="1:22" s="364" customFormat="1" ht="12.75" customHeight="1" x14ac:dyDescent="0.25">
      <c r="A1093" s="729"/>
      <c r="B1093" s="302"/>
      <c r="C1093" s="302"/>
      <c r="D1093" s="1820"/>
      <c r="E1093" s="2820" t="str">
        <f>Translations!$B$484</f>
        <v>Преки емисии</v>
      </c>
      <c r="F1093" s="2258"/>
      <c r="G1093" s="1319" t="str">
        <f>EUconst_tCO2pa</f>
        <v>t CO2 / година</v>
      </c>
      <c r="H1093" s="480" t="str">
        <f>IF($I1012="","",IF(INDEX(F_ProductBM!H:H,MATCH($P1093,F_ProductBM!$Q:$Q,0))="","",INDEX(F_ProductBM!H:H,MATCH($P1093,F_ProductBM!$Q:$Q,0))))</f>
        <v/>
      </c>
      <c r="I1093" s="1399" t="str">
        <f>IF($I1012="","",IF(INDEX(F_ProductBM!I:I,MATCH($P1093,F_ProductBM!$Q:$Q,0))="","",INDEX(F_ProductBM!I:I,MATCH($P1093,F_ProductBM!$Q:$Q,0))))</f>
        <v/>
      </c>
      <c r="J1093" s="1832" t="str">
        <f>IF($I1012="","",IF(INDEX(F_ProductBM!J:J,MATCH($P1093,F_ProductBM!$Q:$Q,0))="","",INDEX(F_ProductBM!J:J,MATCH($P1093,F_ProductBM!$Q:$Q,0))))</f>
        <v/>
      </c>
      <c r="K1093" s="480" t="str">
        <f>IF($I1012="","",IF(INDEX(F_ProductBM!K:K,MATCH($P1093,F_ProductBM!$Q:$Q,0))="","",INDEX(F_ProductBM!K:K,MATCH($P1093,F_ProductBM!$Q:$Q,0))))</f>
        <v/>
      </c>
      <c r="L1093" s="480" t="str">
        <f>IF($I1012="","",IF(INDEX(F_ProductBM!L:L,MATCH($P1093,F_ProductBM!$Q:$Q,0))="","",INDEX(F_ProductBM!L:L,MATCH($P1093,F_ProductBM!$Q:$Q,0))))</f>
        <v/>
      </c>
      <c r="M1093" s="480" t="str">
        <f>IF($I1012="","",IF(INDEX(F_ProductBM!M:M,MATCH($P1093,F_ProductBM!$Q:$Q,0))="","",INDEX(F_ProductBM!M:M,MATCH($P1093,F_ProductBM!$Q:$Q,0))))</f>
        <v/>
      </c>
      <c r="N1093" s="1833" t="str">
        <f>IF($I1012="","",IF(INDEX(F_ProductBM!N:N,MATCH($P1093,F_ProductBM!$Q:$Q,0))="","",INDEX(F_ProductBM!N:N,MATCH($P1093,F_ProductBM!$Q:$Q,0))))</f>
        <v/>
      </c>
      <c r="O1093" s="698"/>
      <c r="P1093" s="1500" t="str">
        <f>EUconst_CNTR_Emissions &amp; I1012</f>
        <v>DirEmissions_</v>
      </c>
      <c r="Q1093" s="729"/>
      <c r="R1093" s="729"/>
      <c r="S1093" s="729"/>
      <c r="T1093" s="770"/>
      <c r="U1093" s="343"/>
      <c r="V1093" s="343"/>
    </row>
    <row r="1094" spans="1:22" s="364" customFormat="1" ht="12.75" customHeight="1" x14ac:dyDescent="0.25">
      <c r="A1094" s="729"/>
      <c r="B1094" s="302"/>
      <c r="C1094" s="302"/>
      <c r="D1094" s="1820"/>
      <c r="E1094" s="2820" t="str">
        <f>Translations!$B$532</f>
        <v>Други пораждащи емисии потоци — 1</v>
      </c>
      <c r="F1094" s="2258"/>
      <c r="G1094" s="1319" t="str">
        <f>EUconst_tCO2pa</f>
        <v>t CO2 / година</v>
      </c>
      <c r="H1094" s="480" t="str">
        <f>IF($I1012="","",IF(INDEX(F_ProductBM!H:H,MATCH($P1094,F_ProductBM!$Q:$Q,0))="","",INDEX(F_ProductBM!H:H,MATCH($P1094,F_ProductBM!$Q:$Q,0))))</f>
        <v/>
      </c>
      <c r="I1094" s="1399" t="str">
        <f>IF($I1012="","",IF(INDEX(F_ProductBM!I:I,MATCH($P1094,F_ProductBM!$Q:$Q,0))="","",INDEX(F_ProductBM!I:I,MATCH($P1094,F_ProductBM!$Q:$Q,0))))</f>
        <v/>
      </c>
      <c r="J1094" s="1832" t="str">
        <f>IF($I1012="","",IF(INDEX(F_ProductBM!J:J,MATCH($P1094,F_ProductBM!$Q:$Q,0))="","",INDEX(F_ProductBM!J:J,MATCH($P1094,F_ProductBM!$Q:$Q,0))))</f>
        <v/>
      </c>
      <c r="K1094" s="480" t="str">
        <f>IF($I1012="","",IF(INDEX(F_ProductBM!K:K,MATCH($P1094,F_ProductBM!$Q:$Q,0))="","",INDEX(F_ProductBM!K:K,MATCH($P1094,F_ProductBM!$Q:$Q,0))))</f>
        <v/>
      </c>
      <c r="L1094" s="480" t="str">
        <f>IF($I1012="","",IF(INDEX(F_ProductBM!L:L,MATCH($P1094,F_ProductBM!$Q:$Q,0))="","",INDEX(F_ProductBM!L:L,MATCH($P1094,F_ProductBM!$Q:$Q,0))))</f>
        <v/>
      </c>
      <c r="M1094" s="480" t="str">
        <f>IF($I1012="","",IF(INDEX(F_ProductBM!M:M,MATCH($P1094,F_ProductBM!$Q:$Q,0))="","",INDEX(F_ProductBM!M:M,MATCH($P1094,F_ProductBM!$Q:$Q,0))))</f>
        <v/>
      </c>
      <c r="N1094" s="1833" t="str">
        <f>IF($I1012="","",IF(INDEX(F_ProductBM!N:N,MATCH($P1094,F_ProductBM!$Q:$Q,0))="","",INDEX(F_ProductBM!N:N,MATCH($P1094,F_ProductBM!$Q:$Q,0))))</f>
        <v/>
      </c>
      <c r="O1094" s="698"/>
      <c r="P1094" s="1500" t="str">
        <f>EUconst_CNTR_EmissionsIntSource1 &amp; I1012</f>
        <v>EmInternalSource1_</v>
      </c>
      <c r="Q1094" s="729"/>
      <c r="R1094" s="729"/>
      <c r="S1094" s="729"/>
      <c r="T1094" s="770"/>
      <c r="U1094" s="343"/>
      <c r="V1094" s="343"/>
    </row>
    <row r="1095" spans="1:22" s="364" customFormat="1" ht="12.75" customHeight="1" x14ac:dyDescent="0.25">
      <c r="A1095" s="729"/>
      <c r="B1095" s="302"/>
      <c r="C1095" s="302"/>
      <c r="D1095" s="1820"/>
      <c r="E1095" s="2820" t="str">
        <f>Translations!$B$542</f>
        <v>Други пораждащи емисии потоци — 2</v>
      </c>
      <c r="F1095" s="2258"/>
      <c r="G1095" s="1319" t="str">
        <f>EUconst_tCO2pa</f>
        <v>t CO2 / година</v>
      </c>
      <c r="H1095" s="480" t="str">
        <f>IF($I1012="","",IF(INDEX(F_ProductBM!H:H,MATCH($P1095,F_ProductBM!$Q:$Q,0))="","",INDEX(F_ProductBM!H:H,MATCH($P1095,F_ProductBM!$Q:$Q,0))))</f>
        <v/>
      </c>
      <c r="I1095" s="1399" t="str">
        <f>IF($I1012="","",IF(INDEX(F_ProductBM!I:I,MATCH($P1095,F_ProductBM!$Q:$Q,0))="","",INDEX(F_ProductBM!I:I,MATCH($P1095,F_ProductBM!$Q:$Q,0))))</f>
        <v/>
      </c>
      <c r="J1095" s="1832" t="str">
        <f>IF($I1012="","",IF(INDEX(F_ProductBM!J:J,MATCH($P1095,F_ProductBM!$Q:$Q,0))="","",INDEX(F_ProductBM!J:J,MATCH($P1095,F_ProductBM!$Q:$Q,0))))</f>
        <v/>
      </c>
      <c r="K1095" s="480" t="str">
        <f>IF($I1012="","",IF(INDEX(F_ProductBM!K:K,MATCH($P1095,F_ProductBM!$Q:$Q,0))="","",INDEX(F_ProductBM!K:K,MATCH($P1095,F_ProductBM!$Q:$Q,0))))</f>
        <v/>
      </c>
      <c r="L1095" s="480" t="str">
        <f>IF($I1012="","",IF(INDEX(F_ProductBM!L:L,MATCH($P1095,F_ProductBM!$Q:$Q,0))="","",INDEX(F_ProductBM!L:L,MATCH($P1095,F_ProductBM!$Q:$Q,0))))</f>
        <v/>
      </c>
      <c r="M1095" s="480" t="str">
        <f>IF($I1012="","",IF(INDEX(F_ProductBM!M:M,MATCH($P1095,F_ProductBM!$Q:$Q,0))="","",INDEX(F_ProductBM!M:M,MATCH($P1095,F_ProductBM!$Q:$Q,0))))</f>
        <v/>
      </c>
      <c r="N1095" s="1833" t="str">
        <f>IF($I1012="","",IF(INDEX(F_ProductBM!N:N,MATCH($P1095,F_ProductBM!$Q:$Q,0))="","",INDEX(F_ProductBM!N:N,MATCH($P1095,F_ProductBM!$Q:$Q,0))))</f>
        <v/>
      </c>
      <c r="O1095" s="698"/>
      <c r="P1095" s="1500" t="str">
        <f>EUconst_CNTR_EmissionsIntSource2 &amp; I1012</f>
        <v>EmInternalSource2_</v>
      </c>
      <c r="Q1095" s="729"/>
      <c r="R1095" s="729"/>
      <c r="S1095" s="729"/>
      <c r="T1095" s="770"/>
      <c r="U1095" s="343"/>
      <c r="V1095" s="343"/>
    </row>
    <row r="1096" spans="1:22" s="364" customFormat="1" ht="12.75" customHeight="1" x14ac:dyDescent="0.25">
      <c r="A1096" s="729"/>
      <c r="B1096" s="302"/>
      <c r="C1096" s="302"/>
      <c r="D1096" s="1820"/>
      <c r="E1096" s="2820" t="str">
        <f>Translations!$B$546</f>
        <v>Получени или подадени парникови газове</v>
      </c>
      <c r="F1096" s="2258"/>
      <c r="G1096" s="1319" t="str">
        <f>EUconst_tCO2epa</f>
        <v>t CO2e/година</v>
      </c>
      <c r="H1096" s="480" t="str">
        <f>IF($I1012="","",IF(INDEX(F_ProductBM!H:H,MATCH($P1096,F_ProductBM!$Q:$Q,0))="","",INDEX(F_ProductBM!H:H,MATCH($P1096,F_ProductBM!$Q:$Q,0))))</f>
        <v/>
      </c>
      <c r="I1096" s="1399" t="str">
        <f>IF($I1012="","",IF(INDEX(F_ProductBM!I:I,MATCH($P1096,F_ProductBM!$Q:$Q,0))="","",INDEX(F_ProductBM!I:I,MATCH($P1096,F_ProductBM!$Q:$Q,0))))</f>
        <v/>
      </c>
      <c r="J1096" s="1832" t="str">
        <f>IF($I1012="","",IF(INDEX(F_ProductBM!J:J,MATCH($P1096,F_ProductBM!$Q:$Q,0))="","",INDEX(F_ProductBM!J:J,MATCH($P1096,F_ProductBM!$Q:$Q,0))))</f>
        <v/>
      </c>
      <c r="K1096" s="480" t="str">
        <f>IF($I1012="","",IF(INDEX(F_ProductBM!K:K,MATCH($P1096,F_ProductBM!$Q:$Q,0))="","",INDEX(F_ProductBM!K:K,MATCH($P1096,F_ProductBM!$Q:$Q,0))))</f>
        <v/>
      </c>
      <c r="L1096" s="480" t="str">
        <f>IF($I1012="","",IF(INDEX(F_ProductBM!L:L,MATCH($P1096,F_ProductBM!$Q:$Q,0))="","",INDEX(F_ProductBM!L:L,MATCH($P1096,F_ProductBM!$Q:$Q,0))))</f>
        <v/>
      </c>
      <c r="M1096" s="480" t="str">
        <f>IF($I1012="","",IF(INDEX(F_ProductBM!M:M,MATCH($P1096,F_ProductBM!$Q:$Q,0))="","",INDEX(F_ProductBM!M:M,MATCH($P1096,F_ProductBM!$Q:$Q,0))))</f>
        <v/>
      </c>
      <c r="N1096" s="1833" t="str">
        <f>IF($I1012="","",IF(INDEX(F_ProductBM!N:N,MATCH($P1096,F_ProductBM!$Q:$Q,0))="","",INDEX(F_ProductBM!N:N,MATCH($P1096,F_ProductBM!$Q:$Q,0))))</f>
        <v/>
      </c>
      <c r="O1096" s="698"/>
      <c r="P1096" s="1500" t="str">
        <f>EUconst_CNTR_CO2Feedstock &amp; I1012</f>
        <v>EmCO2Feedstock_</v>
      </c>
      <c r="Q1096" s="729"/>
      <c r="R1096" s="729"/>
      <c r="S1096" s="729"/>
      <c r="T1096" s="770"/>
      <c r="U1096" s="343"/>
      <c r="V1096" s="343"/>
    </row>
    <row r="1097" spans="1:22" s="364" customFormat="1" ht="5.15" customHeight="1" x14ac:dyDescent="0.25">
      <c r="A1097" s="729"/>
      <c r="B1097" s="302"/>
      <c r="C1097" s="302"/>
      <c r="D1097" s="1820"/>
      <c r="E1097" s="643"/>
      <c r="F1097" s="643"/>
      <c r="G1097" s="626"/>
      <c r="H1097" s="640"/>
      <c r="I1097" s="640"/>
      <c r="J1097" s="640"/>
      <c r="K1097" s="640"/>
      <c r="L1097" s="640"/>
      <c r="M1097" s="640"/>
      <c r="N1097" s="1831"/>
      <c r="O1097" s="698"/>
      <c r="P1097" s="729"/>
      <c r="Q1097" s="729"/>
      <c r="R1097" s="729"/>
      <c r="S1097" s="729"/>
      <c r="T1097" s="770"/>
      <c r="U1097" s="343"/>
      <c r="V1097" s="343"/>
    </row>
    <row r="1098" spans="1:22" s="364" customFormat="1" ht="12.75" customHeight="1" x14ac:dyDescent="0.25">
      <c r="A1098" s="729"/>
      <c r="B1098" s="302"/>
      <c r="C1098" s="302"/>
      <c r="D1098" s="1820"/>
      <c r="E1098" s="2818" t="str">
        <f>Translations!$B$554</f>
        <v>Нетно количество получена топлинна енергия</v>
      </c>
      <c r="F1098" s="2701"/>
      <c r="G1098" s="1326" t="str">
        <f>EUconst_TJpa</f>
        <v>TJ / година</v>
      </c>
      <c r="H1098" s="482" t="str">
        <f>IF($I1012="","",IF(INDEX(F_ProductBM!H:H,MATCH($P1098,F_ProductBM!$Q:$Q,0))="","",INDEX(F_ProductBM!H:H,MATCH($P1098,F_ProductBM!$Q:$Q,0))))</f>
        <v/>
      </c>
      <c r="I1098" s="1824" t="str">
        <f>IF($I1012="","",IF(INDEX(F_ProductBM!I:I,MATCH($P1098,F_ProductBM!$Q:$Q,0))="","",INDEX(F_ProductBM!I:I,MATCH($P1098,F_ProductBM!$Q:$Q,0))))</f>
        <v/>
      </c>
      <c r="J1098" s="1825" t="str">
        <f>IF($I1012="","",IF(INDEX(F_ProductBM!J:J,MATCH($P1098,F_ProductBM!$Q:$Q,0))="","",INDEX(F_ProductBM!J:J,MATCH($P1098,F_ProductBM!$Q:$Q,0))))</f>
        <v/>
      </c>
      <c r="K1098" s="482" t="str">
        <f>IF($I1012="","",IF(INDEX(F_ProductBM!K:K,MATCH($P1098,F_ProductBM!$Q:$Q,0))="","",INDEX(F_ProductBM!K:K,MATCH($P1098,F_ProductBM!$Q:$Q,0))))</f>
        <v/>
      </c>
      <c r="L1098" s="482" t="str">
        <f>IF($I1012="","",IF(INDEX(F_ProductBM!L:L,MATCH($P1098,F_ProductBM!$Q:$Q,0))="","",INDEX(F_ProductBM!L:L,MATCH($P1098,F_ProductBM!$Q:$Q,0))))</f>
        <v/>
      </c>
      <c r="M1098" s="482" t="str">
        <f>IF($I1012="","",IF(INDEX(F_ProductBM!M:M,MATCH($P1098,F_ProductBM!$Q:$Q,0))="","",INDEX(F_ProductBM!M:M,MATCH($P1098,F_ProductBM!$Q:$Q,0))))</f>
        <v/>
      </c>
      <c r="N1098" s="1826" t="str">
        <f>IF($I1012="","",IF(INDEX(F_ProductBM!N:N,MATCH($P1098,F_ProductBM!$Q:$Q,0))="","",INDEX(F_ProductBM!N:N,MATCH($P1098,F_ProductBM!$Q:$Q,0))))</f>
        <v/>
      </c>
      <c r="O1098" s="698"/>
      <c r="P1098" s="1500" t="str">
        <f>EUconst_CNTR_HeatImport &amp; I1012</f>
        <v>HeatIm_</v>
      </c>
      <c r="Q1098" s="729"/>
      <c r="R1098" s="729"/>
      <c r="S1098" s="729"/>
      <c r="T1098" s="770"/>
      <c r="U1098" s="343"/>
      <c r="V1098" s="343"/>
    </row>
    <row r="1099" spans="1:22" s="364" customFormat="1" ht="12.75" customHeight="1" x14ac:dyDescent="0.25">
      <c r="A1099" s="729"/>
      <c r="B1099" s="302"/>
      <c r="C1099" s="302"/>
      <c r="D1099" s="1820"/>
      <c r="E1099" s="2819" t="str">
        <f>Translations!$B$555</f>
        <v>Специфичен EF (получена топлинна енергия)</v>
      </c>
      <c r="F1099" s="2705"/>
      <c r="G1099" s="1329" t="str">
        <f>EUconst_tCO2pTJ</f>
        <v>t CO2 / TJ</v>
      </c>
      <c r="H1099" s="484" t="str">
        <f>IF($I1012="","",IF(INDEX(F_ProductBM!H:H,MATCH($P1099,F_ProductBM!$Q:$Q,0))="","",INDEX(F_ProductBM!H:H,MATCH($P1099,F_ProductBM!$Q:$Q,0))))</f>
        <v/>
      </c>
      <c r="I1099" s="1828" t="str">
        <f>IF($I1012="","",IF(INDEX(F_ProductBM!I:I,MATCH($P1099,F_ProductBM!$Q:$Q,0))="","",INDEX(F_ProductBM!I:I,MATCH($P1099,F_ProductBM!$Q:$Q,0))))</f>
        <v/>
      </c>
      <c r="J1099" s="1829" t="str">
        <f>IF($I1012="","",IF(INDEX(F_ProductBM!J:J,MATCH($P1099,F_ProductBM!$Q:$Q,0))="","",INDEX(F_ProductBM!J:J,MATCH($P1099,F_ProductBM!$Q:$Q,0))))</f>
        <v/>
      </c>
      <c r="K1099" s="484" t="str">
        <f>IF($I1012="","",IF(INDEX(F_ProductBM!K:K,MATCH($P1099,F_ProductBM!$Q:$Q,0))="","",INDEX(F_ProductBM!K:K,MATCH($P1099,F_ProductBM!$Q:$Q,0))))</f>
        <v/>
      </c>
      <c r="L1099" s="484" t="str">
        <f>IF($I1012="","",IF(INDEX(F_ProductBM!L:L,MATCH($P1099,F_ProductBM!$Q:$Q,0))="","",INDEX(F_ProductBM!L:L,MATCH($P1099,F_ProductBM!$Q:$Q,0))))</f>
        <v/>
      </c>
      <c r="M1099" s="484" t="str">
        <f>IF($I1012="","",IF(INDEX(F_ProductBM!M:M,MATCH($P1099,F_ProductBM!$Q:$Q,0))="","",INDEX(F_ProductBM!M:M,MATCH($P1099,F_ProductBM!$Q:$Q,0))))</f>
        <v/>
      </c>
      <c r="N1099" s="1830" t="str">
        <f>IF($I1012="","",IF(INDEX(F_ProductBM!N:N,MATCH($P1099,F_ProductBM!$Q:$Q,0))="","",INDEX(F_ProductBM!N:N,MATCH($P1099,F_ProductBM!$Q:$Q,0))))</f>
        <v/>
      </c>
      <c r="O1099" s="698"/>
      <c r="P1099" s="1500" t="str">
        <f>EUconst_CNTR_HeatImportEF &amp; I1012</f>
        <v>HeatImEF_</v>
      </c>
      <c r="Q1099" s="729"/>
      <c r="R1099" s="729"/>
      <c r="S1099" s="729"/>
      <c r="T1099" s="770"/>
      <c r="U1099" s="343"/>
      <c r="V1099" s="343"/>
    </row>
    <row r="1100" spans="1:22" s="364" customFormat="1" ht="5.15" customHeight="1" x14ac:dyDescent="0.25">
      <c r="A1100" s="729"/>
      <c r="B1100" s="302"/>
      <c r="C1100" s="302"/>
      <c r="D1100" s="1820"/>
      <c r="E1100" s="643"/>
      <c r="F1100" s="643"/>
      <c r="G1100" s="626"/>
      <c r="H1100" s="640"/>
      <c r="I1100" s="640"/>
      <c r="J1100" s="640"/>
      <c r="K1100" s="640"/>
      <c r="L1100" s="640"/>
      <c r="M1100" s="640"/>
      <c r="N1100" s="1831"/>
      <c r="O1100" s="698"/>
      <c r="P1100" s="770"/>
      <c r="Q1100" s="729"/>
      <c r="R1100" s="729"/>
      <c r="S1100" s="729"/>
      <c r="T1100" s="770"/>
      <c r="U1100" s="343"/>
      <c r="V1100" s="343"/>
    </row>
    <row r="1101" spans="1:22" s="364" customFormat="1" ht="12.75" customHeight="1" x14ac:dyDescent="0.25">
      <c r="A1101" s="729"/>
      <c r="B1101" s="302"/>
      <c r="C1101" s="302"/>
      <c r="D1101" s="1820"/>
      <c r="E1101" s="2820" t="str">
        <f>Translations!$B$609</f>
        <v>Нетно количество топлинна енергия, получена от пулп</v>
      </c>
      <c r="F1101" s="2258"/>
      <c r="G1101" s="1319" t="str">
        <f>EUconst_TJpa</f>
        <v>TJ / година</v>
      </c>
      <c r="H1101" s="480" t="str">
        <f>IF($I1012="","",IF(INDEX(F_ProductBM!H:H,MATCH($P1101,F_ProductBM!$Q:$Q,0))="","",INDEX(F_ProductBM!H:H,MATCH($P1101,F_ProductBM!$Q:$Q,0))))</f>
        <v/>
      </c>
      <c r="I1101" s="1399" t="str">
        <f>IF($I1012="","",IF(INDEX(F_ProductBM!I:I,MATCH($P1101,F_ProductBM!$Q:$Q,0))="","",INDEX(F_ProductBM!I:I,MATCH($P1101,F_ProductBM!$Q:$Q,0))))</f>
        <v/>
      </c>
      <c r="J1101" s="1832" t="str">
        <f>IF($I1012="","",IF(INDEX(F_ProductBM!J:J,MATCH($P1101,F_ProductBM!$Q:$Q,0))="","",INDEX(F_ProductBM!J:J,MATCH($P1101,F_ProductBM!$Q:$Q,0))))</f>
        <v/>
      </c>
      <c r="K1101" s="480" t="str">
        <f>IF($I1012="","",IF(INDEX(F_ProductBM!K:K,MATCH($P1101,F_ProductBM!$Q:$Q,0))="","",INDEX(F_ProductBM!K:K,MATCH($P1101,F_ProductBM!$Q:$Q,0))))</f>
        <v/>
      </c>
      <c r="L1101" s="480" t="str">
        <f>IF($I1012="","",IF(INDEX(F_ProductBM!L:L,MATCH($P1101,F_ProductBM!$Q:$Q,0))="","",INDEX(F_ProductBM!L:L,MATCH($P1101,F_ProductBM!$Q:$Q,0))))</f>
        <v/>
      </c>
      <c r="M1101" s="480" t="str">
        <f>IF($I1012="","",IF(INDEX(F_ProductBM!M:M,MATCH($P1101,F_ProductBM!$Q:$Q,0))="","",INDEX(F_ProductBM!M:M,MATCH($P1101,F_ProductBM!$Q:$Q,0))))</f>
        <v/>
      </c>
      <c r="N1101" s="1833" t="str">
        <f>IF($I1012="","",IF(INDEX(F_ProductBM!N:N,MATCH($P1101,F_ProductBM!$Q:$Q,0))="","",INDEX(F_ProductBM!N:N,MATCH($P1101,F_ProductBM!$Q:$Q,0))))</f>
        <v/>
      </c>
      <c r="O1101" s="698"/>
      <c r="P1101" s="1500" t="str">
        <f>EUconst_CNTR_HeatImportPulp &amp; I1012</f>
        <v>HeatImPulp_</v>
      </c>
      <c r="Q1101" s="729"/>
      <c r="R1101" s="729"/>
      <c r="S1101" s="729"/>
      <c r="T1101" s="770"/>
      <c r="U1101" s="343"/>
      <c r="V1101" s="343"/>
    </row>
    <row r="1102" spans="1:22" s="364" customFormat="1" ht="12.75" customHeight="1" x14ac:dyDescent="0.25">
      <c r="A1102" s="729"/>
      <c r="B1102" s="302"/>
      <c r="C1102" s="302"/>
      <c r="D1102" s="1820"/>
      <c r="E1102" s="2820" t="str">
        <f>Translations!$B$558</f>
        <v>Нетно количество топлинна енергия, получена от подинсталации за азотна киселина</v>
      </c>
      <c r="F1102" s="2258"/>
      <c r="G1102" s="1319" t="str">
        <f>EUconst_TJpa</f>
        <v>TJ / година</v>
      </c>
      <c r="H1102" s="480" t="str">
        <f>IF($I1012="","",IF(INDEX(F_ProductBM!H:H,MATCH($P1102,F_ProductBM!$Q:$Q,0))="","",INDEX(F_ProductBM!H:H,MATCH($P1102,F_ProductBM!$Q:$Q,0))))</f>
        <v/>
      </c>
      <c r="I1102" s="1399" t="str">
        <f>IF($I1012="","",IF(INDEX(F_ProductBM!I:I,MATCH($P1102,F_ProductBM!$Q:$Q,0))="","",INDEX(F_ProductBM!I:I,MATCH($P1102,F_ProductBM!$Q:$Q,0))))</f>
        <v/>
      </c>
      <c r="J1102" s="1832" t="str">
        <f>IF($I1012="","",IF(INDEX(F_ProductBM!J:J,MATCH($P1102,F_ProductBM!$Q:$Q,0))="","",INDEX(F_ProductBM!J:J,MATCH($P1102,F_ProductBM!$Q:$Q,0))))</f>
        <v/>
      </c>
      <c r="K1102" s="480" t="str">
        <f>IF($I1012="","",IF(INDEX(F_ProductBM!K:K,MATCH($P1102,F_ProductBM!$Q:$Q,0))="","",INDEX(F_ProductBM!K:K,MATCH($P1102,F_ProductBM!$Q:$Q,0))))</f>
        <v/>
      </c>
      <c r="L1102" s="480" t="str">
        <f>IF($I1012="","",IF(INDEX(F_ProductBM!L:L,MATCH($P1102,F_ProductBM!$Q:$Q,0))="","",INDEX(F_ProductBM!L:L,MATCH($P1102,F_ProductBM!$Q:$Q,0))))</f>
        <v/>
      </c>
      <c r="M1102" s="480" t="str">
        <f>IF($I1012="","",IF(INDEX(F_ProductBM!M:M,MATCH($P1102,F_ProductBM!$Q:$Q,0))="","",INDEX(F_ProductBM!M:M,MATCH($P1102,F_ProductBM!$Q:$Q,0))))</f>
        <v/>
      </c>
      <c r="N1102" s="1833" t="str">
        <f>IF($I1012="","",IF(INDEX(F_ProductBM!N:N,MATCH($P1102,F_ProductBM!$Q:$Q,0))="","",INDEX(F_ProductBM!N:N,MATCH($P1102,F_ProductBM!$Q:$Q,0))))</f>
        <v/>
      </c>
      <c r="O1102" s="698"/>
      <c r="P1102" s="1500" t="str">
        <f>EUconst_CNTR_HeatImportNitric &amp; I1012</f>
        <v>HeatImNitric_</v>
      </c>
      <c r="Q1102" s="729"/>
      <c r="R1102" s="729"/>
      <c r="S1102" s="729"/>
      <c r="T1102" s="770"/>
      <c r="U1102" s="343"/>
      <c r="V1102" s="343"/>
    </row>
    <row r="1103" spans="1:22" s="364" customFormat="1" ht="5.15" customHeight="1" x14ac:dyDescent="0.25">
      <c r="A1103" s="729"/>
      <c r="B1103" s="302"/>
      <c r="C1103" s="302"/>
      <c r="D1103" s="1820"/>
      <c r="E1103" s="643"/>
      <c r="F1103" s="643"/>
      <c r="G1103" s="625"/>
      <c r="H1103" s="640"/>
      <c r="I1103" s="640"/>
      <c r="J1103" s="640"/>
      <c r="K1103" s="640"/>
      <c r="L1103" s="640"/>
      <c r="M1103" s="640"/>
      <c r="N1103" s="1831"/>
      <c r="O1103" s="698"/>
      <c r="P1103" s="770"/>
      <c r="Q1103" s="729"/>
      <c r="R1103" s="729"/>
      <c r="S1103" s="729"/>
      <c r="T1103" s="770"/>
      <c r="U1103" s="343"/>
      <c r="V1103" s="343"/>
    </row>
    <row r="1104" spans="1:22" s="364" customFormat="1" ht="12.75" customHeight="1" x14ac:dyDescent="0.25">
      <c r="A1104" s="729"/>
      <c r="B1104" s="302"/>
      <c r="C1104" s="302"/>
      <c r="D1104" s="1820"/>
      <c r="E1104" s="2818" t="str">
        <f>Translations!$B$560</f>
        <v>Нетно количество подадена топлинна енергия</v>
      </c>
      <c r="F1104" s="2701"/>
      <c r="G1104" s="1326" t="str">
        <f>EUconst_TJpa</f>
        <v>TJ / година</v>
      </c>
      <c r="H1104" s="482" t="str">
        <f>IF($I1012="","",IF(INDEX(F_ProductBM!H:H,MATCH($P1104,F_ProductBM!$Q:$Q,0))="","",INDEX(F_ProductBM!H:H,MATCH($P1104,F_ProductBM!$Q:$Q,0))))</f>
        <v/>
      </c>
      <c r="I1104" s="1824" t="str">
        <f>IF($I1012="","",IF(INDEX(F_ProductBM!I:I,MATCH($P1104,F_ProductBM!$Q:$Q,0))="","",INDEX(F_ProductBM!I:I,MATCH($P1104,F_ProductBM!$Q:$Q,0))))</f>
        <v/>
      </c>
      <c r="J1104" s="1825" t="str">
        <f>IF($I1012="","",IF(INDEX(F_ProductBM!J:J,MATCH($P1104,F_ProductBM!$Q:$Q,0))="","",INDEX(F_ProductBM!J:J,MATCH($P1104,F_ProductBM!$Q:$Q,0))))</f>
        <v/>
      </c>
      <c r="K1104" s="482" t="str">
        <f>IF($I1012="","",IF(INDEX(F_ProductBM!K:K,MATCH($P1104,F_ProductBM!$Q:$Q,0))="","",INDEX(F_ProductBM!K:K,MATCH($P1104,F_ProductBM!$Q:$Q,0))))</f>
        <v/>
      </c>
      <c r="L1104" s="482" t="str">
        <f>IF($I1012="","",IF(INDEX(F_ProductBM!L:L,MATCH($P1104,F_ProductBM!$Q:$Q,0))="","",INDEX(F_ProductBM!L:L,MATCH($P1104,F_ProductBM!$Q:$Q,0))))</f>
        <v/>
      </c>
      <c r="M1104" s="482" t="str">
        <f>IF($I1012="","",IF(INDEX(F_ProductBM!M:M,MATCH($P1104,F_ProductBM!$Q:$Q,0))="","",INDEX(F_ProductBM!M:M,MATCH($P1104,F_ProductBM!$Q:$Q,0))))</f>
        <v/>
      </c>
      <c r="N1104" s="1826" t="str">
        <f>IF($I1012="","",IF(INDEX(F_ProductBM!N:N,MATCH($P1104,F_ProductBM!$Q:$Q,0))="","",INDEX(F_ProductBM!N:N,MATCH($P1104,F_ProductBM!$Q:$Q,0))))</f>
        <v/>
      </c>
      <c r="O1104" s="698"/>
      <c r="P1104" s="1500" t="str">
        <f>EUconst_CNTR_HeatExport &amp; I1012</f>
        <v>HeatEx_</v>
      </c>
      <c r="Q1104" s="729"/>
      <c r="R1104" s="729"/>
      <c r="S1104" s="729"/>
      <c r="T1104" s="770"/>
      <c r="U1104" s="343"/>
      <c r="V1104" s="343"/>
    </row>
    <row r="1105" spans="1:22" s="364" customFormat="1" ht="12.75" customHeight="1" x14ac:dyDescent="0.25">
      <c r="A1105" s="729"/>
      <c r="B1105" s="302"/>
      <c r="C1105" s="302"/>
      <c r="D1105" s="1820"/>
      <c r="E1105" s="2819" t="str">
        <f>Translations!$B$561</f>
        <v>Специфичен EF (подадена топлинна енергия)</v>
      </c>
      <c r="F1105" s="2705"/>
      <c r="G1105" s="1329" t="str">
        <f>EUconst_tCO2pTJ</f>
        <v>t CO2 / TJ</v>
      </c>
      <c r="H1105" s="484" t="str">
        <f>IF($I1012="","",IF(INDEX(F_ProductBM!H:H,MATCH($P1105,F_ProductBM!$Q:$Q,0))="","",INDEX(F_ProductBM!H:H,MATCH($P1105,F_ProductBM!$Q:$Q,0))))</f>
        <v/>
      </c>
      <c r="I1105" s="1828" t="str">
        <f>IF($I1012="","",IF(INDEX(F_ProductBM!I:I,MATCH($P1105,F_ProductBM!$Q:$Q,0))="","",INDEX(F_ProductBM!I:I,MATCH($P1105,F_ProductBM!$Q:$Q,0))))</f>
        <v/>
      </c>
      <c r="J1105" s="1829" t="str">
        <f>IF($I1012="","",IF(INDEX(F_ProductBM!J:J,MATCH($P1105,F_ProductBM!$Q:$Q,0))="","",INDEX(F_ProductBM!J:J,MATCH($P1105,F_ProductBM!$Q:$Q,0))))</f>
        <v/>
      </c>
      <c r="K1105" s="484" t="str">
        <f>IF($I1012="","",IF(INDEX(F_ProductBM!K:K,MATCH($P1105,F_ProductBM!$Q:$Q,0))="","",INDEX(F_ProductBM!K:K,MATCH($P1105,F_ProductBM!$Q:$Q,0))))</f>
        <v/>
      </c>
      <c r="L1105" s="484" t="str">
        <f>IF($I1012="","",IF(INDEX(F_ProductBM!L:L,MATCH($P1105,F_ProductBM!$Q:$Q,0))="","",INDEX(F_ProductBM!L:L,MATCH($P1105,F_ProductBM!$Q:$Q,0))))</f>
        <v/>
      </c>
      <c r="M1105" s="484" t="str">
        <f>IF($I1012="","",IF(INDEX(F_ProductBM!M:M,MATCH($P1105,F_ProductBM!$Q:$Q,0))="","",INDEX(F_ProductBM!M:M,MATCH($P1105,F_ProductBM!$Q:$Q,0))))</f>
        <v/>
      </c>
      <c r="N1105" s="1830" t="str">
        <f>IF($I1012="","",IF(INDEX(F_ProductBM!N:N,MATCH($P1105,F_ProductBM!$Q:$Q,0))="","",INDEX(F_ProductBM!N:N,MATCH($P1105,F_ProductBM!$Q:$Q,0))))</f>
        <v/>
      </c>
      <c r="O1105" s="698"/>
      <c r="P1105" s="1500" t="str">
        <f>EUconst_CNTR_HeatExportEF &amp; I1012</f>
        <v>HeatExEF_</v>
      </c>
      <c r="Q1105" s="729"/>
      <c r="R1105" s="729"/>
      <c r="S1105" s="729"/>
      <c r="T1105" s="770"/>
      <c r="U1105" s="343"/>
      <c r="V1105" s="343"/>
    </row>
    <row r="1106" spans="1:22" s="364" customFormat="1" ht="5.15" customHeight="1" x14ac:dyDescent="0.25">
      <c r="A1106" s="729"/>
      <c r="B1106" s="302"/>
      <c r="C1106" s="302"/>
      <c r="D1106" s="1820"/>
      <c r="E1106" s="643"/>
      <c r="F1106" s="643"/>
      <c r="G1106" s="625"/>
      <c r="H1106" s="640"/>
      <c r="I1106" s="640"/>
      <c r="J1106" s="640"/>
      <c r="K1106" s="640"/>
      <c r="L1106" s="640"/>
      <c r="M1106" s="640"/>
      <c r="N1106" s="1831"/>
      <c r="O1106" s="698"/>
      <c r="P1106" s="770"/>
      <c r="Q1106" s="729"/>
      <c r="R1106" s="729"/>
      <c r="S1106" s="729"/>
      <c r="T1106" s="770"/>
      <c r="U1106" s="343"/>
      <c r="V1106" s="343"/>
    </row>
    <row r="1107" spans="1:22" s="364" customFormat="1" ht="12.75" customHeight="1" x14ac:dyDescent="0.25">
      <c r="A1107" s="729"/>
      <c r="B1107" s="302"/>
      <c r="C1107" s="302"/>
      <c r="D1107" s="1820"/>
      <c r="E1107" s="2818" t="str">
        <f>Translations!$B$568</f>
        <v>Произведен отпаден газ</v>
      </c>
      <c r="F1107" s="2701"/>
      <c r="G1107" s="1326" t="str">
        <f>EUconst_TJpa</f>
        <v>TJ / година</v>
      </c>
      <c r="H1107" s="482" t="str">
        <f>IF($I1012="","",IF(INDEX(F_ProductBM!H:H,MATCH($P1107,F_ProductBM!$Q:$Q,0))="","",INDEX(F_ProductBM!H:H,MATCH($P1107,F_ProductBM!$Q:$Q,0))))</f>
        <v/>
      </c>
      <c r="I1107" s="1824" t="str">
        <f>IF($I1012="","",IF(INDEX(F_ProductBM!I:I,MATCH($P1107,F_ProductBM!$Q:$Q,0))="","",INDEX(F_ProductBM!I:I,MATCH($P1107,F_ProductBM!$Q:$Q,0))))</f>
        <v/>
      </c>
      <c r="J1107" s="1825" t="str">
        <f>IF($I1012="","",IF(INDEX(F_ProductBM!J:J,MATCH($P1107,F_ProductBM!$Q:$Q,0))="","",INDEX(F_ProductBM!J:J,MATCH($P1107,F_ProductBM!$Q:$Q,0))))</f>
        <v/>
      </c>
      <c r="K1107" s="482" t="str">
        <f>IF($I1012="","",IF(INDEX(F_ProductBM!K:K,MATCH($P1107,F_ProductBM!$Q:$Q,0))="","",INDEX(F_ProductBM!K:K,MATCH($P1107,F_ProductBM!$Q:$Q,0))))</f>
        <v/>
      </c>
      <c r="L1107" s="482" t="str">
        <f>IF($I1012="","",IF(INDEX(F_ProductBM!L:L,MATCH($P1107,F_ProductBM!$Q:$Q,0))="","",INDEX(F_ProductBM!L:L,MATCH($P1107,F_ProductBM!$Q:$Q,0))))</f>
        <v/>
      </c>
      <c r="M1107" s="482" t="str">
        <f>IF($I1012="","",IF(INDEX(F_ProductBM!M:M,MATCH($P1107,F_ProductBM!$Q:$Q,0))="","",INDEX(F_ProductBM!M:M,MATCH($P1107,F_ProductBM!$Q:$Q,0))))</f>
        <v/>
      </c>
      <c r="N1107" s="1826" t="str">
        <f>IF($I1012="","",IF(INDEX(F_ProductBM!N:N,MATCH($P1107,F_ProductBM!$Q:$Q,0))="","",INDEX(F_ProductBM!N:N,MATCH($P1107,F_ProductBM!$Q:$Q,0))))</f>
        <v/>
      </c>
      <c r="O1107" s="698"/>
      <c r="P1107" s="1827" t="str">
        <f>EUconst_CNTR_WGProduced &amp; I1012</f>
        <v>WasteGasProd_</v>
      </c>
      <c r="Q1107" s="729"/>
      <c r="R1107" s="729"/>
      <c r="S1107" s="729"/>
      <c r="T1107" s="770"/>
      <c r="U1107" s="343"/>
      <c r="V1107" s="343"/>
    </row>
    <row r="1108" spans="1:22" s="364" customFormat="1" ht="12.75" customHeight="1" x14ac:dyDescent="0.25">
      <c r="A1108" s="729"/>
      <c r="B1108" s="302"/>
      <c r="C1108" s="302"/>
      <c r="D1108" s="1820"/>
      <c r="E1108" s="2819" t="str">
        <f>Translations!$B$569</f>
        <v>Специфичен EF (произведен отпаден газ)</v>
      </c>
      <c r="F1108" s="2705"/>
      <c r="G1108" s="1329" t="str">
        <f>EUconst_tCO2pTJ</f>
        <v>t CO2 / TJ</v>
      </c>
      <c r="H1108" s="484" t="str">
        <f>IF($I1012="","",IF(INDEX(F_ProductBM!H:H,MATCH($P1108,F_ProductBM!$Q:$Q,0))="","",INDEX(F_ProductBM!H:H,MATCH($P1108,F_ProductBM!$Q:$Q,0))))</f>
        <v/>
      </c>
      <c r="I1108" s="1828" t="str">
        <f>IF($I1012="","",IF(INDEX(F_ProductBM!I:I,MATCH($P1108,F_ProductBM!$Q:$Q,0))="","",INDEX(F_ProductBM!I:I,MATCH($P1108,F_ProductBM!$Q:$Q,0))))</f>
        <v/>
      </c>
      <c r="J1108" s="1829" t="str">
        <f>IF($I1012="","",IF(INDEX(F_ProductBM!J:J,MATCH($P1108,F_ProductBM!$Q:$Q,0))="","",INDEX(F_ProductBM!J:J,MATCH($P1108,F_ProductBM!$Q:$Q,0))))</f>
        <v/>
      </c>
      <c r="K1108" s="484" t="str">
        <f>IF($I1012="","",IF(INDEX(F_ProductBM!K:K,MATCH($P1108,F_ProductBM!$Q:$Q,0))="","",INDEX(F_ProductBM!K:K,MATCH($P1108,F_ProductBM!$Q:$Q,0))))</f>
        <v/>
      </c>
      <c r="L1108" s="484" t="str">
        <f>IF($I1012="","",IF(INDEX(F_ProductBM!L:L,MATCH($P1108,F_ProductBM!$Q:$Q,0))="","",INDEX(F_ProductBM!L:L,MATCH($P1108,F_ProductBM!$Q:$Q,0))))</f>
        <v/>
      </c>
      <c r="M1108" s="484" t="str">
        <f>IF($I1012="","",IF(INDEX(F_ProductBM!M:M,MATCH($P1108,F_ProductBM!$Q:$Q,0))="","",INDEX(F_ProductBM!M:M,MATCH($P1108,F_ProductBM!$Q:$Q,0))))</f>
        <v/>
      </c>
      <c r="N1108" s="1830" t="str">
        <f>IF($I1012="","",IF(INDEX(F_ProductBM!N:N,MATCH($P1108,F_ProductBM!$Q:$Q,0))="","",INDEX(F_ProductBM!N:N,MATCH($P1108,F_ProductBM!$Q:$Q,0))))</f>
        <v/>
      </c>
      <c r="O1108" s="698"/>
      <c r="P1108" s="1500" t="str">
        <f>EUconst_CNTR_WGProducedEF &amp; I1012</f>
        <v>WasteGasProdEF_</v>
      </c>
      <c r="Q1108" s="729"/>
      <c r="R1108" s="729"/>
      <c r="S1108" s="729"/>
      <c r="T1108" s="770"/>
      <c r="U1108" s="343"/>
      <c r="V1108" s="343"/>
    </row>
    <row r="1109" spans="1:22" s="364" customFormat="1" ht="12.75" customHeight="1" x14ac:dyDescent="0.25">
      <c r="A1109" s="729"/>
      <c r="B1109" s="302"/>
      <c r="C1109" s="302"/>
      <c r="D1109" s="1820"/>
      <c r="E1109" s="2818" t="str">
        <f>Translations!$B$573</f>
        <v>Консумиран отпаден газ</v>
      </c>
      <c r="F1109" s="2701"/>
      <c r="G1109" s="1326" t="str">
        <f>EUconst_TJpa</f>
        <v>TJ / година</v>
      </c>
      <c r="H1109" s="482" t="str">
        <f>IF($I1012="","",IF(INDEX(F_ProductBM!H:H,MATCH($P1109,F_ProductBM!$Q:$Q,0))="","",INDEX(F_ProductBM!H:H,MATCH($P1109,F_ProductBM!$Q:$Q,0))))</f>
        <v/>
      </c>
      <c r="I1109" s="1824" t="str">
        <f>IF($I1012="","",IF(INDEX(F_ProductBM!I:I,MATCH($P1109,F_ProductBM!$Q:$Q,0))="","",INDEX(F_ProductBM!I:I,MATCH($P1109,F_ProductBM!$Q:$Q,0))))</f>
        <v/>
      </c>
      <c r="J1109" s="1825" t="str">
        <f>IF($I1012="","",IF(INDEX(F_ProductBM!J:J,MATCH($P1109,F_ProductBM!$Q:$Q,0))="","",INDEX(F_ProductBM!J:J,MATCH($P1109,F_ProductBM!$Q:$Q,0))))</f>
        <v/>
      </c>
      <c r="K1109" s="482" t="str">
        <f>IF($I1012="","",IF(INDEX(F_ProductBM!K:K,MATCH($P1109,F_ProductBM!$Q:$Q,0))="","",INDEX(F_ProductBM!K:K,MATCH($P1109,F_ProductBM!$Q:$Q,0))))</f>
        <v/>
      </c>
      <c r="L1109" s="482" t="str">
        <f>IF($I1012="","",IF(INDEX(F_ProductBM!L:L,MATCH($P1109,F_ProductBM!$Q:$Q,0))="","",INDEX(F_ProductBM!L:L,MATCH($P1109,F_ProductBM!$Q:$Q,0))))</f>
        <v/>
      </c>
      <c r="M1109" s="482" t="str">
        <f>IF($I1012="","",IF(INDEX(F_ProductBM!M:M,MATCH($P1109,F_ProductBM!$Q:$Q,0))="","",INDEX(F_ProductBM!M:M,MATCH($P1109,F_ProductBM!$Q:$Q,0))))</f>
        <v/>
      </c>
      <c r="N1109" s="1826" t="str">
        <f>IF($I1012="","",IF(INDEX(F_ProductBM!N:N,MATCH($P1109,F_ProductBM!$Q:$Q,0))="","",INDEX(F_ProductBM!N:N,MATCH($P1109,F_ProductBM!$Q:$Q,0))))</f>
        <v/>
      </c>
      <c r="O1109" s="698"/>
      <c r="P1109" s="1500" t="str">
        <f>EUconst_CNTR_WGConsumed &amp; I1012</f>
        <v>WasteGasCons_</v>
      </c>
      <c r="Q1109" s="729"/>
      <c r="R1109" s="729"/>
      <c r="S1109" s="729"/>
      <c r="T1109" s="770"/>
      <c r="U1109" s="343"/>
      <c r="V1109" s="343"/>
    </row>
    <row r="1110" spans="1:22" s="364" customFormat="1" ht="12.75" customHeight="1" x14ac:dyDescent="0.25">
      <c r="A1110" s="729"/>
      <c r="B1110" s="302"/>
      <c r="C1110" s="302"/>
      <c r="D1110" s="1820"/>
      <c r="E1110" s="2819" t="str">
        <f>Translations!$B$574</f>
        <v>Специфичен EF (консумиран отпаден газ)</v>
      </c>
      <c r="F1110" s="2705"/>
      <c r="G1110" s="1329" t="str">
        <f>EUconst_tCO2pTJ</f>
        <v>t CO2 / TJ</v>
      </c>
      <c r="H1110" s="484" t="str">
        <f>IF($I1012="","",IF(INDEX(F_ProductBM!H:H,MATCH($P1110,F_ProductBM!$Q:$Q,0))="","",INDEX(F_ProductBM!H:H,MATCH($P1110,F_ProductBM!$Q:$Q,0))))</f>
        <v/>
      </c>
      <c r="I1110" s="1828" t="str">
        <f>IF($I1012="","",IF(INDEX(F_ProductBM!I:I,MATCH($P1110,F_ProductBM!$Q:$Q,0))="","",INDEX(F_ProductBM!I:I,MATCH($P1110,F_ProductBM!$Q:$Q,0))))</f>
        <v/>
      </c>
      <c r="J1110" s="1829" t="str">
        <f>IF($I1012="","",IF(INDEX(F_ProductBM!J:J,MATCH($P1110,F_ProductBM!$Q:$Q,0))="","",INDEX(F_ProductBM!J:J,MATCH($P1110,F_ProductBM!$Q:$Q,0))))</f>
        <v/>
      </c>
      <c r="K1110" s="484" t="str">
        <f>IF($I1012="","",IF(INDEX(F_ProductBM!K:K,MATCH($P1110,F_ProductBM!$Q:$Q,0))="","",INDEX(F_ProductBM!K:K,MATCH($P1110,F_ProductBM!$Q:$Q,0))))</f>
        <v/>
      </c>
      <c r="L1110" s="484" t="str">
        <f>IF($I1012="","",IF(INDEX(F_ProductBM!L:L,MATCH($P1110,F_ProductBM!$Q:$Q,0))="","",INDEX(F_ProductBM!L:L,MATCH($P1110,F_ProductBM!$Q:$Q,0))))</f>
        <v/>
      </c>
      <c r="M1110" s="484" t="str">
        <f>IF($I1012="","",IF(INDEX(F_ProductBM!M:M,MATCH($P1110,F_ProductBM!$Q:$Q,0))="","",INDEX(F_ProductBM!M:M,MATCH($P1110,F_ProductBM!$Q:$Q,0))))</f>
        <v/>
      </c>
      <c r="N1110" s="1830" t="str">
        <f>IF($I1012="","",IF(INDEX(F_ProductBM!N:N,MATCH($P1110,F_ProductBM!$Q:$Q,0))="","",INDEX(F_ProductBM!N:N,MATCH($P1110,F_ProductBM!$Q:$Q,0))))</f>
        <v/>
      </c>
      <c r="O1110" s="698"/>
      <c r="P1110" s="1500" t="str">
        <f>EUconst_CNTR_WGConsumedEF &amp; I1012</f>
        <v>WasteGasConsEF_</v>
      </c>
      <c r="Q1110" s="729"/>
      <c r="R1110" s="729"/>
      <c r="S1110" s="729"/>
      <c r="T1110" s="770"/>
      <c r="U1110" s="343"/>
      <c r="V1110" s="343"/>
    </row>
    <row r="1111" spans="1:22" s="364" customFormat="1" ht="12.75" customHeight="1" x14ac:dyDescent="0.25">
      <c r="A1111" s="729"/>
      <c r="B1111" s="302"/>
      <c r="C1111" s="302"/>
      <c r="D1111" s="1820"/>
      <c r="E1111" s="2818" t="str">
        <f>Translations!$B$580</f>
        <v>Изгорен във факел отпаден газ</v>
      </c>
      <c r="F1111" s="2701"/>
      <c r="G1111" s="1326" t="str">
        <f>EUconst_TJpa</f>
        <v>TJ / година</v>
      </c>
      <c r="H1111" s="482" t="str">
        <f>IF($I1012="","",IF(INDEX(F_ProductBM!H:H,MATCH($P1111,F_ProductBM!$Q:$Q,0))="","",INDEX(F_ProductBM!H:H,MATCH($P1111,F_ProductBM!$Q:$Q,0))))</f>
        <v/>
      </c>
      <c r="I1111" s="1824" t="str">
        <f>IF($I1012="","",IF(INDEX(F_ProductBM!I:I,MATCH($P1111,F_ProductBM!$Q:$Q,0))="","",INDEX(F_ProductBM!I:I,MATCH($P1111,F_ProductBM!$Q:$Q,0))))</f>
        <v/>
      </c>
      <c r="J1111" s="1825" t="str">
        <f>IF($I1012="","",IF(INDEX(F_ProductBM!J:J,MATCH($P1111,F_ProductBM!$Q:$Q,0))="","",INDEX(F_ProductBM!J:J,MATCH($P1111,F_ProductBM!$Q:$Q,0))))</f>
        <v/>
      </c>
      <c r="K1111" s="482" t="str">
        <f>IF($I1012="","",IF(INDEX(F_ProductBM!K:K,MATCH($P1111,F_ProductBM!$Q:$Q,0))="","",INDEX(F_ProductBM!K:K,MATCH($P1111,F_ProductBM!$Q:$Q,0))))</f>
        <v/>
      </c>
      <c r="L1111" s="482" t="str">
        <f>IF($I1012="","",IF(INDEX(F_ProductBM!L:L,MATCH($P1111,F_ProductBM!$Q:$Q,0))="","",INDEX(F_ProductBM!L:L,MATCH($P1111,F_ProductBM!$Q:$Q,0))))</f>
        <v/>
      </c>
      <c r="M1111" s="482" t="str">
        <f>IF($I1012="","",IF(INDEX(F_ProductBM!M:M,MATCH($P1111,F_ProductBM!$Q:$Q,0))="","",INDEX(F_ProductBM!M:M,MATCH($P1111,F_ProductBM!$Q:$Q,0))))</f>
        <v/>
      </c>
      <c r="N1111" s="1826" t="str">
        <f>IF($I1012="","",IF(INDEX(F_ProductBM!N:N,MATCH($P1111,F_ProductBM!$Q:$Q,0))="","",INDEX(F_ProductBM!N:N,MATCH($P1111,F_ProductBM!$Q:$Q,0))))</f>
        <v/>
      </c>
      <c r="O1111" s="698"/>
      <c r="P1111" s="1500" t="str">
        <f>EUconst_CNTR_WGFlared &amp; I1012</f>
        <v>WasteGasFlare_</v>
      </c>
      <c r="Q1111" s="729"/>
      <c r="R1111" s="729"/>
      <c r="S1111" s="729"/>
      <c r="T1111" s="770"/>
      <c r="U1111" s="343"/>
      <c r="V1111" s="343"/>
    </row>
    <row r="1112" spans="1:22" s="364" customFormat="1" ht="12.75" customHeight="1" x14ac:dyDescent="0.25">
      <c r="A1112" s="729"/>
      <c r="B1112" s="302"/>
      <c r="C1112" s="302"/>
      <c r="D1112" s="1820"/>
      <c r="E1112" s="2819" t="str">
        <f>Translations!$B$581</f>
        <v>Специфичен EF (изгорен във факел отпаден газ)</v>
      </c>
      <c r="F1112" s="2705"/>
      <c r="G1112" s="1329" t="str">
        <f>EUconst_tCO2pTJ</f>
        <v>t CO2 / TJ</v>
      </c>
      <c r="H1112" s="484" t="str">
        <f>IF($I1012="","",IF(INDEX(F_ProductBM!H:H,MATCH($P1112,F_ProductBM!$Q:$Q,0))="","",INDEX(F_ProductBM!H:H,MATCH($P1112,F_ProductBM!$Q:$Q,0))))</f>
        <v/>
      </c>
      <c r="I1112" s="1828" t="str">
        <f>IF($I1012="","",IF(INDEX(F_ProductBM!I:I,MATCH($P1112,F_ProductBM!$Q:$Q,0))="","",INDEX(F_ProductBM!I:I,MATCH($P1112,F_ProductBM!$Q:$Q,0))))</f>
        <v/>
      </c>
      <c r="J1112" s="1829" t="str">
        <f>IF($I1012="","",IF(INDEX(F_ProductBM!J:J,MATCH($P1112,F_ProductBM!$Q:$Q,0))="","",INDEX(F_ProductBM!J:J,MATCH($P1112,F_ProductBM!$Q:$Q,0))))</f>
        <v/>
      </c>
      <c r="K1112" s="484" t="str">
        <f>IF($I1012="","",IF(INDEX(F_ProductBM!K:K,MATCH($P1112,F_ProductBM!$Q:$Q,0))="","",INDEX(F_ProductBM!K:K,MATCH($P1112,F_ProductBM!$Q:$Q,0))))</f>
        <v/>
      </c>
      <c r="L1112" s="484" t="str">
        <f>IF($I1012="","",IF(INDEX(F_ProductBM!L:L,MATCH($P1112,F_ProductBM!$Q:$Q,0))="","",INDEX(F_ProductBM!L:L,MATCH($P1112,F_ProductBM!$Q:$Q,0))))</f>
        <v/>
      </c>
      <c r="M1112" s="484" t="str">
        <f>IF($I1012="","",IF(INDEX(F_ProductBM!M:M,MATCH($P1112,F_ProductBM!$Q:$Q,0))="","",INDEX(F_ProductBM!M:M,MATCH($P1112,F_ProductBM!$Q:$Q,0))))</f>
        <v/>
      </c>
      <c r="N1112" s="1830" t="str">
        <f>IF($I1012="","",IF(INDEX(F_ProductBM!N:N,MATCH($P1112,F_ProductBM!$Q:$Q,0))="","",INDEX(F_ProductBM!N:N,MATCH($P1112,F_ProductBM!$Q:$Q,0))))</f>
        <v/>
      </c>
      <c r="O1112" s="698"/>
      <c r="P1112" s="1500" t="str">
        <f>EUconst_CNTR_WGFlaredEF &amp; I1012</f>
        <v>WasteGasFlareEF_</v>
      </c>
      <c r="Q1112" s="729"/>
      <c r="R1112" s="729"/>
      <c r="S1112" s="729"/>
      <c r="T1112" s="770"/>
      <c r="U1112" s="343"/>
      <c r="V1112" s="343"/>
    </row>
    <row r="1113" spans="1:22" s="364" customFormat="1" ht="12.75" customHeight="1" x14ac:dyDescent="0.25">
      <c r="A1113" s="729"/>
      <c r="B1113" s="302"/>
      <c r="C1113" s="302"/>
      <c r="D1113" s="1820"/>
      <c r="E1113" s="2818" t="str">
        <f>Translations!$B$586</f>
        <v>Получен отпаден газ</v>
      </c>
      <c r="F1113" s="2701"/>
      <c r="G1113" s="1326" t="str">
        <f>EUconst_TJpa</f>
        <v>TJ / година</v>
      </c>
      <c r="H1113" s="482" t="str">
        <f>IF($I1012="","",IF(INDEX(F_ProductBM!H:H,MATCH($P1113,F_ProductBM!$Q:$Q,0))="","",INDEX(F_ProductBM!H:H,MATCH($P1113,F_ProductBM!$Q:$Q,0))))</f>
        <v/>
      </c>
      <c r="I1113" s="1824" t="str">
        <f>IF($I1012="","",IF(INDEX(F_ProductBM!I:I,MATCH($P1113,F_ProductBM!$Q:$Q,0))="","",INDEX(F_ProductBM!I:I,MATCH($P1113,F_ProductBM!$Q:$Q,0))))</f>
        <v/>
      </c>
      <c r="J1113" s="1825" t="str">
        <f>IF($I1012="","",IF(INDEX(F_ProductBM!J:J,MATCH($P1113,F_ProductBM!$Q:$Q,0))="","",INDEX(F_ProductBM!J:J,MATCH($P1113,F_ProductBM!$Q:$Q,0))))</f>
        <v/>
      </c>
      <c r="K1113" s="482" t="str">
        <f>IF($I1012="","",IF(INDEX(F_ProductBM!K:K,MATCH($P1113,F_ProductBM!$Q:$Q,0))="","",INDEX(F_ProductBM!K:K,MATCH($P1113,F_ProductBM!$Q:$Q,0))))</f>
        <v/>
      </c>
      <c r="L1113" s="482" t="str">
        <f>IF($I1012="","",IF(INDEX(F_ProductBM!L:L,MATCH($P1113,F_ProductBM!$Q:$Q,0))="","",INDEX(F_ProductBM!L:L,MATCH($P1113,F_ProductBM!$Q:$Q,0))))</f>
        <v/>
      </c>
      <c r="M1113" s="482" t="str">
        <f>IF($I1012="","",IF(INDEX(F_ProductBM!M:M,MATCH($P1113,F_ProductBM!$Q:$Q,0))="","",INDEX(F_ProductBM!M:M,MATCH($P1113,F_ProductBM!$Q:$Q,0))))</f>
        <v/>
      </c>
      <c r="N1113" s="1826" t="str">
        <f>IF($I1012="","",IF(INDEX(F_ProductBM!N:N,MATCH($P1113,F_ProductBM!$Q:$Q,0))="","",INDEX(F_ProductBM!N:N,MATCH($P1113,F_ProductBM!$Q:$Q,0))))</f>
        <v/>
      </c>
      <c r="O1113" s="698"/>
      <c r="P1113" s="1500" t="str">
        <f>EUconst_CNTR_WGImport &amp; I1012</f>
        <v>WasteGasIm_</v>
      </c>
      <c r="Q1113" s="729"/>
      <c r="R1113" s="729"/>
      <c r="S1113" s="729"/>
      <c r="T1113" s="770"/>
      <c r="U1113" s="343"/>
      <c r="V1113" s="343"/>
    </row>
    <row r="1114" spans="1:22" s="364" customFormat="1" ht="12.75" customHeight="1" x14ac:dyDescent="0.25">
      <c r="A1114" s="729"/>
      <c r="B1114" s="302"/>
      <c r="C1114" s="302"/>
      <c r="D1114" s="1820"/>
      <c r="E1114" s="1834" t="str">
        <f>Translations!$B$587</f>
        <v>Специфичен EF (получен отпаден газ)</v>
      </c>
      <c r="F1114" s="1834"/>
      <c r="G1114" s="639" t="str">
        <f>EUconst_tCO2pTJ</f>
        <v>t CO2 / TJ</v>
      </c>
      <c r="H1114" s="484" t="str">
        <f>IF($I1012="","",IF(INDEX(F_ProductBM!H:H,MATCH($P1114,F_ProductBM!$Q:$Q,0))="","",INDEX(F_ProductBM!H:H,MATCH($P1114,F_ProductBM!$Q:$Q,0))))</f>
        <v/>
      </c>
      <c r="I1114" s="1828" t="str">
        <f>IF($I1012="","",IF(INDEX(F_ProductBM!I:I,MATCH($P1114,F_ProductBM!$Q:$Q,0))="","",INDEX(F_ProductBM!I:I,MATCH($P1114,F_ProductBM!$Q:$Q,0))))</f>
        <v/>
      </c>
      <c r="J1114" s="1829" t="str">
        <f>IF($I1012="","",IF(INDEX(F_ProductBM!J:J,MATCH($P1114,F_ProductBM!$Q:$Q,0))="","",INDEX(F_ProductBM!J:J,MATCH($P1114,F_ProductBM!$Q:$Q,0))))</f>
        <v/>
      </c>
      <c r="K1114" s="484" t="str">
        <f>IF($I1012="","",IF(INDEX(F_ProductBM!K:K,MATCH($P1114,F_ProductBM!$Q:$Q,0))="","",INDEX(F_ProductBM!K:K,MATCH($P1114,F_ProductBM!$Q:$Q,0))))</f>
        <v/>
      </c>
      <c r="L1114" s="484" t="str">
        <f>IF($I1012="","",IF(INDEX(F_ProductBM!L:L,MATCH($P1114,F_ProductBM!$Q:$Q,0))="","",INDEX(F_ProductBM!L:L,MATCH($P1114,F_ProductBM!$Q:$Q,0))))</f>
        <v/>
      </c>
      <c r="M1114" s="484" t="str">
        <f>IF($I1012="","",IF(INDEX(F_ProductBM!M:M,MATCH($P1114,F_ProductBM!$Q:$Q,0))="","",INDEX(F_ProductBM!M:M,MATCH($P1114,F_ProductBM!$Q:$Q,0))))</f>
        <v/>
      </c>
      <c r="N1114" s="1830" t="str">
        <f>IF($I1012="","",IF(INDEX(F_ProductBM!N:N,MATCH($P1114,F_ProductBM!$Q:$Q,0))="","",INDEX(F_ProductBM!N:N,MATCH($P1114,F_ProductBM!$Q:$Q,0))))</f>
        <v/>
      </c>
      <c r="O1114" s="698"/>
      <c r="P1114" s="1500" t="str">
        <f>EUconst_CNTR_WGImportEF &amp; I1012</f>
        <v>WasteGasImEF_</v>
      </c>
      <c r="Q1114" s="729"/>
      <c r="R1114" s="729"/>
      <c r="S1114" s="729"/>
      <c r="T1114" s="770"/>
      <c r="U1114" s="343"/>
      <c r="V1114" s="343"/>
    </row>
    <row r="1115" spans="1:22" s="364" customFormat="1" ht="12.75" customHeight="1" x14ac:dyDescent="0.25">
      <c r="A1115" s="729"/>
      <c r="B1115" s="302"/>
      <c r="C1115" s="302"/>
      <c r="D1115" s="1820"/>
      <c r="E1115" s="2818" t="str">
        <f>Translations!$B$591</f>
        <v>Подаден отпаден газ</v>
      </c>
      <c r="F1115" s="2701"/>
      <c r="G1115" s="1326" t="str">
        <f>EUconst_TJpa</f>
        <v>TJ / година</v>
      </c>
      <c r="H1115" s="482" t="str">
        <f>IF($I1012="","",IF(INDEX(F_ProductBM!H:H,MATCH($P1115,F_ProductBM!$Q:$Q,0))="","",INDEX(F_ProductBM!H:H,MATCH($P1115,F_ProductBM!$Q:$Q,0))))</f>
        <v/>
      </c>
      <c r="I1115" s="1824" t="str">
        <f>IF($I1012="","",IF(INDEX(F_ProductBM!I:I,MATCH($P1115,F_ProductBM!$Q:$Q,0))="","",INDEX(F_ProductBM!I:I,MATCH($P1115,F_ProductBM!$Q:$Q,0))))</f>
        <v/>
      </c>
      <c r="J1115" s="1825" t="str">
        <f>IF($I1012="","",IF(INDEX(F_ProductBM!J:J,MATCH($P1115,F_ProductBM!$Q:$Q,0))="","",INDEX(F_ProductBM!J:J,MATCH($P1115,F_ProductBM!$Q:$Q,0))))</f>
        <v/>
      </c>
      <c r="K1115" s="482" t="str">
        <f>IF($I1012="","",IF(INDEX(F_ProductBM!K:K,MATCH($P1115,F_ProductBM!$Q:$Q,0))="","",INDEX(F_ProductBM!K:K,MATCH($P1115,F_ProductBM!$Q:$Q,0))))</f>
        <v/>
      </c>
      <c r="L1115" s="482" t="str">
        <f>IF($I1012="","",IF(INDEX(F_ProductBM!L:L,MATCH($P1115,F_ProductBM!$Q:$Q,0))="","",INDEX(F_ProductBM!L:L,MATCH($P1115,F_ProductBM!$Q:$Q,0))))</f>
        <v/>
      </c>
      <c r="M1115" s="482" t="str">
        <f>IF($I1012="","",IF(INDEX(F_ProductBM!M:M,MATCH($P1115,F_ProductBM!$Q:$Q,0))="","",INDEX(F_ProductBM!M:M,MATCH($P1115,F_ProductBM!$Q:$Q,0))))</f>
        <v/>
      </c>
      <c r="N1115" s="1826" t="str">
        <f>IF($I1012="","",IF(INDEX(F_ProductBM!N:N,MATCH($P1115,F_ProductBM!$Q:$Q,0))="","",INDEX(F_ProductBM!N:N,MATCH($P1115,F_ProductBM!$Q:$Q,0))))</f>
        <v/>
      </c>
      <c r="O1115" s="698"/>
      <c r="P1115" s="1500" t="str">
        <f>EUconst_CNTR_WGExport &amp; I1012</f>
        <v>WasteGasEx_</v>
      </c>
      <c r="Q1115" s="729"/>
      <c r="R1115" s="729"/>
      <c r="S1115" s="729"/>
      <c r="T1115" s="770"/>
      <c r="U1115" s="343"/>
      <c r="V1115" s="343"/>
    </row>
    <row r="1116" spans="1:22" s="364" customFormat="1" ht="12.75" customHeight="1" x14ac:dyDescent="0.25">
      <c r="A1116" s="729"/>
      <c r="B1116" s="302"/>
      <c r="C1116" s="302"/>
      <c r="D1116" s="1820"/>
      <c r="E1116" s="2819" t="str">
        <f>Translations!$B$592</f>
        <v>Специфичен EF (подаден отпаден газ)</v>
      </c>
      <c r="F1116" s="2705"/>
      <c r="G1116" s="639" t="str">
        <f>EUconst_tCO2pTJ</f>
        <v>t CO2 / TJ</v>
      </c>
      <c r="H1116" s="484" t="str">
        <f>IF($I1012="","",IF(INDEX(F_ProductBM!H:H,MATCH($P1116,F_ProductBM!$Q:$Q,0))="","",INDEX(F_ProductBM!H:H,MATCH($P1116,F_ProductBM!$Q:$Q,0))))</f>
        <v/>
      </c>
      <c r="I1116" s="1828" t="str">
        <f>IF($I1012="","",IF(INDEX(F_ProductBM!I:I,MATCH($P1116,F_ProductBM!$Q:$Q,0))="","",INDEX(F_ProductBM!I:I,MATCH($P1116,F_ProductBM!$Q:$Q,0))))</f>
        <v/>
      </c>
      <c r="J1116" s="1829" t="str">
        <f>IF($I1012="","",IF(INDEX(F_ProductBM!J:J,MATCH($P1116,F_ProductBM!$Q:$Q,0))="","",INDEX(F_ProductBM!J:J,MATCH($P1116,F_ProductBM!$Q:$Q,0))))</f>
        <v/>
      </c>
      <c r="K1116" s="484" t="str">
        <f>IF($I1012="","",IF(INDEX(F_ProductBM!K:K,MATCH($P1116,F_ProductBM!$Q:$Q,0))="","",INDEX(F_ProductBM!K:K,MATCH($P1116,F_ProductBM!$Q:$Q,0))))</f>
        <v/>
      </c>
      <c r="L1116" s="484" t="str">
        <f>IF($I1012="","",IF(INDEX(F_ProductBM!L:L,MATCH($P1116,F_ProductBM!$Q:$Q,0))="","",INDEX(F_ProductBM!L:L,MATCH($P1116,F_ProductBM!$Q:$Q,0))))</f>
        <v/>
      </c>
      <c r="M1116" s="484" t="str">
        <f>IF($I1012="","",IF(INDEX(F_ProductBM!M:M,MATCH($P1116,F_ProductBM!$Q:$Q,0))="","",INDEX(F_ProductBM!M:M,MATCH($P1116,F_ProductBM!$Q:$Q,0))))</f>
        <v/>
      </c>
      <c r="N1116" s="1830" t="str">
        <f>IF($I1012="","",IF(INDEX(F_ProductBM!N:N,MATCH($P1116,F_ProductBM!$Q:$Q,0))="","",INDEX(F_ProductBM!N:N,MATCH($P1116,F_ProductBM!$Q:$Q,0))))</f>
        <v/>
      </c>
      <c r="O1116" s="698"/>
      <c r="P1116" s="1500" t="str">
        <f>EUconst_CNTR_WGExportEF &amp; I1012</f>
        <v>WasteGasExEF_</v>
      </c>
      <c r="Q1116" s="729"/>
      <c r="R1116" s="729"/>
      <c r="S1116" s="729"/>
      <c r="T1116" s="770"/>
      <c r="U1116" s="343"/>
      <c r="V1116" s="343"/>
    </row>
    <row r="1117" spans="1:22" s="364" customFormat="1" ht="5.15" customHeight="1" x14ac:dyDescent="0.25">
      <c r="A1117" s="729"/>
      <c r="B1117" s="302"/>
      <c r="C1117" s="302"/>
      <c r="D1117" s="1820"/>
      <c r="E1117" s="643"/>
      <c r="F1117" s="643"/>
      <c r="G1117" s="625"/>
      <c r="H1117" s="640"/>
      <c r="I1117" s="640"/>
      <c r="J1117" s="640"/>
      <c r="K1117" s="640"/>
      <c r="L1117" s="640"/>
      <c r="M1117" s="640"/>
      <c r="N1117" s="1831"/>
      <c r="O1117" s="698"/>
      <c r="P1117" s="770"/>
      <c r="Q1117" s="729"/>
      <c r="R1117" s="729"/>
      <c r="S1117" s="729"/>
      <c r="T1117" s="770"/>
      <c r="U1117" s="343"/>
      <c r="V1117" s="343"/>
    </row>
    <row r="1118" spans="1:22" s="364" customFormat="1" ht="12.75" customHeight="1" x14ac:dyDescent="0.25">
      <c r="A1118" s="729"/>
      <c r="B1118" s="302"/>
      <c r="C1118" s="302"/>
      <c r="D1118" s="1820"/>
      <c r="E1118" s="2820" t="str">
        <f>Translations!$B$485</f>
        <v>Съответно потребление на електроенергия</v>
      </c>
      <c r="F1118" s="2258"/>
      <c r="G1118" s="1319" t="str">
        <f>EUconst_MWhpa</f>
        <v>MWh / година</v>
      </c>
      <c r="H1118" s="480" t="str">
        <f>IF($I1012="","",IF(INDEX(F_ProductBM!H:H,MATCH($P1118,F_ProductBM!$Q:$Q,0))="","",INDEX(F_ProductBM!H:H,MATCH($P1118,F_ProductBM!$Q:$Q,0))))</f>
        <v/>
      </c>
      <c r="I1118" s="1399" t="str">
        <f>IF($I1012="","",IF(INDEX(F_ProductBM!I:I,MATCH($P1118,F_ProductBM!$Q:$Q,0))="","",INDEX(F_ProductBM!I:I,MATCH($P1118,F_ProductBM!$Q:$Q,0))))</f>
        <v/>
      </c>
      <c r="J1118" s="1832" t="str">
        <f>IF($I1012="","",IF(INDEX(F_ProductBM!J:J,MATCH($P1118,F_ProductBM!$Q:$Q,0))="","",INDEX(F_ProductBM!J:J,MATCH($P1118,F_ProductBM!$Q:$Q,0))))</f>
        <v/>
      </c>
      <c r="K1118" s="480" t="str">
        <f>IF($I1012="","",IF(INDEX(F_ProductBM!K:K,MATCH($P1118,F_ProductBM!$Q:$Q,0))="","",INDEX(F_ProductBM!K:K,MATCH($P1118,F_ProductBM!$Q:$Q,0))))</f>
        <v/>
      </c>
      <c r="L1118" s="480" t="str">
        <f>IF($I1012="","",IF(INDEX(F_ProductBM!L:L,MATCH($P1118,F_ProductBM!$Q:$Q,0))="","",INDEX(F_ProductBM!L:L,MATCH($P1118,F_ProductBM!$Q:$Q,0))))</f>
        <v/>
      </c>
      <c r="M1118" s="480" t="str">
        <f>IF($I1012="","",IF(INDEX(F_ProductBM!M:M,MATCH($P1118,F_ProductBM!$Q:$Q,0))="","",INDEX(F_ProductBM!M:M,MATCH($P1118,F_ProductBM!$Q:$Q,0))))</f>
        <v/>
      </c>
      <c r="N1118" s="1833" t="str">
        <f>IF($I1012="","",IF(INDEX(F_ProductBM!N:N,MATCH($P1118,F_ProductBM!$Q:$Q,0))="","",INDEX(F_ProductBM!N:N,MATCH($P1118,F_ProductBM!$Q:$Q,0))))</f>
        <v/>
      </c>
      <c r="O1118" s="698"/>
      <c r="P1118" s="1190" t="str">
        <f>EUconst_CNTR_HAL&amp;EUconst_CNTR_ELEXCH &amp; I1012</f>
        <v>HAL_ELEXCH_</v>
      </c>
      <c r="Q1118" s="729"/>
      <c r="R1118" s="729"/>
      <c r="S1118" s="729"/>
      <c r="T1118" s="770"/>
      <c r="U1118" s="343"/>
      <c r="V1118" s="343"/>
    </row>
    <row r="1119" spans="1:22" s="364" customFormat="1" ht="12.75" customHeight="1" x14ac:dyDescent="0.25">
      <c r="A1119" s="729"/>
      <c r="B1119" s="302"/>
      <c r="C1119" s="302"/>
      <c r="D1119" s="1820"/>
      <c r="E1119" s="2820" t="str">
        <f>Translations!$B$595</f>
        <v>Произведена електроенергия</v>
      </c>
      <c r="F1119" s="2258"/>
      <c r="G1119" s="1319" t="str">
        <f>EUconst_MWhpa</f>
        <v>MWh / година</v>
      </c>
      <c r="H1119" s="480" t="str">
        <f>IF($I1012="","",IF(INDEX(F_ProductBM!H:H,MATCH($P1119,F_ProductBM!$Q:$Q,0))="","",INDEX(F_ProductBM!H:H,MATCH($P1119,F_ProductBM!$Q:$Q,0))))</f>
        <v/>
      </c>
      <c r="I1119" s="1399" t="str">
        <f>IF($I1012="","",IF(INDEX(F_ProductBM!I:I,MATCH($P1119,F_ProductBM!$Q:$Q,0))="","",INDEX(F_ProductBM!I:I,MATCH($P1119,F_ProductBM!$Q:$Q,0))))</f>
        <v/>
      </c>
      <c r="J1119" s="1832" t="str">
        <f>IF($I1012="","",IF(INDEX(F_ProductBM!J:J,MATCH($P1119,F_ProductBM!$Q:$Q,0))="","",INDEX(F_ProductBM!J:J,MATCH($P1119,F_ProductBM!$Q:$Q,0))))</f>
        <v/>
      </c>
      <c r="K1119" s="480" t="str">
        <f>IF($I1012="","",IF(INDEX(F_ProductBM!K:K,MATCH($P1119,F_ProductBM!$Q:$Q,0))="","",INDEX(F_ProductBM!K:K,MATCH($P1119,F_ProductBM!$Q:$Q,0))))</f>
        <v/>
      </c>
      <c r="L1119" s="480" t="str">
        <f>IF($I1012="","",IF(INDEX(F_ProductBM!L:L,MATCH($P1119,F_ProductBM!$Q:$Q,0))="","",INDEX(F_ProductBM!L:L,MATCH($P1119,F_ProductBM!$Q:$Q,0))))</f>
        <v/>
      </c>
      <c r="M1119" s="480" t="str">
        <f>IF($I1012="","",IF(INDEX(F_ProductBM!M:M,MATCH($P1119,F_ProductBM!$Q:$Q,0))="","",INDEX(F_ProductBM!M:M,MATCH($P1119,F_ProductBM!$Q:$Q,0))))</f>
        <v/>
      </c>
      <c r="N1119" s="1833" t="str">
        <f>IF($I1012="","",IF(INDEX(F_ProductBM!N:N,MATCH($P1119,F_ProductBM!$Q:$Q,0))="","",INDEX(F_ProductBM!N:N,MATCH($P1119,F_ProductBM!$Q:$Q,0))))</f>
        <v/>
      </c>
      <c r="O1119" s="698"/>
      <c r="P1119" s="1500" t="str">
        <f>EUconst_CNTR_ElectricityExported &amp; I1012</f>
        <v>ElecEx_</v>
      </c>
      <c r="Q1119" s="729"/>
      <c r="R1119" s="729"/>
      <c r="S1119" s="729"/>
      <c r="T1119" s="770"/>
      <c r="U1119" s="343"/>
      <c r="V1119" s="343"/>
    </row>
    <row r="1120" spans="1:22" s="364" customFormat="1" ht="5.15" customHeight="1" x14ac:dyDescent="0.25">
      <c r="A1120" s="729"/>
      <c r="B1120" s="302"/>
      <c r="C1120" s="302"/>
      <c r="D1120" s="1820"/>
      <c r="E1120" s="643"/>
      <c r="F1120" s="643"/>
      <c r="G1120" s="625"/>
      <c r="H1120" s="640"/>
      <c r="I1120" s="640"/>
      <c r="J1120" s="640"/>
      <c r="K1120" s="640"/>
      <c r="L1120" s="640"/>
      <c r="M1120" s="640"/>
      <c r="N1120" s="1831"/>
      <c r="O1120" s="698"/>
      <c r="P1120" s="770"/>
      <c r="Q1120" s="729"/>
      <c r="R1120" s="729"/>
      <c r="S1120" s="729"/>
      <c r="T1120" s="770"/>
      <c r="U1120" s="343"/>
      <c r="V1120" s="343"/>
    </row>
    <row r="1121" spans="1:22" s="364" customFormat="1" x14ac:dyDescent="0.25">
      <c r="A1121" s="729"/>
      <c r="B1121" s="302"/>
      <c r="C1121" s="302"/>
      <c r="D1121" s="1820"/>
      <c r="E1121" s="3059" t="str">
        <f>Translations!$B$957</f>
        <v>Междинно получаване:</v>
      </c>
      <c r="F1121" s="2672"/>
      <c r="G1121" s="625"/>
      <c r="H1121" s="640"/>
      <c r="I1121" s="640"/>
      <c r="J1121" s="640"/>
      <c r="K1121" s="640"/>
      <c r="L1121" s="640"/>
      <c r="M1121" s="640"/>
      <c r="N1121" s="1831"/>
      <c r="O1121" s="698"/>
      <c r="P1121" s="770"/>
      <c r="Q1121" s="729"/>
      <c r="R1121" s="729"/>
      <c r="S1121" s="729"/>
      <c r="T1121" s="770"/>
      <c r="U1121" s="343"/>
      <c r="V1121" s="343"/>
    </row>
    <row r="1122" spans="1:22" s="364" customFormat="1" x14ac:dyDescent="0.25">
      <c r="A1122" s="729"/>
      <c r="B1122" s="302"/>
      <c r="C1122" s="302"/>
      <c r="D1122" s="1820"/>
      <c r="E1122" s="2814" t="str">
        <f>IF(I1012="","",IF(INDEX(F_ProductBM!E:E,MATCH($P1122,F_ProductBM!$Q:$Q,0))="","",INDEX(F_ProductBM!E:E,MATCH($P1122,F_ProductBM!$Q:$Q,0))))</f>
        <v/>
      </c>
      <c r="F1122" s="2258"/>
      <c r="G1122" s="1319" t="str">
        <f>EUconst_Tons</f>
        <v>тона</v>
      </c>
      <c r="H1122" s="480" t="str">
        <f>IF($I1012="","",IF(INDEX(F_ProductBM!H:H,MATCH($P1122,F_ProductBM!$Q:$Q,0))="","",INDEX(F_ProductBM!H:H,MATCH($P1122,F_ProductBM!$Q:$Q,0))))</f>
        <v/>
      </c>
      <c r="I1122" s="1399" t="str">
        <f>IF($I1012="","",IF(INDEX(F_ProductBM!I:I,MATCH($P1122,F_ProductBM!$Q:$Q,0))="","",INDEX(F_ProductBM!I:I,MATCH($P1122,F_ProductBM!$Q:$Q,0))))</f>
        <v/>
      </c>
      <c r="J1122" s="1832" t="str">
        <f>IF($I1012="","",IF(INDEX(F_ProductBM!J:J,MATCH($P1122,F_ProductBM!$Q:$Q,0))="","",INDEX(F_ProductBM!J:J,MATCH($P1122,F_ProductBM!$Q:$Q,0))))</f>
        <v/>
      </c>
      <c r="K1122" s="480" t="str">
        <f>IF($I1012="","",IF(INDEX(F_ProductBM!K:K,MATCH($P1122,F_ProductBM!$Q:$Q,0))="","",INDEX(F_ProductBM!K:K,MATCH($P1122,F_ProductBM!$Q:$Q,0))))</f>
        <v/>
      </c>
      <c r="L1122" s="480" t="str">
        <f>IF($I1012="","",IF(INDEX(F_ProductBM!L:L,MATCH($P1122,F_ProductBM!$Q:$Q,0))="","",INDEX(F_ProductBM!L:L,MATCH($P1122,F_ProductBM!$Q:$Q,0))))</f>
        <v/>
      </c>
      <c r="M1122" s="480" t="str">
        <f>IF($I1012="","",IF(INDEX(F_ProductBM!M:M,MATCH($P1122,F_ProductBM!$Q:$Q,0))="","",INDEX(F_ProductBM!M:M,MATCH($P1122,F_ProductBM!$Q:$Q,0))))</f>
        <v/>
      </c>
      <c r="N1122" s="1833" t="str">
        <f>IF($I1012="","",IF(INDEX(F_ProductBM!N:N,MATCH($P1122,F_ProductBM!$Q:$Q,0))="","",INDEX(F_ProductBM!N:N,MATCH($P1122,F_ProductBM!$Q:$Q,0))))</f>
        <v/>
      </c>
      <c r="O1122" s="698"/>
      <c r="P1122" s="1500" t="str">
        <f>EUconst_CNTR_IntermediateImport &amp; R1122 &amp; "_" &amp; I1012</f>
        <v>IntImp_1_</v>
      </c>
      <c r="Q1122" s="729"/>
      <c r="R1122" s="1176">
        <v>1</v>
      </c>
      <c r="S1122" s="729"/>
      <c r="T1122" s="770"/>
      <c r="U1122" s="343"/>
      <c r="V1122" s="343"/>
    </row>
    <row r="1123" spans="1:22" s="364" customFormat="1" x14ac:dyDescent="0.25">
      <c r="A1123" s="729"/>
      <c r="B1123" s="302"/>
      <c r="C1123" s="302"/>
      <c r="D1123" s="1820"/>
      <c r="E1123" s="2814" t="str">
        <f>IF(I1012="","",IF(INDEX(F_ProductBM!E:E,MATCH($P1123,F_ProductBM!$Q:$Q,0))="","",INDEX(F_ProductBM!E:E,MATCH($P1123,F_ProductBM!$Q:$Q,0))))</f>
        <v/>
      </c>
      <c r="F1123" s="2258"/>
      <c r="G1123" s="1319" t="str">
        <f>EUconst_Tons</f>
        <v>тона</v>
      </c>
      <c r="H1123" s="480" t="str">
        <f>IF($I1012="","",IF(INDEX(F_ProductBM!H:H,MATCH($P1123,F_ProductBM!$Q:$Q,0))="","",INDEX(F_ProductBM!H:H,MATCH($P1123,F_ProductBM!$Q:$Q,0))))</f>
        <v/>
      </c>
      <c r="I1123" s="1399" t="str">
        <f>IF($I1012="","",IF(INDEX(F_ProductBM!I:I,MATCH($P1123,F_ProductBM!$Q:$Q,0))="","",INDEX(F_ProductBM!I:I,MATCH($P1123,F_ProductBM!$Q:$Q,0))))</f>
        <v/>
      </c>
      <c r="J1123" s="1832" t="str">
        <f>IF($I1012="","",IF(INDEX(F_ProductBM!J:J,MATCH($P1123,F_ProductBM!$Q:$Q,0))="","",INDEX(F_ProductBM!J:J,MATCH($P1123,F_ProductBM!$Q:$Q,0))))</f>
        <v/>
      </c>
      <c r="K1123" s="480" t="str">
        <f>IF($I1012="","",IF(INDEX(F_ProductBM!K:K,MATCH($P1123,F_ProductBM!$Q:$Q,0))="","",INDEX(F_ProductBM!K:K,MATCH($P1123,F_ProductBM!$Q:$Q,0))))</f>
        <v/>
      </c>
      <c r="L1123" s="480" t="str">
        <f>IF($I1012="","",IF(INDEX(F_ProductBM!L:L,MATCH($P1123,F_ProductBM!$Q:$Q,0))="","",INDEX(F_ProductBM!L:L,MATCH($P1123,F_ProductBM!$Q:$Q,0))))</f>
        <v/>
      </c>
      <c r="M1123" s="480" t="str">
        <f>IF($I1012="","",IF(INDEX(F_ProductBM!M:M,MATCH($P1123,F_ProductBM!$Q:$Q,0))="","",INDEX(F_ProductBM!M:M,MATCH($P1123,F_ProductBM!$Q:$Q,0))))</f>
        <v/>
      </c>
      <c r="N1123" s="1833" t="str">
        <f>IF($I1012="","",IF(INDEX(F_ProductBM!N:N,MATCH($P1123,F_ProductBM!$Q:$Q,0))="","",INDEX(F_ProductBM!N:N,MATCH($P1123,F_ProductBM!$Q:$Q,0))))</f>
        <v/>
      </c>
      <c r="O1123" s="698"/>
      <c r="P1123" s="1500" t="str">
        <f>EUconst_CNTR_IntermediateImport &amp; R1123 &amp; "_" &amp; I1012</f>
        <v>IntImp_2_</v>
      </c>
      <c r="Q1123" s="729"/>
      <c r="R1123" s="1176">
        <v>2</v>
      </c>
      <c r="S1123" s="729"/>
      <c r="T1123" s="770"/>
      <c r="U1123" s="343"/>
      <c r="V1123" s="343"/>
    </row>
    <row r="1124" spans="1:22" s="364" customFormat="1" x14ac:dyDescent="0.25">
      <c r="A1124" s="729"/>
      <c r="B1124" s="302"/>
      <c r="C1124" s="302"/>
      <c r="D1124" s="1820"/>
      <c r="E1124" s="2820" t="str">
        <f>Translations!$B$958</f>
        <v>Междинно подаване:</v>
      </c>
      <c r="F1124" s="2258"/>
      <c r="G1124" s="625"/>
      <c r="H1124" s="640"/>
      <c r="I1124" s="640"/>
      <c r="J1124" s="640"/>
      <c r="K1124" s="640"/>
      <c r="L1124" s="640"/>
      <c r="M1124" s="640"/>
      <c r="N1124" s="1831"/>
      <c r="O1124" s="698"/>
      <c r="P1124" s="770"/>
      <c r="Q1124" s="729"/>
      <c r="R1124" s="729"/>
      <c r="S1124" s="729"/>
      <c r="T1124" s="770"/>
      <c r="U1124" s="343"/>
      <c r="V1124" s="343"/>
    </row>
    <row r="1125" spans="1:22" s="364" customFormat="1" x14ac:dyDescent="0.25">
      <c r="A1125" s="729"/>
      <c r="B1125" s="302"/>
      <c r="C1125" s="302"/>
      <c r="D1125" s="1820"/>
      <c r="E1125" s="2814" t="str">
        <f>IF(I1012="","",IF(INDEX(F_ProductBM!E:E,MATCH($P1125,F_ProductBM!$Q:$Q,0))="","",INDEX(F_ProductBM!E:E,MATCH($P1125,F_ProductBM!$Q:$Q,0))))</f>
        <v/>
      </c>
      <c r="F1125" s="2258"/>
      <c r="G1125" s="1319" t="str">
        <f>EUconst_Tons</f>
        <v>тона</v>
      </c>
      <c r="H1125" s="480" t="str">
        <f>IF($I1012="","",IF(INDEX(F_ProductBM!H:H,MATCH($P1125,F_ProductBM!$Q:$Q,0))="","",INDEX(F_ProductBM!H:H,MATCH($P1125,F_ProductBM!$Q:$Q,0))))</f>
        <v/>
      </c>
      <c r="I1125" s="1399" t="str">
        <f>IF($I1012="","",IF(INDEX(F_ProductBM!I:I,MATCH($P1125,F_ProductBM!$Q:$Q,0))="","",INDEX(F_ProductBM!I:I,MATCH($P1125,F_ProductBM!$Q:$Q,0))))</f>
        <v/>
      </c>
      <c r="J1125" s="1832" t="str">
        <f>IF($I1012="","",IF(INDEX(F_ProductBM!J:J,MATCH($P1125,F_ProductBM!$Q:$Q,0))="","",INDEX(F_ProductBM!J:J,MATCH($P1125,F_ProductBM!$Q:$Q,0))))</f>
        <v/>
      </c>
      <c r="K1125" s="480" t="str">
        <f>IF($I1012="","",IF(INDEX(F_ProductBM!K:K,MATCH($P1125,F_ProductBM!$Q:$Q,0))="","",INDEX(F_ProductBM!K:K,MATCH($P1125,F_ProductBM!$Q:$Q,0))))</f>
        <v/>
      </c>
      <c r="L1125" s="480" t="str">
        <f>IF($I1012="","",IF(INDEX(F_ProductBM!L:L,MATCH($P1125,F_ProductBM!$Q:$Q,0))="","",INDEX(F_ProductBM!L:L,MATCH($P1125,F_ProductBM!$Q:$Q,0))))</f>
        <v/>
      </c>
      <c r="M1125" s="480" t="str">
        <f>IF($I1012="","",IF(INDEX(F_ProductBM!M:M,MATCH($P1125,F_ProductBM!$Q:$Q,0))="","",INDEX(F_ProductBM!M:M,MATCH($P1125,F_ProductBM!$Q:$Q,0))))</f>
        <v/>
      </c>
      <c r="N1125" s="1833" t="str">
        <f>IF($I1012="","",IF(INDEX(F_ProductBM!N:N,MATCH($P1125,F_ProductBM!$Q:$Q,0))="","",INDEX(F_ProductBM!N:N,MATCH($P1125,F_ProductBM!$Q:$Q,0))))</f>
        <v/>
      </c>
      <c r="O1125" s="698"/>
      <c r="P1125" s="1500" t="str">
        <f>EUconst_CNTR_IntermediateExport &amp; R1122 &amp; "_" &amp; I1012</f>
        <v>IntExp_1_</v>
      </c>
      <c r="Q1125" s="729"/>
      <c r="R1125" s="1176">
        <v>1</v>
      </c>
      <c r="S1125" s="729"/>
      <c r="T1125" s="770"/>
      <c r="U1125" s="343"/>
      <c r="V1125" s="343"/>
    </row>
    <row r="1126" spans="1:22" s="364" customFormat="1" x14ac:dyDescent="0.25">
      <c r="A1126" s="729"/>
      <c r="B1126" s="302"/>
      <c r="C1126" s="302"/>
      <c r="D1126" s="1820"/>
      <c r="E1126" s="2814" t="str">
        <f>IF(I1012="","",IF(INDEX(F_ProductBM!E:E,MATCH($P1126,F_ProductBM!$Q:$Q,0))="","",INDEX(F_ProductBM!E:E,MATCH($P1126,F_ProductBM!$Q:$Q,0))))</f>
        <v/>
      </c>
      <c r="F1126" s="2258"/>
      <c r="G1126" s="1319" t="str">
        <f>EUconst_Tons</f>
        <v>тона</v>
      </c>
      <c r="H1126" s="480" t="str">
        <f>IF($I1012="","",IF(INDEX(F_ProductBM!H:H,MATCH($P1126,F_ProductBM!$Q:$Q,0))="","",INDEX(F_ProductBM!H:H,MATCH($P1126,F_ProductBM!$Q:$Q,0))))</f>
        <v/>
      </c>
      <c r="I1126" s="1399" t="str">
        <f>IF($I1012="","",IF(INDEX(F_ProductBM!I:I,MATCH($P1126,F_ProductBM!$Q:$Q,0))="","",INDEX(F_ProductBM!I:I,MATCH($P1126,F_ProductBM!$Q:$Q,0))))</f>
        <v/>
      </c>
      <c r="J1126" s="1832" t="str">
        <f>IF($I1012="","",IF(INDEX(F_ProductBM!J:J,MATCH($P1126,F_ProductBM!$Q:$Q,0))="","",INDEX(F_ProductBM!J:J,MATCH($P1126,F_ProductBM!$Q:$Q,0))))</f>
        <v/>
      </c>
      <c r="K1126" s="480" t="str">
        <f>IF($I1012="","",IF(INDEX(F_ProductBM!K:K,MATCH($P1126,F_ProductBM!$Q:$Q,0))="","",INDEX(F_ProductBM!K:K,MATCH($P1126,F_ProductBM!$Q:$Q,0))))</f>
        <v/>
      </c>
      <c r="L1126" s="480" t="str">
        <f>IF($I1012="","",IF(INDEX(F_ProductBM!L:L,MATCH($P1126,F_ProductBM!$Q:$Q,0))="","",INDEX(F_ProductBM!L:L,MATCH($P1126,F_ProductBM!$Q:$Q,0))))</f>
        <v/>
      </c>
      <c r="M1126" s="480" t="str">
        <f>IF($I1012="","",IF(INDEX(F_ProductBM!M:M,MATCH($P1126,F_ProductBM!$Q:$Q,0))="","",INDEX(F_ProductBM!M:M,MATCH($P1126,F_ProductBM!$Q:$Q,0))))</f>
        <v/>
      </c>
      <c r="N1126" s="1833" t="str">
        <f>IF($I1012="","",IF(INDEX(F_ProductBM!N:N,MATCH($P1126,F_ProductBM!$Q:$Q,0))="","",INDEX(F_ProductBM!N:N,MATCH($P1126,F_ProductBM!$Q:$Q,0))))</f>
        <v/>
      </c>
      <c r="O1126" s="698"/>
      <c r="P1126" s="1500" t="str">
        <f>EUconst_CNTR_IntermediateExport &amp; R1126 &amp; "_" &amp; I1012</f>
        <v>IntExp_2_</v>
      </c>
      <c r="Q1126" s="729"/>
      <c r="R1126" s="1176">
        <v>2</v>
      </c>
      <c r="S1126" s="729"/>
      <c r="T1126" s="770"/>
      <c r="U1126" s="343"/>
      <c r="V1126" s="343"/>
    </row>
    <row r="1127" spans="1:22" s="364" customFormat="1" ht="5.15" customHeight="1" x14ac:dyDescent="0.25">
      <c r="A1127" s="729"/>
      <c r="B1127" s="302"/>
      <c r="C1127" s="302"/>
      <c r="D1127" s="1820"/>
      <c r="E1127" s="625"/>
      <c r="F1127" s="625"/>
      <c r="G1127" s="625"/>
      <c r="H1127" s="625"/>
      <c r="I1127" s="644"/>
      <c r="J1127" s="644"/>
      <c r="K1127" s="644"/>
      <c r="L1127" s="644"/>
      <c r="M1127" s="644"/>
      <c r="N1127" s="1316"/>
      <c r="O1127" s="698"/>
      <c r="P1127" s="770"/>
      <c r="Q1127" s="729"/>
      <c r="R1127" s="1165"/>
      <c r="S1127" s="729"/>
      <c r="T1127" s="770"/>
      <c r="U1127" s="343"/>
      <c r="V1127" s="343"/>
    </row>
    <row r="1128" spans="1:22" s="364" customFormat="1" ht="13" x14ac:dyDescent="0.25">
      <c r="A1128" s="729"/>
      <c r="B1128" s="302"/>
      <c r="C1128" s="302"/>
      <c r="D1128" s="1820"/>
      <c r="E1128" s="3060" t="str">
        <f>Translations!$B$1585</f>
        <v>Корекции за актуализиране на показателя при специфичен показател, когато е приложимо</v>
      </c>
      <c r="F1128" s="3060"/>
      <c r="G1128" s="3060"/>
      <c r="H1128" s="3060"/>
      <c r="I1128" s="3060"/>
      <c r="J1128" s="3060"/>
      <c r="K1128" s="3060"/>
      <c r="L1128" s="3060"/>
      <c r="M1128" s="3060"/>
      <c r="N1128" s="1316"/>
      <c r="O1128" s="698"/>
      <c r="P1128" s="770"/>
      <c r="Q1128" s="729"/>
      <c r="R1128" s="1165"/>
      <c r="S1128" s="729"/>
      <c r="T1128" s="770"/>
      <c r="U1128" s="343"/>
      <c r="V1128" s="343"/>
    </row>
    <row r="1129" spans="1:22" s="364" customFormat="1" x14ac:dyDescent="0.25">
      <c r="A1129" s="729"/>
      <c r="B1129" s="302"/>
      <c r="C1129" s="302"/>
      <c r="D1129" s="1820"/>
      <c r="E1129" s="641" t="str">
        <f>Translations!$B$596</f>
        <v>Общо количество произведен пулп</v>
      </c>
      <c r="F1129" s="1835"/>
      <c r="G1129" s="642" t="str">
        <f>EUconst_Tons</f>
        <v>тона</v>
      </c>
      <c r="H1129" s="499" t="str">
        <f>IF($I1012="","",IF(INDEX(F_ProductBM!H:H,MATCH($P1129,F_ProductBM!$Q:$Q,0))="","",INDEX(F_ProductBM!H:H,MATCH($P1129,F_ProductBM!$Q:$Q,0))))</f>
        <v/>
      </c>
      <c r="I1129" s="1399" t="str">
        <f>IF($I1012="","",IF(INDEX(F_ProductBM!I:I,MATCH($P1129,F_ProductBM!$Q:$Q,0))="","",INDEX(F_ProductBM!I:I,MATCH($P1129,F_ProductBM!$Q:$Q,0))))</f>
        <v/>
      </c>
      <c r="J1129" s="1832" t="str">
        <f>IF($I1012="","",IF(INDEX(F_ProductBM!J:J,MATCH($P1129,F_ProductBM!$Q:$Q,0))="","",INDEX(F_ProductBM!J:J,MATCH($P1129,F_ProductBM!$Q:$Q,0))))</f>
        <v/>
      </c>
      <c r="K1129" s="499" t="str">
        <f>IF($I1012="","",IF(INDEX(F_ProductBM!K:K,MATCH($P1129,F_ProductBM!$Q:$Q,0))="","",INDEX(F_ProductBM!K:K,MATCH($P1129,F_ProductBM!$Q:$Q,0))))</f>
        <v/>
      </c>
      <c r="L1129" s="499" t="str">
        <f>IF($I1012="","",IF(INDEX(F_ProductBM!L:L,MATCH($P1129,F_ProductBM!$Q:$Q,0))="","",INDEX(F_ProductBM!L:L,MATCH($P1129,F_ProductBM!$Q:$Q,0))))</f>
        <v/>
      </c>
      <c r="M1129" s="499" t="str">
        <f>IF($I1012="","",IF(INDEX(F_ProductBM!M:M,MATCH($P1129,F_ProductBM!$Q:$Q,0))="","",INDEX(F_ProductBM!M:M,MATCH($P1129,F_ProductBM!$Q:$Q,0))))</f>
        <v/>
      </c>
      <c r="N1129" s="1836" t="str">
        <f>IF($I1012="","",IF(INDEX(F_ProductBM!N:N,MATCH($P1129,F_ProductBM!$Q:$Q,0))="","",INDEX(F_ProductBM!N:N,MATCH($P1129,F_ProductBM!$Q:$Q,0))))</f>
        <v/>
      </c>
      <c r="O1129" s="698"/>
      <c r="P1129" s="1500" t="str">
        <f>EUconst_CNTR_HALPulpTotal &amp;  I1012</f>
        <v>HALPulpTotal_</v>
      </c>
      <c r="Q1129" s="729"/>
      <c r="R1129" s="729"/>
      <c r="S1129" s="729"/>
      <c r="T1129" s="770"/>
      <c r="U1129" s="343"/>
      <c r="V1129" s="343"/>
    </row>
    <row r="1130" spans="1:22" s="364" customFormat="1" ht="5.15" customHeight="1" x14ac:dyDescent="0.25">
      <c r="A1130" s="729"/>
      <c r="B1130" s="302"/>
      <c r="C1130" s="302"/>
      <c r="D1130" s="1820"/>
      <c r="E1130" s="625"/>
      <c r="F1130" s="625"/>
      <c r="G1130" s="625"/>
      <c r="H1130" s="644"/>
      <c r="I1130" s="644"/>
      <c r="J1130" s="644"/>
      <c r="K1130" s="644"/>
      <c r="L1130" s="644"/>
      <c r="M1130" s="644"/>
      <c r="N1130" s="1837"/>
      <c r="O1130" s="698"/>
      <c r="P1130" s="770"/>
      <c r="Q1130" s="729"/>
      <c r="R1130" s="729"/>
      <c r="S1130" s="729"/>
      <c r="T1130" s="770"/>
      <c r="U1130" s="343"/>
      <c r="V1130" s="343"/>
    </row>
    <row r="1131" spans="1:22" s="364" customFormat="1" ht="12.75" customHeight="1" x14ac:dyDescent="0.25">
      <c r="A1131" s="729"/>
      <c r="B1131" s="302"/>
      <c r="C1131" s="302"/>
      <c r="D1131" s="1820"/>
      <c r="E1131" s="641" t="str">
        <f>Translations!$B$1586</f>
        <v>Производство на водород (действително + теоретично)</v>
      </c>
      <c r="F1131" s="1835"/>
      <c r="G1131" s="642" t="str">
        <f>EUconst_Tons</f>
        <v>тона</v>
      </c>
      <c r="H1131" s="499" t="str">
        <f>IF($L1015=$R1131,SUMIFS(H_SpecialBM!H:H,H_SpecialBM!$Q:$Q,$P1131),"")</f>
        <v/>
      </c>
      <c r="I1131" s="1399" t="str">
        <f>IF($L1015=$R1131,SUMIFS(H_SpecialBM!I:I,H_SpecialBM!$Q:$Q,$P1131),"")</f>
        <v/>
      </c>
      <c r="J1131" s="1832" t="str">
        <f>IF($L1015=$R1131,SUMIFS(H_SpecialBM!J:J,H_SpecialBM!$Q:$Q,$P1131),"")</f>
        <v/>
      </c>
      <c r="K1131" s="499" t="str">
        <f>IF($L1015=$R1131,SUMIFS(H_SpecialBM!K:K,H_SpecialBM!$Q:$Q,$P1131),"")</f>
        <v/>
      </c>
      <c r="L1131" s="499" t="str">
        <f>IF($L1015=$R1131,SUMIFS(H_SpecialBM!L:L,H_SpecialBM!$Q:$Q,$P1131),"")</f>
        <v/>
      </c>
      <c r="M1131" s="499" t="str">
        <f>IF($L1015=$R1131,SUMIFS(H_SpecialBM!M:M,H_SpecialBM!$Q:$Q,$P1131),"")</f>
        <v/>
      </c>
      <c r="N1131" s="1836" t="str">
        <f>IF($L1015=$R1131,SUMIFS(H_SpecialBM!N:N,H_SpecialBM!$Q:$Q,$P1131),"")</f>
        <v/>
      </c>
      <c r="O1131" s="698"/>
      <c r="P1131" s="1190" t="str">
        <f>EUconst_CNTR_H2ActualPlusTheoretical</f>
        <v>H2Total_</v>
      </c>
      <c r="Q1131" s="729"/>
      <c r="R1131" s="1176">
        <v>50</v>
      </c>
      <c r="S1131" s="729"/>
      <c r="T1131" s="770"/>
      <c r="U1131" s="343"/>
      <c r="V1131" s="343"/>
    </row>
    <row r="1132" spans="1:22" s="364" customFormat="1" x14ac:dyDescent="0.25">
      <c r="A1132" s="729"/>
      <c r="B1132" s="302"/>
      <c r="C1132" s="302"/>
      <c r="D1132" s="1820"/>
      <c r="E1132" s="641" t="str">
        <f>Translations!$B$1587</f>
        <v>Емисии във връзка с водород</v>
      </c>
      <c r="F1132" s="1835"/>
      <c r="G1132" s="642" t="str">
        <f>EUconst_tCO2pa</f>
        <v>t CO2 / година</v>
      </c>
      <c r="H1132" s="499" t="str">
        <f>IF($L1015=$R1132,SUMIFS(H_SpecialBM!H:H,H_SpecialBM!$Q:$Q,$P1132),"")</f>
        <v/>
      </c>
      <c r="I1132" s="1399" t="str">
        <f>IF($L1015=$R1132,SUMIFS(H_SpecialBM!I:I,H_SpecialBM!$Q:$Q,$P1132),"")</f>
        <v/>
      </c>
      <c r="J1132" s="1832" t="str">
        <f>IF($L1015=$R1132,SUMIFS(H_SpecialBM!J:J,H_SpecialBM!$Q:$Q,$P1132),"")</f>
        <v/>
      </c>
      <c r="K1132" s="499" t="str">
        <f>IF($L1015=$R1132,SUMIFS(H_SpecialBM!K:K,H_SpecialBM!$Q:$Q,$P1132),"")</f>
        <v/>
      </c>
      <c r="L1132" s="499" t="str">
        <f>IF($L1015=$R1132,SUMIFS(H_SpecialBM!L:L,H_SpecialBM!$Q:$Q,$P1132),"")</f>
        <v/>
      </c>
      <c r="M1132" s="499" t="str">
        <f>IF($L1015=$R1132,SUMIFS(H_SpecialBM!M:M,H_SpecialBM!$Q:$Q,$P1132),"")</f>
        <v/>
      </c>
      <c r="N1132" s="1836" t="str">
        <f>IF($L1015=$R1132,SUMIFS(H_SpecialBM!N:N,H_SpecialBM!$Q:$Q,$P1132),"")</f>
        <v/>
      </c>
      <c r="O1132" s="698"/>
      <c r="P1132" s="1190" t="str">
        <f>EUconst_CNTR_H2AdditionalEmissions</f>
        <v>H2AddEm_</v>
      </c>
      <c r="Q1132" s="729"/>
      <c r="R1132" s="1176">
        <v>50</v>
      </c>
      <c r="S1132" s="729"/>
      <c r="T1132" s="770"/>
      <c r="U1132" s="343"/>
      <c r="V1132" s="343"/>
    </row>
    <row r="1133" spans="1:22" s="364" customFormat="1" ht="5.15" customHeight="1" x14ac:dyDescent="0.25">
      <c r="A1133" s="729"/>
      <c r="B1133" s="302"/>
      <c r="C1133" s="302"/>
      <c r="D1133" s="1820"/>
      <c r="E1133" s="625"/>
      <c r="F1133" s="625"/>
      <c r="G1133" s="625"/>
      <c r="H1133" s="644"/>
      <c r="I1133" s="644"/>
      <c r="J1133" s="644"/>
      <c r="K1133" s="644"/>
      <c r="L1133" s="644"/>
      <c r="M1133" s="644"/>
      <c r="N1133" s="1837"/>
      <c r="O1133" s="698"/>
      <c r="P1133" s="729"/>
      <c r="Q1133" s="729"/>
      <c r="R1133" s="729"/>
      <c r="S1133" s="729"/>
      <c r="T1133" s="770"/>
      <c r="U1133" s="343"/>
      <c r="V1133" s="343"/>
    </row>
    <row r="1134" spans="1:22" s="364" customFormat="1" x14ac:dyDescent="0.25">
      <c r="A1134" s="729"/>
      <c r="B1134" s="302"/>
      <c r="C1134" s="302"/>
      <c r="D1134" s="1820"/>
      <c r="E1134" s="641" t="str">
        <f>Translations!$B$1588</f>
        <v>Корекция на емисиите във връзка с HVC</v>
      </c>
      <c r="F1134" s="1835"/>
      <c r="G1134" s="642" t="str">
        <f>EUconst_tCO2pa</f>
        <v>t CO2 / година</v>
      </c>
      <c r="H1134" s="499" t="str">
        <f>IF($L1015=$R1134,-SUMIFS(H_SpecialBM!H:H,H_SpecialBM!$Q:$Q,$P1134),"")</f>
        <v/>
      </c>
      <c r="I1134" s="1399" t="str">
        <f>IF($L1015=$R1134,-SUMIFS(H_SpecialBM!I:I,H_SpecialBM!$Q:$Q,$P1134),"")</f>
        <v/>
      </c>
      <c r="J1134" s="1832" t="str">
        <f>IF($L1015=$R1134,-SUMIFS(H_SpecialBM!J:J,H_SpecialBM!$Q:$Q,$P1134),"")</f>
        <v/>
      </c>
      <c r="K1134" s="499" t="str">
        <f>IF($L1015=$R1134,-SUMIFS(H_SpecialBM!K:K,H_SpecialBM!$Q:$Q,$P1134),"")</f>
        <v/>
      </c>
      <c r="L1134" s="499" t="str">
        <f>IF($L1015=$R1134,-SUMIFS(H_SpecialBM!L:L,H_SpecialBM!$Q:$Q,$P1134),"")</f>
        <v/>
      </c>
      <c r="M1134" s="499" t="str">
        <f>IF($L1015=$R1134,-SUMIFS(H_SpecialBM!M:M,H_SpecialBM!$Q:$Q,$P1134),"")</f>
        <v/>
      </c>
      <c r="N1134" s="1836" t="str">
        <f>IF($L1015=$R1134,-SUMIFS(H_SpecialBM!N:N,H_SpecialBM!$Q:$Q,$P1134),"")</f>
        <v/>
      </c>
      <c r="O1134" s="698"/>
      <c r="P1134" s="1500" t="str">
        <f>EUconst_CNTR_HVC</f>
        <v>HVC_</v>
      </c>
      <c r="Q1134" s="729"/>
      <c r="R1134" s="1176">
        <v>42</v>
      </c>
      <c r="S1134" s="729"/>
      <c r="T1134" s="770"/>
      <c r="U1134" s="343"/>
      <c r="V1134" s="343"/>
    </row>
    <row r="1135" spans="1:22" s="364" customFormat="1" ht="5.15" customHeight="1" x14ac:dyDescent="0.25">
      <c r="A1135" s="729"/>
      <c r="B1135" s="302"/>
      <c r="C1135" s="302"/>
      <c r="D1135" s="1820"/>
      <c r="E1135" s="625"/>
      <c r="F1135" s="625"/>
      <c r="G1135" s="625"/>
      <c r="H1135" s="644"/>
      <c r="I1135" s="644"/>
      <c r="J1135" s="644"/>
      <c r="K1135" s="644"/>
      <c r="L1135" s="644"/>
      <c r="M1135" s="644"/>
      <c r="N1135" s="1837"/>
      <c r="O1135" s="698"/>
      <c r="P1135" s="770"/>
      <c r="Q1135" s="729"/>
      <c r="R1135" s="729"/>
      <c r="S1135" s="729"/>
      <c r="T1135" s="770"/>
      <c r="U1135" s="343"/>
      <c r="V1135" s="343"/>
    </row>
    <row r="1136" spans="1:22" s="364" customFormat="1" ht="12.75" customHeight="1" x14ac:dyDescent="0.25">
      <c r="A1136" s="729"/>
      <c r="B1136" s="302"/>
      <c r="C1136" s="302"/>
      <c r="D1136" s="1820"/>
      <c r="E1136" s="641" t="str">
        <f>Translations!$B$1589</f>
        <v>Корекция на емисиите във връзка с VCM</v>
      </c>
      <c r="F1136" s="1835"/>
      <c r="G1136" s="642" t="str">
        <f>EUconst_tCO2pa</f>
        <v>t CO2 / година</v>
      </c>
      <c r="H1136" s="499" t="str">
        <f>IF($L1015=$R1136,INDEX(H_SpecialBM!H:H,MATCH($P1136,H_SpecialBM!$Q:$Q,0)-2),"")</f>
        <v/>
      </c>
      <c r="I1136" s="1399" t="str">
        <f>IF($L1015=$R1136,INDEX(H_SpecialBM!I:I,MATCH($P1136,H_SpecialBM!$Q:$Q,0)-2),"")</f>
        <v/>
      </c>
      <c r="J1136" s="1832" t="str">
        <f>IF($L1015=$R1136,INDEX(H_SpecialBM!J:J,MATCH($P1136,H_SpecialBM!$Q:$Q,0)-2),"")</f>
        <v/>
      </c>
      <c r="K1136" s="499" t="str">
        <f>IF($L1015=$R1136,INDEX(H_SpecialBM!K:K,MATCH($P1136,H_SpecialBM!$Q:$Q,0)-2),"")</f>
        <v/>
      </c>
      <c r="L1136" s="499" t="str">
        <f>IF($L1015=$R1136,INDEX(H_SpecialBM!L:L,MATCH($P1136,H_SpecialBM!$Q:$Q,0)-2),"")</f>
        <v/>
      </c>
      <c r="M1136" s="499" t="str">
        <f>IF($L1015=$R1136,INDEX(H_SpecialBM!M:M,MATCH($P1136,H_SpecialBM!$Q:$Q,0)-2),"")</f>
        <v/>
      </c>
      <c r="N1136" s="1836" t="str">
        <f>IF($L1015=$R1136,INDEX(H_SpecialBM!N:N,MATCH($P1136,H_SpecialBM!$Q:$Q,0)-2),"")</f>
        <v/>
      </c>
      <c r="O1136" s="698"/>
      <c r="P1136" s="1190" t="str">
        <f>EUconst_CNTR_VCM</f>
        <v>VCM_</v>
      </c>
      <c r="Q1136" s="729"/>
      <c r="R1136" s="1176">
        <v>47</v>
      </c>
      <c r="S1136" s="729"/>
      <c r="T1136" s="770"/>
      <c r="U1136" s="343"/>
      <c r="V1136" s="343"/>
    </row>
    <row r="1137" spans="1:22" s="364" customFormat="1" ht="12.75" customHeight="1" thickBot="1" x14ac:dyDescent="0.3">
      <c r="A1137" s="729"/>
      <c r="B1137" s="302"/>
      <c r="C1137" s="302"/>
      <c r="D1137" s="1838"/>
      <c r="E1137" s="1839"/>
      <c r="F1137" s="1839"/>
      <c r="G1137" s="1839"/>
      <c r="H1137" s="1839"/>
      <c r="I1137" s="1840"/>
      <c r="J1137" s="1840"/>
      <c r="K1137" s="1840"/>
      <c r="L1137" s="1840"/>
      <c r="M1137" s="1840"/>
      <c r="N1137" s="1379"/>
      <c r="O1137" s="698"/>
      <c r="P1137" s="729"/>
      <c r="Q1137" s="729"/>
      <c r="R1137" s="1165"/>
      <c r="S1137" s="729"/>
      <c r="T1137" s="770"/>
      <c r="U1137" s="343"/>
      <c r="V1137" s="343"/>
    </row>
    <row r="1138" spans="1:22" s="364" customFormat="1" ht="12.75" customHeight="1" thickBot="1" x14ac:dyDescent="0.3">
      <c r="A1138" s="729"/>
      <c r="B1138" s="302"/>
      <c r="C1138" s="302"/>
      <c r="D1138" s="302"/>
      <c r="E1138" s="646"/>
      <c r="O1138" s="698"/>
      <c r="P1138" s="729"/>
      <c r="Q1138" s="729"/>
      <c r="R1138" s="729"/>
      <c r="S1138" s="729"/>
      <c r="T1138" s="729"/>
      <c r="U1138" s="343"/>
      <c r="V1138" s="343"/>
    </row>
    <row r="1139" spans="1:22" s="364" customFormat="1" ht="5.15" customHeight="1" thickBot="1" x14ac:dyDescent="0.3">
      <c r="A1139" s="729"/>
      <c r="B1139" s="284"/>
      <c r="C1139" s="581"/>
      <c r="D1139" s="581"/>
      <c r="E1139" s="581"/>
      <c r="F1139" s="581"/>
      <c r="G1139" s="581"/>
      <c r="H1139" s="581"/>
      <c r="I1139" s="581"/>
      <c r="J1139" s="581"/>
      <c r="K1139" s="581"/>
      <c r="L1139" s="581"/>
      <c r="M1139" s="581"/>
      <c r="N1139" s="581"/>
      <c r="O1139" s="698"/>
      <c r="P1139" s="729"/>
      <c r="Q1139" s="729"/>
      <c r="R1139" s="729"/>
      <c r="S1139" s="729"/>
      <c r="T1139" s="729"/>
      <c r="U1139" s="343"/>
      <c r="V1139" s="343"/>
    </row>
    <row r="1140" spans="1:22" s="364" customFormat="1" ht="15" customHeight="1" thickBot="1" x14ac:dyDescent="0.35">
      <c r="A1140" s="729"/>
      <c r="B1140" s="302"/>
      <c r="C1140" s="357">
        <f>C1012+1</f>
        <v>6</v>
      </c>
      <c r="D1140" s="2323" t="str">
        <f>CONCATENATE(EUconst_BMSubinst," ",C1140, ":")</f>
        <v>Подинсталация с продуктов показател 6:</v>
      </c>
      <c r="E1140" s="2323"/>
      <c r="F1140" s="2323"/>
      <c r="G1140" s="2323"/>
      <c r="H1140" s="2987"/>
      <c r="I1140" s="2843" t="str">
        <f>IF(INDEX(CNTR_SubInstListIsProdBM,$C1140),INDEX(CNTR_SubInstListNames,$C1140),"")</f>
        <v/>
      </c>
      <c r="J1140" s="3019"/>
      <c r="K1140" s="3019"/>
      <c r="L1140" s="3019"/>
      <c r="M1140" s="3019"/>
      <c r="N1140" s="3020"/>
      <c r="O1140" s="698"/>
      <c r="P1140" s="729"/>
      <c r="Q1140" s="1684">
        <f>C1140</f>
        <v>6</v>
      </c>
      <c r="R1140" s="1685" t="str">
        <f>I1140</f>
        <v/>
      </c>
      <c r="S1140" s="729"/>
      <c r="T1140" s="729"/>
      <c r="U1140" s="343"/>
      <c r="V1140" s="343"/>
    </row>
    <row r="1141" spans="1:22" s="364" customFormat="1" ht="5.15" customHeight="1" x14ac:dyDescent="0.3">
      <c r="A1141" s="729"/>
      <c r="B1141" s="302"/>
      <c r="C1141" s="357"/>
      <c r="D1141" s="357"/>
      <c r="E1141" s="357"/>
      <c r="F1141" s="357"/>
      <c r="G1141" s="357"/>
      <c r="H1141" s="357"/>
      <c r="I1141" s="357"/>
      <c r="J1141" s="357"/>
      <c r="K1141" s="357"/>
      <c r="L1141" s="357"/>
      <c r="M1141" s="357"/>
      <c r="N1141" s="357"/>
      <c r="O1141" s="698"/>
      <c r="P1141" s="729"/>
      <c r="Q1141" s="729"/>
      <c r="R1141" s="729"/>
      <c r="S1141" s="729"/>
      <c r="T1141" s="729"/>
      <c r="U1141" s="343"/>
      <c r="V1141" s="343"/>
    </row>
    <row r="1142" spans="1:22" s="364" customFormat="1" ht="12.75" customHeight="1" x14ac:dyDescent="0.3">
      <c r="A1142" s="729"/>
      <c r="B1142" s="302"/>
      <c r="C1142" s="357"/>
      <c r="D1142" s="357"/>
      <c r="E1142" s="357"/>
      <c r="F1142" s="357"/>
      <c r="H1142" s="595" t="str">
        <f>Translations!$B$942</f>
        <v>Риск от ИВЕ</v>
      </c>
      <c r="I1142" s="595" t="s">
        <v>2151</v>
      </c>
      <c r="J1142" s="595" t="str">
        <f>Translations!$B$946</f>
        <v>В/Е</v>
      </c>
      <c r="K1142" s="595" t="str">
        <f>Translations!$B$1360</f>
        <v>Спряна експлоатация</v>
      </c>
      <c r="L1142" s="654" t="str">
        <f>Translations!$B$944</f>
        <v>№ на п-л</v>
      </c>
      <c r="M1142" s="2991" t="str">
        <f>Translations!$B$948</f>
        <v>Стойност на п-л</v>
      </c>
      <c r="N1142" s="2991"/>
      <c r="O1142" s="698"/>
      <c r="P1142" s="729"/>
      <c r="Q1142" s="729"/>
      <c r="R1142" s="1176" t="str">
        <f>Translations!$B$944</f>
        <v>№ на п-л</v>
      </c>
      <c r="S1142" s="729"/>
      <c r="T1142" s="1686"/>
      <c r="U1142" s="343"/>
      <c r="V1142" s="343"/>
    </row>
    <row r="1143" spans="1:22" s="364" customFormat="1" ht="12.75" customHeight="1" x14ac:dyDescent="0.3">
      <c r="A1143" s="729"/>
      <c r="B1143" s="302"/>
      <c r="C1143" s="357"/>
      <c r="D1143" s="357"/>
      <c r="E1143" s="361" t="str">
        <f>I1140</f>
        <v/>
      </c>
      <c r="F1143" s="373"/>
      <c r="G1143" s="373"/>
      <c r="H1143" s="600" t="str">
        <f>IF(L1143=EUconst_NA,EUconst_NA,INDEX(EUconst_BMlistCLstatus,MATCH(L1143,EUconst_BMlistMainNumberOfBM,0)))</f>
        <v>Не е приложимо</v>
      </c>
      <c r="I1143" s="600" t="str">
        <f>IF(R1143=EUconst_NA,EUconst_NA,INDEX(EUconst_BMlistCBAMstatus,MATCH(R1143,EUconst_BMlistNumberOfBM,0)))</f>
        <v>Не е приложимо</v>
      </c>
      <c r="J1143" s="655" t="str">
        <f>IF($I1140="",EUconst_NA,INDEX(CNTR_SubInstStartDate,MATCH(I1140,CNTR_SubInstListNames,0)))</f>
        <v>Не е приложимо</v>
      </c>
      <c r="K1143" s="655" t="str">
        <f>IF($I1140="",EUconst_NA,IF(INDEX(CNTR_SubInstCessationDate,MATCH(I1140,CNTR_SubInstListNames,0))=0,"",INDEX(CNTR_SubInstCessationDate,MATCH(I1140,CNTR_SubInstListNames,0))))</f>
        <v>Не е приложимо</v>
      </c>
      <c r="L1143" s="1687" t="str">
        <f>IF($I1140="",EUconst_NA,INDEX(EUconst_BMlistMainNumberOfBM,MATCH(I1140,EUconst_BMlistNames,0)))</f>
        <v>Не е приложимо</v>
      </c>
      <c r="M1143" s="1688" t="str">
        <f>IF(I1140="",EUconst_NA,INDEX(EUconst_BMlistBMvaluesMatrix,MATCH(L1143,EUconst_BMlistMainNumberOfBM,0),3))</f>
        <v>Не е приложимо</v>
      </c>
      <c r="N1143" s="382" t="str">
        <f>EUconst_EUA &amp; "/" &amp; F1146</f>
        <v>Квота за емисии/тона</v>
      </c>
      <c r="O1143" s="698"/>
      <c r="P1143" s="729"/>
      <c r="Q1143" s="729"/>
      <c r="R1143" s="1176" t="str">
        <f>IF($I1140="",EUconst_NA,INDEX(EUconst_BMlistNumberOfBM,MATCH(I1140,EUconst_BMlistNames,0)))</f>
        <v>Не е приложимо</v>
      </c>
      <c r="S1143" s="729"/>
      <c r="T1143" s="1174" t="s">
        <v>1735</v>
      </c>
      <c r="U1143" s="1176">
        <f>IF(SUM(K1143)=0,2050,YEAR(K1143))</f>
        <v>2050</v>
      </c>
      <c r="V1143" s="343"/>
    </row>
    <row r="1144" spans="1:22" s="364" customFormat="1" ht="5.15" customHeight="1" thickBot="1" x14ac:dyDescent="0.35">
      <c r="A1144" s="729"/>
      <c r="B1144" s="302"/>
      <c r="C1144" s="302"/>
      <c r="D1144" s="302"/>
      <c r="E1144" s="357"/>
      <c r="J1144" s="302"/>
      <c r="K1144" s="302"/>
      <c r="L1144" s="302"/>
      <c r="M1144" s="302"/>
      <c r="N1144" s="302"/>
      <c r="O1144" s="698"/>
      <c r="P1144" s="729"/>
      <c r="Q1144" s="729"/>
      <c r="R1144" s="729"/>
      <c r="S1144" s="729"/>
      <c r="T1144" s="770"/>
      <c r="U1144" s="343"/>
      <c r="V1144" s="343"/>
    </row>
    <row r="1145" spans="1:22" s="364" customFormat="1" ht="12.75" customHeight="1" x14ac:dyDescent="0.25">
      <c r="A1145" s="729"/>
      <c r="B1145" s="302"/>
      <c r="C1145" s="302"/>
      <c r="D1145" s="302"/>
      <c r="E1145" s="313"/>
      <c r="F1145" s="300" t="str">
        <f>EUconst_Unit</f>
        <v>Единица мярка</v>
      </c>
      <c r="G1145" s="1689" t="str">
        <f>Translations!$B$1284</f>
        <v>HAL</v>
      </c>
      <c r="H1145" s="757">
        <f t="shared" ref="H1145:N1145" si="94">H$2505</f>
        <v>2024</v>
      </c>
      <c r="I1145" s="572">
        <f t="shared" si="94"/>
        <v>2025</v>
      </c>
      <c r="J1145" s="757">
        <f t="shared" si="94"/>
        <v>2026</v>
      </c>
      <c r="K1145" s="391">
        <f t="shared" si="94"/>
        <v>2027</v>
      </c>
      <c r="L1145" s="391">
        <f t="shared" si="94"/>
        <v>2028</v>
      </c>
      <c r="M1145" s="391">
        <f t="shared" si="94"/>
        <v>2029</v>
      </c>
      <c r="N1145" s="391">
        <f t="shared" si="94"/>
        <v>2030</v>
      </c>
      <c r="O1145" s="698"/>
      <c r="P1145" s="729"/>
      <c r="Q1145" s="729" t="s">
        <v>1851</v>
      </c>
      <c r="R1145" s="1690">
        <f>J$2505</f>
        <v>2026</v>
      </c>
      <c r="S1145" s="1691">
        <f>K$2505</f>
        <v>2027</v>
      </c>
      <c r="T1145" s="1691">
        <f>L$2505</f>
        <v>2028</v>
      </c>
      <c r="U1145" s="1691">
        <f>M$2505</f>
        <v>2029</v>
      </c>
      <c r="V1145" s="1692">
        <f>N$2505</f>
        <v>2030</v>
      </c>
    </row>
    <row r="1146" spans="1:22" s="364" customFormat="1" ht="12.75" customHeight="1" thickBot="1" x14ac:dyDescent="0.3">
      <c r="A1146" s="729"/>
      <c r="B1146" s="302"/>
      <c r="C1146" s="302"/>
      <c r="D1146" s="302"/>
      <c r="E1146" s="388" t="str">
        <f>Translations!$B$1371</f>
        <v>Докладвано равнище на дейност</v>
      </c>
      <c r="F1146" s="1062" t="str">
        <f>IF(ISNUMBER(L1143),INDEX(EUconst_BMlistUnits,MATCH(L1143,EUconst_BMlistMainNumberOfBM,0)),EUconst_Tons)</f>
        <v>тона</v>
      </c>
      <c r="G1146" s="1693" t="str">
        <f>I1206</f>
        <v/>
      </c>
      <c r="H1146" s="1694" t="str">
        <f>IF($I1140="","",IF(H1145&gt;=CNTR_ReportingYear,"",INDEX(F_ProductBM!H:H,MATCH($P1146,F_ProductBM!$Q:$Q,0))))</f>
        <v/>
      </c>
      <c r="I1146" s="608" t="str">
        <f>IF($I1140="","",IF(I1145&gt;=CNTR_ReportingYear,"",INDEX(F_ProductBM!I:I,MATCH($P1146,F_ProductBM!$Q:$Q,0))))</f>
        <v/>
      </c>
      <c r="J1146" s="1694" t="str">
        <f>IF($I1140="","",IF(J1145&gt;=CNTR_ReportingYear,"",INDEX(F_ProductBM!J:J,MATCH($P1146,F_ProductBM!$Q:$Q,0))))</f>
        <v/>
      </c>
      <c r="K1146" s="406" t="str">
        <f>IF($I1140="","",IF(K1145&gt;=CNTR_ReportingYear,"",INDEX(F_ProductBM!K:K,MATCH($P1146,F_ProductBM!$Q:$Q,0))))</f>
        <v/>
      </c>
      <c r="L1146" s="406" t="str">
        <f>IF($I1140="","",IF(L1145&gt;=CNTR_ReportingYear,"",INDEX(F_ProductBM!L:L,MATCH($P1146,F_ProductBM!$Q:$Q,0))))</f>
        <v/>
      </c>
      <c r="M1146" s="406" t="str">
        <f>IF($I1140="","",IF(M1145&gt;=CNTR_ReportingYear,"",INDEX(F_ProductBM!M:M,MATCH($P1146,F_ProductBM!$Q:$Q,0))))</f>
        <v/>
      </c>
      <c r="N1146" s="406" t="str">
        <f>IF($I1140="","",IF(N1145&gt;=CNTR_ReportingYear,"",INDEX(F_ProductBM!N:N,MATCH($P1146,F_ProductBM!$Q:$Q,0))))</f>
        <v/>
      </c>
      <c r="O1146" s="698"/>
      <c r="P1146" s="1190" t="str">
        <f>EUconst_CNTR_HAL&amp;I1140</f>
        <v>HAL_</v>
      </c>
      <c r="Q1146" s="729"/>
      <c r="R1146" s="1580" t="b">
        <f>AND($I1140&lt;&gt;"",R1145&lt;=CNTR_ReportingYear,IF($J1143&lt;&gt;EUconst_NA,R1145&gt;=YEAR($J1143),TRUE))</f>
        <v>0</v>
      </c>
      <c r="S1146" s="1255" t="b">
        <f>AND($I1140&lt;&gt;"",S1145&lt;=CNTR_ReportingYear,IF($J1143&lt;&gt;EUconst_NA,S1145&gt;=YEAR($J1143),TRUE))</f>
        <v>0</v>
      </c>
      <c r="T1146" s="1255" t="b">
        <f>AND($I1140&lt;&gt;"",T1145&lt;=CNTR_ReportingYear,IF($J1143&lt;&gt;EUconst_NA,T1145&gt;=YEAR($J1143),TRUE))</f>
        <v>0</v>
      </c>
      <c r="U1146" s="1255" t="b">
        <f>AND($I1140&lt;&gt;"",U1145&lt;=CNTR_ReportingYear,IF($J1143&lt;&gt;EUconst_NA,U1145&gt;=YEAR($J1143),TRUE))</f>
        <v>0</v>
      </c>
      <c r="V1146" s="1256" t="b">
        <f>AND($I1140&lt;&gt;"",V1145&lt;=CNTR_ReportingYear,IF($J1143&lt;&gt;EUconst_NA,V1145&gt;=YEAR($J1143),TRUE))</f>
        <v>0</v>
      </c>
    </row>
    <row r="1147" spans="1:22" s="364" customFormat="1" ht="5.15" customHeight="1" thickBot="1" x14ac:dyDescent="0.35">
      <c r="A1147" s="729"/>
      <c r="B1147" s="302"/>
      <c r="C1147" s="357"/>
      <c r="D1147" s="357"/>
      <c r="E1147" s="357"/>
      <c r="F1147" s="357"/>
      <c r="G1147" s="357"/>
      <c r="H1147" s="357"/>
      <c r="I1147" s="357"/>
      <c r="J1147" s="357"/>
      <c r="K1147" s="357"/>
      <c r="L1147" s="357"/>
      <c r="M1147" s="357"/>
      <c r="N1147" s="357"/>
      <c r="O1147" s="698"/>
      <c r="P1147" s="729"/>
      <c r="Q1147" s="729"/>
      <c r="R1147" s="729"/>
      <c r="S1147" s="729"/>
      <c r="T1147" s="729"/>
      <c r="U1147" s="343"/>
      <c r="V1147" s="343"/>
    </row>
    <row r="1148" spans="1:22" s="364" customFormat="1" ht="5.15" customHeight="1" x14ac:dyDescent="0.3">
      <c r="A1148" s="729"/>
      <c r="B1148" s="302"/>
      <c r="C1148" s="357"/>
      <c r="D1148" s="1695"/>
      <c r="E1148" s="1696"/>
      <c r="F1148" s="1696"/>
      <c r="G1148" s="1696"/>
      <c r="H1148" s="1696"/>
      <c r="I1148" s="1696"/>
      <c r="J1148" s="1696"/>
      <c r="K1148" s="1696"/>
      <c r="L1148" s="1696"/>
      <c r="M1148" s="1696"/>
      <c r="N1148" s="1697"/>
      <c r="O1148" s="698"/>
      <c r="P1148" s="729"/>
      <c r="Q1148" s="729"/>
      <c r="R1148" s="729"/>
      <c r="S1148" s="729"/>
      <c r="T1148" s="729"/>
      <c r="U1148" s="343"/>
      <c r="V1148" s="343"/>
    </row>
    <row r="1149" spans="1:22" s="364" customFormat="1" ht="12.75" customHeight="1" x14ac:dyDescent="0.3">
      <c r="A1149" s="729"/>
      <c r="B1149" s="302"/>
      <c r="C1149" s="357"/>
      <c r="D1149" s="1698"/>
      <c r="E1149" s="389" t="str">
        <f>Translations!$B$1372</f>
        <v>Приложимост на пълзящата средна стойност</v>
      </c>
      <c r="F1149" s="498"/>
      <c r="G1149" s="498"/>
      <c r="H1149" s="527"/>
      <c r="I1149" s="1699"/>
      <c r="J1149" s="1523">
        <f>J$2505</f>
        <v>2026</v>
      </c>
      <c r="K1149" s="387">
        <f>K$2505</f>
        <v>2027</v>
      </c>
      <c r="L1149" s="387">
        <f>L$2505</f>
        <v>2028</v>
      </c>
      <c r="M1149" s="387">
        <f>M$2505</f>
        <v>2029</v>
      </c>
      <c r="N1149" s="1544">
        <f>N$2505</f>
        <v>2030</v>
      </c>
      <c r="O1149" s="698"/>
      <c r="P1149" s="729"/>
      <c r="Q1149" s="729"/>
      <c r="R1149" s="729"/>
      <c r="S1149" s="729"/>
      <c r="T1149" s="729"/>
      <c r="U1149" s="343"/>
      <c r="V1149" s="343"/>
    </row>
    <row r="1150" spans="1:22" s="364" customFormat="1" ht="12.75" customHeight="1" x14ac:dyDescent="0.3">
      <c r="A1150" s="729"/>
      <c r="B1150" s="302"/>
      <c r="C1150" s="357"/>
      <c r="D1150" s="1698"/>
      <c r="E1150" s="1700" t="str">
        <f>Translations!$B$1364</f>
        <v>Критерий 1: В експлоатация &gt; 2 години?</v>
      </c>
      <c r="F1150" s="1701"/>
      <c r="G1150" s="1701"/>
      <c r="H1150" s="1702"/>
      <c r="I1150" s="1701"/>
      <c r="J1150" s="1703" t="str">
        <f>IF(R1146,INDEX(F_ProductBM!V:V,MATCH($P1150,F_ProductBM!$Q:$Q,0))&gt;=3,"")</f>
        <v/>
      </c>
      <c r="K1150" s="1704" t="str">
        <f>IF(S1146,INDEX(F_ProductBM!W:W,MATCH($P1150,F_ProductBM!$Q:$Q,0))&gt;=3,"")</f>
        <v/>
      </c>
      <c r="L1150" s="1704" t="str">
        <f>IF(T1146,INDEX(F_ProductBM!X:X,MATCH($P1150,F_ProductBM!$Q:$Q,0))&gt;=3,"")</f>
        <v/>
      </c>
      <c r="M1150" s="1704" t="str">
        <f>IF(U1146,INDEX(F_ProductBM!Y:Y,MATCH($P1150,F_ProductBM!$Q:$Q,0))&gt;=3,"")</f>
        <v/>
      </c>
      <c r="N1150" s="1705" t="str">
        <f>IF(V1146,INDEX(F_ProductBM!Z:Z,MATCH($P1150,F_ProductBM!$Q:$Q,0))&gt;=3,"")</f>
        <v/>
      </c>
      <c r="O1150" s="698"/>
      <c r="P1150" s="1190" t="str">
        <f>EUconst_CNTR_HALinitial&amp;I1140</f>
        <v>HALini_</v>
      </c>
      <c r="Q1150" s="729"/>
      <c r="R1150" s="729"/>
      <c r="S1150" s="729"/>
      <c r="T1150" s="729"/>
      <c r="U1150" s="343"/>
      <c r="V1150" s="343"/>
    </row>
    <row r="1151" spans="1:22" s="364" customFormat="1" ht="12.75" customHeight="1" x14ac:dyDescent="0.3">
      <c r="A1151" s="729"/>
      <c r="B1151" s="302"/>
      <c r="C1151" s="357"/>
      <c r="D1151" s="1698"/>
      <c r="E1151" s="1706" t="str">
        <f>Translations!$B$1366</f>
        <v>Критерий 2: Не е спряна от експлоатация през предходната година?</v>
      </c>
      <c r="F1151" s="1707"/>
      <c r="G1151" s="1707"/>
      <c r="H1151" s="1708"/>
      <c r="I1151" s="1707"/>
      <c r="J1151" s="1709" t="str">
        <f>IF(R1146,IF($K1143="",2050,YEAR($K1143))&lt;&gt;(J1149-1),"")</f>
        <v/>
      </c>
      <c r="K1151" s="1710" t="str">
        <f>IF(S1146,IF($K1143="",2050,YEAR($K1143))&lt;&gt;(K1149-1),"")</f>
        <v/>
      </c>
      <c r="L1151" s="1710" t="str">
        <f>IF(T1146,IF($K1143="",2050,YEAR($K1143))&lt;&gt;(L1149-1),"")</f>
        <v/>
      </c>
      <c r="M1151" s="1710" t="str">
        <f>IF(U1146,IF($K1143="",2050,YEAR($K1143))&lt;&gt;(M1149-1),"")</f>
        <v/>
      </c>
      <c r="N1151" s="1711" t="str">
        <f>IF(V1146,IF($K1143="",2050,YEAR($K1143))&lt;&gt;(N1149-1),"")</f>
        <v/>
      </c>
      <c r="O1151" s="698"/>
      <c r="P1151" s="729"/>
      <c r="Q1151" s="729"/>
      <c r="R1151" s="729"/>
      <c r="S1151" s="729"/>
      <c r="T1151" s="729"/>
      <c r="U1151" s="343"/>
      <c r="V1151" s="343"/>
    </row>
    <row r="1152" spans="1:22" s="364" customFormat="1" ht="5.15" customHeight="1" x14ac:dyDescent="0.3">
      <c r="A1152" s="729"/>
      <c r="B1152" s="302"/>
      <c r="C1152" s="357"/>
      <c r="D1152" s="1698"/>
      <c r="E1152" s="357"/>
      <c r="F1152" s="357"/>
      <c r="G1152" s="357"/>
      <c r="H1152" s="357"/>
      <c r="I1152" s="357"/>
      <c r="J1152" s="357"/>
      <c r="K1152" s="357"/>
      <c r="L1152" s="357"/>
      <c r="M1152" s="357"/>
      <c r="N1152" s="1712"/>
      <c r="O1152" s="698"/>
      <c r="P1152" s="729"/>
      <c r="Q1152" s="729"/>
      <c r="R1152" s="729"/>
      <c r="S1152" s="729"/>
      <c r="T1152" s="729"/>
      <c r="U1152" s="343"/>
      <c r="V1152" s="343"/>
    </row>
    <row r="1153" spans="1:22" s="364" customFormat="1" ht="12.75" customHeight="1" x14ac:dyDescent="0.3">
      <c r="A1153" s="729"/>
      <c r="B1153" s="302"/>
      <c r="C1153" s="357"/>
      <c r="D1153" s="1698"/>
      <c r="E1153" s="313" t="str">
        <f>Translations!$B$1373</f>
        <v>Промени: Няма промяна (базова стойност)</v>
      </c>
      <c r="F1153" s="302"/>
      <c r="G1153" s="302"/>
      <c r="H1153" s="527" t="str">
        <f>EUconst_Unit</f>
        <v>Единица мярка</v>
      </c>
      <c r="I1153" s="1699"/>
      <c r="J1153" s="757">
        <f>J$2505</f>
        <v>2026</v>
      </c>
      <c r="K1153" s="391">
        <f>K$2505</f>
        <v>2027</v>
      </c>
      <c r="L1153" s="391">
        <f>L$2505</f>
        <v>2028</v>
      </c>
      <c r="M1153" s="391">
        <f>M$2505</f>
        <v>2029</v>
      </c>
      <c r="N1153" s="1713">
        <f>N$2505</f>
        <v>2030</v>
      </c>
      <c r="O1153" s="698"/>
      <c r="P1153" s="729"/>
      <c r="Q1153" s="729"/>
      <c r="R1153" s="729"/>
      <c r="S1153" s="729"/>
      <c r="T1153" s="729"/>
      <c r="U1153" s="343"/>
      <c r="V1153" s="343"/>
    </row>
    <row r="1154" spans="1:22" s="364" customFormat="1" ht="12.75" hidden="1" customHeight="1" x14ac:dyDescent="0.3">
      <c r="A1154" s="729" t="str">
        <f t="shared" ref="A1154:A1158" si="95">IF(P1154="","ausblenden","")</f>
        <v>ausblenden</v>
      </c>
      <c r="B1154" s="302"/>
      <c r="C1154" s="357"/>
      <c r="D1154" s="1698"/>
      <c r="E1154" s="388" t="str">
        <f>Translations!$B$1388</f>
        <v>Равнище на дейност</v>
      </c>
      <c r="F1154" s="388"/>
      <c r="G1154" s="388"/>
      <c r="H1154" s="1210" t="str">
        <f>F1146</f>
        <v>тона</v>
      </c>
      <c r="I1154" s="388"/>
      <c r="J1154" s="1714" t="str">
        <f>IF(T1211&gt;=$H$2505,S1206,I1206)</f>
        <v/>
      </c>
      <c r="K1154" s="1693" t="str">
        <f t="shared" ref="K1154:K1157" si="96">J1206</f>
        <v/>
      </c>
      <c r="L1154" s="1693" t="str">
        <f t="shared" ref="L1154:L1157" si="97">K1206</f>
        <v/>
      </c>
      <c r="M1154" s="1693" t="str">
        <f t="shared" ref="M1154:M1157" si="98">L1206</f>
        <v/>
      </c>
      <c r="N1154" s="1715" t="str">
        <f t="shared" ref="N1154:N1157" si="99">M1206</f>
        <v/>
      </c>
      <c r="O1154" s="698"/>
      <c r="P1154" s="729"/>
      <c r="Q1154" s="729"/>
      <c r="R1154" s="729"/>
      <c r="S1154" s="729"/>
      <c r="T1154" s="729"/>
      <c r="U1154" s="343"/>
      <c r="V1154" s="343"/>
    </row>
    <row r="1155" spans="1:22" s="364" customFormat="1" ht="12.75" hidden="1" customHeight="1" x14ac:dyDescent="0.3">
      <c r="A1155" s="729" t="str">
        <f t="shared" si="95"/>
        <v>ausblenden</v>
      </c>
      <c r="B1155" s="302"/>
      <c r="C1155" s="357"/>
      <c r="D1155" s="1698"/>
      <c r="E1155" s="392" t="str">
        <f>Translations!$B$949</f>
        <v>топл. ен. извън СТЕ</v>
      </c>
      <c r="F1155" s="392"/>
      <c r="G1155" s="392"/>
      <c r="H1155" s="481" t="str">
        <f>EUconst_EUA</f>
        <v>Квота за емисии</v>
      </c>
      <c r="I1155" s="1716"/>
      <c r="J1155" s="1717" t="str">
        <f>IF(T1211&gt;=$H$2505,S1207,I1207)</f>
        <v/>
      </c>
      <c r="K1155" s="1718" t="str">
        <f t="shared" si="96"/>
        <v/>
      </c>
      <c r="L1155" s="1718" t="str">
        <f t="shared" si="97"/>
        <v/>
      </c>
      <c r="M1155" s="1718" t="str">
        <f t="shared" si="98"/>
        <v/>
      </c>
      <c r="N1155" s="1719" t="str">
        <f t="shared" si="99"/>
        <v/>
      </c>
      <c r="O1155" s="698"/>
      <c r="P1155" s="729"/>
      <c r="Q1155" s="729"/>
      <c r="R1155" s="729"/>
      <c r="S1155" s="729"/>
      <c r="T1155" s="729"/>
      <c r="U1155" s="343"/>
      <c r="V1155" s="343"/>
    </row>
    <row r="1156" spans="1:22" s="364" customFormat="1" ht="12.75" hidden="1" customHeight="1" x14ac:dyDescent="0.3">
      <c r="A1156" s="729" t="str">
        <f t="shared" si="95"/>
        <v>ausblenden</v>
      </c>
      <c r="B1156" s="302"/>
      <c r="C1156" s="357"/>
      <c r="D1156" s="1698"/>
      <c r="E1156" s="398" t="str">
        <f>Translations!$B$951</f>
        <v>WGflare</v>
      </c>
      <c r="F1156" s="398"/>
      <c r="G1156" s="398"/>
      <c r="H1156" s="516" t="str">
        <f>EUconst_EUA</f>
        <v>Квота за емисии</v>
      </c>
      <c r="I1156" s="1720"/>
      <c r="J1156" s="1721" t="str">
        <f>IF(T1211&gt;=$H$2505,S1208,I1208)</f>
        <v/>
      </c>
      <c r="K1156" s="1722" t="str">
        <f t="shared" si="96"/>
        <v/>
      </c>
      <c r="L1156" s="1722" t="str">
        <f t="shared" si="97"/>
        <v/>
      </c>
      <c r="M1156" s="1722" t="str">
        <f t="shared" si="98"/>
        <v/>
      </c>
      <c r="N1156" s="1723" t="str">
        <f t="shared" si="99"/>
        <v/>
      </c>
      <c r="O1156" s="698"/>
      <c r="P1156" s="729"/>
      <c r="Q1156" s="729"/>
      <c r="R1156" s="729"/>
      <c r="S1156" s="729"/>
      <c r="T1156" s="729"/>
      <c r="U1156" s="343"/>
      <c r="V1156" s="343"/>
    </row>
    <row r="1157" spans="1:22" s="364" customFormat="1" ht="12.75" hidden="1" customHeight="1" x14ac:dyDescent="0.3">
      <c r="A1157" s="729" t="str">
        <f t="shared" si="95"/>
        <v>ausblenden</v>
      </c>
      <c r="B1157" s="302"/>
      <c r="C1157" s="357"/>
      <c r="D1157" s="1698"/>
      <c r="E1157" s="398" t="s">
        <v>1442</v>
      </c>
      <c r="F1157" s="398"/>
      <c r="G1157" s="398"/>
      <c r="H1157" s="516" t="str">
        <f>EUconst_EUA</f>
        <v>Квота за емисии</v>
      </c>
      <c r="I1157" s="1720"/>
      <c r="J1157" s="1721" t="str">
        <f>IF(T1211&gt;=$H$2505,S1209,I1209)</f>
        <v/>
      </c>
      <c r="K1157" s="1722" t="str">
        <f t="shared" si="96"/>
        <v/>
      </c>
      <c r="L1157" s="1722" t="str">
        <f t="shared" si="97"/>
        <v/>
      </c>
      <c r="M1157" s="1722" t="str">
        <f t="shared" si="98"/>
        <v/>
      </c>
      <c r="N1157" s="1723" t="str">
        <f t="shared" si="99"/>
        <v/>
      </c>
      <c r="O1157" s="698"/>
      <c r="P1157" s="729"/>
      <c r="Q1157" s="729"/>
      <c r="R1157" s="729"/>
      <c r="S1157" s="729"/>
      <c r="T1157" s="729"/>
      <c r="U1157" s="343"/>
      <c r="V1157" s="343"/>
    </row>
    <row r="1158" spans="1:22" s="364" customFormat="1" ht="12.75" hidden="1" customHeight="1" x14ac:dyDescent="0.3">
      <c r="A1158" s="729" t="str">
        <f t="shared" si="95"/>
        <v>ausblenden</v>
      </c>
      <c r="B1158" s="302"/>
      <c r="C1158" s="357"/>
      <c r="D1158" s="1698"/>
      <c r="E1158" s="401" t="s">
        <v>1443</v>
      </c>
      <c r="F1158" s="401"/>
      <c r="G1158" s="401"/>
      <c r="H1158" s="483" t="s">
        <v>1052</v>
      </c>
      <c r="I1158" s="1724"/>
      <c r="J1158" s="1725" t="str">
        <f>IF(T1211&gt;=$H$2505,S1210,I1210)</f>
        <v/>
      </c>
      <c r="K1158" s="1726" t="str">
        <f>J1210</f>
        <v/>
      </c>
      <c r="L1158" s="1726" t="str">
        <f>K1210</f>
        <v/>
      </c>
      <c r="M1158" s="1726" t="str">
        <f>L1210</f>
        <v/>
      </c>
      <c r="N1158" s="1727" t="str">
        <f>M1210</f>
        <v/>
      </c>
      <c r="O1158" s="698"/>
      <c r="P1158" s="729"/>
      <c r="Q1158" s="729"/>
      <c r="R1158" s="729"/>
      <c r="S1158" s="729"/>
      <c r="T1158" s="729"/>
      <c r="U1158" s="343"/>
      <c r="V1158" s="343"/>
    </row>
    <row r="1159" spans="1:22" s="364" customFormat="1" ht="12.75" customHeight="1" x14ac:dyDescent="0.3">
      <c r="A1159" s="729"/>
      <c r="B1159" s="302"/>
      <c r="C1159" s="357"/>
      <c r="D1159" s="1698"/>
      <c r="E1159" s="388" t="str">
        <f>Translations!$B$1374</f>
        <v>Стойност на предварително разпределяне</v>
      </c>
      <c r="F1159" s="388"/>
      <c r="G1159" s="388"/>
      <c r="H1159" s="421" t="str">
        <f>EUconst_EUA</f>
        <v>Квота за емисии</v>
      </c>
      <c r="I1159" s="1728"/>
      <c r="J1159" s="1694" t="str">
        <f>IF($I1140="","",MAX(0,ROUND((SUM($M1143)*SUM(J1154)*SUM(J1158)-SUM(J1155)-SUM(J1156)+SUM(J1157))*IF($H1143=TRUE,1,J$2412)*IF($I1143=TRUE,INDEX(EUconst_CBAMFactor,J1149-2020),1),0)))</f>
        <v/>
      </c>
      <c r="K1159" s="406" t="str">
        <f>IF($I1140="","",MAX(0,ROUND((SUM($M1143)*SUM(K1154)*SUM(K1158)-SUM(K1155)-SUM(K1156)+SUM(K1157))*IF($H1143=TRUE,1,K$2412)*IF($I1143=TRUE,INDEX(EUconst_CBAMFactor,K1149-2020),1),0)))</f>
        <v/>
      </c>
      <c r="L1159" s="406" t="str">
        <f>IF($I1140="","",MAX(0,ROUND((SUM($M1143)*SUM(L1154)*SUM(L1158)-SUM(L1155)-SUM(L1156)+SUM(L1157))*IF($H1143=TRUE,1,L$2412)*IF($I1143=TRUE,INDEX(EUconst_CBAMFactor,L1149-2020),1),0)))</f>
        <v/>
      </c>
      <c r="M1159" s="406" t="str">
        <f>IF($I1140="","",MAX(0,ROUND((SUM($M1143)*SUM(M1154)*SUM(M1158)-SUM(M1155)-SUM(M1156)+SUM(M1157))*IF($H1143=TRUE,1,M$2412)*IF($I1143=TRUE,INDEX(EUconst_CBAMFactor,M1149-2020),1),0)))</f>
        <v/>
      </c>
      <c r="N1159" s="1729" t="str">
        <f>IF($I1140="","",MAX(0,ROUND((SUM($M1143)*SUM(N1154)*SUM(N1158)-SUM(N1155)-SUM(N1156)+SUM(N1157))*IF($H1143=TRUE,1,N$2412)*IF($I1143=TRUE,INDEX(EUconst_CBAMFactor,N1149-2020),1),0)))</f>
        <v/>
      </c>
      <c r="O1159" s="698"/>
      <c r="P1159" s="729"/>
      <c r="Q1159" s="729"/>
      <c r="R1159" s="729"/>
      <c r="S1159" s="729"/>
      <c r="T1159" s="729"/>
      <c r="U1159" s="343"/>
      <c r="V1159" s="343"/>
    </row>
    <row r="1160" spans="1:22" s="364" customFormat="1" ht="5.15" customHeight="1" x14ac:dyDescent="0.3">
      <c r="A1160" s="729"/>
      <c r="B1160" s="302"/>
      <c r="C1160" s="357"/>
      <c r="D1160" s="1698"/>
      <c r="E1160" s="357"/>
      <c r="F1160" s="357"/>
      <c r="G1160" s="357"/>
      <c r="H1160" s="357"/>
      <c r="I1160" s="357"/>
      <c r="J1160" s="357"/>
      <c r="K1160" s="357"/>
      <c r="L1160" s="357"/>
      <c r="M1160" s="357"/>
      <c r="N1160" s="1712"/>
      <c r="O1160" s="698"/>
      <c r="P1160" s="729"/>
      <c r="Q1160" s="729"/>
      <c r="R1160" s="729"/>
      <c r="S1160" s="729"/>
      <c r="T1160" s="729"/>
      <c r="U1160" s="343"/>
      <c r="V1160" s="343"/>
    </row>
    <row r="1161" spans="1:22" s="364" customFormat="1" ht="12.75" customHeight="1" x14ac:dyDescent="0.3">
      <c r="A1161" s="729"/>
      <c r="B1161" s="302"/>
      <c r="C1161" s="357"/>
      <c r="D1161" s="1698"/>
      <c r="E1161" s="389" t="str">
        <f>Translations!$B$1375</f>
        <v>Промени: Равнище на дейност</v>
      </c>
      <c r="F1161" s="498"/>
      <c r="G1161" s="498"/>
      <c r="H1161" s="527" t="str">
        <f>EUconst_Unit</f>
        <v>Единица мярка</v>
      </c>
      <c r="I1161" s="1699"/>
      <c r="J1161" s="1523">
        <f>J$2505</f>
        <v>2026</v>
      </c>
      <c r="K1161" s="387">
        <f>K$2505</f>
        <v>2027</v>
      </c>
      <c r="L1161" s="387">
        <f>L$2505</f>
        <v>2028</v>
      </c>
      <c r="M1161" s="387">
        <f>M$2505</f>
        <v>2029</v>
      </c>
      <c r="N1161" s="1544">
        <f>N$2505</f>
        <v>2030</v>
      </c>
      <c r="O1161" s="698"/>
      <c r="P1161" s="729"/>
      <c r="Q1161" s="729"/>
      <c r="R1161" s="729"/>
      <c r="S1161" s="729"/>
      <c r="T1161" s="729"/>
      <c r="U1161" s="343"/>
      <c r="V1161" s="343"/>
    </row>
    <row r="1162" spans="1:22" s="364" customFormat="1" ht="12.75" customHeight="1" x14ac:dyDescent="0.3">
      <c r="A1162" s="729"/>
      <c r="B1162" s="302"/>
      <c r="C1162" s="357"/>
      <c r="D1162" s="1698"/>
      <c r="E1162" s="392" t="str">
        <f>Translations!$B$1328</f>
        <v>Средна годишна стойност</v>
      </c>
      <c r="F1162" s="392"/>
      <c r="G1162" s="392"/>
      <c r="H1162" s="1730" t="str">
        <f>H1154</f>
        <v>тона</v>
      </c>
      <c r="I1162" s="1731"/>
      <c r="J1162" s="1732" t="str">
        <f>INDEX(F_ProductBM!J:J,MATCH($P1162,F_ProductBM!$Q:$Q,0))</f>
        <v/>
      </c>
      <c r="K1162" s="394" t="str">
        <f>INDEX(F_ProductBM!K:K,MATCH($P1162,F_ProductBM!$Q:$Q,0))</f>
        <v/>
      </c>
      <c r="L1162" s="394" t="str">
        <f>INDEX(F_ProductBM!L:L,MATCH($P1162,F_ProductBM!$Q:$Q,0))</f>
        <v/>
      </c>
      <c r="M1162" s="394" t="str">
        <f>INDEX(F_ProductBM!M:M,MATCH($P1162,F_ProductBM!$Q:$Q,0))</f>
        <v/>
      </c>
      <c r="N1162" s="1733" t="str">
        <f>INDEX(F_ProductBM!N:N,MATCH($P1162,F_ProductBM!$Q:$Q,0))</f>
        <v/>
      </c>
      <c r="O1162" s="698"/>
      <c r="P1162" s="1190" t="str">
        <f>EUconst_CNTR_HALinitial&amp;I1140</f>
        <v>HALini_</v>
      </c>
      <c r="Q1162" s="729"/>
      <c r="R1162" s="729"/>
      <c r="S1162" s="729"/>
      <c r="T1162" s="729"/>
      <c r="U1162" s="343"/>
      <c r="V1162" s="343"/>
    </row>
    <row r="1163" spans="1:22" s="364" customFormat="1" ht="12.75" customHeight="1" x14ac:dyDescent="0.3">
      <c r="A1163" s="729"/>
      <c r="B1163" s="302"/>
      <c r="C1163" s="357"/>
      <c r="D1163" s="1698"/>
      <c r="E1163" s="398" t="str">
        <f>Translations!$B$1376</f>
        <v>Промяна в сравнение с HAL</v>
      </c>
      <c r="F1163" s="398"/>
      <c r="G1163" s="398"/>
      <c r="H1163" s="1734" t="s">
        <v>1052</v>
      </c>
      <c r="I1163" s="1735"/>
      <c r="J1163" s="159" t="str">
        <f>INDEX(F_ProductBM!J:J,MATCH($P1163,F_ProductBM!$Q:$Q,0))</f>
        <v/>
      </c>
      <c r="K1163" s="160" t="str">
        <f>INDEX(F_ProductBM!K:K,MATCH($P1163,F_ProductBM!$Q:$Q,0))</f>
        <v/>
      </c>
      <c r="L1163" s="160" t="str">
        <f>INDEX(F_ProductBM!L:L,MATCH($P1163,F_ProductBM!$Q:$Q,0))</f>
        <v/>
      </c>
      <c r="M1163" s="160" t="str">
        <f>INDEX(F_ProductBM!M:M,MATCH($P1163,F_ProductBM!$Q:$Q,0))</f>
        <v/>
      </c>
      <c r="N1163" s="161" t="str">
        <f>INDEX(F_ProductBM!N:N,MATCH($P1163,F_ProductBM!$Q:$Q,0))</f>
        <v/>
      </c>
      <c r="O1163" s="698"/>
      <c r="P1163" s="1190" t="str">
        <f>EUconst_CNTR_RelThreshold &amp; P1165</f>
        <v>RelThresh_HALprelim_</v>
      </c>
      <c r="Q1163" s="729"/>
      <c r="R1163" s="729"/>
      <c r="S1163" s="729"/>
      <c r="T1163" s="729"/>
      <c r="U1163" s="343"/>
      <c r="V1163" s="343"/>
    </row>
    <row r="1164" spans="1:22" s="364" customFormat="1" ht="12.75" customHeight="1" x14ac:dyDescent="0.3">
      <c r="A1164" s="729"/>
      <c r="B1164" s="302"/>
      <c r="C1164" s="357"/>
      <c r="D1164" s="1698"/>
      <c r="E1164" s="1736" t="str">
        <f>Translations!$B$1368</f>
        <v>Критерий 3a: Надвишени ли са относителните прагове?</v>
      </c>
      <c r="F1164" s="1736"/>
      <c r="G1164" s="1736"/>
      <c r="H1164" s="1737" t="s">
        <v>1052</v>
      </c>
      <c r="I1164" s="1738"/>
      <c r="J1164" s="1739" t="str">
        <f>INDEX(F_ProductBM!V:V,MATCH($P1164,F_ProductBM!$Q:$Q,0)+1)</f>
        <v/>
      </c>
      <c r="K1164" s="1740" t="str">
        <f>INDEX(F_ProductBM!W:W,MATCH($P1164,F_ProductBM!$Q:$Q,0)+1)</f>
        <v/>
      </c>
      <c r="L1164" s="1740" t="str">
        <f>INDEX(F_ProductBM!X:X,MATCH($P1164,F_ProductBM!$Q:$Q,0)+1)</f>
        <v/>
      </c>
      <c r="M1164" s="1740" t="str">
        <f>INDEX(F_ProductBM!Y:Y,MATCH($P1164,F_ProductBM!$Q:$Q,0)+1)</f>
        <v/>
      </c>
      <c r="N1164" s="1741" t="str">
        <f>INDEX(F_ProductBM!Z:Z,MATCH($P1164,F_ProductBM!$Q:$Q,0)+1)</f>
        <v/>
      </c>
      <c r="O1164" s="698"/>
      <c r="P1164" s="1190" t="str">
        <f>P1163</f>
        <v>RelThresh_HALprelim_</v>
      </c>
      <c r="Q1164" s="729"/>
      <c r="R1164" s="729"/>
      <c r="S1164" s="729"/>
      <c r="T1164" s="729"/>
      <c r="U1164" s="343"/>
      <c r="V1164" s="343"/>
    </row>
    <row r="1165" spans="1:22" s="364" customFormat="1" ht="12.75" customHeight="1" x14ac:dyDescent="0.3">
      <c r="A1165" s="729" t="str">
        <f t="shared" ref="A1165" si="100">IF(P1165="","ausblenden","")</f>
        <v/>
      </c>
      <c r="B1165" s="302"/>
      <c r="C1165" s="357"/>
      <c r="D1165" s="1698"/>
      <c r="E1165" s="401" t="str">
        <f>Translations!$B$1377</f>
        <v>Предварителна стойност</v>
      </c>
      <c r="F1165" s="401"/>
      <c r="G1165" s="401"/>
      <c r="H1165" s="1742" t="str">
        <f>F1146</f>
        <v>тона</v>
      </c>
      <c r="I1165" s="401"/>
      <c r="J1165" s="1743" t="str">
        <f>INDEX(F_ProductBM!J:J,MATCH($P1165,F_ProductBM!$Q:$Q,0))</f>
        <v/>
      </c>
      <c r="K1165" s="1744" t="str">
        <f>INDEX(F_ProductBM!K:K,MATCH($P1165,F_ProductBM!$Q:$Q,0))</f>
        <v/>
      </c>
      <c r="L1165" s="1744" t="str">
        <f>INDEX(F_ProductBM!L:L,MATCH($P1165,F_ProductBM!$Q:$Q,0))</f>
        <v/>
      </c>
      <c r="M1165" s="1744" t="str">
        <f>INDEX(F_ProductBM!M:M,MATCH($P1165,F_ProductBM!$Q:$Q,0))</f>
        <v/>
      </c>
      <c r="N1165" s="1745" t="str">
        <f>INDEX(F_ProductBM!N:N,MATCH($P1165,F_ProductBM!$Q:$Q,0))</f>
        <v/>
      </c>
      <c r="O1165" s="698"/>
      <c r="P1165" s="1190" t="str">
        <f>EUconst_CNTR_HALprelim&amp;I1140</f>
        <v>HALprelim_</v>
      </c>
      <c r="Q1165" s="729"/>
      <c r="R1165" s="729"/>
      <c r="S1165" s="729"/>
      <c r="T1165" s="729"/>
      <c r="U1165" s="343"/>
      <c r="V1165" s="343"/>
    </row>
    <row r="1166" spans="1:22" s="364" customFormat="1" ht="5.15" customHeight="1" x14ac:dyDescent="0.3">
      <c r="A1166" s="729"/>
      <c r="B1166" s="302"/>
      <c r="C1166" s="357"/>
      <c r="D1166" s="1698"/>
      <c r="E1166" s="302"/>
      <c r="F1166" s="302"/>
      <c r="G1166" s="302"/>
      <c r="H1166" s="302"/>
      <c r="I1166" s="1746"/>
      <c r="J1166" s="302"/>
      <c r="K1166" s="302"/>
      <c r="L1166" s="302"/>
      <c r="M1166" s="302"/>
      <c r="N1166" s="1747"/>
      <c r="O1166" s="698"/>
      <c r="P1166" s="729"/>
      <c r="Q1166" s="729"/>
      <c r="R1166" s="729"/>
      <c r="S1166" s="729"/>
      <c r="T1166" s="729"/>
      <c r="U1166" s="343"/>
      <c r="V1166" s="343"/>
    </row>
    <row r="1167" spans="1:22" s="364" customFormat="1" ht="12.75" customHeight="1" x14ac:dyDescent="0.3">
      <c r="A1167" s="729"/>
      <c r="B1167" s="302"/>
      <c r="C1167" s="357"/>
      <c r="D1167" s="1698"/>
      <c r="E1167" s="389" t="str">
        <f>Translations!$B$1380</f>
        <v>Промени: Топлинна енергия извън СТЕ</v>
      </c>
      <c r="F1167" s="498"/>
      <c r="G1167" s="498"/>
      <c r="H1167" s="527" t="str">
        <f>EUconst_Unit</f>
        <v>Единица мярка</v>
      </c>
      <c r="I1167" s="1699"/>
      <c r="J1167" s="1523">
        <f>J$2505</f>
        <v>2026</v>
      </c>
      <c r="K1167" s="387">
        <f>K$2505</f>
        <v>2027</v>
      </c>
      <c r="L1167" s="387">
        <f>L$2505</f>
        <v>2028</v>
      </c>
      <c r="M1167" s="387">
        <f>M$2505</f>
        <v>2029</v>
      </c>
      <c r="N1167" s="1544">
        <f>N$2505</f>
        <v>2030</v>
      </c>
      <c r="O1167" s="698"/>
      <c r="P1167" s="729"/>
      <c r="Q1167" s="729"/>
      <c r="R1167" s="729"/>
      <c r="S1167" s="729"/>
      <c r="T1167" s="729"/>
      <c r="U1167" s="343"/>
      <c r="V1167" s="343"/>
    </row>
    <row r="1168" spans="1:22" s="364" customFormat="1" ht="12.75" customHeight="1" x14ac:dyDescent="0.3">
      <c r="A1168" s="729"/>
      <c r="B1168" s="302"/>
      <c r="C1168" s="357"/>
      <c r="D1168" s="1698"/>
      <c r="E1168" s="392" t="str">
        <f>Translations!$B$1328</f>
        <v>Средна годишна стойност</v>
      </c>
      <c r="F1168" s="392"/>
      <c r="G1168" s="392"/>
      <c r="H1168" s="485" t="str">
        <f>EUconst_EUA</f>
        <v>Квота за емисии</v>
      </c>
      <c r="I1168" s="1716"/>
      <c r="J1168" s="1732" t="str">
        <f>IF(R1146,SUM(INDEX(F_ProductBM!J:J,MATCH($P1168,F_ProductBM!$Q:$Q,0))),"")</f>
        <v/>
      </c>
      <c r="K1168" s="394" t="str">
        <f>IF(S1146,SUM(INDEX(F_ProductBM!K:K,MATCH($P1168,F_ProductBM!$Q:$Q,0))),"")</f>
        <v/>
      </c>
      <c r="L1168" s="394" t="str">
        <f>IF(T1146,SUM(INDEX(F_ProductBM!L:L,MATCH($P1168,F_ProductBM!$Q:$Q,0))),"")</f>
        <v/>
      </c>
      <c r="M1168" s="394" t="str">
        <f>IF(U1146,SUM(INDEX(F_ProductBM!M:M,MATCH($P1168,F_ProductBM!$Q:$Q,0))),"")</f>
        <v/>
      </c>
      <c r="N1168" s="1733" t="str">
        <f>IF(V1146,SUM(INDEX(F_ProductBM!N:N,MATCH($P1168,F_ProductBM!$Q:$Q,0))),"")</f>
        <v/>
      </c>
      <c r="O1168" s="698"/>
      <c r="P1168" s="1190" t="str">
        <f>EUconst_CNTR_HEATInitial &amp; I1140</f>
        <v>HEATIni_</v>
      </c>
      <c r="Q1168" s="729"/>
      <c r="R1168" s="729"/>
      <c r="S1168" s="729"/>
      <c r="T1168" s="729"/>
      <c r="U1168" s="343"/>
      <c r="V1168" s="343"/>
    </row>
    <row r="1169" spans="1:22" s="364" customFormat="1" ht="12.75" customHeight="1" x14ac:dyDescent="0.3">
      <c r="A1169" s="729"/>
      <c r="B1169" s="302"/>
      <c r="C1169" s="357"/>
      <c r="D1169" s="1698"/>
      <c r="E1169" s="398" t="str">
        <f>Translations!$B$1378</f>
        <v>Промяна в сравнение със стойността в НМИ</v>
      </c>
      <c r="F1169" s="398"/>
      <c r="G1169" s="398"/>
      <c r="H1169" s="1734" t="s">
        <v>1052</v>
      </c>
      <c r="I1169" s="1735"/>
      <c r="J1169" s="159" t="str">
        <f>INDEX(F_ProductBM!J:J,MATCH($P1169,F_ProductBM!$Q:$Q,0))</f>
        <v/>
      </c>
      <c r="K1169" s="160" t="str">
        <f>INDEX(F_ProductBM!K:K,MATCH($P1169,F_ProductBM!$Q:$Q,0))</f>
        <v/>
      </c>
      <c r="L1169" s="160" t="str">
        <f>INDEX(F_ProductBM!L:L,MATCH($P1169,F_ProductBM!$Q:$Q,0))</f>
        <v/>
      </c>
      <c r="M1169" s="160" t="str">
        <f>INDEX(F_ProductBM!M:M,MATCH($P1169,F_ProductBM!$Q:$Q,0))</f>
        <v/>
      </c>
      <c r="N1169" s="161" t="str">
        <f>INDEX(F_ProductBM!N:N,MATCH($P1169,F_ProductBM!$Q:$Q,0))</f>
        <v/>
      </c>
      <c r="O1169" s="698"/>
      <c r="P1169" s="1190" t="str">
        <f>EUconst_CNTR_RelThreshold &amp; P1171</f>
        <v>RelThresh_HEATprelim_</v>
      </c>
      <c r="Q1169" s="729"/>
      <c r="R1169" s="729"/>
      <c r="S1169" s="729"/>
      <c r="T1169" s="729"/>
      <c r="U1169" s="343"/>
      <c r="V1169" s="343"/>
    </row>
    <row r="1170" spans="1:22" s="364" customFormat="1" ht="12.75" customHeight="1" x14ac:dyDescent="0.3">
      <c r="A1170" s="729"/>
      <c r="B1170" s="302"/>
      <c r="C1170" s="357"/>
      <c r="D1170" s="1698"/>
      <c r="E1170" s="1736" t="str">
        <f>Translations!$B$1379</f>
        <v>Критерий 3б: Надвишени ли са относителните прагове?</v>
      </c>
      <c r="F1170" s="1736"/>
      <c r="G1170" s="1736"/>
      <c r="H1170" s="1737" t="s">
        <v>1052</v>
      </c>
      <c r="I1170" s="1738"/>
      <c r="J1170" s="1739" t="str">
        <f>INDEX(F_ProductBM!V:V,MATCH($P1170,F_ProductBM!$Q:$Q,0))</f>
        <v/>
      </c>
      <c r="K1170" s="1740" t="str">
        <f>INDEX(F_ProductBM!W:W,MATCH($P1170,F_ProductBM!$Q:$Q,0))</f>
        <v/>
      </c>
      <c r="L1170" s="1740" t="str">
        <f>INDEX(F_ProductBM!X:X,MATCH($P1170,F_ProductBM!$Q:$Q,0))</f>
        <v/>
      </c>
      <c r="M1170" s="1740" t="str">
        <f>INDEX(F_ProductBM!Y:Y,MATCH($P1170,F_ProductBM!$Q:$Q,0))</f>
        <v/>
      </c>
      <c r="N1170" s="1741" t="str">
        <f>INDEX(F_ProductBM!Z:Z,MATCH($P1170,F_ProductBM!$Q:$Q,0))</f>
        <v/>
      </c>
      <c r="O1170" s="698"/>
      <c r="P1170" s="1190" t="str">
        <f>P1169</f>
        <v>RelThresh_HEATprelim_</v>
      </c>
      <c r="Q1170" s="729"/>
      <c r="R1170" s="729"/>
      <c r="S1170" s="729"/>
      <c r="T1170" s="729"/>
      <c r="U1170" s="343"/>
      <c r="V1170" s="343"/>
    </row>
    <row r="1171" spans="1:22" s="364" customFormat="1" ht="12.75" customHeight="1" x14ac:dyDescent="0.3">
      <c r="A1171" s="729" t="str">
        <f>IF(P1171="","ausblenden","")</f>
        <v/>
      </c>
      <c r="B1171" s="302"/>
      <c r="C1171" s="357"/>
      <c r="D1171" s="1698"/>
      <c r="E1171" s="401" t="str">
        <f>Translations!$B$1377</f>
        <v>Предварителна стойност</v>
      </c>
      <c r="F1171" s="401"/>
      <c r="G1171" s="401"/>
      <c r="H1171" s="487" t="str">
        <f>EUconst_EUA</f>
        <v>Квота за емисии</v>
      </c>
      <c r="I1171" s="401"/>
      <c r="J1171" s="1743" t="str">
        <f>IF($I1140="","",INDEX(F_ProductBM!J:J,MATCH($P1171,F_ProductBM!$Q:$Q,0)))</f>
        <v/>
      </c>
      <c r="K1171" s="1744" t="str">
        <f>IF($I1140="","",INDEX(F_ProductBM!K:K,MATCH($P1171,F_ProductBM!$Q:$Q,0)))</f>
        <v/>
      </c>
      <c r="L1171" s="1744" t="str">
        <f>IF($I1140="","",INDEX(F_ProductBM!L:L,MATCH($P1171,F_ProductBM!$Q:$Q,0)))</f>
        <v/>
      </c>
      <c r="M1171" s="1744" t="str">
        <f>IF($I1140="","",INDEX(F_ProductBM!M:M,MATCH($P1171,F_ProductBM!$Q:$Q,0)))</f>
        <v/>
      </c>
      <c r="N1171" s="1745" t="str">
        <f>IF($I1140="","",INDEX(F_ProductBM!N:N,MATCH($P1171,F_ProductBM!$Q:$Q,0)))</f>
        <v/>
      </c>
      <c r="O1171" s="698"/>
      <c r="P1171" s="1190" t="str">
        <f>EUconst_CNTR_HEATprelim&amp;I1140</f>
        <v>HEATprelim_</v>
      </c>
      <c r="Q1171" s="729"/>
      <c r="R1171" s="729"/>
      <c r="S1171" s="729"/>
      <c r="T1171" s="729"/>
      <c r="U1171" s="343"/>
      <c r="V1171" s="343"/>
    </row>
    <row r="1172" spans="1:22" s="364" customFormat="1" ht="5.15" customHeight="1" x14ac:dyDescent="0.3">
      <c r="A1172" s="729"/>
      <c r="B1172" s="302"/>
      <c r="C1172" s="357"/>
      <c r="D1172" s="1698"/>
      <c r="E1172" s="302"/>
      <c r="F1172" s="302"/>
      <c r="G1172" s="302"/>
      <c r="H1172" s="302"/>
      <c r="I1172" s="1746"/>
      <c r="J1172" s="302"/>
      <c r="K1172" s="302"/>
      <c r="L1172" s="302"/>
      <c r="M1172" s="302"/>
      <c r="N1172" s="1747"/>
      <c r="O1172" s="698"/>
      <c r="P1172" s="729"/>
      <c r="Q1172" s="729"/>
      <c r="R1172" s="729"/>
      <c r="S1172" s="729"/>
      <c r="T1172" s="729"/>
      <c r="U1172" s="343"/>
      <c r="V1172" s="343"/>
    </row>
    <row r="1173" spans="1:22" s="364" customFormat="1" ht="12.75" customHeight="1" x14ac:dyDescent="0.3">
      <c r="A1173" s="729"/>
      <c r="B1173" s="302"/>
      <c r="C1173" s="357"/>
      <c r="D1173" s="1698"/>
      <c r="E1173" s="389" t="str">
        <f>Translations!$B$1382</f>
        <v>Промени: Корекция за ценни химически вещества (HVC)</v>
      </c>
      <c r="F1173" s="498"/>
      <c r="G1173" s="498"/>
      <c r="H1173" s="527" t="str">
        <f>EUconst_Unit</f>
        <v>Единица мярка</v>
      </c>
      <c r="I1173" s="1699"/>
      <c r="J1173" s="1523">
        <f>J$2505</f>
        <v>2026</v>
      </c>
      <c r="K1173" s="387">
        <f>K$2505</f>
        <v>2027</v>
      </c>
      <c r="L1173" s="387">
        <f>L$2505</f>
        <v>2028</v>
      </c>
      <c r="M1173" s="387">
        <f>M$2505</f>
        <v>2029</v>
      </c>
      <c r="N1173" s="1544">
        <f>N$2505</f>
        <v>2030</v>
      </c>
      <c r="O1173" s="698"/>
      <c r="P1173" s="729"/>
      <c r="Q1173" s="729"/>
      <c r="R1173" s="729"/>
      <c r="S1173" s="729"/>
      <c r="T1173" s="729"/>
      <c r="U1173" s="343"/>
      <c r="V1173" s="343"/>
    </row>
    <row r="1174" spans="1:22" s="364" customFormat="1" ht="12.75" customHeight="1" x14ac:dyDescent="0.3">
      <c r="A1174" s="729"/>
      <c r="B1174" s="302"/>
      <c r="C1174" s="357"/>
      <c r="D1174" s="1698"/>
      <c r="E1174" s="392" t="str">
        <f>Translations!$B$1328</f>
        <v>Средна годишна стойност</v>
      </c>
      <c r="F1174" s="392"/>
      <c r="G1174" s="392"/>
      <c r="H1174" s="481" t="str">
        <f>EUconst_EUA</f>
        <v>Квота за емисии</v>
      </c>
      <c r="I1174" s="1716"/>
      <c r="J1174" s="1748" t="str">
        <f>IF(L1143=42,INDEX(H_SpecialBM!J:J,MATCH($P1174,H_SpecialBM!$Q:$Q,0)),"")</f>
        <v/>
      </c>
      <c r="K1174" s="1749" t="str">
        <f>IF(L1143=42,INDEX(H_SpecialBM!K:K,MATCH($P1174,H_SpecialBM!$Q:$Q,0)),"")</f>
        <v/>
      </c>
      <c r="L1174" s="1749" t="str">
        <f>IF(L1143=42,INDEX(H_SpecialBM!L:L,MATCH($P1174,H_SpecialBM!$Q:$Q,0)),"")</f>
        <v/>
      </c>
      <c r="M1174" s="1749" t="str">
        <f>IF(L1143=42,INDEX(H_SpecialBM!M:M,MATCH($P1174,H_SpecialBM!$Q:$Q,0)),"")</f>
        <v/>
      </c>
      <c r="N1174" s="1750" t="str">
        <f>IF(L1143=42,INDEX(H_SpecialBM!N:N,MATCH($P1174,H_SpecialBM!$Q:$Q,0)),"")</f>
        <v/>
      </c>
      <c r="O1174" s="698"/>
      <c r="P1174" s="1190" t="str">
        <f>EUconst_CNTR_HVCInitial &amp; INDEX(EUconst_BMlistNames,MATCH(42,EUconst_BMlistMainNumberOfBM,0))</f>
        <v>HVCIni_Крекинг с водна пара</v>
      </c>
      <c r="Q1174" s="729"/>
      <c r="R1174" s="729"/>
      <c r="S1174" s="729"/>
      <c r="T1174" s="729"/>
      <c r="U1174" s="343"/>
      <c r="V1174" s="343"/>
    </row>
    <row r="1175" spans="1:22" s="364" customFormat="1" ht="12.75" customHeight="1" x14ac:dyDescent="0.3">
      <c r="A1175" s="729"/>
      <c r="B1175" s="302"/>
      <c r="C1175" s="357"/>
      <c r="D1175" s="1698"/>
      <c r="E1175" s="398" t="str">
        <f>Translations!$B$1378</f>
        <v>Промяна в сравнение със стойността в НМИ</v>
      </c>
      <c r="F1175" s="398"/>
      <c r="G1175" s="398"/>
      <c r="H1175" s="1751" t="s">
        <v>1052</v>
      </c>
      <c r="I1175" s="1735"/>
      <c r="J1175" s="159" t="str">
        <f>IF(L1143=42,INDEX(H_SpecialBM!J:J,MATCH($P1175,H_SpecialBM!$Q:$Q,0)),"")</f>
        <v/>
      </c>
      <c r="K1175" s="160" t="str">
        <f>IF(L1143=42,INDEX(H_SpecialBM!K:K,MATCH($P1175,H_SpecialBM!$Q:$Q,0)),"")</f>
        <v/>
      </c>
      <c r="L1175" s="160" t="str">
        <f>IF(L1143=42,INDEX(H_SpecialBM!L:L,MATCH($P1175,H_SpecialBM!$Q:$Q,0)),"")</f>
        <v/>
      </c>
      <c r="M1175" s="160" t="str">
        <f>IF(L1143=42,INDEX(H_SpecialBM!M:M,MATCH($P1175,H_SpecialBM!$Q:$Q,0)),"")</f>
        <v/>
      </c>
      <c r="N1175" s="161" t="str">
        <f>IF(L1143=42,INDEX(H_SpecialBM!N:N,MATCH($P1175,H_SpecialBM!$Q:$Q,0)),"")</f>
        <v/>
      </c>
      <c r="O1175" s="698"/>
      <c r="P1175" s="1190" t="str">
        <f>EUconst_CNTR_RelThreshold &amp; P1177</f>
        <v>RelThresh_HVCprelim_</v>
      </c>
      <c r="Q1175" s="729"/>
      <c r="R1175" s="729"/>
      <c r="S1175" s="729"/>
      <c r="T1175" s="729"/>
      <c r="U1175" s="343"/>
      <c r="V1175" s="343"/>
    </row>
    <row r="1176" spans="1:22" s="364" customFormat="1" ht="12.75" customHeight="1" x14ac:dyDescent="0.3">
      <c r="A1176" s="729"/>
      <c r="B1176" s="302"/>
      <c r="C1176" s="357"/>
      <c r="D1176" s="1698"/>
      <c r="E1176" s="1736" t="str">
        <f>Translations!$B$1381</f>
        <v>Критерий 3в: Надвишени ли са относителните прагове?</v>
      </c>
      <c r="F1176" s="1736"/>
      <c r="G1176" s="1736"/>
      <c r="H1176" s="1738" t="s">
        <v>1052</v>
      </c>
      <c r="I1176" s="1738"/>
      <c r="J1176" s="1739" t="str">
        <f>IF(L1143=42,INDEX(H_SpecialBM!V:V,MATCH($P1176,H_SpecialBM!$Q:$Q,0)),"")</f>
        <v/>
      </c>
      <c r="K1176" s="1740" t="str">
        <f>IF(L1143=42,INDEX(H_SpecialBM!W:W,MATCH($P1176,H_SpecialBM!$Q:$Q,0)),"")</f>
        <v/>
      </c>
      <c r="L1176" s="1740" t="str">
        <f>IF(L1143=42,INDEX(H_SpecialBM!X:X,MATCH($P1176,H_SpecialBM!$Q:$Q,0)),"")</f>
        <v/>
      </c>
      <c r="M1176" s="1740" t="str">
        <f>IF(L1143=42,INDEX(H_SpecialBM!Y:Y,MATCH($P1176,H_SpecialBM!$Q:$Q,0)),"")</f>
        <v/>
      </c>
      <c r="N1176" s="1741" t="str">
        <f>IF(L1143=42,INDEX(H_SpecialBM!Z:Z,MATCH($P1176,H_SpecialBM!$Q:$Q,0)),"")</f>
        <v/>
      </c>
      <c r="O1176" s="698"/>
      <c r="P1176" s="1190" t="str">
        <f>P1175</f>
        <v>RelThresh_HVCprelim_</v>
      </c>
      <c r="Q1176" s="729"/>
      <c r="R1176" s="729"/>
      <c r="S1176" s="729"/>
      <c r="T1176" s="729"/>
      <c r="U1176" s="343"/>
      <c r="V1176" s="343"/>
    </row>
    <row r="1177" spans="1:22" s="364" customFormat="1" ht="12.75" customHeight="1" x14ac:dyDescent="0.3">
      <c r="A1177" s="729" t="str">
        <f>IF(P1177="","ausblenden","")</f>
        <v/>
      </c>
      <c r="B1177" s="302"/>
      <c r="C1177" s="357"/>
      <c r="D1177" s="1698"/>
      <c r="E1177" s="401" t="str">
        <f>Translations!$B$1377</f>
        <v>Предварителна стойност</v>
      </c>
      <c r="F1177" s="401"/>
      <c r="G1177" s="401"/>
      <c r="H1177" s="483" t="str">
        <f>EUconst_EUA</f>
        <v>Квота за емисии</v>
      </c>
      <c r="I1177" s="1724"/>
      <c r="J1177" s="1752" t="str">
        <f>IF($L1143=42,INDEX(H_SpecialBM!J:J,MATCH($P1177,H_SpecialBM!$Q:$Q,0)),"")</f>
        <v/>
      </c>
      <c r="K1177" s="1753" t="str">
        <f>IF($L1143=42,INDEX(H_SpecialBM!K:K,MATCH($P1177,H_SpecialBM!$Q:$Q,0)),"")</f>
        <v/>
      </c>
      <c r="L1177" s="1753" t="str">
        <f>IF($L1143=42,INDEX(H_SpecialBM!L:L,MATCH($P1177,H_SpecialBM!$Q:$Q,0)),"")</f>
        <v/>
      </c>
      <c r="M1177" s="1753" t="str">
        <f>IF($L1143=42,INDEX(H_SpecialBM!M:M,MATCH($P1177,H_SpecialBM!$Q:$Q,0)),"")</f>
        <v/>
      </c>
      <c r="N1177" s="1754" t="str">
        <f>IF($L1143=42,INDEX(H_SpecialBM!N:N,MATCH($P1177,H_SpecialBM!$Q:$Q,0)),"")</f>
        <v/>
      </c>
      <c r="O1177" s="698"/>
      <c r="P1177" s="1190" t="str">
        <f>EUconst_CNTR_HVCprelim</f>
        <v>HVCprelim_</v>
      </c>
      <c r="Q1177" s="729"/>
      <c r="R1177" s="729"/>
      <c r="S1177" s="729"/>
      <c r="T1177" s="729"/>
      <c r="U1177" s="343"/>
      <c r="V1177" s="343"/>
    </row>
    <row r="1178" spans="1:22" s="364" customFormat="1" ht="5.15" customHeight="1" x14ac:dyDescent="0.3">
      <c r="A1178" s="729"/>
      <c r="B1178" s="302"/>
      <c r="C1178" s="357"/>
      <c r="D1178" s="1698"/>
      <c r="E1178" s="302"/>
      <c r="F1178" s="302"/>
      <c r="G1178" s="302"/>
      <c r="H1178" s="302"/>
      <c r="I1178" s="1746"/>
      <c r="J1178" s="302"/>
      <c r="K1178" s="302"/>
      <c r="L1178" s="302"/>
      <c r="M1178" s="302"/>
      <c r="N1178" s="1747"/>
      <c r="O1178" s="698"/>
      <c r="P1178" s="729"/>
      <c r="Q1178" s="729"/>
      <c r="R1178" s="729"/>
      <c r="S1178" s="729"/>
      <c r="T1178" s="729"/>
      <c r="U1178" s="343"/>
      <c r="V1178" s="343"/>
    </row>
    <row r="1179" spans="1:22" s="364" customFormat="1" ht="12.75" customHeight="1" x14ac:dyDescent="0.3">
      <c r="A1179" s="729"/>
      <c r="B1179" s="302"/>
      <c r="C1179" s="357"/>
      <c r="D1179" s="1698"/>
      <c r="E1179" s="389" t="str">
        <f>Translations!$B$1384</f>
        <v>Промени: Корекция за винилхлориден мономер (VCM)</v>
      </c>
      <c r="F1179" s="498"/>
      <c r="G1179" s="498"/>
      <c r="H1179" s="527" t="str">
        <f>EUconst_Unit</f>
        <v>Единица мярка</v>
      </c>
      <c r="I1179" s="1699"/>
      <c r="J1179" s="1523">
        <f>J$2505</f>
        <v>2026</v>
      </c>
      <c r="K1179" s="387">
        <f>K$2505</f>
        <v>2027</v>
      </c>
      <c r="L1179" s="387">
        <f>L$2505</f>
        <v>2028</v>
      </c>
      <c r="M1179" s="387">
        <f>M$2505</f>
        <v>2029</v>
      </c>
      <c r="N1179" s="1544">
        <f>N$2505</f>
        <v>2030</v>
      </c>
      <c r="O1179" s="698"/>
      <c r="P1179" s="729"/>
      <c r="Q1179" s="729"/>
      <c r="R1179" s="729"/>
      <c r="S1179" s="729"/>
      <c r="T1179" s="729"/>
      <c r="U1179" s="343"/>
      <c r="V1179" s="343"/>
    </row>
    <row r="1180" spans="1:22" s="364" customFormat="1" ht="12.75" customHeight="1" x14ac:dyDescent="0.3">
      <c r="A1180" s="729"/>
      <c r="B1180" s="302"/>
      <c r="C1180" s="357"/>
      <c r="D1180" s="1698"/>
      <c r="E1180" s="392" t="str">
        <f>Translations!$B$1328</f>
        <v>Средна годишна стойност</v>
      </c>
      <c r="F1180" s="392"/>
      <c r="G1180" s="392"/>
      <c r="H1180" s="485" t="s">
        <v>1052</v>
      </c>
      <c r="I1180" s="1716"/>
      <c r="J1180" s="1755" t="str">
        <f>IF(L1143=47,INDEX(H_SpecialBM!J:J,MATCH($P1180,H_SpecialBM!$Q:$Q,0)),"")</f>
        <v/>
      </c>
      <c r="K1180" s="1756" t="str">
        <f>IF(L1143=47,INDEX(H_SpecialBM!K:K,MATCH($P1180,H_SpecialBM!$Q:$Q,0)),"")</f>
        <v/>
      </c>
      <c r="L1180" s="1756" t="str">
        <f>IF(L1143=47,INDEX(H_SpecialBM!L:L,MATCH($P1180,H_SpecialBM!$Q:$Q,0)),"")</f>
        <v/>
      </c>
      <c r="M1180" s="1756" t="str">
        <f>IF(L1143=47,INDEX(H_SpecialBM!M:M,MATCH($P1180,H_SpecialBM!$Q:$Q,0)),"")</f>
        <v/>
      </c>
      <c r="N1180" s="1757" t="str">
        <f>IF(L1143=47,INDEX(H_SpecialBM!N:N,MATCH($P1180,H_SpecialBM!$Q:$Q,0)),"")</f>
        <v/>
      </c>
      <c r="O1180" s="698"/>
      <c r="P1180" s="1190" t="str">
        <f>EUconst_CNTR_VCMInitial &amp; INDEX(EUconst_BMlistNames,MATCH(47,EUconst_BMlistMainNumberOfBM,0))</f>
        <v>VCMIni_Винилхлориден мономер</v>
      </c>
      <c r="Q1180" s="729"/>
      <c r="R1180" s="729"/>
      <c r="S1180" s="729"/>
      <c r="T1180" s="729"/>
      <c r="U1180" s="343"/>
      <c r="V1180" s="343"/>
    </row>
    <row r="1181" spans="1:22" s="364" customFormat="1" ht="12.75" customHeight="1" x14ac:dyDescent="0.3">
      <c r="A1181" s="729"/>
      <c r="B1181" s="302"/>
      <c r="C1181" s="357"/>
      <c r="D1181" s="1698"/>
      <c r="E1181" s="398" t="str">
        <f>Translations!$B$1378</f>
        <v>Промяна в сравнение със стойността в НМИ</v>
      </c>
      <c r="F1181" s="398"/>
      <c r="G1181" s="398"/>
      <c r="H1181" s="1751" t="s">
        <v>1052</v>
      </c>
      <c r="I1181" s="1735"/>
      <c r="J1181" s="159" t="str">
        <f>IF(L1143=47,INDEX(H_SpecialBM!J:J,MATCH($P1181,H_SpecialBM!$Q:$Q,0)),"")</f>
        <v/>
      </c>
      <c r="K1181" s="160" t="str">
        <f>IF(L1143=47,INDEX(H_SpecialBM!K:K,MATCH($P1181,H_SpecialBM!$Q:$Q,0)),"")</f>
        <v/>
      </c>
      <c r="L1181" s="160" t="str">
        <f>IF(L1143=47,INDEX(H_SpecialBM!L:L,MATCH($P1181,H_SpecialBM!$Q:$Q,0)),"")</f>
        <v/>
      </c>
      <c r="M1181" s="160" t="str">
        <f>IF(L1143=47,INDEX(H_SpecialBM!M:M,MATCH($P1181,H_SpecialBM!$Q:$Q,0)),"")</f>
        <v/>
      </c>
      <c r="N1181" s="161" t="str">
        <f>IF(L1143=47,INDEX(H_SpecialBM!N:N,MATCH($P1181,H_SpecialBM!$Q:$Q,0)),"")</f>
        <v/>
      </c>
      <c r="O1181" s="698"/>
      <c r="P1181" s="1190" t="str">
        <f>EUconst_CNTR_RelThreshold &amp; P1183</f>
        <v>RelThresh_VCMprelim_</v>
      </c>
      <c r="Q1181" s="729"/>
      <c r="R1181" s="729"/>
      <c r="S1181" s="729"/>
      <c r="T1181" s="729"/>
      <c r="U1181" s="343"/>
      <c r="V1181" s="343"/>
    </row>
    <row r="1182" spans="1:22" s="364" customFormat="1" ht="12.75" customHeight="1" x14ac:dyDescent="0.3">
      <c r="A1182" s="729"/>
      <c r="B1182" s="302"/>
      <c r="C1182" s="357"/>
      <c r="D1182" s="1698"/>
      <c r="E1182" s="1736" t="str">
        <f>Translations!$B$1383</f>
        <v>Критерий 3г: Надвишени ли са относителните прагове?</v>
      </c>
      <c r="F1182" s="1736"/>
      <c r="G1182" s="1736"/>
      <c r="H1182" s="1738" t="s">
        <v>1052</v>
      </c>
      <c r="I1182" s="1738"/>
      <c r="J1182" s="1739" t="str">
        <f>IF(L1143=47,INDEX(H_SpecialBM!V:V,MATCH($P1182,H_SpecialBM!$Q:$Q,0)),"")</f>
        <v/>
      </c>
      <c r="K1182" s="1740" t="str">
        <f>IF(L1143=47,INDEX(H_SpecialBM!W:W,MATCH($P1182,H_SpecialBM!$Q:$Q,0)),"")</f>
        <v/>
      </c>
      <c r="L1182" s="1740" t="str">
        <f>IF(L1143=47,INDEX(H_SpecialBM!X:X,MATCH($P1182,H_SpecialBM!$Q:$Q,0)),"")</f>
        <v/>
      </c>
      <c r="M1182" s="1740" t="str">
        <f>IF(L1143=47,INDEX(H_SpecialBM!Y:Y,MATCH($P1182,H_SpecialBM!$Q:$Q,0)),"")</f>
        <v/>
      </c>
      <c r="N1182" s="1741" t="str">
        <f>IF(L1143=47,INDEX(H_SpecialBM!Z:Z,MATCH($P1182,H_SpecialBM!$Q:$Q,0)),"")</f>
        <v/>
      </c>
      <c r="O1182" s="698"/>
      <c r="P1182" s="1190" t="str">
        <f>P1181</f>
        <v>RelThresh_VCMprelim_</v>
      </c>
      <c r="Q1182" s="729"/>
      <c r="R1182" s="729"/>
      <c r="S1182" s="729"/>
      <c r="T1182" s="729"/>
      <c r="U1182" s="343"/>
      <c r="V1182" s="343"/>
    </row>
    <row r="1183" spans="1:22" s="364" customFormat="1" ht="12.75" customHeight="1" x14ac:dyDescent="0.3">
      <c r="A1183" s="729" t="str">
        <f>IF(P1183="","ausblenden","")</f>
        <v/>
      </c>
      <c r="B1183" s="302"/>
      <c r="C1183" s="357"/>
      <c r="D1183" s="1698"/>
      <c r="E1183" s="401" t="str">
        <f>Translations!$B$1377</f>
        <v>Предварителна стойност</v>
      </c>
      <c r="F1183" s="401"/>
      <c r="G1183" s="401"/>
      <c r="H1183" s="483" t="s">
        <v>1052</v>
      </c>
      <c r="I1183" s="1724"/>
      <c r="J1183" s="1758" t="str">
        <f>IF($L1143=47,IF(ISNUMBER(INDEX(H_SpecialBM!J:J,MATCH($P1183,H_SpecialBM!$Q:$Q,0))),INDEX(H_SpecialBM!J:J,MATCH($P1183,H_SpecialBM!$Q:$Q,0)),1),"")</f>
        <v/>
      </c>
      <c r="K1183" s="1759" t="str">
        <f>IF($L1143=47,IF(ISNUMBER(INDEX(H_SpecialBM!K:K,MATCH($P1183,H_SpecialBM!$Q:$Q,0))),INDEX(H_SpecialBM!K:K,MATCH($P1183,H_SpecialBM!$Q:$Q,0)),1),"")</f>
        <v/>
      </c>
      <c r="L1183" s="1759" t="str">
        <f>IF($L1143=47,IF(ISNUMBER(INDEX(H_SpecialBM!L:L,MATCH($P1183,H_SpecialBM!$Q:$Q,0))),INDEX(H_SpecialBM!L:L,MATCH($P1183,H_SpecialBM!$Q:$Q,0)),1),"")</f>
        <v/>
      </c>
      <c r="M1183" s="1759" t="str">
        <f>IF($L1143=47,IF(ISNUMBER(INDEX(H_SpecialBM!M:M,MATCH($P1183,H_SpecialBM!$Q:$Q,0))),INDEX(H_SpecialBM!M:M,MATCH($P1183,H_SpecialBM!$Q:$Q,0)),1),"")</f>
        <v/>
      </c>
      <c r="N1183" s="1760" t="str">
        <f>IF($L1143=47,IF(ISNUMBER(INDEX(H_SpecialBM!N:N,MATCH($P1183,H_SpecialBM!$Q:$Q,0))),INDEX(H_SpecialBM!N:N,MATCH($P1183,H_SpecialBM!$Q:$Q,0)),1),"")</f>
        <v/>
      </c>
      <c r="O1183" s="698"/>
      <c r="P1183" s="1190" t="str">
        <f>EUconst_CNTR_VCMprelim</f>
        <v>VCMprelim_</v>
      </c>
      <c r="Q1183" s="729"/>
      <c r="R1183" s="729"/>
      <c r="S1183" s="729"/>
      <c r="T1183" s="729"/>
      <c r="U1183" s="343"/>
      <c r="V1183" s="343"/>
    </row>
    <row r="1184" spans="1:22" s="364" customFormat="1" ht="5.15" customHeight="1" x14ac:dyDescent="0.3">
      <c r="A1184" s="729"/>
      <c r="B1184" s="302"/>
      <c r="C1184" s="357"/>
      <c r="D1184" s="1698"/>
      <c r="E1184" s="302"/>
      <c r="F1184" s="302"/>
      <c r="G1184" s="302"/>
      <c r="H1184" s="302"/>
      <c r="I1184" s="1746"/>
      <c r="J1184" s="302"/>
      <c r="K1184" s="302"/>
      <c r="L1184" s="302"/>
      <c r="M1184" s="302"/>
      <c r="N1184" s="1747"/>
      <c r="O1184" s="698"/>
      <c r="P1184" s="729"/>
      <c r="Q1184" s="729"/>
      <c r="R1184" s="729"/>
      <c r="S1184" s="729"/>
      <c r="T1184" s="729"/>
      <c r="U1184" s="343"/>
      <c r="V1184" s="343"/>
    </row>
    <row r="1185" spans="1:22" s="364" customFormat="1" ht="12.75" customHeight="1" x14ac:dyDescent="0.3">
      <c r="A1185" s="729"/>
      <c r="B1185" s="302"/>
      <c r="C1185" s="357"/>
      <c r="D1185" s="1698"/>
      <c r="E1185" s="389" t="str">
        <f>Translations!$B$1386</f>
        <v>Промени: Изгорен във факел отпаден газ</v>
      </c>
      <c r="F1185" s="498"/>
      <c r="G1185" s="498"/>
      <c r="H1185" s="527" t="str">
        <f>EUconst_Unit</f>
        <v>Единица мярка</v>
      </c>
      <c r="I1185" s="1699"/>
      <c r="J1185" s="1523">
        <f>J$2505</f>
        <v>2026</v>
      </c>
      <c r="K1185" s="387">
        <f>K$2505</f>
        <v>2027</v>
      </c>
      <c r="L1185" s="387">
        <f>L$2505</f>
        <v>2028</v>
      </c>
      <c r="M1185" s="387">
        <f>M$2505</f>
        <v>2029</v>
      </c>
      <c r="N1185" s="1544">
        <f>N$2505</f>
        <v>2030</v>
      </c>
      <c r="O1185" s="698"/>
      <c r="P1185" s="729"/>
      <c r="Q1185" s="729"/>
      <c r="R1185" s="729"/>
      <c r="S1185" s="729"/>
      <c r="T1185" s="729"/>
      <c r="U1185" s="343"/>
      <c r="V1185" s="343"/>
    </row>
    <row r="1186" spans="1:22" s="364" customFormat="1" ht="12.75" customHeight="1" x14ac:dyDescent="0.3">
      <c r="A1186" s="729"/>
      <c r="B1186" s="302"/>
      <c r="C1186" s="357"/>
      <c r="D1186" s="1698"/>
      <c r="E1186" s="392" t="str">
        <f>Translations!$B$1328</f>
        <v>Средна годишна стойност</v>
      </c>
      <c r="F1186" s="392"/>
      <c r="G1186" s="392"/>
      <c r="H1186" s="485" t="str">
        <f>EUconst_tCO2</f>
        <v>t CO2</v>
      </c>
      <c r="I1186" s="1716"/>
      <c r="J1186" s="1732" t="str">
        <f>INDEX(F_ProductBM!J:J,MATCH($P1186,F_ProductBM!$Q:$Q,0))</f>
        <v/>
      </c>
      <c r="K1186" s="394" t="str">
        <f>INDEX(F_ProductBM!K:K,MATCH($P1186,F_ProductBM!$Q:$Q,0))</f>
        <v/>
      </c>
      <c r="L1186" s="394" t="str">
        <f>INDEX(F_ProductBM!L:L,MATCH($P1186,F_ProductBM!$Q:$Q,0))</f>
        <v/>
      </c>
      <c r="M1186" s="394" t="str">
        <f>INDEX(F_ProductBM!M:M,MATCH($P1186,F_ProductBM!$Q:$Q,0))</f>
        <v/>
      </c>
      <c r="N1186" s="1733" t="str">
        <f>INDEX(F_ProductBM!N:N,MATCH($P1186,F_ProductBM!$Q:$Q,0))</f>
        <v/>
      </c>
      <c r="O1186" s="698"/>
      <c r="P1186" s="1190" t="str">
        <f>EUconst_CNTR_HALinitial &amp; EUconst_CNTR_WGFlared &amp; I1140</f>
        <v>HALini_WasteGasFlare_</v>
      </c>
      <c r="Q1186" s="729"/>
      <c r="R1186" s="729"/>
      <c r="S1186" s="729"/>
      <c r="T1186" s="729"/>
      <c r="U1186" s="343"/>
      <c r="V1186" s="343"/>
    </row>
    <row r="1187" spans="1:22" s="364" customFormat="1" ht="12.75" customHeight="1" x14ac:dyDescent="0.3">
      <c r="A1187" s="729"/>
      <c r="B1187" s="302"/>
      <c r="C1187" s="357"/>
      <c r="D1187" s="1698"/>
      <c r="E1187" s="398" t="str">
        <f>Translations!$B$1378</f>
        <v>Промяна в сравнение със стойността в НМИ</v>
      </c>
      <c r="F1187" s="398"/>
      <c r="G1187" s="398"/>
      <c r="H1187" s="1734" t="s">
        <v>1052</v>
      </c>
      <c r="I1187" s="1735"/>
      <c r="J1187" s="159" t="str">
        <f>INDEX(F_ProductBM!J:J,MATCH($P1187,F_ProductBM!$Q:$Q,0))</f>
        <v/>
      </c>
      <c r="K1187" s="160" t="str">
        <f>INDEX(F_ProductBM!K:K,MATCH($P1187,F_ProductBM!$Q:$Q,0))</f>
        <v/>
      </c>
      <c r="L1187" s="160" t="str">
        <f>INDEX(F_ProductBM!L:L,MATCH($P1187,F_ProductBM!$Q:$Q,0))</f>
        <v/>
      </c>
      <c r="M1187" s="160" t="str">
        <f>INDEX(F_ProductBM!M:M,MATCH($P1187,F_ProductBM!$Q:$Q,0))</f>
        <v/>
      </c>
      <c r="N1187" s="161" t="str">
        <f>INDEX(F_ProductBM!N:N,MATCH($P1187,F_ProductBM!$Q:$Q,0))</f>
        <v/>
      </c>
      <c r="O1187" s="698"/>
      <c r="P1187" s="1190" t="str">
        <f>EUconst_CNTR_RelThreshold &amp; P1189</f>
        <v>RelThresh_HALprelim_WasteGasFlare_</v>
      </c>
      <c r="Q1187" s="729"/>
      <c r="R1187" s="729"/>
      <c r="S1187" s="729"/>
      <c r="T1187" s="729"/>
      <c r="U1187" s="343"/>
      <c r="V1187" s="343"/>
    </row>
    <row r="1188" spans="1:22" s="364" customFormat="1" ht="12.75" customHeight="1" x14ac:dyDescent="0.3">
      <c r="A1188" s="729"/>
      <c r="B1188" s="302"/>
      <c r="C1188" s="357"/>
      <c r="D1188" s="1698"/>
      <c r="E1188" s="1736" t="str">
        <f>Translations!$B$1385</f>
        <v>Критерий 3д: Надвишени ли са относителните прагове?</v>
      </c>
      <c r="F1188" s="1736"/>
      <c r="G1188" s="1736"/>
      <c r="H1188" s="1737" t="s">
        <v>1052</v>
      </c>
      <c r="I1188" s="1738"/>
      <c r="J1188" s="1739" t="str">
        <f>INDEX(F_ProductBM!V:V,MATCH($P1188,F_ProductBM!$Q:$Q,0))</f>
        <v/>
      </c>
      <c r="K1188" s="1740" t="str">
        <f>INDEX(F_ProductBM!W:W,MATCH($P1188,F_ProductBM!$Q:$Q,0))</f>
        <v/>
      </c>
      <c r="L1188" s="1740" t="str">
        <f>INDEX(F_ProductBM!X:X,MATCH($P1188,F_ProductBM!$Q:$Q,0))</f>
        <v/>
      </c>
      <c r="M1188" s="1740" t="str">
        <f>INDEX(F_ProductBM!Y:Y,MATCH($P1188,F_ProductBM!$Q:$Q,0))</f>
        <v/>
      </c>
      <c r="N1188" s="1741" t="str">
        <f>INDEX(F_ProductBM!Z:Z,MATCH($P1188,F_ProductBM!$Q:$Q,0))</f>
        <v/>
      </c>
      <c r="O1188" s="698"/>
      <c r="P1188" s="1190" t="str">
        <f>P1187</f>
        <v>RelThresh_HALprelim_WasteGasFlare_</v>
      </c>
      <c r="Q1188" s="729"/>
      <c r="R1188" s="729"/>
      <c r="S1188" s="729"/>
      <c r="T1188" s="729"/>
      <c r="U1188" s="343"/>
      <c r="V1188" s="343"/>
    </row>
    <row r="1189" spans="1:22" s="364" customFormat="1" ht="12.75" customHeight="1" x14ac:dyDescent="0.3">
      <c r="A1189" s="729" t="str">
        <f>IF(P1189="","ausblenden","")</f>
        <v/>
      </c>
      <c r="B1189" s="302"/>
      <c r="C1189" s="357"/>
      <c r="D1189" s="1698"/>
      <c r="E1189" s="401" t="str">
        <f>Translations!$B$1377</f>
        <v>Предварителна стойност</v>
      </c>
      <c r="F1189" s="401"/>
      <c r="G1189" s="401"/>
      <c r="H1189" s="483" t="str">
        <f>EUconst_tCO2</f>
        <v>t CO2</v>
      </c>
      <c r="I1189" s="1724"/>
      <c r="J1189" s="1743" t="str">
        <f>IF(OR($I1140="",CNTR_SubPeriod=1),"",INDEX(F_ProductBM!J:J,MATCH($P1189,F_ProductBM!$Q:$Q,0)))</f>
        <v/>
      </c>
      <c r="K1189" s="1744" t="str">
        <f>IF(OR($I1140="",CNTR_SubPeriod=1),"",INDEX(F_ProductBM!K:K,MATCH($P1189,F_ProductBM!$Q:$Q,0)))</f>
        <v/>
      </c>
      <c r="L1189" s="1744" t="str">
        <f>IF(OR($I1140="",CNTR_SubPeriod=1),"",INDEX(F_ProductBM!L:L,MATCH($P1189,F_ProductBM!$Q:$Q,0)))</f>
        <v/>
      </c>
      <c r="M1189" s="1744" t="str">
        <f>IF(OR($I1140="",CNTR_SubPeriod=1),"",INDEX(F_ProductBM!M:M,MATCH($P1189,F_ProductBM!$Q:$Q,0)))</f>
        <v/>
      </c>
      <c r="N1189" s="1745" t="str">
        <f>IF(OR($I1140="",CNTR_SubPeriod=1),"",INDEX(F_ProductBM!N:N,MATCH($P1189,F_ProductBM!$Q:$Q,0)))</f>
        <v/>
      </c>
      <c r="O1189" s="698"/>
      <c r="P1189" s="1190" t="str">
        <f>EUconst_CNTR_HALprelim&amp;EUconst_CNTR_WGFlared&amp;$I1140</f>
        <v>HALprelim_WasteGasFlare_</v>
      </c>
      <c r="Q1189" s="729"/>
      <c r="R1189" s="729"/>
      <c r="S1189" s="729"/>
      <c r="T1189" s="729"/>
      <c r="U1189" s="343"/>
      <c r="V1189" s="343"/>
    </row>
    <row r="1190" spans="1:22" s="364" customFormat="1" ht="12.75" customHeight="1" thickBot="1" x14ac:dyDescent="0.35">
      <c r="A1190" s="729"/>
      <c r="B1190" s="302"/>
      <c r="C1190" s="357"/>
      <c r="D1190" s="1761"/>
      <c r="E1190" s="1762"/>
      <c r="F1190" s="1762"/>
      <c r="G1190" s="1762"/>
      <c r="H1190" s="1762"/>
      <c r="I1190" s="1763"/>
      <c r="J1190" s="1762"/>
      <c r="K1190" s="1762"/>
      <c r="L1190" s="1762"/>
      <c r="M1190" s="1762"/>
      <c r="N1190" s="1764"/>
      <c r="O1190" s="698"/>
      <c r="P1190" s="729"/>
      <c r="Q1190" s="729"/>
      <c r="R1190" s="729"/>
      <c r="S1190" s="729"/>
      <c r="T1190" s="729"/>
      <c r="U1190" s="343"/>
      <c r="V1190" s="343"/>
    </row>
    <row r="1191" spans="1:22" s="364" customFormat="1" ht="5.15" customHeight="1" thickBot="1" x14ac:dyDescent="0.35">
      <c r="A1191" s="729"/>
      <c r="B1191" s="302"/>
      <c r="C1191" s="357"/>
      <c r="D1191" s="357"/>
      <c r="E1191" s="302"/>
      <c r="F1191" s="302"/>
      <c r="G1191" s="302"/>
      <c r="H1191" s="302"/>
      <c r="I1191" s="1746"/>
      <c r="J1191" s="302"/>
      <c r="K1191" s="302"/>
      <c r="L1191" s="302"/>
      <c r="M1191" s="302"/>
      <c r="N1191" s="302"/>
      <c r="O1191" s="698"/>
      <c r="P1191" s="729"/>
      <c r="Q1191" s="729"/>
      <c r="R1191" s="729"/>
      <c r="S1191" s="729"/>
      <c r="T1191" s="729"/>
      <c r="U1191" s="343"/>
      <c r="V1191" s="343"/>
    </row>
    <row r="1192" spans="1:22" s="364" customFormat="1" ht="5.15" customHeight="1" x14ac:dyDescent="0.25">
      <c r="A1192" s="729"/>
      <c r="B1192" s="302"/>
      <c r="C1192" s="302"/>
      <c r="D1192" s="1765"/>
      <c r="E1192" s="1766"/>
      <c r="F1192" s="1766"/>
      <c r="G1192" s="1766"/>
      <c r="H1192" s="1766"/>
      <c r="I1192" s="1767"/>
      <c r="J1192" s="1766"/>
      <c r="K1192" s="1766"/>
      <c r="L1192" s="1766"/>
      <c r="M1192" s="1766"/>
      <c r="N1192" s="1768"/>
      <c r="O1192" s="698"/>
      <c r="P1192" s="729"/>
      <c r="Q1192" s="729"/>
      <c r="R1192" s="729"/>
      <c r="S1192" s="729"/>
      <c r="T1192" s="770"/>
      <c r="U1192" s="343"/>
      <c r="V1192" s="343"/>
    </row>
    <row r="1193" spans="1:22" s="364" customFormat="1" ht="13" x14ac:dyDescent="0.25">
      <c r="A1193" s="729"/>
      <c r="B1193" s="302"/>
      <c r="C1193" s="302"/>
      <c r="D1193" s="344"/>
      <c r="E1193" s="1769" t="str">
        <f>Translations!$B$1583</f>
        <v>Предварителни стойности за критерий &gt; 300 EUA</v>
      </c>
      <c r="F1193" s="1746"/>
      <c r="G1193" s="1746"/>
      <c r="H1193" s="1699" t="str">
        <f>EUconst_Unit</f>
        <v>Единица мярка</v>
      </c>
      <c r="I1193" s="1770" t="str">
        <f>Translations!$B$1341</f>
        <v>Базова стойност</v>
      </c>
      <c r="J1193" s="1771">
        <f>J$2505</f>
        <v>2026</v>
      </c>
      <c r="K1193" s="1772">
        <f>K$2505</f>
        <v>2027</v>
      </c>
      <c r="L1193" s="1772">
        <f>L$2505</f>
        <v>2028</v>
      </c>
      <c r="M1193" s="1772">
        <f>M$2505</f>
        <v>2029</v>
      </c>
      <c r="N1193" s="1773">
        <f>N$2505</f>
        <v>2030</v>
      </c>
      <c r="O1193" s="698"/>
      <c r="P1193" s="729"/>
      <c r="Q1193" s="729"/>
      <c r="R1193" s="729"/>
      <c r="S1193" s="729"/>
      <c r="T1193" s="729"/>
      <c r="U1193" s="729"/>
      <c r="V1193" s="729"/>
    </row>
    <row r="1194" spans="1:22" s="364" customFormat="1" x14ac:dyDescent="0.25">
      <c r="A1194" s="729"/>
      <c r="B1194" s="302"/>
      <c r="C1194" s="302"/>
      <c r="D1194" s="344"/>
      <c r="E1194" s="1774" t="str">
        <f>Translations!$B$1388</f>
        <v>Равнище на дейност</v>
      </c>
      <c r="F1194" s="1774"/>
      <c r="G1194" s="1774"/>
      <c r="H1194" s="1775" t="str">
        <f>F1146</f>
        <v>тона</v>
      </c>
      <c r="I1194" s="1776" t="str">
        <f>IF($I1140="","",IF(T1211&gt;=$H$2505,0,S1206))</f>
        <v/>
      </c>
      <c r="J1194" s="1717" t="str">
        <f>IF($I1140="","",INDEX(F_ProductBM!J:J,MATCH($P1194,F_ProductBM!$Q:$Q,0)))</f>
        <v/>
      </c>
      <c r="K1194" s="1718" t="str">
        <f>IF($I1140="","",INDEX(F_ProductBM!K:K,MATCH($P1194,F_ProductBM!$Q:$Q,0)))</f>
        <v/>
      </c>
      <c r="L1194" s="1718" t="str">
        <f>IF($I1140="","",INDEX(F_ProductBM!L:L,MATCH($P1194,F_ProductBM!$Q:$Q,0)))</f>
        <v/>
      </c>
      <c r="M1194" s="1718" t="str">
        <f>IF($I1140="","",INDEX(F_ProductBM!M:M,MATCH($P1194,F_ProductBM!$Q:$Q,0)))</f>
        <v/>
      </c>
      <c r="N1194" s="1719" t="str">
        <f>IF($I1140="","",INDEX(F_ProductBM!N:N,MATCH($P1194,F_ProductBM!$Q:$Q,0)))</f>
        <v/>
      </c>
      <c r="O1194" s="698"/>
      <c r="P1194" s="1190" t="str">
        <f>EUconst_CNTR_HALprelim&amp;I1140</f>
        <v>HALprelim_</v>
      </c>
      <c r="Q1194" s="729"/>
      <c r="R1194" s="729"/>
      <c r="S1194" s="729"/>
      <c r="T1194" s="729"/>
      <c r="U1194" s="729"/>
      <c r="V1194" s="729"/>
    </row>
    <row r="1195" spans="1:22" s="364" customFormat="1" x14ac:dyDescent="0.25">
      <c r="A1195" s="729"/>
      <c r="B1195" s="302"/>
      <c r="C1195" s="302"/>
      <c r="D1195" s="344"/>
      <c r="E1195" s="1777" t="str">
        <f>Translations!$B$949</f>
        <v>топл. ен. извън СТЕ</v>
      </c>
      <c r="F1195" s="1777"/>
      <c r="G1195" s="1777"/>
      <c r="H1195" s="1778" t="str">
        <f>EUconst_EUA</f>
        <v>Квота за емисии</v>
      </c>
      <c r="I1195" s="1779" t="str">
        <f>IF($I1140="","",IF(YEAR(J1143)&gt;=$H$2505-1,0,S1207))</f>
        <v/>
      </c>
      <c r="J1195" s="1780" t="str">
        <f>IF($I$500="","",INDEX(F_ProductBM!J:J,MATCH($P1195,F_ProductBM!$Q:$Q,0)))</f>
        <v/>
      </c>
      <c r="K1195" s="1781" t="str">
        <f>IF($I$500="","",INDEX(F_ProductBM!K:K,MATCH($P1195,F_ProductBM!$Q:$Q,0)))</f>
        <v/>
      </c>
      <c r="L1195" s="1781" t="str">
        <f>IF($I$500="","",INDEX(F_ProductBM!L:L,MATCH($P1195,F_ProductBM!$Q:$Q,0)))</f>
        <v/>
      </c>
      <c r="M1195" s="1781" t="str">
        <f>IF($I$500="","",INDEX(F_ProductBM!M:M,MATCH($P1195,F_ProductBM!$Q:$Q,0)))</f>
        <v/>
      </c>
      <c r="N1195" s="1782" t="str">
        <f>IF($I$500="","",INDEX(F_ProductBM!N:N,MATCH($P1195,F_ProductBM!$Q:$Q,0)))</f>
        <v/>
      </c>
      <c r="O1195" s="698"/>
      <c r="P1195" s="1190" t="str">
        <f>EUconst_CNTR_HEATprelim&amp;I1140</f>
        <v>HEATprelim_</v>
      </c>
      <c r="Q1195" s="729"/>
      <c r="R1195" s="729"/>
      <c r="S1195" s="729"/>
      <c r="T1195" s="729"/>
      <c r="U1195" s="729"/>
      <c r="V1195" s="729"/>
    </row>
    <row r="1196" spans="1:22" s="364" customFormat="1" x14ac:dyDescent="0.25">
      <c r="A1196" s="729"/>
      <c r="B1196" s="302"/>
      <c r="C1196" s="302"/>
      <c r="D1196" s="344"/>
      <c r="E1196" s="1783" t="str">
        <f>Translations!$B$951</f>
        <v>WGflare</v>
      </c>
      <c r="F1196" s="1783"/>
      <c r="G1196" s="1783"/>
      <c r="H1196" s="1784" t="str">
        <f>EUconst_EUA</f>
        <v>Квота за емисии</v>
      </c>
      <c r="I1196" s="1785" t="str">
        <f>IF($I1140="","",IF(T1211&gt;=$H$2505,0,S1208))</f>
        <v/>
      </c>
      <c r="J1196" s="1721" t="str">
        <f>IF($I1140="","",INDEX(F_ProductBM!J:J,MATCH($P1196,F_ProductBM!$Q:$Q,0)))</f>
        <v/>
      </c>
      <c r="K1196" s="1722" t="str">
        <f>IF($I1140="","",INDEX(F_ProductBM!K:K,MATCH($P1196,F_ProductBM!$Q:$Q,0)))</f>
        <v/>
      </c>
      <c r="L1196" s="1722" t="str">
        <f>IF($I1140="","",INDEX(F_ProductBM!L:L,MATCH($P1196,F_ProductBM!$Q:$Q,0)))</f>
        <v/>
      </c>
      <c r="M1196" s="1722" t="str">
        <f>IF($I1140="","",INDEX(F_ProductBM!M:M,MATCH($P1196,F_ProductBM!$Q:$Q,0)))</f>
        <v/>
      </c>
      <c r="N1196" s="1723" t="str">
        <f>IF($I1140="","",INDEX(F_ProductBM!N:N,MATCH($P1196,F_ProductBM!$Q:$Q,0)))</f>
        <v/>
      </c>
      <c r="O1196" s="698"/>
      <c r="P1196" s="1190" t="str">
        <f>EUconst_CNTR_HALprelim&amp;EUconst_CNTR_WGFlared&amp;$I1140</f>
        <v>HALprelim_WasteGasFlare_</v>
      </c>
      <c r="Q1196" s="729"/>
      <c r="R1196" s="729"/>
      <c r="S1196" s="729"/>
      <c r="T1196" s="729"/>
      <c r="U1196" s="729"/>
      <c r="V1196" s="729"/>
    </row>
    <row r="1197" spans="1:22" s="364" customFormat="1" x14ac:dyDescent="0.25">
      <c r="A1197" s="729"/>
      <c r="B1197" s="302"/>
      <c r="C1197" s="302"/>
      <c r="D1197" s="344"/>
      <c r="E1197" s="1783" t="s">
        <v>1442</v>
      </c>
      <c r="F1197" s="1783"/>
      <c r="G1197" s="1783"/>
      <c r="H1197" s="1784" t="str">
        <f>EUconst_EUA</f>
        <v>Квота за емисии</v>
      </c>
      <c r="I1197" s="1785" t="str">
        <f>IF($I1140="","",IF(T1211&gt;=$H$2505,0,IF(L1143=42,S1209,0)))</f>
        <v/>
      </c>
      <c r="J1197" s="1721" t="str">
        <f>IF($I1140="","",IF($L1143=42,INDEX(H_SpecialBM!J:J,MATCH($P1197,H_SpecialBM!$Q:$Q,0)),0))</f>
        <v/>
      </c>
      <c r="K1197" s="1722" t="str">
        <f>IF($I1140="","",IF($L1143=42,INDEX(H_SpecialBM!K:K,MATCH($P1197,H_SpecialBM!$Q:$Q,0)),0))</f>
        <v/>
      </c>
      <c r="L1197" s="1722" t="str">
        <f>IF($I1140="","",IF($L1143=42,INDEX(H_SpecialBM!L:L,MATCH($P1197,H_SpecialBM!$Q:$Q,0)),0))</f>
        <v/>
      </c>
      <c r="M1197" s="1722" t="str">
        <f>IF($I1140="","",IF($L1143=42,INDEX(H_SpecialBM!M:M,MATCH($P1197,H_SpecialBM!$Q:$Q,0)),0))</f>
        <v/>
      </c>
      <c r="N1197" s="1723" t="str">
        <f>IF($I1140="","",IF($L1143=42,INDEX(H_SpecialBM!N:N,MATCH($P1197,H_SpecialBM!$Q:$Q,0)),0))</f>
        <v/>
      </c>
      <c r="O1197" s="698"/>
      <c r="P1197" s="1190" t="str">
        <f>EUconst_CNTR_HVCprelim</f>
        <v>HVCprelim_</v>
      </c>
      <c r="Q1197" s="729"/>
      <c r="R1197" s="729"/>
      <c r="S1197" s="729"/>
      <c r="T1197" s="729"/>
      <c r="U1197" s="729"/>
      <c r="V1197" s="729"/>
    </row>
    <row r="1198" spans="1:22" s="364" customFormat="1" x14ac:dyDescent="0.25">
      <c r="A1198" s="729"/>
      <c r="B1198" s="302"/>
      <c r="C1198" s="302"/>
      <c r="D1198" s="344"/>
      <c r="E1198" s="1786" t="s">
        <v>1443</v>
      </c>
      <c r="F1198" s="1786"/>
      <c r="G1198" s="1786"/>
      <c r="H1198" s="1787" t="s">
        <v>1052</v>
      </c>
      <c r="I1198" s="1788" t="str">
        <f>IF($I1140="","",IF($L1143=47,IF(AND(ISNUMBER(S1210),YEAR(J1143)&lt;$J$2505),S1210,1),1))</f>
        <v/>
      </c>
      <c r="J1198" s="1725" t="str">
        <f>IF($I1140="","",IF($L1143=47,IF(ISNUMBER(INDEX(H_SpecialBM!J:J,MATCH($P1198,H_SpecialBM!$Q:$Q,0))),INDEX(H_SpecialBM!J:J,MATCH($P1198,H_SpecialBM!$Q:$Q,0)),1),1))</f>
        <v/>
      </c>
      <c r="K1198" s="1726" t="str">
        <f>IF($I1140="","",IF($L1143=47,IF(ISNUMBER(INDEX(H_SpecialBM!K:K,MATCH($P1198,H_SpecialBM!$Q:$Q,0))),INDEX(H_SpecialBM!K:K,MATCH($P1198,H_SpecialBM!$Q:$Q,0)),1),1))</f>
        <v/>
      </c>
      <c r="L1198" s="1726" t="str">
        <f>IF($I1140="","",IF($L1143=47,IF(ISNUMBER(INDEX(H_SpecialBM!L:L,MATCH($P1198,H_SpecialBM!$Q:$Q,0))),INDEX(H_SpecialBM!L:L,MATCH($P1198,H_SpecialBM!$Q:$Q,0)),1),1))</f>
        <v/>
      </c>
      <c r="M1198" s="1726" t="str">
        <f>IF($I1140="","",IF($L1143=47,IF(ISNUMBER(INDEX(H_SpecialBM!M:M,MATCH($P1198,H_SpecialBM!$Q:$Q,0))),INDEX(H_SpecialBM!M:M,MATCH($P1198,H_SpecialBM!$Q:$Q,0)),1),1))</f>
        <v/>
      </c>
      <c r="N1198" s="1727" t="str">
        <f>IF($I1140="","",IF($L1143=47,IF(ISNUMBER(INDEX(H_SpecialBM!N:N,MATCH($P1198,H_SpecialBM!$Q:$Q,0))),INDEX(H_SpecialBM!N:N,MATCH($P1198,H_SpecialBM!$Q:$Q,0)),1),1))</f>
        <v/>
      </c>
      <c r="O1198" s="698"/>
      <c r="P1198" s="1190" t="str">
        <f>EUconst_CNTR_VCMprelim</f>
        <v>VCMprelim_</v>
      </c>
      <c r="Q1198" s="729"/>
      <c r="R1198" s="729"/>
      <c r="S1198" s="729"/>
      <c r="T1198" s="729"/>
      <c r="U1198" s="729"/>
      <c r="V1198" s="729"/>
    </row>
    <row r="1199" spans="1:22" s="364" customFormat="1" x14ac:dyDescent="0.25">
      <c r="A1199" s="729"/>
      <c r="B1199" s="302"/>
      <c r="C1199" s="302"/>
      <c r="D1199" s="344"/>
      <c r="E1199" s="1789" t="str">
        <f>Translations!$B$1377</f>
        <v>Предварителна стойност</v>
      </c>
      <c r="F1199" s="1789"/>
      <c r="G1199" s="1789"/>
      <c r="H1199" s="1790" t="str">
        <f>EUconst_EUA</f>
        <v>Квота за емисии</v>
      </c>
      <c r="I1199" s="1791" t="str">
        <f>IF($I1140="","",MAX(0,ROUND((SUM($M1143)*SUM(I1194)*SUM(I1198)-SUM(I1195)-SUM(I1196)+SUM(I1197))*IF($H1143=TRUE,1,J$2412),0)))</f>
        <v/>
      </c>
      <c r="J1199" s="1714" t="str">
        <f>IF($I1140="","",MAX(0,ROUND((SUM($M1143)*SUM(J1194)*SUM(J1198)-SUM(J1195)-SUM(J1196)+SUM(J1197))*IF($H1143=TRUE,1,J$2412)*IF($I1143=TRUE,INDEX(EUconst_CBAMFactor,J1149-2020),1),0)))</f>
        <v/>
      </c>
      <c r="K1199" s="1693" t="str">
        <f>IF($I1140="","",MAX(0,ROUND((SUM($M1143)*SUM(K1194)*SUM(K1198)-SUM(K1195)-SUM(K1196)+SUM(K1197))*IF($H1143=TRUE,1,K$2412)*IF($I1143=TRUE,INDEX(EUconst_CBAMFactor,K1149-2020),1),0)))</f>
        <v/>
      </c>
      <c r="L1199" s="1693" t="str">
        <f>IF($I1140="","",MAX(0,ROUND((SUM($M1143)*SUM(L1194)*SUM(L1198)-SUM(L1195)-SUM(L1196)+SUM(L1197))*IF($H1143=TRUE,1,L$2412)*IF($I1143=TRUE,INDEX(EUconst_CBAMFactor,L1149-2020),1),0)))</f>
        <v/>
      </c>
      <c r="M1199" s="1693" t="str">
        <f>IF($I1140="","",MAX(0,ROUND((SUM($M1143)*SUM(M1194)*SUM(M1198)-SUM(M1195)-SUM(M1196)+SUM(M1197))*IF($H1143=TRUE,1,M$2412)*IF($I1143=TRUE,INDEX(EUconst_CBAMFactor,M1149-2020),1),0)))</f>
        <v/>
      </c>
      <c r="N1199" s="1715" t="str">
        <f>IF($I1140="","",MAX(0,ROUND((SUM($M1143)*SUM(N1194)*SUM(N1198)-SUM(N1195)-SUM(N1196)+SUM(N1197))*IF($H1143=TRUE,1,N$2412)*IF($I1143=TRUE,INDEX(EUconst_CBAMFactor,N1149-2020),1),0)))</f>
        <v/>
      </c>
      <c r="O1199" s="698"/>
      <c r="P1199" s="729"/>
      <c r="Q1199" s="729"/>
      <c r="R1199" s="729"/>
      <c r="S1199" s="729"/>
      <c r="T1199" s="729"/>
      <c r="U1199" s="729"/>
      <c r="V1199" s="729"/>
    </row>
    <row r="1200" spans="1:22" s="364" customFormat="1" x14ac:dyDescent="0.25">
      <c r="A1200" s="729"/>
      <c r="B1200" s="302"/>
      <c r="C1200" s="302"/>
      <c r="D1200" s="344"/>
      <c r="E1200" s="388" t="str">
        <f>Translations!$B$1584</f>
        <v>Разлика в предварителната стойност</v>
      </c>
      <c r="F1200" s="388"/>
      <c r="G1200" s="388"/>
      <c r="H1200" s="421" t="str">
        <f>EUconst_EUA</f>
        <v>Квота за емисии</v>
      </c>
      <c r="I1200" s="1792"/>
      <c r="J1200" s="1793" t="str">
        <f>IF(J1199="","",SUM(J1199)-SUM(J1159))</f>
        <v/>
      </c>
      <c r="K1200" s="998" t="str">
        <f t="shared" ref="K1200" si="101">IF(K1199="","",SUM(K1199)-SUM(K1159))</f>
        <v/>
      </c>
      <c r="L1200" s="998" t="str">
        <f t="shared" ref="L1200:N1200" si="102">IF(L1199="","",SUM(L1199)-SUM(L1159))</f>
        <v/>
      </c>
      <c r="M1200" s="998" t="str">
        <f t="shared" si="102"/>
        <v/>
      </c>
      <c r="N1200" s="1794" t="str">
        <f t="shared" si="102"/>
        <v/>
      </c>
      <c r="O1200" s="698"/>
      <c r="P1200" s="729"/>
      <c r="Q1200" s="729"/>
      <c r="R1200" s="729"/>
      <c r="S1200" s="1795"/>
      <c r="T1200" s="1165"/>
      <c r="U1200" s="711"/>
      <c r="V1200" s="343"/>
    </row>
    <row r="1201" spans="1:22" s="364" customFormat="1" x14ac:dyDescent="0.25">
      <c r="A1201" s="729"/>
      <c r="B1201" s="302"/>
      <c r="C1201" s="302"/>
      <c r="D1201" s="344"/>
      <c r="E1201" s="1796" t="str">
        <f>Translations!$B$1581</f>
        <v>Критерий 4: Разлика от поне 300 квоти за емисии?</v>
      </c>
      <c r="F1201" s="1796"/>
      <c r="G1201" s="1796"/>
      <c r="H1201" s="1797" t="s">
        <v>1052</v>
      </c>
      <c r="I1201" s="1792"/>
      <c r="J1201" s="1798" t="str">
        <f>IF(J1200="","",ABS(J1200)&gt;=300)</f>
        <v/>
      </c>
      <c r="K1201" s="1799" t="str">
        <f t="shared" ref="K1201:N1201" si="103">IF(K1200="","",ABS(K1200)&gt;=300)</f>
        <v/>
      </c>
      <c r="L1201" s="1799" t="str">
        <f t="shared" si="103"/>
        <v/>
      </c>
      <c r="M1201" s="1799" t="str">
        <f t="shared" si="103"/>
        <v/>
      </c>
      <c r="N1201" s="1800" t="str">
        <f t="shared" si="103"/>
        <v/>
      </c>
      <c r="O1201" s="698"/>
      <c r="P1201" s="1190" t="str">
        <f>EUconst_CNTR_300EUA&amp;I1140</f>
        <v>EUA300_</v>
      </c>
      <c r="Q1201" s="1174" t="s">
        <v>2547</v>
      </c>
      <c r="R1201" s="280" t="str">
        <f>IF($I1140="","",IF(R1145&gt;$U1143,0%,INDEX(F_ProductBM!V:V,MATCH($P1201,F_ProductBM!$Q:$Q,0))))</f>
        <v/>
      </c>
      <c r="S1201" s="280" t="str">
        <f>IF($I1140="","",IF(S1145&gt;$U1143,0%,INDEX(F_ProductBM!W:W,MATCH($P1201,F_ProductBM!$Q:$Q,0))))</f>
        <v/>
      </c>
      <c r="T1201" s="280" t="str">
        <f>IF($I1140="","",IF(T1145&gt;$U1143,0%,INDEX(F_ProductBM!X:X,MATCH($P1201,F_ProductBM!$Q:$Q,0))))</f>
        <v/>
      </c>
      <c r="U1201" s="280" t="str">
        <f>IF($I1140="","",IF(U1145&gt;$U1143,0%,INDEX(F_ProductBM!Y:Y,MATCH($P1201,F_ProductBM!$Q:$Q,0))))</f>
        <v/>
      </c>
      <c r="V1201" s="280" t="str">
        <f>IF($I1140="","",IF(V1145&gt;$U1143,0%,INDEX(F_ProductBM!Z:Z,MATCH($P1201,F_ProductBM!$Q:$Q,0))))</f>
        <v/>
      </c>
    </row>
    <row r="1202" spans="1:22" s="364" customFormat="1" ht="5.15" customHeight="1" thickBot="1" x14ac:dyDescent="0.3">
      <c r="A1202" s="729"/>
      <c r="B1202" s="302"/>
      <c r="C1202" s="302"/>
      <c r="D1202" s="1801"/>
      <c r="E1202" s="1762"/>
      <c r="F1202" s="1762"/>
      <c r="G1202" s="1762"/>
      <c r="H1202" s="1762"/>
      <c r="I1202" s="1762"/>
      <c r="J1202" s="1762"/>
      <c r="K1202" s="1762"/>
      <c r="L1202" s="1762"/>
      <c r="M1202" s="1762"/>
      <c r="N1202" s="1764"/>
      <c r="O1202" s="698"/>
      <c r="P1202" s="729"/>
      <c r="Q1202" s="729"/>
      <c r="R1202" s="729"/>
      <c r="S1202" s="729"/>
      <c r="T1202" s="729"/>
      <c r="U1202" s="343"/>
      <c r="V1202" s="343"/>
    </row>
    <row r="1203" spans="1:22" s="364" customFormat="1" ht="5.15" customHeight="1" thickBot="1" x14ac:dyDescent="0.35">
      <c r="A1203" s="729"/>
      <c r="B1203" s="302"/>
      <c r="C1203" s="357"/>
      <c r="D1203" s="357"/>
      <c r="E1203" s="302"/>
      <c r="F1203" s="302"/>
      <c r="G1203" s="302"/>
      <c r="H1203" s="302"/>
      <c r="I1203" s="1746"/>
      <c r="J1203" s="302"/>
      <c r="K1203" s="302"/>
      <c r="L1203" s="302"/>
      <c r="M1203" s="302"/>
      <c r="N1203" s="302"/>
      <c r="O1203" s="698"/>
      <c r="P1203" s="729"/>
      <c r="Q1203" s="729"/>
      <c r="R1203" s="729"/>
      <c r="S1203" s="729"/>
      <c r="T1203" s="729"/>
      <c r="U1203" s="343"/>
      <c r="V1203" s="343"/>
    </row>
    <row r="1204" spans="1:22" s="364" customFormat="1" ht="5.15" customHeight="1" x14ac:dyDescent="0.25">
      <c r="A1204" s="729"/>
      <c r="B1204" s="302"/>
      <c r="C1204" s="302"/>
      <c r="D1204" s="1765"/>
      <c r="E1204" s="1766"/>
      <c r="F1204" s="1766"/>
      <c r="G1204" s="1766"/>
      <c r="H1204" s="1766"/>
      <c r="I1204" s="1767"/>
      <c r="J1204" s="1766"/>
      <c r="K1204" s="1766"/>
      <c r="L1204" s="1766"/>
      <c r="M1204" s="1766"/>
      <c r="N1204" s="1768"/>
      <c r="O1204" s="698"/>
      <c r="P1204" s="729"/>
      <c r="Q1204" s="729"/>
      <c r="R1204" s="729"/>
      <c r="S1204" s="729"/>
      <c r="T1204" s="770"/>
      <c r="U1204" s="343"/>
      <c r="V1204" s="343"/>
    </row>
    <row r="1205" spans="1:22" s="364" customFormat="1" ht="13" x14ac:dyDescent="0.25">
      <c r="A1205" s="729"/>
      <c r="B1205" s="302"/>
      <c r="C1205" s="302"/>
      <c r="D1205" s="344"/>
      <c r="E1205" s="313" t="str">
        <f>Translations!$B$1387</f>
        <v>Използвани действителни стойности</v>
      </c>
      <c r="F1205" s="302"/>
      <c r="G1205" s="302"/>
      <c r="H1205" s="527" t="str">
        <f>EUconst_Unit</f>
        <v>Единица мярка</v>
      </c>
      <c r="I1205" s="1802" t="str">
        <f>Translations!$B$1341</f>
        <v>Базова стойност</v>
      </c>
      <c r="J1205" s="1523">
        <f>J$2505</f>
        <v>2026</v>
      </c>
      <c r="K1205" s="387">
        <f>K$2505</f>
        <v>2027</v>
      </c>
      <c r="L1205" s="387">
        <f>L$2505</f>
        <v>2028</v>
      </c>
      <c r="M1205" s="387">
        <f>M$2505</f>
        <v>2029</v>
      </c>
      <c r="N1205" s="1544">
        <f>N$2505</f>
        <v>2030</v>
      </c>
      <c r="O1205" s="698"/>
      <c r="P1205" s="729"/>
      <c r="Q1205" s="729"/>
      <c r="R1205" s="729"/>
      <c r="S1205" s="1519" t="str">
        <f>Translations!$B$1284</f>
        <v>HAL</v>
      </c>
      <c r="T1205" s="770"/>
      <c r="U1205" s="343"/>
      <c r="V1205" s="343"/>
    </row>
    <row r="1206" spans="1:22" s="364" customFormat="1" x14ac:dyDescent="0.25">
      <c r="A1206" s="729"/>
      <c r="B1206" s="302"/>
      <c r="C1206" s="302"/>
      <c r="D1206" s="344"/>
      <c r="E1206" s="392" t="str">
        <f>Translations!$B$1388</f>
        <v>Равнище на дейност</v>
      </c>
      <c r="F1206" s="392"/>
      <c r="G1206" s="392"/>
      <c r="H1206" s="1730" t="str">
        <f>H1194</f>
        <v>тона</v>
      </c>
      <c r="I1206" s="1776" t="str">
        <f>IF($I1140="","",IF(T1211&gt;=$H$2504,0,S1206))</f>
        <v/>
      </c>
      <c r="J1206" s="1732" t="str">
        <f>IF($I1140="","",INDEX(F_ProductBM!J:J,MATCH($P1206,F_ProductBM!$Q:$Q,0)))</f>
        <v/>
      </c>
      <c r="K1206" s="394" t="str">
        <f>IF($I1140="","",INDEX(F_ProductBM!K:K,MATCH($P1206,F_ProductBM!$Q:$Q,0)))</f>
        <v/>
      </c>
      <c r="L1206" s="394" t="str">
        <f>IF($I1140="","",INDEX(F_ProductBM!L:L,MATCH($P1206,F_ProductBM!$Q:$Q,0)))</f>
        <v/>
      </c>
      <c r="M1206" s="394" t="str">
        <f>IF($I1140="","",INDEX(F_ProductBM!M:M,MATCH($P1206,F_ProductBM!$Q:$Q,0)))</f>
        <v/>
      </c>
      <c r="N1206" s="1733" t="str">
        <f>IF($I1140="","",INDEX(F_ProductBM!N:N,MATCH($P1206,F_ProductBM!$Q:$Q,0)))</f>
        <v/>
      </c>
      <c r="O1206" s="698"/>
      <c r="P1206" s="1190" t="str">
        <f>EUconst_CNTR_HALfinal&amp;I1140</f>
        <v>HALfinal_</v>
      </c>
      <c r="Q1206" s="729"/>
      <c r="R1206" s="729"/>
      <c r="S1206" s="1803" t="str">
        <f>IF($I1140="","",INDEX(F_ProductBM!I:I,MATCH($P1206,F_ProductBM!$Q:$Q,0)))</f>
        <v/>
      </c>
      <c r="T1206" s="770"/>
      <c r="U1206" s="343"/>
      <c r="V1206" s="343"/>
    </row>
    <row r="1207" spans="1:22" s="364" customFormat="1" x14ac:dyDescent="0.25">
      <c r="A1207" s="729"/>
      <c r="B1207" s="302"/>
      <c r="C1207" s="302"/>
      <c r="D1207" s="344"/>
      <c r="E1207" s="503" t="str">
        <f>Translations!$B$949</f>
        <v>топл. ен. извън СТЕ</v>
      </c>
      <c r="F1207" s="503"/>
      <c r="G1207" s="503"/>
      <c r="H1207" s="1804" t="str">
        <f>EUconst_EUA</f>
        <v>Квота за емисии</v>
      </c>
      <c r="I1207" s="1779" t="str">
        <f>IF($I1140="","",IF(YEAR(J1143)&gt;=$H$2504-1,0,S1207))</f>
        <v/>
      </c>
      <c r="J1207" s="1805" t="str">
        <f>IF($I1140="","",INDEX(F_ProductBM!J:J,MATCH($P1207,F_ProductBM!$Q:$Q,0)))</f>
        <v/>
      </c>
      <c r="K1207" s="1806" t="str">
        <f>IF($I1140="","",INDEX(F_ProductBM!K:K,MATCH($P1207,F_ProductBM!$Q:$Q,0)))</f>
        <v/>
      </c>
      <c r="L1207" s="1806" t="str">
        <f>IF($I1140="","",INDEX(F_ProductBM!L:L,MATCH($P1207,F_ProductBM!$Q:$Q,0)))</f>
        <v/>
      </c>
      <c r="M1207" s="1806" t="str">
        <f>IF($I1140="","",INDEX(F_ProductBM!M:M,MATCH($P1207,F_ProductBM!$Q:$Q,0)))</f>
        <v/>
      </c>
      <c r="N1207" s="1807" t="str">
        <f>IF($I1140="","",INDEX(F_ProductBM!N:N,MATCH($P1207,F_ProductBM!$Q:$Q,0)))</f>
        <v/>
      </c>
      <c r="O1207" s="698"/>
      <c r="P1207" s="1190" t="str">
        <f>EUconst_CNTR_HEATfinal&amp;I1140</f>
        <v>HEATfinal_</v>
      </c>
      <c r="Q1207" s="729"/>
      <c r="R1207" s="729"/>
      <c r="S1207" s="1808" t="str">
        <f>IF($I1140="","",INDEX(F_ProductBM!I:I,MATCH($P1207,F_ProductBM!$Q:$Q,0)))</f>
        <v/>
      </c>
      <c r="T1207" s="770"/>
      <c r="U1207" s="343"/>
      <c r="V1207" s="343"/>
    </row>
    <row r="1208" spans="1:22" s="364" customFormat="1" x14ac:dyDescent="0.25">
      <c r="A1208" s="729"/>
      <c r="B1208" s="302"/>
      <c r="C1208" s="302"/>
      <c r="D1208" s="344"/>
      <c r="E1208" s="398" t="str">
        <f>Translations!$B$951</f>
        <v>WGflare</v>
      </c>
      <c r="F1208" s="398"/>
      <c r="G1208" s="398"/>
      <c r="H1208" s="516" t="str">
        <f>EUconst_EUA</f>
        <v>Квота за емисии</v>
      </c>
      <c r="I1208" s="1785" t="str">
        <f>IF($I1140="","",IF(T1211&gt;=$H$2504,0,S1208))</f>
        <v/>
      </c>
      <c r="J1208" s="1809" t="str">
        <f>IF($I1140="","",INDEX(F_ProductBM!J:J,MATCH($P1208,F_ProductBM!$Q:$Q,0)))</f>
        <v/>
      </c>
      <c r="K1208" s="1810" t="str">
        <f>IF($I1140="","",INDEX(F_ProductBM!K:K,MATCH($P1208,F_ProductBM!$Q:$Q,0)))</f>
        <v/>
      </c>
      <c r="L1208" s="1810" t="str">
        <f>IF($I1140="","",INDEX(F_ProductBM!L:L,MATCH($P1208,F_ProductBM!$Q:$Q,0)))</f>
        <v/>
      </c>
      <c r="M1208" s="1810" t="str">
        <f>IF($I1140="","",INDEX(F_ProductBM!M:M,MATCH($P1208,F_ProductBM!$Q:$Q,0)))</f>
        <v/>
      </c>
      <c r="N1208" s="1811" t="str">
        <f>IF($I1140="","",INDEX(F_ProductBM!N:N,MATCH($P1208,F_ProductBM!$Q:$Q,0)))</f>
        <v/>
      </c>
      <c r="O1208" s="698"/>
      <c r="P1208" s="1190" t="str">
        <f>EUconst_CNTR_HALfinal&amp;EUconst_CNTR_WGFlared&amp;$I1140</f>
        <v>HALfinal_WasteGasFlare_</v>
      </c>
      <c r="Q1208" s="729"/>
      <c r="R1208" s="729"/>
      <c r="S1208" s="1812" t="str">
        <f>IF($I1140="","",INDEX(F_ProductBM!I:I,MATCH($P1208,F_ProductBM!$Q:$Q,0)))</f>
        <v/>
      </c>
      <c r="T1208" s="770"/>
      <c r="U1208" s="343"/>
      <c r="V1208" s="343"/>
    </row>
    <row r="1209" spans="1:22" s="364" customFormat="1" x14ac:dyDescent="0.25">
      <c r="A1209" s="729"/>
      <c r="B1209" s="302"/>
      <c r="C1209" s="302"/>
      <c r="D1209" s="344"/>
      <c r="E1209" s="398" t="s">
        <v>1442</v>
      </c>
      <c r="F1209" s="398"/>
      <c r="G1209" s="398"/>
      <c r="H1209" s="516" t="str">
        <f>EUconst_EUA</f>
        <v>Квота за емисии</v>
      </c>
      <c r="I1209" s="1785" t="str">
        <f>IF($I1140="","",IF(T1211&gt;=$H$2504,0,IF(L1143=42,S1209,0)))</f>
        <v/>
      </c>
      <c r="J1209" s="1809" t="str">
        <f>IF($I1140="","",IF($L1143=42,INDEX(H_SpecialBM!J:J,MATCH($P1209,H_SpecialBM!$Q:$Q,0)),0))</f>
        <v/>
      </c>
      <c r="K1209" s="1810" t="str">
        <f>IF($I1140="","",IF($L1143=42,INDEX(H_SpecialBM!K:K,MATCH($P1209,H_SpecialBM!$Q:$Q,0)),0))</f>
        <v/>
      </c>
      <c r="L1209" s="1810" t="str">
        <f>IF($I1140="","",IF($L1143=42,INDEX(H_SpecialBM!L:L,MATCH($P1209,H_SpecialBM!$Q:$Q,0)),0))</f>
        <v/>
      </c>
      <c r="M1209" s="1810" t="str">
        <f>IF($I1140="","",IF($L1143=42,INDEX(H_SpecialBM!M:M,MATCH($P1209,H_SpecialBM!$Q:$Q,0)),0))</f>
        <v/>
      </c>
      <c r="N1209" s="1811" t="str">
        <f>IF($I1140="","",IF($L1143=42,INDEX(H_SpecialBM!N:N,MATCH($P1209,H_SpecialBM!$Q:$Q,0)),0))</f>
        <v/>
      </c>
      <c r="O1209" s="698"/>
      <c r="P1209" s="1190" t="str">
        <f>EUconst_CNTR_HVCfinal</f>
        <v>HVCfinal_</v>
      </c>
      <c r="Q1209" s="729"/>
      <c r="R1209" s="729"/>
      <c r="S1209" s="1812" t="str">
        <f>IF($I1140="","",IF(L1143=42,INDEX(H_SpecialBM!I:I,MATCH($P1209,H_SpecialBM!$Q:$Q,0)),0))</f>
        <v/>
      </c>
      <c r="T1209" s="770"/>
      <c r="U1209" s="343"/>
      <c r="V1209" s="343"/>
    </row>
    <row r="1210" spans="1:22" s="364" customFormat="1" x14ac:dyDescent="0.25">
      <c r="A1210" s="729"/>
      <c r="B1210" s="302"/>
      <c r="C1210" s="302"/>
      <c r="D1210" s="344"/>
      <c r="E1210" s="401" t="s">
        <v>1443</v>
      </c>
      <c r="F1210" s="401"/>
      <c r="G1210" s="401"/>
      <c r="H1210" s="483" t="s">
        <v>1052</v>
      </c>
      <c r="I1210" s="1788" t="str">
        <f>IF($I1140="","",IF($L1143=47,IF(AND(ISNUMBER(S1210),YEAR(J1143)&lt;2021),S1210,1),1))</f>
        <v/>
      </c>
      <c r="J1210" s="1813" t="str">
        <f>IF($I1140="","",IF($L1143=47,IF(ISNUMBER(INDEX(H_SpecialBM!J:J,MATCH($P1210,H_SpecialBM!$Q:$Q,0))),INDEX(H_SpecialBM!J:J,MATCH($P1210,H_SpecialBM!$Q:$Q,0)),1),1))</f>
        <v/>
      </c>
      <c r="K1210" s="1814" t="str">
        <f>IF($I1140="","",IF($L1143=47,IF(ISNUMBER(INDEX(H_SpecialBM!K:K,MATCH($P1210,H_SpecialBM!$Q:$Q,0))),INDEX(H_SpecialBM!K:K,MATCH($P1210,H_SpecialBM!$Q:$Q,0)),1),1))</f>
        <v/>
      </c>
      <c r="L1210" s="1814" t="str">
        <f>IF($I1140="","",IF($L1143=47,IF(ISNUMBER(INDEX(H_SpecialBM!L:L,MATCH($P1210,H_SpecialBM!$Q:$Q,0))),INDEX(H_SpecialBM!L:L,MATCH($P1210,H_SpecialBM!$Q:$Q,0)),1),1))</f>
        <v/>
      </c>
      <c r="M1210" s="1814" t="str">
        <f>IF($I1140="","",IF($L1143=47,IF(ISNUMBER(INDEX(H_SpecialBM!M:M,MATCH($P1210,H_SpecialBM!$Q:$Q,0))),INDEX(H_SpecialBM!M:M,MATCH($P1210,H_SpecialBM!$Q:$Q,0)),1),1))</f>
        <v/>
      </c>
      <c r="N1210" s="1815" t="str">
        <f>IF($I1140="","",IF($L1143=47,IF(ISNUMBER(INDEX(H_SpecialBM!N:N,MATCH($P1210,H_SpecialBM!$Q:$Q,0))),INDEX(H_SpecialBM!N:N,MATCH($P1210,H_SpecialBM!$Q:$Q,0)),1),1))</f>
        <v/>
      </c>
      <c r="O1210" s="698"/>
      <c r="P1210" s="1190" t="str">
        <f>EUconst_CNTR_VCMfinal</f>
        <v>VCMfinal_</v>
      </c>
      <c r="Q1210" s="729"/>
      <c r="R1210" s="729"/>
      <c r="S1210" s="1816" t="str">
        <f>IF($I1140="","",IF($L1143=47,IF(ISNUMBER(INDEX(H_SpecialBM!I:I,MATCH($P1210,H_SpecialBM!$Q:$Q,0))),INDEX(H_SpecialBM!I:I,MATCH($P1210,H_SpecialBM!$Q:$Q,0)),1),1))</f>
        <v/>
      </c>
      <c r="T1210" s="729"/>
      <c r="U1210" s="343"/>
      <c r="V1210" s="343"/>
    </row>
    <row r="1211" spans="1:22" s="364" customFormat="1" x14ac:dyDescent="0.25">
      <c r="A1211" s="729"/>
      <c r="B1211" s="302"/>
      <c r="C1211" s="302"/>
      <c r="D1211" s="344"/>
      <c r="E1211" s="388" t="str">
        <f>Translations!$B$892</f>
        <v>Предварително разпределяне</v>
      </c>
      <c r="F1211" s="388"/>
      <c r="G1211" s="388"/>
      <c r="H1211" s="421" t="str">
        <f>EUconst_EUA</f>
        <v>Квота за емисии</v>
      </c>
      <c r="I1211" s="1791" t="str">
        <f>IF($I1140="","",MAX(0,ROUND((SUM($M1143)*SUM(I1206)*SUM(I1210)-SUM(I1207)-SUM(I1208)+SUM(I1209))*IF($H1143=TRUE,1,J$2412),0)))</f>
        <v/>
      </c>
      <c r="J1211" s="1694" t="str">
        <f>IF($I1140="","",MAX(0,ROUND((SUM(R1201)*SUM($M1143)*SUM(J1206)*SUM(J1210)-SUM(J1207)-SUM(J1208)+SUM(J1209))*IF($H1143=TRUE,1,J$2412)*IF($I1143=TRUE,INDEX(EUconst_CBAMFactor,J1149-2020),1),0)))</f>
        <v/>
      </c>
      <c r="K1211" s="406" t="str">
        <f>IF($I1140="","",MAX(0,ROUND((SUM(S1201)*SUM($M1143)*SUM(K1206)*SUM(K1210)-SUM(K1207)-SUM(K1208)+SUM(K1209))*IF($H1143=TRUE,1,K$2412)*IF($I1143=TRUE,INDEX(EUconst_CBAMFactor,K1149-2020),1),0)))</f>
        <v/>
      </c>
      <c r="L1211" s="406" t="str">
        <f>IF($I1140="","",MAX(0,ROUND((SUM(T1201)*SUM($M1143)*SUM(L1206)*SUM(L1210)-SUM(L1207)-SUM(L1208)+SUM(L1209))*IF($H1143=TRUE,1,L$2412)*IF($I1143=TRUE,INDEX(EUconst_CBAMFactor,L1149-2020),1),0)))</f>
        <v/>
      </c>
      <c r="M1211" s="406" t="str">
        <f>IF($I1140="","",MAX(0,ROUND((SUM(U1201)*SUM($M1143)*SUM(M1206)*SUM(M1210)-SUM(M1207)-SUM(M1208)+SUM(M1209))*IF($H1143=TRUE,1,M$2412)*IF($I1143=TRUE,INDEX(EUconst_CBAMFactor,M1149-2020),1),0)))</f>
        <v/>
      </c>
      <c r="N1211" s="1729" t="str">
        <f>IF($I1140="","",MAX(0,ROUND((SUM(V1201)*SUM($M1143)*SUM(N1206)*SUM(N1210)-SUM(N1207)-SUM(N1208)+SUM(N1209))*IF($H1143=TRUE,1,N$2412)*IF($I1143=TRUE,INDEX(EUconst_CBAMFactor,N1149-2020),1),0)))</f>
        <v/>
      </c>
      <c r="O1211" s="698"/>
      <c r="P1211" s="1190" t="str">
        <f>EUconst_AllocPrelim&amp;I1140</f>
        <v>AllocPrelim_</v>
      </c>
      <c r="Q1211" s="729"/>
      <c r="R1211" s="729"/>
      <c r="S1211" s="1817" t="str">
        <f>IF($I1140="","",MAX(0,ROUND((SUM($M1143)*SUM(S1206)*SUM(S1210)-SUM(S1207)-SUM(S1208)+SUM(S1209))*IF($H1143=TRUE,1,J$2412),0)))</f>
        <v/>
      </c>
      <c r="T1211" s="1176">
        <f>INDEX(F_ProductBM!V:V,MATCH(C1140,F_ProductBM!C:C,0))</f>
        <v>2005</v>
      </c>
      <c r="U1211" s="727" t="b">
        <f>OR(INDEX(I1211:N1211,CNTR_ReportingYear-$I$2505)&lt;&gt;INDEX(I1211:N1211,CNTR_ReportingYear-$H$2505),
(CNTR_ReportingYear-T1211)&lt;=1)</f>
        <v>0</v>
      </c>
      <c r="V1211" s="716" t="b">
        <f ca="1">IF(I1211="",FALSE,COUNTIF(OFFSET(I1211,,,,MAX(1,CNTR_ReportingYear-$I$2505)),"&lt;&gt;" &amp; INDEX(I1211:N1211,CNTR_ReportingYear-$H$2505))&gt;0)</f>
        <v>0</v>
      </c>
    </row>
    <row r="1212" spans="1:22" s="364" customFormat="1" ht="5.15" customHeight="1" thickBot="1" x14ac:dyDescent="0.3">
      <c r="A1212" s="729"/>
      <c r="B1212" s="302"/>
      <c r="C1212" s="302"/>
      <c r="D1212" s="1801"/>
      <c r="E1212" s="1762"/>
      <c r="F1212" s="1762"/>
      <c r="G1212" s="1762"/>
      <c r="H1212" s="1762"/>
      <c r="I1212" s="1762"/>
      <c r="J1212" s="1762"/>
      <c r="K1212" s="1762"/>
      <c r="L1212" s="1762"/>
      <c r="M1212" s="1762"/>
      <c r="N1212" s="1764"/>
      <c r="O1212" s="698"/>
      <c r="P1212" s="729"/>
      <c r="Q1212" s="729"/>
      <c r="R1212" s="729"/>
      <c r="S1212" s="729"/>
      <c r="T1212" s="729"/>
      <c r="U1212" s="343"/>
      <c r="V1212" s="343"/>
    </row>
    <row r="1213" spans="1:22" s="364" customFormat="1" ht="5.15" customHeight="1" thickBot="1" x14ac:dyDescent="0.3">
      <c r="A1213" s="729"/>
      <c r="B1213" s="302"/>
      <c r="C1213" s="302"/>
      <c r="E1213" s="360"/>
      <c r="F1213" s="302"/>
      <c r="G1213" s="302"/>
      <c r="H1213" s="302"/>
      <c r="I1213" s="302"/>
      <c r="J1213" s="302"/>
      <c r="K1213" s="302"/>
      <c r="L1213" s="302"/>
      <c r="M1213" s="302"/>
      <c r="N1213" s="302"/>
      <c r="O1213" s="698"/>
      <c r="P1213" s="729"/>
      <c r="Q1213" s="729"/>
      <c r="R1213" s="729"/>
      <c r="S1213" s="729"/>
      <c r="T1213" s="729"/>
      <c r="U1213" s="343"/>
      <c r="V1213" s="343"/>
    </row>
    <row r="1214" spans="1:22" s="364" customFormat="1" ht="12.75" customHeight="1" x14ac:dyDescent="0.25">
      <c r="A1214" s="729"/>
      <c r="B1214" s="302"/>
      <c r="C1214" s="302"/>
      <c r="D1214" s="1818"/>
      <c r="E1214" s="1819"/>
      <c r="F1214" s="1819"/>
      <c r="G1214" s="1300"/>
      <c r="H1214" s="1300"/>
      <c r="I1214" s="1300"/>
      <c r="J1214" s="1300"/>
      <c r="K1214" s="1300"/>
      <c r="L1214" s="1300"/>
      <c r="M1214" s="1300"/>
      <c r="N1214" s="1301"/>
      <c r="O1214" s="698"/>
      <c r="P1214" s="729"/>
      <c r="Q1214" s="729"/>
      <c r="R1214" s="729"/>
      <c r="S1214" s="729"/>
      <c r="T1214" s="729"/>
      <c r="U1214" s="343"/>
      <c r="V1214" s="343"/>
    </row>
    <row r="1215" spans="1:22" s="364" customFormat="1" ht="13.5" thickBot="1" x14ac:dyDescent="0.3">
      <c r="A1215" s="729"/>
      <c r="B1215" s="302"/>
      <c r="C1215" s="302"/>
      <c r="D1215" s="1820"/>
      <c r="E1215" s="625"/>
      <c r="F1215" s="625"/>
      <c r="G1215" s="627" t="str">
        <f>EUconst_Unit</f>
        <v>Единица мярка</v>
      </c>
      <c r="H1215" s="628">
        <f t="shared" ref="H1215:M1215" si="104">H$2505</f>
        <v>2024</v>
      </c>
      <c r="I1215" s="1821">
        <f t="shared" si="104"/>
        <v>2025</v>
      </c>
      <c r="J1215" s="1311">
        <f t="shared" si="104"/>
        <v>2026</v>
      </c>
      <c r="K1215" s="629">
        <f t="shared" si="104"/>
        <v>2027</v>
      </c>
      <c r="L1215" s="629">
        <f t="shared" si="104"/>
        <v>2028</v>
      </c>
      <c r="M1215" s="629">
        <f t="shared" si="104"/>
        <v>2029</v>
      </c>
      <c r="N1215" s="1312">
        <f>N$2505</f>
        <v>2030</v>
      </c>
      <c r="O1215" s="698"/>
      <c r="P1215" s="729"/>
      <c r="Q1215" s="729"/>
      <c r="R1215" s="729"/>
      <c r="S1215" s="729"/>
      <c r="T1215" s="770"/>
      <c r="U1215" s="343"/>
      <c r="V1215" s="343"/>
    </row>
    <row r="1216" spans="1:22" s="364" customFormat="1" ht="13.5" customHeight="1" thickBot="1" x14ac:dyDescent="0.3">
      <c r="A1216" s="729"/>
      <c r="B1216" s="302"/>
      <c r="C1216" s="302"/>
      <c r="D1216" s="1820"/>
      <c r="E1216" s="2929" t="str">
        <f>Translations!$B$956</f>
        <v>Общо зададени емисии</v>
      </c>
      <c r="F1216" s="2929"/>
      <c r="G1216" s="631" t="str">
        <f>EUconst_tCO2epa</f>
        <v>t CO2e/година</v>
      </c>
      <c r="H1216" s="661" t="str">
        <f t="shared" ref="H1216:N1216" si="105">INDEX(H$95:H$114,MATCH($I1140,$E$95:$E$114,0))</f>
        <v/>
      </c>
      <c r="I1216" s="1822" t="str">
        <f t="shared" si="105"/>
        <v/>
      </c>
      <c r="J1216" s="661" t="str">
        <f t="shared" si="105"/>
        <v/>
      </c>
      <c r="K1216" s="662" t="str">
        <f t="shared" si="105"/>
        <v/>
      </c>
      <c r="L1216" s="662" t="str">
        <f t="shared" si="105"/>
        <v/>
      </c>
      <c r="M1216" s="662" t="str">
        <f t="shared" si="105"/>
        <v/>
      </c>
      <c r="N1216" s="663" t="str">
        <f t="shared" si="105"/>
        <v/>
      </c>
      <c r="O1216" s="698"/>
      <c r="P1216" s="729"/>
      <c r="Q1216" s="729"/>
      <c r="R1216" s="729"/>
      <c r="S1216" s="729"/>
      <c r="T1216" s="770"/>
      <c r="U1216" s="343"/>
      <c r="V1216" s="343"/>
    </row>
    <row r="1217" spans="1:22" s="364" customFormat="1" ht="5.15" customHeight="1" x14ac:dyDescent="0.25">
      <c r="A1217" s="729"/>
      <c r="B1217" s="302"/>
      <c r="C1217" s="302"/>
      <c r="D1217" s="1820"/>
      <c r="E1217" s="643"/>
      <c r="F1217" s="643"/>
      <c r="G1217" s="625"/>
      <c r="H1217" s="635"/>
      <c r="I1217" s="635"/>
      <c r="J1217" s="635"/>
      <c r="K1217" s="635"/>
      <c r="L1217" s="635"/>
      <c r="M1217" s="635"/>
      <c r="N1217" s="1823"/>
      <c r="O1217" s="698"/>
      <c r="P1217" s="729"/>
      <c r="Q1217" s="729"/>
      <c r="R1217" s="729"/>
      <c r="S1217" s="729"/>
      <c r="T1217" s="770"/>
      <c r="U1217" s="343"/>
      <c r="V1217" s="343"/>
    </row>
    <row r="1218" spans="1:22" s="364" customFormat="1" ht="12.75" customHeight="1" x14ac:dyDescent="0.25">
      <c r="A1218" s="729"/>
      <c r="B1218" s="302"/>
      <c r="C1218" s="302"/>
      <c r="D1218" s="1820"/>
      <c r="E1218" s="2818" t="str">
        <f>Translations!$B$521</f>
        <v>Вложени горива</v>
      </c>
      <c r="F1218" s="2701"/>
      <c r="G1218" s="1326" t="str">
        <f>EUconst_TJpa</f>
        <v>TJ / година</v>
      </c>
      <c r="H1218" s="482" t="str">
        <f>IF($I1140="","",IF(INDEX(F_ProductBM!H:H,MATCH($P1218,F_ProductBM!$Q:$Q,0))="","",INDEX(F_ProductBM!H:H,MATCH($P1218,F_ProductBM!$Q:$Q,0))))</f>
        <v/>
      </c>
      <c r="I1218" s="1824" t="str">
        <f>IF($I1140="","",IF(INDEX(F_ProductBM!I:I,MATCH($P1218,F_ProductBM!$Q:$Q,0))="","",INDEX(F_ProductBM!I:I,MATCH($P1218,F_ProductBM!$Q:$Q,0))))</f>
        <v/>
      </c>
      <c r="J1218" s="1825" t="str">
        <f>IF($I1140="","",IF(INDEX(F_ProductBM!J:J,MATCH($P1218,F_ProductBM!$Q:$Q,0))="","",INDEX(F_ProductBM!J:J,MATCH($P1218,F_ProductBM!$Q:$Q,0))))</f>
        <v/>
      </c>
      <c r="K1218" s="482" t="str">
        <f>IF($I1140="","",IF(INDEX(F_ProductBM!K:K,MATCH($P1218,F_ProductBM!$Q:$Q,0))="","",INDEX(F_ProductBM!K:K,MATCH($P1218,F_ProductBM!$Q:$Q,0))))</f>
        <v/>
      </c>
      <c r="L1218" s="482" t="str">
        <f>IF($I1140="","",IF(INDEX(F_ProductBM!L:L,MATCH($P1218,F_ProductBM!$Q:$Q,0))="","",INDEX(F_ProductBM!L:L,MATCH($P1218,F_ProductBM!$Q:$Q,0))))</f>
        <v/>
      </c>
      <c r="M1218" s="482" t="str">
        <f>IF($I1140="","",IF(INDEX(F_ProductBM!M:M,MATCH($P1218,F_ProductBM!$Q:$Q,0))="","",INDEX(F_ProductBM!M:M,MATCH($P1218,F_ProductBM!$Q:$Q,0))))</f>
        <v/>
      </c>
      <c r="N1218" s="1826" t="str">
        <f>IF($I1140="","",IF(INDEX(F_ProductBM!N:N,MATCH($P1218,F_ProductBM!$Q:$Q,0))="","",INDEX(F_ProductBM!N:N,MATCH($P1218,F_ProductBM!$Q:$Q,0))))</f>
        <v/>
      </c>
      <c r="O1218" s="698"/>
      <c r="P1218" s="1827" t="str">
        <f>EUconst_CNTR_FuelInput &amp; I1140</f>
        <v>FuelInput_</v>
      </c>
      <c r="Q1218" s="729"/>
      <c r="R1218" s="729"/>
      <c r="S1218" s="729"/>
      <c r="T1218" s="770"/>
      <c r="U1218" s="343"/>
      <c r="V1218" s="343"/>
    </row>
    <row r="1219" spans="1:22" s="364" customFormat="1" ht="12.75" customHeight="1" x14ac:dyDescent="0.25">
      <c r="A1219" s="729"/>
      <c r="B1219" s="302"/>
      <c r="C1219" s="302"/>
      <c r="D1219" s="1820"/>
      <c r="E1219" s="2819" t="str">
        <f>Translations!$B$522</f>
        <v>Претеглен емисионен фактор</v>
      </c>
      <c r="F1219" s="2705"/>
      <c r="G1219" s="1329" t="str">
        <f>EUconst_tCO2pTJ</f>
        <v>t CO2 / TJ</v>
      </c>
      <c r="H1219" s="484" t="str">
        <f>IF($I1140="","",IF(INDEX(F_ProductBM!H:H,MATCH($P1219,F_ProductBM!$Q:$Q,0))="","",INDEX(F_ProductBM!H:H,MATCH($P1219,F_ProductBM!$Q:$Q,0))))</f>
        <v/>
      </c>
      <c r="I1219" s="1828" t="str">
        <f>IF($I1140="","",IF(INDEX(F_ProductBM!I:I,MATCH($P1219,F_ProductBM!$Q:$Q,0))="","",INDEX(F_ProductBM!I:I,MATCH($P1219,F_ProductBM!$Q:$Q,0))))</f>
        <v/>
      </c>
      <c r="J1219" s="1829" t="str">
        <f>IF($I1140="","",IF(INDEX(F_ProductBM!J:J,MATCH($P1219,F_ProductBM!$Q:$Q,0))="","",INDEX(F_ProductBM!J:J,MATCH($P1219,F_ProductBM!$Q:$Q,0))))</f>
        <v/>
      </c>
      <c r="K1219" s="484" t="str">
        <f>IF($I1140="","",IF(INDEX(F_ProductBM!K:K,MATCH($P1219,F_ProductBM!$Q:$Q,0))="","",INDEX(F_ProductBM!K:K,MATCH($P1219,F_ProductBM!$Q:$Q,0))))</f>
        <v/>
      </c>
      <c r="L1219" s="484" t="str">
        <f>IF($I1140="","",IF(INDEX(F_ProductBM!L:L,MATCH($P1219,F_ProductBM!$Q:$Q,0))="","",INDEX(F_ProductBM!L:L,MATCH($P1219,F_ProductBM!$Q:$Q,0))))</f>
        <v/>
      </c>
      <c r="M1219" s="484" t="str">
        <f>IF($I1140="","",IF(INDEX(F_ProductBM!M:M,MATCH($P1219,F_ProductBM!$Q:$Q,0))="","",INDEX(F_ProductBM!M:M,MATCH($P1219,F_ProductBM!$Q:$Q,0))))</f>
        <v/>
      </c>
      <c r="N1219" s="1830" t="str">
        <f>IF($I1140="","",IF(INDEX(F_ProductBM!N:N,MATCH($P1219,F_ProductBM!$Q:$Q,0))="","",INDEX(F_ProductBM!N:N,MATCH($P1219,F_ProductBM!$Q:$Q,0))))</f>
        <v/>
      </c>
      <c r="O1219" s="698"/>
      <c r="P1219" s="1500" t="str">
        <f>EUconst_CNTR_FuelEF &amp; I1140</f>
        <v>FuelEF_</v>
      </c>
      <c r="Q1219" s="729"/>
      <c r="R1219" s="729"/>
      <c r="S1219" s="729"/>
      <c r="T1219" s="770"/>
      <c r="U1219" s="343"/>
      <c r="V1219" s="343"/>
    </row>
    <row r="1220" spans="1:22" s="364" customFormat="1" ht="5.15" customHeight="1" x14ac:dyDescent="0.25">
      <c r="A1220" s="729"/>
      <c r="B1220" s="302"/>
      <c r="C1220" s="302"/>
      <c r="D1220" s="1820"/>
      <c r="E1220" s="643"/>
      <c r="F1220" s="643"/>
      <c r="G1220" s="626"/>
      <c r="H1220" s="640"/>
      <c r="I1220" s="640"/>
      <c r="J1220" s="640"/>
      <c r="K1220" s="640"/>
      <c r="L1220" s="640"/>
      <c r="M1220" s="640"/>
      <c r="N1220" s="1831"/>
      <c r="O1220" s="698"/>
      <c r="P1220" s="729"/>
      <c r="Q1220" s="729"/>
      <c r="R1220" s="729"/>
      <c r="S1220" s="729"/>
      <c r="T1220" s="770"/>
      <c r="U1220" s="343"/>
      <c r="V1220" s="343"/>
    </row>
    <row r="1221" spans="1:22" s="364" customFormat="1" ht="12.75" customHeight="1" x14ac:dyDescent="0.25">
      <c r="A1221" s="729"/>
      <c r="B1221" s="302"/>
      <c r="C1221" s="302"/>
      <c r="D1221" s="1820"/>
      <c r="E1221" s="2820" t="str">
        <f>Translations!$B$484</f>
        <v>Преки емисии</v>
      </c>
      <c r="F1221" s="2258"/>
      <c r="G1221" s="1319" t="str">
        <f>EUconst_tCO2pa</f>
        <v>t CO2 / година</v>
      </c>
      <c r="H1221" s="480" t="str">
        <f>IF($I1140="","",IF(INDEX(F_ProductBM!H:H,MATCH($P1221,F_ProductBM!$Q:$Q,0))="","",INDEX(F_ProductBM!H:H,MATCH($P1221,F_ProductBM!$Q:$Q,0))))</f>
        <v/>
      </c>
      <c r="I1221" s="1399" t="str">
        <f>IF($I1140="","",IF(INDEX(F_ProductBM!I:I,MATCH($P1221,F_ProductBM!$Q:$Q,0))="","",INDEX(F_ProductBM!I:I,MATCH($P1221,F_ProductBM!$Q:$Q,0))))</f>
        <v/>
      </c>
      <c r="J1221" s="1832" t="str">
        <f>IF($I1140="","",IF(INDEX(F_ProductBM!J:J,MATCH($P1221,F_ProductBM!$Q:$Q,0))="","",INDEX(F_ProductBM!J:J,MATCH($P1221,F_ProductBM!$Q:$Q,0))))</f>
        <v/>
      </c>
      <c r="K1221" s="480" t="str">
        <f>IF($I1140="","",IF(INDEX(F_ProductBM!K:K,MATCH($P1221,F_ProductBM!$Q:$Q,0))="","",INDEX(F_ProductBM!K:K,MATCH($P1221,F_ProductBM!$Q:$Q,0))))</f>
        <v/>
      </c>
      <c r="L1221" s="480" t="str">
        <f>IF($I1140="","",IF(INDEX(F_ProductBM!L:L,MATCH($P1221,F_ProductBM!$Q:$Q,0))="","",INDEX(F_ProductBM!L:L,MATCH($P1221,F_ProductBM!$Q:$Q,0))))</f>
        <v/>
      </c>
      <c r="M1221" s="480" t="str">
        <f>IF($I1140="","",IF(INDEX(F_ProductBM!M:M,MATCH($P1221,F_ProductBM!$Q:$Q,0))="","",INDEX(F_ProductBM!M:M,MATCH($P1221,F_ProductBM!$Q:$Q,0))))</f>
        <v/>
      </c>
      <c r="N1221" s="1833" t="str">
        <f>IF($I1140="","",IF(INDEX(F_ProductBM!N:N,MATCH($P1221,F_ProductBM!$Q:$Q,0))="","",INDEX(F_ProductBM!N:N,MATCH($P1221,F_ProductBM!$Q:$Q,0))))</f>
        <v/>
      </c>
      <c r="O1221" s="698"/>
      <c r="P1221" s="1500" t="str">
        <f>EUconst_CNTR_Emissions &amp; I1140</f>
        <v>DirEmissions_</v>
      </c>
      <c r="Q1221" s="729"/>
      <c r="R1221" s="729"/>
      <c r="S1221" s="729"/>
      <c r="T1221" s="770"/>
      <c r="U1221" s="343"/>
      <c r="V1221" s="343"/>
    </row>
    <row r="1222" spans="1:22" s="364" customFormat="1" ht="12.75" customHeight="1" x14ac:dyDescent="0.25">
      <c r="A1222" s="729"/>
      <c r="B1222" s="302"/>
      <c r="C1222" s="302"/>
      <c r="D1222" s="1820"/>
      <c r="E1222" s="2820" t="str">
        <f>Translations!$B$532</f>
        <v>Други пораждащи емисии потоци — 1</v>
      </c>
      <c r="F1222" s="2258"/>
      <c r="G1222" s="1319" t="str">
        <f>EUconst_tCO2pa</f>
        <v>t CO2 / година</v>
      </c>
      <c r="H1222" s="480" t="str">
        <f>IF($I1140="","",IF(INDEX(F_ProductBM!H:H,MATCH($P1222,F_ProductBM!$Q:$Q,0))="","",INDEX(F_ProductBM!H:H,MATCH($P1222,F_ProductBM!$Q:$Q,0))))</f>
        <v/>
      </c>
      <c r="I1222" s="1399" t="str">
        <f>IF($I1140="","",IF(INDEX(F_ProductBM!I:I,MATCH($P1222,F_ProductBM!$Q:$Q,0))="","",INDEX(F_ProductBM!I:I,MATCH($P1222,F_ProductBM!$Q:$Q,0))))</f>
        <v/>
      </c>
      <c r="J1222" s="1832" t="str">
        <f>IF($I1140="","",IF(INDEX(F_ProductBM!J:J,MATCH($P1222,F_ProductBM!$Q:$Q,0))="","",INDEX(F_ProductBM!J:J,MATCH($P1222,F_ProductBM!$Q:$Q,0))))</f>
        <v/>
      </c>
      <c r="K1222" s="480" t="str">
        <f>IF($I1140="","",IF(INDEX(F_ProductBM!K:K,MATCH($P1222,F_ProductBM!$Q:$Q,0))="","",INDEX(F_ProductBM!K:K,MATCH($P1222,F_ProductBM!$Q:$Q,0))))</f>
        <v/>
      </c>
      <c r="L1222" s="480" t="str">
        <f>IF($I1140="","",IF(INDEX(F_ProductBM!L:L,MATCH($P1222,F_ProductBM!$Q:$Q,0))="","",INDEX(F_ProductBM!L:L,MATCH($P1222,F_ProductBM!$Q:$Q,0))))</f>
        <v/>
      </c>
      <c r="M1222" s="480" t="str">
        <f>IF($I1140="","",IF(INDEX(F_ProductBM!M:M,MATCH($P1222,F_ProductBM!$Q:$Q,0))="","",INDEX(F_ProductBM!M:M,MATCH($P1222,F_ProductBM!$Q:$Q,0))))</f>
        <v/>
      </c>
      <c r="N1222" s="1833" t="str">
        <f>IF($I1140="","",IF(INDEX(F_ProductBM!N:N,MATCH($P1222,F_ProductBM!$Q:$Q,0))="","",INDEX(F_ProductBM!N:N,MATCH($P1222,F_ProductBM!$Q:$Q,0))))</f>
        <v/>
      </c>
      <c r="O1222" s="698"/>
      <c r="P1222" s="1500" t="str">
        <f>EUconst_CNTR_EmissionsIntSource1 &amp; I1140</f>
        <v>EmInternalSource1_</v>
      </c>
      <c r="Q1222" s="729"/>
      <c r="R1222" s="729"/>
      <c r="S1222" s="729"/>
      <c r="T1222" s="770"/>
      <c r="U1222" s="343"/>
      <c r="V1222" s="343"/>
    </row>
    <row r="1223" spans="1:22" s="364" customFormat="1" ht="12.75" customHeight="1" x14ac:dyDescent="0.25">
      <c r="A1223" s="729"/>
      <c r="B1223" s="302"/>
      <c r="C1223" s="302"/>
      <c r="D1223" s="1820"/>
      <c r="E1223" s="2820" t="str">
        <f>Translations!$B$542</f>
        <v>Други пораждащи емисии потоци — 2</v>
      </c>
      <c r="F1223" s="2258"/>
      <c r="G1223" s="1319" t="str">
        <f>EUconst_tCO2pa</f>
        <v>t CO2 / година</v>
      </c>
      <c r="H1223" s="480" t="str">
        <f>IF($I1140="","",IF(INDEX(F_ProductBM!H:H,MATCH($P1223,F_ProductBM!$Q:$Q,0))="","",INDEX(F_ProductBM!H:H,MATCH($P1223,F_ProductBM!$Q:$Q,0))))</f>
        <v/>
      </c>
      <c r="I1223" s="1399" t="str">
        <f>IF($I1140="","",IF(INDEX(F_ProductBM!I:I,MATCH($P1223,F_ProductBM!$Q:$Q,0))="","",INDEX(F_ProductBM!I:I,MATCH($P1223,F_ProductBM!$Q:$Q,0))))</f>
        <v/>
      </c>
      <c r="J1223" s="1832" t="str">
        <f>IF($I1140="","",IF(INDEX(F_ProductBM!J:J,MATCH($P1223,F_ProductBM!$Q:$Q,0))="","",INDEX(F_ProductBM!J:J,MATCH($P1223,F_ProductBM!$Q:$Q,0))))</f>
        <v/>
      </c>
      <c r="K1223" s="480" t="str">
        <f>IF($I1140="","",IF(INDEX(F_ProductBM!K:K,MATCH($P1223,F_ProductBM!$Q:$Q,0))="","",INDEX(F_ProductBM!K:K,MATCH($P1223,F_ProductBM!$Q:$Q,0))))</f>
        <v/>
      </c>
      <c r="L1223" s="480" t="str">
        <f>IF($I1140="","",IF(INDEX(F_ProductBM!L:L,MATCH($P1223,F_ProductBM!$Q:$Q,0))="","",INDEX(F_ProductBM!L:L,MATCH($P1223,F_ProductBM!$Q:$Q,0))))</f>
        <v/>
      </c>
      <c r="M1223" s="480" t="str">
        <f>IF($I1140="","",IF(INDEX(F_ProductBM!M:M,MATCH($P1223,F_ProductBM!$Q:$Q,0))="","",INDEX(F_ProductBM!M:M,MATCH($P1223,F_ProductBM!$Q:$Q,0))))</f>
        <v/>
      </c>
      <c r="N1223" s="1833" t="str">
        <f>IF($I1140="","",IF(INDEX(F_ProductBM!N:N,MATCH($P1223,F_ProductBM!$Q:$Q,0))="","",INDEX(F_ProductBM!N:N,MATCH($P1223,F_ProductBM!$Q:$Q,0))))</f>
        <v/>
      </c>
      <c r="O1223" s="698"/>
      <c r="P1223" s="1500" t="str">
        <f>EUconst_CNTR_EmissionsIntSource2 &amp; I1140</f>
        <v>EmInternalSource2_</v>
      </c>
      <c r="Q1223" s="729"/>
      <c r="R1223" s="729"/>
      <c r="S1223" s="729"/>
      <c r="T1223" s="770"/>
      <c r="U1223" s="343"/>
      <c r="V1223" s="343"/>
    </row>
    <row r="1224" spans="1:22" s="364" customFormat="1" ht="12.75" customHeight="1" x14ac:dyDescent="0.25">
      <c r="A1224" s="729"/>
      <c r="B1224" s="302"/>
      <c r="C1224" s="302"/>
      <c r="D1224" s="1820"/>
      <c r="E1224" s="2820" t="str">
        <f>Translations!$B$546</f>
        <v>Получени или подадени парникови газове</v>
      </c>
      <c r="F1224" s="2258"/>
      <c r="G1224" s="1319" t="str">
        <f>EUconst_tCO2epa</f>
        <v>t CO2e/година</v>
      </c>
      <c r="H1224" s="480" t="str">
        <f>IF($I1140="","",IF(INDEX(F_ProductBM!H:H,MATCH($P1224,F_ProductBM!$Q:$Q,0))="","",INDEX(F_ProductBM!H:H,MATCH($P1224,F_ProductBM!$Q:$Q,0))))</f>
        <v/>
      </c>
      <c r="I1224" s="1399" t="str">
        <f>IF($I1140="","",IF(INDEX(F_ProductBM!I:I,MATCH($P1224,F_ProductBM!$Q:$Q,0))="","",INDEX(F_ProductBM!I:I,MATCH($P1224,F_ProductBM!$Q:$Q,0))))</f>
        <v/>
      </c>
      <c r="J1224" s="1832" t="str">
        <f>IF($I1140="","",IF(INDEX(F_ProductBM!J:J,MATCH($P1224,F_ProductBM!$Q:$Q,0))="","",INDEX(F_ProductBM!J:J,MATCH($P1224,F_ProductBM!$Q:$Q,0))))</f>
        <v/>
      </c>
      <c r="K1224" s="480" t="str">
        <f>IF($I1140="","",IF(INDEX(F_ProductBM!K:K,MATCH($P1224,F_ProductBM!$Q:$Q,0))="","",INDEX(F_ProductBM!K:K,MATCH($P1224,F_ProductBM!$Q:$Q,0))))</f>
        <v/>
      </c>
      <c r="L1224" s="480" t="str">
        <f>IF($I1140="","",IF(INDEX(F_ProductBM!L:L,MATCH($P1224,F_ProductBM!$Q:$Q,0))="","",INDEX(F_ProductBM!L:L,MATCH($P1224,F_ProductBM!$Q:$Q,0))))</f>
        <v/>
      </c>
      <c r="M1224" s="480" t="str">
        <f>IF($I1140="","",IF(INDEX(F_ProductBM!M:M,MATCH($P1224,F_ProductBM!$Q:$Q,0))="","",INDEX(F_ProductBM!M:M,MATCH($P1224,F_ProductBM!$Q:$Q,0))))</f>
        <v/>
      </c>
      <c r="N1224" s="1833" t="str">
        <f>IF($I1140="","",IF(INDEX(F_ProductBM!N:N,MATCH($P1224,F_ProductBM!$Q:$Q,0))="","",INDEX(F_ProductBM!N:N,MATCH($P1224,F_ProductBM!$Q:$Q,0))))</f>
        <v/>
      </c>
      <c r="O1224" s="698"/>
      <c r="P1224" s="1500" t="str">
        <f>EUconst_CNTR_CO2Feedstock &amp; I1140</f>
        <v>EmCO2Feedstock_</v>
      </c>
      <c r="Q1224" s="729"/>
      <c r="R1224" s="729"/>
      <c r="S1224" s="729"/>
      <c r="T1224" s="770"/>
      <c r="U1224" s="343"/>
      <c r="V1224" s="343"/>
    </row>
    <row r="1225" spans="1:22" s="364" customFormat="1" ht="5.15" customHeight="1" x14ac:dyDescent="0.25">
      <c r="A1225" s="729"/>
      <c r="B1225" s="302"/>
      <c r="C1225" s="302"/>
      <c r="D1225" s="1820"/>
      <c r="E1225" s="643"/>
      <c r="F1225" s="643"/>
      <c r="G1225" s="626"/>
      <c r="H1225" s="640"/>
      <c r="I1225" s="640"/>
      <c r="J1225" s="640"/>
      <c r="K1225" s="640"/>
      <c r="L1225" s="640"/>
      <c r="M1225" s="640"/>
      <c r="N1225" s="1831"/>
      <c r="O1225" s="698"/>
      <c r="P1225" s="729"/>
      <c r="Q1225" s="729"/>
      <c r="R1225" s="729"/>
      <c r="S1225" s="729"/>
      <c r="T1225" s="770"/>
      <c r="U1225" s="343"/>
      <c r="V1225" s="343"/>
    </row>
    <row r="1226" spans="1:22" s="364" customFormat="1" ht="12.75" customHeight="1" x14ac:dyDescent="0.25">
      <c r="A1226" s="729"/>
      <c r="B1226" s="302"/>
      <c r="C1226" s="302"/>
      <c r="D1226" s="1820"/>
      <c r="E1226" s="2818" t="str">
        <f>Translations!$B$554</f>
        <v>Нетно количество получена топлинна енергия</v>
      </c>
      <c r="F1226" s="2701"/>
      <c r="G1226" s="1326" t="str">
        <f>EUconst_TJpa</f>
        <v>TJ / година</v>
      </c>
      <c r="H1226" s="482" t="str">
        <f>IF($I1140="","",IF(INDEX(F_ProductBM!H:H,MATCH($P1226,F_ProductBM!$Q:$Q,0))="","",INDEX(F_ProductBM!H:H,MATCH($P1226,F_ProductBM!$Q:$Q,0))))</f>
        <v/>
      </c>
      <c r="I1226" s="1824" t="str">
        <f>IF($I1140="","",IF(INDEX(F_ProductBM!I:I,MATCH($P1226,F_ProductBM!$Q:$Q,0))="","",INDEX(F_ProductBM!I:I,MATCH($P1226,F_ProductBM!$Q:$Q,0))))</f>
        <v/>
      </c>
      <c r="J1226" s="1825" t="str">
        <f>IF($I1140="","",IF(INDEX(F_ProductBM!J:J,MATCH($P1226,F_ProductBM!$Q:$Q,0))="","",INDEX(F_ProductBM!J:J,MATCH($P1226,F_ProductBM!$Q:$Q,0))))</f>
        <v/>
      </c>
      <c r="K1226" s="482" t="str">
        <f>IF($I1140="","",IF(INDEX(F_ProductBM!K:K,MATCH($P1226,F_ProductBM!$Q:$Q,0))="","",INDEX(F_ProductBM!K:K,MATCH($P1226,F_ProductBM!$Q:$Q,0))))</f>
        <v/>
      </c>
      <c r="L1226" s="482" t="str">
        <f>IF($I1140="","",IF(INDEX(F_ProductBM!L:L,MATCH($P1226,F_ProductBM!$Q:$Q,0))="","",INDEX(F_ProductBM!L:L,MATCH($P1226,F_ProductBM!$Q:$Q,0))))</f>
        <v/>
      </c>
      <c r="M1226" s="482" t="str">
        <f>IF($I1140="","",IF(INDEX(F_ProductBM!M:M,MATCH($P1226,F_ProductBM!$Q:$Q,0))="","",INDEX(F_ProductBM!M:M,MATCH($P1226,F_ProductBM!$Q:$Q,0))))</f>
        <v/>
      </c>
      <c r="N1226" s="1826" t="str">
        <f>IF($I1140="","",IF(INDEX(F_ProductBM!N:N,MATCH($P1226,F_ProductBM!$Q:$Q,0))="","",INDEX(F_ProductBM!N:N,MATCH($P1226,F_ProductBM!$Q:$Q,0))))</f>
        <v/>
      </c>
      <c r="O1226" s="698"/>
      <c r="P1226" s="1500" t="str">
        <f>EUconst_CNTR_HeatImport &amp; I1140</f>
        <v>HeatIm_</v>
      </c>
      <c r="Q1226" s="729"/>
      <c r="R1226" s="729"/>
      <c r="S1226" s="729"/>
      <c r="T1226" s="770"/>
      <c r="U1226" s="343"/>
      <c r="V1226" s="343"/>
    </row>
    <row r="1227" spans="1:22" s="364" customFormat="1" ht="12.75" customHeight="1" x14ac:dyDescent="0.25">
      <c r="A1227" s="729"/>
      <c r="B1227" s="302"/>
      <c r="C1227" s="302"/>
      <c r="D1227" s="1820"/>
      <c r="E1227" s="2819" t="str">
        <f>Translations!$B$555</f>
        <v>Специфичен EF (получена топлинна енергия)</v>
      </c>
      <c r="F1227" s="2705"/>
      <c r="G1227" s="1329" t="str">
        <f>EUconst_tCO2pTJ</f>
        <v>t CO2 / TJ</v>
      </c>
      <c r="H1227" s="484" t="str">
        <f>IF($I1140="","",IF(INDEX(F_ProductBM!H:H,MATCH($P1227,F_ProductBM!$Q:$Q,0))="","",INDEX(F_ProductBM!H:H,MATCH($P1227,F_ProductBM!$Q:$Q,0))))</f>
        <v/>
      </c>
      <c r="I1227" s="1828" t="str">
        <f>IF($I1140="","",IF(INDEX(F_ProductBM!I:I,MATCH($P1227,F_ProductBM!$Q:$Q,0))="","",INDEX(F_ProductBM!I:I,MATCH($P1227,F_ProductBM!$Q:$Q,0))))</f>
        <v/>
      </c>
      <c r="J1227" s="1829" t="str">
        <f>IF($I1140="","",IF(INDEX(F_ProductBM!J:J,MATCH($P1227,F_ProductBM!$Q:$Q,0))="","",INDEX(F_ProductBM!J:J,MATCH($P1227,F_ProductBM!$Q:$Q,0))))</f>
        <v/>
      </c>
      <c r="K1227" s="484" t="str">
        <f>IF($I1140="","",IF(INDEX(F_ProductBM!K:K,MATCH($P1227,F_ProductBM!$Q:$Q,0))="","",INDEX(F_ProductBM!K:K,MATCH($P1227,F_ProductBM!$Q:$Q,0))))</f>
        <v/>
      </c>
      <c r="L1227" s="484" t="str">
        <f>IF($I1140="","",IF(INDEX(F_ProductBM!L:L,MATCH($P1227,F_ProductBM!$Q:$Q,0))="","",INDEX(F_ProductBM!L:L,MATCH($P1227,F_ProductBM!$Q:$Q,0))))</f>
        <v/>
      </c>
      <c r="M1227" s="484" t="str">
        <f>IF($I1140="","",IF(INDEX(F_ProductBM!M:M,MATCH($P1227,F_ProductBM!$Q:$Q,0))="","",INDEX(F_ProductBM!M:M,MATCH($P1227,F_ProductBM!$Q:$Q,0))))</f>
        <v/>
      </c>
      <c r="N1227" s="1830" t="str">
        <f>IF($I1140="","",IF(INDEX(F_ProductBM!N:N,MATCH($P1227,F_ProductBM!$Q:$Q,0))="","",INDEX(F_ProductBM!N:N,MATCH($P1227,F_ProductBM!$Q:$Q,0))))</f>
        <v/>
      </c>
      <c r="O1227" s="698"/>
      <c r="P1227" s="1500" t="str">
        <f>EUconst_CNTR_HeatImportEF &amp; I1140</f>
        <v>HeatImEF_</v>
      </c>
      <c r="Q1227" s="729"/>
      <c r="R1227" s="729"/>
      <c r="S1227" s="729"/>
      <c r="T1227" s="770"/>
      <c r="U1227" s="343"/>
      <c r="V1227" s="343"/>
    </row>
    <row r="1228" spans="1:22" s="364" customFormat="1" ht="5.15" customHeight="1" x14ac:dyDescent="0.25">
      <c r="A1228" s="729"/>
      <c r="B1228" s="302"/>
      <c r="C1228" s="302"/>
      <c r="D1228" s="1820"/>
      <c r="E1228" s="643"/>
      <c r="F1228" s="643"/>
      <c r="G1228" s="626"/>
      <c r="H1228" s="640"/>
      <c r="I1228" s="640"/>
      <c r="J1228" s="640"/>
      <c r="K1228" s="640"/>
      <c r="L1228" s="640"/>
      <c r="M1228" s="640"/>
      <c r="N1228" s="1831"/>
      <c r="O1228" s="698"/>
      <c r="P1228" s="770"/>
      <c r="Q1228" s="729"/>
      <c r="R1228" s="729"/>
      <c r="S1228" s="729"/>
      <c r="T1228" s="770"/>
      <c r="U1228" s="343"/>
      <c r="V1228" s="343"/>
    </row>
    <row r="1229" spans="1:22" s="364" customFormat="1" ht="12.75" customHeight="1" x14ac:dyDescent="0.25">
      <c r="A1229" s="729"/>
      <c r="B1229" s="302"/>
      <c r="C1229" s="302"/>
      <c r="D1229" s="1820"/>
      <c r="E1229" s="2820" t="str">
        <f>Translations!$B$609</f>
        <v>Нетно количество топлинна енергия, получена от пулп</v>
      </c>
      <c r="F1229" s="2258"/>
      <c r="G1229" s="1319" t="str">
        <f>EUconst_TJpa</f>
        <v>TJ / година</v>
      </c>
      <c r="H1229" s="480" t="str">
        <f>IF($I1140="","",IF(INDEX(F_ProductBM!H:H,MATCH($P1229,F_ProductBM!$Q:$Q,0))="","",INDEX(F_ProductBM!H:H,MATCH($P1229,F_ProductBM!$Q:$Q,0))))</f>
        <v/>
      </c>
      <c r="I1229" s="1399" t="str">
        <f>IF($I1140="","",IF(INDEX(F_ProductBM!I:I,MATCH($P1229,F_ProductBM!$Q:$Q,0))="","",INDEX(F_ProductBM!I:I,MATCH($P1229,F_ProductBM!$Q:$Q,0))))</f>
        <v/>
      </c>
      <c r="J1229" s="1832" t="str">
        <f>IF($I1140="","",IF(INDEX(F_ProductBM!J:J,MATCH($P1229,F_ProductBM!$Q:$Q,0))="","",INDEX(F_ProductBM!J:J,MATCH($P1229,F_ProductBM!$Q:$Q,0))))</f>
        <v/>
      </c>
      <c r="K1229" s="480" t="str">
        <f>IF($I1140="","",IF(INDEX(F_ProductBM!K:K,MATCH($P1229,F_ProductBM!$Q:$Q,0))="","",INDEX(F_ProductBM!K:K,MATCH($P1229,F_ProductBM!$Q:$Q,0))))</f>
        <v/>
      </c>
      <c r="L1229" s="480" t="str">
        <f>IF($I1140="","",IF(INDEX(F_ProductBM!L:L,MATCH($P1229,F_ProductBM!$Q:$Q,0))="","",INDEX(F_ProductBM!L:L,MATCH($P1229,F_ProductBM!$Q:$Q,0))))</f>
        <v/>
      </c>
      <c r="M1229" s="480" t="str">
        <f>IF($I1140="","",IF(INDEX(F_ProductBM!M:M,MATCH($P1229,F_ProductBM!$Q:$Q,0))="","",INDEX(F_ProductBM!M:M,MATCH($P1229,F_ProductBM!$Q:$Q,0))))</f>
        <v/>
      </c>
      <c r="N1229" s="1833" t="str">
        <f>IF($I1140="","",IF(INDEX(F_ProductBM!N:N,MATCH($P1229,F_ProductBM!$Q:$Q,0))="","",INDEX(F_ProductBM!N:N,MATCH($P1229,F_ProductBM!$Q:$Q,0))))</f>
        <v/>
      </c>
      <c r="O1229" s="698"/>
      <c r="P1229" s="1500" t="str">
        <f>EUconst_CNTR_HeatImportPulp &amp; I1140</f>
        <v>HeatImPulp_</v>
      </c>
      <c r="Q1229" s="729"/>
      <c r="R1229" s="729"/>
      <c r="S1229" s="729"/>
      <c r="T1229" s="770"/>
      <c r="U1229" s="343"/>
      <c r="V1229" s="343"/>
    </row>
    <row r="1230" spans="1:22" s="364" customFormat="1" ht="12.75" customHeight="1" x14ac:dyDescent="0.25">
      <c r="A1230" s="729"/>
      <c r="B1230" s="302"/>
      <c r="C1230" s="302"/>
      <c r="D1230" s="1820"/>
      <c r="E1230" s="2820" t="str">
        <f>Translations!$B$558</f>
        <v>Нетно количество топлинна енергия, получена от подинсталации за азотна киселина</v>
      </c>
      <c r="F1230" s="2258"/>
      <c r="G1230" s="1319" t="str">
        <f>EUconst_TJpa</f>
        <v>TJ / година</v>
      </c>
      <c r="H1230" s="480" t="str">
        <f>IF($I1140="","",IF(INDEX(F_ProductBM!H:H,MATCH($P1230,F_ProductBM!$Q:$Q,0))="","",INDEX(F_ProductBM!H:H,MATCH($P1230,F_ProductBM!$Q:$Q,0))))</f>
        <v/>
      </c>
      <c r="I1230" s="1399" t="str">
        <f>IF($I1140="","",IF(INDEX(F_ProductBM!I:I,MATCH($P1230,F_ProductBM!$Q:$Q,0))="","",INDEX(F_ProductBM!I:I,MATCH($P1230,F_ProductBM!$Q:$Q,0))))</f>
        <v/>
      </c>
      <c r="J1230" s="1832" t="str">
        <f>IF($I1140="","",IF(INDEX(F_ProductBM!J:J,MATCH($P1230,F_ProductBM!$Q:$Q,0))="","",INDEX(F_ProductBM!J:J,MATCH($P1230,F_ProductBM!$Q:$Q,0))))</f>
        <v/>
      </c>
      <c r="K1230" s="480" t="str">
        <f>IF($I1140="","",IF(INDEX(F_ProductBM!K:K,MATCH($P1230,F_ProductBM!$Q:$Q,0))="","",INDEX(F_ProductBM!K:K,MATCH($P1230,F_ProductBM!$Q:$Q,0))))</f>
        <v/>
      </c>
      <c r="L1230" s="480" t="str">
        <f>IF($I1140="","",IF(INDEX(F_ProductBM!L:L,MATCH($P1230,F_ProductBM!$Q:$Q,0))="","",INDEX(F_ProductBM!L:L,MATCH($P1230,F_ProductBM!$Q:$Q,0))))</f>
        <v/>
      </c>
      <c r="M1230" s="480" t="str">
        <f>IF($I1140="","",IF(INDEX(F_ProductBM!M:M,MATCH($P1230,F_ProductBM!$Q:$Q,0))="","",INDEX(F_ProductBM!M:M,MATCH($P1230,F_ProductBM!$Q:$Q,0))))</f>
        <v/>
      </c>
      <c r="N1230" s="1833" t="str">
        <f>IF($I1140="","",IF(INDEX(F_ProductBM!N:N,MATCH($P1230,F_ProductBM!$Q:$Q,0))="","",INDEX(F_ProductBM!N:N,MATCH($P1230,F_ProductBM!$Q:$Q,0))))</f>
        <v/>
      </c>
      <c r="O1230" s="698"/>
      <c r="P1230" s="1500" t="str">
        <f>EUconst_CNTR_HeatImportNitric &amp; I1140</f>
        <v>HeatImNitric_</v>
      </c>
      <c r="Q1230" s="729"/>
      <c r="R1230" s="729"/>
      <c r="S1230" s="729"/>
      <c r="T1230" s="770"/>
      <c r="U1230" s="343"/>
      <c r="V1230" s="343"/>
    </row>
    <row r="1231" spans="1:22" s="364" customFormat="1" ht="5.15" customHeight="1" x14ac:dyDescent="0.25">
      <c r="A1231" s="729"/>
      <c r="B1231" s="302"/>
      <c r="C1231" s="302"/>
      <c r="D1231" s="1820"/>
      <c r="E1231" s="643"/>
      <c r="F1231" s="643"/>
      <c r="G1231" s="625"/>
      <c r="H1231" s="640"/>
      <c r="I1231" s="640"/>
      <c r="J1231" s="640"/>
      <c r="K1231" s="640"/>
      <c r="L1231" s="640"/>
      <c r="M1231" s="640"/>
      <c r="N1231" s="1831"/>
      <c r="O1231" s="698"/>
      <c r="P1231" s="770"/>
      <c r="Q1231" s="729"/>
      <c r="R1231" s="729"/>
      <c r="S1231" s="729"/>
      <c r="T1231" s="770"/>
      <c r="U1231" s="343"/>
      <c r="V1231" s="343"/>
    </row>
    <row r="1232" spans="1:22" s="364" customFormat="1" ht="12.75" customHeight="1" x14ac:dyDescent="0.25">
      <c r="A1232" s="729"/>
      <c r="B1232" s="302"/>
      <c r="C1232" s="302"/>
      <c r="D1232" s="1820"/>
      <c r="E1232" s="2818" t="str">
        <f>Translations!$B$560</f>
        <v>Нетно количество подадена топлинна енергия</v>
      </c>
      <c r="F1232" s="2701"/>
      <c r="G1232" s="1326" t="str">
        <f>EUconst_TJpa</f>
        <v>TJ / година</v>
      </c>
      <c r="H1232" s="482" t="str">
        <f>IF($I1140="","",IF(INDEX(F_ProductBM!H:H,MATCH($P1232,F_ProductBM!$Q:$Q,0))="","",INDEX(F_ProductBM!H:H,MATCH($P1232,F_ProductBM!$Q:$Q,0))))</f>
        <v/>
      </c>
      <c r="I1232" s="1824" t="str">
        <f>IF($I1140="","",IF(INDEX(F_ProductBM!I:I,MATCH($P1232,F_ProductBM!$Q:$Q,0))="","",INDEX(F_ProductBM!I:I,MATCH($P1232,F_ProductBM!$Q:$Q,0))))</f>
        <v/>
      </c>
      <c r="J1232" s="1825" t="str">
        <f>IF($I1140="","",IF(INDEX(F_ProductBM!J:J,MATCH($P1232,F_ProductBM!$Q:$Q,0))="","",INDEX(F_ProductBM!J:J,MATCH($P1232,F_ProductBM!$Q:$Q,0))))</f>
        <v/>
      </c>
      <c r="K1232" s="482" t="str">
        <f>IF($I1140="","",IF(INDEX(F_ProductBM!K:K,MATCH($P1232,F_ProductBM!$Q:$Q,0))="","",INDEX(F_ProductBM!K:K,MATCH($P1232,F_ProductBM!$Q:$Q,0))))</f>
        <v/>
      </c>
      <c r="L1232" s="482" t="str">
        <f>IF($I1140="","",IF(INDEX(F_ProductBM!L:L,MATCH($P1232,F_ProductBM!$Q:$Q,0))="","",INDEX(F_ProductBM!L:L,MATCH($P1232,F_ProductBM!$Q:$Q,0))))</f>
        <v/>
      </c>
      <c r="M1232" s="482" t="str">
        <f>IF($I1140="","",IF(INDEX(F_ProductBM!M:M,MATCH($P1232,F_ProductBM!$Q:$Q,0))="","",INDEX(F_ProductBM!M:M,MATCH($P1232,F_ProductBM!$Q:$Q,0))))</f>
        <v/>
      </c>
      <c r="N1232" s="1826" t="str">
        <f>IF($I1140="","",IF(INDEX(F_ProductBM!N:N,MATCH($P1232,F_ProductBM!$Q:$Q,0))="","",INDEX(F_ProductBM!N:N,MATCH($P1232,F_ProductBM!$Q:$Q,0))))</f>
        <v/>
      </c>
      <c r="O1232" s="698"/>
      <c r="P1232" s="1500" t="str">
        <f>EUconst_CNTR_HeatExport &amp; I1140</f>
        <v>HeatEx_</v>
      </c>
      <c r="Q1232" s="729"/>
      <c r="R1232" s="729"/>
      <c r="S1232" s="729"/>
      <c r="T1232" s="770"/>
      <c r="U1232" s="343"/>
      <c r="V1232" s="343"/>
    </row>
    <row r="1233" spans="1:22" s="364" customFormat="1" ht="12.75" customHeight="1" x14ac:dyDescent="0.25">
      <c r="A1233" s="729"/>
      <c r="B1233" s="302"/>
      <c r="C1233" s="302"/>
      <c r="D1233" s="1820"/>
      <c r="E1233" s="2819" t="str">
        <f>Translations!$B$561</f>
        <v>Специфичен EF (подадена топлинна енергия)</v>
      </c>
      <c r="F1233" s="2705"/>
      <c r="G1233" s="1329" t="str">
        <f>EUconst_tCO2pTJ</f>
        <v>t CO2 / TJ</v>
      </c>
      <c r="H1233" s="484" t="str">
        <f>IF($I1140="","",IF(INDEX(F_ProductBM!H:H,MATCH($P1233,F_ProductBM!$Q:$Q,0))="","",INDEX(F_ProductBM!H:H,MATCH($P1233,F_ProductBM!$Q:$Q,0))))</f>
        <v/>
      </c>
      <c r="I1233" s="1828" t="str">
        <f>IF($I1140="","",IF(INDEX(F_ProductBM!I:I,MATCH($P1233,F_ProductBM!$Q:$Q,0))="","",INDEX(F_ProductBM!I:I,MATCH($P1233,F_ProductBM!$Q:$Q,0))))</f>
        <v/>
      </c>
      <c r="J1233" s="1829" t="str">
        <f>IF($I1140="","",IF(INDEX(F_ProductBM!J:J,MATCH($P1233,F_ProductBM!$Q:$Q,0))="","",INDEX(F_ProductBM!J:J,MATCH($P1233,F_ProductBM!$Q:$Q,0))))</f>
        <v/>
      </c>
      <c r="K1233" s="484" t="str">
        <f>IF($I1140="","",IF(INDEX(F_ProductBM!K:K,MATCH($P1233,F_ProductBM!$Q:$Q,0))="","",INDEX(F_ProductBM!K:K,MATCH($P1233,F_ProductBM!$Q:$Q,0))))</f>
        <v/>
      </c>
      <c r="L1233" s="484" t="str">
        <f>IF($I1140="","",IF(INDEX(F_ProductBM!L:L,MATCH($P1233,F_ProductBM!$Q:$Q,0))="","",INDEX(F_ProductBM!L:L,MATCH($P1233,F_ProductBM!$Q:$Q,0))))</f>
        <v/>
      </c>
      <c r="M1233" s="484" t="str">
        <f>IF($I1140="","",IF(INDEX(F_ProductBM!M:M,MATCH($P1233,F_ProductBM!$Q:$Q,0))="","",INDEX(F_ProductBM!M:M,MATCH($P1233,F_ProductBM!$Q:$Q,0))))</f>
        <v/>
      </c>
      <c r="N1233" s="1830" t="str">
        <f>IF($I1140="","",IF(INDEX(F_ProductBM!N:N,MATCH($P1233,F_ProductBM!$Q:$Q,0))="","",INDEX(F_ProductBM!N:N,MATCH($P1233,F_ProductBM!$Q:$Q,0))))</f>
        <v/>
      </c>
      <c r="O1233" s="698"/>
      <c r="P1233" s="1500" t="str">
        <f>EUconst_CNTR_HeatExportEF &amp; I1140</f>
        <v>HeatExEF_</v>
      </c>
      <c r="Q1233" s="729"/>
      <c r="R1233" s="729"/>
      <c r="S1233" s="729"/>
      <c r="T1233" s="770"/>
      <c r="U1233" s="343"/>
      <c r="V1233" s="343"/>
    </row>
    <row r="1234" spans="1:22" s="364" customFormat="1" ht="5.15" customHeight="1" x14ac:dyDescent="0.25">
      <c r="A1234" s="729"/>
      <c r="B1234" s="302"/>
      <c r="C1234" s="302"/>
      <c r="D1234" s="1820"/>
      <c r="E1234" s="643"/>
      <c r="F1234" s="643"/>
      <c r="G1234" s="625"/>
      <c r="H1234" s="640"/>
      <c r="I1234" s="640"/>
      <c r="J1234" s="640"/>
      <c r="K1234" s="640"/>
      <c r="L1234" s="640"/>
      <c r="M1234" s="640"/>
      <c r="N1234" s="1831"/>
      <c r="O1234" s="698"/>
      <c r="P1234" s="770"/>
      <c r="Q1234" s="729"/>
      <c r="R1234" s="729"/>
      <c r="S1234" s="729"/>
      <c r="T1234" s="770"/>
      <c r="U1234" s="343"/>
      <c r="V1234" s="343"/>
    </row>
    <row r="1235" spans="1:22" s="364" customFormat="1" ht="12.75" customHeight="1" x14ac:dyDescent="0.25">
      <c r="A1235" s="729"/>
      <c r="B1235" s="302"/>
      <c r="C1235" s="302"/>
      <c r="D1235" s="1820"/>
      <c r="E1235" s="2818" t="str">
        <f>Translations!$B$568</f>
        <v>Произведен отпаден газ</v>
      </c>
      <c r="F1235" s="2701"/>
      <c r="G1235" s="1326" t="str">
        <f>EUconst_TJpa</f>
        <v>TJ / година</v>
      </c>
      <c r="H1235" s="482" t="str">
        <f>IF($I1140="","",IF(INDEX(F_ProductBM!H:H,MATCH($P1235,F_ProductBM!$Q:$Q,0))="","",INDEX(F_ProductBM!H:H,MATCH($P1235,F_ProductBM!$Q:$Q,0))))</f>
        <v/>
      </c>
      <c r="I1235" s="1824" t="str">
        <f>IF($I1140="","",IF(INDEX(F_ProductBM!I:I,MATCH($P1235,F_ProductBM!$Q:$Q,0))="","",INDEX(F_ProductBM!I:I,MATCH($P1235,F_ProductBM!$Q:$Q,0))))</f>
        <v/>
      </c>
      <c r="J1235" s="1825" t="str">
        <f>IF($I1140="","",IF(INDEX(F_ProductBM!J:J,MATCH($P1235,F_ProductBM!$Q:$Q,0))="","",INDEX(F_ProductBM!J:J,MATCH($P1235,F_ProductBM!$Q:$Q,0))))</f>
        <v/>
      </c>
      <c r="K1235" s="482" t="str">
        <f>IF($I1140="","",IF(INDEX(F_ProductBM!K:K,MATCH($P1235,F_ProductBM!$Q:$Q,0))="","",INDEX(F_ProductBM!K:K,MATCH($P1235,F_ProductBM!$Q:$Q,0))))</f>
        <v/>
      </c>
      <c r="L1235" s="482" t="str">
        <f>IF($I1140="","",IF(INDEX(F_ProductBM!L:L,MATCH($P1235,F_ProductBM!$Q:$Q,0))="","",INDEX(F_ProductBM!L:L,MATCH($P1235,F_ProductBM!$Q:$Q,0))))</f>
        <v/>
      </c>
      <c r="M1235" s="482" t="str">
        <f>IF($I1140="","",IF(INDEX(F_ProductBM!M:M,MATCH($P1235,F_ProductBM!$Q:$Q,0))="","",INDEX(F_ProductBM!M:M,MATCH($P1235,F_ProductBM!$Q:$Q,0))))</f>
        <v/>
      </c>
      <c r="N1235" s="1826" t="str">
        <f>IF($I1140="","",IF(INDEX(F_ProductBM!N:N,MATCH($P1235,F_ProductBM!$Q:$Q,0))="","",INDEX(F_ProductBM!N:N,MATCH($P1235,F_ProductBM!$Q:$Q,0))))</f>
        <v/>
      </c>
      <c r="O1235" s="698"/>
      <c r="P1235" s="1827" t="str">
        <f>EUconst_CNTR_WGProduced &amp; I1140</f>
        <v>WasteGasProd_</v>
      </c>
      <c r="Q1235" s="729"/>
      <c r="R1235" s="729"/>
      <c r="S1235" s="729"/>
      <c r="T1235" s="770"/>
      <c r="U1235" s="343"/>
      <c r="V1235" s="343"/>
    </row>
    <row r="1236" spans="1:22" s="364" customFormat="1" ht="12.75" customHeight="1" x14ac:dyDescent="0.25">
      <c r="A1236" s="729"/>
      <c r="B1236" s="302"/>
      <c r="C1236" s="302"/>
      <c r="D1236" s="1820"/>
      <c r="E1236" s="2819" t="str">
        <f>Translations!$B$569</f>
        <v>Специфичен EF (произведен отпаден газ)</v>
      </c>
      <c r="F1236" s="2705"/>
      <c r="G1236" s="1329" t="str">
        <f>EUconst_tCO2pTJ</f>
        <v>t CO2 / TJ</v>
      </c>
      <c r="H1236" s="484" t="str">
        <f>IF($I1140="","",IF(INDEX(F_ProductBM!H:H,MATCH($P1236,F_ProductBM!$Q:$Q,0))="","",INDEX(F_ProductBM!H:H,MATCH($P1236,F_ProductBM!$Q:$Q,0))))</f>
        <v/>
      </c>
      <c r="I1236" s="1828" t="str">
        <f>IF($I1140="","",IF(INDEX(F_ProductBM!I:I,MATCH($P1236,F_ProductBM!$Q:$Q,0))="","",INDEX(F_ProductBM!I:I,MATCH($P1236,F_ProductBM!$Q:$Q,0))))</f>
        <v/>
      </c>
      <c r="J1236" s="1829" t="str">
        <f>IF($I1140="","",IF(INDEX(F_ProductBM!J:J,MATCH($P1236,F_ProductBM!$Q:$Q,0))="","",INDEX(F_ProductBM!J:J,MATCH($P1236,F_ProductBM!$Q:$Q,0))))</f>
        <v/>
      </c>
      <c r="K1236" s="484" t="str">
        <f>IF($I1140="","",IF(INDEX(F_ProductBM!K:K,MATCH($P1236,F_ProductBM!$Q:$Q,0))="","",INDEX(F_ProductBM!K:K,MATCH($P1236,F_ProductBM!$Q:$Q,0))))</f>
        <v/>
      </c>
      <c r="L1236" s="484" t="str">
        <f>IF($I1140="","",IF(INDEX(F_ProductBM!L:L,MATCH($P1236,F_ProductBM!$Q:$Q,0))="","",INDEX(F_ProductBM!L:L,MATCH($P1236,F_ProductBM!$Q:$Q,0))))</f>
        <v/>
      </c>
      <c r="M1236" s="484" t="str">
        <f>IF($I1140="","",IF(INDEX(F_ProductBM!M:M,MATCH($P1236,F_ProductBM!$Q:$Q,0))="","",INDEX(F_ProductBM!M:M,MATCH($P1236,F_ProductBM!$Q:$Q,0))))</f>
        <v/>
      </c>
      <c r="N1236" s="1830" t="str">
        <f>IF($I1140="","",IF(INDEX(F_ProductBM!N:N,MATCH($P1236,F_ProductBM!$Q:$Q,0))="","",INDEX(F_ProductBM!N:N,MATCH($P1236,F_ProductBM!$Q:$Q,0))))</f>
        <v/>
      </c>
      <c r="O1236" s="698"/>
      <c r="P1236" s="1500" t="str">
        <f>EUconst_CNTR_WGProducedEF &amp; I1140</f>
        <v>WasteGasProdEF_</v>
      </c>
      <c r="Q1236" s="729"/>
      <c r="R1236" s="729"/>
      <c r="S1236" s="729"/>
      <c r="T1236" s="770"/>
      <c r="U1236" s="343"/>
      <c r="V1236" s="343"/>
    </row>
    <row r="1237" spans="1:22" s="364" customFormat="1" ht="12.75" customHeight="1" x14ac:dyDescent="0.25">
      <c r="A1237" s="729"/>
      <c r="B1237" s="302"/>
      <c r="C1237" s="302"/>
      <c r="D1237" s="1820"/>
      <c r="E1237" s="2818" t="str">
        <f>Translations!$B$573</f>
        <v>Консумиран отпаден газ</v>
      </c>
      <c r="F1237" s="2701"/>
      <c r="G1237" s="1326" t="str">
        <f>EUconst_TJpa</f>
        <v>TJ / година</v>
      </c>
      <c r="H1237" s="482" t="str">
        <f>IF($I1140="","",IF(INDEX(F_ProductBM!H:H,MATCH($P1237,F_ProductBM!$Q:$Q,0))="","",INDEX(F_ProductBM!H:H,MATCH($P1237,F_ProductBM!$Q:$Q,0))))</f>
        <v/>
      </c>
      <c r="I1237" s="1824" t="str">
        <f>IF($I1140="","",IF(INDEX(F_ProductBM!I:I,MATCH($P1237,F_ProductBM!$Q:$Q,0))="","",INDEX(F_ProductBM!I:I,MATCH($P1237,F_ProductBM!$Q:$Q,0))))</f>
        <v/>
      </c>
      <c r="J1237" s="1825" t="str">
        <f>IF($I1140="","",IF(INDEX(F_ProductBM!J:J,MATCH($P1237,F_ProductBM!$Q:$Q,0))="","",INDEX(F_ProductBM!J:J,MATCH($P1237,F_ProductBM!$Q:$Q,0))))</f>
        <v/>
      </c>
      <c r="K1237" s="482" t="str">
        <f>IF($I1140="","",IF(INDEX(F_ProductBM!K:K,MATCH($P1237,F_ProductBM!$Q:$Q,0))="","",INDEX(F_ProductBM!K:K,MATCH($P1237,F_ProductBM!$Q:$Q,0))))</f>
        <v/>
      </c>
      <c r="L1237" s="482" t="str">
        <f>IF($I1140="","",IF(INDEX(F_ProductBM!L:L,MATCH($P1237,F_ProductBM!$Q:$Q,0))="","",INDEX(F_ProductBM!L:L,MATCH($P1237,F_ProductBM!$Q:$Q,0))))</f>
        <v/>
      </c>
      <c r="M1237" s="482" t="str">
        <f>IF($I1140="","",IF(INDEX(F_ProductBM!M:M,MATCH($P1237,F_ProductBM!$Q:$Q,0))="","",INDEX(F_ProductBM!M:M,MATCH($P1237,F_ProductBM!$Q:$Q,0))))</f>
        <v/>
      </c>
      <c r="N1237" s="1826" t="str">
        <f>IF($I1140="","",IF(INDEX(F_ProductBM!N:N,MATCH($P1237,F_ProductBM!$Q:$Q,0))="","",INDEX(F_ProductBM!N:N,MATCH($P1237,F_ProductBM!$Q:$Q,0))))</f>
        <v/>
      </c>
      <c r="O1237" s="698"/>
      <c r="P1237" s="1500" t="str">
        <f>EUconst_CNTR_WGConsumed &amp; I1140</f>
        <v>WasteGasCons_</v>
      </c>
      <c r="Q1237" s="729"/>
      <c r="R1237" s="729"/>
      <c r="S1237" s="729"/>
      <c r="T1237" s="770"/>
      <c r="U1237" s="343"/>
      <c r="V1237" s="343"/>
    </row>
    <row r="1238" spans="1:22" s="364" customFormat="1" ht="12.75" customHeight="1" x14ac:dyDescent="0.25">
      <c r="A1238" s="729"/>
      <c r="B1238" s="302"/>
      <c r="C1238" s="302"/>
      <c r="D1238" s="1820"/>
      <c r="E1238" s="2819" t="str">
        <f>Translations!$B$574</f>
        <v>Специфичен EF (консумиран отпаден газ)</v>
      </c>
      <c r="F1238" s="2705"/>
      <c r="G1238" s="1329" t="str">
        <f>EUconst_tCO2pTJ</f>
        <v>t CO2 / TJ</v>
      </c>
      <c r="H1238" s="484" t="str">
        <f>IF($I1140="","",IF(INDEX(F_ProductBM!H:H,MATCH($P1238,F_ProductBM!$Q:$Q,0))="","",INDEX(F_ProductBM!H:H,MATCH($P1238,F_ProductBM!$Q:$Q,0))))</f>
        <v/>
      </c>
      <c r="I1238" s="1828" t="str">
        <f>IF($I1140="","",IF(INDEX(F_ProductBM!I:I,MATCH($P1238,F_ProductBM!$Q:$Q,0))="","",INDEX(F_ProductBM!I:I,MATCH($P1238,F_ProductBM!$Q:$Q,0))))</f>
        <v/>
      </c>
      <c r="J1238" s="1829" t="str">
        <f>IF($I1140="","",IF(INDEX(F_ProductBM!J:J,MATCH($P1238,F_ProductBM!$Q:$Q,0))="","",INDEX(F_ProductBM!J:J,MATCH($P1238,F_ProductBM!$Q:$Q,0))))</f>
        <v/>
      </c>
      <c r="K1238" s="484" t="str">
        <f>IF($I1140="","",IF(INDEX(F_ProductBM!K:K,MATCH($P1238,F_ProductBM!$Q:$Q,0))="","",INDEX(F_ProductBM!K:K,MATCH($P1238,F_ProductBM!$Q:$Q,0))))</f>
        <v/>
      </c>
      <c r="L1238" s="484" t="str">
        <f>IF($I1140="","",IF(INDEX(F_ProductBM!L:L,MATCH($P1238,F_ProductBM!$Q:$Q,0))="","",INDEX(F_ProductBM!L:L,MATCH($P1238,F_ProductBM!$Q:$Q,0))))</f>
        <v/>
      </c>
      <c r="M1238" s="484" t="str">
        <f>IF($I1140="","",IF(INDEX(F_ProductBM!M:M,MATCH($P1238,F_ProductBM!$Q:$Q,0))="","",INDEX(F_ProductBM!M:M,MATCH($P1238,F_ProductBM!$Q:$Q,0))))</f>
        <v/>
      </c>
      <c r="N1238" s="1830" t="str">
        <f>IF($I1140="","",IF(INDEX(F_ProductBM!N:N,MATCH($P1238,F_ProductBM!$Q:$Q,0))="","",INDEX(F_ProductBM!N:N,MATCH($P1238,F_ProductBM!$Q:$Q,0))))</f>
        <v/>
      </c>
      <c r="O1238" s="698"/>
      <c r="P1238" s="1500" t="str">
        <f>EUconst_CNTR_WGConsumedEF &amp; I1140</f>
        <v>WasteGasConsEF_</v>
      </c>
      <c r="Q1238" s="729"/>
      <c r="R1238" s="729"/>
      <c r="S1238" s="729"/>
      <c r="T1238" s="770"/>
      <c r="U1238" s="343"/>
      <c r="V1238" s="343"/>
    </row>
    <row r="1239" spans="1:22" s="364" customFormat="1" ht="12.75" customHeight="1" x14ac:dyDescent="0.25">
      <c r="A1239" s="729"/>
      <c r="B1239" s="302"/>
      <c r="C1239" s="302"/>
      <c r="D1239" s="1820"/>
      <c r="E1239" s="2818" t="str">
        <f>Translations!$B$580</f>
        <v>Изгорен във факел отпаден газ</v>
      </c>
      <c r="F1239" s="2701"/>
      <c r="G1239" s="1326" t="str">
        <f>EUconst_TJpa</f>
        <v>TJ / година</v>
      </c>
      <c r="H1239" s="482" t="str">
        <f>IF($I1140="","",IF(INDEX(F_ProductBM!H:H,MATCH($P1239,F_ProductBM!$Q:$Q,0))="","",INDEX(F_ProductBM!H:H,MATCH($P1239,F_ProductBM!$Q:$Q,0))))</f>
        <v/>
      </c>
      <c r="I1239" s="1824" t="str">
        <f>IF($I1140="","",IF(INDEX(F_ProductBM!I:I,MATCH($P1239,F_ProductBM!$Q:$Q,0))="","",INDEX(F_ProductBM!I:I,MATCH($P1239,F_ProductBM!$Q:$Q,0))))</f>
        <v/>
      </c>
      <c r="J1239" s="1825" t="str">
        <f>IF($I1140="","",IF(INDEX(F_ProductBM!J:J,MATCH($P1239,F_ProductBM!$Q:$Q,0))="","",INDEX(F_ProductBM!J:J,MATCH($P1239,F_ProductBM!$Q:$Q,0))))</f>
        <v/>
      </c>
      <c r="K1239" s="482" t="str">
        <f>IF($I1140="","",IF(INDEX(F_ProductBM!K:K,MATCH($P1239,F_ProductBM!$Q:$Q,0))="","",INDEX(F_ProductBM!K:K,MATCH($P1239,F_ProductBM!$Q:$Q,0))))</f>
        <v/>
      </c>
      <c r="L1239" s="482" t="str">
        <f>IF($I1140="","",IF(INDEX(F_ProductBM!L:L,MATCH($P1239,F_ProductBM!$Q:$Q,0))="","",INDEX(F_ProductBM!L:L,MATCH($P1239,F_ProductBM!$Q:$Q,0))))</f>
        <v/>
      </c>
      <c r="M1239" s="482" t="str">
        <f>IF($I1140="","",IF(INDEX(F_ProductBM!M:M,MATCH($P1239,F_ProductBM!$Q:$Q,0))="","",INDEX(F_ProductBM!M:M,MATCH($P1239,F_ProductBM!$Q:$Q,0))))</f>
        <v/>
      </c>
      <c r="N1239" s="1826" t="str">
        <f>IF($I1140="","",IF(INDEX(F_ProductBM!N:N,MATCH($P1239,F_ProductBM!$Q:$Q,0))="","",INDEX(F_ProductBM!N:N,MATCH($P1239,F_ProductBM!$Q:$Q,0))))</f>
        <v/>
      </c>
      <c r="O1239" s="698"/>
      <c r="P1239" s="1500" t="str">
        <f>EUconst_CNTR_WGFlared &amp; I1140</f>
        <v>WasteGasFlare_</v>
      </c>
      <c r="Q1239" s="729"/>
      <c r="R1239" s="729"/>
      <c r="S1239" s="729"/>
      <c r="T1239" s="770"/>
      <c r="U1239" s="343"/>
      <c r="V1239" s="343"/>
    </row>
    <row r="1240" spans="1:22" s="364" customFormat="1" ht="12.75" customHeight="1" x14ac:dyDescent="0.25">
      <c r="A1240" s="729"/>
      <c r="B1240" s="302"/>
      <c r="C1240" s="302"/>
      <c r="D1240" s="1820"/>
      <c r="E1240" s="2819" t="str">
        <f>Translations!$B$581</f>
        <v>Специфичен EF (изгорен във факел отпаден газ)</v>
      </c>
      <c r="F1240" s="2705"/>
      <c r="G1240" s="1329" t="str">
        <f>EUconst_tCO2pTJ</f>
        <v>t CO2 / TJ</v>
      </c>
      <c r="H1240" s="484" t="str">
        <f>IF($I1140="","",IF(INDEX(F_ProductBM!H:H,MATCH($P1240,F_ProductBM!$Q:$Q,0))="","",INDEX(F_ProductBM!H:H,MATCH($P1240,F_ProductBM!$Q:$Q,0))))</f>
        <v/>
      </c>
      <c r="I1240" s="1828" t="str">
        <f>IF($I1140="","",IF(INDEX(F_ProductBM!I:I,MATCH($P1240,F_ProductBM!$Q:$Q,0))="","",INDEX(F_ProductBM!I:I,MATCH($P1240,F_ProductBM!$Q:$Q,0))))</f>
        <v/>
      </c>
      <c r="J1240" s="1829" t="str">
        <f>IF($I1140="","",IF(INDEX(F_ProductBM!J:J,MATCH($P1240,F_ProductBM!$Q:$Q,0))="","",INDEX(F_ProductBM!J:J,MATCH($P1240,F_ProductBM!$Q:$Q,0))))</f>
        <v/>
      </c>
      <c r="K1240" s="484" t="str">
        <f>IF($I1140="","",IF(INDEX(F_ProductBM!K:K,MATCH($P1240,F_ProductBM!$Q:$Q,0))="","",INDEX(F_ProductBM!K:K,MATCH($P1240,F_ProductBM!$Q:$Q,0))))</f>
        <v/>
      </c>
      <c r="L1240" s="484" t="str">
        <f>IF($I1140="","",IF(INDEX(F_ProductBM!L:L,MATCH($P1240,F_ProductBM!$Q:$Q,0))="","",INDEX(F_ProductBM!L:L,MATCH($P1240,F_ProductBM!$Q:$Q,0))))</f>
        <v/>
      </c>
      <c r="M1240" s="484" t="str">
        <f>IF($I1140="","",IF(INDEX(F_ProductBM!M:M,MATCH($P1240,F_ProductBM!$Q:$Q,0))="","",INDEX(F_ProductBM!M:M,MATCH($P1240,F_ProductBM!$Q:$Q,0))))</f>
        <v/>
      </c>
      <c r="N1240" s="1830" t="str">
        <f>IF($I1140="","",IF(INDEX(F_ProductBM!N:N,MATCH($P1240,F_ProductBM!$Q:$Q,0))="","",INDEX(F_ProductBM!N:N,MATCH($P1240,F_ProductBM!$Q:$Q,0))))</f>
        <v/>
      </c>
      <c r="O1240" s="698"/>
      <c r="P1240" s="1500" t="str">
        <f>EUconst_CNTR_WGFlaredEF &amp; I1140</f>
        <v>WasteGasFlareEF_</v>
      </c>
      <c r="Q1240" s="729"/>
      <c r="R1240" s="729"/>
      <c r="S1240" s="729"/>
      <c r="T1240" s="770"/>
      <c r="U1240" s="343"/>
      <c r="V1240" s="343"/>
    </row>
    <row r="1241" spans="1:22" s="364" customFormat="1" ht="12.75" customHeight="1" x14ac:dyDescent="0.25">
      <c r="A1241" s="729"/>
      <c r="B1241" s="302"/>
      <c r="C1241" s="302"/>
      <c r="D1241" s="1820"/>
      <c r="E1241" s="2818" t="str">
        <f>Translations!$B$586</f>
        <v>Получен отпаден газ</v>
      </c>
      <c r="F1241" s="2701"/>
      <c r="G1241" s="1326" t="str">
        <f>EUconst_TJpa</f>
        <v>TJ / година</v>
      </c>
      <c r="H1241" s="482" t="str">
        <f>IF($I1140="","",IF(INDEX(F_ProductBM!H:H,MATCH($P1241,F_ProductBM!$Q:$Q,0))="","",INDEX(F_ProductBM!H:H,MATCH($P1241,F_ProductBM!$Q:$Q,0))))</f>
        <v/>
      </c>
      <c r="I1241" s="1824" t="str">
        <f>IF($I1140="","",IF(INDEX(F_ProductBM!I:I,MATCH($P1241,F_ProductBM!$Q:$Q,0))="","",INDEX(F_ProductBM!I:I,MATCH($P1241,F_ProductBM!$Q:$Q,0))))</f>
        <v/>
      </c>
      <c r="J1241" s="1825" t="str">
        <f>IF($I1140="","",IF(INDEX(F_ProductBM!J:J,MATCH($P1241,F_ProductBM!$Q:$Q,0))="","",INDEX(F_ProductBM!J:J,MATCH($P1241,F_ProductBM!$Q:$Q,0))))</f>
        <v/>
      </c>
      <c r="K1241" s="482" t="str">
        <f>IF($I1140="","",IF(INDEX(F_ProductBM!K:K,MATCH($P1241,F_ProductBM!$Q:$Q,0))="","",INDEX(F_ProductBM!K:K,MATCH($P1241,F_ProductBM!$Q:$Q,0))))</f>
        <v/>
      </c>
      <c r="L1241" s="482" t="str">
        <f>IF($I1140="","",IF(INDEX(F_ProductBM!L:L,MATCH($P1241,F_ProductBM!$Q:$Q,0))="","",INDEX(F_ProductBM!L:L,MATCH($P1241,F_ProductBM!$Q:$Q,0))))</f>
        <v/>
      </c>
      <c r="M1241" s="482" t="str">
        <f>IF($I1140="","",IF(INDEX(F_ProductBM!M:M,MATCH($P1241,F_ProductBM!$Q:$Q,0))="","",INDEX(F_ProductBM!M:M,MATCH($P1241,F_ProductBM!$Q:$Q,0))))</f>
        <v/>
      </c>
      <c r="N1241" s="1826" t="str">
        <f>IF($I1140="","",IF(INDEX(F_ProductBM!N:N,MATCH($P1241,F_ProductBM!$Q:$Q,0))="","",INDEX(F_ProductBM!N:N,MATCH($P1241,F_ProductBM!$Q:$Q,0))))</f>
        <v/>
      </c>
      <c r="O1241" s="698"/>
      <c r="P1241" s="1500" t="str">
        <f>EUconst_CNTR_WGImport &amp; I1140</f>
        <v>WasteGasIm_</v>
      </c>
      <c r="Q1241" s="729"/>
      <c r="R1241" s="729"/>
      <c r="S1241" s="729"/>
      <c r="T1241" s="770"/>
      <c r="U1241" s="343"/>
      <c r="V1241" s="343"/>
    </row>
    <row r="1242" spans="1:22" s="364" customFormat="1" ht="12.75" customHeight="1" x14ac:dyDescent="0.25">
      <c r="A1242" s="729"/>
      <c r="B1242" s="302"/>
      <c r="C1242" s="302"/>
      <c r="D1242" s="1820"/>
      <c r="E1242" s="1834" t="str">
        <f>Translations!$B$587</f>
        <v>Специфичен EF (получен отпаден газ)</v>
      </c>
      <c r="F1242" s="1834"/>
      <c r="G1242" s="639" t="str">
        <f>EUconst_tCO2pTJ</f>
        <v>t CO2 / TJ</v>
      </c>
      <c r="H1242" s="484" t="str">
        <f>IF($I1140="","",IF(INDEX(F_ProductBM!H:H,MATCH($P1242,F_ProductBM!$Q:$Q,0))="","",INDEX(F_ProductBM!H:H,MATCH($P1242,F_ProductBM!$Q:$Q,0))))</f>
        <v/>
      </c>
      <c r="I1242" s="1828" t="str">
        <f>IF($I1140="","",IF(INDEX(F_ProductBM!I:I,MATCH($P1242,F_ProductBM!$Q:$Q,0))="","",INDEX(F_ProductBM!I:I,MATCH($P1242,F_ProductBM!$Q:$Q,0))))</f>
        <v/>
      </c>
      <c r="J1242" s="1829" t="str">
        <f>IF($I1140="","",IF(INDEX(F_ProductBM!J:J,MATCH($P1242,F_ProductBM!$Q:$Q,0))="","",INDEX(F_ProductBM!J:J,MATCH($P1242,F_ProductBM!$Q:$Q,0))))</f>
        <v/>
      </c>
      <c r="K1242" s="484" t="str">
        <f>IF($I1140="","",IF(INDEX(F_ProductBM!K:K,MATCH($P1242,F_ProductBM!$Q:$Q,0))="","",INDEX(F_ProductBM!K:K,MATCH($P1242,F_ProductBM!$Q:$Q,0))))</f>
        <v/>
      </c>
      <c r="L1242" s="484" t="str">
        <f>IF($I1140="","",IF(INDEX(F_ProductBM!L:L,MATCH($P1242,F_ProductBM!$Q:$Q,0))="","",INDEX(F_ProductBM!L:L,MATCH($P1242,F_ProductBM!$Q:$Q,0))))</f>
        <v/>
      </c>
      <c r="M1242" s="484" t="str">
        <f>IF($I1140="","",IF(INDEX(F_ProductBM!M:M,MATCH($P1242,F_ProductBM!$Q:$Q,0))="","",INDEX(F_ProductBM!M:M,MATCH($P1242,F_ProductBM!$Q:$Q,0))))</f>
        <v/>
      </c>
      <c r="N1242" s="1830" t="str">
        <f>IF($I1140="","",IF(INDEX(F_ProductBM!N:N,MATCH($P1242,F_ProductBM!$Q:$Q,0))="","",INDEX(F_ProductBM!N:N,MATCH($P1242,F_ProductBM!$Q:$Q,0))))</f>
        <v/>
      </c>
      <c r="O1242" s="698"/>
      <c r="P1242" s="1500" t="str">
        <f>EUconst_CNTR_WGImportEF &amp; I1140</f>
        <v>WasteGasImEF_</v>
      </c>
      <c r="Q1242" s="729"/>
      <c r="R1242" s="729"/>
      <c r="S1242" s="729"/>
      <c r="T1242" s="770"/>
      <c r="U1242" s="343"/>
      <c r="V1242" s="343"/>
    </row>
    <row r="1243" spans="1:22" s="364" customFormat="1" ht="12.75" customHeight="1" x14ac:dyDescent="0.25">
      <c r="A1243" s="729"/>
      <c r="B1243" s="302"/>
      <c r="C1243" s="302"/>
      <c r="D1243" s="1820"/>
      <c r="E1243" s="2818" t="str">
        <f>Translations!$B$591</f>
        <v>Подаден отпаден газ</v>
      </c>
      <c r="F1243" s="2701"/>
      <c r="G1243" s="1326" t="str">
        <f>EUconst_TJpa</f>
        <v>TJ / година</v>
      </c>
      <c r="H1243" s="482" t="str">
        <f>IF($I1140="","",IF(INDEX(F_ProductBM!H:H,MATCH($P1243,F_ProductBM!$Q:$Q,0))="","",INDEX(F_ProductBM!H:H,MATCH($P1243,F_ProductBM!$Q:$Q,0))))</f>
        <v/>
      </c>
      <c r="I1243" s="1824" t="str">
        <f>IF($I1140="","",IF(INDEX(F_ProductBM!I:I,MATCH($P1243,F_ProductBM!$Q:$Q,0))="","",INDEX(F_ProductBM!I:I,MATCH($P1243,F_ProductBM!$Q:$Q,0))))</f>
        <v/>
      </c>
      <c r="J1243" s="1825" t="str">
        <f>IF($I1140="","",IF(INDEX(F_ProductBM!J:J,MATCH($P1243,F_ProductBM!$Q:$Q,0))="","",INDEX(F_ProductBM!J:J,MATCH($P1243,F_ProductBM!$Q:$Q,0))))</f>
        <v/>
      </c>
      <c r="K1243" s="482" t="str">
        <f>IF($I1140="","",IF(INDEX(F_ProductBM!K:K,MATCH($P1243,F_ProductBM!$Q:$Q,0))="","",INDEX(F_ProductBM!K:K,MATCH($P1243,F_ProductBM!$Q:$Q,0))))</f>
        <v/>
      </c>
      <c r="L1243" s="482" t="str">
        <f>IF($I1140="","",IF(INDEX(F_ProductBM!L:L,MATCH($P1243,F_ProductBM!$Q:$Q,0))="","",INDEX(F_ProductBM!L:L,MATCH($P1243,F_ProductBM!$Q:$Q,0))))</f>
        <v/>
      </c>
      <c r="M1243" s="482" t="str">
        <f>IF($I1140="","",IF(INDEX(F_ProductBM!M:M,MATCH($P1243,F_ProductBM!$Q:$Q,0))="","",INDEX(F_ProductBM!M:M,MATCH($P1243,F_ProductBM!$Q:$Q,0))))</f>
        <v/>
      </c>
      <c r="N1243" s="1826" t="str">
        <f>IF($I1140="","",IF(INDEX(F_ProductBM!N:N,MATCH($P1243,F_ProductBM!$Q:$Q,0))="","",INDEX(F_ProductBM!N:N,MATCH($P1243,F_ProductBM!$Q:$Q,0))))</f>
        <v/>
      </c>
      <c r="O1243" s="698"/>
      <c r="P1243" s="1500" t="str">
        <f>EUconst_CNTR_WGExport &amp; I1140</f>
        <v>WasteGasEx_</v>
      </c>
      <c r="Q1243" s="729"/>
      <c r="R1243" s="729"/>
      <c r="S1243" s="729"/>
      <c r="T1243" s="770"/>
      <c r="U1243" s="343"/>
      <c r="V1243" s="343"/>
    </row>
    <row r="1244" spans="1:22" s="364" customFormat="1" ht="12.75" customHeight="1" x14ac:dyDescent="0.25">
      <c r="A1244" s="729"/>
      <c r="B1244" s="302"/>
      <c r="C1244" s="302"/>
      <c r="D1244" s="1820"/>
      <c r="E1244" s="2819" t="str">
        <f>Translations!$B$592</f>
        <v>Специфичен EF (подаден отпаден газ)</v>
      </c>
      <c r="F1244" s="2705"/>
      <c r="G1244" s="639" t="str">
        <f>EUconst_tCO2pTJ</f>
        <v>t CO2 / TJ</v>
      </c>
      <c r="H1244" s="484" t="str">
        <f>IF($I1140="","",IF(INDEX(F_ProductBM!H:H,MATCH($P1244,F_ProductBM!$Q:$Q,0))="","",INDEX(F_ProductBM!H:H,MATCH($P1244,F_ProductBM!$Q:$Q,0))))</f>
        <v/>
      </c>
      <c r="I1244" s="1828" t="str">
        <f>IF($I1140="","",IF(INDEX(F_ProductBM!I:I,MATCH($P1244,F_ProductBM!$Q:$Q,0))="","",INDEX(F_ProductBM!I:I,MATCH($P1244,F_ProductBM!$Q:$Q,0))))</f>
        <v/>
      </c>
      <c r="J1244" s="1829" t="str">
        <f>IF($I1140="","",IF(INDEX(F_ProductBM!J:J,MATCH($P1244,F_ProductBM!$Q:$Q,0))="","",INDEX(F_ProductBM!J:J,MATCH($P1244,F_ProductBM!$Q:$Q,0))))</f>
        <v/>
      </c>
      <c r="K1244" s="484" t="str">
        <f>IF($I1140="","",IF(INDEX(F_ProductBM!K:K,MATCH($P1244,F_ProductBM!$Q:$Q,0))="","",INDEX(F_ProductBM!K:K,MATCH($P1244,F_ProductBM!$Q:$Q,0))))</f>
        <v/>
      </c>
      <c r="L1244" s="484" t="str">
        <f>IF($I1140="","",IF(INDEX(F_ProductBM!L:L,MATCH($P1244,F_ProductBM!$Q:$Q,0))="","",INDEX(F_ProductBM!L:L,MATCH($P1244,F_ProductBM!$Q:$Q,0))))</f>
        <v/>
      </c>
      <c r="M1244" s="484" t="str">
        <f>IF($I1140="","",IF(INDEX(F_ProductBM!M:M,MATCH($P1244,F_ProductBM!$Q:$Q,0))="","",INDEX(F_ProductBM!M:M,MATCH($P1244,F_ProductBM!$Q:$Q,0))))</f>
        <v/>
      </c>
      <c r="N1244" s="1830" t="str">
        <f>IF($I1140="","",IF(INDEX(F_ProductBM!N:N,MATCH($P1244,F_ProductBM!$Q:$Q,0))="","",INDEX(F_ProductBM!N:N,MATCH($P1244,F_ProductBM!$Q:$Q,0))))</f>
        <v/>
      </c>
      <c r="O1244" s="698"/>
      <c r="P1244" s="1500" t="str">
        <f>EUconst_CNTR_WGExportEF &amp; I1140</f>
        <v>WasteGasExEF_</v>
      </c>
      <c r="Q1244" s="729"/>
      <c r="R1244" s="729"/>
      <c r="S1244" s="729"/>
      <c r="T1244" s="770"/>
      <c r="U1244" s="343"/>
      <c r="V1244" s="343"/>
    </row>
    <row r="1245" spans="1:22" s="364" customFormat="1" ht="5.15" customHeight="1" x14ac:dyDescent="0.25">
      <c r="A1245" s="729"/>
      <c r="B1245" s="302"/>
      <c r="C1245" s="302"/>
      <c r="D1245" s="1820"/>
      <c r="E1245" s="643"/>
      <c r="F1245" s="643"/>
      <c r="G1245" s="625"/>
      <c r="H1245" s="640"/>
      <c r="I1245" s="640"/>
      <c r="J1245" s="640"/>
      <c r="K1245" s="640"/>
      <c r="L1245" s="640"/>
      <c r="M1245" s="640"/>
      <c r="N1245" s="1831"/>
      <c r="O1245" s="698"/>
      <c r="P1245" s="770"/>
      <c r="Q1245" s="729"/>
      <c r="R1245" s="729"/>
      <c r="S1245" s="729"/>
      <c r="T1245" s="770"/>
      <c r="U1245" s="343"/>
      <c r="V1245" s="343"/>
    </row>
    <row r="1246" spans="1:22" s="364" customFormat="1" ht="12.75" customHeight="1" x14ac:dyDescent="0.25">
      <c r="A1246" s="729"/>
      <c r="B1246" s="302"/>
      <c r="C1246" s="302"/>
      <c r="D1246" s="1820"/>
      <c r="E1246" s="2820" t="str">
        <f>Translations!$B$485</f>
        <v>Съответно потребление на електроенергия</v>
      </c>
      <c r="F1246" s="2258"/>
      <c r="G1246" s="1319" t="str">
        <f>EUconst_MWhpa</f>
        <v>MWh / година</v>
      </c>
      <c r="H1246" s="480" t="str">
        <f>IF($I1140="","",IF(INDEX(F_ProductBM!H:H,MATCH($P1246,F_ProductBM!$Q:$Q,0))="","",INDEX(F_ProductBM!H:H,MATCH($P1246,F_ProductBM!$Q:$Q,0))))</f>
        <v/>
      </c>
      <c r="I1246" s="1399" t="str">
        <f>IF($I1140="","",IF(INDEX(F_ProductBM!I:I,MATCH($P1246,F_ProductBM!$Q:$Q,0))="","",INDEX(F_ProductBM!I:I,MATCH($P1246,F_ProductBM!$Q:$Q,0))))</f>
        <v/>
      </c>
      <c r="J1246" s="1832" t="str">
        <f>IF($I1140="","",IF(INDEX(F_ProductBM!J:J,MATCH($P1246,F_ProductBM!$Q:$Q,0))="","",INDEX(F_ProductBM!J:J,MATCH($P1246,F_ProductBM!$Q:$Q,0))))</f>
        <v/>
      </c>
      <c r="K1246" s="480" t="str">
        <f>IF($I1140="","",IF(INDEX(F_ProductBM!K:K,MATCH($P1246,F_ProductBM!$Q:$Q,0))="","",INDEX(F_ProductBM!K:K,MATCH($P1246,F_ProductBM!$Q:$Q,0))))</f>
        <v/>
      </c>
      <c r="L1246" s="480" t="str">
        <f>IF($I1140="","",IF(INDEX(F_ProductBM!L:L,MATCH($P1246,F_ProductBM!$Q:$Q,0))="","",INDEX(F_ProductBM!L:L,MATCH($P1246,F_ProductBM!$Q:$Q,0))))</f>
        <v/>
      </c>
      <c r="M1246" s="480" t="str">
        <f>IF($I1140="","",IF(INDEX(F_ProductBM!M:M,MATCH($P1246,F_ProductBM!$Q:$Q,0))="","",INDEX(F_ProductBM!M:M,MATCH($P1246,F_ProductBM!$Q:$Q,0))))</f>
        <v/>
      </c>
      <c r="N1246" s="1833" t="str">
        <f>IF($I1140="","",IF(INDEX(F_ProductBM!N:N,MATCH($P1246,F_ProductBM!$Q:$Q,0))="","",INDEX(F_ProductBM!N:N,MATCH($P1246,F_ProductBM!$Q:$Q,0))))</f>
        <v/>
      </c>
      <c r="O1246" s="698"/>
      <c r="P1246" s="1190" t="str">
        <f>EUconst_CNTR_HAL&amp;EUconst_CNTR_ELEXCH &amp; I1140</f>
        <v>HAL_ELEXCH_</v>
      </c>
      <c r="Q1246" s="729"/>
      <c r="R1246" s="729"/>
      <c r="S1246" s="729"/>
      <c r="T1246" s="770"/>
      <c r="U1246" s="343"/>
      <c r="V1246" s="343"/>
    </row>
    <row r="1247" spans="1:22" s="364" customFormat="1" ht="12.75" customHeight="1" x14ac:dyDescent="0.25">
      <c r="A1247" s="729"/>
      <c r="B1247" s="302"/>
      <c r="C1247" s="302"/>
      <c r="D1247" s="1820"/>
      <c r="E1247" s="2820" t="str">
        <f>Translations!$B$595</f>
        <v>Произведена електроенергия</v>
      </c>
      <c r="F1247" s="2258"/>
      <c r="G1247" s="1319" t="str">
        <f>EUconst_MWhpa</f>
        <v>MWh / година</v>
      </c>
      <c r="H1247" s="480" t="str">
        <f>IF($I1140="","",IF(INDEX(F_ProductBM!H:H,MATCH($P1247,F_ProductBM!$Q:$Q,0))="","",INDEX(F_ProductBM!H:H,MATCH($P1247,F_ProductBM!$Q:$Q,0))))</f>
        <v/>
      </c>
      <c r="I1247" s="1399" t="str">
        <f>IF($I1140="","",IF(INDEX(F_ProductBM!I:I,MATCH($P1247,F_ProductBM!$Q:$Q,0))="","",INDEX(F_ProductBM!I:I,MATCH($P1247,F_ProductBM!$Q:$Q,0))))</f>
        <v/>
      </c>
      <c r="J1247" s="1832" t="str">
        <f>IF($I1140="","",IF(INDEX(F_ProductBM!J:J,MATCH($P1247,F_ProductBM!$Q:$Q,0))="","",INDEX(F_ProductBM!J:J,MATCH($P1247,F_ProductBM!$Q:$Q,0))))</f>
        <v/>
      </c>
      <c r="K1247" s="480" t="str">
        <f>IF($I1140="","",IF(INDEX(F_ProductBM!K:K,MATCH($P1247,F_ProductBM!$Q:$Q,0))="","",INDEX(F_ProductBM!K:K,MATCH($P1247,F_ProductBM!$Q:$Q,0))))</f>
        <v/>
      </c>
      <c r="L1247" s="480" t="str">
        <f>IF($I1140="","",IF(INDEX(F_ProductBM!L:L,MATCH($P1247,F_ProductBM!$Q:$Q,0))="","",INDEX(F_ProductBM!L:L,MATCH($P1247,F_ProductBM!$Q:$Q,0))))</f>
        <v/>
      </c>
      <c r="M1247" s="480" t="str">
        <f>IF($I1140="","",IF(INDEX(F_ProductBM!M:M,MATCH($P1247,F_ProductBM!$Q:$Q,0))="","",INDEX(F_ProductBM!M:M,MATCH($P1247,F_ProductBM!$Q:$Q,0))))</f>
        <v/>
      </c>
      <c r="N1247" s="1833" t="str">
        <f>IF($I1140="","",IF(INDEX(F_ProductBM!N:N,MATCH($P1247,F_ProductBM!$Q:$Q,0))="","",INDEX(F_ProductBM!N:N,MATCH($P1247,F_ProductBM!$Q:$Q,0))))</f>
        <v/>
      </c>
      <c r="O1247" s="698"/>
      <c r="P1247" s="1500" t="str">
        <f>EUconst_CNTR_ElectricityExported &amp; I1140</f>
        <v>ElecEx_</v>
      </c>
      <c r="Q1247" s="729"/>
      <c r="R1247" s="729"/>
      <c r="S1247" s="729"/>
      <c r="T1247" s="770"/>
      <c r="U1247" s="343"/>
      <c r="V1247" s="343"/>
    </row>
    <row r="1248" spans="1:22" s="364" customFormat="1" ht="5.15" customHeight="1" x14ac:dyDescent="0.25">
      <c r="A1248" s="729"/>
      <c r="B1248" s="302"/>
      <c r="C1248" s="302"/>
      <c r="D1248" s="1820"/>
      <c r="E1248" s="643"/>
      <c r="F1248" s="643"/>
      <c r="G1248" s="625"/>
      <c r="H1248" s="640"/>
      <c r="I1248" s="640"/>
      <c r="J1248" s="640"/>
      <c r="K1248" s="640"/>
      <c r="L1248" s="640"/>
      <c r="M1248" s="640"/>
      <c r="N1248" s="1831"/>
      <c r="O1248" s="698"/>
      <c r="P1248" s="770"/>
      <c r="Q1248" s="729"/>
      <c r="R1248" s="729"/>
      <c r="S1248" s="729"/>
      <c r="T1248" s="770"/>
      <c r="U1248" s="343"/>
      <c r="V1248" s="343"/>
    </row>
    <row r="1249" spans="1:22" s="364" customFormat="1" x14ac:dyDescent="0.25">
      <c r="A1249" s="729"/>
      <c r="B1249" s="302"/>
      <c r="C1249" s="302"/>
      <c r="D1249" s="1820"/>
      <c r="E1249" s="3059" t="str">
        <f>Translations!$B$957</f>
        <v>Междинно получаване:</v>
      </c>
      <c r="F1249" s="2672"/>
      <c r="G1249" s="625"/>
      <c r="H1249" s="640"/>
      <c r="I1249" s="640"/>
      <c r="J1249" s="640"/>
      <c r="K1249" s="640"/>
      <c r="L1249" s="640"/>
      <c r="M1249" s="640"/>
      <c r="N1249" s="1831"/>
      <c r="O1249" s="698"/>
      <c r="P1249" s="770"/>
      <c r="Q1249" s="729"/>
      <c r="R1249" s="729"/>
      <c r="S1249" s="729"/>
      <c r="T1249" s="770"/>
      <c r="U1249" s="343"/>
      <c r="V1249" s="343"/>
    </row>
    <row r="1250" spans="1:22" s="364" customFormat="1" x14ac:dyDescent="0.25">
      <c r="A1250" s="729"/>
      <c r="B1250" s="302"/>
      <c r="C1250" s="302"/>
      <c r="D1250" s="1820"/>
      <c r="E1250" s="2814" t="str">
        <f>IF(I1140="","",IF(INDEX(F_ProductBM!E:E,MATCH($P1250,F_ProductBM!$Q:$Q,0))="","",INDEX(F_ProductBM!E:E,MATCH($P1250,F_ProductBM!$Q:$Q,0))))</f>
        <v/>
      </c>
      <c r="F1250" s="2258"/>
      <c r="G1250" s="1319" t="str">
        <f>EUconst_Tons</f>
        <v>тона</v>
      </c>
      <c r="H1250" s="480" t="str">
        <f>IF($I1140="","",IF(INDEX(F_ProductBM!H:H,MATCH($P1250,F_ProductBM!$Q:$Q,0))="","",INDEX(F_ProductBM!H:H,MATCH($P1250,F_ProductBM!$Q:$Q,0))))</f>
        <v/>
      </c>
      <c r="I1250" s="1399" t="str">
        <f>IF($I1140="","",IF(INDEX(F_ProductBM!I:I,MATCH($P1250,F_ProductBM!$Q:$Q,0))="","",INDEX(F_ProductBM!I:I,MATCH($P1250,F_ProductBM!$Q:$Q,0))))</f>
        <v/>
      </c>
      <c r="J1250" s="1832" t="str">
        <f>IF($I1140="","",IF(INDEX(F_ProductBM!J:J,MATCH($P1250,F_ProductBM!$Q:$Q,0))="","",INDEX(F_ProductBM!J:J,MATCH($P1250,F_ProductBM!$Q:$Q,0))))</f>
        <v/>
      </c>
      <c r="K1250" s="480" t="str">
        <f>IF($I1140="","",IF(INDEX(F_ProductBM!K:K,MATCH($P1250,F_ProductBM!$Q:$Q,0))="","",INDEX(F_ProductBM!K:K,MATCH($P1250,F_ProductBM!$Q:$Q,0))))</f>
        <v/>
      </c>
      <c r="L1250" s="480" t="str">
        <f>IF($I1140="","",IF(INDEX(F_ProductBM!L:L,MATCH($P1250,F_ProductBM!$Q:$Q,0))="","",INDEX(F_ProductBM!L:L,MATCH($P1250,F_ProductBM!$Q:$Q,0))))</f>
        <v/>
      </c>
      <c r="M1250" s="480" t="str">
        <f>IF($I1140="","",IF(INDEX(F_ProductBM!M:M,MATCH($P1250,F_ProductBM!$Q:$Q,0))="","",INDEX(F_ProductBM!M:M,MATCH($P1250,F_ProductBM!$Q:$Q,0))))</f>
        <v/>
      </c>
      <c r="N1250" s="1833" t="str">
        <f>IF($I1140="","",IF(INDEX(F_ProductBM!N:N,MATCH($P1250,F_ProductBM!$Q:$Q,0))="","",INDEX(F_ProductBM!N:N,MATCH($P1250,F_ProductBM!$Q:$Q,0))))</f>
        <v/>
      </c>
      <c r="O1250" s="698"/>
      <c r="P1250" s="1500" t="str">
        <f>EUconst_CNTR_IntermediateImport &amp; R1250 &amp; "_" &amp; I1140</f>
        <v>IntImp_1_</v>
      </c>
      <c r="Q1250" s="729"/>
      <c r="R1250" s="1176">
        <v>1</v>
      </c>
      <c r="S1250" s="729"/>
      <c r="T1250" s="770"/>
      <c r="U1250" s="343"/>
      <c r="V1250" s="343"/>
    </row>
    <row r="1251" spans="1:22" s="364" customFormat="1" x14ac:dyDescent="0.25">
      <c r="A1251" s="729"/>
      <c r="B1251" s="302"/>
      <c r="C1251" s="302"/>
      <c r="D1251" s="1820"/>
      <c r="E1251" s="2814" t="str">
        <f>IF(I1140="","",IF(INDEX(F_ProductBM!E:E,MATCH($P1251,F_ProductBM!$Q:$Q,0))="","",INDEX(F_ProductBM!E:E,MATCH($P1251,F_ProductBM!$Q:$Q,0))))</f>
        <v/>
      </c>
      <c r="F1251" s="2258"/>
      <c r="G1251" s="1319" t="str">
        <f>EUconst_Tons</f>
        <v>тона</v>
      </c>
      <c r="H1251" s="480" t="str">
        <f>IF($I1140="","",IF(INDEX(F_ProductBM!H:H,MATCH($P1251,F_ProductBM!$Q:$Q,0))="","",INDEX(F_ProductBM!H:H,MATCH($P1251,F_ProductBM!$Q:$Q,0))))</f>
        <v/>
      </c>
      <c r="I1251" s="1399" t="str">
        <f>IF($I1140="","",IF(INDEX(F_ProductBM!I:I,MATCH($P1251,F_ProductBM!$Q:$Q,0))="","",INDEX(F_ProductBM!I:I,MATCH($P1251,F_ProductBM!$Q:$Q,0))))</f>
        <v/>
      </c>
      <c r="J1251" s="1832" t="str">
        <f>IF($I1140="","",IF(INDEX(F_ProductBM!J:J,MATCH($P1251,F_ProductBM!$Q:$Q,0))="","",INDEX(F_ProductBM!J:J,MATCH($P1251,F_ProductBM!$Q:$Q,0))))</f>
        <v/>
      </c>
      <c r="K1251" s="480" t="str">
        <f>IF($I1140="","",IF(INDEX(F_ProductBM!K:K,MATCH($P1251,F_ProductBM!$Q:$Q,0))="","",INDEX(F_ProductBM!K:K,MATCH($P1251,F_ProductBM!$Q:$Q,0))))</f>
        <v/>
      </c>
      <c r="L1251" s="480" t="str">
        <f>IF($I1140="","",IF(INDEX(F_ProductBM!L:L,MATCH($P1251,F_ProductBM!$Q:$Q,0))="","",INDEX(F_ProductBM!L:L,MATCH($P1251,F_ProductBM!$Q:$Q,0))))</f>
        <v/>
      </c>
      <c r="M1251" s="480" t="str">
        <f>IF($I1140="","",IF(INDEX(F_ProductBM!M:M,MATCH($P1251,F_ProductBM!$Q:$Q,0))="","",INDEX(F_ProductBM!M:M,MATCH($P1251,F_ProductBM!$Q:$Q,0))))</f>
        <v/>
      </c>
      <c r="N1251" s="1833" t="str">
        <f>IF($I1140="","",IF(INDEX(F_ProductBM!N:N,MATCH($P1251,F_ProductBM!$Q:$Q,0))="","",INDEX(F_ProductBM!N:N,MATCH($P1251,F_ProductBM!$Q:$Q,0))))</f>
        <v/>
      </c>
      <c r="O1251" s="698"/>
      <c r="P1251" s="1500" t="str">
        <f>EUconst_CNTR_IntermediateImport &amp; R1251 &amp; "_" &amp; I1140</f>
        <v>IntImp_2_</v>
      </c>
      <c r="Q1251" s="729"/>
      <c r="R1251" s="1176">
        <v>2</v>
      </c>
      <c r="S1251" s="729"/>
      <c r="T1251" s="770"/>
      <c r="U1251" s="343"/>
      <c r="V1251" s="343"/>
    </row>
    <row r="1252" spans="1:22" s="364" customFormat="1" x14ac:dyDescent="0.25">
      <c r="A1252" s="729"/>
      <c r="B1252" s="302"/>
      <c r="C1252" s="302"/>
      <c r="D1252" s="1820"/>
      <c r="E1252" s="2820" t="str">
        <f>Translations!$B$958</f>
        <v>Междинно подаване:</v>
      </c>
      <c r="F1252" s="2258"/>
      <c r="G1252" s="625"/>
      <c r="H1252" s="640"/>
      <c r="I1252" s="640"/>
      <c r="J1252" s="640"/>
      <c r="K1252" s="640"/>
      <c r="L1252" s="640"/>
      <c r="M1252" s="640"/>
      <c r="N1252" s="1831"/>
      <c r="O1252" s="698"/>
      <c r="P1252" s="770"/>
      <c r="Q1252" s="729"/>
      <c r="R1252" s="729"/>
      <c r="S1252" s="729"/>
      <c r="T1252" s="770"/>
      <c r="U1252" s="343"/>
      <c r="V1252" s="343"/>
    </row>
    <row r="1253" spans="1:22" s="364" customFormat="1" x14ac:dyDescent="0.25">
      <c r="A1253" s="729"/>
      <c r="B1253" s="302"/>
      <c r="C1253" s="302"/>
      <c r="D1253" s="1820"/>
      <c r="E1253" s="2814" t="str">
        <f>IF(I1140="","",IF(INDEX(F_ProductBM!E:E,MATCH($P1253,F_ProductBM!$Q:$Q,0))="","",INDEX(F_ProductBM!E:E,MATCH($P1253,F_ProductBM!$Q:$Q,0))))</f>
        <v/>
      </c>
      <c r="F1253" s="2258"/>
      <c r="G1253" s="1319" t="str">
        <f>EUconst_Tons</f>
        <v>тона</v>
      </c>
      <c r="H1253" s="480" t="str">
        <f>IF($I1140="","",IF(INDEX(F_ProductBM!H:H,MATCH($P1253,F_ProductBM!$Q:$Q,0))="","",INDEX(F_ProductBM!H:H,MATCH($P1253,F_ProductBM!$Q:$Q,0))))</f>
        <v/>
      </c>
      <c r="I1253" s="1399" t="str">
        <f>IF($I1140="","",IF(INDEX(F_ProductBM!I:I,MATCH($P1253,F_ProductBM!$Q:$Q,0))="","",INDEX(F_ProductBM!I:I,MATCH($P1253,F_ProductBM!$Q:$Q,0))))</f>
        <v/>
      </c>
      <c r="J1253" s="1832" t="str">
        <f>IF($I1140="","",IF(INDEX(F_ProductBM!J:J,MATCH($P1253,F_ProductBM!$Q:$Q,0))="","",INDEX(F_ProductBM!J:J,MATCH($P1253,F_ProductBM!$Q:$Q,0))))</f>
        <v/>
      </c>
      <c r="K1253" s="480" t="str">
        <f>IF($I1140="","",IF(INDEX(F_ProductBM!K:K,MATCH($P1253,F_ProductBM!$Q:$Q,0))="","",INDEX(F_ProductBM!K:K,MATCH($P1253,F_ProductBM!$Q:$Q,0))))</f>
        <v/>
      </c>
      <c r="L1253" s="480" t="str">
        <f>IF($I1140="","",IF(INDEX(F_ProductBM!L:L,MATCH($P1253,F_ProductBM!$Q:$Q,0))="","",INDEX(F_ProductBM!L:L,MATCH($P1253,F_ProductBM!$Q:$Q,0))))</f>
        <v/>
      </c>
      <c r="M1253" s="480" t="str">
        <f>IF($I1140="","",IF(INDEX(F_ProductBM!M:M,MATCH($P1253,F_ProductBM!$Q:$Q,0))="","",INDEX(F_ProductBM!M:M,MATCH($P1253,F_ProductBM!$Q:$Q,0))))</f>
        <v/>
      </c>
      <c r="N1253" s="1833" t="str">
        <f>IF($I1140="","",IF(INDEX(F_ProductBM!N:N,MATCH($P1253,F_ProductBM!$Q:$Q,0))="","",INDEX(F_ProductBM!N:N,MATCH($P1253,F_ProductBM!$Q:$Q,0))))</f>
        <v/>
      </c>
      <c r="O1253" s="698"/>
      <c r="P1253" s="1500" t="str">
        <f>EUconst_CNTR_IntermediateExport &amp; R1250 &amp; "_" &amp; I1140</f>
        <v>IntExp_1_</v>
      </c>
      <c r="Q1253" s="729"/>
      <c r="R1253" s="1176">
        <v>1</v>
      </c>
      <c r="S1253" s="729"/>
      <c r="T1253" s="770"/>
      <c r="U1253" s="343"/>
      <c r="V1253" s="343"/>
    </row>
    <row r="1254" spans="1:22" s="364" customFormat="1" x14ac:dyDescent="0.25">
      <c r="A1254" s="729"/>
      <c r="B1254" s="302"/>
      <c r="C1254" s="302"/>
      <c r="D1254" s="1820"/>
      <c r="E1254" s="2814" t="str">
        <f>IF(I1140="","",IF(INDEX(F_ProductBM!E:E,MATCH($P1254,F_ProductBM!$Q:$Q,0))="","",INDEX(F_ProductBM!E:E,MATCH($P1254,F_ProductBM!$Q:$Q,0))))</f>
        <v/>
      </c>
      <c r="F1254" s="2258"/>
      <c r="G1254" s="1319" t="str">
        <f>EUconst_Tons</f>
        <v>тона</v>
      </c>
      <c r="H1254" s="480" t="str">
        <f>IF($I1140="","",IF(INDEX(F_ProductBM!H:H,MATCH($P1254,F_ProductBM!$Q:$Q,0))="","",INDEX(F_ProductBM!H:H,MATCH($P1254,F_ProductBM!$Q:$Q,0))))</f>
        <v/>
      </c>
      <c r="I1254" s="1399" t="str">
        <f>IF($I1140="","",IF(INDEX(F_ProductBM!I:I,MATCH($P1254,F_ProductBM!$Q:$Q,0))="","",INDEX(F_ProductBM!I:I,MATCH($P1254,F_ProductBM!$Q:$Q,0))))</f>
        <v/>
      </c>
      <c r="J1254" s="1832" t="str">
        <f>IF($I1140="","",IF(INDEX(F_ProductBM!J:J,MATCH($P1254,F_ProductBM!$Q:$Q,0))="","",INDEX(F_ProductBM!J:J,MATCH($P1254,F_ProductBM!$Q:$Q,0))))</f>
        <v/>
      </c>
      <c r="K1254" s="480" t="str">
        <f>IF($I1140="","",IF(INDEX(F_ProductBM!K:K,MATCH($P1254,F_ProductBM!$Q:$Q,0))="","",INDEX(F_ProductBM!K:K,MATCH($P1254,F_ProductBM!$Q:$Q,0))))</f>
        <v/>
      </c>
      <c r="L1254" s="480" t="str">
        <f>IF($I1140="","",IF(INDEX(F_ProductBM!L:L,MATCH($P1254,F_ProductBM!$Q:$Q,0))="","",INDEX(F_ProductBM!L:L,MATCH($P1254,F_ProductBM!$Q:$Q,0))))</f>
        <v/>
      </c>
      <c r="M1254" s="480" t="str">
        <f>IF($I1140="","",IF(INDEX(F_ProductBM!M:M,MATCH($P1254,F_ProductBM!$Q:$Q,0))="","",INDEX(F_ProductBM!M:M,MATCH($P1254,F_ProductBM!$Q:$Q,0))))</f>
        <v/>
      </c>
      <c r="N1254" s="1833" t="str">
        <f>IF($I1140="","",IF(INDEX(F_ProductBM!N:N,MATCH($P1254,F_ProductBM!$Q:$Q,0))="","",INDEX(F_ProductBM!N:N,MATCH($P1254,F_ProductBM!$Q:$Q,0))))</f>
        <v/>
      </c>
      <c r="O1254" s="698"/>
      <c r="P1254" s="1500" t="str">
        <f>EUconst_CNTR_IntermediateExport &amp; R1254 &amp; "_" &amp; I1140</f>
        <v>IntExp_2_</v>
      </c>
      <c r="Q1254" s="729"/>
      <c r="R1254" s="1176">
        <v>2</v>
      </c>
      <c r="S1254" s="729"/>
      <c r="T1254" s="770"/>
      <c r="U1254" s="343"/>
      <c r="V1254" s="343"/>
    </row>
    <row r="1255" spans="1:22" s="364" customFormat="1" ht="5.15" customHeight="1" x14ac:dyDescent="0.25">
      <c r="A1255" s="729"/>
      <c r="B1255" s="302"/>
      <c r="C1255" s="302"/>
      <c r="D1255" s="1820"/>
      <c r="E1255" s="625"/>
      <c r="F1255" s="625"/>
      <c r="G1255" s="625"/>
      <c r="H1255" s="625"/>
      <c r="I1255" s="644"/>
      <c r="J1255" s="644"/>
      <c r="K1255" s="644"/>
      <c r="L1255" s="644"/>
      <c r="M1255" s="644"/>
      <c r="N1255" s="1316"/>
      <c r="O1255" s="698"/>
      <c r="P1255" s="770"/>
      <c r="Q1255" s="729"/>
      <c r="R1255" s="1165"/>
      <c r="S1255" s="729"/>
      <c r="T1255" s="770"/>
      <c r="U1255" s="343"/>
      <c r="V1255" s="343"/>
    </row>
    <row r="1256" spans="1:22" s="364" customFormat="1" ht="13" x14ac:dyDescent="0.25">
      <c r="A1256" s="729"/>
      <c r="B1256" s="302"/>
      <c r="C1256" s="302"/>
      <c r="D1256" s="1820"/>
      <c r="E1256" s="3060" t="str">
        <f>Translations!$B$1585</f>
        <v>Корекции за актуализиране на показателя при специфичен показател, когато е приложимо</v>
      </c>
      <c r="F1256" s="3060"/>
      <c r="G1256" s="3060"/>
      <c r="H1256" s="3060"/>
      <c r="I1256" s="3060"/>
      <c r="J1256" s="3060"/>
      <c r="K1256" s="3060"/>
      <c r="L1256" s="3060"/>
      <c r="M1256" s="3060"/>
      <c r="N1256" s="1316"/>
      <c r="O1256" s="698"/>
      <c r="P1256" s="770"/>
      <c r="Q1256" s="729"/>
      <c r="R1256" s="1165"/>
      <c r="S1256" s="729"/>
      <c r="T1256" s="770"/>
      <c r="U1256" s="343"/>
      <c r="V1256" s="343"/>
    </row>
    <row r="1257" spans="1:22" s="364" customFormat="1" x14ac:dyDescent="0.25">
      <c r="A1257" s="729"/>
      <c r="B1257" s="302"/>
      <c r="C1257" s="302"/>
      <c r="D1257" s="1820"/>
      <c r="E1257" s="641" t="str">
        <f>Translations!$B$596</f>
        <v>Общо количество произведен пулп</v>
      </c>
      <c r="F1257" s="1835"/>
      <c r="G1257" s="642" t="str">
        <f>EUconst_Tons</f>
        <v>тона</v>
      </c>
      <c r="H1257" s="499" t="str">
        <f>IF($I1140="","",IF(INDEX(F_ProductBM!H:H,MATCH($P1257,F_ProductBM!$Q:$Q,0))="","",INDEX(F_ProductBM!H:H,MATCH($P1257,F_ProductBM!$Q:$Q,0))))</f>
        <v/>
      </c>
      <c r="I1257" s="1399" t="str">
        <f>IF($I1140="","",IF(INDEX(F_ProductBM!I:I,MATCH($P1257,F_ProductBM!$Q:$Q,0))="","",INDEX(F_ProductBM!I:I,MATCH($P1257,F_ProductBM!$Q:$Q,0))))</f>
        <v/>
      </c>
      <c r="J1257" s="1832" t="str">
        <f>IF($I1140="","",IF(INDEX(F_ProductBM!J:J,MATCH($P1257,F_ProductBM!$Q:$Q,0))="","",INDEX(F_ProductBM!J:J,MATCH($P1257,F_ProductBM!$Q:$Q,0))))</f>
        <v/>
      </c>
      <c r="K1257" s="499" t="str">
        <f>IF($I1140="","",IF(INDEX(F_ProductBM!K:K,MATCH($P1257,F_ProductBM!$Q:$Q,0))="","",INDEX(F_ProductBM!K:K,MATCH($P1257,F_ProductBM!$Q:$Q,0))))</f>
        <v/>
      </c>
      <c r="L1257" s="499" t="str">
        <f>IF($I1140="","",IF(INDEX(F_ProductBM!L:L,MATCH($P1257,F_ProductBM!$Q:$Q,0))="","",INDEX(F_ProductBM!L:L,MATCH($P1257,F_ProductBM!$Q:$Q,0))))</f>
        <v/>
      </c>
      <c r="M1257" s="499" t="str">
        <f>IF($I1140="","",IF(INDEX(F_ProductBM!M:M,MATCH($P1257,F_ProductBM!$Q:$Q,0))="","",INDEX(F_ProductBM!M:M,MATCH($P1257,F_ProductBM!$Q:$Q,0))))</f>
        <v/>
      </c>
      <c r="N1257" s="1836" t="str">
        <f>IF($I1140="","",IF(INDEX(F_ProductBM!N:N,MATCH($P1257,F_ProductBM!$Q:$Q,0))="","",INDEX(F_ProductBM!N:N,MATCH($P1257,F_ProductBM!$Q:$Q,0))))</f>
        <v/>
      </c>
      <c r="O1257" s="698"/>
      <c r="P1257" s="1500" t="str">
        <f>EUconst_CNTR_HALPulpTotal &amp;  I1140</f>
        <v>HALPulpTotal_</v>
      </c>
      <c r="Q1257" s="729"/>
      <c r="R1257" s="729"/>
      <c r="S1257" s="729"/>
      <c r="T1257" s="770"/>
      <c r="U1257" s="343"/>
      <c r="V1257" s="343"/>
    </row>
    <row r="1258" spans="1:22" s="364" customFormat="1" ht="5.15" customHeight="1" x14ac:dyDescent="0.25">
      <c r="A1258" s="729"/>
      <c r="B1258" s="302"/>
      <c r="C1258" s="302"/>
      <c r="D1258" s="1820"/>
      <c r="E1258" s="625"/>
      <c r="F1258" s="625"/>
      <c r="G1258" s="625"/>
      <c r="H1258" s="644"/>
      <c r="I1258" s="644"/>
      <c r="J1258" s="644"/>
      <c r="K1258" s="644"/>
      <c r="L1258" s="644"/>
      <c r="M1258" s="644"/>
      <c r="N1258" s="1837"/>
      <c r="O1258" s="698"/>
      <c r="P1258" s="770"/>
      <c r="Q1258" s="729"/>
      <c r="R1258" s="729"/>
      <c r="S1258" s="729"/>
      <c r="T1258" s="770"/>
      <c r="U1258" s="343"/>
      <c r="V1258" s="343"/>
    </row>
    <row r="1259" spans="1:22" s="364" customFormat="1" ht="12.75" customHeight="1" x14ac:dyDescent="0.25">
      <c r="A1259" s="729"/>
      <c r="B1259" s="302"/>
      <c r="C1259" s="302"/>
      <c r="D1259" s="1820"/>
      <c r="E1259" s="641" t="str">
        <f>Translations!$B$1586</f>
        <v>Производство на водород (действително + теоретично)</v>
      </c>
      <c r="F1259" s="1835"/>
      <c r="G1259" s="642" t="str">
        <f>EUconst_Tons</f>
        <v>тона</v>
      </c>
      <c r="H1259" s="499" t="str">
        <f>IF($L1143=$R1259,SUMIFS(H_SpecialBM!H:H,H_SpecialBM!$Q:$Q,$P1259),"")</f>
        <v/>
      </c>
      <c r="I1259" s="1399" t="str">
        <f>IF($L1143=$R1259,SUMIFS(H_SpecialBM!I:I,H_SpecialBM!$Q:$Q,$P1259),"")</f>
        <v/>
      </c>
      <c r="J1259" s="1832" t="str">
        <f>IF($L1143=$R1259,SUMIFS(H_SpecialBM!J:J,H_SpecialBM!$Q:$Q,$P1259),"")</f>
        <v/>
      </c>
      <c r="K1259" s="499" t="str">
        <f>IF($L1143=$R1259,SUMIFS(H_SpecialBM!K:K,H_SpecialBM!$Q:$Q,$P1259),"")</f>
        <v/>
      </c>
      <c r="L1259" s="499" t="str">
        <f>IF($L1143=$R1259,SUMIFS(H_SpecialBM!L:L,H_SpecialBM!$Q:$Q,$P1259),"")</f>
        <v/>
      </c>
      <c r="M1259" s="499" t="str">
        <f>IF($L1143=$R1259,SUMIFS(H_SpecialBM!M:M,H_SpecialBM!$Q:$Q,$P1259),"")</f>
        <v/>
      </c>
      <c r="N1259" s="1836" t="str">
        <f>IF($L1143=$R1259,SUMIFS(H_SpecialBM!N:N,H_SpecialBM!$Q:$Q,$P1259),"")</f>
        <v/>
      </c>
      <c r="O1259" s="698"/>
      <c r="P1259" s="1190" t="str">
        <f>EUconst_CNTR_H2ActualPlusTheoretical</f>
        <v>H2Total_</v>
      </c>
      <c r="Q1259" s="729"/>
      <c r="R1259" s="1176">
        <v>50</v>
      </c>
      <c r="S1259" s="729"/>
      <c r="T1259" s="770"/>
      <c r="U1259" s="343"/>
      <c r="V1259" s="343"/>
    </row>
    <row r="1260" spans="1:22" s="364" customFormat="1" x14ac:dyDescent="0.25">
      <c r="A1260" s="729"/>
      <c r="B1260" s="302"/>
      <c r="C1260" s="302"/>
      <c r="D1260" s="1820"/>
      <c r="E1260" s="641" t="str">
        <f>Translations!$B$1587</f>
        <v>Емисии във връзка с водород</v>
      </c>
      <c r="F1260" s="1835"/>
      <c r="G1260" s="642" t="str">
        <f>EUconst_tCO2pa</f>
        <v>t CO2 / година</v>
      </c>
      <c r="H1260" s="499" t="str">
        <f>IF($L1143=$R1260,SUMIFS(H_SpecialBM!H:H,H_SpecialBM!$Q:$Q,$P1260),"")</f>
        <v/>
      </c>
      <c r="I1260" s="1399" t="str">
        <f>IF($L1143=$R1260,SUMIFS(H_SpecialBM!I:I,H_SpecialBM!$Q:$Q,$P1260),"")</f>
        <v/>
      </c>
      <c r="J1260" s="1832" t="str">
        <f>IF($L1143=$R1260,SUMIFS(H_SpecialBM!J:J,H_SpecialBM!$Q:$Q,$P1260),"")</f>
        <v/>
      </c>
      <c r="K1260" s="499" t="str">
        <f>IF($L1143=$R1260,SUMIFS(H_SpecialBM!K:K,H_SpecialBM!$Q:$Q,$P1260),"")</f>
        <v/>
      </c>
      <c r="L1260" s="499" t="str">
        <f>IF($L1143=$R1260,SUMIFS(H_SpecialBM!L:L,H_SpecialBM!$Q:$Q,$P1260),"")</f>
        <v/>
      </c>
      <c r="M1260" s="499" t="str">
        <f>IF($L1143=$R1260,SUMIFS(H_SpecialBM!M:M,H_SpecialBM!$Q:$Q,$P1260),"")</f>
        <v/>
      </c>
      <c r="N1260" s="1836" t="str">
        <f>IF($L1143=$R1260,SUMIFS(H_SpecialBM!N:N,H_SpecialBM!$Q:$Q,$P1260),"")</f>
        <v/>
      </c>
      <c r="O1260" s="698"/>
      <c r="P1260" s="1190" t="str">
        <f>EUconst_CNTR_H2AdditionalEmissions</f>
        <v>H2AddEm_</v>
      </c>
      <c r="Q1260" s="729"/>
      <c r="R1260" s="1176">
        <v>50</v>
      </c>
      <c r="S1260" s="729"/>
      <c r="T1260" s="770"/>
      <c r="U1260" s="343"/>
      <c r="V1260" s="343"/>
    </row>
    <row r="1261" spans="1:22" s="364" customFormat="1" ht="5.15" customHeight="1" x14ac:dyDescent="0.25">
      <c r="A1261" s="729"/>
      <c r="B1261" s="302"/>
      <c r="C1261" s="302"/>
      <c r="D1261" s="1820"/>
      <c r="E1261" s="625"/>
      <c r="F1261" s="625"/>
      <c r="G1261" s="625"/>
      <c r="H1261" s="644"/>
      <c r="I1261" s="644"/>
      <c r="J1261" s="644"/>
      <c r="K1261" s="644"/>
      <c r="L1261" s="644"/>
      <c r="M1261" s="644"/>
      <c r="N1261" s="1837"/>
      <c r="O1261" s="698"/>
      <c r="P1261" s="729"/>
      <c r="Q1261" s="729"/>
      <c r="R1261" s="729"/>
      <c r="S1261" s="729"/>
      <c r="T1261" s="770"/>
      <c r="U1261" s="343"/>
      <c r="V1261" s="343"/>
    </row>
    <row r="1262" spans="1:22" s="364" customFormat="1" x14ac:dyDescent="0.25">
      <c r="A1262" s="729"/>
      <c r="B1262" s="302"/>
      <c r="C1262" s="302"/>
      <c r="D1262" s="1820"/>
      <c r="E1262" s="641" t="str">
        <f>Translations!$B$1588</f>
        <v>Корекция на емисиите във връзка с HVC</v>
      </c>
      <c r="F1262" s="1835"/>
      <c r="G1262" s="642" t="str">
        <f>EUconst_tCO2pa</f>
        <v>t CO2 / година</v>
      </c>
      <c r="H1262" s="499" t="str">
        <f>IF($L1143=$R1262,-SUMIFS(H_SpecialBM!H:H,H_SpecialBM!$Q:$Q,$P1262),"")</f>
        <v/>
      </c>
      <c r="I1262" s="1399" t="str">
        <f>IF($L1143=$R1262,-SUMIFS(H_SpecialBM!I:I,H_SpecialBM!$Q:$Q,$P1262),"")</f>
        <v/>
      </c>
      <c r="J1262" s="1832" t="str">
        <f>IF($L1143=$R1262,-SUMIFS(H_SpecialBM!J:J,H_SpecialBM!$Q:$Q,$P1262),"")</f>
        <v/>
      </c>
      <c r="K1262" s="499" t="str">
        <f>IF($L1143=$R1262,-SUMIFS(H_SpecialBM!K:K,H_SpecialBM!$Q:$Q,$P1262),"")</f>
        <v/>
      </c>
      <c r="L1262" s="499" t="str">
        <f>IF($L1143=$R1262,-SUMIFS(H_SpecialBM!L:L,H_SpecialBM!$Q:$Q,$P1262),"")</f>
        <v/>
      </c>
      <c r="M1262" s="499" t="str">
        <f>IF($L1143=$R1262,-SUMIFS(H_SpecialBM!M:M,H_SpecialBM!$Q:$Q,$P1262),"")</f>
        <v/>
      </c>
      <c r="N1262" s="1836" t="str">
        <f>IF($L1143=$R1262,-SUMIFS(H_SpecialBM!N:N,H_SpecialBM!$Q:$Q,$P1262),"")</f>
        <v/>
      </c>
      <c r="O1262" s="698"/>
      <c r="P1262" s="1500" t="str">
        <f>EUconst_CNTR_HVC</f>
        <v>HVC_</v>
      </c>
      <c r="Q1262" s="729"/>
      <c r="R1262" s="1176">
        <v>42</v>
      </c>
      <c r="S1262" s="729"/>
      <c r="T1262" s="770"/>
      <c r="U1262" s="343"/>
      <c r="V1262" s="343"/>
    </row>
    <row r="1263" spans="1:22" s="364" customFormat="1" ht="5.15" customHeight="1" x14ac:dyDescent="0.25">
      <c r="A1263" s="729"/>
      <c r="B1263" s="302"/>
      <c r="C1263" s="302"/>
      <c r="D1263" s="1820"/>
      <c r="E1263" s="625"/>
      <c r="F1263" s="625"/>
      <c r="G1263" s="625"/>
      <c r="H1263" s="644"/>
      <c r="I1263" s="644"/>
      <c r="J1263" s="644"/>
      <c r="K1263" s="644"/>
      <c r="L1263" s="644"/>
      <c r="M1263" s="644"/>
      <c r="N1263" s="1837"/>
      <c r="O1263" s="698"/>
      <c r="P1263" s="770"/>
      <c r="Q1263" s="729"/>
      <c r="R1263" s="729"/>
      <c r="S1263" s="729"/>
      <c r="T1263" s="770"/>
      <c r="U1263" s="343"/>
      <c r="V1263" s="343"/>
    </row>
    <row r="1264" spans="1:22" s="364" customFormat="1" ht="12.75" customHeight="1" x14ac:dyDescent="0.25">
      <c r="A1264" s="729"/>
      <c r="B1264" s="302"/>
      <c r="C1264" s="302"/>
      <c r="D1264" s="1820"/>
      <c r="E1264" s="641" t="str">
        <f>Translations!$B$1589</f>
        <v>Корекция на емисиите във връзка с VCM</v>
      </c>
      <c r="F1264" s="1835"/>
      <c r="G1264" s="642" t="str">
        <f>EUconst_tCO2pa</f>
        <v>t CO2 / година</v>
      </c>
      <c r="H1264" s="499" t="str">
        <f>IF($L1143=$R1264,INDEX(H_SpecialBM!H:H,MATCH($P1264,H_SpecialBM!$Q:$Q,0)-2),"")</f>
        <v/>
      </c>
      <c r="I1264" s="1399" t="str">
        <f>IF($L1143=$R1264,INDEX(H_SpecialBM!I:I,MATCH($P1264,H_SpecialBM!$Q:$Q,0)-2),"")</f>
        <v/>
      </c>
      <c r="J1264" s="1832" t="str">
        <f>IF($L1143=$R1264,INDEX(H_SpecialBM!J:J,MATCH($P1264,H_SpecialBM!$Q:$Q,0)-2),"")</f>
        <v/>
      </c>
      <c r="K1264" s="499" t="str">
        <f>IF($L1143=$R1264,INDEX(H_SpecialBM!K:K,MATCH($P1264,H_SpecialBM!$Q:$Q,0)-2),"")</f>
        <v/>
      </c>
      <c r="L1264" s="499" t="str">
        <f>IF($L1143=$R1264,INDEX(H_SpecialBM!L:L,MATCH($P1264,H_SpecialBM!$Q:$Q,0)-2),"")</f>
        <v/>
      </c>
      <c r="M1264" s="499" t="str">
        <f>IF($L1143=$R1264,INDEX(H_SpecialBM!M:M,MATCH($P1264,H_SpecialBM!$Q:$Q,0)-2),"")</f>
        <v/>
      </c>
      <c r="N1264" s="1836" t="str">
        <f>IF($L1143=$R1264,INDEX(H_SpecialBM!N:N,MATCH($P1264,H_SpecialBM!$Q:$Q,0)-2),"")</f>
        <v/>
      </c>
      <c r="O1264" s="698"/>
      <c r="P1264" s="1190" t="str">
        <f>EUconst_CNTR_VCM</f>
        <v>VCM_</v>
      </c>
      <c r="Q1264" s="729"/>
      <c r="R1264" s="1176">
        <v>47</v>
      </c>
      <c r="S1264" s="729"/>
      <c r="T1264" s="770"/>
      <c r="U1264" s="343"/>
      <c r="V1264" s="343"/>
    </row>
    <row r="1265" spans="1:22" s="364" customFormat="1" ht="12.75" customHeight="1" thickBot="1" x14ac:dyDescent="0.3">
      <c r="A1265" s="729"/>
      <c r="B1265" s="302"/>
      <c r="C1265" s="302"/>
      <c r="D1265" s="1838"/>
      <c r="E1265" s="1839"/>
      <c r="F1265" s="1839"/>
      <c r="G1265" s="1839"/>
      <c r="H1265" s="1839"/>
      <c r="I1265" s="1840"/>
      <c r="J1265" s="1840"/>
      <c r="K1265" s="1840"/>
      <c r="L1265" s="1840"/>
      <c r="M1265" s="1840"/>
      <c r="N1265" s="1379"/>
      <c r="O1265" s="698"/>
      <c r="P1265" s="729"/>
      <c r="Q1265" s="729"/>
      <c r="R1265" s="1165"/>
      <c r="S1265" s="729"/>
      <c r="T1265" s="770"/>
      <c r="U1265" s="343"/>
      <c r="V1265" s="343"/>
    </row>
    <row r="1266" spans="1:22" s="364" customFormat="1" ht="12.75" customHeight="1" thickBot="1" x14ac:dyDescent="0.3">
      <c r="A1266" s="729"/>
      <c r="B1266" s="302"/>
      <c r="C1266" s="302"/>
      <c r="D1266" s="302"/>
      <c r="E1266" s="646"/>
      <c r="O1266" s="698"/>
      <c r="P1266" s="729"/>
      <c r="Q1266" s="729"/>
      <c r="R1266" s="729"/>
      <c r="S1266" s="729"/>
      <c r="T1266" s="729"/>
      <c r="U1266" s="343"/>
      <c r="V1266" s="343"/>
    </row>
    <row r="1267" spans="1:22" s="364" customFormat="1" ht="5.15" customHeight="1" thickBot="1" x14ac:dyDescent="0.3">
      <c r="A1267" s="729"/>
      <c r="B1267" s="284"/>
      <c r="C1267" s="581"/>
      <c r="D1267" s="581"/>
      <c r="E1267" s="581"/>
      <c r="F1267" s="581"/>
      <c r="G1267" s="581"/>
      <c r="H1267" s="581"/>
      <c r="I1267" s="581"/>
      <c r="J1267" s="581"/>
      <c r="K1267" s="581"/>
      <c r="L1267" s="581"/>
      <c r="M1267" s="581"/>
      <c r="N1267" s="581"/>
      <c r="O1267" s="698"/>
      <c r="P1267" s="729"/>
      <c r="Q1267" s="729"/>
      <c r="R1267" s="729"/>
      <c r="S1267" s="729"/>
      <c r="T1267" s="729"/>
      <c r="U1267" s="343"/>
      <c r="V1267" s="343"/>
    </row>
    <row r="1268" spans="1:22" s="364" customFormat="1" ht="15" customHeight="1" thickBot="1" x14ac:dyDescent="0.35">
      <c r="A1268" s="729"/>
      <c r="B1268" s="302"/>
      <c r="C1268" s="357">
        <f>C1140+1</f>
        <v>7</v>
      </c>
      <c r="D1268" s="2323" t="str">
        <f>CONCATENATE(EUconst_BMSubinst," ",C1268, ":")</f>
        <v>Подинсталация с продуктов показател 7:</v>
      </c>
      <c r="E1268" s="2323"/>
      <c r="F1268" s="2323"/>
      <c r="G1268" s="2323"/>
      <c r="H1268" s="2987"/>
      <c r="I1268" s="2843" t="str">
        <f>IF(INDEX(CNTR_SubInstListIsProdBM,$C1268),INDEX(CNTR_SubInstListNames,$C1268),"")</f>
        <v/>
      </c>
      <c r="J1268" s="3019"/>
      <c r="K1268" s="3019"/>
      <c r="L1268" s="3019"/>
      <c r="M1268" s="3019"/>
      <c r="N1268" s="3020"/>
      <c r="O1268" s="698"/>
      <c r="P1268" s="729"/>
      <c r="Q1268" s="1684">
        <f>C1268</f>
        <v>7</v>
      </c>
      <c r="R1268" s="1685" t="str">
        <f>I1268</f>
        <v/>
      </c>
      <c r="S1268" s="729"/>
      <c r="T1268" s="729"/>
      <c r="U1268" s="343"/>
      <c r="V1268" s="343"/>
    </row>
    <row r="1269" spans="1:22" s="364" customFormat="1" ht="5.15" customHeight="1" x14ac:dyDescent="0.3">
      <c r="A1269" s="729"/>
      <c r="B1269" s="302"/>
      <c r="C1269" s="357"/>
      <c r="D1269" s="357"/>
      <c r="E1269" s="357"/>
      <c r="F1269" s="357"/>
      <c r="G1269" s="357"/>
      <c r="H1269" s="357"/>
      <c r="I1269" s="357"/>
      <c r="J1269" s="357"/>
      <c r="K1269" s="357"/>
      <c r="L1269" s="357"/>
      <c r="M1269" s="357"/>
      <c r="N1269" s="357"/>
      <c r="O1269" s="698"/>
      <c r="P1269" s="729"/>
      <c r="Q1269" s="729"/>
      <c r="R1269" s="729"/>
      <c r="S1269" s="729"/>
      <c r="T1269" s="729"/>
      <c r="U1269" s="343"/>
      <c r="V1269" s="343"/>
    </row>
    <row r="1270" spans="1:22" s="364" customFormat="1" ht="12.75" customHeight="1" x14ac:dyDescent="0.3">
      <c r="A1270" s="729"/>
      <c r="B1270" s="302"/>
      <c r="C1270" s="357"/>
      <c r="D1270" s="357"/>
      <c r="E1270" s="357"/>
      <c r="F1270" s="357"/>
      <c r="H1270" s="595" t="str">
        <f>Translations!$B$942</f>
        <v>Риск от ИВЕ</v>
      </c>
      <c r="I1270" s="595" t="s">
        <v>2151</v>
      </c>
      <c r="J1270" s="595" t="str">
        <f>Translations!$B$946</f>
        <v>В/Е</v>
      </c>
      <c r="K1270" s="595" t="str">
        <f>Translations!$B$1360</f>
        <v>Спряна експлоатация</v>
      </c>
      <c r="L1270" s="654" t="str">
        <f>Translations!$B$944</f>
        <v>№ на п-л</v>
      </c>
      <c r="M1270" s="2991" t="str">
        <f>Translations!$B$948</f>
        <v>Стойност на п-л</v>
      </c>
      <c r="N1270" s="2991"/>
      <c r="O1270" s="698"/>
      <c r="P1270" s="729"/>
      <c r="Q1270" s="729"/>
      <c r="R1270" s="1176" t="str">
        <f>Translations!$B$944</f>
        <v>№ на п-л</v>
      </c>
      <c r="S1270" s="729"/>
      <c r="T1270" s="1686"/>
      <c r="U1270" s="343"/>
      <c r="V1270" s="343"/>
    </row>
    <row r="1271" spans="1:22" s="364" customFormat="1" ht="12.75" customHeight="1" x14ac:dyDescent="0.3">
      <c r="A1271" s="729"/>
      <c r="B1271" s="302"/>
      <c r="C1271" s="357"/>
      <c r="D1271" s="357"/>
      <c r="E1271" s="361" t="str">
        <f>I1268</f>
        <v/>
      </c>
      <c r="F1271" s="373"/>
      <c r="G1271" s="373"/>
      <c r="H1271" s="600" t="str">
        <f>IF(L1271=EUconst_NA,EUconst_NA,INDEX(EUconst_BMlistCLstatus,MATCH(L1271,EUconst_BMlistMainNumberOfBM,0)))</f>
        <v>Не е приложимо</v>
      </c>
      <c r="I1271" s="600" t="str">
        <f>IF(R1271=EUconst_NA,EUconst_NA,INDEX(EUconst_BMlistCBAMstatus,MATCH(R1271,EUconst_BMlistNumberOfBM,0)))</f>
        <v>Не е приложимо</v>
      </c>
      <c r="J1271" s="655" t="str">
        <f>IF($I1268="",EUconst_NA,INDEX(CNTR_SubInstStartDate,MATCH(I1268,CNTR_SubInstListNames,0)))</f>
        <v>Не е приложимо</v>
      </c>
      <c r="K1271" s="655" t="str">
        <f>IF($I1268="",EUconst_NA,IF(INDEX(CNTR_SubInstCessationDate,MATCH(I1268,CNTR_SubInstListNames,0))=0,"",INDEX(CNTR_SubInstCessationDate,MATCH(I1268,CNTR_SubInstListNames,0))))</f>
        <v>Не е приложимо</v>
      </c>
      <c r="L1271" s="1687" t="str">
        <f>IF($I1268="",EUconst_NA,INDEX(EUconst_BMlistMainNumberOfBM,MATCH(I1268,EUconst_BMlistNames,0)))</f>
        <v>Не е приложимо</v>
      </c>
      <c r="M1271" s="1688" t="str">
        <f>IF(I1268="",EUconst_NA,INDEX(EUconst_BMlistBMvaluesMatrix,MATCH(L1271,EUconst_BMlistMainNumberOfBM,0),3))</f>
        <v>Не е приложимо</v>
      </c>
      <c r="N1271" s="382" t="str">
        <f>EUconst_EUA &amp; "/" &amp; F1274</f>
        <v>Квота за емисии/тона</v>
      </c>
      <c r="O1271" s="698"/>
      <c r="P1271" s="729"/>
      <c r="Q1271" s="729"/>
      <c r="R1271" s="1176" t="str">
        <f>IF($I1268="",EUconst_NA,INDEX(EUconst_BMlistNumberOfBM,MATCH(I1268,EUconst_BMlistNames,0)))</f>
        <v>Не е приложимо</v>
      </c>
      <c r="S1271" s="729"/>
      <c r="T1271" s="1174" t="s">
        <v>1735</v>
      </c>
      <c r="U1271" s="1176">
        <f>IF(SUM(K1271)=0,2050,YEAR(K1271))</f>
        <v>2050</v>
      </c>
      <c r="V1271" s="343"/>
    </row>
    <row r="1272" spans="1:22" s="364" customFormat="1" ht="5.15" customHeight="1" thickBot="1" x14ac:dyDescent="0.35">
      <c r="A1272" s="729"/>
      <c r="B1272" s="302"/>
      <c r="C1272" s="302"/>
      <c r="D1272" s="302"/>
      <c r="E1272" s="357"/>
      <c r="J1272" s="302"/>
      <c r="K1272" s="302"/>
      <c r="L1272" s="302"/>
      <c r="M1272" s="302"/>
      <c r="N1272" s="302"/>
      <c r="O1272" s="698"/>
      <c r="P1272" s="729"/>
      <c r="Q1272" s="729"/>
      <c r="R1272" s="729"/>
      <c r="S1272" s="729"/>
      <c r="T1272" s="770"/>
      <c r="U1272" s="343"/>
      <c r="V1272" s="343"/>
    </row>
    <row r="1273" spans="1:22" s="364" customFormat="1" ht="12.75" customHeight="1" x14ac:dyDescent="0.25">
      <c r="A1273" s="729"/>
      <c r="B1273" s="302"/>
      <c r="C1273" s="302"/>
      <c r="D1273" s="302"/>
      <c r="E1273" s="313"/>
      <c r="F1273" s="300" t="str">
        <f>EUconst_Unit</f>
        <v>Единица мярка</v>
      </c>
      <c r="G1273" s="1689" t="str">
        <f>Translations!$B$1284</f>
        <v>HAL</v>
      </c>
      <c r="H1273" s="757">
        <f t="shared" ref="H1273:N1273" si="106">H$2505</f>
        <v>2024</v>
      </c>
      <c r="I1273" s="572">
        <f t="shared" si="106"/>
        <v>2025</v>
      </c>
      <c r="J1273" s="757">
        <f t="shared" si="106"/>
        <v>2026</v>
      </c>
      <c r="K1273" s="391">
        <f t="shared" si="106"/>
        <v>2027</v>
      </c>
      <c r="L1273" s="391">
        <f t="shared" si="106"/>
        <v>2028</v>
      </c>
      <c r="M1273" s="391">
        <f t="shared" si="106"/>
        <v>2029</v>
      </c>
      <c r="N1273" s="391">
        <f t="shared" si="106"/>
        <v>2030</v>
      </c>
      <c r="O1273" s="698"/>
      <c r="P1273" s="729"/>
      <c r="Q1273" s="729" t="s">
        <v>1851</v>
      </c>
      <c r="R1273" s="1690">
        <f>J$2505</f>
        <v>2026</v>
      </c>
      <c r="S1273" s="1691">
        <f>K$2505</f>
        <v>2027</v>
      </c>
      <c r="T1273" s="1691">
        <f>L$2505</f>
        <v>2028</v>
      </c>
      <c r="U1273" s="1691">
        <f>M$2505</f>
        <v>2029</v>
      </c>
      <c r="V1273" s="1692">
        <f>N$2505</f>
        <v>2030</v>
      </c>
    </row>
    <row r="1274" spans="1:22" s="364" customFormat="1" ht="12.75" customHeight="1" thickBot="1" x14ac:dyDescent="0.3">
      <c r="A1274" s="729"/>
      <c r="B1274" s="302"/>
      <c r="C1274" s="302"/>
      <c r="D1274" s="302"/>
      <c r="E1274" s="388" t="str">
        <f>Translations!$B$1371</f>
        <v>Докладвано равнище на дейност</v>
      </c>
      <c r="F1274" s="1062" t="str">
        <f>IF(ISNUMBER(L1271),INDEX(EUconst_BMlistUnits,MATCH(L1271,EUconst_BMlistMainNumberOfBM,0)),EUconst_Tons)</f>
        <v>тона</v>
      </c>
      <c r="G1274" s="1693" t="str">
        <f>I1334</f>
        <v/>
      </c>
      <c r="H1274" s="1694" t="str">
        <f>IF($I1268="","",IF(H1273&gt;=CNTR_ReportingYear,"",INDEX(F_ProductBM!H:H,MATCH($P1274,F_ProductBM!$Q:$Q,0))))</f>
        <v/>
      </c>
      <c r="I1274" s="608" t="str">
        <f>IF($I1268="","",IF(I1273&gt;=CNTR_ReportingYear,"",INDEX(F_ProductBM!I:I,MATCH($P1274,F_ProductBM!$Q:$Q,0))))</f>
        <v/>
      </c>
      <c r="J1274" s="1694" t="str">
        <f>IF($I1268="","",IF(J1273&gt;=CNTR_ReportingYear,"",INDEX(F_ProductBM!J:J,MATCH($P1274,F_ProductBM!$Q:$Q,0))))</f>
        <v/>
      </c>
      <c r="K1274" s="406" t="str">
        <f>IF($I1268="","",IF(K1273&gt;=CNTR_ReportingYear,"",INDEX(F_ProductBM!K:K,MATCH($P1274,F_ProductBM!$Q:$Q,0))))</f>
        <v/>
      </c>
      <c r="L1274" s="406" t="str">
        <f>IF($I1268="","",IF(L1273&gt;=CNTR_ReportingYear,"",INDEX(F_ProductBM!L:L,MATCH($P1274,F_ProductBM!$Q:$Q,0))))</f>
        <v/>
      </c>
      <c r="M1274" s="406" t="str">
        <f>IF($I1268="","",IF(M1273&gt;=CNTR_ReportingYear,"",INDEX(F_ProductBM!M:M,MATCH($P1274,F_ProductBM!$Q:$Q,0))))</f>
        <v/>
      </c>
      <c r="N1274" s="406" t="str">
        <f>IF($I1268="","",IF(N1273&gt;=CNTR_ReportingYear,"",INDEX(F_ProductBM!N:N,MATCH($P1274,F_ProductBM!$Q:$Q,0))))</f>
        <v/>
      </c>
      <c r="O1274" s="698"/>
      <c r="P1274" s="1190" t="str">
        <f>EUconst_CNTR_HAL&amp;I1268</f>
        <v>HAL_</v>
      </c>
      <c r="Q1274" s="729"/>
      <c r="R1274" s="1580" t="b">
        <f>AND($I1268&lt;&gt;"",R1273&lt;=CNTR_ReportingYear,IF($J1271&lt;&gt;EUconst_NA,R1273&gt;=YEAR($J1271),TRUE))</f>
        <v>0</v>
      </c>
      <c r="S1274" s="1255" t="b">
        <f>AND($I1268&lt;&gt;"",S1273&lt;=CNTR_ReportingYear,IF($J1271&lt;&gt;EUconst_NA,S1273&gt;=YEAR($J1271),TRUE))</f>
        <v>0</v>
      </c>
      <c r="T1274" s="1255" t="b">
        <f>AND($I1268&lt;&gt;"",T1273&lt;=CNTR_ReportingYear,IF($J1271&lt;&gt;EUconst_NA,T1273&gt;=YEAR($J1271),TRUE))</f>
        <v>0</v>
      </c>
      <c r="U1274" s="1255" t="b">
        <f>AND($I1268&lt;&gt;"",U1273&lt;=CNTR_ReportingYear,IF($J1271&lt;&gt;EUconst_NA,U1273&gt;=YEAR($J1271),TRUE))</f>
        <v>0</v>
      </c>
      <c r="V1274" s="1256" t="b">
        <f>AND($I1268&lt;&gt;"",V1273&lt;=CNTR_ReportingYear,IF($J1271&lt;&gt;EUconst_NA,V1273&gt;=YEAR($J1271),TRUE))</f>
        <v>0</v>
      </c>
    </row>
    <row r="1275" spans="1:22" s="364" customFormat="1" ht="5.15" customHeight="1" thickBot="1" x14ac:dyDescent="0.35">
      <c r="A1275" s="729"/>
      <c r="B1275" s="302"/>
      <c r="C1275" s="357"/>
      <c r="D1275" s="357"/>
      <c r="E1275" s="357"/>
      <c r="F1275" s="357"/>
      <c r="G1275" s="357"/>
      <c r="H1275" s="357"/>
      <c r="I1275" s="357"/>
      <c r="J1275" s="357"/>
      <c r="K1275" s="357"/>
      <c r="L1275" s="357"/>
      <c r="M1275" s="357"/>
      <c r="N1275" s="357"/>
      <c r="O1275" s="698"/>
      <c r="P1275" s="729"/>
      <c r="Q1275" s="729"/>
      <c r="R1275" s="729"/>
      <c r="S1275" s="729"/>
      <c r="T1275" s="729"/>
      <c r="U1275" s="343"/>
      <c r="V1275" s="343"/>
    </row>
    <row r="1276" spans="1:22" s="364" customFormat="1" ht="5.15" customHeight="1" x14ac:dyDescent="0.3">
      <c r="A1276" s="729"/>
      <c r="B1276" s="302"/>
      <c r="C1276" s="357"/>
      <c r="D1276" s="1695"/>
      <c r="E1276" s="1696"/>
      <c r="F1276" s="1696"/>
      <c r="G1276" s="1696"/>
      <c r="H1276" s="1696"/>
      <c r="I1276" s="1696"/>
      <c r="J1276" s="1696"/>
      <c r="K1276" s="1696"/>
      <c r="L1276" s="1696"/>
      <c r="M1276" s="1696"/>
      <c r="N1276" s="1697"/>
      <c r="O1276" s="698"/>
      <c r="P1276" s="729"/>
      <c r="Q1276" s="729"/>
      <c r="R1276" s="729"/>
      <c r="S1276" s="729"/>
      <c r="T1276" s="729"/>
      <c r="U1276" s="343"/>
      <c r="V1276" s="343"/>
    </row>
    <row r="1277" spans="1:22" s="364" customFormat="1" ht="12.75" customHeight="1" x14ac:dyDescent="0.3">
      <c r="A1277" s="729"/>
      <c r="B1277" s="302"/>
      <c r="C1277" s="357"/>
      <c r="D1277" s="1698"/>
      <c r="E1277" s="389" t="str">
        <f>Translations!$B$1372</f>
        <v>Приложимост на пълзящата средна стойност</v>
      </c>
      <c r="F1277" s="498"/>
      <c r="G1277" s="498"/>
      <c r="H1277" s="527"/>
      <c r="I1277" s="1699"/>
      <c r="J1277" s="1523">
        <f>J$2505</f>
        <v>2026</v>
      </c>
      <c r="K1277" s="387">
        <f>K$2505</f>
        <v>2027</v>
      </c>
      <c r="L1277" s="387">
        <f>L$2505</f>
        <v>2028</v>
      </c>
      <c r="M1277" s="387">
        <f>M$2505</f>
        <v>2029</v>
      </c>
      <c r="N1277" s="1544">
        <f>N$2505</f>
        <v>2030</v>
      </c>
      <c r="O1277" s="698"/>
      <c r="P1277" s="729"/>
      <c r="Q1277" s="729"/>
      <c r="R1277" s="729"/>
      <c r="S1277" s="729"/>
      <c r="T1277" s="729"/>
      <c r="U1277" s="343"/>
      <c r="V1277" s="343"/>
    </row>
    <row r="1278" spans="1:22" s="364" customFormat="1" ht="12.75" customHeight="1" x14ac:dyDescent="0.3">
      <c r="A1278" s="729"/>
      <c r="B1278" s="302"/>
      <c r="C1278" s="357"/>
      <c r="D1278" s="1698"/>
      <c r="E1278" s="1700" t="str">
        <f>Translations!$B$1364</f>
        <v>Критерий 1: В експлоатация &gt; 2 години?</v>
      </c>
      <c r="F1278" s="1701"/>
      <c r="G1278" s="1701"/>
      <c r="H1278" s="1702"/>
      <c r="I1278" s="1701"/>
      <c r="J1278" s="1703" t="str">
        <f>IF(R1274,INDEX(F_ProductBM!V:V,MATCH($P1278,F_ProductBM!$Q:$Q,0))&gt;=3,"")</f>
        <v/>
      </c>
      <c r="K1278" s="1704" t="str">
        <f>IF(S1274,INDEX(F_ProductBM!W:W,MATCH($P1278,F_ProductBM!$Q:$Q,0))&gt;=3,"")</f>
        <v/>
      </c>
      <c r="L1278" s="1704" t="str">
        <f>IF(T1274,INDEX(F_ProductBM!X:X,MATCH($P1278,F_ProductBM!$Q:$Q,0))&gt;=3,"")</f>
        <v/>
      </c>
      <c r="M1278" s="1704" t="str">
        <f>IF(U1274,INDEX(F_ProductBM!Y:Y,MATCH($P1278,F_ProductBM!$Q:$Q,0))&gt;=3,"")</f>
        <v/>
      </c>
      <c r="N1278" s="1705" t="str">
        <f>IF(V1274,INDEX(F_ProductBM!Z:Z,MATCH($P1278,F_ProductBM!$Q:$Q,0))&gt;=3,"")</f>
        <v/>
      </c>
      <c r="O1278" s="698"/>
      <c r="P1278" s="1190" t="str">
        <f>EUconst_CNTR_HALinitial&amp;I1268</f>
        <v>HALini_</v>
      </c>
      <c r="Q1278" s="729"/>
      <c r="R1278" s="729"/>
      <c r="S1278" s="729"/>
      <c r="T1278" s="729"/>
      <c r="U1278" s="343"/>
      <c r="V1278" s="343"/>
    </row>
    <row r="1279" spans="1:22" s="364" customFormat="1" ht="12.75" customHeight="1" x14ac:dyDescent="0.3">
      <c r="A1279" s="729"/>
      <c r="B1279" s="302"/>
      <c r="C1279" s="357"/>
      <c r="D1279" s="1698"/>
      <c r="E1279" s="1706" t="str">
        <f>Translations!$B$1366</f>
        <v>Критерий 2: Не е спряна от експлоатация през предходната година?</v>
      </c>
      <c r="F1279" s="1707"/>
      <c r="G1279" s="1707"/>
      <c r="H1279" s="1708"/>
      <c r="I1279" s="1707"/>
      <c r="J1279" s="1709" t="str">
        <f>IF(R1274,IF($K1271="",2050,YEAR($K1271))&lt;&gt;(J1277-1),"")</f>
        <v/>
      </c>
      <c r="K1279" s="1710" t="str">
        <f>IF(S1274,IF($K1271="",2050,YEAR($K1271))&lt;&gt;(K1277-1),"")</f>
        <v/>
      </c>
      <c r="L1279" s="1710" t="str">
        <f>IF(T1274,IF($K1271="",2050,YEAR($K1271))&lt;&gt;(L1277-1),"")</f>
        <v/>
      </c>
      <c r="M1279" s="1710" t="str">
        <f>IF(U1274,IF($K1271="",2050,YEAR($K1271))&lt;&gt;(M1277-1),"")</f>
        <v/>
      </c>
      <c r="N1279" s="1711" t="str">
        <f>IF(V1274,IF($K1271="",2050,YEAR($K1271))&lt;&gt;(N1277-1),"")</f>
        <v/>
      </c>
      <c r="O1279" s="698"/>
      <c r="P1279" s="729"/>
      <c r="Q1279" s="729"/>
      <c r="R1279" s="729"/>
      <c r="S1279" s="729"/>
      <c r="T1279" s="729"/>
      <c r="U1279" s="343"/>
      <c r="V1279" s="343"/>
    </row>
    <row r="1280" spans="1:22" s="364" customFormat="1" ht="5.15" customHeight="1" x14ac:dyDescent="0.3">
      <c r="A1280" s="729"/>
      <c r="B1280" s="302"/>
      <c r="C1280" s="357"/>
      <c r="D1280" s="1698"/>
      <c r="E1280" s="357"/>
      <c r="F1280" s="357"/>
      <c r="G1280" s="357"/>
      <c r="H1280" s="357"/>
      <c r="I1280" s="357"/>
      <c r="J1280" s="357"/>
      <c r="K1280" s="357"/>
      <c r="L1280" s="357"/>
      <c r="M1280" s="357"/>
      <c r="N1280" s="1712"/>
      <c r="O1280" s="698"/>
      <c r="P1280" s="729"/>
      <c r="Q1280" s="729"/>
      <c r="R1280" s="729"/>
      <c r="S1280" s="729"/>
      <c r="T1280" s="729"/>
      <c r="U1280" s="343"/>
      <c r="V1280" s="343"/>
    </row>
    <row r="1281" spans="1:22" s="364" customFormat="1" ht="12.75" customHeight="1" x14ac:dyDescent="0.3">
      <c r="A1281" s="729"/>
      <c r="B1281" s="302"/>
      <c r="C1281" s="357"/>
      <c r="D1281" s="1698"/>
      <c r="E1281" s="313" t="str">
        <f>Translations!$B$1373</f>
        <v>Промени: Няма промяна (базова стойност)</v>
      </c>
      <c r="F1281" s="302"/>
      <c r="G1281" s="302"/>
      <c r="H1281" s="527" t="str">
        <f>EUconst_Unit</f>
        <v>Единица мярка</v>
      </c>
      <c r="I1281" s="1699"/>
      <c r="J1281" s="757">
        <f>J$2505</f>
        <v>2026</v>
      </c>
      <c r="K1281" s="391">
        <f>K$2505</f>
        <v>2027</v>
      </c>
      <c r="L1281" s="391">
        <f>L$2505</f>
        <v>2028</v>
      </c>
      <c r="M1281" s="391">
        <f>M$2505</f>
        <v>2029</v>
      </c>
      <c r="N1281" s="1713">
        <f>N$2505</f>
        <v>2030</v>
      </c>
      <c r="O1281" s="698"/>
      <c r="P1281" s="729"/>
      <c r="Q1281" s="729"/>
      <c r="R1281" s="729"/>
      <c r="S1281" s="729"/>
      <c r="T1281" s="729"/>
      <c r="U1281" s="343"/>
      <c r="V1281" s="343"/>
    </row>
    <row r="1282" spans="1:22" s="364" customFormat="1" ht="12.75" hidden="1" customHeight="1" x14ac:dyDescent="0.3">
      <c r="A1282" s="729" t="str">
        <f t="shared" ref="A1282:A1286" si="107">IF(P1282="","ausblenden","")</f>
        <v>ausblenden</v>
      </c>
      <c r="B1282" s="302"/>
      <c r="C1282" s="357"/>
      <c r="D1282" s="1698"/>
      <c r="E1282" s="388" t="str">
        <f>Translations!$B$1388</f>
        <v>Равнище на дейност</v>
      </c>
      <c r="F1282" s="388"/>
      <c r="G1282" s="388"/>
      <c r="H1282" s="1210" t="str">
        <f>F1274</f>
        <v>тона</v>
      </c>
      <c r="I1282" s="388"/>
      <c r="J1282" s="1714" t="str">
        <f>IF(T1339&gt;=$H$2505,S1334,I1334)</f>
        <v/>
      </c>
      <c r="K1282" s="1693" t="str">
        <f t="shared" ref="K1282:K1285" si="108">J1334</f>
        <v/>
      </c>
      <c r="L1282" s="1693" t="str">
        <f t="shared" ref="L1282:L1285" si="109">K1334</f>
        <v/>
      </c>
      <c r="M1282" s="1693" t="str">
        <f t="shared" ref="M1282:M1285" si="110">L1334</f>
        <v/>
      </c>
      <c r="N1282" s="1715" t="str">
        <f t="shared" ref="N1282:N1285" si="111">M1334</f>
        <v/>
      </c>
      <c r="O1282" s="698"/>
      <c r="P1282" s="729"/>
      <c r="Q1282" s="729"/>
      <c r="R1282" s="729"/>
      <c r="S1282" s="729"/>
      <c r="T1282" s="729"/>
      <c r="U1282" s="343"/>
      <c r="V1282" s="343"/>
    </row>
    <row r="1283" spans="1:22" s="364" customFormat="1" ht="12.75" hidden="1" customHeight="1" x14ac:dyDescent="0.3">
      <c r="A1283" s="729" t="str">
        <f t="shared" si="107"/>
        <v>ausblenden</v>
      </c>
      <c r="B1283" s="302"/>
      <c r="C1283" s="357"/>
      <c r="D1283" s="1698"/>
      <c r="E1283" s="392" t="str">
        <f>Translations!$B$949</f>
        <v>топл. ен. извън СТЕ</v>
      </c>
      <c r="F1283" s="392"/>
      <c r="G1283" s="392"/>
      <c r="H1283" s="481" t="str">
        <f>EUconst_EUA</f>
        <v>Квота за емисии</v>
      </c>
      <c r="I1283" s="1716"/>
      <c r="J1283" s="1717" t="str">
        <f>IF(T1339&gt;=$H$2505,S1335,I1335)</f>
        <v/>
      </c>
      <c r="K1283" s="1718" t="str">
        <f t="shared" si="108"/>
        <v/>
      </c>
      <c r="L1283" s="1718" t="str">
        <f t="shared" si="109"/>
        <v/>
      </c>
      <c r="M1283" s="1718" t="str">
        <f t="shared" si="110"/>
        <v/>
      </c>
      <c r="N1283" s="1719" t="str">
        <f t="shared" si="111"/>
        <v/>
      </c>
      <c r="O1283" s="698"/>
      <c r="P1283" s="729"/>
      <c r="Q1283" s="729"/>
      <c r="R1283" s="729"/>
      <c r="S1283" s="729"/>
      <c r="T1283" s="729"/>
      <c r="U1283" s="343"/>
      <c r="V1283" s="343"/>
    </row>
    <row r="1284" spans="1:22" s="364" customFormat="1" ht="12.75" hidden="1" customHeight="1" x14ac:dyDescent="0.3">
      <c r="A1284" s="729" t="str">
        <f t="shared" si="107"/>
        <v>ausblenden</v>
      </c>
      <c r="B1284" s="302"/>
      <c r="C1284" s="357"/>
      <c r="D1284" s="1698"/>
      <c r="E1284" s="398" t="str">
        <f>Translations!$B$951</f>
        <v>WGflare</v>
      </c>
      <c r="F1284" s="398"/>
      <c r="G1284" s="398"/>
      <c r="H1284" s="516" t="str">
        <f>EUconst_EUA</f>
        <v>Квота за емисии</v>
      </c>
      <c r="I1284" s="1720"/>
      <c r="J1284" s="1721" t="str">
        <f>IF(T1339&gt;=$H$2505,S1336,I1336)</f>
        <v/>
      </c>
      <c r="K1284" s="1722" t="str">
        <f t="shared" si="108"/>
        <v/>
      </c>
      <c r="L1284" s="1722" t="str">
        <f t="shared" si="109"/>
        <v/>
      </c>
      <c r="M1284" s="1722" t="str">
        <f t="shared" si="110"/>
        <v/>
      </c>
      <c r="N1284" s="1723" t="str">
        <f t="shared" si="111"/>
        <v/>
      </c>
      <c r="O1284" s="698"/>
      <c r="P1284" s="729"/>
      <c r="Q1284" s="729"/>
      <c r="R1284" s="729"/>
      <c r="S1284" s="729"/>
      <c r="T1284" s="729"/>
      <c r="U1284" s="343"/>
      <c r="V1284" s="343"/>
    </row>
    <row r="1285" spans="1:22" s="364" customFormat="1" ht="12.75" hidden="1" customHeight="1" x14ac:dyDescent="0.3">
      <c r="A1285" s="729" t="str">
        <f t="shared" si="107"/>
        <v>ausblenden</v>
      </c>
      <c r="B1285" s="302"/>
      <c r="C1285" s="357"/>
      <c r="D1285" s="1698"/>
      <c r="E1285" s="398" t="s">
        <v>1442</v>
      </c>
      <c r="F1285" s="398"/>
      <c r="G1285" s="398"/>
      <c r="H1285" s="516" t="str">
        <f>EUconst_EUA</f>
        <v>Квота за емисии</v>
      </c>
      <c r="I1285" s="1720"/>
      <c r="J1285" s="1721" t="str">
        <f>IF(T1339&gt;=$H$2505,S1337,I1337)</f>
        <v/>
      </c>
      <c r="K1285" s="1722" t="str">
        <f t="shared" si="108"/>
        <v/>
      </c>
      <c r="L1285" s="1722" t="str">
        <f t="shared" si="109"/>
        <v/>
      </c>
      <c r="M1285" s="1722" t="str">
        <f t="shared" si="110"/>
        <v/>
      </c>
      <c r="N1285" s="1723" t="str">
        <f t="shared" si="111"/>
        <v/>
      </c>
      <c r="O1285" s="698"/>
      <c r="P1285" s="729"/>
      <c r="Q1285" s="729"/>
      <c r="R1285" s="729"/>
      <c r="S1285" s="729"/>
      <c r="T1285" s="729"/>
      <c r="U1285" s="343"/>
      <c r="V1285" s="343"/>
    </row>
    <row r="1286" spans="1:22" s="364" customFormat="1" ht="12.75" hidden="1" customHeight="1" x14ac:dyDescent="0.3">
      <c r="A1286" s="729" t="str">
        <f t="shared" si="107"/>
        <v>ausblenden</v>
      </c>
      <c r="B1286" s="302"/>
      <c r="C1286" s="357"/>
      <c r="D1286" s="1698"/>
      <c r="E1286" s="401" t="s">
        <v>1443</v>
      </c>
      <c r="F1286" s="401"/>
      <c r="G1286" s="401"/>
      <c r="H1286" s="483" t="s">
        <v>1052</v>
      </c>
      <c r="I1286" s="1724"/>
      <c r="J1286" s="1725" t="str">
        <f>IF(T1339&gt;=$H$2505,S1338,I1338)</f>
        <v/>
      </c>
      <c r="K1286" s="1726" t="str">
        <f>J1338</f>
        <v/>
      </c>
      <c r="L1286" s="1726" t="str">
        <f>K1338</f>
        <v/>
      </c>
      <c r="M1286" s="1726" t="str">
        <f>L1338</f>
        <v/>
      </c>
      <c r="N1286" s="1727" t="str">
        <f>M1338</f>
        <v/>
      </c>
      <c r="O1286" s="698"/>
      <c r="P1286" s="729"/>
      <c r="Q1286" s="729"/>
      <c r="R1286" s="729"/>
      <c r="S1286" s="729"/>
      <c r="T1286" s="729"/>
      <c r="U1286" s="343"/>
      <c r="V1286" s="343"/>
    </row>
    <row r="1287" spans="1:22" s="364" customFormat="1" ht="12.75" customHeight="1" x14ac:dyDescent="0.3">
      <c r="A1287" s="729"/>
      <c r="B1287" s="302"/>
      <c r="C1287" s="357"/>
      <c r="D1287" s="1698"/>
      <c r="E1287" s="388" t="str">
        <f>Translations!$B$1374</f>
        <v>Стойност на предварително разпределяне</v>
      </c>
      <c r="F1287" s="388"/>
      <c r="G1287" s="388"/>
      <c r="H1287" s="421" t="str">
        <f>EUconst_EUA</f>
        <v>Квота за емисии</v>
      </c>
      <c r="I1287" s="1728"/>
      <c r="J1287" s="1694" t="str">
        <f>IF($I1268="","",MAX(0,ROUND((SUM($M1271)*SUM(J1282)*SUM(J1286)-SUM(J1283)-SUM(J1284)+SUM(J1285))*IF($H1271=TRUE,1,J$2412)*IF($I1271=TRUE,INDEX(EUconst_CBAMFactor,J1277-2020),1),0)))</f>
        <v/>
      </c>
      <c r="K1287" s="406" t="str">
        <f>IF($I1268="","",MAX(0,ROUND((SUM($M1271)*SUM(K1282)*SUM(K1286)-SUM(K1283)-SUM(K1284)+SUM(K1285))*IF($H1271=TRUE,1,K$2412)*IF($I1271=TRUE,INDEX(EUconst_CBAMFactor,K1277-2020),1),0)))</f>
        <v/>
      </c>
      <c r="L1287" s="406" t="str">
        <f>IF($I1268="","",MAX(0,ROUND((SUM($M1271)*SUM(L1282)*SUM(L1286)-SUM(L1283)-SUM(L1284)+SUM(L1285))*IF($H1271=TRUE,1,L$2412)*IF($I1271=TRUE,INDEX(EUconst_CBAMFactor,L1277-2020),1),0)))</f>
        <v/>
      </c>
      <c r="M1287" s="406" t="str">
        <f>IF($I1268="","",MAX(0,ROUND((SUM($M1271)*SUM(M1282)*SUM(M1286)-SUM(M1283)-SUM(M1284)+SUM(M1285))*IF($H1271=TRUE,1,M$2412)*IF($I1271=TRUE,INDEX(EUconst_CBAMFactor,M1277-2020),1),0)))</f>
        <v/>
      </c>
      <c r="N1287" s="1729" t="str">
        <f>IF($I1268="","",MAX(0,ROUND((SUM($M1271)*SUM(N1282)*SUM(N1286)-SUM(N1283)-SUM(N1284)+SUM(N1285))*IF($H1271=TRUE,1,N$2412)*IF($I1271=TRUE,INDEX(EUconst_CBAMFactor,N1277-2020),1),0)))</f>
        <v/>
      </c>
      <c r="O1287" s="698"/>
      <c r="P1287" s="729"/>
      <c r="Q1287" s="729"/>
      <c r="R1287" s="729"/>
      <c r="S1287" s="729"/>
      <c r="T1287" s="729"/>
      <c r="U1287" s="343"/>
      <c r="V1287" s="343"/>
    </row>
    <row r="1288" spans="1:22" s="364" customFormat="1" ht="5.15" customHeight="1" x14ac:dyDescent="0.3">
      <c r="A1288" s="729"/>
      <c r="B1288" s="302"/>
      <c r="C1288" s="357"/>
      <c r="D1288" s="1698"/>
      <c r="E1288" s="357"/>
      <c r="F1288" s="357"/>
      <c r="G1288" s="357"/>
      <c r="H1288" s="357"/>
      <c r="I1288" s="357"/>
      <c r="J1288" s="357"/>
      <c r="K1288" s="357"/>
      <c r="L1288" s="357"/>
      <c r="M1288" s="357"/>
      <c r="N1288" s="1712"/>
      <c r="O1288" s="698"/>
      <c r="P1288" s="729"/>
      <c r="Q1288" s="729"/>
      <c r="R1288" s="729"/>
      <c r="S1288" s="729"/>
      <c r="T1288" s="729"/>
      <c r="U1288" s="343"/>
      <c r="V1288" s="343"/>
    </row>
    <row r="1289" spans="1:22" s="364" customFormat="1" ht="12.75" customHeight="1" x14ac:dyDescent="0.3">
      <c r="A1289" s="729"/>
      <c r="B1289" s="302"/>
      <c r="C1289" s="357"/>
      <c r="D1289" s="1698"/>
      <c r="E1289" s="389" t="str">
        <f>Translations!$B$1375</f>
        <v>Промени: Равнище на дейност</v>
      </c>
      <c r="F1289" s="498"/>
      <c r="G1289" s="498"/>
      <c r="H1289" s="527" t="str">
        <f>EUconst_Unit</f>
        <v>Единица мярка</v>
      </c>
      <c r="I1289" s="1699"/>
      <c r="J1289" s="1523">
        <f>J$2505</f>
        <v>2026</v>
      </c>
      <c r="K1289" s="387">
        <f>K$2505</f>
        <v>2027</v>
      </c>
      <c r="L1289" s="387">
        <f>L$2505</f>
        <v>2028</v>
      </c>
      <c r="M1289" s="387">
        <f>M$2505</f>
        <v>2029</v>
      </c>
      <c r="N1289" s="1544">
        <f>N$2505</f>
        <v>2030</v>
      </c>
      <c r="O1289" s="698"/>
      <c r="P1289" s="729"/>
      <c r="Q1289" s="729"/>
      <c r="R1289" s="729"/>
      <c r="S1289" s="729"/>
      <c r="T1289" s="729"/>
      <c r="U1289" s="343"/>
      <c r="V1289" s="343"/>
    </row>
    <row r="1290" spans="1:22" s="364" customFormat="1" ht="12.75" customHeight="1" x14ac:dyDescent="0.3">
      <c r="A1290" s="729"/>
      <c r="B1290" s="302"/>
      <c r="C1290" s="357"/>
      <c r="D1290" s="1698"/>
      <c r="E1290" s="392" t="str">
        <f>Translations!$B$1328</f>
        <v>Средна годишна стойност</v>
      </c>
      <c r="F1290" s="392"/>
      <c r="G1290" s="392"/>
      <c r="H1290" s="1730" t="str">
        <f>H1282</f>
        <v>тона</v>
      </c>
      <c r="I1290" s="1731"/>
      <c r="J1290" s="1732" t="str">
        <f>INDEX(F_ProductBM!J:J,MATCH($P1290,F_ProductBM!$Q:$Q,0))</f>
        <v/>
      </c>
      <c r="K1290" s="394" t="str">
        <f>INDEX(F_ProductBM!K:K,MATCH($P1290,F_ProductBM!$Q:$Q,0))</f>
        <v/>
      </c>
      <c r="L1290" s="394" t="str">
        <f>INDEX(F_ProductBM!L:L,MATCH($P1290,F_ProductBM!$Q:$Q,0))</f>
        <v/>
      </c>
      <c r="M1290" s="394" t="str">
        <f>INDEX(F_ProductBM!M:M,MATCH($P1290,F_ProductBM!$Q:$Q,0))</f>
        <v/>
      </c>
      <c r="N1290" s="1733" t="str">
        <f>INDEX(F_ProductBM!N:N,MATCH($P1290,F_ProductBM!$Q:$Q,0))</f>
        <v/>
      </c>
      <c r="O1290" s="698"/>
      <c r="P1290" s="1190" t="str">
        <f>EUconst_CNTR_HALinitial&amp;I1268</f>
        <v>HALini_</v>
      </c>
      <c r="Q1290" s="729"/>
      <c r="R1290" s="729"/>
      <c r="S1290" s="729"/>
      <c r="T1290" s="729"/>
      <c r="U1290" s="343"/>
      <c r="V1290" s="343"/>
    </row>
    <row r="1291" spans="1:22" s="364" customFormat="1" ht="12.75" customHeight="1" x14ac:dyDescent="0.3">
      <c r="A1291" s="729"/>
      <c r="B1291" s="302"/>
      <c r="C1291" s="357"/>
      <c r="D1291" s="1698"/>
      <c r="E1291" s="398" t="str">
        <f>Translations!$B$1376</f>
        <v>Промяна в сравнение с HAL</v>
      </c>
      <c r="F1291" s="398"/>
      <c r="G1291" s="398"/>
      <c r="H1291" s="1734" t="s">
        <v>1052</v>
      </c>
      <c r="I1291" s="1735"/>
      <c r="J1291" s="159" t="str">
        <f>INDEX(F_ProductBM!J:J,MATCH($P1291,F_ProductBM!$Q:$Q,0))</f>
        <v/>
      </c>
      <c r="K1291" s="160" t="str">
        <f>INDEX(F_ProductBM!K:K,MATCH($P1291,F_ProductBM!$Q:$Q,0))</f>
        <v/>
      </c>
      <c r="L1291" s="160" t="str">
        <f>INDEX(F_ProductBM!L:L,MATCH($P1291,F_ProductBM!$Q:$Q,0))</f>
        <v/>
      </c>
      <c r="M1291" s="160" t="str">
        <f>INDEX(F_ProductBM!M:M,MATCH($P1291,F_ProductBM!$Q:$Q,0))</f>
        <v/>
      </c>
      <c r="N1291" s="161" t="str">
        <f>INDEX(F_ProductBM!N:N,MATCH($P1291,F_ProductBM!$Q:$Q,0))</f>
        <v/>
      </c>
      <c r="O1291" s="698"/>
      <c r="P1291" s="1190" t="str">
        <f>EUconst_CNTR_RelThreshold &amp; P1293</f>
        <v>RelThresh_HALprelim_</v>
      </c>
      <c r="Q1291" s="729"/>
      <c r="R1291" s="729"/>
      <c r="S1291" s="729"/>
      <c r="T1291" s="729"/>
      <c r="U1291" s="343"/>
      <c r="V1291" s="343"/>
    </row>
    <row r="1292" spans="1:22" s="364" customFormat="1" ht="12.75" customHeight="1" x14ac:dyDescent="0.3">
      <c r="A1292" s="729"/>
      <c r="B1292" s="302"/>
      <c r="C1292" s="357"/>
      <c r="D1292" s="1698"/>
      <c r="E1292" s="1736" t="str">
        <f>Translations!$B$1368</f>
        <v>Критерий 3a: Надвишени ли са относителните прагове?</v>
      </c>
      <c r="F1292" s="1736"/>
      <c r="G1292" s="1736"/>
      <c r="H1292" s="1737" t="s">
        <v>1052</v>
      </c>
      <c r="I1292" s="1738"/>
      <c r="J1292" s="1739" t="str">
        <f>INDEX(F_ProductBM!V:V,MATCH($P1292,F_ProductBM!$Q:$Q,0)+1)</f>
        <v/>
      </c>
      <c r="K1292" s="1740" t="str">
        <f>INDEX(F_ProductBM!W:W,MATCH($P1292,F_ProductBM!$Q:$Q,0)+1)</f>
        <v/>
      </c>
      <c r="L1292" s="1740" t="str">
        <f>INDEX(F_ProductBM!X:X,MATCH($P1292,F_ProductBM!$Q:$Q,0)+1)</f>
        <v/>
      </c>
      <c r="M1292" s="1740" t="str">
        <f>INDEX(F_ProductBM!Y:Y,MATCH($P1292,F_ProductBM!$Q:$Q,0)+1)</f>
        <v/>
      </c>
      <c r="N1292" s="1741" t="str">
        <f>INDEX(F_ProductBM!Z:Z,MATCH($P1292,F_ProductBM!$Q:$Q,0)+1)</f>
        <v/>
      </c>
      <c r="O1292" s="698"/>
      <c r="P1292" s="1190" t="str">
        <f>P1291</f>
        <v>RelThresh_HALprelim_</v>
      </c>
      <c r="Q1292" s="729"/>
      <c r="R1292" s="729"/>
      <c r="S1292" s="729"/>
      <c r="T1292" s="729"/>
      <c r="U1292" s="343"/>
      <c r="V1292" s="343"/>
    </row>
    <row r="1293" spans="1:22" s="364" customFormat="1" ht="12.75" customHeight="1" x14ac:dyDescent="0.3">
      <c r="A1293" s="729" t="str">
        <f t="shared" ref="A1293" si="112">IF(P1293="","ausblenden","")</f>
        <v/>
      </c>
      <c r="B1293" s="302"/>
      <c r="C1293" s="357"/>
      <c r="D1293" s="1698"/>
      <c r="E1293" s="401" t="str">
        <f>Translations!$B$1377</f>
        <v>Предварителна стойност</v>
      </c>
      <c r="F1293" s="401"/>
      <c r="G1293" s="401"/>
      <c r="H1293" s="1742" t="str">
        <f>F1274</f>
        <v>тона</v>
      </c>
      <c r="I1293" s="401"/>
      <c r="J1293" s="1743" t="str">
        <f>INDEX(F_ProductBM!J:J,MATCH($P1293,F_ProductBM!$Q:$Q,0))</f>
        <v/>
      </c>
      <c r="K1293" s="1744" t="str">
        <f>INDEX(F_ProductBM!K:K,MATCH($P1293,F_ProductBM!$Q:$Q,0))</f>
        <v/>
      </c>
      <c r="L1293" s="1744" t="str">
        <f>INDEX(F_ProductBM!L:L,MATCH($P1293,F_ProductBM!$Q:$Q,0))</f>
        <v/>
      </c>
      <c r="M1293" s="1744" t="str">
        <f>INDEX(F_ProductBM!M:M,MATCH($P1293,F_ProductBM!$Q:$Q,0))</f>
        <v/>
      </c>
      <c r="N1293" s="1745" t="str">
        <f>INDEX(F_ProductBM!N:N,MATCH($P1293,F_ProductBM!$Q:$Q,0))</f>
        <v/>
      </c>
      <c r="O1293" s="698"/>
      <c r="P1293" s="1190" t="str">
        <f>EUconst_CNTR_HALprelim&amp;I1268</f>
        <v>HALprelim_</v>
      </c>
      <c r="Q1293" s="729"/>
      <c r="R1293" s="729"/>
      <c r="S1293" s="729"/>
      <c r="T1293" s="729"/>
      <c r="U1293" s="343"/>
      <c r="V1293" s="343"/>
    </row>
    <row r="1294" spans="1:22" s="364" customFormat="1" ht="5.15" customHeight="1" x14ac:dyDescent="0.3">
      <c r="A1294" s="729"/>
      <c r="B1294" s="302"/>
      <c r="C1294" s="357"/>
      <c r="D1294" s="1698"/>
      <c r="E1294" s="302"/>
      <c r="F1294" s="302"/>
      <c r="G1294" s="302"/>
      <c r="H1294" s="302"/>
      <c r="I1294" s="1746"/>
      <c r="J1294" s="302"/>
      <c r="K1294" s="302"/>
      <c r="L1294" s="302"/>
      <c r="M1294" s="302"/>
      <c r="N1294" s="1747"/>
      <c r="O1294" s="698"/>
      <c r="P1294" s="729"/>
      <c r="Q1294" s="729"/>
      <c r="R1294" s="729"/>
      <c r="S1294" s="729"/>
      <c r="T1294" s="729"/>
      <c r="U1294" s="343"/>
      <c r="V1294" s="343"/>
    </row>
    <row r="1295" spans="1:22" s="364" customFormat="1" ht="12.75" customHeight="1" x14ac:dyDescent="0.3">
      <c r="A1295" s="729"/>
      <c r="B1295" s="302"/>
      <c r="C1295" s="357"/>
      <c r="D1295" s="1698"/>
      <c r="E1295" s="389" t="str">
        <f>Translations!$B$1380</f>
        <v>Промени: Топлинна енергия извън СТЕ</v>
      </c>
      <c r="F1295" s="498"/>
      <c r="G1295" s="498"/>
      <c r="H1295" s="527" t="str">
        <f>EUconst_Unit</f>
        <v>Единица мярка</v>
      </c>
      <c r="I1295" s="1699"/>
      <c r="J1295" s="1523">
        <f>J$2505</f>
        <v>2026</v>
      </c>
      <c r="K1295" s="387">
        <f>K$2505</f>
        <v>2027</v>
      </c>
      <c r="L1295" s="387">
        <f>L$2505</f>
        <v>2028</v>
      </c>
      <c r="M1295" s="387">
        <f>M$2505</f>
        <v>2029</v>
      </c>
      <c r="N1295" s="1544">
        <f>N$2505</f>
        <v>2030</v>
      </c>
      <c r="O1295" s="698"/>
      <c r="P1295" s="729"/>
      <c r="Q1295" s="729"/>
      <c r="R1295" s="729"/>
      <c r="S1295" s="729"/>
      <c r="T1295" s="729"/>
      <c r="U1295" s="343"/>
      <c r="V1295" s="343"/>
    </row>
    <row r="1296" spans="1:22" s="364" customFormat="1" ht="12.75" customHeight="1" x14ac:dyDescent="0.3">
      <c r="A1296" s="729"/>
      <c r="B1296" s="302"/>
      <c r="C1296" s="357"/>
      <c r="D1296" s="1698"/>
      <c r="E1296" s="392" t="str">
        <f>Translations!$B$1328</f>
        <v>Средна годишна стойност</v>
      </c>
      <c r="F1296" s="392"/>
      <c r="G1296" s="392"/>
      <c r="H1296" s="485" t="str">
        <f>EUconst_EUA</f>
        <v>Квота за емисии</v>
      </c>
      <c r="I1296" s="1716"/>
      <c r="J1296" s="1732" t="str">
        <f>IF(R1274,SUM(INDEX(F_ProductBM!J:J,MATCH($P1296,F_ProductBM!$Q:$Q,0))),"")</f>
        <v/>
      </c>
      <c r="K1296" s="394" t="str">
        <f>IF(S1274,SUM(INDEX(F_ProductBM!K:K,MATCH($P1296,F_ProductBM!$Q:$Q,0))),"")</f>
        <v/>
      </c>
      <c r="L1296" s="394" t="str">
        <f>IF(T1274,SUM(INDEX(F_ProductBM!L:L,MATCH($P1296,F_ProductBM!$Q:$Q,0))),"")</f>
        <v/>
      </c>
      <c r="M1296" s="394" t="str">
        <f>IF(U1274,SUM(INDEX(F_ProductBM!M:M,MATCH($P1296,F_ProductBM!$Q:$Q,0))),"")</f>
        <v/>
      </c>
      <c r="N1296" s="1733" t="str">
        <f>IF(V1274,SUM(INDEX(F_ProductBM!N:N,MATCH($P1296,F_ProductBM!$Q:$Q,0))),"")</f>
        <v/>
      </c>
      <c r="O1296" s="698"/>
      <c r="P1296" s="1190" t="str">
        <f>EUconst_CNTR_HEATInitial &amp; I1268</f>
        <v>HEATIni_</v>
      </c>
      <c r="Q1296" s="729"/>
      <c r="R1296" s="729"/>
      <c r="S1296" s="729"/>
      <c r="T1296" s="729"/>
      <c r="U1296" s="343"/>
      <c r="V1296" s="343"/>
    </row>
    <row r="1297" spans="1:22" s="364" customFormat="1" ht="12.75" customHeight="1" x14ac:dyDescent="0.3">
      <c r="A1297" s="729"/>
      <c r="B1297" s="302"/>
      <c r="C1297" s="357"/>
      <c r="D1297" s="1698"/>
      <c r="E1297" s="398" t="str">
        <f>Translations!$B$1378</f>
        <v>Промяна в сравнение със стойността в НМИ</v>
      </c>
      <c r="F1297" s="398"/>
      <c r="G1297" s="398"/>
      <c r="H1297" s="1734" t="s">
        <v>1052</v>
      </c>
      <c r="I1297" s="1735"/>
      <c r="J1297" s="159" t="str">
        <f>INDEX(F_ProductBM!J:J,MATCH($P1297,F_ProductBM!$Q:$Q,0))</f>
        <v/>
      </c>
      <c r="K1297" s="160" t="str">
        <f>INDEX(F_ProductBM!K:K,MATCH($P1297,F_ProductBM!$Q:$Q,0))</f>
        <v/>
      </c>
      <c r="L1297" s="160" t="str">
        <f>INDEX(F_ProductBM!L:L,MATCH($P1297,F_ProductBM!$Q:$Q,0))</f>
        <v/>
      </c>
      <c r="M1297" s="160" t="str">
        <f>INDEX(F_ProductBM!M:M,MATCH($P1297,F_ProductBM!$Q:$Q,0))</f>
        <v/>
      </c>
      <c r="N1297" s="161" t="str">
        <f>INDEX(F_ProductBM!N:N,MATCH($P1297,F_ProductBM!$Q:$Q,0))</f>
        <v/>
      </c>
      <c r="O1297" s="698"/>
      <c r="P1297" s="1190" t="str">
        <f>EUconst_CNTR_RelThreshold &amp; P1299</f>
        <v>RelThresh_HEATprelim_</v>
      </c>
      <c r="Q1297" s="729"/>
      <c r="R1297" s="729"/>
      <c r="S1297" s="729"/>
      <c r="T1297" s="729"/>
      <c r="U1297" s="343"/>
      <c r="V1297" s="343"/>
    </row>
    <row r="1298" spans="1:22" s="364" customFormat="1" ht="12.75" customHeight="1" x14ac:dyDescent="0.3">
      <c r="A1298" s="729"/>
      <c r="B1298" s="302"/>
      <c r="C1298" s="357"/>
      <c r="D1298" s="1698"/>
      <c r="E1298" s="1736" t="str">
        <f>Translations!$B$1379</f>
        <v>Критерий 3б: Надвишени ли са относителните прагове?</v>
      </c>
      <c r="F1298" s="1736"/>
      <c r="G1298" s="1736"/>
      <c r="H1298" s="1737" t="s">
        <v>1052</v>
      </c>
      <c r="I1298" s="1738"/>
      <c r="J1298" s="1739" t="str">
        <f>INDEX(F_ProductBM!V:V,MATCH($P1298,F_ProductBM!$Q:$Q,0))</f>
        <v/>
      </c>
      <c r="K1298" s="1740" t="str">
        <f>INDEX(F_ProductBM!W:W,MATCH($P1298,F_ProductBM!$Q:$Q,0))</f>
        <v/>
      </c>
      <c r="L1298" s="1740" t="str">
        <f>INDEX(F_ProductBM!X:X,MATCH($P1298,F_ProductBM!$Q:$Q,0))</f>
        <v/>
      </c>
      <c r="M1298" s="1740" t="str">
        <f>INDEX(F_ProductBM!Y:Y,MATCH($P1298,F_ProductBM!$Q:$Q,0))</f>
        <v/>
      </c>
      <c r="N1298" s="1741" t="str">
        <f>INDEX(F_ProductBM!Z:Z,MATCH($P1298,F_ProductBM!$Q:$Q,0))</f>
        <v/>
      </c>
      <c r="O1298" s="698"/>
      <c r="P1298" s="1190" t="str">
        <f>P1297</f>
        <v>RelThresh_HEATprelim_</v>
      </c>
      <c r="Q1298" s="729"/>
      <c r="R1298" s="729"/>
      <c r="S1298" s="729"/>
      <c r="T1298" s="729"/>
      <c r="U1298" s="343"/>
      <c r="V1298" s="343"/>
    </row>
    <row r="1299" spans="1:22" s="364" customFormat="1" ht="12.75" customHeight="1" x14ac:dyDescent="0.3">
      <c r="A1299" s="729" t="str">
        <f>IF(P1299="","ausblenden","")</f>
        <v/>
      </c>
      <c r="B1299" s="302"/>
      <c r="C1299" s="357"/>
      <c r="D1299" s="1698"/>
      <c r="E1299" s="401" t="str">
        <f>Translations!$B$1377</f>
        <v>Предварителна стойност</v>
      </c>
      <c r="F1299" s="401"/>
      <c r="G1299" s="401"/>
      <c r="H1299" s="487" t="str">
        <f>EUconst_EUA</f>
        <v>Квота за емисии</v>
      </c>
      <c r="I1299" s="401"/>
      <c r="J1299" s="1743" t="str">
        <f>IF($I1268="","",INDEX(F_ProductBM!J:J,MATCH($P1299,F_ProductBM!$Q:$Q,0)))</f>
        <v/>
      </c>
      <c r="K1299" s="1744" t="str">
        <f>IF($I1268="","",INDEX(F_ProductBM!K:K,MATCH($P1299,F_ProductBM!$Q:$Q,0)))</f>
        <v/>
      </c>
      <c r="L1299" s="1744" t="str">
        <f>IF($I1268="","",INDEX(F_ProductBM!L:L,MATCH($P1299,F_ProductBM!$Q:$Q,0)))</f>
        <v/>
      </c>
      <c r="M1299" s="1744" t="str">
        <f>IF($I1268="","",INDEX(F_ProductBM!M:M,MATCH($P1299,F_ProductBM!$Q:$Q,0)))</f>
        <v/>
      </c>
      <c r="N1299" s="1745" t="str">
        <f>IF($I1268="","",INDEX(F_ProductBM!N:N,MATCH($P1299,F_ProductBM!$Q:$Q,0)))</f>
        <v/>
      </c>
      <c r="O1299" s="698"/>
      <c r="P1299" s="1190" t="str">
        <f>EUconst_CNTR_HEATprelim&amp;I1268</f>
        <v>HEATprelim_</v>
      </c>
      <c r="Q1299" s="729"/>
      <c r="R1299" s="729"/>
      <c r="S1299" s="729"/>
      <c r="T1299" s="729"/>
      <c r="U1299" s="343"/>
      <c r="V1299" s="343"/>
    </row>
    <row r="1300" spans="1:22" s="364" customFormat="1" ht="5.15" customHeight="1" x14ac:dyDescent="0.3">
      <c r="A1300" s="729"/>
      <c r="B1300" s="302"/>
      <c r="C1300" s="357"/>
      <c r="D1300" s="1698"/>
      <c r="E1300" s="302"/>
      <c r="F1300" s="302"/>
      <c r="G1300" s="302"/>
      <c r="H1300" s="302"/>
      <c r="I1300" s="1746"/>
      <c r="J1300" s="302"/>
      <c r="K1300" s="302"/>
      <c r="L1300" s="302"/>
      <c r="M1300" s="302"/>
      <c r="N1300" s="1747"/>
      <c r="O1300" s="698"/>
      <c r="P1300" s="729"/>
      <c r="Q1300" s="729"/>
      <c r="R1300" s="729"/>
      <c r="S1300" s="729"/>
      <c r="T1300" s="729"/>
      <c r="U1300" s="343"/>
      <c r="V1300" s="343"/>
    </row>
    <row r="1301" spans="1:22" s="364" customFormat="1" ht="12.75" customHeight="1" x14ac:dyDescent="0.3">
      <c r="A1301" s="729"/>
      <c r="B1301" s="302"/>
      <c r="C1301" s="357"/>
      <c r="D1301" s="1698"/>
      <c r="E1301" s="389" t="str">
        <f>Translations!$B$1382</f>
        <v>Промени: Корекция за ценни химически вещества (HVC)</v>
      </c>
      <c r="F1301" s="498"/>
      <c r="G1301" s="498"/>
      <c r="H1301" s="527" t="str">
        <f>EUconst_Unit</f>
        <v>Единица мярка</v>
      </c>
      <c r="I1301" s="1699"/>
      <c r="J1301" s="1523">
        <f>J$2505</f>
        <v>2026</v>
      </c>
      <c r="K1301" s="387">
        <f>K$2505</f>
        <v>2027</v>
      </c>
      <c r="L1301" s="387">
        <f>L$2505</f>
        <v>2028</v>
      </c>
      <c r="M1301" s="387">
        <f>M$2505</f>
        <v>2029</v>
      </c>
      <c r="N1301" s="1544">
        <f>N$2505</f>
        <v>2030</v>
      </c>
      <c r="O1301" s="698"/>
      <c r="P1301" s="729"/>
      <c r="Q1301" s="729"/>
      <c r="R1301" s="729"/>
      <c r="S1301" s="729"/>
      <c r="T1301" s="729"/>
      <c r="U1301" s="343"/>
      <c r="V1301" s="343"/>
    </row>
    <row r="1302" spans="1:22" s="364" customFormat="1" ht="12.75" customHeight="1" x14ac:dyDescent="0.3">
      <c r="A1302" s="729"/>
      <c r="B1302" s="302"/>
      <c r="C1302" s="357"/>
      <c r="D1302" s="1698"/>
      <c r="E1302" s="392" t="str">
        <f>Translations!$B$1328</f>
        <v>Средна годишна стойност</v>
      </c>
      <c r="F1302" s="392"/>
      <c r="G1302" s="392"/>
      <c r="H1302" s="481" t="str">
        <f>EUconst_EUA</f>
        <v>Квота за емисии</v>
      </c>
      <c r="I1302" s="1716"/>
      <c r="J1302" s="1748" t="str">
        <f>IF(L1271=42,INDEX(H_SpecialBM!J:J,MATCH($P1302,H_SpecialBM!$Q:$Q,0)),"")</f>
        <v/>
      </c>
      <c r="K1302" s="1749" t="str">
        <f>IF(L1271=42,INDEX(H_SpecialBM!K:K,MATCH($P1302,H_SpecialBM!$Q:$Q,0)),"")</f>
        <v/>
      </c>
      <c r="L1302" s="1749" t="str">
        <f>IF(L1271=42,INDEX(H_SpecialBM!L:L,MATCH($P1302,H_SpecialBM!$Q:$Q,0)),"")</f>
        <v/>
      </c>
      <c r="M1302" s="1749" t="str">
        <f>IF(L1271=42,INDEX(H_SpecialBM!M:M,MATCH($P1302,H_SpecialBM!$Q:$Q,0)),"")</f>
        <v/>
      </c>
      <c r="N1302" s="1750" t="str">
        <f>IF(L1271=42,INDEX(H_SpecialBM!N:N,MATCH($P1302,H_SpecialBM!$Q:$Q,0)),"")</f>
        <v/>
      </c>
      <c r="O1302" s="698"/>
      <c r="P1302" s="1190" t="str">
        <f>EUconst_CNTR_HVCInitial &amp; INDEX(EUconst_BMlistNames,MATCH(42,EUconst_BMlistMainNumberOfBM,0))</f>
        <v>HVCIni_Крекинг с водна пара</v>
      </c>
      <c r="Q1302" s="729"/>
      <c r="R1302" s="729"/>
      <c r="S1302" s="729"/>
      <c r="T1302" s="729"/>
      <c r="U1302" s="343"/>
      <c r="V1302" s="343"/>
    </row>
    <row r="1303" spans="1:22" s="364" customFormat="1" ht="12.75" customHeight="1" x14ac:dyDescent="0.3">
      <c r="A1303" s="729"/>
      <c r="B1303" s="302"/>
      <c r="C1303" s="357"/>
      <c r="D1303" s="1698"/>
      <c r="E1303" s="398" t="str">
        <f>Translations!$B$1378</f>
        <v>Промяна в сравнение със стойността в НМИ</v>
      </c>
      <c r="F1303" s="398"/>
      <c r="G1303" s="398"/>
      <c r="H1303" s="1751" t="s">
        <v>1052</v>
      </c>
      <c r="I1303" s="1735"/>
      <c r="J1303" s="159" t="str">
        <f>IF(L1271=42,INDEX(H_SpecialBM!J:J,MATCH($P1303,H_SpecialBM!$Q:$Q,0)),"")</f>
        <v/>
      </c>
      <c r="K1303" s="160" t="str">
        <f>IF(L1271=42,INDEX(H_SpecialBM!K:K,MATCH($P1303,H_SpecialBM!$Q:$Q,0)),"")</f>
        <v/>
      </c>
      <c r="L1303" s="160" t="str">
        <f>IF(L1271=42,INDEX(H_SpecialBM!L:L,MATCH($P1303,H_SpecialBM!$Q:$Q,0)),"")</f>
        <v/>
      </c>
      <c r="M1303" s="160" t="str">
        <f>IF(L1271=42,INDEX(H_SpecialBM!M:M,MATCH($P1303,H_SpecialBM!$Q:$Q,0)),"")</f>
        <v/>
      </c>
      <c r="N1303" s="161" t="str">
        <f>IF(L1271=42,INDEX(H_SpecialBM!N:N,MATCH($P1303,H_SpecialBM!$Q:$Q,0)),"")</f>
        <v/>
      </c>
      <c r="O1303" s="698"/>
      <c r="P1303" s="1190" t="str">
        <f>EUconst_CNTR_RelThreshold &amp; P1305</f>
        <v>RelThresh_HVCprelim_</v>
      </c>
      <c r="Q1303" s="729"/>
      <c r="R1303" s="729"/>
      <c r="S1303" s="729"/>
      <c r="T1303" s="729"/>
      <c r="U1303" s="343"/>
      <c r="V1303" s="343"/>
    </row>
    <row r="1304" spans="1:22" s="364" customFormat="1" ht="12.75" customHeight="1" x14ac:dyDescent="0.3">
      <c r="A1304" s="729"/>
      <c r="B1304" s="302"/>
      <c r="C1304" s="357"/>
      <c r="D1304" s="1698"/>
      <c r="E1304" s="1736" t="str">
        <f>Translations!$B$1381</f>
        <v>Критерий 3в: Надвишени ли са относителните прагове?</v>
      </c>
      <c r="F1304" s="1736"/>
      <c r="G1304" s="1736"/>
      <c r="H1304" s="1738" t="s">
        <v>1052</v>
      </c>
      <c r="I1304" s="1738"/>
      <c r="J1304" s="1739" t="str">
        <f>IF(L1271=42,INDEX(H_SpecialBM!V:V,MATCH($P1304,H_SpecialBM!$Q:$Q,0)),"")</f>
        <v/>
      </c>
      <c r="K1304" s="1740" t="str">
        <f>IF(L1271=42,INDEX(H_SpecialBM!W:W,MATCH($P1304,H_SpecialBM!$Q:$Q,0)),"")</f>
        <v/>
      </c>
      <c r="L1304" s="1740" t="str">
        <f>IF(L1271=42,INDEX(H_SpecialBM!X:X,MATCH($P1304,H_SpecialBM!$Q:$Q,0)),"")</f>
        <v/>
      </c>
      <c r="M1304" s="1740" t="str">
        <f>IF(L1271=42,INDEX(H_SpecialBM!Y:Y,MATCH($P1304,H_SpecialBM!$Q:$Q,0)),"")</f>
        <v/>
      </c>
      <c r="N1304" s="1741" t="str">
        <f>IF(L1271=42,INDEX(H_SpecialBM!Z:Z,MATCH($P1304,H_SpecialBM!$Q:$Q,0)),"")</f>
        <v/>
      </c>
      <c r="O1304" s="698"/>
      <c r="P1304" s="1190" t="str">
        <f>P1303</f>
        <v>RelThresh_HVCprelim_</v>
      </c>
      <c r="Q1304" s="729"/>
      <c r="R1304" s="729"/>
      <c r="S1304" s="729"/>
      <c r="T1304" s="729"/>
      <c r="U1304" s="343"/>
      <c r="V1304" s="343"/>
    </row>
    <row r="1305" spans="1:22" s="364" customFormat="1" ht="12.75" customHeight="1" x14ac:dyDescent="0.3">
      <c r="A1305" s="729" t="str">
        <f>IF(P1305="","ausblenden","")</f>
        <v/>
      </c>
      <c r="B1305" s="302"/>
      <c r="C1305" s="357"/>
      <c r="D1305" s="1698"/>
      <c r="E1305" s="401" t="str">
        <f>Translations!$B$1377</f>
        <v>Предварителна стойност</v>
      </c>
      <c r="F1305" s="401"/>
      <c r="G1305" s="401"/>
      <c r="H1305" s="483" t="str">
        <f>EUconst_EUA</f>
        <v>Квота за емисии</v>
      </c>
      <c r="I1305" s="1724"/>
      <c r="J1305" s="1752" t="str">
        <f>IF($L1271=42,INDEX(H_SpecialBM!J:J,MATCH($P1305,H_SpecialBM!$Q:$Q,0)),"")</f>
        <v/>
      </c>
      <c r="K1305" s="1753" t="str">
        <f>IF($L1271=42,INDEX(H_SpecialBM!K:K,MATCH($P1305,H_SpecialBM!$Q:$Q,0)),"")</f>
        <v/>
      </c>
      <c r="L1305" s="1753" t="str">
        <f>IF($L1271=42,INDEX(H_SpecialBM!L:L,MATCH($P1305,H_SpecialBM!$Q:$Q,0)),"")</f>
        <v/>
      </c>
      <c r="M1305" s="1753" t="str">
        <f>IF($L1271=42,INDEX(H_SpecialBM!M:M,MATCH($P1305,H_SpecialBM!$Q:$Q,0)),"")</f>
        <v/>
      </c>
      <c r="N1305" s="1754" t="str">
        <f>IF($L1271=42,INDEX(H_SpecialBM!N:N,MATCH($P1305,H_SpecialBM!$Q:$Q,0)),"")</f>
        <v/>
      </c>
      <c r="O1305" s="698"/>
      <c r="P1305" s="1190" t="str">
        <f>EUconst_CNTR_HVCprelim</f>
        <v>HVCprelim_</v>
      </c>
      <c r="Q1305" s="729"/>
      <c r="R1305" s="729"/>
      <c r="S1305" s="729"/>
      <c r="T1305" s="729"/>
      <c r="U1305" s="343"/>
      <c r="V1305" s="343"/>
    </row>
    <row r="1306" spans="1:22" s="364" customFormat="1" ht="5.15" customHeight="1" x14ac:dyDescent="0.3">
      <c r="A1306" s="729"/>
      <c r="B1306" s="302"/>
      <c r="C1306" s="357"/>
      <c r="D1306" s="1698"/>
      <c r="E1306" s="302"/>
      <c r="F1306" s="302"/>
      <c r="G1306" s="302"/>
      <c r="H1306" s="302"/>
      <c r="I1306" s="1746"/>
      <c r="J1306" s="302"/>
      <c r="K1306" s="302"/>
      <c r="L1306" s="302"/>
      <c r="M1306" s="302"/>
      <c r="N1306" s="1747"/>
      <c r="O1306" s="698"/>
      <c r="P1306" s="729"/>
      <c r="Q1306" s="729"/>
      <c r="R1306" s="729"/>
      <c r="S1306" s="729"/>
      <c r="T1306" s="729"/>
      <c r="U1306" s="343"/>
      <c r="V1306" s="343"/>
    </row>
    <row r="1307" spans="1:22" s="364" customFormat="1" ht="12.75" customHeight="1" x14ac:dyDescent="0.3">
      <c r="A1307" s="729"/>
      <c r="B1307" s="302"/>
      <c r="C1307" s="357"/>
      <c r="D1307" s="1698"/>
      <c r="E1307" s="389" t="str">
        <f>Translations!$B$1384</f>
        <v>Промени: Корекция за винилхлориден мономер (VCM)</v>
      </c>
      <c r="F1307" s="498"/>
      <c r="G1307" s="498"/>
      <c r="H1307" s="527" t="str">
        <f>EUconst_Unit</f>
        <v>Единица мярка</v>
      </c>
      <c r="I1307" s="1699"/>
      <c r="J1307" s="1523">
        <f>J$2505</f>
        <v>2026</v>
      </c>
      <c r="K1307" s="387">
        <f>K$2505</f>
        <v>2027</v>
      </c>
      <c r="L1307" s="387">
        <f>L$2505</f>
        <v>2028</v>
      </c>
      <c r="M1307" s="387">
        <f>M$2505</f>
        <v>2029</v>
      </c>
      <c r="N1307" s="1544">
        <f>N$2505</f>
        <v>2030</v>
      </c>
      <c r="O1307" s="698"/>
      <c r="P1307" s="729"/>
      <c r="Q1307" s="729"/>
      <c r="R1307" s="729"/>
      <c r="S1307" s="729"/>
      <c r="T1307" s="729"/>
      <c r="U1307" s="343"/>
      <c r="V1307" s="343"/>
    </row>
    <row r="1308" spans="1:22" s="364" customFormat="1" ht="12.75" customHeight="1" x14ac:dyDescent="0.3">
      <c r="A1308" s="729"/>
      <c r="B1308" s="302"/>
      <c r="C1308" s="357"/>
      <c r="D1308" s="1698"/>
      <c r="E1308" s="392" t="str">
        <f>Translations!$B$1328</f>
        <v>Средна годишна стойност</v>
      </c>
      <c r="F1308" s="392"/>
      <c r="G1308" s="392"/>
      <c r="H1308" s="485" t="s">
        <v>1052</v>
      </c>
      <c r="I1308" s="1716"/>
      <c r="J1308" s="1755" t="str">
        <f>IF(L1271=47,INDEX(H_SpecialBM!J:J,MATCH($P1308,H_SpecialBM!$Q:$Q,0)),"")</f>
        <v/>
      </c>
      <c r="K1308" s="1756" t="str">
        <f>IF(L1271=47,INDEX(H_SpecialBM!K:K,MATCH($P1308,H_SpecialBM!$Q:$Q,0)),"")</f>
        <v/>
      </c>
      <c r="L1308" s="1756" t="str">
        <f>IF(L1271=47,INDEX(H_SpecialBM!L:L,MATCH($P1308,H_SpecialBM!$Q:$Q,0)),"")</f>
        <v/>
      </c>
      <c r="M1308" s="1756" t="str">
        <f>IF(L1271=47,INDEX(H_SpecialBM!M:M,MATCH($P1308,H_SpecialBM!$Q:$Q,0)),"")</f>
        <v/>
      </c>
      <c r="N1308" s="1757" t="str">
        <f>IF(L1271=47,INDEX(H_SpecialBM!N:N,MATCH($P1308,H_SpecialBM!$Q:$Q,0)),"")</f>
        <v/>
      </c>
      <c r="O1308" s="698"/>
      <c r="P1308" s="1190" t="str">
        <f>EUconst_CNTR_VCMInitial &amp; INDEX(EUconst_BMlistNames,MATCH(47,EUconst_BMlistMainNumberOfBM,0))</f>
        <v>VCMIni_Винилхлориден мономер</v>
      </c>
      <c r="Q1308" s="729"/>
      <c r="R1308" s="729"/>
      <c r="S1308" s="729"/>
      <c r="T1308" s="729"/>
      <c r="U1308" s="343"/>
      <c r="V1308" s="343"/>
    </row>
    <row r="1309" spans="1:22" s="364" customFormat="1" ht="12.75" customHeight="1" x14ac:dyDescent="0.3">
      <c r="A1309" s="729"/>
      <c r="B1309" s="302"/>
      <c r="C1309" s="357"/>
      <c r="D1309" s="1698"/>
      <c r="E1309" s="398" t="str">
        <f>Translations!$B$1378</f>
        <v>Промяна в сравнение със стойността в НМИ</v>
      </c>
      <c r="F1309" s="398"/>
      <c r="G1309" s="398"/>
      <c r="H1309" s="1751" t="s">
        <v>1052</v>
      </c>
      <c r="I1309" s="1735"/>
      <c r="J1309" s="159" t="str">
        <f>IF(L1271=47,INDEX(H_SpecialBM!J:J,MATCH($P1309,H_SpecialBM!$Q:$Q,0)),"")</f>
        <v/>
      </c>
      <c r="K1309" s="160" t="str">
        <f>IF(L1271=47,INDEX(H_SpecialBM!K:K,MATCH($P1309,H_SpecialBM!$Q:$Q,0)),"")</f>
        <v/>
      </c>
      <c r="L1309" s="160" t="str">
        <f>IF(L1271=47,INDEX(H_SpecialBM!L:L,MATCH($P1309,H_SpecialBM!$Q:$Q,0)),"")</f>
        <v/>
      </c>
      <c r="M1309" s="160" t="str">
        <f>IF(L1271=47,INDEX(H_SpecialBM!M:M,MATCH($P1309,H_SpecialBM!$Q:$Q,0)),"")</f>
        <v/>
      </c>
      <c r="N1309" s="161" t="str">
        <f>IF(L1271=47,INDEX(H_SpecialBM!N:N,MATCH($P1309,H_SpecialBM!$Q:$Q,0)),"")</f>
        <v/>
      </c>
      <c r="O1309" s="698"/>
      <c r="P1309" s="1190" t="str">
        <f>EUconst_CNTR_RelThreshold &amp; P1311</f>
        <v>RelThresh_VCMprelim_</v>
      </c>
      <c r="Q1309" s="729"/>
      <c r="R1309" s="729"/>
      <c r="S1309" s="729"/>
      <c r="T1309" s="729"/>
      <c r="U1309" s="343"/>
      <c r="V1309" s="343"/>
    </row>
    <row r="1310" spans="1:22" s="364" customFormat="1" ht="12.75" customHeight="1" x14ac:dyDescent="0.3">
      <c r="A1310" s="729"/>
      <c r="B1310" s="302"/>
      <c r="C1310" s="357"/>
      <c r="D1310" s="1698"/>
      <c r="E1310" s="1736" t="str">
        <f>Translations!$B$1383</f>
        <v>Критерий 3г: Надвишени ли са относителните прагове?</v>
      </c>
      <c r="F1310" s="1736"/>
      <c r="G1310" s="1736"/>
      <c r="H1310" s="1738" t="s">
        <v>1052</v>
      </c>
      <c r="I1310" s="1738"/>
      <c r="J1310" s="1739" t="str">
        <f>IF(L1271=47,INDEX(H_SpecialBM!V:V,MATCH($P1310,H_SpecialBM!$Q:$Q,0)),"")</f>
        <v/>
      </c>
      <c r="K1310" s="1740" t="str">
        <f>IF(L1271=47,INDEX(H_SpecialBM!W:W,MATCH($P1310,H_SpecialBM!$Q:$Q,0)),"")</f>
        <v/>
      </c>
      <c r="L1310" s="1740" t="str">
        <f>IF(L1271=47,INDEX(H_SpecialBM!X:X,MATCH($P1310,H_SpecialBM!$Q:$Q,0)),"")</f>
        <v/>
      </c>
      <c r="M1310" s="1740" t="str">
        <f>IF(L1271=47,INDEX(H_SpecialBM!Y:Y,MATCH($P1310,H_SpecialBM!$Q:$Q,0)),"")</f>
        <v/>
      </c>
      <c r="N1310" s="1741" t="str">
        <f>IF(L1271=47,INDEX(H_SpecialBM!Z:Z,MATCH($P1310,H_SpecialBM!$Q:$Q,0)),"")</f>
        <v/>
      </c>
      <c r="O1310" s="698"/>
      <c r="P1310" s="1190" t="str">
        <f>P1309</f>
        <v>RelThresh_VCMprelim_</v>
      </c>
      <c r="Q1310" s="729"/>
      <c r="R1310" s="729"/>
      <c r="S1310" s="729"/>
      <c r="T1310" s="729"/>
      <c r="U1310" s="343"/>
      <c r="V1310" s="343"/>
    </row>
    <row r="1311" spans="1:22" s="364" customFormat="1" ht="12.75" customHeight="1" x14ac:dyDescent="0.3">
      <c r="A1311" s="729" t="str">
        <f>IF(P1311="","ausblenden","")</f>
        <v/>
      </c>
      <c r="B1311" s="302"/>
      <c r="C1311" s="357"/>
      <c r="D1311" s="1698"/>
      <c r="E1311" s="401" t="str">
        <f>Translations!$B$1377</f>
        <v>Предварителна стойност</v>
      </c>
      <c r="F1311" s="401"/>
      <c r="G1311" s="401"/>
      <c r="H1311" s="483" t="s">
        <v>1052</v>
      </c>
      <c r="I1311" s="1724"/>
      <c r="J1311" s="1758" t="str">
        <f>IF($L1271=47,IF(ISNUMBER(INDEX(H_SpecialBM!J:J,MATCH($P1311,H_SpecialBM!$Q:$Q,0))),INDEX(H_SpecialBM!J:J,MATCH($P1311,H_SpecialBM!$Q:$Q,0)),1),"")</f>
        <v/>
      </c>
      <c r="K1311" s="1759" t="str">
        <f>IF($L1271=47,IF(ISNUMBER(INDEX(H_SpecialBM!K:K,MATCH($P1311,H_SpecialBM!$Q:$Q,0))),INDEX(H_SpecialBM!K:K,MATCH($P1311,H_SpecialBM!$Q:$Q,0)),1),"")</f>
        <v/>
      </c>
      <c r="L1311" s="1759" t="str">
        <f>IF($L1271=47,IF(ISNUMBER(INDEX(H_SpecialBM!L:L,MATCH($P1311,H_SpecialBM!$Q:$Q,0))),INDEX(H_SpecialBM!L:L,MATCH($P1311,H_SpecialBM!$Q:$Q,0)),1),"")</f>
        <v/>
      </c>
      <c r="M1311" s="1759" t="str">
        <f>IF($L1271=47,IF(ISNUMBER(INDEX(H_SpecialBM!M:M,MATCH($P1311,H_SpecialBM!$Q:$Q,0))),INDEX(H_SpecialBM!M:M,MATCH($P1311,H_SpecialBM!$Q:$Q,0)),1),"")</f>
        <v/>
      </c>
      <c r="N1311" s="1760" t="str">
        <f>IF($L1271=47,IF(ISNUMBER(INDEX(H_SpecialBM!N:N,MATCH($P1311,H_SpecialBM!$Q:$Q,0))),INDEX(H_SpecialBM!N:N,MATCH($P1311,H_SpecialBM!$Q:$Q,0)),1),"")</f>
        <v/>
      </c>
      <c r="O1311" s="698"/>
      <c r="P1311" s="1190" t="str">
        <f>EUconst_CNTR_VCMprelim</f>
        <v>VCMprelim_</v>
      </c>
      <c r="Q1311" s="729"/>
      <c r="R1311" s="729"/>
      <c r="S1311" s="729"/>
      <c r="T1311" s="729"/>
      <c r="U1311" s="343"/>
      <c r="V1311" s="343"/>
    </row>
    <row r="1312" spans="1:22" s="364" customFormat="1" ht="5.15" customHeight="1" x14ac:dyDescent="0.3">
      <c r="A1312" s="729"/>
      <c r="B1312" s="302"/>
      <c r="C1312" s="357"/>
      <c r="D1312" s="1698"/>
      <c r="E1312" s="302"/>
      <c r="F1312" s="302"/>
      <c r="G1312" s="302"/>
      <c r="H1312" s="302"/>
      <c r="I1312" s="1746"/>
      <c r="J1312" s="302"/>
      <c r="K1312" s="302"/>
      <c r="L1312" s="302"/>
      <c r="M1312" s="302"/>
      <c r="N1312" s="1747"/>
      <c r="O1312" s="698"/>
      <c r="P1312" s="729"/>
      <c r="Q1312" s="729"/>
      <c r="R1312" s="729"/>
      <c r="S1312" s="729"/>
      <c r="T1312" s="729"/>
      <c r="U1312" s="343"/>
      <c r="V1312" s="343"/>
    </row>
    <row r="1313" spans="1:22" s="364" customFormat="1" ht="12.75" customHeight="1" x14ac:dyDescent="0.3">
      <c r="A1313" s="729"/>
      <c r="B1313" s="302"/>
      <c r="C1313" s="357"/>
      <c r="D1313" s="1698"/>
      <c r="E1313" s="389" t="str">
        <f>Translations!$B$1386</f>
        <v>Промени: Изгорен във факел отпаден газ</v>
      </c>
      <c r="F1313" s="498"/>
      <c r="G1313" s="498"/>
      <c r="H1313" s="527" t="str">
        <f>EUconst_Unit</f>
        <v>Единица мярка</v>
      </c>
      <c r="I1313" s="1699"/>
      <c r="J1313" s="1523">
        <f>J$2505</f>
        <v>2026</v>
      </c>
      <c r="K1313" s="387">
        <f>K$2505</f>
        <v>2027</v>
      </c>
      <c r="L1313" s="387">
        <f>L$2505</f>
        <v>2028</v>
      </c>
      <c r="M1313" s="387">
        <f>M$2505</f>
        <v>2029</v>
      </c>
      <c r="N1313" s="1544">
        <f>N$2505</f>
        <v>2030</v>
      </c>
      <c r="O1313" s="698"/>
      <c r="P1313" s="729"/>
      <c r="Q1313" s="729"/>
      <c r="R1313" s="729"/>
      <c r="S1313" s="729"/>
      <c r="T1313" s="729"/>
      <c r="U1313" s="343"/>
      <c r="V1313" s="343"/>
    </row>
    <row r="1314" spans="1:22" s="364" customFormat="1" ht="12.75" customHeight="1" x14ac:dyDescent="0.3">
      <c r="A1314" s="729"/>
      <c r="B1314" s="302"/>
      <c r="C1314" s="357"/>
      <c r="D1314" s="1698"/>
      <c r="E1314" s="392" t="str">
        <f>Translations!$B$1328</f>
        <v>Средна годишна стойност</v>
      </c>
      <c r="F1314" s="392"/>
      <c r="G1314" s="392"/>
      <c r="H1314" s="485" t="str">
        <f>EUconst_tCO2</f>
        <v>t CO2</v>
      </c>
      <c r="I1314" s="1716"/>
      <c r="J1314" s="1732" t="str">
        <f>INDEX(F_ProductBM!J:J,MATCH($P1314,F_ProductBM!$Q:$Q,0))</f>
        <v/>
      </c>
      <c r="K1314" s="394" t="str">
        <f>INDEX(F_ProductBM!K:K,MATCH($P1314,F_ProductBM!$Q:$Q,0))</f>
        <v/>
      </c>
      <c r="L1314" s="394" t="str">
        <f>INDEX(F_ProductBM!L:L,MATCH($P1314,F_ProductBM!$Q:$Q,0))</f>
        <v/>
      </c>
      <c r="M1314" s="394" t="str">
        <f>INDEX(F_ProductBM!M:M,MATCH($P1314,F_ProductBM!$Q:$Q,0))</f>
        <v/>
      </c>
      <c r="N1314" s="1733" t="str">
        <f>INDEX(F_ProductBM!N:N,MATCH($P1314,F_ProductBM!$Q:$Q,0))</f>
        <v/>
      </c>
      <c r="O1314" s="698"/>
      <c r="P1314" s="1190" t="str">
        <f>EUconst_CNTR_HALinitial &amp; EUconst_CNTR_WGFlared &amp; I1268</f>
        <v>HALini_WasteGasFlare_</v>
      </c>
      <c r="Q1314" s="729"/>
      <c r="R1314" s="729"/>
      <c r="S1314" s="729"/>
      <c r="T1314" s="729"/>
      <c r="U1314" s="343"/>
      <c r="V1314" s="343"/>
    </row>
    <row r="1315" spans="1:22" s="364" customFormat="1" ht="12.75" customHeight="1" x14ac:dyDescent="0.3">
      <c r="A1315" s="729"/>
      <c r="B1315" s="302"/>
      <c r="C1315" s="357"/>
      <c r="D1315" s="1698"/>
      <c r="E1315" s="398" t="str">
        <f>Translations!$B$1378</f>
        <v>Промяна в сравнение със стойността в НМИ</v>
      </c>
      <c r="F1315" s="398"/>
      <c r="G1315" s="398"/>
      <c r="H1315" s="1734" t="s">
        <v>1052</v>
      </c>
      <c r="I1315" s="1735"/>
      <c r="J1315" s="159" t="str">
        <f>INDEX(F_ProductBM!J:J,MATCH($P1315,F_ProductBM!$Q:$Q,0))</f>
        <v/>
      </c>
      <c r="K1315" s="160" t="str">
        <f>INDEX(F_ProductBM!K:K,MATCH($P1315,F_ProductBM!$Q:$Q,0))</f>
        <v/>
      </c>
      <c r="L1315" s="160" t="str">
        <f>INDEX(F_ProductBM!L:L,MATCH($P1315,F_ProductBM!$Q:$Q,0))</f>
        <v/>
      </c>
      <c r="M1315" s="160" t="str">
        <f>INDEX(F_ProductBM!M:M,MATCH($P1315,F_ProductBM!$Q:$Q,0))</f>
        <v/>
      </c>
      <c r="N1315" s="161" t="str">
        <f>INDEX(F_ProductBM!N:N,MATCH($P1315,F_ProductBM!$Q:$Q,0))</f>
        <v/>
      </c>
      <c r="O1315" s="698"/>
      <c r="P1315" s="1190" t="str">
        <f>EUconst_CNTR_RelThreshold &amp; P1317</f>
        <v>RelThresh_HALprelim_WasteGasFlare_</v>
      </c>
      <c r="Q1315" s="729"/>
      <c r="R1315" s="729"/>
      <c r="S1315" s="729"/>
      <c r="T1315" s="729"/>
      <c r="U1315" s="343"/>
      <c r="V1315" s="343"/>
    </row>
    <row r="1316" spans="1:22" s="364" customFormat="1" ht="12.75" customHeight="1" x14ac:dyDescent="0.3">
      <c r="A1316" s="729"/>
      <c r="B1316" s="302"/>
      <c r="C1316" s="357"/>
      <c r="D1316" s="1698"/>
      <c r="E1316" s="1736" t="str">
        <f>Translations!$B$1385</f>
        <v>Критерий 3д: Надвишени ли са относителните прагове?</v>
      </c>
      <c r="F1316" s="1736"/>
      <c r="G1316" s="1736"/>
      <c r="H1316" s="1737" t="s">
        <v>1052</v>
      </c>
      <c r="I1316" s="1738"/>
      <c r="J1316" s="1739" t="str">
        <f>INDEX(F_ProductBM!V:V,MATCH($P1316,F_ProductBM!$Q:$Q,0))</f>
        <v/>
      </c>
      <c r="K1316" s="1740" t="str">
        <f>INDEX(F_ProductBM!W:W,MATCH($P1316,F_ProductBM!$Q:$Q,0))</f>
        <v/>
      </c>
      <c r="L1316" s="1740" t="str">
        <f>INDEX(F_ProductBM!X:X,MATCH($P1316,F_ProductBM!$Q:$Q,0))</f>
        <v/>
      </c>
      <c r="M1316" s="1740" t="str">
        <f>INDEX(F_ProductBM!Y:Y,MATCH($P1316,F_ProductBM!$Q:$Q,0))</f>
        <v/>
      </c>
      <c r="N1316" s="1741" t="str">
        <f>INDEX(F_ProductBM!Z:Z,MATCH($P1316,F_ProductBM!$Q:$Q,0))</f>
        <v/>
      </c>
      <c r="O1316" s="698"/>
      <c r="P1316" s="1190" t="str">
        <f>P1315</f>
        <v>RelThresh_HALprelim_WasteGasFlare_</v>
      </c>
      <c r="Q1316" s="729"/>
      <c r="R1316" s="729"/>
      <c r="S1316" s="729"/>
      <c r="T1316" s="729"/>
      <c r="U1316" s="343"/>
      <c r="V1316" s="343"/>
    </row>
    <row r="1317" spans="1:22" s="364" customFormat="1" ht="12.75" customHeight="1" x14ac:dyDescent="0.3">
      <c r="A1317" s="729" t="str">
        <f>IF(P1317="","ausblenden","")</f>
        <v/>
      </c>
      <c r="B1317" s="302"/>
      <c r="C1317" s="357"/>
      <c r="D1317" s="1698"/>
      <c r="E1317" s="401" t="str">
        <f>Translations!$B$1377</f>
        <v>Предварителна стойност</v>
      </c>
      <c r="F1317" s="401"/>
      <c r="G1317" s="401"/>
      <c r="H1317" s="483" t="str">
        <f>EUconst_tCO2</f>
        <v>t CO2</v>
      </c>
      <c r="I1317" s="1724"/>
      <c r="J1317" s="1743" t="str">
        <f>IF(OR($I1268="",CNTR_SubPeriod=1),"",INDEX(F_ProductBM!J:J,MATCH($P1317,F_ProductBM!$Q:$Q,0)))</f>
        <v/>
      </c>
      <c r="K1317" s="1744" t="str">
        <f>IF(OR($I1268="",CNTR_SubPeriod=1),"",INDEX(F_ProductBM!K:K,MATCH($P1317,F_ProductBM!$Q:$Q,0)))</f>
        <v/>
      </c>
      <c r="L1317" s="1744" t="str">
        <f>IF(OR($I1268="",CNTR_SubPeriod=1),"",INDEX(F_ProductBM!L:L,MATCH($P1317,F_ProductBM!$Q:$Q,0)))</f>
        <v/>
      </c>
      <c r="M1317" s="1744" t="str">
        <f>IF(OR($I1268="",CNTR_SubPeriod=1),"",INDEX(F_ProductBM!M:M,MATCH($P1317,F_ProductBM!$Q:$Q,0)))</f>
        <v/>
      </c>
      <c r="N1317" s="1745" t="str">
        <f>IF(OR($I1268="",CNTR_SubPeriod=1),"",INDEX(F_ProductBM!N:N,MATCH($P1317,F_ProductBM!$Q:$Q,0)))</f>
        <v/>
      </c>
      <c r="O1317" s="698"/>
      <c r="P1317" s="1190" t="str">
        <f>EUconst_CNTR_HALprelim&amp;EUconst_CNTR_WGFlared&amp;$I1268</f>
        <v>HALprelim_WasteGasFlare_</v>
      </c>
      <c r="Q1317" s="729"/>
      <c r="R1317" s="729"/>
      <c r="S1317" s="729"/>
      <c r="T1317" s="729"/>
      <c r="U1317" s="343"/>
      <c r="V1317" s="343"/>
    </row>
    <row r="1318" spans="1:22" s="364" customFormat="1" ht="12.75" customHeight="1" thickBot="1" x14ac:dyDescent="0.35">
      <c r="A1318" s="729"/>
      <c r="B1318" s="302"/>
      <c r="C1318" s="357"/>
      <c r="D1318" s="1761"/>
      <c r="E1318" s="1762"/>
      <c r="F1318" s="1762"/>
      <c r="G1318" s="1762"/>
      <c r="H1318" s="1762"/>
      <c r="I1318" s="1763"/>
      <c r="J1318" s="1762"/>
      <c r="K1318" s="1762"/>
      <c r="L1318" s="1762"/>
      <c r="M1318" s="1762"/>
      <c r="N1318" s="1764"/>
      <c r="O1318" s="698"/>
      <c r="P1318" s="729"/>
      <c r="Q1318" s="729"/>
      <c r="R1318" s="729"/>
      <c r="S1318" s="729"/>
      <c r="T1318" s="729"/>
      <c r="U1318" s="343"/>
      <c r="V1318" s="343"/>
    </row>
    <row r="1319" spans="1:22" s="364" customFormat="1" ht="5.15" customHeight="1" thickBot="1" x14ac:dyDescent="0.35">
      <c r="A1319" s="729"/>
      <c r="B1319" s="302"/>
      <c r="C1319" s="357"/>
      <c r="D1319" s="357"/>
      <c r="E1319" s="302"/>
      <c r="F1319" s="302"/>
      <c r="G1319" s="302"/>
      <c r="H1319" s="302"/>
      <c r="I1319" s="1746"/>
      <c r="J1319" s="302"/>
      <c r="K1319" s="302"/>
      <c r="L1319" s="302"/>
      <c r="M1319" s="302"/>
      <c r="N1319" s="302"/>
      <c r="O1319" s="698"/>
      <c r="P1319" s="729"/>
      <c r="Q1319" s="729"/>
      <c r="R1319" s="729"/>
      <c r="S1319" s="729"/>
      <c r="T1319" s="729"/>
      <c r="U1319" s="343"/>
      <c r="V1319" s="343"/>
    </row>
    <row r="1320" spans="1:22" s="364" customFormat="1" ht="5.15" customHeight="1" x14ac:dyDescent="0.25">
      <c r="A1320" s="729"/>
      <c r="B1320" s="302"/>
      <c r="C1320" s="302"/>
      <c r="D1320" s="1765"/>
      <c r="E1320" s="1766"/>
      <c r="F1320" s="1766"/>
      <c r="G1320" s="1766"/>
      <c r="H1320" s="1766"/>
      <c r="I1320" s="1767"/>
      <c r="J1320" s="1766"/>
      <c r="K1320" s="1766"/>
      <c r="L1320" s="1766"/>
      <c r="M1320" s="1766"/>
      <c r="N1320" s="1768"/>
      <c r="O1320" s="698"/>
      <c r="P1320" s="729"/>
      <c r="Q1320" s="729"/>
      <c r="R1320" s="729"/>
      <c r="S1320" s="729"/>
      <c r="T1320" s="770"/>
      <c r="U1320" s="343"/>
      <c r="V1320" s="343"/>
    </row>
    <row r="1321" spans="1:22" s="364" customFormat="1" ht="13" x14ac:dyDescent="0.25">
      <c r="A1321" s="729"/>
      <c r="B1321" s="302"/>
      <c r="C1321" s="302"/>
      <c r="D1321" s="344"/>
      <c r="E1321" s="1769" t="str">
        <f>Translations!$B$1583</f>
        <v>Предварителни стойности за критерий &gt; 300 EUA</v>
      </c>
      <c r="F1321" s="1746"/>
      <c r="G1321" s="1746"/>
      <c r="H1321" s="1699" t="str">
        <f>EUconst_Unit</f>
        <v>Единица мярка</v>
      </c>
      <c r="I1321" s="1770" t="str">
        <f>Translations!$B$1341</f>
        <v>Базова стойност</v>
      </c>
      <c r="J1321" s="1771">
        <f>J$2505</f>
        <v>2026</v>
      </c>
      <c r="K1321" s="1772">
        <f>K$2505</f>
        <v>2027</v>
      </c>
      <c r="L1321" s="1772">
        <f>L$2505</f>
        <v>2028</v>
      </c>
      <c r="M1321" s="1772">
        <f>M$2505</f>
        <v>2029</v>
      </c>
      <c r="N1321" s="1773">
        <f>N$2505</f>
        <v>2030</v>
      </c>
      <c r="O1321" s="698"/>
      <c r="P1321" s="729"/>
      <c r="Q1321" s="729"/>
      <c r="R1321" s="729"/>
      <c r="S1321" s="729"/>
      <c r="T1321" s="729"/>
      <c r="U1321" s="729"/>
      <c r="V1321" s="729"/>
    </row>
    <row r="1322" spans="1:22" s="364" customFormat="1" x14ac:dyDescent="0.25">
      <c r="A1322" s="729"/>
      <c r="B1322" s="302"/>
      <c r="C1322" s="302"/>
      <c r="D1322" s="344"/>
      <c r="E1322" s="1774" t="str">
        <f>Translations!$B$1388</f>
        <v>Равнище на дейност</v>
      </c>
      <c r="F1322" s="1774"/>
      <c r="G1322" s="1774"/>
      <c r="H1322" s="1775" t="str">
        <f>F1274</f>
        <v>тона</v>
      </c>
      <c r="I1322" s="1776" t="str">
        <f>IF($I1268="","",IF(T1339&gt;=$H$2505,0,S1334))</f>
        <v/>
      </c>
      <c r="J1322" s="1717" t="str">
        <f>IF($I1268="","",INDEX(F_ProductBM!J:J,MATCH($P1322,F_ProductBM!$Q:$Q,0)))</f>
        <v/>
      </c>
      <c r="K1322" s="1718" t="str">
        <f>IF($I1268="","",INDEX(F_ProductBM!K:K,MATCH($P1322,F_ProductBM!$Q:$Q,0)))</f>
        <v/>
      </c>
      <c r="L1322" s="1718" t="str">
        <f>IF($I1268="","",INDEX(F_ProductBM!L:L,MATCH($P1322,F_ProductBM!$Q:$Q,0)))</f>
        <v/>
      </c>
      <c r="M1322" s="1718" t="str">
        <f>IF($I1268="","",INDEX(F_ProductBM!M:M,MATCH($P1322,F_ProductBM!$Q:$Q,0)))</f>
        <v/>
      </c>
      <c r="N1322" s="1719" t="str">
        <f>IF($I1268="","",INDEX(F_ProductBM!N:N,MATCH($P1322,F_ProductBM!$Q:$Q,0)))</f>
        <v/>
      </c>
      <c r="O1322" s="698"/>
      <c r="P1322" s="1190" t="str">
        <f>EUconst_CNTR_HALprelim&amp;I1268</f>
        <v>HALprelim_</v>
      </c>
      <c r="Q1322" s="729"/>
      <c r="R1322" s="729"/>
      <c r="S1322" s="729"/>
      <c r="T1322" s="729"/>
      <c r="U1322" s="729"/>
      <c r="V1322" s="729"/>
    </row>
    <row r="1323" spans="1:22" s="364" customFormat="1" x14ac:dyDescent="0.25">
      <c r="A1323" s="729"/>
      <c r="B1323" s="302"/>
      <c r="C1323" s="302"/>
      <c r="D1323" s="344"/>
      <c r="E1323" s="1777" t="str">
        <f>Translations!$B$949</f>
        <v>топл. ен. извън СТЕ</v>
      </c>
      <c r="F1323" s="1777"/>
      <c r="G1323" s="1777"/>
      <c r="H1323" s="1778" t="str">
        <f>EUconst_EUA</f>
        <v>Квота за емисии</v>
      </c>
      <c r="I1323" s="1779" t="str">
        <f>IF($I1268="","",IF(YEAR(J1271)&gt;=$H$2505-1,0,S1335))</f>
        <v/>
      </c>
      <c r="J1323" s="1780" t="str">
        <f>IF($I$500="","",INDEX(F_ProductBM!J:J,MATCH($P1323,F_ProductBM!$Q:$Q,0)))</f>
        <v/>
      </c>
      <c r="K1323" s="1781" t="str">
        <f>IF($I$500="","",INDEX(F_ProductBM!K:K,MATCH($P1323,F_ProductBM!$Q:$Q,0)))</f>
        <v/>
      </c>
      <c r="L1323" s="1781" t="str">
        <f>IF($I$500="","",INDEX(F_ProductBM!L:L,MATCH($P1323,F_ProductBM!$Q:$Q,0)))</f>
        <v/>
      </c>
      <c r="M1323" s="1781" t="str">
        <f>IF($I$500="","",INDEX(F_ProductBM!M:M,MATCH($P1323,F_ProductBM!$Q:$Q,0)))</f>
        <v/>
      </c>
      <c r="N1323" s="1782" t="str">
        <f>IF($I$500="","",INDEX(F_ProductBM!N:N,MATCH($P1323,F_ProductBM!$Q:$Q,0)))</f>
        <v/>
      </c>
      <c r="O1323" s="698"/>
      <c r="P1323" s="1190" t="str">
        <f>EUconst_CNTR_HEATprelim&amp;I1268</f>
        <v>HEATprelim_</v>
      </c>
      <c r="Q1323" s="729"/>
      <c r="R1323" s="729"/>
      <c r="S1323" s="729"/>
      <c r="T1323" s="729"/>
      <c r="U1323" s="729"/>
      <c r="V1323" s="729"/>
    </row>
    <row r="1324" spans="1:22" s="364" customFormat="1" x14ac:dyDescent="0.25">
      <c r="A1324" s="729"/>
      <c r="B1324" s="302"/>
      <c r="C1324" s="302"/>
      <c r="D1324" s="344"/>
      <c r="E1324" s="1783" t="str">
        <f>Translations!$B$951</f>
        <v>WGflare</v>
      </c>
      <c r="F1324" s="1783"/>
      <c r="G1324" s="1783"/>
      <c r="H1324" s="1784" t="str">
        <f>EUconst_EUA</f>
        <v>Квота за емисии</v>
      </c>
      <c r="I1324" s="1785" t="str">
        <f>IF($I1268="","",IF(T1339&gt;=$H$2505,0,S1336))</f>
        <v/>
      </c>
      <c r="J1324" s="1721" t="str">
        <f>IF($I1268="","",INDEX(F_ProductBM!J:J,MATCH($P1324,F_ProductBM!$Q:$Q,0)))</f>
        <v/>
      </c>
      <c r="K1324" s="1722" t="str">
        <f>IF($I1268="","",INDEX(F_ProductBM!K:K,MATCH($P1324,F_ProductBM!$Q:$Q,0)))</f>
        <v/>
      </c>
      <c r="L1324" s="1722" t="str">
        <f>IF($I1268="","",INDEX(F_ProductBM!L:L,MATCH($P1324,F_ProductBM!$Q:$Q,0)))</f>
        <v/>
      </c>
      <c r="M1324" s="1722" t="str">
        <f>IF($I1268="","",INDEX(F_ProductBM!M:M,MATCH($P1324,F_ProductBM!$Q:$Q,0)))</f>
        <v/>
      </c>
      <c r="N1324" s="1723" t="str">
        <f>IF($I1268="","",INDEX(F_ProductBM!N:N,MATCH($P1324,F_ProductBM!$Q:$Q,0)))</f>
        <v/>
      </c>
      <c r="O1324" s="698"/>
      <c r="P1324" s="1190" t="str">
        <f>EUconst_CNTR_HALprelim&amp;EUconst_CNTR_WGFlared&amp;$I1268</f>
        <v>HALprelim_WasteGasFlare_</v>
      </c>
      <c r="Q1324" s="729"/>
      <c r="R1324" s="729"/>
      <c r="S1324" s="729"/>
      <c r="T1324" s="729"/>
      <c r="U1324" s="729"/>
      <c r="V1324" s="729"/>
    </row>
    <row r="1325" spans="1:22" s="364" customFormat="1" x14ac:dyDescent="0.25">
      <c r="A1325" s="729"/>
      <c r="B1325" s="302"/>
      <c r="C1325" s="302"/>
      <c r="D1325" s="344"/>
      <c r="E1325" s="1783" t="s">
        <v>1442</v>
      </c>
      <c r="F1325" s="1783"/>
      <c r="G1325" s="1783"/>
      <c r="H1325" s="1784" t="str">
        <f>EUconst_EUA</f>
        <v>Квота за емисии</v>
      </c>
      <c r="I1325" s="1785" t="str">
        <f>IF($I1268="","",IF(T1339&gt;=$H$2505,0,IF(L1271=42,S1337,0)))</f>
        <v/>
      </c>
      <c r="J1325" s="1721" t="str">
        <f>IF($I1268="","",IF($L1271=42,INDEX(H_SpecialBM!J:J,MATCH($P1325,H_SpecialBM!$Q:$Q,0)),0))</f>
        <v/>
      </c>
      <c r="K1325" s="1722" t="str">
        <f>IF($I1268="","",IF($L1271=42,INDEX(H_SpecialBM!K:K,MATCH($P1325,H_SpecialBM!$Q:$Q,0)),0))</f>
        <v/>
      </c>
      <c r="L1325" s="1722" t="str">
        <f>IF($I1268="","",IF($L1271=42,INDEX(H_SpecialBM!L:L,MATCH($P1325,H_SpecialBM!$Q:$Q,0)),0))</f>
        <v/>
      </c>
      <c r="M1325" s="1722" t="str">
        <f>IF($I1268="","",IF($L1271=42,INDEX(H_SpecialBM!M:M,MATCH($P1325,H_SpecialBM!$Q:$Q,0)),0))</f>
        <v/>
      </c>
      <c r="N1325" s="1723" t="str">
        <f>IF($I1268="","",IF($L1271=42,INDEX(H_SpecialBM!N:N,MATCH($P1325,H_SpecialBM!$Q:$Q,0)),0))</f>
        <v/>
      </c>
      <c r="O1325" s="698"/>
      <c r="P1325" s="1190" t="str">
        <f>EUconst_CNTR_HVCprelim</f>
        <v>HVCprelim_</v>
      </c>
      <c r="Q1325" s="729"/>
      <c r="R1325" s="729"/>
      <c r="S1325" s="729"/>
      <c r="T1325" s="729"/>
      <c r="U1325" s="729"/>
      <c r="V1325" s="729"/>
    </row>
    <row r="1326" spans="1:22" s="364" customFormat="1" x14ac:dyDescent="0.25">
      <c r="A1326" s="729"/>
      <c r="B1326" s="302"/>
      <c r="C1326" s="302"/>
      <c r="D1326" s="344"/>
      <c r="E1326" s="1786" t="s">
        <v>1443</v>
      </c>
      <c r="F1326" s="1786"/>
      <c r="G1326" s="1786"/>
      <c r="H1326" s="1787" t="s">
        <v>1052</v>
      </c>
      <c r="I1326" s="1788" t="str">
        <f>IF($I1268="","",IF($L1271=47,IF(AND(ISNUMBER(S1338),YEAR(J1271)&lt;$J$2505),S1338,1),1))</f>
        <v/>
      </c>
      <c r="J1326" s="1725" t="str">
        <f>IF($I1268="","",IF($L1271=47,IF(ISNUMBER(INDEX(H_SpecialBM!J:J,MATCH($P1326,H_SpecialBM!$Q:$Q,0))),INDEX(H_SpecialBM!J:J,MATCH($P1326,H_SpecialBM!$Q:$Q,0)),1),1))</f>
        <v/>
      </c>
      <c r="K1326" s="1726" t="str">
        <f>IF($I1268="","",IF($L1271=47,IF(ISNUMBER(INDEX(H_SpecialBM!K:K,MATCH($P1326,H_SpecialBM!$Q:$Q,0))),INDEX(H_SpecialBM!K:K,MATCH($P1326,H_SpecialBM!$Q:$Q,0)),1),1))</f>
        <v/>
      </c>
      <c r="L1326" s="1726" t="str">
        <f>IF($I1268="","",IF($L1271=47,IF(ISNUMBER(INDEX(H_SpecialBM!L:L,MATCH($P1326,H_SpecialBM!$Q:$Q,0))),INDEX(H_SpecialBM!L:L,MATCH($P1326,H_SpecialBM!$Q:$Q,0)),1),1))</f>
        <v/>
      </c>
      <c r="M1326" s="1726" t="str">
        <f>IF($I1268="","",IF($L1271=47,IF(ISNUMBER(INDEX(H_SpecialBM!M:M,MATCH($P1326,H_SpecialBM!$Q:$Q,0))),INDEX(H_SpecialBM!M:M,MATCH($P1326,H_SpecialBM!$Q:$Q,0)),1),1))</f>
        <v/>
      </c>
      <c r="N1326" s="1727" t="str">
        <f>IF($I1268="","",IF($L1271=47,IF(ISNUMBER(INDEX(H_SpecialBM!N:N,MATCH($P1326,H_SpecialBM!$Q:$Q,0))),INDEX(H_SpecialBM!N:N,MATCH($P1326,H_SpecialBM!$Q:$Q,0)),1),1))</f>
        <v/>
      </c>
      <c r="O1326" s="698"/>
      <c r="P1326" s="1190" t="str">
        <f>EUconst_CNTR_VCMprelim</f>
        <v>VCMprelim_</v>
      </c>
      <c r="Q1326" s="729"/>
      <c r="R1326" s="729"/>
      <c r="S1326" s="729"/>
      <c r="T1326" s="729"/>
      <c r="U1326" s="729"/>
      <c r="V1326" s="729"/>
    </row>
    <row r="1327" spans="1:22" s="364" customFormat="1" x14ac:dyDescent="0.25">
      <c r="A1327" s="729"/>
      <c r="B1327" s="302"/>
      <c r="C1327" s="302"/>
      <c r="D1327" s="344"/>
      <c r="E1327" s="1789" t="str">
        <f>Translations!$B$1377</f>
        <v>Предварителна стойност</v>
      </c>
      <c r="F1327" s="1789"/>
      <c r="G1327" s="1789"/>
      <c r="H1327" s="1790" t="str">
        <f>EUconst_EUA</f>
        <v>Квота за емисии</v>
      </c>
      <c r="I1327" s="1791" t="str">
        <f>IF($I1268="","",MAX(0,ROUND((SUM($M1271)*SUM(I1322)*SUM(I1326)-SUM(I1323)-SUM(I1324)+SUM(I1325))*IF($H1271=TRUE,1,J$2412),0)))</f>
        <v/>
      </c>
      <c r="J1327" s="1714" t="str">
        <f>IF($I1268="","",MAX(0,ROUND((SUM($M1271)*SUM(J1322)*SUM(J1326)-SUM(J1323)-SUM(J1324)+SUM(J1325))*IF($H1271=TRUE,1,J$2412)*IF($I1271=TRUE,INDEX(EUconst_CBAMFactor,J1277-2020),1),0)))</f>
        <v/>
      </c>
      <c r="K1327" s="1693" t="str">
        <f>IF($I1268="","",MAX(0,ROUND((SUM($M1271)*SUM(K1322)*SUM(K1326)-SUM(K1323)-SUM(K1324)+SUM(K1325))*IF($H1271=TRUE,1,K$2412)*IF($I1271=TRUE,INDEX(EUconst_CBAMFactor,K1277-2020),1),0)))</f>
        <v/>
      </c>
      <c r="L1327" s="1693" t="str">
        <f>IF($I1268="","",MAX(0,ROUND((SUM($M1271)*SUM(L1322)*SUM(L1326)-SUM(L1323)-SUM(L1324)+SUM(L1325))*IF($H1271=TRUE,1,L$2412)*IF($I1271=TRUE,INDEX(EUconst_CBAMFactor,L1277-2020),1),0)))</f>
        <v/>
      </c>
      <c r="M1327" s="1693" t="str">
        <f>IF($I1268="","",MAX(0,ROUND((SUM($M1271)*SUM(M1322)*SUM(M1326)-SUM(M1323)-SUM(M1324)+SUM(M1325))*IF($H1271=TRUE,1,M$2412)*IF($I1271=TRUE,INDEX(EUconst_CBAMFactor,M1277-2020),1),0)))</f>
        <v/>
      </c>
      <c r="N1327" s="1715" t="str">
        <f>IF($I1268="","",MAX(0,ROUND((SUM($M1271)*SUM(N1322)*SUM(N1326)-SUM(N1323)-SUM(N1324)+SUM(N1325))*IF($H1271=TRUE,1,N$2412)*IF($I1271=TRUE,INDEX(EUconst_CBAMFactor,N1277-2020),1),0)))</f>
        <v/>
      </c>
      <c r="O1327" s="698"/>
      <c r="P1327" s="729"/>
      <c r="Q1327" s="729"/>
      <c r="R1327" s="729"/>
      <c r="S1327" s="729"/>
      <c r="T1327" s="729"/>
      <c r="U1327" s="729"/>
      <c r="V1327" s="729"/>
    </row>
    <row r="1328" spans="1:22" s="364" customFormat="1" x14ac:dyDescent="0.25">
      <c r="A1328" s="729"/>
      <c r="B1328" s="302"/>
      <c r="C1328" s="302"/>
      <c r="D1328" s="344"/>
      <c r="E1328" s="388" t="str">
        <f>Translations!$B$1584</f>
        <v>Разлика в предварителната стойност</v>
      </c>
      <c r="F1328" s="388"/>
      <c r="G1328" s="388"/>
      <c r="H1328" s="421" t="str">
        <f>EUconst_EUA</f>
        <v>Квота за емисии</v>
      </c>
      <c r="I1328" s="1792"/>
      <c r="J1328" s="1793" t="str">
        <f>IF(J1327="","",SUM(J1327)-SUM(J1287))</f>
        <v/>
      </c>
      <c r="K1328" s="998" t="str">
        <f t="shared" ref="K1328" si="113">IF(K1327="","",SUM(K1327)-SUM(K1287))</f>
        <v/>
      </c>
      <c r="L1328" s="998" t="str">
        <f t="shared" ref="L1328:N1328" si="114">IF(L1327="","",SUM(L1327)-SUM(L1287))</f>
        <v/>
      </c>
      <c r="M1328" s="998" t="str">
        <f t="shared" si="114"/>
        <v/>
      </c>
      <c r="N1328" s="1794" t="str">
        <f t="shared" si="114"/>
        <v/>
      </c>
      <c r="O1328" s="698"/>
      <c r="P1328" s="729"/>
      <c r="Q1328" s="729"/>
      <c r="R1328" s="729"/>
      <c r="S1328" s="1795"/>
      <c r="T1328" s="1165"/>
      <c r="U1328" s="711"/>
      <c r="V1328" s="343"/>
    </row>
    <row r="1329" spans="1:22" s="364" customFormat="1" x14ac:dyDescent="0.25">
      <c r="A1329" s="729"/>
      <c r="B1329" s="302"/>
      <c r="C1329" s="302"/>
      <c r="D1329" s="344"/>
      <c r="E1329" s="1796" t="str">
        <f>Translations!$B$1581</f>
        <v>Критерий 4: Разлика от поне 300 квоти за емисии?</v>
      </c>
      <c r="F1329" s="1796"/>
      <c r="G1329" s="1796"/>
      <c r="H1329" s="1797" t="s">
        <v>1052</v>
      </c>
      <c r="I1329" s="1792"/>
      <c r="J1329" s="1798" t="str">
        <f>IF(J1328="","",ABS(J1328)&gt;=300)</f>
        <v/>
      </c>
      <c r="K1329" s="1799" t="str">
        <f t="shared" ref="K1329:N1329" si="115">IF(K1328="","",ABS(K1328)&gt;=300)</f>
        <v/>
      </c>
      <c r="L1329" s="1799" t="str">
        <f t="shared" si="115"/>
        <v/>
      </c>
      <c r="M1329" s="1799" t="str">
        <f t="shared" si="115"/>
        <v/>
      </c>
      <c r="N1329" s="1800" t="str">
        <f t="shared" si="115"/>
        <v/>
      </c>
      <c r="O1329" s="698"/>
      <c r="P1329" s="1190" t="str">
        <f>EUconst_CNTR_300EUA&amp;I1268</f>
        <v>EUA300_</v>
      </c>
      <c r="Q1329" s="1174" t="s">
        <v>2547</v>
      </c>
      <c r="R1329" s="280" t="str">
        <f>IF($I1268="","",IF(R1273&gt;$U1271,0%,INDEX(F_ProductBM!V:V,MATCH($P1329,F_ProductBM!$Q:$Q,0))))</f>
        <v/>
      </c>
      <c r="S1329" s="280" t="str">
        <f>IF($I1268="","",IF(S1273&gt;$U1271,0%,INDEX(F_ProductBM!W:W,MATCH($P1329,F_ProductBM!$Q:$Q,0))))</f>
        <v/>
      </c>
      <c r="T1329" s="280" t="str">
        <f>IF($I1268="","",IF(T1273&gt;$U1271,0%,INDEX(F_ProductBM!X:X,MATCH($P1329,F_ProductBM!$Q:$Q,0))))</f>
        <v/>
      </c>
      <c r="U1329" s="280" t="str">
        <f>IF($I1268="","",IF(U1273&gt;$U1271,0%,INDEX(F_ProductBM!Y:Y,MATCH($P1329,F_ProductBM!$Q:$Q,0))))</f>
        <v/>
      </c>
      <c r="V1329" s="280" t="str">
        <f>IF($I1268="","",IF(V1273&gt;$U1271,0%,INDEX(F_ProductBM!Z:Z,MATCH($P1329,F_ProductBM!$Q:$Q,0))))</f>
        <v/>
      </c>
    </row>
    <row r="1330" spans="1:22" s="364" customFormat="1" ht="5.15" customHeight="1" thickBot="1" x14ac:dyDescent="0.3">
      <c r="A1330" s="729"/>
      <c r="B1330" s="302"/>
      <c r="C1330" s="302"/>
      <c r="D1330" s="1801"/>
      <c r="E1330" s="1762"/>
      <c r="F1330" s="1762"/>
      <c r="G1330" s="1762"/>
      <c r="H1330" s="1762"/>
      <c r="I1330" s="1762"/>
      <c r="J1330" s="1762"/>
      <c r="K1330" s="1762"/>
      <c r="L1330" s="1762"/>
      <c r="M1330" s="1762"/>
      <c r="N1330" s="1764"/>
      <c r="O1330" s="698"/>
      <c r="P1330" s="729"/>
      <c r="Q1330" s="729"/>
      <c r="R1330" s="729"/>
      <c r="S1330" s="729"/>
      <c r="T1330" s="729"/>
      <c r="U1330" s="343"/>
      <c r="V1330" s="343"/>
    </row>
    <row r="1331" spans="1:22" s="364" customFormat="1" ht="5.15" customHeight="1" thickBot="1" x14ac:dyDescent="0.35">
      <c r="A1331" s="729"/>
      <c r="B1331" s="302"/>
      <c r="C1331" s="357"/>
      <c r="D1331" s="357"/>
      <c r="E1331" s="302"/>
      <c r="F1331" s="302"/>
      <c r="G1331" s="302"/>
      <c r="H1331" s="302"/>
      <c r="I1331" s="1746"/>
      <c r="J1331" s="302"/>
      <c r="K1331" s="302"/>
      <c r="L1331" s="302"/>
      <c r="M1331" s="302"/>
      <c r="N1331" s="302"/>
      <c r="O1331" s="698"/>
      <c r="P1331" s="729"/>
      <c r="Q1331" s="729"/>
      <c r="R1331" s="729"/>
      <c r="S1331" s="729"/>
      <c r="T1331" s="729"/>
      <c r="U1331" s="343"/>
      <c r="V1331" s="343"/>
    </row>
    <row r="1332" spans="1:22" s="364" customFormat="1" ht="5.15" customHeight="1" x14ac:dyDescent="0.25">
      <c r="A1332" s="729"/>
      <c r="B1332" s="302"/>
      <c r="C1332" s="302"/>
      <c r="D1332" s="1765"/>
      <c r="E1332" s="1766"/>
      <c r="F1332" s="1766"/>
      <c r="G1332" s="1766"/>
      <c r="H1332" s="1766"/>
      <c r="I1332" s="1767"/>
      <c r="J1332" s="1766"/>
      <c r="K1332" s="1766"/>
      <c r="L1332" s="1766"/>
      <c r="M1332" s="1766"/>
      <c r="N1332" s="1768"/>
      <c r="O1332" s="698"/>
      <c r="P1332" s="729"/>
      <c r="Q1332" s="729"/>
      <c r="R1332" s="729"/>
      <c r="S1332" s="729"/>
      <c r="T1332" s="770"/>
      <c r="U1332" s="343"/>
      <c r="V1332" s="343"/>
    </row>
    <row r="1333" spans="1:22" s="364" customFormat="1" ht="13" x14ac:dyDescent="0.25">
      <c r="A1333" s="729"/>
      <c r="B1333" s="302"/>
      <c r="C1333" s="302"/>
      <c r="D1333" s="344"/>
      <c r="E1333" s="313" t="str">
        <f>Translations!$B$1387</f>
        <v>Използвани действителни стойности</v>
      </c>
      <c r="F1333" s="302"/>
      <c r="G1333" s="302"/>
      <c r="H1333" s="527" t="str">
        <f>EUconst_Unit</f>
        <v>Единица мярка</v>
      </c>
      <c r="I1333" s="1802" t="str">
        <f>Translations!$B$1341</f>
        <v>Базова стойност</v>
      </c>
      <c r="J1333" s="1523">
        <f>J$2505</f>
        <v>2026</v>
      </c>
      <c r="K1333" s="387">
        <f>K$2505</f>
        <v>2027</v>
      </c>
      <c r="L1333" s="387">
        <f>L$2505</f>
        <v>2028</v>
      </c>
      <c r="M1333" s="387">
        <f>M$2505</f>
        <v>2029</v>
      </c>
      <c r="N1333" s="1544">
        <f>N$2505</f>
        <v>2030</v>
      </c>
      <c r="O1333" s="698"/>
      <c r="P1333" s="729"/>
      <c r="Q1333" s="729"/>
      <c r="R1333" s="729"/>
      <c r="S1333" s="1519" t="str">
        <f>Translations!$B$1284</f>
        <v>HAL</v>
      </c>
      <c r="T1333" s="770"/>
      <c r="U1333" s="343"/>
      <c r="V1333" s="343"/>
    </row>
    <row r="1334" spans="1:22" s="364" customFormat="1" x14ac:dyDescent="0.25">
      <c r="A1334" s="729"/>
      <c r="B1334" s="302"/>
      <c r="C1334" s="302"/>
      <c r="D1334" s="344"/>
      <c r="E1334" s="392" t="str">
        <f>Translations!$B$1388</f>
        <v>Равнище на дейност</v>
      </c>
      <c r="F1334" s="392"/>
      <c r="G1334" s="392"/>
      <c r="H1334" s="1730" t="str">
        <f>H1322</f>
        <v>тона</v>
      </c>
      <c r="I1334" s="1776" t="str">
        <f>IF($I1268="","",IF(T1339&gt;=$H$2504,0,S1334))</f>
        <v/>
      </c>
      <c r="J1334" s="1732" t="str">
        <f>IF($I1268="","",INDEX(F_ProductBM!J:J,MATCH($P1334,F_ProductBM!$Q:$Q,0)))</f>
        <v/>
      </c>
      <c r="K1334" s="394" t="str">
        <f>IF($I1268="","",INDEX(F_ProductBM!K:K,MATCH($P1334,F_ProductBM!$Q:$Q,0)))</f>
        <v/>
      </c>
      <c r="L1334" s="394" t="str">
        <f>IF($I1268="","",INDEX(F_ProductBM!L:L,MATCH($P1334,F_ProductBM!$Q:$Q,0)))</f>
        <v/>
      </c>
      <c r="M1334" s="394" t="str">
        <f>IF($I1268="","",INDEX(F_ProductBM!M:M,MATCH($P1334,F_ProductBM!$Q:$Q,0)))</f>
        <v/>
      </c>
      <c r="N1334" s="1733" t="str">
        <f>IF($I1268="","",INDEX(F_ProductBM!N:N,MATCH($P1334,F_ProductBM!$Q:$Q,0)))</f>
        <v/>
      </c>
      <c r="O1334" s="698"/>
      <c r="P1334" s="1190" t="str">
        <f>EUconst_CNTR_HALfinal&amp;I1268</f>
        <v>HALfinal_</v>
      </c>
      <c r="Q1334" s="729"/>
      <c r="R1334" s="729"/>
      <c r="S1334" s="1803" t="str">
        <f>IF($I1268="","",INDEX(F_ProductBM!I:I,MATCH($P1334,F_ProductBM!$Q:$Q,0)))</f>
        <v/>
      </c>
      <c r="T1334" s="770"/>
      <c r="U1334" s="343"/>
      <c r="V1334" s="343"/>
    </row>
    <row r="1335" spans="1:22" s="364" customFormat="1" x14ac:dyDescent="0.25">
      <c r="A1335" s="729"/>
      <c r="B1335" s="302"/>
      <c r="C1335" s="302"/>
      <c r="D1335" s="344"/>
      <c r="E1335" s="503" t="str">
        <f>Translations!$B$949</f>
        <v>топл. ен. извън СТЕ</v>
      </c>
      <c r="F1335" s="503"/>
      <c r="G1335" s="503"/>
      <c r="H1335" s="1804" t="str">
        <f>EUconst_EUA</f>
        <v>Квота за емисии</v>
      </c>
      <c r="I1335" s="1779" t="str">
        <f>IF($I1268="","",IF(YEAR(J1271)&gt;=$H$2504-1,0,S1335))</f>
        <v/>
      </c>
      <c r="J1335" s="1805" t="str">
        <f>IF($I1268="","",INDEX(F_ProductBM!J:J,MATCH($P1335,F_ProductBM!$Q:$Q,0)))</f>
        <v/>
      </c>
      <c r="K1335" s="1806" t="str">
        <f>IF($I1268="","",INDEX(F_ProductBM!K:K,MATCH($P1335,F_ProductBM!$Q:$Q,0)))</f>
        <v/>
      </c>
      <c r="L1335" s="1806" t="str">
        <f>IF($I1268="","",INDEX(F_ProductBM!L:L,MATCH($P1335,F_ProductBM!$Q:$Q,0)))</f>
        <v/>
      </c>
      <c r="M1335" s="1806" t="str">
        <f>IF($I1268="","",INDEX(F_ProductBM!M:M,MATCH($P1335,F_ProductBM!$Q:$Q,0)))</f>
        <v/>
      </c>
      <c r="N1335" s="1807" t="str">
        <f>IF($I1268="","",INDEX(F_ProductBM!N:N,MATCH($P1335,F_ProductBM!$Q:$Q,0)))</f>
        <v/>
      </c>
      <c r="O1335" s="698"/>
      <c r="P1335" s="1190" t="str">
        <f>EUconst_CNTR_HEATfinal&amp;I1268</f>
        <v>HEATfinal_</v>
      </c>
      <c r="Q1335" s="729"/>
      <c r="R1335" s="729"/>
      <c r="S1335" s="1808" t="str">
        <f>IF($I1268="","",INDEX(F_ProductBM!I:I,MATCH($P1335,F_ProductBM!$Q:$Q,0)))</f>
        <v/>
      </c>
      <c r="T1335" s="770"/>
      <c r="U1335" s="343"/>
      <c r="V1335" s="343"/>
    </row>
    <row r="1336" spans="1:22" s="364" customFormat="1" x14ac:dyDescent="0.25">
      <c r="A1336" s="729"/>
      <c r="B1336" s="302"/>
      <c r="C1336" s="302"/>
      <c r="D1336" s="344"/>
      <c r="E1336" s="398" t="str">
        <f>Translations!$B$951</f>
        <v>WGflare</v>
      </c>
      <c r="F1336" s="398"/>
      <c r="G1336" s="398"/>
      <c r="H1336" s="516" t="str">
        <f>EUconst_EUA</f>
        <v>Квота за емисии</v>
      </c>
      <c r="I1336" s="1785" t="str">
        <f>IF($I1268="","",IF(T1339&gt;=$H$2504,0,S1336))</f>
        <v/>
      </c>
      <c r="J1336" s="1809" t="str">
        <f>IF($I1268="","",INDEX(F_ProductBM!J:J,MATCH($P1336,F_ProductBM!$Q:$Q,0)))</f>
        <v/>
      </c>
      <c r="K1336" s="1810" t="str">
        <f>IF($I1268="","",INDEX(F_ProductBM!K:K,MATCH($P1336,F_ProductBM!$Q:$Q,0)))</f>
        <v/>
      </c>
      <c r="L1336" s="1810" t="str">
        <f>IF($I1268="","",INDEX(F_ProductBM!L:L,MATCH($P1336,F_ProductBM!$Q:$Q,0)))</f>
        <v/>
      </c>
      <c r="M1336" s="1810" t="str">
        <f>IF($I1268="","",INDEX(F_ProductBM!M:M,MATCH($P1336,F_ProductBM!$Q:$Q,0)))</f>
        <v/>
      </c>
      <c r="N1336" s="1811" t="str">
        <f>IF($I1268="","",INDEX(F_ProductBM!N:N,MATCH($P1336,F_ProductBM!$Q:$Q,0)))</f>
        <v/>
      </c>
      <c r="O1336" s="698"/>
      <c r="P1336" s="1190" t="str">
        <f>EUconst_CNTR_HALfinal&amp;EUconst_CNTR_WGFlared&amp;$I1268</f>
        <v>HALfinal_WasteGasFlare_</v>
      </c>
      <c r="Q1336" s="729"/>
      <c r="R1336" s="729"/>
      <c r="S1336" s="1812" t="str">
        <f>IF($I1268="","",INDEX(F_ProductBM!I:I,MATCH($P1336,F_ProductBM!$Q:$Q,0)))</f>
        <v/>
      </c>
      <c r="T1336" s="770"/>
      <c r="U1336" s="343"/>
      <c r="V1336" s="343"/>
    </row>
    <row r="1337" spans="1:22" s="364" customFormat="1" x14ac:dyDescent="0.25">
      <c r="A1337" s="729"/>
      <c r="B1337" s="302"/>
      <c r="C1337" s="302"/>
      <c r="D1337" s="344"/>
      <c r="E1337" s="398" t="s">
        <v>1442</v>
      </c>
      <c r="F1337" s="398"/>
      <c r="G1337" s="398"/>
      <c r="H1337" s="516" t="str">
        <f>EUconst_EUA</f>
        <v>Квота за емисии</v>
      </c>
      <c r="I1337" s="1785" t="str">
        <f>IF($I1268="","",IF(T1339&gt;=$H$2504,0,IF(L1271=42,S1337,0)))</f>
        <v/>
      </c>
      <c r="J1337" s="1809" t="str">
        <f>IF($I1268="","",IF($L1271=42,INDEX(H_SpecialBM!J:J,MATCH($P1337,H_SpecialBM!$Q:$Q,0)),0))</f>
        <v/>
      </c>
      <c r="K1337" s="1810" t="str">
        <f>IF($I1268="","",IF($L1271=42,INDEX(H_SpecialBM!K:K,MATCH($P1337,H_SpecialBM!$Q:$Q,0)),0))</f>
        <v/>
      </c>
      <c r="L1337" s="1810" t="str">
        <f>IF($I1268="","",IF($L1271=42,INDEX(H_SpecialBM!L:L,MATCH($P1337,H_SpecialBM!$Q:$Q,0)),0))</f>
        <v/>
      </c>
      <c r="M1337" s="1810" t="str">
        <f>IF($I1268="","",IF($L1271=42,INDEX(H_SpecialBM!M:M,MATCH($P1337,H_SpecialBM!$Q:$Q,0)),0))</f>
        <v/>
      </c>
      <c r="N1337" s="1811" t="str">
        <f>IF($I1268="","",IF($L1271=42,INDEX(H_SpecialBM!N:N,MATCH($P1337,H_SpecialBM!$Q:$Q,0)),0))</f>
        <v/>
      </c>
      <c r="O1337" s="698"/>
      <c r="P1337" s="1190" t="str">
        <f>EUconst_CNTR_HVCfinal</f>
        <v>HVCfinal_</v>
      </c>
      <c r="Q1337" s="729"/>
      <c r="R1337" s="729"/>
      <c r="S1337" s="1812" t="str">
        <f>IF($I1268="","",IF(L1271=42,INDEX(H_SpecialBM!I:I,MATCH($P1337,H_SpecialBM!$Q:$Q,0)),0))</f>
        <v/>
      </c>
      <c r="T1337" s="770"/>
      <c r="U1337" s="343"/>
      <c r="V1337" s="343"/>
    </row>
    <row r="1338" spans="1:22" s="364" customFormat="1" x14ac:dyDescent="0.25">
      <c r="A1338" s="729"/>
      <c r="B1338" s="302"/>
      <c r="C1338" s="302"/>
      <c r="D1338" s="344"/>
      <c r="E1338" s="401" t="s">
        <v>1443</v>
      </c>
      <c r="F1338" s="401"/>
      <c r="G1338" s="401"/>
      <c r="H1338" s="483" t="s">
        <v>1052</v>
      </c>
      <c r="I1338" s="1788" t="str">
        <f>IF($I1268="","",IF($L1271=47,IF(AND(ISNUMBER(S1338),YEAR(J1271)&lt;2021),S1338,1),1))</f>
        <v/>
      </c>
      <c r="J1338" s="1813" t="str">
        <f>IF($I1268="","",IF($L1271=47,IF(ISNUMBER(INDEX(H_SpecialBM!J:J,MATCH($P1338,H_SpecialBM!$Q:$Q,0))),INDEX(H_SpecialBM!J:J,MATCH($P1338,H_SpecialBM!$Q:$Q,0)),1),1))</f>
        <v/>
      </c>
      <c r="K1338" s="1814" t="str">
        <f>IF($I1268="","",IF($L1271=47,IF(ISNUMBER(INDEX(H_SpecialBM!K:K,MATCH($P1338,H_SpecialBM!$Q:$Q,0))),INDEX(H_SpecialBM!K:K,MATCH($P1338,H_SpecialBM!$Q:$Q,0)),1),1))</f>
        <v/>
      </c>
      <c r="L1338" s="1814" t="str">
        <f>IF($I1268="","",IF($L1271=47,IF(ISNUMBER(INDEX(H_SpecialBM!L:L,MATCH($P1338,H_SpecialBM!$Q:$Q,0))),INDEX(H_SpecialBM!L:L,MATCH($P1338,H_SpecialBM!$Q:$Q,0)),1),1))</f>
        <v/>
      </c>
      <c r="M1338" s="1814" t="str">
        <f>IF($I1268="","",IF($L1271=47,IF(ISNUMBER(INDEX(H_SpecialBM!M:M,MATCH($P1338,H_SpecialBM!$Q:$Q,0))),INDEX(H_SpecialBM!M:M,MATCH($P1338,H_SpecialBM!$Q:$Q,0)),1),1))</f>
        <v/>
      </c>
      <c r="N1338" s="1815" t="str">
        <f>IF($I1268="","",IF($L1271=47,IF(ISNUMBER(INDEX(H_SpecialBM!N:N,MATCH($P1338,H_SpecialBM!$Q:$Q,0))),INDEX(H_SpecialBM!N:N,MATCH($P1338,H_SpecialBM!$Q:$Q,0)),1),1))</f>
        <v/>
      </c>
      <c r="O1338" s="698"/>
      <c r="P1338" s="1190" t="str">
        <f>EUconst_CNTR_VCMfinal</f>
        <v>VCMfinal_</v>
      </c>
      <c r="Q1338" s="729"/>
      <c r="R1338" s="729"/>
      <c r="S1338" s="1816" t="str">
        <f>IF($I1268="","",IF($L1271=47,IF(ISNUMBER(INDEX(H_SpecialBM!I:I,MATCH($P1338,H_SpecialBM!$Q:$Q,0))),INDEX(H_SpecialBM!I:I,MATCH($P1338,H_SpecialBM!$Q:$Q,0)),1),1))</f>
        <v/>
      </c>
      <c r="T1338" s="729"/>
      <c r="U1338" s="343"/>
      <c r="V1338" s="343"/>
    </row>
    <row r="1339" spans="1:22" s="364" customFormat="1" x14ac:dyDescent="0.25">
      <c r="A1339" s="729"/>
      <c r="B1339" s="302"/>
      <c r="C1339" s="302"/>
      <c r="D1339" s="344"/>
      <c r="E1339" s="388" t="str">
        <f>Translations!$B$892</f>
        <v>Предварително разпределяне</v>
      </c>
      <c r="F1339" s="388"/>
      <c r="G1339" s="388"/>
      <c r="H1339" s="421" t="str">
        <f>EUconst_EUA</f>
        <v>Квота за емисии</v>
      </c>
      <c r="I1339" s="1791" t="str">
        <f>IF($I1268="","",MAX(0,ROUND((SUM($M1271)*SUM(I1334)*SUM(I1338)-SUM(I1335)-SUM(I1336)+SUM(I1337))*IF($H1271=TRUE,1,J$2412),0)))</f>
        <v/>
      </c>
      <c r="J1339" s="1694" t="str">
        <f>IF($I1268="","",MAX(0,ROUND((SUM(R1329)*SUM($M1271)*SUM(J1334)*SUM(J1338)-SUM(J1335)-SUM(J1336)+SUM(J1337))*IF($H1271=TRUE,1,J$2412)*IF($I1271=TRUE,INDEX(EUconst_CBAMFactor,J1277-2020),1),0)))</f>
        <v/>
      </c>
      <c r="K1339" s="406" t="str">
        <f>IF($I1268="","",MAX(0,ROUND((SUM(S1329)*SUM($M1271)*SUM(K1334)*SUM(K1338)-SUM(K1335)-SUM(K1336)+SUM(K1337))*IF($H1271=TRUE,1,K$2412)*IF($I1271=TRUE,INDEX(EUconst_CBAMFactor,K1277-2020),1),0)))</f>
        <v/>
      </c>
      <c r="L1339" s="406" t="str">
        <f>IF($I1268="","",MAX(0,ROUND((SUM(T1329)*SUM($M1271)*SUM(L1334)*SUM(L1338)-SUM(L1335)-SUM(L1336)+SUM(L1337))*IF($H1271=TRUE,1,L$2412)*IF($I1271=TRUE,INDEX(EUconst_CBAMFactor,L1277-2020),1),0)))</f>
        <v/>
      </c>
      <c r="M1339" s="406" t="str">
        <f>IF($I1268="","",MAX(0,ROUND((SUM(U1329)*SUM($M1271)*SUM(M1334)*SUM(M1338)-SUM(M1335)-SUM(M1336)+SUM(M1337))*IF($H1271=TRUE,1,M$2412)*IF($I1271=TRUE,INDEX(EUconst_CBAMFactor,M1277-2020),1),0)))</f>
        <v/>
      </c>
      <c r="N1339" s="1729" t="str">
        <f>IF($I1268="","",MAX(0,ROUND((SUM(V1329)*SUM($M1271)*SUM(N1334)*SUM(N1338)-SUM(N1335)-SUM(N1336)+SUM(N1337))*IF($H1271=TRUE,1,N$2412)*IF($I1271=TRUE,INDEX(EUconst_CBAMFactor,N1277-2020),1),0)))</f>
        <v/>
      </c>
      <c r="O1339" s="698"/>
      <c r="P1339" s="1190" t="str">
        <f>EUconst_AllocPrelim&amp;I1268</f>
        <v>AllocPrelim_</v>
      </c>
      <c r="Q1339" s="729"/>
      <c r="R1339" s="729"/>
      <c r="S1339" s="1817" t="str">
        <f>IF($I1268="","",MAX(0,ROUND((SUM($M1271)*SUM(S1334)*SUM(S1338)-SUM(S1335)-SUM(S1336)+SUM(S1337))*IF($H1271=TRUE,1,J$2412),0)))</f>
        <v/>
      </c>
      <c r="T1339" s="1176">
        <f>INDEX(F_ProductBM!V:V,MATCH(C1268,F_ProductBM!C:C,0))</f>
        <v>2005</v>
      </c>
      <c r="U1339" s="727" t="b">
        <f>OR(INDEX(I1339:N1339,CNTR_ReportingYear-$I$2505)&lt;&gt;INDEX(I1339:N1339,CNTR_ReportingYear-$H$2505),
(CNTR_ReportingYear-T1339)&lt;=1)</f>
        <v>0</v>
      </c>
      <c r="V1339" s="716" t="b">
        <f ca="1">IF(I1339="",FALSE,COUNTIF(OFFSET(I1339,,,,MAX(1,CNTR_ReportingYear-$I$2505)),"&lt;&gt;" &amp; INDEX(I1339:N1339,CNTR_ReportingYear-$H$2505))&gt;0)</f>
        <v>0</v>
      </c>
    </row>
    <row r="1340" spans="1:22" s="364" customFormat="1" ht="5.15" customHeight="1" thickBot="1" x14ac:dyDescent="0.3">
      <c r="A1340" s="729"/>
      <c r="B1340" s="302"/>
      <c r="C1340" s="302"/>
      <c r="D1340" s="1801"/>
      <c r="E1340" s="1762"/>
      <c r="F1340" s="1762"/>
      <c r="G1340" s="1762"/>
      <c r="H1340" s="1762"/>
      <c r="I1340" s="1762"/>
      <c r="J1340" s="1762"/>
      <c r="K1340" s="1762"/>
      <c r="L1340" s="1762"/>
      <c r="M1340" s="1762"/>
      <c r="N1340" s="1764"/>
      <c r="O1340" s="698"/>
      <c r="P1340" s="729"/>
      <c r="Q1340" s="729"/>
      <c r="R1340" s="729"/>
      <c r="S1340" s="729"/>
      <c r="T1340" s="729"/>
      <c r="U1340" s="343"/>
      <c r="V1340" s="343"/>
    </row>
    <row r="1341" spans="1:22" s="364" customFormat="1" ht="5.15" customHeight="1" thickBot="1" x14ac:dyDescent="0.3">
      <c r="A1341" s="729"/>
      <c r="B1341" s="302"/>
      <c r="C1341" s="302"/>
      <c r="E1341" s="360"/>
      <c r="F1341" s="302"/>
      <c r="G1341" s="302"/>
      <c r="H1341" s="302"/>
      <c r="I1341" s="302"/>
      <c r="J1341" s="302"/>
      <c r="K1341" s="302"/>
      <c r="L1341" s="302"/>
      <c r="M1341" s="302"/>
      <c r="N1341" s="302"/>
      <c r="O1341" s="698"/>
      <c r="P1341" s="729"/>
      <c r="Q1341" s="729"/>
      <c r="R1341" s="729"/>
      <c r="S1341" s="729"/>
      <c r="T1341" s="729"/>
      <c r="U1341" s="343"/>
      <c r="V1341" s="343"/>
    </row>
    <row r="1342" spans="1:22" s="364" customFormat="1" ht="12.75" customHeight="1" x14ac:dyDescent="0.25">
      <c r="A1342" s="729"/>
      <c r="B1342" s="302"/>
      <c r="C1342" s="302"/>
      <c r="D1342" s="1818"/>
      <c r="E1342" s="1819"/>
      <c r="F1342" s="1819"/>
      <c r="G1342" s="1300"/>
      <c r="H1342" s="1300"/>
      <c r="I1342" s="1300"/>
      <c r="J1342" s="1300"/>
      <c r="K1342" s="1300"/>
      <c r="L1342" s="1300"/>
      <c r="M1342" s="1300"/>
      <c r="N1342" s="1301"/>
      <c r="O1342" s="698"/>
      <c r="P1342" s="729"/>
      <c r="Q1342" s="729"/>
      <c r="R1342" s="729"/>
      <c r="S1342" s="729"/>
      <c r="T1342" s="729"/>
      <c r="U1342" s="343"/>
      <c r="V1342" s="343"/>
    </row>
    <row r="1343" spans="1:22" s="364" customFormat="1" ht="13.5" thickBot="1" x14ac:dyDescent="0.3">
      <c r="A1343" s="729"/>
      <c r="B1343" s="302"/>
      <c r="C1343" s="302"/>
      <c r="D1343" s="1820"/>
      <c r="E1343" s="625"/>
      <c r="F1343" s="625"/>
      <c r="G1343" s="627" t="str">
        <f>EUconst_Unit</f>
        <v>Единица мярка</v>
      </c>
      <c r="H1343" s="628">
        <f t="shared" ref="H1343:M1343" si="116">H$2505</f>
        <v>2024</v>
      </c>
      <c r="I1343" s="1821">
        <f t="shared" si="116"/>
        <v>2025</v>
      </c>
      <c r="J1343" s="1311">
        <f t="shared" si="116"/>
        <v>2026</v>
      </c>
      <c r="K1343" s="629">
        <f t="shared" si="116"/>
        <v>2027</v>
      </c>
      <c r="L1343" s="629">
        <f t="shared" si="116"/>
        <v>2028</v>
      </c>
      <c r="M1343" s="629">
        <f t="shared" si="116"/>
        <v>2029</v>
      </c>
      <c r="N1343" s="1312">
        <f>N$2505</f>
        <v>2030</v>
      </c>
      <c r="O1343" s="698"/>
      <c r="P1343" s="729"/>
      <c r="Q1343" s="729"/>
      <c r="R1343" s="729"/>
      <c r="S1343" s="729"/>
      <c r="T1343" s="770"/>
      <c r="U1343" s="343"/>
      <c r="V1343" s="343"/>
    </row>
    <row r="1344" spans="1:22" s="364" customFormat="1" ht="13.5" customHeight="1" thickBot="1" x14ac:dyDescent="0.3">
      <c r="A1344" s="729"/>
      <c r="B1344" s="302"/>
      <c r="C1344" s="302"/>
      <c r="D1344" s="1820"/>
      <c r="E1344" s="2929" t="str">
        <f>Translations!$B$956</f>
        <v>Общо зададени емисии</v>
      </c>
      <c r="F1344" s="2929"/>
      <c r="G1344" s="631" t="str">
        <f>EUconst_tCO2epa</f>
        <v>t CO2e/година</v>
      </c>
      <c r="H1344" s="661" t="str">
        <f t="shared" ref="H1344:N1344" si="117">INDEX(H$95:H$114,MATCH($I1268,$E$95:$E$114,0))</f>
        <v/>
      </c>
      <c r="I1344" s="1822" t="str">
        <f t="shared" si="117"/>
        <v/>
      </c>
      <c r="J1344" s="661" t="str">
        <f t="shared" si="117"/>
        <v/>
      </c>
      <c r="K1344" s="662" t="str">
        <f t="shared" si="117"/>
        <v/>
      </c>
      <c r="L1344" s="662" t="str">
        <f t="shared" si="117"/>
        <v/>
      </c>
      <c r="M1344" s="662" t="str">
        <f t="shared" si="117"/>
        <v/>
      </c>
      <c r="N1344" s="663" t="str">
        <f t="shared" si="117"/>
        <v/>
      </c>
      <c r="O1344" s="698"/>
      <c r="P1344" s="729"/>
      <c r="Q1344" s="729"/>
      <c r="R1344" s="729"/>
      <c r="S1344" s="729"/>
      <c r="T1344" s="770"/>
      <c r="U1344" s="343"/>
      <c r="V1344" s="343"/>
    </row>
    <row r="1345" spans="1:22" s="364" customFormat="1" ht="5.15" customHeight="1" x14ac:dyDescent="0.25">
      <c r="A1345" s="729"/>
      <c r="B1345" s="302"/>
      <c r="C1345" s="302"/>
      <c r="D1345" s="1820"/>
      <c r="E1345" s="643"/>
      <c r="F1345" s="643"/>
      <c r="G1345" s="625"/>
      <c r="H1345" s="635"/>
      <c r="I1345" s="635"/>
      <c r="J1345" s="635"/>
      <c r="K1345" s="635"/>
      <c r="L1345" s="635"/>
      <c r="M1345" s="635"/>
      <c r="N1345" s="1823"/>
      <c r="O1345" s="698"/>
      <c r="P1345" s="729"/>
      <c r="Q1345" s="729"/>
      <c r="R1345" s="729"/>
      <c r="S1345" s="729"/>
      <c r="T1345" s="770"/>
      <c r="U1345" s="343"/>
      <c r="V1345" s="343"/>
    </row>
    <row r="1346" spans="1:22" s="364" customFormat="1" ht="12.75" customHeight="1" x14ac:dyDescent="0.25">
      <c r="A1346" s="729"/>
      <c r="B1346" s="302"/>
      <c r="C1346" s="302"/>
      <c r="D1346" s="1820"/>
      <c r="E1346" s="2818" t="str">
        <f>Translations!$B$521</f>
        <v>Вложени горива</v>
      </c>
      <c r="F1346" s="2701"/>
      <c r="G1346" s="1326" t="str">
        <f>EUconst_TJpa</f>
        <v>TJ / година</v>
      </c>
      <c r="H1346" s="482" t="str">
        <f>IF($I1268="","",IF(INDEX(F_ProductBM!H:H,MATCH($P1346,F_ProductBM!$Q:$Q,0))="","",INDEX(F_ProductBM!H:H,MATCH($P1346,F_ProductBM!$Q:$Q,0))))</f>
        <v/>
      </c>
      <c r="I1346" s="1824" t="str">
        <f>IF($I1268="","",IF(INDEX(F_ProductBM!I:I,MATCH($P1346,F_ProductBM!$Q:$Q,0))="","",INDEX(F_ProductBM!I:I,MATCH($P1346,F_ProductBM!$Q:$Q,0))))</f>
        <v/>
      </c>
      <c r="J1346" s="1825" t="str">
        <f>IF($I1268="","",IF(INDEX(F_ProductBM!J:J,MATCH($P1346,F_ProductBM!$Q:$Q,0))="","",INDEX(F_ProductBM!J:J,MATCH($P1346,F_ProductBM!$Q:$Q,0))))</f>
        <v/>
      </c>
      <c r="K1346" s="482" t="str">
        <f>IF($I1268="","",IF(INDEX(F_ProductBM!K:K,MATCH($P1346,F_ProductBM!$Q:$Q,0))="","",INDEX(F_ProductBM!K:K,MATCH($P1346,F_ProductBM!$Q:$Q,0))))</f>
        <v/>
      </c>
      <c r="L1346" s="482" t="str">
        <f>IF($I1268="","",IF(INDEX(F_ProductBM!L:L,MATCH($P1346,F_ProductBM!$Q:$Q,0))="","",INDEX(F_ProductBM!L:L,MATCH($P1346,F_ProductBM!$Q:$Q,0))))</f>
        <v/>
      </c>
      <c r="M1346" s="482" t="str">
        <f>IF($I1268="","",IF(INDEX(F_ProductBM!M:M,MATCH($P1346,F_ProductBM!$Q:$Q,0))="","",INDEX(F_ProductBM!M:M,MATCH($P1346,F_ProductBM!$Q:$Q,0))))</f>
        <v/>
      </c>
      <c r="N1346" s="1826" t="str">
        <f>IF($I1268="","",IF(INDEX(F_ProductBM!N:N,MATCH($P1346,F_ProductBM!$Q:$Q,0))="","",INDEX(F_ProductBM!N:N,MATCH($P1346,F_ProductBM!$Q:$Q,0))))</f>
        <v/>
      </c>
      <c r="O1346" s="698"/>
      <c r="P1346" s="1827" t="str">
        <f>EUconst_CNTR_FuelInput &amp; I1268</f>
        <v>FuelInput_</v>
      </c>
      <c r="Q1346" s="729"/>
      <c r="R1346" s="729"/>
      <c r="S1346" s="729"/>
      <c r="T1346" s="770"/>
      <c r="U1346" s="343"/>
      <c r="V1346" s="343"/>
    </row>
    <row r="1347" spans="1:22" s="364" customFormat="1" ht="12.75" customHeight="1" x14ac:dyDescent="0.25">
      <c r="A1347" s="729"/>
      <c r="B1347" s="302"/>
      <c r="C1347" s="302"/>
      <c r="D1347" s="1820"/>
      <c r="E1347" s="2819" t="str">
        <f>Translations!$B$522</f>
        <v>Претеглен емисионен фактор</v>
      </c>
      <c r="F1347" s="2705"/>
      <c r="G1347" s="1329" t="str">
        <f>EUconst_tCO2pTJ</f>
        <v>t CO2 / TJ</v>
      </c>
      <c r="H1347" s="484" t="str">
        <f>IF($I1268="","",IF(INDEX(F_ProductBM!H:H,MATCH($P1347,F_ProductBM!$Q:$Q,0))="","",INDEX(F_ProductBM!H:H,MATCH($P1347,F_ProductBM!$Q:$Q,0))))</f>
        <v/>
      </c>
      <c r="I1347" s="1828" t="str">
        <f>IF($I1268="","",IF(INDEX(F_ProductBM!I:I,MATCH($P1347,F_ProductBM!$Q:$Q,0))="","",INDEX(F_ProductBM!I:I,MATCH($P1347,F_ProductBM!$Q:$Q,0))))</f>
        <v/>
      </c>
      <c r="J1347" s="1829" t="str">
        <f>IF($I1268="","",IF(INDEX(F_ProductBM!J:J,MATCH($P1347,F_ProductBM!$Q:$Q,0))="","",INDEX(F_ProductBM!J:J,MATCH($P1347,F_ProductBM!$Q:$Q,0))))</f>
        <v/>
      </c>
      <c r="K1347" s="484" t="str">
        <f>IF($I1268="","",IF(INDEX(F_ProductBM!K:K,MATCH($P1347,F_ProductBM!$Q:$Q,0))="","",INDEX(F_ProductBM!K:K,MATCH($P1347,F_ProductBM!$Q:$Q,0))))</f>
        <v/>
      </c>
      <c r="L1347" s="484" t="str">
        <f>IF($I1268="","",IF(INDEX(F_ProductBM!L:L,MATCH($P1347,F_ProductBM!$Q:$Q,0))="","",INDEX(F_ProductBM!L:L,MATCH($P1347,F_ProductBM!$Q:$Q,0))))</f>
        <v/>
      </c>
      <c r="M1347" s="484" t="str">
        <f>IF($I1268="","",IF(INDEX(F_ProductBM!M:M,MATCH($P1347,F_ProductBM!$Q:$Q,0))="","",INDEX(F_ProductBM!M:M,MATCH($P1347,F_ProductBM!$Q:$Q,0))))</f>
        <v/>
      </c>
      <c r="N1347" s="1830" t="str">
        <f>IF($I1268="","",IF(INDEX(F_ProductBM!N:N,MATCH($P1347,F_ProductBM!$Q:$Q,0))="","",INDEX(F_ProductBM!N:N,MATCH($P1347,F_ProductBM!$Q:$Q,0))))</f>
        <v/>
      </c>
      <c r="O1347" s="698"/>
      <c r="P1347" s="1500" t="str">
        <f>EUconst_CNTR_FuelEF &amp; I1268</f>
        <v>FuelEF_</v>
      </c>
      <c r="Q1347" s="729"/>
      <c r="R1347" s="729"/>
      <c r="S1347" s="729"/>
      <c r="T1347" s="770"/>
      <c r="U1347" s="343"/>
      <c r="V1347" s="343"/>
    </row>
    <row r="1348" spans="1:22" s="364" customFormat="1" ht="5.15" customHeight="1" x14ac:dyDescent="0.25">
      <c r="A1348" s="729"/>
      <c r="B1348" s="302"/>
      <c r="C1348" s="302"/>
      <c r="D1348" s="1820"/>
      <c r="E1348" s="643"/>
      <c r="F1348" s="643"/>
      <c r="G1348" s="626"/>
      <c r="H1348" s="640"/>
      <c r="I1348" s="640"/>
      <c r="J1348" s="640"/>
      <c r="K1348" s="640"/>
      <c r="L1348" s="640"/>
      <c r="M1348" s="640"/>
      <c r="N1348" s="1831"/>
      <c r="O1348" s="698"/>
      <c r="P1348" s="729"/>
      <c r="Q1348" s="729"/>
      <c r="R1348" s="729"/>
      <c r="S1348" s="729"/>
      <c r="T1348" s="770"/>
      <c r="U1348" s="343"/>
      <c r="V1348" s="343"/>
    </row>
    <row r="1349" spans="1:22" s="364" customFormat="1" ht="12.75" customHeight="1" x14ac:dyDescent="0.25">
      <c r="A1349" s="729"/>
      <c r="B1349" s="302"/>
      <c r="C1349" s="302"/>
      <c r="D1349" s="1820"/>
      <c r="E1349" s="2820" t="str">
        <f>Translations!$B$484</f>
        <v>Преки емисии</v>
      </c>
      <c r="F1349" s="2258"/>
      <c r="G1349" s="1319" t="str">
        <f>EUconst_tCO2pa</f>
        <v>t CO2 / година</v>
      </c>
      <c r="H1349" s="480" t="str">
        <f>IF($I1268="","",IF(INDEX(F_ProductBM!H:H,MATCH($P1349,F_ProductBM!$Q:$Q,0))="","",INDEX(F_ProductBM!H:H,MATCH($P1349,F_ProductBM!$Q:$Q,0))))</f>
        <v/>
      </c>
      <c r="I1349" s="1399" t="str">
        <f>IF($I1268="","",IF(INDEX(F_ProductBM!I:I,MATCH($P1349,F_ProductBM!$Q:$Q,0))="","",INDEX(F_ProductBM!I:I,MATCH($P1349,F_ProductBM!$Q:$Q,0))))</f>
        <v/>
      </c>
      <c r="J1349" s="1832" t="str">
        <f>IF($I1268="","",IF(INDEX(F_ProductBM!J:J,MATCH($P1349,F_ProductBM!$Q:$Q,0))="","",INDEX(F_ProductBM!J:J,MATCH($P1349,F_ProductBM!$Q:$Q,0))))</f>
        <v/>
      </c>
      <c r="K1349" s="480" t="str">
        <f>IF($I1268="","",IF(INDEX(F_ProductBM!K:K,MATCH($P1349,F_ProductBM!$Q:$Q,0))="","",INDEX(F_ProductBM!K:K,MATCH($P1349,F_ProductBM!$Q:$Q,0))))</f>
        <v/>
      </c>
      <c r="L1349" s="480" t="str">
        <f>IF($I1268="","",IF(INDEX(F_ProductBM!L:L,MATCH($P1349,F_ProductBM!$Q:$Q,0))="","",INDEX(F_ProductBM!L:L,MATCH($P1349,F_ProductBM!$Q:$Q,0))))</f>
        <v/>
      </c>
      <c r="M1349" s="480" t="str">
        <f>IF($I1268="","",IF(INDEX(F_ProductBM!M:M,MATCH($P1349,F_ProductBM!$Q:$Q,0))="","",INDEX(F_ProductBM!M:M,MATCH($P1349,F_ProductBM!$Q:$Q,0))))</f>
        <v/>
      </c>
      <c r="N1349" s="1833" t="str">
        <f>IF($I1268="","",IF(INDEX(F_ProductBM!N:N,MATCH($P1349,F_ProductBM!$Q:$Q,0))="","",INDEX(F_ProductBM!N:N,MATCH($P1349,F_ProductBM!$Q:$Q,0))))</f>
        <v/>
      </c>
      <c r="O1349" s="698"/>
      <c r="P1349" s="1500" t="str">
        <f>EUconst_CNTR_Emissions &amp; I1268</f>
        <v>DirEmissions_</v>
      </c>
      <c r="Q1349" s="729"/>
      <c r="R1349" s="729"/>
      <c r="S1349" s="729"/>
      <c r="T1349" s="770"/>
      <c r="U1349" s="343"/>
      <c r="V1349" s="343"/>
    </row>
    <row r="1350" spans="1:22" s="364" customFormat="1" ht="12.75" customHeight="1" x14ac:dyDescent="0.25">
      <c r="A1350" s="729"/>
      <c r="B1350" s="302"/>
      <c r="C1350" s="302"/>
      <c r="D1350" s="1820"/>
      <c r="E1350" s="2820" t="str">
        <f>Translations!$B$532</f>
        <v>Други пораждащи емисии потоци — 1</v>
      </c>
      <c r="F1350" s="2258"/>
      <c r="G1350" s="1319" t="str">
        <f>EUconst_tCO2pa</f>
        <v>t CO2 / година</v>
      </c>
      <c r="H1350" s="480" t="str">
        <f>IF($I1268="","",IF(INDEX(F_ProductBM!H:H,MATCH($P1350,F_ProductBM!$Q:$Q,0))="","",INDEX(F_ProductBM!H:H,MATCH($P1350,F_ProductBM!$Q:$Q,0))))</f>
        <v/>
      </c>
      <c r="I1350" s="1399" t="str">
        <f>IF($I1268="","",IF(INDEX(F_ProductBM!I:I,MATCH($P1350,F_ProductBM!$Q:$Q,0))="","",INDEX(F_ProductBM!I:I,MATCH($P1350,F_ProductBM!$Q:$Q,0))))</f>
        <v/>
      </c>
      <c r="J1350" s="1832" t="str">
        <f>IF($I1268="","",IF(INDEX(F_ProductBM!J:J,MATCH($P1350,F_ProductBM!$Q:$Q,0))="","",INDEX(F_ProductBM!J:J,MATCH($P1350,F_ProductBM!$Q:$Q,0))))</f>
        <v/>
      </c>
      <c r="K1350" s="480" t="str">
        <f>IF($I1268="","",IF(INDEX(F_ProductBM!K:K,MATCH($P1350,F_ProductBM!$Q:$Q,0))="","",INDEX(F_ProductBM!K:K,MATCH($P1350,F_ProductBM!$Q:$Q,0))))</f>
        <v/>
      </c>
      <c r="L1350" s="480" t="str">
        <f>IF($I1268="","",IF(INDEX(F_ProductBM!L:L,MATCH($P1350,F_ProductBM!$Q:$Q,0))="","",INDEX(F_ProductBM!L:L,MATCH($P1350,F_ProductBM!$Q:$Q,0))))</f>
        <v/>
      </c>
      <c r="M1350" s="480" t="str">
        <f>IF($I1268="","",IF(INDEX(F_ProductBM!M:M,MATCH($P1350,F_ProductBM!$Q:$Q,0))="","",INDEX(F_ProductBM!M:M,MATCH($P1350,F_ProductBM!$Q:$Q,0))))</f>
        <v/>
      </c>
      <c r="N1350" s="1833" t="str">
        <f>IF($I1268="","",IF(INDEX(F_ProductBM!N:N,MATCH($P1350,F_ProductBM!$Q:$Q,0))="","",INDEX(F_ProductBM!N:N,MATCH($P1350,F_ProductBM!$Q:$Q,0))))</f>
        <v/>
      </c>
      <c r="O1350" s="698"/>
      <c r="P1350" s="1500" t="str">
        <f>EUconst_CNTR_EmissionsIntSource1 &amp; I1268</f>
        <v>EmInternalSource1_</v>
      </c>
      <c r="Q1350" s="729"/>
      <c r="R1350" s="729"/>
      <c r="S1350" s="729"/>
      <c r="T1350" s="770"/>
      <c r="U1350" s="343"/>
      <c r="V1350" s="343"/>
    </row>
    <row r="1351" spans="1:22" s="364" customFormat="1" ht="12.75" customHeight="1" x14ac:dyDescent="0.25">
      <c r="A1351" s="729"/>
      <c r="B1351" s="302"/>
      <c r="C1351" s="302"/>
      <c r="D1351" s="1820"/>
      <c r="E1351" s="2820" t="str">
        <f>Translations!$B$542</f>
        <v>Други пораждащи емисии потоци — 2</v>
      </c>
      <c r="F1351" s="2258"/>
      <c r="G1351" s="1319" t="str">
        <f>EUconst_tCO2pa</f>
        <v>t CO2 / година</v>
      </c>
      <c r="H1351" s="480" t="str">
        <f>IF($I1268="","",IF(INDEX(F_ProductBM!H:H,MATCH($P1351,F_ProductBM!$Q:$Q,0))="","",INDEX(F_ProductBM!H:H,MATCH($P1351,F_ProductBM!$Q:$Q,0))))</f>
        <v/>
      </c>
      <c r="I1351" s="1399" t="str">
        <f>IF($I1268="","",IF(INDEX(F_ProductBM!I:I,MATCH($P1351,F_ProductBM!$Q:$Q,0))="","",INDEX(F_ProductBM!I:I,MATCH($P1351,F_ProductBM!$Q:$Q,0))))</f>
        <v/>
      </c>
      <c r="J1351" s="1832" t="str">
        <f>IF($I1268="","",IF(INDEX(F_ProductBM!J:J,MATCH($P1351,F_ProductBM!$Q:$Q,0))="","",INDEX(F_ProductBM!J:J,MATCH($P1351,F_ProductBM!$Q:$Q,0))))</f>
        <v/>
      </c>
      <c r="K1351" s="480" t="str">
        <f>IF($I1268="","",IF(INDEX(F_ProductBM!K:K,MATCH($P1351,F_ProductBM!$Q:$Q,0))="","",INDEX(F_ProductBM!K:K,MATCH($P1351,F_ProductBM!$Q:$Q,0))))</f>
        <v/>
      </c>
      <c r="L1351" s="480" t="str">
        <f>IF($I1268="","",IF(INDEX(F_ProductBM!L:L,MATCH($P1351,F_ProductBM!$Q:$Q,0))="","",INDEX(F_ProductBM!L:L,MATCH($P1351,F_ProductBM!$Q:$Q,0))))</f>
        <v/>
      </c>
      <c r="M1351" s="480" t="str">
        <f>IF($I1268="","",IF(INDEX(F_ProductBM!M:M,MATCH($P1351,F_ProductBM!$Q:$Q,0))="","",INDEX(F_ProductBM!M:M,MATCH($P1351,F_ProductBM!$Q:$Q,0))))</f>
        <v/>
      </c>
      <c r="N1351" s="1833" t="str">
        <f>IF($I1268="","",IF(INDEX(F_ProductBM!N:N,MATCH($P1351,F_ProductBM!$Q:$Q,0))="","",INDEX(F_ProductBM!N:N,MATCH($P1351,F_ProductBM!$Q:$Q,0))))</f>
        <v/>
      </c>
      <c r="O1351" s="698"/>
      <c r="P1351" s="1500" t="str">
        <f>EUconst_CNTR_EmissionsIntSource2 &amp; I1268</f>
        <v>EmInternalSource2_</v>
      </c>
      <c r="Q1351" s="729"/>
      <c r="R1351" s="729"/>
      <c r="S1351" s="729"/>
      <c r="T1351" s="770"/>
      <c r="U1351" s="343"/>
      <c r="V1351" s="343"/>
    </row>
    <row r="1352" spans="1:22" s="364" customFormat="1" ht="12.75" customHeight="1" x14ac:dyDescent="0.25">
      <c r="A1352" s="729"/>
      <c r="B1352" s="302"/>
      <c r="C1352" s="302"/>
      <c r="D1352" s="1820"/>
      <c r="E1352" s="2820" t="str">
        <f>Translations!$B$546</f>
        <v>Получени или подадени парникови газове</v>
      </c>
      <c r="F1352" s="2258"/>
      <c r="G1352" s="1319" t="str">
        <f>EUconst_tCO2epa</f>
        <v>t CO2e/година</v>
      </c>
      <c r="H1352" s="480" t="str">
        <f>IF($I1268="","",IF(INDEX(F_ProductBM!H:H,MATCH($P1352,F_ProductBM!$Q:$Q,0))="","",INDEX(F_ProductBM!H:H,MATCH($P1352,F_ProductBM!$Q:$Q,0))))</f>
        <v/>
      </c>
      <c r="I1352" s="1399" t="str">
        <f>IF($I1268="","",IF(INDEX(F_ProductBM!I:I,MATCH($P1352,F_ProductBM!$Q:$Q,0))="","",INDEX(F_ProductBM!I:I,MATCH($P1352,F_ProductBM!$Q:$Q,0))))</f>
        <v/>
      </c>
      <c r="J1352" s="1832" t="str">
        <f>IF($I1268="","",IF(INDEX(F_ProductBM!J:J,MATCH($P1352,F_ProductBM!$Q:$Q,0))="","",INDEX(F_ProductBM!J:J,MATCH($P1352,F_ProductBM!$Q:$Q,0))))</f>
        <v/>
      </c>
      <c r="K1352" s="480" t="str">
        <f>IF($I1268="","",IF(INDEX(F_ProductBM!K:K,MATCH($P1352,F_ProductBM!$Q:$Q,0))="","",INDEX(F_ProductBM!K:K,MATCH($P1352,F_ProductBM!$Q:$Q,0))))</f>
        <v/>
      </c>
      <c r="L1352" s="480" t="str">
        <f>IF($I1268="","",IF(INDEX(F_ProductBM!L:L,MATCH($P1352,F_ProductBM!$Q:$Q,0))="","",INDEX(F_ProductBM!L:L,MATCH($P1352,F_ProductBM!$Q:$Q,0))))</f>
        <v/>
      </c>
      <c r="M1352" s="480" t="str">
        <f>IF($I1268="","",IF(INDEX(F_ProductBM!M:M,MATCH($P1352,F_ProductBM!$Q:$Q,0))="","",INDEX(F_ProductBM!M:M,MATCH($P1352,F_ProductBM!$Q:$Q,0))))</f>
        <v/>
      </c>
      <c r="N1352" s="1833" t="str">
        <f>IF($I1268="","",IF(INDEX(F_ProductBM!N:N,MATCH($P1352,F_ProductBM!$Q:$Q,0))="","",INDEX(F_ProductBM!N:N,MATCH($P1352,F_ProductBM!$Q:$Q,0))))</f>
        <v/>
      </c>
      <c r="O1352" s="698"/>
      <c r="P1352" s="1500" t="str">
        <f>EUconst_CNTR_CO2Feedstock &amp; I1268</f>
        <v>EmCO2Feedstock_</v>
      </c>
      <c r="Q1352" s="729"/>
      <c r="R1352" s="729"/>
      <c r="S1352" s="729"/>
      <c r="T1352" s="770"/>
      <c r="U1352" s="343"/>
      <c r="V1352" s="343"/>
    </row>
    <row r="1353" spans="1:22" s="364" customFormat="1" ht="5.15" customHeight="1" x14ac:dyDescent="0.25">
      <c r="A1353" s="729"/>
      <c r="B1353" s="302"/>
      <c r="C1353" s="302"/>
      <c r="D1353" s="1820"/>
      <c r="E1353" s="643"/>
      <c r="F1353" s="643"/>
      <c r="G1353" s="626"/>
      <c r="H1353" s="640"/>
      <c r="I1353" s="640"/>
      <c r="J1353" s="640"/>
      <c r="K1353" s="640"/>
      <c r="L1353" s="640"/>
      <c r="M1353" s="640"/>
      <c r="N1353" s="1831"/>
      <c r="O1353" s="698"/>
      <c r="P1353" s="729"/>
      <c r="Q1353" s="729"/>
      <c r="R1353" s="729"/>
      <c r="S1353" s="729"/>
      <c r="T1353" s="770"/>
      <c r="U1353" s="343"/>
      <c r="V1353" s="343"/>
    </row>
    <row r="1354" spans="1:22" s="364" customFormat="1" ht="12.75" customHeight="1" x14ac:dyDescent="0.25">
      <c r="A1354" s="729"/>
      <c r="B1354" s="302"/>
      <c r="C1354" s="302"/>
      <c r="D1354" s="1820"/>
      <c r="E1354" s="2818" t="str">
        <f>Translations!$B$554</f>
        <v>Нетно количество получена топлинна енергия</v>
      </c>
      <c r="F1354" s="2701"/>
      <c r="G1354" s="1326" t="str">
        <f>EUconst_TJpa</f>
        <v>TJ / година</v>
      </c>
      <c r="H1354" s="482" t="str">
        <f>IF($I1268="","",IF(INDEX(F_ProductBM!H:H,MATCH($P1354,F_ProductBM!$Q:$Q,0))="","",INDEX(F_ProductBM!H:H,MATCH($P1354,F_ProductBM!$Q:$Q,0))))</f>
        <v/>
      </c>
      <c r="I1354" s="1824" t="str">
        <f>IF($I1268="","",IF(INDEX(F_ProductBM!I:I,MATCH($P1354,F_ProductBM!$Q:$Q,0))="","",INDEX(F_ProductBM!I:I,MATCH($P1354,F_ProductBM!$Q:$Q,0))))</f>
        <v/>
      </c>
      <c r="J1354" s="1825" t="str">
        <f>IF($I1268="","",IF(INDEX(F_ProductBM!J:J,MATCH($P1354,F_ProductBM!$Q:$Q,0))="","",INDEX(F_ProductBM!J:J,MATCH($P1354,F_ProductBM!$Q:$Q,0))))</f>
        <v/>
      </c>
      <c r="K1354" s="482" t="str">
        <f>IF($I1268="","",IF(INDEX(F_ProductBM!K:K,MATCH($P1354,F_ProductBM!$Q:$Q,0))="","",INDEX(F_ProductBM!K:K,MATCH($P1354,F_ProductBM!$Q:$Q,0))))</f>
        <v/>
      </c>
      <c r="L1354" s="482" t="str">
        <f>IF($I1268="","",IF(INDEX(F_ProductBM!L:L,MATCH($P1354,F_ProductBM!$Q:$Q,0))="","",INDEX(F_ProductBM!L:L,MATCH($P1354,F_ProductBM!$Q:$Q,0))))</f>
        <v/>
      </c>
      <c r="M1354" s="482" t="str">
        <f>IF($I1268="","",IF(INDEX(F_ProductBM!M:M,MATCH($P1354,F_ProductBM!$Q:$Q,0))="","",INDEX(F_ProductBM!M:M,MATCH($P1354,F_ProductBM!$Q:$Q,0))))</f>
        <v/>
      </c>
      <c r="N1354" s="1826" t="str">
        <f>IF($I1268="","",IF(INDEX(F_ProductBM!N:N,MATCH($P1354,F_ProductBM!$Q:$Q,0))="","",INDEX(F_ProductBM!N:N,MATCH($P1354,F_ProductBM!$Q:$Q,0))))</f>
        <v/>
      </c>
      <c r="O1354" s="698"/>
      <c r="P1354" s="1500" t="str">
        <f>EUconst_CNTR_HeatImport &amp; I1268</f>
        <v>HeatIm_</v>
      </c>
      <c r="Q1354" s="729"/>
      <c r="R1354" s="729"/>
      <c r="S1354" s="729"/>
      <c r="T1354" s="770"/>
      <c r="U1354" s="343"/>
      <c r="V1354" s="343"/>
    </row>
    <row r="1355" spans="1:22" s="364" customFormat="1" ht="12.75" customHeight="1" x14ac:dyDescent="0.25">
      <c r="A1355" s="729"/>
      <c r="B1355" s="302"/>
      <c r="C1355" s="302"/>
      <c r="D1355" s="1820"/>
      <c r="E1355" s="2819" t="str">
        <f>Translations!$B$555</f>
        <v>Специфичен EF (получена топлинна енергия)</v>
      </c>
      <c r="F1355" s="2705"/>
      <c r="G1355" s="1329" t="str">
        <f>EUconst_tCO2pTJ</f>
        <v>t CO2 / TJ</v>
      </c>
      <c r="H1355" s="484" t="str">
        <f>IF($I1268="","",IF(INDEX(F_ProductBM!H:H,MATCH($P1355,F_ProductBM!$Q:$Q,0))="","",INDEX(F_ProductBM!H:H,MATCH($P1355,F_ProductBM!$Q:$Q,0))))</f>
        <v/>
      </c>
      <c r="I1355" s="1828" t="str">
        <f>IF($I1268="","",IF(INDEX(F_ProductBM!I:I,MATCH($P1355,F_ProductBM!$Q:$Q,0))="","",INDEX(F_ProductBM!I:I,MATCH($P1355,F_ProductBM!$Q:$Q,0))))</f>
        <v/>
      </c>
      <c r="J1355" s="1829" t="str">
        <f>IF($I1268="","",IF(INDEX(F_ProductBM!J:J,MATCH($P1355,F_ProductBM!$Q:$Q,0))="","",INDEX(F_ProductBM!J:J,MATCH($P1355,F_ProductBM!$Q:$Q,0))))</f>
        <v/>
      </c>
      <c r="K1355" s="484" t="str">
        <f>IF($I1268="","",IF(INDEX(F_ProductBM!K:K,MATCH($P1355,F_ProductBM!$Q:$Q,0))="","",INDEX(F_ProductBM!K:K,MATCH($P1355,F_ProductBM!$Q:$Q,0))))</f>
        <v/>
      </c>
      <c r="L1355" s="484" t="str">
        <f>IF($I1268="","",IF(INDEX(F_ProductBM!L:L,MATCH($P1355,F_ProductBM!$Q:$Q,0))="","",INDEX(F_ProductBM!L:L,MATCH($P1355,F_ProductBM!$Q:$Q,0))))</f>
        <v/>
      </c>
      <c r="M1355" s="484" t="str">
        <f>IF($I1268="","",IF(INDEX(F_ProductBM!M:M,MATCH($P1355,F_ProductBM!$Q:$Q,0))="","",INDEX(F_ProductBM!M:M,MATCH($P1355,F_ProductBM!$Q:$Q,0))))</f>
        <v/>
      </c>
      <c r="N1355" s="1830" t="str">
        <f>IF($I1268="","",IF(INDEX(F_ProductBM!N:N,MATCH($P1355,F_ProductBM!$Q:$Q,0))="","",INDEX(F_ProductBM!N:N,MATCH($P1355,F_ProductBM!$Q:$Q,0))))</f>
        <v/>
      </c>
      <c r="O1355" s="698"/>
      <c r="P1355" s="1500" t="str">
        <f>EUconst_CNTR_HeatImportEF &amp; I1268</f>
        <v>HeatImEF_</v>
      </c>
      <c r="Q1355" s="729"/>
      <c r="R1355" s="729"/>
      <c r="S1355" s="729"/>
      <c r="T1355" s="770"/>
      <c r="U1355" s="343"/>
      <c r="V1355" s="343"/>
    </row>
    <row r="1356" spans="1:22" s="364" customFormat="1" ht="5.15" customHeight="1" x14ac:dyDescent="0.25">
      <c r="A1356" s="729"/>
      <c r="B1356" s="302"/>
      <c r="C1356" s="302"/>
      <c r="D1356" s="1820"/>
      <c r="E1356" s="643"/>
      <c r="F1356" s="643"/>
      <c r="G1356" s="626"/>
      <c r="H1356" s="640"/>
      <c r="I1356" s="640"/>
      <c r="J1356" s="640"/>
      <c r="K1356" s="640"/>
      <c r="L1356" s="640"/>
      <c r="M1356" s="640"/>
      <c r="N1356" s="1831"/>
      <c r="O1356" s="698"/>
      <c r="P1356" s="770"/>
      <c r="Q1356" s="729"/>
      <c r="R1356" s="729"/>
      <c r="S1356" s="729"/>
      <c r="T1356" s="770"/>
      <c r="U1356" s="343"/>
      <c r="V1356" s="343"/>
    </row>
    <row r="1357" spans="1:22" s="364" customFormat="1" ht="12.75" customHeight="1" x14ac:dyDescent="0.25">
      <c r="A1357" s="729"/>
      <c r="B1357" s="302"/>
      <c r="C1357" s="302"/>
      <c r="D1357" s="1820"/>
      <c r="E1357" s="2820" t="str">
        <f>Translations!$B$609</f>
        <v>Нетно количество топлинна енергия, получена от пулп</v>
      </c>
      <c r="F1357" s="2258"/>
      <c r="G1357" s="1319" t="str">
        <f>EUconst_TJpa</f>
        <v>TJ / година</v>
      </c>
      <c r="H1357" s="480" t="str">
        <f>IF($I1268="","",IF(INDEX(F_ProductBM!H:H,MATCH($P1357,F_ProductBM!$Q:$Q,0))="","",INDEX(F_ProductBM!H:H,MATCH($P1357,F_ProductBM!$Q:$Q,0))))</f>
        <v/>
      </c>
      <c r="I1357" s="1399" t="str">
        <f>IF($I1268="","",IF(INDEX(F_ProductBM!I:I,MATCH($P1357,F_ProductBM!$Q:$Q,0))="","",INDEX(F_ProductBM!I:I,MATCH($P1357,F_ProductBM!$Q:$Q,0))))</f>
        <v/>
      </c>
      <c r="J1357" s="1832" t="str">
        <f>IF($I1268="","",IF(INDEX(F_ProductBM!J:J,MATCH($P1357,F_ProductBM!$Q:$Q,0))="","",INDEX(F_ProductBM!J:J,MATCH($P1357,F_ProductBM!$Q:$Q,0))))</f>
        <v/>
      </c>
      <c r="K1357" s="480" t="str">
        <f>IF($I1268="","",IF(INDEX(F_ProductBM!K:K,MATCH($P1357,F_ProductBM!$Q:$Q,0))="","",INDEX(F_ProductBM!K:K,MATCH($P1357,F_ProductBM!$Q:$Q,0))))</f>
        <v/>
      </c>
      <c r="L1357" s="480" t="str">
        <f>IF($I1268="","",IF(INDEX(F_ProductBM!L:L,MATCH($P1357,F_ProductBM!$Q:$Q,0))="","",INDEX(F_ProductBM!L:L,MATCH($P1357,F_ProductBM!$Q:$Q,0))))</f>
        <v/>
      </c>
      <c r="M1357" s="480" t="str">
        <f>IF($I1268="","",IF(INDEX(F_ProductBM!M:M,MATCH($P1357,F_ProductBM!$Q:$Q,0))="","",INDEX(F_ProductBM!M:M,MATCH($P1357,F_ProductBM!$Q:$Q,0))))</f>
        <v/>
      </c>
      <c r="N1357" s="1833" t="str">
        <f>IF($I1268="","",IF(INDEX(F_ProductBM!N:N,MATCH($P1357,F_ProductBM!$Q:$Q,0))="","",INDEX(F_ProductBM!N:N,MATCH($P1357,F_ProductBM!$Q:$Q,0))))</f>
        <v/>
      </c>
      <c r="O1357" s="698"/>
      <c r="P1357" s="1500" t="str">
        <f>EUconst_CNTR_HeatImportPulp &amp; I1268</f>
        <v>HeatImPulp_</v>
      </c>
      <c r="Q1357" s="729"/>
      <c r="R1357" s="729"/>
      <c r="S1357" s="729"/>
      <c r="T1357" s="770"/>
      <c r="U1357" s="343"/>
      <c r="V1357" s="343"/>
    </row>
    <row r="1358" spans="1:22" s="364" customFormat="1" ht="12.75" customHeight="1" x14ac:dyDescent="0.25">
      <c r="A1358" s="729"/>
      <c r="B1358" s="302"/>
      <c r="C1358" s="302"/>
      <c r="D1358" s="1820"/>
      <c r="E1358" s="2820" t="str">
        <f>Translations!$B$558</f>
        <v>Нетно количество топлинна енергия, получена от подинсталации за азотна киселина</v>
      </c>
      <c r="F1358" s="2258"/>
      <c r="G1358" s="1319" t="str">
        <f>EUconst_TJpa</f>
        <v>TJ / година</v>
      </c>
      <c r="H1358" s="480" t="str">
        <f>IF($I1268="","",IF(INDEX(F_ProductBM!H:H,MATCH($P1358,F_ProductBM!$Q:$Q,0))="","",INDEX(F_ProductBM!H:H,MATCH($P1358,F_ProductBM!$Q:$Q,0))))</f>
        <v/>
      </c>
      <c r="I1358" s="1399" t="str">
        <f>IF($I1268="","",IF(INDEX(F_ProductBM!I:I,MATCH($P1358,F_ProductBM!$Q:$Q,0))="","",INDEX(F_ProductBM!I:I,MATCH($P1358,F_ProductBM!$Q:$Q,0))))</f>
        <v/>
      </c>
      <c r="J1358" s="1832" t="str">
        <f>IF($I1268="","",IF(INDEX(F_ProductBM!J:J,MATCH($P1358,F_ProductBM!$Q:$Q,0))="","",INDEX(F_ProductBM!J:J,MATCH($P1358,F_ProductBM!$Q:$Q,0))))</f>
        <v/>
      </c>
      <c r="K1358" s="480" t="str">
        <f>IF($I1268="","",IF(INDEX(F_ProductBM!K:K,MATCH($P1358,F_ProductBM!$Q:$Q,0))="","",INDEX(F_ProductBM!K:K,MATCH($P1358,F_ProductBM!$Q:$Q,0))))</f>
        <v/>
      </c>
      <c r="L1358" s="480" t="str">
        <f>IF($I1268="","",IF(INDEX(F_ProductBM!L:L,MATCH($P1358,F_ProductBM!$Q:$Q,0))="","",INDEX(F_ProductBM!L:L,MATCH($P1358,F_ProductBM!$Q:$Q,0))))</f>
        <v/>
      </c>
      <c r="M1358" s="480" t="str">
        <f>IF($I1268="","",IF(INDEX(F_ProductBM!M:M,MATCH($P1358,F_ProductBM!$Q:$Q,0))="","",INDEX(F_ProductBM!M:M,MATCH($P1358,F_ProductBM!$Q:$Q,0))))</f>
        <v/>
      </c>
      <c r="N1358" s="1833" t="str">
        <f>IF($I1268="","",IF(INDEX(F_ProductBM!N:N,MATCH($P1358,F_ProductBM!$Q:$Q,0))="","",INDEX(F_ProductBM!N:N,MATCH($P1358,F_ProductBM!$Q:$Q,0))))</f>
        <v/>
      </c>
      <c r="O1358" s="698"/>
      <c r="P1358" s="1500" t="str">
        <f>EUconst_CNTR_HeatImportNitric &amp; I1268</f>
        <v>HeatImNitric_</v>
      </c>
      <c r="Q1358" s="729"/>
      <c r="R1358" s="729"/>
      <c r="S1358" s="729"/>
      <c r="T1358" s="770"/>
      <c r="U1358" s="343"/>
      <c r="V1358" s="343"/>
    </row>
    <row r="1359" spans="1:22" s="364" customFormat="1" ht="5.15" customHeight="1" x14ac:dyDescent="0.25">
      <c r="A1359" s="729"/>
      <c r="B1359" s="302"/>
      <c r="C1359" s="302"/>
      <c r="D1359" s="1820"/>
      <c r="E1359" s="643"/>
      <c r="F1359" s="643"/>
      <c r="G1359" s="625"/>
      <c r="H1359" s="640"/>
      <c r="I1359" s="640"/>
      <c r="J1359" s="640"/>
      <c r="K1359" s="640"/>
      <c r="L1359" s="640"/>
      <c r="M1359" s="640"/>
      <c r="N1359" s="1831"/>
      <c r="O1359" s="698"/>
      <c r="P1359" s="770"/>
      <c r="Q1359" s="729"/>
      <c r="R1359" s="729"/>
      <c r="S1359" s="729"/>
      <c r="T1359" s="770"/>
      <c r="U1359" s="343"/>
      <c r="V1359" s="343"/>
    </row>
    <row r="1360" spans="1:22" s="364" customFormat="1" ht="12.75" customHeight="1" x14ac:dyDescent="0.25">
      <c r="A1360" s="729"/>
      <c r="B1360" s="302"/>
      <c r="C1360" s="302"/>
      <c r="D1360" s="1820"/>
      <c r="E1360" s="2818" t="str">
        <f>Translations!$B$560</f>
        <v>Нетно количество подадена топлинна енергия</v>
      </c>
      <c r="F1360" s="2701"/>
      <c r="G1360" s="1326" t="str">
        <f>EUconst_TJpa</f>
        <v>TJ / година</v>
      </c>
      <c r="H1360" s="482" t="str">
        <f>IF($I1268="","",IF(INDEX(F_ProductBM!H:H,MATCH($P1360,F_ProductBM!$Q:$Q,0))="","",INDEX(F_ProductBM!H:H,MATCH($P1360,F_ProductBM!$Q:$Q,0))))</f>
        <v/>
      </c>
      <c r="I1360" s="1824" t="str">
        <f>IF($I1268="","",IF(INDEX(F_ProductBM!I:I,MATCH($P1360,F_ProductBM!$Q:$Q,0))="","",INDEX(F_ProductBM!I:I,MATCH($P1360,F_ProductBM!$Q:$Q,0))))</f>
        <v/>
      </c>
      <c r="J1360" s="1825" t="str">
        <f>IF($I1268="","",IF(INDEX(F_ProductBM!J:J,MATCH($P1360,F_ProductBM!$Q:$Q,0))="","",INDEX(F_ProductBM!J:J,MATCH($P1360,F_ProductBM!$Q:$Q,0))))</f>
        <v/>
      </c>
      <c r="K1360" s="482" t="str">
        <f>IF($I1268="","",IF(INDEX(F_ProductBM!K:K,MATCH($P1360,F_ProductBM!$Q:$Q,0))="","",INDEX(F_ProductBM!K:K,MATCH($P1360,F_ProductBM!$Q:$Q,0))))</f>
        <v/>
      </c>
      <c r="L1360" s="482" t="str">
        <f>IF($I1268="","",IF(INDEX(F_ProductBM!L:L,MATCH($P1360,F_ProductBM!$Q:$Q,0))="","",INDEX(F_ProductBM!L:L,MATCH($P1360,F_ProductBM!$Q:$Q,0))))</f>
        <v/>
      </c>
      <c r="M1360" s="482" t="str">
        <f>IF($I1268="","",IF(INDEX(F_ProductBM!M:M,MATCH($P1360,F_ProductBM!$Q:$Q,0))="","",INDEX(F_ProductBM!M:M,MATCH($P1360,F_ProductBM!$Q:$Q,0))))</f>
        <v/>
      </c>
      <c r="N1360" s="1826" t="str">
        <f>IF($I1268="","",IF(INDEX(F_ProductBM!N:N,MATCH($P1360,F_ProductBM!$Q:$Q,0))="","",INDEX(F_ProductBM!N:N,MATCH($P1360,F_ProductBM!$Q:$Q,0))))</f>
        <v/>
      </c>
      <c r="O1360" s="698"/>
      <c r="P1360" s="1500" t="str">
        <f>EUconst_CNTR_HeatExport &amp; I1268</f>
        <v>HeatEx_</v>
      </c>
      <c r="Q1360" s="729"/>
      <c r="R1360" s="729"/>
      <c r="S1360" s="729"/>
      <c r="T1360" s="770"/>
      <c r="U1360" s="343"/>
      <c r="V1360" s="343"/>
    </row>
    <row r="1361" spans="1:22" s="364" customFormat="1" ht="12.75" customHeight="1" x14ac:dyDescent="0.25">
      <c r="A1361" s="729"/>
      <c r="B1361" s="302"/>
      <c r="C1361" s="302"/>
      <c r="D1361" s="1820"/>
      <c r="E1361" s="2819" t="str">
        <f>Translations!$B$561</f>
        <v>Специфичен EF (подадена топлинна енергия)</v>
      </c>
      <c r="F1361" s="2705"/>
      <c r="G1361" s="1329" t="str">
        <f>EUconst_tCO2pTJ</f>
        <v>t CO2 / TJ</v>
      </c>
      <c r="H1361" s="484" t="str">
        <f>IF($I1268="","",IF(INDEX(F_ProductBM!H:H,MATCH($P1361,F_ProductBM!$Q:$Q,0))="","",INDEX(F_ProductBM!H:H,MATCH($P1361,F_ProductBM!$Q:$Q,0))))</f>
        <v/>
      </c>
      <c r="I1361" s="1828" t="str">
        <f>IF($I1268="","",IF(INDEX(F_ProductBM!I:I,MATCH($P1361,F_ProductBM!$Q:$Q,0))="","",INDEX(F_ProductBM!I:I,MATCH($P1361,F_ProductBM!$Q:$Q,0))))</f>
        <v/>
      </c>
      <c r="J1361" s="1829" t="str">
        <f>IF($I1268="","",IF(INDEX(F_ProductBM!J:J,MATCH($P1361,F_ProductBM!$Q:$Q,0))="","",INDEX(F_ProductBM!J:J,MATCH($P1361,F_ProductBM!$Q:$Q,0))))</f>
        <v/>
      </c>
      <c r="K1361" s="484" t="str">
        <f>IF($I1268="","",IF(INDEX(F_ProductBM!K:K,MATCH($P1361,F_ProductBM!$Q:$Q,0))="","",INDEX(F_ProductBM!K:K,MATCH($P1361,F_ProductBM!$Q:$Q,0))))</f>
        <v/>
      </c>
      <c r="L1361" s="484" t="str">
        <f>IF($I1268="","",IF(INDEX(F_ProductBM!L:L,MATCH($P1361,F_ProductBM!$Q:$Q,0))="","",INDEX(F_ProductBM!L:L,MATCH($P1361,F_ProductBM!$Q:$Q,0))))</f>
        <v/>
      </c>
      <c r="M1361" s="484" t="str">
        <f>IF($I1268="","",IF(INDEX(F_ProductBM!M:M,MATCH($P1361,F_ProductBM!$Q:$Q,0))="","",INDEX(F_ProductBM!M:M,MATCH($P1361,F_ProductBM!$Q:$Q,0))))</f>
        <v/>
      </c>
      <c r="N1361" s="1830" t="str">
        <f>IF($I1268="","",IF(INDEX(F_ProductBM!N:N,MATCH($P1361,F_ProductBM!$Q:$Q,0))="","",INDEX(F_ProductBM!N:N,MATCH($P1361,F_ProductBM!$Q:$Q,0))))</f>
        <v/>
      </c>
      <c r="O1361" s="698"/>
      <c r="P1361" s="1500" t="str">
        <f>EUconst_CNTR_HeatExportEF &amp; I1268</f>
        <v>HeatExEF_</v>
      </c>
      <c r="Q1361" s="729"/>
      <c r="R1361" s="729"/>
      <c r="S1361" s="729"/>
      <c r="T1361" s="770"/>
      <c r="U1361" s="343"/>
      <c r="V1361" s="343"/>
    </row>
    <row r="1362" spans="1:22" s="364" customFormat="1" ht="5.15" customHeight="1" x14ac:dyDescent="0.25">
      <c r="A1362" s="729"/>
      <c r="B1362" s="302"/>
      <c r="C1362" s="302"/>
      <c r="D1362" s="1820"/>
      <c r="E1362" s="643"/>
      <c r="F1362" s="643"/>
      <c r="G1362" s="625"/>
      <c r="H1362" s="640"/>
      <c r="I1362" s="640"/>
      <c r="J1362" s="640"/>
      <c r="K1362" s="640"/>
      <c r="L1362" s="640"/>
      <c r="M1362" s="640"/>
      <c r="N1362" s="1831"/>
      <c r="O1362" s="698"/>
      <c r="P1362" s="770"/>
      <c r="Q1362" s="729"/>
      <c r="R1362" s="729"/>
      <c r="S1362" s="729"/>
      <c r="T1362" s="770"/>
      <c r="U1362" s="343"/>
      <c r="V1362" s="343"/>
    </row>
    <row r="1363" spans="1:22" s="364" customFormat="1" ht="12.75" customHeight="1" x14ac:dyDescent="0.25">
      <c r="A1363" s="729"/>
      <c r="B1363" s="302"/>
      <c r="C1363" s="302"/>
      <c r="D1363" s="1820"/>
      <c r="E1363" s="2818" t="str">
        <f>Translations!$B$568</f>
        <v>Произведен отпаден газ</v>
      </c>
      <c r="F1363" s="2701"/>
      <c r="G1363" s="1326" t="str">
        <f>EUconst_TJpa</f>
        <v>TJ / година</v>
      </c>
      <c r="H1363" s="482" t="str">
        <f>IF($I1268="","",IF(INDEX(F_ProductBM!H:H,MATCH($P1363,F_ProductBM!$Q:$Q,0))="","",INDEX(F_ProductBM!H:H,MATCH($P1363,F_ProductBM!$Q:$Q,0))))</f>
        <v/>
      </c>
      <c r="I1363" s="1824" t="str">
        <f>IF($I1268="","",IF(INDEX(F_ProductBM!I:I,MATCH($P1363,F_ProductBM!$Q:$Q,0))="","",INDEX(F_ProductBM!I:I,MATCH($P1363,F_ProductBM!$Q:$Q,0))))</f>
        <v/>
      </c>
      <c r="J1363" s="1825" t="str">
        <f>IF($I1268="","",IF(INDEX(F_ProductBM!J:J,MATCH($P1363,F_ProductBM!$Q:$Q,0))="","",INDEX(F_ProductBM!J:J,MATCH($P1363,F_ProductBM!$Q:$Q,0))))</f>
        <v/>
      </c>
      <c r="K1363" s="482" t="str">
        <f>IF($I1268="","",IF(INDEX(F_ProductBM!K:K,MATCH($P1363,F_ProductBM!$Q:$Q,0))="","",INDEX(F_ProductBM!K:K,MATCH($P1363,F_ProductBM!$Q:$Q,0))))</f>
        <v/>
      </c>
      <c r="L1363" s="482" t="str">
        <f>IF($I1268="","",IF(INDEX(F_ProductBM!L:L,MATCH($P1363,F_ProductBM!$Q:$Q,0))="","",INDEX(F_ProductBM!L:L,MATCH($P1363,F_ProductBM!$Q:$Q,0))))</f>
        <v/>
      </c>
      <c r="M1363" s="482" t="str">
        <f>IF($I1268="","",IF(INDEX(F_ProductBM!M:M,MATCH($P1363,F_ProductBM!$Q:$Q,0))="","",INDEX(F_ProductBM!M:M,MATCH($P1363,F_ProductBM!$Q:$Q,0))))</f>
        <v/>
      </c>
      <c r="N1363" s="1826" t="str">
        <f>IF($I1268="","",IF(INDEX(F_ProductBM!N:N,MATCH($P1363,F_ProductBM!$Q:$Q,0))="","",INDEX(F_ProductBM!N:N,MATCH($P1363,F_ProductBM!$Q:$Q,0))))</f>
        <v/>
      </c>
      <c r="O1363" s="698"/>
      <c r="P1363" s="1827" t="str">
        <f>EUconst_CNTR_WGProduced &amp; I1268</f>
        <v>WasteGasProd_</v>
      </c>
      <c r="Q1363" s="729"/>
      <c r="R1363" s="729"/>
      <c r="S1363" s="729"/>
      <c r="T1363" s="770"/>
      <c r="U1363" s="343"/>
      <c r="V1363" s="343"/>
    </row>
    <row r="1364" spans="1:22" s="364" customFormat="1" ht="12.75" customHeight="1" x14ac:dyDescent="0.25">
      <c r="A1364" s="729"/>
      <c r="B1364" s="302"/>
      <c r="C1364" s="302"/>
      <c r="D1364" s="1820"/>
      <c r="E1364" s="2819" t="str">
        <f>Translations!$B$569</f>
        <v>Специфичен EF (произведен отпаден газ)</v>
      </c>
      <c r="F1364" s="2705"/>
      <c r="G1364" s="1329" t="str">
        <f>EUconst_tCO2pTJ</f>
        <v>t CO2 / TJ</v>
      </c>
      <c r="H1364" s="484" t="str">
        <f>IF($I1268="","",IF(INDEX(F_ProductBM!H:H,MATCH($P1364,F_ProductBM!$Q:$Q,0))="","",INDEX(F_ProductBM!H:H,MATCH($P1364,F_ProductBM!$Q:$Q,0))))</f>
        <v/>
      </c>
      <c r="I1364" s="1828" t="str">
        <f>IF($I1268="","",IF(INDEX(F_ProductBM!I:I,MATCH($P1364,F_ProductBM!$Q:$Q,0))="","",INDEX(F_ProductBM!I:I,MATCH($P1364,F_ProductBM!$Q:$Q,0))))</f>
        <v/>
      </c>
      <c r="J1364" s="1829" t="str">
        <f>IF($I1268="","",IF(INDEX(F_ProductBM!J:J,MATCH($P1364,F_ProductBM!$Q:$Q,0))="","",INDEX(F_ProductBM!J:J,MATCH($P1364,F_ProductBM!$Q:$Q,0))))</f>
        <v/>
      </c>
      <c r="K1364" s="484" t="str">
        <f>IF($I1268="","",IF(INDEX(F_ProductBM!K:K,MATCH($P1364,F_ProductBM!$Q:$Q,0))="","",INDEX(F_ProductBM!K:K,MATCH($P1364,F_ProductBM!$Q:$Q,0))))</f>
        <v/>
      </c>
      <c r="L1364" s="484" t="str">
        <f>IF($I1268="","",IF(INDEX(F_ProductBM!L:L,MATCH($P1364,F_ProductBM!$Q:$Q,0))="","",INDEX(F_ProductBM!L:L,MATCH($P1364,F_ProductBM!$Q:$Q,0))))</f>
        <v/>
      </c>
      <c r="M1364" s="484" t="str">
        <f>IF($I1268="","",IF(INDEX(F_ProductBM!M:M,MATCH($P1364,F_ProductBM!$Q:$Q,0))="","",INDEX(F_ProductBM!M:M,MATCH($P1364,F_ProductBM!$Q:$Q,0))))</f>
        <v/>
      </c>
      <c r="N1364" s="1830" t="str">
        <f>IF($I1268="","",IF(INDEX(F_ProductBM!N:N,MATCH($P1364,F_ProductBM!$Q:$Q,0))="","",INDEX(F_ProductBM!N:N,MATCH($P1364,F_ProductBM!$Q:$Q,0))))</f>
        <v/>
      </c>
      <c r="O1364" s="698"/>
      <c r="P1364" s="1500" t="str">
        <f>EUconst_CNTR_WGProducedEF &amp; I1268</f>
        <v>WasteGasProdEF_</v>
      </c>
      <c r="Q1364" s="729"/>
      <c r="R1364" s="729"/>
      <c r="S1364" s="729"/>
      <c r="T1364" s="770"/>
      <c r="U1364" s="343"/>
      <c r="V1364" s="343"/>
    </row>
    <row r="1365" spans="1:22" s="364" customFormat="1" ht="12.75" customHeight="1" x14ac:dyDescent="0.25">
      <c r="A1365" s="729"/>
      <c r="B1365" s="302"/>
      <c r="C1365" s="302"/>
      <c r="D1365" s="1820"/>
      <c r="E1365" s="2818" t="str">
        <f>Translations!$B$573</f>
        <v>Консумиран отпаден газ</v>
      </c>
      <c r="F1365" s="2701"/>
      <c r="G1365" s="1326" t="str">
        <f>EUconst_TJpa</f>
        <v>TJ / година</v>
      </c>
      <c r="H1365" s="482" t="str">
        <f>IF($I1268="","",IF(INDEX(F_ProductBM!H:H,MATCH($P1365,F_ProductBM!$Q:$Q,0))="","",INDEX(F_ProductBM!H:H,MATCH($P1365,F_ProductBM!$Q:$Q,0))))</f>
        <v/>
      </c>
      <c r="I1365" s="1824" t="str">
        <f>IF($I1268="","",IF(INDEX(F_ProductBM!I:I,MATCH($P1365,F_ProductBM!$Q:$Q,0))="","",INDEX(F_ProductBM!I:I,MATCH($P1365,F_ProductBM!$Q:$Q,0))))</f>
        <v/>
      </c>
      <c r="J1365" s="1825" t="str">
        <f>IF($I1268="","",IF(INDEX(F_ProductBM!J:J,MATCH($P1365,F_ProductBM!$Q:$Q,0))="","",INDEX(F_ProductBM!J:J,MATCH($P1365,F_ProductBM!$Q:$Q,0))))</f>
        <v/>
      </c>
      <c r="K1365" s="482" t="str">
        <f>IF($I1268="","",IF(INDEX(F_ProductBM!K:K,MATCH($P1365,F_ProductBM!$Q:$Q,0))="","",INDEX(F_ProductBM!K:K,MATCH($P1365,F_ProductBM!$Q:$Q,0))))</f>
        <v/>
      </c>
      <c r="L1365" s="482" t="str">
        <f>IF($I1268="","",IF(INDEX(F_ProductBM!L:L,MATCH($P1365,F_ProductBM!$Q:$Q,0))="","",INDEX(F_ProductBM!L:L,MATCH($P1365,F_ProductBM!$Q:$Q,0))))</f>
        <v/>
      </c>
      <c r="M1365" s="482" t="str">
        <f>IF($I1268="","",IF(INDEX(F_ProductBM!M:M,MATCH($P1365,F_ProductBM!$Q:$Q,0))="","",INDEX(F_ProductBM!M:M,MATCH($P1365,F_ProductBM!$Q:$Q,0))))</f>
        <v/>
      </c>
      <c r="N1365" s="1826" t="str">
        <f>IF($I1268="","",IF(INDEX(F_ProductBM!N:N,MATCH($P1365,F_ProductBM!$Q:$Q,0))="","",INDEX(F_ProductBM!N:N,MATCH($P1365,F_ProductBM!$Q:$Q,0))))</f>
        <v/>
      </c>
      <c r="O1365" s="698"/>
      <c r="P1365" s="1500" t="str">
        <f>EUconst_CNTR_WGConsumed &amp; I1268</f>
        <v>WasteGasCons_</v>
      </c>
      <c r="Q1365" s="729"/>
      <c r="R1365" s="729"/>
      <c r="S1365" s="729"/>
      <c r="T1365" s="770"/>
      <c r="U1365" s="343"/>
      <c r="V1365" s="343"/>
    </row>
    <row r="1366" spans="1:22" s="364" customFormat="1" ht="12.75" customHeight="1" x14ac:dyDescent="0.25">
      <c r="A1366" s="729"/>
      <c r="B1366" s="302"/>
      <c r="C1366" s="302"/>
      <c r="D1366" s="1820"/>
      <c r="E1366" s="2819" t="str">
        <f>Translations!$B$574</f>
        <v>Специфичен EF (консумиран отпаден газ)</v>
      </c>
      <c r="F1366" s="2705"/>
      <c r="G1366" s="1329" t="str">
        <f>EUconst_tCO2pTJ</f>
        <v>t CO2 / TJ</v>
      </c>
      <c r="H1366" s="484" t="str">
        <f>IF($I1268="","",IF(INDEX(F_ProductBM!H:H,MATCH($P1366,F_ProductBM!$Q:$Q,0))="","",INDEX(F_ProductBM!H:H,MATCH($P1366,F_ProductBM!$Q:$Q,0))))</f>
        <v/>
      </c>
      <c r="I1366" s="1828" t="str">
        <f>IF($I1268="","",IF(INDEX(F_ProductBM!I:I,MATCH($P1366,F_ProductBM!$Q:$Q,0))="","",INDEX(F_ProductBM!I:I,MATCH($P1366,F_ProductBM!$Q:$Q,0))))</f>
        <v/>
      </c>
      <c r="J1366" s="1829" t="str">
        <f>IF($I1268="","",IF(INDEX(F_ProductBM!J:J,MATCH($P1366,F_ProductBM!$Q:$Q,0))="","",INDEX(F_ProductBM!J:J,MATCH($P1366,F_ProductBM!$Q:$Q,0))))</f>
        <v/>
      </c>
      <c r="K1366" s="484" t="str">
        <f>IF($I1268="","",IF(INDEX(F_ProductBM!K:K,MATCH($P1366,F_ProductBM!$Q:$Q,0))="","",INDEX(F_ProductBM!K:K,MATCH($P1366,F_ProductBM!$Q:$Q,0))))</f>
        <v/>
      </c>
      <c r="L1366" s="484" t="str">
        <f>IF($I1268="","",IF(INDEX(F_ProductBM!L:L,MATCH($P1366,F_ProductBM!$Q:$Q,0))="","",INDEX(F_ProductBM!L:L,MATCH($P1366,F_ProductBM!$Q:$Q,0))))</f>
        <v/>
      </c>
      <c r="M1366" s="484" t="str">
        <f>IF($I1268="","",IF(INDEX(F_ProductBM!M:M,MATCH($P1366,F_ProductBM!$Q:$Q,0))="","",INDEX(F_ProductBM!M:M,MATCH($P1366,F_ProductBM!$Q:$Q,0))))</f>
        <v/>
      </c>
      <c r="N1366" s="1830" t="str">
        <f>IF($I1268="","",IF(INDEX(F_ProductBM!N:N,MATCH($P1366,F_ProductBM!$Q:$Q,0))="","",INDEX(F_ProductBM!N:N,MATCH($P1366,F_ProductBM!$Q:$Q,0))))</f>
        <v/>
      </c>
      <c r="O1366" s="698"/>
      <c r="P1366" s="1500" t="str">
        <f>EUconst_CNTR_WGConsumedEF &amp; I1268</f>
        <v>WasteGasConsEF_</v>
      </c>
      <c r="Q1366" s="729"/>
      <c r="R1366" s="729"/>
      <c r="S1366" s="729"/>
      <c r="T1366" s="770"/>
      <c r="U1366" s="343"/>
      <c r="V1366" s="343"/>
    </row>
    <row r="1367" spans="1:22" s="364" customFormat="1" ht="12.75" customHeight="1" x14ac:dyDescent="0.25">
      <c r="A1367" s="729"/>
      <c r="B1367" s="302"/>
      <c r="C1367" s="302"/>
      <c r="D1367" s="1820"/>
      <c r="E1367" s="2818" t="str">
        <f>Translations!$B$580</f>
        <v>Изгорен във факел отпаден газ</v>
      </c>
      <c r="F1367" s="2701"/>
      <c r="G1367" s="1326" t="str">
        <f>EUconst_TJpa</f>
        <v>TJ / година</v>
      </c>
      <c r="H1367" s="482" t="str">
        <f>IF($I1268="","",IF(INDEX(F_ProductBM!H:H,MATCH($P1367,F_ProductBM!$Q:$Q,0))="","",INDEX(F_ProductBM!H:H,MATCH($P1367,F_ProductBM!$Q:$Q,0))))</f>
        <v/>
      </c>
      <c r="I1367" s="1824" t="str">
        <f>IF($I1268="","",IF(INDEX(F_ProductBM!I:I,MATCH($P1367,F_ProductBM!$Q:$Q,0))="","",INDEX(F_ProductBM!I:I,MATCH($P1367,F_ProductBM!$Q:$Q,0))))</f>
        <v/>
      </c>
      <c r="J1367" s="1825" t="str">
        <f>IF($I1268="","",IF(INDEX(F_ProductBM!J:J,MATCH($P1367,F_ProductBM!$Q:$Q,0))="","",INDEX(F_ProductBM!J:J,MATCH($P1367,F_ProductBM!$Q:$Q,0))))</f>
        <v/>
      </c>
      <c r="K1367" s="482" t="str">
        <f>IF($I1268="","",IF(INDEX(F_ProductBM!K:K,MATCH($P1367,F_ProductBM!$Q:$Q,0))="","",INDEX(F_ProductBM!K:K,MATCH($P1367,F_ProductBM!$Q:$Q,0))))</f>
        <v/>
      </c>
      <c r="L1367" s="482" t="str">
        <f>IF($I1268="","",IF(INDEX(F_ProductBM!L:L,MATCH($P1367,F_ProductBM!$Q:$Q,0))="","",INDEX(F_ProductBM!L:L,MATCH($P1367,F_ProductBM!$Q:$Q,0))))</f>
        <v/>
      </c>
      <c r="M1367" s="482" t="str">
        <f>IF($I1268="","",IF(INDEX(F_ProductBM!M:M,MATCH($P1367,F_ProductBM!$Q:$Q,0))="","",INDEX(F_ProductBM!M:M,MATCH($P1367,F_ProductBM!$Q:$Q,0))))</f>
        <v/>
      </c>
      <c r="N1367" s="1826" t="str">
        <f>IF($I1268="","",IF(INDEX(F_ProductBM!N:N,MATCH($P1367,F_ProductBM!$Q:$Q,0))="","",INDEX(F_ProductBM!N:N,MATCH($P1367,F_ProductBM!$Q:$Q,0))))</f>
        <v/>
      </c>
      <c r="O1367" s="698"/>
      <c r="P1367" s="1500" t="str">
        <f>EUconst_CNTR_WGFlared &amp; I1268</f>
        <v>WasteGasFlare_</v>
      </c>
      <c r="Q1367" s="729"/>
      <c r="R1367" s="729"/>
      <c r="S1367" s="729"/>
      <c r="T1367" s="770"/>
      <c r="U1367" s="343"/>
      <c r="V1367" s="343"/>
    </row>
    <row r="1368" spans="1:22" s="364" customFormat="1" ht="12.75" customHeight="1" x14ac:dyDescent="0.25">
      <c r="A1368" s="729"/>
      <c r="B1368" s="302"/>
      <c r="C1368" s="302"/>
      <c r="D1368" s="1820"/>
      <c r="E1368" s="2819" t="str">
        <f>Translations!$B$581</f>
        <v>Специфичен EF (изгорен във факел отпаден газ)</v>
      </c>
      <c r="F1368" s="2705"/>
      <c r="G1368" s="1329" t="str">
        <f>EUconst_tCO2pTJ</f>
        <v>t CO2 / TJ</v>
      </c>
      <c r="H1368" s="484" t="str">
        <f>IF($I1268="","",IF(INDEX(F_ProductBM!H:H,MATCH($P1368,F_ProductBM!$Q:$Q,0))="","",INDEX(F_ProductBM!H:H,MATCH($P1368,F_ProductBM!$Q:$Q,0))))</f>
        <v/>
      </c>
      <c r="I1368" s="1828" t="str">
        <f>IF($I1268="","",IF(INDEX(F_ProductBM!I:I,MATCH($P1368,F_ProductBM!$Q:$Q,0))="","",INDEX(F_ProductBM!I:I,MATCH($P1368,F_ProductBM!$Q:$Q,0))))</f>
        <v/>
      </c>
      <c r="J1368" s="1829" t="str">
        <f>IF($I1268="","",IF(INDEX(F_ProductBM!J:J,MATCH($P1368,F_ProductBM!$Q:$Q,0))="","",INDEX(F_ProductBM!J:J,MATCH($P1368,F_ProductBM!$Q:$Q,0))))</f>
        <v/>
      </c>
      <c r="K1368" s="484" t="str">
        <f>IF($I1268="","",IF(INDEX(F_ProductBM!K:K,MATCH($P1368,F_ProductBM!$Q:$Q,0))="","",INDEX(F_ProductBM!K:K,MATCH($P1368,F_ProductBM!$Q:$Q,0))))</f>
        <v/>
      </c>
      <c r="L1368" s="484" t="str">
        <f>IF($I1268="","",IF(INDEX(F_ProductBM!L:L,MATCH($P1368,F_ProductBM!$Q:$Q,0))="","",INDEX(F_ProductBM!L:L,MATCH($P1368,F_ProductBM!$Q:$Q,0))))</f>
        <v/>
      </c>
      <c r="M1368" s="484" t="str">
        <f>IF($I1268="","",IF(INDEX(F_ProductBM!M:M,MATCH($P1368,F_ProductBM!$Q:$Q,0))="","",INDEX(F_ProductBM!M:M,MATCH($P1368,F_ProductBM!$Q:$Q,0))))</f>
        <v/>
      </c>
      <c r="N1368" s="1830" t="str">
        <f>IF($I1268="","",IF(INDEX(F_ProductBM!N:N,MATCH($P1368,F_ProductBM!$Q:$Q,0))="","",INDEX(F_ProductBM!N:N,MATCH($P1368,F_ProductBM!$Q:$Q,0))))</f>
        <v/>
      </c>
      <c r="O1368" s="698"/>
      <c r="P1368" s="1500" t="str">
        <f>EUconst_CNTR_WGFlaredEF &amp; I1268</f>
        <v>WasteGasFlareEF_</v>
      </c>
      <c r="Q1368" s="729"/>
      <c r="R1368" s="729"/>
      <c r="S1368" s="729"/>
      <c r="T1368" s="770"/>
      <c r="U1368" s="343"/>
      <c r="V1368" s="343"/>
    </row>
    <row r="1369" spans="1:22" s="364" customFormat="1" ht="12.75" customHeight="1" x14ac:dyDescent="0.25">
      <c r="A1369" s="729"/>
      <c r="B1369" s="302"/>
      <c r="C1369" s="302"/>
      <c r="D1369" s="1820"/>
      <c r="E1369" s="2818" t="str">
        <f>Translations!$B$586</f>
        <v>Получен отпаден газ</v>
      </c>
      <c r="F1369" s="2701"/>
      <c r="G1369" s="1326" t="str">
        <f>EUconst_TJpa</f>
        <v>TJ / година</v>
      </c>
      <c r="H1369" s="482" t="str">
        <f>IF($I1268="","",IF(INDEX(F_ProductBM!H:H,MATCH($P1369,F_ProductBM!$Q:$Q,0))="","",INDEX(F_ProductBM!H:H,MATCH($P1369,F_ProductBM!$Q:$Q,0))))</f>
        <v/>
      </c>
      <c r="I1369" s="1824" t="str">
        <f>IF($I1268="","",IF(INDEX(F_ProductBM!I:I,MATCH($P1369,F_ProductBM!$Q:$Q,0))="","",INDEX(F_ProductBM!I:I,MATCH($P1369,F_ProductBM!$Q:$Q,0))))</f>
        <v/>
      </c>
      <c r="J1369" s="1825" t="str">
        <f>IF($I1268="","",IF(INDEX(F_ProductBM!J:J,MATCH($P1369,F_ProductBM!$Q:$Q,0))="","",INDEX(F_ProductBM!J:J,MATCH($P1369,F_ProductBM!$Q:$Q,0))))</f>
        <v/>
      </c>
      <c r="K1369" s="482" t="str">
        <f>IF($I1268="","",IF(INDEX(F_ProductBM!K:K,MATCH($P1369,F_ProductBM!$Q:$Q,0))="","",INDEX(F_ProductBM!K:K,MATCH($P1369,F_ProductBM!$Q:$Q,0))))</f>
        <v/>
      </c>
      <c r="L1369" s="482" t="str">
        <f>IF($I1268="","",IF(INDEX(F_ProductBM!L:L,MATCH($P1369,F_ProductBM!$Q:$Q,0))="","",INDEX(F_ProductBM!L:L,MATCH($P1369,F_ProductBM!$Q:$Q,0))))</f>
        <v/>
      </c>
      <c r="M1369" s="482" t="str">
        <f>IF($I1268="","",IF(INDEX(F_ProductBM!M:M,MATCH($P1369,F_ProductBM!$Q:$Q,0))="","",INDEX(F_ProductBM!M:M,MATCH($P1369,F_ProductBM!$Q:$Q,0))))</f>
        <v/>
      </c>
      <c r="N1369" s="1826" t="str">
        <f>IF($I1268="","",IF(INDEX(F_ProductBM!N:N,MATCH($P1369,F_ProductBM!$Q:$Q,0))="","",INDEX(F_ProductBM!N:N,MATCH($P1369,F_ProductBM!$Q:$Q,0))))</f>
        <v/>
      </c>
      <c r="O1369" s="698"/>
      <c r="P1369" s="1500" t="str">
        <f>EUconst_CNTR_WGImport &amp; I1268</f>
        <v>WasteGasIm_</v>
      </c>
      <c r="Q1369" s="729"/>
      <c r="R1369" s="729"/>
      <c r="S1369" s="729"/>
      <c r="T1369" s="770"/>
      <c r="U1369" s="343"/>
      <c r="V1369" s="343"/>
    </row>
    <row r="1370" spans="1:22" s="364" customFormat="1" ht="12.75" customHeight="1" x14ac:dyDescent="0.25">
      <c r="A1370" s="729"/>
      <c r="B1370" s="302"/>
      <c r="C1370" s="302"/>
      <c r="D1370" s="1820"/>
      <c r="E1370" s="1834" t="str">
        <f>Translations!$B$587</f>
        <v>Специфичен EF (получен отпаден газ)</v>
      </c>
      <c r="F1370" s="1834"/>
      <c r="G1370" s="639" t="str">
        <f>EUconst_tCO2pTJ</f>
        <v>t CO2 / TJ</v>
      </c>
      <c r="H1370" s="484" t="str">
        <f>IF($I1268="","",IF(INDEX(F_ProductBM!H:H,MATCH($P1370,F_ProductBM!$Q:$Q,0))="","",INDEX(F_ProductBM!H:H,MATCH($P1370,F_ProductBM!$Q:$Q,0))))</f>
        <v/>
      </c>
      <c r="I1370" s="1828" t="str">
        <f>IF($I1268="","",IF(INDEX(F_ProductBM!I:I,MATCH($P1370,F_ProductBM!$Q:$Q,0))="","",INDEX(F_ProductBM!I:I,MATCH($P1370,F_ProductBM!$Q:$Q,0))))</f>
        <v/>
      </c>
      <c r="J1370" s="1829" t="str">
        <f>IF($I1268="","",IF(INDEX(F_ProductBM!J:J,MATCH($P1370,F_ProductBM!$Q:$Q,0))="","",INDEX(F_ProductBM!J:J,MATCH($P1370,F_ProductBM!$Q:$Q,0))))</f>
        <v/>
      </c>
      <c r="K1370" s="484" t="str">
        <f>IF($I1268="","",IF(INDEX(F_ProductBM!K:K,MATCH($P1370,F_ProductBM!$Q:$Q,0))="","",INDEX(F_ProductBM!K:K,MATCH($P1370,F_ProductBM!$Q:$Q,0))))</f>
        <v/>
      </c>
      <c r="L1370" s="484" t="str">
        <f>IF($I1268="","",IF(INDEX(F_ProductBM!L:L,MATCH($P1370,F_ProductBM!$Q:$Q,0))="","",INDEX(F_ProductBM!L:L,MATCH($P1370,F_ProductBM!$Q:$Q,0))))</f>
        <v/>
      </c>
      <c r="M1370" s="484" t="str">
        <f>IF($I1268="","",IF(INDEX(F_ProductBM!M:M,MATCH($P1370,F_ProductBM!$Q:$Q,0))="","",INDEX(F_ProductBM!M:M,MATCH($P1370,F_ProductBM!$Q:$Q,0))))</f>
        <v/>
      </c>
      <c r="N1370" s="1830" t="str">
        <f>IF($I1268="","",IF(INDEX(F_ProductBM!N:N,MATCH($P1370,F_ProductBM!$Q:$Q,0))="","",INDEX(F_ProductBM!N:N,MATCH($P1370,F_ProductBM!$Q:$Q,0))))</f>
        <v/>
      </c>
      <c r="O1370" s="698"/>
      <c r="P1370" s="1500" t="str">
        <f>EUconst_CNTR_WGImportEF &amp; I1268</f>
        <v>WasteGasImEF_</v>
      </c>
      <c r="Q1370" s="729"/>
      <c r="R1370" s="729"/>
      <c r="S1370" s="729"/>
      <c r="T1370" s="770"/>
      <c r="U1370" s="343"/>
      <c r="V1370" s="343"/>
    </row>
    <row r="1371" spans="1:22" s="364" customFormat="1" ht="12.75" customHeight="1" x14ac:dyDescent="0.25">
      <c r="A1371" s="729"/>
      <c r="B1371" s="302"/>
      <c r="C1371" s="302"/>
      <c r="D1371" s="1820"/>
      <c r="E1371" s="2818" t="str">
        <f>Translations!$B$591</f>
        <v>Подаден отпаден газ</v>
      </c>
      <c r="F1371" s="2701"/>
      <c r="G1371" s="1326" t="str">
        <f>EUconst_TJpa</f>
        <v>TJ / година</v>
      </c>
      <c r="H1371" s="482" t="str">
        <f>IF($I1268="","",IF(INDEX(F_ProductBM!H:H,MATCH($P1371,F_ProductBM!$Q:$Q,0))="","",INDEX(F_ProductBM!H:H,MATCH($P1371,F_ProductBM!$Q:$Q,0))))</f>
        <v/>
      </c>
      <c r="I1371" s="1824" t="str">
        <f>IF($I1268="","",IF(INDEX(F_ProductBM!I:I,MATCH($P1371,F_ProductBM!$Q:$Q,0))="","",INDEX(F_ProductBM!I:I,MATCH($P1371,F_ProductBM!$Q:$Q,0))))</f>
        <v/>
      </c>
      <c r="J1371" s="1825" t="str">
        <f>IF($I1268="","",IF(INDEX(F_ProductBM!J:J,MATCH($P1371,F_ProductBM!$Q:$Q,0))="","",INDEX(F_ProductBM!J:J,MATCH($P1371,F_ProductBM!$Q:$Q,0))))</f>
        <v/>
      </c>
      <c r="K1371" s="482" t="str">
        <f>IF($I1268="","",IF(INDEX(F_ProductBM!K:K,MATCH($P1371,F_ProductBM!$Q:$Q,0))="","",INDEX(F_ProductBM!K:K,MATCH($P1371,F_ProductBM!$Q:$Q,0))))</f>
        <v/>
      </c>
      <c r="L1371" s="482" t="str">
        <f>IF($I1268="","",IF(INDEX(F_ProductBM!L:L,MATCH($P1371,F_ProductBM!$Q:$Q,0))="","",INDEX(F_ProductBM!L:L,MATCH($P1371,F_ProductBM!$Q:$Q,0))))</f>
        <v/>
      </c>
      <c r="M1371" s="482" t="str">
        <f>IF($I1268="","",IF(INDEX(F_ProductBM!M:M,MATCH($P1371,F_ProductBM!$Q:$Q,0))="","",INDEX(F_ProductBM!M:M,MATCH($P1371,F_ProductBM!$Q:$Q,0))))</f>
        <v/>
      </c>
      <c r="N1371" s="1826" t="str">
        <f>IF($I1268="","",IF(INDEX(F_ProductBM!N:N,MATCH($P1371,F_ProductBM!$Q:$Q,0))="","",INDEX(F_ProductBM!N:N,MATCH($P1371,F_ProductBM!$Q:$Q,0))))</f>
        <v/>
      </c>
      <c r="O1371" s="698"/>
      <c r="P1371" s="1500" t="str">
        <f>EUconst_CNTR_WGExport &amp; I1268</f>
        <v>WasteGasEx_</v>
      </c>
      <c r="Q1371" s="729"/>
      <c r="R1371" s="729"/>
      <c r="S1371" s="729"/>
      <c r="T1371" s="770"/>
      <c r="U1371" s="343"/>
      <c r="V1371" s="343"/>
    </row>
    <row r="1372" spans="1:22" s="364" customFormat="1" ht="12.75" customHeight="1" x14ac:dyDescent="0.25">
      <c r="A1372" s="729"/>
      <c r="B1372" s="302"/>
      <c r="C1372" s="302"/>
      <c r="D1372" s="1820"/>
      <c r="E1372" s="2819" t="str">
        <f>Translations!$B$592</f>
        <v>Специфичен EF (подаден отпаден газ)</v>
      </c>
      <c r="F1372" s="2705"/>
      <c r="G1372" s="639" t="str">
        <f>EUconst_tCO2pTJ</f>
        <v>t CO2 / TJ</v>
      </c>
      <c r="H1372" s="484" t="str">
        <f>IF($I1268="","",IF(INDEX(F_ProductBM!H:H,MATCH($P1372,F_ProductBM!$Q:$Q,0))="","",INDEX(F_ProductBM!H:H,MATCH($P1372,F_ProductBM!$Q:$Q,0))))</f>
        <v/>
      </c>
      <c r="I1372" s="1828" t="str">
        <f>IF($I1268="","",IF(INDEX(F_ProductBM!I:I,MATCH($P1372,F_ProductBM!$Q:$Q,0))="","",INDEX(F_ProductBM!I:I,MATCH($P1372,F_ProductBM!$Q:$Q,0))))</f>
        <v/>
      </c>
      <c r="J1372" s="1829" t="str">
        <f>IF($I1268="","",IF(INDEX(F_ProductBM!J:J,MATCH($P1372,F_ProductBM!$Q:$Q,0))="","",INDEX(F_ProductBM!J:J,MATCH($P1372,F_ProductBM!$Q:$Q,0))))</f>
        <v/>
      </c>
      <c r="K1372" s="484" t="str">
        <f>IF($I1268="","",IF(INDEX(F_ProductBM!K:K,MATCH($P1372,F_ProductBM!$Q:$Q,0))="","",INDEX(F_ProductBM!K:K,MATCH($P1372,F_ProductBM!$Q:$Q,0))))</f>
        <v/>
      </c>
      <c r="L1372" s="484" t="str">
        <f>IF($I1268="","",IF(INDEX(F_ProductBM!L:L,MATCH($P1372,F_ProductBM!$Q:$Q,0))="","",INDEX(F_ProductBM!L:L,MATCH($P1372,F_ProductBM!$Q:$Q,0))))</f>
        <v/>
      </c>
      <c r="M1372" s="484" t="str">
        <f>IF($I1268="","",IF(INDEX(F_ProductBM!M:M,MATCH($P1372,F_ProductBM!$Q:$Q,0))="","",INDEX(F_ProductBM!M:M,MATCH($P1372,F_ProductBM!$Q:$Q,0))))</f>
        <v/>
      </c>
      <c r="N1372" s="1830" t="str">
        <f>IF($I1268="","",IF(INDEX(F_ProductBM!N:N,MATCH($P1372,F_ProductBM!$Q:$Q,0))="","",INDEX(F_ProductBM!N:N,MATCH($P1372,F_ProductBM!$Q:$Q,0))))</f>
        <v/>
      </c>
      <c r="O1372" s="698"/>
      <c r="P1372" s="1500" t="str">
        <f>EUconst_CNTR_WGExportEF &amp; I1268</f>
        <v>WasteGasExEF_</v>
      </c>
      <c r="Q1372" s="729"/>
      <c r="R1372" s="729"/>
      <c r="S1372" s="729"/>
      <c r="T1372" s="770"/>
      <c r="U1372" s="343"/>
      <c r="V1372" s="343"/>
    </row>
    <row r="1373" spans="1:22" s="364" customFormat="1" ht="5.15" customHeight="1" x14ac:dyDescent="0.25">
      <c r="A1373" s="729"/>
      <c r="B1373" s="302"/>
      <c r="C1373" s="302"/>
      <c r="D1373" s="1820"/>
      <c r="E1373" s="643"/>
      <c r="F1373" s="643"/>
      <c r="G1373" s="625"/>
      <c r="H1373" s="640"/>
      <c r="I1373" s="640"/>
      <c r="J1373" s="640"/>
      <c r="K1373" s="640"/>
      <c r="L1373" s="640"/>
      <c r="M1373" s="640"/>
      <c r="N1373" s="1831"/>
      <c r="O1373" s="698"/>
      <c r="P1373" s="770"/>
      <c r="Q1373" s="729"/>
      <c r="R1373" s="729"/>
      <c r="S1373" s="729"/>
      <c r="T1373" s="770"/>
      <c r="U1373" s="343"/>
      <c r="V1373" s="343"/>
    </row>
    <row r="1374" spans="1:22" s="364" customFormat="1" ht="12.75" customHeight="1" x14ac:dyDescent="0.25">
      <c r="A1374" s="729"/>
      <c r="B1374" s="302"/>
      <c r="C1374" s="302"/>
      <c r="D1374" s="1820"/>
      <c r="E1374" s="2820" t="str">
        <f>Translations!$B$485</f>
        <v>Съответно потребление на електроенергия</v>
      </c>
      <c r="F1374" s="2258"/>
      <c r="G1374" s="1319" t="str">
        <f>EUconst_MWhpa</f>
        <v>MWh / година</v>
      </c>
      <c r="H1374" s="480" t="str">
        <f>IF($I1268="","",IF(INDEX(F_ProductBM!H:H,MATCH($P1374,F_ProductBM!$Q:$Q,0))="","",INDEX(F_ProductBM!H:H,MATCH($P1374,F_ProductBM!$Q:$Q,0))))</f>
        <v/>
      </c>
      <c r="I1374" s="1399" t="str">
        <f>IF($I1268="","",IF(INDEX(F_ProductBM!I:I,MATCH($P1374,F_ProductBM!$Q:$Q,0))="","",INDEX(F_ProductBM!I:I,MATCH($P1374,F_ProductBM!$Q:$Q,0))))</f>
        <v/>
      </c>
      <c r="J1374" s="1832" t="str">
        <f>IF($I1268="","",IF(INDEX(F_ProductBM!J:J,MATCH($P1374,F_ProductBM!$Q:$Q,0))="","",INDEX(F_ProductBM!J:J,MATCH($P1374,F_ProductBM!$Q:$Q,0))))</f>
        <v/>
      </c>
      <c r="K1374" s="480" t="str">
        <f>IF($I1268="","",IF(INDEX(F_ProductBM!K:K,MATCH($P1374,F_ProductBM!$Q:$Q,0))="","",INDEX(F_ProductBM!K:K,MATCH($P1374,F_ProductBM!$Q:$Q,0))))</f>
        <v/>
      </c>
      <c r="L1374" s="480" t="str">
        <f>IF($I1268="","",IF(INDEX(F_ProductBM!L:L,MATCH($P1374,F_ProductBM!$Q:$Q,0))="","",INDEX(F_ProductBM!L:L,MATCH($P1374,F_ProductBM!$Q:$Q,0))))</f>
        <v/>
      </c>
      <c r="M1374" s="480" t="str">
        <f>IF($I1268="","",IF(INDEX(F_ProductBM!M:M,MATCH($P1374,F_ProductBM!$Q:$Q,0))="","",INDEX(F_ProductBM!M:M,MATCH($P1374,F_ProductBM!$Q:$Q,0))))</f>
        <v/>
      </c>
      <c r="N1374" s="1833" t="str">
        <f>IF($I1268="","",IF(INDEX(F_ProductBM!N:N,MATCH($P1374,F_ProductBM!$Q:$Q,0))="","",INDEX(F_ProductBM!N:N,MATCH($P1374,F_ProductBM!$Q:$Q,0))))</f>
        <v/>
      </c>
      <c r="O1374" s="698"/>
      <c r="P1374" s="1190" t="str">
        <f>EUconst_CNTR_HAL&amp;EUconst_CNTR_ELEXCH &amp; I1268</f>
        <v>HAL_ELEXCH_</v>
      </c>
      <c r="Q1374" s="729"/>
      <c r="R1374" s="729"/>
      <c r="S1374" s="729"/>
      <c r="T1374" s="770"/>
      <c r="U1374" s="343"/>
      <c r="V1374" s="343"/>
    </row>
    <row r="1375" spans="1:22" s="364" customFormat="1" ht="12.75" customHeight="1" x14ac:dyDescent="0.25">
      <c r="A1375" s="729"/>
      <c r="B1375" s="302"/>
      <c r="C1375" s="302"/>
      <c r="D1375" s="1820"/>
      <c r="E1375" s="2820" t="str">
        <f>Translations!$B$595</f>
        <v>Произведена електроенергия</v>
      </c>
      <c r="F1375" s="2258"/>
      <c r="G1375" s="1319" t="str">
        <f>EUconst_MWhpa</f>
        <v>MWh / година</v>
      </c>
      <c r="H1375" s="480" t="str">
        <f>IF($I1268="","",IF(INDEX(F_ProductBM!H:H,MATCH($P1375,F_ProductBM!$Q:$Q,0))="","",INDEX(F_ProductBM!H:H,MATCH($P1375,F_ProductBM!$Q:$Q,0))))</f>
        <v/>
      </c>
      <c r="I1375" s="1399" t="str">
        <f>IF($I1268="","",IF(INDEX(F_ProductBM!I:I,MATCH($P1375,F_ProductBM!$Q:$Q,0))="","",INDEX(F_ProductBM!I:I,MATCH($P1375,F_ProductBM!$Q:$Q,0))))</f>
        <v/>
      </c>
      <c r="J1375" s="1832" t="str">
        <f>IF($I1268="","",IF(INDEX(F_ProductBM!J:J,MATCH($P1375,F_ProductBM!$Q:$Q,0))="","",INDEX(F_ProductBM!J:J,MATCH($P1375,F_ProductBM!$Q:$Q,0))))</f>
        <v/>
      </c>
      <c r="K1375" s="480" t="str">
        <f>IF($I1268="","",IF(INDEX(F_ProductBM!K:K,MATCH($P1375,F_ProductBM!$Q:$Q,0))="","",INDEX(F_ProductBM!K:K,MATCH($P1375,F_ProductBM!$Q:$Q,0))))</f>
        <v/>
      </c>
      <c r="L1375" s="480" t="str">
        <f>IF($I1268="","",IF(INDEX(F_ProductBM!L:L,MATCH($P1375,F_ProductBM!$Q:$Q,0))="","",INDEX(F_ProductBM!L:L,MATCH($P1375,F_ProductBM!$Q:$Q,0))))</f>
        <v/>
      </c>
      <c r="M1375" s="480" t="str">
        <f>IF($I1268="","",IF(INDEX(F_ProductBM!M:M,MATCH($P1375,F_ProductBM!$Q:$Q,0))="","",INDEX(F_ProductBM!M:M,MATCH($P1375,F_ProductBM!$Q:$Q,0))))</f>
        <v/>
      </c>
      <c r="N1375" s="1833" t="str">
        <f>IF($I1268="","",IF(INDEX(F_ProductBM!N:N,MATCH($P1375,F_ProductBM!$Q:$Q,0))="","",INDEX(F_ProductBM!N:N,MATCH($P1375,F_ProductBM!$Q:$Q,0))))</f>
        <v/>
      </c>
      <c r="O1375" s="698"/>
      <c r="P1375" s="1500" t="str">
        <f>EUconst_CNTR_ElectricityExported &amp; I1268</f>
        <v>ElecEx_</v>
      </c>
      <c r="Q1375" s="729"/>
      <c r="R1375" s="729"/>
      <c r="S1375" s="729"/>
      <c r="T1375" s="770"/>
      <c r="U1375" s="343"/>
      <c r="V1375" s="343"/>
    </row>
    <row r="1376" spans="1:22" s="364" customFormat="1" ht="5.15" customHeight="1" x14ac:dyDescent="0.25">
      <c r="A1376" s="729"/>
      <c r="B1376" s="302"/>
      <c r="C1376" s="302"/>
      <c r="D1376" s="1820"/>
      <c r="E1376" s="643"/>
      <c r="F1376" s="643"/>
      <c r="G1376" s="625"/>
      <c r="H1376" s="640"/>
      <c r="I1376" s="640"/>
      <c r="J1376" s="640"/>
      <c r="K1376" s="640"/>
      <c r="L1376" s="640"/>
      <c r="M1376" s="640"/>
      <c r="N1376" s="1831"/>
      <c r="O1376" s="698"/>
      <c r="P1376" s="770"/>
      <c r="Q1376" s="729"/>
      <c r="R1376" s="729"/>
      <c r="S1376" s="729"/>
      <c r="T1376" s="770"/>
      <c r="U1376" s="343"/>
      <c r="V1376" s="343"/>
    </row>
    <row r="1377" spans="1:22" s="364" customFormat="1" x14ac:dyDescent="0.25">
      <c r="A1377" s="729"/>
      <c r="B1377" s="302"/>
      <c r="C1377" s="302"/>
      <c r="D1377" s="1820"/>
      <c r="E1377" s="3059" t="str">
        <f>Translations!$B$957</f>
        <v>Междинно получаване:</v>
      </c>
      <c r="F1377" s="2672"/>
      <c r="G1377" s="625"/>
      <c r="H1377" s="640"/>
      <c r="I1377" s="640"/>
      <c r="J1377" s="640"/>
      <c r="K1377" s="640"/>
      <c r="L1377" s="640"/>
      <c r="M1377" s="640"/>
      <c r="N1377" s="1831"/>
      <c r="O1377" s="698"/>
      <c r="P1377" s="770"/>
      <c r="Q1377" s="729"/>
      <c r="R1377" s="729"/>
      <c r="S1377" s="729"/>
      <c r="T1377" s="770"/>
      <c r="U1377" s="343"/>
      <c r="V1377" s="343"/>
    </row>
    <row r="1378" spans="1:22" s="364" customFormat="1" x14ac:dyDescent="0.25">
      <c r="A1378" s="729"/>
      <c r="B1378" s="302"/>
      <c r="C1378" s="302"/>
      <c r="D1378" s="1820"/>
      <c r="E1378" s="2814" t="str">
        <f>IF(I1268="","",IF(INDEX(F_ProductBM!E:E,MATCH($P1378,F_ProductBM!$Q:$Q,0))="","",INDEX(F_ProductBM!E:E,MATCH($P1378,F_ProductBM!$Q:$Q,0))))</f>
        <v/>
      </c>
      <c r="F1378" s="2258"/>
      <c r="G1378" s="1319" t="str">
        <f>EUconst_Tons</f>
        <v>тона</v>
      </c>
      <c r="H1378" s="480" t="str">
        <f>IF($I1268="","",IF(INDEX(F_ProductBM!H:H,MATCH($P1378,F_ProductBM!$Q:$Q,0))="","",INDEX(F_ProductBM!H:H,MATCH($P1378,F_ProductBM!$Q:$Q,0))))</f>
        <v/>
      </c>
      <c r="I1378" s="1399" t="str">
        <f>IF($I1268="","",IF(INDEX(F_ProductBM!I:I,MATCH($P1378,F_ProductBM!$Q:$Q,0))="","",INDEX(F_ProductBM!I:I,MATCH($P1378,F_ProductBM!$Q:$Q,0))))</f>
        <v/>
      </c>
      <c r="J1378" s="1832" t="str">
        <f>IF($I1268="","",IF(INDEX(F_ProductBM!J:J,MATCH($P1378,F_ProductBM!$Q:$Q,0))="","",INDEX(F_ProductBM!J:J,MATCH($P1378,F_ProductBM!$Q:$Q,0))))</f>
        <v/>
      </c>
      <c r="K1378" s="480" t="str">
        <f>IF($I1268="","",IF(INDEX(F_ProductBM!K:K,MATCH($P1378,F_ProductBM!$Q:$Q,0))="","",INDEX(F_ProductBM!K:K,MATCH($P1378,F_ProductBM!$Q:$Q,0))))</f>
        <v/>
      </c>
      <c r="L1378" s="480" t="str">
        <f>IF($I1268="","",IF(INDEX(F_ProductBM!L:L,MATCH($P1378,F_ProductBM!$Q:$Q,0))="","",INDEX(F_ProductBM!L:L,MATCH($P1378,F_ProductBM!$Q:$Q,0))))</f>
        <v/>
      </c>
      <c r="M1378" s="480" t="str">
        <f>IF($I1268="","",IF(INDEX(F_ProductBM!M:M,MATCH($P1378,F_ProductBM!$Q:$Q,0))="","",INDEX(F_ProductBM!M:M,MATCH($P1378,F_ProductBM!$Q:$Q,0))))</f>
        <v/>
      </c>
      <c r="N1378" s="1833" t="str">
        <f>IF($I1268="","",IF(INDEX(F_ProductBM!N:N,MATCH($P1378,F_ProductBM!$Q:$Q,0))="","",INDEX(F_ProductBM!N:N,MATCH($P1378,F_ProductBM!$Q:$Q,0))))</f>
        <v/>
      </c>
      <c r="O1378" s="698"/>
      <c r="P1378" s="1500" t="str">
        <f>EUconst_CNTR_IntermediateImport &amp; R1378 &amp; "_" &amp; I1268</f>
        <v>IntImp_1_</v>
      </c>
      <c r="Q1378" s="729"/>
      <c r="R1378" s="1176">
        <v>1</v>
      </c>
      <c r="S1378" s="729"/>
      <c r="T1378" s="770"/>
      <c r="U1378" s="343"/>
      <c r="V1378" s="343"/>
    </row>
    <row r="1379" spans="1:22" s="364" customFormat="1" x14ac:dyDescent="0.25">
      <c r="A1379" s="729"/>
      <c r="B1379" s="302"/>
      <c r="C1379" s="302"/>
      <c r="D1379" s="1820"/>
      <c r="E1379" s="2814" t="str">
        <f>IF(I1268="","",IF(INDEX(F_ProductBM!E:E,MATCH($P1379,F_ProductBM!$Q:$Q,0))="","",INDEX(F_ProductBM!E:E,MATCH($P1379,F_ProductBM!$Q:$Q,0))))</f>
        <v/>
      </c>
      <c r="F1379" s="2258"/>
      <c r="G1379" s="1319" t="str">
        <f>EUconst_Tons</f>
        <v>тона</v>
      </c>
      <c r="H1379" s="480" t="str">
        <f>IF($I1268="","",IF(INDEX(F_ProductBM!H:H,MATCH($P1379,F_ProductBM!$Q:$Q,0))="","",INDEX(F_ProductBM!H:H,MATCH($P1379,F_ProductBM!$Q:$Q,0))))</f>
        <v/>
      </c>
      <c r="I1379" s="1399" t="str">
        <f>IF($I1268="","",IF(INDEX(F_ProductBM!I:I,MATCH($P1379,F_ProductBM!$Q:$Q,0))="","",INDEX(F_ProductBM!I:I,MATCH($P1379,F_ProductBM!$Q:$Q,0))))</f>
        <v/>
      </c>
      <c r="J1379" s="1832" t="str">
        <f>IF($I1268="","",IF(INDEX(F_ProductBM!J:J,MATCH($P1379,F_ProductBM!$Q:$Q,0))="","",INDEX(F_ProductBM!J:J,MATCH($P1379,F_ProductBM!$Q:$Q,0))))</f>
        <v/>
      </c>
      <c r="K1379" s="480" t="str">
        <f>IF($I1268="","",IF(INDEX(F_ProductBM!K:K,MATCH($P1379,F_ProductBM!$Q:$Q,0))="","",INDEX(F_ProductBM!K:K,MATCH($P1379,F_ProductBM!$Q:$Q,0))))</f>
        <v/>
      </c>
      <c r="L1379" s="480" t="str">
        <f>IF($I1268="","",IF(INDEX(F_ProductBM!L:L,MATCH($P1379,F_ProductBM!$Q:$Q,0))="","",INDEX(F_ProductBM!L:L,MATCH($P1379,F_ProductBM!$Q:$Q,0))))</f>
        <v/>
      </c>
      <c r="M1379" s="480" t="str">
        <f>IF($I1268="","",IF(INDEX(F_ProductBM!M:M,MATCH($P1379,F_ProductBM!$Q:$Q,0))="","",INDEX(F_ProductBM!M:M,MATCH($P1379,F_ProductBM!$Q:$Q,0))))</f>
        <v/>
      </c>
      <c r="N1379" s="1833" t="str">
        <f>IF($I1268="","",IF(INDEX(F_ProductBM!N:N,MATCH($P1379,F_ProductBM!$Q:$Q,0))="","",INDEX(F_ProductBM!N:N,MATCH($P1379,F_ProductBM!$Q:$Q,0))))</f>
        <v/>
      </c>
      <c r="O1379" s="698"/>
      <c r="P1379" s="1500" t="str">
        <f>EUconst_CNTR_IntermediateImport &amp; R1379 &amp; "_" &amp; I1268</f>
        <v>IntImp_2_</v>
      </c>
      <c r="Q1379" s="729"/>
      <c r="R1379" s="1176">
        <v>2</v>
      </c>
      <c r="S1379" s="729"/>
      <c r="T1379" s="770"/>
      <c r="U1379" s="343"/>
      <c r="V1379" s="343"/>
    </row>
    <row r="1380" spans="1:22" s="364" customFormat="1" x14ac:dyDescent="0.25">
      <c r="A1380" s="729"/>
      <c r="B1380" s="302"/>
      <c r="C1380" s="302"/>
      <c r="D1380" s="1820"/>
      <c r="E1380" s="2820" t="str">
        <f>Translations!$B$958</f>
        <v>Междинно подаване:</v>
      </c>
      <c r="F1380" s="2258"/>
      <c r="G1380" s="625"/>
      <c r="H1380" s="640"/>
      <c r="I1380" s="640"/>
      <c r="J1380" s="640"/>
      <c r="K1380" s="640"/>
      <c r="L1380" s="640"/>
      <c r="M1380" s="640"/>
      <c r="N1380" s="1831"/>
      <c r="O1380" s="698"/>
      <c r="P1380" s="770"/>
      <c r="Q1380" s="729"/>
      <c r="R1380" s="729"/>
      <c r="S1380" s="729"/>
      <c r="T1380" s="770"/>
      <c r="U1380" s="343"/>
      <c r="V1380" s="343"/>
    </row>
    <row r="1381" spans="1:22" s="364" customFormat="1" x14ac:dyDescent="0.25">
      <c r="A1381" s="729"/>
      <c r="B1381" s="302"/>
      <c r="C1381" s="302"/>
      <c r="D1381" s="1820"/>
      <c r="E1381" s="2814" t="str">
        <f>IF(I1268="","",IF(INDEX(F_ProductBM!E:E,MATCH($P1381,F_ProductBM!$Q:$Q,0))="","",INDEX(F_ProductBM!E:E,MATCH($P1381,F_ProductBM!$Q:$Q,0))))</f>
        <v/>
      </c>
      <c r="F1381" s="2258"/>
      <c r="G1381" s="1319" t="str">
        <f>EUconst_Tons</f>
        <v>тона</v>
      </c>
      <c r="H1381" s="480" t="str">
        <f>IF($I1268="","",IF(INDEX(F_ProductBM!H:H,MATCH($P1381,F_ProductBM!$Q:$Q,0))="","",INDEX(F_ProductBM!H:H,MATCH($P1381,F_ProductBM!$Q:$Q,0))))</f>
        <v/>
      </c>
      <c r="I1381" s="1399" t="str">
        <f>IF($I1268="","",IF(INDEX(F_ProductBM!I:I,MATCH($P1381,F_ProductBM!$Q:$Q,0))="","",INDEX(F_ProductBM!I:I,MATCH($P1381,F_ProductBM!$Q:$Q,0))))</f>
        <v/>
      </c>
      <c r="J1381" s="1832" t="str">
        <f>IF($I1268="","",IF(INDEX(F_ProductBM!J:J,MATCH($P1381,F_ProductBM!$Q:$Q,0))="","",INDEX(F_ProductBM!J:J,MATCH($P1381,F_ProductBM!$Q:$Q,0))))</f>
        <v/>
      </c>
      <c r="K1381" s="480" t="str">
        <f>IF($I1268="","",IF(INDEX(F_ProductBM!K:K,MATCH($P1381,F_ProductBM!$Q:$Q,0))="","",INDEX(F_ProductBM!K:K,MATCH($P1381,F_ProductBM!$Q:$Q,0))))</f>
        <v/>
      </c>
      <c r="L1381" s="480" t="str">
        <f>IF($I1268="","",IF(INDEX(F_ProductBM!L:L,MATCH($P1381,F_ProductBM!$Q:$Q,0))="","",INDEX(F_ProductBM!L:L,MATCH($P1381,F_ProductBM!$Q:$Q,0))))</f>
        <v/>
      </c>
      <c r="M1381" s="480" t="str">
        <f>IF($I1268="","",IF(INDEX(F_ProductBM!M:M,MATCH($P1381,F_ProductBM!$Q:$Q,0))="","",INDEX(F_ProductBM!M:M,MATCH($P1381,F_ProductBM!$Q:$Q,0))))</f>
        <v/>
      </c>
      <c r="N1381" s="1833" t="str">
        <f>IF($I1268="","",IF(INDEX(F_ProductBM!N:N,MATCH($P1381,F_ProductBM!$Q:$Q,0))="","",INDEX(F_ProductBM!N:N,MATCH($P1381,F_ProductBM!$Q:$Q,0))))</f>
        <v/>
      </c>
      <c r="O1381" s="698"/>
      <c r="P1381" s="1500" t="str">
        <f>EUconst_CNTR_IntermediateExport &amp; R1378 &amp; "_" &amp; I1268</f>
        <v>IntExp_1_</v>
      </c>
      <c r="Q1381" s="729"/>
      <c r="R1381" s="1176">
        <v>1</v>
      </c>
      <c r="S1381" s="729"/>
      <c r="T1381" s="770"/>
      <c r="U1381" s="343"/>
      <c r="V1381" s="343"/>
    </row>
    <row r="1382" spans="1:22" s="364" customFormat="1" x14ac:dyDescent="0.25">
      <c r="A1382" s="729"/>
      <c r="B1382" s="302"/>
      <c r="C1382" s="302"/>
      <c r="D1382" s="1820"/>
      <c r="E1382" s="2814" t="str">
        <f>IF(I1268="","",IF(INDEX(F_ProductBM!E:E,MATCH($P1382,F_ProductBM!$Q:$Q,0))="","",INDEX(F_ProductBM!E:E,MATCH($P1382,F_ProductBM!$Q:$Q,0))))</f>
        <v/>
      </c>
      <c r="F1382" s="2258"/>
      <c r="G1382" s="1319" t="str">
        <f>EUconst_Tons</f>
        <v>тона</v>
      </c>
      <c r="H1382" s="480" t="str">
        <f>IF($I1268="","",IF(INDEX(F_ProductBM!H:H,MATCH($P1382,F_ProductBM!$Q:$Q,0))="","",INDEX(F_ProductBM!H:H,MATCH($P1382,F_ProductBM!$Q:$Q,0))))</f>
        <v/>
      </c>
      <c r="I1382" s="1399" t="str">
        <f>IF($I1268="","",IF(INDEX(F_ProductBM!I:I,MATCH($P1382,F_ProductBM!$Q:$Q,0))="","",INDEX(F_ProductBM!I:I,MATCH($P1382,F_ProductBM!$Q:$Q,0))))</f>
        <v/>
      </c>
      <c r="J1382" s="1832" t="str">
        <f>IF($I1268="","",IF(INDEX(F_ProductBM!J:J,MATCH($P1382,F_ProductBM!$Q:$Q,0))="","",INDEX(F_ProductBM!J:J,MATCH($P1382,F_ProductBM!$Q:$Q,0))))</f>
        <v/>
      </c>
      <c r="K1382" s="480" t="str">
        <f>IF($I1268="","",IF(INDEX(F_ProductBM!K:K,MATCH($P1382,F_ProductBM!$Q:$Q,0))="","",INDEX(F_ProductBM!K:K,MATCH($P1382,F_ProductBM!$Q:$Q,0))))</f>
        <v/>
      </c>
      <c r="L1382" s="480" t="str">
        <f>IF($I1268="","",IF(INDEX(F_ProductBM!L:L,MATCH($P1382,F_ProductBM!$Q:$Q,0))="","",INDEX(F_ProductBM!L:L,MATCH($P1382,F_ProductBM!$Q:$Q,0))))</f>
        <v/>
      </c>
      <c r="M1382" s="480" t="str">
        <f>IF($I1268="","",IF(INDEX(F_ProductBM!M:M,MATCH($P1382,F_ProductBM!$Q:$Q,0))="","",INDEX(F_ProductBM!M:M,MATCH($P1382,F_ProductBM!$Q:$Q,0))))</f>
        <v/>
      </c>
      <c r="N1382" s="1833" t="str">
        <f>IF($I1268="","",IF(INDEX(F_ProductBM!N:N,MATCH($P1382,F_ProductBM!$Q:$Q,0))="","",INDEX(F_ProductBM!N:N,MATCH($P1382,F_ProductBM!$Q:$Q,0))))</f>
        <v/>
      </c>
      <c r="O1382" s="698"/>
      <c r="P1382" s="1500" t="str">
        <f>EUconst_CNTR_IntermediateExport &amp; R1382 &amp; "_" &amp; I1268</f>
        <v>IntExp_2_</v>
      </c>
      <c r="Q1382" s="729"/>
      <c r="R1382" s="1176">
        <v>2</v>
      </c>
      <c r="S1382" s="729"/>
      <c r="T1382" s="770"/>
      <c r="U1382" s="343"/>
      <c r="V1382" s="343"/>
    </row>
    <row r="1383" spans="1:22" s="364" customFormat="1" ht="5.15" customHeight="1" x14ac:dyDescent="0.25">
      <c r="A1383" s="729"/>
      <c r="B1383" s="302"/>
      <c r="C1383" s="302"/>
      <c r="D1383" s="1820"/>
      <c r="E1383" s="625"/>
      <c r="F1383" s="625"/>
      <c r="G1383" s="625"/>
      <c r="H1383" s="625"/>
      <c r="I1383" s="644"/>
      <c r="J1383" s="644"/>
      <c r="K1383" s="644"/>
      <c r="L1383" s="644"/>
      <c r="M1383" s="644"/>
      <c r="N1383" s="1316"/>
      <c r="O1383" s="698"/>
      <c r="P1383" s="770"/>
      <c r="Q1383" s="729"/>
      <c r="R1383" s="1165"/>
      <c r="S1383" s="729"/>
      <c r="T1383" s="770"/>
      <c r="U1383" s="343"/>
      <c r="V1383" s="343"/>
    </row>
    <row r="1384" spans="1:22" s="364" customFormat="1" ht="13" x14ac:dyDescent="0.25">
      <c r="A1384" s="729"/>
      <c r="B1384" s="302"/>
      <c r="C1384" s="302"/>
      <c r="D1384" s="1820"/>
      <c r="E1384" s="3060" t="str">
        <f>Translations!$B$1585</f>
        <v>Корекции за актуализиране на показателя при специфичен показател, когато е приложимо</v>
      </c>
      <c r="F1384" s="3060"/>
      <c r="G1384" s="3060"/>
      <c r="H1384" s="3060"/>
      <c r="I1384" s="3060"/>
      <c r="J1384" s="3060"/>
      <c r="K1384" s="3060"/>
      <c r="L1384" s="3060"/>
      <c r="M1384" s="3060"/>
      <c r="N1384" s="1316"/>
      <c r="O1384" s="698"/>
      <c r="P1384" s="770"/>
      <c r="Q1384" s="729"/>
      <c r="R1384" s="1165"/>
      <c r="S1384" s="729"/>
      <c r="T1384" s="770"/>
      <c r="U1384" s="343"/>
      <c r="V1384" s="343"/>
    </row>
    <row r="1385" spans="1:22" s="364" customFormat="1" x14ac:dyDescent="0.25">
      <c r="A1385" s="729"/>
      <c r="B1385" s="302"/>
      <c r="C1385" s="302"/>
      <c r="D1385" s="1820"/>
      <c r="E1385" s="641" t="str">
        <f>Translations!$B$596</f>
        <v>Общо количество произведен пулп</v>
      </c>
      <c r="F1385" s="1835"/>
      <c r="G1385" s="642" t="str">
        <f>EUconst_Tons</f>
        <v>тона</v>
      </c>
      <c r="H1385" s="499" t="str">
        <f>IF($I1268="","",IF(INDEX(F_ProductBM!H:H,MATCH($P1385,F_ProductBM!$Q:$Q,0))="","",INDEX(F_ProductBM!H:H,MATCH($P1385,F_ProductBM!$Q:$Q,0))))</f>
        <v/>
      </c>
      <c r="I1385" s="1399" t="str">
        <f>IF($I1268="","",IF(INDEX(F_ProductBM!I:I,MATCH($P1385,F_ProductBM!$Q:$Q,0))="","",INDEX(F_ProductBM!I:I,MATCH($P1385,F_ProductBM!$Q:$Q,0))))</f>
        <v/>
      </c>
      <c r="J1385" s="1832" t="str">
        <f>IF($I1268="","",IF(INDEX(F_ProductBM!J:J,MATCH($P1385,F_ProductBM!$Q:$Q,0))="","",INDEX(F_ProductBM!J:J,MATCH($P1385,F_ProductBM!$Q:$Q,0))))</f>
        <v/>
      </c>
      <c r="K1385" s="499" t="str">
        <f>IF($I1268="","",IF(INDEX(F_ProductBM!K:K,MATCH($P1385,F_ProductBM!$Q:$Q,0))="","",INDEX(F_ProductBM!K:K,MATCH($P1385,F_ProductBM!$Q:$Q,0))))</f>
        <v/>
      </c>
      <c r="L1385" s="499" t="str">
        <f>IF($I1268="","",IF(INDEX(F_ProductBM!L:L,MATCH($P1385,F_ProductBM!$Q:$Q,0))="","",INDEX(F_ProductBM!L:L,MATCH($P1385,F_ProductBM!$Q:$Q,0))))</f>
        <v/>
      </c>
      <c r="M1385" s="499" t="str">
        <f>IF($I1268="","",IF(INDEX(F_ProductBM!M:M,MATCH($P1385,F_ProductBM!$Q:$Q,0))="","",INDEX(F_ProductBM!M:M,MATCH($P1385,F_ProductBM!$Q:$Q,0))))</f>
        <v/>
      </c>
      <c r="N1385" s="1836" t="str">
        <f>IF($I1268="","",IF(INDEX(F_ProductBM!N:N,MATCH($P1385,F_ProductBM!$Q:$Q,0))="","",INDEX(F_ProductBM!N:N,MATCH($P1385,F_ProductBM!$Q:$Q,0))))</f>
        <v/>
      </c>
      <c r="O1385" s="698"/>
      <c r="P1385" s="1500" t="str">
        <f>EUconst_CNTR_HALPulpTotal &amp;  I1268</f>
        <v>HALPulpTotal_</v>
      </c>
      <c r="Q1385" s="729"/>
      <c r="R1385" s="729"/>
      <c r="S1385" s="729"/>
      <c r="T1385" s="770"/>
      <c r="U1385" s="343"/>
      <c r="V1385" s="343"/>
    </row>
    <row r="1386" spans="1:22" s="364" customFormat="1" ht="5.15" customHeight="1" x14ac:dyDescent="0.25">
      <c r="A1386" s="729"/>
      <c r="B1386" s="302"/>
      <c r="C1386" s="302"/>
      <c r="D1386" s="1820"/>
      <c r="E1386" s="625"/>
      <c r="F1386" s="625"/>
      <c r="G1386" s="625"/>
      <c r="H1386" s="644"/>
      <c r="I1386" s="644"/>
      <c r="J1386" s="644"/>
      <c r="K1386" s="644"/>
      <c r="L1386" s="644"/>
      <c r="M1386" s="644"/>
      <c r="N1386" s="1837"/>
      <c r="O1386" s="698"/>
      <c r="P1386" s="770"/>
      <c r="Q1386" s="729"/>
      <c r="R1386" s="729"/>
      <c r="S1386" s="729"/>
      <c r="T1386" s="770"/>
      <c r="U1386" s="343"/>
      <c r="V1386" s="343"/>
    </row>
    <row r="1387" spans="1:22" s="364" customFormat="1" ht="12.75" customHeight="1" x14ac:dyDescent="0.25">
      <c r="A1387" s="729"/>
      <c r="B1387" s="302"/>
      <c r="C1387" s="302"/>
      <c r="D1387" s="1820"/>
      <c r="E1387" s="641" t="str">
        <f>Translations!$B$1586</f>
        <v>Производство на водород (действително + теоретично)</v>
      </c>
      <c r="F1387" s="1835"/>
      <c r="G1387" s="642" t="str">
        <f>EUconst_Tons</f>
        <v>тона</v>
      </c>
      <c r="H1387" s="499" t="str">
        <f>IF($L1271=$R1387,SUMIFS(H_SpecialBM!H:H,H_SpecialBM!$Q:$Q,$P1387),"")</f>
        <v/>
      </c>
      <c r="I1387" s="1399" t="str">
        <f>IF($L1271=$R1387,SUMIFS(H_SpecialBM!I:I,H_SpecialBM!$Q:$Q,$P1387),"")</f>
        <v/>
      </c>
      <c r="J1387" s="1832" t="str">
        <f>IF($L1271=$R1387,SUMIFS(H_SpecialBM!J:J,H_SpecialBM!$Q:$Q,$P1387),"")</f>
        <v/>
      </c>
      <c r="K1387" s="499" t="str">
        <f>IF($L1271=$R1387,SUMIFS(H_SpecialBM!K:K,H_SpecialBM!$Q:$Q,$P1387),"")</f>
        <v/>
      </c>
      <c r="L1387" s="499" t="str">
        <f>IF($L1271=$R1387,SUMIFS(H_SpecialBM!L:L,H_SpecialBM!$Q:$Q,$P1387),"")</f>
        <v/>
      </c>
      <c r="M1387" s="499" t="str">
        <f>IF($L1271=$R1387,SUMIFS(H_SpecialBM!M:M,H_SpecialBM!$Q:$Q,$P1387),"")</f>
        <v/>
      </c>
      <c r="N1387" s="1836" t="str">
        <f>IF($L1271=$R1387,SUMIFS(H_SpecialBM!N:N,H_SpecialBM!$Q:$Q,$P1387),"")</f>
        <v/>
      </c>
      <c r="O1387" s="698"/>
      <c r="P1387" s="1190" t="str">
        <f>EUconst_CNTR_H2ActualPlusTheoretical</f>
        <v>H2Total_</v>
      </c>
      <c r="Q1387" s="729"/>
      <c r="R1387" s="1176">
        <v>50</v>
      </c>
      <c r="S1387" s="729"/>
      <c r="T1387" s="770"/>
      <c r="U1387" s="343"/>
      <c r="V1387" s="343"/>
    </row>
    <row r="1388" spans="1:22" s="364" customFormat="1" x14ac:dyDescent="0.25">
      <c r="A1388" s="729"/>
      <c r="B1388" s="302"/>
      <c r="C1388" s="302"/>
      <c r="D1388" s="1820"/>
      <c r="E1388" s="641" t="str">
        <f>Translations!$B$1587</f>
        <v>Емисии във връзка с водород</v>
      </c>
      <c r="F1388" s="1835"/>
      <c r="G1388" s="642" t="str">
        <f>EUconst_tCO2pa</f>
        <v>t CO2 / година</v>
      </c>
      <c r="H1388" s="499" t="str">
        <f>IF($L1271=$R1388,SUMIFS(H_SpecialBM!H:H,H_SpecialBM!$Q:$Q,$P1388),"")</f>
        <v/>
      </c>
      <c r="I1388" s="1399" t="str">
        <f>IF($L1271=$R1388,SUMIFS(H_SpecialBM!I:I,H_SpecialBM!$Q:$Q,$P1388),"")</f>
        <v/>
      </c>
      <c r="J1388" s="1832" t="str">
        <f>IF($L1271=$R1388,SUMIFS(H_SpecialBM!J:J,H_SpecialBM!$Q:$Q,$P1388),"")</f>
        <v/>
      </c>
      <c r="K1388" s="499" t="str">
        <f>IF($L1271=$R1388,SUMIFS(H_SpecialBM!K:K,H_SpecialBM!$Q:$Q,$P1388),"")</f>
        <v/>
      </c>
      <c r="L1388" s="499" t="str">
        <f>IF($L1271=$R1388,SUMIFS(H_SpecialBM!L:L,H_SpecialBM!$Q:$Q,$P1388),"")</f>
        <v/>
      </c>
      <c r="M1388" s="499" t="str">
        <f>IF($L1271=$R1388,SUMIFS(H_SpecialBM!M:M,H_SpecialBM!$Q:$Q,$P1388),"")</f>
        <v/>
      </c>
      <c r="N1388" s="1836" t="str">
        <f>IF($L1271=$R1388,SUMIFS(H_SpecialBM!N:N,H_SpecialBM!$Q:$Q,$P1388),"")</f>
        <v/>
      </c>
      <c r="O1388" s="698"/>
      <c r="P1388" s="1190" t="str">
        <f>EUconst_CNTR_H2AdditionalEmissions</f>
        <v>H2AddEm_</v>
      </c>
      <c r="Q1388" s="729"/>
      <c r="R1388" s="1176">
        <v>50</v>
      </c>
      <c r="S1388" s="729"/>
      <c r="T1388" s="770"/>
      <c r="U1388" s="343"/>
      <c r="V1388" s="343"/>
    </row>
    <row r="1389" spans="1:22" s="364" customFormat="1" ht="5.15" customHeight="1" x14ac:dyDescent="0.25">
      <c r="A1389" s="729"/>
      <c r="B1389" s="302"/>
      <c r="C1389" s="302"/>
      <c r="D1389" s="1820"/>
      <c r="E1389" s="625"/>
      <c r="F1389" s="625"/>
      <c r="G1389" s="625"/>
      <c r="H1389" s="644"/>
      <c r="I1389" s="644"/>
      <c r="J1389" s="644"/>
      <c r="K1389" s="644"/>
      <c r="L1389" s="644"/>
      <c r="M1389" s="644"/>
      <c r="N1389" s="1837"/>
      <c r="O1389" s="698"/>
      <c r="P1389" s="729"/>
      <c r="Q1389" s="729"/>
      <c r="R1389" s="729"/>
      <c r="S1389" s="729"/>
      <c r="T1389" s="770"/>
      <c r="U1389" s="343"/>
      <c r="V1389" s="343"/>
    </row>
    <row r="1390" spans="1:22" s="364" customFormat="1" x14ac:dyDescent="0.25">
      <c r="A1390" s="729"/>
      <c r="B1390" s="302"/>
      <c r="C1390" s="302"/>
      <c r="D1390" s="1820"/>
      <c r="E1390" s="641" t="str">
        <f>Translations!$B$1588</f>
        <v>Корекция на емисиите във връзка с HVC</v>
      </c>
      <c r="F1390" s="1835"/>
      <c r="G1390" s="642" t="str">
        <f>EUconst_tCO2pa</f>
        <v>t CO2 / година</v>
      </c>
      <c r="H1390" s="499" t="str">
        <f>IF($L1271=$R1390,-SUMIFS(H_SpecialBM!H:H,H_SpecialBM!$Q:$Q,$P1390),"")</f>
        <v/>
      </c>
      <c r="I1390" s="1399" t="str">
        <f>IF($L1271=$R1390,-SUMIFS(H_SpecialBM!I:I,H_SpecialBM!$Q:$Q,$P1390),"")</f>
        <v/>
      </c>
      <c r="J1390" s="1832" t="str">
        <f>IF($L1271=$R1390,-SUMIFS(H_SpecialBM!J:J,H_SpecialBM!$Q:$Q,$P1390),"")</f>
        <v/>
      </c>
      <c r="K1390" s="499" t="str">
        <f>IF($L1271=$R1390,-SUMIFS(H_SpecialBM!K:K,H_SpecialBM!$Q:$Q,$P1390),"")</f>
        <v/>
      </c>
      <c r="L1390" s="499" t="str">
        <f>IF($L1271=$R1390,-SUMIFS(H_SpecialBM!L:L,H_SpecialBM!$Q:$Q,$P1390),"")</f>
        <v/>
      </c>
      <c r="M1390" s="499" t="str">
        <f>IF($L1271=$R1390,-SUMIFS(H_SpecialBM!M:M,H_SpecialBM!$Q:$Q,$P1390),"")</f>
        <v/>
      </c>
      <c r="N1390" s="1836" t="str">
        <f>IF($L1271=$R1390,-SUMIFS(H_SpecialBM!N:N,H_SpecialBM!$Q:$Q,$P1390),"")</f>
        <v/>
      </c>
      <c r="O1390" s="698"/>
      <c r="P1390" s="1500" t="str">
        <f>EUconst_CNTR_HVC</f>
        <v>HVC_</v>
      </c>
      <c r="Q1390" s="729"/>
      <c r="R1390" s="1176">
        <v>42</v>
      </c>
      <c r="S1390" s="729"/>
      <c r="T1390" s="770"/>
      <c r="U1390" s="343"/>
      <c r="V1390" s="343"/>
    </row>
    <row r="1391" spans="1:22" s="364" customFormat="1" ht="5.15" customHeight="1" x14ac:dyDescent="0.25">
      <c r="A1391" s="729"/>
      <c r="B1391" s="302"/>
      <c r="C1391" s="302"/>
      <c r="D1391" s="1820"/>
      <c r="E1391" s="625"/>
      <c r="F1391" s="625"/>
      <c r="G1391" s="625"/>
      <c r="H1391" s="644"/>
      <c r="I1391" s="644"/>
      <c r="J1391" s="644"/>
      <c r="K1391" s="644"/>
      <c r="L1391" s="644"/>
      <c r="M1391" s="644"/>
      <c r="N1391" s="1837"/>
      <c r="O1391" s="698"/>
      <c r="P1391" s="770"/>
      <c r="Q1391" s="729"/>
      <c r="R1391" s="729"/>
      <c r="S1391" s="729"/>
      <c r="T1391" s="770"/>
      <c r="U1391" s="343"/>
      <c r="V1391" s="343"/>
    </row>
    <row r="1392" spans="1:22" s="364" customFormat="1" ht="12.75" customHeight="1" x14ac:dyDescent="0.25">
      <c r="A1392" s="729"/>
      <c r="B1392" s="302"/>
      <c r="C1392" s="302"/>
      <c r="D1392" s="1820"/>
      <c r="E1392" s="641" t="str">
        <f>Translations!$B$1589</f>
        <v>Корекция на емисиите във връзка с VCM</v>
      </c>
      <c r="F1392" s="1835"/>
      <c r="G1392" s="642" t="str">
        <f>EUconst_tCO2pa</f>
        <v>t CO2 / година</v>
      </c>
      <c r="H1392" s="499" t="str">
        <f>IF($L1271=$R1392,INDEX(H_SpecialBM!H:H,MATCH($P1392,H_SpecialBM!$Q:$Q,0)-2),"")</f>
        <v/>
      </c>
      <c r="I1392" s="1399" t="str">
        <f>IF($L1271=$R1392,INDEX(H_SpecialBM!I:I,MATCH($P1392,H_SpecialBM!$Q:$Q,0)-2),"")</f>
        <v/>
      </c>
      <c r="J1392" s="1832" t="str">
        <f>IF($L1271=$R1392,INDEX(H_SpecialBM!J:J,MATCH($P1392,H_SpecialBM!$Q:$Q,0)-2),"")</f>
        <v/>
      </c>
      <c r="K1392" s="499" t="str">
        <f>IF($L1271=$R1392,INDEX(H_SpecialBM!K:K,MATCH($P1392,H_SpecialBM!$Q:$Q,0)-2),"")</f>
        <v/>
      </c>
      <c r="L1392" s="499" t="str">
        <f>IF($L1271=$R1392,INDEX(H_SpecialBM!L:L,MATCH($P1392,H_SpecialBM!$Q:$Q,0)-2),"")</f>
        <v/>
      </c>
      <c r="M1392" s="499" t="str">
        <f>IF($L1271=$R1392,INDEX(H_SpecialBM!M:M,MATCH($P1392,H_SpecialBM!$Q:$Q,0)-2),"")</f>
        <v/>
      </c>
      <c r="N1392" s="1836" t="str">
        <f>IF($L1271=$R1392,INDEX(H_SpecialBM!N:N,MATCH($P1392,H_SpecialBM!$Q:$Q,0)-2),"")</f>
        <v/>
      </c>
      <c r="O1392" s="698"/>
      <c r="P1392" s="1190" t="str">
        <f>EUconst_CNTR_VCM</f>
        <v>VCM_</v>
      </c>
      <c r="Q1392" s="729"/>
      <c r="R1392" s="1176">
        <v>47</v>
      </c>
      <c r="S1392" s="729"/>
      <c r="T1392" s="770"/>
      <c r="U1392" s="343"/>
      <c r="V1392" s="343"/>
    </row>
    <row r="1393" spans="1:22" s="364" customFormat="1" ht="12.75" customHeight="1" thickBot="1" x14ac:dyDescent="0.3">
      <c r="A1393" s="729"/>
      <c r="B1393" s="302"/>
      <c r="C1393" s="302"/>
      <c r="D1393" s="1838"/>
      <c r="E1393" s="1839"/>
      <c r="F1393" s="1839"/>
      <c r="G1393" s="1839"/>
      <c r="H1393" s="1839"/>
      <c r="I1393" s="1840"/>
      <c r="J1393" s="1840"/>
      <c r="K1393" s="1840"/>
      <c r="L1393" s="1840"/>
      <c r="M1393" s="1840"/>
      <c r="N1393" s="1379"/>
      <c r="O1393" s="698"/>
      <c r="P1393" s="729"/>
      <c r="Q1393" s="729"/>
      <c r="R1393" s="1165"/>
      <c r="S1393" s="729"/>
      <c r="T1393" s="770"/>
      <c r="U1393" s="343"/>
      <c r="V1393" s="343"/>
    </row>
    <row r="1394" spans="1:22" s="364" customFormat="1" ht="12.75" customHeight="1" thickBot="1" x14ac:dyDescent="0.3">
      <c r="A1394" s="729"/>
      <c r="B1394" s="302"/>
      <c r="C1394" s="302"/>
      <c r="D1394" s="302"/>
      <c r="E1394" s="646"/>
      <c r="O1394" s="698"/>
      <c r="P1394" s="729"/>
      <c r="Q1394" s="729"/>
      <c r="R1394" s="729"/>
      <c r="S1394" s="729"/>
      <c r="T1394" s="729"/>
      <c r="U1394" s="343"/>
      <c r="V1394" s="343"/>
    </row>
    <row r="1395" spans="1:22" s="364" customFormat="1" ht="5.15" customHeight="1" thickBot="1" x14ac:dyDescent="0.3">
      <c r="A1395" s="729"/>
      <c r="B1395" s="284"/>
      <c r="C1395" s="581"/>
      <c r="D1395" s="581"/>
      <c r="E1395" s="581"/>
      <c r="F1395" s="581"/>
      <c r="G1395" s="581"/>
      <c r="H1395" s="581"/>
      <c r="I1395" s="581"/>
      <c r="J1395" s="581"/>
      <c r="K1395" s="581"/>
      <c r="L1395" s="581"/>
      <c r="M1395" s="581"/>
      <c r="N1395" s="581"/>
      <c r="O1395" s="698"/>
      <c r="P1395" s="729"/>
      <c r="Q1395" s="729"/>
      <c r="R1395" s="729"/>
      <c r="S1395" s="729"/>
      <c r="T1395" s="729"/>
      <c r="U1395" s="343"/>
      <c r="V1395" s="343"/>
    </row>
    <row r="1396" spans="1:22" s="364" customFormat="1" ht="15" customHeight="1" thickBot="1" x14ac:dyDescent="0.35">
      <c r="A1396" s="729"/>
      <c r="B1396" s="302"/>
      <c r="C1396" s="357">
        <f>C1268+1</f>
        <v>8</v>
      </c>
      <c r="D1396" s="2323" t="str">
        <f>CONCATENATE(EUconst_BMSubinst," ",C1396, ":")</f>
        <v>Подинсталация с продуктов показател 8:</v>
      </c>
      <c r="E1396" s="2323"/>
      <c r="F1396" s="2323"/>
      <c r="G1396" s="2323"/>
      <c r="H1396" s="2987"/>
      <c r="I1396" s="2843" t="str">
        <f>IF(INDEX(CNTR_SubInstListIsProdBM,$C1396),INDEX(CNTR_SubInstListNames,$C1396),"")</f>
        <v/>
      </c>
      <c r="J1396" s="3019"/>
      <c r="K1396" s="3019"/>
      <c r="L1396" s="3019"/>
      <c r="M1396" s="3019"/>
      <c r="N1396" s="3020"/>
      <c r="O1396" s="698"/>
      <c r="P1396" s="729"/>
      <c r="Q1396" s="1684">
        <f>C1396</f>
        <v>8</v>
      </c>
      <c r="R1396" s="1685" t="str">
        <f>I1396</f>
        <v/>
      </c>
      <c r="S1396" s="729"/>
      <c r="T1396" s="729"/>
      <c r="U1396" s="343"/>
      <c r="V1396" s="343"/>
    </row>
    <row r="1397" spans="1:22" s="364" customFormat="1" ht="5.15" customHeight="1" x14ac:dyDescent="0.3">
      <c r="A1397" s="729"/>
      <c r="B1397" s="302"/>
      <c r="C1397" s="357"/>
      <c r="D1397" s="357"/>
      <c r="E1397" s="357"/>
      <c r="F1397" s="357"/>
      <c r="G1397" s="357"/>
      <c r="H1397" s="357"/>
      <c r="I1397" s="357"/>
      <c r="J1397" s="357"/>
      <c r="K1397" s="357"/>
      <c r="L1397" s="357"/>
      <c r="M1397" s="357"/>
      <c r="N1397" s="357"/>
      <c r="O1397" s="698"/>
      <c r="P1397" s="729"/>
      <c r="Q1397" s="729"/>
      <c r="R1397" s="729"/>
      <c r="S1397" s="729"/>
      <c r="T1397" s="729"/>
      <c r="U1397" s="343"/>
      <c r="V1397" s="343"/>
    </row>
    <row r="1398" spans="1:22" s="364" customFormat="1" ht="12.75" customHeight="1" x14ac:dyDescent="0.3">
      <c r="A1398" s="729"/>
      <c r="B1398" s="302"/>
      <c r="C1398" s="357"/>
      <c r="D1398" s="357"/>
      <c r="E1398" s="357"/>
      <c r="F1398" s="357"/>
      <c r="H1398" s="595" t="str">
        <f>Translations!$B$942</f>
        <v>Риск от ИВЕ</v>
      </c>
      <c r="I1398" s="595" t="s">
        <v>2151</v>
      </c>
      <c r="J1398" s="595" t="str">
        <f>Translations!$B$946</f>
        <v>В/Е</v>
      </c>
      <c r="K1398" s="595" t="str">
        <f>Translations!$B$1360</f>
        <v>Спряна експлоатация</v>
      </c>
      <c r="L1398" s="654" t="str">
        <f>Translations!$B$944</f>
        <v>№ на п-л</v>
      </c>
      <c r="M1398" s="2991" t="str">
        <f>Translations!$B$948</f>
        <v>Стойност на п-л</v>
      </c>
      <c r="N1398" s="2991"/>
      <c r="O1398" s="698"/>
      <c r="P1398" s="729"/>
      <c r="Q1398" s="729"/>
      <c r="R1398" s="1176" t="str">
        <f>Translations!$B$944</f>
        <v>№ на п-л</v>
      </c>
      <c r="S1398" s="729"/>
      <c r="T1398" s="1686"/>
      <c r="U1398" s="343"/>
      <c r="V1398" s="343"/>
    </row>
    <row r="1399" spans="1:22" s="364" customFormat="1" ht="12.75" customHeight="1" x14ac:dyDescent="0.3">
      <c r="A1399" s="729"/>
      <c r="B1399" s="302"/>
      <c r="C1399" s="357"/>
      <c r="D1399" s="357"/>
      <c r="E1399" s="361" t="str">
        <f>I1396</f>
        <v/>
      </c>
      <c r="F1399" s="373"/>
      <c r="G1399" s="373"/>
      <c r="H1399" s="600" t="str">
        <f>IF(L1399=EUconst_NA,EUconst_NA,INDEX(EUconst_BMlistCLstatus,MATCH(L1399,EUconst_BMlistMainNumberOfBM,0)))</f>
        <v>Не е приложимо</v>
      </c>
      <c r="I1399" s="600" t="str">
        <f>IF(R1399=EUconst_NA,EUconst_NA,INDEX(EUconst_BMlistCBAMstatus,MATCH(R1399,EUconst_BMlistNumberOfBM,0)))</f>
        <v>Не е приложимо</v>
      </c>
      <c r="J1399" s="655" t="str">
        <f>IF($I1396="",EUconst_NA,INDEX(CNTR_SubInstStartDate,MATCH(I1396,CNTR_SubInstListNames,0)))</f>
        <v>Не е приложимо</v>
      </c>
      <c r="K1399" s="655" t="str">
        <f>IF($I1396="",EUconst_NA,IF(INDEX(CNTR_SubInstCessationDate,MATCH(I1396,CNTR_SubInstListNames,0))=0,"",INDEX(CNTR_SubInstCessationDate,MATCH(I1396,CNTR_SubInstListNames,0))))</f>
        <v>Не е приложимо</v>
      </c>
      <c r="L1399" s="1687" t="str">
        <f>IF($I1396="",EUconst_NA,INDEX(EUconst_BMlistMainNumberOfBM,MATCH(I1396,EUconst_BMlistNames,0)))</f>
        <v>Не е приложимо</v>
      </c>
      <c r="M1399" s="1688" t="str">
        <f>IF(I1396="",EUconst_NA,INDEX(EUconst_BMlistBMvaluesMatrix,MATCH(L1399,EUconst_BMlistMainNumberOfBM,0),3))</f>
        <v>Не е приложимо</v>
      </c>
      <c r="N1399" s="382" t="str">
        <f>EUconst_EUA &amp; "/" &amp; F1402</f>
        <v>Квота за емисии/тона</v>
      </c>
      <c r="O1399" s="698"/>
      <c r="P1399" s="729"/>
      <c r="Q1399" s="729"/>
      <c r="R1399" s="1176" t="str">
        <f>IF($I1396="",EUconst_NA,INDEX(EUconst_BMlistNumberOfBM,MATCH(I1396,EUconst_BMlistNames,0)))</f>
        <v>Не е приложимо</v>
      </c>
      <c r="S1399" s="729"/>
      <c r="T1399" s="1174" t="s">
        <v>1735</v>
      </c>
      <c r="U1399" s="1176">
        <f>IF(SUM(K1399)=0,2050,YEAR(K1399))</f>
        <v>2050</v>
      </c>
      <c r="V1399" s="343"/>
    </row>
    <row r="1400" spans="1:22" s="364" customFormat="1" ht="5.15" customHeight="1" thickBot="1" x14ac:dyDescent="0.35">
      <c r="A1400" s="729"/>
      <c r="B1400" s="302"/>
      <c r="C1400" s="302"/>
      <c r="D1400" s="302"/>
      <c r="E1400" s="357"/>
      <c r="J1400" s="302"/>
      <c r="K1400" s="302"/>
      <c r="L1400" s="302"/>
      <c r="M1400" s="302"/>
      <c r="N1400" s="302"/>
      <c r="O1400" s="698"/>
      <c r="P1400" s="729"/>
      <c r="Q1400" s="729"/>
      <c r="R1400" s="729"/>
      <c r="S1400" s="729"/>
      <c r="T1400" s="770"/>
      <c r="U1400" s="343"/>
      <c r="V1400" s="343"/>
    </row>
    <row r="1401" spans="1:22" s="364" customFormat="1" ht="12.75" customHeight="1" x14ac:dyDescent="0.25">
      <c r="A1401" s="729"/>
      <c r="B1401" s="302"/>
      <c r="C1401" s="302"/>
      <c r="D1401" s="302"/>
      <c r="E1401" s="313"/>
      <c r="F1401" s="300" t="str">
        <f>EUconst_Unit</f>
        <v>Единица мярка</v>
      </c>
      <c r="G1401" s="1689" t="str">
        <f>Translations!$B$1284</f>
        <v>HAL</v>
      </c>
      <c r="H1401" s="757">
        <f t="shared" ref="H1401:N1401" si="118">H$2505</f>
        <v>2024</v>
      </c>
      <c r="I1401" s="572">
        <f t="shared" si="118"/>
        <v>2025</v>
      </c>
      <c r="J1401" s="757">
        <f t="shared" si="118"/>
        <v>2026</v>
      </c>
      <c r="K1401" s="391">
        <f t="shared" si="118"/>
        <v>2027</v>
      </c>
      <c r="L1401" s="391">
        <f t="shared" si="118"/>
        <v>2028</v>
      </c>
      <c r="M1401" s="391">
        <f t="shared" si="118"/>
        <v>2029</v>
      </c>
      <c r="N1401" s="391">
        <f t="shared" si="118"/>
        <v>2030</v>
      </c>
      <c r="O1401" s="698"/>
      <c r="P1401" s="729"/>
      <c r="Q1401" s="729" t="s">
        <v>1851</v>
      </c>
      <c r="R1401" s="1690">
        <f>J$2505</f>
        <v>2026</v>
      </c>
      <c r="S1401" s="1691">
        <f>K$2505</f>
        <v>2027</v>
      </c>
      <c r="T1401" s="1691">
        <f>L$2505</f>
        <v>2028</v>
      </c>
      <c r="U1401" s="1691">
        <f>M$2505</f>
        <v>2029</v>
      </c>
      <c r="V1401" s="1692">
        <f>N$2505</f>
        <v>2030</v>
      </c>
    </row>
    <row r="1402" spans="1:22" s="364" customFormat="1" ht="12.75" customHeight="1" thickBot="1" x14ac:dyDescent="0.3">
      <c r="A1402" s="729"/>
      <c r="B1402" s="302"/>
      <c r="C1402" s="302"/>
      <c r="D1402" s="302"/>
      <c r="E1402" s="388" t="str">
        <f>Translations!$B$1371</f>
        <v>Докладвано равнище на дейност</v>
      </c>
      <c r="F1402" s="1062" t="str">
        <f>IF(ISNUMBER(L1399),INDEX(EUconst_BMlistUnits,MATCH(L1399,EUconst_BMlistMainNumberOfBM,0)),EUconst_Tons)</f>
        <v>тона</v>
      </c>
      <c r="G1402" s="1693" t="str">
        <f>I1462</f>
        <v/>
      </c>
      <c r="H1402" s="1694" t="str">
        <f>IF($I1396="","",IF(H1401&gt;=CNTR_ReportingYear,"",INDEX(F_ProductBM!H:H,MATCH($P1402,F_ProductBM!$Q:$Q,0))))</f>
        <v/>
      </c>
      <c r="I1402" s="608" t="str">
        <f>IF($I1396="","",IF(I1401&gt;=CNTR_ReportingYear,"",INDEX(F_ProductBM!I:I,MATCH($P1402,F_ProductBM!$Q:$Q,0))))</f>
        <v/>
      </c>
      <c r="J1402" s="1694" t="str">
        <f>IF($I1396="","",IF(J1401&gt;=CNTR_ReportingYear,"",INDEX(F_ProductBM!J:J,MATCH($P1402,F_ProductBM!$Q:$Q,0))))</f>
        <v/>
      </c>
      <c r="K1402" s="406" t="str">
        <f>IF($I1396="","",IF(K1401&gt;=CNTR_ReportingYear,"",INDEX(F_ProductBM!K:K,MATCH($P1402,F_ProductBM!$Q:$Q,0))))</f>
        <v/>
      </c>
      <c r="L1402" s="406" t="str">
        <f>IF($I1396="","",IF(L1401&gt;=CNTR_ReportingYear,"",INDEX(F_ProductBM!L:L,MATCH($P1402,F_ProductBM!$Q:$Q,0))))</f>
        <v/>
      </c>
      <c r="M1402" s="406" t="str">
        <f>IF($I1396="","",IF(M1401&gt;=CNTR_ReportingYear,"",INDEX(F_ProductBM!M:M,MATCH($P1402,F_ProductBM!$Q:$Q,0))))</f>
        <v/>
      </c>
      <c r="N1402" s="406" t="str">
        <f>IF($I1396="","",IF(N1401&gt;=CNTR_ReportingYear,"",INDEX(F_ProductBM!N:N,MATCH($P1402,F_ProductBM!$Q:$Q,0))))</f>
        <v/>
      </c>
      <c r="O1402" s="698"/>
      <c r="P1402" s="1190" t="str">
        <f>EUconst_CNTR_HAL&amp;I1396</f>
        <v>HAL_</v>
      </c>
      <c r="Q1402" s="729"/>
      <c r="R1402" s="1580" t="b">
        <f>AND($I1396&lt;&gt;"",R1401&lt;=CNTR_ReportingYear,IF($J1399&lt;&gt;EUconst_NA,R1401&gt;=YEAR($J1399),TRUE))</f>
        <v>0</v>
      </c>
      <c r="S1402" s="1255" t="b">
        <f>AND($I1396&lt;&gt;"",S1401&lt;=CNTR_ReportingYear,IF($J1399&lt;&gt;EUconst_NA,S1401&gt;=YEAR($J1399),TRUE))</f>
        <v>0</v>
      </c>
      <c r="T1402" s="1255" t="b">
        <f>AND($I1396&lt;&gt;"",T1401&lt;=CNTR_ReportingYear,IF($J1399&lt;&gt;EUconst_NA,T1401&gt;=YEAR($J1399),TRUE))</f>
        <v>0</v>
      </c>
      <c r="U1402" s="1255" t="b">
        <f>AND($I1396&lt;&gt;"",U1401&lt;=CNTR_ReportingYear,IF($J1399&lt;&gt;EUconst_NA,U1401&gt;=YEAR($J1399),TRUE))</f>
        <v>0</v>
      </c>
      <c r="V1402" s="1256" t="b">
        <f>AND($I1396&lt;&gt;"",V1401&lt;=CNTR_ReportingYear,IF($J1399&lt;&gt;EUconst_NA,V1401&gt;=YEAR($J1399),TRUE))</f>
        <v>0</v>
      </c>
    </row>
    <row r="1403" spans="1:22" s="364" customFormat="1" ht="5.15" customHeight="1" thickBot="1" x14ac:dyDescent="0.35">
      <c r="A1403" s="729"/>
      <c r="B1403" s="302"/>
      <c r="C1403" s="357"/>
      <c r="D1403" s="357"/>
      <c r="E1403" s="357"/>
      <c r="F1403" s="357"/>
      <c r="G1403" s="357"/>
      <c r="H1403" s="357"/>
      <c r="I1403" s="357"/>
      <c r="J1403" s="357"/>
      <c r="K1403" s="357"/>
      <c r="L1403" s="357"/>
      <c r="M1403" s="357"/>
      <c r="N1403" s="357"/>
      <c r="O1403" s="698"/>
      <c r="P1403" s="729"/>
      <c r="Q1403" s="729"/>
      <c r="R1403" s="729"/>
      <c r="S1403" s="729"/>
      <c r="T1403" s="729"/>
      <c r="U1403" s="343"/>
      <c r="V1403" s="343"/>
    </row>
    <row r="1404" spans="1:22" s="364" customFormat="1" ht="5.15" customHeight="1" x14ac:dyDescent="0.3">
      <c r="A1404" s="729"/>
      <c r="B1404" s="302"/>
      <c r="C1404" s="357"/>
      <c r="D1404" s="1695"/>
      <c r="E1404" s="1696"/>
      <c r="F1404" s="1696"/>
      <c r="G1404" s="1696"/>
      <c r="H1404" s="1696"/>
      <c r="I1404" s="1696"/>
      <c r="J1404" s="1696"/>
      <c r="K1404" s="1696"/>
      <c r="L1404" s="1696"/>
      <c r="M1404" s="1696"/>
      <c r="N1404" s="1697"/>
      <c r="O1404" s="698"/>
      <c r="P1404" s="729"/>
      <c r="Q1404" s="729"/>
      <c r="R1404" s="729"/>
      <c r="S1404" s="729"/>
      <c r="T1404" s="729"/>
      <c r="U1404" s="343"/>
      <c r="V1404" s="343"/>
    </row>
    <row r="1405" spans="1:22" s="364" customFormat="1" ht="12.75" customHeight="1" x14ac:dyDescent="0.3">
      <c r="A1405" s="729"/>
      <c r="B1405" s="302"/>
      <c r="C1405" s="357"/>
      <c r="D1405" s="1698"/>
      <c r="E1405" s="389" t="str">
        <f>Translations!$B$1372</f>
        <v>Приложимост на пълзящата средна стойност</v>
      </c>
      <c r="F1405" s="498"/>
      <c r="G1405" s="498"/>
      <c r="H1405" s="527"/>
      <c r="I1405" s="1699"/>
      <c r="J1405" s="1523">
        <f>J$2505</f>
        <v>2026</v>
      </c>
      <c r="K1405" s="387">
        <f>K$2505</f>
        <v>2027</v>
      </c>
      <c r="L1405" s="387">
        <f>L$2505</f>
        <v>2028</v>
      </c>
      <c r="M1405" s="387">
        <f>M$2505</f>
        <v>2029</v>
      </c>
      <c r="N1405" s="1544">
        <f>N$2505</f>
        <v>2030</v>
      </c>
      <c r="O1405" s="698"/>
      <c r="P1405" s="729"/>
      <c r="Q1405" s="729"/>
      <c r="R1405" s="729"/>
      <c r="S1405" s="729"/>
      <c r="T1405" s="729"/>
      <c r="U1405" s="343"/>
      <c r="V1405" s="343"/>
    </row>
    <row r="1406" spans="1:22" s="364" customFormat="1" ht="12.75" customHeight="1" x14ac:dyDescent="0.3">
      <c r="A1406" s="729"/>
      <c r="B1406" s="302"/>
      <c r="C1406" s="357"/>
      <c r="D1406" s="1698"/>
      <c r="E1406" s="1700" t="str">
        <f>Translations!$B$1364</f>
        <v>Критерий 1: В експлоатация &gt; 2 години?</v>
      </c>
      <c r="F1406" s="1701"/>
      <c r="G1406" s="1701"/>
      <c r="H1406" s="1702"/>
      <c r="I1406" s="1701"/>
      <c r="J1406" s="1703" t="str">
        <f>IF(R1402,INDEX(F_ProductBM!V:V,MATCH($P1406,F_ProductBM!$Q:$Q,0))&gt;=3,"")</f>
        <v/>
      </c>
      <c r="K1406" s="1704" t="str">
        <f>IF(S1402,INDEX(F_ProductBM!W:W,MATCH($P1406,F_ProductBM!$Q:$Q,0))&gt;=3,"")</f>
        <v/>
      </c>
      <c r="L1406" s="1704" t="str">
        <f>IF(T1402,INDEX(F_ProductBM!X:X,MATCH($P1406,F_ProductBM!$Q:$Q,0))&gt;=3,"")</f>
        <v/>
      </c>
      <c r="M1406" s="1704" t="str">
        <f>IF(U1402,INDEX(F_ProductBM!Y:Y,MATCH($P1406,F_ProductBM!$Q:$Q,0))&gt;=3,"")</f>
        <v/>
      </c>
      <c r="N1406" s="1705" t="str">
        <f>IF(V1402,INDEX(F_ProductBM!Z:Z,MATCH($P1406,F_ProductBM!$Q:$Q,0))&gt;=3,"")</f>
        <v/>
      </c>
      <c r="O1406" s="698"/>
      <c r="P1406" s="1190" t="str">
        <f>EUconst_CNTR_HALinitial&amp;I1396</f>
        <v>HALini_</v>
      </c>
      <c r="Q1406" s="729"/>
      <c r="R1406" s="729"/>
      <c r="S1406" s="729"/>
      <c r="T1406" s="729"/>
      <c r="U1406" s="343"/>
      <c r="V1406" s="343"/>
    </row>
    <row r="1407" spans="1:22" s="364" customFormat="1" ht="12.75" customHeight="1" x14ac:dyDescent="0.3">
      <c r="A1407" s="729"/>
      <c r="B1407" s="302"/>
      <c r="C1407" s="357"/>
      <c r="D1407" s="1698"/>
      <c r="E1407" s="1706" t="str">
        <f>Translations!$B$1366</f>
        <v>Критерий 2: Не е спряна от експлоатация през предходната година?</v>
      </c>
      <c r="F1407" s="1707"/>
      <c r="G1407" s="1707"/>
      <c r="H1407" s="1708"/>
      <c r="I1407" s="1707"/>
      <c r="J1407" s="1709" t="str">
        <f>IF(R1402,IF($K1399="",2050,YEAR($K1399))&lt;&gt;(J1405-1),"")</f>
        <v/>
      </c>
      <c r="K1407" s="1710" t="str">
        <f>IF(S1402,IF($K1399="",2050,YEAR($K1399))&lt;&gt;(K1405-1),"")</f>
        <v/>
      </c>
      <c r="L1407" s="1710" t="str">
        <f>IF(T1402,IF($K1399="",2050,YEAR($K1399))&lt;&gt;(L1405-1),"")</f>
        <v/>
      </c>
      <c r="M1407" s="1710" t="str">
        <f>IF(U1402,IF($K1399="",2050,YEAR($K1399))&lt;&gt;(M1405-1),"")</f>
        <v/>
      </c>
      <c r="N1407" s="1711" t="str">
        <f>IF(V1402,IF($K1399="",2050,YEAR($K1399))&lt;&gt;(N1405-1),"")</f>
        <v/>
      </c>
      <c r="O1407" s="698"/>
      <c r="P1407" s="729"/>
      <c r="Q1407" s="729"/>
      <c r="R1407" s="729"/>
      <c r="S1407" s="729"/>
      <c r="T1407" s="729"/>
      <c r="U1407" s="343"/>
      <c r="V1407" s="343"/>
    </row>
    <row r="1408" spans="1:22" s="364" customFormat="1" ht="5.15" customHeight="1" x14ac:dyDescent="0.3">
      <c r="A1408" s="729"/>
      <c r="B1408" s="302"/>
      <c r="C1408" s="357"/>
      <c r="D1408" s="1698"/>
      <c r="E1408" s="357"/>
      <c r="F1408" s="357"/>
      <c r="G1408" s="357"/>
      <c r="H1408" s="357"/>
      <c r="I1408" s="357"/>
      <c r="J1408" s="357"/>
      <c r="K1408" s="357"/>
      <c r="L1408" s="357"/>
      <c r="M1408" s="357"/>
      <c r="N1408" s="1712"/>
      <c r="O1408" s="698"/>
      <c r="P1408" s="729"/>
      <c r="Q1408" s="729"/>
      <c r="R1408" s="729"/>
      <c r="S1408" s="729"/>
      <c r="T1408" s="729"/>
      <c r="U1408" s="343"/>
      <c r="V1408" s="343"/>
    </row>
    <row r="1409" spans="1:22" s="364" customFormat="1" ht="12.75" customHeight="1" x14ac:dyDescent="0.3">
      <c r="A1409" s="729"/>
      <c r="B1409" s="302"/>
      <c r="C1409" s="357"/>
      <c r="D1409" s="1698"/>
      <c r="E1409" s="313" t="str">
        <f>Translations!$B$1373</f>
        <v>Промени: Няма промяна (базова стойност)</v>
      </c>
      <c r="F1409" s="302"/>
      <c r="G1409" s="302"/>
      <c r="H1409" s="527" t="str">
        <f>EUconst_Unit</f>
        <v>Единица мярка</v>
      </c>
      <c r="I1409" s="1699"/>
      <c r="J1409" s="757">
        <f>J$2505</f>
        <v>2026</v>
      </c>
      <c r="K1409" s="391">
        <f>K$2505</f>
        <v>2027</v>
      </c>
      <c r="L1409" s="391">
        <f>L$2505</f>
        <v>2028</v>
      </c>
      <c r="M1409" s="391">
        <f>M$2505</f>
        <v>2029</v>
      </c>
      <c r="N1409" s="1713">
        <f>N$2505</f>
        <v>2030</v>
      </c>
      <c r="O1409" s="698"/>
      <c r="P1409" s="729"/>
      <c r="Q1409" s="729"/>
      <c r="R1409" s="729"/>
      <c r="S1409" s="729"/>
      <c r="T1409" s="729"/>
      <c r="U1409" s="343"/>
      <c r="V1409" s="343"/>
    </row>
    <row r="1410" spans="1:22" s="364" customFormat="1" ht="12.75" hidden="1" customHeight="1" x14ac:dyDescent="0.3">
      <c r="A1410" s="729" t="str">
        <f t="shared" ref="A1410:A1414" si="119">IF(P1410="","ausblenden","")</f>
        <v>ausblenden</v>
      </c>
      <c r="B1410" s="302"/>
      <c r="C1410" s="357"/>
      <c r="D1410" s="1698"/>
      <c r="E1410" s="388" t="str">
        <f>Translations!$B$1388</f>
        <v>Равнище на дейност</v>
      </c>
      <c r="F1410" s="388"/>
      <c r="G1410" s="388"/>
      <c r="H1410" s="1210" t="str">
        <f>F1402</f>
        <v>тона</v>
      </c>
      <c r="I1410" s="388"/>
      <c r="J1410" s="1714" t="str">
        <f>IF(T1467&gt;=$H$2505,S1462,I1462)</f>
        <v/>
      </c>
      <c r="K1410" s="1693" t="str">
        <f t="shared" ref="K1410:K1413" si="120">J1462</f>
        <v/>
      </c>
      <c r="L1410" s="1693" t="str">
        <f t="shared" ref="L1410:L1413" si="121">K1462</f>
        <v/>
      </c>
      <c r="M1410" s="1693" t="str">
        <f t="shared" ref="M1410:M1413" si="122">L1462</f>
        <v/>
      </c>
      <c r="N1410" s="1715" t="str">
        <f t="shared" ref="N1410:N1413" si="123">M1462</f>
        <v/>
      </c>
      <c r="O1410" s="698"/>
      <c r="P1410" s="729"/>
      <c r="Q1410" s="729"/>
      <c r="R1410" s="729"/>
      <c r="S1410" s="729"/>
      <c r="T1410" s="729"/>
      <c r="U1410" s="343"/>
      <c r="V1410" s="343"/>
    </row>
    <row r="1411" spans="1:22" s="364" customFormat="1" ht="12.75" hidden="1" customHeight="1" x14ac:dyDescent="0.3">
      <c r="A1411" s="729" t="str">
        <f t="shared" si="119"/>
        <v>ausblenden</v>
      </c>
      <c r="B1411" s="302"/>
      <c r="C1411" s="357"/>
      <c r="D1411" s="1698"/>
      <c r="E1411" s="392" t="str">
        <f>Translations!$B$949</f>
        <v>топл. ен. извън СТЕ</v>
      </c>
      <c r="F1411" s="392"/>
      <c r="G1411" s="392"/>
      <c r="H1411" s="481" t="str">
        <f>EUconst_EUA</f>
        <v>Квота за емисии</v>
      </c>
      <c r="I1411" s="1716"/>
      <c r="J1411" s="1717" t="str">
        <f>IF(T1467&gt;=$H$2505,S1463,I1463)</f>
        <v/>
      </c>
      <c r="K1411" s="1718" t="str">
        <f t="shared" si="120"/>
        <v/>
      </c>
      <c r="L1411" s="1718" t="str">
        <f t="shared" si="121"/>
        <v/>
      </c>
      <c r="M1411" s="1718" t="str">
        <f t="shared" si="122"/>
        <v/>
      </c>
      <c r="N1411" s="1719" t="str">
        <f t="shared" si="123"/>
        <v/>
      </c>
      <c r="O1411" s="698"/>
      <c r="P1411" s="729"/>
      <c r="Q1411" s="729"/>
      <c r="R1411" s="729"/>
      <c r="S1411" s="729"/>
      <c r="T1411" s="729"/>
      <c r="U1411" s="343"/>
      <c r="V1411" s="343"/>
    </row>
    <row r="1412" spans="1:22" s="364" customFormat="1" ht="12.75" hidden="1" customHeight="1" x14ac:dyDescent="0.3">
      <c r="A1412" s="729" t="str">
        <f t="shared" si="119"/>
        <v>ausblenden</v>
      </c>
      <c r="B1412" s="302"/>
      <c r="C1412" s="357"/>
      <c r="D1412" s="1698"/>
      <c r="E1412" s="398" t="str">
        <f>Translations!$B$951</f>
        <v>WGflare</v>
      </c>
      <c r="F1412" s="398"/>
      <c r="G1412" s="398"/>
      <c r="H1412" s="516" t="str">
        <f>EUconst_EUA</f>
        <v>Квота за емисии</v>
      </c>
      <c r="I1412" s="1720"/>
      <c r="J1412" s="1721" t="str">
        <f>IF(T1467&gt;=$H$2505,S1464,I1464)</f>
        <v/>
      </c>
      <c r="K1412" s="1722" t="str">
        <f t="shared" si="120"/>
        <v/>
      </c>
      <c r="L1412" s="1722" t="str">
        <f t="shared" si="121"/>
        <v/>
      </c>
      <c r="M1412" s="1722" t="str">
        <f t="shared" si="122"/>
        <v/>
      </c>
      <c r="N1412" s="1723" t="str">
        <f t="shared" si="123"/>
        <v/>
      </c>
      <c r="O1412" s="698"/>
      <c r="P1412" s="729"/>
      <c r="Q1412" s="729"/>
      <c r="R1412" s="729"/>
      <c r="S1412" s="729"/>
      <c r="T1412" s="729"/>
      <c r="U1412" s="343"/>
      <c r="V1412" s="343"/>
    </row>
    <row r="1413" spans="1:22" s="364" customFormat="1" ht="12.75" hidden="1" customHeight="1" x14ac:dyDescent="0.3">
      <c r="A1413" s="729" t="str">
        <f t="shared" si="119"/>
        <v>ausblenden</v>
      </c>
      <c r="B1413" s="302"/>
      <c r="C1413" s="357"/>
      <c r="D1413" s="1698"/>
      <c r="E1413" s="398" t="s">
        <v>1442</v>
      </c>
      <c r="F1413" s="398"/>
      <c r="G1413" s="398"/>
      <c r="H1413" s="516" t="str">
        <f>EUconst_EUA</f>
        <v>Квота за емисии</v>
      </c>
      <c r="I1413" s="1720"/>
      <c r="J1413" s="1721" t="str">
        <f>IF(T1467&gt;=$H$2505,S1465,I1465)</f>
        <v/>
      </c>
      <c r="K1413" s="1722" t="str">
        <f t="shared" si="120"/>
        <v/>
      </c>
      <c r="L1413" s="1722" t="str">
        <f t="shared" si="121"/>
        <v/>
      </c>
      <c r="M1413" s="1722" t="str">
        <f t="shared" si="122"/>
        <v/>
      </c>
      <c r="N1413" s="1723" t="str">
        <f t="shared" si="123"/>
        <v/>
      </c>
      <c r="O1413" s="698"/>
      <c r="P1413" s="729"/>
      <c r="Q1413" s="729"/>
      <c r="R1413" s="729"/>
      <c r="S1413" s="729"/>
      <c r="T1413" s="729"/>
      <c r="U1413" s="343"/>
      <c r="V1413" s="343"/>
    </row>
    <row r="1414" spans="1:22" s="364" customFormat="1" ht="12.75" hidden="1" customHeight="1" x14ac:dyDescent="0.3">
      <c r="A1414" s="729" t="str">
        <f t="shared" si="119"/>
        <v>ausblenden</v>
      </c>
      <c r="B1414" s="302"/>
      <c r="C1414" s="357"/>
      <c r="D1414" s="1698"/>
      <c r="E1414" s="401" t="s">
        <v>1443</v>
      </c>
      <c r="F1414" s="401"/>
      <c r="G1414" s="401"/>
      <c r="H1414" s="483" t="s">
        <v>1052</v>
      </c>
      <c r="I1414" s="1724"/>
      <c r="J1414" s="1725" t="str">
        <f>IF(T1467&gt;=$H$2505,S1466,I1466)</f>
        <v/>
      </c>
      <c r="K1414" s="1726" t="str">
        <f>J1466</f>
        <v/>
      </c>
      <c r="L1414" s="1726" t="str">
        <f>K1466</f>
        <v/>
      </c>
      <c r="M1414" s="1726" t="str">
        <f>L1466</f>
        <v/>
      </c>
      <c r="N1414" s="1727" t="str">
        <f>M1466</f>
        <v/>
      </c>
      <c r="O1414" s="698"/>
      <c r="P1414" s="729"/>
      <c r="Q1414" s="729"/>
      <c r="R1414" s="729"/>
      <c r="S1414" s="729"/>
      <c r="T1414" s="729"/>
      <c r="U1414" s="343"/>
      <c r="V1414" s="343"/>
    </row>
    <row r="1415" spans="1:22" s="364" customFormat="1" ht="12.75" customHeight="1" x14ac:dyDescent="0.3">
      <c r="A1415" s="729"/>
      <c r="B1415" s="302"/>
      <c r="C1415" s="357"/>
      <c r="D1415" s="1698"/>
      <c r="E1415" s="388" t="str">
        <f>Translations!$B$1374</f>
        <v>Стойност на предварително разпределяне</v>
      </c>
      <c r="F1415" s="388"/>
      <c r="G1415" s="388"/>
      <c r="H1415" s="421" t="str">
        <f>EUconst_EUA</f>
        <v>Квота за емисии</v>
      </c>
      <c r="I1415" s="1728"/>
      <c r="J1415" s="1694" t="str">
        <f>IF($I1396="","",MAX(0,ROUND((SUM($M1399)*SUM(J1410)*SUM(J1414)-SUM(J1411)-SUM(J1412)+SUM(J1413))*IF($H1399=TRUE,1,J$2412)*IF($I1399=TRUE,INDEX(EUconst_CBAMFactor,J1405-2020),1),0)))</f>
        <v/>
      </c>
      <c r="K1415" s="406" t="str">
        <f>IF($I1396="","",MAX(0,ROUND((SUM($M1399)*SUM(K1410)*SUM(K1414)-SUM(K1411)-SUM(K1412)+SUM(K1413))*IF($H1399=TRUE,1,K$2412)*IF($I1399=TRUE,INDEX(EUconst_CBAMFactor,K1405-2020),1),0)))</f>
        <v/>
      </c>
      <c r="L1415" s="406" t="str">
        <f>IF($I1396="","",MAX(0,ROUND((SUM($M1399)*SUM(L1410)*SUM(L1414)-SUM(L1411)-SUM(L1412)+SUM(L1413))*IF($H1399=TRUE,1,L$2412)*IF($I1399=TRUE,INDEX(EUconst_CBAMFactor,L1405-2020),1),0)))</f>
        <v/>
      </c>
      <c r="M1415" s="406" t="str">
        <f>IF($I1396="","",MAX(0,ROUND((SUM($M1399)*SUM(M1410)*SUM(M1414)-SUM(M1411)-SUM(M1412)+SUM(M1413))*IF($H1399=TRUE,1,M$2412)*IF($I1399=TRUE,INDEX(EUconst_CBAMFactor,M1405-2020),1),0)))</f>
        <v/>
      </c>
      <c r="N1415" s="1729" t="str">
        <f>IF($I1396="","",MAX(0,ROUND((SUM($M1399)*SUM(N1410)*SUM(N1414)-SUM(N1411)-SUM(N1412)+SUM(N1413))*IF($H1399=TRUE,1,N$2412)*IF($I1399=TRUE,INDEX(EUconst_CBAMFactor,N1405-2020),1),0)))</f>
        <v/>
      </c>
      <c r="O1415" s="698"/>
      <c r="P1415" s="729"/>
      <c r="Q1415" s="729"/>
      <c r="R1415" s="729"/>
      <c r="S1415" s="729"/>
      <c r="T1415" s="729"/>
      <c r="U1415" s="343"/>
      <c r="V1415" s="343"/>
    </row>
    <row r="1416" spans="1:22" s="364" customFormat="1" ht="5.15" customHeight="1" x14ac:dyDescent="0.3">
      <c r="A1416" s="729"/>
      <c r="B1416" s="302"/>
      <c r="C1416" s="357"/>
      <c r="D1416" s="1698"/>
      <c r="E1416" s="357"/>
      <c r="F1416" s="357"/>
      <c r="G1416" s="357"/>
      <c r="H1416" s="357"/>
      <c r="I1416" s="357"/>
      <c r="J1416" s="357"/>
      <c r="K1416" s="357"/>
      <c r="L1416" s="357"/>
      <c r="M1416" s="357"/>
      <c r="N1416" s="1712"/>
      <c r="O1416" s="698"/>
      <c r="P1416" s="729"/>
      <c r="Q1416" s="729"/>
      <c r="R1416" s="729"/>
      <c r="S1416" s="729"/>
      <c r="T1416" s="729"/>
      <c r="U1416" s="343"/>
      <c r="V1416" s="343"/>
    </row>
    <row r="1417" spans="1:22" s="364" customFormat="1" ht="12.75" customHeight="1" x14ac:dyDescent="0.3">
      <c r="A1417" s="729"/>
      <c r="B1417" s="302"/>
      <c r="C1417" s="357"/>
      <c r="D1417" s="1698"/>
      <c r="E1417" s="389" t="str">
        <f>Translations!$B$1375</f>
        <v>Промени: Равнище на дейност</v>
      </c>
      <c r="F1417" s="498"/>
      <c r="G1417" s="498"/>
      <c r="H1417" s="527" t="str">
        <f>EUconst_Unit</f>
        <v>Единица мярка</v>
      </c>
      <c r="I1417" s="1699"/>
      <c r="J1417" s="1523">
        <f>J$2505</f>
        <v>2026</v>
      </c>
      <c r="K1417" s="387">
        <f>K$2505</f>
        <v>2027</v>
      </c>
      <c r="L1417" s="387">
        <f>L$2505</f>
        <v>2028</v>
      </c>
      <c r="M1417" s="387">
        <f>M$2505</f>
        <v>2029</v>
      </c>
      <c r="N1417" s="1544">
        <f>N$2505</f>
        <v>2030</v>
      </c>
      <c r="O1417" s="698"/>
      <c r="P1417" s="729"/>
      <c r="Q1417" s="729"/>
      <c r="R1417" s="729"/>
      <c r="S1417" s="729"/>
      <c r="T1417" s="729"/>
      <c r="U1417" s="343"/>
      <c r="V1417" s="343"/>
    </row>
    <row r="1418" spans="1:22" s="364" customFormat="1" ht="12.75" customHeight="1" x14ac:dyDescent="0.3">
      <c r="A1418" s="729"/>
      <c r="B1418" s="302"/>
      <c r="C1418" s="357"/>
      <c r="D1418" s="1698"/>
      <c r="E1418" s="392" t="str">
        <f>Translations!$B$1328</f>
        <v>Средна годишна стойност</v>
      </c>
      <c r="F1418" s="392"/>
      <c r="G1418" s="392"/>
      <c r="H1418" s="1730" t="str">
        <f>H1410</f>
        <v>тона</v>
      </c>
      <c r="I1418" s="1731"/>
      <c r="J1418" s="1732" t="str">
        <f>INDEX(F_ProductBM!J:J,MATCH($P1418,F_ProductBM!$Q:$Q,0))</f>
        <v/>
      </c>
      <c r="K1418" s="394" t="str">
        <f>INDEX(F_ProductBM!K:K,MATCH($P1418,F_ProductBM!$Q:$Q,0))</f>
        <v/>
      </c>
      <c r="L1418" s="394" t="str">
        <f>INDEX(F_ProductBM!L:L,MATCH($P1418,F_ProductBM!$Q:$Q,0))</f>
        <v/>
      </c>
      <c r="M1418" s="394" t="str">
        <f>INDEX(F_ProductBM!M:M,MATCH($P1418,F_ProductBM!$Q:$Q,0))</f>
        <v/>
      </c>
      <c r="N1418" s="1733" t="str">
        <f>INDEX(F_ProductBM!N:N,MATCH($P1418,F_ProductBM!$Q:$Q,0))</f>
        <v/>
      </c>
      <c r="O1418" s="698"/>
      <c r="P1418" s="1190" t="str">
        <f>EUconst_CNTR_HALinitial&amp;I1396</f>
        <v>HALini_</v>
      </c>
      <c r="Q1418" s="729"/>
      <c r="R1418" s="729"/>
      <c r="S1418" s="729"/>
      <c r="T1418" s="729"/>
      <c r="U1418" s="343"/>
      <c r="V1418" s="343"/>
    </row>
    <row r="1419" spans="1:22" s="364" customFormat="1" ht="12.75" customHeight="1" x14ac:dyDescent="0.3">
      <c r="A1419" s="729"/>
      <c r="B1419" s="302"/>
      <c r="C1419" s="357"/>
      <c r="D1419" s="1698"/>
      <c r="E1419" s="398" t="str">
        <f>Translations!$B$1376</f>
        <v>Промяна в сравнение с HAL</v>
      </c>
      <c r="F1419" s="398"/>
      <c r="G1419" s="398"/>
      <c r="H1419" s="1734" t="s">
        <v>1052</v>
      </c>
      <c r="I1419" s="1735"/>
      <c r="J1419" s="159" t="str">
        <f>INDEX(F_ProductBM!J:J,MATCH($P1419,F_ProductBM!$Q:$Q,0))</f>
        <v/>
      </c>
      <c r="K1419" s="160" t="str">
        <f>INDEX(F_ProductBM!K:K,MATCH($P1419,F_ProductBM!$Q:$Q,0))</f>
        <v/>
      </c>
      <c r="L1419" s="160" t="str">
        <f>INDEX(F_ProductBM!L:L,MATCH($P1419,F_ProductBM!$Q:$Q,0))</f>
        <v/>
      </c>
      <c r="M1419" s="160" t="str">
        <f>INDEX(F_ProductBM!M:M,MATCH($P1419,F_ProductBM!$Q:$Q,0))</f>
        <v/>
      </c>
      <c r="N1419" s="161" t="str">
        <f>INDEX(F_ProductBM!N:N,MATCH($P1419,F_ProductBM!$Q:$Q,0))</f>
        <v/>
      </c>
      <c r="O1419" s="698"/>
      <c r="P1419" s="1190" t="str">
        <f>EUconst_CNTR_RelThreshold &amp; P1421</f>
        <v>RelThresh_HALprelim_</v>
      </c>
      <c r="Q1419" s="729"/>
      <c r="R1419" s="729"/>
      <c r="S1419" s="729"/>
      <c r="T1419" s="729"/>
      <c r="U1419" s="343"/>
      <c r="V1419" s="343"/>
    </row>
    <row r="1420" spans="1:22" s="364" customFormat="1" ht="12.75" customHeight="1" x14ac:dyDescent="0.3">
      <c r="A1420" s="729"/>
      <c r="B1420" s="302"/>
      <c r="C1420" s="357"/>
      <c r="D1420" s="1698"/>
      <c r="E1420" s="1736" t="str">
        <f>Translations!$B$1368</f>
        <v>Критерий 3a: Надвишени ли са относителните прагове?</v>
      </c>
      <c r="F1420" s="1736"/>
      <c r="G1420" s="1736"/>
      <c r="H1420" s="1737" t="s">
        <v>1052</v>
      </c>
      <c r="I1420" s="1738"/>
      <c r="J1420" s="1739" t="str">
        <f>INDEX(F_ProductBM!V:V,MATCH($P1420,F_ProductBM!$Q:$Q,0)+1)</f>
        <v/>
      </c>
      <c r="K1420" s="1740" t="str">
        <f>INDEX(F_ProductBM!W:W,MATCH($P1420,F_ProductBM!$Q:$Q,0)+1)</f>
        <v/>
      </c>
      <c r="L1420" s="1740" t="str">
        <f>INDEX(F_ProductBM!X:X,MATCH($P1420,F_ProductBM!$Q:$Q,0)+1)</f>
        <v/>
      </c>
      <c r="M1420" s="1740" t="str">
        <f>INDEX(F_ProductBM!Y:Y,MATCH($P1420,F_ProductBM!$Q:$Q,0)+1)</f>
        <v/>
      </c>
      <c r="N1420" s="1741" t="str">
        <f>INDEX(F_ProductBM!Z:Z,MATCH($P1420,F_ProductBM!$Q:$Q,0)+1)</f>
        <v/>
      </c>
      <c r="O1420" s="698"/>
      <c r="P1420" s="1190" t="str">
        <f>P1419</f>
        <v>RelThresh_HALprelim_</v>
      </c>
      <c r="Q1420" s="729"/>
      <c r="R1420" s="729"/>
      <c r="S1420" s="729"/>
      <c r="T1420" s="729"/>
      <c r="U1420" s="343"/>
      <c r="V1420" s="343"/>
    </row>
    <row r="1421" spans="1:22" s="364" customFormat="1" ht="12.75" customHeight="1" x14ac:dyDescent="0.3">
      <c r="A1421" s="729" t="str">
        <f t="shared" ref="A1421" si="124">IF(P1421="","ausblenden","")</f>
        <v/>
      </c>
      <c r="B1421" s="302"/>
      <c r="C1421" s="357"/>
      <c r="D1421" s="1698"/>
      <c r="E1421" s="401" t="str">
        <f>Translations!$B$1377</f>
        <v>Предварителна стойност</v>
      </c>
      <c r="F1421" s="401"/>
      <c r="G1421" s="401"/>
      <c r="H1421" s="1742" t="str">
        <f>F1402</f>
        <v>тона</v>
      </c>
      <c r="I1421" s="401"/>
      <c r="J1421" s="1743" t="str">
        <f>INDEX(F_ProductBM!J:J,MATCH($P1421,F_ProductBM!$Q:$Q,0))</f>
        <v/>
      </c>
      <c r="K1421" s="1744" t="str">
        <f>INDEX(F_ProductBM!K:K,MATCH($P1421,F_ProductBM!$Q:$Q,0))</f>
        <v/>
      </c>
      <c r="L1421" s="1744" t="str">
        <f>INDEX(F_ProductBM!L:L,MATCH($P1421,F_ProductBM!$Q:$Q,0))</f>
        <v/>
      </c>
      <c r="M1421" s="1744" t="str">
        <f>INDEX(F_ProductBM!M:M,MATCH($P1421,F_ProductBM!$Q:$Q,0))</f>
        <v/>
      </c>
      <c r="N1421" s="1745" t="str">
        <f>INDEX(F_ProductBM!N:N,MATCH($P1421,F_ProductBM!$Q:$Q,0))</f>
        <v/>
      </c>
      <c r="O1421" s="698"/>
      <c r="P1421" s="1190" t="str">
        <f>EUconst_CNTR_HALprelim&amp;I1396</f>
        <v>HALprelim_</v>
      </c>
      <c r="Q1421" s="729"/>
      <c r="R1421" s="729"/>
      <c r="S1421" s="729"/>
      <c r="T1421" s="729"/>
      <c r="U1421" s="343"/>
      <c r="V1421" s="343"/>
    </row>
    <row r="1422" spans="1:22" s="364" customFormat="1" ht="5.15" customHeight="1" x14ac:dyDescent="0.3">
      <c r="A1422" s="729"/>
      <c r="B1422" s="302"/>
      <c r="C1422" s="357"/>
      <c r="D1422" s="1698"/>
      <c r="E1422" s="302"/>
      <c r="F1422" s="302"/>
      <c r="G1422" s="302"/>
      <c r="H1422" s="302"/>
      <c r="I1422" s="1746"/>
      <c r="J1422" s="302"/>
      <c r="K1422" s="302"/>
      <c r="L1422" s="302"/>
      <c r="M1422" s="302"/>
      <c r="N1422" s="1747"/>
      <c r="O1422" s="698"/>
      <c r="P1422" s="729"/>
      <c r="Q1422" s="729"/>
      <c r="R1422" s="729"/>
      <c r="S1422" s="729"/>
      <c r="T1422" s="729"/>
      <c r="U1422" s="343"/>
      <c r="V1422" s="343"/>
    </row>
    <row r="1423" spans="1:22" s="364" customFormat="1" ht="12.75" customHeight="1" x14ac:dyDescent="0.3">
      <c r="A1423" s="729"/>
      <c r="B1423" s="302"/>
      <c r="C1423" s="357"/>
      <c r="D1423" s="1698"/>
      <c r="E1423" s="389" t="str">
        <f>Translations!$B$1380</f>
        <v>Промени: Топлинна енергия извън СТЕ</v>
      </c>
      <c r="F1423" s="498"/>
      <c r="G1423" s="498"/>
      <c r="H1423" s="527" t="str">
        <f>EUconst_Unit</f>
        <v>Единица мярка</v>
      </c>
      <c r="I1423" s="1699"/>
      <c r="J1423" s="1523">
        <f>J$2505</f>
        <v>2026</v>
      </c>
      <c r="K1423" s="387">
        <f>K$2505</f>
        <v>2027</v>
      </c>
      <c r="L1423" s="387">
        <f>L$2505</f>
        <v>2028</v>
      </c>
      <c r="M1423" s="387">
        <f>M$2505</f>
        <v>2029</v>
      </c>
      <c r="N1423" s="1544">
        <f>N$2505</f>
        <v>2030</v>
      </c>
      <c r="O1423" s="698"/>
      <c r="P1423" s="729"/>
      <c r="Q1423" s="729"/>
      <c r="R1423" s="729"/>
      <c r="S1423" s="729"/>
      <c r="T1423" s="729"/>
      <c r="U1423" s="343"/>
      <c r="V1423" s="343"/>
    </row>
    <row r="1424" spans="1:22" s="364" customFormat="1" ht="12.75" customHeight="1" x14ac:dyDescent="0.3">
      <c r="A1424" s="729"/>
      <c r="B1424" s="302"/>
      <c r="C1424" s="357"/>
      <c r="D1424" s="1698"/>
      <c r="E1424" s="392" t="str">
        <f>Translations!$B$1328</f>
        <v>Средна годишна стойност</v>
      </c>
      <c r="F1424" s="392"/>
      <c r="G1424" s="392"/>
      <c r="H1424" s="485" t="str">
        <f>EUconst_EUA</f>
        <v>Квота за емисии</v>
      </c>
      <c r="I1424" s="1716"/>
      <c r="J1424" s="1732" t="str">
        <f>IF(R1402,SUM(INDEX(F_ProductBM!J:J,MATCH($P1424,F_ProductBM!$Q:$Q,0))),"")</f>
        <v/>
      </c>
      <c r="K1424" s="394" t="str">
        <f>IF(S1402,SUM(INDEX(F_ProductBM!K:K,MATCH($P1424,F_ProductBM!$Q:$Q,0))),"")</f>
        <v/>
      </c>
      <c r="L1424" s="394" t="str">
        <f>IF(T1402,SUM(INDEX(F_ProductBM!L:L,MATCH($P1424,F_ProductBM!$Q:$Q,0))),"")</f>
        <v/>
      </c>
      <c r="M1424" s="394" t="str">
        <f>IF(U1402,SUM(INDEX(F_ProductBM!M:M,MATCH($P1424,F_ProductBM!$Q:$Q,0))),"")</f>
        <v/>
      </c>
      <c r="N1424" s="1733" t="str">
        <f>IF(V1402,SUM(INDEX(F_ProductBM!N:N,MATCH($P1424,F_ProductBM!$Q:$Q,0))),"")</f>
        <v/>
      </c>
      <c r="O1424" s="698"/>
      <c r="P1424" s="1190" t="str">
        <f>EUconst_CNTR_HEATInitial &amp; I1396</f>
        <v>HEATIni_</v>
      </c>
      <c r="Q1424" s="729"/>
      <c r="R1424" s="729"/>
      <c r="S1424" s="729"/>
      <c r="T1424" s="729"/>
      <c r="U1424" s="343"/>
      <c r="V1424" s="343"/>
    </row>
    <row r="1425" spans="1:22" s="364" customFormat="1" ht="12.75" customHeight="1" x14ac:dyDescent="0.3">
      <c r="A1425" s="729"/>
      <c r="B1425" s="302"/>
      <c r="C1425" s="357"/>
      <c r="D1425" s="1698"/>
      <c r="E1425" s="398" t="str">
        <f>Translations!$B$1378</f>
        <v>Промяна в сравнение със стойността в НМИ</v>
      </c>
      <c r="F1425" s="398"/>
      <c r="G1425" s="398"/>
      <c r="H1425" s="1734" t="s">
        <v>1052</v>
      </c>
      <c r="I1425" s="1735"/>
      <c r="J1425" s="159" t="str">
        <f>INDEX(F_ProductBM!J:J,MATCH($P1425,F_ProductBM!$Q:$Q,0))</f>
        <v/>
      </c>
      <c r="K1425" s="160" t="str">
        <f>INDEX(F_ProductBM!K:K,MATCH($P1425,F_ProductBM!$Q:$Q,0))</f>
        <v/>
      </c>
      <c r="L1425" s="160" t="str">
        <f>INDEX(F_ProductBM!L:L,MATCH($P1425,F_ProductBM!$Q:$Q,0))</f>
        <v/>
      </c>
      <c r="M1425" s="160" t="str">
        <f>INDEX(F_ProductBM!M:M,MATCH($P1425,F_ProductBM!$Q:$Q,0))</f>
        <v/>
      </c>
      <c r="N1425" s="161" t="str">
        <f>INDEX(F_ProductBM!N:N,MATCH($P1425,F_ProductBM!$Q:$Q,0))</f>
        <v/>
      </c>
      <c r="O1425" s="698"/>
      <c r="P1425" s="1190" t="str">
        <f>EUconst_CNTR_RelThreshold &amp; P1427</f>
        <v>RelThresh_HEATprelim_</v>
      </c>
      <c r="Q1425" s="729"/>
      <c r="R1425" s="729"/>
      <c r="S1425" s="729"/>
      <c r="T1425" s="729"/>
      <c r="U1425" s="343"/>
      <c r="V1425" s="343"/>
    </row>
    <row r="1426" spans="1:22" s="364" customFormat="1" ht="12.75" customHeight="1" x14ac:dyDescent="0.3">
      <c r="A1426" s="729"/>
      <c r="B1426" s="302"/>
      <c r="C1426" s="357"/>
      <c r="D1426" s="1698"/>
      <c r="E1426" s="1736" t="str">
        <f>Translations!$B$1379</f>
        <v>Критерий 3б: Надвишени ли са относителните прагове?</v>
      </c>
      <c r="F1426" s="1736"/>
      <c r="G1426" s="1736"/>
      <c r="H1426" s="1737" t="s">
        <v>1052</v>
      </c>
      <c r="I1426" s="1738"/>
      <c r="J1426" s="1739" t="str">
        <f>INDEX(F_ProductBM!V:V,MATCH($P1426,F_ProductBM!$Q:$Q,0))</f>
        <v/>
      </c>
      <c r="K1426" s="1740" t="str">
        <f>INDEX(F_ProductBM!W:W,MATCH($P1426,F_ProductBM!$Q:$Q,0))</f>
        <v/>
      </c>
      <c r="L1426" s="1740" t="str">
        <f>INDEX(F_ProductBM!X:X,MATCH($P1426,F_ProductBM!$Q:$Q,0))</f>
        <v/>
      </c>
      <c r="M1426" s="1740" t="str">
        <f>INDEX(F_ProductBM!Y:Y,MATCH($P1426,F_ProductBM!$Q:$Q,0))</f>
        <v/>
      </c>
      <c r="N1426" s="1741" t="str">
        <f>INDEX(F_ProductBM!Z:Z,MATCH($P1426,F_ProductBM!$Q:$Q,0))</f>
        <v/>
      </c>
      <c r="O1426" s="698"/>
      <c r="P1426" s="1190" t="str">
        <f>P1425</f>
        <v>RelThresh_HEATprelim_</v>
      </c>
      <c r="Q1426" s="729"/>
      <c r="R1426" s="729"/>
      <c r="S1426" s="729"/>
      <c r="T1426" s="729"/>
      <c r="U1426" s="343"/>
      <c r="V1426" s="343"/>
    </row>
    <row r="1427" spans="1:22" s="364" customFormat="1" ht="12.75" customHeight="1" x14ac:dyDescent="0.3">
      <c r="A1427" s="729" t="str">
        <f>IF(P1427="","ausblenden","")</f>
        <v/>
      </c>
      <c r="B1427" s="302"/>
      <c r="C1427" s="357"/>
      <c r="D1427" s="1698"/>
      <c r="E1427" s="401" t="str">
        <f>Translations!$B$1377</f>
        <v>Предварителна стойност</v>
      </c>
      <c r="F1427" s="401"/>
      <c r="G1427" s="401"/>
      <c r="H1427" s="487" t="str">
        <f>EUconst_EUA</f>
        <v>Квота за емисии</v>
      </c>
      <c r="I1427" s="401"/>
      <c r="J1427" s="1743" t="str">
        <f>IF($I1396="","",INDEX(F_ProductBM!J:J,MATCH($P1427,F_ProductBM!$Q:$Q,0)))</f>
        <v/>
      </c>
      <c r="K1427" s="1744" t="str">
        <f>IF($I1396="","",INDEX(F_ProductBM!K:K,MATCH($P1427,F_ProductBM!$Q:$Q,0)))</f>
        <v/>
      </c>
      <c r="L1427" s="1744" t="str">
        <f>IF($I1396="","",INDEX(F_ProductBM!L:L,MATCH($P1427,F_ProductBM!$Q:$Q,0)))</f>
        <v/>
      </c>
      <c r="M1427" s="1744" t="str">
        <f>IF($I1396="","",INDEX(F_ProductBM!M:M,MATCH($P1427,F_ProductBM!$Q:$Q,0)))</f>
        <v/>
      </c>
      <c r="N1427" s="1745" t="str">
        <f>IF($I1396="","",INDEX(F_ProductBM!N:N,MATCH($P1427,F_ProductBM!$Q:$Q,0)))</f>
        <v/>
      </c>
      <c r="O1427" s="698"/>
      <c r="P1427" s="1190" t="str">
        <f>EUconst_CNTR_HEATprelim&amp;I1396</f>
        <v>HEATprelim_</v>
      </c>
      <c r="Q1427" s="729"/>
      <c r="R1427" s="729"/>
      <c r="S1427" s="729"/>
      <c r="T1427" s="729"/>
      <c r="U1427" s="343"/>
      <c r="V1427" s="343"/>
    </row>
    <row r="1428" spans="1:22" s="364" customFormat="1" ht="5.15" customHeight="1" x14ac:dyDescent="0.3">
      <c r="A1428" s="729"/>
      <c r="B1428" s="302"/>
      <c r="C1428" s="357"/>
      <c r="D1428" s="1698"/>
      <c r="E1428" s="302"/>
      <c r="F1428" s="302"/>
      <c r="G1428" s="302"/>
      <c r="H1428" s="302"/>
      <c r="I1428" s="1746"/>
      <c r="J1428" s="302"/>
      <c r="K1428" s="302"/>
      <c r="L1428" s="302"/>
      <c r="M1428" s="302"/>
      <c r="N1428" s="1747"/>
      <c r="O1428" s="698"/>
      <c r="P1428" s="729"/>
      <c r="Q1428" s="729"/>
      <c r="R1428" s="729"/>
      <c r="S1428" s="729"/>
      <c r="T1428" s="729"/>
      <c r="U1428" s="343"/>
      <c r="V1428" s="343"/>
    </row>
    <row r="1429" spans="1:22" s="364" customFormat="1" ht="12.75" customHeight="1" x14ac:dyDescent="0.3">
      <c r="A1429" s="729"/>
      <c r="B1429" s="302"/>
      <c r="C1429" s="357"/>
      <c r="D1429" s="1698"/>
      <c r="E1429" s="389" t="str">
        <f>Translations!$B$1382</f>
        <v>Промени: Корекция за ценни химически вещества (HVC)</v>
      </c>
      <c r="F1429" s="498"/>
      <c r="G1429" s="498"/>
      <c r="H1429" s="527" t="str">
        <f>EUconst_Unit</f>
        <v>Единица мярка</v>
      </c>
      <c r="I1429" s="1699"/>
      <c r="J1429" s="1523">
        <f>J$2505</f>
        <v>2026</v>
      </c>
      <c r="K1429" s="387">
        <f>K$2505</f>
        <v>2027</v>
      </c>
      <c r="L1429" s="387">
        <f>L$2505</f>
        <v>2028</v>
      </c>
      <c r="M1429" s="387">
        <f>M$2505</f>
        <v>2029</v>
      </c>
      <c r="N1429" s="1544">
        <f>N$2505</f>
        <v>2030</v>
      </c>
      <c r="O1429" s="698"/>
      <c r="P1429" s="729"/>
      <c r="Q1429" s="729"/>
      <c r="R1429" s="729"/>
      <c r="S1429" s="729"/>
      <c r="T1429" s="729"/>
      <c r="U1429" s="343"/>
      <c r="V1429" s="343"/>
    </row>
    <row r="1430" spans="1:22" s="364" customFormat="1" ht="12.75" customHeight="1" x14ac:dyDescent="0.3">
      <c r="A1430" s="729"/>
      <c r="B1430" s="302"/>
      <c r="C1430" s="357"/>
      <c r="D1430" s="1698"/>
      <c r="E1430" s="392" t="str">
        <f>Translations!$B$1328</f>
        <v>Средна годишна стойност</v>
      </c>
      <c r="F1430" s="392"/>
      <c r="G1430" s="392"/>
      <c r="H1430" s="481" t="str">
        <f>EUconst_EUA</f>
        <v>Квота за емисии</v>
      </c>
      <c r="I1430" s="1716"/>
      <c r="J1430" s="1748" t="str">
        <f>IF(L1399=42,INDEX(H_SpecialBM!J:J,MATCH($P1430,H_SpecialBM!$Q:$Q,0)),"")</f>
        <v/>
      </c>
      <c r="K1430" s="1749" t="str">
        <f>IF(L1399=42,INDEX(H_SpecialBM!K:K,MATCH($P1430,H_SpecialBM!$Q:$Q,0)),"")</f>
        <v/>
      </c>
      <c r="L1430" s="1749" t="str">
        <f>IF(L1399=42,INDEX(H_SpecialBM!L:L,MATCH($P1430,H_SpecialBM!$Q:$Q,0)),"")</f>
        <v/>
      </c>
      <c r="M1430" s="1749" t="str">
        <f>IF(L1399=42,INDEX(H_SpecialBM!M:M,MATCH($P1430,H_SpecialBM!$Q:$Q,0)),"")</f>
        <v/>
      </c>
      <c r="N1430" s="1750" t="str">
        <f>IF(L1399=42,INDEX(H_SpecialBM!N:N,MATCH($P1430,H_SpecialBM!$Q:$Q,0)),"")</f>
        <v/>
      </c>
      <c r="O1430" s="698"/>
      <c r="P1430" s="1190" t="str">
        <f>EUconst_CNTR_HVCInitial &amp; INDEX(EUconst_BMlistNames,MATCH(42,EUconst_BMlistMainNumberOfBM,0))</f>
        <v>HVCIni_Крекинг с водна пара</v>
      </c>
      <c r="Q1430" s="729"/>
      <c r="R1430" s="729"/>
      <c r="S1430" s="729"/>
      <c r="T1430" s="729"/>
      <c r="U1430" s="343"/>
      <c r="V1430" s="343"/>
    </row>
    <row r="1431" spans="1:22" s="364" customFormat="1" ht="12.75" customHeight="1" x14ac:dyDescent="0.3">
      <c r="A1431" s="729"/>
      <c r="B1431" s="302"/>
      <c r="C1431" s="357"/>
      <c r="D1431" s="1698"/>
      <c r="E1431" s="398" t="str">
        <f>Translations!$B$1378</f>
        <v>Промяна в сравнение със стойността в НМИ</v>
      </c>
      <c r="F1431" s="398"/>
      <c r="G1431" s="398"/>
      <c r="H1431" s="1751" t="s">
        <v>1052</v>
      </c>
      <c r="I1431" s="1735"/>
      <c r="J1431" s="159" t="str">
        <f>IF(L1399=42,INDEX(H_SpecialBM!J:J,MATCH($P1431,H_SpecialBM!$Q:$Q,0)),"")</f>
        <v/>
      </c>
      <c r="K1431" s="160" t="str">
        <f>IF(L1399=42,INDEX(H_SpecialBM!K:K,MATCH($P1431,H_SpecialBM!$Q:$Q,0)),"")</f>
        <v/>
      </c>
      <c r="L1431" s="160" t="str">
        <f>IF(L1399=42,INDEX(H_SpecialBM!L:L,MATCH($P1431,H_SpecialBM!$Q:$Q,0)),"")</f>
        <v/>
      </c>
      <c r="M1431" s="160" t="str">
        <f>IF(L1399=42,INDEX(H_SpecialBM!M:M,MATCH($P1431,H_SpecialBM!$Q:$Q,0)),"")</f>
        <v/>
      </c>
      <c r="N1431" s="161" t="str">
        <f>IF(L1399=42,INDEX(H_SpecialBM!N:N,MATCH($P1431,H_SpecialBM!$Q:$Q,0)),"")</f>
        <v/>
      </c>
      <c r="O1431" s="698"/>
      <c r="P1431" s="1190" t="str">
        <f>EUconst_CNTR_RelThreshold &amp; P1433</f>
        <v>RelThresh_HVCprelim_</v>
      </c>
      <c r="Q1431" s="729"/>
      <c r="R1431" s="729"/>
      <c r="S1431" s="729"/>
      <c r="T1431" s="729"/>
      <c r="U1431" s="343"/>
      <c r="V1431" s="343"/>
    </row>
    <row r="1432" spans="1:22" s="364" customFormat="1" ht="12.75" customHeight="1" x14ac:dyDescent="0.3">
      <c r="A1432" s="729"/>
      <c r="B1432" s="302"/>
      <c r="C1432" s="357"/>
      <c r="D1432" s="1698"/>
      <c r="E1432" s="1736" t="str">
        <f>Translations!$B$1381</f>
        <v>Критерий 3в: Надвишени ли са относителните прагове?</v>
      </c>
      <c r="F1432" s="1736"/>
      <c r="G1432" s="1736"/>
      <c r="H1432" s="1738" t="s">
        <v>1052</v>
      </c>
      <c r="I1432" s="1738"/>
      <c r="J1432" s="1739" t="str">
        <f>IF(L1399=42,INDEX(H_SpecialBM!V:V,MATCH($P1432,H_SpecialBM!$Q:$Q,0)),"")</f>
        <v/>
      </c>
      <c r="K1432" s="1740" t="str">
        <f>IF(L1399=42,INDEX(H_SpecialBM!W:W,MATCH($P1432,H_SpecialBM!$Q:$Q,0)),"")</f>
        <v/>
      </c>
      <c r="L1432" s="1740" t="str">
        <f>IF(L1399=42,INDEX(H_SpecialBM!X:X,MATCH($P1432,H_SpecialBM!$Q:$Q,0)),"")</f>
        <v/>
      </c>
      <c r="M1432" s="1740" t="str">
        <f>IF(L1399=42,INDEX(H_SpecialBM!Y:Y,MATCH($P1432,H_SpecialBM!$Q:$Q,0)),"")</f>
        <v/>
      </c>
      <c r="N1432" s="1741" t="str">
        <f>IF(L1399=42,INDEX(H_SpecialBM!Z:Z,MATCH($P1432,H_SpecialBM!$Q:$Q,0)),"")</f>
        <v/>
      </c>
      <c r="O1432" s="698"/>
      <c r="P1432" s="1190" t="str">
        <f>P1431</f>
        <v>RelThresh_HVCprelim_</v>
      </c>
      <c r="Q1432" s="729"/>
      <c r="R1432" s="729"/>
      <c r="S1432" s="729"/>
      <c r="T1432" s="729"/>
      <c r="U1432" s="343"/>
      <c r="V1432" s="343"/>
    </row>
    <row r="1433" spans="1:22" s="364" customFormat="1" ht="12.75" customHeight="1" x14ac:dyDescent="0.3">
      <c r="A1433" s="729" t="str">
        <f>IF(P1433="","ausblenden","")</f>
        <v/>
      </c>
      <c r="B1433" s="302"/>
      <c r="C1433" s="357"/>
      <c r="D1433" s="1698"/>
      <c r="E1433" s="401" t="str">
        <f>Translations!$B$1377</f>
        <v>Предварителна стойност</v>
      </c>
      <c r="F1433" s="401"/>
      <c r="G1433" s="401"/>
      <c r="H1433" s="483" t="str">
        <f>EUconst_EUA</f>
        <v>Квота за емисии</v>
      </c>
      <c r="I1433" s="1724"/>
      <c r="J1433" s="1752" t="str">
        <f>IF($L1399=42,INDEX(H_SpecialBM!J:J,MATCH($P1433,H_SpecialBM!$Q:$Q,0)),"")</f>
        <v/>
      </c>
      <c r="K1433" s="1753" t="str">
        <f>IF($L1399=42,INDEX(H_SpecialBM!K:K,MATCH($P1433,H_SpecialBM!$Q:$Q,0)),"")</f>
        <v/>
      </c>
      <c r="L1433" s="1753" t="str">
        <f>IF($L1399=42,INDEX(H_SpecialBM!L:L,MATCH($P1433,H_SpecialBM!$Q:$Q,0)),"")</f>
        <v/>
      </c>
      <c r="M1433" s="1753" t="str">
        <f>IF($L1399=42,INDEX(H_SpecialBM!M:M,MATCH($P1433,H_SpecialBM!$Q:$Q,0)),"")</f>
        <v/>
      </c>
      <c r="N1433" s="1754" t="str">
        <f>IF($L1399=42,INDEX(H_SpecialBM!N:N,MATCH($P1433,H_SpecialBM!$Q:$Q,0)),"")</f>
        <v/>
      </c>
      <c r="O1433" s="698"/>
      <c r="P1433" s="1190" t="str">
        <f>EUconst_CNTR_HVCprelim</f>
        <v>HVCprelim_</v>
      </c>
      <c r="Q1433" s="729"/>
      <c r="R1433" s="729"/>
      <c r="S1433" s="729"/>
      <c r="T1433" s="729"/>
      <c r="U1433" s="343"/>
      <c r="V1433" s="343"/>
    </row>
    <row r="1434" spans="1:22" s="364" customFormat="1" ht="5.15" customHeight="1" x14ac:dyDescent="0.3">
      <c r="A1434" s="729"/>
      <c r="B1434" s="302"/>
      <c r="C1434" s="357"/>
      <c r="D1434" s="1698"/>
      <c r="E1434" s="302"/>
      <c r="F1434" s="302"/>
      <c r="G1434" s="302"/>
      <c r="H1434" s="302"/>
      <c r="I1434" s="1746"/>
      <c r="J1434" s="302"/>
      <c r="K1434" s="302"/>
      <c r="L1434" s="302"/>
      <c r="M1434" s="302"/>
      <c r="N1434" s="1747"/>
      <c r="O1434" s="698"/>
      <c r="P1434" s="729"/>
      <c r="Q1434" s="729"/>
      <c r="R1434" s="729"/>
      <c r="S1434" s="729"/>
      <c r="T1434" s="729"/>
      <c r="U1434" s="343"/>
      <c r="V1434" s="343"/>
    </row>
    <row r="1435" spans="1:22" s="364" customFormat="1" ht="12.75" customHeight="1" x14ac:dyDescent="0.3">
      <c r="A1435" s="729"/>
      <c r="B1435" s="302"/>
      <c r="C1435" s="357"/>
      <c r="D1435" s="1698"/>
      <c r="E1435" s="389" t="str">
        <f>Translations!$B$1384</f>
        <v>Промени: Корекция за винилхлориден мономер (VCM)</v>
      </c>
      <c r="F1435" s="498"/>
      <c r="G1435" s="498"/>
      <c r="H1435" s="527" t="str">
        <f>EUconst_Unit</f>
        <v>Единица мярка</v>
      </c>
      <c r="I1435" s="1699"/>
      <c r="J1435" s="1523">
        <f>J$2505</f>
        <v>2026</v>
      </c>
      <c r="K1435" s="387">
        <f>K$2505</f>
        <v>2027</v>
      </c>
      <c r="L1435" s="387">
        <f>L$2505</f>
        <v>2028</v>
      </c>
      <c r="M1435" s="387">
        <f>M$2505</f>
        <v>2029</v>
      </c>
      <c r="N1435" s="1544">
        <f>N$2505</f>
        <v>2030</v>
      </c>
      <c r="O1435" s="698"/>
      <c r="P1435" s="729"/>
      <c r="Q1435" s="729"/>
      <c r="R1435" s="729"/>
      <c r="S1435" s="729"/>
      <c r="T1435" s="729"/>
      <c r="U1435" s="343"/>
      <c r="V1435" s="343"/>
    </row>
    <row r="1436" spans="1:22" s="364" customFormat="1" ht="12.75" customHeight="1" x14ac:dyDescent="0.3">
      <c r="A1436" s="729"/>
      <c r="B1436" s="302"/>
      <c r="C1436" s="357"/>
      <c r="D1436" s="1698"/>
      <c r="E1436" s="392" t="str">
        <f>Translations!$B$1328</f>
        <v>Средна годишна стойност</v>
      </c>
      <c r="F1436" s="392"/>
      <c r="G1436" s="392"/>
      <c r="H1436" s="485" t="s">
        <v>1052</v>
      </c>
      <c r="I1436" s="1716"/>
      <c r="J1436" s="1755" t="str">
        <f>IF(L1399=47,INDEX(H_SpecialBM!J:J,MATCH($P1436,H_SpecialBM!$Q:$Q,0)),"")</f>
        <v/>
      </c>
      <c r="K1436" s="1756" t="str">
        <f>IF(L1399=47,INDEX(H_SpecialBM!K:K,MATCH($P1436,H_SpecialBM!$Q:$Q,0)),"")</f>
        <v/>
      </c>
      <c r="L1436" s="1756" t="str">
        <f>IF(L1399=47,INDEX(H_SpecialBM!L:L,MATCH($P1436,H_SpecialBM!$Q:$Q,0)),"")</f>
        <v/>
      </c>
      <c r="M1436" s="1756" t="str">
        <f>IF(L1399=47,INDEX(H_SpecialBM!M:M,MATCH($P1436,H_SpecialBM!$Q:$Q,0)),"")</f>
        <v/>
      </c>
      <c r="N1436" s="1757" t="str">
        <f>IF(L1399=47,INDEX(H_SpecialBM!N:N,MATCH($P1436,H_SpecialBM!$Q:$Q,0)),"")</f>
        <v/>
      </c>
      <c r="O1436" s="698"/>
      <c r="P1436" s="1190" t="str">
        <f>EUconst_CNTR_VCMInitial &amp; INDEX(EUconst_BMlistNames,MATCH(47,EUconst_BMlistMainNumberOfBM,0))</f>
        <v>VCMIni_Винилхлориден мономер</v>
      </c>
      <c r="Q1436" s="729"/>
      <c r="R1436" s="729"/>
      <c r="S1436" s="729"/>
      <c r="T1436" s="729"/>
      <c r="U1436" s="343"/>
      <c r="V1436" s="343"/>
    </row>
    <row r="1437" spans="1:22" s="364" customFormat="1" ht="12.75" customHeight="1" x14ac:dyDescent="0.3">
      <c r="A1437" s="729"/>
      <c r="B1437" s="302"/>
      <c r="C1437" s="357"/>
      <c r="D1437" s="1698"/>
      <c r="E1437" s="398" t="str">
        <f>Translations!$B$1378</f>
        <v>Промяна в сравнение със стойността в НМИ</v>
      </c>
      <c r="F1437" s="398"/>
      <c r="G1437" s="398"/>
      <c r="H1437" s="1751" t="s">
        <v>1052</v>
      </c>
      <c r="I1437" s="1735"/>
      <c r="J1437" s="159" t="str">
        <f>IF(L1399=47,INDEX(H_SpecialBM!J:J,MATCH($P1437,H_SpecialBM!$Q:$Q,0)),"")</f>
        <v/>
      </c>
      <c r="K1437" s="160" t="str">
        <f>IF(L1399=47,INDEX(H_SpecialBM!K:K,MATCH($P1437,H_SpecialBM!$Q:$Q,0)),"")</f>
        <v/>
      </c>
      <c r="L1437" s="160" t="str">
        <f>IF(L1399=47,INDEX(H_SpecialBM!L:L,MATCH($P1437,H_SpecialBM!$Q:$Q,0)),"")</f>
        <v/>
      </c>
      <c r="M1437" s="160" t="str">
        <f>IF(L1399=47,INDEX(H_SpecialBM!M:M,MATCH($P1437,H_SpecialBM!$Q:$Q,0)),"")</f>
        <v/>
      </c>
      <c r="N1437" s="161" t="str">
        <f>IF(L1399=47,INDEX(H_SpecialBM!N:N,MATCH($P1437,H_SpecialBM!$Q:$Q,0)),"")</f>
        <v/>
      </c>
      <c r="O1437" s="698"/>
      <c r="P1437" s="1190" t="str">
        <f>EUconst_CNTR_RelThreshold &amp; P1439</f>
        <v>RelThresh_VCMprelim_</v>
      </c>
      <c r="Q1437" s="729"/>
      <c r="R1437" s="729"/>
      <c r="S1437" s="729"/>
      <c r="T1437" s="729"/>
      <c r="U1437" s="343"/>
      <c r="V1437" s="343"/>
    </row>
    <row r="1438" spans="1:22" s="364" customFormat="1" ht="12.75" customHeight="1" x14ac:dyDescent="0.3">
      <c r="A1438" s="729"/>
      <c r="B1438" s="302"/>
      <c r="C1438" s="357"/>
      <c r="D1438" s="1698"/>
      <c r="E1438" s="1736" t="str">
        <f>Translations!$B$1383</f>
        <v>Критерий 3г: Надвишени ли са относителните прагове?</v>
      </c>
      <c r="F1438" s="1736"/>
      <c r="G1438" s="1736"/>
      <c r="H1438" s="1738" t="s">
        <v>1052</v>
      </c>
      <c r="I1438" s="1738"/>
      <c r="J1438" s="1739" t="str">
        <f>IF(L1399=47,INDEX(H_SpecialBM!V:V,MATCH($P1438,H_SpecialBM!$Q:$Q,0)),"")</f>
        <v/>
      </c>
      <c r="K1438" s="1740" t="str">
        <f>IF(L1399=47,INDEX(H_SpecialBM!W:W,MATCH($P1438,H_SpecialBM!$Q:$Q,0)),"")</f>
        <v/>
      </c>
      <c r="L1438" s="1740" t="str">
        <f>IF(L1399=47,INDEX(H_SpecialBM!X:X,MATCH($P1438,H_SpecialBM!$Q:$Q,0)),"")</f>
        <v/>
      </c>
      <c r="M1438" s="1740" t="str">
        <f>IF(L1399=47,INDEX(H_SpecialBM!Y:Y,MATCH($P1438,H_SpecialBM!$Q:$Q,0)),"")</f>
        <v/>
      </c>
      <c r="N1438" s="1741" t="str">
        <f>IF(L1399=47,INDEX(H_SpecialBM!Z:Z,MATCH($P1438,H_SpecialBM!$Q:$Q,0)),"")</f>
        <v/>
      </c>
      <c r="O1438" s="698"/>
      <c r="P1438" s="1190" t="str">
        <f>P1437</f>
        <v>RelThresh_VCMprelim_</v>
      </c>
      <c r="Q1438" s="729"/>
      <c r="R1438" s="729"/>
      <c r="S1438" s="729"/>
      <c r="T1438" s="729"/>
      <c r="U1438" s="343"/>
      <c r="V1438" s="343"/>
    </row>
    <row r="1439" spans="1:22" s="364" customFormat="1" ht="12.75" customHeight="1" x14ac:dyDescent="0.3">
      <c r="A1439" s="729" t="str">
        <f>IF(P1439="","ausblenden","")</f>
        <v/>
      </c>
      <c r="B1439" s="302"/>
      <c r="C1439" s="357"/>
      <c r="D1439" s="1698"/>
      <c r="E1439" s="401" t="str">
        <f>Translations!$B$1377</f>
        <v>Предварителна стойност</v>
      </c>
      <c r="F1439" s="401"/>
      <c r="G1439" s="401"/>
      <c r="H1439" s="483" t="s">
        <v>1052</v>
      </c>
      <c r="I1439" s="1724"/>
      <c r="J1439" s="1758" t="str">
        <f>IF($L1399=47,IF(ISNUMBER(INDEX(H_SpecialBM!J:J,MATCH($P1439,H_SpecialBM!$Q:$Q,0))),INDEX(H_SpecialBM!J:J,MATCH($P1439,H_SpecialBM!$Q:$Q,0)),1),"")</f>
        <v/>
      </c>
      <c r="K1439" s="1759" t="str">
        <f>IF($L1399=47,IF(ISNUMBER(INDEX(H_SpecialBM!K:K,MATCH($P1439,H_SpecialBM!$Q:$Q,0))),INDEX(H_SpecialBM!K:K,MATCH($P1439,H_SpecialBM!$Q:$Q,0)),1),"")</f>
        <v/>
      </c>
      <c r="L1439" s="1759" t="str">
        <f>IF($L1399=47,IF(ISNUMBER(INDEX(H_SpecialBM!L:L,MATCH($P1439,H_SpecialBM!$Q:$Q,0))),INDEX(H_SpecialBM!L:L,MATCH($P1439,H_SpecialBM!$Q:$Q,0)),1),"")</f>
        <v/>
      </c>
      <c r="M1439" s="1759" t="str">
        <f>IF($L1399=47,IF(ISNUMBER(INDEX(H_SpecialBM!M:M,MATCH($P1439,H_SpecialBM!$Q:$Q,0))),INDEX(H_SpecialBM!M:M,MATCH($P1439,H_SpecialBM!$Q:$Q,0)),1),"")</f>
        <v/>
      </c>
      <c r="N1439" s="1760" t="str">
        <f>IF($L1399=47,IF(ISNUMBER(INDEX(H_SpecialBM!N:N,MATCH($P1439,H_SpecialBM!$Q:$Q,0))),INDEX(H_SpecialBM!N:N,MATCH($P1439,H_SpecialBM!$Q:$Q,0)),1),"")</f>
        <v/>
      </c>
      <c r="O1439" s="698"/>
      <c r="P1439" s="1190" t="str">
        <f>EUconst_CNTR_VCMprelim</f>
        <v>VCMprelim_</v>
      </c>
      <c r="Q1439" s="729"/>
      <c r="R1439" s="729"/>
      <c r="S1439" s="729"/>
      <c r="T1439" s="729"/>
      <c r="U1439" s="343"/>
      <c r="V1439" s="343"/>
    </row>
    <row r="1440" spans="1:22" s="364" customFormat="1" ht="5.15" customHeight="1" x14ac:dyDescent="0.3">
      <c r="A1440" s="729"/>
      <c r="B1440" s="302"/>
      <c r="C1440" s="357"/>
      <c r="D1440" s="1698"/>
      <c r="E1440" s="302"/>
      <c r="F1440" s="302"/>
      <c r="G1440" s="302"/>
      <c r="H1440" s="302"/>
      <c r="I1440" s="1746"/>
      <c r="J1440" s="302"/>
      <c r="K1440" s="302"/>
      <c r="L1440" s="302"/>
      <c r="M1440" s="302"/>
      <c r="N1440" s="1747"/>
      <c r="O1440" s="698"/>
      <c r="P1440" s="729"/>
      <c r="Q1440" s="729"/>
      <c r="R1440" s="729"/>
      <c r="S1440" s="729"/>
      <c r="T1440" s="729"/>
      <c r="U1440" s="343"/>
      <c r="V1440" s="343"/>
    </row>
    <row r="1441" spans="1:22" s="364" customFormat="1" ht="12.75" customHeight="1" x14ac:dyDescent="0.3">
      <c r="A1441" s="729"/>
      <c r="B1441" s="302"/>
      <c r="C1441" s="357"/>
      <c r="D1441" s="1698"/>
      <c r="E1441" s="389" t="str">
        <f>Translations!$B$1386</f>
        <v>Промени: Изгорен във факел отпаден газ</v>
      </c>
      <c r="F1441" s="498"/>
      <c r="G1441" s="498"/>
      <c r="H1441" s="527" t="str">
        <f>EUconst_Unit</f>
        <v>Единица мярка</v>
      </c>
      <c r="I1441" s="1699"/>
      <c r="J1441" s="1523">
        <f>J$2505</f>
        <v>2026</v>
      </c>
      <c r="K1441" s="387">
        <f>K$2505</f>
        <v>2027</v>
      </c>
      <c r="L1441" s="387">
        <f>L$2505</f>
        <v>2028</v>
      </c>
      <c r="M1441" s="387">
        <f>M$2505</f>
        <v>2029</v>
      </c>
      <c r="N1441" s="1544">
        <f>N$2505</f>
        <v>2030</v>
      </c>
      <c r="O1441" s="698"/>
      <c r="P1441" s="729"/>
      <c r="Q1441" s="729"/>
      <c r="R1441" s="729"/>
      <c r="S1441" s="729"/>
      <c r="T1441" s="729"/>
      <c r="U1441" s="343"/>
      <c r="V1441" s="343"/>
    </row>
    <row r="1442" spans="1:22" s="364" customFormat="1" ht="12.75" customHeight="1" x14ac:dyDescent="0.3">
      <c r="A1442" s="729"/>
      <c r="B1442" s="302"/>
      <c r="C1442" s="357"/>
      <c r="D1442" s="1698"/>
      <c r="E1442" s="392" t="str">
        <f>Translations!$B$1328</f>
        <v>Средна годишна стойност</v>
      </c>
      <c r="F1442" s="392"/>
      <c r="G1442" s="392"/>
      <c r="H1442" s="485" t="str">
        <f>EUconst_tCO2</f>
        <v>t CO2</v>
      </c>
      <c r="I1442" s="1716"/>
      <c r="J1442" s="1732" t="str">
        <f>INDEX(F_ProductBM!J:J,MATCH($P1442,F_ProductBM!$Q:$Q,0))</f>
        <v/>
      </c>
      <c r="K1442" s="394" t="str">
        <f>INDEX(F_ProductBM!K:K,MATCH($P1442,F_ProductBM!$Q:$Q,0))</f>
        <v/>
      </c>
      <c r="L1442" s="394" t="str">
        <f>INDEX(F_ProductBM!L:L,MATCH($P1442,F_ProductBM!$Q:$Q,0))</f>
        <v/>
      </c>
      <c r="M1442" s="394" t="str">
        <f>INDEX(F_ProductBM!M:M,MATCH($P1442,F_ProductBM!$Q:$Q,0))</f>
        <v/>
      </c>
      <c r="N1442" s="1733" t="str">
        <f>INDEX(F_ProductBM!N:N,MATCH($P1442,F_ProductBM!$Q:$Q,0))</f>
        <v/>
      </c>
      <c r="O1442" s="698"/>
      <c r="P1442" s="1190" t="str">
        <f>EUconst_CNTR_HALinitial &amp; EUconst_CNTR_WGFlared &amp; I1396</f>
        <v>HALini_WasteGasFlare_</v>
      </c>
      <c r="Q1442" s="729"/>
      <c r="R1442" s="729"/>
      <c r="S1442" s="729"/>
      <c r="T1442" s="729"/>
      <c r="U1442" s="343"/>
      <c r="V1442" s="343"/>
    </row>
    <row r="1443" spans="1:22" s="364" customFormat="1" ht="12.75" customHeight="1" x14ac:dyDescent="0.3">
      <c r="A1443" s="729"/>
      <c r="B1443" s="302"/>
      <c r="C1443" s="357"/>
      <c r="D1443" s="1698"/>
      <c r="E1443" s="398" t="str">
        <f>Translations!$B$1378</f>
        <v>Промяна в сравнение със стойността в НМИ</v>
      </c>
      <c r="F1443" s="398"/>
      <c r="G1443" s="398"/>
      <c r="H1443" s="1734" t="s">
        <v>1052</v>
      </c>
      <c r="I1443" s="1735"/>
      <c r="J1443" s="159" t="str">
        <f>INDEX(F_ProductBM!J:J,MATCH($P1443,F_ProductBM!$Q:$Q,0))</f>
        <v/>
      </c>
      <c r="K1443" s="160" t="str">
        <f>INDEX(F_ProductBM!K:K,MATCH($P1443,F_ProductBM!$Q:$Q,0))</f>
        <v/>
      </c>
      <c r="L1443" s="160" t="str">
        <f>INDEX(F_ProductBM!L:L,MATCH($P1443,F_ProductBM!$Q:$Q,0))</f>
        <v/>
      </c>
      <c r="M1443" s="160" t="str">
        <f>INDEX(F_ProductBM!M:M,MATCH($P1443,F_ProductBM!$Q:$Q,0))</f>
        <v/>
      </c>
      <c r="N1443" s="161" t="str">
        <f>INDEX(F_ProductBM!N:N,MATCH($P1443,F_ProductBM!$Q:$Q,0))</f>
        <v/>
      </c>
      <c r="O1443" s="698"/>
      <c r="P1443" s="1190" t="str">
        <f>EUconst_CNTR_RelThreshold &amp; P1445</f>
        <v>RelThresh_HALprelim_WasteGasFlare_</v>
      </c>
      <c r="Q1443" s="729"/>
      <c r="R1443" s="729"/>
      <c r="S1443" s="729"/>
      <c r="T1443" s="729"/>
      <c r="U1443" s="343"/>
      <c r="V1443" s="343"/>
    </row>
    <row r="1444" spans="1:22" s="364" customFormat="1" ht="12.75" customHeight="1" x14ac:dyDescent="0.3">
      <c r="A1444" s="729"/>
      <c r="B1444" s="302"/>
      <c r="C1444" s="357"/>
      <c r="D1444" s="1698"/>
      <c r="E1444" s="1736" t="str">
        <f>Translations!$B$1385</f>
        <v>Критерий 3д: Надвишени ли са относителните прагове?</v>
      </c>
      <c r="F1444" s="1736"/>
      <c r="G1444" s="1736"/>
      <c r="H1444" s="1737" t="s">
        <v>1052</v>
      </c>
      <c r="I1444" s="1738"/>
      <c r="J1444" s="1739" t="str">
        <f>INDEX(F_ProductBM!V:V,MATCH($P1444,F_ProductBM!$Q:$Q,0))</f>
        <v/>
      </c>
      <c r="K1444" s="1740" t="str">
        <f>INDEX(F_ProductBM!W:W,MATCH($P1444,F_ProductBM!$Q:$Q,0))</f>
        <v/>
      </c>
      <c r="L1444" s="1740" t="str">
        <f>INDEX(F_ProductBM!X:X,MATCH($P1444,F_ProductBM!$Q:$Q,0))</f>
        <v/>
      </c>
      <c r="M1444" s="1740" t="str">
        <f>INDEX(F_ProductBM!Y:Y,MATCH($P1444,F_ProductBM!$Q:$Q,0))</f>
        <v/>
      </c>
      <c r="N1444" s="1741" t="str">
        <f>INDEX(F_ProductBM!Z:Z,MATCH($P1444,F_ProductBM!$Q:$Q,0))</f>
        <v/>
      </c>
      <c r="O1444" s="698"/>
      <c r="P1444" s="1190" t="str">
        <f>P1443</f>
        <v>RelThresh_HALprelim_WasteGasFlare_</v>
      </c>
      <c r="Q1444" s="729"/>
      <c r="R1444" s="729"/>
      <c r="S1444" s="729"/>
      <c r="T1444" s="729"/>
      <c r="U1444" s="343"/>
      <c r="V1444" s="343"/>
    </row>
    <row r="1445" spans="1:22" s="364" customFormat="1" ht="12.75" customHeight="1" x14ac:dyDescent="0.3">
      <c r="A1445" s="729" t="str">
        <f>IF(P1445="","ausblenden","")</f>
        <v/>
      </c>
      <c r="B1445" s="302"/>
      <c r="C1445" s="357"/>
      <c r="D1445" s="1698"/>
      <c r="E1445" s="401" t="str">
        <f>Translations!$B$1377</f>
        <v>Предварителна стойност</v>
      </c>
      <c r="F1445" s="401"/>
      <c r="G1445" s="401"/>
      <c r="H1445" s="483" t="str">
        <f>EUconst_tCO2</f>
        <v>t CO2</v>
      </c>
      <c r="I1445" s="1724"/>
      <c r="J1445" s="1743" t="str">
        <f>IF(OR($I1396="",CNTR_SubPeriod=1),"",INDEX(F_ProductBM!J:J,MATCH($P1445,F_ProductBM!$Q:$Q,0)))</f>
        <v/>
      </c>
      <c r="K1445" s="1744" t="str">
        <f>IF(OR($I1396="",CNTR_SubPeriod=1),"",INDEX(F_ProductBM!K:K,MATCH($P1445,F_ProductBM!$Q:$Q,0)))</f>
        <v/>
      </c>
      <c r="L1445" s="1744" t="str">
        <f>IF(OR($I1396="",CNTR_SubPeriod=1),"",INDEX(F_ProductBM!L:L,MATCH($P1445,F_ProductBM!$Q:$Q,0)))</f>
        <v/>
      </c>
      <c r="M1445" s="1744" t="str">
        <f>IF(OR($I1396="",CNTR_SubPeriod=1),"",INDEX(F_ProductBM!M:M,MATCH($P1445,F_ProductBM!$Q:$Q,0)))</f>
        <v/>
      </c>
      <c r="N1445" s="1745" t="str">
        <f>IF(OR($I1396="",CNTR_SubPeriod=1),"",INDEX(F_ProductBM!N:N,MATCH($P1445,F_ProductBM!$Q:$Q,0)))</f>
        <v/>
      </c>
      <c r="O1445" s="698"/>
      <c r="P1445" s="1190" t="str">
        <f>EUconst_CNTR_HALprelim&amp;EUconst_CNTR_WGFlared&amp;$I1396</f>
        <v>HALprelim_WasteGasFlare_</v>
      </c>
      <c r="Q1445" s="729"/>
      <c r="R1445" s="729"/>
      <c r="S1445" s="729"/>
      <c r="T1445" s="729"/>
      <c r="U1445" s="343"/>
      <c r="V1445" s="343"/>
    </row>
    <row r="1446" spans="1:22" s="364" customFormat="1" ht="12.75" customHeight="1" thickBot="1" x14ac:dyDescent="0.35">
      <c r="A1446" s="729"/>
      <c r="B1446" s="302"/>
      <c r="C1446" s="357"/>
      <c r="D1446" s="1761"/>
      <c r="E1446" s="1762"/>
      <c r="F1446" s="1762"/>
      <c r="G1446" s="1762"/>
      <c r="H1446" s="1762"/>
      <c r="I1446" s="1763"/>
      <c r="J1446" s="1762"/>
      <c r="K1446" s="1762"/>
      <c r="L1446" s="1762"/>
      <c r="M1446" s="1762"/>
      <c r="N1446" s="1764"/>
      <c r="O1446" s="698"/>
      <c r="P1446" s="729"/>
      <c r="Q1446" s="729"/>
      <c r="R1446" s="729"/>
      <c r="S1446" s="729"/>
      <c r="T1446" s="729"/>
      <c r="U1446" s="343"/>
      <c r="V1446" s="343"/>
    </row>
    <row r="1447" spans="1:22" s="364" customFormat="1" ht="5.15" customHeight="1" thickBot="1" x14ac:dyDescent="0.35">
      <c r="A1447" s="729"/>
      <c r="B1447" s="302"/>
      <c r="C1447" s="357"/>
      <c r="D1447" s="357"/>
      <c r="E1447" s="302"/>
      <c r="F1447" s="302"/>
      <c r="G1447" s="302"/>
      <c r="H1447" s="302"/>
      <c r="I1447" s="1746"/>
      <c r="J1447" s="302"/>
      <c r="K1447" s="302"/>
      <c r="L1447" s="302"/>
      <c r="M1447" s="302"/>
      <c r="N1447" s="302"/>
      <c r="O1447" s="698"/>
      <c r="P1447" s="729"/>
      <c r="Q1447" s="729"/>
      <c r="R1447" s="729"/>
      <c r="S1447" s="729"/>
      <c r="T1447" s="729"/>
      <c r="U1447" s="343"/>
      <c r="V1447" s="343"/>
    </row>
    <row r="1448" spans="1:22" s="364" customFormat="1" ht="5.15" customHeight="1" x14ac:dyDescent="0.25">
      <c r="A1448" s="729"/>
      <c r="B1448" s="302"/>
      <c r="C1448" s="302"/>
      <c r="D1448" s="1765"/>
      <c r="E1448" s="1766"/>
      <c r="F1448" s="1766"/>
      <c r="G1448" s="1766"/>
      <c r="H1448" s="1766"/>
      <c r="I1448" s="1767"/>
      <c r="J1448" s="1766"/>
      <c r="K1448" s="1766"/>
      <c r="L1448" s="1766"/>
      <c r="M1448" s="1766"/>
      <c r="N1448" s="1768"/>
      <c r="O1448" s="698"/>
      <c r="P1448" s="729"/>
      <c r="Q1448" s="729"/>
      <c r="R1448" s="729"/>
      <c r="S1448" s="729"/>
      <c r="T1448" s="770"/>
      <c r="U1448" s="343"/>
      <c r="V1448" s="343"/>
    </row>
    <row r="1449" spans="1:22" s="364" customFormat="1" ht="13" x14ac:dyDescent="0.25">
      <c r="A1449" s="729"/>
      <c r="B1449" s="302"/>
      <c r="C1449" s="302"/>
      <c r="D1449" s="344"/>
      <c r="E1449" s="1769" t="str">
        <f>Translations!$B$1583</f>
        <v>Предварителни стойности за критерий &gt; 300 EUA</v>
      </c>
      <c r="F1449" s="1746"/>
      <c r="G1449" s="1746"/>
      <c r="H1449" s="1699" t="str">
        <f>EUconst_Unit</f>
        <v>Единица мярка</v>
      </c>
      <c r="I1449" s="1770" t="str">
        <f>Translations!$B$1341</f>
        <v>Базова стойност</v>
      </c>
      <c r="J1449" s="1771">
        <f>J$2505</f>
        <v>2026</v>
      </c>
      <c r="K1449" s="1772">
        <f>K$2505</f>
        <v>2027</v>
      </c>
      <c r="L1449" s="1772">
        <f>L$2505</f>
        <v>2028</v>
      </c>
      <c r="M1449" s="1772">
        <f>M$2505</f>
        <v>2029</v>
      </c>
      <c r="N1449" s="1773">
        <f>N$2505</f>
        <v>2030</v>
      </c>
      <c r="O1449" s="698"/>
      <c r="P1449" s="729"/>
      <c r="Q1449" s="729"/>
      <c r="R1449" s="729"/>
      <c r="S1449" s="729"/>
      <c r="T1449" s="729"/>
      <c r="U1449" s="729"/>
      <c r="V1449" s="729"/>
    </row>
    <row r="1450" spans="1:22" s="364" customFormat="1" x14ac:dyDescent="0.25">
      <c r="A1450" s="729"/>
      <c r="B1450" s="302"/>
      <c r="C1450" s="302"/>
      <c r="D1450" s="344"/>
      <c r="E1450" s="1774" t="str">
        <f>Translations!$B$1388</f>
        <v>Равнище на дейност</v>
      </c>
      <c r="F1450" s="1774"/>
      <c r="G1450" s="1774"/>
      <c r="H1450" s="1775" t="str">
        <f>F1402</f>
        <v>тона</v>
      </c>
      <c r="I1450" s="1776" t="str">
        <f>IF($I1396="","",IF(T1467&gt;=$H$2505,0,S1462))</f>
        <v/>
      </c>
      <c r="J1450" s="1717" t="str">
        <f>IF($I1396="","",INDEX(F_ProductBM!J:J,MATCH($P1450,F_ProductBM!$Q:$Q,0)))</f>
        <v/>
      </c>
      <c r="K1450" s="1718" t="str">
        <f>IF($I1396="","",INDEX(F_ProductBM!K:K,MATCH($P1450,F_ProductBM!$Q:$Q,0)))</f>
        <v/>
      </c>
      <c r="L1450" s="1718" t="str">
        <f>IF($I1396="","",INDEX(F_ProductBM!L:L,MATCH($P1450,F_ProductBM!$Q:$Q,0)))</f>
        <v/>
      </c>
      <c r="M1450" s="1718" t="str">
        <f>IF($I1396="","",INDEX(F_ProductBM!M:M,MATCH($P1450,F_ProductBM!$Q:$Q,0)))</f>
        <v/>
      </c>
      <c r="N1450" s="1719" t="str">
        <f>IF($I1396="","",INDEX(F_ProductBM!N:N,MATCH($P1450,F_ProductBM!$Q:$Q,0)))</f>
        <v/>
      </c>
      <c r="O1450" s="698"/>
      <c r="P1450" s="1190" t="str">
        <f>EUconst_CNTR_HALprelim&amp;I1396</f>
        <v>HALprelim_</v>
      </c>
      <c r="Q1450" s="729"/>
      <c r="R1450" s="729"/>
      <c r="S1450" s="729"/>
      <c r="T1450" s="729"/>
      <c r="U1450" s="729"/>
      <c r="V1450" s="729"/>
    </row>
    <row r="1451" spans="1:22" s="364" customFormat="1" x14ac:dyDescent="0.25">
      <c r="A1451" s="729"/>
      <c r="B1451" s="302"/>
      <c r="C1451" s="302"/>
      <c r="D1451" s="344"/>
      <c r="E1451" s="1777" t="str">
        <f>Translations!$B$949</f>
        <v>топл. ен. извън СТЕ</v>
      </c>
      <c r="F1451" s="1777"/>
      <c r="G1451" s="1777"/>
      <c r="H1451" s="1778" t="str">
        <f>EUconst_EUA</f>
        <v>Квота за емисии</v>
      </c>
      <c r="I1451" s="1779" t="str">
        <f>IF($I1396="","",IF(YEAR(J1399)&gt;=$H$2505-1,0,S1463))</f>
        <v/>
      </c>
      <c r="J1451" s="1780" t="str">
        <f>IF($I$500="","",INDEX(F_ProductBM!J:J,MATCH($P1451,F_ProductBM!$Q:$Q,0)))</f>
        <v/>
      </c>
      <c r="K1451" s="1781" t="str">
        <f>IF($I$500="","",INDEX(F_ProductBM!K:K,MATCH($P1451,F_ProductBM!$Q:$Q,0)))</f>
        <v/>
      </c>
      <c r="L1451" s="1781" t="str">
        <f>IF($I$500="","",INDEX(F_ProductBM!L:L,MATCH($P1451,F_ProductBM!$Q:$Q,0)))</f>
        <v/>
      </c>
      <c r="M1451" s="1781" t="str">
        <f>IF($I$500="","",INDEX(F_ProductBM!M:M,MATCH($P1451,F_ProductBM!$Q:$Q,0)))</f>
        <v/>
      </c>
      <c r="N1451" s="1782" t="str">
        <f>IF($I$500="","",INDEX(F_ProductBM!N:N,MATCH($P1451,F_ProductBM!$Q:$Q,0)))</f>
        <v/>
      </c>
      <c r="O1451" s="698"/>
      <c r="P1451" s="1190" t="str">
        <f>EUconst_CNTR_HEATprelim&amp;I1396</f>
        <v>HEATprelim_</v>
      </c>
      <c r="Q1451" s="729"/>
      <c r="R1451" s="729"/>
      <c r="S1451" s="729"/>
      <c r="T1451" s="729"/>
      <c r="U1451" s="729"/>
      <c r="V1451" s="729"/>
    </row>
    <row r="1452" spans="1:22" s="364" customFormat="1" x14ac:dyDescent="0.25">
      <c r="A1452" s="729"/>
      <c r="B1452" s="302"/>
      <c r="C1452" s="302"/>
      <c r="D1452" s="344"/>
      <c r="E1452" s="1783" t="str">
        <f>Translations!$B$951</f>
        <v>WGflare</v>
      </c>
      <c r="F1452" s="1783"/>
      <c r="G1452" s="1783"/>
      <c r="H1452" s="1784" t="str">
        <f>EUconst_EUA</f>
        <v>Квота за емисии</v>
      </c>
      <c r="I1452" s="1785" t="str">
        <f>IF($I1396="","",IF(T1467&gt;=$H$2505,0,S1464))</f>
        <v/>
      </c>
      <c r="J1452" s="1721" t="str">
        <f>IF($I1396="","",INDEX(F_ProductBM!J:J,MATCH($P1452,F_ProductBM!$Q:$Q,0)))</f>
        <v/>
      </c>
      <c r="K1452" s="1722" t="str">
        <f>IF($I1396="","",INDEX(F_ProductBM!K:K,MATCH($P1452,F_ProductBM!$Q:$Q,0)))</f>
        <v/>
      </c>
      <c r="L1452" s="1722" t="str">
        <f>IF($I1396="","",INDEX(F_ProductBM!L:L,MATCH($P1452,F_ProductBM!$Q:$Q,0)))</f>
        <v/>
      </c>
      <c r="M1452" s="1722" t="str">
        <f>IF($I1396="","",INDEX(F_ProductBM!M:M,MATCH($P1452,F_ProductBM!$Q:$Q,0)))</f>
        <v/>
      </c>
      <c r="N1452" s="1723" t="str">
        <f>IF($I1396="","",INDEX(F_ProductBM!N:N,MATCH($P1452,F_ProductBM!$Q:$Q,0)))</f>
        <v/>
      </c>
      <c r="O1452" s="698"/>
      <c r="P1452" s="1190" t="str">
        <f>EUconst_CNTR_HALprelim&amp;EUconst_CNTR_WGFlared&amp;$I1396</f>
        <v>HALprelim_WasteGasFlare_</v>
      </c>
      <c r="Q1452" s="729"/>
      <c r="R1452" s="729"/>
      <c r="S1452" s="729"/>
      <c r="T1452" s="729"/>
      <c r="U1452" s="729"/>
      <c r="V1452" s="729"/>
    </row>
    <row r="1453" spans="1:22" s="364" customFormat="1" x14ac:dyDescent="0.25">
      <c r="A1453" s="729"/>
      <c r="B1453" s="302"/>
      <c r="C1453" s="302"/>
      <c r="D1453" s="344"/>
      <c r="E1453" s="1783" t="s">
        <v>1442</v>
      </c>
      <c r="F1453" s="1783"/>
      <c r="G1453" s="1783"/>
      <c r="H1453" s="1784" t="str">
        <f>EUconst_EUA</f>
        <v>Квота за емисии</v>
      </c>
      <c r="I1453" s="1785" t="str">
        <f>IF($I1396="","",IF(T1467&gt;=$H$2505,0,IF(L1399=42,S1465,0)))</f>
        <v/>
      </c>
      <c r="J1453" s="1721" t="str">
        <f>IF($I1396="","",IF($L1399=42,INDEX(H_SpecialBM!J:J,MATCH($P1453,H_SpecialBM!$Q:$Q,0)),0))</f>
        <v/>
      </c>
      <c r="K1453" s="1722" t="str">
        <f>IF($I1396="","",IF($L1399=42,INDEX(H_SpecialBM!K:K,MATCH($P1453,H_SpecialBM!$Q:$Q,0)),0))</f>
        <v/>
      </c>
      <c r="L1453" s="1722" t="str">
        <f>IF($I1396="","",IF($L1399=42,INDEX(H_SpecialBM!L:L,MATCH($P1453,H_SpecialBM!$Q:$Q,0)),0))</f>
        <v/>
      </c>
      <c r="M1453" s="1722" t="str">
        <f>IF($I1396="","",IF($L1399=42,INDEX(H_SpecialBM!M:M,MATCH($P1453,H_SpecialBM!$Q:$Q,0)),0))</f>
        <v/>
      </c>
      <c r="N1453" s="1723" t="str">
        <f>IF($I1396="","",IF($L1399=42,INDEX(H_SpecialBM!N:N,MATCH($P1453,H_SpecialBM!$Q:$Q,0)),0))</f>
        <v/>
      </c>
      <c r="O1453" s="698"/>
      <c r="P1453" s="1190" t="str">
        <f>EUconst_CNTR_HVCprelim</f>
        <v>HVCprelim_</v>
      </c>
      <c r="Q1453" s="729"/>
      <c r="R1453" s="729"/>
      <c r="S1453" s="729"/>
      <c r="T1453" s="729"/>
      <c r="U1453" s="729"/>
      <c r="V1453" s="729"/>
    </row>
    <row r="1454" spans="1:22" s="364" customFormat="1" x14ac:dyDescent="0.25">
      <c r="A1454" s="729"/>
      <c r="B1454" s="302"/>
      <c r="C1454" s="302"/>
      <c r="D1454" s="344"/>
      <c r="E1454" s="1786" t="s">
        <v>1443</v>
      </c>
      <c r="F1454" s="1786"/>
      <c r="G1454" s="1786"/>
      <c r="H1454" s="1787" t="s">
        <v>1052</v>
      </c>
      <c r="I1454" s="1788" t="str">
        <f>IF($I1396="","",IF($L1399=47,IF(AND(ISNUMBER(S1466),YEAR(J1399)&lt;$J$2505),S1466,1),1))</f>
        <v/>
      </c>
      <c r="J1454" s="1725" t="str">
        <f>IF($I1396="","",IF($L1399=47,IF(ISNUMBER(INDEX(H_SpecialBM!J:J,MATCH($P1454,H_SpecialBM!$Q:$Q,0))),INDEX(H_SpecialBM!J:J,MATCH($P1454,H_SpecialBM!$Q:$Q,0)),1),1))</f>
        <v/>
      </c>
      <c r="K1454" s="1726" t="str">
        <f>IF($I1396="","",IF($L1399=47,IF(ISNUMBER(INDEX(H_SpecialBM!K:K,MATCH($P1454,H_SpecialBM!$Q:$Q,0))),INDEX(H_SpecialBM!K:K,MATCH($P1454,H_SpecialBM!$Q:$Q,0)),1),1))</f>
        <v/>
      </c>
      <c r="L1454" s="1726" t="str">
        <f>IF($I1396="","",IF($L1399=47,IF(ISNUMBER(INDEX(H_SpecialBM!L:L,MATCH($P1454,H_SpecialBM!$Q:$Q,0))),INDEX(H_SpecialBM!L:L,MATCH($P1454,H_SpecialBM!$Q:$Q,0)),1),1))</f>
        <v/>
      </c>
      <c r="M1454" s="1726" t="str">
        <f>IF($I1396="","",IF($L1399=47,IF(ISNUMBER(INDEX(H_SpecialBM!M:M,MATCH($P1454,H_SpecialBM!$Q:$Q,0))),INDEX(H_SpecialBM!M:M,MATCH($P1454,H_SpecialBM!$Q:$Q,0)),1),1))</f>
        <v/>
      </c>
      <c r="N1454" s="1727" t="str">
        <f>IF($I1396="","",IF($L1399=47,IF(ISNUMBER(INDEX(H_SpecialBM!N:N,MATCH($P1454,H_SpecialBM!$Q:$Q,0))),INDEX(H_SpecialBM!N:N,MATCH($P1454,H_SpecialBM!$Q:$Q,0)),1),1))</f>
        <v/>
      </c>
      <c r="O1454" s="698"/>
      <c r="P1454" s="1190" t="str">
        <f>EUconst_CNTR_VCMprelim</f>
        <v>VCMprelim_</v>
      </c>
      <c r="Q1454" s="729"/>
      <c r="R1454" s="729"/>
      <c r="S1454" s="729"/>
      <c r="T1454" s="729"/>
      <c r="U1454" s="729"/>
      <c r="V1454" s="729"/>
    </row>
    <row r="1455" spans="1:22" s="364" customFormat="1" x14ac:dyDescent="0.25">
      <c r="A1455" s="729"/>
      <c r="B1455" s="302"/>
      <c r="C1455" s="302"/>
      <c r="D1455" s="344"/>
      <c r="E1455" s="1789" t="str">
        <f>Translations!$B$1377</f>
        <v>Предварителна стойност</v>
      </c>
      <c r="F1455" s="1789"/>
      <c r="G1455" s="1789"/>
      <c r="H1455" s="1790" t="str">
        <f>EUconst_EUA</f>
        <v>Квота за емисии</v>
      </c>
      <c r="I1455" s="1791" t="str">
        <f>IF($I1396="","",MAX(0,ROUND((SUM($M1399)*SUM(I1450)*SUM(I1454)-SUM(I1451)-SUM(I1452)+SUM(I1453))*IF($H1399=TRUE,1,J$2412),0)))</f>
        <v/>
      </c>
      <c r="J1455" s="1714" t="str">
        <f>IF($I1396="","",MAX(0,ROUND((SUM($M1399)*SUM(J1450)*SUM(J1454)-SUM(J1451)-SUM(J1452)+SUM(J1453))*IF($H1399=TRUE,1,J$2412)*IF($I1399=TRUE,INDEX(EUconst_CBAMFactor,J1405-2020),1),0)))</f>
        <v/>
      </c>
      <c r="K1455" s="1693" t="str">
        <f>IF($I1396="","",MAX(0,ROUND((SUM($M1399)*SUM(K1450)*SUM(K1454)-SUM(K1451)-SUM(K1452)+SUM(K1453))*IF($H1399=TRUE,1,K$2412)*IF($I1399=TRUE,INDEX(EUconst_CBAMFactor,K1405-2020),1),0)))</f>
        <v/>
      </c>
      <c r="L1455" s="1693" t="str">
        <f>IF($I1396="","",MAX(0,ROUND((SUM($M1399)*SUM(L1450)*SUM(L1454)-SUM(L1451)-SUM(L1452)+SUM(L1453))*IF($H1399=TRUE,1,L$2412)*IF($I1399=TRUE,INDEX(EUconst_CBAMFactor,L1405-2020),1),0)))</f>
        <v/>
      </c>
      <c r="M1455" s="1693" t="str">
        <f>IF($I1396="","",MAX(0,ROUND((SUM($M1399)*SUM(M1450)*SUM(M1454)-SUM(M1451)-SUM(M1452)+SUM(M1453))*IF($H1399=TRUE,1,M$2412)*IF($I1399=TRUE,INDEX(EUconst_CBAMFactor,M1405-2020),1),0)))</f>
        <v/>
      </c>
      <c r="N1455" s="1715" t="str">
        <f>IF($I1396="","",MAX(0,ROUND((SUM($M1399)*SUM(N1450)*SUM(N1454)-SUM(N1451)-SUM(N1452)+SUM(N1453))*IF($H1399=TRUE,1,N$2412)*IF($I1399=TRUE,INDEX(EUconst_CBAMFactor,N1405-2020),1),0)))</f>
        <v/>
      </c>
      <c r="O1455" s="698"/>
      <c r="P1455" s="729"/>
      <c r="Q1455" s="729"/>
      <c r="R1455" s="729"/>
      <c r="S1455" s="729"/>
      <c r="T1455" s="729"/>
      <c r="U1455" s="729"/>
      <c r="V1455" s="729"/>
    </row>
    <row r="1456" spans="1:22" s="364" customFormat="1" x14ac:dyDescent="0.25">
      <c r="A1456" s="729"/>
      <c r="B1456" s="302"/>
      <c r="C1456" s="302"/>
      <c r="D1456" s="344"/>
      <c r="E1456" s="388" t="str">
        <f>Translations!$B$1584</f>
        <v>Разлика в предварителната стойност</v>
      </c>
      <c r="F1456" s="388"/>
      <c r="G1456" s="388"/>
      <c r="H1456" s="421" t="str">
        <f>EUconst_EUA</f>
        <v>Квота за емисии</v>
      </c>
      <c r="I1456" s="1792"/>
      <c r="J1456" s="1793" t="str">
        <f>IF(J1455="","",SUM(J1455)-SUM(J1415))</f>
        <v/>
      </c>
      <c r="K1456" s="998" t="str">
        <f t="shared" ref="K1456" si="125">IF(K1455="","",SUM(K1455)-SUM(K1415))</f>
        <v/>
      </c>
      <c r="L1456" s="998" t="str">
        <f t="shared" ref="L1456:N1456" si="126">IF(L1455="","",SUM(L1455)-SUM(L1415))</f>
        <v/>
      </c>
      <c r="M1456" s="998" t="str">
        <f t="shared" si="126"/>
        <v/>
      </c>
      <c r="N1456" s="1794" t="str">
        <f t="shared" si="126"/>
        <v/>
      </c>
      <c r="O1456" s="698"/>
      <c r="P1456" s="729"/>
      <c r="Q1456" s="729"/>
      <c r="R1456" s="729"/>
      <c r="S1456" s="1795"/>
      <c r="T1456" s="1165"/>
      <c r="U1456" s="711"/>
      <c r="V1456" s="343"/>
    </row>
    <row r="1457" spans="1:22" s="364" customFormat="1" x14ac:dyDescent="0.25">
      <c r="A1457" s="729"/>
      <c r="B1457" s="302"/>
      <c r="C1457" s="302"/>
      <c r="D1457" s="344"/>
      <c r="E1457" s="1796" t="str">
        <f>Translations!$B$1581</f>
        <v>Критерий 4: Разлика от поне 300 квоти за емисии?</v>
      </c>
      <c r="F1457" s="1796"/>
      <c r="G1457" s="1796"/>
      <c r="H1457" s="1797" t="s">
        <v>1052</v>
      </c>
      <c r="I1457" s="1792"/>
      <c r="J1457" s="1798" t="str">
        <f>IF(J1456="","",ABS(J1456)&gt;=300)</f>
        <v/>
      </c>
      <c r="K1457" s="1799" t="str">
        <f t="shared" ref="K1457:N1457" si="127">IF(K1456="","",ABS(K1456)&gt;=300)</f>
        <v/>
      </c>
      <c r="L1457" s="1799" t="str">
        <f t="shared" si="127"/>
        <v/>
      </c>
      <c r="M1457" s="1799" t="str">
        <f t="shared" si="127"/>
        <v/>
      </c>
      <c r="N1457" s="1800" t="str">
        <f t="shared" si="127"/>
        <v/>
      </c>
      <c r="O1457" s="698"/>
      <c r="P1457" s="1190" t="str">
        <f>EUconst_CNTR_300EUA&amp;I1396</f>
        <v>EUA300_</v>
      </c>
      <c r="Q1457" s="1174" t="s">
        <v>2547</v>
      </c>
      <c r="R1457" s="280" t="str">
        <f>IF($I1396="","",IF(R1401&gt;$U1399,0%,INDEX(F_ProductBM!V:V,MATCH($P1457,F_ProductBM!$Q:$Q,0))))</f>
        <v/>
      </c>
      <c r="S1457" s="280" t="str">
        <f>IF($I1396="","",IF(S1401&gt;$U1399,0%,INDEX(F_ProductBM!W:W,MATCH($P1457,F_ProductBM!$Q:$Q,0))))</f>
        <v/>
      </c>
      <c r="T1457" s="280" t="str">
        <f>IF($I1396="","",IF(T1401&gt;$U1399,0%,INDEX(F_ProductBM!X:X,MATCH($P1457,F_ProductBM!$Q:$Q,0))))</f>
        <v/>
      </c>
      <c r="U1457" s="280" t="str">
        <f>IF($I1396="","",IF(U1401&gt;$U1399,0%,INDEX(F_ProductBM!Y:Y,MATCH($P1457,F_ProductBM!$Q:$Q,0))))</f>
        <v/>
      </c>
      <c r="V1457" s="280" t="str">
        <f>IF($I1396="","",IF(V1401&gt;$U1399,0%,INDEX(F_ProductBM!Z:Z,MATCH($P1457,F_ProductBM!$Q:$Q,0))))</f>
        <v/>
      </c>
    </row>
    <row r="1458" spans="1:22" s="364" customFormat="1" ht="5.15" customHeight="1" thickBot="1" x14ac:dyDescent="0.3">
      <c r="A1458" s="729"/>
      <c r="B1458" s="302"/>
      <c r="C1458" s="302"/>
      <c r="D1458" s="1801"/>
      <c r="E1458" s="1762"/>
      <c r="F1458" s="1762"/>
      <c r="G1458" s="1762"/>
      <c r="H1458" s="1762"/>
      <c r="I1458" s="1762"/>
      <c r="J1458" s="1762"/>
      <c r="K1458" s="1762"/>
      <c r="L1458" s="1762"/>
      <c r="M1458" s="1762"/>
      <c r="N1458" s="1764"/>
      <c r="O1458" s="698"/>
      <c r="P1458" s="729"/>
      <c r="Q1458" s="729"/>
      <c r="R1458" s="729"/>
      <c r="S1458" s="729"/>
      <c r="T1458" s="729"/>
      <c r="U1458" s="343"/>
      <c r="V1458" s="343"/>
    </row>
    <row r="1459" spans="1:22" s="364" customFormat="1" ht="5.15" customHeight="1" thickBot="1" x14ac:dyDescent="0.35">
      <c r="A1459" s="729"/>
      <c r="B1459" s="302"/>
      <c r="C1459" s="357"/>
      <c r="D1459" s="357"/>
      <c r="E1459" s="302"/>
      <c r="F1459" s="302"/>
      <c r="G1459" s="302"/>
      <c r="H1459" s="302"/>
      <c r="I1459" s="1746"/>
      <c r="J1459" s="302"/>
      <c r="K1459" s="302"/>
      <c r="L1459" s="302"/>
      <c r="M1459" s="302"/>
      <c r="N1459" s="302"/>
      <c r="O1459" s="698"/>
      <c r="P1459" s="729"/>
      <c r="Q1459" s="729"/>
      <c r="R1459" s="729"/>
      <c r="S1459" s="729"/>
      <c r="T1459" s="729"/>
      <c r="U1459" s="343"/>
      <c r="V1459" s="343"/>
    </row>
    <row r="1460" spans="1:22" s="364" customFormat="1" ht="5.15" customHeight="1" x14ac:dyDescent="0.25">
      <c r="A1460" s="729"/>
      <c r="B1460" s="302"/>
      <c r="C1460" s="302"/>
      <c r="D1460" s="1765"/>
      <c r="E1460" s="1766"/>
      <c r="F1460" s="1766"/>
      <c r="G1460" s="1766"/>
      <c r="H1460" s="1766"/>
      <c r="I1460" s="1767"/>
      <c r="J1460" s="1766"/>
      <c r="K1460" s="1766"/>
      <c r="L1460" s="1766"/>
      <c r="M1460" s="1766"/>
      <c r="N1460" s="1768"/>
      <c r="O1460" s="698"/>
      <c r="P1460" s="729"/>
      <c r="Q1460" s="729"/>
      <c r="R1460" s="729"/>
      <c r="S1460" s="729"/>
      <c r="T1460" s="770"/>
      <c r="U1460" s="343"/>
      <c r="V1460" s="343"/>
    </row>
    <row r="1461" spans="1:22" s="364" customFormat="1" ht="13" x14ac:dyDescent="0.25">
      <c r="A1461" s="729"/>
      <c r="B1461" s="302"/>
      <c r="C1461" s="302"/>
      <c r="D1461" s="344"/>
      <c r="E1461" s="313" t="str">
        <f>Translations!$B$1387</f>
        <v>Използвани действителни стойности</v>
      </c>
      <c r="F1461" s="302"/>
      <c r="G1461" s="302"/>
      <c r="H1461" s="527" t="str">
        <f>EUconst_Unit</f>
        <v>Единица мярка</v>
      </c>
      <c r="I1461" s="1802" t="str">
        <f>Translations!$B$1341</f>
        <v>Базова стойност</v>
      </c>
      <c r="J1461" s="1523">
        <f>J$2505</f>
        <v>2026</v>
      </c>
      <c r="K1461" s="387">
        <f>K$2505</f>
        <v>2027</v>
      </c>
      <c r="L1461" s="387">
        <f>L$2505</f>
        <v>2028</v>
      </c>
      <c r="M1461" s="387">
        <f>M$2505</f>
        <v>2029</v>
      </c>
      <c r="N1461" s="1544">
        <f>N$2505</f>
        <v>2030</v>
      </c>
      <c r="O1461" s="698"/>
      <c r="P1461" s="729"/>
      <c r="Q1461" s="729"/>
      <c r="R1461" s="729"/>
      <c r="S1461" s="1519" t="str">
        <f>Translations!$B$1284</f>
        <v>HAL</v>
      </c>
      <c r="T1461" s="770"/>
      <c r="U1461" s="343"/>
      <c r="V1461" s="343"/>
    </row>
    <row r="1462" spans="1:22" s="364" customFormat="1" x14ac:dyDescent="0.25">
      <c r="A1462" s="729"/>
      <c r="B1462" s="302"/>
      <c r="C1462" s="302"/>
      <c r="D1462" s="344"/>
      <c r="E1462" s="392" t="str">
        <f>Translations!$B$1388</f>
        <v>Равнище на дейност</v>
      </c>
      <c r="F1462" s="392"/>
      <c r="G1462" s="392"/>
      <c r="H1462" s="1730" t="str">
        <f>H1450</f>
        <v>тона</v>
      </c>
      <c r="I1462" s="1776" t="str">
        <f>IF($I1396="","",IF(T1467&gt;=$H$2504,0,S1462))</f>
        <v/>
      </c>
      <c r="J1462" s="1732" t="str">
        <f>IF($I1396="","",INDEX(F_ProductBM!J:J,MATCH($P1462,F_ProductBM!$Q:$Q,0)))</f>
        <v/>
      </c>
      <c r="K1462" s="394" t="str">
        <f>IF($I1396="","",INDEX(F_ProductBM!K:K,MATCH($P1462,F_ProductBM!$Q:$Q,0)))</f>
        <v/>
      </c>
      <c r="L1462" s="394" t="str">
        <f>IF($I1396="","",INDEX(F_ProductBM!L:L,MATCH($P1462,F_ProductBM!$Q:$Q,0)))</f>
        <v/>
      </c>
      <c r="M1462" s="394" t="str">
        <f>IF($I1396="","",INDEX(F_ProductBM!M:M,MATCH($P1462,F_ProductBM!$Q:$Q,0)))</f>
        <v/>
      </c>
      <c r="N1462" s="1733" t="str">
        <f>IF($I1396="","",INDEX(F_ProductBM!N:N,MATCH($P1462,F_ProductBM!$Q:$Q,0)))</f>
        <v/>
      </c>
      <c r="O1462" s="698"/>
      <c r="P1462" s="1190" t="str">
        <f>EUconst_CNTR_HALfinal&amp;I1396</f>
        <v>HALfinal_</v>
      </c>
      <c r="Q1462" s="729"/>
      <c r="R1462" s="729"/>
      <c r="S1462" s="1803" t="str">
        <f>IF($I1396="","",INDEX(F_ProductBM!I:I,MATCH($P1462,F_ProductBM!$Q:$Q,0)))</f>
        <v/>
      </c>
      <c r="T1462" s="770"/>
      <c r="U1462" s="343"/>
      <c r="V1462" s="343"/>
    </row>
    <row r="1463" spans="1:22" s="364" customFormat="1" x14ac:dyDescent="0.25">
      <c r="A1463" s="729"/>
      <c r="B1463" s="302"/>
      <c r="C1463" s="302"/>
      <c r="D1463" s="344"/>
      <c r="E1463" s="503" t="str">
        <f>Translations!$B$949</f>
        <v>топл. ен. извън СТЕ</v>
      </c>
      <c r="F1463" s="503"/>
      <c r="G1463" s="503"/>
      <c r="H1463" s="1804" t="str">
        <f>EUconst_EUA</f>
        <v>Квота за емисии</v>
      </c>
      <c r="I1463" s="1779" t="str">
        <f>IF($I1396="","",IF(YEAR(J1399)&gt;=$H$2504-1,0,S1463))</f>
        <v/>
      </c>
      <c r="J1463" s="1805" t="str">
        <f>IF($I1396="","",INDEX(F_ProductBM!J:J,MATCH($P1463,F_ProductBM!$Q:$Q,0)))</f>
        <v/>
      </c>
      <c r="K1463" s="1806" t="str">
        <f>IF($I1396="","",INDEX(F_ProductBM!K:K,MATCH($P1463,F_ProductBM!$Q:$Q,0)))</f>
        <v/>
      </c>
      <c r="L1463" s="1806" t="str">
        <f>IF($I1396="","",INDEX(F_ProductBM!L:L,MATCH($P1463,F_ProductBM!$Q:$Q,0)))</f>
        <v/>
      </c>
      <c r="M1463" s="1806" t="str">
        <f>IF($I1396="","",INDEX(F_ProductBM!M:M,MATCH($P1463,F_ProductBM!$Q:$Q,0)))</f>
        <v/>
      </c>
      <c r="N1463" s="1807" t="str">
        <f>IF($I1396="","",INDEX(F_ProductBM!N:N,MATCH($P1463,F_ProductBM!$Q:$Q,0)))</f>
        <v/>
      </c>
      <c r="O1463" s="698"/>
      <c r="P1463" s="1190" t="str">
        <f>EUconst_CNTR_HEATfinal&amp;I1396</f>
        <v>HEATfinal_</v>
      </c>
      <c r="Q1463" s="729"/>
      <c r="R1463" s="729"/>
      <c r="S1463" s="1808" t="str">
        <f>IF($I1396="","",INDEX(F_ProductBM!I:I,MATCH($P1463,F_ProductBM!$Q:$Q,0)))</f>
        <v/>
      </c>
      <c r="T1463" s="770"/>
      <c r="U1463" s="343"/>
      <c r="V1463" s="343"/>
    </row>
    <row r="1464" spans="1:22" s="364" customFormat="1" x14ac:dyDescent="0.25">
      <c r="A1464" s="729"/>
      <c r="B1464" s="302"/>
      <c r="C1464" s="302"/>
      <c r="D1464" s="344"/>
      <c r="E1464" s="398" t="str">
        <f>Translations!$B$951</f>
        <v>WGflare</v>
      </c>
      <c r="F1464" s="398"/>
      <c r="G1464" s="398"/>
      <c r="H1464" s="516" t="str">
        <f>EUconst_EUA</f>
        <v>Квота за емисии</v>
      </c>
      <c r="I1464" s="1785" t="str">
        <f>IF($I1396="","",IF(T1467&gt;=$H$2504,0,S1464))</f>
        <v/>
      </c>
      <c r="J1464" s="1809" t="str">
        <f>IF($I1396="","",INDEX(F_ProductBM!J:J,MATCH($P1464,F_ProductBM!$Q:$Q,0)))</f>
        <v/>
      </c>
      <c r="K1464" s="1810" t="str">
        <f>IF($I1396="","",INDEX(F_ProductBM!K:K,MATCH($P1464,F_ProductBM!$Q:$Q,0)))</f>
        <v/>
      </c>
      <c r="L1464" s="1810" t="str">
        <f>IF($I1396="","",INDEX(F_ProductBM!L:L,MATCH($P1464,F_ProductBM!$Q:$Q,0)))</f>
        <v/>
      </c>
      <c r="M1464" s="1810" t="str">
        <f>IF($I1396="","",INDEX(F_ProductBM!M:M,MATCH($P1464,F_ProductBM!$Q:$Q,0)))</f>
        <v/>
      </c>
      <c r="N1464" s="1811" t="str">
        <f>IF($I1396="","",INDEX(F_ProductBM!N:N,MATCH($P1464,F_ProductBM!$Q:$Q,0)))</f>
        <v/>
      </c>
      <c r="O1464" s="698"/>
      <c r="P1464" s="1190" t="str">
        <f>EUconst_CNTR_HALfinal&amp;EUconst_CNTR_WGFlared&amp;$I1396</f>
        <v>HALfinal_WasteGasFlare_</v>
      </c>
      <c r="Q1464" s="729"/>
      <c r="R1464" s="729"/>
      <c r="S1464" s="1812" t="str">
        <f>IF($I1396="","",INDEX(F_ProductBM!I:I,MATCH($P1464,F_ProductBM!$Q:$Q,0)))</f>
        <v/>
      </c>
      <c r="T1464" s="770"/>
      <c r="U1464" s="343"/>
      <c r="V1464" s="343"/>
    </row>
    <row r="1465" spans="1:22" s="364" customFormat="1" x14ac:dyDescent="0.25">
      <c r="A1465" s="729"/>
      <c r="B1465" s="302"/>
      <c r="C1465" s="302"/>
      <c r="D1465" s="344"/>
      <c r="E1465" s="398" t="s">
        <v>1442</v>
      </c>
      <c r="F1465" s="398"/>
      <c r="G1465" s="398"/>
      <c r="H1465" s="516" t="str">
        <f>EUconst_EUA</f>
        <v>Квота за емисии</v>
      </c>
      <c r="I1465" s="1785" t="str">
        <f>IF($I1396="","",IF(T1467&gt;=$H$2504,0,IF(L1399=42,S1465,0)))</f>
        <v/>
      </c>
      <c r="J1465" s="1809" t="str">
        <f>IF($I1396="","",IF($L1399=42,INDEX(H_SpecialBM!J:J,MATCH($P1465,H_SpecialBM!$Q:$Q,0)),0))</f>
        <v/>
      </c>
      <c r="K1465" s="1810" t="str">
        <f>IF($I1396="","",IF($L1399=42,INDEX(H_SpecialBM!K:K,MATCH($P1465,H_SpecialBM!$Q:$Q,0)),0))</f>
        <v/>
      </c>
      <c r="L1465" s="1810" t="str">
        <f>IF($I1396="","",IF($L1399=42,INDEX(H_SpecialBM!L:L,MATCH($P1465,H_SpecialBM!$Q:$Q,0)),0))</f>
        <v/>
      </c>
      <c r="M1465" s="1810" t="str">
        <f>IF($I1396="","",IF($L1399=42,INDEX(H_SpecialBM!M:M,MATCH($P1465,H_SpecialBM!$Q:$Q,0)),0))</f>
        <v/>
      </c>
      <c r="N1465" s="1811" t="str">
        <f>IF($I1396="","",IF($L1399=42,INDEX(H_SpecialBM!N:N,MATCH($P1465,H_SpecialBM!$Q:$Q,0)),0))</f>
        <v/>
      </c>
      <c r="O1465" s="698"/>
      <c r="P1465" s="1190" t="str">
        <f>EUconst_CNTR_HVCfinal</f>
        <v>HVCfinal_</v>
      </c>
      <c r="Q1465" s="729"/>
      <c r="R1465" s="729"/>
      <c r="S1465" s="1812" t="str">
        <f>IF($I1396="","",IF(L1399=42,INDEX(H_SpecialBM!I:I,MATCH($P1465,H_SpecialBM!$Q:$Q,0)),0))</f>
        <v/>
      </c>
      <c r="T1465" s="770"/>
      <c r="U1465" s="343"/>
      <c r="V1465" s="343"/>
    </row>
    <row r="1466" spans="1:22" s="364" customFormat="1" x14ac:dyDescent="0.25">
      <c r="A1466" s="729"/>
      <c r="B1466" s="302"/>
      <c r="C1466" s="302"/>
      <c r="D1466" s="344"/>
      <c r="E1466" s="401" t="s">
        <v>1443</v>
      </c>
      <c r="F1466" s="401"/>
      <c r="G1466" s="401"/>
      <c r="H1466" s="483" t="s">
        <v>1052</v>
      </c>
      <c r="I1466" s="1788" t="str">
        <f>IF($I1396="","",IF($L1399=47,IF(AND(ISNUMBER(S1466),YEAR(J1399)&lt;2021),S1466,1),1))</f>
        <v/>
      </c>
      <c r="J1466" s="1813" t="str">
        <f>IF($I1396="","",IF($L1399=47,IF(ISNUMBER(INDEX(H_SpecialBM!J:J,MATCH($P1466,H_SpecialBM!$Q:$Q,0))),INDEX(H_SpecialBM!J:J,MATCH($P1466,H_SpecialBM!$Q:$Q,0)),1),1))</f>
        <v/>
      </c>
      <c r="K1466" s="1814" t="str">
        <f>IF($I1396="","",IF($L1399=47,IF(ISNUMBER(INDEX(H_SpecialBM!K:K,MATCH($P1466,H_SpecialBM!$Q:$Q,0))),INDEX(H_SpecialBM!K:K,MATCH($P1466,H_SpecialBM!$Q:$Q,0)),1),1))</f>
        <v/>
      </c>
      <c r="L1466" s="1814" t="str">
        <f>IF($I1396="","",IF($L1399=47,IF(ISNUMBER(INDEX(H_SpecialBM!L:L,MATCH($P1466,H_SpecialBM!$Q:$Q,0))),INDEX(H_SpecialBM!L:L,MATCH($P1466,H_SpecialBM!$Q:$Q,0)),1),1))</f>
        <v/>
      </c>
      <c r="M1466" s="1814" t="str">
        <f>IF($I1396="","",IF($L1399=47,IF(ISNUMBER(INDEX(H_SpecialBM!M:M,MATCH($P1466,H_SpecialBM!$Q:$Q,0))),INDEX(H_SpecialBM!M:M,MATCH($P1466,H_SpecialBM!$Q:$Q,0)),1),1))</f>
        <v/>
      </c>
      <c r="N1466" s="1815" t="str">
        <f>IF($I1396="","",IF($L1399=47,IF(ISNUMBER(INDEX(H_SpecialBM!N:N,MATCH($P1466,H_SpecialBM!$Q:$Q,0))),INDEX(H_SpecialBM!N:N,MATCH($P1466,H_SpecialBM!$Q:$Q,0)),1),1))</f>
        <v/>
      </c>
      <c r="O1466" s="698"/>
      <c r="P1466" s="1190" t="str">
        <f>EUconst_CNTR_VCMfinal</f>
        <v>VCMfinal_</v>
      </c>
      <c r="Q1466" s="729"/>
      <c r="R1466" s="729"/>
      <c r="S1466" s="1816" t="str">
        <f>IF($I1396="","",IF($L1399=47,IF(ISNUMBER(INDEX(H_SpecialBM!I:I,MATCH($P1466,H_SpecialBM!$Q:$Q,0))),INDEX(H_SpecialBM!I:I,MATCH($P1466,H_SpecialBM!$Q:$Q,0)),1),1))</f>
        <v/>
      </c>
      <c r="T1466" s="729"/>
      <c r="U1466" s="343"/>
      <c r="V1466" s="343"/>
    </row>
    <row r="1467" spans="1:22" s="364" customFormat="1" x14ac:dyDescent="0.25">
      <c r="A1467" s="729"/>
      <c r="B1467" s="302"/>
      <c r="C1467" s="302"/>
      <c r="D1467" s="344"/>
      <c r="E1467" s="388" t="str">
        <f>Translations!$B$892</f>
        <v>Предварително разпределяне</v>
      </c>
      <c r="F1467" s="388"/>
      <c r="G1467" s="388"/>
      <c r="H1467" s="421" t="str">
        <f>EUconst_EUA</f>
        <v>Квота за емисии</v>
      </c>
      <c r="I1467" s="1791" t="str">
        <f>IF($I1396="","",MAX(0,ROUND((SUM($M1399)*SUM(I1462)*SUM(I1466)-SUM(I1463)-SUM(I1464)+SUM(I1465))*IF($H1399=TRUE,1,J$2412),0)))</f>
        <v/>
      </c>
      <c r="J1467" s="1694" t="str">
        <f>IF($I1396="","",MAX(0,ROUND((SUM(R1457)*SUM($M1399)*SUM(J1462)*SUM(J1466)-SUM(J1463)-SUM(J1464)+SUM(J1465))*IF($H1399=TRUE,1,J$2412)*IF($I1399=TRUE,INDEX(EUconst_CBAMFactor,J1405-2020),1),0)))</f>
        <v/>
      </c>
      <c r="K1467" s="406" t="str">
        <f>IF($I1396="","",MAX(0,ROUND((SUM(S1457)*SUM($M1399)*SUM(K1462)*SUM(K1466)-SUM(K1463)-SUM(K1464)+SUM(K1465))*IF($H1399=TRUE,1,K$2412)*IF($I1399=TRUE,INDEX(EUconst_CBAMFactor,K1405-2020),1),0)))</f>
        <v/>
      </c>
      <c r="L1467" s="406" t="str">
        <f>IF($I1396="","",MAX(0,ROUND((SUM(T1457)*SUM($M1399)*SUM(L1462)*SUM(L1466)-SUM(L1463)-SUM(L1464)+SUM(L1465))*IF($H1399=TRUE,1,L$2412)*IF($I1399=TRUE,INDEX(EUconst_CBAMFactor,L1405-2020),1),0)))</f>
        <v/>
      </c>
      <c r="M1467" s="406" t="str">
        <f>IF($I1396="","",MAX(0,ROUND((SUM(U1457)*SUM($M1399)*SUM(M1462)*SUM(M1466)-SUM(M1463)-SUM(M1464)+SUM(M1465))*IF($H1399=TRUE,1,M$2412)*IF($I1399=TRUE,INDEX(EUconst_CBAMFactor,M1405-2020),1),0)))</f>
        <v/>
      </c>
      <c r="N1467" s="1729" t="str">
        <f>IF($I1396="","",MAX(0,ROUND((SUM(V1457)*SUM($M1399)*SUM(N1462)*SUM(N1466)-SUM(N1463)-SUM(N1464)+SUM(N1465))*IF($H1399=TRUE,1,N$2412)*IF($I1399=TRUE,INDEX(EUconst_CBAMFactor,N1405-2020),1),0)))</f>
        <v/>
      </c>
      <c r="O1467" s="698"/>
      <c r="P1467" s="1190" t="str">
        <f>EUconst_AllocPrelim&amp;I1396</f>
        <v>AllocPrelim_</v>
      </c>
      <c r="Q1467" s="729"/>
      <c r="R1467" s="729"/>
      <c r="S1467" s="1817" t="str">
        <f>IF($I1396="","",MAX(0,ROUND((SUM($M1399)*SUM(S1462)*SUM(S1466)-SUM(S1463)-SUM(S1464)+SUM(S1465))*IF($H1399=TRUE,1,J$2412),0)))</f>
        <v/>
      </c>
      <c r="T1467" s="1176">
        <f>INDEX(F_ProductBM!V:V,MATCH(C1396,F_ProductBM!C:C,0))</f>
        <v>2005</v>
      </c>
      <c r="U1467" s="727" t="b">
        <f>OR(INDEX(I1467:N1467,CNTR_ReportingYear-$I$2505)&lt;&gt;INDEX(I1467:N1467,CNTR_ReportingYear-$H$2505),
(CNTR_ReportingYear-T1467)&lt;=1)</f>
        <v>0</v>
      </c>
      <c r="V1467" s="716" t="b">
        <f ca="1">IF(I1467="",FALSE,COUNTIF(OFFSET(I1467,,,,MAX(1,CNTR_ReportingYear-$I$2505)),"&lt;&gt;" &amp; INDEX(I1467:N1467,CNTR_ReportingYear-$H$2505))&gt;0)</f>
        <v>0</v>
      </c>
    </row>
    <row r="1468" spans="1:22" s="364" customFormat="1" ht="5.15" customHeight="1" thickBot="1" x14ac:dyDescent="0.3">
      <c r="A1468" s="729"/>
      <c r="B1468" s="302"/>
      <c r="C1468" s="302"/>
      <c r="D1468" s="1801"/>
      <c r="E1468" s="1762"/>
      <c r="F1468" s="1762"/>
      <c r="G1468" s="1762"/>
      <c r="H1468" s="1762"/>
      <c r="I1468" s="1762"/>
      <c r="J1468" s="1762"/>
      <c r="K1468" s="1762"/>
      <c r="L1468" s="1762"/>
      <c r="M1468" s="1762"/>
      <c r="N1468" s="1764"/>
      <c r="O1468" s="698"/>
      <c r="P1468" s="729"/>
      <c r="Q1468" s="729"/>
      <c r="R1468" s="729"/>
      <c r="S1468" s="729"/>
      <c r="T1468" s="729"/>
      <c r="U1468" s="343"/>
      <c r="V1468" s="343"/>
    </row>
    <row r="1469" spans="1:22" s="364" customFormat="1" ht="5.15" customHeight="1" thickBot="1" x14ac:dyDescent="0.3">
      <c r="A1469" s="729"/>
      <c r="B1469" s="302"/>
      <c r="C1469" s="302"/>
      <c r="E1469" s="360"/>
      <c r="F1469" s="302"/>
      <c r="G1469" s="302"/>
      <c r="H1469" s="302"/>
      <c r="I1469" s="302"/>
      <c r="J1469" s="302"/>
      <c r="K1469" s="302"/>
      <c r="L1469" s="302"/>
      <c r="M1469" s="302"/>
      <c r="N1469" s="302"/>
      <c r="O1469" s="698"/>
      <c r="P1469" s="729"/>
      <c r="Q1469" s="729"/>
      <c r="R1469" s="729"/>
      <c r="S1469" s="729"/>
      <c r="T1469" s="729"/>
      <c r="U1469" s="343"/>
      <c r="V1469" s="343"/>
    </row>
    <row r="1470" spans="1:22" s="364" customFormat="1" ht="12.75" customHeight="1" x14ac:dyDescent="0.25">
      <c r="A1470" s="729"/>
      <c r="B1470" s="302"/>
      <c r="C1470" s="302"/>
      <c r="D1470" s="1818"/>
      <c r="E1470" s="1819"/>
      <c r="F1470" s="1819"/>
      <c r="G1470" s="1300"/>
      <c r="H1470" s="1300"/>
      <c r="I1470" s="1300"/>
      <c r="J1470" s="1300"/>
      <c r="K1470" s="1300"/>
      <c r="L1470" s="1300"/>
      <c r="M1470" s="1300"/>
      <c r="N1470" s="1301"/>
      <c r="O1470" s="698"/>
      <c r="P1470" s="729"/>
      <c r="Q1470" s="729"/>
      <c r="R1470" s="729"/>
      <c r="S1470" s="729"/>
      <c r="T1470" s="729"/>
      <c r="U1470" s="343"/>
      <c r="V1470" s="343"/>
    </row>
    <row r="1471" spans="1:22" s="364" customFormat="1" ht="13.5" thickBot="1" x14ac:dyDescent="0.3">
      <c r="A1471" s="729"/>
      <c r="B1471" s="302"/>
      <c r="C1471" s="302"/>
      <c r="D1471" s="1820"/>
      <c r="E1471" s="625"/>
      <c r="F1471" s="625"/>
      <c r="G1471" s="627" t="str">
        <f>EUconst_Unit</f>
        <v>Единица мярка</v>
      </c>
      <c r="H1471" s="628">
        <f t="shared" ref="H1471:M1471" si="128">H$2505</f>
        <v>2024</v>
      </c>
      <c r="I1471" s="1821">
        <f t="shared" si="128"/>
        <v>2025</v>
      </c>
      <c r="J1471" s="1311">
        <f t="shared" si="128"/>
        <v>2026</v>
      </c>
      <c r="K1471" s="629">
        <f t="shared" si="128"/>
        <v>2027</v>
      </c>
      <c r="L1471" s="629">
        <f t="shared" si="128"/>
        <v>2028</v>
      </c>
      <c r="M1471" s="629">
        <f t="shared" si="128"/>
        <v>2029</v>
      </c>
      <c r="N1471" s="1312">
        <f>N$2505</f>
        <v>2030</v>
      </c>
      <c r="O1471" s="698"/>
      <c r="P1471" s="729"/>
      <c r="Q1471" s="729"/>
      <c r="R1471" s="729"/>
      <c r="S1471" s="729"/>
      <c r="T1471" s="770"/>
      <c r="U1471" s="343"/>
      <c r="V1471" s="343"/>
    </row>
    <row r="1472" spans="1:22" s="364" customFormat="1" ht="13.5" customHeight="1" thickBot="1" x14ac:dyDescent="0.3">
      <c r="A1472" s="729"/>
      <c r="B1472" s="302"/>
      <c r="C1472" s="302"/>
      <c r="D1472" s="1820"/>
      <c r="E1472" s="2929" t="str">
        <f>Translations!$B$956</f>
        <v>Общо зададени емисии</v>
      </c>
      <c r="F1472" s="2929"/>
      <c r="G1472" s="631" t="str">
        <f>EUconst_tCO2epa</f>
        <v>t CO2e/година</v>
      </c>
      <c r="H1472" s="661" t="str">
        <f t="shared" ref="H1472:N1472" si="129">INDEX(H$95:H$114,MATCH($I1396,$E$95:$E$114,0))</f>
        <v/>
      </c>
      <c r="I1472" s="1822" t="str">
        <f t="shared" si="129"/>
        <v/>
      </c>
      <c r="J1472" s="661" t="str">
        <f t="shared" si="129"/>
        <v/>
      </c>
      <c r="K1472" s="662" t="str">
        <f t="shared" si="129"/>
        <v/>
      </c>
      <c r="L1472" s="662" t="str">
        <f t="shared" si="129"/>
        <v/>
      </c>
      <c r="M1472" s="662" t="str">
        <f t="shared" si="129"/>
        <v/>
      </c>
      <c r="N1472" s="663" t="str">
        <f t="shared" si="129"/>
        <v/>
      </c>
      <c r="O1472" s="698"/>
      <c r="P1472" s="729"/>
      <c r="Q1472" s="729"/>
      <c r="R1472" s="729"/>
      <c r="S1472" s="729"/>
      <c r="T1472" s="770"/>
      <c r="U1472" s="343"/>
      <c r="V1472" s="343"/>
    </row>
    <row r="1473" spans="1:22" s="364" customFormat="1" ht="5.15" customHeight="1" x14ac:dyDescent="0.25">
      <c r="A1473" s="729"/>
      <c r="B1473" s="302"/>
      <c r="C1473" s="302"/>
      <c r="D1473" s="1820"/>
      <c r="E1473" s="643"/>
      <c r="F1473" s="643"/>
      <c r="G1473" s="625"/>
      <c r="H1473" s="635"/>
      <c r="I1473" s="635"/>
      <c r="J1473" s="635"/>
      <c r="K1473" s="635"/>
      <c r="L1473" s="635"/>
      <c r="M1473" s="635"/>
      <c r="N1473" s="1823"/>
      <c r="O1473" s="698"/>
      <c r="P1473" s="729"/>
      <c r="Q1473" s="729"/>
      <c r="R1473" s="729"/>
      <c r="S1473" s="729"/>
      <c r="T1473" s="770"/>
      <c r="U1473" s="343"/>
      <c r="V1473" s="343"/>
    </row>
    <row r="1474" spans="1:22" s="364" customFormat="1" ht="12.75" customHeight="1" x14ac:dyDescent="0.25">
      <c r="A1474" s="729"/>
      <c r="B1474" s="302"/>
      <c r="C1474" s="302"/>
      <c r="D1474" s="1820"/>
      <c r="E1474" s="2818" t="str">
        <f>Translations!$B$521</f>
        <v>Вложени горива</v>
      </c>
      <c r="F1474" s="2701"/>
      <c r="G1474" s="1326" t="str">
        <f>EUconst_TJpa</f>
        <v>TJ / година</v>
      </c>
      <c r="H1474" s="482" t="str">
        <f>IF($I1396="","",IF(INDEX(F_ProductBM!H:H,MATCH($P1474,F_ProductBM!$Q:$Q,0))="","",INDEX(F_ProductBM!H:H,MATCH($P1474,F_ProductBM!$Q:$Q,0))))</f>
        <v/>
      </c>
      <c r="I1474" s="1824" t="str">
        <f>IF($I1396="","",IF(INDEX(F_ProductBM!I:I,MATCH($P1474,F_ProductBM!$Q:$Q,0))="","",INDEX(F_ProductBM!I:I,MATCH($P1474,F_ProductBM!$Q:$Q,0))))</f>
        <v/>
      </c>
      <c r="J1474" s="1825" t="str">
        <f>IF($I1396="","",IF(INDEX(F_ProductBM!J:J,MATCH($P1474,F_ProductBM!$Q:$Q,0))="","",INDEX(F_ProductBM!J:J,MATCH($P1474,F_ProductBM!$Q:$Q,0))))</f>
        <v/>
      </c>
      <c r="K1474" s="482" t="str">
        <f>IF($I1396="","",IF(INDEX(F_ProductBM!K:K,MATCH($P1474,F_ProductBM!$Q:$Q,0))="","",INDEX(F_ProductBM!K:K,MATCH($P1474,F_ProductBM!$Q:$Q,0))))</f>
        <v/>
      </c>
      <c r="L1474" s="482" t="str">
        <f>IF($I1396="","",IF(INDEX(F_ProductBM!L:L,MATCH($P1474,F_ProductBM!$Q:$Q,0))="","",INDEX(F_ProductBM!L:L,MATCH($P1474,F_ProductBM!$Q:$Q,0))))</f>
        <v/>
      </c>
      <c r="M1474" s="482" t="str">
        <f>IF($I1396="","",IF(INDEX(F_ProductBM!M:M,MATCH($P1474,F_ProductBM!$Q:$Q,0))="","",INDEX(F_ProductBM!M:M,MATCH($P1474,F_ProductBM!$Q:$Q,0))))</f>
        <v/>
      </c>
      <c r="N1474" s="1826" t="str">
        <f>IF($I1396="","",IF(INDEX(F_ProductBM!N:N,MATCH($P1474,F_ProductBM!$Q:$Q,0))="","",INDEX(F_ProductBM!N:N,MATCH($P1474,F_ProductBM!$Q:$Q,0))))</f>
        <v/>
      </c>
      <c r="O1474" s="698"/>
      <c r="P1474" s="1827" t="str">
        <f>EUconst_CNTR_FuelInput &amp; I1396</f>
        <v>FuelInput_</v>
      </c>
      <c r="Q1474" s="729"/>
      <c r="R1474" s="729"/>
      <c r="S1474" s="729"/>
      <c r="T1474" s="770"/>
      <c r="U1474" s="343"/>
      <c r="V1474" s="343"/>
    </row>
    <row r="1475" spans="1:22" s="364" customFormat="1" ht="12.75" customHeight="1" x14ac:dyDescent="0.25">
      <c r="A1475" s="729"/>
      <c r="B1475" s="302"/>
      <c r="C1475" s="302"/>
      <c r="D1475" s="1820"/>
      <c r="E1475" s="2819" t="str">
        <f>Translations!$B$522</f>
        <v>Претеглен емисионен фактор</v>
      </c>
      <c r="F1475" s="2705"/>
      <c r="G1475" s="1329" t="str">
        <f>EUconst_tCO2pTJ</f>
        <v>t CO2 / TJ</v>
      </c>
      <c r="H1475" s="484" t="str">
        <f>IF($I1396="","",IF(INDEX(F_ProductBM!H:H,MATCH($P1475,F_ProductBM!$Q:$Q,0))="","",INDEX(F_ProductBM!H:H,MATCH($P1475,F_ProductBM!$Q:$Q,0))))</f>
        <v/>
      </c>
      <c r="I1475" s="1828" t="str">
        <f>IF($I1396="","",IF(INDEX(F_ProductBM!I:I,MATCH($P1475,F_ProductBM!$Q:$Q,0))="","",INDEX(F_ProductBM!I:I,MATCH($P1475,F_ProductBM!$Q:$Q,0))))</f>
        <v/>
      </c>
      <c r="J1475" s="1829" t="str">
        <f>IF($I1396="","",IF(INDEX(F_ProductBM!J:J,MATCH($P1475,F_ProductBM!$Q:$Q,0))="","",INDEX(F_ProductBM!J:J,MATCH($P1475,F_ProductBM!$Q:$Q,0))))</f>
        <v/>
      </c>
      <c r="K1475" s="484" t="str">
        <f>IF($I1396="","",IF(INDEX(F_ProductBM!K:K,MATCH($P1475,F_ProductBM!$Q:$Q,0))="","",INDEX(F_ProductBM!K:K,MATCH($P1475,F_ProductBM!$Q:$Q,0))))</f>
        <v/>
      </c>
      <c r="L1475" s="484" t="str">
        <f>IF($I1396="","",IF(INDEX(F_ProductBM!L:L,MATCH($P1475,F_ProductBM!$Q:$Q,0))="","",INDEX(F_ProductBM!L:L,MATCH($P1475,F_ProductBM!$Q:$Q,0))))</f>
        <v/>
      </c>
      <c r="M1475" s="484" t="str">
        <f>IF($I1396="","",IF(INDEX(F_ProductBM!M:M,MATCH($P1475,F_ProductBM!$Q:$Q,0))="","",INDEX(F_ProductBM!M:M,MATCH($P1475,F_ProductBM!$Q:$Q,0))))</f>
        <v/>
      </c>
      <c r="N1475" s="1830" t="str">
        <f>IF($I1396="","",IF(INDEX(F_ProductBM!N:N,MATCH($P1475,F_ProductBM!$Q:$Q,0))="","",INDEX(F_ProductBM!N:N,MATCH($P1475,F_ProductBM!$Q:$Q,0))))</f>
        <v/>
      </c>
      <c r="O1475" s="698"/>
      <c r="P1475" s="1500" t="str">
        <f>EUconst_CNTR_FuelEF &amp; I1396</f>
        <v>FuelEF_</v>
      </c>
      <c r="Q1475" s="729"/>
      <c r="R1475" s="729"/>
      <c r="S1475" s="729"/>
      <c r="T1475" s="770"/>
      <c r="U1475" s="343"/>
      <c r="V1475" s="343"/>
    </row>
    <row r="1476" spans="1:22" s="364" customFormat="1" ht="5.15" customHeight="1" x14ac:dyDescent="0.25">
      <c r="A1476" s="729"/>
      <c r="B1476" s="302"/>
      <c r="C1476" s="302"/>
      <c r="D1476" s="1820"/>
      <c r="E1476" s="643"/>
      <c r="F1476" s="643"/>
      <c r="G1476" s="626"/>
      <c r="H1476" s="640"/>
      <c r="I1476" s="640"/>
      <c r="J1476" s="640"/>
      <c r="K1476" s="640"/>
      <c r="L1476" s="640"/>
      <c r="M1476" s="640"/>
      <c r="N1476" s="1831"/>
      <c r="O1476" s="698"/>
      <c r="P1476" s="729"/>
      <c r="Q1476" s="729"/>
      <c r="R1476" s="729"/>
      <c r="S1476" s="729"/>
      <c r="T1476" s="770"/>
      <c r="U1476" s="343"/>
      <c r="V1476" s="343"/>
    </row>
    <row r="1477" spans="1:22" s="364" customFormat="1" ht="12.75" customHeight="1" x14ac:dyDescent="0.25">
      <c r="A1477" s="729"/>
      <c r="B1477" s="302"/>
      <c r="C1477" s="302"/>
      <c r="D1477" s="1820"/>
      <c r="E1477" s="2820" t="str">
        <f>Translations!$B$484</f>
        <v>Преки емисии</v>
      </c>
      <c r="F1477" s="2258"/>
      <c r="G1477" s="1319" t="str">
        <f>EUconst_tCO2pa</f>
        <v>t CO2 / година</v>
      </c>
      <c r="H1477" s="480" t="str">
        <f>IF($I1396="","",IF(INDEX(F_ProductBM!H:H,MATCH($P1477,F_ProductBM!$Q:$Q,0))="","",INDEX(F_ProductBM!H:H,MATCH($P1477,F_ProductBM!$Q:$Q,0))))</f>
        <v/>
      </c>
      <c r="I1477" s="1399" t="str">
        <f>IF($I1396="","",IF(INDEX(F_ProductBM!I:I,MATCH($P1477,F_ProductBM!$Q:$Q,0))="","",INDEX(F_ProductBM!I:I,MATCH($P1477,F_ProductBM!$Q:$Q,0))))</f>
        <v/>
      </c>
      <c r="J1477" s="1832" t="str">
        <f>IF($I1396="","",IF(INDEX(F_ProductBM!J:J,MATCH($P1477,F_ProductBM!$Q:$Q,0))="","",INDEX(F_ProductBM!J:J,MATCH($P1477,F_ProductBM!$Q:$Q,0))))</f>
        <v/>
      </c>
      <c r="K1477" s="480" t="str">
        <f>IF($I1396="","",IF(INDEX(F_ProductBM!K:K,MATCH($P1477,F_ProductBM!$Q:$Q,0))="","",INDEX(F_ProductBM!K:K,MATCH($P1477,F_ProductBM!$Q:$Q,0))))</f>
        <v/>
      </c>
      <c r="L1477" s="480" t="str">
        <f>IF($I1396="","",IF(INDEX(F_ProductBM!L:L,MATCH($P1477,F_ProductBM!$Q:$Q,0))="","",INDEX(F_ProductBM!L:L,MATCH($P1477,F_ProductBM!$Q:$Q,0))))</f>
        <v/>
      </c>
      <c r="M1477" s="480" t="str">
        <f>IF($I1396="","",IF(INDEX(F_ProductBM!M:M,MATCH($P1477,F_ProductBM!$Q:$Q,0))="","",INDEX(F_ProductBM!M:M,MATCH($P1477,F_ProductBM!$Q:$Q,0))))</f>
        <v/>
      </c>
      <c r="N1477" s="1833" t="str">
        <f>IF($I1396="","",IF(INDEX(F_ProductBM!N:N,MATCH($P1477,F_ProductBM!$Q:$Q,0))="","",INDEX(F_ProductBM!N:N,MATCH($P1477,F_ProductBM!$Q:$Q,0))))</f>
        <v/>
      </c>
      <c r="O1477" s="698"/>
      <c r="P1477" s="1500" t="str">
        <f>EUconst_CNTR_Emissions &amp; I1396</f>
        <v>DirEmissions_</v>
      </c>
      <c r="Q1477" s="729"/>
      <c r="R1477" s="729"/>
      <c r="S1477" s="729"/>
      <c r="T1477" s="770"/>
      <c r="U1477" s="343"/>
      <c r="V1477" s="343"/>
    </row>
    <row r="1478" spans="1:22" s="364" customFormat="1" ht="12.75" customHeight="1" x14ac:dyDescent="0.25">
      <c r="A1478" s="729"/>
      <c r="B1478" s="302"/>
      <c r="C1478" s="302"/>
      <c r="D1478" s="1820"/>
      <c r="E1478" s="2820" t="str">
        <f>Translations!$B$532</f>
        <v>Други пораждащи емисии потоци — 1</v>
      </c>
      <c r="F1478" s="2258"/>
      <c r="G1478" s="1319" t="str">
        <f>EUconst_tCO2pa</f>
        <v>t CO2 / година</v>
      </c>
      <c r="H1478" s="480" t="str">
        <f>IF($I1396="","",IF(INDEX(F_ProductBM!H:H,MATCH($P1478,F_ProductBM!$Q:$Q,0))="","",INDEX(F_ProductBM!H:H,MATCH($P1478,F_ProductBM!$Q:$Q,0))))</f>
        <v/>
      </c>
      <c r="I1478" s="1399" t="str">
        <f>IF($I1396="","",IF(INDEX(F_ProductBM!I:I,MATCH($P1478,F_ProductBM!$Q:$Q,0))="","",INDEX(F_ProductBM!I:I,MATCH($P1478,F_ProductBM!$Q:$Q,0))))</f>
        <v/>
      </c>
      <c r="J1478" s="1832" t="str">
        <f>IF($I1396="","",IF(INDEX(F_ProductBM!J:J,MATCH($P1478,F_ProductBM!$Q:$Q,0))="","",INDEX(F_ProductBM!J:J,MATCH($P1478,F_ProductBM!$Q:$Q,0))))</f>
        <v/>
      </c>
      <c r="K1478" s="480" t="str">
        <f>IF($I1396="","",IF(INDEX(F_ProductBM!K:K,MATCH($P1478,F_ProductBM!$Q:$Q,0))="","",INDEX(F_ProductBM!K:K,MATCH($P1478,F_ProductBM!$Q:$Q,0))))</f>
        <v/>
      </c>
      <c r="L1478" s="480" t="str">
        <f>IF($I1396="","",IF(INDEX(F_ProductBM!L:L,MATCH($P1478,F_ProductBM!$Q:$Q,0))="","",INDEX(F_ProductBM!L:L,MATCH($P1478,F_ProductBM!$Q:$Q,0))))</f>
        <v/>
      </c>
      <c r="M1478" s="480" t="str">
        <f>IF($I1396="","",IF(INDEX(F_ProductBM!M:M,MATCH($P1478,F_ProductBM!$Q:$Q,0))="","",INDEX(F_ProductBM!M:M,MATCH($P1478,F_ProductBM!$Q:$Q,0))))</f>
        <v/>
      </c>
      <c r="N1478" s="1833" t="str">
        <f>IF($I1396="","",IF(INDEX(F_ProductBM!N:N,MATCH($P1478,F_ProductBM!$Q:$Q,0))="","",INDEX(F_ProductBM!N:N,MATCH($P1478,F_ProductBM!$Q:$Q,0))))</f>
        <v/>
      </c>
      <c r="O1478" s="698"/>
      <c r="P1478" s="1500" t="str">
        <f>EUconst_CNTR_EmissionsIntSource1 &amp; I1396</f>
        <v>EmInternalSource1_</v>
      </c>
      <c r="Q1478" s="729"/>
      <c r="R1478" s="729"/>
      <c r="S1478" s="729"/>
      <c r="T1478" s="770"/>
      <c r="U1478" s="343"/>
      <c r="V1478" s="343"/>
    </row>
    <row r="1479" spans="1:22" s="364" customFormat="1" ht="12.75" customHeight="1" x14ac:dyDescent="0.25">
      <c r="A1479" s="729"/>
      <c r="B1479" s="302"/>
      <c r="C1479" s="302"/>
      <c r="D1479" s="1820"/>
      <c r="E1479" s="2820" t="str">
        <f>Translations!$B$542</f>
        <v>Други пораждащи емисии потоци — 2</v>
      </c>
      <c r="F1479" s="2258"/>
      <c r="G1479" s="1319" t="str">
        <f>EUconst_tCO2pa</f>
        <v>t CO2 / година</v>
      </c>
      <c r="H1479" s="480" t="str">
        <f>IF($I1396="","",IF(INDEX(F_ProductBM!H:H,MATCH($P1479,F_ProductBM!$Q:$Q,0))="","",INDEX(F_ProductBM!H:H,MATCH($P1479,F_ProductBM!$Q:$Q,0))))</f>
        <v/>
      </c>
      <c r="I1479" s="1399" t="str">
        <f>IF($I1396="","",IF(INDEX(F_ProductBM!I:I,MATCH($P1479,F_ProductBM!$Q:$Q,0))="","",INDEX(F_ProductBM!I:I,MATCH($P1479,F_ProductBM!$Q:$Q,0))))</f>
        <v/>
      </c>
      <c r="J1479" s="1832" t="str">
        <f>IF($I1396="","",IF(INDEX(F_ProductBM!J:J,MATCH($P1479,F_ProductBM!$Q:$Q,0))="","",INDEX(F_ProductBM!J:J,MATCH($P1479,F_ProductBM!$Q:$Q,0))))</f>
        <v/>
      </c>
      <c r="K1479" s="480" t="str">
        <f>IF($I1396="","",IF(INDEX(F_ProductBM!K:K,MATCH($P1479,F_ProductBM!$Q:$Q,0))="","",INDEX(F_ProductBM!K:K,MATCH($P1479,F_ProductBM!$Q:$Q,0))))</f>
        <v/>
      </c>
      <c r="L1479" s="480" t="str">
        <f>IF($I1396="","",IF(INDEX(F_ProductBM!L:L,MATCH($P1479,F_ProductBM!$Q:$Q,0))="","",INDEX(F_ProductBM!L:L,MATCH($P1479,F_ProductBM!$Q:$Q,0))))</f>
        <v/>
      </c>
      <c r="M1479" s="480" t="str">
        <f>IF($I1396="","",IF(INDEX(F_ProductBM!M:M,MATCH($P1479,F_ProductBM!$Q:$Q,0))="","",INDEX(F_ProductBM!M:M,MATCH($P1479,F_ProductBM!$Q:$Q,0))))</f>
        <v/>
      </c>
      <c r="N1479" s="1833" t="str">
        <f>IF($I1396="","",IF(INDEX(F_ProductBM!N:N,MATCH($P1479,F_ProductBM!$Q:$Q,0))="","",INDEX(F_ProductBM!N:N,MATCH($P1479,F_ProductBM!$Q:$Q,0))))</f>
        <v/>
      </c>
      <c r="O1479" s="698"/>
      <c r="P1479" s="1500" t="str">
        <f>EUconst_CNTR_EmissionsIntSource2 &amp; I1396</f>
        <v>EmInternalSource2_</v>
      </c>
      <c r="Q1479" s="729"/>
      <c r="R1479" s="729"/>
      <c r="S1479" s="729"/>
      <c r="T1479" s="770"/>
      <c r="U1479" s="343"/>
      <c r="V1479" s="343"/>
    </row>
    <row r="1480" spans="1:22" s="364" customFormat="1" ht="12.75" customHeight="1" x14ac:dyDescent="0.25">
      <c r="A1480" s="729"/>
      <c r="B1480" s="302"/>
      <c r="C1480" s="302"/>
      <c r="D1480" s="1820"/>
      <c r="E1480" s="2820" t="str">
        <f>Translations!$B$546</f>
        <v>Получени или подадени парникови газове</v>
      </c>
      <c r="F1480" s="2258"/>
      <c r="G1480" s="1319" t="str">
        <f>EUconst_tCO2epa</f>
        <v>t CO2e/година</v>
      </c>
      <c r="H1480" s="480" t="str">
        <f>IF($I1396="","",IF(INDEX(F_ProductBM!H:H,MATCH($P1480,F_ProductBM!$Q:$Q,0))="","",INDEX(F_ProductBM!H:H,MATCH($P1480,F_ProductBM!$Q:$Q,0))))</f>
        <v/>
      </c>
      <c r="I1480" s="1399" t="str">
        <f>IF($I1396="","",IF(INDEX(F_ProductBM!I:I,MATCH($P1480,F_ProductBM!$Q:$Q,0))="","",INDEX(F_ProductBM!I:I,MATCH($P1480,F_ProductBM!$Q:$Q,0))))</f>
        <v/>
      </c>
      <c r="J1480" s="1832" t="str">
        <f>IF($I1396="","",IF(INDEX(F_ProductBM!J:J,MATCH($P1480,F_ProductBM!$Q:$Q,0))="","",INDEX(F_ProductBM!J:J,MATCH($P1480,F_ProductBM!$Q:$Q,0))))</f>
        <v/>
      </c>
      <c r="K1480" s="480" t="str">
        <f>IF($I1396="","",IF(INDEX(F_ProductBM!K:K,MATCH($P1480,F_ProductBM!$Q:$Q,0))="","",INDEX(F_ProductBM!K:K,MATCH($P1480,F_ProductBM!$Q:$Q,0))))</f>
        <v/>
      </c>
      <c r="L1480" s="480" t="str">
        <f>IF($I1396="","",IF(INDEX(F_ProductBM!L:L,MATCH($P1480,F_ProductBM!$Q:$Q,0))="","",INDEX(F_ProductBM!L:L,MATCH($P1480,F_ProductBM!$Q:$Q,0))))</f>
        <v/>
      </c>
      <c r="M1480" s="480" t="str">
        <f>IF($I1396="","",IF(INDEX(F_ProductBM!M:M,MATCH($P1480,F_ProductBM!$Q:$Q,0))="","",INDEX(F_ProductBM!M:M,MATCH($P1480,F_ProductBM!$Q:$Q,0))))</f>
        <v/>
      </c>
      <c r="N1480" s="1833" t="str">
        <f>IF($I1396="","",IF(INDEX(F_ProductBM!N:N,MATCH($P1480,F_ProductBM!$Q:$Q,0))="","",INDEX(F_ProductBM!N:N,MATCH($P1480,F_ProductBM!$Q:$Q,0))))</f>
        <v/>
      </c>
      <c r="O1480" s="698"/>
      <c r="P1480" s="1500" t="str">
        <f>EUconst_CNTR_CO2Feedstock &amp; I1396</f>
        <v>EmCO2Feedstock_</v>
      </c>
      <c r="Q1480" s="729"/>
      <c r="R1480" s="729"/>
      <c r="S1480" s="729"/>
      <c r="T1480" s="770"/>
      <c r="U1480" s="343"/>
      <c r="V1480" s="343"/>
    </row>
    <row r="1481" spans="1:22" s="364" customFormat="1" ht="5.15" customHeight="1" x14ac:dyDescent="0.25">
      <c r="A1481" s="729"/>
      <c r="B1481" s="302"/>
      <c r="C1481" s="302"/>
      <c r="D1481" s="1820"/>
      <c r="E1481" s="643"/>
      <c r="F1481" s="643"/>
      <c r="G1481" s="626"/>
      <c r="H1481" s="640"/>
      <c r="I1481" s="640"/>
      <c r="J1481" s="640"/>
      <c r="K1481" s="640"/>
      <c r="L1481" s="640"/>
      <c r="M1481" s="640"/>
      <c r="N1481" s="1831"/>
      <c r="O1481" s="698"/>
      <c r="P1481" s="729"/>
      <c r="Q1481" s="729"/>
      <c r="R1481" s="729"/>
      <c r="S1481" s="729"/>
      <c r="T1481" s="770"/>
      <c r="U1481" s="343"/>
      <c r="V1481" s="343"/>
    </row>
    <row r="1482" spans="1:22" s="364" customFormat="1" ht="12.75" customHeight="1" x14ac:dyDescent="0.25">
      <c r="A1482" s="729"/>
      <c r="B1482" s="302"/>
      <c r="C1482" s="302"/>
      <c r="D1482" s="1820"/>
      <c r="E1482" s="2818" t="str">
        <f>Translations!$B$554</f>
        <v>Нетно количество получена топлинна енергия</v>
      </c>
      <c r="F1482" s="2701"/>
      <c r="G1482" s="1326" t="str">
        <f>EUconst_TJpa</f>
        <v>TJ / година</v>
      </c>
      <c r="H1482" s="482" t="str">
        <f>IF($I1396="","",IF(INDEX(F_ProductBM!H:H,MATCH($P1482,F_ProductBM!$Q:$Q,0))="","",INDEX(F_ProductBM!H:H,MATCH($P1482,F_ProductBM!$Q:$Q,0))))</f>
        <v/>
      </c>
      <c r="I1482" s="1824" t="str">
        <f>IF($I1396="","",IF(INDEX(F_ProductBM!I:I,MATCH($P1482,F_ProductBM!$Q:$Q,0))="","",INDEX(F_ProductBM!I:I,MATCH($P1482,F_ProductBM!$Q:$Q,0))))</f>
        <v/>
      </c>
      <c r="J1482" s="1825" t="str">
        <f>IF($I1396="","",IF(INDEX(F_ProductBM!J:J,MATCH($P1482,F_ProductBM!$Q:$Q,0))="","",INDEX(F_ProductBM!J:J,MATCH($P1482,F_ProductBM!$Q:$Q,0))))</f>
        <v/>
      </c>
      <c r="K1482" s="482" t="str">
        <f>IF($I1396="","",IF(INDEX(F_ProductBM!K:K,MATCH($P1482,F_ProductBM!$Q:$Q,0))="","",INDEX(F_ProductBM!K:K,MATCH($P1482,F_ProductBM!$Q:$Q,0))))</f>
        <v/>
      </c>
      <c r="L1482" s="482" t="str">
        <f>IF($I1396="","",IF(INDEX(F_ProductBM!L:L,MATCH($P1482,F_ProductBM!$Q:$Q,0))="","",INDEX(F_ProductBM!L:L,MATCH($P1482,F_ProductBM!$Q:$Q,0))))</f>
        <v/>
      </c>
      <c r="M1482" s="482" t="str">
        <f>IF($I1396="","",IF(INDEX(F_ProductBM!M:M,MATCH($P1482,F_ProductBM!$Q:$Q,0))="","",INDEX(F_ProductBM!M:M,MATCH($P1482,F_ProductBM!$Q:$Q,0))))</f>
        <v/>
      </c>
      <c r="N1482" s="1826" t="str">
        <f>IF($I1396="","",IF(INDEX(F_ProductBM!N:N,MATCH($P1482,F_ProductBM!$Q:$Q,0))="","",INDEX(F_ProductBM!N:N,MATCH($P1482,F_ProductBM!$Q:$Q,0))))</f>
        <v/>
      </c>
      <c r="O1482" s="698"/>
      <c r="P1482" s="1500" t="str">
        <f>EUconst_CNTR_HeatImport &amp; I1396</f>
        <v>HeatIm_</v>
      </c>
      <c r="Q1482" s="729"/>
      <c r="R1482" s="729"/>
      <c r="S1482" s="729"/>
      <c r="T1482" s="770"/>
      <c r="U1482" s="343"/>
      <c r="V1482" s="343"/>
    </row>
    <row r="1483" spans="1:22" s="364" customFormat="1" ht="12.75" customHeight="1" x14ac:dyDescent="0.25">
      <c r="A1483" s="729"/>
      <c r="B1483" s="302"/>
      <c r="C1483" s="302"/>
      <c r="D1483" s="1820"/>
      <c r="E1483" s="2819" t="str">
        <f>Translations!$B$555</f>
        <v>Специфичен EF (получена топлинна енергия)</v>
      </c>
      <c r="F1483" s="2705"/>
      <c r="G1483" s="1329" t="str">
        <f>EUconst_tCO2pTJ</f>
        <v>t CO2 / TJ</v>
      </c>
      <c r="H1483" s="484" t="str">
        <f>IF($I1396="","",IF(INDEX(F_ProductBM!H:H,MATCH($P1483,F_ProductBM!$Q:$Q,0))="","",INDEX(F_ProductBM!H:H,MATCH($P1483,F_ProductBM!$Q:$Q,0))))</f>
        <v/>
      </c>
      <c r="I1483" s="1828" t="str">
        <f>IF($I1396="","",IF(INDEX(F_ProductBM!I:I,MATCH($P1483,F_ProductBM!$Q:$Q,0))="","",INDEX(F_ProductBM!I:I,MATCH($P1483,F_ProductBM!$Q:$Q,0))))</f>
        <v/>
      </c>
      <c r="J1483" s="1829" t="str">
        <f>IF($I1396="","",IF(INDEX(F_ProductBM!J:J,MATCH($P1483,F_ProductBM!$Q:$Q,0))="","",INDEX(F_ProductBM!J:J,MATCH($P1483,F_ProductBM!$Q:$Q,0))))</f>
        <v/>
      </c>
      <c r="K1483" s="484" t="str">
        <f>IF($I1396="","",IF(INDEX(F_ProductBM!K:K,MATCH($P1483,F_ProductBM!$Q:$Q,0))="","",INDEX(F_ProductBM!K:K,MATCH($P1483,F_ProductBM!$Q:$Q,0))))</f>
        <v/>
      </c>
      <c r="L1483" s="484" t="str">
        <f>IF($I1396="","",IF(INDEX(F_ProductBM!L:L,MATCH($P1483,F_ProductBM!$Q:$Q,0))="","",INDEX(F_ProductBM!L:L,MATCH($P1483,F_ProductBM!$Q:$Q,0))))</f>
        <v/>
      </c>
      <c r="M1483" s="484" t="str">
        <f>IF($I1396="","",IF(INDEX(F_ProductBM!M:M,MATCH($P1483,F_ProductBM!$Q:$Q,0))="","",INDEX(F_ProductBM!M:M,MATCH($P1483,F_ProductBM!$Q:$Q,0))))</f>
        <v/>
      </c>
      <c r="N1483" s="1830" t="str">
        <f>IF($I1396="","",IF(INDEX(F_ProductBM!N:N,MATCH($P1483,F_ProductBM!$Q:$Q,0))="","",INDEX(F_ProductBM!N:N,MATCH($P1483,F_ProductBM!$Q:$Q,0))))</f>
        <v/>
      </c>
      <c r="O1483" s="698"/>
      <c r="P1483" s="1500" t="str">
        <f>EUconst_CNTR_HeatImportEF &amp; I1396</f>
        <v>HeatImEF_</v>
      </c>
      <c r="Q1483" s="729"/>
      <c r="R1483" s="729"/>
      <c r="S1483" s="729"/>
      <c r="T1483" s="770"/>
      <c r="U1483" s="343"/>
      <c r="V1483" s="343"/>
    </row>
    <row r="1484" spans="1:22" s="364" customFormat="1" ht="5.15" customHeight="1" x14ac:dyDescent="0.25">
      <c r="A1484" s="729"/>
      <c r="B1484" s="302"/>
      <c r="C1484" s="302"/>
      <c r="D1484" s="1820"/>
      <c r="E1484" s="643"/>
      <c r="F1484" s="643"/>
      <c r="G1484" s="626"/>
      <c r="H1484" s="640"/>
      <c r="I1484" s="640"/>
      <c r="J1484" s="640"/>
      <c r="K1484" s="640"/>
      <c r="L1484" s="640"/>
      <c r="M1484" s="640"/>
      <c r="N1484" s="1831"/>
      <c r="O1484" s="698"/>
      <c r="P1484" s="770"/>
      <c r="Q1484" s="729"/>
      <c r="R1484" s="729"/>
      <c r="S1484" s="729"/>
      <c r="T1484" s="770"/>
      <c r="U1484" s="343"/>
      <c r="V1484" s="343"/>
    </row>
    <row r="1485" spans="1:22" s="364" customFormat="1" ht="12.75" customHeight="1" x14ac:dyDescent="0.25">
      <c r="A1485" s="729"/>
      <c r="B1485" s="302"/>
      <c r="C1485" s="302"/>
      <c r="D1485" s="1820"/>
      <c r="E1485" s="2820" t="str">
        <f>Translations!$B$609</f>
        <v>Нетно количество топлинна енергия, получена от пулп</v>
      </c>
      <c r="F1485" s="2258"/>
      <c r="G1485" s="1319" t="str">
        <f>EUconst_TJpa</f>
        <v>TJ / година</v>
      </c>
      <c r="H1485" s="480" t="str">
        <f>IF($I1396="","",IF(INDEX(F_ProductBM!H:H,MATCH($P1485,F_ProductBM!$Q:$Q,0))="","",INDEX(F_ProductBM!H:H,MATCH($P1485,F_ProductBM!$Q:$Q,0))))</f>
        <v/>
      </c>
      <c r="I1485" s="1399" t="str">
        <f>IF($I1396="","",IF(INDEX(F_ProductBM!I:I,MATCH($P1485,F_ProductBM!$Q:$Q,0))="","",INDEX(F_ProductBM!I:I,MATCH($P1485,F_ProductBM!$Q:$Q,0))))</f>
        <v/>
      </c>
      <c r="J1485" s="1832" t="str">
        <f>IF($I1396="","",IF(INDEX(F_ProductBM!J:J,MATCH($P1485,F_ProductBM!$Q:$Q,0))="","",INDEX(F_ProductBM!J:J,MATCH($P1485,F_ProductBM!$Q:$Q,0))))</f>
        <v/>
      </c>
      <c r="K1485" s="480" t="str">
        <f>IF($I1396="","",IF(INDEX(F_ProductBM!K:K,MATCH($P1485,F_ProductBM!$Q:$Q,0))="","",INDEX(F_ProductBM!K:K,MATCH($P1485,F_ProductBM!$Q:$Q,0))))</f>
        <v/>
      </c>
      <c r="L1485" s="480" t="str">
        <f>IF($I1396="","",IF(INDEX(F_ProductBM!L:L,MATCH($P1485,F_ProductBM!$Q:$Q,0))="","",INDEX(F_ProductBM!L:L,MATCH($P1485,F_ProductBM!$Q:$Q,0))))</f>
        <v/>
      </c>
      <c r="M1485" s="480" t="str">
        <f>IF($I1396="","",IF(INDEX(F_ProductBM!M:M,MATCH($P1485,F_ProductBM!$Q:$Q,0))="","",INDEX(F_ProductBM!M:M,MATCH($P1485,F_ProductBM!$Q:$Q,0))))</f>
        <v/>
      </c>
      <c r="N1485" s="1833" t="str">
        <f>IF($I1396="","",IF(INDEX(F_ProductBM!N:N,MATCH($P1485,F_ProductBM!$Q:$Q,0))="","",INDEX(F_ProductBM!N:N,MATCH($P1485,F_ProductBM!$Q:$Q,0))))</f>
        <v/>
      </c>
      <c r="O1485" s="698"/>
      <c r="P1485" s="1500" t="str">
        <f>EUconst_CNTR_HeatImportPulp &amp; I1396</f>
        <v>HeatImPulp_</v>
      </c>
      <c r="Q1485" s="729"/>
      <c r="R1485" s="729"/>
      <c r="S1485" s="729"/>
      <c r="T1485" s="770"/>
      <c r="U1485" s="343"/>
      <c r="V1485" s="343"/>
    </row>
    <row r="1486" spans="1:22" s="364" customFormat="1" ht="12.75" customHeight="1" x14ac:dyDescent="0.25">
      <c r="A1486" s="729"/>
      <c r="B1486" s="302"/>
      <c r="C1486" s="302"/>
      <c r="D1486" s="1820"/>
      <c r="E1486" s="2820" t="str">
        <f>Translations!$B$558</f>
        <v>Нетно количество топлинна енергия, получена от подинсталации за азотна киселина</v>
      </c>
      <c r="F1486" s="2258"/>
      <c r="G1486" s="1319" t="str">
        <f>EUconst_TJpa</f>
        <v>TJ / година</v>
      </c>
      <c r="H1486" s="480" t="str">
        <f>IF($I1396="","",IF(INDEX(F_ProductBM!H:H,MATCH($P1486,F_ProductBM!$Q:$Q,0))="","",INDEX(F_ProductBM!H:H,MATCH($P1486,F_ProductBM!$Q:$Q,0))))</f>
        <v/>
      </c>
      <c r="I1486" s="1399" t="str">
        <f>IF($I1396="","",IF(INDEX(F_ProductBM!I:I,MATCH($P1486,F_ProductBM!$Q:$Q,0))="","",INDEX(F_ProductBM!I:I,MATCH($P1486,F_ProductBM!$Q:$Q,0))))</f>
        <v/>
      </c>
      <c r="J1486" s="1832" t="str">
        <f>IF($I1396="","",IF(INDEX(F_ProductBM!J:J,MATCH($P1486,F_ProductBM!$Q:$Q,0))="","",INDEX(F_ProductBM!J:J,MATCH($P1486,F_ProductBM!$Q:$Q,0))))</f>
        <v/>
      </c>
      <c r="K1486" s="480" t="str">
        <f>IF($I1396="","",IF(INDEX(F_ProductBM!K:K,MATCH($P1486,F_ProductBM!$Q:$Q,0))="","",INDEX(F_ProductBM!K:K,MATCH($P1486,F_ProductBM!$Q:$Q,0))))</f>
        <v/>
      </c>
      <c r="L1486" s="480" t="str">
        <f>IF($I1396="","",IF(INDEX(F_ProductBM!L:L,MATCH($P1486,F_ProductBM!$Q:$Q,0))="","",INDEX(F_ProductBM!L:L,MATCH($P1486,F_ProductBM!$Q:$Q,0))))</f>
        <v/>
      </c>
      <c r="M1486" s="480" t="str">
        <f>IF($I1396="","",IF(INDEX(F_ProductBM!M:M,MATCH($P1486,F_ProductBM!$Q:$Q,0))="","",INDEX(F_ProductBM!M:M,MATCH($P1486,F_ProductBM!$Q:$Q,0))))</f>
        <v/>
      </c>
      <c r="N1486" s="1833" t="str">
        <f>IF($I1396="","",IF(INDEX(F_ProductBM!N:N,MATCH($P1486,F_ProductBM!$Q:$Q,0))="","",INDEX(F_ProductBM!N:N,MATCH($P1486,F_ProductBM!$Q:$Q,0))))</f>
        <v/>
      </c>
      <c r="O1486" s="698"/>
      <c r="P1486" s="1500" t="str">
        <f>EUconst_CNTR_HeatImportNitric &amp; I1396</f>
        <v>HeatImNitric_</v>
      </c>
      <c r="Q1486" s="729"/>
      <c r="R1486" s="729"/>
      <c r="S1486" s="729"/>
      <c r="T1486" s="770"/>
      <c r="U1486" s="343"/>
      <c r="V1486" s="343"/>
    </row>
    <row r="1487" spans="1:22" s="364" customFormat="1" ht="5.15" customHeight="1" x14ac:dyDescent="0.25">
      <c r="A1487" s="729"/>
      <c r="B1487" s="302"/>
      <c r="C1487" s="302"/>
      <c r="D1487" s="1820"/>
      <c r="E1487" s="643"/>
      <c r="F1487" s="643"/>
      <c r="G1487" s="625"/>
      <c r="H1487" s="640"/>
      <c r="I1487" s="640"/>
      <c r="J1487" s="640"/>
      <c r="K1487" s="640"/>
      <c r="L1487" s="640"/>
      <c r="M1487" s="640"/>
      <c r="N1487" s="1831"/>
      <c r="O1487" s="698"/>
      <c r="P1487" s="770"/>
      <c r="Q1487" s="729"/>
      <c r="R1487" s="729"/>
      <c r="S1487" s="729"/>
      <c r="T1487" s="770"/>
      <c r="U1487" s="343"/>
      <c r="V1487" s="343"/>
    </row>
    <row r="1488" spans="1:22" s="364" customFormat="1" ht="12.75" customHeight="1" x14ac:dyDescent="0.25">
      <c r="A1488" s="729"/>
      <c r="B1488" s="302"/>
      <c r="C1488" s="302"/>
      <c r="D1488" s="1820"/>
      <c r="E1488" s="2818" t="str">
        <f>Translations!$B$560</f>
        <v>Нетно количество подадена топлинна енергия</v>
      </c>
      <c r="F1488" s="2701"/>
      <c r="G1488" s="1326" t="str">
        <f>EUconst_TJpa</f>
        <v>TJ / година</v>
      </c>
      <c r="H1488" s="482" t="str">
        <f>IF($I1396="","",IF(INDEX(F_ProductBM!H:H,MATCH($P1488,F_ProductBM!$Q:$Q,0))="","",INDEX(F_ProductBM!H:H,MATCH($P1488,F_ProductBM!$Q:$Q,0))))</f>
        <v/>
      </c>
      <c r="I1488" s="1824" t="str">
        <f>IF($I1396="","",IF(INDEX(F_ProductBM!I:I,MATCH($P1488,F_ProductBM!$Q:$Q,0))="","",INDEX(F_ProductBM!I:I,MATCH($P1488,F_ProductBM!$Q:$Q,0))))</f>
        <v/>
      </c>
      <c r="J1488" s="1825" t="str">
        <f>IF($I1396="","",IF(INDEX(F_ProductBM!J:J,MATCH($P1488,F_ProductBM!$Q:$Q,0))="","",INDEX(F_ProductBM!J:J,MATCH($P1488,F_ProductBM!$Q:$Q,0))))</f>
        <v/>
      </c>
      <c r="K1488" s="482" t="str">
        <f>IF($I1396="","",IF(INDEX(F_ProductBM!K:K,MATCH($P1488,F_ProductBM!$Q:$Q,0))="","",INDEX(F_ProductBM!K:K,MATCH($P1488,F_ProductBM!$Q:$Q,0))))</f>
        <v/>
      </c>
      <c r="L1488" s="482" t="str">
        <f>IF($I1396="","",IF(INDEX(F_ProductBM!L:L,MATCH($P1488,F_ProductBM!$Q:$Q,0))="","",INDEX(F_ProductBM!L:L,MATCH($P1488,F_ProductBM!$Q:$Q,0))))</f>
        <v/>
      </c>
      <c r="M1488" s="482" t="str">
        <f>IF($I1396="","",IF(INDEX(F_ProductBM!M:M,MATCH($P1488,F_ProductBM!$Q:$Q,0))="","",INDEX(F_ProductBM!M:M,MATCH($P1488,F_ProductBM!$Q:$Q,0))))</f>
        <v/>
      </c>
      <c r="N1488" s="1826" t="str">
        <f>IF($I1396="","",IF(INDEX(F_ProductBM!N:N,MATCH($P1488,F_ProductBM!$Q:$Q,0))="","",INDEX(F_ProductBM!N:N,MATCH($P1488,F_ProductBM!$Q:$Q,0))))</f>
        <v/>
      </c>
      <c r="O1488" s="698"/>
      <c r="P1488" s="1500" t="str">
        <f>EUconst_CNTR_HeatExport &amp; I1396</f>
        <v>HeatEx_</v>
      </c>
      <c r="Q1488" s="729"/>
      <c r="R1488" s="729"/>
      <c r="S1488" s="729"/>
      <c r="T1488" s="770"/>
      <c r="U1488" s="343"/>
      <c r="V1488" s="343"/>
    </row>
    <row r="1489" spans="1:22" s="364" customFormat="1" ht="12.75" customHeight="1" x14ac:dyDescent="0.25">
      <c r="A1489" s="729"/>
      <c r="B1489" s="302"/>
      <c r="C1489" s="302"/>
      <c r="D1489" s="1820"/>
      <c r="E1489" s="2819" t="str">
        <f>Translations!$B$561</f>
        <v>Специфичен EF (подадена топлинна енергия)</v>
      </c>
      <c r="F1489" s="2705"/>
      <c r="G1489" s="1329" t="str">
        <f>EUconst_tCO2pTJ</f>
        <v>t CO2 / TJ</v>
      </c>
      <c r="H1489" s="484" t="str">
        <f>IF($I1396="","",IF(INDEX(F_ProductBM!H:H,MATCH($P1489,F_ProductBM!$Q:$Q,0))="","",INDEX(F_ProductBM!H:H,MATCH($P1489,F_ProductBM!$Q:$Q,0))))</f>
        <v/>
      </c>
      <c r="I1489" s="1828" t="str">
        <f>IF($I1396="","",IF(INDEX(F_ProductBM!I:I,MATCH($P1489,F_ProductBM!$Q:$Q,0))="","",INDEX(F_ProductBM!I:I,MATCH($P1489,F_ProductBM!$Q:$Q,0))))</f>
        <v/>
      </c>
      <c r="J1489" s="1829" t="str">
        <f>IF($I1396="","",IF(INDEX(F_ProductBM!J:J,MATCH($P1489,F_ProductBM!$Q:$Q,0))="","",INDEX(F_ProductBM!J:J,MATCH($P1489,F_ProductBM!$Q:$Q,0))))</f>
        <v/>
      </c>
      <c r="K1489" s="484" t="str">
        <f>IF($I1396="","",IF(INDEX(F_ProductBM!K:K,MATCH($P1489,F_ProductBM!$Q:$Q,0))="","",INDEX(F_ProductBM!K:K,MATCH($P1489,F_ProductBM!$Q:$Q,0))))</f>
        <v/>
      </c>
      <c r="L1489" s="484" t="str">
        <f>IF($I1396="","",IF(INDEX(F_ProductBM!L:L,MATCH($P1489,F_ProductBM!$Q:$Q,0))="","",INDEX(F_ProductBM!L:L,MATCH($P1489,F_ProductBM!$Q:$Q,0))))</f>
        <v/>
      </c>
      <c r="M1489" s="484" t="str">
        <f>IF($I1396="","",IF(INDEX(F_ProductBM!M:M,MATCH($P1489,F_ProductBM!$Q:$Q,0))="","",INDEX(F_ProductBM!M:M,MATCH($P1489,F_ProductBM!$Q:$Q,0))))</f>
        <v/>
      </c>
      <c r="N1489" s="1830" t="str">
        <f>IF($I1396="","",IF(INDEX(F_ProductBM!N:N,MATCH($P1489,F_ProductBM!$Q:$Q,0))="","",INDEX(F_ProductBM!N:N,MATCH($P1489,F_ProductBM!$Q:$Q,0))))</f>
        <v/>
      </c>
      <c r="O1489" s="698"/>
      <c r="P1489" s="1500" t="str">
        <f>EUconst_CNTR_HeatExportEF &amp; I1396</f>
        <v>HeatExEF_</v>
      </c>
      <c r="Q1489" s="729"/>
      <c r="R1489" s="729"/>
      <c r="S1489" s="729"/>
      <c r="T1489" s="770"/>
      <c r="U1489" s="343"/>
      <c r="V1489" s="343"/>
    </row>
    <row r="1490" spans="1:22" s="364" customFormat="1" ht="5.15" customHeight="1" x14ac:dyDescent="0.25">
      <c r="A1490" s="729"/>
      <c r="B1490" s="302"/>
      <c r="C1490" s="302"/>
      <c r="D1490" s="1820"/>
      <c r="E1490" s="643"/>
      <c r="F1490" s="643"/>
      <c r="G1490" s="625"/>
      <c r="H1490" s="640"/>
      <c r="I1490" s="640"/>
      <c r="J1490" s="640"/>
      <c r="K1490" s="640"/>
      <c r="L1490" s="640"/>
      <c r="M1490" s="640"/>
      <c r="N1490" s="1831"/>
      <c r="O1490" s="698"/>
      <c r="P1490" s="770"/>
      <c r="Q1490" s="729"/>
      <c r="R1490" s="729"/>
      <c r="S1490" s="729"/>
      <c r="T1490" s="770"/>
      <c r="U1490" s="343"/>
      <c r="V1490" s="343"/>
    </row>
    <row r="1491" spans="1:22" s="364" customFormat="1" ht="12.75" customHeight="1" x14ac:dyDescent="0.25">
      <c r="A1491" s="729"/>
      <c r="B1491" s="302"/>
      <c r="C1491" s="302"/>
      <c r="D1491" s="1820"/>
      <c r="E1491" s="2818" t="str">
        <f>Translations!$B$568</f>
        <v>Произведен отпаден газ</v>
      </c>
      <c r="F1491" s="2701"/>
      <c r="G1491" s="1326" t="str">
        <f>EUconst_TJpa</f>
        <v>TJ / година</v>
      </c>
      <c r="H1491" s="482" t="str">
        <f>IF($I1396="","",IF(INDEX(F_ProductBM!H:H,MATCH($P1491,F_ProductBM!$Q:$Q,0))="","",INDEX(F_ProductBM!H:H,MATCH($P1491,F_ProductBM!$Q:$Q,0))))</f>
        <v/>
      </c>
      <c r="I1491" s="1824" t="str">
        <f>IF($I1396="","",IF(INDEX(F_ProductBM!I:I,MATCH($P1491,F_ProductBM!$Q:$Q,0))="","",INDEX(F_ProductBM!I:I,MATCH($P1491,F_ProductBM!$Q:$Q,0))))</f>
        <v/>
      </c>
      <c r="J1491" s="1825" t="str">
        <f>IF($I1396="","",IF(INDEX(F_ProductBM!J:J,MATCH($P1491,F_ProductBM!$Q:$Q,0))="","",INDEX(F_ProductBM!J:J,MATCH($P1491,F_ProductBM!$Q:$Q,0))))</f>
        <v/>
      </c>
      <c r="K1491" s="482" t="str">
        <f>IF($I1396="","",IF(INDEX(F_ProductBM!K:K,MATCH($P1491,F_ProductBM!$Q:$Q,0))="","",INDEX(F_ProductBM!K:K,MATCH($P1491,F_ProductBM!$Q:$Q,0))))</f>
        <v/>
      </c>
      <c r="L1491" s="482" t="str">
        <f>IF($I1396="","",IF(INDEX(F_ProductBM!L:L,MATCH($P1491,F_ProductBM!$Q:$Q,0))="","",INDEX(F_ProductBM!L:L,MATCH($P1491,F_ProductBM!$Q:$Q,0))))</f>
        <v/>
      </c>
      <c r="M1491" s="482" t="str">
        <f>IF($I1396="","",IF(INDEX(F_ProductBM!M:M,MATCH($P1491,F_ProductBM!$Q:$Q,0))="","",INDEX(F_ProductBM!M:M,MATCH($P1491,F_ProductBM!$Q:$Q,0))))</f>
        <v/>
      </c>
      <c r="N1491" s="1826" t="str">
        <f>IF($I1396="","",IF(INDEX(F_ProductBM!N:N,MATCH($P1491,F_ProductBM!$Q:$Q,0))="","",INDEX(F_ProductBM!N:N,MATCH($P1491,F_ProductBM!$Q:$Q,0))))</f>
        <v/>
      </c>
      <c r="O1491" s="698"/>
      <c r="P1491" s="1827" t="str">
        <f>EUconst_CNTR_WGProduced &amp; I1396</f>
        <v>WasteGasProd_</v>
      </c>
      <c r="Q1491" s="729"/>
      <c r="R1491" s="729"/>
      <c r="S1491" s="729"/>
      <c r="T1491" s="770"/>
      <c r="U1491" s="343"/>
      <c r="V1491" s="343"/>
    </row>
    <row r="1492" spans="1:22" s="364" customFormat="1" ht="12.75" customHeight="1" x14ac:dyDescent="0.25">
      <c r="A1492" s="729"/>
      <c r="B1492" s="302"/>
      <c r="C1492" s="302"/>
      <c r="D1492" s="1820"/>
      <c r="E1492" s="2819" t="str">
        <f>Translations!$B$569</f>
        <v>Специфичен EF (произведен отпаден газ)</v>
      </c>
      <c r="F1492" s="2705"/>
      <c r="G1492" s="1329" t="str">
        <f>EUconst_tCO2pTJ</f>
        <v>t CO2 / TJ</v>
      </c>
      <c r="H1492" s="484" t="str">
        <f>IF($I1396="","",IF(INDEX(F_ProductBM!H:H,MATCH($P1492,F_ProductBM!$Q:$Q,0))="","",INDEX(F_ProductBM!H:H,MATCH($P1492,F_ProductBM!$Q:$Q,0))))</f>
        <v/>
      </c>
      <c r="I1492" s="1828" t="str">
        <f>IF($I1396="","",IF(INDEX(F_ProductBM!I:I,MATCH($P1492,F_ProductBM!$Q:$Q,0))="","",INDEX(F_ProductBM!I:I,MATCH($P1492,F_ProductBM!$Q:$Q,0))))</f>
        <v/>
      </c>
      <c r="J1492" s="1829" t="str">
        <f>IF($I1396="","",IF(INDEX(F_ProductBM!J:J,MATCH($P1492,F_ProductBM!$Q:$Q,0))="","",INDEX(F_ProductBM!J:J,MATCH($P1492,F_ProductBM!$Q:$Q,0))))</f>
        <v/>
      </c>
      <c r="K1492" s="484" t="str">
        <f>IF($I1396="","",IF(INDEX(F_ProductBM!K:K,MATCH($P1492,F_ProductBM!$Q:$Q,0))="","",INDEX(F_ProductBM!K:K,MATCH($P1492,F_ProductBM!$Q:$Q,0))))</f>
        <v/>
      </c>
      <c r="L1492" s="484" t="str">
        <f>IF($I1396="","",IF(INDEX(F_ProductBM!L:L,MATCH($P1492,F_ProductBM!$Q:$Q,0))="","",INDEX(F_ProductBM!L:L,MATCH($P1492,F_ProductBM!$Q:$Q,0))))</f>
        <v/>
      </c>
      <c r="M1492" s="484" t="str">
        <f>IF($I1396="","",IF(INDEX(F_ProductBM!M:M,MATCH($P1492,F_ProductBM!$Q:$Q,0))="","",INDEX(F_ProductBM!M:M,MATCH($P1492,F_ProductBM!$Q:$Q,0))))</f>
        <v/>
      </c>
      <c r="N1492" s="1830" t="str">
        <f>IF($I1396="","",IF(INDEX(F_ProductBM!N:N,MATCH($P1492,F_ProductBM!$Q:$Q,0))="","",INDEX(F_ProductBM!N:N,MATCH($P1492,F_ProductBM!$Q:$Q,0))))</f>
        <v/>
      </c>
      <c r="O1492" s="698"/>
      <c r="P1492" s="1500" t="str">
        <f>EUconst_CNTR_WGProducedEF &amp; I1396</f>
        <v>WasteGasProdEF_</v>
      </c>
      <c r="Q1492" s="729"/>
      <c r="R1492" s="729"/>
      <c r="S1492" s="729"/>
      <c r="T1492" s="770"/>
      <c r="U1492" s="343"/>
      <c r="V1492" s="343"/>
    </row>
    <row r="1493" spans="1:22" s="364" customFormat="1" ht="12.75" customHeight="1" x14ac:dyDescent="0.25">
      <c r="A1493" s="729"/>
      <c r="B1493" s="302"/>
      <c r="C1493" s="302"/>
      <c r="D1493" s="1820"/>
      <c r="E1493" s="2818" t="str">
        <f>Translations!$B$573</f>
        <v>Консумиран отпаден газ</v>
      </c>
      <c r="F1493" s="2701"/>
      <c r="G1493" s="1326" t="str">
        <f>EUconst_TJpa</f>
        <v>TJ / година</v>
      </c>
      <c r="H1493" s="482" t="str">
        <f>IF($I1396="","",IF(INDEX(F_ProductBM!H:H,MATCH($P1493,F_ProductBM!$Q:$Q,0))="","",INDEX(F_ProductBM!H:H,MATCH($P1493,F_ProductBM!$Q:$Q,0))))</f>
        <v/>
      </c>
      <c r="I1493" s="1824" t="str">
        <f>IF($I1396="","",IF(INDEX(F_ProductBM!I:I,MATCH($P1493,F_ProductBM!$Q:$Q,0))="","",INDEX(F_ProductBM!I:I,MATCH($P1493,F_ProductBM!$Q:$Q,0))))</f>
        <v/>
      </c>
      <c r="J1493" s="1825" t="str">
        <f>IF($I1396="","",IF(INDEX(F_ProductBM!J:J,MATCH($P1493,F_ProductBM!$Q:$Q,0))="","",INDEX(F_ProductBM!J:J,MATCH($P1493,F_ProductBM!$Q:$Q,0))))</f>
        <v/>
      </c>
      <c r="K1493" s="482" t="str">
        <f>IF($I1396="","",IF(INDEX(F_ProductBM!K:K,MATCH($P1493,F_ProductBM!$Q:$Q,0))="","",INDEX(F_ProductBM!K:K,MATCH($P1493,F_ProductBM!$Q:$Q,0))))</f>
        <v/>
      </c>
      <c r="L1493" s="482" t="str">
        <f>IF($I1396="","",IF(INDEX(F_ProductBM!L:L,MATCH($P1493,F_ProductBM!$Q:$Q,0))="","",INDEX(F_ProductBM!L:L,MATCH($P1493,F_ProductBM!$Q:$Q,0))))</f>
        <v/>
      </c>
      <c r="M1493" s="482" t="str">
        <f>IF($I1396="","",IF(INDEX(F_ProductBM!M:M,MATCH($P1493,F_ProductBM!$Q:$Q,0))="","",INDEX(F_ProductBM!M:M,MATCH($P1493,F_ProductBM!$Q:$Q,0))))</f>
        <v/>
      </c>
      <c r="N1493" s="1826" t="str">
        <f>IF($I1396="","",IF(INDEX(F_ProductBM!N:N,MATCH($P1493,F_ProductBM!$Q:$Q,0))="","",INDEX(F_ProductBM!N:N,MATCH($P1493,F_ProductBM!$Q:$Q,0))))</f>
        <v/>
      </c>
      <c r="O1493" s="698"/>
      <c r="P1493" s="1500" t="str">
        <f>EUconst_CNTR_WGConsumed &amp; I1396</f>
        <v>WasteGasCons_</v>
      </c>
      <c r="Q1493" s="729"/>
      <c r="R1493" s="729"/>
      <c r="S1493" s="729"/>
      <c r="T1493" s="770"/>
      <c r="U1493" s="343"/>
      <c r="V1493" s="343"/>
    </row>
    <row r="1494" spans="1:22" s="364" customFormat="1" ht="12.75" customHeight="1" x14ac:dyDescent="0.25">
      <c r="A1494" s="729"/>
      <c r="B1494" s="302"/>
      <c r="C1494" s="302"/>
      <c r="D1494" s="1820"/>
      <c r="E1494" s="2819" t="str">
        <f>Translations!$B$574</f>
        <v>Специфичен EF (консумиран отпаден газ)</v>
      </c>
      <c r="F1494" s="2705"/>
      <c r="G1494" s="1329" t="str">
        <f>EUconst_tCO2pTJ</f>
        <v>t CO2 / TJ</v>
      </c>
      <c r="H1494" s="484" t="str">
        <f>IF($I1396="","",IF(INDEX(F_ProductBM!H:H,MATCH($P1494,F_ProductBM!$Q:$Q,0))="","",INDEX(F_ProductBM!H:H,MATCH($P1494,F_ProductBM!$Q:$Q,0))))</f>
        <v/>
      </c>
      <c r="I1494" s="1828" t="str">
        <f>IF($I1396="","",IF(INDEX(F_ProductBM!I:I,MATCH($P1494,F_ProductBM!$Q:$Q,0))="","",INDEX(F_ProductBM!I:I,MATCH($P1494,F_ProductBM!$Q:$Q,0))))</f>
        <v/>
      </c>
      <c r="J1494" s="1829" t="str">
        <f>IF($I1396="","",IF(INDEX(F_ProductBM!J:J,MATCH($P1494,F_ProductBM!$Q:$Q,0))="","",INDEX(F_ProductBM!J:J,MATCH($P1494,F_ProductBM!$Q:$Q,0))))</f>
        <v/>
      </c>
      <c r="K1494" s="484" t="str">
        <f>IF($I1396="","",IF(INDEX(F_ProductBM!K:K,MATCH($P1494,F_ProductBM!$Q:$Q,0))="","",INDEX(F_ProductBM!K:K,MATCH($P1494,F_ProductBM!$Q:$Q,0))))</f>
        <v/>
      </c>
      <c r="L1494" s="484" t="str">
        <f>IF($I1396="","",IF(INDEX(F_ProductBM!L:L,MATCH($P1494,F_ProductBM!$Q:$Q,0))="","",INDEX(F_ProductBM!L:L,MATCH($P1494,F_ProductBM!$Q:$Q,0))))</f>
        <v/>
      </c>
      <c r="M1494" s="484" t="str">
        <f>IF($I1396="","",IF(INDEX(F_ProductBM!M:M,MATCH($P1494,F_ProductBM!$Q:$Q,0))="","",INDEX(F_ProductBM!M:M,MATCH($P1494,F_ProductBM!$Q:$Q,0))))</f>
        <v/>
      </c>
      <c r="N1494" s="1830" t="str">
        <f>IF($I1396="","",IF(INDEX(F_ProductBM!N:N,MATCH($P1494,F_ProductBM!$Q:$Q,0))="","",INDEX(F_ProductBM!N:N,MATCH($P1494,F_ProductBM!$Q:$Q,0))))</f>
        <v/>
      </c>
      <c r="O1494" s="698"/>
      <c r="P1494" s="1500" t="str">
        <f>EUconst_CNTR_WGConsumedEF &amp; I1396</f>
        <v>WasteGasConsEF_</v>
      </c>
      <c r="Q1494" s="729"/>
      <c r="R1494" s="729"/>
      <c r="S1494" s="729"/>
      <c r="T1494" s="770"/>
      <c r="U1494" s="343"/>
      <c r="V1494" s="343"/>
    </row>
    <row r="1495" spans="1:22" s="364" customFormat="1" ht="12.75" customHeight="1" x14ac:dyDescent="0.25">
      <c r="A1495" s="729"/>
      <c r="B1495" s="302"/>
      <c r="C1495" s="302"/>
      <c r="D1495" s="1820"/>
      <c r="E1495" s="2818" t="str">
        <f>Translations!$B$580</f>
        <v>Изгорен във факел отпаден газ</v>
      </c>
      <c r="F1495" s="2701"/>
      <c r="G1495" s="1326" t="str">
        <f>EUconst_TJpa</f>
        <v>TJ / година</v>
      </c>
      <c r="H1495" s="482" t="str">
        <f>IF($I1396="","",IF(INDEX(F_ProductBM!H:H,MATCH($P1495,F_ProductBM!$Q:$Q,0))="","",INDEX(F_ProductBM!H:H,MATCH($P1495,F_ProductBM!$Q:$Q,0))))</f>
        <v/>
      </c>
      <c r="I1495" s="1824" t="str">
        <f>IF($I1396="","",IF(INDEX(F_ProductBM!I:I,MATCH($P1495,F_ProductBM!$Q:$Q,0))="","",INDEX(F_ProductBM!I:I,MATCH($P1495,F_ProductBM!$Q:$Q,0))))</f>
        <v/>
      </c>
      <c r="J1495" s="1825" t="str">
        <f>IF($I1396="","",IF(INDEX(F_ProductBM!J:J,MATCH($P1495,F_ProductBM!$Q:$Q,0))="","",INDEX(F_ProductBM!J:J,MATCH($P1495,F_ProductBM!$Q:$Q,0))))</f>
        <v/>
      </c>
      <c r="K1495" s="482" t="str">
        <f>IF($I1396="","",IF(INDEX(F_ProductBM!K:K,MATCH($P1495,F_ProductBM!$Q:$Q,0))="","",INDEX(F_ProductBM!K:K,MATCH($P1495,F_ProductBM!$Q:$Q,0))))</f>
        <v/>
      </c>
      <c r="L1495" s="482" t="str">
        <f>IF($I1396="","",IF(INDEX(F_ProductBM!L:L,MATCH($P1495,F_ProductBM!$Q:$Q,0))="","",INDEX(F_ProductBM!L:L,MATCH($P1495,F_ProductBM!$Q:$Q,0))))</f>
        <v/>
      </c>
      <c r="M1495" s="482" t="str">
        <f>IF($I1396="","",IF(INDEX(F_ProductBM!M:M,MATCH($P1495,F_ProductBM!$Q:$Q,0))="","",INDEX(F_ProductBM!M:M,MATCH($P1495,F_ProductBM!$Q:$Q,0))))</f>
        <v/>
      </c>
      <c r="N1495" s="1826" t="str">
        <f>IF($I1396="","",IF(INDEX(F_ProductBM!N:N,MATCH($P1495,F_ProductBM!$Q:$Q,0))="","",INDEX(F_ProductBM!N:N,MATCH($P1495,F_ProductBM!$Q:$Q,0))))</f>
        <v/>
      </c>
      <c r="O1495" s="698"/>
      <c r="P1495" s="1500" t="str">
        <f>EUconst_CNTR_WGFlared &amp; I1396</f>
        <v>WasteGasFlare_</v>
      </c>
      <c r="Q1495" s="729"/>
      <c r="R1495" s="729"/>
      <c r="S1495" s="729"/>
      <c r="T1495" s="770"/>
      <c r="U1495" s="343"/>
      <c r="V1495" s="343"/>
    </row>
    <row r="1496" spans="1:22" s="364" customFormat="1" ht="12.75" customHeight="1" x14ac:dyDescent="0.25">
      <c r="A1496" s="729"/>
      <c r="B1496" s="302"/>
      <c r="C1496" s="302"/>
      <c r="D1496" s="1820"/>
      <c r="E1496" s="2819" t="str">
        <f>Translations!$B$581</f>
        <v>Специфичен EF (изгорен във факел отпаден газ)</v>
      </c>
      <c r="F1496" s="2705"/>
      <c r="G1496" s="1329" t="str">
        <f>EUconst_tCO2pTJ</f>
        <v>t CO2 / TJ</v>
      </c>
      <c r="H1496" s="484" t="str">
        <f>IF($I1396="","",IF(INDEX(F_ProductBM!H:H,MATCH($P1496,F_ProductBM!$Q:$Q,0))="","",INDEX(F_ProductBM!H:H,MATCH($P1496,F_ProductBM!$Q:$Q,0))))</f>
        <v/>
      </c>
      <c r="I1496" s="1828" t="str">
        <f>IF($I1396="","",IF(INDEX(F_ProductBM!I:I,MATCH($P1496,F_ProductBM!$Q:$Q,0))="","",INDEX(F_ProductBM!I:I,MATCH($P1496,F_ProductBM!$Q:$Q,0))))</f>
        <v/>
      </c>
      <c r="J1496" s="1829" t="str">
        <f>IF($I1396="","",IF(INDEX(F_ProductBM!J:J,MATCH($P1496,F_ProductBM!$Q:$Q,0))="","",INDEX(F_ProductBM!J:J,MATCH($P1496,F_ProductBM!$Q:$Q,0))))</f>
        <v/>
      </c>
      <c r="K1496" s="484" t="str">
        <f>IF($I1396="","",IF(INDEX(F_ProductBM!K:K,MATCH($P1496,F_ProductBM!$Q:$Q,0))="","",INDEX(F_ProductBM!K:K,MATCH($P1496,F_ProductBM!$Q:$Q,0))))</f>
        <v/>
      </c>
      <c r="L1496" s="484" t="str">
        <f>IF($I1396="","",IF(INDEX(F_ProductBM!L:L,MATCH($P1496,F_ProductBM!$Q:$Q,0))="","",INDEX(F_ProductBM!L:L,MATCH($P1496,F_ProductBM!$Q:$Q,0))))</f>
        <v/>
      </c>
      <c r="M1496" s="484" t="str">
        <f>IF($I1396="","",IF(INDEX(F_ProductBM!M:M,MATCH($P1496,F_ProductBM!$Q:$Q,0))="","",INDEX(F_ProductBM!M:M,MATCH($P1496,F_ProductBM!$Q:$Q,0))))</f>
        <v/>
      </c>
      <c r="N1496" s="1830" t="str">
        <f>IF($I1396="","",IF(INDEX(F_ProductBM!N:N,MATCH($P1496,F_ProductBM!$Q:$Q,0))="","",INDEX(F_ProductBM!N:N,MATCH($P1496,F_ProductBM!$Q:$Q,0))))</f>
        <v/>
      </c>
      <c r="O1496" s="698"/>
      <c r="P1496" s="1500" t="str">
        <f>EUconst_CNTR_WGFlaredEF &amp; I1396</f>
        <v>WasteGasFlareEF_</v>
      </c>
      <c r="Q1496" s="729"/>
      <c r="R1496" s="729"/>
      <c r="S1496" s="729"/>
      <c r="T1496" s="770"/>
      <c r="U1496" s="343"/>
      <c r="V1496" s="343"/>
    </row>
    <row r="1497" spans="1:22" s="364" customFormat="1" ht="12.75" customHeight="1" x14ac:dyDescent="0.25">
      <c r="A1497" s="729"/>
      <c r="B1497" s="302"/>
      <c r="C1497" s="302"/>
      <c r="D1497" s="1820"/>
      <c r="E1497" s="2818" t="str">
        <f>Translations!$B$586</f>
        <v>Получен отпаден газ</v>
      </c>
      <c r="F1497" s="2701"/>
      <c r="G1497" s="1326" t="str">
        <f>EUconst_TJpa</f>
        <v>TJ / година</v>
      </c>
      <c r="H1497" s="482" t="str">
        <f>IF($I1396="","",IF(INDEX(F_ProductBM!H:H,MATCH($P1497,F_ProductBM!$Q:$Q,0))="","",INDEX(F_ProductBM!H:H,MATCH($P1497,F_ProductBM!$Q:$Q,0))))</f>
        <v/>
      </c>
      <c r="I1497" s="1824" t="str">
        <f>IF($I1396="","",IF(INDEX(F_ProductBM!I:I,MATCH($P1497,F_ProductBM!$Q:$Q,0))="","",INDEX(F_ProductBM!I:I,MATCH($P1497,F_ProductBM!$Q:$Q,0))))</f>
        <v/>
      </c>
      <c r="J1497" s="1825" t="str">
        <f>IF($I1396="","",IF(INDEX(F_ProductBM!J:J,MATCH($P1497,F_ProductBM!$Q:$Q,0))="","",INDEX(F_ProductBM!J:J,MATCH($P1497,F_ProductBM!$Q:$Q,0))))</f>
        <v/>
      </c>
      <c r="K1497" s="482" t="str">
        <f>IF($I1396="","",IF(INDEX(F_ProductBM!K:K,MATCH($P1497,F_ProductBM!$Q:$Q,0))="","",INDEX(F_ProductBM!K:K,MATCH($P1497,F_ProductBM!$Q:$Q,0))))</f>
        <v/>
      </c>
      <c r="L1497" s="482" t="str">
        <f>IF($I1396="","",IF(INDEX(F_ProductBM!L:L,MATCH($P1497,F_ProductBM!$Q:$Q,0))="","",INDEX(F_ProductBM!L:L,MATCH($P1497,F_ProductBM!$Q:$Q,0))))</f>
        <v/>
      </c>
      <c r="M1497" s="482" t="str">
        <f>IF($I1396="","",IF(INDEX(F_ProductBM!M:M,MATCH($P1497,F_ProductBM!$Q:$Q,0))="","",INDEX(F_ProductBM!M:M,MATCH($P1497,F_ProductBM!$Q:$Q,0))))</f>
        <v/>
      </c>
      <c r="N1497" s="1826" t="str">
        <f>IF($I1396="","",IF(INDEX(F_ProductBM!N:N,MATCH($P1497,F_ProductBM!$Q:$Q,0))="","",INDEX(F_ProductBM!N:N,MATCH($P1497,F_ProductBM!$Q:$Q,0))))</f>
        <v/>
      </c>
      <c r="O1497" s="698"/>
      <c r="P1497" s="1500" t="str">
        <f>EUconst_CNTR_WGImport &amp; I1396</f>
        <v>WasteGasIm_</v>
      </c>
      <c r="Q1497" s="729"/>
      <c r="R1497" s="729"/>
      <c r="S1497" s="729"/>
      <c r="T1497" s="770"/>
      <c r="U1497" s="343"/>
      <c r="V1497" s="343"/>
    </row>
    <row r="1498" spans="1:22" s="364" customFormat="1" ht="12.75" customHeight="1" x14ac:dyDescent="0.25">
      <c r="A1498" s="729"/>
      <c r="B1498" s="302"/>
      <c r="C1498" s="302"/>
      <c r="D1498" s="1820"/>
      <c r="E1498" s="1834" t="str">
        <f>Translations!$B$587</f>
        <v>Специфичен EF (получен отпаден газ)</v>
      </c>
      <c r="F1498" s="1834"/>
      <c r="G1498" s="639" t="str">
        <f>EUconst_tCO2pTJ</f>
        <v>t CO2 / TJ</v>
      </c>
      <c r="H1498" s="484" t="str">
        <f>IF($I1396="","",IF(INDEX(F_ProductBM!H:H,MATCH($P1498,F_ProductBM!$Q:$Q,0))="","",INDEX(F_ProductBM!H:H,MATCH($P1498,F_ProductBM!$Q:$Q,0))))</f>
        <v/>
      </c>
      <c r="I1498" s="1828" t="str">
        <f>IF($I1396="","",IF(INDEX(F_ProductBM!I:I,MATCH($P1498,F_ProductBM!$Q:$Q,0))="","",INDEX(F_ProductBM!I:I,MATCH($P1498,F_ProductBM!$Q:$Q,0))))</f>
        <v/>
      </c>
      <c r="J1498" s="1829" t="str">
        <f>IF($I1396="","",IF(INDEX(F_ProductBM!J:J,MATCH($P1498,F_ProductBM!$Q:$Q,0))="","",INDEX(F_ProductBM!J:J,MATCH($P1498,F_ProductBM!$Q:$Q,0))))</f>
        <v/>
      </c>
      <c r="K1498" s="484" t="str">
        <f>IF($I1396="","",IF(INDEX(F_ProductBM!K:K,MATCH($P1498,F_ProductBM!$Q:$Q,0))="","",INDEX(F_ProductBM!K:K,MATCH($P1498,F_ProductBM!$Q:$Q,0))))</f>
        <v/>
      </c>
      <c r="L1498" s="484" t="str">
        <f>IF($I1396="","",IF(INDEX(F_ProductBM!L:L,MATCH($P1498,F_ProductBM!$Q:$Q,0))="","",INDEX(F_ProductBM!L:L,MATCH($P1498,F_ProductBM!$Q:$Q,0))))</f>
        <v/>
      </c>
      <c r="M1498" s="484" t="str">
        <f>IF($I1396="","",IF(INDEX(F_ProductBM!M:M,MATCH($P1498,F_ProductBM!$Q:$Q,0))="","",INDEX(F_ProductBM!M:M,MATCH($P1498,F_ProductBM!$Q:$Q,0))))</f>
        <v/>
      </c>
      <c r="N1498" s="1830" t="str">
        <f>IF($I1396="","",IF(INDEX(F_ProductBM!N:N,MATCH($P1498,F_ProductBM!$Q:$Q,0))="","",INDEX(F_ProductBM!N:N,MATCH($P1498,F_ProductBM!$Q:$Q,0))))</f>
        <v/>
      </c>
      <c r="O1498" s="698"/>
      <c r="P1498" s="1500" t="str">
        <f>EUconst_CNTR_WGImportEF &amp; I1396</f>
        <v>WasteGasImEF_</v>
      </c>
      <c r="Q1498" s="729"/>
      <c r="R1498" s="729"/>
      <c r="S1498" s="729"/>
      <c r="T1498" s="770"/>
      <c r="U1498" s="343"/>
      <c r="V1498" s="343"/>
    </row>
    <row r="1499" spans="1:22" s="364" customFormat="1" ht="12.75" customHeight="1" x14ac:dyDescent="0.25">
      <c r="A1499" s="729"/>
      <c r="B1499" s="302"/>
      <c r="C1499" s="302"/>
      <c r="D1499" s="1820"/>
      <c r="E1499" s="2818" t="str">
        <f>Translations!$B$591</f>
        <v>Подаден отпаден газ</v>
      </c>
      <c r="F1499" s="2701"/>
      <c r="G1499" s="1326" t="str">
        <f>EUconst_TJpa</f>
        <v>TJ / година</v>
      </c>
      <c r="H1499" s="482" t="str">
        <f>IF($I1396="","",IF(INDEX(F_ProductBM!H:H,MATCH($P1499,F_ProductBM!$Q:$Q,0))="","",INDEX(F_ProductBM!H:H,MATCH($P1499,F_ProductBM!$Q:$Q,0))))</f>
        <v/>
      </c>
      <c r="I1499" s="1824" t="str">
        <f>IF($I1396="","",IF(INDEX(F_ProductBM!I:I,MATCH($P1499,F_ProductBM!$Q:$Q,0))="","",INDEX(F_ProductBM!I:I,MATCH($P1499,F_ProductBM!$Q:$Q,0))))</f>
        <v/>
      </c>
      <c r="J1499" s="1825" t="str">
        <f>IF($I1396="","",IF(INDEX(F_ProductBM!J:J,MATCH($P1499,F_ProductBM!$Q:$Q,0))="","",INDEX(F_ProductBM!J:J,MATCH($P1499,F_ProductBM!$Q:$Q,0))))</f>
        <v/>
      </c>
      <c r="K1499" s="482" t="str">
        <f>IF($I1396="","",IF(INDEX(F_ProductBM!K:K,MATCH($P1499,F_ProductBM!$Q:$Q,0))="","",INDEX(F_ProductBM!K:K,MATCH($P1499,F_ProductBM!$Q:$Q,0))))</f>
        <v/>
      </c>
      <c r="L1499" s="482" t="str">
        <f>IF($I1396="","",IF(INDEX(F_ProductBM!L:L,MATCH($P1499,F_ProductBM!$Q:$Q,0))="","",INDEX(F_ProductBM!L:L,MATCH($P1499,F_ProductBM!$Q:$Q,0))))</f>
        <v/>
      </c>
      <c r="M1499" s="482" t="str">
        <f>IF($I1396="","",IF(INDEX(F_ProductBM!M:M,MATCH($P1499,F_ProductBM!$Q:$Q,0))="","",INDEX(F_ProductBM!M:M,MATCH($P1499,F_ProductBM!$Q:$Q,0))))</f>
        <v/>
      </c>
      <c r="N1499" s="1826" t="str">
        <f>IF($I1396="","",IF(INDEX(F_ProductBM!N:N,MATCH($P1499,F_ProductBM!$Q:$Q,0))="","",INDEX(F_ProductBM!N:N,MATCH($P1499,F_ProductBM!$Q:$Q,0))))</f>
        <v/>
      </c>
      <c r="O1499" s="698"/>
      <c r="P1499" s="1500" t="str">
        <f>EUconst_CNTR_WGExport &amp; I1396</f>
        <v>WasteGasEx_</v>
      </c>
      <c r="Q1499" s="729"/>
      <c r="R1499" s="729"/>
      <c r="S1499" s="729"/>
      <c r="T1499" s="770"/>
      <c r="U1499" s="343"/>
      <c r="V1499" s="343"/>
    </row>
    <row r="1500" spans="1:22" s="364" customFormat="1" ht="12.75" customHeight="1" x14ac:dyDescent="0.25">
      <c r="A1500" s="729"/>
      <c r="B1500" s="302"/>
      <c r="C1500" s="302"/>
      <c r="D1500" s="1820"/>
      <c r="E1500" s="2819" t="str">
        <f>Translations!$B$592</f>
        <v>Специфичен EF (подаден отпаден газ)</v>
      </c>
      <c r="F1500" s="2705"/>
      <c r="G1500" s="639" t="str">
        <f>EUconst_tCO2pTJ</f>
        <v>t CO2 / TJ</v>
      </c>
      <c r="H1500" s="484" t="str">
        <f>IF($I1396="","",IF(INDEX(F_ProductBM!H:H,MATCH($P1500,F_ProductBM!$Q:$Q,0))="","",INDEX(F_ProductBM!H:H,MATCH($P1500,F_ProductBM!$Q:$Q,0))))</f>
        <v/>
      </c>
      <c r="I1500" s="1828" t="str">
        <f>IF($I1396="","",IF(INDEX(F_ProductBM!I:I,MATCH($P1500,F_ProductBM!$Q:$Q,0))="","",INDEX(F_ProductBM!I:I,MATCH($P1500,F_ProductBM!$Q:$Q,0))))</f>
        <v/>
      </c>
      <c r="J1500" s="1829" t="str">
        <f>IF($I1396="","",IF(INDEX(F_ProductBM!J:J,MATCH($P1500,F_ProductBM!$Q:$Q,0))="","",INDEX(F_ProductBM!J:J,MATCH($P1500,F_ProductBM!$Q:$Q,0))))</f>
        <v/>
      </c>
      <c r="K1500" s="484" t="str">
        <f>IF($I1396="","",IF(INDEX(F_ProductBM!K:K,MATCH($P1500,F_ProductBM!$Q:$Q,0))="","",INDEX(F_ProductBM!K:K,MATCH($P1500,F_ProductBM!$Q:$Q,0))))</f>
        <v/>
      </c>
      <c r="L1500" s="484" t="str">
        <f>IF($I1396="","",IF(INDEX(F_ProductBM!L:L,MATCH($P1500,F_ProductBM!$Q:$Q,0))="","",INDEX(F_ProductBM!L:L,MATCH($P1500,F_ProductBM!$Q:$Q,0))))</f>
        <v/>
      </c>
      <c r="M1500" s="484" t="str">
        <f>IF($I1396="","",IF(INDEX(F_ProductBM!M:M,MATCH($P1500,F_ProductBM!$Q:$Q,0))="","",INDEX(F_ProductBM!M:M,MATCH($P1500,F_ProductBM!$Q:$Q,0))))</f>
        <v/>
      </c>
      <c r="N1500" s="1830" t="str">
        <f>IF($I1396="","",IF(INDEX(F_ProductBM!N:N,MATCH($P1500,F_ProductBM!$Q:$Q,0))="","",INDEX(F_ProductBM!N:N,MATCH($P1500,F_ProductBM!$Q:$Q,0))))</f>
        <v/>
      </c>
      <c r="O1500" s="698"/>
      <c r="P1500" s="1500" t="str">
        <f>EUconst_CNTR_WGExportEF &amp; I1396</f>
        <v>WasteGasExEF_</v>
      </c>
      <c r="Q1500" s="729"/>
      <c r="R1500" s="729"/>
      <c r="S1500" s="729"/>
      <c r="T1500" s="770"/>
      <c r="U1500" s="343"/>
      <c r="V1500" s="343"/>
    </row>
    <row r="1501" spans="1:22" s="364" customFormat="1" ht="5.15" customHeight="1" x14ac:dyDescent="0.25">
      <c r="A1501" s="729"/>
      <c r="B1501" s="302"/>
      <c r="C1501" s="302"/>
      <c r="D1501" s="1820"/>
      <c r="E1501" s="643"/>
      <c r="F1501" s="643"/>
      <c r="G1501" s="625"/>
      <c r="H1501" s="640"/>
      <c r="I1501" s="640"/>
      <c r="J1501" s="640"/>
      <c r="K1501" s="640"/>
      <c r="L1501" s="640"/>
      <c r="M1501" s="640"/>
      <c r="N1501" s="1831"/>
      <c r="O1501" s="698"/>
      <c r="P1501" s="770"/>
      <c r="Q1501" s="729"/>
      <c r="R1501" s="729"/>
      <c r="S1501" s="729"/>
      <c r="T1501" s="770"/>
      <c r="U1501" s="343"/>
      <c r="V1501" s="343"/>
    </row>
    <row r="1502" spans="1:22" s="364" customFormat="1" ht="12.75" customHeight="1" x14ac:dyDescent="0.25">
      <c r="A1502" s="729"/>
      <c r="B1502" s="302"/>
      <c r="C1502" s="302"/>
      <c r="D1502" s="1820"/>
      <c r="E1502" s="2820" t="str">
        <f>Translations!$B$485</f>
        <v>Съответно потребление на електроенергия</v>
      </c>
      <c r="F1502" s="2258"/>
      <c r="G1502" s="1319" t="str">
        <f>EUconst_MWhpa</f>
        <v>MWh / година</v>
      </c>
      <c r="H1502" s="480" t="str">
        <f>IF($I1396="","",IF(INDEX(F_ProductBM!H:H,MATCH($P1502,F_ProductBM!$Q:$Q,0))="","",INDEX(F_ProductBM!H:H,MATCH($P1502,F_ProductBM!$Q:$Q,0))))</f>
        <v/>
      </c>
      <c r="I1502" s="1399" t="str">
        <f>IF($I1396="","",IF(INDEX(F_ProductBM!I:I,MATCH($P1502,F_ProductBM!$Q:$Q,0))="","",INDEX(F_ProductBM!I:I,MATCH($P1502,F_ProductBM!$Q:$Q,0))))</f>
        <v/>
      </c>
      <c r="J1502" s="1832" t="str">
        <f>IF($I1396="","",IF(INDEX(F_ProductBM!J:J,MATCH($P1502,F_ProductBM!$Q:$Q,0))="","",INDEX(F_ProductBM!J:J,MATCH($P1502,F_ProductBM!$Q:$Q,0))))</f>
        <v/>
      </c>
      <c r="K1502" s="480" t="str">
        <f>IF($I1396="","",IF(INDEX(F_ProductBM!K:K,MATCH($P1502,F_ProductBM!$Q:$Q,0))="","",INDEX(F_ProductBM!K:K,MATCH($P1502,F_ProductBM!$Q:$Q,0))))</f>
        <v/>
      </c>
      <c r="L1502" s="480" t="str">
        <f>IF($I1396="","",IF(INDEX(F_ProductBM!L:L,MATCH($P1502,F_ProductBM!$Q:$Q,0))="","",INDEX(F_ProductBM!L:L,MATCH($P1502,F_ProductBM!$Q:$Q,0))))</f>
        <v/>
      </c>
      <c r="M1502" s="480" t="str">
        <f>IF($I1396="","",IF(INDEX(F_ProductBM!M:M,MATCH($P1502,F_ProductBM!$Q:$Q,0))="","",INDEX(F_ProductBM!M:M,MATCH($P1502,F_ProductBM!$Q:$Q,0))))</f>
        <v/>
      </c>
      <c r="N1502" s="1833" t="str">
        <f>IF($I1396="","",IF(INDEX(F_ProductBM!N:N,MATCH($P1502,F_ProductBM!$Q:$Q,0))="","",INDEX(F_ProductBM!N:N,MATCH($P1502,F_ProductBM!$Q:$Q,0))))</f>
        <v/>
      </c>
      <c r="O1502" s="698"/>
      <c r="P1502" s="1190" t="str">
        <f>EUconst_CNTR_HAL&amp;EUconst_CNTR_ELEXCH &amp; I1396</f>
        <v>HAL_ELEXCH_</v>
      </c>
      <c r="Q1502" s="729"/>
      <c r="R1502" s="729"/>
      <c r="S1502" s="729"/>
      <c r="T1502" s="770"/>
      <c r="U1502" s="343"/>
      <c r="V1502" s="343"/>
    </row>
    <row r="1503" spans="1:22" s="364" customFormat="1" ht="12.75" customHeight="1" x14ac:dyDescent="0.25">
      <c r="A1503" s="729"/>
      <c r="B1503" s="302"/>
      <c r="C1503" s="302"/>
      <c r="D1503" s="1820"/>
      <c r="E1503" s="2820" t="str">
        <f>Translations!$B$595</f>
        <v>Произведена електроенергия</v>
      </c>
      <c r="F1503" s="2258"/>
      <c r="G1503" s="1319" t="str">
        <f>EUconst_MWhpa</f>
        <v>MWh / година</v>
      </c>
      <c r="H1503" s="480" t="str">
        <f>IF($I1396="","",IF(INDEX(F_ProductBM!H:H,MATCH($P1503,F_ProductBM!$Q:$Q,0))="","",INDEX(F_ProductBM!H:H,MATCH($P1503,F_ProductBM!$Q:$Q,0))))</f>
        <v/>
      </c>
      <c r="I1503" s="1399" t="str">
        <f>IF($I1396="","",IF(INDEX(F_ProductBM!I:I,MATCH($P1503,F_ProductBM!$Q:$Q,0))="","",INDEX(F_ProductBM!I:I,MATCH($P1503,F_ProductBM!$Q:$Q,0))))</f>
        <v/>
      </c>
      <c r="J1503" s="1832" t="str">
        <f>IF($I1396="","",IF(INDEX(F_ProductBM!J:J,MATCH($P1503,F_ProductBM!$Q:$Q,0))="","",INDEX(F_ProductBM!J:J,MATCH($P1503,F_ProductBM!$Q:$Q,0))))</f>
        <v/>
      </c>
      <c r="K1503" s="480" t="str">
        <f>IF($I1396="","",IF(INDEX(F_ProductBM!K:K,MATCH($P1503,F_ProductBM!$Q:$Q,0))="","",INDEX(F_ProductBM!K:K,MATCH($P1503,F_ProductBM!$Q:$Q,0))))</f>
        <v/>
      </c>
      <c r="L1503" s="480" t="str">
        <f>IF($I1396="","",IF(INDEX(F_ProductBM!L:L,MATCH($P1503,F_ProductBM!$Q:$Q,0))="","",INDEX(F_ProductBM!L:L,MATCH($P1503,F_ProductBM!$Q:$Q,0))))</f>
        <v/>
      </c>
      <c r="M1503" s="480" t="str">
        <f>IF($I1396="","",IF(INDEX(F_ProductBM!M:M,MATCH($P1503,F_ProductBM!$Q:$Q,0))="","",INDEX(F_ProductBM!M:M,MATCH($P1503,F_ProductBM!$Q:$Q,0))))</f>
        <v/>
      </c>
      <c r="N1503" s="1833" t="str">
        <f>IF($I1396="","",IF(INDEX(F_ProductBM!N:N,MATCH($P1503,F_ProductBM!$Q:$Q,0))="","",INDEX(F_ProductBM!N:N,MATCH($P1503,F_ProductBM!$Q:$Q,0))))</f>
        <v/>
      </c>
      <c r="O1503" s="698"/>
      <c r="P1503" s="1500" t="str">
        <f>EUconst_CNTR_ElectricityExported &amp; I1396</f>
        <v>ElecEx_</v>
      </c>
      <c r="Q1503" s="729"/>
      <c r="R1503" s="729"/>
      <c r="S1503" s="729"/>
      <c r="T1503" s="770"/>
      <c r="U1503" s="343"/>
      <c r="V1503" s="343"/>
    </row>
    <row r="1504" spans="1:22" s="364" customFormat="1" ht="5.15" customHeight="1" x14ac:dyDescent="0.25">
      <c r="A1504" s="729"/>
      <c r="B1504" s="302"/>
      <c r="C1504" s="302"/>
      <c r="D1504" s="1820"/>
      <c r="E1504" s="643"/>
      <c r="F1504" s="643"/>
      <c r="G1504" s="625"/>
      <c r="H1504" s="640"/>
      <c r="I1504" s="640"/>
      <c r="J1504" s="640"/>
      <c r="K1504" s="640"/>
      <c r="L1504" s="640"/>
      <c r="M1504" s="640"/>
      <c r="N1504" s="1831"/>
      <c r="O1504" s="698"/>
      <c r="P1504" s="770"/>
      <c r="Q1504" s="729"/>
      <c r="R1504" s="729"/>
      <c r="S1504" s="729"/>
      <c r="T1504" s="770"/>
      <c r="U1504" s="343"/>
      <c r="V1504" s="343"/>
    </row>
    <row r="1505" spans="1:22" s="364" customFormat="1" x14ac:dyDescent="0.25">
      <c r="A1505" s="729"/>
      <c r="B1505" s="302"/>
      <c r="C1505" s="302"/>
      <c r="D1505" s="1820"/>
      <c r="E1505" s="3059" t="str">
        <f>Translations!$B$957</f>
        <v>Междинно получаване:</v>
      </c>
      <c r="F1505" s="2672"/>
      <c r="G1505" s="625"/>
      <c r="H1505" s="640"/>
      <c r="I1505" s="640"/>
      <c r="J1505" s="640"/>
      <c r="K1505" s="640"/>
      <c r="L1505" s="640"/>
      <c r="M1505" s="640"/>
      <c r="N1505" s="1831"/>
      <c r="O1505" s="698"/>
      <c r="P1505" s="770"/>
      <c r="Q1505" s="729"/>
      <c r="R1505" s="729"/>
      <c r="S1505" s="729"/>
      <c r="T1505" s="770"/>
      <c r="U1505" s="343"/>
      <c r="V1505" s="343"/>
    </row>
    <row r="1506" spans="1:22" s="364" customFormat="1" x14ac:dyDescent="0.25">
      <c r="A1506" s="729"/>
      <c r="B1506" s="302"/>
      <c r="C1506" s="302"/>
      <c r="D1506" s="1820"/>
      <c r="E1506" s="2814" t="str">
        <f>IF(I1396="","",IF(INDEX(F_ProductBM!E:E,MATCH($P1506,F_ProductBM!$Q:$Q,0))="","",INDEX(F_ProductBM!E:E,MATCH($P1506,F_ProductBM!$Q:$Q,0))))</f>
        <v/>
      </c>
      <c r="F1506" s="2258"/>
      <c r="G1506" s="1319" t="str">
        <f>EUconst_Tons</f>
        <v>тона</v>
      </c>
      <c r="H1506" s="480" t="str">
        <f>IF($I1396="","",IF(INDEX(F_ProductBM!H:H,MATCH($P1506,F_ProductBM!$Q:$Q,0))="","",INDEX(F_ProductBM!H:H,MATCH($P1506,F_ProductBM!$Q:$Q,0))))</f>
        <v/>
      </c>
      <c r="I1506" s="1399" t="str">
        <f>IF($I1396="","",IF(INDEX(F_ProductBM!I:I,MATCH($P1506,F_ProductBM!$Q:$Q,0))="","",INDEX(F_ProductBM!I:I,MATCH($P1506,F_ProductBM!$Q:$Q,0))))</f>
        <v/>
      </c>
      <c r="J1506" s="1832" t="str">
        <f>IF($I1396="","",IF(INDEX(F_ProductBM!J:J,MATCH($P1506,F_ProductBM!$Q:$Q,0))="","",INDEX(F_ProductBM!J:J,MATCH($P1506,F_ProductBM!$Q:$Q,0))))</f>
        <v/>
      </c>
      <c r="K1506" s="480" t="str">
        <f>IF($I1396="","",IF(INDEX(F_ProductBM!K:K,MATCH($P1506,F_ProductBM!$Q:$Q,0))="","",INDEX(F_ProductBM!K:K,MATCH($P1506,F_ProductBM!$Q:$Q,0))))</f>
        <v/>
      </c>
      <c r="L1506" s="480" t="str">
        <f>IF($I1396="","",IF(INDEX(F_ProductBM!L:L,MATCH($P1506,F_ProductBM!$Q:$Q,0))="","",INDEX(F_ProductBM!L:L,MATCH($P1506,F_ProductBM!$Q:$Q,0))))</f>
        <v/>
      </c>
      <c r="M1506" s="480" t="str">
        <f>IF($I1396="","",IF(INDEX(F_ProductBM!M:M,MATCH($P1506,F_ProductBM!$Q:$Q,0))="","",INDEX(F_ProductBM!M:M,MATCH($P1506,F_ProductBM!$Q:$Q,0))))</f>
        <v/>
      </c>
      <c r="N1506" s="1833" t="str">
        <f>IF($I1396="","",IF(INDEX(F_ProductBM!N:N,MATCH($P1506,F_ProductBM!$Q:$Q,0))="","",INDEX(F_ProductBM!N:N,MATCH($P1506,F_ProductBM!$Q:$Q,0))))</f>
        <v/>
      </c>
      <c r="O1506" s="698"/>
      <c r="P1506" s="1500" t="str">
        <f>EUconst_CNTR_IntermediateImport &amp; R1506 &amp; "_" &amp; I1396</f>
        <v>IntImp_1_</v>
      </c>
      <c r="Q1506" s="729"/>
      <c r="R1506" s="1176">
        <v>1</v>
      </c>
      <c r="S1506" s="729"/>
      <c r="T1506" s="770"/>
      <c r="U1506" s="343"/>
      <c r="V1506" s="343"/>
    </row>
    <row r="1507" spans="1:22" s="364" customFormat="1" x14ac:dyDescent="0.25">
      <c r="A1507" s="729"/>
      <c r="B1507" s="302"/>
      <c r="C1507" s="302"/>
      <c r="D1507" s="1820"/>
      <c r="E1507" s="2814" t="str">
        <f>IF(I1396="","",IF(INDEX(F_ProductBM!E:E,MATCH($P1507,F_ProductBM!$Q:$Q,0))="","",INDEX(F_ProductBM!E:E,MATCH($P1507,F_ProductBM!$Q:$Q,0))))</f>
        <v/>
      </c>
      <c r="F1507" s="2258"/>
      <c r="G1507" s="1319" t="str">
        <f>EUconst_Tons</f>
        <v>тона</v>
      </c>
      <c r="H1507" s="480" t="str">
        <f>IF($I1396="","",IF(INDEX(F_ProductBM!H:H,MATCH($P1507,F_ProductBM!$Q:$Q,0))="","",INDEX(F_ProductBM!H:H,MATCH($P1507,F_ProductBM!$Q:$Q,0))))</f>
        <v/>
      </c>
      <c r="I1507" s="1399" t="str">
        <f>IF($I1396="","",IF(INDEX(F_ProductBM!I:I,MATCH($P1507,F_ProductBM!$Q:$Q,0))="","",INDEX(F_ProductBM!I:I,MATCH($P1507,F_ProductBM!$Q:$Q,0))))</f>
        <v/>
      </c>
      <c r="J1507" s="1832" t="str">
        <f>IF($I1396="","",IF(INDEX(F_ProductBM!J:J,MATCH($P1507,F_ProductBM!$Q:$Q,0))="","",INDEX(F_ProductBM!J:J,MATCH($P1507,F_ProductBM!$Q:$Q,0))))</f>
        <v/>
      </c>
      <c r="K1507" s="480" t="str">
        <f>IF($I1396="","",IF(INDEX(F_ProductBM!K:K,MATCH($P1507,F_ProductBM!$Q:$Q,0))="","",INDEX(F_ProductBM!K:K,MATCH($P1507,F_ProductBM!$Q:$Q,0))))</f>
        <v/>
      </c>
      <c r="L1507" s="480" t="str">
        <f>IF($I1396="","",IF(INDEX(F_ProductBM!L:L,MATCH($P1507,F_ProductBM!$Q:$Q,0))="","",INDEX(F_ProductBM!L:L,MATCH($P1507,F_ProductBM!$Q:$Q,0))))</f>
        <v/>
      </c>
      <c r="M1507" s="480" t="str">
        <f>IF($I1396="","",IF(INDEX(F_ProductBM!M:M,MATCH($P1507,F_ProductBM!$Q:$Q,0))="","",INDEX(F_ProductBM!M:M,MATCH($P1507,F_ProductBM!$Q:$Q,0))))</f>
        <v/>
      </c>
      <c r="N1507" s="1833" t="str">
        <f>IF($I1396="","",IF(INDEX(F_ProductBM!N:N,MATCH($P1507,F_ProductBM!$Q:$Q,0))="","",INDEX(F_ProductBM!N:N,MATCH($P1507,F_ProductBM!$Q:$Q,0))))</f>
        <v/>
      </c>
      <c r="O1507" s="698"/>
      <c r="P1507" s="1500" t="str">
        <f>EUconst_CNTR_IntermediateImport &amp; R1507 &amp; "_" &amp; I1396</f>
        <v>IntImp_2_</v>
      </c>
      <c r="Q1507" s="729"/>
      <c r="R1507" s="1176">
        <v>2</v>
      </c>
      <c r="S1507" s="729"/>
      <c r="T1507" s="770"/>
      <c r="U1507" s="343"/>
      <c r="V1507" s="343"/>
    </row>
    <row r="1508" spans="1:22" s="364" customFormat="1" x14ac:dyDescent="0.25">
      <c r="A1508" s="729"/>
      <c r="B1508" s="302"/>
      <c r="C1508" s="302"/>
      <c r="D1508" s="1820"/>
      <c r="E1508" s="2820" t="str">
        <f>Translations!$B$958</f>
        <v>Междинно подаване:</v>
      </c>
      <c r="F1508" s="2258"/>
      <c r="G1508" s="625"/>
      <c r="H1508" s="640"/>
      <c r="I1508" s="640"/>
      <c r="J1508" s="640"/>
      <c r="K1508" s="640"/>
      <c r="L1508" s="640"/>
      <c r="M1508" s="640"/>
      <c r="N1508" s="1831"/>
      <c r="O1508" s="698"/>
      <c r="P1508" s="770"/>
      <c r="Q1508" s="729"/>
      <c r="R1508" s="729"/>
      <c r="S1508" s="729"/>
      <c r="T1508" s="770"/>
      <c r="U1508" s="343"/>
      <c r="V1508" s="343"/>
    </row>
    <row r="1509" spans="1:22" s="364" customFormat="1" x14ac:dyDescent="0.25">
      <c r="A1509" s="729"/>
      <c r="B1509" s="302"/>
      <c r="C1509" s="302"/>
      <c r="D1509" s="1820"/>
      <c r="E1509" s="2814" t="str">
        <f>IF(I1396="","",IF(INDEX(F_ProductBM!E:E,MATCH($P1509,F_ProductBM!$Q:$Q,0))="","",INDEX(F_ProductBM!E:E,MATCH($P1509,F_ProductBM!$Q:$Q,0))))</f>
        <v/>
      </c>
      <c r="F1509" s="2258"/>
      <c r="G1509" s="1319" t="str">
        <f>EUconst_Tons</f>
        <v>тона</v>
      </c>
      <c r="H1509" s="480" t="str">
        <f>IF($I1396="","",IF(INDEX(F_ProductBM!H:H,MATCH($P1509,F_ProductBM!$Q:$Q,0))="","",INDEX(F_ProductBM!H:H,MATCH($P1509,F_ProductBM!$Q:$Q,0))))</f>
        <v/>
      </c>
      <c r="I1509" s="1399" t="str">
        <f>IF($I1396="","",IF(INDEX(F_ProductBM!I:I,MATCH($P1509,F_ProductBM!$Q:$Q,0))="","",INDEX(F_ProductBM!I:I,MATCH($P1509,F_ProductBM!$Q:$Q,0))))</f>
        <v/>
      </c>
      <c r="J1509" s="1832" t="str">
        <f>IF($I1396="","",IF(INDEX(F_ProductBM!J:J,MATCH($P1509,F_ProductBM!$Q:$Q,0))="","",INDEX(F_ProductBM!J:J,MATCH($P1509,F_ProductBM!$Q:$Q,0))))</f>
        <v/>
      </c>
      <c r="K1509" s="480" t="str">
        <f>IF($I1396="","",IF(INDEX(F_ProductBM!K:K,MATCH($P1509,F_ProductBM!$Q:$Q,0))="","",INDEX(F_ProductBM!K:K,MATCH($P1509,F_ProductBM!$Q:$Q,0))))</f>
        <v/>
      </c>
      <c r="L1509" s="480" t="str">
        <f>IF($I1396="","",IF(INDEX(F_ProductBM!L:L,MATCH($P1509,F_ProductBM!$Q:$Q,0))="","",INDEX(F_ProductBM!L:L,MATCH($P1509,F_ProductBM!$Q:$Q,0))))</f>
        <v/>
      </c>
      <c r="M1509" s="480" t="str">
        <f>IF($I1396="","",IF(INDEX(F_ProductBM!M:M,MATCH($P1509,F_ProductBM!$Q:$Q,0))="","",INDEX(F_ProductBM!M:M,MATCH($P1509,F_ProductBM!$Q:$Q,0))))</f>
        <v/>
      </c>
      <c r="N1509" s="1833" t="str">
        <f>IF($I1396="","",IF(INDEX(F_ProductBM!N:N,MATCH($P1509,F_ProductBM!$Q:$Q,0))="","",INDEX(F_ProductBM!N:N,MATCH($P1509,F_ProductBM!$Q:$Q,0))))</f>
        <v/>
      </c>
      <c r="O1509" s="698"/>
      <c r="P1509" s="1500" t="str">
        <f>EUconst_CNTR_IntermediateExport &amp; R1506 &amp; "_" &amp; I1396</f>
        <v>IntExp_1_</v>
      </c>
      <c r="Q1509" s="729"/>
      <c r="R1509" s="1176">
        <v>1</v>
      </c>
      <c r="S1509" s="729"/>
      <c r="T1509" s="770"/>
      <c r="U1509" s="343"/>
      <c r="V1509" s="343"/>
    </row>
    <row r="1510" spans="1:22" s="364" customFormat="1" x14ac:dyDescent="0.25">
      <c r="A1510" s="729"/>
      <c r="B1510" s="302"/>
      <c r="C1510" s="302"/>
      <c r="D1510" s="1820"/>
      <c r="E1510" s="2814" t="str">
        <f>IF(I1396="","",IF(INDEX(F_ProductBM!E:E,MATCH($P1510,F_ProductBM!$Q:$Q,0))="","",INDEX(F_ProductBM!E:E,MATCH($P1510,F_ProductBM!$Q:$Q,0))))</f>
        <v/>
      </c>
      <c r="F1510" s="2258"/>
      <c r="G1510" s="1319" t="str">
        <f>EUconst_Tons</f>
        <v>тона</v>
      </c>
      <c r="H1510" s="480" t="str">
        <f>IF($I1396="","",IF(INDEX(F_ProductBM!H:H,MATCH($P1510,F_ProductBM!$Q:$Q,0))="","",INDEX(F_ProductBM!H:H,MATCH($P1510,F_ProductBM!$Q:$Q,0))))</f>
        <v/>
      </c>
      <c r="I1510" s="1399" t="str">
        <f>IF($I1396="","",IF(INDEX(F_ProductBM!I:I,MATCH($P1510,F_ProductBM!$Q:$Q,0))="","",INDEX(F_ProductBM!I:I,MATCH($P1510,F_ProductBM!$Q:$Q,0))))</f>
        <v/>
      </c>
      <c r="J1510" s="1832" t="str">
        <f>IF($I1396="","",IF(INDEX(F_ProductBM!J:J,MATCH($P1510,F_ProductBM!$Q:$Q,0))="","",INDEX(F_ProductBM!J:J,MATCH($P1510,F_ProductBM!$Q:$Q,0))))</f>
        <v/>
      </c>
      <c r="K1510" s="480" t="str">
        <f>IF($I1396="","",IF(INDEX(F_ProductBM!K:K,MATCH($P1510,F_ProductBM!$Q:$Q,0))="","",INDEX(F_ProductBM!K:K,MATCH($P1510,F_ProductBM!$Q:$Q,0))))</f>
        <v/>
      </c>
      <c r="L1510" s="480" t="str">
        <f>IF($I1396="","",IF(INDEX(F_ProductBM!L:L,MATCH($P1510,F_ProductBM!$Q:$Q,0))="","",INDEX(F_ProductBM!L:L,MATCH($P1510,F_ProductBM!$Q:$Q,0))))</f>
        <v/>
      </c>
      <c r="M1510" s="480" t="str">
        <f>IF($I1396="","",IF(INDEX(F_ProductBM!M:M,MATCH($P1510,F_ProductBM!$Q:$Q,0))="","",INDEX(F_ProductBM!M:M,MATCH($P1510,F_ProductBM!$Q:$Q,0))))</f>
        <v/>
      </c>
      <c r="N1510" s="1833" t="str">
        <f>IF($I1396="","",IF(INDEX(F_ProductBM!N:N,MATCH($P1510,F_ProductBM!$Q:$Q,0))="","",INDEX(F_ProductBM!N:N,MATCH($P1510,F_ProductBM!$Q:$Q,0))))</f>
        <v/>
      </c>
      <c r="O1510" s="698"/>
      <c r="P1510" s="1500" t="str">
        <f>EUconst_CNTR_IntermediateExport &amp; R1510 &amp; "_" &amp; I1396</f>
        <v>IntExp_2_</v>
      </c>
      <c r="Q1510" s="729"/>
      <c r="R1510" s="1176">
        <v>2</v>
      </c>
      <c r="S1510" s="729"/>
      <c r="T1510" s="770"/>
      <c r="U1510" s="343"/>
      <c r="V1510" s="343"/>
    </row>
    <row r="1511" spans="1:22" s="364" customFormat="1" ht="5.15" customHeight="1" x14ac:dyDescent="0.25">
      <c r="A1511" s="729"/>
      <c r="B1511" s="302"/>
      <c r="C1511" s="302"/>
      <c r="D1511" s="1820"/>
      <c r="E1511" s="625"/>
      <c r="F1511" s="625"/>
      <c r="G1511" s="625"/>
      <c r="H1511" s="625"/>
      <c r="I1511" s="644"/>
      <c r="J1511" s="644"/>
      <c r="K1511" s="644"/>
      <c r="L1511" s="644"/>
      <c r="M1511" s="644"/>
      <c r="N1511" s="1316"/>
      <c r="O1511" s="698"/>
      <c r="P1511" s="770"/>
      <c r="Q1511" s="729"/>
      <c r="R1511" s="1165"/>
      <c r="S1511" s="729"/>
      <c r="T1511" s="770"/>
      <c r="U1511" s="343"/>
      <c r="V1511" s="343"/>
    </row>
    <row r="1512" spans="1:22" s="364" customFormat="1" ht="13" x14ac:dyDescent="0.25">
      <c r="A1512" s="729"/>
      <c r="B1512" s="302"/>
      <c r="C1512" s="302"/>
      <c r="D1512" s="1820"/>
      <c r="E1512" s="3060" t="str">
        <f>Translations!$B$1585</f>
        <v>Корекции за актуализиране на показателя при специфичен показател, когато е приложимо</v>
      </c>
      <c r="F1512" s="3060"/>
      <c r="G1512" s="3060"/>
      <c r="H1512" s="3060"/>
      <c r="I1512" s="3060"/>
      <c r="J1512" s="3060"/>
      <c r="K1512" s="3060"/>
      <c r="L1512" s="3060"/>
      <c r="M1512" s="3060"/>
      <c r="N1512" s="1316"/>
      <c r="O1512" s="698"/>
      <c r="P1512" s="770"/>
      <c r="Q1512" s="729"/>
      <c r="R1512" s="1165"/>
      <c r="S1512" s="729"/>
      <c r="T1512" s="770"/>
      <c r="U1512" s="343"/>
      <c r="V1512" s="343"/>
    </row>
    <row r="1513" spans="1:22" s="364" customFormat="1" x14ac:dyDescent="0.25">
      <c r="A1513" s="729"/>
      <c r="B1513" s="302"/>
      <c r="C1513" s="302"/>
      <c r="D1513" s="1820"/>
      <c r="E1513" s="641" t="str">
        <f>Translations!$B$596</f>
        <v>Общо количество произведен пулп</v>
      </c>
      <c r="F1513" s="1835"/>
      <c r="G1513" s="642" t="str">
        <f>EUconst_Tons</f>
        <v>тона</v>
      </c>
      <c r="H1513" s="499" t="str">
        <f>IF($I1396="","",IF(INDEX(F_ProductBM!H:H,MATCH($P1513,F_ProductBM!$Q:$Q,0))="","",INDEX(F_ProductBM!H:H,MATCH($P1513,F_ProductBM!$Q:$Q,0))))</f>
        <v/>
      </c>
      <c r="I1513" s="1399" t="str">
        <f>IF($I1396="","",IF(INDEX(F_ProductBM!I:I,MATCH($P1513,F_ProductBM!$Q:$Q,0))="","",INDEX(F_ProductBM!I:I,MATCH($P1513,F_ProductBM!$Q:$Q,0))))</f>
        <v/>
      </c>
      <c r="J1513" s="1832" t="str">
        <f>IF($I1396="","",IF(INDEX(F_ProductBM!J:J,MATCH($P1513,F_ProductBM!$Q:$Q,0))="","",INDEX(F_ProductBM!J:J,MATCH($P1513,F_ProductBM!$Q:$Q,0))))</f>
        <v/>
      </c>
      <c r="K1513" s="499" t="str">
        <f>IF($I1396="","",IF(INDEX(F_ProductBM!K:K,MATCH($P1513,F_ProductBM!$Q:$Q,0))="","",INDEX(F_ProductBM!K:K,MATCH($P1513,F_ProductBM!$Q:$Q,0))))</f>
        <v/>
      </c>
      <c r="L1513" s="499" t="str">
        <f>IF($I1396="","",IF(INDEX(F_ProductBM!L:L,MATCH($P1513,F_ProductBM!$Q:$Q,0))="","",INDEX(F_ProductBM!L:L,MATCH($P1513,F_ProductBM!$Q:$Q,0))))</f>
        <v/>
      </c>
      <c r="M1513" s="499" t="str">
        <f>IF($I1396="","",IF(INDEX(F_ProductBM!M:M,MATCH($P1513,F_ProductBM!$Q:$Q,0))="","",INDEX(F_ProductBM!M:M,MATCH($P1513,F_ProductBM!$Q:$Q,0))))</f>
        <v/>
      </c>
      <c r="N1513" s="1836" t="str">
        <f>IF($I1396="","",IF(INDEX(F_ProductBM!N:N,MATCH($P1513,F_ProductBM!$Q:$Q,0))="","",INDEX(F_ProductBM!N:N,MATCH($P1513,F_ProductBM!$Q:$Q,0))))</f>
        <v/>
      </c>
      <c r="O1513" s="698"/>
      <c r="P1513" s="1500" t="str">
        <f>EUconst_CNTR_HALPulpTotal &amp;  I1396</f>
        <v>HALPulpTotal_</v>
      </c>
      <c r="Q1513" s="729"/>
      <c r="R1513" s="729"/>
      <c r="S1513" s="729"/>
      <c r="T1513" s="770"/>
      <c r="U1513" s="343"/>
      <c r="V1513" s="343"/>
    </row>
    <row r="1514" spans="1:22" s="364" customFormat="1" ht="5.15" customHeight="1" x14ac:dyDescent="0.25">
      <c r="A1514" s="729"/>
      <c r="B1514" s="302"/>
      <c r="C1514" s="302"/>
      <c r="D1514" s="1820"/>
      <c r="E1514" s="625"/>
      <c r="F1514" s="625"/>
      <c r="G1514" s="625"/>
      <c r="H1514" s="644"/>
      <c r="I1514" s="644"/>
      <c r="J1514" s="644"/>
      <c r="K1514" s="644"/>
      <c r="L1514" s="644"/>
      <c r="M1514" s="644"/>
      <c r="N1514" s="1837"/>
      <c r="O1514" s="698"/>
      <c r="P1514" s="770"/>
      <c r="Q1514" s="729"/>
      <c r="R1514" s="729"/>
      <c r="S1514" s="729"/>
      <c r="T1514" s="770"/>
      <c r="U1514" s="343"/>
      <c r="V1514" s="343"/>
    </row>
    <row r="1515" spans="1:22" s="364" customFormat="1" ht="12.75" customHeight="1" x14ac:dyDescent="0.25">
      <c r="A1515" s="729"/>
      <c r="B1515" s="302"/>
      <c r="C1515" s="302"/>
      <c r="D1515" s="1820"/>
      <c r="E1515" s="641" t="str">
        <f>Translations!$B$1586</f>
        <v>Производство на водород (действително + теоретично)</v>
      </c>
      <c r="F1515" s="1835"/>
      <c r="G1515" s="642" t="str">
        <f>EUconst_Tons</f>
        <v>тона</v>
      </c>
      <c r="H1515" s="499" t="str">
        <f>IF($L1399=$R1515,SUMIFS(H_SpecialBM!H:H,H_SpecialBM!$Q:$Q,$P1515),"")</f>
        <v/>
      </c>
      <c r="I1515" s="1399" t="str">
        <f>IF($L1399=$R1515,SUMIFS(H_SpecialBM!I:I,H_SpecialBM!$Q:$Q,$P1515),"")</f>
        <v/>
      </c>
      <c r="J1515" s="1832" t="str">
        <f>IF($L1399=$R1515,SUMIFS(H_SpecialBM!J:J,H_SpecialBM!$Q:$Q,$P1515),"")</f>
        <v/>
      </c>
      <c r="K1515" s="499" t="str">
        <f>IF($L1399=$R1515,SUMIFS(H_SpecialBM!K:K,H_SpecialBM!$Q:$Q,$P1515),"")</f>
        <v/>
      </c>
      <c r="L1515" s="499" t="str">
        <f>IF($L1399=$R1515,SUMIFS(H_SpecialBM!L:L,H_SpecialBM!$Q:$Q,$P1515),"")</f>
        <v/>
      </c>
      <c r="M1515" s="499" t="str">
        <f>IF($L1399=$R1515,SUMIFS(H_SpecialBM!M:M,H_SpecialBM!$Q:$Q,$P1515),"")</f>
        <v/>
      </c>
      <c r="N1515" s="1836" t="str">
        <f>IF($L1399=$R1515,SUMIFS(H_SpecialBM!N:N,H_SpecialBM!$Q:$Q,$P1515),"")</f>
        <v/>
      </c>
      <c r="O1515" s="698"/>
      <c r="P1515" s="1190" t="str">
        <f>EUconst_CNTR_H2ActualPlusTheoretical</f>
        <v>H2Total_</v>
      </c>
      <c r="Q1515" s="729"/>
      <c r="R1515" s="1176">
        <v>50</v>
      </c>
      <c r="S1515" s="729"/>
      <c r="T1515" s="770"/>
      <c r="U1515" s="343"/>
      <c r="V1515" s="343"/>
    </row>
    <row r="1516" spans="1:22" s="364" customFormat="1" x14ac:dyDescent="0.25">
      <c r="A1516" s="729"/>
      <c r="B1516" s="302"/>
      <c r="C1516" s="302"/>
      <c r="D1516" s="1820"/>
      <c r="E1516" s="641" t="str">
        <f>Translations!$B$1587</f>
        <v>Емисии във връзка с водород</v>
      </c>
      <c r="F1516" s="1835"/>
      <c r="G1516" s="642" t="str">
        <f>EUconst_tCO2pa</f>
        <v>t CO2 / година</v>
      </c>
      <c r="H1516" s="499" t="str">
        <f>IF($L1399=$R1516,SUMIFS(H_SpecialBM!H:H,H_SpecialBM!$Q:$Q,$P1516),"")</f>
        <v/>
      </c>
      <c r="I1516" s="1399" t="str">
        <f>IF($L1399=$R1516,SUMIFS(H_SpecialBM!I:I,H_SpecialBM!$Q:$Q,$P1516),"")</f>
        <v/>
      </c>
      <c r="J1516" s="1832" t="str">
        <f>IF($L1399=$R1516,SUMIFS(H_SpecialBM!J:J,H_SpecialBM!$Q:$Q,$P1516),"")</f>
        <v/>
      </c>
      <c r="K1516" s="499" t="str">
        <f>IF($L1399=$R1516,SUMIFS(H_SpecialBM!K:K,H_SpecialBM!$Q:$Q,$P1516),"")</f>
        <v/>
      </c>
      <c r="L1516" s="499" t="str">
        <f>IF($L1399=$R1516,SUMIFS(H_SpecialBM!L:L,H_SpecialBM!$Q:$Q,$P1516),"")</f>
        <v/>
      </c>
      <c r="M1516" s="499" t="str">
        <f>IF($L1399=$R1516,SUMIFS(H_SpecialBM!M:M,H_SpecialBM!$Q:$Q,$P1516),"")</f>
        <v/>
      </c>
      <c r="N1516" s="1836" t="str">
        <f>IF($L1399=$R1516,SUMIFS(H_SpecialBM!N:N,H_SpecialBM!$Q:$Q,$P1516),"")</f>
        <v/>
      </c>
      <c r="O1516" s="698"/>
      <c r="P1516" s="1190" t="str">
        <f>EUconst_CNTR_H2AdditionalEmissions</f>
        <v>H2AddEm_</v>
      </c>
      <c r="Q1516" s="729"/>
      <c r="R1516" s="1176">
        <v>50</v>
      </c>
      <c r="S1516" s="729"/>
      <c r="T1516" s="770"/>
      <c r="U1516" s="343"/>
      <c r="V1516" s="343"/>
    </row>
    <row r="1517" spans="1:22" s="364" customFormat="1" ht="5.15" customHeight="1" x14ac:dyDescent="0.25">
      <c r="A1517" s="729"/>
      <c r="B1517" s="302"/>
      <c r="C1517" s="302"/>
      <c r="D1517" s="1820"/>
      <c r="E1517" s="625"/>
      <c r="F1517" s="625"/>
      <c r="G1517" s="625"/>
      <c r="H1517" s="644"/>
      <c r="I1517" s="644"/>
      <c r="J1517" s="644"/>
      <c r="K1517" s="644"/>
      <c r="L1517" s="644"/>
      <c r="M1517" s="644"/>
      <c r="N1517" s="1837"/>
      <c r="O1517" s="698"/>
      <c r="P1517" s="729"/>
      <c r="Q1517" s="729"/>
      <c r="R1517" s="729"/>
      <c r="S1517" s="729"/>
      <c r="T1517" s="770"/>
      <c r="U1517" s="343"/>
      <c r="V1517" s="343"/>
    </row>
    <row r="1518" spans="1:22" s="364" customFormat="1" x14ac:dyDescent="0.25">
      <c r="A1518" s="729"/>
      <c r="B1518" s="302"/>
      <c r="C1518" s="302"/>
      <c r="D1518" s="1820"/>
      <c r="E1518" s="641" t="str">
        <f>Translations!$B$1588</f>
        <v>Корекция на емисиите във връзка с HVC</v>
      </c>
      <c r="F1518" s="1835"/>
      <c r="G1518" s="642" t="str">
        <f>EUconst_tCO2pa</f>
        <v>t CO2 / година</v>
      </c>
      <c r="H1518" s="499" t="str">
        <f>IF($L1399=$R1518,-SUMIFS(H_SpecialBM!H:H,H_SpecialBM!$Q:$Q,$P1518),"")</f>
        <v/>
      </c>
      <c r="I1518" s="1399" t="str">
        <f>IF($L1399=$R1518,-SUMIFS(H_SpecialBM!I:I,H_SpecialBM!$Q:$Q,$P1518),"")</f>
        <v/>
      </c>
      <c r="J1518" s="1832" t="str">
        <f>IF($L1399=$R1518,-SUMIFS(H_SpecialBM!J:J,H_SpecialBM!$Q:$Q,$P1518),"")</f>
        <v/>
      </c>
      <c r="K1518" s="499" t="str">
        <f>IF($L1399=$R1518,-SUMIFS(H_SpecialBM!K:K,H_SpecialBM!$Q:$Q,$P1518),"")</f>
        <v/>
      </c>
      <c r="L1518" s="499" t="str">
        <f>IF($L1399=$R1518,-SUMIFS(H_SpecialBM!L:L,H_SpecialBM!$Q:$Q,$P1518),"")</f>
        <v/>
      </c>
      <c r="M1518" s="499" t="str">
        <f>IF($L1399=$R1518,-SUMIFS(H_SpecialBM!M:M,H_SpecialBM!$Q:$Q,$P1518),"")</f>
        <v/>
      </c>
      <c r="N1518" s="1836" t="str">
        <f>IF($L1399=$R1518,-SUMIFS(H_SpecialBM!N:N,H_SpecialBM!$Q:$Q,$P1518),"")</f>
        <v/>
      </c>
      <c r="O1518" s="698"/>
      <c r="P1518" s="1500" t="str">
        <f>EUconst_CNTR_HVC</f>
        <v>HVC_</v>
      </c>
      <c r="Q1518" s="729"/>
      <c r="R1518" s="1176">
        <v>42</v>
      </c>
      <c r="S1518" s="729"/>
      <c r="T1518" s="770"/>
      <c r="U1518" s="343"/>
      <c r="V1518" s="343"/>
    </row>
    <row r="1519" spans="1:22" s="364" customFormat="1" ht="5.15" customHeight="1" x14ac:dyDescent="0.25">
      <c r="A1519" s="729"/>
      <c r="B1519" s="302"/>
      <c r="C1519" s="302"/>
      <c r="D1519" s="1820"/>
      <c r="E1519" s="625"/>
      <c r="F1519" s="625"/>
      <c r="G1519" s="625"/>
      <c r="H1519" s="644"/>
      <c r="I1519" s="644"/>
      <c r="J1519" s="644"/>
      <c r="K1519" s="644"/>
      <c r="L1519" s="644"/>
      <c r="M1519" s="644"/>
      <c r="N1519" s="1837"/>
      <c r="O1519" s="698"/>
      <c r="P1519" s="770"/>
      <c r="Q1519" s="729"/>
      <c r="R1519" s="729"/>
      <c r="S1519" s="729"/>
      <c r="T1519" s="770"/>
      <c r="U1519" s="343"/>
      <c r="V1519" s="343"/>
    </row>
    <row r="1520" spans="1:22" s="364" customFormat="1" ht="12.75" customHeight="1" x14ac:dyDescent="0.25">
      <c r="A1520" s="729"/>
      <c r="B1520" s="302"/>
      <c r="C1520" s="302"/>
      <c r="D1520" s="1820"/>
      <c r="E1520" s="641" t="str">
        <f>Translations!$B$1589</f>
        <v>Корекция на емисиите във връзка с VCM</v>
      </c>
      <c r="F1520" s="1835"/>
      <c r="G1520" s="642" t="str">
        <f>EUconst_tCO2pa</f>
        <v>t CO2 / година</v>
      </c>
      <c r="H1520" s="499" t="str">
        <f>IF($L1399=$R1520,INDEX(H_SpecialBM!H:H,MATCH($P1520,H_SpecialBM!$Q:$Q,0)-2),"")</f>
        <v/>
      </c>
      <c r="I1520" s="1399" t="str">
        <f>IF($L1399=$R1520,INDEX(H_SpecialBM!I:I,MATCH($P1520,H_SpecialBM!$Q:$Q,0)-2),"")</f>
        <v/>
      </c>
      <c r="J1520" s="1832" t="str">
        <f>IF($L1399=$R1520,INDEX(H_SpecialBM!J:J,MATCH($P1520,H_SpecialBM!$Q:$Q,0)-2),"")</f>
        <v/>
      </c>
      <c r="K1520" s="499" t="str">
        <f>IF($L1399=$R1520,INDEX(H_SpecialBM!K:K,MATCH($P1520,H_SpecialBM!$Q:$Q,0)-2),"")</f>
        <v/>
      </c>
      <c r="L1520" s="499" t="str">
        <f>IF($L1399=$R1520,INDEX(H_SpecialBM!L:L,MATCH($P1520,H_SpecialBM!$Q:$Q,0)-2),"")</f>
        <v/>
      </c>
      <c r="M1520" s="499" t="str">
        <f>IF($L1399=$R1520,INDEX(H_SpecialBM!M:M,MATCH($P1520,H_SpecialBM!$Q:$Q,0)-2),"")</f>
        <v/>
      </c>
      <c r="N1520" s="1836" t="str">
        <f>IF($L1399=$R1520,INDEX(H_SpecialBM!N:N,MATCH($P1520,H_SpecialBM!$Q:$Q,0)-2),"")</f>
        <v/>
      </c>
      <c r="O1520" s="698"/>
      <c r="P1520" s="1190" t="str">
        <f>EUconst_CNTR_VCM</f>
        <v>VCM_</v>
      </c>
      <c r="Q1520" s="729"/>
      <c r="R1520" s="1176">
        <v>47</v>
      </c>
      <c r="S1520" s="729"/>
      <c r="T1520" s="770"/>
      <c r="U1520" s="343"/>
      <c r="V1520" s="343"/>
    </row>
    <row r="1521" spans="1:22" s="364" customFormat="1" ht="12.75" customHeight="1" thickBot="1" x14ac:dyDescent="0.3">
      <c r="A1521" s="729"/>
      <c r="B1521" s="302"/>
      <c r="C1521" s="302"/>
      <c r="D1521" s="1838"/>
      <c r="E1521" s="1839"/>
      <c r="F1521" s="1839"/>
      <c r="G1521" s="1839"/>
      <c r="H1521" s="1839"/>
      <c r="I1521" s="1840"/>
      <c r="J1521" s="1840"/>
      <c r="K1521" s="1840"/>
      <c r="L1521" s="1840"/>
      <c r="M1521" s="1840"/>
      <c r="N1521" s="1379"/>
      <c r="O1521" s="698"/>
      <c r="P1521" s="729"/>
      <c r="Q1521" s="729"/>
      <c r="R1521" s="1165"/>
      <c r="S1521" s="729"/>
      <c r="T1521" s="770"/>
      <c r="U1521" s="343"/>
      <c r="V1521" s="343"/>
    </row>
    <row r="1522" spans="1:22" s="364" customFormat="1" ht="12.75" customHeight="1" thickBot="1" x14ac:dyDescent="0.3">
      <c r="A1522" s="729"/>
      <c r="B1522" s="302"/>
      <c r="C1522" s="302"/>
      <c r="D1522" s="302"/>
      <c r="E1522" s="646"/>
      <c r="O1522" s="698"/>
      <c r="P1522" s="729"/>
      <c r="Q1522" s="729"/>
      <c r="R1522" s="729"/>
      <c r="S1522" s="729"/>
      <c r="T1522" s="729"/>
      <c r="U1522" s="343"/>
      <c r="V1522" s="343"/>
    </row>
    <row r="1523" spans="1:22" s="364" customFormat="1" ht="5.15" customHeight="1" thickBot="1" x14ac:dyDescent="0.3">
      <c r="A1523" s="729"/>
      <c r="B1523" s="284"/>
      <c r="C1523" s="581"/>
      <c r="D1523" s="581"/>
      <c r="E1523" s="581"/>
      <c r="F1523" s="581"/>
      <c r="G1523" s="581"/>
      <c r="H1523" s="581"/>
      <c r="I1523" s="581"/>
      <c r="J1523" s="581"/>
      <c r="K1523" s="581"/>
      <c r="L1523" s="581"/>
      <c r="M1523" s="581"/>
      <c r="N1523" s="581"/>
      <c r="O1523" s="698"/>
      <c r="P1523" s="729"/>
      <c r="Q1523" s="729"/>
      <c r="R1523" s="729"/>
      <c r="S1523" s="729"/>
      <c r="T1523" s="729"/>
      <c r="U1523" s="343"/>
      <c r="V1523" s="343"/>
    </row>
    <row r="1524" spans="1:22" s="364" customFormat="1" ht="15" customHeight="1" thickBot="1" x14ac:dyDescent="0.35">
      <c r="A1524" s="729"/>
      <c r="B1524" s="302"/>
      <c r="C1524" s="357">
        <f>C1396+1</f>
        <v>9</v>
      </c>
      <c r="D1524" s="2323" t="str">
        <f>CONCATENATE(EUconst_BMSubinst," ",C1524, ":")</f>
        <v>Подинсталация с продуктов показател 9:</v>
      </c>
      <c r="E1524" s="2323"/>
      <c r="F1524" s="2323"/>
      <c r="G1524" s="2323"/>
      <c r="H1524" s="2987"/>
      <c r="I1524" s="2843" t="str">
        <f>IF(INDEX(CNTR_SubInstListIsProdBM,$C1524),INDEX(CNTR_SubInstListNames,$C1524),"")</f>
        <v/>
      </c>
      <c r="J1524" s="3019"/>
      <c r="K1524" s="3019"/>
      <c r="L1524" s="3019"/>
      <c r="M1524" s="3019"/>
      <c r="N1524" s="3020"/>
      <c r="O1524" s="698"/>
      <c r="P1524" s="729"/>
      <c r="Q1524" s="1684">
        <f>C1524</f>
        <v>9</v>
      </c>
      <c r="R1524" s="1685" t="str">
        <f>I1524</f>
        <v/>
      </c>
      <c r="S1524" s="729"/>
      <c r="T1524" s="729"/>
      <c r="U1524" s="343"/>
      <c r="V1524" s="343"/>
    </row>
    <row r="1525" spans="1:22" s="364" customFormat="1" ht="5.15" customHeight="1" x14ac:dyDescent="0.3">
      <c r="A1525" s="729"/>
      <c r="B1525" s="302"/>
      <c r="C1525" s="357"/>
      <c r="D1525" s="357"/>
      <c r="E1525" s="357"/>
      <c r="F1525" s="357"/>
      <c r="G1525" s="357"/>
      <c r="H1525" s="357"/>
      <c r="I1525" s="357"/>
      <c r="J1525" s="357"/>
      <c r="K1525" s="357"/>
      <c r="L1525" s="357"/>
      <c r="M1525" s="357"/>
      <c r="N1525" s="357"/>
      <c r="O1525" s="698"/>
      <c r="P1525" s="729"/>
      <c r="Q1525" s="729"/>
      <c r="R1525" s="729"/>
      <c r="S1525" s="729"/>
      <c r="T1525" s="729"/>
      <c r="U1525" s="343"/>
      <c r="V1525" s="343"/>
    </row>
    <row r="1526" spans="1:22" s="364" customFormat="1" ht="12.75" customHeight="1" x14ac:dyDescent="0.3">
      <c r="A1526" s="729"/>
      <c r="B1526" s="302"/>
      <c r="C1526" s="357"/>
      <c r="D1526" s="357"/>
      <c r="E1526" s="357"/>
      <c r="F1526" s="357"/>
      <c r="H1526" s="595" t="str">
        <f>Translations!$B$942</f>
        <v>Риск от ИВЕ</v>
      </c>
      <c r="I1526" s="595" t="s">
        <v>2151</v>
      </c>
      <c r="J1526" s="595" t="str">
        <f>Translations!$B$946</f>
        <v>В/Е</v>
      </c>
      <c r="K1526" s="595" t="str">
        <f>Translations!$B$1360</f>
        <v>Спряна експлоатация</v>
      </c>
      <c r="L1526" s="654" t="str">
        <f>Translations!$B$944</f>
        <v>№ на п-л</v>
      </c>
      <c r="M1526" s="2991" t="str">
        <f>Translations!$B$948</f>
        <v>Стойност на п-л</v>
      </c>
      <c r="N1526" s="2991"/>
      <c r="O1526" s="698"/>
      <c r="P1526" s="729"/>
      <c r="Q1526" s="729"/>
      <c r="R1526" s="1176" t="str">
        <f>Translations!$B$944</f>
        <v>№ на п-л</v>
      </c>
      <c r="S1526" s="729"/>
      <c r="T1526" s="1686"/>
      <c r="U1526" s="343"/>
      <c r="V1526" s="343"/>
    </row>
    <row r="1527" spans="1:22" s="364" customFormat="1" ht="12.75" customHeight="1" x14ac:dyDescent="0.3">
      <c r="A1527" s="729"/>
      <c r="B1527" s="302"/>
      <c r="C1527" s="357"/>
      <c r="D1527" s="357"/>
      <c r="E1527" s="361" t="str">
        <f>I1524</f>
        <v/>
      </c>
      <c r="F1527" s="373"/>
      <c r="G1527" s="373"/>
      <c r="H1527" s="600" t="str">
        <f>IF(L1527=EUconst_NA,EUconst_NA,INDEX(EUconst_BMlistCLstatus,MATCH(L1527,EUconst_BMlistMainNumberOfBM,0)))</f>
        <v>Не е приложимо</v>
      </c>
      <c r="I1527" s="600" t="str">
        <f>IF(R1527=EUconst_NA,EUconst_NA,INDEX(EUconst_BMlistCBAMstatus,MATCH(R1527,EUconst_BMlistNumberOfBM,0)))</f>
        <v>Не е приложимо</v>
      </c>
      <c r="J1527" s="655" t="str">
        <f>IF($I1524="",EUconst_NA,INDEX(CNTR_SubInstStartDate,MATCH(I1524,CNTR_SubInstListNames,0)))</f>
        <v>Не е приложимо</v>
      </c>
      <c r="K1527" s="655" t="str">
        <f>IF($I1524="",EUconst_NA,IF(INDEX(CNTR_SubInstCessationDate,MATCH(I1524,CNTR_SubInstListNames,0))=0,"",INDEX(CNTR_SubInstCessationDate,MATCH(I1524,CNTR_SubInstListNames,0))))</f>
        <v>Не е приложимо</v>
      </c>
      <c r="L1527" s="1687" t="str">
        <f>IF($I1524="",EUconst_NA,INDEX(EUconst_BMlistMainNumberOfBM,MATCH(I1524,EUconst_BMlistNames,0)))</f>
        <v>Не е приложимо</v>
      </c>
      <c r="M1527" s="1688" t="str">
        <f>IF(I1524="",EUconst_NA,INDEX(EUconst_BMlistBMvaluesMatrix,MATCH(L1527,EUconst_BMlistMainNumberOfBM,0),3))</f>
        <v>Не е приложимо</v>
      </c>
      <c r="N1527" s="382" t="str">
        <f>EUconst_EUA &amp; "/" &amp; F1530</f>
        <v>Квота за емисии/тона</v>
      </c>
      <c r="O1527" s="698"/>
      <c r="P1527" s="729"/>
      <c r="Q1527" s="729"/>
      <c r="R1527" s="1176" t="str">
        <f>IF($I1524="",EUconst_NA,INDEX(EUconst_BMlistNumberOfBM,MATCH(I1524,EUconst_BMlistNames,0)))</f>
        <v>Не е приложимо</v>
      </c>
      <c r="S1527" s="729"/>
      <c r="T1527" s="1174" t="s">
        <v>1735</v>
      </c>
      <c r="U1527" s="1176">
        <f>IF(SUM(K1527)=0,2050,YEAR(K1527))</f>
        <v>2050</v>
      </c>
      <c r="V1527" s="343"/>
    </row>
    <row r="1528" spans="1:22" s="364" customFormat="1" ht="5.15" customHeight="1" thickBot="1" x14ac:dyDescent="0.35">
      <c r="A1528" s="729"/>
      <c r="B1528" s="302"/>
      <c r="C1528" s="302"/>
      <c r="D1528" s="302"/>
      <c r="E1528" s="357"/>
      <c r="J1528" s="302"/>
      <c r="K1528" s="302"/>
      <c r="L1528" s="302"/>
      <c r="M1528" s="302"/>
      <c r="N1528" s="302"/>
      <c r="O1528" s="698"/>
      <c r="P1528" s="729"/>
      <c r="Q1528" s="729"/>
      <c r="R1528" s="729"/>
      <c r="S1528" s="729"/>
      <c r="T1528" s="770"/>
      <c r="U1528" s="343"/>
      <c r="V1528" s="343"/>
    </row>
    <row r="1529" spans="1:22" s="364" customFormat="1" ht="12.75" customHeight="1" x14ac:dyDescent="0.25">
      <c r="A1529" s="729"/>
      <c r="B1529" s="302"/>
      <c r="C1529" s="302"/>
      <c r="D1529" s="302"/>
      <c r="E1529" s="313"/>
      <c r="F1529" s="300" t="str">
        <f>EUconst_Unit</f>
        <v>Единица мярка</v>
      </c>
      <c r="G1529" s="1689" t="str">
        <f>Translations!$B$1284</f>
        <v>HAL</v>
      </c>
      <c r="H1529" s="757">
        <f t="shared" ref="H1529:N1529" si="130">H$2505</f>
        <v>2024</v>
      </c>
      <c r="I1529" s="572">
        <f t="shared" si="130"/>
        <v>2025</v>
      </c>
      <c r="J1529" s="757">
        <f t="shared" si="130"/>
        <v>2026</v>
      </c>
      <c r="K1529" s="391">
        <f t="shared" si="130"/>
        <v>2027</v>
      </c>
      <c r="L1529" s="391">
        <f t="shared" si="130"/>
        <v>2028</v>
      </c>
      <c r="M1529" s="391">
        <f t="shared" si="130"/>
        <v>2029</v>
      </c>
      <c r="N1529" s="391">
        <f t="shared" si="130"/>
        <v>2030</v>
      </c>
      <c r="O1529" s="698"/>
      <c r="P1529" s="729"/>
      <c r="Q1529" s="729" t="s">
        <v>1851</v>
      </c>
      <c r="R1529" s="1690">
        <f>J$2505</f>
        <v>2026</v>
      </c>
      <c r="S1529" s="1691">
        <f>K$2505</f>
        <v>2027</v>
      </c>
      <c r="T1529" s="1691">
        <f>L$2505</f>
        <v>2028</v>
      </c>
      <c r="U1529" s="1691">
        <f>M$2505</f>
        <v>2029</v>
      </c>
      <c r="V1529" s="1692">
        <f>N$2505</f>
        <v>2030</v>
      </c>
    </row>
    <row r="1530" spans="1:22" s="364" customFormat="1" ht="12.75" customHeight="1" thickBot="1" x14ac:dyDescent="0.3">
      <c r="A1530" s="729"/>
      <c r="B1530" s="302"/>
      <c r="C1530" s="302"/>
      <c r="D1530" s="302"/>
      <c r="E1530" s="388" t="str">
        <f>Translations!$B$1371</f>
        <v>Докладвано равнище на дейност</v>
      </c>
      <c r="F1530" s="1062" t="str">
        <f>IF(ISNUMBER(L1527),INDEX(EUconst_BMlistUnits,MATCH(L1527,EUconst_BMlistMainNumberOfBM,0)),EUconst_Tons)</f>
        <v>тона</v>
      </c>
      <c r="G1530" s="1693" t="str">
        <f>I1590</f>
        <v/>
      </c>
      <c r="H1530" s="1694" t="str">
        <f>IF($I1524="","",IF(H1529&gt;=CNTR_ReportingYear,"",INDEX(F_ProductBM!H:H,MATCH($P1530,F_ProductBM!$Q:$Q,0))))</f>
        <v/>
      </c>
      <c r="I1530" s="608" t="str">
        <f>IF($I1524="","",IF(I1529&gt;=CNTR_ReportingYear,"",INDEX(F_ProductBM!I:I,MATCH($P1530,F_ProductBM!$Q:$Q,0))))</f>
        <v/>
      </c>
      <c r="J1530" s="1694" t="str">
        <f>IF($I1524="","",IF(J1529&gt;=CNTR_ReportingYear,"",INDEX(F_ProductBM!J:J,MATCH($P1530,F_ProductBM!$Q:$Q,0))))</f>
        <v/>
      </c>
      <c r="K1530" s="406" t="str">
        <f>IF($I1524="","",IF(K1529&gt;=CNTR_ReportingYear,"",INDEX(F_ProductBM!K:K,MATCH($P1530,F_ProductBM!$Q:$Q,0))))</f>
        <v/>
      </c>
      <c r="L1530" s="406" t="str">
        <f>IF($I1524="","",IF(L1529&gt;=CNTR_ReportingYear,"",INDEX(F_ProductBM!L:L,MATCH($P1530,F_ProductBM!$Q:$Q,0))))</f>
        <v/>
      </c>
      <c r="M1530" s="406" t="str">
        <f>IF($I1524="","",IF(M1529&gt;=CNTR_ReportingYear,"",INDEX(F_ProductBM!M:M,MATCH($P1530,F_ProductBM!$Q:$Q,0))))</f>
        <v/>
      </c>
      <c r="N1530" s="406" t="str">
        <f>IF($I1524="","",IF(N1529&gt;=CNTR_ReportingYear,"",INDEX(F_ProductBM!N:N,MATCH($P1530,F_ProductBM!$Q:$Q,0))))</f>
        <v/>
      </c>
      <c r="O1530" s="698"/>
      <c r="P1530" s="1190" t="str">
        <f>EUconst_CNTR_HAL&amp;I1524</f>
        <v>HAL_</v>
      </c>
      <c r="Q1530" s="729"/>
      <c r="R1530" s="1580" t="b">
        <f>AND($I1524&lt;&gt;"",R1529&lt;=CNTR_ReportingYear,IF($J1527&lt;&gt;EUconst_NA,R1529&gt;=YEAR($J1527),TRUE))</f>
        <v>0</v>
      </c>
      <c r="S1530" s="1255" t="b">
        <f>AND($I1524&lt;&gt;"",S1529&lt;=CNTR_ReportingYear,IF($J1527&lt;&gt;EUconst_NA,S1529&gt;=YEAR($J1527),TRUE))</f>
        <v>0</v>
      </c>
      <c r="T1530" s="1255" t="b">
        <f>AND($I1524&lt;&gt;"",T1529&lt;=CNTR_ReportingYear,IF($J1527&lt;&gt;EUconst_NA,T1529&gt;=YEAR($J1527),TRUE))</f>
        <v>0</v>
      </c>
      <c r="U1530" s="1255" t="b">
        <f>AND($I1524&lt;&gt;"",U1529&lt;=CNTR_ReportingYear,IF($J1527&lt;&gt;EUconst_NA,U1529&gt;=YEAR($J1527),TRUE))</f>
        <v>0</v>
      </c>
      <c r="V1530" s="1256" t="b">
        <f>AND($I1524&lt;&gt;"",V1529&lt;=CNTR_ReportingYear,IF($J1527&lt;&gt;EUconst_NA,V1529&gt;=YEAR($J1527),TRUE))</f>
        <v>0</v>
      </c>
    </row>
    <row r="1531" spans="1:22" s="364" customFormat="1" ht="5.15" customHeight="1" thickBot="1" x14ac:dyDescent="0.35">
      <c r="A1531" s="729"/>
      <c r="B1531" s="302"/>
      <c r="C1531" s="357"/>
      <c r="D1531" s="357"/>
      <c r="E1531" s="357"/>
      <c r="F1531" s="357"/>
      <c r="G1531" s="357"/>
      <c r="H1531" s="357"/>
      <c r="I1531" s="357"/>
      <c r="J1531" s="357"/>
      <c r="K1531" s="357"/>
      <c r="L1531" s="357"/>
      <c r="M1531" s="357"/>
      <c r="N1531" s="357"/>
      <c r="O1531" s="698"/>
      <c r="P1531" s="729"/>
      <c r="Q1531" s="729"/>
      <c r="R1531" s="729"/>
      <c r="S1531" s="729"/>
      <c r="T1531" s="729"/>
      <c r="U1531" s="343"/>
      <c r="V1531" s="343"/>
    </row>
    <row r="1532" spans="1:22" s="364" customFormat="1" ht="5.15" customHeight="1" x14ac:dyDescent="0.3">
      <c r="A1532" s="729"/>
      <c r="B1532" s="302"/>
      <c r="C1532" s="357"/>
      <c r="D1532" s="1695"/>
      <c r="E1532" s="1696"/>
      <c r="F1532" s="1696"/>
      <c r="G1532" s="1696"/>
      <c r="H1532" s="1696"/>
      <c r="I1532" s="1696"/>
      <c r="J1532" s="1696"/>
      <c r="K1532" s="1696"/>
      <c r="L1532" s="1696"/>
      <c r="M1532" s="1696"/>
      <c r="N1532" s="1697"/>
      <c r="O1532" s="698"/>
      <c r="P1532" s="729"/>
      <c r="Q1532" s="729"/>
      <c r="R1532" s="729"/>
      <c r="S1532" s="729"/>
      <c r="T1532" s="729"/>
      <c r="U1532" s="343"/>
      <c r="V1532" s="343"/>
    </row>
    <row r="1533" spans="1:22" s="364" customFormat="1" ht="12.75" customHeight="1" x14ac:dyDescent="0.3">
      <c r="A1533" s="729"/>
      <c r="B1533" s="302"/>
      <c r="C1533" s="357"/>
      <c r="D1533" s="1698"/>
      <c r="E1533" s="389" t="str">
        <f>Translations!$B$1372</f>
        <v>Приложимост на пълзящата средна стойност</v>
      </c>
      <c r="F1533" s="498"/>
      <c r="G1533" s="498"/>
      <c r="H1533" s="527"/>
      <c r="I1533" s="1699"/>
      <c r="J1533" s="1523">
        <f>J$2505</f>
        <v>2026</v>
      </c>
      <c r="K1533" s="387">
        <f>K$2505</f>
        <v>2027</v>
      </c>
      <c r="L1533" s="387">
        <f>L$2505</f>
        <v>2028</v>
      </c>
      <c r="M1533" s="387">
        <f>M$2505</f>
        <v>2029</v>
      </c>
      <c r="N1533" s="1544">
        <f>N$2505</f>
        <v>2030</v>
      </c>
      <c r="O1533" s="698"/>
      <c r="P1533" s="729"/>
      <c r="Q1533" s="729"/>
      <c r="R1533" s="729"/>
      <c r="S1533" s="729"/>
      <c r="T1533" s="729"/>
      <c r="U1533" s="343"/>
      <c r="V1533" s="343"/>
    </row>
    <row r="1534" spans="1:22" s="364" customFormat="1" ht="12.75" customHeight="1" x14ac:dyDescent="0.3">
      <c r="A1534" s="729"/>
      <c r="B1534" s="302"/>
      <c r="C1534" s="357"/>
      <c r="D1534" s="1698"/>
      <c r="E1534" s="1700" t="str">
        <f>Translations!$B$1364</f>
        <v>Критерий 1: В експлоатация &gt; 2 години?</v>
      </c>
      <c r="F1534" s="1701"/>
      <c r="G1534" s="1701"/>
      <c r="H1534" s="1702"/>
      <c r="I1534" s="1701"/>
      <c r="J1534" s="1703" t="str">
        <f>IF(R1530,INDEX(F_ProductBM!V:V,MATCH($P1534,F_ProductBM!$Q:$Q,0))&gt;=3,"")</f>
        <v/>
      </c>
      <c r="K1534" s="1704" t="str">
        <f>IF(S1530,INDEX(F_ProductBM!W:W,MATCH($P1534,F_ProductBM!$Q:$Q,0))&gt;=3,"")</f>
        <v/>
      </c>
      <c r="L1534" s="1704" t="str">
        <f>IF(T1530,INDEX(F_ProductBM!X:X,MATCH($P1534,F_ProductBM!$Q:$Q,0))&gt;=3,"")</f>
        <v/>
      </c>
      <c r="M1534" s="1704" t="str">
        <f>IF(U1530,INDEX(F_ProductBM!Y:Y,MATCH($P1534,F_ProductBM!$Q:$Q,0))&gt;=3,"")</f>
        <v/>
      </c>
      <c r="N1534" s="1705" t="str">
        <f>IF(V1530,INDEX(F_ProductBM!Z:Z,MATCH($P1534,F_ProductBM!$Q:$Q,0))&gt;=3,"")</f>
        <v/>
      </c>
      <c r="O1534" s="698"/>
      <c r="P1534" s="1190" t="str">
        <f>EUconst_CNTR_HALinitial&amp;I1524</f>
        <v>HALini_</v>
      </c>
      <c r="Q1534" s="729"/>
      <c r="R1534" s="729"/>
      <c r="S1534" s="729"/>
      <c r="T1534" s="729"/>
      <c r="U1534" s="343"/>
      <c r="V1534" s="343"/>
    </row>
    <row r="1535" spans="1:22" s="364" customFormat="1" ht="12.75" customHeight="1" x14ac:dyDescent="0.3">
      <c r="A1535" s="729"/>
      <c r="B1535" s="302"/>
      <c r="C1535" s="357"/>
      <c r="D1535" s="1698"/>
      <c r="E1535" s="1706" t="str">
        <f>Translations!$B$1366</f>
        <v>Критерий 2: Не е спряна от експлоатация през предходната година?</v>
      </c>
      <c r="F1535" s="1707"/>
      <c r="G1535" s="1707"/>
      <c r="H1535" s="1708"/>
      <c r="I1535" s="1707"/>
      <c r="J1535" s="1709" t="str">
        <f>IF(R1530,IF($K1527="",2050,YEAR($K1527))&lt;&gt;(J1533-1),"")</f>
        <v/>
      </c>
      <c r="K1535" s="1710" t="str">
        <f>IF(S1530,IF($K1527="",2050,YEAR($K1527))&lt;&gt;(K1533-1),"")</f>
        <v/>
      </c>
      <c r="L1535" s="1710" t="str">
        <f>IF(T1530,IF($K1527="",2050,YEAR($K1527))&lt;&gt;(L1533-1),"")</f>
        <v/>
      </c>
      <c r="M1535" s="1710" t="str">
        <f>IF(U1530,IF($K1527="",2050,YEAR($K1527))&lt;&gt;(M1533-1),"")</f>
        <v/>
      </c>
      <c r="N1535" s="1711" t="str">
        <f>IF(V1530,IF($K1527="",2050,YEAR($K1527))&lt;&gt;(N1533-1),"")</f>
        <v/>
      </c>
      <c r="O1535" s="698"/>
      <c r="P1535" s="729"/>
      <c r="Q1535" s="729"/>
      <c r="R1535" s="729"/>
      <c r="S1535" s="729"/>
      <c r="T1535" s="729"/>
      <c r="U1535" s="343"/>
      <c r="V1535" s="343"/>
    </row>
    <row r="1536" spans="1:22" s="364" customFormat="1" ht="5.15" customHeight="1" x14ac:dyDescent="0.3">
      <c r="A1536" s="729"/>
      <c r="B1536" s="302"/>
      <c r="C1536" s="357"/>
      <c r="D1536" s="1698"/>
      <c r="E1536" s="357"/>
      <c r="F1536" s="357"/>
      <c r="G1536" s="357"/>
      <c r="H1536" s="357"/>
      <c r="I1536" s="357"/>
      <c r="J1536" s="357"/>
      <c r="K1536" s="357"/>
      <c r="L1536" s="357"/>
      <c r="M1536" s="357"/>
      <c r="N1536" s="1712"/>
      <c r="O1536" s="698"/>
      <c r="P1536" s="729"/>
      <c r="Q1536" s="729"/>
      <c r="R1536" s="729"/>
      <c r="S1536" s="729"/>
      <c r="T1536" s="729"/>
      <c r="U1536" s="343"/>
      <c r="V1536" s="343"/>
    </row>
    <row r="1537" spans="1:22" s="364" customFormat="1" ht="12.75" customHeight="1" x14ac:dyDescent="0.3">
      <c r="A1537" s="729"/>
      <c r="B1537" s="302"/>
      <c r="C1537" s="357"/>
      <c r="D1537" s="1698"/>
      <c r="E1537" s="313" t="str">
        <f>Translations!$B$1373</f>
        <v>Промени: Няма промяна (базова стойност)</v>
      </c>
      <c r="F1537" s="302"/>
      <c r="G1537" s="302"/>
      <c r="H1537" s="527" t="str">
        <f>EUconst_Unit</f>
        <v>Единица мярка</v>
      </c>
      <c r="I1537" s="1699"/>
      <c r="J1537" s="757">
        <f>J$2505</f>
        <v>2026</v>
      </c>
      <c r="K1537" s="391">
        <f>K$2505</f>
        <v>2027</v>
      </c>
      <c r="L1537" s="391">
        <f>L$2505</f>
        <v>2028</v>
      </c>
      <c r="M1537" s="391">
        <f>M$2505</f>
        <v>2029</v>
      </c>
      <c r="N1537" s="1713">
        <f>N$2505</f>
        <v>2030</v>
      </c>
      <c r="O1537" s="698"/>
      <c r="P1537" s="729"/>
      <c r="Q1537" s="729"/>
      <c r="R1537" s="729"/>
      <c r="S1537" s="729"/>
      <c r="T1537" s="729"/>
      <c r="U1537" s="343"/>
      <c r="V1537" s="343"/>
    </row>
    <row r="1538" spans="1:22" s="364" customFormat="1" ht="12.75" hidden="1" customHeight="1" x14ac:dyDescent="0.3">
      <c r="A1538" s="729" t="str">
        <f t="shared" ref="A1538:A1542" si="131">IF(P1538="","ausblenden","")</f>
        <v>ausblenden</v>
      </c>
      <c r="B1538" s="302"/>
      <c r="C1538" s="357"/>
      <c r="D1538" s="1698"/>
      <c r="E1538" s="388" t="str">
        <f>Translations!$B$1388</f>
        <v>Равнище на дейност</v>
      </c>
      <c r="F1538" s="388"/>
      <c r="G1538" s="388"/>
      <c r="H1538" s="1210" t="str">
        <f>F1530</f>
        <v>тона</v>
      </c>
      <c r="I1538" s="388"/>
      <c r="J1538" s="1714" t="str">
        <f>IF(T1595&gt;=$H$2505,S1590,I1590)</f>
        <v/>
      </c>
      <c r="K1538" s="1693" t="str">
        <f t="shared" ref="K1538:K1541" si="132">J1590</f>
        <v/>
      </c>
      <c r="L1538" s="1693" t="str">
        <f t="shared" ref="L1538:L1541" si="133">K1590</f>
        <v/>
      </c>
      <c r="M1538" s="1693" t="str">
        <f t="shared" ref="M1538:M1541" si="134">L1590</f>
        <v/>
      </c>
      <c r="N1538" s="1715" t="str">
        <f t="shared" ref="N1538:N1541" si="135">M1590</f>
        <v/>
      </c>
      <c r="O1538" s="698"/>
      <c r="P1538" s="729"/>
      <c r="Q1538" s="729"/>
      <c r="R1538" s="729"/>
      <c r="S1538" s="729"/>
      <c r="T1538" s="729"/>
      <c r="U1538" s="343"/>
      <c r="V1538" s="343"/>
    </row>
    <row r="1539" spans="1:22" s="364" customFormat="1" ht="12.75" hidden="1" customHeight="1" x14ac:dyDescent="0.3">
      <c r="A1539" s="729" t="str">
        <f t="shared" si="131"/>
        <v>ausblenden</v>
      </c>
      <c r="B1539" s="302"/>
      <c r="C1539" s="357"/>
      <c r="D1539" s="1698"/>
      <c r="E1539" s="392" t="str">
        <f>Translations!$B$949</f>
        <v>топл. ен. извън СТЕ</v>
      </c>
      <c r="F1539" s="392"/>
      <c r="G1539" s="392"/>
      <c r="H1539" s="481" t="str">
        <f>EUconst_EUA</f>
        <v>Квота за емисии</v>
      </c>
      <c r="I1539" s="1716"/>
      <c r="J1539" s="1717" t="str">
        <f>IF(T1595&gt;=$H$2505,S1591,I1591)</f>
        <v/>
      </c>
      <c r="K1539" s="1718" t="str">
        <f t="shared" si="132"/>
        <v/>
      </c>
      <c r="L1539" s="1718" t="str">
        <f t="shared" si="133"/>
        <v/>
      </c>
      <c r="M1539" s="1718" t="str">
        <f t="shared" si="134"/>
        <v/>
      </c>
      <c r="N1539" s="1719" t="str">
        <f t="shared" si="135"/>
        <v/>
      </c>
      <c r="O1539" s="698"/>
      <c r="P1539" s="729"/>
      <c r="Q1539" s="729"/>
      <c r="R1539" s="729"/>
      <c r="S1539" s="729"/>
      <c r="T1539" s="729"/>
      <c r="U1539" s="343"/>
      <c r="V1539" s="343"/>
    </row>
    <row r="1540" spans="1:22" s="364" customFormat="1" ht="12.75" hidden="1" customHeight="1" x14ac:dyDescent="0.3">
      <c r="A1540" s="729" t="str">
        <f t="shared" si="131"/>
        <v>ausblenden</v>
      </c>
      <c r="B1540" s="302"/>
      <c r="C1540" s="357"/>
      <c r="D1540" s="1698"/>
      <c r="E1540" s="398" t="str">
        <f>Translations!$B$951</f>
        <v>WGflare</v>
      </c>
      <c r="F1540" s="398"/>
      <c r="G1540" s="398"/>
      <c r="H1540" s="516" t="str">
        <f>EUconst_EUA</f>
        <v>Квота за емисии</v>
      </c>
      <c r="I1540" s="1720"/>
      <c r="J1540" s="1721" t="str">
        <f>IF(T1595&gt;=$H$2505,S1592,I1592)</f>
        <v/>
      </c>
      <c r="K1540" s="1722" t="str">
        <f t="shared" si="132"/>
        <v/>
      </c>
      <c r="L1540" s="1722" t="str">
        <f t="shared" si="133"/>
        <v/>
      </c>
      <c r="M1540" s="1722" t="str">
        <f t="shared" si="134"/>
        <v/>
      </c>
      <c r="N1540" s="1723" t="str">
        <f t="shared" si="135"/>
        <v/>
      </c>
      <c r="O1540" s="698"/>
      <c r="P1540" s="729"/>
      <c r="Q1540" s="729"/>
      <c r="R1540" s="729"/>
      <c r="S1540" s="729"/>
      <c r="T1540" s="729"/>
      <c r="U1540" s="343"/>
      <c r="V1540" s="343"/>
    </row>
    <row r="1541" spans="1:22" s="364" customFormat="1" ht="12.75" hidden="1" customHeight="1" x14ac:dyDescent="0.3">
      <c r="A1541" s="729" t="str">
        <f t="shared" si="131"/>
        <v>ausblenden</v>
      </c>
      <c r="B1541" s="302"/>
      <c r="C1541" s="357"/>
      <c r="D1541" s="1698"/>
      <c r="E1541" s="398" t="s">
        <v>1442</v>
      </c>
      <c r="F1541" s="398"/>
      <c r="G1541" s="398"/>
      <c r="H1541" s="516" t="str">
        <f>EUconst_EUA</f>
        <v>Квота за емисии</v>
      </c>
      <c r="I1541" s="1720"/>
      <c r="J1541" s="1721" t="str">
        <f>IF(T1595&gt;=$H$2505,S1593,I1593)</f>
        <v/>
      </c>
      <c r="K1541" s="1722" t="str">
        <f t="shared" si="132"/>
        <v/>
      </c>
      <c r="L1541" s="1722" t="str">
        <f t="shared" si="133"/>
        <v/>
      </c>
      <c r="M1541" s="1722" t="str">
        <f t="shared" si="134"/>
        <v/>
      </c>
      <c r="N1541" s="1723" t="str">
        <f t="shared" si="135"/>
        <v/>
      </c>
      <c r="O1541" s="698"/>
      <c r="P1541" s="729"/>
      <c r="Q1541" s="729"/>
      <c r="R1541" s="729"/>
      <c r="S1541" s="729"/>
      <c r="T1541" s="729"/>
      <c r="U1541" s="343"/>
      <c r="V1541" s="343"/>
    </row>
    <row r="1542" spans="1:22" s="364" customFormat="1" ht="12.75" hidden="1" customHeight="1" x14ac:dyDescent="0.3">
      <c r="A1542" s="729" t="str">
        <f t="shared" si="131"/>
        <v>ausblenden</v>
      </c>
      <c r="B1542" s="302"/>
      <c r="C1542" s="357"/>
      <c r="D1542" s="1698"/>
      <c r="E1542" s="401" t="s">
        <v>1443</v>
      </c>
      <c r="F1542" s="401"/>
      <c r="G1542" s="401"/>
      <c r="H1542" s="483" t="s">
        <v>1052</v>
      </c>
      <c r="I1542" s="1724"/>
      <c r="J1542" s="1725" t="str">
        <f>IF(T1595&gt;=$H$2505,S1594,I1594)</f>
        <v/>
      </c>
      <c r="K1542" s="1726" t="str">
        <f>J1594</f>
        <v/>
      </c>
      <c r="L1542" s="1726" t="str">
        <f>K1594</f>
        <v/>
      </c>
      <c r="M1542" s="1726" t="str">
        <f>L1594</f>
        <v/>
      </c>
      <c r="N1542" s="1727" t="str">
        <f>M1594</f>
        <v/>
      </c>
      <c r="O1542" s="698"/>
      <c r="P1542" s="729"/>
      <c r="Q1542" s="729"/>
      <c r="R1542" s="729"/>
      <c r="S1542" s="729"/>
      <c r="T1542" s="729"/>
      <c r="U1542" s="343"/>
      <c r="V1542" s="343"/>
    </row>
    <row r="1543" spans="1:22" s="364" customFormat="1" ht="12.75" customHeight="1" x14ac:dyDescent="0.3">
      <c r="A1543" s="729"/>
      <c r="B1543" s="302"/>
      <c r="C1543" s="357"/>
      <c r="D1543" s="1698"/>
      <c r="E1543" s="388" t="str">
        <f>Translations!$B$1374</f>
        <v>Стойност на предварително разпределяне</v>
      </c>
      <c r="F1543" s="388"/>
      <c r="G1543" s="388"/>
      <c r="H1543" s="421" t="str">
        <f>EUconst_EUA</f>
        <v>Квота за емисии</v>
      </c>
      <c r="I1543" s="1728"/>
      <c r="J1543" s="1694" t="str">
        <f>IF($I1524="","",MAX(0,ROUND((SUM($M1527)*SUM(J1538)*SUM(J1542)-SUM(J1539)-SUM(J1540)+SUM(J1541))*IF($H1527=TRUE,1,J$2412)*IF($I1527=TRUE,INDEX(EUconst_CBAMFactor,J1533-2020),1),0)))</f>
        <v/>
      </c>
      <c r="K1543" s="406" t="str">
        <f>IF($I1524="","",MAX(0,ROUND((SUM($M1527)*SUM(K1538)*SUM(K1542)-SUM(K1539)-SUM(K1540)+SUM(K1541))*IF($H1527=TRUE,1,K$2412)*IF($I1527=TRUE,INDEX(EUconst_CBAMFactor,K1533-2020),1),0)))</f>
        <v/>
      </c>
      <c r="L1543" s="406" t="str">
        <f>IF($I1524="","",MAX(0,ROUND((SUM($M1527)*SUM(L1538)*SUM(L1542)-SUM(L1539)-SUM(L1540)+SUM(L1541))*IF($H1527=TRUE,1,L$2412)*IF($I1527=TRUE,INDEX(EUconst_CBAMFactor,L1533-2020),1),0)))</f>
        <v/>
      </c>
      <c r="M1543" s="406" t="str">
        <f>IF($I1524="","",MAX(0,ROUND((SUM($M1527)*SUM(M1538)*SUM(M1542)-SUM(M1539)-SUM(M1540)+SUM(M1541))*IF($H1527=TRUE,1,M$2412)*IF($I1527=TRUE,INDEX(EUconst_CBAMFactor,M1533-2020),1),0)))</f>
        <v/>
      </c>
      <c r="N1543" s="1729" t="str">
        <f>IF($I1524="","",MAX(0,ROUND((SUM($M1527)*SUM(N1538)*SUM(N1542)-SUM(N1539)-SUM(N1540)+SUM(N1541))*IF($H1527=TRUE,1,N$2412)*IF($I1527=TRUE,INDEX(EUconst_CBAMFactor,N1533-2020),1),0)))</f>
        <v/>
      </c>
      <c r="O1543" s="698"/>
      <c r="P1543" s="729"/>
      <c r="Q1543" s="729"/>
      <c r="R1543" s="729"/>
      <c r="S1543" s="729"/>
      <c r="T1543" s="729"/>
      <c r="U1543" s="343"/>
      <c r="V1543" s="343"/>
    </row>
    <row r="1544" spans="1:22" s="364" customFormat="1" ht="5.15" customHeight="1" x14ac:dyDescent="0.3">
      <c r="A1544" s="729"/>
      <c r="B1544" s="302"/>
      <c r="C1544" s="357"/>
      <c r="D1544" s="1698"/>
      <c r="E1544" s="357"/>
      <c r="F1544" s="357"/>
      <c r="G1544" s="357"/>
      <c r="H1544" s="357"/>
      <c r="I1544" s="357"/>
      <c r="J1544" s="357"/>
      <c r="K1544" s="357"/>
      <c r="L1544" s="357"/>
      <c r="M1544" s="357"/>
      <c r="N1544" s="1712"/>
      <c r="O1544" s="698"/>
      <c r="P1544" s="729"/>
      <c r="Q1544" s="729"/>
      <c r="R1544" s="729"/>
      <c r="S1544" s="729"/>
      <c r="T1544" s="729"/>
      <c r="U1544" s="343"/>
      <c r="V1544" s="343"/>
    </row>
    <row r="1545" spans="1:22" s="364" customFormat="1" ht="12.75" customHeight="1" x14ac:dyDescent="0.3">
      <c r="A1545" s="729"/>
      <c r="B1545" s="302"/>
      <c r="C1545" s="357"/>
      <c r="D1545" s="1698"/>
      <c r="E1545" s="389" t="str">
        <f>Translations!$B$1375</f>
        <v>Промени: Равнище на дейност</v>
      </c>
      <c r="F1545" s="498"/>
      <c r="G1545" s="498"/>
      <c r="H1545" s="527" t="str">
        <f>EUconst_Unit</f>
        <v>Единица мярка</v>
      </c>
      <c r="I1545" s="1699"/>
      <c r="J1545" s="1523">
        <f>J$2505</f>
        <v>2026</v>
      </c>
      <c r="K1545" s="387">
        <f>K$2505</f>
        <v>2027</v>
      </c>
      <c r="L1545" s="387">
        <f>L$2505</f>
        <v>2028</v>
      </c>
      <c r="M1545" s="387">
        <f>M$2505</f>
        <v>2029</v>
      </c>
      <c r="N1545" s="1544">
        <f>N$2505</f>
        <v>2030</v>
      </c>
      <c r="O1545" s="698"/>
      <c r="P1545" s="729"/>
      <c r="Q1545" s="729"/>
      <c r="R1545" s="729"/>
      <c r="S1545" s="729"/>
      <c r="T1545" s="729"/>
      <c r="U1545" s="343"/>
      <c r="V1545" s="343"/>
    </row>
    <row r="1546" spans="1:22" s="364" customFormat="1" ht="12.75" customHeight="1" x14ac:dyDescent="0.3">
      <c r="A1546" s="729"/>
      <c r="B1546" s="302"/>
      <c r="C1546" s="357"/>
      <c r="D1546" s="1698"/>
      <c r="E1546" s="392" t="str">
        <f>Translations!$B$1328</f>
        <v>Средна годишна стойност</v>
      </c>
      <c r="F1546" s="392"/>
      <c r="G1546" s="392"/>
      <c r="H1546" s="1730" t="str">
        <f>H1538</f>
        <v>тона</v>
      </c>
      <c r="I1546" s="1731"/>
      <c r="J1546" s="1732" t="str">
        <f>INDEX(F_ProductBM!J:J,MATCH($P1546,F_ProductBM!$Q:$Q,0))</f>
        <v/>
      </c>
      <c r="K1546" s="394" t="str">
        <f>INDEX(F_ProductBM!K:K,MATCH($P1546,F_ProductBM!$Q:$Q,0))</f>
        <v/>
      </c>
      <c r="L1546" s="394" t="str">
        <f>INDEX(F_ProductBM!L:L,MATCH($P1546,F_ProductBM!$Q:$Q,0))</f>
        <v/>
      </c>
      <c r="M1546" s="394" t="str">
        <f>INDEX(F_ProductBM!M:M,MATCH($P1546,F_ProductBM!$Q:$Q,0))</f>
        <v/>
      </c>
      <c r="N1546" s="1733" t="str">
        <f>INDEX(F_ProductBM!N:N,MATCH($P1546,F_ProductBM!$Q:$Q,0))</f>
        <v/>
      </c>
      <c r="O1546" s="698"/>
      <c r="P1546" s="1190" t="str">
        <f>EUconst_CNTR_HALinitial&amp;I1524</f>
        <v>HALini_</v>
      </c>
      <c r="Q1546" s="729"/>
      <c r="R1546" s="729"/>
      <c r="S1546" s="729"/>
      <c r="T1546" s="729"/>
      <c r="U1546" s="343"/>
      <c r="V1546" s="343"/>
    </row>
    <row r="1547" spans="1:22" s="364" customFormat="1" ht="12.75" customHeight="1" x14ac:dyDescent="0.3">
      <c r="A1547" s="729"/>
      <c r="B1547" s="302"/>
      <c r="C1547" s="357"/>
      <c r="D1547" s="1698"/>
      <c r="E1547" s="398" t="str">
        <f>Translations!$B$1376</f>
        <v>Промяна в сравнение с HAL</v>
      </c>
      <c r="F1547" s="398"/>
      <c r="G1547" s="398"/>
      <c r="H1547" s="1734" t="s">
        <v>1052</v>
      </c>
      <c r="I1547" s="1735"/>
      <c r="J1547" s="159" t="str">
        <f>INDEX(F_ProductBM!J:J,MATCH($P1547,F_ProductBM!$Q:$Q,0))</f>
        <v/>
      </c>
      <c r="K1547" s="160" t="str">
        <f>INDEX(F_ProductBM!K:K,MATCH($P1547,F_ProductBM!$Q:$Q,0))</f>
        <v/>
      </c>
      <c r="L1547" s="160" t="str">
        <f>INDEX(F_ProductBM!L:L,MATCH($P1547,F_ProductBM!$Q:$Q,0))</f>
        <v/>
      </c>
      <c r="M1547" s="160" t="str">
        <f>INDEX(F_ProductBM!M:M,MATCH($P1547,F_ProductBM!$Q:$Q,0))</f>
        <v/>
      </c>
      <c r="N1547" s="161" t="str">
        <f>INDEX(F_ProductBM!N:N,MATCH($P1547,F_ProductBM!$Q:$Q,0))</f>
        <v/>
      </c>
      <c r="O1547" s="698"/>
      <c r="P1547" s="1190" t="str">
        <f>EUconst_CNTR_RelThreshold &amp; P1549</f>
        <v>RelThresh_HALprelim_</v>
      </c>
      <c r="Q1547" s="729"/>
      <c r="R1547" s="729"/>
      <c r="S1547" s="729"/>
      <c r="T1547" s="729"/>
      <c r="U1547" s="343"/>
      <c r="V1547" s="343"/>
    </row>
    <row r="1548" spans="1:22" s="364" customFormat="1" ht="12.75" customHeight="1" x14ac:dyDescent="0.3">
      <c r="A1548" s="729"/>
      <c r="B1548" s="302"/>
      <c r="C1548" s="357"/>
      <c r="D1548" s="1698"/>
      <c r="E1548" s="1736" t="str">
        <f>Translations!$B$1368</f>
        <v>Критерий 3a: Надвишени ли са относителните прагове?</v>
      </c>
      <c r="F1548" s="1736"/>
      <c r="G1548" s="1736"/>
      <c r="H1548" s="1737" t="s">
        <v>1052</v>
      </c>
      <c r="I1548" s="1738"/>
      <c r="J1548" s="1739" t="str">
        <f>INDEX(F_ProductBM!V:V,MATCH($P1548,F_ProductBM!$Q:$Q,0)+1)</f>
        <v/>
      </c>
      <c r="K1548" s="1740" t="str">
        <f>INDEX(F_ProductBM!W:W,MATCH($P1548,F_ProductBM!$Q:$Q,0)+1)</f>
        <v/>
      </c>
      <c r="L1548" s="1740" t="str">
        <f>INDEX(F_ProductBM!X:X,MATCH($P1548,F_ProductBM!$Q:$Q,0)+1)</f>
        <v/>
      </c>
      <c r="M1548" s="1740" t="str">
        <f>INDEX(F_ProductBM!Y:Y,MATCH($P1548,F_ProductBM!$Q:$Q,0)+1)</f>
        <v/>
      </c>
      <c r="N1548" s="1741" t="str">
        <f>INDEX(F_ProductBM!Z:Z,MATCH($P1548,F_ProductBM!$Q:$Q,0)+1)</f>
        <v/>
      </c>
      <c r="O1548" s="698"/>
      <c r="P1548" s="1190" t="str">
        <f>P1547</f>
        <v>RelThresh_HALprelim_</v>
      </c>
      <c r="Q1548" s="729"/>
      <c r="R1548" s="729"/>
      <c r="S1548" s="729"/>
      <c r="T1548" s="729"/>
      <c r="U1548" s="343"/>
      <c r="V1548" s="343"/>
    </row>
    <row r="1549" spans="1:22" s="364" customFormat="1" ht="12.75" customHeight="1" x14ac:dyDescent="0.3">
      <c r="A1549" s="729" t="str">
        <f t="shared" ref="A1549" si="136">IF(P1549="","ausblenden","")</f>
        <v/>
      </c>
      <c r="B1549" s="302"/>
      <c r="C1549" s="357"/>
      <c r="D1549" s="1698"/>
      <c r="E1549" s="401" t="str">
        <f>Translations!$B$1377</f>
        <v>Предварителна стойност</v>
      </c>
      <c r="F1549" s="401"/>
      <c r="G1549" s="401"/>
      <c r="H1549" s="1742" t="str">
        <f>F1530</f>
        <v>тона</v>
      </c>
      <c r="I1549" s="401"/>
      <c r="J1549" s="1743" t="str">
        <f>INDEX(F_ProductBM!J:J,MATCH($P1549,F_ProductBM!$Q:$Q,0))</f>
        <v/>
      </c>
      <c r="K1549" s="1744" t="str">
        <f>INDEX(F_ProductBM!K:K,MATCH($P1549,F_ProductBM!$Q:$Q,0))</f>
        <v/>
      </c>
      <c r="L1549" s="1744" t="str">
        <f>INDEX(F_ProductBM!L:L,MATCH($P1549,F_ProductBM!$Q:$Q,0))</f>
        <v/>
      </c>
      <c r="M1549" s="1744" t="str">
        <f>INDEX(F_ProductBM!M:M,MATCH($P1549,F_ProductBM!$Q:$Q,0))</f>
        <v/>
      </c>
      <c r="N1549" s="1745" t="str">
        <f>INDEX(F_ProductBM!N:N,MATCH($P1549,F_ProductBM!$Q:$Q,0))</f>
        <v/>
      </c>
      <c r="O1549" s="698"/>
      <c r="P1549" s="1190" t="str">
        <f>EUconst_CNTR_HALprelim&amp;I1524</f>
        <v>HALprelim_</v>
      </c>
      <c r="Q1549" s="729"/>
      <c r="R1549" s="729"/>
      <c r="S1549" s="729"/>
      <c r="T1549" s="729"/>
      <c r="U1549" s="343"/>
      <c r="V1549" s="343"/>
    </row>
    <row r="1550" spans="1:22" s="364" customFormat="1" ht="5.15" customHeight="1" x14ac:dyDescent="0.3">
      <c r="A1550" s="729"/>
      <c r="B1550" s="302"/>
      <c r="C1550" s="357"/>
      <c r="D1550" s="1698"/>
      <c r="E1550" s="302"/>
      <c r="F1550" s="302"/>
      <c r="G1550" s="302"/>
      <c r="H1550" s="302"/>
      <c r="I1550" s="1746"/>
      <c r="J1550" s="302"/>
      <c r="K1550" s="302"/>
      <c r="L1550" s="302"/>
      <c r="M1550" s="302"/>
      <c r="N1550" s="1747"/>
      <c r="O1550" s="698"/>
      <c r="P1550" s="729"/>
      <c r="Q1550" s="729"/>
      <c r="R1550" s="729"/>
      <c r="S1550" s="729"/>
      <c r="T1550" s="729"/>
      <c r="U1550" s="343"/>
      <c r="V1550" s="343"/>
    </row>
    <row r="1551" spans="1:22" s="364" customFormat="1" ht="12.75" customHeight="1" x14ac:dyDescent="0.3">
      <c r="A1551" s="729"/>
      <c r="B1551" s="302"/>
      <c r="C1551" s="357"/>
      <c r="D1551" s="1698"/>
      <c r="E1551" s="389" t="str">
        <f>Translations!$B$1380</f>
        <v>Промени: Топлинна енергия извън СТЕ</v>
      </c>
      <c r="F1551" s="498"/>
      <c r="G1551" s="498"/>
      <c r="H1551" s="527" t="str">
        <f>EUconst_Unit</f>
        <v>Единица мярка</v>
      </c>
      <c r="I1551" s="1699"/>
      <c r="J1551" s="1523">
        <f>J$2505</f>
        <v>2026</v>
      </c>
      <c r="K1551" s="387">
        <f>K$2505</f>
        <v>2027</v>
      </c>
      <c r="L1551" s="387">
        <f>L$2505</f>
        <v>2028</v>
      </c>
      <c r="M1551" s="387">
        <f>M$2505</f>
        <v>2029</v>
      </c>
      <c r="N1551" s="1544">
        <f>N$2505</f>
        <v>2030</v>
      </c>
      <c r="O1551" s="698"/>
      <c r="P1551" s="729"/>
      <c r="Q1551" s="729"/>
      <c r="R1551" s="729"/>
      <c r="S1551" s="729"/>
      <c r="T1551" s="729"/>
      <c r="U1551" s="343"/>
      <c r="V1551" s="343"/>
    </row>
    <row r="1552" spans="1:22" s="364" customFormat="1" ht="12.75" customHeight="1" x14ac:dyDescent="0.3">
      <c r="A1552" s="729"/>
      <c r="B1552" s="302"/>
      <c r="C1552" s="357"/>
      <c r="D1552" s="1698"/>
      <c r="E1552" s="392" t="str">
        <f>Translations!$B$1328</f>
        <v>Средна годишна стойност</v>
      </c>
      <c r="F1552" s="392"/>
      <c r="G1552" s="392"/>
      <c r="H1552" s="485" t="str">
        <f>EUconst_EUA</f>
        <v>Квота за емисии</v>
      </c>
      <c r="I1552" s="1716"/>
      <c r="J1552" s="1732" t="str">
        <f>IF(R1530,SUM(INDEX(F_ProductBM!J:J,MATCH($P1552,F_ProductBM!$Q:$Q,0))),"")</f>
        <v/>
      </c>
      <c r="K1552" s="394" t="str">
        <f>IF(S1530,SUM(INDEX(F_ProductBM!K:K,MATCH($P1552,F_ProductBM!$Q:$Q,0))),"")</f>
        <v/>
      </c>
      <c r="L1552" s="394" t="str">
        <f>IF(T1530,SUM(INDEX(F_ProductBM!L:L,MATCH($P1552,F_ProductBM!$Q:$Q,0))),"")</f>
        <v/>
      </c>
      <c r="M1552" s="394" t="str">
        <f>IF(U1530,SUM(INDEX(F_ProductBM!M:M,MATCH($P1552,F_ProductBM!$Q:$Q,0))),"")</f>
        <v/>
      </c>
      <c r="N1552" s="1733" t="str">
        <f>IF(V1530,SUM(INDEX(F_ProductBM!N:N,MATCH($P1552,F_ProductBM!$Q:$Q,0))),"")</f>
        <v/>
      </c>
      <c r="O1552" s="698"/>
      <c r="P1552" s="1190" t="str">
        <f>EUconst_CNTR_HEATInitial &amp; I1524</f>
        <v>HEATIni_</v>
      </c>
      <c r="Q1552" s="729"/>
      <c r="R1552" s="729"/>
      <c r="S1552" s="729"/>
      <c r="T1552" s="729"/>
      <c r="U1552" s="343"/>
      <c r="V1552" s="343"/>
    </row>
    <row r="1553" spans="1:22" s="364" customFormat="1" ht="12.75" customHeight="1" x14ac:dyDescent="0.3">
      <c r="A1553" s="729"/>
      <c r="B1553" s="302"/>
      <c r="C1553" s="357"/>
      <c r="D1553" s="1698"/>
      <c r="E1553" s="398" t="str">
        <f>Translations!$B$1378</f>
        <v>Промяна в сравнение със стойността в НМИ</v>
      </c>
      <c r="F1553" s="398"/>
      <c r="G1553" s="398"/>
      <c r="H1553" s="1734" t="s">
        <v>1052</v>
      </c>
      <c r="I1553" s="1735"/>
      <c r="J1553" s="159" t="str">
        <f>INDEX(F_ProductBM!J:J,MATCH($P1553,F_ProductBM!$Q:$Q,0))</f>
        <v/>
      </c>
      <c r="K1553" s="160" t="str">
        <f>INDEX(F_ProductBM!K:K,MATCH($P1553,F_ProductBM!$Q:$Q,0))</f>
        <v/>
      </c>
      <c r="L1553" s="160" t="str">
        <f>INDEX(F_ProductBM!L:L,MATCH($P1553,F_ProductBM!$Q:$Q,0))</f>
        <v/>
      </c>
      <c r="M1553" s="160" t="str">
        <f>INDEX(F_ProductBM!M:M,MATCH($P1553,F_ProductBM!$Q:$Q,0))</f>
        <v/>
      </c>
      <c r="N1553" s="161" t="str">
        <f>INDEX(F_ProductBM!N:N,MATCH($P1553,F_ProductBM!$Q:$Q,0))</f>
        <v/>
      </c>
      <c r="O1553" s="698"/>
      <c r="P1553" s="1190" t="str">
        <f>EUconst_CNTR_RelThreshold &amp; P1555</f>
        <v>RelThresh_HEATprelim_</v>
      </c>
      <c r="Q1553" s="729"/>
      <c r="R1553" s="729"/>
      <c r="S1553" s="729"/>
      <c r="T1553" s="729"/>
      <c r="U1553" s="343"/>
      <c r="V1553" s="343"/>
    </row>
    <row r="1554" spans="1:22" s="364" customFormat="1" ht="12.75" customHeight="1" x14ac:dyDescent="0.3">
      <c r="A1554" s="729"/>
      <c r="B1554" s="302"/>
      <c r="C1554" s="357"/>
      <c r="D1554" s="1698"/>
      <c r="E1554" s="1736" t="str">
        <f>Translations!$B$1379</f>
        <v>Критерий 3б: Надвишени ли са относителните прагове?</v>
      </c>
      <c r="F1554" s="1736"/>
      <c r="G1554" s="1736"/>
      <c r="H1554" s="1737" t="s">
        <v>1052</v>
      </c>
      <c r="I1554" s="1738"/>
      <c r="J1554" s="1739" t="str">
        <f>INDEX(F_ProductBM!V:V,MATCH($P1554,F_ProductBM!$Q:$Q,0))</f>
        <v/>
      </c>
      <c r="K1554" s="1740" t="str">
        <f>INDEX(F_ProductBM!W:W,MATCH($P1554,F_ProductBM!$Q:$Q,0))</f>
        <v/>
      </c>
      <c r="L1554" s="1740" t="str">
        <f>INDEX(F_ProductBM!X:X,MATCH($P1554,F_ProductBM!$Q:$Q,0))</f>
        <v/>
      </c>
      <c r="M1554" s="1740" t="str">
        <f>INDEX(F_ProductBM!Y:Y,MATCH($P1554,F_ProductBM!$Q:$Q,0))</f>
        <v/>
      </c>
      <c r="N1554" s="1741" t="str">
        <f>INDEX(F_ProductBM!Z:Z,MATCH($P1554,F_ProductBM!$Q:$Q,0))</f>
        <v/>
      </c>
      <c r="O1554" s="698"/>
      <c r="P1554" s="1190" t="str">
        <f>P1553</f>
        <v>RelThresh_HEATprelim_</v>
      </c>
      <c r="Q1554" s="729"/>
      <c r="R1554" s="729"/>
      <c r="S1554" s="729"/>
      <c r="T1554" s="729"/>
      <c r="U1554" s="343"/>
      <c r="V1554" s="343"/>
    </row>
    <row r="1555" spans="1:22" s="364" customFormat="1" ht="12.75" customHeight="1" x14ac:dyDescent="0.3">
      <c r="A1555" s="729" t="str">
        <f>IF(P1555="","ausblenden","")</f>
        <v/>
      </c>
      <c r="B1555" s="302"/>
      <c r="C1555" s="357"/>
      <c r="D1555" s="1698"/>
      <c r="E1555" s="401" t="str">
        <f>Translations!$B$1377</f>
        <v>Предварителна стойност</v>
      </c>
      <c r="F1555" s="401"/>
      <c r="G1555" s="401"/>
      <c r="H1555" s="487" t="str">
        <f>EUconst_EUA</f>
        <v>Квота за емисии</v>
      </c>
      <c r="I1555" s="401"/>
      <c r="J1555" s="1743" t="str">
        <f>IF($I1524="","",INDEX(F_ProductBM!J:J,MATCH($P1555,F_ProductBM!$Q:$Q,0)))</f>
        <v/>
      </c>
      <c r="K1555" s="1744" t="str">
        <f>IF($I1524="","",INDEX(F_ProductBM!K:K,MATCH($P1555,F_ProductBM!$Q:$Q,0)))</f>
        <v/>
      </c>
      <c r="L1555" s="1744" t="str">
        <f>IF($I1524="","",INDEX(F_ProductBM!L:L,MATCH($P1555,F_ProductBM!$Q:$Q,0)))</f>
        <v/>
      </c>
      <c r="M1555" s="1744" t="str">
        <f>IF($I1524="","",INDEX(F_ProductBM!M:M,MATCH($P1555,F_ProductBM!$Q:$Q,0)))</f>
        <v/>
      </c>
      <c r="N1555" s="1745" t="str">
        <f>IF($I1524="","",INDEX(F_ProductBM!N:N,MATCH($P1555,F_ProductBM!$Q:$Q,0)))</f>
        <v/>
      </c>
      <c r="O1555" s="698"/>
      <c r="P1555" s="1190" t="str">
        <f>EUconst_CNTR_HEATprelim&amp;I1524</f>
        <v>HEATprelim_</v>
      </c>
      <c r="Q1555" s="729"/>
      <c r="R1555" s="729"/>
      <c r="S1555" s="729"/>
      <c r="T1555" s="729"/>
      <c r="U1555" s="343"/>
      <c r="V1555" s="343"/>
    </row>
    <row r="1556" spans="1:22" s="364" customFormat="1" ht="5.15" customHeight="1" x14ac:dyDescent="0.3">
      <c r="A1556" s="729"/>
      <c r="B1556" s="302"/>
      <c r="C1556" s="357"/>
      <c r="D1556" s="1698"/>
      <c r="E1556" s="302"/>
      <c r="F1556" s="302"/>
      <c r="G1556" s="302"/>
      <c r="H1556" s="302"/>
      <c r="I1556" s="1746"/>
      <c r="J1556" s="302"/>
      <c r="K1556" s="302"/>
      <c r="L1556" s="302"/>
      <c r="M1556" s="302"/>
      <c r="N1556" s="1747"/>
      <c r="O1556" s="698"/>
      <c r="P1556" s="729"/>
      <c r="Q1556" s="729"/>
      <c r="R1556" s="729"/>
      <c r="S1556" s="729"/>
      <c r="T1556" s="729"/>
      <c r="U1556" s="343"/>
      <c r="V1556" s="343"/>
    </row>
    <row r="1557" spans="1:22" s="364" customFormat="1" ht="12.75" customHeight="1" x14ac:dyDescent="0.3">
      <c r="A1557" s="729"/>
      <c r="B1557" s="302"/>
      <c r="C1557" s="357"/>
      <c r="D1557" s="1698"/>
      <c r="E1557" s="389" t="str">
        <f>Translations!$B$1382</f>
        <v>Промени: Корекция за ценни химически вещества (HVC)</v>
      </c>
      <c r="F1557" s="498"/>
      <c r="G1557" s="498"/>
      <c r="H1557" s="527" t="str">
        <f>EUconst_Unit</f>
        <v>Единица мярка</v>
      </c>
      <c r="I1557" s="1699"/>
      <c r="J1557" s="1523">
        <f>J$2505</f>
        <v>2026</v>
      </c>
      <c r="K1557" s="387">
        <f>K$2505</f>
        <v>2027</v>
      </c>
      <c r="L1557" s="387">
        <f>L$2505</f>
        <v>2028</v>
      </c>
      <c r="M1557" s="387">
        <f>M$2505</f>
        <v>2029</v>
      </c>
      <c r="N1557" s="1544">
        <f>N$2505</f>
        <v>2030</v>
      </c>
      <c r="O1557" s="698"/>
      <c r="P1557" s="729"/>
      <c r="Q1557" s="729"/>
      <c r="R1557" s="729"/>
      <c r="S1557" s="729"/>
      <c r="T1557" s="729"/>
      <c r="U1557" s="343"/>
      <c r="V1557" s="343"/>
    </row>
    <row r="1558" spans="1:22" s="364" customFormat="1" ht="12.75" customHeight="1" x14ac:dyDescent="0.3">
      <c r="A1558" s="729"/>
      <c r="B1558" s="302"/>
      <c r="C1558" s="357"/>
      <c r="D1558" s="1698"/>
      <c r="E1558" s="392" t="str">
        <f>Translations!$B$1328</f>
        <v>Средна годишна стойност</v>
      </c>
      <c r="F1558" s="392"/>
      <c r="G1558" s="392"/>
      <c r="H1558" s="481" t="str">
        <f>EUconst_EUA</f>
        <v>Квота за емисии</v>
      </c>
      <c r="I1558" s="1716"/>
      <c r="J1558" s="1748" t="str">
        <f>IF(L1527=42,INDEX(H_SpecialBM!J:J,MATCH($P1558,H_SpecialBM!$Q:$Q,0)),"")</f>
        <v/>
      </c>
      <c r="K1558" s="1749" t="str">
        <f>IF(L1527=42,INDEX(H_SpecialBM!K:K,MATCH($P1558,H_SpecialBM!$Q:$Q,0)),"")</f>
        <v/>
      </c>
      <c r="L1558" s="1749" t="str">
        <f>IF(L1527=42,INDEX(H_SpecialBM!L:L,MATCH($P1558,H_SpecialBM!$Q:$Q,0)),"")</f>
        <v/>
      </c>
      <c r="M1558" s="1749" t="str">
        <f>IF(L1527=42,INDEX(H_SpecialBM!M:M,MATCH($P1558,H_SpecialBM!$Q:$Q,0)),"")</f>
        <v/>
      </c>
      <c r="N1558" s="1750" t="str">
        <f>IF(L1527=42,INDEX(H_SpecialBM!N:N,MATCH($P1558,H_SpecialBM!$Q:$Q,0)),"")</f>
        <v/>
      </c>
      <c r="O1558" s="698"/>
      <c r="P1558" s="1190" t="str">
        <f>EUconst_CNTR_HVCInitial &amp; INDEX(EUconst_BMlistNames,MATCH(42,EUconst_BMlistMainNumberOfBM,0))</f>
        <v>HVCIni_Крекинг с водна пара</v>
      </c>
      <c r="Q1558" s="729"/>
      <c r="R1558" s="729"/>
      <c r="S1558" s="729"/>
      <c r="T1558" s="729"/>
      <c r="U1558" s="343"/>
      <c r="V1558" s="343"/>
    </row>
    <row r="1559" spans="1:22" s="364" customFormat="1" ht="12.75" customHeight="1" x14ac:dyDescent="0.3">
      <c r="A1559" s="729"/>
      <c r="B1559" s="302"/>
      <c r="C1559" s="357"/>
      <c r="D1559" s="1698"/>
      <c r="E1559" s="398" t="str">
        <f>Translations!$B$1378</f>
        <v>Промяна в сравнение със стойността в НМИ</v>
      </c>
      <c r="F1559" s="398"/>
      <c r="G1559" s="398"/>
      <c r="H1559" s="1751" t="s">
        <v>1052</v>
      </c>
      <c r="I1559" s="1735"/>
      <c r="J1559" s="159" t="str">
        <f>IF(L1527=42,INDEX(H_SpecialBM!J:J,MATCH($P1559,H_SpecialBM!$Q:$Q,0)),"")</f>
        <v/>
      </c>
      <c r="K1559" s="160" t="str">
        <f>IF(L1527=42,INDEX(H_SpecialBM!K:K,MATCH($P1559,H_SpecialBM!$Q:$Q,0)),"")</f>
        <v/>
      </c>
      <c r="L1559" s="160" t="str">
        <f>IF(L1527=42,INDEX(H_SpecialBM!L:L,MATCH($P1559,H_SpecialBM!$Q:$Q,0)),"")</f>
        <v/>
      </c>
      <c r="M1559" s="160" t="str">
        <f>IF(L1527=42,INDEX(H_SpecialBM!M:M,MATCH($P1559,H_SpecialBM!$Q:$Q,0)),"")</f>
        <v/>
      </c>
      <c r="N1559" s="161" t="str">
        <f>IF(L1527=42,INDEX(H_SpecialBM!N:N,MATCH($P1559,H_SpecialBM!$Q:$Q,0)),"")</f>
        <v/>
      </c>
      <c r="O1559" s="698"/>
      <c r="P1559" s="1190" t="str">
        <f>EUconst_CNTR_RelThreshold &amp; P1561</f>
        <v>RelThresh_HVCprelim_</v>
      </c>
      <c r="Q1559" s="729"/>
      <c r="R1559" s="729"/>
      <c r="S1559" s="729"/>
      <c r="T1559" s="729"/>
      <c r="U1559" s="343"/>
      <c r="V1559" s="343"/>
    </row>
    <row r="1560" spans="1:22" s="364" customFormat="1" ht="12.75" customHeight="1" x14ac:dyDescent="0.3">
      <c r="A1560" s="729"/>
      <c r="B1560" s="302"/>
      <c r="C1560" s="357"/>
      <c r="D1560" s="1698"/>
      <c r="E1560" s="1736" t="str">
        <f>Translations!$B$1381</f>
        <v>Критерий 3в: Надвишени ли са относителните прагове?</v>
      </c>
      <c r="F1560" s="1736"/>
      <c r="G1560" s="1736"/>
      <c r="H1560" s="1738" t="s">
        <v>1052</v>
      </c>
      <c r="I1560" s="1738"/>
      <c r="J1560" s="1739" t="str">
        <f>IF(L1527=42,INDEX(H_SpecialBM!V:V,MATCH($P1560,H_SpecialBM!$Q:$Q,0)),"")</f>
        <v/>
      </c>
      <c r="K1560" s="1740" t="str">
        <f>IF(L1527=42,INDEX(H_SpecialBM!W:W,MATCH($P1560,H_SpecialBM!$Q:$Q,0)),"")</f>
        <v/>
      </c>
      <c r="L1560" s="1740" t="str">
        <f>IF(L1527=42,INDEX(H_SpecialBM!X:X,MATCH($P1560,H_SpecialBM!$Q:$Q,0)),"")</f>
        <v/>
      </c>
      <c r="M1560" s="1740" t="str">
        <f>IF(L1527=42,INDEX(H_SpecialBM!Y:Y,MATCH($P1560,H_SpecialBM!$Q:$Q,0)),"")</f>
        <v/>
      </c>
      <c r="N1560" s="1741" t="str">
        <f>IF(L1527=42,INDEX(H_SpecialBM!Z:Z,MATCH($P1560,H_SpecialBM!$Q:$Q,0)),"")</f>
        <v/>
      </c>
      <c r="O1560" s="698"/>
      <c r="P1560" s="1190" t="str">
        <f>P1559</f>
        <v>RelThresh_HVCprelim_</v>
      </c>
      <c r="Q1560" s="729"/>
      <c r="R1560" s="729"/>
      <c r="S1560" s="729"/>
      <c r="T1560" s="729"/>
      <c r="U1560" s="343"/>
      <c r="V1560" s="343"/>
    </row>
    <row r="1561" spans="1:22" s="364" customFormat="1" ht="12.75" customHeight="1" x14ac:dyDescent="0.3">
      <c r="A1561" s="729" t="str">
        <f>IF(P1561="","ausblenden","")</f>
        <v/>
      </c>
      <c r="B1561" s="302"/>
      <c r="C1561" s="357"/>
      <c r="D1561" s="1698"/>
      <c r="E1561" s="401" t="str">
        <f>Translations!$B$1377</f>
        <v>Предварителна стойност</v>
      </c>
      <c r="F1561" s="401"/>
      <c r="G1561" s="401"/>
      <c r="H1561" s="483" t="str">
        <f>EUconst_EUA</f>
        <v>Квота за емисии</v>
      </c>
      <c r="I1561" s="1724"/>
      <c r="J1561" s="1752" t="str">
        <f>IF($L1527=42,INDEX(H_SpecialBM!J:J,MATCH($P1561,H_SpecialBM!$Q:$Q,0)),"")</f>
        <v/>
      </c>
      <c r="K1561" s="1753" t="str">
        <f>IF($L1527=42,INDEX(H_SpecialBM!K:K,MATCH($P1561,H_SpecialBM!$Q:$Q,0)),"")</f>
        <v/>
      </c>
      <c r="L1561" s="1753" t="str">
        <f>IF($L1527=42,INDEX(H_SpecialBM!L:L,MATCH($P1561,H_SpecialBM!$Q:$Q,0)),"")</f>
        <v/>
      </c>
      <c r="M1561" s="1753" t="str">
        <f>IF($L1527=42,INDEX(H_SpecialBM!M:M,MATCH($P1561,H_SpecialBM!$Q:$Q,0)),"")</f>
        <v/>
      </c>
      <c r="N1561" s="1754" t="str">
        <f>IF($L1527=42,INDEX(H_SpecialBM!N:N,MATCH($P1561,H_SpecialBM!$Q:$Q,0)),"")</f>
        <v/>
      </c>
      <c r="O1561" s="698"/>
      <c r="P1561" s="1190" t="str">
        <f>EUconst_CNTR_HVCprelim</f>
        <v>HVCprelim_</v>
      </c>
      <c r="Q1561" s="729"/>
      <c r="R1561" s="729"/>
      <c r="S1561" s="729"/>
      <c r="T1561" s="729"/>
      <c r="U1561" s="343"/>
      <c r="V1561" s="343"/>
    </row>
    <row r="1562" spans="1:22" s="364" customFormat="1" ht="5.15" customHeight="1" x14ac:dyDescent="0.3">
      <c r="A1562" s="729"/>
      <c r="B1562" s="302"/>
      <c r="C1562" s="357"/>
      <c r="D1562" s="1698"/>
      <c r="E1562" s="302"/>
      <c r="F1562" s="302"/>
      <c r="G1562" s="302"/>
      <c r="H1562" s="302"/>
      <c r="I1562" s="1746"/>
      <c r="J1562" s="302"/>
      <c r="K1562" s="302"/>
      <c r="L1562" s="302"/>
      <c r="M1562" s="302"/>
      <c r="N1562" s="1747"/>
      <c r="O1562" s="698"/>
      <c r="P1562" s="729"/>
      <c r="Q1562" s="729"/>
      <c r="R1562" s="729"/>
      <c r="S1562" s="729"/>
      <c r="T1562" s="729"/>
      <c r="U1562" s="343"/>
      <c r="V1562" s="343"/>
    </row>
    <row r="1563" spans="1:22" s="364" customFormat="1" ht="12.75" customHeight="1" x14ac:dyDescent="0.3">
      <c r="A1563" s="729"/>
      <c r="B1563" s="302"/>
      <c r="C1563" s="357"/>
      <c r="D1563" s="1698"/>
      <c r="E1563" s="389" t="str">
        <f>Translations!$B$1384</f>
        <v>Промени: Корекция за винилхлориден мономер (VCM)</v>
      </c>
      <c r="F1563" s="498"/>
      <c r="G1563" s="498"/>
      <c r="H1563" s="527" t="str">
        <f>EUconst_Unit</f>
        <v>Единица мярка</v>
      </c>
      <c r="I1563" s="1699"/>
      <c r="J1563" s="1523">
        <f>J$2505</f>
        <v>2026</v>
      </c>
      <c r="K1563" s="387">
        <f>K$2505</f>
        <v>2027</v>
      </c>
      <c r="L1563" s="387">
        <f>L$2505</f>
        <v>2028</v>
      </c>
      <c r="M1563" s="387">
        <f>M$2505</f>
        <v>2029</v>
      </c>
      <c r="N1563" s="1544">
        <f>N$2505</f>
        <v>2030</v>
      </c>
      <c r="O1563" s="698"/>
      <c r="P1563" s="729"/>
      <c r="Q1563" s="729"/>
      <c r="R1563" s="729"/>
      <c r="S1563" s="729"/>
      <c r="T1563" s="729"/>
      <c r="U1563" s="343"/>
      <c r="V1563" s="343"/>
    </row>
    <row r="1564" spans="1:22" s="364" customFormat="1" ht="12.75" customHeight="1" x14ac:dyDescent="0.3">
      <c r="A1564" s="729"/>
      <c r="B1564" s="302"/>
      <c r="C1564" s="357"/>
      <c r="D1564" s="1698"/>
      <c r="E1564" s="392" t="str">
        <f>Translations!$B$1328</f>
        <v>Средна годишна стойност</v>
      </c>
      <c r="F1564" s="392"/>
      <c r="G1564" s="392"/>
      <c r="H1564" s="485" t="s">
        <v>1052</v>
      </c>
      <c r="I1564" s="1716"/>
      <c r="J1564" s="1755" t="str">
        <f>IF(L1527=47,INDEX(H_SpecialBM!J:J,MATCH($P1564,H_SpecialBM!$Q:$Q,0)),"")</f>
        <v/>
      </c>
      <c r="K1564" s="1756" t="str">
        <f>IF(L1527=47,INDEX(H_SpecialBM!K:K,MATCH($P1564,H_SpecialBM!$Q:$Q,0)),"")</f>
        <v/>
      </c>
      <c r="L1564" s="1756" t="str">
        <f>IF(L1527=47,INDEX(H_SpecialBM!L:L,MATCH($P1564,H_SpecialBM!$Q:$Q,0)),"")</f>
        <v/>
      </c>
      <c r="M1564" s="1756" t="str">
        <f>IF(L1527=47,INDEX(H_SpecialBM!M:M,MATCH($P1564,H_SpecialBM!$Q:$Q,0)),"")</f>
        <v/>
      </c>
      <c r="N1564" s="1757" t="str">
        <f>IF(L1527=47,INDEX(H_SpecialBM!N:N,MATCH($P1564,H_SpecialBM!$Q:$Q,0)),"")</f>
        <v/>
      </c>
      <c r="O1564" s="698"/>
      <c r="P1564" s="1190" t="str">
        <f>EUconst_CNTR_VCMInitial &amp; INDEX(EUconst_BMlistNames,MATCH(47,EUconst_BMlistMainNumberOfBM,0))</f>
        <v>VCMIni_Винилхлориден мономер</v>
      </c>
      <c r="Q1564" s="729"/>
      <c r="R1564" s="729"/>
      <c r="S1564" s="729"/>
      <c r="T1564" s="729"/>
      <c r="U1564" s="343"/>
      <c r="V1564" s="343"/>
    </row>
    <row r="1565" spans="1:22" s="364" customFormat="1" ht="12.75" customHeight="1" x14ac:dyDescent="0.3">
      <c r="A1565" s="729"/>
      <c r="B1565" s="302"/>
      <c r="C1565" s="357"/>
      <c r="D1565" s="1698"/>
      <c r="E1565" s="398" t="str">
        <f>Translations!$B$1378</f>
        <v>Промяна в сравнение със стойността в НМИ</v>
      </c>
      <c r="F1565" s="398"/>
      <c r="G1565" s="398"/>
      <c r="H1565" s="1751" t="s">
        <v>1052</v>
      </c>
      <c r="I1565" s="1735"/>
      <c r="J1565" s="159" t="str">
        <f>IF(L1527=47,INDEX(H_SpecialBM!J:J,MATCH($P1565,H_SpecialBM!$Q:$Q,0)),"")</f>
        <v/>
      </c>
      <c r="K1565" s="160" t="str">
        <f>IF(L1527=47,INDEX(H_SpecialBM!K:K,MATCH($P1565,H_SpecialBM!$Q:$Q,0)),"")</f>
        <v/>
      </c>
      <c r="L1565" s="160" t="str">
        <f>IF(L1527=47,INDEX(H_SpecialBM!L:L,MATCH($P1565,H_SpecialBM!$Q:$Q,0)),"")</f>
        <v/>
      </c>
      <c r="M1565" s="160" t="str">
        <f>IF(L1527=47,INDEX(H_SpecialBM!M:M,MATCH($P1565,H_SpecialBM!$Q:$Q,0)),"")</f>
        <v/>
      </c>
      <c r="N1565" s="161" t="str">
        <f>IF(L1527=47,INDEX(H_SpecialBM!N:N,MATCH($P1565,H_SpecialBM!$Q:$Q,0)),"")</f>
        <v/>
      </c>
      <c r="O1565" s="698"/>
      <c r="P1565" s="1190" t="str">
        <f>EUconst_CNTR_RelThreshold &amp; P1567</f>
        <v>RelThresh_VCMprelim_</v>
      </c>
      <c r="Q1565" s="729"/>
      <c r="R1565" s="729"/>
      <c r="S1565" s="729"/>
      <c r="T1565" s="729"/>
      <c r="U1565" s="343"/>
      <c r="V1565" s="343"/>
    </row>
    <row r="1566" spans="1:22" s="364" customFormat="1" ht="12.75" customHeight="1" x14ac:dyDescent="0.3">
      <c r="A1566" s="729"/>
      <c r="B1566" s="302"/>
      <c r="C1566" s="357"/>
      <c r="D1566" s="1698"/>
      <c r="E1566" s="1736" t="str">
        <f>Translations!$B$1383</f>
        <v>Критерий 3г: Надвишени ли са относителните прагове?</v>
      </c>
      <c r="F1566" s="1736"/>
      <c r="G1566" s="1736"/>
      <c r="H1566" s="1738" t="s">
        <v>1052</v>
      </c>
      <c r="I1566" s="1738"/>
      <c r="J1566" s="1739" t="str">
        <f>IF(L1527=47,INDEX(H_SpecialBM!V:V,MATCH($P1566,H_SpecialBM!$Q:$Q,0)),"")</f>
        <v/>
      </c>
      <c r="K1566" s="1740" t="str">
        <f>IF(L1527=47,INDEX(H_SpecialBM!W:W,MATCH($P1566,H_SpecialBM!$Q:$Q,0)),"")</f>
        <v/>
      </c>
      <c r="L1566" s="1740" t="str">
        <f>IF(L1527=47,INDEX(H_SpecialBM!X:X,MATCH($P1566,H_SpecialBM!$Q:$Q,0)),"")</f>
        <v/>
      </c>
      <c r="M1566" s="1740" t="str">
        <f>IF(L1527=47,INDEX(H_SpecialBM!Y:Y,MATCH($P1566,H_SpecialBM!$Q:$Q,0)),"")</f>
        <v/>
      </c>
      <c r="N1566" s="1741" t="str">
        <f>IF(L1527=47,INDEX(H_SpecialBM!Z:Z,MATCH($P1566,H_SpecialBM!$Q:$Q,0)),"")</f>
        <v/>
      </c>
      <c r="O1566" s="698"/>
      <c r="P1566" s="1190" t="str">
        <f>P1565</f>
        <v>RelThresh_VCMprelim_</v>
      </c>
      <c r="Q1566" s="729"/>
      <c r="R1566" s="729"/>
      <c r="S1566" s="729"/>
      <c r="T1566" s="729"/>
      <c r="U1566" s="343"/>
      <c r="V1566" s="343"/>
    </row>
    <row r="1567" spans="1:22" s="364" customFormat="1" ht="12.75" customHeight="1" x14ac:dyDescent="0.3">
      <c r="A1567" s="729" t="str">
        <f>IF(P1567="","ausblenden","")</f>
        <v/>
      </c>
      <c r="B1567" s="302"/>
      <c r="C1567" s="357"/>
      <c r="D1567" s="1698"/>
      <c r="E1567" s="401" t="str">
        <f>Translations!$B$1377</f>
        <v>Предварителна стойност</v>
      </c>
      <c r="F1567" s="401"/>
      <c r="G1567" s="401"/>
      <c r="H1567" s="483" t="s">
        <v>1052</v>
      </c>
      <c r="I1567" s="1724"/>
      <c r="J1567" s="1758" t="str">
        <f>IF($L1527=47,IF(ISNUMBER(INDEX(H_SpecialBM!J:J,MATCH($P1567,H_SpecialBM!$Q:$Q,0))),INDEX(H_SpecialBM!J:J,MATCH($P1567,H_SpecialBM!$Q:$Q,0)),1),"")</f>
        <v/>
      </c>
      <c r="K1567" s="1759" t="str">
        <f>IF($L1527=47,IF(ISNUMBER(INDEX(H_SpecialBM!K:K,MATCH($P1567,H_SpecialBM!$Q:$Q,0))),INDEX(H_SpecialBM!K:K,MATCH($P1567,H_SpecialBM!$Q:$Q,0)),1),"")</f>
        <v/>
      </c>
      <c r="L1567" s="1759" t="str">
        <f>IF($L1527=47,IF(ISNUMBER(INDEX(H_SpecialBM!L:L,MATCH($P1567,H_SpecialBM!$Q:$Q,0))),INDEX(H_SpecialBM!L:L,MATCH($P1567,H_SpecialBM!$Q:$Q,0)),1),"")</f>
        <v/>
      </c>
      <c r="M1567" s="1759" t="str">
        <f>IF($L1527=47,IF(ISNUMBER(INDEX(H_SpecialBM!M:M,MATCH($P1567,H_SpecialBM!$Q:$Q,0))),INDEX(H_SpecialBM!M:M,MATCH($P1567,H_SpecialBM!$Q:$Q,0)),1),"")</f>
        <v/>
      </c>
      <c r="N1567" s="1760" t="str">
        <f>IF($L1527=47,IF(ISNUMBER(INDEX(H_SpecialBM!N:N,MATCH($P1567,H_SpecialBM!$Q:$Q,0))),INDEX(H_SpecialBM!N:N,MATCH($P1567,H_SpecialBM!$Q:$Q,0)),1),"")</f>
        <v/>
      </c>
      <c r="O1567" s="698"/>
      <c r="P1567" s="1190" t="str">
        <f>EUconst_CNTR_VCMprelim</f>
        <v>VCMprelim_</v>
      </c>
      <c r="Q1567" s="729"/>
      <c r="R1567" s="729"/>
      <c r="S1567" s="729"/>
      <c r="T1567" s="729"/>
      <c r="U1567" s="343"/>
      <c r="V1567" s="343"/>
    </row>
    <row r="1568" spans="1:22" s="364" customFormat="1" ht="5.15" customHeight="1" x14ac:dyDescent="0.3">
      <c r="A1568" s="729"/>
      <c r="B1568" s="302"/>
      <c r="C1568" s="357"/>
      <c r="D1568" s="1698"/>
      <c r="E1568" s="302"/>
      <c r="F1568" s="302"/>
      <c r="G1568" s="302"/>
      <c r="H1568" s="302"/>
      <c r="I1568" s="1746"/>
      <c r="J1568" s="302"/>
      <c r="K1568" s="302"/>
      <c r="L1568" s="302"/>
      <c r="M1568" s="302"/>
      <c r="N1568" s="1747"/>
      <c r="O1568" s="698"/>
      <c r="P1568" s="729"/>
      <c r="Q1568" s="729"/>
      <c r="R1568" s="729"/>
      <c r="S1568" s="729"/>
      <c r="T1568" s="729"/>
      <c r="U1568" s="343"/>
      <c r="V1568" s="343"/>
    </row>
    <row r="1569" spans="1:22" s="364" customFormat="1" ht="12.75" customHeight="1" x14ac:dyDescent="0.3">
      <c r="A1569" s="729"/>
      <c r="B1569" s="302"/>
      <c r="C1569" s="357"/>
      <c r="D1569" s="1698"/>
      <c r="E1569" s="389" t="str">
        <f>Translations!$B$1386</f>
        <v>Промени: Изгорен във факел отпаден газ</v>
      </c>
      <c r="F1569" s="498"/>
      <c r="G1569" s="498"/>
      <c r="H1569" s="527" t="str">
        <f>EUconst_Unit</f>
        <v>Единица мярка</v>
      </c>
      <c r="I1569" s="1699"/>
      <c r="J1569" s="1523">
        <f>J$2505</f>
        <v>2026</v>
      </c>
      <c r="K1569" s="387">
        <f>K$2505</f>
        <v>2027</v>
      </c>
      <c r="L1569" s="387">
        <f>L$2505</f>
        <v>2028</v>
      </c>
      <c r="M1569" s="387">
        <f>M$2505</f>
        <v>2029</v>
      </c>
      <c r="N1569" s="1544">
        <f>N$2505</f>
        <v>2030</v>
      </c>
      <c r="O1569" s="698"/>
      <c r="P1569" s="729"/>
      <c r="Q1569" s="729"/>
      <c r="R1569" s="729"/>
      <c r="S1569" s="729"/>
      <c r="T1569" s="729"/>
      <c r="U1569" s="343"/>
      <c r="V1569" s="343"/>
    </row>
    <row r="1570" spans="1:22" s="364" customFormat="1" ht="12.75" customHeight="1" x14ac:dyDescent="0.3">
      <c r="A1570" s="729"/>
      <c r="B1570" s="302"/>
      <c r="C1570" s="357"/>
      <c r="D1570" s="1698"/>
      <c r="E1570" s="392" t="str">
        <f>Translations!$B$1328</f>
        <v>Средна годишна стойност</v>
      </c>
      <c r="F1570" s="392"/>
      <c r="G1570" s="392"/>
      <c r="H1570" s="485" t="str">
        <f>EUconst_tCO2</f>
        <v>t CO2</v>
      </c>
      <c r="I1570" s="1716"/>
      <c r="J1570" s="1732" t="str">
        <f>INDEX(F_ProductBM!J:J,MATCH($P1570,F_ProductBM!$Q:$Q,0))</f>
        <v/>
      </c>
      <c r="K1570" s="394" t="str">
        <f>INDEX(F_ProductBM!K:K,MATCH($P1570,F_ProductBM!$Q:$Q,0))</f>
        <v/>
      </c>
      <c r="L1570" s="394" t="str">
        <f>INDEX(F_ProductBM!L:L,MATCH($P1570,F_ProductBM!$Q:$Q,0))</f>
        <v/>
      </c>
      <c r="M1570" s="394" t="str">
        <f>INDEX(F_ProductBM!M:M,MATCH($P1570,F_ProductBM!$Q:$Q,0))</f>
        <v/>
      </c>
      <c r="N1570" s="1733" t="str">
        <f>INDEX(F_ProductBM!N:N,MATCH($P1570,F_ProductBM!$Q:$Q,0))</f>
        <v/>
      </c>
      <c r="O1570" s="698"/>
      <c r="P1570" s="1190" t="str">
        <f>EUconst_CNTR_HALinitial &amp; EUconst_CNTR_WGFlared &amp; I1524</f>
        <v>HALini_WasteGasFlare_</v>
      </c>
      <c r="Q1570" s="729"/>
      <c r="R1570" s="729"/>
      <c r="S1570" s="729"/>
      <c r="T1570" s="729"/>
      <c r="U1570" s="343"/>
      <c r="V1570" s="343"/>
    </row>
    <row r="1571" spans="1:22" s="364" customFormat="1" ht="12.75" customHeight="1" x14ac:dyDescent="0.3">
      <c r="A1571" s="729"/>
      <c r="B1571" s="302"/>
      <c r="C1571" s="357"/>
      <c r="D1571" s="1698"/>
      <c r="E1571" s="398" t="str">
        <f>Translations!$B$1378</f>
        <v>Промяна в сравнение със стойността в НМИ</v>
      </c>
      <c r="F1571" s="398"/>
      <c r="G1571" s="398"/>
      <c r="H1571" s="1734" t="s">
        <v>1052</v>
      </c>
      <c r="I1571" s="1735"/>
      <c r="J1571" s="159" t="str">
        <f>INDEX(F_ProductBM!J:J,MATCH($P1571,F_ProductBM!$Q:$Q,0))</f>
        <v/>
      </c>
      <c r="K1571" s="160" t="str">
        <f>INDEX(F_ProductBM!K:K,MATCH($P1571,F_ProductBM!$Q:$Q,0))</f>
        <v/>
      </c>
      <c r="L1571" s="160" t="str">
        <f>INDEX(F_ProductBM!L:L,MATCH($P1571,F_ProductBM!$Q:$Q,0))</f>
        <v/>
      </c>
      <c r="M1571" s="160" t="str">
        <f>INDEX(F_ProductBM!M:M,MATCH($P1571,F_ProductBM!$Q:$Q,0))</f>
        <v/>
      </c>
      <c r="N1571" s="161" t="str">
        <f>INDEX(F_ProductBM!N:N,MATCH($P1571,F_ProductBM!$Q:$Q,0))</f>
        <v/>
      </c>
      <c r="O1571" s="698"/>
      <c r="P1571" s="1190" t="str">
        <f>EUconst_CNTR_RelThreshold &amp; P1573</f>
        <v>RelThresh_HALprelim_WasteGasFlare_</v>
      </c>
      <c r="Q1571" s="729"/>
      <c r="R1571" s="729"/>
      <c r="S1571" s="729"/>
      <c r="T1571" s="729"/>
      <c r="U1571" s="343"/>
      <c r="V1571" s="343"/>
    </row>
    <row r="1572" spans="1:22" s="364" customFormat="1" ht="12.75" customHeight="1" x14ac:dyDescent="0.3">
      <c r="A1572" s="729"/>
      <c r="B1572" s="302"/>
      <c r="C1572" s="357"/>
      <c r="D1572" s="1698"/>
      <c r="E1572" s="1736" t="str">
        <f>Translations!$B$1385</f>
        <v>Критерий 3д: Надвишени ли са относителните прагове?</v>
      </c>
      <c r="F1572" s="1736"/>
      <c r="G1572" s="1736"/>
      <c r="H1572" s="1737" t="s">
        <v>1052</v>
      </c>
      <c r="I1572" s="1738"/>
      <c r="J1572" s="1739" t="str">
        <f>INDEX(F_ProductBM!V:V,MATCH($P1572,F_ProductBM!$Q:$Q,0))</f>
        <v/>
      </c>
      <c r="K1572" s="1740" t="str">
        <f>INDEX(F_ProductBM!W:W,MATCH($P1572,F_ProductBM!$Q:$Q,0))</f>
        <v/>
      </c>
      <c r="L1572" s="1740" t="str">
        <f>INDEX(F_ProductBM!X:X,MATCH($P1572,F_ProductBM!$Q:$Q,0))</f>
        <v/>
      </c>
      <c r="M1572" s="1740" t="str">
        <f>INDEX(F_ProductBM!Y:Y,MATCH($P1572,F_ProductBM!$Q:$Q,0))</f>
        <v/>
      </c>
      <c r="N1572" s="1741" t="str">
        <f>INDEX(F_ProductBM!Z:Z,MATCH($P1572,F_ProductBM!$Q:$Q,0))</f>
        <v/>
      </c>
      <c r="O1572" s="698"/>
      <c r="P1572" s="1190" t="str">
        <f>P1571</f>
        <v>RelThresh_HALprelim_WasteGasFlare_</v>
      </c>
      <c r="Q1572" s="729"/>
      <c r="R1572" s="729"/>
      <c r="S1572" s="729"/>
      <c r="T1572" s="729"/>
      <c r="U1572" s="343"/>
      <c r="V1572" s="343"/>
    </row>
    <row r="1573" spans="1:22" s="364" customFormat="1" ht="12.75" customHeight="1" x14ac:dyDescent="0.3">
      <c r="A1573" s="729" t="str">
        <f>IF(P1573="","ausblenden","")</f>
        <v/>
      </c>
      <c r="B1573" s="302"/>
      <c r="C1573" s="357"/>
      <c r="D1573" s="1698"/>
      <c r="E1573" s="401" t="str">
        <f>Translations!$B$1377</f>
        <v>Предварителна стойност</v>
      </c>
      <c r="F1573" s="401"/>
      <c r="G1573" s="401"/>
      <c r="H1573" s="483" t="str">
        <f>EUconst_tCO2</f>
        <v>t CO2</v>
      </c>
      <c r="I1573" s="1724"/>
      <c r="J1573" s="1743" t="str">
        <f>IF(OR($I1524="",CNTR_SubPeriod=1),"",INDEX(F_ProductBM!J:J,MATCH($P1573,F_ProductBM!$Q:$Q,0)))</f>
        <v/>
      </c>
      <c r="K1573" s="1744" t="str">
        <f>IF(OR($I1524="",CNTR_SubPeriod=1),"",INDEX(F_ProductBM!K:K,MATCH($P1573,F_ProductBM!$Q:$Q,0)))</f>
        <v/>
      </c>
      <c r="L1573" s="1744" t="str">
        <f>IF(OR($I1524="",CNTR_SubPeriod=1),"",INDEX(F_ProductBM!L:L,MATCH($P1573,F_ProductBM!$Q:$Q,0)))</f>
        <v/>
      </c>
      <c r="M1573" s="1744" t="str">
        <f>IF(OR($I1524="",CNTR_SubPeriod=1),"",INDEX(F_ProductBM!M:M,MATCH($P1573,F_ProductBM!$Q:$Q,0)))</f>
        <v/>
      </c>
      <c r="N1573" s="1745" t="str">
        <f>IF(OR($I1524="",CNTR_SubPeriod=1),"",INDEX(F_ProductBM!N:N,MATCH($P1573,F_ProductBM!$Q:$Q,0)))</f>
        <v/>
      </c>
      <c r="O1573" s="698"/>
      <c r="P1573" s="1190" t="str">
        <f>EUconst_CNTR_HALprelim&amp;EUconst_CNTR_WGFlared&amp;$I1524</f>
        <v>HALprelim_WasteGasFlare_</v>
      </c>
      <c r="Q1573" s="729"/>
      <c r="R1573" s="729"/>
      <c r="S1573" s="729"/>
      <c r="T1573" s="729"/>
      <c r="U1573" s="343"/>
      <c r="V1573" s="343"/>
    </row>
    <row r="1574" spans="1:22" s="364" customFormat="1" ht="12.75" customHeight="1" thickBot="1" x14ac:dyDescent="0.35">
      <c r="A1574" s="729"/>
      <c r="B1574" s="302"/>
      <c r="C1574" s="357"/>
      <c r="D1574" s="1761"/>
      <c r="E1574" s="1762"/>
      <c r="F1574" s="1762"/>
      <c r="G1574" s="1762"/>
      <c r="H1574" s="1762"/>
      <c r="I1574" s="1763"/>
      <c r="J1574" s="1762"/>
      <c r="K1574" s="1762"/>
      <c r="L1574" s="1762"/>
      <c r="M1574" s="1762"/>
      <c r="N1574" s="1764"/>
      <c r="O1574" s="698"/>
      <c r="P1574" s="729"/>
      <c r="Q1574" s="729"/>
      <c r="R1574" s="729"/>
      <c r="S1574" s="729"/>
      <c r="T1574" s="729"/>
      <c r="U1574" s="343"/>
      <c r="V1574" s="343"/>
    </row>
    <row r="1575" spans="1:22" s="364" customFormat="1" ht="5.15" customHeight="1" thickBot="1" x14ac:dyDescent="0.35">
      <c r="A1575" s="729"/>
      <c r="B1575" s="302"/>
      <c r="C1575" s="357"/>
      <c r="D1575" s="357"/>
      <c r="E1575" s="302"/>
      <c r="F1575" s="302"/>
      <c r="G1575" s="302"/>
      <c r="H1575" s="302"/>
      <c r="I1575" s="1746"/>
      <c r="J1575" s="302"/>
      <c r="K1575" s="302"/>
      <c r="L1575" s="302"/>
      <c r="M1575" s="302"/>
      <c r="N1575" s="302"/>
      <c r="O1575" s="698"/>
      <c r="P1575" s="729"/>
      <c r="Q1575" s="729"/>
      <c r="R1575" s="729"/>
      <c r="S1575" s="729"/>
      <c r="T1575" s="729"/>
      <c r="U1575" s="343"/>
      <c r="V1575" s="343"/>
    </row>
    <row r="1576" spans="1:22" s="364" customFormat="1" ht="5.15" customHeight="1" x14ac:dyDescent="0.25">
      <c r="A1576" s="729"/>
      <c r="B1576" s="302"/>
      <c r="C1576" s="302"/>
      <c r="D1576" s="1765"/>
      <c r="E1576" s="1766"/>
      <c r="F1576" s="1766"/>
      <c r="G1576" s="1766"/>
      <c r="H1576" s="1766"/>
      <c r="I1576" s="1767"/>
      <c r="J1576" s="1766"/>
      <c r="K1576" s="1766"/>
      <c r="L1576" s="1766"/>
      <c r="M1576" s="1766"/>
      <c r="N1576" s="1768"/>
      <c r="O1576" s="698"/>
      <c r="P1576" s="729"/>
      <c r="Q1576" s="729"/>
      <c r="R1576" s="729"/>
      <c r="S1576" s="729"/>
      <c r="T1576" s="770"/>
      <c r="U1576" s="343"/>
      <c r="V1576" s="343"/>
    </row>
    <row r="1577" spans="1:22" s="364" customFormat="1" ht="13" x14ac:dyDescent="0.25">
      <c r="A1577" s="729"/>
      <c r="B1577" s="302"/>
      <c r="C1577" s="302"/>
      <c r="D1577" s="344"/>
      <c r="E1577" s="1769" t="str">
        <f>Translations!$B$1583</f>
        <v>Предварителни стойности за критерий &gt; 300 EUA</v>
      </c>
      <c r="F1577" s="1746"/>
      <c r="G1577" s="1746"/>
      <c r="H1577" s="1699" t="str">
        <f>EUconst_Unit</f>
        <v>Единица мярка</v>
      </c>
      <c r="I1577" s="1770" t="str">
        <f>Translations!$B$1341</f>
        <v>Базова стойност</v>
      </c>
      <c r="J1577" s="1771">
        <f>J$2505</f>
        <v>2026</v>
      </c>
      <c r="K1577" s="1772">
        <f>K$2505</f>
        <v>2027</v>
      </c>
      <c r="L1577" s="1772">
        <f>L$2505</f>
        <v>2028</v>
      </c>
      <c r="M1577" s="1772">
        <f>M$2505</f>
        <v>2029</v>
      </c>
      <c r="N1577" s="1773">
        <f>N$2505</f>
        <v>2030</v>
      </c>
      <c r="O1577" s="698"/>
      <c r="P1577" s="729"/>
      <c r="Q1577" s="729"/>
      <c r="R1577" s="729"/>
      <c r="S1577" s="729"/>
      <c r="T1577" s="729"/>
      <c r="U1577" s="729"/>
      <c r="V1577" s="729"/>
    </row>
    <row r="1578" spans="1:22" s="364" customFormat="1" x14ac:dyDescent="0.25">
      <c r="A1578" s="729"/>
      <c r="B1578" s="302"/>
      <c r="C1578" s="302"/>
      <c r="D1578" s="344"/>
      <c r="E1578" s="1774" t="str">
        <f>Translations!$B$1388</f>
        <v>Равнище на дейност</v>
      </c>
      <c r="F1578" s="1774"/>
      <c r="G1578" s="1774"/>
      <c r="H1578" s="1775" t="str">
        <f>F1530</f>
        <v>тона</v>
      </c>
      <c r="I1578" s="1776" t="str">
        <f>IF($I1524="","",IF(T1595&gt;=$H$2505,0,S1590))</f>
        <v/>
      </c>
      <c r="J1578" s="1717" t="str">
        <f>IF($I1524="","",INDEX(F_ProductBM!J:J,MATCH($P1578,F_ProductBM!$Q:$Q,0)))</f>
        <v/>
      </c>
      <c r="K1578" s="1718" t="str">
        <f>IF($I1524="","",INDEX(F_ProductBM!K:K,MATCH($P1578,F_ProductBM!$Q:$Q,0)))</f>
        <v/>
      </c>
      <c r="L1578" s="1718" t="str">
        <f>IF($I1524="","",INDEX(F_ProductBM!L:L,MATCH($P1578,F_ProductBM!$Q:$Q,0)))</f>
        <v/>
      </c>
      <c r="M1578" s="1718" t="str">
        <f>IF($I1524="","",INDEX(F_ProductBM!M:M,MATCH($P1578,F_ProductBM!$Q:$Q,0)))</f>
        <v/>
      </c>
      <c r="N1578" s="1719" t="str">
        <f>IF($I1524="","",INDEX(F_ProductBM!N:N,MATCH($P1578,F_ProductBM!$Q:$Q,0)))</f>
        <v/>
      </c>
      <c r="O1578" s="698"/>
      <c r="P1578" s="1190" t="str">
        <f>EUconst_CNTR_HALprelim&amp;I1524</f>
        <v>HALprelim_</v>
      </c>
      <c r="Q1578" s="729"/>
      <c r="R1578" s="729"/>
      <c r="S1578" s="729"/>
      <c r="T1578" s="729"/>
      <c r="U1578" s="729"/>
      <c r="V1578" s="729"/>
    </row>
    <row r="1579" spans="1:22" s="364" customFormat="1" x14ac:dyDescent="0.25">
      <c r="A1579" s="729"/>
      <c r="B1579" s="302"/>
      <c r="C1579" s="302"/>
      <c r="D1579" s="344"/>
      <c r="E1579" s="1777" t="str">
        <f>Translations!$B$949</f>
        <v>топл. ен. извън СТЕ</v>
      </c>
      <c r="F1579" s="1777"/>
      <c r="G1579" s="1777"/>
      <c r="H1579" s="1778" t="str">
        <f>EUconst_EUA</f>
        <v>Квота за емисии</v>
      </c>
      <c r="I1579" s="1779" t="str">
        <f>IF($I1524="","",IF(YEAR(J1527)&gt;=$H$2505-1,0,S1591))</f>
        <v/>
      </c>
      <c r="J1579" s="1780" t="str">
        <f>IF($I$500="","",INDEX(F_ProductBM!J:J,MATCH($P1579,F_ProductBM!$Q:$Q,0)))</f>
        <v/>
      </c>
      <c r="K1579" s="1781" t="str">
        <f>IF($I$500="","",INDEX(F_ProductBM!K:K,MATCH($P1579,F_ProductBM!$Q:$Q,0)))</f>
        <v/>
      </c>
      <c r="L1579" s="1781" t="str">
        <f>IF($I$500="","",INDEX(F_ProductBM!L:L,MATCH($P1579,F_ProductBM!$Q:$Q,0)))</f>
        <v/>
      </c>
      <c r="M1579" s="1781" t="str">
        <f>IF($I$500="","",INDEX(F_ProductBM!M:M,MATCH($P1579,F_ProductBM!$Q:$Q,0)))</f>
        <v/>
      </c>
      <c r="N1579" s="1782" t="str">
        <f>IF($I$500="","",INDEX(F_ProductBM!N:N,MATCH($P1579,F_ProductBM!$Q:$Q,0)))</f>
        <v/>
      </c>
      <c r="O1579" s="698"/>
      <c r="P1579" s="1190" t="str">
        <f>EUconst_CNTR_HEATprelim&amp;I1524</f>
        <v>HEATprelim_</v>
      </c>
      <c r="Q1579" s="729"/>
      <c r="R1579" s="729"/>
      <c r="S1579" s="729"/>
      <c r="T1579" s="729"/>
      <c r="U1579" s="729"/>
      <c r="V1579" s="729"/>
    </row>
    <row r="1580" spans="1:22" s="364" customFormat="1" x14ac:dyDescent="0.25">
      <c r="A1580" s="729"/>
      <c r="B1580" s="302"/>
      <c r="C1580" s="302"/>
      <c r="D1580" s="344"/>
      <c r="E1580" s="1783" t="str">
        <f>Translations!$B$951</f>
        <v>WGflare</v>
      </c>
      <c r="F1580" s="1783"/>
      <c r="G1580" s="1783"/>
      <c r="H1580" s="1784" t="str">
        <f>EUconst_EUA</f>
        <v>Квота за емисии</v>
      </c>
      <c r="I1580" s="1785" t="str">
        <f>IF($I1524="","",IF(T1595&gt;=$H$2505,0,S1592))</f>
        <v/>
      </c>
      <c r="J1580" s="1721" t="str">
        <f>IF($I1524="","",INDEX(F_ProductBM!J:J,MATCH($P1580,F_ProductBM!$Q:$Q,0)))</f>
        <v/>
      </c>
      <c r="K1580" s="1722" t="str">
        <f>IF($I1524="","",INDEX(F_ProductBM!K:K,MATCH($P1580,F_ProductBM!$Q:$Q,0)))</f>
        <v/>
      </c>
      <c r="L1580" s="1722" t="str">
        <f>IF($I1524="","",INDEX(F_ProductBM!L:L,MATCH($P1580,F_ProductBM!$Q:$Q,0)))</f>
        <v/>
      </c>
      <c r="M1580" s="1722" t="str">
        <f>IF($I1524="","",INDEX(F_ProductBM!M:M,MATCH($P1580,F_ProductBM!$Q:$Q,0)))</f>
        <v/>
      </c>
      <c r="N1580" s="1723" t="str">
        <f>IF($I1524="","",INDEX(F_ProductBM!N:N,MATCH($P1580,F_ProductBM!$Q:$Q,0)))</f>
        <v/>
      </c>
      <c r="O1580" s="698"/>
      <c r="P1580" s="1190" t="str">
        <f>EUconst_CNTR_HALprelim&amp;EUconst_CNTR_WGFlared&amp;$I1524</f>
        <v>HALprelim_WasteGasFlare_</v>
      </c>
      <c r="Q1580" s="729"/>
      <c r="R1580" s="729"/>
      <c r="S1580" s="729"/>
      <c r="T1580" s="729"/>
      <c r="U1580" s="729"/>
      <c r="V1580" s="729"/>
    </row>
    <row r="1581" spans="1:22" s="364" customFormat="1" x14ac:dyDescent="0.25">
      <c r="A1581" s="729"/>
      <c r="B1581" s="302"/>
      <c r="C1581" s="302"/>
      <c r="D1581" s="344"/>
      <c r="E1581" s="1783" t="s">
        <v>1442</v>
      </c>
      <c r="F1581" s="1783"/>
      <c r="G1581" s="1783"/>
      <c r="H1581" s="1784" t="str">
        <f>EUconst_EUA</f>
        <v>Квота за емисии</v>
      </c>
      <c r="I1581" s="1785" t="str">
        <f>IF($I1524="","",IF(T1595&gt;=$H$2505,0,IF(L1527=42,S1593,0)))</f>
        <v/>
      </c>
      <c r="J1581" s="1721" t="str">
        <f>IF($I1524="","",IF($L1527=42,INDEX(H_SpecialBM!J:J,MATCH($P1581,H_SpecialBM!$Q:$Q,0)),0))</f>
        <v/>
      </c>
      <c r="K1581" s="1722" t="str">
        <f>IF($I1524="","",IF($L1527=42,INDEX(H_SpecialBM!K:K,MATCH($P1581,H_SpecialBM!$Q:$Q,0)),0))</f>
        <v/>
      </c>
      <c r="L1581" s="1722" t="str">
        <f>IF($I1524="","",IF($L1527=42,INDEX(H_SpecialBM!L:L,MATCH($P1581,H_SpecialBM!$Q:$Q,0)),0))</f>
        <v/>
      </c>
      <c r="M1581" s="1722" t="str">
        <f>IF($I1524="","",IF($L1527=42,INDEX(H_SpecialBM!M:M,MATCH($P1581,H_SpecialBM!$Q:$Q,0)),0))</f>
        <v/>
      </c>
      <c r="N1581" s="1723" t="str">
        <f>IF($I1524="","",IF($L1527=42,INDEX(H_SpecialBM!N:N,MATCH($P1581,H_SpecialBM!$Q:$Q,0)),0))</f>
        <v/>
      </c>
      <c r="O1581" s="698"/>
      <c r="P1581" s="1190" t="str">
        <f>EUconst_CNTR_HVCprelim</f>
        <v>HVCprelim_</v>
      </c>
      <c r="Q1581" s="729"/>
      <c r="R1581" s="729"/>
      <c r="S1581" s="729"/>
      <c r="T1581" s="729"/>
      <c r="U1581" s="729"/>
      <c r="V1581" s="729"/>
    </row>
    <row r="1582" spans="1:22" s="364" customFormat="1" x14ac:dyDescent="0.25">
      <c r="A1582" s="729"/>
      <c r="B1582" s="302"/>
      <c r="C1582" s="302"/>
      <c r="D1582" s="344"/>
      <c r="E1582" s="1786" t="s">
        <v>1443</v>
      </c>
      <c r="F1582" s="1786"/>
      <c r="G1582" s="1786"/>
      <c r="H1582" s="1787" t="s">
        <v>1052</v>
      </c>
      <c r="I1582" s="1788" t="str">
        <f>IF($I1524="","",IF($L1527=47,IF(AND(ISNUMBER(S1594),YEAR(J1527)&lt;$J$2505),S1594,1),1))</f>
        <v/>
      </c>
      <c r="J1582" s="1725" t="str">
        <f>IF($I1524="","",IF($L1527=47,IF(ISNUMBER(INDEX(H_SpecialBM!J:J,MATCH($P1582,H_SpecialBM!$Q:$Q,0))),INDEX(H_SpecialBM!J:J,MATCH($P1582,H_SpecialBM!$Q:$Q,0)),1),1))</f>
        <v/>
      </c>
      <c r="K1582" s="1726" t="str">
        <f>IF($I1524="","",IF($L1527=47,IF(ISNUMBER(INDEX(H_SpecialBM!K:K,MATCH($P1582,H_SpecialBM!$Q:$Q,0))),INDEX(H_SpecialBM!K:K,MATCH($P1582,H_SpecialBM!$Q:$Q,0)),1),1))</f>
        <v/>
      </c>
      <c r="L1582" s="1726" t="str">
        <f>IF($I1524="","",IF($L1527=47,IF(ISNUMBER(INDEX(H_SpecialBM!L:L,MATCH($P1582,H_SpecialBM!$Q:$Q,0))),INDEX(H_SpecialBM!L:L,MATCH($P1582,H_SpecialBM!$Q:$Q,0)),1),1))</f>
        <v/>
      </c>
      <c r="M1582" s="1726" t="str">
        <f>IF($I1524="","",IF($L1527=47,IF(ISNUMBER(INDEX(H_SpecialBM!M:M,MATCH($P1582,H_SpecialBM!$Q:$Q,0))),INDEX(H_SpecialBM!M:M,MATCH($P1582,H_SpecialBM!$Q:$Q,0)),1),1))</f>
        <v/>
      </c>
      <c r="N1582" s="1727" t="str">
        <f>IF($I1524="","",IF($L1527=47,IF(ISNUMBER(INDEX(H_SpecialBM!N:N,MATCH($P1582,H_SpecialBM!$Q:$Q,0))),INDEX(H_SpecialBM!N:N,MATCH($P1582,H_SpecialBM!$Q:$Q,0)),1),1))</f>
        <v/>
      </c>
      <c r="O1582" s="698"/>
      <c r="P1582" s="1190" t="str">
        <f>EUconst_CNTR_VCMprelim</f>
        <v>VCMprelim_</v>
      </c>
      <c r="Q1582" s="729"/>
      <c r="R1582" s="729"/>
      <c r="S1582" s="729"/>
      <c r="T1582" s="729"/>
      <c r="U1582" s="729"/>
      <c r="V1582" s="729"/>
    </row>
    <row r="1583" spans="1:22" s="364" customFormat="1" x14ac:dyDescent="0.25">
      <c r="A1583" s="729"/>
      <c r="B1583" s="302"/>
      <c r="C1583" s="302"/>
      <c r="D1583" s="344"/>
      <c r="E1583" s="1789" t="str">
        <f>Translations!$B$1377</f>
        <v>Предварителна стойност</v>
      </c>
      <c r="F1583" s="1789"/>
      <c r="G1583" s="1789"/>
      <c r="H1583" s="1790" t="str">
        <f>EUconst_EUA</f>
        <v>Квота за емисии</v>
      </c>
      <c r="I1583" s="1791" t="str">
        <f>IF($I1524="","",MAX(0,ROUND((SUM($M1527)*SUM(I1578)*SUM(I1582)-SUM(I1579)-SUM(I1580)+SUM(I1581))*IF($H1527=TRUE,1,J$2412),0)))</f>
        <v/>
      </c>
      <c r="J1583" s="1714" t="str">
        <f>IF($I1524="","",MAX(0,ROUND((SUM($M1527)*SUM(J1578)*SUM(J1582)-SUM(J1579)-SUM(J1580)+SUM(J1581))*IF($H1527=TRUE,1,J$2412)*IF($I1527=TRUE,INDEX(EUconst_CBAMFactor,J1533-2020),1),0)))</f>
        <v/>
      </c>
      <c r="K1583" s="1693" t="str">
        <f>IF($I1524="","",MAX(0,ROUND((SUM($M1527)*SUM(K1578)*SUM(K1582)-SUM(K1579)-SUM(K1580)+SUM(K1581))*IF($H1527=TRUE,1,K$2412)*IF($I1527=TRUE,INDEX(EUconst_CBAMFactor,K1533-2020),1),0)))</f>
        <v/>
      </c>
      <c r="L1583" s="1693" t="str">
        <f>IF($I1524="","",MAX(0,ROUND((SUM($M1527)*SUM(L1578)*SUM(L1582)-SUM(L1579)-SUM(L1580)+SUM(L1581))*IF($H1527=TRUE,1,L$2412)*IF($I1527=TRUE,INDEX(EUconst_CBAMFactor,L1533-2020),1),0)))</f>
        <v/>
      </c>
      <c r="M1583" s="1693" t="str">
        <f>IF($I1524="","",MAX(0,ROUND((SUM($M1527)*SUM(M1578)*SUM(M1582)-SUM(M1579)-SUM(M1580)+SUM(M1581))*IF($H1527=TRUE,1,M$2412)*IF($I1527=TRUE,INDEX(EUconst_CBAMFactor,M1533-2020),1),0)))</f>
        <v/>
      </c>
      <c r="N1583" s="1715" t="str">
        <f>IF($I1524="","",MAX(0,ROUND((SUM($M1527)*SUM(N1578)*SUM(N1582)-SUM(N1579)-SUM(N1580)+SUM(N1581))*IF($H1527=TRUE,1,N$2412)*IF($I1527=TRUE,INDEX(EUconst_CBAMFactor,N1533-2020),1),0)))</f>
        <v/>
      </c>
      <c r="O1583" s="698"/>
      <c r="P1583" s="729"/>
      <c r="Q1583" s="729"/>
      <c r="R1583" s="729"/>
      <c r="S1583" s="729"/>
      <c r="T1583" s="729"/>
      <c r="U1583" s="729"/>
      <c r="V1583" s="729"/>
    </row>
    <row r="1584" spans="1:22" s="364" customFormat="1" x14ac:dyDescent="0.25">
      <c r="A1584" s="729"/>
      <c r="B1584" s="302"/>
      <c r="C1584" s="302"/>
      <c r="D1584" s="344"/>
      <c r="E1584" s="388" t="str">
        <f>Translations!$B$1584</f>
        <v>Разлика в предварителната стойност</v>
      </c>
      <c r="F1584" s="388"/>
      <c r="G1584" s="388"/>
      <c r="H1584" s="421" t="str">
        <f>EUconst_EUA</f>
        <v>Квота за емисии</v>
      </c>
      <c r="I1584" s="1792"/>
      <c r="J1584" s="1793" t="str">
        <f>IF(J1583="","",SUM(J1583)-SUM(J1543))</f>
        <v/>
      </c>
      <c r="K1584" s="998" t="str">
        <f t="shared" ref="K1584" si="137">IF(K1583="","",SUM(K1583)-SUM(K1543))</f>
        <v/>
      </c>
      <c r="L1584" s="998" t="str">
        <f t="shared" ref="L1584:N1584" si="138">IF(L1583="","",SUM(L1583)-SUM(L1543))</f>
        <v/>
      </c>
      <c r="M1584" s="998" t="str">
        <f t="shared" si="138"/>
        <v/>
      </c>
      <c r="N1584" s="1794" t="str">
        <f t="shared" si="138"/>
        <v/>
      </c>
      <c r="O1584" s="698"/>
      <c r="P1584" s="729"/>
      <c r="Q1584" s="729"/>
      <c r="R1584" s="729"/>
      <c r="S1584" s="1795"/>
      <c r="T1584" s="1165"/>
      <c r="U1584" s="711"/>
      <c r="V1584" s="343"/>
    </row>
    <row r="1585" spans="1:22" s="364" customFormat="1" x14ac:dyDescent="0.25">
      <c r="A1585" s="729"/>
      <c r="B1585" s="302"/>
      <c r="C1585" s="302"/>
      <c r="D1585" s="344"/>
      <c r="E1585" s="1796" t="str">
        <f>Translations!$B$1581</f>
        <v>Критерий 4: Разлика от поне 300 квоти за емисии?</v>
      </c>
      <c r="F1585" s="1796"/>
      <c r="G1585" s="1796"/>
      <c r="H1585" s="1797" t="s">
        <v>1052</v>
      </c>
      <c r="I1585" s="1792"/>
      <c r="J1585" s="1798" t="str">
        <f>IF(J1584="","",ABS(J1584)&gt;=300)</f>
        <v/>
      </c>
      <c r="K1585" s="1799" t="str">
        <f t="shared" ref="K1585:N1585" si="139">IF(K1584="","",ABS(K1584)&gt;=300)</f>
        <v/>
      </c>
      <c r="L1585" s="1799" t="str">
        <f t="shared" si="139"/>
        <v/>
      </c>
      <c r="M1585" s="1799" t="str">
        <f t="shared" si="139"/>
        <v/>
      </c>
      <c r="N1585" s="1800" t="str">
        <f t="shared" si="139"/>
        <v/>
      </c>
      <c r="O1585" s="698"/>
      <c r="P1585" s="1190" t="str">
        <f>EUconst_CNTR_300EUA&amp;I1524</f>
        <v>EUA300_</v>
      </c>
      <c r="Q1585" s="1174" t="s">
        <v>2547</v>
      </c>
      <c r="R1585" s="280" t="str">
        <f>IF($I1524="","",IF(R1529&gt;$U1527,0%,INDEX(F_ProductBM!V:V,MATCH($P1585,F_ProductBM!$Q:$Q,0))))</f>
        <v/>
      </c>
      <c r="S1585" s="280" t="str">
        <f>IF($I1524="","",IF(S1529&gt;$U1527,0%,INDEX(F_ProductBM!W:W,MATCH($P1585,F_ProductBM!$Q:$Q,0))))</f>
        <v/>
      </c>
      <c r="T1585" s="280" t="str">
        <f>IF($I1524="","",IF(T1529&gt;$U1527,0%,INDEX(F_ProductBM!X:X,MATCH($P1585,F_ProductBM!$Q:$Q,0))))</f>
        <v/>
      </c>
      <c r="U1585" s="280" t="str">
        <f>IF($I1524="","",IF(U1529&gt;$U1527,0%,INDEX(F_ProductBM!Y:Y,MATCH($P1585,F_ProductBM!$Q:$Q,0))))</f>
        <v/>
      </c>
      <c r="V1585" s="280" t="str">
        <f>IF($I1524="","",IF(V1529&gt;$U1527,0%,INDEX(F_ProductBM!Z:Z,MATCH($P1585,F_ProductBM!$Q:$Q,0))))</f>
        <v/>
      </c>
    </row>
    <row r="1586" spans="1:22" s="364" customFormat="1" ht="5.15" customHeight="1" thickBot="1" x14ac:dyDescent="0.3">
      <c r="A1586" s="729"/>
      <c r="B1586" s="302"/>
      <c r="C1586" s="302"/>
      <c r="D1586" s="1801"/>
      <c r="E1586" s="1762"/>
      <c r="F1586" s="1762"/>
      <c r="G1586" s="1762"/>
      <c r="H1586" s="1762"/>
      <c r="I1586" s="1762"/>
      <c r="J1586" s="1762"/>
      <c r="K1586" s="1762"/>
      <c r="L1586" s="1762"/>
      <c r="M1586" s="1762"/>
      <c r="N1586" s="1764"/>
      <c r="O1586" s="698"/>
      <c r="P1586" s="729"/>
      <c r="Q1586" s="729"/>
      <c r="R1586" s="729"/>
      <c r="S1586" s="729"/>
      <c r="T1586" s="729"/>
      <c r="U1586" s="343"/>
      <c r="V1586" s="343"/>
    </row>
    <row r="1587" spans="1:22" s="364" customFormat="1" ht="5.15" customHeight="1" thickBot="1" x14ac:dyDescent="0.35">
      <c r="A1587" s="729"/>
      <c r="B1587" s="302"/>
      <c r="C1587" s="357"/>
      <c r="D1587" s="357"/>
      <c r="E1587" s="302"/>
      <c r="F1587" s="302"/>
      <c r="G1587" s="302"/>
      <c r="H1587" s="302"/>
      <c r="I1587" s="1746"/>
      <c r="J1587" s="302"/>
      <c r="K1587" s="302"/>
      <c r="L1587" s="302"/>
      <c r="M1587" s="302"/>
      <c r="N1587" s="302"/>
      <c r="O1587" s="698"/>
      <c r="P1587" s="729"/>
      <c r="Q1587" s="729"/>
      <c r="R1587" s="729"/>
      <c r="S1587" s="729"/>
      <c r="T1587" s="729"/>
      <c r="U1587" s="343"/>
      <c r="V1587" s="343"/>
    </row>
    <row r="1588" spans="1:22" s="364" customFormat="1" ht="5.15" customHeight="1" x14ac:dyDescent="0.25">
      <c r="A1588" s="729"/>
      <c r="B1588" s="302"/>
      <c r="C1588" s="302"/>
      <c r="D1588" s="1765"/>
      <c r="E1588" s="1766"/>
      <c r="F1588" s="1766"/>
      <c r="G1588" s="1766"/>
      <c r="H1588" s="1766"/>
      <c r="I1588" s="1767"/>
      <c r="J1588" s="1766"/>
      <c r="K1588" s="1766"/>
      <c r="L1588" s="1766"/>
      <c r="M1588" s="1766"/>
      <c r="N1588" s="1768"/>
      <c r="O1588" s="698"/>
      <c r="P1588" s="729"/>
      <c r="Q1588" s="729"/>
      <c r="R1588" s="729"/>
      <c r="S1588" s="729"/>
      <c r="T1588" s="770"/>
      <c r="U1588" s="343"/>
      <c r="V1588" s="343"/>
    </row>
    <row r="1589" spans="1:22" s="364" customFormat="1" ht="13" x14ac:dyDescent="0.25">
      <c r="A1589" s="729"/>
      <c r="B1589" s="302"/>
      <c r="C1589" s="302"/>
      <c r="D1589" s="344"/>
      <c r="E1589" s="313" t="str">
        <f>Translations!$B$1387</f>
        <v>Използвани действителни стойности</v>
      </c>
      <c r="F1589" s="302"/>
      <c r="G1589" s="302"/>
      <c r="H1589" s="527" t="str">
        <f>EUconst_Unit</f>
        <v>Единица мярка</v>
      </c>
      <c r="I1589" s="1802" t="str">
        <f>Translations!$B$1341</f>
        <v>Базова стойност</v>
      </c>
      <c r="J1589" s="1523">
        <f>J$2505</f>
        <v>2026</v>
      </c>
      <c r="K1589" s="387">
        <f>K$2505</f>
        <v>2027</v>
      </c>
      <c r="L1589" s="387">
        <f>L$2505</f>
        <v>2028</v>
      </c>
      <c r="M1589" s="387">
        <f>M$2505</f>
        <v>2029</v>
      </c>
      <c r="N1589" s="1544">
        <f>N$2505</f>
        <v>2030</v>
      </c>
      <c r="O1589" s="698"/>
      <c r="P1589" s="729"/>
      <c r="Q1589" s="729"/>
      <c r="R1589" s="729"/>
      <c r="S1589" s="1519" t="str">
        <f>Translations!$B$1284</f>
        <v>HAL</v>
      </c>
      <c r="T1589" s="770"/>
      <c r="U1589" s="343"/>
      <c r="V1589" s="343"/>
    </row>
    <row r="1590" spans="1:22" s="364" customFormat="1" x14ac:dyDescent="0.25">
      <c r="A1590" s="729"/>
      <c r="B1590" s="302"/>
      <c r="C1590" s="302"/>
      <c r="D1590" s="344"/>
      <c r="E1590" s="392" t="str">
        <f>Translations!$B$1388</f>
        <v>Равнище на дейност</v>
      </c>
      <c r="F1590" s="392"/>
      <c r="G1590" s="392"/>
      <c r="H1590" s="1730" t="str">
        <f>H1578</f>
        <v>тона</v>
      </c>
      <c r="I1590" s="1776" t="str">
        <f>IF($I1524="","",IF(T1595&gt;=$H$2504,0,S1590))</f>
        <v/>
      </c>
      <c r="J1590" s="1732" t="str">
        <f>IF($I1524="","",INDEX(F_ProductBM!J:J,MATCH($P1590,F_ProductBM!$Q:$Q,0)))</f>
        <v/>
      </c>
      <c r="K1590" s="394" t="str">
        <f>IF($I1524="","",INDEX(F_ProductBM!K:K,MATCH($P1590,F_ProductBM!$Q:$Q,0)))</f>
        <v/>
      </c>
      <c r="L1590" s="394" t="str">
        <f>IF($I1524="","",INDEX(F_ProductBM!L:L,MATCH($P1590,F_ProductBM!$Q:$Q,0)))</f>
        <v/>
      </c>
      <c r="M1590" s="394" t="str">
        <f>IF($I1524="","",INDEX(F_ProductBM!M:M,MATCH($P1590,F_ProductBM!$Q:$Q,0)))</f>
        <v/>
      </c>
      <c r="N1590" s="1733" t="str">
        <f>IF($I1524="","",INDEX(F_ProductBM!N:N,MATCH($P1590,F_ProductBM!$Q:$Q,0)))</f>
        <v/>
      </c>
      <c r="O1590" s="698"/>
      <c r="P1590" s="1190" t="str">
        <f>EUconst_CNTR_HALfinal&amp;I1524</f>
        <v>HALfinal_</v>
      </c>
      <c r="Q1590" s="729"/>
      <c r="R1590" s="729"/>
      <c r="S1590" s="1803" t="str">
        <f>IF($I1524="","",INDEX(F_ProductBM!I:I,MATCH($P1590,F_ProductBM!$Q:$Q,0)))</f>
        <v/>
      </c>
      <c r="T1590" s="770"/>
      <c r="U1590" s="343"/>
      <c r="V1590" s="343"/>
    </row>
    <row r="1591" spans="1:22" s="364" customFormat="1" x14ac:dyDescent="0.25">
      <c r="A1591" s="729"/>
      <c r="B1591" s="302"/>
      <c r="C1591" s="302"/>
      <c r="D1591" s="344"/>
      <c r="E1591" s="503" t="str">
        <f>Translations!$B$949</f>
        <v>топл. ен. извън СТЕ</v>
      </c>
      <c r="F1591" s="503"/>
      <c r="G1591" s="503"/>
      <c r="H1591" s="1804" t="str">
        <f>EUconst_EUA</f>
        <v>Квота за емисии</v>
      </c>
      <c r="I1591" s="1779" t="str">
        <f>IF($I1524="","",IF(YEAR(J1527)&gt;=$H$2504-1,0,S1591))</f>
        <v/>
      </c>
      <c r="J1591" s="1805" t="str">
        <f>IF($I1524="","",INDEX(F_ProductBM!J:J,MATCH($P1591,F_ProductBM!$Q:$Q,0)))</f>
        <v/>
      </c>
      <c r="K1591" s="1806" t="str">
        <f>IF($I1524="","",INDEX(F_ProductBM!K:K,MATCH($P1591,F_ProductBM!$Q:$Q,0)))</f>
        <v/>
      </c>
      <c r="L1591" s="1806" t="str">
        <f>IF($I1524="","",INDEX(F_ProductBM!L:L,MATCH($P1591,F_ProductBM!$Q:$Q,0)))</f>
        <v/>
      </c>
      <c r="M1591" s="1806" t="str">
        <f>IF($I1524="","",INDEX(F_ProductBM!M:M,MATCH($P1591,F_ProductBM!$Q:$Q,0)))</f>
        <v/>
      </c>
      <c r="N1591" s="1807" t="str">
        <f>IF($I1524="","",INDEX(F_ProductBM!N:N,MATCH($P1591,F_ProductBM!$Q:$Q,0)))</f>
        <v/>
      </c>
      <c r="O1591" s="698"/>
      <c r="P1591" s="1190" t="str">
        <f>EUconst_CNTR_HEATfinal&amp;I1524</f>
        <v>HEATfinal_</v>
      </c>
      <c r="Q1591" s="729"/>
      <c r="R1591" s="729"/>
      <c r="S1591" s="1808" t="str">
        <f>IF($I1524="","",INDEX(F_ProductBM!I:I,MATCH($P1591,F_ProductBM!$Q:$Q,0)))</f>
        <v/>
      </c>
      <c r="T1591" s="770"/>
      <c r="U1591" s="343"/>
      <c r="V1591" s="343"/>
    </row>
    <row r="1592" spans="1:22" s="364" customFormat="1" x14ac:dyDescent="0.25">
      <c r="A1592" s="729"/>
      <c r="B1592" s="302"/>
      <c r="C1592" s="302"/>
      <c r="D1592" s="344"/>
      <c r="E1592" s="398" t="str">
        <f>Translations!$B$951</f>
        <v>WGflare</v>
      </c>
      <c r="F1592" s="398"/>
      <c r="G1592" s="398"/>
      <c r="H1592" s="516" t="str">
        <f>EUconst_EUA</f>
        <v>Квота за емисии</v>
      </c>
      <c r="I1592" s="1785" t="str">
        <f>IF($I1524="","",IF(T1595&gt;=$H$2504,0,S1592))</f>
        <v/>
      </c>
      <c r="J1592" s="1809" t="str">
        <f>IF($I1524="","",INDEX(F_ProductBM!J:J,MATCH($P1592,F_ProductBM!$Q:$Q,0)))</f>
        <v/>
      </c>
      <c r="K1592" s="1810" t="str">
        <f>IF($I1524="","",INDEX(F_ProductBM!K:K,MATCH($P1592,F_ProductBM!$Q:$Q,0)))</f>
        <v/>
      </c>
      <c r="L1592" s="1810" t="str">
        <f>IF($I1524="","",INDEX(F_ProductBM!L:L,MATCH($P1592,F_ProductBM!$Q:$Q,0)))</f>
        <v/>
      </c>
      <c r="M1592" s="1810" t="str">
        <f>IF($I1524="","",INDEX(F_ProductBM!M:M,MATCH($P1592,F_ProductBM!$Q:$Q,0)))</f>
        <v/>
      </c>
      <c r="N1592" s="1811" t="str">
        <f>IF($I1524="","",INDEX(F_ProductBM!N:N,MATCH($P1592,F_ProductBM!$Q:$Q,0)))</f>
        <v/>
      </c>
      <c r="O1592" s="698"/>
      <c r="P1592" s="1190" t="str">
        <f>EUconst_CNTR_HALfinal&amp;EUconst_CNTR_WGFlared&amp;$I1524</f>
        <v>HALfinal_WasteGasFlare_</v>
      </c>
      <c r="Q1592" s="729"/>
      <c r="R1592" s="729"/>
      <c r="S1592" s="1812" t="str">
        <f>IF($I1524="","",INDEX(F_ProductBM!I:I,MATCH($P1592,F_ProductBM!$Q:$Q,0)))</f>
        <v/>
      </c>
      <c r="T1592" s="770"/>
      <c r="U1592" s="343"/>
      <c r="V1592" s="343"/>
    </row>
    <row r="1593" spans="1:22" s="364" customFormat="1" x14ac:dyDescent="0.25">
      <c r="A1593" s="729"/>
      <c r="B1593" s="302"/>
      <c r="C1593" s="302"/>
      <c r="D1593" s="344"/>
      <c r="E1593" s="398" t="s">
        <v>1442</v>
      </c>
      <c r="F1593" s="398"/>
      <c r="G1593" s="398"/>
      <c r="H1593" s="516" t="str">
        <f>EUconst_EUA</f>
        <v>Квота за емисии</v>
      </c>
      <c r="I1593" s="1785" t="str">
        <f>IF($I1524="","",IF(T1595&gt;=$H$2504,0,IF(L1527=42,S1593,0)))</f>
        <v/>
      </c>
      <c r="J1593" s="1809" t="str">
        <f>IF($I1524="","",IF($L1527=42,INDEX(H_SpecialBM!J:J,MATCH($P1593,H_SpecialBM!$Q:$Q,0)),0))</f>
        <v/>
      </c>
      <c r="K1593" s="1810" t="str">
        <f>IF($I1524="","",IF($L1527=42,INDEX(H_SpecialBM!K:K,MATCH($P1593,H_SpecialBM!$Q:$Q,0)),0))</f>
        <v/>
      </c>
      <c r="L1593" s="1810" t="str">
        <f>IF($I1524="","",IF($L1527=42,INDEX(H_SpecialBM!L:L,MATCH($P1593,H_SpecialBM!$Q:$Q,0)),0))</f>
        <v/>
      </c>
      <c r="M1593" s="1810" t="str">
        <f>IF($I1524="","",IF($L1527=42,INDEX(H_SpecialBM!M:M,MATCH($P1593,H_SpecialBM!$Q:$Q,0)),0))</f>
        <v/>
      </c>
      <c r="N1593" s="1811" t="str">
        <f>IF($I1524="","",IF($L1527=42,INDEX(H_SpecialBM!N:N,MATCH($P1593,H_SpecialBM!$Q:$Q,0)),0))</f>
        <v/>
      </c>
      <c r="O1593" s="698"/>
      <c r="P1593" s="1190" t="str">
        <f>EUconst_CNTR_HVCfinal</f>
        <v>HVCfinal_</v>
      </c>
      <c r="Q1593" s="729"/>
      <c r="R1593" s="729"/>
      <c r="S1593" s="1812" t="str">
        <f>IF($I1524="","",IF(L1527=42,INDEX(H_SpecialBM!I:I,MATCH($P1593,H_SpecialBM!$Q:$Q,0)),0))</f>
        <v/>
      </c>
      <c r="T1593" s="770"/>
      <c r="U1593" s="343"/>
      <c r="V1593" s="343"/>
    </row>
    <row r="1594" spans="1:22" s="364" customFormat="1" x14ac:dyDescent="0.25">
      <c r="A1594" s="729"/>
      <c r="B1594" s="302"/>
      <c r="C1594" s="302"/>
      <c r="D1594" s="344"/>
      <c r="E1594" s="401" t="s">
        <v>1443</v>
      </c>
      <c r="F1594" s="401"/>
      <c r="G1594" s="401"/>
      <c r="H1594" s="483" t="s">
        <v>1052</v>
      </c>
      <c r="I1594" s="1788" t="str">
        <f>IF($I1524="","",IF($L1527=47,IF(AND(ISNUMBER(S1594),YEAR(J1527)&lt;2021),S1594,1),1))</f>
        <v/>
      </c>
      <c r="J1594" s="1813" t="str">
        <f>IF($I1524="","",IF($L1527=47,IF(ISNUMBER(INDEX(H_SpecialBM!J:J,MATCH($P1594,H_SpecialBM!$Q:$Q,0))),INDEX(H_SpecialBM!J:J,MATCH($P1594,H_SpecialBM!$Q:$Q,0)),1),1))</f>
        <v/>
      </c>
      <c r="K1594" s="1814" t="str">
        <f>IF($I1524="","",IF($L1527=47,IF(ISNUMBER(INDEX(H_SpecialBM!K:K,MATCH($P1594,H_SpecialBM!$Q:$Q,0))),INDEX(H_SpecialBM!K:K,MATCH($P1594,H_SpecialBM!$Q:$Q,0)),1),1))</f>
        <v/>
      </c>
      <c r="L1594" s="1814" t="str">
        <f>IF($I1524="","",IF($L1527=47,IF(ISNUMBER(INDEX(H_SpecialBM!L:L,MATCH($P1594,H_SpecialBM!$Q:$Q,0))),INDEX(H_SpecialBM!L:L,MATCH($P1594,H_SpecialBM!$Q:$Q,0)),1),1))</f>
        <v/>
      </c>
      <c r="M1594" s="1814" t="str">
        <f>IF($I1524="","",IF($L1527=47,IF(ISNUMBER(INDEX(H_SpecialBM!M:M,MATCH($P1594,H_SpecialBM!$Q:$Q,0))),INDEX(H_SpecialBM!M:M,MATCH($P1594,H_SpecialBM!$Q:$Q,0)),1),1))</f>
        <v/>
      </c>
      <c r="N1594" s="1815" t="str">
        <f>IF($I1524="","",IF($L1527=47,IF(ISNUMBER(INDEX(H_SpecialBM!N:N,MATCH($P1594,H_SpecialBM!$Q:$Q,0))),INDEX(H_SpecialBM!N:N,MATCH($P1594,H_SpecialBM!$Q:$Q,0)),1),1))</f>
        <v/>
      </c>
      <c r="O1594" s="698"/>
      <c r="P1594" s="1190" t="str">
        <f>EUconst_CNTR_VCMfinal</f>
        <v>VCMfinal_</v>
      </c>
      <c r="Q1594" s="729"/>
      <c r="R1594" s="729"/>
      <c r="S1594" s="1816" t="str">
        <f>IF($I1524="","",IF($L1527=47,IF(ISNUMBER(INDEX(H_SpecialBM!I:I,MATCH($P1594,H_SpecialBM!$Q:$Q,0))),INDEX(H_SpecialBM!I:I,MATCH($P1594,H_SpecialBM!$Q:$Q,0)),1),1))</f>
        <v/>
      </c>
      <c r="T1594" s="729"/>
      <c r="U1594" s="343"/>
      <c r="V1594" s="343"/>
    </row>
    <row r="1595" spans="1:22" s="364" customFormat="1" x14ac:dyDescent="0.25">
      <c r="A1595" s="729"/>
      <c r="B1595" s="302"/>
      <c r="C1595" s="302"/>
      <c r="D1595" s="344"/>
      <c r="E1595" s="388" t="str">
        <f>Translations!$B$892</f>
        <v>Предварително разпределяне</v>
      </c>
      <c r="F1595" s="388"/>
      <c r="G1595" s="388"/>
      <c r="H1595" s="421" t="str">
        <f>EUconst_EUA</f>
        <v>Квота за емисии</v>
      </c>
      <c r="I1595" s="1791" t="str">
        <f>IF($I1524="","",MAX(0,ROUND((SUM($M1527)*SUM(I1590)*SUM(I1594)-SUM(I1591)-SUM(I1592)+SUM(I1593))*IF($H1527=TRUE,1,J$2412),0)))</f>
        <v/>
      </c>
      <c r="J1595" s="1694" t="str">
        <f>IF($I1524="","",MAX(0,ROUND((SUM(R1585)*SUM($M1527)*SUM(J1590)*SUM(J1594)-SUM(J1591)-SUM(J1592)+SUM(J1593))*IF($H1527=TRUE,1,J$2412)*IF($I1527=TRUE,INDEX(EUconst_CBAMFactor,J1533-2020),1),0)))</f>
        <v/>
      </c>
      <c r="K1595" s="406" t="str">
        <f>IF($I1524="","",MAX(0,ROUND((SUM(S1585)*SUM($M1527)*SUM(K1590)*SUM(K1594)-SUM(K1591)-SUM(K1592)+SUM(K1593))*IF($H1527=TRUE,1,K$2412)*IF($I1527=TRUE,INDEX(EUconst_CBAMFactor,K1533-2020),1),0)))</f>
        <v/>
      </c>
      <c r="L1595" s="406" t="str">
        <f>IF($I1524="","",MAX(0,ROUND((SUM(T1585)*SUM($M1527)*SUM(L1590)*SUM(L1594)-SUM(L1591)-SUM(L1592)+SUM(L1593))*IF($H1527=TRUE,1,L$2412)*IF($I1527=TRUE,INDEX(EUconst_CBAMFactor,L1533-2020),1),0)))</f>
        <v/>
      </c>
      <c r="M1595" s="406" t="str">
        <f>IF($I1524="","",MAX(0,ROUND((SUM(U1585)*SUM($M1527)*SUM(M1590)*SUM(M1594)-SUM(M1591)-SUM(M1592)+SUM(M1593))*IF($H1527=TRUE,1,M$2412)*IF($I1527=TRUE,INDEX(EUconst_CBAMFactor,M1533-2020),1),0)))</f>
        <v/>
      </c>
      <c r="N1595" s="1729" t="str">
        <f>IF($I1524="","",MAX(0,ROUND((SUM(V1585)*SUM($M1527)*SUM(N1590)*SUM(N1594)-SUM(N1591)-SUM(N1592)+SUM(N1593))*IF($H1527=TRUE,1,N$2412)*IF($I1527=TRUE,INDEX(EUconst_CBAMFactor,N1533-2020),1),0)))</f>
        <v/>
      </c>
      <c r="O1595" s="698"/>
      <c r="P1595" s="1190" t="str">
        <f>EUconst_AllocPrelim&amp;I1524</f>
        <v>AllocPrelim_</v>
      </c>
      <c r="Q1595" s="729"/>
      <c r="R1595" s="729"/>
      <c r="S1595" s="1817" t="str">
        <f>IF($I1524="","",MAX(0,ROUND((SUM($M1527)*SUM(S1590)*SUM(S1594)-SUM(S1591)-SUM(S1592)+SUM(S1593))*IF($H1527=TRUE,1,J$2412),0)))</f>
        <v/>
      </c>
      <c r="T1595" s="1176">
        <f>INDEX(F_ProductBM!V:V,MATCH(C1524,F_ProductBM!C:C,0))</f>
        <v>2005</v>
      </c>
      <c r="U1595" s="727" t="b">
        <f>OR(INDEX(I1595:N1595,CNTR_ReportingYear-$I$2505)&lt;&gt;INDEX(I1595:N1595,CNTR_ReportingYear-$H$2505),
(CNTR_ReportingYear-T1595)&lt;=1)</f>
        <v>0</v>
      </c>
      <c r="V1595" s="716" t="b">
        <f ca="1">IF(I1595="",FALSE,COUNTIF(OFFSET(I1595,,,,MAX(1,CNTR_ReportingYear-$I$2505)),"&lt;&gt;" &amp; INDEX(I1595:N1595,CNTR_ReportingYear-$H$2505))&gt;0)</f>
        <v>0</v>
      </c>
    </row>
    <row r="1596" spans="1:22" s="364" customFormat="1" ht="5.15" customHeight="1" thickBot="1" x14ac:dyDescent="0.3">
      <c r="A1596" s="729"/>
      <c r="B1596" s="302"/>
      <c r="C1596" s="302"/>
      <c r="D1596" s="1801"/>
      <c r="E1596" s="1762"/>
      <c r="F1596" s="1762"/>
      <c r="G1596" s="1762"/>
      <c r="H1596" s="1762"/>
      <c r="I1596" s="1762"/>
      <c r="J1596" s="1762"/>
      <c r="K1596" s="1762"/>
      <c r="L1596" s="1762"/>
      <c r="M1596" s="1762"/>
      <c r="N1596" s="1764"/>
      <c r="O1596" s="698"/>
      <c r="P1596" s="729"/>
      <c r="Q1596" s="729"/>
      <c r="R1596" s="729"/>
      <c r="S1596" s="729"/>
      <c r="T1596" s="729"/>
      <c r="U1596" s="343"/>
      <c r="V1596" s="343"/>
    </row>
    <row r="1597" spans="1:22" s="364" customFormat="1" ht="5.15" customHeight="1" thickBot="1" x14ac:dyDescent="0.3">
      <c r="A1597" s="729"/>
      <c r="B1597" s="302"/>
      <c r="C1597" s="302"/>
      <c r="E1597" s="360"/>
      <c r="F1597" s="302"/>
      <c r="G1597" s="302"/>
      <c r="H1597" s="302"/>
      <c r="I1597" s="302"/>
      <c r="J1597" s="302"/>
      <c r="K1597" s="302"/>
      <c r="L1597" s="302"/>
      <c r="M1597" s="302"/>
      <c r="N1597" s="302"/>
      <c r="O1597" s="698"/>
      <c r="P1597" s="729"/>
      <c r="Q1597" s="729"/>
      <c r="R1597" s="729"/>
      <c r="S1597" s="729"/>
      <c r="T1597" s="729"/>
      <c r="U1597" s="343"/>
      <c r="V1597" s="343"/>
    </row>
    <row r="1598" spans="1:22" s="364" customFormat="1" ht="12.75" customHeight="1" x14ac:dyDescent="0.25">
      <c r="A1598" s="729"/>
      <c r="B1598" s="302"/>
      <c r="C1598" s="302"/>
      <c r="D1598" s="1818"/>
      <c r="E1598" s="1819"/>
      <c r="F1598" s="1819"/>
      <c r="G1598" s="1300"/>
      <c r="H1598" s="1300"/>
      <c r="I1598" s="1300"/>
      <c r="J1598" s="1300"/>
      <c r="K1598" s="1300"/>
      <c r="L1598" s="1300"/>
      <c r="M1598" s="1300"/>
      <c r="N1598" s="1301"/>
      <c r="O1598" s="698"/>
      <c r="P1598" s="729"/>
      <c r="Q1598" s="729"/>
      <c r="R1598" s="729"/>
      <c r="S1598" s="729"/>
      <c r="T1598" s="729"/>
      <c r="U1598" s="343"/>
      <c r="V1598" s="343"/>
    </row>
    <row r="1599" spans="1:22" s="364" customFormat="1" ht="13.5" thickBot="1" x14ac:dyDescent="0.3">
      <c r="A1599" s="729"/>
      <c r="B1599" s="302"/>
      <c r="C1599" s="302"/>
      <c r="D1599" s="1820"/>
      <c r="E1599" s="625"/>
      <c r="F1599" s="625"/>
      <c r="G1599" s="627" t="str">
        <f>EUconst_Unit</f>
        <v>Единица мярка</v>
      </c>
      <c r="H1599" s="628">
        <f t="shared" ref="H1599:M1599" si="140">H$2505</f>
        <v>2024</v>
      </c>
      <c r="I1599" s="1821">
        <f t="shared" si="140"/>
        <v>2025</v>
      </c>
      <c r="J1599" s="1311">
        <f t="shared" si="140"/>
        <v>2026</v>
      </c>
      <c r="K1599" s="629">
        <f t="shared" si="140"/>
        <v>2027</v>
      </c>
      <c r="L1599" s="629">
        <f t="shared" si="140"/>
        <v>2028</v>
      </c>
      <c r="M1599" s="629">
        <f t="shared" si="140"/>
        <v>2029</v>
      </c>
      <c r="N1599" s="1312">
        <f>N$2505</f>
        <v>2030</v>
      </c>
      <c r="O1599" s="698"/>
      <c r="P1599" s="729"/>
      <c r="Q1599" s="729"/>
      <c r="R1599" s="729"/>
      <c r="S1599" s="729"/>
      <c r="T1599" s="770"/>
      <c r="U1599" s="343"/>
      <c r="V1599" s="343"/>
    </row>
    <row r="1600" spans="1:22" s="364" customFormat="1" ht="13.5" customHeight="1" thickBot="1" x14ac:dyDescent="0.3">
      <c r="A1600" s="729"/>
      <c r="B1600" s="302"/>
      <c r="C1600" s="302"/>
      <c r="D1600" s="1820"/>
      <c r="E1600" s="2929" t="str">
        <f>Translations!$B$956</f>
        <v>Общо зададени емисии</v>
      </c>
      <c r="F1600" s="2929"/>
      <c r="G1600" s="631" t="str">
        <f>EUconst_tCO2epa</f>
        <v>t CO2e/година</v>
      </c>
      <c r="H1600" s="661" t="str">
        <f t="shared" ref="H1600:N1600" si="141">INDEX(H$95:H$114,MATCH($I1524,$E$95:$E$114,0))</f>
        <v/>
      </c>
      <c r="I1600" s="1822" t="str">
        <f t="shared" si="141"/>
        <v/>
      </c>
      <c r="J1600" s="661" t="str">
        <f t="shared" si="141"/>
        <v/>
      </c>
      <c r="K1600" s="662" t="str">
        <f t="shared" si="141"/>
        <v/>
      </c>
      <c r="L1600" s="662" t="str">
        <f t="shared" si="141"/>
        <v/>
      </c>
      <c r="M1600" s="662" t="str">
        <f t="shared" si="141"/>
        <v/>
      </c>
      <c r="N1600" s="663" t="str">
        <f t="shared" si="141"/>
        <v/>
      </c>
      <c r="O1600" s="698"/>
      <c r="P1600" s="729"/>
      <c r="Q1600" s="729"/>
      <c r="R1600" s="729"/>
      <c r="S1600" s="729"/>
      <c r="T1600" s="770"/>
      <c r="U1600" s="343"/>
      <c r="V1600" s="343"/>
    </row>
    <row r="1601" spans="1:22" s="364" customFormat="1" ht="5.15" customHeight="1" x14ac:dyDescent="0.25">
      <c r="A1601" s="729"/>
      <c r="B1601" s="302"/>
      <c r="C1601" s="302"/>
      <c r="D1601" s="1820"/>
      <c r="E1601" s="643"/>
      <c r="F1601" s="643"/>
      <c r="G1601" s="625"/>
      <c r="H1601" s="635"/>
      <c r="I1601" s="635"/>
      <c r="J1601" s="635"/>
      <c r="K1601" s="635"/>
      <c r="L1601" s="635"/>
      <c r="M1601" s="635"/>
      <c r="N1601" s="1823"/>
      <c r="O1601" s="698"/>
      <c r="P1601" s="729"/>
      <c r="Q1601" s="729"/>
      <c r="R1601" s="729"/>
      <c r="S1601" s="729"/>
      <c r="T1601" s="770"/>
      <c r="U1601" s="343"/>
      <c r="V1601" s="343"/>
    </row>
    <row r="1602" spans="1:22" s="364" customFormat="1" ht="12.75" customHeight="1" x14ac:dyDescent="0.25">
      <c r="A1602" s="729"/>
      <c r="B1602" s="302"/>
      <c r="C1602" s="302"/>
      <c r="D1602" s="1820"/>
      <c r="E1602" s="2818" t="str">
        <f>Translations!$B$521</f>
        <v>Вложени горива</v>
      </c>
      <c r="F1602" s="2701"/>
      <c r="G1602" s="1326" t="str">
        <f>EUconst_TJpa</f>
        <v>TJ / година</v>
      </c>
      <c r="H1602" s="482" t="str">
        <f>IF($I1524="","",IF(INDEX(F_ProductBM!H:H,MATCH($P1602,F_ProductBM!$Q:$Q,0))="","",INDEX(F_ProductBM!H:H,MATCH($P1602,F_ProductBM!$Q:$Q,0))))</f>
        <v/>
      </c>
      <c r="I1602" s="1824" t="str">
        <f>IF($I1524="","",IF(INDEX(F_ProductBM!I:I,MATCH($P1602,F_ProductBM!$Q:$Q,0))="","",INDEX(F_ProductBM!I:I,MATCH($P1602,F_ProductBM!$Q:$Q,0))))</f>
        <v/>
      </c>
      <c r="J1602" s="1825" t="str">
        <f>IF($I1524="","",IF(INDEX(F_ProductBM!J:J,MATCH($P1602,F_ProductBM!$Q:$Q,0))="","",INDEX(F_ProductBM!J:J,MATCH($P1602,F_ProductBM!$Q:$Q,0))))</f>
        <v/>
      </c>
      <c r="K1602" s="482" t="str">
        <f>IF($I1524="","",IF(INDEX(F_ProductBM!K:K,MATCH($P1602,F_ProductBM!$Q:$Q,0))="","",INDEX(F_ProductBM!K:K,MATCH($P1602,F_ProductBM!$Q:$Q,0))))</f>
        <v/>
      </c>
      <c r="L1602" s="482" t="str">
        <f>IF($I1524="","",IF(INDEX(F_ProductBM!L:L,MATCH($P1602,F_ProductBM!$Q:$Q,0))="","",INDEX(F_ProductBM!L:L,MATCH($P1602,F_ProductBM!$Q:$Q,0))))</f>
        <v/>
      </c>
      <c r="M1602" s="482" t="str">
        <f>IF($I1524="","",IF(INDEX(F_ProductBM!M:M,MATCH($P1602,F_ProductBM!$Q:$Q,0))="","",INDEX(F_ProductBM!M:M,MATCH($P1602,F_ProductBM!$Q:$Q,0))))</f>
        <v/>
      </c>
      <c r="N1602" s="1826" t="str">
        <f>IF($I1524="","",IF(INDEX(F_ProductBM!N:N,MATCH($P1602,F_ProductBM!$Q:$Q,0))="","",INDEX(F_ProductBM!N:N,MATCH($P1602,F_ProductBM!$Q:$Q,0))))</f>
        <v/>
      </c>
      <c r="O1602" s="698"/>
      <c r="P1602" s="1827" t="str">
        <f>EUconst_CNTR_FuelInput &amp; I1524</f>
        <v>FuelInput_</v>
      </c>
      <c r="Q1602" s="729"/>
      <c r="R1602" s="729"/>
      <c r="S1602" s="729"/>
      <c r="T1602" s="770"/>
      <c r="U1602" s="343"/>
      <c r="V1602" s="343"/>
    </row>
    <row r="1603" spans="1:22" s="364" customFormat="1" ht="12.75" customHeight="1" x14ac:dyDescent="0.25">
      <c r="A1603" s="729"/>
      <c r="B1603" s="302"/>
      <c r="C1603" s="302"/>
      <c r="D1603" s="1820"/>
      <c r="E1603" s="2819" t="str">
        <f>Translations!$B$522</f>
        <v>Претеглен емисионен фактор</v>
      </c>
      <c r="F1603" s="2705"/>
      <c r="G1603" s="1329" t="str">
        <f>EUconst_tCO2pTJ</f>
        <v>t CO2 / TJ</v>
      </c>
      <c r="H1603" s="484" t="str">
        <f>IF($I1524="","",IF(INDEX(F_ProductBM!H:H,MATCH($P1603,F_ProductBM!$Q:$Q,0))="","",INDEX(F_ProductBM!H:H,MATCH($P1603,F_ProductBM!$Q:$Q,0))))</f>
        <v/>
      </c>
      <c r="I1603" s="1828" t="str">
        <f>IF($I1524="","",IF(INDEX(F_ProductBM!I:I,MATCH($P1603,F_ProductBM!$Q:$Q,0))="","",INDEX(F_ProductBM!I:I,MATCH($P1603,F_ProductBM!$Q:$Q,0))))</f>
        <v/>
      </c>
      <c r="J1603" s="1829" t="str">
        <f>IF($I1524="","",IF(INDEX(F_ProductBM!J:J,MATCH($P1603,F_ProductBM!$Q:$Q,0))="","",INDEX(F_ProductBM!J:J,MATCH($P1603,F_ProductBM!$Q:$Q,0))))</f>
        <v/>
      </c>
      <c r="K1603" s="484" t="str">
        <f>IF($I1524="","",IF(INDEX(F_ProductBM!K:K,MATCH($P1603,F_ProductBM!$Q:$Q,0))="","",INDEX(F_ProductBM!K:K,MATCH($P1603,F_ProductBM!$Q:$Q,0))))</f>
        <v/>
      </c>
      <c r="L1603" s="484" t="str">
        <f>IF($I1524="","",IF(INDEX(F_ProductBM!L:L,MATCH($P1603,F_ProductBM!$Q:$Q,0))="","",INDEX(F_ProductBM!L:L,MATCH($P1603,F_ProductBM!$Q:$Q,0))))</f>
        <v/>
      </c>
      <c r="M1603" s="484" t="str">
        <f>IF($I1524="","",IF(INDEX(F_ProductBM!M:M,MATCH($P1603,F_ProductBM!$Q:$Q,0))="","",INDEX(F_ProductBM!M:M,MATCH($P1603,F_ProductBM!$Q:$Q,0))))</f>
        <v/>
      </c>
      <c r="N1603" s="1830" t="str">
        <f>IF($I1524="","",IF(INDEX(F_ProductBM!N:N,MATCH($P1603,F_ProductBM!$Q:$Q,0))="","",INDEX(F_ProductBM!N:N,MATCH($P1603,F_ProductBM!$Q:$Q,0))))</f>
        <v/>
      </c>
      <c r="O1603" s="698"/>
      <c r="P1603" s="1500" t="str">
        <f>EUconst_CNTR_FuelEF &amp; I1524</f>
        <v>FuelEF_</v>
      </c>
      <c r="Q1603" s="729"/>
      <c r="R1603" s="729"/>
      <c r="S1603" s="729"/>
      <c r="T1603" s="770"/>
      <c r="U1603" s="343"/>
      <c r="V1603" s="343"/>
    </row>
    <row r="1604" spans="1:22" s="364" customFormat="1" ht="5.15" customHeight="1" x14ac:dyDescent="0.25">
      <c r="A1604" s="729"/>
      <c r="B1604" s="302"/>
      <c r="C1604" s="302"/>
      <c r="D1604" s="1820"/>
      <c r="E1604" s="643"/>
      <c r="F1604" s="643"/>
      <c r="G1604" s="626"/>
      <c r="H1604" s="640"/>
      <c r="I1604" s="640"/>
      <c r="J1604" s="640"/>
      <c r="K1604" s="640"/>
      <c r="L1604" s="640"/>
      <c r="M1604" s="640"/>
      <c r="N1604" s="1831"/>
      <c r="O1604" s="698"/>
      <c r="P1604" s="729"/>
      <c r="Q1604" s="729"/>
      <c r="R1604" s="729"/>
      <c r="S1604" s="729"/>
      <c r="T1604" s="770"/>
      <c r="U1604" s="343"/>
      <c r="V1604" s="343"/>
    </row>
    <row r="1605" spans="1:22" s="364" customFormat="1" ht="12.75" customHeight="1" x14ac:dyDescent="0.25">
      <c r="A1605" s="729"/>
      <c r="B1605" s="302"/>
      <c r="C1605" s="302"/>
      <c r="D1605" s="1820"/>
      <c r="E1605" s="2820" t="str">
        <f>Translations!$B$484</f>
        <v>Преки емисии</v>
      </c>
      <c r="F1605" s="2258"/>
      <c r="G1605" s="1319" t="str">
        <f>EUconst_tCO2pa</f>
        <v>t CO2 / година</v>
      </c>
      <c r="H1605" s="480" t="str">
        <f>IF($I1524="","",IF(INDEX(F_ProductBM!H:H,MATCH($P1605,F_ProductBM!$Q:$Q,0))="","",INDEX(F_ProductBM!H:H,MATCH($P1605,F_ProductBM!$Q:$Q,0))))</f>
        <v/>
      </c>
      <c r="I1605" s="1399" t="str">
        <f>IF($I1524="","",IF(INDEX(F_ProductBM!I:I,MATCH($P1605,F_ProductBM!$Q:$Q,0))="","",INDEX(F_ProductBM!I:I,MATCH($P1605,F_ProductBM!$Q:$Q,0))))</f>
        <v/>
      </c>
      <c r="J1605" s="1832" t="str">
        <f>IF($I1524="","",IF(INDEX(F_ProductBM!J:J,MATCH($P1605,F_ProductBM!$Q:$Q,0))="","",INDEX(F_ProductBM!J:J,MATCH($P1605,F_ProductBM!$Q:$Q,0))))</f>
        <v/>
      </c>
      <c r="K1605" s="480" t="str">
        <f>IF($I1524="","",IF(INDEX(F_ProductBM!K:K,MATCH($P1605,F_ProductBM!$Q:$Q,0))="","",INDEX(F_ProductBM!K:K,MATCH($P1605,F_ProductBM!$Q:$Q,0))))</f>
        <v/>
      </c>
      <c r="L1605" s="480" t="str">
        <f>IF($I1524="","",IF(INDEX(F_ProductBM!L:L,MATCH($P1605,F_ProductBM!$Q:$Q,0))="","",INDEX(F_ProductBM!L:L,MATCH($P1605,F_ProductBM!$Q:$Q,0))))</f>
        <v/>
      </c>
      <c r="M1605" s="480" t="str">
        <f>IF($I1524="","",IF(INDEX(F_ProductBM!M:M,MATCH($P1605,F_ProductBM!$Q:$Q,0))="","",INDEX(F_ProductBM!M:M,MATCH($P1605,F_ProductBM!$Q:$Q,0))))</f>
        <v/>
      </c>
      <c r="N1605" s="1833" t="str">
        <f>IF($I1524="","",IF(INDEX(F_ProductBM!N:N,MATCH($P1605,F_ProductBM!$Q:$Q,0))="","",INDEX(F_ProductBM!N:N,MATCH($P1605,F_ProductBM!$Q:$Q,0))))</f>
        <v/>
      </c>
      <c r="O1605" s="698"/>
      <c r="P1605" s="1500" t="str">
        <f>EUconst_CNTR_Emissions &amp; I1524</f>
        <v>DirEmissions_</v>
      </c>
      <c r="Q1605" s="729"/>
      <c r="R1605" s="729"/>
      <c r="S1605" s="729"/>
      <c r="T1605" s="770"/>
      <c r="U1605" s="343"/>
      <c r="V1605" s="343"/>
    </row>
    <row r="1606" spans="1:22" s="364" customFormat="1" ht="12.75" customHeight="1" x14ac:dyDescent="0.25">
      <c r="A1606" s="729"/>
      <c r="B1606" s="302"/>
      <c r="C1606" s="302"/>
      <c r="D1606" s="1820"/>
      <c r="E1606" s="2820" t="str">
        <f>Translations!$B$532</f>
        <v>Други пораждащи емисии потоци — 1</v>
      </c>
      <c r="F1606" s="2258"/>
      <c r="G1606" s="1319" t="str">
        <f>EUconst_tCO2pa</f>
        <v>t CO2 / година</v>
      </c>
      <c r="H1606" s="480" t="str">
        <f>IF($I1524="","",IF(INDEX(F_ProductBM!H:H,MATCH($P1606,F_ProductBM!$Q:$Q,0))="","",INDEX(F_ProductBM!H:H,MATCH($P1606,F_ProductBM!$Q:$Q,0))))</f>
        <v/>
      </c>
      <c r="I1606" s="1399" t="str">
        <f>IF($I1524="","",IF(INDEX(F_ProductBM!I:I,MATCH($P1606,F_ProductBM!$Q:$Q,0))="","",INDEX(F_ProductBM!I:I,MATCH($P1606,F_ProductBM!$Q:$Q,0))))</f>
        <v/>
      </c>
      <c r="J1606" s="1832" t="str">
        <f>IF($I1524="","",IF(INDEX(F_ProductBM!J:J,MATCH($P1606,F_ProductBM!$Q:$Q,0))="","",INDEX(F_ProductBM!J:J,MATCH($P1606,F_ProductBM!$Q:$Q,0))))</f>
        <v/>
      </c>
      <c r="K1606" s="480" t="str">
        <f>IF($I1524="","",IF(INDEX(F_ProductBM!K:K,MATCH($P1606,F_ProductBM!$Q:$Q,0))="","",INDEX(F_ProductBM!K:K,MATCH($P1606,F_ProductBM!$Q:$Q,0))))</f>
        <v/>
      </c>
      <c r="L1606" s="480" t="str">
        <f>IF($I1524="","",IF(INDEX(F_ProductBM!L:L,MATCH($P1606,F_ProductBM!$Q:$Q,0))="","",INDEX(F_ProductBM!L:L,MATCH($P1606,F_ProductBM!$Q:$Q,0))))</f>
        <v/>
      </c>
      <c r="M1606" s="480" t="str">
        <f>IF($I1524="","",IF(INDEX(F_ProductBM!M:M,MATCH($P1606,F_ProductBM!$Q:$Q,0))="","",INDEX(F_ProductBM!M:M,MATCH($P1606,F_ProductBM!$Q:$Q,0))))</f>
        <v/>
      </c>
      <c r="N1606" s="1833" t="str">
        <f>IF($I1524="","",IF(INDEX(F_ProductBM!N:N,MATCH($P1606,F_ProductBM!$Q:$Q,0))="","",INDEX(F_ProductBM!N:N,MATCH($P1606,F_ProductBM!$Q:$Q,0))))</f>
        <v/>
      </c>
      <c r="O1606" s="698"/>
      <c r="P1606" s="1500" t="str">
        <f>EUconst_CNTR_EmissionsIntSource1 &amp; I1524</f>
        <v>EmInternalSource1_</v>
      </c>
      <c r="Q1606" s="729"/>
      <c r="R1606" s="729"/>
      <c r="S1606" s="729"/>
      <c r="T1606" s="770"/>
      <c r="U1606" s="343"/>
      <c r="V1606" s="343"/>
    </row>
    <row r="1607" spans="1:22" s="364" customFormat="1" ht="12.75" customHeight="1" x14ac:dyDescent="0.25">
      <c r="A1607" s="729"/>
      <c r="B1607" s="302"/>
      <c r="C1607" s="302"/>
      <c r="D1607" s="1820"/>
      <c r="E1607" s="2820" t="str">
        <f>Translations!$B$542</f>
        <v>Други пораждащи емисии потоци — 2</v>
      </c>
      <c r="F1607" s="2258"/>
      <c r="G1607" s="1319" t="str">
        <f>EUconst_tCO2pa</f>
        <v>t CO2 / година</v>
      </c>
      <c r="H1607" s="480" t="str">
        <f>IF($I1524="","",IF(INDEX(F_ProductBM!H:H,MATCH($P1607,F_ProductBM!$Q:$Q,0))="","",INDEX(F_ProductBM!H:H,MATCH($P1607,F_ProductBM!$Q:$Q,0))))</f>
        <v/>
      </c>
      <c r="I1607" s="1399" t="str">
        <f>IF($I1524="","",IF(INDEX(F_ProductBM!I:I,MATCH($P1607,F_ProductBM!$Q:$Q,0))="","",INDEX(F_ProductBM!I:I,MATCH($P1607,F_ProductBM!$Q:$Q,0))))</f>
        <v/>
      </c>
      <c r="J1607" s="1832" t="str">
        <f>IF($I1524="","",IF(INDEX(F_ProductBM!J:J,MATCH($P1607,F_ProductBM!$Q:$Q,0))="","",INDEX(F_ProductBM!J:J,MATCH($P1607,F_ProductBM!$Q:$Q,0))))</f>
        <v/>
      </c>
      <c r="K1607" s="480" t="str">
        <f>IF($I1524="","",IF(INDEX(F_ProductBM!K:K,MATCH($P1607,F_ProductBM!$Q:$Q,0))="","",INDEX(F_ProductBM!K:K,MATCH($P1607,F_ProductBM!$Q:$Q,0))))</f>
        <v/>
      </c>
      <c r="L1607" s="480" t="str">
        <f>IF($I1524="","",IF(INDEX(F_ProductBM!L:L,MATCH($P1607,F_ProductBM!$Q:$Q,0))="","",INDEX(F_ProductBM!L:L,MATCH($P1607,F_ProductBM!$Q:$Q,0))))</f>
        <v/>
      </c>
      <c r="M1607" s="480" t="str">
        <f>IF($I1524="","",IF(INDEX(F_ProductBM!M:M,MATCH($P1607,F_ProductBM!$Q:$Q,0))="","",INDEX(F_ProductBM!M:M,MATCH($P1607,F_ProductBM!$Q:$Q,0))))</f>
        <v/>
      </c>
      <c r="N1607" s="1833" t="str">
        <f>IF($I1524="","",IF(INDEX(F_ProductBM!N:N,MATCH($P1607,F_ProductBM!$Q:$Q,0))="","",INDEX(F_ProductBM!N:N,MATCH($P1607,F_ProductBM!$Q:$Q,0))))</f>
        <v/>
      </c>
      <c r="O1607" s="698"/>
      <c r="P1607" s="1500" t="str">
        <f>EUconst_CNTR_EmissionsIntSource2 &amp; I1524</f>
        <v>EmInternalSource2_</v>
      </c>
      <c r="Q1607" s="729"/>
      <c r="R1607" s="729"/>
      <c r="S1607" s="729"/>
      <c r="T1607" s="770"/>
      <c r="U1607" s="343"/>
      <c r="V1607" s="343"/>
    </row>
    <row r="1608" spans="1:22" s="364" customFormat="1" ht="12.75" customHeight="1" x14ac:dyDescent="0.25">
      <c r="A1608" s="729"/>
      <c r="B1608" s="302"/>
      <c r="C1608" s="302"/>
      <c r="D1608" s="1820"/>
      <c r="E1608" s="2820" t="str">
        <f>Translations!$B$546</f>
        <v>Получени или подадени парникови газове</v>
      </c>
      <c r="F1608" s="2258"/>
      <c r="G1608" s="1319" t="str">
        <f>EUconst_tCO2epa</f>
        <v>t CO2e/година</v>
      </c>
      <c r="H1608" s="480" t="str">
        <f>IF($I1524="","",IF(INDEX(F_ProductBM!H:H,MATCH($P1608,F_ProductBM!$Q:$Q,0))="","",INDEX(F_ProductBM!H:H,MATCH($P1608,F_ProductBM!$Q:$Q,0))))</f>
        <v/>
      </c>
      <c r="I1608" s="1399" t="str">
        <f>IF($I1524="","",IF(INDEX(F_ProductBM!I:I,MATCH($P1608,F_ProductBM!$Q:$Q,0))="","",INDEX(F_ProductBM!I:I,MATCH($P1608,F_ProductBM!$Q:$Q,0))))</f>
        <v/>
      </c>
      <c r="J1608" s="1832" t="str">
        <f>IF($I1524="","",IF(INDEX(F_ProductBM!J:J,MATCH($P1608,F_ProductBM!$Q:$Q,0))="","",INDEX(F_ProductBM!J:J,MATCH($P1608,F_ProductBM!$Q:$Q,0))))</f>
        <v/>
      </c>
      <c r="K1608" s="480" t="str">
        <f>IF($I1524="","",IF(INDEX(F_ProductBM!K:K,MATCH($P1608,F_ProductBM!$Q:$Q,0))="","",INDEX(F_ProductBM!K:K,MATCH($P1608,F_ProductBM!$Q:$Q,0))))</f>
        <v/>
      </c>
      <c r="L1608" s="480" t="str">
        <f>IF($I1524="","",IF(INDEX(F_ProductBM!L:L,MATCH($P1608,F_ProductBM!$Q:$Q,0))="","",INDEX(F_ProductBM!L:L,MATCH($P1608,F_ProductBM!$Q:$Q,0))))</f>
        <v/>
      </c>
      <c r="M1608" s="480" t="str">
        <f>IF($I1524="","",IF(INDEX(F_ProductBM!M:M,MATCH($P1608,F_ProductBM!$Q:$Q,0))="","",INDEX(F_ProductBM!M:M,MATCH($P1608,F_ProductBM!$Q:$Q,0))))</f>
        <v/>
      </c>
      <c r="N1608" s="1833" t="str">
        <f>IF($I1524="","",IF(INDEX(F_ProductBM!N:N,MATCH($P1608,F_ProductBM!$Q:$Q,0))="","",INDEX(F_ProductBM!N:N,MATCH($P1608,F_ProductBM!$Q:$Q,0))))</f>
        <v/>
      </c>
      <c r="O1608" s="698"/>
      <c r="P1608" s="1500" t="str">
        <f>EUconst_CNTR_CO2Feedstock &amp; I1524</f>
        <v>EmCO2Feedstock_</v>
      </c>
      <c r="Q1608" s="729"/>
      <c r="R1608" s="729"/>
      <c r="S1608" s="729"/>
      <c r="T1608" s="770"/>
      <c r="U1608" s="343"/>
      <c r="V1608" s="343"/>
    </row>
    <row r="1609" spans="1:22" s="364" customFormat="1" ht="5.15" customHeight="1" x14ac:dyDescent="0.25">
      <c r="A1609" s="729"/>
      <c r="B1609" s="302"/>
      <c r="C1609" s="302"/>
      <c r="D1609" s="1820"/>
      <c r="E1609" s="643"/>
      <c r="F1609" s="643"/>
      <c r="G1609" s="626"/>
      <c r="H1609" s="640"/>
      <c r="I1609" s="640"/>
      <c r="J1609" s="640"/>
      <c r="K1609" s="640"/>
      <c r="L1609" s="640"/>
      <c r="M1609" s="640"/>
      <c r="N1609" s="1831"/>
      <c r="O1609" s="698"/>
      <c r="P1609" s="729"/>
      <c r="Q1609" s="729"/>
      <c r="R1609" s="729"/>
      <c r="S1609" s="729"/>
      <c r="T1609" s="770"/>
      <c r="U1609" s="343"/>
      <c r="V1609" s="343"/>
    </row>
    <row r="1610" spans="1:22" s="364" customFormat="1" ht="12.75" customHeight="1" x14ac:dyDescent="0.25">
      <c r="A1610" s="729"/>
      <c r="B1610" s="302"/>
      <c r="C1610" s="302"/>
      <c r="D1610" s="1820"/>
      <c r="E1610" s="2818" t="str">
        <f>Translations!$B$554</f>
        <v>Нетно количество получена топлинна енергия</v>
      </c>
      <c r="F1610" s="2701"/>
      <c r="G1610" s="1326" t="str">
        <f>EUconst_TJpa</f>
        <v>TJ / година</v>
      </c>
      <c r="H1610" s="482" t="str">
        <f>IF($I1524="","",IF(INDEX(F_ProductBM!H:H,MATCH($P1610,F_ProductBM!$Q:$Q,0))="","",INDEX(F_ProductBM!H:H,MATCH($P1610,F_ProductBM!$Q:$Q,0))))</f>
        <v/>
      </c>
      <c r="I1610" s="1824" t="str">
        <f>IF($I1524="","",IF(INDEX(F_ProductBM!I:I,MATCH($P1610,F_ProductBM!$Q:$Q,0))="","",INDEX(F_ProductBM!I:I,MATCH($P1610,F_ProductBM!$Q:$Q,0))))</f>
        <v/>
      </c>
      <c r="J1610" s="1825" t="str">
        <f>IF($I1524="","",IF(INDEX(F_ProductBM!J:J,MATCH($P1610,F_ProductBM!$Q:$Q,0))="","",INDEX(F_ProductBM!J:J,MATCH($P1610,F_ProductBM!$Q:$Q,0))))</f>
        <v/>
      </c>
      <c r="K1610" s="482" t="str">
        <f>IF($I1524="","",IF(INDEX(F_ProductBM!K:K,MATCH($P1610,F_ProductBM!$Q:$Q,0))="","",INDEX(F_ProductBM!K:K,MATCH($P1610,F_ProductBM!$Q:$Q,0))))</f>
        <v/>
      </c>
      <c r="L1610" s="482" t="str">
        <f>IF($I1524="","",IF(INDEX(F_ProductBM!L:L,MATCH($P1610,F_ProductBM!$Q:$Q,0))="","",INDEX(F_ProductBM!L:L,MATCH($P1610,F_ProductBM!$Q:$Q,0))))</f>
        <v/>
      </c>
      <c r="M1610" s="482" t="str">
        <f>IF($I1524="","",IF(INDEX(F_ProductBM!M:M,MATCH($P1610,F_ProductBM!$Q:$Q,0))="","",INDEX(F_ProductBM!M:M,MATCH($P1610,F_ProductBM!$Q:$Q,0))))</f>
        <v/>
      </c>
      <c r="N1610" s="1826" t="str">
        <f>IF($I1524="","",IF(INDEX(F_ProductBM!N:N,MATCH($P1610,F_ProductBM!$Q:$Q,0))="","",INDEX(F_ProductBM!N:N,MATCH($P1610,F_ProductBM!$Q:$Q,0))))</f>
        <v/>
      </c>
      <c r="O1610" s="698"/>
      <c r="P1610" s="1500" t="str">
        <f>EUconst_CNTR_HeatImport &amp; I1524</f>
        <v>HeatIm_</v>
      </c>
      <c r="Q1610" s="729"/>
      <c r="R1610" s="729"/>
      <c r="S1610" s="729"/>
      <c r="T1610" s="770"/>
      <c r="U1610" s="343"/>
      <c r="V1610" s="343"/>
    </row>
    <row r="1611" spans="1:22" s="364" customFormat="1" ht="12.75" customHeight="1" x14ac:dyDescent="0.25">
      <c r="A1611" s="729"/>
      <c r="B1611" s="302"/>
      <c r="C1611" s="302"/>
      <c r="D1611" s="1820"/>
      <c r="E1611" s="2819" t="str">
        <f>Translations!$B$555</f>
        <v>Специфичен EF (получена топлинна енергия)</v>
      </c>
      <c r="F1611" s="2705"/>
      <c r="G1611" s="1329" t="str">
        <f>EUconst_tCO2pTJ</f>
        <v>t CO2 / TJ</v>
      </c>
      <c r="H1611" s="484" t="str">
        <f>IF($I1524="","",IF(INDEX(F_ProductBM!H:H,MATCH($P1611,F_ProductBM!$Q:$Q,0))="","",INDEX(F_ProductBM!H:H,MATCH($P1611,F_ProductBM!$Q:$Q,0))))</f>
        <v/>
      </c>
      <c r="I1611" s="1828" t="str">
        <f>IF($I1524="","",IF(INDEX(F_ProductBM!I:I,MATCH($P1611,F_ProductBM!$Q:$Q,0))="","",INDEX(F_ProductBM!I:I,MATCH($P1611,F_ProductBM!$Q:$Q,0))))</f>
        <v/>
      </c>
      <c r="J1611" s="1829" t="str">
        <f>IF($I1524="","",IF(INDEX(F_ProductBM!J:J,MATCH($P1611,F_ProductBM!$Q:$Q,0))="","",INDEX(F_ProductBM!J:J,MATCH($P1611,F_ProductBM!$Q:$Q,0))))</f>
        <v/>
      </c>
      <c r="K1611" s="484" t="str">
        <f>IF($I1524="","",IF(INDEX(F_ProductBM!K:K,MATCH($P1611,F_ProductBM!$Q:$Q,0))="","",INDEX(F_ProductBM!K:K,MATCH($P1611,F_ProductBM!$Q:$Q,0))))</f>
        <v/>
      </c>
      <c r="L1611" s="484" t="str">
        <f>IF($I1524="","",IF(INDEX(F_ProductBM!L:L,MATCH($P1611,F_ProductBM!$Q:$Q,0))="","",INDEX(F_ProductBM!L:L,MATCH($P1611,F_ProductBM!$Q:$Q,0))))</f>
        <v/>
      </c>
      <c r="M1611" s="484" t="str">
        <f>IF($I1524="","",IF(INDEX(F_ProductBM!M:M,MATCH($P1611,F_ProductBM!$Q:$Q,0))="","",INDEX(F_ProductBM!M:M,MATCH($P1611,F_ProductBM!$Q:$Q,0))))</f>
        <v/>
      </c>
      <c r="N1611" s="1830" t="str">
        <f>IF($I1524="","",IF(INDEX(F_ProductBM!N:N,MATCH($P1611,F_ProductBM!$Q:$Q,0))="","",INDEX(F_ProductBM!N:N,MATCH($P1611,F_ProductBM!$Q:$Q,0))))</f>
        <v/>
      </c>
      <c r="O1611" s="698"/>
      <c r="P1611" s="1500" t="str">
        <f>EUconst_CNTR_HeatImportEF &amp; I1524</f>
        <v>HeatImEF_</v>
      </c>
      <c r="Q1611" s="729"/>
      <c r="R1611" s="729"/>
      <c r="S1611" s="729"/>
      <c r="T1611" s="770"/>
      <c r="U1611" s="343"/>
      <c r="V1611" s="343"/>
    </row>
    <row r="1612" spans="1:22" s="364" customFormat="1" ht="5.15" customHeight="1" x14ac:dyDescent="0.25">
      <c r="A1612" s="729"/>
      <c r="B1612" s="302"/>
      <c r="C1612" s="302"/>
      <c r="D1612" s="1820"/>
      <c r="E1612" s="643"/>
      <c r="F1612" s="643"/>
      <c r="G1612" s="626"/>
      <c r="H1612" s="640"/>
      <c r="I1612" s="640"/>
      <c r="J1612" s="640"/>
      <c r="K1612" s="640"/>
      <c r="L1612" s="640"/>
      <c r="M1612" s="640"/>
      <c r="N1612" s="1831"/>
      <c r="O1612" s="698"/>
      <c r="P1612" s="770"/>
      <c r="Q1612" s="729"/>
      <c r="R1612" s="729"/>
      <c r="S1612" s="729"/>
      <c r="T1612" s="770"/>
      <c r="U1612" s="343"/>
      <c r="V1612" s="343"/>
    </row>
    <row r="1613" spans="1:22" s="364" customFormat="1" ht="12.75" customHeight="1" x14ac:dyDescent="0.25">
      <c r="A1613" s="729"/>
      <c r="B1613" s="302"/>
      <c r="C1613" s="302"/>
      <c r="D1613" s="1820"/>
      <c r="E1613" s="2820" t="str">
        <f>Translations!$B$609</f>
        <v>Нетно количество топлинна енергия, получена от пулп</v>
      </c>
      <c r="F1613" s="2258"/>
      <c r="G1613" s="1319" t="str">
        <f>EUconst_TJpa</f>
        <v>TJ / година</v>
      </c>
      <c r="H1613" s="480" t="str">
        <f>IF($I1524="","",IF(INDEX(F_ProductBM!H:H,MATCH($P1613,F_ProductBM!$Q:$Q,0))="","",INDEX(F_ProductBM!H:H,MATCH($P1613,F_ProductBM!$Q:$Q,0))))</f>
        <v/>
      </c>
      <c r="I1613" s="1399" t="str">
        <f>IF($I1524="","",IF(INDEX(F_ProductBM!I:I,MATCH($P1613,F_ProductBM!$Q:$Q,0))="","",INDEX(F_ProductBM!I:I,MATCH($P1613,F_ProductBM!$Q:$Q,0))))</f>
        <v/>
      </c>
      <c r="J1613" s="1832" t="str">
        <f>IF($I1524="","",IF(INDEX(F_ProductBM!J:J,MATCH($P1613,F_ProductBM!$Q:$Q,0))="","",INDEX(F_ProductBM!J:J,MATCH($P1613,F_ProductBM!$Q:$Q,0))))</f>
        <v/>
      </c>
      <c r="K1613" s="480" t="str">
        <f>IF($I1524="","",IF(INDEX(F_ProductBM!K:K,MATCH($P1613,F_ProductBM!$Q:$Q,0))="","",INDEX(F_ProductBM!K:K,MATCH($P1613,F_ProductBM!$Q:$Q,0))))</f>
        <v/>
      </c>
      <c r="L1613" s="480" t="str">
        <f>IF($I1524="","",IF(INDEX(F_ProductBM!L:L,MATCH($P1613,F_ProductBM!$Q:$Q,0))="","",INDEX(F_ProductBM!L:L,MATCH($P1613,F_ProductBM!$Q:$Q,0))))</f>
        <v/>
      </c>
      <c r="M1613" s="480" t="str">
        <f>IF($I1524="","",IF(INDEX(F_ProductBM!M:M,MATCH($P1613,F_ProductBM!$Q:$Q,0))="","",INDEX(F_ProductBM!M:M,MATCH($P1613,F_ProductBM!$Q:$Q,0))))</f>
        <v/>
      </c>
      <c r="N1613" s="1833" t="str">
        <f>IF($I1524="","",IF(INDEX(F_ProductBM!N:N,MATCH($P1613,F_ProductBM!$Q:$Q,0))="","",INDEX(F_ProductBM!N:N,MATCH($P1613,F_ProductBM!$Q:$Q,0))))</f>
        <v/>
      </c>
      <c r="O1613" s="698"/>
      <c r="P1613" s="1500" t="str">
        <f>EUconst_CNTR_HeatImportPulp &amp; I1524</f>
        <v>HeatImPulp_</v>
      </c>
      <c r="Q1613" s="729"/>
      <c r="R1613" s="729"/>
      <c r="S1613" s="729"/>
      <c r="T1613" s="770"/>
      <c r="U1613" s="343"/>
      <c r="V1613" s="343"/>
    </row>
    <row r="1614" spans="1:22" s="364" customFormat="1" ht="12.75" customHeight="1" x14ac:dyDescent="0.25">
      <c r="A1614" s="729"/>
      <c r="B1614" s="302"/>
      <c r="C1614" s="302"/>
      <c r="D1614" s="1820"/>
      <c r="E1614" s="2820" t="str">
        <f>Translations!$B$558</f>
        <v>Нетно количество топлинна енергия, получена от подинсталации за азотна киселина</v>
      </c>
      <c r="F1614" s="2258"/>
      <c r="G1614" s="1319" t="str">
        <f>EUconst_TJpa</f>
        <v>TJ / година</v>
      </c>
      <c r="H1614" s="480" t="str">
        <f>IF($I1524="","",IF(INDEX(F_ProductBM!H:H,MATCH($P1614,F_ProductBM!$Q:$Q,0))="","",INDEX(F_ProductBM!H:H,MATCH($P1614,F_ProductBM!$Q:$Q,0))))</f>
        <v/>
      </c>
      <c r="I1614" s="1399" t="str">
        <f>IF($I1524="","",IF(INDEX(F_ProductBM!I:I,MATCH($P1614,F_ProductBM!$Q:$Q,0))="","",INDEX(F_ProductBM!I:I,MATCH($P1614,F_ProductBM!$Q:$Q,0))))</f>
        <v/>
      </c>
      <c r="J1614" s="1832" t="str">
        <f>IF($I1524="","",IF(INDEX(F_ProductBM!J:J,MATCH($P1614,F_ProductBM!$Q:$Q,0))="","",INDEX(F_ProductBM!J:J,MATCH($P1614,F_ProductBM!$Q:$Q,0))))</f>
        <v/>
      </c>
      <c r="K1614" s="480" t="str">
        <f>IF($I1524="","",IF(INDEX(F_ProductBM!K:K,MATCH($P1614,F_ProductBM!$Q:$Q,0))="","",INDEX(F_ProductBM!K:K,MATCH($P1614,F_ProductBM!$Q:$Q,0))))</f>
        <v/>
      </c>
      <c r="L1614" s="480" t="str">
        <f>IF($I1524="","",IF(INDEX(F_ProductBM!L:L,MATCH($P1614,F_ProductBM!$Q:$Q,0))="","",INDEX(F_ProductBM!L:L,MATCH($P1614,F_ProductBM!$Q:$Q,0))))</f>
        <v/>
      </c>
      <c r="M1614" s="480" t="str">
        <f>IF($I1524="","",IF(INDEX(F_ProductBM!M:M,MATCH($P1614,F_ProductBM!$Q:$Q,0))="","",INDEX(F_ProductBM!M:M,MATCH($P1614,F_ProductBM!$Q:$Q,0))))</f>
        <v/>
      </c>
      <c r="N1614" s="1833" t="str">
        <f>IF($I1524="","",IF(INDEX(F_ProductBM!N:N,MATCH($P1614,F_ProductBM!$Q:$Q,0))="","",INDEX(F_ProductBM!N:N,MATCH($P1614,F_ProductBM!$Q:$Q,0))))</f>
        <v/>
      </c>
      <c r="O1614" s="698"/>
      <c r="P1614" s="1500" t="str">
        <f>EUconst_CNTR_HeatImportNitric &amp; I1524</f>
        <v>HeatImNitric_</v>
      </c>
      <c r="Q1614" s="729"/>
      <c r="R1614" s="729"/>
      <c r="S1614" s="729"/>
      <c r="T1614" s="770"/>
      <c r="U1614" s="343"/>
      <c r="V1614" s="343"/>
    </row>
    <row r="1615" spans="1:22" s="364" customFormat="1" ht="5.15" customHeight="1" x14ac:dyDescent="0.25">
      <c r="A1615" s="729"/>
      <c r="B1615" s="302"/>
      <c r="C1615" s="302"/>
      <c r="D1615" s="1820"/>
      <c r="E1615" s="643"/>
      <c r="F1615" s="643"/>
      <c r="G1615" s="625"/>
      <c r="H1615" s="640"/>
      <c r="I1615" s="640"/>
      <c r="J1615" s="640"/>
      <c r="K1615" s="640"/>
      <c r="L1615" s="640"/>
      <c r="M1615" s="640"/>
      <c r="N1615" s="1831"/>
      <c r="O1615" s="698"/>
      <c r="P1615" s="770"/>
      <c r="Q1615" s="729"/>
      <c r="R1615" s="729"/>
      <c r="S1615" s="729"/>
      <c r="T1615" s="770"/>
      <c r="U1615" s="343"/>
      <c r="V1615" s="343"/>
    </row>
    <row r="1616" spans="1:22" s="364" customFormat="1" ht="12.75" customHeight="1" x14ac:dyDescent="0.25">
      <c r="A1616" s="729"/>
      <c r="B1616" s="302"/>
      <c r="C1616" s="302"/>
      <c r="D1616" s="1820"/>
      <c r="E1616" s="2818" t="str">
        <f>Translations!$B$560</f>
        <v>Нетно количество подадена топлинна енергия</v>
      </c>
      <c r="F1616" s="2701"/>
      <c r="G1616" s="1326" t="str">
        <f>EUconst_TJpa</f>
        <v>TJ / година</v>
      </c>
      <c r="H1616" s="482" t="str">
        <f>IF($I1524="","",IF(INDEX(F_ProductBM!H:H,MATCH($P1616,F_ProductBM!$Q:$Q,0))="","",INDEX(F_ProductBM!H:H,MATCH($P1616,F_ProductBM!$Q:$Q,0))))</f>
        <v/>
      </c>
      <c r="I1616" s="1824" t="str">
        <f>IF($I1524="","",IF(INDEX(F_ProductBM!I:I,MATCH($P1616,F_ProductBM!$Q:$Q,0))="","",INDEX(F_ProductBM!I:I,MATCH($P1616,F_ProductBM!$Q:$Q,0))))</f>
        <v/>
      </c>
      <c r="J1616" s="1825" t="str">
        <f>IF($I1524="","",IF(INDEX(F_ProductBM!J:J,MATCH($P1616,F_ProductBM!$Q:$Q,0))="","",INDEX(F_ProductBM!J:J,MATCH($P1616,F_ProductBM!$Q:$Q,0))))</f>
        <v/>
      </c>
      <c r="K1616" s="482" t="str">
        <f>IF($I1524="","",IF(INDEX(F_ProductBM!K:K,MATCH($P1616,F_ProductBM!$Q:$Q,0))="","",INDEX(F_ProductBM!K:K,MATCH($P1616,F_ProductBM!$Q:$Q,0))))</f>
        <v/>
      </c>
      <c r="L1616" s="482" t="str">
        <f>IF($I1524="","",IF(INDEX(F_ProductBM!L:L,MATCH($P1616,F_ProductBM!$Q:$Q,0))="","",INDEX(F_ProductBM!L:L,MATCH($P1616,F_ProductBM!$Q:$Q,0))))</f>
        <v/>
      </c>
      <c r="M1616" s="482" t="str">
        <f>IF($I1524="","",IF(INDEX(F_ProductBM!M:M,MATCH($P1616,F_ProductBM!$Q:$Q,0))="","",INDEX(F_ProductBM!M:M,MATCH($P1616,F_ProductBM!$Q:$Q,0))))</f>
        <v/>
      </c>
      <c r="N1616" s="1826" t="str">
        <f>IF($I1524="","",IF(INDEX(F_ProductBM!N:N,MATCH($P1616,F_ProductBM!$Q:$Q,0))="","",INDEX(F_ProductBM!N:N,MATCH($P1616,F_ProductBM!$Q:$Q,0))))</f>
        <v/>
      </c>
      <c r="O1616" s="698"/>
      <c r="P1616" s="1500" t="str">
        <f>EUconst_CNTR_HeatExport &amp; I1524</f>
        <v>HeatEx_</v>
      </c>
      <c r="Q1616" s="729"/>
      <c r="R1616" s="729"/>
      <c r="S1616" s="729"/>
      <c r="T1616" s="770"/>
      <c r="U1616" s="343"/>
      <c r="V1616" s="343"/>
    </row>
    <row r="1617" spans="1:22" s="364" customFormat="1" ht="12.75" customHeight="1" x14ac:dyDescent="0.25">
      <c r="A1617" s="729"/>
      <c r="B1617" s="302"/>
      <c r="C1617" s="302"/>
      <c r="D1617" s="1820"/>
      <c r="E1617" s="2819" t="str">
        <f>Translations!$B$561</f>
        <v>Специфичен EF (подадена топлинна енергия)</v>
      </c>
      <c r="F1617" s="2705"/>
      <c r="G1617" s="1329" t="str">
        <f>EUconst_tCO2pTJ</f>
        <v>t CO2 / TJ</v>
      </c>
      <c r="H1617" s="484" t="str">
        <f>IF($I1524="","",IF(INDEX(F_ProductBM!H:H,MATCH($P1617,F_ProductBM!$Q:$Q,0))="","",INDEX(F_ProductBM!H:H,MATCH($P1617,F_ProductBM!$Q:$Q,0))))</f>
        <v/>
      </c>
      <c r="I1617" s="1828" t="str">
        <f>IF($I1524="","",IF(INDEX(F_ProductBM!I:I,MATCH($P1617,F_ProductBM!$Q:$Q,0))="","",INDEX(F_ProductBM!I:I,MATCH($P1617,F_ProductBM!$Q:$Q,0))))</f>
        <v/>
      </c>
      <c r="J1617" s="1829" t="str">
        <f>IF($I1524="","",IF(INDEX(F_ProductBM!J:J,MATCH($P1617,F_ProductBM!$Q:$Q,0))="","",INDEX(F_ProductBM!J:J,MATCH($P1617,F_ProductBM!$Q:$Q,0))))</f>
        <v/>
      </c>
      <c r="K1617" s="484" t="str">
        <f>IF($I1524="","",IF(INDEX(F_ProductBM!K:K,MATCH($P1617,F_ProductBM!$Q:$Q,0))="","",INDEX(F_ProductBM!K:K,MATCH($P1617,F_ProductBM!$Q:$Q,0))))</f>
        <v/>
      </c>
      <c r="L1617" s="484" t="str">
        <f>IF($I1524="","",IF(INDEX(F_ProductBM!L:L,MATCH($P1617,F_ProductBM!$Q:$Q,0))="","",INDEX(F_ProductBM!L:L,MATCH($P1617,F_ProductBM!$Q:$Q,0))))</f>
        <v/>
      </c>
      <c r="M1617" s="484" t="str">
        <f>IF($I1524="","",IF(INDEX(F_ProductBM!M:M,MATCH($P1617,F_ProductBM!$Q:$Q,0))="","",INDEX(F_ProductBM!M:M,MATCH($P1617,F_ProductBM!$Q:$Q,0))))</f>
        <v/>
      </c>
      <c r="N1617" s="1830" t="str">
        <f>IF($I1524="","",IF(INDEX(F_ProductBM!N:N,MATCH($P1617,F_ProductBM!$Q:$Q,0))="","",INDEX(F_ProductBM!N:N,MATCH($P1617,F_ProductBM!$Q:$Q,0))))</f>
        <v/>
      </c>
      <c r="O1617" s="698"/>
      <c r="P1617" s="1500" t="str">
        <f>EUconst_CNTR_HeatExportEF &amp; I1524</f>
        <v>HeatExEF_</v>
      </c>
      <c r="Q1617" s="729"/>
      <c r="R1617" s="729"/>
      <c r="S1617" s="729"/>
      <c r="T1617" s="770"/>
      <c r="U1617" s="343"/>
      <c r="V1617" s="343"/>
    </row>
    <row r="1618" spans="1:22" s="364" customFormat="1" ht="5.15" customHeight="1" x14ac:dyDescent="0.25">
      <c r="A1618" s="729"/>
      <c r="B1618" s="302"/>
      <c r="C1618" s="302"/>
      <c r="D1618" s="1820"/>
      <c r="E1618" s="643"/>
      <c r="F1618" s="643"/>
      <c r="G1618" s="625"/>
      <c r="H1618" s="640"/>
      <c r="I1618" s="640"/>
      <c r="J1618" s="640"/>
      <c r="K1618" s="640"/>
      <c r="L1618" s="640"/>
      <c r="M1618" s="640"/>
      <c r="N1618" s="1831"/>
      <c r="O1618" s="698"/>
      <c r="P1618" s="770"/>
      <c r="Q1618" s="729"/>
      <c r="R1618" s="729"/>
      <c r="S1618" s="729"/>
      <c r="T1618" s="770"/>
      <c r="U1618" s="343"/>
      <c r="V1618" s="343"/>
    </row>
    <row r="1619" spans="1:22" s="364" customFormat="1" ht="12.75" customHeight="1" x14ac:dyDescent="0.25">
      <c r="A1619" s="729"/>
      <c r="B1619" s="302"/>
      <c r="C1619" s="302"/>
      <c r="D1619" s="1820"/>
      <c r="E1619" s="2818" t="str">
        <f>Translations!$B$568</f>
        <v>Произведен отпаден газ</v>
      </c>
      <c r="F1619" s="2701"/>
      <c r="G1619" s="1326" t="str">
        <f>EUconst_TJpa</f>
        <v>TJ / година</v>
      </c>
      <c r="H1619" s="482" t="str">
        <f>IF($I1524="","",IF(INDEX(F_ProductBM!H:H,MATCH($P1619,F_ProductBM!$Q:$Q,0))="","",INDEX(F_ProductBM!H:H,MATCH($P1619,F_ProductBM!$Q:$Q,0))))</f>
        <v/>
      </c>
      <c r="I1619" s="1824" t="str">
        <f>IF($I1524="","",IF(INDEX(F_ProductBM!I:I,MATCH($P1619,F_ProductBM!$Q:$Q,0))="","",INDEX(F_ProductBM!I:I,MATCH($P1619,F_ProductBM!$Q:$Q,0))))</f>
        <v/>
      </c>
      <c r="J1619" s="1825" t="str">
        <f>IF($I1524="","",IF(INDEX(F_ProductBM!J:J,MATCH($P1619,F_ProductBM!$Q:$Q,0))="","",INDEX(F_ProductBM!J:J,MATCH($P1619,F_ProductBM!$Q:$Q,0))))</f>
        <v/>
      </c>
      <c r="K1619" s="482" t="str">
        <f>IF($I1524="","",IF(INDEX(F_ProductBM!K:K,MATCH($P1619,F_ProductBM!$Q:$Q,0))="","",INDEX(F_ProductBM!K:K,MATCH($P1619,F_ProductBM!$Q:$Q,0))))</f>
        <v/>
      </c>
      <c r="L1619" s="482" t="str">
        <f>IF($I1524="","",IF(INDEX(F_ProductBM!L:L,MATCH($P1619,F_ProductBM!$Q:$Q,0))="","",INDEX(F_ProductBM!L:L,MATCH($P1619,F_ProductBM!$Q:$Q,0))))</f>
        <v/>
      </c>
      <c r="M1619" s="482" t="str">
        <f>IF($I1524="","",IF(INDEX(F_ProductBM!M:M,MATCH($P1619,F_ProductBM!$Q:$Q,0))="","",INDEX(F_ProductBM!M:M,MATCH($P1619,F_ProductBM!$Q:$Q,0))))</f>
        <v/>
      </c>
      <c r="N1619" s="1826" t="str">
        <f>IF($I1524="","",IF(INDEX(F_ProductBM!N:N,MATCH($P1619,F_ProductBM!$Q:$Q,0))="","",INDEX(F_ProductBM!N:N,MATCH($P1619,F_ProductBM!$Q:$Q,0))))</f>
        <v/>
      </c>
      <c r="O1619" s="698"/>
      <c r="P1619" s="1827" t="str">
        <f>EUconst_CNTR_WGProduced &amp; I1524</f>
        <v>WasteGasProd_</v>
      </c>
      <c r="Q1619" s="729"/>
      <c r="R1619" s="729"/>
      <c r="S1619" s="729"/>
      <c r="T1619" s="770"/>
      <c r="U1619" s="343"/>
      <c r="V1619" s="343"/>
    </row>
    <row r="1620" spans="1:22" s="364" customFormat="1" ht="12.75" customHeight="1" x14ac:dyDescent="0.25">
      <c r="A1620" s="729"/>
      <c r="B1620" s="302"/>
      <c r="C1620" s="302"/>
      <c r="D1620" s="1820"/>
      <c r="E1620" s="2819" t="str">
        <f>Translations!$B$569</f>
        <v>Специфичен EF (произведен отпаден газ)</v>
      </c>
      <c r="F1620" s="2705"/>
      <c r="G1620" s="1329" t="str">
        <f>EUconst_tCO2pTJ</f>
        <v>t CO2 / TJ</v>
      </c>
      <c r="H1620" s="484" t="str">
        <f>IF($I1524="","",IF(INDEX(F_ProductBM!H:H,MATCH($P1620,F_ProductBM!$Q:$Q,0))="","",INDEX(F_ProductBM!H:H,MATCH($P1620,F_ProductBM!$Q:$Q,0))))</f>
        <v/>
      </c>
      <c r="I1620" s="1828" t="str">
        <f>IF($I1524="","",IF(INDEX(F_ProductBM!I:I,MATCH($P1620,F_ProductBM!$Q:$Q,0))="","",INDEX(F_ProductBM!I:I,MATCH($P1620,F_ProductBM!$Q:$Q,0))))</f>
        <v/>
      </c>
      <c r="J1620" s="1829" t="str">
        <f>IF($I1524="","",IF(INDEX(F_ProductBM!J:J,MATCH($P1620,F_ProductBM!$Q:$Q,0))="","",INDEX(F_ProductBM!J:J,MATCH($P1620,F_ProductBM!$Q:$Q,0))))</f>
        <v/>
      </c>
      <c r="K1620" s="484" t="str">
        <f>IF($I1524="","",IF(INDEX(F_ProductBM!K:K,MATCH($P1620,F_ProductBM!$Q:$Q,0))="","",INDEX(F_ProductBM!K:K,MATCH($P1620,F_ProductBM!$Q:$Q,0))))</f>
        <v/>
      </c>
      <c r="L1620" s="484" t="str">
        <f>IF($I1524="","",IF(INDEX(F_ProductBM!L:L,MATCH($P1620,F_ProductBM!$Q:$Q,0))="","",INDEX(F_ProductBM!L:L,MATCH($P1620,F_ProductBM!$Q:$Q,0))))</f>
        <v/>
      </c>
      <c r="M1620" s="484" t="str">
        <f>IF($I1524="","",IF(INDEX(F_ProductBM!M:M,MATCH($P1620,F_ProductBM!$Q:$Q,0))="","",INDEX(F_ProductBM!M:M,MATCH($P1620,F_ProductBM!$Q:$Q,0))))</f>
        <v/>
      </c>
      <c r="N1620" s="1830" t="str">
        <f>IF($I1524="","",IF(INDEX(F_ProductBM!N:N,MATCH($P1620,F_ProductBM!$Q:$Q,0))="","",INDEX(F_ProductBM!N:N,MATCH($P1620,F_ProductBM!$Q:$Q,0))))</f>
        <v/>
      </c>
      <c r="O1620" s="698"/>
      <c r="P1620" s="1500" t="str">
        <f>EUconst_CNTR_WGProducedEF &amp; I1524</f>
        <v>WasteGasProdEF_</v>
      </c>
      <c r="Q1620" s="729"/>
      <c r="R1620" s="729"/>
      <c r="S1620" s="729"/>
      <c r="T1620" s="770"/>
      <c r="U1620" s="343"/>
      <c r="V1620" s="343"/>
    </row>
    <row r="1621" spans="1:22" s="364" customFormat="1" ht="12.75" customHeight="1" x14ac:dyDescent="0.25">
      <c r="A1621" s="729"/>
      <c r="B1621" s="302"/>
      <c r="C1621" s="302"/>
      <c r="D1621" s="1820"/>
      <c r="E1621" s="2818" t="str">
        <f>Translations!$B$573</f>
        <v>Консумиран отпаден газ</v>
      </c>
      <c r="F1621" s="2701"/>
      <c r="G1621" s="1326" t="str">
        <f>EUconst_TJpa</f>
        <v>TJ / година</v>
      </c>
      <c r="H1621" s="482" t="str">
        <f>IF($I1524="","",IF(INDEX(F_ProductBM!H:H,MATCH($P1621,F_ProductBM!$Q:$Q,0))="","",INDEX(F_ProductBM!H:H,MATCH($P1621,F_ProductBM!$Q:$Q,0))))</f>
        <v/>
      </c>
      <c r="I1621" s="1824" t="str">
        <f>IF($I1524="","",IF(INDEX(F_ProductBM!I:I,MATCH($P1621,F_ProductBM!$Q:$Q,0))="","",INDEX(F_ProductBM!I:I,MATCH($P1621,F_ProductBM!$Q:$Q,0))))</f>
        <v/>
      </c>
      <c r="J1621" s="1825" t="str">
        <f>IF($I1524="","",IF(INDEX(F_ProductBM!J:J,MATCH($P1621,F_ProductBM!$Q:$Q,0))="","",INDEX(F_ProductBM!J:J,MATCH($P1621,F_ProductBM!$Q:$Q,0))))</f>
        <v/>
      </c>
      <c r="K1621" s="482" t="str">
        <f>IF($I1524="","",IF(INDEX(F_ProductBM!K:K,MATCH($P1621,F_ProductBM!$Q:$Q,0))="","",INDEX(F_ProductBM!K:K,MATCH($P1621,F_ProductBM!$Q:$Q,0))))</f>
        <v/>
      </c>
      <c r="L1621" s="482" t="str">
        <f>IF($I1524="","",IF(INDEX(F_ProductBM!L:L,MATCH($P1621,F_ProductBM!$Q:$Q,0))="","",INDEX(F_ProductBM!L:L,MATCH($P1621,F_ProductBM!$Q:$Q,0))))</f>
        <v/>
      </c>
      <c r="M1621" s="482" t="str">
        <f>IF($I1524="","",IF(INDEX(F_ProductBM!M:M,MATCH($P1621,F_ProductBM!$Q:$Q,0))="","",INDEX(F_ProductBM!M:M,MATCH($P1621,F_ProductBM!$Q:$Q,0))))</f>
        <v/>
      </c>
      <c r="N1621" s="1826" t="str">
        <f>IF($I1524="","",IF(INDEX(F_ProductBM!N:N,MATCH($P1621,F_ProductBM!$Q:$Q,0))="","",INDEX(F_ProductBM!N:N,MATCH($P1621,F_ProductBM!$Q:$Q,0))))</f>
        <v/>
      </c>
      <c r="O1621" s="698"/>
      <c r="P1621" s="1500" t="str">
        <f>EUconst_CNTR_WGConsumed &amp; I1524</f>
        <v>WasteGasCons_</v>
      </c>
      <c r="Q1621" s="729"/>
      <c r="R1621" s="729"/>
      <c r="S1621" s="729"/>
      <c r="T1621" s="770"/>
      <c r="U1621" s="343"/>
      <c r="V1621" s="343"/>
    </row>
    <row r="1622" spans="1:22" s="364" customFormat="1" ht="12.75" customHeight="1" x14ac:dyDescent="0.25">
      <c r="A1622" s="729"/>
      <c r="B1622" s="302"/>
      <c r="C1622" s="302"/>
      <c r="D1622" s="1820"/>
      <c r="E1622" s="2819" t="str">
        <f>Translations!$B$574</f>
        <v>Специфичен EF (консумиран отпаден газ)</v>
      </c>
      <c r="F1622" s="2705"/>
      <c r="G1622" s="1329" t="str">
        <f>EUconst_tCO2pTJ</f>
        <v>t CO2 / TJ</v>
      </c>
      <c r="H1622" s="484" t="str">
        <f>IF($I1524="","",IF(INDEX(F_ProductBM!H:H,MATCH($P1622,F_ProductBM!$Q:$Q,0))="","",INDEX(F_ProductBM!H:H,MATCH($P1622,F_ProductBM!$Q:$Q,0))))</f>
        <v/>
      </c>
      <c r="I1622" s="1828" t="str">
        <f>IF($I1524="","",IF(INDEX(F_ProductBM!I:I,MATCH($P1622,F_ProductBM!$Q:$Q,0))="","",INDEX(F_ProductBM!I:I,MATCH($P1622,F_ProductBM!$Q:$Q,0))))</f>
        <v/>
      </c>
      <c r="J1622" s="1829" t="str">
        <f>IF($I1524="","",IF(INDEX(F_ProductBM!J:J,MATCH($P1622,F_ProductBM!$Q:$Q,0))="","",INDEX(F_ProductBM!J:J,MATCH($P1622,F_ProductBM!$Q:$Q,0))))</f>
        <v/>
      </c>
      <c r="K1622" s="484" t="str">
        <f>IF($I1524="","",IF(INDEX(F_ProductBM!K:K,MATCH($P1622,F_ProductBM!$Q:$Q,0))="","",INDEX(F_ProductBM!K:K,MATCH($P1622,F_ProductBM!$Q:$Q,0))))</f>
        <v/>
      </c>
      <c r="L1622" s="484" t="str">
        <f>IF($I1524="","",IF(INDEX(F_ProductBM!L:L,MATCH($P1622,F_ProductBM!$Q:$Q,0))="","",INDEX(F_ProductBM!L:L,MATCH($P1622,F_ProductBM!$Q:$Q,0))))</f>
        <v/>
      </c>
      <c r="M1622" s="484" t="str">
        <f>IF($I1524="","",IF(INDEX(F_ProductBM!M:M,MATCH($P1622,F_ProductBM!$Q:$Q,0))="","",INDEX(F_ProductBM!M:M,MATCH($P1622,F_ProductBM!$Q:$Q,0))))</f>
        <v/>
      </c>
      <c r="N1622" s="1830" t="str">
        <f>IF($I1524="","",IF(INDEX(F_ProductBM!N:N,MATCH($P1622,F_ProductBM!$Q:$Q,0))="","",INDEX(F_ProductBM!N:N,MATCH($P1622,F_ProductBM!$Q:$Q,0))))</f>
        <v/>
      </c>
      <c r="O1622" s="698"/>
      <c r="P1622" s="1500" t="str">
        <f>EUconst_CNTR_WGConsumedEF &amp; I1524</f>
        <v>WasteGasConsEF_</v>
      </c>
      <c r="Q1622" s="729"/>
      <c r="R1622" s="729"/>
      <c r="S1622" s="729"/>
      <c r="T1622" s="770"/>
      <c r="U1622" s="343"/>
      <c r="V1622" s="343"/>
    </row>
    <row r="1623" spans="1:22" s="364" customFormat="1" ht="12.75" customHeight="1" x14ac:dyDescent="0.25">
      <c r="A1623" s="729"/>
      <c r="B1623" s="302"/>
      <c r="C1623" s="302"/>
      <c r="D1623" s="1820"/>
      <c r="E1623" s="2818" t="str">
        <f>Translations!$B$580</f>
        <v>Изгорен във факел отпаден газ</v>
      </c>
      <c r="F1623" s="2701"/>
      <c r="G1623" s="1326" t="str">
        <f>EUconst_TJpa</f>
        <v>TJ / година</v>
      </c>
      <c r="H1623" s="482" t="str">
        <f>IF($I1524="","",IF(INDEX(F_ProductBM!H:H,MATCH($P1623,F_ProductBM!$Q:$Q,0))="","",INDEX(F_ProductBM!H:H,MATCH($P1623,F_ProductBM!$Q:$Q,0))))</f>
        <v/>
      </c>
      <c r="I1623" s="1824" t="str">
        <f>IF($I1524="","",IF(INDEX(F_ProductBM!I:I,MATCH($P1623,F_ProductBM!$Q:$Q,0))="","",INDEX(F_ProductBM!I:I,MATCH($P1623,F_ProductBM!$Q:$Q,0))))</f>
        <v/>
      </c>
      <c r="J1623" s="1825" t="str">
        <f>IF($I1524="","",IF(INDEX(F_ProductBM!J:J,MATCH($P1623,F_ProductBM!$Q:$Q,0))="","",INDEX(F_ProductBM!J:J,MATCH($P1623,F_ProductBM!$Q:$Q,0))))</f>
        <v/>
      </c>
      <c r="K1623" s="482" t="str">
        <f>IF($I1524="","",IF(INDEX(F_ProductBM!K:K,MATCH($P1623,F_ProductBM!$Q:$Q,0))="","",INDEX(F_ProductBM!K:K,MATCH($P1623,F_ProductBM!$Q:$Q,0))))</f>
        <v/>
      </c>
      <c r="L1623" s="482" t="str">
        <f>IF($I1524="","",IF(INDEX(F_ProductBM!L:L,MATCH($P1623,F_ProductBM!$Q:$Q,0))="","",INDEX(F_ProductBM!L:L,MATCH($P1623,F_ProductBM!$Q:$Q,0))))</f>
        <v/>
      </c>
      <c r="M1623" s="482" t="str">
        <f>IF($I1524="","",IF(INDEX(F_ProductBM!M:M,MATCH($P1623,F_ProductBM!$Q:$Q,0))="","",INDEX(F_ProductBM!M:M,MATCH($P1623,F_ProductBM!$Q:$Q,0))))</f>
        <v/>
      </c>
      <c r="N1623" s="1826" t="str">
        <f>IF($I1524="","",IF(INDEX(F_ProductBM!N:N,MATCH($P1623,F_ProductBM!$Q:$Q,0))="","",INDEX(F_ProductBM!N:N,MATCH($P1623,F_ProductBM!$Q:$Q,0))))</f>
        <v/>
      </c>
      <c r="O1623" s="698"/>
      <c r="P1623" s="1500" t="str">
        <f>EUconst_CNTR_WGFlared &amp; I1524</f>
        <v>WasteGasFlare_</v>
      </c>
      <c r="Q1623" s="729"/>
      <c r="R1623" s="729"/>
      <c r="S1623" s="729"/>
      <c r="T1623" s="770"/>
      <c r="U1623" s="343"/>
      <c r="V1623" s="343"/>
    </row>
    <row r="1624" spans="1:22" s="364" customFormat="1" ht="12.75" customHeight="1" x14ac:dyDescent="0.25">
      <c r="A1624" s="729"/>
      <c r="B1624" s="302"/>
      <c r="C1624" s="302"/>
      <c r="D1624" s="1820"/>
      <c r="E1624" s="2819" t="str">
        <f>Translations!$B$581</f>
        <v>Специфичен EF (изгорен във факел отпаден газ)</v>
      </c>
      <c r="F1624" s="2705"/>
      <c r="G1624" s="1329" t="str">
        <f>EUconst_tCO2pTJ</f>
        <v>t CO2 / TJ</v>
      </c>
      <c r="H1624" s="484" t="str">
        <f>IF($I1524="","",IF(INDEX(F_ProductBM!H:H,MATCH($P1624,F_ProductBM!$Q:$Q,0))="","",INDEX(F_ProductBM!H:H,MATCH($P1624,F_ProductBM!$Q:$Q,0))))</f>
        <v/>
      </c>
      <c r="I1624" s="1828" t="str">
        <f>IF($I1524="","",IF(INDEX(F_ProductBM!I:I,MATCH($P1624,F_ProductBM!$Q:$Q,0))="","",INDEX(F_ProductBM!I:I,MATCH($P1624,F_ProductBM!$Q:$Q,0))))</f>
        <v/>
      </c>
      <c r="J1624" s="1829" t="str">
        <f>IF($I1524="","",IF(INDEX(F_ProductBM!J:J,MATCH($P1624,F_ProductBM!$Q:$Q,0))="","",INDEX(F_ProductBM!J:J,MATCH($P1624,F_ProductBM!$Q:$Q,0))))</f>
        <v/>
      </c>
      <c r="K1624" s="484" t="str">
        <f>IF($I1524="","",IF(INDEX(F_ProductBM!K:K,MATCH($P1624,F_ProductBM!$Q:$Q,0))="","",INDEX(F_ProductBM!K:K,MATCH($P1624,F_ProductBM!$Q:$Q,0))))</f>
        <v/>
      </c>
      <c r="L1624" s="484" t="str">
        <f>IF($I1524="","",IF(INDEX(F_ProductBM!L:L,MATCH($P1624,F_ProductBM!$Q:$Q,0))="","",INDEX(F_ProductBM!L:L,MATCH($P1624,F_ProductBM!$Q:$Q,0))))</f>
        <v/>
      </c>
      <c r="M1624" s="484" t="str">
        <f>IF($I1524="","",IF(INDEX(F_ProductBM!M:M,MATCH($P1624,F_ProductBM!$Q:$Q,0))="","",INDEX(F_ProductBM!M:M,MATCH($P1624,F_ProductBM!$Q:$Q,0))))</f>
        <v/>
      </c>
      <c r="N1624" s="1830" t="str">
        <f>IF($I1524="","",IF(INDEX(F_ProductBM!N:N,MATCH($P1624,F_ProductBM!$Q:$Q,0))="","",INDEX(F_ProductBM!N:N,MATCH($P1624,F_ProductBM!$Q:$Q,0))))</f>
        <v/>
      </c>
      <c r="O1624" s="698"/>
      <c r="P1624" s="1500" t="str">
        <f>EUconst_CNTR_WGFlaredEF &amp; I1524</f>
        <v>WasteGasFlareEF_</v>
      </c>
      <c r="Q1624" s="729"/>
      <c r="R1624" s="729"/>
      <c r="S1624" s="729"/>
      <c r="T1624" s="770"/>
      <c r="U1624" s="343"/>
      <c r="V1624" s="343"/>
    </row>
    <row r="1625" spans="1:22" s="364" customFormat="1" ht="12.75" customHeight="1" x14ac:dyDescent="0.25">
      <c r="A1625" s="729"/>
      <c r="B1625" s="302"/>
      <c r="C1625" s="302"/>
      <c r="D1625" s="1820"/>
      <c r="E1625" s="2818" t="str">
        <f>Translations!$B$586</f>
        <v>Получен отпаден газ</v>
      </c>
      <c r="F1625" s="2701"/>
      <c r="G1625" s="1326" t="str">
        <f>EUconst_TJpa</f>
        <v>TJ / година</v>
      </c>
      <c r="H1625" s="482" t="str">
        <f>IF($I1524="","",IF(INDEX(F_ProductBM!H:H,MATCH($P1625,F_ProductBM!$Q:$Q,0))="","",INDEX(F_ProductBM!H:H,MATCH($P1625,F_ProductBM!$Q:$Q,0))))</f>
        <v/>
      </c>
      <c r="I1625" s="1824" t="str">
        <f>IF($I1524="","",IF(INDEX(F_ProductBM!I:I,MATCH($P1625,F_ProductBM!$Q:$Q,0))="","",INDEX(F_ProductBM!I:I,MATCH($P1625,F_ProductBM!$Q:$Q,0))))</f>
        <v/>
      </c>
      <c r="J1625" s="1825" t="str">
        <f>IF($I1524="","",IF(INDEX(F_ProductBM!J:J,MATCH($P1625,F_ProductBM!$Q:$Q,0))="","",INDEX(F_ProductBM!J:J,MATCH($P1625,F_ProductBM!$Q:$Q,0))))</f>
        <v/>
      </c>
      <c r="K1625" s="482" t="str">
        <f>IF($I1524="","",IF(INDEX(F_ProductBM!K:K,MATCH($P1625,F_ProductBM!$Q:$Q,0))="","",INDEX(F_ProductBM!K:K,MATCH($P1625,F_ProductBM!$Q:$Q,0))))</f>
        <v/>
      </c>
      <c r="L1625" s="482" t="str">
        <f>IF($I1524="","",IF(INDEX(F_ProductBM!L:L,MATCH($P1625,F_ProductBM!$Q:$Q,0))="","",INDEX(F_ProductBM!L:L,MATCH($P1625,F_ProductBM!$Q:$Q,0))))</f>
        <v/>
      </c>
      <c r="M1625" s="482" t="str">
        <f>IF($I1524="","",IF(INDEX(F_ProductBM!M:M,MATCH($P1625,F_ProductBM!$Q:$Q,0))="","",INDEX(F_ProductBM!M:M,MATCH($P1625,F_ProductBM!$Q:$Q,0))))</f>
        <v/>
      </c>
      <c r="N1625" s="1826" t="str">
        <f>IF($I1524="","",IF(INDEX(F_ProductBM!N:N,MATCH($P1625,F_ProductBM!$Q:$Q,0))="","",INDEX(F_ProductBM!N:N,MATCH($P1625,F_ProductBM!$Q:$Q,0))))</f>
        <v/>
      </c>
      <c r="O1625" s="698"/>
      <c r="P1625" s="1500" t="str">
        <f>EUconst_CNTR_WGImport &amp; I1524</f>
        <v>WasteGasIm_</v>
      </c>
      <c r="Q1625" s="729"/>
      <c r="R1625" s="729"/>
      <c r="S1625" s="729"/>
      <c r="T1625" s="770"/>
      <c r="U1625" s="343"/>
      <c r="V1625" s="343"/>
    </row>
    <row r="1626" spans="1:22" s="364" customFormat="1" ht="12.75" customHeight="1" x14ac:dyDescent="0.25">
      <c r="A1626" s="729"/>
      <c r="B1626" s="302"/>
      <c r="C1626" s="302"/>
      <c r="D1626" s="1820"/>
      <c r="E1626" s="1834" t="str">
        <f>Translations!$B$587</f>
        <v>Специфичен EF (получен отпаден газ)</v>
      </c>
      <c r="F1626" s="1834"/>
      <c r="G1626" s="639" t="str">
        <f>EUconst_tCO2pTJ</f>
        <v>t CO2 / TJ</v>
      </c>
      <c r="H1626" s="484" t="str">
        <f>IF($I1524="","",IF(INDEX(F_ProductBM!H:H,MATCH($P1626,F_ProductBM!$Q:$Q,0))="","",INDEX(F_ProductBM!H:H,MATCH($P1626,F_ProductBM!$Q:$Q,0))))</f>
        <v/>
      </c>
      <c r="I1626" s="1828" t="str">
        <f>IF($I1524="","",IF(INDEX(F_ProductBM!I:I,MATCH($P1626,F_ProductBM!$Q:$Q,0))="","",INDEX(F_ProductBM!I:I,MATCH($P1626,F_ProductBM!$Q:$Q,0))))</f>
        <v/>
      </c>
      <c r="J1626" s="1829" t="str">
        <f>IF($I1524="","",IF(INDEX(F_ProductBM!J:J,MATCH($P1626,F_ProductBM!$Q:$Q,0))="","",INDEX(F_ProductBM!J:J,MATCH($P1626,F_ProductBM!$Q:$Q,0))))</f>
        <v/>
      </c>
      <c r="K1626" s="484" t="str">
        <f>IF($I1524="","",IF(INDEX(F_ProductBM!K:K,MATCH($P1626,F_ProductBM!$Q:$Q,0))="","",INDEX(F_ProductBM!K:K,MATCH($P1626,F_ProductBM!$Q:$Q,0))))</f>
        <v/>
      </c>
      <c r="L1626" s="484" t="str">
        <f>IF($I1524="","",IF(INDEX(F_ProductBM!L:L,MATCH($P1626,F_ProductBM!$Q:$Q,0))="","",INDEX(F_ProductBM!L:L,MATCH($P1626,F_ProductBM!$Q:$Q,0))))</f>
        <v/>
      </c>
      <c r="M1626" s="484" t="str">
        <f>IF($I1524="","",IF(INDEX(F_ProductBM!M:M,MATCH($P1626,F_ProductBM!$Q:$Q,0))="","",INDEX(F_ProductBM!M:M,MATCH($P1626,F_ProductBM!$Q:$Q,0))))</f>
        <v/>
      </c>
      <c r="N1626" s="1830" t="str">
        <f>IF($I1524="","",IF(INDEX(F_ProductBM!N:N,MATCH($P1626,F_ProductBM!$Q:$Q,0))="","",INDEX(F_ProductBM!N:N,MATCH($P1626,F_ProductBM!$Q:$Q,0))))</f>
        <v/>
      </c>
      <c r="O1626" s="698"/>
      <c r="P1626" s="1500" t="str">
        <f>EUconst_CNTR_WGImportEF &amp; I1524</f>
        <v>WasteGasImEF_</v>
      </c>
      <c r="Q1626" s="729"/>
      <c r="R1626" s="729"/>
      <c r="S1626" s="729"/>
      <c r="T1626" s="770"/>
      <c r="U1626" s="343"/>
      <c r="V1626" s="343"/>
    </row>
    <row r="1627" spans="1:22" s="364" customFormat="1" ht="12.75" customHeight="1" x14ac:dyDescent="0.25">
      <c r="A1627" s="729"/>
      <c r="B1627" s="302"/>
      <c r="C1627" s="302"/>
      <c r="D1627" s="1820"/>
      <c r="E1627" s="2818" t="str">
        <f>Translations!$B$591</f>
        <v>Подаден отпаден газ</v>
      </c>
      <c r="F1627" s="2701"/>
      <c r="G1627" s="1326" t="str">
        <f>EUconst_TJpa</f>
        <v>TJ / година</v>
      </c>
      <c r="H1627" s="482" t="str">
        <f>IF($I1524="","",IF(INDEX(F_ProductBM!H:H,MATCH($P1627,F_ProductBM!$Q:$Q,0))="","",INDEX(F_ProductBM!H:H,MATCH($P1627,F_ProductBM!$Q:$Q,0))))</f>
        <v/>
      </c>
      <c r="I1627" s="1824" t="str">
        <f>IF($I1524="","",IF(INDEX(F_ProductBM!I:I,MATCH($P1627,F_ProductBM!$Q:$Q,0))="","",INDEX(F_ProductBM!I:I,MATCH($P1627,F_ProductBM!$Q:$Q,0))))</f>
        <v/>
      </c>
      <c r="J1627" s="1825" t="str">
        <f>IF($I1524="","",IF(INDEX(F_ProductBM!J:J,MATCH($P1627,F_ProductBM!$Q:$Q,0))="","",INDEX(F_ProductBM!J:J,MATCH($P1627,F_ProductBM!$Q:$Q,0))))</f>
        <v/>
      </c>
      <c r="K1627" s="482" t="str">
        <f>IF($I1524="","",IF(INDEX(F_ProductBM!K:K,MATCH($P1627,F_ProductBM!$Q:$Q,0))="","",INDEX(F_ProductBM!K:K,MATCH($P1627,F_ProductBM!$Q:$Q,0))))</f>
        <v/>
      </c>
      <c r="L1627" s="482" t="str">
        <f>IF($I1524="","",IF(INDEX(F_ProductBM!L:L,MATCH($P1627,F_ProductBM!$Q:$Q,0))="","",INDEX(F_ProductBM!L:L,MATCH($P1627,F_ProductBM!$Q:$Q,0))))</f>
        <v/>
      </c>
      <c r="M1627" s="482" t="str">
        <f>IF($I1524="","",IF(INDEX(F_ProductBM!M:M,MATCH($P1627,F_ProductBM!$Q:$Q,0))="","",INDEX(F_ProductBM!M:M,MATCH($P1627,F_ProductBM!$Q:$Q,0))))</f>
        <v/>
      </c>
      <c r="N1627" s="1826" t="str">
        <f>IF($I1524="","",IF(INDEX(F_ProductBM!N:N,MATCH($P1627,F_ProductBM!$Q:$Q,0))="","",INDEX(F_ProductBM!N:N,MATCH($P1627,F_ProductBM!$Q:$Q,0))))</f>
        <v/>
      </c>
      <c r="O1627" s="698"/>
      <c r="P1627" s="1500" t="str">
        <f>EUconst_CNTR_WGExport &amp; I1524</f>
        <v>WasteGasEx_</v>
      </c>
      <c r="Q1627" s="729"/>
      <c r="R1627" s="729"/>
      <c r="S1627" s="729"/>
      <c r="T1627" s="770"/>
      <c r="U1627" s="343"/>
      <c r="V1627" s="343"/>
    </row>
    <row r="1628" spans="1:22" s="364" customFormat="1" ht="12.75" customHeight="1" x14ac:dyDescent="0.25">
      <c r="A1628" s="729"/>
      <c r="B1628" s="302"/>
      <c r="C1628" s="302"/>
      <c r="D1628" s="1820"/>
      <c r="E1628" s="2819" t="str">
        <f>Translations!$B$592</f>
        <v>Специфичен EF (подаден отпаден газ)</v>
      </c>
      <c r="F1628" s="2705"/>
      <c r="G1628" s="639" t="str">
        <f>EUconst_tCO2pTJ</f>
        <v>t CO2 / TJ</v>
      </c>
      <c r="H1628" s="484" t="str">
        <f>IF($I1524="","",IF(INDEX(F_ProductBM!H:H,MATCH($P1628,F_ProductBM!$Q:$Q,0))="","",INDEX(F_ProductBM!H:H,MATCH($P1628,F_ProductBM!$Q:$Q,0))))</f>
        <v/>
      </c>
      <c r="I1628" s="1828" t="str">
        <f>IF($I1524="","",IF(INDEX(F_ProductBM!I:I,MATCH($P1628,F_ProductBM!$Q:$Q,0))="","",INDEX(F_ProductBM!I:I,MATCH($P1628,F_ProductBM!$Q:$Q,0))))</f>
        <v/>
      </c>
      <c r="J1628" s="1829" t="str">
        <f>IF($I1524="","",IF(INDEX(F_ProductBM!J:J,MATCH($P1628,F_ProductBM!$Q:$Q,0))="","",INDEX(F_ProductBM!J:J,MATCH($P1628,F_ProductBM!$Q:$Q,0))))</f>
        <v/>
      </c>
      <c r="K1628" s="484" t="str">
        <f>IF($I1524="","",IF(INDEX(F_ProductBM!K:K,MATCH($P1628,F_ProductBM!$Q:$Q,0))="","",INDEX(F_ProductBM!K:K,MATCH($P1628,F_ProductBM!$Q:$Q,0))))</f>
        <v/>
      </c>
      <c r="L1628" s="484" t="str">
        <f>IF($I1524="","",IF(INDEX(F_ProductBM!L:L,MATCH($P1628,F_ProductBM!$Q:$Q,0))="","",INDEX(F_ProductBM!L:L,MATCH($P1628,F_ProductBM!$Q:$Q,0))))</f>
        <v/>
      </c>
      <c r="M1628" s="484" t="str">
        <f>IF($I1524="","",IF(INDEX(F_ProductBM!M:M,MATCH($P1628,F_ProductBM!$Q:$Q,0))="","",INDEX(F_ProductBM!M:M,MATCH($P1628,F_ProductBM!$Q:$Q,0))))</f>
        <v/>
      </c>
      <c r="N1628" s="1830" t="str">
        <f>IF($I1524="","",IF(INDEX(F_ProductBM!N:N,MATCH($P1628,F_ProductBM!$Q:$Q,0))="","",INDEX(F_ProductBM!N:N,MATCH($P1628,F_ProductBM!$Q:$Q,0))))</f>
        <v/>
      </c>
      <c r="O1628" s="698"/>
      <c r="P1628" s="1500" t="str">
        <f>EUconst_CNTR_WGExportEF &amp; I1524</f>
        <v>WasteGasExEF_</v>
      </c>
      <c r="Q1628" s="729"/>
      <c r="R1628" s="729"/>
      <c r="S1628" s="729"/>
      <c r="T1628" s="770"/>
      <c r="U1628" s="343"/>
      <c r="V1628" s="343"/>
    </row>
    <row r="1629" spans="1:22" s="364" customFormat="1" ht="5.15" customHeight="1" x14ac:dyDescent="0.25">
      <c r="A1629" s="729"/>
      <c r="B1629" s="302"/>
      <c r="C1629" s="302"/>
      <c r="D1629" s="1820"/>
      <c r="E1629" s="643"/>
      <c r="F1629" s="643"/>
      <c r="G1629" s="625"/>
      <c r="H1629" s="640"/>
      <c r="I1629" s="640"/>
      <c r="J1629" s="640"/>
      <c r="K1629" s="640"/>
      <c r="L1629" s="640"/>
      <c r="M1629" s="640"/>
      <c r="N1629" s="1831"/>
      <c r="O1629" s="698"/>
      <c r="P1629" s="770"/>
      <c r="Q1629" s="729"/>
      <c r="R1629" s="729"/>
      <c r="S1629" s="729"/>
      <c r="T1629" s="770"/>
      <c r="U1629" s="343"/>
      <c r="V1629" s="343"/>
    </row>
    <row r="1630" spans="1:22" s="364" customFormat="1" ht="12.75" customHeight="1" x14ac:dyDescent="0.25">
      <c r="A1630" s="729"/>
      <c r="B1630" s="302"/>
      <c r="C1630" s="302"/>
      <c r="D1630" s="1820"/>
      <c r="E1630" s="2820" t="str">
        <f>Translations!$B$485</f>
        <v>Съответно потребление на електроенергия</v>
      </c>
      <c r="F1630" s="2258"/>
      <c r="G1630" s="1319" t="str">
        <f>EUconst_MWhpa</f>
        <v>MWh / година</v>
      </c>
      <c r="H1630" s="480" t="str">
        <f>IF($I1524="","",IF(INDEX(F_ProductBM!H:H,MATCH($P1630,F_ProductBM!$Q:$Q,0))="","",INDEX(F_ProductBM!H:H,MATCH($P1630,F_ProductBM!$Q:$Q,0))))</f>
        <v/>
      </c>
      <c r="I1630" s="1399" t="str">
        <f>IF($I1524="","",IF(INDEX(F_ProductBM!I:I,MATCH($P1630,F_ProductBM!$Q:$Q,0))="","",INDEX(F_ProductBM!I:I,MATCH($P1630,F_ProductBM!$Q:$Q,0))))</f>
        <v/>
      </c>
      <c r="J1630" s="1832" t="str">
        <f>IF($I1524="","",IF(INDEX(F_ProductBM!J:J,MATCH($P1630,F_ProductBM!$Q:$Q,0))="","",INDEX(F_ProductBM!J:J,MATCH($P1630,F_ProductBM!$Q:$Q,0))))</f>
        <v/>
      </c>
      <c r="K1630" s="480" t="str">
        <f>IF($I1524="","",IF(INDEX(F_ProductBM!K:K,MATCH($P1630,F_ProductBM!$Q:$Q,0))="","",INDEX(F_ProductBM!K:K,MATCH($P1630,F_ProductBM!$Q:$Q,0))))</f>
        <v/>
      </c>
      <c r="L1630" s="480" t="str">
        <f>IF($I1524="","",IF(INDEX(F_ProductBM!L:L,MATCH($P1630,F_ProductBM!$Q:$Q,0))="","",INDEX(F_ProductBM!L:L,MATCH($P1630,F_ProductBM!$Q:$Q,0))))</f>
        <v/>
      </c>
      <c r="M1630" s="480" t="str">
        <f>IF($I1524="","",IF(INDEX(F_ProductBM!M:M,MATCH($P1630,F_ProductBM!$Q:$Q,0))="","",INDEX(F_ProductBM!M:M,MATCH($P1630,F_ProductBM!$Q:$Q,0))))</f>
        <v/>
      </c>
      <c r="N1630" s="1833" t="str">
        <f>IF($I1524="","",IF(INDEX(F_ProductBM!N:N,MATCH($P1630,F_ProductBM!$Q:$Q,0))="","",INDEX(F_ProductBM!N:N,MATCH($P1630,F_ProductBM!$Q:$Q,0))))</f>
        <v/>
      </c>
      <c r="O1630" s="698"/>
      <c r="P1630" s="1190" t="str">
        <f>EUconst_CNTR_HAL&amp;EUconst_CNTR_ELEXCH &amp; I1524</f>
        <v>HAL_ELEXCH_</v>
      </c>
      <c r="Q1630" s="729"/>
      <c r="R1630" s="729"/>
      <c r="S1630" s="729"/>
      <c r="T1630" s="770"/>
      <c r="U1630" s="343"/>
      <c r="V1630" s="343"/>
    </row>
    <row r="1631" spans="1:22" s="364" customFormat="1" ht="12.75" customHeight="1" x14ac:dyDescent="0.25">
      <c r="A1631" s="729"/>
      <c r="B1631" s="302"/>
      <c r="C1631" s="302"/>
      <c r="D1631" s="1820"/>
      <c r="E1631" s="2820" t="str">
        <f>Translations!$B$595</f>
        <v>Произведена електроенергия</v>
      </c>
      <c r="F1631" s="2258"/>
      <c r="G1631" s="1319" t="str">
        <f>EUconst_MWhpa</f>
        <v>MWh / година</v>
      </c>
      <c r="H1631" s="480" t="str">
        <f>IF($I1524="","",IF(INDEX(F_ProductBM!H:H,MATCH($P1631,F_ProductBM!$Q:$Q,0))="","",INDEX(F_ProductBM!H:H,MATCH($P1631,F_ProductBM!$Q:$Q,0))))</f>
        <v/>
      </c>
      <c r="I1631" s="1399" t="str">
        <f>IF($I1524="","",IF(INDEX(F_ProductBM!I:I,MATCH($P1631,F_ProductBM!$Q:$Q,0))="","",INDEX(F_ProductBM!I:I,MATCH($P1631,F_ProductBM!$Q:$Q,0))))</f>
        <v/>
      </c>
      <c r="J1631" s="1832" t="str">
        <f>IF($I1524="","",IF(INDEX(F_ProductBM!J:J,MATCH($P1631,F_ProductBM!$Q:$Q,0))="","",INDEX(F_ProductBM!J:J,MATCH($P1631,F_ProductBM!$Q:$Q,0))))</f>
        <v/>
      </c>
      <c r="K1631" s="480" t="str">
        <f>IF($I1524="","",IF(INDEX(F_ProductBM!K:K,MATCH($P1631,F_ProductBM!$Q:$Q,0))="","",INDEX(F_ProductBM!K:K,MATCH($P1631,F_ProductBM!$Q:$Q,0))))</f>
        <v/>
      </c>
      <c r="L1631" s="480" t="str">
        <f>IF($I1524="","",IF(INDEX(F_ProductBM!L:L,MATCH($P1631,F_ProductBM!$Q:$Q,0))="","",INDEX(F_ProductBM!L:L,MATCH($P1631,F_ProductBM!$Q:$Q,0))))</f>
        <v/>
      </c>
      <c r="M1631" s="480" t="str">
        <f>IF($I1524="","",IF(INDEX(F_ProductBM!M:M,MATCH($P1631,F_ProductBM!$Q:$Q,0))="","",INDEX(F_ProductBM!M:M,MATCH($P1631,F_ProductBM!$Q:$Q,0))))</f>
        <v/>
      </c>
      <c r="N1631" s="1833" t="str">
        <f>IF($I1524="","",IF(INDEX(F_ProductBM!N:N,MATCH($P1631,F_ProductBM!$Q:$Q,0))="","",INDEX(F_ProductBM!N:N,MATCH($P1631,F_ProductBM!$Q:$Q,0))))</f>
        <v/>
      </c>
      <c r="O1631" s="698"/>
      <c r="P1631" s="1500" t="str">
        <f>EUconst_CNTR_ElectricityExported &amp; I1524</f>
        <v>ElecEx_</v>
      </c>
      <c r="Q1631" s="729"/>
      <c r="R1631" s="729"/>
      <c r="S1631" s="729"/>
      <c r="T1631" s="770"/>
      <c r="U1631" s="343"/>
      <c r="V1631" s="343"/>
    </row>
    <row r="1632" spans="1:22" s="364" customFormat="1" ht="5.15" customHeight="1" x14ac:dyDescent="0.25">
      <c r="A1632" s="729"/>
      <c r="B1632" s="302"/>
      <c r="C1632" s="302"/>
      <c r="D1632" s="1820"/>
      <c r="E1632" s="643"/>
      <c r="F1632" s="643"/>
      <c r="G1632" s="625"/>
      <c r="H1632" s="640"/>
      <c r="I1632" s="640"/>
      <c r="J1632" s="640"/>
      <c r="K1632" s="640"/>
      <c r="L1632" s="640"/>
      <c r="M1632" s="640"/>
      <c r="N1632" s="1831"/>
      <c r="O1632" s="698"/>
      <c r="P1632" s="770"/>
      <c r="Q1632" s="729"/>
      <c r="R1632" s="729"/>
      <c r="S1632" s="729"/>
      <c r="T1632" s="770"/>
      <c r="U1632" s="343"/>
      <c r="V1632" s="343"/>
    </row>
    <row r="1633" spans="1:22" s="364" customFormat="1" x14ac:dyDescent="0.25">
      <c r="A1633" s="729"/>
      <c r="B1633" s="302"/>
      <c r="C1633" s="302"/>
      <c r="D1633" s="1820"/>
      <c r="E1633" s="3059" t="str">
        <f>Translations!$B$957</f>
        <v>Междинно получаване:</v>
      </c>
      <c r="F1633" s="2672"/>
      <c r="G1633" s="625"/>
      <c r="H1633" s="640"/>
      <c r="I1633" s="640"/>
      <c r="J1633" s="640"/>
      <c r="K1633" s="640"/>
      <c r="L1633" s="640"/>
      <c r="M1633" s="640"/>
      <c r="N1633" s="1831"/>
      <c r="O1633" s="698"/>
      <c r="P1633" s="770"/>
      <c r="Q1633" s="729"/>
      <c r="R1633" s="729"/>
      <c r="S1633" s="729"/>
      <c r="T1633" s="770"/>
      <c r="U1633" s="343"/>
      <c r="V1633" s="343"/>
    </row>
    <row r="1634" spans="1:22" s="364" customFormat="1" x14ac:dyDescent="0.25">
      <c r="A1634" s="729"/>
      <c r="B1634" s="302"/>
      <c r="C1634" s="302"/>
      <c r="D1634" s="1820"/>
      <c r="E1634" s="2814" t="str">
        <f>IF(I1524="","",IF(INDEX(F_ProductBM!E:E,MATCH($P1634,F_ProductBM!$Q:$Q,0))="","",INDEX(F_ProductBM!E:E,MATCH($P1634,F_ProductBM!$Q:$Q,0))))</f>
        <v/>
      </c>
      <c r="F1634" s="2258"/>
      <c r="G1634" s="1319" t="str">
        <f>EUconst_Tons</f>
        <v>тона</v>
      </c>
      <c r="H1634" s="480" t="str">
        <f>IF($I1524="","",IF(INDEX(F_ProductBM!H:H,MATCH($P1634,F_ProductBM!$Q:$Q,0))="","",INDEX(F_ProductBM!H:H,MATCH($P1634,F_ProductBM!$Q:$Q,0))))</f>
        <v/>
      </c>
      <c r="I1634" s="1399" t="str">
        <f>IF($I1524="","",IF(INDEX(F_ProductBM!I:I,MATCH($P1634,F_ProductBM!$Q:$Q,0))="","",INDEX(F_ProductBM!I:I,MATCH($P1634,F_ProductBM!$Q:$Q,0))))</f>
        <v/>
      </c>
      <c r="J1634" s="1832" t="str">
        <f>IF($I1524="","",IF(INDEX(F_ProductBM!J:J,MATCH($P1634,F_ProductBM!$Q:$Q,0))="","",INDEX(F_ProductBM!J:J,MATCH($P1634,F_ProductBM!$Q:$Q,0))))</f>
        <v/>
      </c>
      <c r="K1634" s="480" t="str">
        <f>IF($I1524="","",IF(INDEX(F_ProductBM!K:K,MATCH($P1634,F_ProductBM!$Q:$Q,0))="","",INDEX(F_ProductBM!K:K,MATCH($P1634,F_ProductBM!$Q:$Q,0))))</f>
        <v/>
      </c>
      <c r="L1634" s="480" t="str">
        <f>IF($I1524="","",IF(INDEX(F_ProductBM!L:L,MATCH($P1634,F_ProductBM!$Q:$Q,0))="","",INDEX(F_ProductBM!L:L,MATCH($P1634,F_ProductBM!$Q:$Q,0))))</f>
        <v/>
      </c>
      <c r="M1634" s="480" t="str">
        <f>IF($I1524="","",IF(INDEX(F_ProductBM!M:M,MATCH($P1634,F_ProductBM!$Q:$Q,0))="","",INDEX(F_ProductBM!M:M,MATCH($P1634,F_ProductBM!$Q:$Q,0))))</f>
        <v/>
      </c>
      <c r="N1634" s="1833" t="str">
        <f>IF($I1524="","",IF(INDEX(F_ProductBM!N:N,MATCH($P1634,F_ProductBM!$Q:$Q,0))="","",INDEX(F_ProductBM!N:N,MATCH($P1634,F_ProductBM!$Q:$Q,0))))</f>
        <v/>
      </c>
      <c r="O1634" s="698"/>
      <c r="P1634" s="1500" t="str">
        <f>EUconst_CNTR_IntermediateImport &amp; R1634 &amp; "_" &amp; I1524</f>
        <v>IntImp_1_</v>
      </c>
      <c r="Q1634" s="729"/>
      <c r="R1634" s="1176">
        <v>1</v>
      </c>
      <c r="S1634" s="729"/>
      <c r="T1634" s="770"/>
      <c r="U1634" s="343"/>
      <c r="V1634" s="343"/>
    </row>
    <row r="1635" spans="1:22" s="364" customFormat="1" x14ac:dyDescent="0.25">
      <c r="A1635" s="729"/>
      <c r="B1635" s="302"/>
      <c r="C1635" s="302"/>
      <c r="D1635" s="1820"/>
      <c r="E1635" s="2814" t="str">
        <f>IF(I1524="","",IF(INDEX(F_ProductBM!E:E,MATCH($P1635,F_ProductBM!$Q:$Q,0))="","",INDEX(F_ProductBM!E:E,MATCH($P1635,F_ProductBM!$Q:$Q,0))))</f>
        <v/>
      </c>
      <c r="F1635" s="2258"/>
      <c r="G1635" s="1319" t="str">
        <f>EUconst_Tons</f>
        <v>тона</v>
      </c>
      <c r="H1635" s="480" t="str">
        <f>IF($I1524="","",IF(INDEX(F_ProductBM!H:H,MATCH($P1635,F_ProductBM!$Q:$Q,0))="","",INDEX(F_ProductBM!H:H,MATCH($P1635,F_ProductBM!$Q:$Q,0))))</f>
        <v/>
      </c>
      <c r="I1635" s="1399" t="str">
        <f>IF($I1524="","",IF(INDEX(F_ProductBM!I:I,MATCH($P1635,F_ProductBM!$Q:$Q,0))="","",INDEX(F_ProductBM!I:I,MATCH($P1635,F_ProductBM!$Q:$Q,0))))</f>
        <v/>
      </c>
      <c r="J1635" s="1832" t="str">
        <f>IF($I1524="","",IF(INDEX(F_ProductBM!J:J,MATCH($P1635,F_ProductBM!$Q:$Q,0))="","",INDEX(F_ProductBM!J:J,MATCH($P1635,F_ProductBM!$Q:$Q,0))))</f>
        <v/>
      </c>
      <c r="K1635" s="480" t="str">
        <f>IF($I1524="","",IF(INDEX(F_ProductBM!K:K,MATCH($P1635,F_ProductBM!$Q:$Q,0))="","",INDEX(F_ProductBM!K:K,MATCH($P1635,F_ProductBM!$Q:$Q,0))))</f>
        <v/>
      </c>
      <c r="L1635" s="480" t="str">
        <f>IF($I1524="","",IF(INDEX(F_ProductBM!L:L,MATCH($P1635,F_ProductBM!$Q:$Q,0))="","",INDEX(F_ProductBM!L:L,MATCH($P1635,F_ProductBM!$Q:$Q,0))))</f>
        <v/>
      </c>
      <c r="M1635" s="480" t="str">
        <f>IF($I1524="","",IF(INDEX(F_ProductBM!M:M,MATCH($P1635,F_ProductBM!$Q:$Q,0))="","",INDEX(F_ProductBM!M:M,MATCH($P1635,F_ProductBM!$Q:$Q,0))))</f>
        <v/>
      </c>
      <c r="N1635" s="1833" t="str">
        <f>IF($I1524="","",IF(INDEX(F_ProductBM!N:N,MATCH($P1635,F_ProductBM!$Q:$Q,0))="","",INDEX(F_ProductBM!N:N,MATCH($P1635,F_ProductBM!$Q:$Q,0))))</f>
        <v/>
      </c>
      <c r="O1635" s="698"/>
      <c r="P1635" s="1500" t="str">
        <f>EUconst_CNTR_IntermediateImport &amp; R1635 &amp; "_" &amp; I1524</f>
        <v>IntImp_2_</v>
      </c>
      <c r="Q1635" s="729"/>
      <c r="R1635" s="1176">
        <v>2</v>
      </c>
      <c r="S1635" s="729"/>
      <c r="T1635" s="770"/>
      <c r="U1635" s="343"/>
      <c r="V1635" s="343"/>
    </row>
    <row r="1636" spans="1:22" s="364" customFormat="1" x14ac:dyDescent="0.25">
      <c r="A1636" s="729"/>
      <c r="B1636" s="302"/>
      <c r="C1636" s="302"/>
      <c r="D1636" s="1820"/>
      <c r="E1636" s="2820" t="str">
        <f>Translations!$B$958</f>
        <v>Междинно подаване:</v>
      </c>
      <c r="F1636" s="2258"/>
      <c r="G1636" s="625"/>
      <c r="H1636" s="640"/>
      <c r="I1636" s="640"/>
      <c r="J1636" s="640"/>
      <c r="K1636" s="640"/>
      <c r="L1636" s="640"/>
      <c r="M1636" s="640"/>
      <c r="N1636" s="1831"/>
      <c r="O1636" s="698"/>
      <c r="P1636" s="770"/>
      <c r="Q1636" s="729"/>
      <c r="R1636" s="729"/>
      <c r="S1636" s="729"/>
      <c r="T1636" s="770"/>
      <c r="U1636" s="343"/>
      <c r="V1636" s="343"/>
    </row>
    <row r="1637" spans="1:22" s="364" customFormat="1" x14ac:dyDescent="0.25">
      <c r="A1637" s="729"/>
      <c r="B1637" s="302"/>
      <c r="C1637" s="302"/>
      <c r="D1637" s="1820"/>
      <c r="E1637" s="2814" t="str">
        <f>IF(I1524="","",IF(INDEX(F_ProductBM!E:E,MATCH($P1637,F_ProductBM!$Q:$Q,0))="","",INDEX(F_ProductBM!E:E,MATCH($P1637,F_ProductBM!$Q:$Q,0))))</f>
        <v/>
      </c>
      <c r="F1637" s="2258"/>
      <c r="G1637" s="1319" t="str">
        <f>EUconst_Tons</f>
        <v>тона</v>
      </c>
      <c r="H1637" s="480" t="str">
        <f>IF($I1524="","",IF(INDEX(F_ProductBM!H:H,MATCH($P1637,F_ProductBM!$Q:$Q,0))="","",INDEX(F_ProductBM!H:H,MATCH($P1637,F_ProductBM!$Q:$Q,0))))</f>
        <v/>
      </c>
      <c r="I1637" s="1399" t="str">
        <f>IF($I1524="","",IF(INDEX(F_ProductBM!I:I,MATCH($P1637,F_ProductBM!$Q:$Q,0))="","",INDEX(F_ProductBM!I:I,MATCH($P1637,F_ProductBM!$Q:$Q,0))))</f>
        <v/>
      </c>
      <c r="J1637" s="1832" t="str">
        <f>IF($I1524="","",IF(INDEX(F_ProductBM!J:J,MATCH($P1637,F_ProductBM!$Q:$Q,0))="","",INDEX(F_ProductBM!J:J,MATCH($P1637,F_ProductBM!$Q:$Q,0))))</f>
        <v/>
      </c>
      <c r="K1637" s="480" t="str">
        <f>IF($I1524="","",IF(INDEX(F_ProductBM!K:K,MATCH($P1637,F_ProductBM!$Q:$Q,0))="","",INDEX(F_ProductBM!K:K,MATCH($P1637,F_ProductBM!$Q:$Q,0))))</f>
        <v/>
      </c>
      <c r="L1637" s="480" t="str">
        <f>IF($I1524="","",IF(INDEX(F_ProductBM!L:L,MATCH($P1637,F_ProductBM!$Q:$Q,0))="","",INDEX(F_ProductBM!L:L,MATCH($P1637,F_ProductBM!$Q:$Q,0))))</f>
        <v/>
      </c>
      <c r="M1637" s="480" t="str">
        <f>IF($I1524="","",IF(INDEX(F_ProductBM!M:M,MATCH($P1637,F_ProductBM!$Q:$Q,0))="","",INDEX(F_ProductBM!M:M,MATCH($P1637,F_ProductBM!$Q:$Q,0))))</f>
        <v/>
      </c>
      <c r="N1637" s="1833" t="str">
        <f>IF($I1524="","",IF(INDEX(F_ProductBM!N:N,MATCH($P1637,F_ProductBM!$Q:$Q,0))="","",INDEX(F_ProductBM!N:N,MATCH($P1637,F_ProductBM!$Q:$Q,0))))</f>
        <v/>
      </c>
      <c r="O1637" s="698"/>
      <c r="P1637" s="1500" t="str">
        <f>EUconst_CNTR_IntermediateExport &amp; R1634 &amp; "_" &amp; I1524</f>
        <v>IntExp_1_</v>
      </c>
      <c r="Q1637" s="729"/>
      <c r="R1637" s="1176">
        <v>1</v>
      </c>
      <c r="S1637" s="729"/>
      <c r="T1637" s="770"/>
      <c r="U1637" s="343"/>
      <c r="V1637" s="343"/>
    </row>
    <row r="1638" spans="1:22" s="364" customFormat="1" x14ac:dyDescent="0.25">
      <c r="A1638" s="729"/>
      <c r="B1638" s="302"/>
      <c r="C1638" s="302"/>
      <c r="D1638" s="1820"/>
      <c r="E1638" s="2814" t="str">
        <f>IF(I1524="","",IF(INDEX(F_ProductBM!E:E,MATCH($P1638,F_ProductBM!$Q:$Q,0))="","",INDEX(F_ProductBM!E:E,MATCH($P1638,F_ProductBM!$Q:$Q,0))))</f>
        <v/>
      </c>
      <c r="F1638" s="2258"/>
      <c r="G1638" s="1319" t="str">
        <f>EUconst_Tons</f>
        <v>тона</v>
      </c>
      <c r="H1638" s="480" t="str">
        <f>IF($I1524="","",IF(INDEX(F_ProductBM!H:H,MATCH($P1638,F_ProductBM!$Q:$Q,0))="","",INDEX(F_ProductBM!H:H,MATCH($P1638,F_ProductBM!$Q:$Q,0))))</f>
        <v/>
      </c>
      <c r="I1638" s="1399" t="str">
        <f>IF($I1524="","",IF(INDEX(F_ProductBM!I:I,MATCH($P1638,F_ProductBM!$Q:$Q,0))="","",INDEX(F_ProductBM!I:I,MATCH($P1638,F_ProductBM!$Q:$Q,0))))</f>
        <v/>
      </c>
      <c r="J1638" s="1832" t="str">
        <f>IF($I1524="","",IF(INDEX(F_ProductBM!J:J,MATCH($P1638,F_ProductBM!$Q:$Q,0))="","",INDEX(F_ProductBM!J:J,MATCH($P1638,F_ProductBM!$Q:$Q,0))))</f>
        <v/>
      </c>
      <c r="K1638" s="480" t="str">
        <f>IF($I1524="","",IF(INDEX(F_ProductBM!K:K,MATCH($P1638,F_ProductBM!$Q:$Q,0))="","",INDEX(F_ProductBM!K:K,MATCH($P1638,F_ProductBM!$Q:$Q,0))))</f>
        <v/>
      </c>
      <c r="L1638" s="480" t="str">
        <f>IF($I1524="","",IF(INDEX(F_ProductBM!L:L,MATCH($P1638,F_ProductBM!$Q:$Q,0))="","",INDEX(F_ProductBM!L:L,MATCH($P1638,F_ProductBM!$Q:$Q,0))))</f>
        <v/>
      </c>
      <c r="M1638" s="480" t="str">
        <f>IF($I1524="","",IF(INDEX(F_ProductBM!M:M,MATCH($P1638,F_ProductBM!$Q:$Q,0))="","",INDEX(F_ProductBM!M:M,MATCH($P1638,F_ProductBM!$Q:$Q,0))))</f>
        <v/>
      </c>
      <c r="N1638" s="1833" t="str">
        <f>IF($I1524="","",IF(INDEX(F_ProductBM!N:N,MATCH($P1638,F_ProductBM!$Q:$Q,0))="","",INDEX(F_ProductBM!N:N,MATCH($P1638,F_ProductBM!$Q:$Q,0))))</f>
        <v/>
      </c>
      <c r="O1638" s="698"/>
      <c r="P1638" s="1500" t="str">
        <f>EUconst_CNTR_IntermediateExport &amp; R1638 &amp; "_" &amp; I1524</f>
        <v>IntExp_2_</v>
      </c>
      <c r="Q1638" s="729"/>
      <c r="R1638" s="1176">
        <v>2</v>
      </c>
      <c r="S1638" s="729"/>
      <c r="T1638" s="770"/>
      <c r="U1638" s="343"/>
      <c r="V1638" s="343"/>
    </row>
    <row r="1639" spans="1:22" s="364" customFormat="1" ht="5.15" customHeight="1" x14ac:dyDescent="0.25">
      <c r="A1639" s="729"/>
      <c r="B1639" s="302"/>
      <c r="C1639" s="302"/>
      <c r="D1639" s="1820"/>
      <c r="E1639" s="625"/>
      <c r="F1639" s="625"/>
      <c r="G1639" s="625"/>
      <c r="H1639" s="625"/>
      <c r="I1639" s="644"/>
      <c r="J1639" s="644"/>
      <c r="K1639" s="644"/>
      <c r="L1639" s="644"/>
      <c r="M1639" s="644"/>
      <c r="N1639" s="1316"/>
      <c r="O1639" s="698"/>
      <c r="P1639" s="770"/>
      <c r="Q1639" s="729"/>
      <c r="R1639" s="1165"/>
      <c r="S1639" s="729"/>
      <c r="T1639" s="770"/>
      <c r="U1639" s="343"/>
      <c r="V1639" s="343"/>
    </row>
    <row r="1640" spans="1:22" s="364" customFormat="1" ht="13" x14ac:dyDescent="0.25">
      <c r="A1640" s="729"/>
      <c r="B1640" s="302"/>
      <c r="C1640" s="302"/>
      <c r="D1640" s="1820"/>
      <c r="E1640" s="3060" t="str">
        <f>Translations!$B$1585</f>
        <v>Корекции за актуализиране на показателя при специфичен показател, когато е приложимо</v>
      </c>
      <c r="F1640" s="3060"/>
      <c r="G1640" s="3060"/>
      <c r="H1640" s="3060"/>
      <c r="I1640" s="3060"/>
      <c r="J1640" s="3060"/>
      <c r="K1640" s="3060"/>
      <c r="L1640" s="3060"/>
      <c r="M1640" s="3060"/>
      <c r="N1640" s="1316"/>
      <c r="O1640" s="698"/>
      <c r="P1640" s="770"/>
      <c r="Q1640" s="729"/>
      <c r="R1640" s="1165"/>
      <c r="S1640" s="729"/>
      <c r="T1640" s="770"/>
      <c r="U1640" s="343"/>
      <c r="V1640" s="343"/>
    </row>
    <row r="1641" spans="1:22" s="364" customFormat="1" x14ac:dyDescent="0.25">
      <c r="A1641" s="729"/>
      <c r="B1641" s="302"/>
      <c r="C1641" s="302"/>
      <c r="D1641" s="1820"/>
      <c r="E1641" s="641" t="str">
        <f>Translations!$B$596</f>
        <v>Общо количество произведен пулп</v>
      </c>
      <c r="F1641" s="1835"/>
      <c r="G1641" s="642" t="str">
        <f>EUconst_Tons</f>
        <v>тона</v>
      </c>
      <c r="H1641" s="499" t="str">
        <f>IF($I1524="","",IF(INDEX(F_ProductBM!H:H,MATCH($P1641,F_ProductBM!$Q:$Q,0))="","",INDEX(F_ProductBM!H:H,MATCH($P1641,F_ProductBM!$Q:$Q,0))))</f>
        <v/>
      </c>
      <c r="I1641" s="1399" t="str">
        <f>IF($I1524="","",IF(INDEX(F_ProductBM!I:I,MATCH($P1641,F_ProductBM!$Q:$Q,0))="","",INDEX(F_ProductBM!I:I,MATCH($P1641,F_ProductBM!$Q:$Q,0))))</f>
        <v/>
      </c>
      <c r="J1641" s="1832" t="str">
        <f>IF($I1524="","",IF(INDEX(F_ProductBM!J:J,MATCH($P1641,F_ProductBM!$Q:$Q,0))="","",INDEX(F_ProductBM!J:J,MATCH($P1641,F_ProductBM!$Q:$Q,0))))</f>
        <v/>
      </c>
      <c r="K1641" s="499" t="str">
        <f>IF($I1524="","",IF(INDEX(F_ProductBM!K:K,MATCH($P1641,F_ProductBM!$Q:$Q,0))="","",INDEX(F_ProductBM!K:K,MATCH($P1641,F_ProductBM!$Q:$Q,0))))</f>
        <v/>
      </c>
      <c r="L1641" s="499" t="str">
        <f>IF($I1524="","",IF(INDEX(F_ProductBM!L:L,MATCH($P1641,F_ProductBM!$Q:$Q,0))="","",INDEX(F_ProductBM!L:L,MATCH($P1641,F_ProductBM!$Q:$Q,0))))</f>
        <v/>
      </c>
      <c r="M1641" s="499" t="str">
        <f>IF($I1524="","",IF(INDEX(F_ProductBM!M:M,MATCH($P1641,F_ProductBM!$Q:$Q,0))="","",INDEX(F_ProductBM!M:M,MATCH($P1641,F_ProductBM!$Q:$Q,0))))</f>
        <v/>
      </c>
      <c r="N1641" s="1836" t="str">
        <f>IF($I1524="","",IF(INDEX(F_ProductBM!N:N,MATCH($P1641,F_ProductBM!$Q:$Q,0))="","",INDEX(F_ProductBM!N:N,MATCH($P1641,F_ProductBM!$Q:$Q,0))))</f>
        <v/>
      </c>
      <c r="O1641" s="698"/>
      <c r="P1641" s="1500" t="str">
        <f>EUconst_CNTR_HALPulpTotal &amp;  I1524</f>
        <v>HALPulpTotal_</v>
      </c>
      <c r="Q1641" s="729"/>
      <c r="R1641" s="729"/>
      <c r="S1641" s="729"/>
      <c r="T1641" s="770"/>
      <c r="U1641" s="343"/>
      <c r="V1641" s="343"/>
    </row>
    <row r="1642" spans="1:22" s="364" customFormat="1" ht="5.15" customHeight="1" x14ac:dyDescent="0.25">
      <c r="A1642" s="729"/>
      <c r="B1642" s="302"/>
      <c r="C1642" s="302"/>
      <c r="D1642" s="1820"/>
      <c r="E1642" s="625"/>
      <c r="F1642" s="625"/>
      <c r="G1642" s="625"/>
      <c r="H1642" s="644"/>
      <c r="I1642" s="644"/>
      <c r="J1642" s="644"/>
      <c r="K1642" s="644"/>
      <c r="L1642" s="644"/>
      <c r="M1642" s="644"/>
      <c r="N1642" s="1837"/>
      <c r="O1642" s="698"/>
      <c r="P1642" s="770"/>
      <c r="Q1642" s="729"/>
      <c r="R1642" s="729"/>
      <c r="S1642" s="729"/>
      <c r="T1642" s="770"/>
      <c r="U1642" s="343"/>
      <c r="V1642" s="343"/>
    </row>
    <row r="1643" spans="1:22" s="364" customFormat="1" ht="12.75" customHeight="1" x14ac:dyDescent="0.25">
      <c r="A1643" s="729"/>
      <c r="B1643" s="302"/>
      <c r="C1643" s="302"/>
      <c r="D1643" s="1820"/>
      <c r="E1643" s="641" t="str">
        <f>Translations!$B$1586</f>
        <v>Производство на водород (действително + теоретично)</v>
      </c>
      <c r="F1643" s="1835"/>
      <c r="G1643" s="642" t="str">
        <f>EUconst_Tons</f>
        <v>тона</v>
      </c>
      <c r="H1643" s="499" t="str">
        <f>IF($L1527=$R1643,SUMIFS(H_SpecialBM!H:H,H_SpecialBM!$Q:$Q,$P1643),"")</f>
        <v/>
      </c>
      <c r="I1643" s="1399" t="str">
        <f>IF($L1527=$R1643,SUMIFS(H_SpecialBM!I:I,H_SpecialBM!$Q:$Q,$P1643),"")</f>
        <v/>
      </c>
      <c r="J1643" s="1832" t="str">
        <f>IF($L1527=$R1643,SUMIFS(H_SpecialBM!J:J,H_SpecialBM!$Q:$Q,$P1643),"")</f>
        <v/>
      </c>
      <c r="K1643" s="499" t="str">
        <f>IF($L1527=$R1643,SUMIFS(H_SpecialBM!K:K,H_SpecialBM!$Q:$Q,$P1643),"")</f>
        <v/>
      </c>
      <c r="L1643" s="499" t="str">
        <f>IF($L1527=$R1643,SUMIFS(H_SpecialBM!L:L,H_SpecialBM!$Q:$Q,$P1643),"")</f>
        <v/>
      </c>
      <c r="M1643" s="499" t="str">
        <f>IF($L1527=$R1643,SUMIFS(H_SpecialBM!M:M,H_SpecialBM!$Q:$Q,$P1643),"")</f>
        <v/>
      </c>
      <c r="N1643" s="1836" t="str">
        <f>IF($L1527=$R1643,SUMIFS(H_SpecialBM!N:N,H_SpecialBM!$Q:$Q,$P1643),"")</f>
        <v/>
      </c>
      <c r="O1643" s="698"/>
      <c r="P1643" s="1190" t="str">
        <f>EUconst_CNTR_H2ActualPlusTheoretical</f>
        <v>H2Total_</v>
      </c>
      <c r="Q1643" s="729"/>
      <c r="R1643" s="1176">
        <v>50</v>
      </c>
      <c r="S1643" s="729"/>
      <c r="T1643" s="770"/>
      <c r="U1643" s="343"/>
      <c r="V1643" s="343"/>
    </row>
    <row r="1644" spans="1:22" s="364" customFormat="1" x14ac:dyDescent="0.25">
      <c r="A1644" s="729"/>
      <c r="B1644" s="302"/>
      <c r="C1644" s="302"/>
      <c r="D1644" s="1820"/>
      <c r="E1644" s="641" t="str">
        <f>Translations!$B$1587</f>
        <v>Емисии във връзка с водород</v>
      </c>
      <c r="F1644" s="1835"/>
      <c r="G1644" s="642" t="str">
        <f>EUconst_tCO2pa</f>
        <v>t CO2 / година</v>
      </c>
      <c r="H1644" s="499" t="str">
        <f>IF($L1527=$R1644,SUMIFS(H_SpecialBM!H:H,H_SpecialBM!$Q:$Q,$P1644),"")</f>
        <v/>
      </c>
      <c r="I1644" s="1399" t="str">
        <f>IF($L1527=$R1644,SUMIFS(H_SpecialBM!I:I,H_SpecialBM!$Q:$Q,$P1644),"")</f>
        <v/>
      </c>
      <c r="J1644" s="1832" t="str">
        <f>IF($L1527=$R1644,SUMIFS(H_SpecialBM!J:J,H_SpecialBM!$Q:$Q,$P1644),"")</f>
        <v/>
      </c>
      <c r="K1644" s="499" t="str">
        <f>IF($L1527=$R1644,SUMIFS(H_SpecialBM!K:K,H_SpecialBM!$Q:$Q,$P1644),"")</f>
        <v/>
      </c>
      <c r="L1644" s="499" t="str">
        <f>IF($L1527=$R1644,SUMIFS(H_SpecialBM!L:L,H_SpecialBM!$Q:$Q,$P1644),"")</f>
        <v/>
      </c>
      <c r="M1644" s="499" t="str">
        <f>IF($L1527=$R1644,SUMIFS(H_SpecialBM!M:M,H_SpecialBM!$Q:$Q,$P1644),"")</f>
        <v/>
      </c>
      <c r="N1644" s="1836" t="str">
        <f>IF($L1527=$R1644,SUMIFS(H_SpecialBM!N:N,H_SpecialBM!$Q:$Q,$P1644),"")</f>
        <v/>
      </c>
      <c r="O1644" s="698"/>
      <c r="P1644" s="1190" t="str">
        <f>EUconst_CNTR_H2AdditionalEmissions</f>
        <v>H2AddEm_</v>
      </c>
      <c r="Q1644" s="729"/>
      <c r="R1644" s="1176">
        <v>50</v>
      </c>
      <c r="S1644" s="729"/>
      <c r="T1644" s="770"/>
      <c r="U1644" s="343"/>
      <c r="V1644" s="343"/>
    </row>
    <row r="1645" spans="1:22" s="364" customFormat="1" ht="5.15" customHeight="1" x14ac:dyDescent="0.25">
      <c r="A1645" s="729"/>
      <c r="B1645" s="302"/>
      <c r="C1645" s="302"/>
      <c r="D1645" s="1820"/>
      <c r="E1645" s="625"/>
      <c r="F1645" s="625"/>
      <c r="G1645" s="625"/>
      <c r="H1645" s="644"/>
      <c r="I1645" s="644"/>
      <c r="J1645" s="644"/>
      <c r="K1645" s="644"/>
      <c r="L1645" s="644"/>
      <c r="M1645" s="644"/>
      <c r="N1645" s="1837"/>
      <c r="O1645" s="698"/>
      <c r="P1645" s="729"/>
      <c r="Q1645" s="729"/>
      <c r="R1645" s="729"/>
      <c r="S1645" s="729"/>
      <c r="T1645" s="770"/>
      <c r="U1645" s="343"/>
      <c r="V1645" s="343"/>
    </row>
    <row r="1646" spans="1:22" s="364" customFormat="1" x14ac:dyDescent="0.25">
      <c r="A1646" s="729"/>
      <c r="B1646" s="302"/>
      <c r="C1646" s="302"/>
      <c r="D1646" s="1820"/>
      <c r="E1646" s="641" t="str">
        <f>Translations!$B$1588</f>
        <v>Корекция на емисиите във връзка с HVC</v>
      </c>
      <c r="F1646" s="1835"/>
      <c r="G1646" s="642" t="str">
        <f>EUconst_tCO2pa</f>
        <v>t CO2 / година</v>
      </c>
      <c r="H1646" s="499" t="str">
        <f>IF($L1527=$R1646,-SUMIFS(H_SpecialBM!H:H,H_SpecialBM!$Q:$Q,$P1646),"")</f>
        <v/>
      </c>
      <c r="I1646" s="1399" t="str">
        <f>IF($L1527=$R1646,-SUMIFS(H_SpecialBM!I:I,H_SpecialBM!$Q:$Q,$P1646),"")</f>
        <v/>
      </c>
      <c r="J1646" s="1832" t="str">
        <f>IF($L1527=$R1646,-SUMIFS(H_SpecialBM!J:J,H_SpecialBM!$Q:$Q,$P1646),"")</f>
        <v/>
      </c>
      <c r="K1646" s="499" t="str">
        <f>IF($L1527=$R1646,-SUMIFS(H_SpecialBM!K:K,H_SpecialBM!$Q:$Q,$P1646),"")</f>
        <v/>
      </c>
      <c r="L1646" s="499" t="str">
        <f>IF($L1527=$R1646,-SUMIFS(H_SpecialBM!L:L,H_SpecialBM!$Q:$Q,$P1646),"")</f>
        <v/>
      </c>
      <c r="M1646" s="499" t="str">
        <f>IF($L1527=$R1646,-SUMIFS(H_SpecialBM!M:M,H_SpecialBM!$Q:$Q,$P1646),"")</f>
        <v/>
      </c>
      <c r="N1646" s="1836" t="str">
        <f>IF($L1527=$R1646,-SUMIFS(H_SpecialBM!N:N,H_SpecialBM!$Q:$Q,$P1646),"")</f>
        <v/>
      </c>
      <c r="O1646" s="698"/>
      <c r="P1646" s="1500" t="str">
        <f>EUconst_CNTR_HVC</f>
        <v>HVC_</v>
      </c>
      <c r="Q1646" s="729"/>
      <c r="R1646" s="1176">
        <v>42</v>
      </c>
      <c r="S1646" s="729"/>
      <c r="T1646" s="770"/>
      <c r="U1646" s="343"/>
      <c r="V1646" s="343"/>
    </row>
    <row r="1647" spans="1:22" s="364" customFormat="1" ht="5.15" customHeight="1" x14ac:dyDescent="0.25">
      <c r="A1647" s="729"/>
      <c r="B1647" s="302"/>
      <c r="C1647" s="302"/>
      <c r="D1647" s="1820"/>
      <c r="E1647" s="625"/>
      <c r="F1647" s="625"/>
      <c r="G1647" s="625"/>
      <c r="H1647" s="644"/>
      <c r="I1647" s="644"/>
      <c r="J1647" s="644"/>
      <c r="K1647" s="644"/>
      <c r="L1647" s="644"/>
      <c r="M1647" s="644"/>
      <c r="N1647" s="1837"/>
      <c r="O1647" s="698"/>
      <c r="P1647" s="770"/>
      <c r="Q1647" s="729"/>
      <c r="R1647" s="729"/>
      <c r="S1647" s="729"/>
      <c r="T1647" s="770"/>
      <c r="U1647" s="343"/>
      <c r="V1647" s="343"/>
    </row>
    <row r="1648" spans="1:22" s="364" customFormat="1" ht="12.75" customHeight="1" x14ac:dyDescent="0.25">
      <c r="A1648" s="729"/>
      <c r="B1648" s="302"/>
      <c r="C1648" s="302"/>
      <c r="D1648" s="1820"/>
      <c r="E1648" s="641" t="str">
        <f>Translations!$B$1589</f>
        <v>Корекция на емисиите във връзка с VCM</v>
      </c>
      <c r="F1648" s="1835"/>
      <c r="G1648" s="642" t="str">
        <f>EUconst_tCO2pa</f>
        <v>t CO2 / година</v>
      </c>
      <c r="H1648" s="499" t="str">
        <f>IF($L1527=$R1648,INDEX(H_SpecialBM!H:H,MATCH($P1648,H_SpecialBM!$Q:$Q,0)-2),"")</f>
        <v/>
      </c>
      <c r="I1648" s="1399" t="str">
        <f>IF($L1527=$R1648,INDEX(H_SpecialBM!I:I,MATCH($P1648,H_SpecialBM!$Q:$Q,0)-2),"")</f>
        <v/>
      </c>
      <c r="J1648" s="1832" t="str">
        <f>IF($L1527=$R1648,INDEX(H_SpecialBM!J:J,MATCH($P1648,H_SpecialBM!$Q:$Q,0)-2),"")</f>
        <v/>
      </c>
      <c r="K1648" s="499" t="str">
        <f>IF($L1527=$R1648,INDEX(H_SpecialBM!K:K,MATCH($P1648,H_SpecialBM!$Q:$Q,0)-2),"")</f>
        <v/>
      </c>
      <c r="L1648" s="499" t="str">
        <f>IF($L1527=$R1648,INDEX(H_SpecialBM!L:L,MATCH($P1648,H_SpecialBM!$Q:$Q,0)-2),"")</f>
        <v/>
      </c>
      <c r="M1648" s="499" t="str">
        <f>IF($L1527=$R1648,INDEX(H_SpecialBM!M:M,MATCH($P1648,H_SpecialBM!$Q:$Q,0)-2),"")</f>
        <v/>
      </c>
      <c r="N1648" s="1836" t="str">
        <f>IF($L1527=$R1648,INDEX(H_SpecialBM!N:N,MATCH($P1648,H_SpecialBM!$Q:$Q,0)-2),"")</f>
        <v/>
      </c>
      <c r="O1648" s="698"/>
      <c r="P1648" s="1190" t="str">
        <f>EUconst_CNTR_VCM</f>
        <v>VCM_</v>
      </c>
      <c r="Q1648" s="729"/>
      <c r="R1648" s="1176">
        <v>47</v>
      </c>
      <c r="S1648" s="729"/>
      <c r="T1648" s="770"/>
      <c r="U1648" s="343"/>
      <c r="V1648" s="343"/>
    </row>
    <row r="1649" spans="1:22" s="364" customFormat="1" ht="12.75" customHeight="1" thickBot="1" x14ac:dyDescent="0.3">
      <c r="A1649" s="729"/>
      <c r="B1649" s="302"/>
      <c r="C1649" s="302"/>
      <c r="D1649" s="1838"/>
      <c r="E1649" s="1839"/>
      <c r="F1649" s="1839"/>
      <c r="G1649" s="1839"/>
      <c r="H1649" s="1839"/>
      <c r="I1649" s="1840"/>
      <c r="J1649" s="1840"/>
      <c r="K1649" s="1840"/>
      <c r="L1649" s="1840"/>
      <c r="M1649" s="1840"/>
      <c r="N1649" s="1379"/>
      <c r="O1649" s="698"/>
      <c r="P1649" s="729"/>
      <c r="Q1649" s="729"/>
      <c r="R1649" s="1165"/>
      <c r="S1649" s="729"/>
      <c r="T1649" s="770"/>
      <c r="U1649" s="343"/>
      <c r="V1649" s="343"/>
    </row>
    <row r="1650" spans="1:22" s="364" customFormat="1" ht="12.75" customHeight="1" thickBot="1" x14ac:dyDescent="0.3">
      <c r="A1650" s="729"/>
      <c r="B1650" s="302"/>
      <c r="C1650" s="302"/>
      <c r="D1650" s="302"/>
      <c r="E1650" s="646"/>
      <c r="O1650" s="698"/>
      <c r="P1650" s="729"/>
      <c r="Q1650" s="729"/>
      <c r="R1650" s="729"/>
      <c r="S1650" s="729"/>
      <c r="T1650" s="729"/>
      <c r="U1650" s="343"/>
      <c r="V1650" s="343"/>
    </row>
    <row r="1651" spans="1:22" s="364" customFormat="1" ht="5.15" customHeight="1" thickBot="1" x14ac:dyDescent="0.3">
      <c r="A1651" s="729"/>
      <c r="B1651" s="284"/>
      <c r="C1651" s="581"/>
      <c r="D1651" s="581"/>
      <c r="E1651" s="581"/>
      <c r="F1651" s="581"/>
      <c r="G1651" s="581"/>
      <c r="H1651" s="581"/>
      <c r="I1651" s="581"/>
      <c r="J1651" s="581"/>
      <c r="K1651" s="581"/>
      <c r="L1651" s="581"/>
      <c r="M1651" s="581"/>
      <c r="N1651" s="581"/>
      <c r="O1651" s="698"/>
      <c r="P1651" s="729"/>
      <c r="Q1651" s="729"/>
      <c r="R1651" s="729"/>
      <c r="S1651" s="729"/>
      <c r="T1651" s="729"/>
      <c r="U1651" s="343"/>
      <c r="V1651" s="343"/>
    </row>
    <row r="1652" spans="1:22" s="364" customFormat="1" ht="15" customHeight="1" thickBot="1" x14ac:dyDescent="0.35">
      <c r="A1652" s="729"/>
      <c r="B1652" s="302"/>
      <c r="C1652" s="357">
        <f>C1524+1</f>
        <v>10</v>
      </c>
      <c r="D1652" s="2323" t="str">
        <f>CONCATENATE(EUconst_BMSubinst," ",C1652, ":")</f>
        <v>Подинсталация с продуктов показател 10:</v>
      </c>
      <c r="E1652" s="2323"/>
      <c r="F1652" s="2323"/>
      <c r="G1652" s="2323"/>
      <c r="H1652" s="2987"/>
      <c r="I1652" s="2843" t="str">
        <f>IF(INDEX(CNTR_SubInstListIsProdBM,$C1652),INDEX(CNTR_SubInstListNames,$C1652),"")</f>
        <v/>
      </c>
      <c r="J1652" s="3019"/>
      <c r="K1652" s="3019"/>
      <c r="L1652" s="3019"/>
      <c r="M1652" s="3019"/>
      <c r="N1652" s="3020"/>
      <c r="O1652" s="698"/>
      <c r="P1652" s="729"/>
      <c r="Q1652" s="1684">
        <f>C1652</f>
        <v>10</v>
      </c>
      <c r="R1652" s="1685" t="str">
        <f>I1652</f>
        <v/>
      </c>
      <c r="S1652" s="729"/>
      <c r="T1652" s="729"/>
      <c r="U1652" s="343"/>
      <c r="V1652" s="343"/>
    </row>
    <row r="1653" spans="1:22" s="364" customFormat="1" ht="5.15" customHeight="1" x14ac:dyDescent="0.3">
      <c r="A1653" s="729"/>
      <c r="B1653" s="302"/>
      <c r="C1653" s="357"/>
      <c r="D1653" s="357"/>
      <c r="E1653" s="357"/>
      <c r="F1653" s="357"/>
      <c r="G1653" s="357"/>
      <c r="H1653" s="357"/>
      <c r="I1653" s="357"/>
      <c r="J1653" s="357"/>
      <c r="K1653" s="357"/>
      <c r="L1653" s="357"/>
      <c r="M1653" s="357"/>
      <c r="N1653" s="357"/>
      <c r="O1653" s="698"/>
      <c r="P1653" s="729"/>
      <c r="Q1653" s="729"/>
      <c r="R1653" s="729"/>
      <c r="S1653" s="729"/>
      <c r="T1653" s="729"/>
      <c r="U1653" s="343"/>
      <c r="V1653" s="343"/>
    </row>
    <row r="1654" spans="1:22" s="364" customFormat="1" ht="12.75" customHeight="1" x14ac:dyDescent="0.3">
      <c r="A1654" s="729"/>
      <c r="B1654" s="302"/>
      <c r="C1654" s="357"/>
      <c r="D1654" s="357"/>
      <c r="E1654" s="357"/>
      <c r="F1654" s="357"/>
      <c r="H1654" s="595" t="str">
        <f>Translations!$B$942</f>
        <v>Риск от ИВЕ</v>
      </c>
      <c r="I1654" s="595" t="s">
        <v>2151</v>
      </c>
      <c r="J1654" s="595" t="str">
        <f>Translations!$B$946</f>
        <v>В/Е</v>
      </c>
      <c r="K1654" s="595" t="str">
        <f>Translations!$B$1360</f>
        <v>Спряна експлоатация</v>
      </c>
      <c r="L1654" s="654" t="str">
        <f>Translations!$B$944</f>
        <v>№ на п-л</v>
      </c>
      <c r="M1654" s="2991" t="str">
        <f>Translations!$B$948</f>
        <v>Стойност на п-л</v>
      </c>
      <c r="N1654" s="2991"/>
      <c r="O1654" s="698"/>
      <c r="P1654" s="729"/>
      <c r="Q1654" s="729"/>
      <c r="R1654" s="1176" t="str">
        <f>Translations!$B$944</f>
        <v>№ на п-л</v>
      </c>
      <c r="S1654" s="729"/>
      <c r="T1654" s="1686"/>
      <c r="U1654" s="343"/>
      <c r="V1654" s="343"/>
    </row>
    <row r="1655" spans="1:22" s="364" customFormat="1" ht="12.75" customHeight="1" x14ac:dyDescent="0.3">
      <c r="A1655" s="729"/>
      <c r="B1655" s="302"/>
      <c r="C1655" s="357"/>
      <c r="D1655" s="357"/>
      <c r="E1655" s="361" t="str">
        <f>I1652</f>
        <v/>
      </c>
      <c r="F1655" s="373"/>
      <c r="G1655" s="373"/>
      <c r="H1655" s="600" t="str">
        <f>IF(L1655=EUconst_NA,EUconst_NA,INDEX(EUconst_BMlistCLstatus,MATCH(L1655,EUconst_BMlistMainNumberOfBM,0)))</f>
        <v>Не е приложимо</v>
      </c>
      <c r="I1655" s="600" t="str">
        <f>IF(R1655=EUconst_NA,EUconst_NA,INDEX(EUconst_BMlistCBAMstatus,MATCH(R1655,EUconst_BMlistNumberOfBM,0)))</f>
        <v>Не е приложимо</v>
      </c>
      <c r="J1655" s="655" t="str">
        <f>IF($I1652="",EUconst_NA,INDEX(CNTR_SubInstStartDate,MATCH(I1652,CNTR_SubInstListNames,0)))</f>
        <v>Не е приложимо</v>
      </c>
      <c r="K1655" s="655" t="str">
        <f>IF($I1652="",EUconst_NA,IF(INDEX(CNTR_SubInstCessationDate,MATCH(I1652,CNTR_SubInstListNames,0))=0,"",INDEX(CNTR_SubInstCessationDate,MATCH(I1652,CNTR_SubInstListNames,0))))</f>
        <v>Не е приложимо</v>
      </c>
      <c r="L1655" s="1687" t="str">
        <f>IF($I1652="",EUconst_NA,INDEX(EUconst_BMlistMainNumberOfBM,MATCH(I1652,EUconst_BMlistNames,0)))</f>
        <v>Не е приложимо</v>
      </c>
      <c r="M1655" s="1688" t="str">
        <f>IF(I1652="",EUconst_NA,INDEX(EUconst_BMlistBMvaluesMatrix,MATCH(L1655,EUconst_BMlistMainNumberOfBM,0),3))</f>
        <v>Не е приложимо</v>
      </c>
      <c r="N1655" s="382" t="str">
        <f>EUconst_EUA &amp; "/" &amp; F1658</f>
        <v>Квота за емисии/тона</v>
      </c>
      <c r="O1655" s="698"/>
      <c r="P1655" s="729"/>
      <c r="Q1655" s="729"/>
      <c r="R1655" s="1176" t="str">
        <f>IF($I1652="",EUconst_NA,INDEX(EUconst_BMlistNumberOfBM,MATCH(I1652,EUconst_BMlistNames,0)))</f>
        <v>Не е приложимо</v>
      </c>
      <c r="S1655" s="729"/>
      <c r="T1655" s="1174" t="s">
        <v>1735</v>
      </c>
      <c r="U1655" s="1176">
        <f>IF(SUM(K1655)=0,2050,YEAR(K1655))</f>
        <v>2050</v>
      </c>
      <c r="V1655" s="343"/>
    </row>
    <row r="1656" spans="1:22" s="364" customFormat="1" ht="5.15" customHeight="1" thickBot="1" x14ac:dyDescent="0.35">
      <c r="A1656" s="729"/>
      <c r="B1656" s="302"/>
      <c r="C1656" s="302"/>
      <c r="D1656" s="302"/>
      <c r="E1656" s="357"/>
      <c r="J1656" s="302"/>
      <c r="K1656" s="302"/>
      <c r="L1656" s="302"/>
      <c r="M1656" s="302"/>
      <c r="N1656" s="302"/>
      <c r="O1656" s="698"/>
      <c r="P1656" s="729"/>
      <c r="Q1656" s="729"/>
      <c r="R1656" s="729"/>
      <c r="S1656" s="729"/>
      <c r="T1656" s="770"/>
      <c r="U1656" s="343"/>
      <c r="V1656" s="343"/>
    </row>
    <row r="1657" spans="1:22" s="364" customFormat="1" ht="12.75" customHeight="1" x14ac:dyDescent="0.25">
      <c r="A1657" s="729"/>
      <c r="B1657" s="302"/>
      <c r="C1657" s="302"/>
      <c r="D1657" s="302"/>
      <c r="E1657" s="313"/>
      <c r="F1657" s="300" t="str">
        <f>EUconst_Unit</f>
        <v>Единица мярка</v>
      </c>
      <c r="G1657" s="1689" t="str">
        <f>Translations!$B$1284</f>
        <v>HAL</v>
      </c>
      <c r="H1657" s="757">
        <f t="shared" ref="H1657:N1657" si="142">H$2505</f>
        <v>2024</v>
      </c>
      <c r="I1657" s="572">
        <f t="shared" si="142"/>
        <v>2025</v>
      </c>
      <c r="J1657" s="757">
        <f t="shared" si="142"/>
        <v>2026</v>
      </c>
      <c r="K1657" s="391">
        <f t="shared" si="142"/>
        <v>2027</v>
      </c>
      <c r="L1657" s="391">
        <f t="shared" si="142"/>
        <v>2028</v>
      </c>
      <c r="M1657" s="391">
        <f t="shared" si="142"/>
        <v>2029</v>
      </c>
      <c r="N1657" s="391">
        <f t="shared" si="142"/>
        <v>2030</v>
      </c>
      <c r="O1657" s="698"/>
      <c r="P1657" s="729"/>
      <c r="Q1657" s="729" t="s">
        <v>1851</v>
      </c>
      <c r="R1657" s="1690">
        <f>J$2505</f>
        <v>2026</v>
      </c>
      <c r="S1657" s="1691">
        <f>K$2505</f>
        <v>2027</v>
      </c>
      <c r="T1657" s="1691">
        <f>L$2505</f>
        <v>2028</v>
      </c>
      <c r="U1657" s="1691">
        <f>M$2505</f>
        <v>2029</v>
      </c>
      <c r="V1657" s="1692">
        <f>N$2505</f>
        <v>2030</v>
      </c>
    </row>
    <row r="1658" spans="1:22" s="364" customFormat="1" ht="12.75" customHeight="1" thickBot="1" x14ac:dyDescent="0.3">
      <c r="A1658" s="729"/>
      <c r="B1658" s="302"/>
      <c r="C1658" s="302"/>
      <c r="D1658" s="302"/>
      <c r="E1658" s="388" t="str">
        <f>Translations!$B$1371</f>
        <v>Докладвано равнище на дейност</v>
      </c>
      <c r="F1658" s="1062" t="str">
        <f>IF(ISNUMBER(L1655),INDEX(EUconst_BMlistUnits,MATCH(L1655,EUconst_BMlistMainNumberOfBM,0)),EUconst_Tons)</f>
        <v>тона</v>
      </c>
      <c r="G1658" s="1693" t="str">
        <f>I1718</f>
        <v/>
      </c>
      <c r="H1658" s="1694" t="str">
        <f>IF($I1652="","",IF(H1657&gt;=CNTR_ReportingYear,"",INDEX(F_ProductBM!H:H,MATCH($P1658,F_ProductBM!$Q:$Q,0))))</f>
        <v/>
      </c>
      <c r="I1658" s="608" t="str">
        <f>IF($I1652="","",IF(I1657&gt;=CNTR_ReportingYear,"",INDEX(F_ProductBM!I:I,MATCH($P1658,F_ProductBM!$Q:$Q,0))))</f>
        <v/>
      </c>
      <c r="J1658" s="1694" t="str">
        <f>IF($I1652="","",IF(J1657&gt;=CNTR_ReportingYear,"",INDEX(F_ProductBM!J:J,MATCH($P1658,F_ProductBM!$Q:$Q,0))))</f>
        <v/>
      </c>
      <c r="K1658" s="406" t="str">
        <f>IF($I1652="","",IF(K1657&gt;=CNTR_ReportingYear,"",INDEX(F_ProductBM!K:K,MATCH($P1658,F_ProductBM!$Q:$Q,0))))</f>
        <v/>
      </c>
      <c r="L1658" s="406" t="str">
        <f>IF($I1652="","",IF(L1657&gt;=CNTR_ReportingYear,"",INDEX(F_ProductBM!L:L,MATCH($P1658,F_ProductBM!$Q:$Q,0))))</f>
        <v/>
      </c>
      <c r="M1658" s="406" t="str">
        <f>IF($I1652="","",IF(M1657&gt;=CNTR_ReportingYear,"",INDEX(F_ProductBM!M:M,MATCH($P1658,F_ProductBM!$Q:$Q,0))))</f>
        <v/>
      </c>
      <c r="N1658" s="406" t="str">
        <f>IF($I1652="","",IF(N1657&gt;=CNTR_ReportingYear,"",INDEX(F_ProductBM!N:N,MATCH($P1658,F_ProductBM!$Q:$Q,0))))</f>
        <v/>
      </c>
      <c r="O1658" s="698"/>
      <c r="P1658" s="1190" t="str">
        <f>EUconst_CNTR_HAL&amp;I1652</f>
        <v>HAL_</v>
      </c>
      <c r="Q1658" s="729"/>
      <c r="R1658" s="1580" t="b">
        <f>AND($I1652&lt;&gt;"",R1657&lt;=CNTR_ReportingYear,IF($J1655&lt;&gt;EUconst_NA,R1657&gt;=YEAR($J1655),TRUE))</f>
        <v>0</v>
      </c>
      <c r="S1658" s="1255" t="b">
        <f>AND($I1652&lt;&gt;"",S1657&lt;=CNTR_ReportingYear,IF($J1655&lt;&gt;EUconst_NA,S1657&gt;=YEAR($J1655),TRUE))</f>
        <v>0</v>
      </c>
      <c r="T1658" s="1255" t="b">
        <f>AND($I1652&lt;&gt;"",T1657&lt;=CNTR_ReportingYear,IF($J1655&lt;&gt;EUconst_NA,T1657&gt;=YEAR($J1655),TRUE))</f>
        <v>0</v>
      </c>
      <c r="U1658" s="1255" t="b">
        <f>AND($I1652&lt;&gt;"",U1657&lt;=CNTR_ReportingYear,IF($J1655&lt;&gt;EUconst_NA,U1657&gt;=YEAR($J1655),TRUE))</f>
        <v>0</v>
      </c>
      <c r="V1658" s="1256" t="b">
        <f>AND($I1652&lt;&gt;"",V1657&lt;=CNTR_ReportingYear,IF($J1655&lt;&gt;EUconst_NA,V1657&gt;=YEAR($J1655),TRUE))</f>
        <v>0</v>
      </c>
    </row>
    <row r="1659" spans="1:22" s="364" customFormat="1" ht="5.15" customHeight="1" thickBot="1" x14ac:dyDescent="0.35">
      <c r="A1659" s="729"/>
      <c r="B1659" s="302"/>
      <c r="C1659" s="357"/>
      <c r="D1659" s="357"/>
      <c r="E1659" s="357"/>
      <c r="F1659" s="357"/>
      <c r="G1659" s="357"/>
      <c r="H1659" s="357"/>
      <c r="I1659" s="357"/>
      <c r="J1659" s="357"/>
      <c r="K1659" s="357"/>
      <c r="L1659" s="357"/>
      <c r="M1659" s="357"/>
      <c r="N1659" s="357"/>
      <c r="O1659" s="698"/>
      <c r="P1659" s="729"/>
      <c r="Q1659" s="729"/>
      <c r="R1659" s="729"/>
      <c r="S1659" s="729"/>
      <c r="T1659" s="729"/>
      <c r="U1659" s="343"/>
      <c r="V1659" s="343"/>
    </row>
    <row r="1660" spans="1:22" s="364" customFormat="1" ht="5.15" customHeight="1" x14ac:dyDescent="0.3">
      <c r="A1660" s="729"/>
      <c r="B1660" s="302"/>
      <c r="C1660" s="357"/>
      <c r="D1660" s="1695"/>
      <c r="E1660" s="1696"/>
      <c r="F1660" s="1696"/>
      <c r="G1660" s="1696"/>
      <c r="H1660" s="1696"/>
      <c r="I1660" s="1696"/>
      <c r="J1660" s="1696"/>
      <c r="K1660" s="1696"/>
      <c r="L1660" s="1696"/>
      <c r="M1660" s="1696"/>
      <c r="N1660" s="1697"/>
      <c r="O1660" s="698"/>
      <c r="P1660" s="729"/>
      <c r="Q1660" s="729"/>
      <c r="R1660" s="729"/>
      <c r="S1660" s="729"/>
      <c r="T1660" s="729"/>
      <c r="U1660" s="343"/>
      <c r="V1660" s="343"/>
    </row>
    <row r="1661" spans="1:22" s="364" customFormat="1" ht="12.75" customHeight="1" x14ac:dyDescent="0.3">
      <c r="A1661" s="729"/>
      <c r="B1661" s="302"/>
      <c r="C1661" s="357"/>
      <c r="D1661" s="1698"/>
      <c r="E1661" s="389" t="str">
        <f>Translations!$B$1372</f>
        <v>Приложимост на пълзящата средна стойност</v>
      </c>
      <c r="F1661" s="498"/>
      <c r="G1661" s="498"/>
      <c r="H1661" s="527"/>
      <c r="I1661" s="1699"/>
      <c r="J1661" s="1523">
        <f>J$2505</f>
        <v>2026</v>
      </c>
      <c r="K1661" s="387">
        <f>K$2505</f>
        <v>2027</v>
      </c>
      <c r="L1661" s="387">
        <f>L$2505</f>
        <v>2028</v>
      </c>
      <c r="M1661" s="387">
        <f>M$2505</f>
        <v>2029</v>
      </c>
      <c r="N1661" s="1544">
        <f>N$2505</f>
        <v>2030</v>
      </c>
      <c r="O1661" s="698"/>
      <c r="P1661" s="729"/>
      <c r="Q1661" s="729"/>
      <c r="R1661" s="729"/>
      <c r="S1661" s="729"/>
      <c r="T1661" s="729"/>
      <c r="U1661" s="343"/>
      <c r="V1661" s="343"/>
    </row>
    <row r="1662" spans="1:22" s="364" customFormat="1" ht="12.75" customHeight="1" x14ac:dyDescent="0.3">
      <c r="A1662" s="729"/>
      <c r="B1662" s="302"/>
      <c r="C1662" s="357"/>
      <c r="D1662" s="1698"/>
      <c r="E1662" s="1700" t="str">
        <f>Translations!$B$1364</f>
        <v>Критерий 1: В експлоатация &gt; 2 години?</v>
      </c>
      <c r="F1662" s="1701"/>
      <c r="G1662" s="1701"/>
      <c r="H1662" s="1702"/>
      <c r="I1662" s="1701"/>
      <c r="J1662" s="1703" t="str">
        <f>IF(R1658,INDEX(F_ProductBM!V:V,MATCH($P1662,F_ProductBM!$Q:$Q,0))&gt;=3,"")</f>
        <v/>
      </c>
      <c r="K1662" s="1704" t="str">
        <f>IF(S1658,INDEX(F_ProductBM!W:W,MATCH($P1662,F_ProductBM!$Q:$Q,0))&gt;=3,"")</f>
        <v/>
      </c>
      <c r="L1662" s="1704" t="str">
        <f>IF(T1658,INDEX(F_ProductBM!X:X,MATCH($P1662,F_ProductBM!$Q:$Q,0))&gt;=3,"")</f>
        <v/>
      </c>
      <c r="M1662" s="1704" t="str">
        <f>IF(U1658,INDEX(F_ProductBM!Y:Y,MATCH($P1662,F_ProductBM!$Q:$Q,0))&gt;=3,"")</f>
        <v/>
      </c>
      <c r="N1662" s="1705" t="str">
        <f>IF(V1658,INDEX(F_ProductBM!Z:Z,MATCH($P1662,F_ProductBM!$Q:$Q,0))&gt;=3,"")</f>
        <v/>
      </c>
      <c r="O1662" s="698"/>
      <c r="P1662" s="1190" t="str">
        <f>EUconst_CNTR_HALinitial&amp;I1652</f>
        <v>HALini_</v>
      </c>
      <c r="Q1662" s="729"/>
      <c r="R1662" s="729"/>
      <c r="S1662" s="729"/>
      <c r="T1662" s="729"/>
      <c r="U1662" s="343"/>
      <c r="V1662" s="343"/>
    </row>
    <row r="1663" spans="1:22" s="364" customFormat="1" ht="12.75" customHeight="1" x14ac:dyDescent="0.3">
      <c r="A1663" s="729"/>
      <c r="B1663" s="302"/>
      <c r="C1663" s="357"/>
      <c r="D1663" s="1698"/>
      <c r="E1663" s="1706" t="str">
        <f>Translations!$B$1366</f>
        <v>Критерий 2: Не е спряна от експлоатация през предходната година?</v>
      </c>
      <c r="F1663" s="1707"/>
      <c r="G1663" s="1707"/>
      <c r="H1663" s="1708"/>
      <c r="I1663" s="1707"/>
      <c r="J1663" s="1709" t="str">
        <f>IF(R1658,IF($K1655="",2050,YEAR($K1655))&lt;&gt;(J1661-1),"")</f>
        <v/>
      </c>
      <c r="K1663" s="1710" t="str">
        <f>IF(S1658,IF($K1655="",2050,YEAR($K1655))&lt;&gt;(K1661-1),"")</f>
        <v/>
      </c>
      <c r="L1663" s="1710" t="str">
        <f>IF(T1658,IF($K1655="",2050,YEAR($K1655))&lt;&gt;(L1661-1),"")</f>
        <v/>
      </c>
      <c r="M1663" s="1710" t="str">
        <f>IF(U1658,IF($K1655="",2050,YEAR($K1655))&lt;&gt;(M1661-1),"")</f>
        <v/>
      </c>
      <c r="N1663" s="1711" t="str">
        <f>IF(V1658,IF($K1655="",2050,YEAR($K1655))&lt;&gt;(N1661-1),"")</f>
        <v/>
      </c>
      <c r="O1663" s="698"/>
      <c r="P1663" s="729"/>
      <c r="Q1663" s="729"/>
      <c r="R1663" s="729"/>
      <c r="S1663" s="729"/>
      <c r="T1663" s="729"/>
      <c r="U1663" s="343"/>
      <c r="V1663" s="343"/>
    </row>
    <row r="1664" spans="1:22" s="364" customFormat="1" ht="5.15" customHeight="1" x14ac:dyDescent="0.3">
      <c r="A1664" s="729"/>
      <c r="B1664" s="302"/>
      <c r="C1664" s="357"/>
      <c r="D1664" s="1698"/>
      <c r="E1664" s="357"/>
      <c r="F1664" s="357"/>
      <c r="G1664" s="357"/>
      <c r="H1664" s="357"/>
      <c r="I1664" s="357"/>
      <c r="J1664" s="357"/>
      <c r="K1664" s="357"/>
      <c r="L1664" s="357"/>
      <c r="M1664" s="357"/>
      <c r="N1664" s="1712"/>
      <c r="O1664" s="698"/>
      <c r="P1664" s="729"/>
      <c r="Q1664" s="729"/>
      <c r="R1664" s="729"/>
      <c r="S1664" s="729"/>
      <c r="T1664" s="729"/>
      <c r="U1664" s="343"/>
      <c r="V1664" s="343"/>
    </row>
    <row r="1665" spans="1:22" s="364" customFormat="1" ht="12.75" customHeight="1" x14ac:dyDescent="0.3">
      <c r="A1665" s="729"/>
      <c r="B1665" s="302"/>
      <c r="C1665" s="357"/>
      <c r="D1665" s="1698"/>
      <c r="E1665" s="313" t="str">
        <f>Translations!$B$1373</f>
        <v>Промени: Няма промяна (базова стойност)</v>
      </c>
      <c r="F1665" s="302"/>
      <c r="G1665" s="302"/>
      <c r="H1665" s="527" t="str">
        <f>EUconst_Unit</f>
        <v>Единица мярка</v>
      </c>
      <c r="I1665" s="1699"/>
      <c r="J1665" s="757">
        <f>J$2505</f>
        <v>2026</v>
      </c>
      <c r="K1665" s="391">
        <f>K$2505</f>
        <v>2027</v>
      </c>
      <c r="L1665" s="391">
        <f>L$2505</f>
        <v>2028</v>
      </c>
      <c r="M1665" s="391">
        <f>M$2505</f>
        <v>2029</v>
      </c>
      <c r="N1665" s="1713">
        <f>N$2505</f>
        <v>2030</v>
      </c>
      <c r="O1665" s="698"/>
      <c r="P1665" s="729"/>
      <c r="Q1665" s="729"/>
      <c r="R1665" s="729"/>
      <c r="S1665" s="729"/>
      <c r="T1665" s="729"/>
      <c r="U1665" s="343"/>
      <c r="V1665" s="343"/>
    </row>
    <row r="1666" spans="1:22" s="364" customFormat="1" ht="12.75" hidden="1" customHeight="1" x14ac:dyDescent="0.3">
      <c r="A1666" s="729" t="str">
        <f t="shared" ref="A1666:A1670" si="143">IF(P1666="","ausblenden","")</f>
        <v>ausblenden</v>
      </c>
      <c r="B1666" s="302"/>
      <c r="C1666" s="357"/>
      <c r="D1666" s="1698"/>
      <c r="E1666" s="388" t="str">
        <f>Translations!$B$1388</f>
        <v>Равнище на дейност</v>
      </c>
      <c r="F1666" s="388"/>
      <c r="G1666" s="388"/>
      <c r="H1666" s="1210" t="str">
        <f>F1658</f>
        <v>тона</v>
      </c>
      <c r="I1666" s="388"/>
      <c r="J1666" s="1714" t="str">
        <f>IF(T1723&gt;=$H$2505,S1718,I1718)</f>
        <v/>
      </c>
      <c r="K1666" s="1693" t="str">
        <f t="shared" ref="K1666:K1669" si="144">J1718</f>
        <v/>
      </c>
      <c r="L1666" s="1693" t="str">
        <f t="shared" ref="L1666:L1669" si="145">K1718</f>
        <v/>
      </c>
      <c r="M1666" s="1693" t="str">
        <f t="shared" ref="M1666:M1669" si="146">L1718</f>
        <v/>
      </c>
      <c r="N1666" s="1715" t="str">
        <f t="shared" ref="N1666:N1669" si="147">M1718</f>
        <v/>
      </c>
      <c r="O1666" s="698"/>
      <c r="P1666" s="729"/>
      <c r="Q1666" s="729"/>
      <c r="R1666" s="729"/>
      <c r="S1666" s="729"/>
      <c r="T1666" s="729"/>
      <c r="U1666" s="343"/>
      <c r="V1666" s="343"/>
    </row>
    <row r="1667" spans="1:22" s="364" customFormat="1" ht="12.75" hidden="1" customHeight="1" x14ac:dyDescent="0.3">
      <c r="A1667" s="729" t="str">
        <f t="shared" si="143"/>
        <v>ausblenden</v>
      </c>
      <c r="B1667" s="302"/>
      <c r="C1667" s="357"/>
      <c r="D1667" s="1698"/>
      <c r="E1667" s="392" t="str">
        <f>Translations!$B$949</f>
        <v>топл. ен. извън СТЕ</v>
      </c>
      <c r="F1667" s="392"/>
      <c r="G1667" s="392"/>
      <c r="H1667" s="481" t="str">
        <f>EUconst_EUA</f>
        <v>Квота за емисии</v>
      </c>
      <c r="I1667" s="1716"/>
      <c r="J1667" s="1717" t="str">
        <f>IF(T1723&gt;=$H$2505,S1719,I1719)</f>
        <v/>
      </c>
      <c r="K1667" s="1718" t="str">
        <f t="shared" si="144"/>
        <v/>
      </c>
      <c r="L1667" s="1718" t="str">
        <f t="shared" si="145"/>
        <v/>
      </c>
      <c r="M1667" s="1718" t="str">
        <f t="shared" si="146"/>
        <v/>
      </c>
      <c r="N1667" s="1719" t="str">
        <f t="shared" si="147"/>
        <v/>
      </c>
      <c r="O1667" s="698"/>
      <c r="P1667" s="729"/>
      <c r="Q1667" s="729"/>
      <c r="R1667" s="729"/>
      <c r="S1667" s="729"/>
      <c r="T1667" s="729"/>
      <c r="U1667" s="343"/>
      <c r="V1667" s="343"/>
    </row>
    <row r="1668" spans="1:22" s="364" customFormat="1" ht="12.75" hidden="1" customHeight="1" x14ac:dyDescent="0.3">
      <c r="A1668" s="729" t="str">
        <f t="shared" si="143"/>
        <v>ausblenden</v>
      </c>
      <c r="B1668" s="302"/>
      <c r="C1668" s="357"/>
      <c r="D1668" s="1698"/>
      <c r="E1668" s="398" t="str">
        <f>Translations!$B$951</f>
        <v>WGflare</v>
      </c>
      <c r="F1668" s="398"/>
      <c r="G1668" s="398"/>
      <c r="H1668" s="516" t="str">
        <f>EUconst_EUA</f>
        <v>Квота за емисии</v>
      </c>
      <c r="I1668" s="1720"/>
      <c r="J1668" s="1721" t="str">
        <f>IF(T1723&gt;=$H$2505,S1720,I1720)</f>
        <v/>
      </c>
      <c r="K1668" s="1722" t="str">
        <f t="shared" si="144"/>
        <v/>
      </c>
      <c r="L1668" s="1722" t="str">
        <f t="shared" si="145"/>
        <v/>
      </c>
      <c r="M1668" s="1722" t="str">
        <f t="shared" si="146"/>
        <v/>
      </c>
      <c r="N1668" s="1723" t="str">
        <f t="shared" si="147"/>
        <v/>
      </c>
      <c r="O1668" s="698"/>
      <c r="P1668" s="729"/>
      <c r="Q1668" s="729"/>
      <c r="R1668" s="729"/>
      <c r="S1668" s="729"/>
      <c r="T1668" s="729"/>
      <c r="U1668" s="343"/>
      <c r="V1668" s="343"/>
    </row>
    <row r="1669" spans="1:22" s="364" customFormat="1" ht="12.75" hidden="1" customHeight="1" x14ac:dyDescent="0.3">
      <c r="A1669" s="729" t="str">
        <f t="shared" si="143"/>
        <v>ausblenden</v>
      </c>
      <c r="B1669" s="302"/>
      <c r="C1669" s="357"/>
      <c r="D1669" s="1698"/>
      <c r="E1669" s="398" t="s">
        <v>1442</v>
      </c>
      <c r="F1669" s="398"/>
      <c r="G1669" s="398"/>
      <c r="H1669" s="516" t="str">
        <f>EUconst_EUA</f>
        <v>Квота за емисии</v>
      </c>
      <c r="I1669" s="1720"/>
      <c r="J1669" s="1721" t="str">
        <f>IF(T1723&gt;=$H$2505,S1721,I1721)</f>
        <v/>
      </c>
      <c r="K1669" s="1722" t="str">
        <f t="shared" si="144"/>
        <v/>
      </c>
      <c r="L1669" s="1722" t="str">
        <f t="shared" si="145"/>
        <v/>
      </c>
      <c r="M1669" s="1722" t="str">
        <f t="shared" si="146"/>
        <v/>
      </c>
      <c r="N1669" s="1723" t="str">
        <f t="shared" si="147"/>
        <v/>
      </c>
      <c r="O1669" s="698"/>
      <c r="P1669" s="729"/>
      <c r="Q1669" s="729"/>
      <c r="R1669" s="729"/>
      <c r="S1669" s="729"/>
      <c r="T1669" s="729"/>
      <c r="U1669" s="343"/>
      <c r="V1669" s="343"/>
    </row>
    <row r="1670" spans="1:22" s="364" customFormat="1" ht="12.75" hidden="1" customHeight="1" x14ac:dyDescent="0.3">
      <c r="A1670" s="729" t="str">
        <f t="shared" si="143"/>
        <v>ausblenden</v>
      </c>
      <c r="B1670" s="302"/>
      <c r="C1670" s="357"/>
      <c r="D1670" s="1698"/>
      <c r="E1670" s="401" t="s">
        <v>1443</v>
      </c>
      <c r="F1670" s="401"/>
      <c r="G1670" s="401"/>
      <c r="H1670" s="483" t="s">
        <v>1052</v>
      </c>
      <c r="I1670" s="1724"/>
      <c r="J1670" s="1725" t="str">
        <f>IF(T1723&gt;=$H$2505,S1722,I1722)</f>
        <v/>
      </c>
      <c r="K1670" s="1726" t="str">
        <f>J1722</f>
        <v/>
      </c>
      <c r="L1670" s="1726" t="str">
        <f>K1722</f>
        <v/>
      </c>
      <c r="M1670" s="1726" t="str">
        <f>L1722</f>
        <v/>
      </c>
      <c r="N1670" s="1727" t="str">
        <f>M1722</f>
        <v/>
      </c>
      <c r="O1670" s="698"/>
      <c r="P1670" s="729"/>
      <c r="Q1670" s="729"/>
      <c r="R1670" s="729"/>
      <c r="S1670" s="729"/>
      <c r="T1670" s="729"/>
      <c r="U1670" s="343"/>
      <c r="V1670" s="343"/>
    </row>
    <row r="1671" spans="1:22" s="364" customFormat="1" ht="12.75" customHeight="1" x14ac:dyDescent="0.3">
      <c r="A1671" s="729"/>
      <c r="B1671" s="302"/>
      <c r="C1671" s="357"/>
      <c r="D1671" s="1698"/>
      <c r="E1671" s="388" t="str">
        <f>Translations!$B$1374</f>
        <v>Стойност на предварително разпределяне</v>
      </c>
      <c r="F1671" s="388"/>
      <c r="G1671" s="388"/>
      <c r="H1671" s="421" t="str">
        <f>EUconst_EUA</f>
        <v>Квота за емисии</v>
      </c>
      <c r="I1671" s="1728"/>
      <c r="J1671" s="1694" t="str">
        <f>IF($I1652="","",MAX(0,ROUND((SUM($M1655)*SUM(J1666)*SUM(J1670)-SUM(J1667)-SUM(J1668)+SUM(J1669))*IF($H1655=TRUE,1,J$2412)*IF($I1655=TRUE,INDEX(EUconst_CBAMFactor,J1661-2020),1),0)))</f>
        <v/>
      </c>
      <c r="K1671" s="406" t="str">
        <f>IF($I1652="","",MAX(0,ROUND((SUM($M1655)*SUM(K1666)*SUM(K1670)-SUM(K1667)-SUM(K1668)+SUM(K1669))*IF($H1655=TRUE,1,K$2412)*IF($I1655=TRUE,INDEX(EUconst_CBAMFactor,K1661-2020),1),0)))</f>
        <v/>
      </c>
      <c r="L1671" s="406" t="str">
        <f>IF($I1652="","",MAX(0,ROUND((SUM($M1655)*SUM(L1666)*SUM(L1670)-SUM(L1667)-SUM(L1668)+SUM(L1669))*IF($H1655=TRUE,1,L$2412)*IF($I1655=TRUE,INDEX(EUconst_CBAMFactor,L1661-2020),1),0)))</f>
        <v/>
      </c>
      <c r="M1671" s="406" t="str">
        <f>IF($I1652="","",MAX(0,ROUND((SUM($M1655)*SUM(M1666)*SUM(M1670)-SUM(M1667)-SUM(M1668)+SUM(M1669))*IF($H1655=TRUE,1,M$2412)*IF($I1655=TRUE,INDEX(EUconst_CBAMFactor,M1661-2020),1),0)))</f>
        <v/>
      </c>
      <c r="N1671" s="1729" t="str">
        <f>IF($I1652="","",MAX(0,ROUND((SUM($M1655)*SUM(N1666)*SUM(N1670)-SUM(N1667)-SUM(N1668)+SUM(N1669))*IF($H1655=TRUE,1,N$2412)*IF($I1655=TRUE,INDEX(EUconst_CBAMFactor,N1661-2020),1),0)))</f>
        <v/>
      </c>
      <c r="O1671" s="698"/>
      <c r="P1671" s="729"/>
      <c r="Q1671" s="729"/>
      <c r="R1671" s="729"/>
      <c r="S1671" s="729"/>
      <c r="T1671" s="729"/>
      <c r="U1671" s="343"/>
      <c r="V1671" s="343"/>
    </row>
    <row r="1672" spans="1:22" s="364" customFormat="1" ht="5.15" customHeight="1" x14ac:dyDescent="0.3">
      <c r="A1672" s="729"/>
      <c r="B1672" s="302"/>
      <c r="C1672" s="357"/>
      <c r="D1672" s="1698"/>
      <c r="E1672" s="357"/>
      <c r="F1672" s="357"/>
      <c r="G1672" s="357"/>
      <c r="H1672" s="357"/>
      <c r="I1672" s="357"/>
      <c r="J1672" s="357"/>
      <c r="K1672" s="357"/>
      <c r="L1672" s="357"/>
      <c r="M1672" s="357"/>
      <c r="N1672" s="1712"/>
      <c r="O1672" s="698"/>
      <c r="P1672" s="729"/>
      <c r="Q1672" s="729"/>
      <c r="R1672" s="729"/>
      <c r="S1672" s="729"/>
      <c r="T1672" s="729"/>
      <c r="U1672" s="343"/>
      <c r="V1672" s="343"/>
    </row>
    <row r="1673" spans="1:22" s="364" customFormat="1" ht="12.75" customHeight="1" x14ac:dyDescent="0.3">
      <c r="A1673" s="729"/>
      <c r="B1673" s="302"/>
      <c r="C1673" s="357"/>
      <c r="D1673" s="1698"/>
      <c r="E1673" s="389" t="str">
        <f>Translations!$B$1375</f>
        <v>Промени: Равнище на дейност</v>
      </c>
      <c r="F1673" s="498"/>
      <c r="G1673" s="498"/>
      <c r="H1673" s="527" t="str">
        <f>EUconst_Unit</f>
        <v>Единица мярка</v>
      </c>
      <c r="I1673" s="1699"/>
      <c r="J1673" s="1523">
        <f>J$2505</f>
        <v>2026</v>
      </c>
      <c r="K1673" s="387">
        <f>K$2505</f>
        <v>2027</v>
      </c>
      <c r="L1673" s="387">
        <f>L$2505</f>
        <v>2028</v>
      </c>
      <c r="M1673" s="387">
        <f>M$2505</f>
        <v>2029</v>
      </c>
      <c r="N1673" s="1544">
        <f>N$2505</f>
        <v>2030</v>
      </c>
      <c r="O1673" s="698"/>
      <c r="P1673" s="729"/>
      <c r="Q1673" s="729"/>
      <c r="R1673" s="729"/>
      <c r="S1673" s="729"/>
      <c r="T1673" s="729"/>
      <c r="U1673" s="343"/>
      <c r="V1673" s="343"/>
    </row>
    <row r="1674" spans="1:22" s="364" customFormat="1" ht="12.75" customHeight="1" x14ac:dyDescent="0.3">
      <c r="A1674" s="729"/>
      <c r="B1674" s="302"/>
      <c r="C1674" s="357"/>
      <c r="D1674" s="1698"/>
      <c r="E1674" s="392" t="str">
        <f>Translations!$B$1328</f>
        <v>Средна годишна стойност</v>
      </c>
      <c r="F1674" s="392"/>
      <c r="G1674" s="392"/>
      <c r="H1674" s="1730" t="str">
        <f>H1666</f>
        <v>тона</v>
      </c>
      <c r="I1674" s="1731"/>
      <c r="J1674" s="1732" t="str">
        <f>INDEX(F_ProductBM!J:J,MATCH($P1674,F_ProductBM!$Q:$Q,0))</f>
        <v/>
      </c>
      <c r="K1674" s="394" t="str">
        <f>INDEX(F_ProductBM!K:K,MATCH($P1674,F_ProductBM!$Q:$Q,0))</f>
        <v/>
      </c>
      <c r="L1674" s="394" t="str">
        <f>INDEX(F_ProductBM!L:L,MATCH($P1674,F_ProductBM!$Q:$Q,0))</f>
        <v/>
      </c>
      <c r="M1674" s="394" t="str">
        <f>INDEX(F_ProductBM!M:M,MATCH($P1674,F_ProductBM!$Q:$Q,0))</f>
        <v/>
      </c>
      <c r="N1674" s="1733" t="str">
        <f>INDEX(F_ProductBM!N:N,MATCH($P1674,F_ProductBM!$Q:$Q,0))</f>
        <v/>
      </c>
      <c r="O1674" s="698"/>
      <c r="P1674" s="1190" t="str">
        <f>EUconst_CNTR_HALinitial&amp;I1652</f>
        <v>HALini_</v>
      </c>
      <c r="Q1674" s="729"/>
      <c r="R1674" s="729"/>
      <c r="S1674" s="729"/>
      <c r="T1674" s="729"/>
      <c r="U1674" s="343"/>
      <c r="V1674" s="343"/>
    </row>
    <row r="1675" spans="1:22" s="364" customFormat="1" ht="12.75" customHeight="1" x14ac:dyDescent="0.3">
      <c r="A1675" s="729"/>
      <c r="B1675" s="302"/>
      <c r="C1675" s="357"/>
      <c r="D1675" s="1698"/>
      <c r="E1675" s="398" t="str">
        <f>Translations!$B$1376</f>
        <v>Промяна в сравнение с HAL</v>
      </c>
      <c r="F1675" s="398"/>
      <c r="G1675" s="398"/>
      <c r="H1675" s="1734" t="s">
        <v>1052</v>
      </c>
      <c r="I1675" s="1735"/>
      <c r="J1675" s="159" t="str">
        <f>INDEX(F_ProductBM!J:J,MATCH($P1675,F_ProductBM!$Q:$Q,0))</f>
        <v/>
      </c>
      <c r="K1675" s="160" t="str">
        <f>INDEX(F_ProductBM!K:K,MATCH($P1675,F_ProductBM!$Q:$Q,0))</f>
        <v/>
      </c>
      <c r="L1675" s="160" t="str">
        <f>INDEX(F_ProductBM!L:L,MATCH($P1675,F_ProductBM!$Q:$Q,0))</f>
        <v/>
      </c>
      <c r="M1675" s="160" t="str">
        <f>INDEX(F_ProductBM!M:M,MATCH($P1675,F_ProductBM!$Q:$Q,0))</f>
        <v/>
      </c>
      <c r="N1675" s="161" t="str">
        <f>INDEX(F_ProductBM!N:N,MATCH($P1675,F_ProductBM!$Q:$Q,0))</f>
        <v/>
      </c>
      <c r="O1675" s="698"/>
      <c r="P1675" s="1190" t="str">
        <f>EUconst_CNTR_RelThreshold &amp; P1677</f>
        <v>RelThresh_HALprelim_</v>
      </c>
      <c r="Q1675" s="729"/>
      <c r="R1675" s="729"/>
      <c r="S1675" s="729"/>
      <c r="T1675" s="729"/>
      <c r="U1675" s="343"/>
      <c r="V1675" s="343"/>
    </row>
    <row r="1676" spans="1:22" s="364" customFormat="1" ht="12.75" customHeight="1" x14ac:dyDescent="0.3">
      <c r="A1676" s="729"/>
      <c r="B1676" s="302"/>
      <c r="C1676" s="357"/>
      <c r="D1676" s="1698"/>
      <c r="E1676" s="1736" t="str">
        <f>Translations!$B$1368</f>
        <v>Критерий 3a: Надвишени ли са относителните прагове?</v>
      </c>
      <c r="F1676" s="1736"/>
      <c r="G1676" s="1736"/>
      <c r="H1676" s="1737" t="s">
        <v>1052</v>
      </c>
      <c r="I1676" s="1738"/>
      <c r="J1676" s="1739" t="str">
        <f>INDEX(F_ProductBM!V:V,MATCH($P1676,F_ProductBM!$Q:$Q,0)+1)</f>
        <v/>
      </c>
      <c r="K1676" s="1740" t="str">
        <f>INDEX(F_ProductBM!W:W,MATCH($P1676,F_ProductBM!$Q:$Q,0)+1)</f>
        <v/>
      </c>
      <c r="L1676" s="1740" t="str">
        <f>INDEX(F_ProductBM!X:X,MATCH($P1676,F_ProductBM!$Q:$Q,0)+1)</f>
        <v/>
      </c>
      <c r="M1676" s="1740" t="str">
        <f>INDEX(F_ProductBM!Y:Y,MATCH($P1676,F_ProductBM!$Q:$Q,0)+1)</f>
        <v/>
      </c>
      <c r="N1676" s="1741" t="str">
        <f>INDEX(F_ProductBM!Z:Z,MATCH($P1676,F_ProductBM!$Q:$Q,0)+1)</f>
        <v/>
      </c>
      <c r="O1676" s="698"/>
      <c r="P1676" s="1190" t="str">
        <f>P1675</f>
        <v>RelThresh_HALprelim_</v>
      </c>
      <c r="Q1676" s="729"/>
      <c r="R1676" s="729"/>
      <c r="S1676" s="729"/>
      <c r="T1676" s="729"/>
      <c r="U1676" s="343"/>
      <c r="V1676" s="343"/>
    </row>
    <row r="1677" spans="1:22" s="364" customFormat="1" ht="12.75" customHeight="1" x14ac:dyDescent="0.3">
      <c r="A1677" s="729" t="str">
        <f t="shared" ref="A1677" si="148">IF(P1677="","ausblenden","")</f>
        <v/>
      </c>
      <c r="B1677" s="302"/>
      <c r="C1677" s="357"/>
      <c r="D1677" s="1698"/>
      <c r="E1677" s="401" t="str">
        <f>Translations!$B$1377</f>
        <v>Предварителна стойност</v>
      </c>
      <c r="F1677" s="401"/>
      <c r="G1677" s="401"/>
      <c r="H1677" s="1742" t="str">
        <f>F1658</f>
        <v>тона</v>
      </c>
      <c r="I1677" s="401"/>
      <c r="J1677" s="1743" t="str">
        <f>INDEX(F_ProductBM!J:J,MATCH($P1677,F_ProductBM!$Q:$Q,0))</f>
        <v/>
      </c>
      <c r="K1677" s="1744" t="str">
        <f>INDEX(F_ProductBM!K:K,MATCH($P1677,F_ProductBM!$Q:$Q,0))</f>
        <v/>
      </c>
      <c r="L1677" s="1744" t="str">
        <f>INDEX(F_ProductBM!L:L,MATCH($P1677,F_ProductBM!$Q:$Q,0))</f>
        <v/>
      </c>
      <c r="M1677" s="1744" t="str">
        <f>INDEX(F_ProductBM!M:M,MATCH($P1677,F_ProductBM!$Q:$Q,0))</f>
        <v/>
      </c>
      <c r="N1677" s="1745" t="str">
        <f>INDEX(F_ProductBM!N:N,MATCH($P1677,F_ProductBM!$Q:$Q,0))</f>
        <v/>
      </c>
      <c r="O1677" s="698"/>
      <c r="P1677" s="1190" t="str">
        <f>EUconst_CNTR_HALprelim&amp;I1652</f>
        <v>HALprelim_</v>
      </c>
      <c r="Q1677" s="729"/>
      <c r="R1677" s="729"/>
      <c r="S1677" s="729"/>
      <c r="T1677" s="729"/>
      <c r="U1677" s="343"/>
      <c r="V1677" s="343"/>
    </row>
    <row r="1678" spans="1:22" s="364" customFormat="1" ht="5.15" customHeight="1" x14ac:dyDescent="0.3">
      <c r="A1678" s="729"/>
      <c r="B1678" s="302"/>
      <c r="C1678" s="357"/>
      <c r="D1678" s="1698"/>
      <c r="E1678" s="302"/>
      <c r="F1678" s="302"/>
      <c r="G1678" s="302"/>
      <c r="H1678" s="302"/>
      <c r="I1678" s="1746"/>
      <c r="J1678" s="302"/>
      <c r="K1678" s="302"/>
      <c r="L1678" s="302"/>
      <c r="M1678" s="302"/>
      <c r="N1678" s="1747"/>
      <c r="O1678" s="698"/>
      <c r="P1678" s="729"/>
      <c r="Q1678" s="729"/>
      <c r="R1678" s="729"/>
      <c r="S1678" s="729"/>
      <c r="T1678" s="729"/>
      <c r="U1678" s="343"/>
      <c r="V1678" s="343"/>
    </row>
    <row r="1679" spans="1:22" s="364" customFormat="1" ht="12.75" customHeight="1" x14ac:dyDescent="0.3">
      <c r="A1679" s="729"/>
      <c r="B1679" s="302"/>
      <c r="C1679" s="357"/>
      <c r="D1679" s="1698"/>
      <c r="E1679" s="389" t="str">
        <f>Translations!$B$1380</f>
        <v>Промени: Топлинна енергия извън СТЕ</v>
      </c>
      <c r="F1679" s="498"/>
      <c r="G1679" s="498"/>
      <c r="H1679" s="527" t="str">
        <f>EUconst_Unit</f>
        <v>Единица мярка</v>
      </c>
      <c r="I1679" s="1699"/>
      <c r="J1679" s="1523">
        <f>J$2505</f>
        <v>2026</v>
      </c>
      <c r="K1679" s="387">
        <f>K$2505</f>
        <v>2027</v>
      </c>
      <c r="L1679" s="387">
        <f>L$2505</f>
        <v>2028</v>
      </c>
      <c r="M1679" s="387">
        <f>M$2505</f>
        <v>2029</v>
      </c>
      <c r="N1679" s="1544">
        <f>N$2505</f>
        <v>2030</v>
      </c>
      <c r="O1679" s="698"/>
      <c r="P1679" s="729"/>
      <c r="Q1679" s="729"/>
      <c r="R1679" s="729"/>
      <c r="S1679" s="729"/>
      <c r="T1679" s="729"/>
      <c r="U1679" s="343"/>
      <c r="V1679" s="343"/>
    </row>
    <row r="1680" spans="1:22" s="364" customFormat="1" ht="12.75" customHeight="1" x14ac:dyDescent="0.3">
      <c r="A1680" s="729"/>
      <c r="B1680" s="302"/>
      <c r="C1680" s="357"/>
      <c r="D1680" s="1698"/>
      <c r="E1680" s="392" t="str">
        <f>Translations!$B$1328</f>
        <v>Средна годишна стойност</v>
      </c>
      <c r="F1680" s="392"/>
      <c r="G1680" s="392"/>
      <c r="H1680" s="485" t="str">
        <f>EUconst_EUA</f>
        <v>Квота за емисии</v>
      </c>
      <c r="I1680" s="1716"/>
      <c r="J1680" s="1732" t="str">
        <f>IF(R1658,SUM(INDEX(F_ProductBM!J:J,MATCH($P1680,F_ProductBM!$Q:$Q,0))),"")</f>
        <v/>
      </c>
      <c r="K1680" s="394" t="str">
        <f>IF(S1658,SUM(INDEX(F_ProductBM!K:K,MATCH($P1680,F_ProductBM!$Q:$Q,0))),"")</f>
        <v/>
      </c>
      <c r="L1680" s="394" t="str">
        <f>IF(T1658,SUM(INDEX(F_ProductBM!L:L,MATCH($P1680,F_ProductBM!$Q:$Q,0))),"")</f>
        <v/>
      </c>
      <c r="M1680" s="394" t="str">
        <f>IF(U1658,SUM(INDEX(F_ProductBM!M:M,MATCH($P1680,F_ProductBM!$Q:$Q,0))),"")</f>
        <v/>
      </c>
      <c r="N1680" s="1733" t="str">
        <f>IF(V1658,SUM(INDEX(F_ProductBM!N:N,MATCH($P1680,F_ProductBM!$Q:$Q,0))),"")</f>
        <v/>
      </c>
      <c r="O1680" s="698"/>
      <c r="P1680" s="1190" t="str">
        <f>EUconst_CNTR_HEATInitial &amp; I1652</f>
        <v>HEATIni_</v>
      </c>
      <c r="Q1680" s="729"/>
      <c r="R1680" s="729"/>
      <c r="S1680" s="729"/>
      <c r="T1680" s="729"/>
      <c r="U1680" s="343"/>
      <c r="V1680" s="343"/>
    </row>
    <row r="1681" spans="1:22" s="364" customFormat="1" ht="12.75" customHeight="1" x14ac:dyDescent="0.3">
      <c r="A1681" s="729"/>
      <c r="B1681" s="302"/>
      <c r="C1681" s="357"/>
      <c r="D1681" s="1698"/>
      <c r="E1681" s="398" t="str">
        <f>Translations!$B$1378</f>
        <v>Промяна в сравнение със стойността в НМИ</v>
      </c>
      <c r="F1681" s="398"/>
      <c r="G1681" s="398"/>
      <c r="H1681" s="1734" t="s">
        <v>1052</v>
      </c>
      <c r="I1681" s="1735"/>
      <c r="J1681" s="159" t="str">
        <f>INDEX(F_ProductBM!J:J,MATCH($P1681,F_ProductBM!$Q:$Q,0))</f>
        <v/>
      </c>
      <c r="K1681" s="160" t="str">
        <f>INDEX(F_ProductBM!K:K,MATCH($P1681,F_ProductBM!$Q:$Q,0))</f>
        <v/>
      </c>
      <c r="L1681" s="160" t="str">
        <f>INDEX(F_ProductBM!L:L,MATCH($P1681,F_ProductBM!$Q:$Q,0))</f>
        <v/>
      </c>
      <c r="M1681" s="160" t="str">
        <f>INDEX(F_ProductBM!M:M,MATCH($P1681,F_ProductBM!$Q:$Q,0))</f>
        <v/>
      </c>
      <c r="N1681" s="161" t="str">
        <f>INDEX(F_ProductBM!N:N,MATCH($P1681,F_ProductBM!$Q:$Q,0))</f>
        <v/>
      </c>
      <c r="O1681" s="698"/>
      <c r="P1681" s="1190" t="str">
        <f>EUconst_CNTR_RelThreshold &amp; P1683</f>
        <v>RelThresh_HEATprelim_</v>
      </c>
      <c r="Q1681" s="729"/>
      <c r="R1681" s="729"/>
      <c r="S1681" s="729"/>
      <c r="T1681" s="729"/>
      <c r="U1681" s="343"/>
      <c r="V1681" s="343"/>
    </row>
    <row r="1682" spans="1:22" s="364" customFormat="1" ht="12.75" customHeight="1" x14ac:dyDescent="0.3">
      <c r="A1682" s="729"/>
      <c r="B1682" s="302"/>
      <c r="C1682" s="357"/>
      <c r="D1682" s="1698"/>
      <c r="E1682" s="1736" t="str">
        <f>Translations!$B$1379</f>
        <v>Критерий 3б: Надвишени ли са относителните прагове?</v>
      </c>
      <c r="F1682" s="1736"/>
      <c r="G1682" s="1736"/>
      <c r="H1682" s="1737" t="s">
        <v>1052</v>
      </c>
      <c r="I1682" s="1738"/>
      <c r="J1682" s="1739" t="str">
        <f>INDEX(F_ProductBM!V:V,MATCH($P1682,F_ProductBM!$Q:$Q,0))</f>
        <v/>
      </c>
      <c r="K1682" s="1740" t="str">
        <f>INDEX(F_ProductBM!W:W,MATCH($P1682,F_ProductBM!$Q:$Q,0))</f>
        <v/>
      </c>
      <c r="L1682" s="1740" t="str">
        <f>INDEX(F_ProductBM!X:X,MATCH($P1682,F_ProductBM!$Q:$Q,0))</f>
        <v/>
      </c>
      <c r="M1682" s="1740" t="str">
        <f>INDEX(F_ProductBM!Y:Y,MATCH($P1682,F_ProductBM!$Q:$Q,0))</f>
        <v/>
      </c>
      <c r="N1682" s="1741" t="str">
        <f>INDEX(F_ProductBM!Z:Z,MATCH($P1682,F_ProductBM!$Q:$Q,0))</f>
        <v/>
      </c>
      <c r="O1682" s="698"/>
      <c r="P1682" s="1190" t="str">
        <f>P1681</f>
        <v>RelThresh_HEATprelim_</v>
      </c>
      <c r="Q1682" s="729"/>
      <c r="R1682" s="729"/>
      <c r="S1682" s="729"/>
      <c r="T1682" s="729"/>
      <c r="U1682" s="343"/>
      <c r="V1682" s="343"/>
    </row>
    <row r="1683" spans="1:22" s="364" customFormat="1" ht="12.75" customHeight="1" x14ac:dyDescent="0.3">
      <c r="A1683" s="729" t="str">
        <f>IF(P1683="","ausblenden","")</f>
        <v/>
      </c>
      <c r="B1683" s="302"/>
      <c r="C1683" s="357"/>
      <c r="D1683" s="1698"/>
      <c r="E1683" s="401" t="str">
        <f>Translations!$B$1377</f>
        <v>Предварителна стойност</v>
      </c>
      <c r="F1683" s="401"/>
      <c r="G1683" s="401"/>
      <c r="H1683" s="487" t="str">
        <f>EUconst_EUA</f>
        <v>Квота за емисии</v>
      </c>
      <c r="I1683" s="401"/>
      <c r="J1683" s="1743" t="str">
        <f>IF($I1652="","",INDEX(F_ProductBM!J:J,MATCH($P1683,F_ProductBM!$Q:$Q,0)))</f>
        <v/>
      </c>
      <c r="K1683" s="1744" t="str">
        <f>IF($I1652="","",INDEX(F_ProductBM!K:K,MATCH($P1683,F_ProductBM!$Q:$Q,0)))</f>
        <v/>
      </c>
      <c r="L1683" s="1744" t="str">
        <f>IF($I1652="","",INDEX(F_ProductBM!L:L,MATCH($P1683,F_ProductBM!$Q:$Q,0)))</f>
        <v/>
      </c>
      <c r="M1683" s="1744" t="str">
        <f>IF($I1652="","",INDEX(F_ProductBM!M:M,MATCH($P1683,F_ProductBM!$Q:$Q,0)))</f>
        <v/>
      </c>
      <c r="N1683" s="1745" t="str">
        <f>IF($I1652="","",INDEX(F_ProductBM!N:N,MATCH($P1683,F_ProductBM!$Q:$Q,0)))</f>
        <v/>
      </c>
      <c r="O1683" s="698"/>
      <c r="P1683" s="1190" t="str">
        <f>EUconst_CNTR_HEATprelim&amp;I1652</f>
        <v>HEATprelim_</v>
      </c>
      <c r="Q1683" s="729"/>
      <c r="R1683" s="729"/>
      <c r="S1683" s="729"/>
      <c r="T1683" s="729"/>
      <c r="U1683" s="343"/>
      <c r="V1683" s="343"/>
    </row>
    <row r="1684" spans="1:22" s="364" customFormat="1" ht="5.15" customHeight="1" x14ac:dyDescent="0.3">
      <c r="A1684" s="729"/>
      <c r="B1684" s="302"/>
      <c r="C1684" s="357"/>
      <c r="D1684" s="1698"/>
      <c r="E1684" s="302"/>
      <c r="F1684" s="302"/>
      <c r="G1684" s="302"/>
      <c r="H1684" s="302"/>
      <c r="I1684" s="1746"/>
      <c r="J1684" s="302"/>
      <c r="K1684" s="302"/>
      <c r="L1684" s="302"/>
      <c r="M1684" s="302"/>
      <c r="N1684" s="1747"/>
      <c r="O1684" s="698"/>
      <c r="P1684" s="729"/>
      <c r="Q1684" s="729"/>
      <c r="R1684" s="729"/>
      <c r="S1684" s="729"/>
      <c r="T1684" s="729"/>
      <c r="U1684" s="343"/>
      <c r="V1684" s="343"/>
    </row>
    <row r="1685" spans="1:22" s="364" customFormat="1" ht="12.75" customHeight="1" x14ac:dyDescent="0.3">
      <c r="A1685" s="729"/>
      <c r="B1685" s="302"/>
      <c r="C1685" s="357"/>
      <c r="D1685" s="1698"/>
      <c r="E1685" s="389" t="str">
        <f>Translations!$B$1382</f>
        <v>Промени: Корекция за ценни химически вещества (HVC)</v>
      </c>
      <c r="F1685" s="498"/>
      <c r="G1685" s="498"/>
      <c r="H1685" s="527" t="str">
        <f>EUconst_Unit</f>
        <v>Единица мярка</v>
      </c>
      <c r="I1685" s="1699"/>
      <c r="J1685" s="1523">
        <f>J$2505</f>
        <v>2026</v>
      </c>
      <c r="K1685" s="387">
        <f>K$2505</f>
        <v>2027</v>
      </c>
      <c r="L1685" s="387">
        <f>L$2505</f>
        <v>2028</v>
      </c>
      <c r="M1685" s="387">
        <f>M$2505</f>
        <v>2029</v>
      </c>
      <c r="N1685" s="1544">
        <f>N$2505</f>
        <v>2030</v>
      </c>
      <c r="O1685" s="698"/>
      <c r="P1685" s="729"/>
      <c r="Q1685" s="729"/>
      <c r="R1685" s="729"/>
      <c r="S1685" s="729"/>
      <c r="T1685" s="729"/>
      <c r="U1685" s="343"/>
      <c r="V1685" s="343"/>
    </row>
    <row r="1686" spans="1:22" s="364" customFormat="1" ht="12.75" customHeight="1" x14ac:dyDescent="0.3">
      <c r="A1686" s="729"/>
      <c r="B1686" s="302"/>
      <c r="C1686" s="357"/>
      <c r="D1686" s="1698"/>
      <c r="E1686" s="392" t="str">
        <f>Translations!$B$1328</f>
        <v>Средна годишна стойност</v>
      </c>
      <c r="F1686" s="392"/>
      <c r="G1686" s="392"/>
      <c r="H1686" s="481" t="str">
        <f>EUconst_EUA</f>
        <v>Квота за емисии</v>
      </c>
      <c r="I1686" s="1716"/>
      <c r="J1686" s="1748" t="str">
        <f>IF(L1655=42,INDEX(H_SpecialBM!J:J,MATCH($P1686,H_SpecialBM!$Q:$Q,0)),"")</f>
        <v/>
      </c>
      <c r="K1686" s="1749" t="str">
        <f>IF(L1655=42,INDEX(H_SpecialBM!K:K,MATCH($P1686,H_SpecialBM!$Q:$Q,0)),"")</f>
        <v/>
      </c>
      <c r="L1686" s="1749" t="str">
        <f>IF(L1655=42,INDEX(H_SpecialBM!L:L,MATCH($P1686,H_SpecialBM!$Q:$Q,0)),"")</f>
        <v/>
      </c>
      <c r="M1686" s="1749" t="str">
        <f>IF(L1655=42,INDEX(H_SpecialBM!M:M,MATCH($P1686,H_SpecialBM!$Q:$Q,0)),"")</f>
        <v/>
      </c>
      <c r="N1686" s="1750" t="str">
        <f>IF(L1655=42,INDEX(H_SpecialBM!N:N,MATCH($P1686,H_SpecialBM!$Q:$Q,0)),"")</f>
        <v/>
      </c>
      <c r="O1686" s="698"/>
      <c r="P1686" s="1190" t="str">
        <f>EUconst_CNTR_HVCInitial &amp; INDEX(EUconst_BMlistNames,MATCH(42,EUconst_BMlistMainNumberOfBM,0))</f>
        <v>HVCIni_Крекинг с водна пара</v>
      </c>
      <c r="Q1686" s="729"/>
      <c r="R1686" s="729"/>
      <c r="S1686" s="729"/>
      <c r="T1686" s="729"/>
      <c r="U1686" s="343"/>
      <c r="V1686" s="343"/>
    </row>
    <row r="1687" spans="1:22" s="364" customFormat="1" ht="12.75" customHeight="1" x14ac:dyDescent="0.3">
      <c r="A1687" s="729"/>
      <c r="B1687" s="302"/>
      <c r="C1687" s="357"/>
      <c r="D1687" s="1698"/>
      <c r="E1687" s="398" t="str">
        <f>Translations!$B$1378</f>
        <v>Промяна в сравнение със стойността в НМИ</v>
      </c>
      <c r="F1687" s="398"/>
      <c r="G1687" s="398"/>
      <c r="H1687" s="1751" t="s">
        <v>1052</v>
      </c>
      <c r="I1687" s="1735"/>
      <c r="J1687" s="159" t="str">
        <f>IF(L1655=42,INDEX(H_SpecialBM!J:J,MATCH($P1687,H_SpecialBM!$Q:$Q,0)),"")</f>
        <v/>
      </c>
      <c r="K1687" s="160" t="str">
        <f>IF(L1655=42,INDEX(H_SpecialBM!K:K,MATCH($P1687,H_SpecialBM!$Q:$Q,0)),"")</f>
        <v/>
      </c>
      <c r="L1687" s="160" t="str">
        <f>IF(L1655=42,INDEX(H_SpecialBM!L:L,MATCH($P1687,H_SpecialBM!$Q:$Q,0)),"")</f>
        <v/>
      </c>
      <c r="M1687" s="160" t="str">
        <f>IF(L1655=42,INDEX(H_SpecialBM!M:M,MATCH($P1687,H_SpecialBM!$Q:$Q,0)),"")</f>
        <v/>
      </c>
      <c r="N1687" s="161" t="str">
        <f>IF(L1655=42,INDEX(H_SpecialBM!N:N,MATCH($P1687,H_SpecialBM!$Q:$Q,0)),"")</f>
        <v/>
      </c>
      <c r="O1687" s="698"/>
      <c r="P1687" s="1190" t="str">
        <f>EUconst_CNTR_RelThreshold &amp; P1689</f>
        <v>RelThresh_HVCprelim_</v>
      </c>
      <c r="Q1687" s="729"/>
      <c r="R1687" s="729"/>
      <c r="S1687" s="729"/>
      <c r="T1687" s="729"/>
      <c r="U1687" s="343"/>
      <c r="V1687" s="343"/>
    </row>
    <row r="1688" spans="1:22" s="364" customFormat="1" ht="12.75" customHeight="1" x14ac:dyDescent="0.3">
      <c r="A1688" s="729"/>
      <c r="B1688" s="302"/>
      <c r="C1688" s="357"/>
      <c r="D1688" s="1698"/>
      <c r="E1688" s="1736" t="str">
        <f>Translations!$B$1381</f>
        <v>Критерий 3в: Надвишени ли са относителните прагове?</v>
      </c>
      <c r="F1688" s="1736"/>
      <c r="G1688" s="1736"/>
      <c r="H1688" s="1738" t="s">
        <v>1052</v>
      </c>
      <c r="I1688" s="1738"/>
      <c r="J1688" s="1739" t="str">
        <f>IF(L1655=42,INDEX(H_SpecialBM!V:V,MATCH($P1688,H_SpecialBM!$Q:$Q,0)),"")</f>
        <v/>
      </c>
      <c r="K1688" s="1740" t="str">
        <f>IF(L1655=42,INDEX(H_SpecialBM!W:W,MATCH($P1688,H_SpecialBM!$Q:$Q,0)),"")</f>
        <v/>
      </c>
      <c r="L1688" s="1740" t="str">
        <f>IF(L1655=42,INDEX(H_SpecialBM!X:X,MATCH($P1688,H_SpecialBM!$Q:$Q,0)),"")</f>
        <v/>
      </c>
      <c r="M1688" s="1740" t="str">
        <f>IF(L1655=42,INDEX(H_SpecialBM!Y:Y,MATCH($P1688,H_SpecialBM!$Q:$Q,0)),"")</f>
        <v/>
      </c>
      <c r="N1688" s="1741" t="str">
        <f>IF(L1655=42,INDEX(H_SpecialBM!Z:Z,MATCH($P1688,H_SpecialBM!$Q:$Q,0)),"")</f>
        <v/>
      </c>
      <c r="O1688" s="698"/>
      <c r="P1688" s="1190" t="str">
        <f>P1687</f>
        <v>RelThresh_HVCprelim_</v>
      </c>
      <c r="Q1688" s="729"/>
      <c r="R1688" s="729"/>
      <c r="S1688" s="729"/>
      <c r="T1688" s="729"/>
      <c r="U1688" s="343"/>
      <c r="V1688" s="343"/>
    </row>
    <row r="1689" spans="1:22" s="364" customFormat="1" ht="12.75" customHeight="1" x14ac:dyDescent="0.3">
      <c r="A1689" s="729" t="str">
        <f>IF(P1689="","ausblenden","")</f>
        <v/>
      </c>
      <c r="B1689" s="302"/>
      <c r="C1689" s="357"/>
      <c r="D1689" s="1698"/>
      <c r="E1689" s="401" t="str">
        <f>Translations!$B$1377</f>
        <v>Предварителна стойност</v>
      </c>
      <c r="F1689" s="401"/>
      <c r="G1689" s="401"/>
      <c r="H1689" s="483" t="str">
        <f>EUconst_EUA</f>
        <v>Квота за емисии</v>
      </c>
      <c r="I1689" s="1724"/>
      <c r="J1689" s="1752" t="str">
        <f>IF($L1655=42,INDEX(H_SpecialBM!J:J,MATCH($P1689,H_SpecialBM!$Q:$Q,0)),"")</f>
        <v/>
      </c>
      <c r="K1689" s="1753" t="str">
        <f>IF($L1655=42,INDEX(H_SpecialBM!K:K,MATCH($P1689,H_SpecialBM!$Q:$Q,0)),"")</f>
        <v/>
      </c>
      <c r="L1689" s="1753" t="str">
        <f>IF($L1655=42,INDEX(H_SpecialBM!L:L,MATCH($P1689,H_SpecialBM!$Q:$Q,0)),"")</f>
        <v/>
      </c>
      <c r="M1689" s="1753" t="str">
        <f>IF($L1655=42,INDEX(H_SpecialBM!M:M,MATCH($P1689,H_SpecialBM!$Q:$Q,0)),"")</f>
        <v/>
      </c>
      <c r="N1689" s="1754" t="str">
        <f>IF($L1655=42,INDEX(H_SpecialBM!N:N,MATCH($P1689,H_SpecialBM!$Q:$Q,0)),"")</f>
        <v/>
      </c>
      <c r="O1689" s="698"/>
      <c r="P1689" s="1190" t="str">
        <f>EUconst_CNTR_HVCprelim</f>
        <v>HVCprelim_</v>
      </c>
      <c r="Q1689" s="729"/>
      <c r="R1689" s="729"/>
      <c r="S1689" s="729"/>
      <c r="T1689" s="729"/>
      <c r="U1689" s="343"/>
      <c r="V1689" s="343"/>
    </row>
    <row r="1690" spans="1:22" s="364" customFormat="1" ht="5.15" customHeight="1" x14ac:dyDescent="0.3">
      <c r="A1690" s="729"/>
      <c r="B1690" s="302"/>
      <c r="C1690" s="357"/>
      <c r="D1690" s="1698"/>
      <c r="E1690" s="302"/>
      <c r="F1690" s="302"/>
      <c r="G1690" s="302"/>
      <c r="H1690" s="302"/>
      <c r="I1690" s="1746"/>
      <c r="J1690" s="302"/>
      <c r="K1690" s="302"/>
      <c r="L1690" s="302"/>
      <c r="M1690" s="302"/>
      <c r="N1690" s="1747"/>
      <c r="O1690" s="698"/>
      <c r="P1690" s="729"/>
      <c r="Q1690" s="729"/>
      <c r="R1690" s="729"/>
      <c r="S1690" s="729"/>
      <c r="T1690" s="729"/>
      <c r="U1690" s="343"/>
      <c r="V1690" s="343"/>
    </row>
    <row r="1691" spans="1:22" s="364" customFormat="1" ht="12.75" customHeight="1" x14ac:dyDescent="0.3">
      <c r="A1691" s="729"/>
      <c r="B1691" s="302"/>
      <c r="C1691" s="357"/>
      <c r="D1691" s="1698"/>
      <c r="E1691" s="389" t="str">
        <f>Translations!$B$1384</f>
        <v>Промени: Корекция за винилхлориден мономер (VCM)</v>
      </c>
      <c r="F1691" s="498"/>
      <c r="G1691" s="498"/>
      <c r="H1691" s="527" t="str">
        <f>EUconst_Unit</f>
        <v>Единица мярка</v>
      </c>
      <c r="I1691" s="1699"/>
      <c r="J1691" s="1523">
        <f>J$2505</f>
        <v>2026</v>
      </c>
      <c r="K1691" s="387">
        <f>K$2505</f>
        <v>2027</v>
      </c>
      <c r="L1691" s="387">
        <f>L$2505</f>
        <v>2028</v>
      </c>
      <c r="M1691" s="387">
        <f>M$2505</f>
        <v>2029</v>
      </c>
      <c r="N1691" s="1544">
        <f>N$2505</f>
        <v>2030</v>
      </c>
      <c r="O1691" s="698"/>
      <c r="P1691" s="729"/>
      <c r="Q1691" s="729"/>
      <c r="R1691" s="729"/>
      <c r="S1691" s="729"/>
      <c r="T1691" s="729"/>
      <c r="U1691" s="343"/>
      <c r="V1691" s="343"/>
    </row>
    <row r="1692" spans="1:22" s="364" customFormat="1" ht="12.75" customHeight="1" x14ac:dyDescent="0.3">
      <c r="A1692" s="729"/>
      <c r="B1692" s="302"/>
      <c r="C1692" s="357"/>
      <c r="D1692" s="1698"/>
      <c r="E1692" s="392" t="str">
        <f>Translations!$B$1328</f>
        <v>Средна годишна стойност</v>
      </c>
      <c r="F1692" s="392"/>
      <c r="G1692" s="392"/>
      <c r="H1692" s="485" t="s">
        <v>1052</v>
      </c>
      <c r="I1692" s="1716"/>
      <c r="J1692" s="1755" t="str">
        <f>IF(L1655=47,INDEX(H_SpecialBM!J:J,MATCH($P1692,H_SpecialBM!$Q:$Q,0)),"")</f>
        <v/>
      </c>
      <c r="K1692" s="1756" t="str">
        <f>IF(L1655=47,INDEX(H_SpecialBM!K:K,MATCH($P1692,H_SpecialBM!$Q:$Q,0)),"")</f>
        <v/>
      </c>
      <c r="L1692" s="1756" t="str">
        <f>IF(L1655=47,INDEX(H_SpecialBM!L:L,MATCH($P1692,H_SpecialBM!$Q:$Q,0)),"")</f>
        <v/>
      </c>
      <c r="M1692" s="1756" t="str">
        <f>IF(L1655=47,INDEX(H_SpecialBM!M:M,MATCH($P1692,H_SpecialBM!$Q:$Q,0)),"")</f>
        <v/>
      </c>
      <c r="N1692" s="1757" t="str">
        <f>IF(L1655=47,INDEX(H_SpecialBM!N:N,MATCH($P1692,H_SpecialBM!$Q:$Q,0)),"")</f>
        <v/>
      </c>
      <c r="O1692" s="698"/>
      <c r="P1692" s="1190" t="str">
        <f>EUconst_CNTR_VCMInitial &amp; INDEX(EUconst_BMlistNames,MATCH(47,EUconst_BMlistMainNumberOfBM,0))</f>
        <v>VCMIni_Винилхлориден мономер</v>
      </c>
      <c r="Q1692" s="729"/>
      <c r="R1692" s="729"/>
      <c r="S1692" s="729"/>
      <c r="T1692" s="729"/>
      <c r="U1692" s="343"/>
      <c r="V1692" s="343"/>
    </row>
    <row r="1693" spans="1:22" s="364" customFormat="1" ht="12.75" customHeight="1" x14ac:dyDescent="0.3">
      <c r="A1693" s="729"/>
      <c r="B1693" s="302"/>
      <c r="C1693" s="357"/>
      <c r="D1693" s="1698"/>
      <c r="E1693" s="398" t="str">
        <f>Translations!$B$1378</f>
        <v>Промяна в сравнение със стойността в НМИ</v>
      </c>
      <c r="F1693" s="398"/>
      <c r="G1693" s="398"/>
      <c r="H1693" s="1751" t="s">
        <v>1052</v>
      </c>
      <c r="I1693" s="1735"/>
      <c r="J1693" s="159" t="str">
        <f>IF(L1655=47,INDEX(H_SpecialBM!J:J,MATCH($P1693,H_SpecialBM!$Q:$Q,0)),"")</f>
        <v/>
      </c>
      <c r="K1693" s="160" t="str">
        <f>IF(L1655=47,INDEX(H_SpecialBM!K:K,MATCH($P1693,H_SpecialBM!$Q:$Q,0)),"")</f>
        <v/>
      </c>
      <c r="L1693" s="160" t="str">
        <f>IF(L1655=47,INDEX(H_SpecialBM!L:L,MATCH($P1693,H_SpecialBM!$Q:$Q,0)),"")</f>
        <v/>
      </c>
      <c r="M1693" s="160" t="str">
        <f>IF(L1655=47,INDEX(H_SpecialBM!M:M,MATCH($P1693,H_SpecialBM!$Q:$Q,0)),"")</f>
        <v/>
      </c>
      <c r="N1693" s="161" t="str">
        <f>IF(L1655=47,INDEX(H_SpecialBM!N:N,MATCH($P1693,H_SpecialBM!$Q:$Q,0)),"")</f>
        <v/>
      </c>
      <c r="O1693" s="698"/>
      <c r="P1693" s="1190" t="str">
        <f>EUconst_CNTR_RelThreshold &amp; P1695</f>
        <v>RelThresh_VCMprelim_</v>
      </c>
      <c r="Q1693" s="729"/>
      <c r="R1693" s="729"/>
      <c r="S1693" s="729"/>
      <c r="T1693" s="729"/>
      <c r="U1693" s="343"/>
      <c r="V1693" s="343"/>
    </row>
    <row r="1694" spans="1:22" s="364" customFormat="1" ht="12.75" customHeight="1" x14ac:dyDescent="0.3">
      <c r="A1694" s="729"/>
      <c r="B1694" s="302"/>
      <c r="C1694" s="357"/>
      <c r="D1694" s="1698"/>
      <c r="E1694" s="1736" t="str">
        <f>Translations!$B$1383</f>
        <v>Критерий 3г: Надвишени ли са относителните прагове?</v>
      </c>
      <c r="F1694" s="1736"/>
      <c r="G1694" s="1736"/>
      <c r="H1694" s="1738" t="s">
        <v>1052</v>
      </c>
      <c r="I1694" s="1738"/>
      <c r="J1694" s="1739" t="str">
        <f>IF(L1655=47,INDEX(H_SpecialBM!V:V,MATCH($P1694,H_SpecialBM!$Q:$Q,0)),"")</f>
        <v/>
      </c>
      <c r="K1694" s="1740" t="str">
        <f>IF(L1655=47,INDEX(H_SpecialBM!W:W,MATCH($P1694,H_SpecialBM!$Q:$Q,0)),"")</f>
        <v/>
      </c>
      <c r="L1694" s="1740" t="str">
        <f>IF(L1655=47,INDEX(H_SpecialBM!X:X,MATCH($P1694,H_SpecialBM!$Q:$Q,0)),"")</f>
        <v/>
      </c>
      <c r="M1694" s="1740" t="str">
        <f>IF(L1655=47,INDEX(H_SpecialBM!Y:Y,MATCH($P1694,H_SpecialBM!$Q:$Q,0)),"")</f>
        <v/>
      </c>
      <c r="N1694" s="1741" t="str">
        <f>IF(L1655=47,INDEX(H_SpecialBM!Z:Z,MATCH($P1694,H_SpecialBM!$Q:$Q,0)),"")</f>
        <v/>
      </c>
      <c r="O1694" s="698"/>
      <c r="P1694" s="1190" t="str">
        <f>P1693</f>
        <v>RelThresh_VCMprelim_</v>
      </c>
      <c r="Q1694" s="729"/>
      <c r="R1694" s="729"/>
      <c r="S1694" s="729"/>
      <c r="T1694" s="729"/>
      <c r="U1694" s="343"/>
      <c r="V1694" s="343"/>
    </row>
    <row r="1695" spans="1:22" s="364" customFormat="1" ht="12.75" customHeight="1" x14ac:dyDescent="0.3">
      <c r="A1695" s="729" t="str">
        <f>IF(P1695="","ausblenden","")</f>
        <v/>
      </c>
      <c r="B1695" s="302"/>
      <c r="C1695" s="357"/>
      <c r="D1695" s="1698"/>
      <c r="E1695" s="401" t="str">
        <f>Translations!$B$1377</f>
        <v>Предварителна стойност</v>
      </c>
      <c r="F1695" s="401"/>
      <c r="G1695" s="401"/>
      <c r="H1695" s="483" t="s">
        <v>1052</v>
      </c>
      <c r="I1695" s="1724"/>
      <c r="J1695" s="1758" t="str">
        <f>IF($L1655=47,IF(ISNUMBER(INDEX(H_SpecialBM!J:J,MATCH($P1695,H_SpecialBM!$Q:$Q,0))),INDEX(H_SpecialBM!J:J,MATCH($P1695,H_SpecialBM!$Q:$Q,0)),1),"")</f>
        <v/>
      </c>
      <c r="K1695" s="1759" t="str">
        <f>IF($L1655=47,IF(ISNUMBER(INDEX(H_SpecialBM!K:K,MATCH($P1695,H_SpecialBM!$Q:$Q,0))),INDEX(H_SpecialBM!K:K,MATCH($P1695,H_SpecialBM!$Q:$Q,0)),1),"")</f>
        <v/>
      </c>
      <c r="L1695" s="1759" t="str">
        <f>IF($L1655=47,IF(ISNUMBER(INDEX(H_SpecialBM!L:L,MATCH($P1695,H_SpecialBM!$Q:$Q,0))),INDEX(H_SpecialBM!L:L,MATCH($P1695,H_SpecialBM!$Q:$Q,0)),1),"")</f>
        <v/>
      </c>
      <c r="M1695" s="1759" t="str">
        <f>IF($L1655=47,IF(ISNUMBER(INDEX(H_SpecialBM!M:M,MATCH($P1695,H_SpecialBM!$Q:$Q,0))),INDEX(H_SpecialBM!M:M,MATCH($P1695,H_SpecialBM!$Q:$Q,0)),1),"")</f>
        <v/>
      </c>
      <c r="N1695" s="1760" t="str">
        <f>IF($L1655=47,IF(ISNUMBER(INDEX(H_SpecialBM!N:N,MATCH($P1695,H_SpecialBM!$Q:$Q,0))),INDEX(H_SpecialBM!N:N,MATCH($P1695,H_SpecialBM!$Q:$Q,0)),1),"")</f>
        <v/>
      </c>
      <c r="O1695" s="698"/>
      <c r="P1695" s="1190" t="str">
        <f>EUconst_CNTR_VCMprelim</f>
        <v>VCMprelim_</v>
      </c>
      <c r="Q1695" s="729"/>
      <c r="R1695" s="729"/>
      <c r="S1695" s="729"/>
      <c r="T1695" s="729"/>
      <c r="U1695" s="343"/>
      <c r="V1695" s="343"/>
    </row>
    <row r="1696" spans="1:22" s="364" customFormat="1" ht="5.15" customHeight="1" x14ac:dyDescent="0.3">
      <c r="A1696" s="729"/>
      <c r="B1696" s="302"/>
      <c r="C1696" s="357"/>
      <c r="D1696" s="1698"/>
      <c r="E1696" s="302"/>
      <c r="F1696" s="302"/>
      <c r="G1696" s="302"/>
      <c r="H1696" s="302"/>
      <c r="I1696" s="1746"/>
      <c r="J1696" s="302"/>
      <c r="K1696" s="302"/>
      <c r="L1696" s="302"/>
      <c r="M1696" s="302"/>
      <c r="N1696" s="1747"/>
      <c r="O1696" s="698"/>
      <c r="P1696" s="729"/>
      <c r="Q1696" s="729"/>
      <c r="R1696" s="729"/>
      <c r="S1696" s="729"/>
      <c r="T1696" s="729"/>
      <c r="U1696" s="343"/>
      <c r="V1696" s="343"/>
    </row>
    <row r="1697" spans="1:22" s="364" customFormat="1" ht="12.75" customHeight="1" x14ac:dyDescent="0.3">
      <c r="A1697" s="729"/>
      <c r="B1697" s="302"/>
      <c r="C1697" s="357"/>
      <c r="D1697" s="1698"/>
      <c r="E1697" s="389" t="str">
        <f>Translations!$B$1386</f>
        <v>Промени: Изгорен във факел отпаден газ</v>
      </c>
      <c r="F1697" s="498"/>
      <c r="G1697" s="498"/>
      <c r="H1697" s="527" t="str">
        <f>EUconst_Unit</f>
        <v>Единица мярка</v>
      </c>
      <c r="I1697" s="1699"/>
      <c r="J1697" s="1523">
        <f>J$2505</f>
        <v>2026</v>
      </c>
      <c r="K1697" s="387">
        <f>K$2505</f>
        <v>2027</v>
      </c>
      <c r="L1697" s="387">
        <f>L$2505</f>
        <v>2028</v>
      </c>
      <c r="M1697" s="387">
        <f>M$2505</f>
        <v>2029</v>
      </c>
      <c r="N1697" s="1544">
        <f>N$2505</f>
        <v>2030</v>
      </c>
      <c r="O1697" s="698"/>
      <c r="P1697" s="729"/>
      <c r="Q1697" s="729"/>
      <c r="R1697" s="729"/>
      <c r="S1697" s="729"/>
      <c r="T1697" s="729"/>
      <c r="U1697" s="343"/>
      <c r="V1697" s="343"/>
    </row>
    <row r="1698" spans="1:22" s="364" customFormat="1" ht="12.75" customHeight="1" x14ac:dyDescent="0.3">
      <c r="A1698" s="729"/>
      <c r="B1698" s="302"/>
      <c r="C1698" s="357"/>
      <c r="D1698" s="1698"/>
      <c r="E1698" s="392" t="str">
        <f>Translations!$B$1328</f>
        <v>Средна годишна стойност</v>
      </c>
      <c r="F1698" s="392"/>
      <c r="G1698" s="392"/>
      <c r="H1698" s="485" t="str">
        <f>EUconst_tCO2</f>
        <v>t CO2</v>
      </c>
      <c r="I1698" s="1716"/>
      <c r="J1698" s="1732" t="str">
        <f>INDEX(F_ProductBM!J:J,MATCH($P1698,F_ProductBM!$Q:$Q,0))</f>
        <v/>
      </c>
      <c r="K1698" s="394" t="str">
        <f>INDEX(F_ProductBM!K:K,MATCH($P1698,F_ProductBM!$Q:$Q,0))</f>
        <v/>
      </c>
      <c r="L1698" s="394" t="str">
        <f>INDEX(F_ProductBM!L:L,MATCH($P1698,F_ProductBM!$Q:$Q,0))</f>
        <v/>
      </c>
      <c r="M1698" s="394" t="str">
        <f>INDEX(F_ProductBM!M:M,MATCH($P1698,F_ProductBM!$Q:$Q,0))</f>
        <v/>
      </c>
      <c r="N1698" s="1733" t="str">
        <f>INDEX(F_ProductBM!N:N,MATCH($P1698,F_ProductBM!$Q:$Q,0))</f>
        <v/>
      </c>
      <c r="O1698" s="698"/>
      <c r="P1698" s="1190" t="str">
        <f>EUconst_CNTR_HALinitial &amp; EUconst_CNTR_WGFlared &amp; I1652</f>
        <v>HALini_WasteGasFlare_</v>
      </c>
      <c r="Q1698" s="729"/>
      <c r="R1698" s="729"/>
      <c r="S1698" s="729"/>
      <c r="T1698" s="729"/>
      <c r="U1698" s="343"/>
      <c r="V1698" s="343"/>
    </row>
    <row r="1699" spans="1:22" s="364" customFormat="1" ht="12.75" customHeight="1" x14ac:dyDescent="0.3">
      <c r="A1699" s="729"/>
      <c r="B1699" s="302"/>
      <c r="C1699" s="357"/>
      <c r="D1699" s="1698"/>
      <c r="E1699" s="398" t="str">
        <f>Translations!$B$1378</f>
        <v>Промяна в сравнение със стойността в НМИ</v>
      </c>
      <c r="F1699" s="398"/>
      <c r="G1699" s="398"/>
      <c r="H1699" s="1734" t="s">
        <v>1052</v>
      </c>
      <c r="I1699" s="1735"/>
      <c r="J1699" s="159" t="str">
        <f>INDEX(F_ProductBM!J:J,MATCH($P1699,F_ProductBM!$Q:$Q,0))</f>
        <v/>
      </c>
      <c r="K1699" s="160" t="str">
        <f>INDEX(F_ProductBM!K:K,MATCH($P1699,F_ProductBM!$Q:$Q,0))</f>
        <v/>
      </c>
      <c r="L1699" s="160" t="str">
        <f>INDEX(F_ProductBM!L:L,MATCH($P1699,F_ProductBM!$Q:$Q,0))</f>
        <v/>
      </c>
      <c r="M1699" s="160" t="str">
        <f>INDEX(F_ProductBM!M:M,MATCH($P1699,F_ProductBM!$Q:$Q,0))</f>
        <v/>
      </c>
      <c r="N1699" s="161" t="str">
        <f>INDEX(F_ProductBM!N:N,MATCH($P1699,F_ProductBM!$Q:$Q,0))</f>
        <v/>
      </c>
      <c r="O1699" s="698"/>
      <c r="P1699" s="1190" t="str">
        <f>EUconst_CNTR_RelThreshold &amp; P1701</f>
        <v>RelThresh_HALprelim_WasteGasFlare_</v>
      </c>
      <c r="Q1699" s="729"/>
      <c r="R1699" s="729"/>
      <c r="S1699" s="729"/>
      <c r="T1699" s="729"/>
      <c r="U1699" s="343"/>
      <c r="V1699" s="343"/>
    </row>
    <row r="1700" spans="1:22" s="364" customFormat="1" ht="12.75" customHeight="1" x14ac:dyDescent="0.3">
      <c r="A1700" s="729"/>
      <c r="B1700" s="302"/>
      <c r="C1700" s="357"/>
      <c r="D1700" s="1698"/>
      <c r="E1700" s="1736" t="str">
        <f>Translations!$B$1385</f>
        <v>Критерий 3д: Надвишени ли са относителните прагове?</v>
      </c>
      <c r="F1700" s="1736"/>
      <c r="G1700" s="1736"/>
      <c r="H1700" s="1737" t="s">
        <v>1052</v>
      </c>
      <c r="I1700" s="1738"/>
      <c r="J1700" s="1739" t="str">
        <f>INDEX(F_ProductBM!V:V,MATCH($P1700,F_ProductBM!$Q:$Q,0))</f>
        <v/>
      </c>
      <c r="K1700" s="1740" t="str">
        <f>INDEX(F_ProductBM!W:W,MATCH($P1700,F_ProductBM!$Q:$Q,0))</f>
        <v/>
      </c>
      <c r="L1700" s="1740" t="str">
        <f>INDEX(F_ProductBM!X:X,MATCH($P1700,F_ProductBM!$Q:$Q,0))</f>
        <v/>
      </c>
      <c r="M1700" s="1740" t="str">
        <f>INDEX(F_ProductBM!Y:Y,MATCH($P1700,F_ProductBM!$Q:$Q,0))</f>
        <v/>
      </c>
      <c r="N1700" s="1741" t="str">
        <f>INDEX(F_ProductBM!Z:Z,MATCH($P1700,F_ProductBM!$Q:$Q,0))</f>
        <v/>
      </c>
      <c r="O1700" s="698"/>
      <c r="P1700" s="1190" t="str">
        <f>P1699</f>
        <v>RelThresh_HALprelim_WasteGasFlare_</v>
      </c>
      <c r="Q1700" s="729"/>
      <c r="R1700" s="729"/>
      <c r="S1700" s="729"/>
      <c r="T1700" s="729"/>
      <c r="U1700" s="343"/>
      <c r="V1700" s="343"/>
    </row>
    <row r="1701" spans="1:22" s="364" customFormat="1" ht="12.75" customHeight="1" x14ac:dyDescent="0.3">
      <c r="A1701" s="729"/>
      <c r="B1701" s="302"/>
      <c r="C1701" s="357"/>
      <c r="D1701" s="1698"/>
      <c r="E1701" s="401" t="str">
        <f>Translations!$B$1377</f>
        <v>Предварителна стойност</v>
      </c>
      <c r="F1701" s="401"/>
      <c r="G1701" s="401"/>
      <c r="H1701" s="483" t="str">
        <f>EUconst_tCO2</f>
        <v>t CO2</v>
      </c>
      <c r="I1701" s="1724"/>
      <c r="J1701" s="1743" t="str">
        <f>IF(OR($I1652="",CNTR_SubPeriod=1),"",INDEX(F_ProductBM!J:J,MATCH($P1701,F_ProductBM!$Q:$Q,0)))</f>
        <v/>
      </c>
      <c r="K1701" s="1744" t="str">
        <f>IF(OR($I1652="",CNTR_SubPeriod=1),"",INDEX(F_ProductBM!K:K,MATCH($P1701,F_ProductBM!$Q:$Q,0)))</f>
        <v/>
      </c>
      <c r="L1701" s="1744" t="str">
        <f>IF(OR($I1652="",CNTR_SubPeriod=1),"",INDEX(F_ProductBM!L:L,MATCH($P1701,F_ProductBM!$Q:$Q,0)))</f>
        <v/>
      </c>
      <c r="M1701" s="1744" t="str">
        <f>IF(OR($I1652="",CNTR_SubPeriod=1),"",INDEX(F_ProductBM!M:M,MATCH($P1701,F_ProductBM!$Q:$Q,0)))</f>
        <v/>
      </c>
      <c r="N1701" s="1745" t="str">
        <f>IF(OR($I1652="",CNTR_SubPeriod=1),"",INDEX(F_ProductBM!N:N,MATCH($P1701,F_ProductBM!$Q:$Q,0)))</f>
        <v/>
      </c>
      <c r="O1701" s="698"/>
      <c r="P1701" s="1190" t="str">
        <f>EUconst_CNTR_HALprelim&amp;EUconst_CNTR_WGFlared&amp;$I1652</f>
        <v>HALprelim_WasteGasFlare_</v>
      </c>
      <c r="Q1701" s="729"/>
      <c r="R1701" s="729"/>
      <c r="S1701" s="729"/>
      <c r="T1701" s="729"/>
      <c r="U1701" s="343"/>
      <c r="V1701" s="343"/>
    </row>
    <row r="1702" spans="1:22" s="364" customFormat="1" ht="12.75" customHeight="1" thickBot="1" x14ac:dyDescent="0.35">
      <c r="A1702" s="729"/>
      <c r="B1702" s="302"/>
      <c r="C1702" s="357"/>
      <c r="D1702" s="1761"/>
      <c r="E1702" s="1762"/>
      <c r="F1702" s="1762"/>
      <c r="G1702" s="1762"/>
      <c r="H1702" s="1762"/>
      <c r="I1702" s="1763"/>
      <c r="J1702" s="1762"/>
      <c r="K1702" s="1762"/>
      <c r="L1702" s="1762"/>
      <c r="M1702" s="1762"/>
      <c r="N1702" s="1764"/>
      <c r="O1702" s="698"/>
      <c r="P1702" s="729"/>
      <c r="Q1702" s="729"/>
      <c r="R1702" s="729"/>
      <c r="S1702" s="729"/>
      <c r="T1702" s="729"/>
      <c r="U1702" s="343"/>
      <c r="V1702" s="343"/>
    </row>
    <row r="1703" spans="1:22" s="364" customFormat="1" ht="5.15" customHeight="1" thickBot="1" x14ac:dyDescent="0.35">
      <c r="A1703" s="729"/>
      <c r="B1703" s="302"/>
      <c r="C1703" s="357"/>
      <c r="D1703" s="357"/>
      <c r="E1703" s="302"/>
      <c r="F1703" s="302"/>
      <c r="G1703" s="302"/>
      <c r="H1703" s="302"/>
      <c r="I1703" s="1746"/>
      <c r="J1703" s="302"/>
      <c r="K1703" s="302"/>
      <c r="L1703" s="302"/>
      <c r="M1703" s="302"/>
      <c r="N1703" s="302"/>
      <c r="O1703" s="698"/>
      <c r="P1703" s="729"/>
      <c r="Q1703" s="729"/>
      <c r="R1703" s="729"/>
      <c r="S1703" s="729"/>
      <c r="T1703" s="729"/>
      <c r="U1703" s="343"/>
      <c r="V1703" s="343"/>
    </row>
    <row r="1704" spans="1:22" s="364" customFormat="1" ht="5.15" customHeight="1" x14ac:dyDescent="0.25">
      <c r="A1704" s="729"/>
      <c r="B1704" s="302"/>
      <c r="C1704" s="302"/>
      <c r="D1704" s="1765"/>
      <c r="E1704" s="1766"/>
      <c r="F1704" s="1766"/>
      <c r="G1704" s="1766"/>
      <c r="H1704" s="1766"/>
      <c r="I1704" s="1767"/>
      <c r="J1704" s="1766"/>
      <c r="K1704" s="1766"/>
      <c r="L1704" s="1766"/>
      <c r="M1704" s="1766"/>
      <c r="N1704" s="1768"/>
      <c r="O1704" s="698"/>
      <c r="P1704" s="729"/>
      <c r="Q1704" s="729"/>
      <c r="R1704" s="729"/>
      <c r="S1704" s="729"/>
      <c r="T1704" s="770"/>
      <c r="U1704" s="343"/>
      <c r="V1704" s="343"/>
    </row>
    <row r="1705" spans="1:22" s="364" customFormat="1" ht="13" x14ac:dyDescent="0.25">
      <c r="A1705" s="729"/>
      <c r="B1705" s="302"/>
      <c r="C1705" s="302"/>
      <c r="D1705" s="344"/>
      <c r="E1705" s="1769" t="str">
        <f>Translations!$B$1583</f>
        <v>Предварителни стойности за критерий &gt; 300 EUA</v>
      </c>
      <c r="F1705" s="1746"/>
      <c r="G1705" s="1746"/>
      <c r="H1705" s="1699" t="str">
        <f>EUconst_Unit</f>
        <v>Единица мярка</v>
      </c>
      <c r="I1705" s="1770" t="str">
        <f>Translations!$B$1341</f>
        <v>Базова стойност</v>
      </c>
      <c r="J1705" s="1771">
        <f>J$2505</f>
        <v>2026</v>
      </c>
      <c r="K1705" s="1772">
        <f>K$2505</f>
        <v>2027</v>
      </c>
      <c r="L1705" s="1772">
        <f>L$2505</f>
        <v>2028</v>
      </c>
      <c r="M1705" s="1772">
        <f>M$2505</f>
        <v>2029</v>
      </c>
      <c r="N1705" s="1773">
        <f>N$2505</f>
        <v>2030</v>
      </c>
      <c r="O1705" s="698"/>
      <c r="P1705" s="729"/>
      <c r="Q1705" s="729"/>
      <c r="R1705" s="729"/>
      <c r="S1705" s="729"/>
      <c r="T1705" s="729"/>
      <c r="U1705" s="729"/>
      <c r="V1705" s="729"/>
    </row>
    <row r="1706" spans="1:22" s="364" customFormat="1" x14ac:dyDescent="0.25">
      <c r="A1706" s="729"/>
      <c r="B1706" s="302"/>
      <c r="C1706" s="302"/>
      <c r="D1706" s="344"/>
      <c r="E1706" s="1774" t="str">
        <f>Translations!$B$1388</f>
        <v>Равнище на дейност</v>
      </c>
      <c r="F1706" s="1774"/>
      <c r="G1706" s="1774"/>
      <c r="H1706" s="1775" t="str">
        <f>F1658</f>
        <v>тона</v>
      </c>
      <c r="I1706" s="1776" t="str">
        <f>IF($I1652="","",IF(T1723&gt;=$H$2505,0,S1718))</f>
        <v/>
      </c>
      <c r="J1706" s="1717" t="str">
        <f>IF($I1652="","",INDEX(F_ProductBM!J:J,MATCH($P1706,F_ProductBM!$Q:$Q,0)))</f>
        <v/>
      </c>
      <c r="K1706" s="1718" t="str">
        <f>IF($I1652="","",INDEX(F_ProductBM!K:K,MATCH($P1706,F_ProductBM!$Q:$Q,0)))</f>
        <v/>
      </c>
      <c r="L1706" s="1718" t="str">
        <f>IF($I1652="","",INDEX(F_ProductBM!L:L,MATCH($P1706,F_ProductBM!$Q:$Q,0)))</f>
        <v/>
      </c>
      <c r="M1706" s="1718" t="str">
        <f>IF($I1652="","",INDEX(F_ProductBM!M:M,MATCH($P1706,F_ProductBM!$Q:$Q,0)))</f>
        <v/>
      </c>
      <c r="N1706" s="1719" t="str">
        <f>IF($I1652="","",INDEX(F_ProductBM!N:N,MATCH($P1706,F_ProductBM!$Q:$Q,0)))</f>
        <v/>
      </c>
      <c r="O1706" s="698"/>
      <c r="P1706" s="1190" t="str">
        <f>EUconst_CNTR_HALprelim&amp;I1652</f>
        <v>HALprelim_</v>
      </c>
      <c r="Q1706" s="729"/>
      <c r="R1706" s="729"/>
      <c r="S1706" s="729"/>
      <c r="T1706" s="729"/>
      <c r="U1706" s="729"/>
      <c r="V1706" s="729"/>
    </row>
    <row r="1707" spans="1:22" s="364" customFormat="1" x14ac:dyDescent="0.25">
      <c r="A1707" s="729"/>
      <c r="B1707" s="302"/>
      <c r="C1707" s="302"/>
      <c r="D1707" s="344"/>
      <c r="E1707" s="1777" t="str">
        <f>Translations!$B$949</f>
        <v>топл. ен. извън СТЕ</v>
      </c>
      <c r="F1707" s="1777"/>
      <c r="G1707" s="1777"/>
      <c r="H1707" s="1778" t="str">
        <f>EUconst_EUA</f>
        <v>Квота за емисии</v>
      </c>
      <c r="I1707" s="1779" t="str">
        <f>IF($I1652="","",IF(YEAR(J1655)&gt;=$H$2505-1,0,S1719))</f>
        <v/>
      </c>
      <c r="J1707" s="1780" t="str">
        <f>IF($I$500="","",INDEX(F_ProductBM!J:J,MATCH($P1707,F_ProductBM!$Q:$Q,0)))</f>
        <v/>
      </c>
      <c r="K1707" s="1781" t="str">
        <f>IF($I$500="","",INDEX(F_ProductBM!K:K,MATCH($P1707,F_ProductBM!$Q:$Q,0)))</f>
        <v/>
      </c>
      <c r="L1707" s="1781" t="str">
        <f>IF($I$500="","",INDEX(F_ProductBM!L:L,MATCH($P1707,F_ProductBM!$Q:$Q,0)))</f>
        <v/>
      </c>
      <c r="M1707" s="1781" t="str">
        <f>IF($I$500="","",INDEX(F_ProductBM!M:M,MATCH($P1707,F_ProductBM!$Q:$Q,0)))</f>
        <v/>
      </c>
      <c r="N1707" s="1782" t="str">
        <f>IF($I$500="","",INDEX(F_ProductBM!N:N,MATCH($P1707,F_ProductBM!$Q:$Q,0)))</f>
        <v/>
      </c>
      <c r="O1707" s="698"/>
      <c r="P1707" s="1190" t="str">
        <f>EUconst_CNTR_HEATprelim&amp;I1652</f>
        <v>HEATprelim_</v>
      </c>
      <c r="Q1707" s="729"/>
      <c r="R1707" s="729"/>
      <c r="S1707" s="729"/>
      <c r="T1707" s="729"/>
      <c r="U1707" s="729"/>
      <c r="V1707" s="729"/>
    </row>
    <row r="1708" spans="1:22" s="364" customFormat="1" x14ac:dyDescent="0.25">
      <c r="A1708" s="729"/>
      <c r="B1708" s="302"/>
      <c r="C1708" s="302"/>
      <c r="D1708" s="344"/>
      <c r="E1708" s="1783" t="str">
        <f>Translations!$B$951</f>
        <v>WGflare</v>
      </c>
      <c r="F1708" s="1783"/>
      <c r="G1708" s="1783"/>
      <c r="H1708" s="1784" t="str">
        <f>EUconst_EUA</f>
        <v>Квота за емисии</v>
      </c>
      <c r="I1708" s="1785" t="str">
        <f>IF($I1652="","",IF(T1723&gt;=$H$2505,0,S1720))</f>
        <v/>
      </c>
      <c r="J1708" s="1721" t="str">
        <f>IF($I1652="","",INDEX(F_ProductBM!J:J,MATCH($P1708,F_ProductBM!$Q:$Q,0)))</f>
        <v/>
      </c>
      <c r="K1708" s="1722" t="str">
        <f>IF($I1652="","",INDEX(F_ProductBM!K:K,MATCH($P1708,F_ProductBM!$Q:$Q,0)))</f>
        <v/>
      </c>
      <c r="L1708" s="1722" t="str">
        <f>IF($I1652="","",INDEX(F_ProductBM!L:L,MATCH($P1708,F_ProductBM!$Q:$Q,0)))</f>
        <v/>
      </c>
      <c r="M1708" s="1722" t="str">
        <f>IF($I1652="","",INDEX(F_ProductBM!M:M,MATCH($P1708,F_ProductBM!$Q:$Q,0)))</f>
        <v/>
      </c>
      <c r="N1708" s="1723" t="str">
        <f>IF($I1652="","",INDEX(F_ProductBM!N:N,MATCH($P1708,F_ProductBM!$Q:$Q,0)))</f>
        <v/>
      </c>
      <c r="O1708" s="698"/>
      <c r="P1708" s="1190" t="str">
        <f>EUconst_CNTR_HALprelim&amp;EUconst_CNTR_WGFlared&amp;$I1652</f>
        <v>HALprelim_WasteGasFlare_</v>
      </c>
      <c r="Q1708" s="729"/>
      <c r="R1708" s="729"/>
      <c r="S1708" s="729"/>
      <c r="T1708" s="729"/>
      <c r="U1708" s="729"/>
      <c r="V1708" s="729"/>
    </row>
    <row r="1709" spans="1:22" s="364" customFormat="1" x14ac:dyDescent="0.25">
      <c r="A1709" s="729"/>
      <c r="B1709" s="302"/>
      <c r="C1709" s="302"/>
      <c r="D1709" s="344"/>
      <c r="E1709" s="1783" t="s">
        <v>1442</v>
      </c>
      <c r="F1709" s="1783"/>
      <c r="G1709" s="1783"/>
      <c r="H1709" s="1784" t="str">
        <f>EUconst_EUA</f>
        <v>Квота за емисии</v>
      </c>
      <c r="I1709" s="1785" t="str">
        <f>IF($I1652="","",IF(T1723&gt;=$H$2505,0,IF(L1655=42,S1721,0)))</f>
        <v/>
      </c>
      <c r="J1709" s="1721" t="str">
        <f>IF($I1652="","",IF($L1655=42,INDEX(H_SpecialBM!J:J,MATCH($P1709,H_SpecialBM!$Q:$Q,0)),0))</f>
        <v/>
      </c>
      <c r="K1709" s="1722" t="str">
        <f>IF($I1652="","",IF($L1655=42,INDEX(H_SpecialBM!K:K,MATCH($P1709,H_SpecialBM!$Q:$Q,0)),0))</f>
        <v/>
      </c>
      <c r="L1709" s="1722" t="str">
        <f>IF($I1652="","",IF($L1655=42,INDEX(H_SpecialBM!L:L,MATCH($P1709,H_SpecialBM!$Q:$Q,0)),0))</f>
        <v/>
      </c>
      <c r="M1709" s="1722" t="str">
        <f>IF($I1652="","",IF($L1655=42,INDEX(H_SpecialBM!M:M,MATCH($P1709,H_SpecialBM!$Q:$Q,0)),0))</f>
        <v/>
      </c>
      <c r="N1709" s="1723" t="str">
        <f>IF($I1652="","",IF($L1655=42,INDEX(H_SpecialBM!N:N,MATCH($P1709,H_SpecialBM!$Q:$Q,0)),0))</f>
        <v/>
      </c>
      <c r="O1709" s="698"/>
      <c r="P1709" s="1190" t="str">
        <f>EUconst_CNTR_HVCprelim</f>
        <v>HVCprelim_</v>
      </c>
      <c r="Q1709" s="729"/>
      <c r="R1709" s="729"/>
      <c r="S1709" s="729"/>
      <c r="T1709" s="729"/>
      <c r="U1709" s="729"/>
      <c r="V1709" s="729"/>
    </row>
    <row r="1710" spans="1:22" s="364" customFormat="1" x14ac:dyDescent="0.25">
      <c r="A1710" s="729"/>
      <c r="B1710" s="302"/>
      <c r="C1710" s="302"/>
      <c r="D1710" s="344"/>
      <c r="E1710" s="1786" t="s">
        <v>1443</v>
      </c>
      <c r="F1710" s="1786"/>
      <c r="G1710" s="1786"/>
      <c r="H1710" s="1787" t="s">
        <v>1052</v>
      </c>
      <c r="I1710" s="1788" t="str">
        <f>IF($I1652="","",IF($L1655=47,IF(AND(ISNUMBER(S1722),YEAR(J1655)&lt;$J$2505),S1722,1),1))</f>
        <v/>
      </c>
      <c r="J1710" s="1725" t="str">
        <f>IF($I1652="","",IF($L1655=47,IF(ISNUMBER(INDEX(H_SpecialBM!J:J,MATCH($P1710,H_SpecialBM!$Q:$Q,0))),INDEX(H_SpecialBM!J:J,MATCH($P1710,H_SpecialBM!$Q:$Q,0)),1),1))</f>
        <v/>
      </c>
      <c r="K1710" s="1726" t="str">
        <f>IF($I1652="","",IF($L1655=47,IF(ISNUMBER(INDEX(H_SpecialBM!K:K,MATCH($P1710,H_SpecialBM!$Q:$Q,0))),INDEX(H_SpecialBM!K:K,MATCH($P1710,H_SpecialBM!$Q:$Q,0)),1),1))</f>
        <v/>
      </c>
      <c r="L1710" s="1726" t="str">
        <f>IF($I1652="","",IF($L1655=47,IF(ISNUMBER(INDEX(H_SpecialBM!L:L,MATCH($P1710,H_SpecialBM!$Q:$Q,0))),INDEX(H_SpecialBM!L:L,MATCH($P1710,H_SpecialBM!$Q:$Q,0)),1),1))</f>
        <v/>
      </c>
      <c r="M1710" s="1726" t="str">
        <f>IF($I1652="","",IF($L1655=47,IF(ISNUMBER(INDEX(H_SpecialBM!M:M,MATCH($P1710,H_SpecialBM!$Q:$Q,0))),INDEX(H_SpecialBM!M:M,MATCH($P1710,H_SpecialBM!$Q:$Q,0)),1),1))</f>
        <v/>
      </c>
      <c r="N1710" s="1727" t="str">
        <f>IF($I1652="","",IF($L1655=47,IF(ISNUMBER(INDEX(H_SpecialBM!N:N,MATCH($P1710,H_SpecialBM!$Q:$Q,0))),INDEX(H_SpecialBM!N:N,MATCH($P1710,H_SpecialBM!$Q:$Q,0)),1),1))</f>
        <v/>
      </c>
      <c r="O1710" s="698"/>
      <c r="P1710" s="1190" t="str">
        <f>EUconst_CNTR_VCMprelim</f>
        <v>VCMprelim_</v>
      </c>
      <c r="Q1710" s="729"/>
      <c r="R1710" s="729"/>
      <c r="S1710" s="729"/>
      <c r="T1710" s="729"/>
      <c r="U1710" s="729"/>
      <c r="V1710" s="729"/>
    </row>
    <row r="1711" spans="1:22" s="364" customFormat="1" x14ac:dyDescent="0.25">
      <c r="A1711" s="729"/>
      <c r="B1711" s="302"/>
      <c r="C1711" s="302"/>
      <c r="D1711" s="344"/>
      <c r="E1711" s="1789" t="str">
        <f>Translations!$B$1377</f>
        <v>Предварителна стойност</v>
      </c>
      <c r="F1711" s="1789"/>
      <c r="G1711" s="1789"/>
      <c r="H1711" s="1790" t="str">
        <f>EUconst_EUA</f>
        <v>Квота за емисии</v>
      </c>
      <c r="I1711" s="1791" t="str">
        <f>IF($I1652="","",MAX(0,ROUND((SUM($M1655)*SUM(I1706)*SUM(I1710)-SUM(I1707)-SUM(I1708)+SUM(I1709))*IF($H1655=TRUE,1,J$2412),0)))</f>
        <v/>
      </c>
      <c r="J1711" s="1714" t="str">
        <f>IF($I1652="","",MAX(0,ROUND((SUM($M1655)*SUM(J1706)*SUM(J1710)-SUM(J1707)-SUM(J1708)+SUM(J1709))*IF($H1655=TRUE,1,J$2412)*IF($I1655=TRUE,INDEX(EUconst_CBAMFactor,J1661-2020),1),0)))</f>
        <v/>
      </c>
      <c r="K1711" s="1693" t="str">
        <f>IF($I1652="","",MAX(0,ROUND((SUM($M1655)*SUM(K1706)*SUM(K1710)-SUM(K1707)-SUM(K1708)+SUM(K1709))*IF($H1655=TRUE,1,K$2412)*IF($I1655=TRUE,INDEX(EUconst_CBAMFactor,K1661-2020),1),0)))</f>
        <v/>
      </c>
      <c r="L1711" s="1693" t="str">
        <f>IF($I1652="","",MAX(0,ROUND((SUM($M1655)*SUM(L1706)*SUM(L1710)-SUM(L1707)-SUM(L1708)+SUM(L1709))*IF($H1655=TRUE,1,L$2412)*IF($I1655=TRUE,INDEX(EUconst_CBAMFactor,L1661-2020),1),0)))</f>
        <v/>
      </c>
      <c r="M1711" s="1693" t="str">
        <f>IF($I1652="","",MAX(0,ROUND((SUM($M1655)*SUM(M1706)*SUM(M1710)-SUM(M1707)-SUM(M1708)+SUM(M1709))*IF($H1655=TRUE,1,M$2412)*IF($I1655=TRUE,INDEX(EUconst_CBAMFactor,M1661-2020),1),0)))</f>
        <v/>
      </c>
      <c r="N1711" s="1715" t="str">
        <f>IF($I1652="","",MAX(0,ROUND((SUM($M1655)*SUM(N1706)*SUM(N1710)-SUM(N1707)-SUM(N1708)+SUM(N1709))*IF($H1655=TRUE,1,N$2412)*IF($I1655=TRUE,INDEX(EUconst_CBAMFactor,N1661-2020),1),0)))</f>
        <v/>
      </c>
      <c r="O1711" s="698"/>
      <c r="P1711" s="729"/>
      <c r="Q1711" s="729"/>
      <c r="R1711" s="729"/>
      <c r="S1711" s="729"/>
      <c r="T1711" s="729"/>
      <c r="U1711" s="729"/>
      <c r="V1711" s="729"/>
    </row>
    <row r="1712" spans="1:22" s="364" customFormat="1" x14ac:dyDescent="0.25">
      <c r="A1712" s="729"/>
      <c r="B1712" s="302"/>
      <c r="C1712" s="302"/>
      <c r="D1712" s="344"/>
      <c r="E1712" s="388" t="str">
        <f>Translations!$B$1584</f>
        <v>Разлика в предварителната стойност</v>
      </c>
      <c r="F1712" s="388"/>
      <c r="G1712" s="388"/>
      <c r="H1712" s="421" t="str">
        <f>EUconst_EUA</f>
        <v>Квота за емисии</v>
      </c>
      <c r="I1712" s="1792"/>
      <c r="J1712" s="1793" t="str">
        <f>IF(J1711="","",SUM(J1711)-SUM(J1671))</f>
        <v/>
      </c>
      <c r="K1712" s="998" t="str">
        <f t="shared" ref="K1712" si="149">IF(K1711="","",SUM(K1711)-SUM(K1671))</f>
        <v/>
      </c>
      <c r="L1712" s="998" t="str">
        <f t="shared" ref="L1712:N1712" si="150">IF(L1711="","",SUM(L1711)-SUM(L1671))</f>
        <v/>
      </c>
      <c r="M1712" s="998" t="str">
        <f t="shared" si="150"/>
        <v/>
      </c>
      <c r="N1712" s="1794" t="str">
        <f t="shared" si="150"/>
        <v/>
      </c>
      <c r="O1712" s="698"/>
      <c r="P1712" s="729"/>
      <c r="Q1712" s="729"/>
      <c r="R1712" s="729"/>
      <c r="S1712" s="1795"/>
      <c r="T1712" s="1165"/>
      <c r="U1712" s="711"/>
      <c r="V1712" s="343"/>
    </row>
    <row r="1713" spans="1:22" s="364" customFormat="1" x14ac:dyDescent="0.25">
      <c r="A1713" s="729"/>
      <c r="B1713" s="302"/>
      <c r="C1713" s="302"/>
      <c r="D1713" s="344"/>
      <c r="E1713" s="1796" t="str">
        <f>Translations!$B$1581</f>
        <v>Критерий 4: Разлика от поне 300 квоти за емисии?</v>
      </c>
      <c r="F1713" s="1796"/>
      <c r="G1713" s="1796"/>
      <c r="H1713" s="1797" t="s">
        <v>1052</v>
      </c>
      <c r="I1713" s="1792"/>
      <c r="J1713" s="1798" t="str">
        <f>IF(J1712="","",ABS(J1712)&gt;=300)</f>
        <v/>
      </c>
      <c r="K1713" s="1799" t="str">
        <f t="shared" ref="K1713:N1713" si="151">IF(K1712="","",ABS(K1712)&gt;=300)</f>
        <v/>
      </c>
      <c r="L1713" s="1799" t="str">
        <f t="shared" si="151"/>
        <v/>
      </c>
      <c r="M1713" s="1799" t="str">
        <f t="shared" si="151"/>
        <v/>
      </c>
      <c r="N1713" s="1800" t="str">
        <f t="shared" si="151"/>
        <v/>
      </c>
      <c r="O1713" s="698"/>
      <c r="P1713" s="1190" t="str">
        <f>EUconst_CNTR_300EUA&amp;I1652</f>
        <v>EUA300_</v>
      </c>
      <c r="Q1713" s="1174" t="s">
        <v>2547</v>
      </c>
      <c r="R1713" s="280" t="str">
        <f>IF($I1652="","",IF(R1657&gt;$U1655,0%,INDEX(F_ProductBM!V:V,MATCH($P1713,F_ProductBM!$Q:$Q,0))))</f>
        <v/>
      </c>
      <c r="S1713" s="280" t="str">
        <f>IF($I1652="","",IF(S1657&gt;$U1655,0%,INDEX(F_ProductBM!W:W,MATCH($P1713,F_ProductBM!$Q:$Q,0))))</f>
        <v/>
      </c>
      <c r="T1713" s="280" t="str">
        <f>IF($I1652="","",IF(T1657&gt;$U1655,0%,INDEX(F_ProductBM!X:X,MATCH($P1713,F_ProductBM!$Q:$Q,0))))</f>
        <v/>
      </c>
      <c r="U1713" s="280" t="str">
        <f>IF($I1652="","",IF(U1657&gt;$U1655,0%,INDEX(F_ProductBM!Y:Y,MATCH($P1713,F_ProductBM!$Q:$Q,0))))</f>
        <v/>
      </c>
      <c r="V1713" s="280" t="str">
        <f>IF($I1652="","",IF(V1657&gt;$U1655,0%,INDEX(F_ProductBM!Z:Z,MATCH($P1713,F_ProductBM!$Q:$Q,0))))</f>
        <v/>
      </c>
    </row>
    <row r="1714" spans="1:22" s="364" customFormat="1" ht="5.15" customHeight="1" thickBot="1" x14ac:dyDescent="0.3">
      <c r="A1714" s="729"/>
      <c r="B1714" s="302"/>
      <c r="C1714" s="302"/>
      <c r="D1714" s="1801"/>
      <c r="E1714" s="1762"/>
      <c r="F1714" s="1762"/>
      <c r="G1714" s="1762"/>
      <c r="H1714" s="1762"/>
      <c r="I1714" s="1762"/>
      <c r="J1714" s="1762"/>
      <c r="K1714" s="1762"/>
      <c r="L1714" s="1762"/>
      <c r="M1714" s="1762"/>
      <c r="N1714" s="1764"/>
      <c r="O1714" s="698"/>
      <c r="P1714" s="729"/>
      <c r="Q1714" s="729"/>
      <c r="R1714" s="729"/>
      <c r="S1714" s="729"/>
      <c r="T1714" s="729"/>
      <c r="U1714" s="343"/>
      <c r="V1714" s="343"/>
    </row>
    <row r="1715" spans="1:22" s="364" customFormat="1" ht="5.15" customHeight="1" thickBot="1" x14ac:dyDescent="0.35">
      <c r="A1715" s="729"/>
      <c r="B1715" s="302"/>
      <c r="C1715" s="357"/>
      <c r="D1715" s="357"/>
      <c r="E1715" s="302"/>
      <c r="F1715" s="302"/>
      <c r="G1715" s="302"/>
      <c r="H1715" s="302"/>
      <c r="I1715" s="1746"/>
      <c r="J1715" s="302"/>
      <c r="K1715" s="302"/>
      <c r="L1715" s="302"/>
      <c r="M1715" s="302"/>
      <c r="N1715" s="302"/>
      <c r="O1715" s="698"/>
      <c r="P1715" s="729"/>
      <c r="Q1715" s="729"/>
      <c r="R1715" s="729"/>
      <c r="S1715" s="729"/>
      <c r="T1715" s="729"/>
      <c r="U1715" s="343"/>
      <c r="V1715" s="343"/>
    </row>
    <row r="1716" spans="1:22" s="364" customFormat="1" ht="5.15" customHeight="1" x14ac:dyDescent="0.25">
      <c r="A1716" s="729"/>
      <c r="B1716" s="302"/>
      <c r="C1716" s="302"/>
      <c r="D1716" s="1765"/>
      <c r="E1716" s="1766"/>
      <c r="F1716" s="1766"/>
      <c r="G1716" s="1766"/>
      <c r="H1716" s="1766"/>
      <c r="I1716" s="1767"/>
      <c r="J1716" s="1766"/>
      <c r="K1716" s="1766"/>
      <c r="L1716" s="1766"/>
      <c r="M1716" s="1766"/>
      <c r="N1716" s="1768"/>
      <c r="O1716" s="698"/>
      <c r="P1716" s="729"/>
      <c r="Q1716" s="729"/>
      <c r="R1716" s="729"/>
      <c r="S1716" s="729"/>
      <c r="T1716" s="770"/>
      <c r="U1716" s="343"/>
      <c r="V1716" s="343"/>
    </row>
    <row r="1717" spans="1:22" s="364" customFormat="1" ht="13" x14ac:dyDescent="0.25">
      <c r="A1717" s="729"/>
      <c r="B1717" s="302"/>
      <c r="C1717" s="302"/>
      <c r="D1717" s="344"/>
      <c r="E1717" s="313" t="str">
        <f>Translations!$B$1387</f>
        <v>Използвани действителни стойности</v>
      </c>
      <c r="F1717" s="302"/>
      <c r="G1717" s="302"/>
      <c r="H1717" s="527" t="str">
        <f>EUconst_Unit</f>
        <v>Единица мярка</v>
      </c>
      <c r="I1717" s="1802" t="str">
        <f>Translations!$B$1341</f>
        <v>Базова стойност</v>
      </c>
      <c r="J1717" s="1523">
        <f>J$2505</f>
        <v>2026</v>
      </c>
      <c r="K1717" s="387">
        <f>K$2505</f>
        <v>2027</v>
      </c>
      <c r="L1717" s="387">
        <f>L$2505</f>
        <v>2028</v>
      </c>
      <c r="M1717" s="387">
        <f>M$2505</f>
        <v>2029</v>
      </c>
      <c r="N1717" s="1544">
        <f>N$2505</f>
        <v>2030</v>
      </c>
      <c r="O1717" s="698"/>
      <c r="P1717" s="729"/>
      <c r="Q1717" s="729"/>
      <c r="R1717" s="729"/>
      <c r="S1717" s="1519" t="str">
        <f>Translations!$B$1284</f>
        <v>HAL</v>
      </c>
      <c r="T1717" s="770"/>
      <c r="U1717" s="343"/>
      <c r="V1717" s="343"/>
    </row>
    <row r="1718" spans="1:22" s="364" customFormat="1" x14ac:dyDescent="0.25">
      <c r="A1718" s="729"/>
      <c r="B1718" s="302"/>
      <c r="C1718" s="302"/>
      <c r="D1718" s="344"/>
      <c r="E1718" s="392" t="str">
        <f>Translations!$B$1388</f>
        <v>Равнище на дейност</v>
      </c>
      <c r="F1718" s="392"/>
      <c r="G1718" s="392"/>
      <c r="H1718" s="1730" t="str">
        <f>H1706</f>
        <v>тона</v>
      </c>
      <c r="I1718" s="1776" t="str">
        <f>IF($I1652="","",IF(T1723&gt;=$H$2504,0,S1718))</f>
        <v/>
      </c>
      <c r="J1718" s="1732" t="str">
        <f>IF($I1652="","",INDEX(F_ProductBM!J:J,MATCH($P1718,F_ProductBM!$Q:$Q,0)))</f>
        <v/>
      </c>
      <c r="K1718" s="394" t="str">
        <f>IF($I1652="","",INDEX(F_ProductBM!K:K,MATCH($P1718,F_ProductBM!$Q:$Q,0)))</f>
        <v/>
      </c>
      <c r="L1718" s="394" t="str">
        <f>IF($I1652="","",INDEX(F_ProductBM!L:L,MATCH($P1718,F_ProductBM!$Q:$Q,0)))</f>
        <v/>
      </c>
      <c r="M1718" s="394" t="str">
        <f>IF($I1652="","",INDEX(F_ProductBM!M:M,MATCH($P1718,F_ProductBM!$Q:$Q,0)))</f>
        <v/>
      </c>
      <c r="N1718" s="1733" t="str">
        <f>IF($I1652="","",INDEX(F_ProductBM!N:N,MATCH($P1718,F_ProductBM!$Q:$Q,0)))</f>
        <v/>
      </c>
      <c r="O1718" s="698"/>
      <c r="P1718" s="1190" t="str">
        <f>EUconst_CNTR_HALfinal&amp;I1652</f>
        <v>HALfinal_</v>
      </c>
      <c r="Q1718" s="729"/>
      <c r="R1718" s="729"/>
      <c r="S1718" s="1803" t="str">
        <f>IF($I1652="","",INDEX(F_ProductBM!I:I,MATCH($P1718,F_ProductBM!$Q:$Q,0)))</f>
        <v/>
      </c>
      <c r="T1718" s="770"/>
      <c r="U1718" s="343"/>
      <c r="V1718" s="343"/>
    </row>
    <row r="1719" spans="1:22" s="364" customFormat="1" x14ac:dyDescent="0.25">
      <c r="A1719" s="729"/>
      <c r="B1719" s="302"/>
      <c r="C1719" s="302"/>
      <c r="D1719" s="344"/>
      <c r="E1719" s="503" t="str">
        <f>Translations!$B$949</f>
        <v>топл. ен. извън СТЕ</v>
      </c>
      <c r="F1719" s="503"/>
      <c r="G1719" s="503"/>
      <c r="H1719" s="1804" t="str">
        <f>EUconst_EUA</f>
        <v>Квота за емисии</v>
      </c>
      <c r="I1719" s="1779" t="str">
        <f>IF($I1652="","",IF(YEAR(J1655)&gt;=$H$2504-1,0,S1719))</f>
        <v/>
      </c>
      <c r="J1719" s="1805" t="str">
        <f>IF($I1652="","",INDEX(F_ProductBM!J:J,MATCH($P1719,F_ProductBM!$Q:$Q,0)))</f>
        <v/>
      </c>
      <c r="K1719" s="1806" t="str">
        <f>IF($I1652="","",INDEX(F_ProductBM!K:K,MATCH($P1719,F_ProductBM!$Q:$Q,0)))</f>
        <v/>
      </c>
      <c r="L1719" s="1806" t="str">
        <f>IF($I1652="","",INDEX(F_ProductBM!L:L,MATCH($P1719,F_ProductBM!$Q:$Q,0)))</f>
        <v/>
      </c>
      <c r="M1719" s="1806" t="str">
        <f>IF($I1652="","",INDEX(F_ProductBM!M:M,MATCH($P1719,F_ProductBM!$Q:$Q,0)))</f>
        <v/>
      </c>
      <c r="N1719" s="1807" t="str">
        <f>IF($I1652="","",INDEX(F_ProductBM!N:N,MATCH($P1719,F_ProductBM!$Q:$Q,0)))</f>
        <v/>
      </c>
      <c r="O1719" s="698"/>
      <c r="P1719" s="1190" t="str">
        <f>EUconst_CNTR_HEATfinal&amp;I1652</f>
        <v>HEATfinal_</v>
      </c>
      <c r="Q1719" s="729"/>
      <c r="R1719" s="729"/>
      <c r="S1719" s="1808" t="str">
        <f>IF($I1652="","",INDEX(F_ProductBM!I:I,MATCH($P1719,F_ProductBM!$Q:$Q,0)))</f>
        <v/>
      </c>
      <c r="T1719" s="770"/>
      <c r="U1719" s="343"/>
      <c r="V1719" s="343"/>
    </row>
    <row r="1720" spans="1:22" s="364" customFormat="1" x14ac:dyDescent="0.25">
      <c r="A1720" s="729"/>
      <c r="B1720" s="302"/>
      <c r="C1720" s="302"/>
      <c r="D1720" s="344"/>
      <c r="E1720" s="398" t="str">
        <f>Translations!$B$951</f>
        <v>WGflare</v>
      </c>
      <c r="F1720" s="398"/>
      <c r="G1720" s="398"/>
      <c r="H1720" s="516" t="str">
        <f>EUconst_EUA</f>
        <v>Квота за емисии</v>
      </c>
      <c r="I1720" s="1785" t="str">
        <f>IF($I1652="","",IF(T1723&gt;=$H$2504,0,S1720))</f>
        <v/>
      </c>
      <c r="J1720" s="1809" t="str">
        <f>IF($I1652="","",INDEX(F_ProductBM!J:J,MATCH($P1720,F_ProductBM!$Q:$Q,0)))</f>
        <v/>
      </c>
      <c r="K1720" s="1810" t="str">
        <f>IF($I1652="","",INDEX(F_ProductBM!K:K,MATCH($P1720,F_ProductBM!$Q:$Q,0)))</f>
        <v/>
      </c>
      <c r="L1720" s="1810" t="str">
        <f>IF($I1652="","",INDEX(F_ProductBM!L:L,MATCH($P1720,F_ProductBM!$Q:$Q,0)))</f>
        <v/>
      </c>
      <c r="M1720" s="1810" t="str">
        <f>IF($I1652="","",INDEX(F_ProductBM!M:M,MATCH($P1720,F_ProductBM!$Q:$Q,0)))</f>
        <v/>
      </c>
      <c r="N1720" s="1811" t="str">
        <f>IF($I1652="","",INDEX(F_ProductBM!N:N,MATCH($P1720,F_ProductBM!$Q:$Q,0)))</f>
        <v/>
      </c>
      <c r="O1720" s="698"/>
      <c r="P1720" s="1190" t="str">
        <f>EUconst_CNTR_HALfinal&amp;EUconst_CNTR_WGFlared&amp;$I1652</f>
        <v>HALfinal_WasteGasFlare_</v>
      </c>
      <c r="Q1720" s="729"/>
      <c r="R1720" s="729"/>
      <c r="S1720" s="1812" t="str">
        <f>IF($I1652="","",INDEX(F_ProductBM!I:I,MATCH($P1720,F_ProductBM!$Q:$Q,0)))</f>
        <v/>
      </c>
      <c r="T1720" s="770"/>
      <c r="U1720" s="343"/>
      <c r="V1720" s="343"/>
    </row>
    <row r="1721" spans="1:22" s="364" customFormat="1" x14ac:dyDescent="0.25">
      <c r="A1721" s="729"/>
      <c r="B1721" s="302"/>
      <c r="C1721" s="302"/>
      <c r="D1721" s="344"/>
      <c r="E1721" s="398" t="s">
        <v>1442</v>
      </c>
      <c r="F1721" s="398"/>
      <c r="G1721" s="398"/>
      <c r="H1721" s="516" t="str">
        <f>EUconst_EUA</f>
        <v>Квота за емисии</v>
      </c>
      <c r="I1721" s="1785" t="str">
        <f>IF($I1652="","",IF(T1723&gt;=$H$2504,0,IF(L1655=42,S1721,0)))</f>
        <v/>
      </c>
      <c r="J1721" s="1809" t="str">
        <f>IF($I1652="","",IF($L1655=42,INDEX(H_SpecialBM!J:J,MATCH($P1721,H_SpecialBM!$Q:$Q,0)),0))</f>
        <v/>
      </c>
      <c r="K1721" s="1810" t="str">
        <f>IF($I1652="","",IF($L1655=42,INDEX(H_SpecialBM!K:K,MATCH($P1721,H_SpecialBM!$Q:$Q,0)),0))</f>
        <v/>
      </c>
      <c r="L1721" s="1810" t="str">
        <f>IF($I1652="","",IF($L1655=42,INDEX(H_SpecialBM!L:L,MATCH($P1721,H_SpecialBM!$Q:$Q,0)),0))</f>
        <v/>
      </c>
      <c r="M1721" s="1810" t="str">
        <f>IF($I1652="","",IF($L1655=42,INDEX(H_SpecialBM!M:M,MATCH($P1721,H_SpecialBM!$Q:$Q,0)),0))</f>
        <v/>
      </c>
      <c r="N1721" s="1811" t="str">
        <f>IF($I1652="","",IF($L1655=42,INDEX(H_SpecialBM!N:N,MATCH($P1721,H_SpecialBM!$Q:$Q,0)),0))</f>
        <v/>
      </c>
      <c r="O1721" s="698"/>
      <c r="P1721" s="1190" t="str">
        <f>EUconst_CNTR_HVCfinal</f>
        <v>HVCfinal_</v>
      </c>
      <c r="Q1721" s="729"/>
      <c r="R1721" s="729"/>
      <c r="S1721" s="1812" t="str">
        <f>IF($I1652="","",IF(L1655=42,INDEX(H_SpecialBM!I:I,MATCH($P1721,H_SpecialBM!$Q:$Q,0)),0))</f>
        <v/>
      </c>
      <c r="T1721" s="770"/>
      <c r="U1721" s="343"/>
      <c r="V1721" s="343"/>
    </row>
    <row r="1722" spans="1:22" s="364" customFormat="1" x14ac:dyDescent="0.25">
      <c r="A1722" s="729"/>
      <c r="B1722" s="302"/>
      <c r="C1722" s="302"/>
      <c r="D1722" s="344"/>
      <c r="E1722" s="401" t="s">
        <v>1443</v>
      </c>
      <c r="F1722" s="401"/>
      <c r="G1722" s="401"/>
      <c r="H1722" s="483" t="s">
        <v>1052</v>
      </c>
      <c r="I1722" s="1788" t="str">
        <f>IF($I1652="","",IF($L1655=47,IF(AND(ISNUMBER(S1722),YEAR(J1655)&lt;2021),S1722,1),1))</f>
        <v/>
      </c>
      <c r="J1722" s="1813" t="str">
        <f>IF($I1652="","",IF($L1655=47,IF(ISNUMBER(INDEX(H_SpecialBM!J:J,MATCH($P1722,H_SpecialBM!$Q:$Q,0))),INDEX(H_SpecialBM!J:J,MATCH($P1722,H_SpecialBM!$Q:$Q,0)),1),1))</f>
        <v/>
      </c>
      <c r="K1722" s="1814" t="str">
        <f>IF($I1652="","",IF($L1655=47,IF(ISNUMBER(INDEX(H_SpecialBM!K:K,MATCH($P1722,H_SpecialBM!$Q:$Q,0))),INDEX(H_SpecialBM!K:K,MATCH($P1722,H_SpecialBM!$Q:$Q,0)),1),1))</f>
        <v/>
      </c>
      <c r="L1722" s="1814" t="str">
        <f>IF($I1652="","",IF($L1655=47,IF(ISNUMBER(INDEX(H_SpecialBM!L:L,MATCH($P1722,H_SpecialBM!$Q:$Q,0))),INDEX(H_SpecialBM!L:L,MATCH($P1722,H_SpecialBM!$Q:$Q,0)),1),1))</f>
        <v/>
      </c>
      <c r="M1722" s="1814" t="str">
        <f>IF($I1652="","",IF($L1655=47,IF(ISNUMBER(INDEX(H_SpecialBM!M:M,MATCH($P1722,H_SpecialBM!$Q:$Q,0))),INDEX(H_SpecialBM!M:M,MATCH($P1722,H_SpecialBM!$Q:$Q,0)),1),1))</f>
        <v/>
      </c>
      <c r="N1722" s="1815" t="str">
        <f>IF($I1652="","",IF($L1655=47,IF(ISNUMBER(INDEX(H_SpecialBM!N:N,MATCH($P1722,H_SpecialBM!$Q:$Q,0))),INDEX(H_SpecialBM!N:N,MATCH($P1722,H_SpecialBM!$Q:$Q,0)),1),1))</f>
        <v/>
      </c>
      <c r="O1722" s="698"/>
      <c r="P1722" s="1190" t="str">
        <f>EUconst_CNTR_VCMfinal</f>
        <v>VCMfinal_</v>
      </c>
      <c r="Q1722" s="729"/>
      <c r="R1722" s="729"/>
      <c r="S1722" s="1816" t="str">
        <f>IF($I1652="","",IF($L1655=47,IF(ISNUMBER(INDEX(H_SpecialBM!I:I,MATCH($P1722,H_SpecialBM!$Q:$Q,0))),INDEX(H_SpecialBM!I:I,MATCH($P1722,H_SpecialBM!$Q:$Q,0)),1),1))</f>
        <v/>
      </c>
      <c r="T1722" s="729"/>
      <c r="U1722" s="343"/>
      <c r="V1722" s="343"/>
    </row>
    <row r="1723" spans="1:22" s="364" customFormat="1" x14ac:dyDescent="0.25">
      <c r="A1723" s="729"/>
      <c r="B1723" s="302"/>
      <c r="C1723" s="302"/>
      <c r="D1723" s="344"/>
      <c r="E1723" s="388" t="str">
        <f>Translations!$B$892</f>
        <v>Предварително разпределяне</v>
      </c>
      <c r="F1723" s="388"/>
      <c r="G1723" s="388"/>
      <c r="H1723" s="421" t="str">
        <f>EUconst_EUA</f>
        <v>Квота за емисии</v>
      </c>
      <c r="I1723" s="1791" t="str">
        <f>IF($I1652="","",MAX(0,ROUND((SUM($M1655)*SUM(I1718)*SUM(I1722)-SUM(I1719)-SUM(I1720)+SUM(I1721))*IF($H1655=TRUE,1,J$2412),0)))</f>
        <v/>
      </c>
      <c r="J1723" s="1694" t="str">
        <f>IF($I1652="","",MAX(0,ROUND((SUM(R1713)*SUM($M1655)*SUM(J1718)*SUM(J1722)-SUM(J1719)-SUM(J1720)+SUM(J1721))*IF($H1655=TRUE,1,J$2412)*IF($I1655=TRUE,INDEX(EUconst_CBAMFactor,J1661-2020),1),0)))</f>
        <v/>
      </c>
      <c r="K1723" s="406" t="str">
        <f>IF($I1652="","",MAX(0,ROUND((SUM(S1713)*SUM($M1655)*SUM(K1718)*SUM(K1722)-SUM(K1719)-SUM(K1720)+SUM(K1721))*IF($H1655=TRUE,1,K$2412)*IF($I1655=TRUE,INDEX(EUconst_CBAMFactor,K1661-2020),1),0)))</f>
        <v/>
      </c>
      <c r="L1723" s="406" t="str">
        <f>IF($I1652="","",MAX(0,ROUND((SUM(T1713)*SUM($M1655)*SUM(L1718)*SUM(L1722)-SUM(L1719)-SUM(L1720)+SUM(L1721))*IF($H1655=TRUE,1,L$2412)*IF($I1655=TRUE,INDEX(EUconst_CBAMFactor,L1661-2020),1),0)))</f>
        <v/>
      </c>
      <c r="M1723" s="406" t="str">
        <f>IF($I1652="","",MAX(0,ROUND((SUM(U1713)*SUM($M1655)*SUM(M1718)*SUM(M1722)-SUM(M1719)-SUM(M1720)+SUM(M1721))*IF($H1655=TRUE,1,M$2412)*IF($I1655=TRUE,INDEX(EUconst_CBAMFactor,M1661-2020),1),0)))</f>
        <v/>
      </c>
      <c r="N1723" s="1729" t="str">
        <f>IF($I1652="","",MAX(0,ROUND((SUM(V1713)*SUM($M1655)*SUM(N1718)*SUM(N1722)-SUM(N1719)-SUM(N1720)+SUM(N1721))*IF($H1655=TRUE,1,N$2412)*IF($I1655=TRUE,INDEX(EUconst_CBAMFactor,N1661-2020),1),0)))</f>
        <v/>
      </c>
      <c r="O1723" s="698"/>
      <c r="P1723" s="1190" t="str">
        <f>EUconst_AllocPrelim&amp;I1652</f>
        <v>AllocPrelim_</v>
      </c>
      <c r="Q1723" s="729"/>
      <c r="R1723" s="729"/>
      <c r="S1723" s="1817" t="str">
        <f>IF($I1652="","",MAX(0,ROUND((SUM($M1655)*SUM(S1718)*SUM(S1722)-SUM(S1719)-SUM(S1720)+SUM(S1721))*IF($H1655=TRUE,1,J$2412),0)))</f>
        <v/>
      </c>
      <c r="T1723" s="1176">
        <f>INDEX(F_ProductBM!V:V,MATCH(C1652,F_ProductBM!C:C,0))</f>
        <v>2005</v>
      </c>
      <c r="U1723" s="727" t="b">
        <f>OR(INDEX(I1723:N1723,CNTR_ReportingYear-$I$2505)&lt;&gt;INDEX(I1723:N1723,CNTR_ReportingYear-$H$2505),
(CNTR_ReportingYear-T1723)&lt;=1)</f>
        <v>0</v>
      </c>
      <c r="V1723" s="716" t="b">
        <f ca="1">IF(I1723="",FALSE,COUNTIF(OFFSET(I1723,,,,MAX(1,CNTR_ReportingYear-$I$2505)),"&lt;&gt;" &amp; INDEX(I1723:N1723,CNTR_ReportingYear-$H$2505))&gt;0)</f>
        <v>0</v>
      </c>
    </row>
    <row r="1724" spans="1:22" s="364" customFormat="1" ht="5.15" customHeight="1" thickBot="1" x14ac:dyDescent="0.3">
      <c r="A1724" s="729"/>
      <c r="B1724" s="302"/>
      <c r="C1724" s="302"/>
      <c r="D1724" s="1801"/>
      <c r="E1724" s="1762"/>
      <c r="F1724" s="1762"/>
      <c r="G1724" s="1762"/>
      <c r="H1724" s="1762"/>
      <c r="I1724" s="1762"/>
      <c r="J1724" s="1762"/>
      <c r="K1724" s="1762"/>
      <c r="L1724" s="1762"/>
      <c r="M1724" s="1762"/>
      <c r="N1724" s="1764"/>
      <c r="O1724" s="698"/>
      <c r="P1724" s="729"/>
      <c r="Q1724" s="729"/>
      <c r="R1724" s="729"/>
      <c r="S1724" s="729"/>
      <c r="T1724" s="729"/>
      <c r="U1724" s="343"/>
      <c r="V1724" s="343"/>
    </row>
    <row r="1725" spans="1:22" s="364" customFormat="1" ht="5.15" customHeight="1" thickBot="1" x14ac:dyDescent="0.3">
      <c r="A1725" s="729"/>
      <c r="B1725" s="302"/>
      <c r="C1725" s="302"/>
      <c r="E1725" s="360"/>
      <c r="F1725" s="302"/>
      <c r="G1725" s="302"/>
      <c r="H1725" s="302"/>
      <c r="I1725" s="302"/>
      <c r="J1725" s="302"/>
      <c r="K1725" s="302"/>
      <c r="L1725" s="302"/>
      <c r="M1725" s="302"/>
      <c r="N1725" s="302"/>
      <c r="O1725" s="698"/>
      <c r="P1725" s="729"/>
      <c r="Q1725" s="729"/>
      <c r="R1725" s="729"/>
      <c r="S1725" s="729"/>
      <c r="T1725" s="729"/>
      <c r="U1725" s="343"/>
      <c r="V1725" s="343"/>
    </row>
    <row r="1726" spans="1:22" s="364" customFormat="1" ht="12.75" customHeight="1" x14ac:dyDescent="0.25">
      <c r="A1726" s="729"/>
      <c r="B1726" s="302"/>
      <c r="C1726" s="302"/>
      <c r="D1726" s="1818"/>
      <c r="E1726" s="1819"/>
      <c r="F1726" s="1819"/>
      <c r="G1726" s="1300"/>
      <c r="H1726" s="1300"/>
      <c r="I1726" s="1300"/>
      <c r="J1726" s="1300"/>
      <c r="K1726" s="1300"/>
      <c r="L1726" s="1300"/>
      <c r="M1726" s="1300"/>
      <c r="N1726" s="1301"/>
      <c r="O1726" s="698"/>
      <c r="P1726" s="729"/>
      <c r="Q1726" s="729"/>
      <c r="R1726" s="729"/>
      <c r="S1726" s="729"/>
      <c r="T1726" s="729"/>
      <c r="U1726" s="343"/>
      <c r="V1726" s="343"/>
    </row>
    <row r="1727" spans="1:22" s="364" customFormat="1" ht="13.5" thickBot="1" x14ac:dyDescent="0.3">
      <c r="A1727" s="729"/>
      <c r="B1727" s="302"/>
      <c r="C1727" s="302"/>
      <c r="D1727" s="1820"/>
      <c r="E1727" s="625"/>
      <c r="F1727" s="625"/>
      <c r="G1727" s="627" t="str">
        <f>EUconst_Unit</f>
        <v>Единица мярка</v>
      </c>
      <c r="H1727" s="628">
        <f t="shared" ref="H1727:M1727" si="152">H$2505</f>
        <v>2024</v>
      </c>
      <c r="I1727" s="1821">
        <f t="shared" si="152"/>
        <v>2025</v>
      </c>
      <c r="J1727" s="1311">
        <f t="shared" si="152"/>
        <v>2026</v>
      </c>
      <c r="K1727" s="629">
        <f t="shared" si="152"/>
        <v>2027</v>
      </c>
      <c r="L1727" s="629">
        <f t="shared" si="152"/>
        <v>2028</v>
      </c>
      <c r="M1727" s="629">
        <f t="shared" si="152"/>
        <v>2029</v>
      </c>
      <c r="N1727" s="1312">
        <f>N$2505</f>
        <v>2030</v>
      </c>
      <c r="O1727" s="698"/>
      <c r="P1727" s="729"/>
      <c r="Q1727" s="729"/>
      <c r="R1727" s="729"/>
      <c r="S1727" s="729"/>
      <c r="T1727" s="770"/>
      <c r="U1727" s="343"/>
      <c r="V1727" s="343"/>
    </row>
    <row r="1728" spans="1:22" s="364" customFormat="1" ht="13.5" customHeight="1" thickBot="1" x14ac:dyDescent="0.3">
      <c r="A1728" s="729"/>
      <c r="B1728" s="302"/>
      <c r="C1728" s="302"/>
      <c r="D1728" s="1820"/>
      <c r="E1728" s="2929" t="str">
        <f>Translations!$B$956</f>
        <v>Общо зададени емисии</v>
      </c>
      <c r="F1728" s="2929"/>
      <c r="G1728" s="631" t="str">
        <f>EUconst_tCO2epa</f>
        <v>t CO2e/година</v>
      </c>
      <c r="H1728" s="661" t="str">
        <f t="shared" ref="H1728:N1728" si="153">INDEX(H$95:H$114,MATCH($I1652,$E$95:$E$114,0))</f>
        <v/>
      </c>
      <c r="I1728" s="1822" t="str">
        <f t="shared" si="153"/>
        <v/>
      </c>
      <c r="J1728" s="661" t="str">
        <f t="shared" si="153"/>
        <v/>
      </c>
      <c r="K1728" s="662" t="str">
        <f t="shared" si="153"/>
        <v/>
      </c>
      <c r="L1728" s="662" t="str">
        <f t="shared" si="153"/>
        <v/>
      </c>
      <c r="M1728" s="662" t="str">
        <f t="shared" si="153"/>
        <v/>
      </c>
      <c r="N1728" s="663" t="str">
        <f t="shared" si="153"/>
        <v/>
      </c>
      <c r="O1728" s="698"/>
      <c r="P1728" s="729"/>
      <c r="Q1728" s="729"/>
      <c r="R1728" s="729"/>
      <c r="S1728" s="729"/>
      <c r="T1728" s="770"/>
      <c r="U1728" s="343"/>
      <c r="V1728" s="343"/>
    </row>
    <row r="1729" spans="1:22" s="364" customFormat="1" ht="5.15" customHeight="1" x14ac:dyDescent="0.25">
      <c r="A1729" s="729"/>
      <c r="B1729" s="302"/>
      <c r="C1729" s="302"/>
      <c r="D1729" s="1820"/>
      <c r="E1729" s="643"/>
      <c r="F1729" s="643"/>
      <c r="G1729" s="625"/>
      <c r="H1729" s="635"/>
      <c r="I1729" s="635"/>
      <c r="J1729" s="635"/>
      <c r="K1729" s="635"/>
      <c r="L1729" s="635"/>
      <c r="M1729" s="635"/>
      <c r="N1729" s="1823"/>
      <c r="O1729" s="698"/>
      <c r="P1729" s="729"/>
      <c r="Q1729" s="729"/>
      <c r="R1729" s="729"/>
      <c r="S1729" s="729"/>
      <c r="T1729" s="770"/>
      <c r="U1729" s="343"/>
      <c r="V1729" s="343"/>
    </row>
    <row r="1730" spans="1:22" s="364" customFormat="1" ht="12.75" customHeight="1" x14ac:dyDescent="0.25">
      <c r="A1730" s="729"/>
      <c r="B1730" s="302"/>
      <c r="C1730" s="302"/>
      <c r="D1730" s="1820"/>
      <c r="E1730" s="2818" t="str">
        <f>Translations!$B$521</f>
        <v>Вложени горива</v>
      </c>
      <c r="F1730" s="2701"/>
      <c r="G1730" s="1326" t="str">
        <f>EUconst_TJpa</f>
        <v>TJ / година</v>
      </c>
      <c r="H1730" s="482" t="str">
        <f>IF($I1652="","",IF(INDEX(F_ProductBM!H:H,MATCH($P1730,F_ProductBM!$Q:$Q,0))="","",INDEX(F_ProductBM!H:H,MATCH($P1730,F_ProductBM!$Q:$Q,0))))</f>
        <v/>
      </c>
      <c r="I1730" s="1824" t="str">
        <f>IF($I1652="","",IF(INDEX(F_ProductBM!I:I,MATCH($P1730,F_ProductBM!$Q:$Q,0))="","",INDEX(F_ProductBM!I:I,MATCH($P1730,F_ProductBM!$Q:$Q,0))))</f>
        <v/>
      </c>
      <c r="J1730" s="1825" t="str">
        <f>IF($I1652="","",IF(INDEX(F_ProductBM!J:J,MATCH($P1730,F_ProductBM!$Q:$Q,0))="","",INDEX(F_ProductBM!J:J,MATCH($P1730,F_ProductBM!$Q:$Q,0))))</f>
        <v/>
      </c>
      <c r="K1730" s="482" t="str">
        <f>IF($I1652="","",IF(INDEX(F_ProductBM!K:K,MATCH($P1730,F_ProductBM!$Q:$Q,0))="","",INDEX(F_ProductBM!K:K,MATCH($P1730,F_ProductBM!$Q:$Q,0))))</f>
        <v/>
      </c>
      <c r="L1730" s="482" t="str">
        <f>IF($I1652="","",IF(INDEX(F_ProductBM!L:L,MATCH($P1730,F_ProductBM!$Q:$Q,0))="","",INDEX(F_ProductBM!L:L,MATCH($P1730,F_ProductBM!$Q:$Q,0))))</f>
        <v/>
      </c>
      <c r="M1730" s="482" t="str">
        <f>IF($I1652="","",IF(INDEX(F_ProductBM!M:M,MATCH($P1730,F_ProductBM!$Q:$Q,0))="","",INDEX(F_ProductBM!M:M,MATCH($P1730,F_ProductBM!$Q:$Q,0))))</f>
        <v/>
      </c>
      <c r="N1730" s="1826" t="str">
        <f>IF($I1652="","",IF(INDEX(F_ProductBM!N:N,MATCH($P1730,F_ProductBM!$Q:$Q,0))="","",INDEX(F_ProductBM!N:N,MATCH($P1730,F_ProductBM!$Q:$Q,0))))</f>
        <v/>
      </c>
      <c r="O1730" s="698"/>
      <c r="P1730" s="1827" t="str">
        <f>EUconst_CNTR_FuelInput &amp; I1652</f>
        <v>FuelInput_</v>
      </c>
      <c r="Q1730" s="729"/>
      <c r="R1730" s="729"/>
      <c r="S1730" s="729"/>
      <c r="T1730" s="770"/>
      <c r="U1730" s="343"/>
      <c r="V1730" s="343"/>
    </row>
    <row r="1731" spans="1:22" s="364" customFormat="1" ht="12.75" customHeight="1" x14ac:dyDescent="0.25">
      <c r="A1731" s="729"/>
      <c r="B1731" s="302"/>
      <c r="C1731" s="302"/>
      <c r="D1731" s="1820"/>
      <c r="E1731" s="2819" t="str">
        <f>Translations!$B$522</f>
        <v>Претеглен емисионен фактор</v>
      </c>
      <c r="F1731" s="2705"/>
      <c r="G1731" s="1329" t="str">
        <f>EUconst_tCO2pTJ</f>
        <v>t CO2 / TJ</v>
      </c>
      <c r="H1731" s="484" t="str">
        <f>IF($I1652="","",IF(INDEX(F_ProductBM!H:H,MATCH($P1731,F_ProductBM!$Q:$Q,0))="","",INDEX(F_ProductBM!H:H,MATCH($P1731,F_ProductBM!$Q:$Q,0))))</f>
        <v/>
      </c>
      <c r="I1731" s="1828" t="str">
        <f>IF($I1652="","",IF(INDEX(F_ProductBM!I:I,MATCH($P1731,F_ProductBM!$Q:$Q,0))="","",INDEX(F_ProductBM!I:I,MATCH($P1731,F_ProductBM!$Q:$Q,0))))</f>
        <v/>
      </c>
      <c r="J1731" s="1829" t="str">
        <f>IF($I1652="","",IF(INDEX(F_ProductBM!J:J,MATCH($P1731,F_ProductBM!$Q:$Q,0))="","",INDEX(F_ProductBM!J:J,MATCH($P1731,F_ProductBM!$Q:$Q,0))))</f>
        <v/>
      </c>
      <c r="K1731" s="484" t="str">
        <f>IF($I1652="","",IF(INDEX(F_ProductBM!K:K,MATCH($P1731,F_ProductBM!$Q:$Q,0))="","",INDEX(F_ProductBM!K:K,MATCH($P1731,F_ProductBM!$Q:$Q,0))))</f>
        <v/>
      </c>
      <c r="L1731" s="484" t="str">
        <f>IF($I1652="","",IF(INDEX(F_ProductBM!L:L,MATCH($P1731,F_ProductBM!$Q:$Q,0))="","",INDEX(F_ProductBM!L:L,MATCH($P1731,F_ProductBM!$Q:$Q,0))))</f>
        <v/>
      </c>
      <c r="M1731" s="484" t="str">
        <f>IF($I1652="","",IF(INDEX(F_ProductBM!M:M,MATCH($P1731,F_ProductBM!$Q:$Q,0))="","",INDEX(F_ProductBM!M:M,MATCH($P1731,F_ProductBM!$Q:$Q,0))))</f>
        <v/>
      </c>
      <c r="N1731" s="1830" t="str">
        <f>IF($I1652="","",IF(INDEX(F_ProductBM!N:N,MATCH($P1731,F_ProductBM!$Q:$Q,0))="","",INDEX(F_ProductBM!N:N,MATCH($P1731,F_ProductBM!$Q:$Q,0))))</f>
        <v/>
      </c>
      <c r="O1731" s="698"/>
      <c r="P1731" s="1500" t="str">
        <f>EUconst_CNTR_FuelEF &amp; I1652</f>
        <v>FuelEF_</v>
      </c>
      <c r="Q1731" s="729"/>
      <c r="R1731" s="729"/>
      <c r="S1731" s="729"/>
      <c r="T1731" s="770"/>
      <c r="U1731" s="343"/>
      <c r="V1731" s="343"/>
    </row>
    <row r="1732" spans="1:22" s="364" customFormat="1" ht="5.15" customHeight="1" x14ac:dyDescent="0.25">
      <c r="A1732" s="729"/>
      <c r="B1732" s="302"/>
      <c r="C1732" s="302"/>
      <c r="D1732" s="1820"/>
      <c r="E1732" s="643"/>
      <c r="F1732" s="643"/>
      <c r="G1732" s="626"/>
      <c r="H1732" s="640"/>
      <c r="I1732" s="640"/>
      <c r="J1732" s="640"/>
      <c r="K1732" s="640"/>
      <c r="L1732" s="640"/>
      <c r="M1732" s="640"/>
      <c r="N1732" s="1831"/>
      <c r="O1732" s="698"/>
      <c r="P1732" s="729"/>
      <c r="Q1732" s="729"/>
      <c r="R1732" s="729"/>
      <c r="S1732" s="729"/>
      <c r="T1732" s="770"/>
      <c r="U1732" s="343"/>
      <c r="V1732" s="343"/>
    </row>
    <row r="1733" spans="1:22" s="364" customFormat="1" ht="12.75" customHeight="1" x14ac:dyDescent="0.25">
      <c r="A1733" s="729"/>
      <c r="B1733" s="302"/>
      <c r="C1733" s="302"/>
      <c r="D1733" s="1820"/>
      <c r="E1733" s="2820" t="str">
        <f>Translations!$B$484</f>
        <v>Преки емисии</v>
      </c>
      <c r="F1733" s="2258"/>
      <c r="G1733" s="1319" t="str">
        <f>EUconst_tCO2pa</f>
        <v>t CO2 / година</v>
      </c>
      <c r="H1733" s="480" t="str">
        <f>IF($I1652="","",IF(INDEX(F_ProductBM!H:H,MATCH($P1733,F_ProductBM!$Q:$Q,0))="","",INDEX(F_ProductBM!H:H,MATCH($P1733,F_ProductBM!$Q:$Q,0))))</f>
        <v/>
      </c>
      <c r="I1733" s="1399" t="str">
        <f>IF($I1652="","",IF(INDEX(F_ProductBM!I:I,MATCH($P1733,F_ProductBM!$Q:$Q,0))="","",INDEX(F_ProductBM!I:I,MATCH($P1733,F_ProductBM!$Q:$Q,0))))</f>
        <v/>
      </c>
      <c r="J1733" s="1832" t="str">
        <f>IF($I1652="","",IF(INDEX(F_ProductBM!J:J,MATCH($P1733,F_ProductBM!$Q:$Q,0))="","",INDEX(F_ProductBM!J:J,MATCH($P1733,F_ProductBM!$Q:$Q,0))))</f>
        <v/>
      </c>
      <c r="K1733" s="480" t="str">
        <f>IF($I1652="","",IF(INDEX(F_ProductBM!K:K,MATCH($P1733,F_ProductBM!$Q:$Q,0))="","",INDEX(F_ProductBM!K:K,MATCH($P1733,F_ProductBM!$Q:$Q,0))))</f>
        <v/>
      </c>
      <c r="L1733" s="480" t="str">
        <f>IF($I1652="","",IF(INDEX(F_ProductBM!L:L,MATCH($P1733,F_ProductBM!$Q:$Q,0))="","",INDEX(F_ProductBM!L:L,MATCH($P1733,F_ProductBM!$Q:$Q,0))))</f>
        <v/>
      </c>
      <c r="M1733" s="480" t="str">
        <f>IF($I1652="","",IF(INDEX(F_ProductBM!M:M,MATCH($P1733,F_ProductBM!$Q:$Q,0))="","",INDEX(F_ProductBM!M:M,MATCH($P1733,F_ProductBM!$Q:$Q,0))))</f>
        <v/>
      </c>
      <c r="N1733" s="1833" t="str">
        <f>IF($I1652="","",IF(INDEX(F_ProductBM!N:N,MATCH($P1733,F_ProductBM!$Q:$Q,0))="","",INDEX(F_ProductBM!N:N,MATCH($P1733,F_ProductBM!$Q:$Q,0))))</f>
        <v/>
      </c>
      <c r="O1733" s="698"/>
      <c r="P1733" s="1500" t="str">
        <f>EUconst_CNTR_Emissions &amp; I1652</f>
        <v>DirEmissions_</v>
      </c>
      <c r="Q1733" s="729"/>
      <c r="R1733" s="729"/>
      <c r="S1733" s="729"/>
      <c r="T1733" s="770"/>
      <c r="U1733" s="343"/>
      <c r="V1733" s="343"/>
    </row>
    <row r="1734" spans="1:22" s="364" customFormat="1" ht="12.75" customHeight="1" x14ac:dyDescent="0.25">
      <c r="A1734" s="729"/>
      <c r="B1734" s="302"/>
      <c r="C1734" s="302"/>
      <c r="D1734" s="1820"/>
      <c r="E1734" s="2820" t="str">
        <f>Translations!$B$532</f>
        <v>Други пораждащи емисии потоци — 1</v>
      </c>
      <c r="F1734" s="2258"/>
      <c r="G1734" s="1319" t="str">
        <f>EUconst_tCO2pa</f>
        <v>t CO2 / година</v>
      </c>
      <c r="H1734" s="480" t="str">
        <f>IF($I1652="","",IF(INDEX(F_ProductBM!H:H,MATCH($P1734,F_ProductBM!$Q:$Q,0))="","",INDEX(F_ProductBM!H:H,MATCH($P1734,F_ProductBM!$Q:$Q,0))))</f>
        <v/>
      </c>
      <c r="I1734" s="1399" t="str">
        <f>IF($I1652="","",IF(INDEX(F_ProductBM!I:I,MATCH($P1734,F_ProductBM!$Q:$Q,0))="","",INDEX(F_ProductBM!I:I,MATCH($P1734,F_ProductBM!$Q:$Q,0))))</f>
        <v/>
      </c>
      <c r="J1734" s="1832" t="str">
        <f>IF($I1652="","",IF(INDEX(F_ProductBM!J:J,MATCH($P1734,F_ProductBM!$Q:$Q,0))="","",INDEX(F_ProductBM!J:J,MATCH($P1734,F_ProductBM!$Q:$Q,0))))</f>
        <v/>
      </c>
      <c r="K1734" s="480" t="str">
        <f>IF($I1652="","",IF(INDEX(F_ProductBM!K:K,MATCH($P1734,F_ProductBM!$Q:$Q,0))="","",INDEX(F_ProductBM!K:K,MATCH($P1734,F_ProductBM!$Q:$Q,0))))</f>
        <v/>
      </c>
      <c r="L1734" s="480" t="str">
        <f>IF($I1652="","",IF(INDEX(F_ProductBM!L:L,MATCH($P1734,F_ProductBM!$Q:$Q,0))="","",INDEX(F_ProductBM!L:L,MATCH($P1734,F_ProductBM!$Q:$Q,0))))</f>
        <v/>
      </c>
      <c r="M1734" s="480" t="str">
        <f>IF($I1652="","",IF(INDEX(F_ProductBM!M:M,MATCH($P1734,F_ProductBM!$Q:$Q,0))="","",INDEX(F_ProductBM!M:M,MATCH($P1734,F_ProductBM!$Q:$Q,0))))</f>
        <v/>
      </c>
      <c r="N1734" s="1833" t="str">
        <f>IF($I1652="","",IF(INDEX(F_ProductBM!N:N,MATCH($P1734,F_ProductBM!$Q:$Q,0))="","",INDEX(F_ProductBM!N:N,MATCH($P1734,F_ProductBM!$Q:$Q,0))))</f>
        <v/>
      </c>
      <c r="O1734" s="698"/>
      <c r="P1734" s="1500" t="str">
        <f>EUconst_CNTR_EmissionsIntSource1 &amp; I1652</f>
        <v>EmInternalSource1_</v>
      </c>
      <c r="Q1734" s="729"/>
      <c r="R1734" s="729"/>
      <c r="S1734" s="729"/>
      <c r="T1734" s="770"/>
      <c r="U1734" s="343"/>
      <c r="V1734" s="343"/>
    </row>
    <row r="1735" spans="1:22" s="364" customFormat="1" ht="12.75" customHeight="1" x14ac:dyDescent="0.25">
      <c r="A1735" s="729"/>
      <c r="B1735" s="302"/>
      <c r="C1735" s="302"/>
      <c r="D1735" s="1820"/>
      <c r="E1735" s="2820" t="str">
        <f>Translations!$B$542</f>
        <v>Други пораждащи емисии потоци — 2</v>
      </c>
      <c r="F1735" s="2258"/>
      <c r="G1735" s="1319" t="str">
        <f>EUconst_tCO2pa</f>
        <v>t CO2 / година</v>
      </c>
      <c r="H1735" s="480" t="str">
        <f>IF($I1652="","",IF(INDEX(F_ProductBM!H:H,MATCH($P1735,F_ProductBM!$Q:$Q,0))="","",INDEX(F_ProductBM!H:H,MATCH($P1735,F_ProductBM!$Q:$Q,0))))</f>
        <v/>
      </c>
      <c r="I1735" s="1399" t="str">
        <f>IF($I1652="","",IF(INDEX(F_ProductBM!I:I,MATCH($P1735,F_ProductBM!$Q:$Q,0))="","",INDEX(F_ProductBM!I:I,MATCH($P1735,F_ProductBM!$Q:$Q,0))))</f>
        <v/>
      </c>
      <c r="J1735" s="1832" t="str">
        <f>IF($I1652="","",IF(INDEX(F_ProductBM!J:J,MATCH($P1735,F_ProductBM!$Q:$Q,0))="","",INDEX(F_ProductBM!J:J,MATCH($P1735,F_ProductBM!$Q:$Q,0))))</f>
        <v/>
      </c>
      <c r="K1735" s="480" t="str">
        <f>IF($I1652="","",IF(INDEX(F_ProductBM!K:K,MATCH($P1735,F_ProductBM!$Q:$Q,0))="","",INDEX(F_ProductBM!K:K,MATCH($P1735,F_ProductBM!$Q:$Q,0))))</f>
        <v/>
      </c>
      <c r="L1735" s="480" t="str">
        <f>IF($I1652="","",IF(INDEX(F_ProductBM!L:L,MATCH($P1735,F_ProductBM!$Q:$Q,0))="","",INDEX(F_ProductBM!L:L,MATCH($P1735,F_ProductBM!$Q:$Q,0))))</f>
        <v/>
      </c>
      <c r="M1735" s="480" t="str">
        <f>IF($I1652="","",IF(INDEX(F_ProductBM!M:M,MATCH($P1735,F_ProductBM!$Q:$Q,0))="","",INDEX(F_ProductBM!M:M,MATCH($P1735,F_ProductBM!$Q:$Q,0))))</f>
        <v/>
      </c>
      <c r="N1735" s="1833" t="str">
        <f>IF($I1652="","",IF(INDEX(F_ProductBM!N:N,MATCH($P1735,F_ProductBM!$Q:$Q,0))="","",INDEX(F_ProductBM!N:N,MATCH($P1735,F_ProductBM!$Q:$Q,0))))</f>
        <v/>
      </c>
      <c r="O1735" s="698"/>
      <c r="P1735" s="1500" t="str">
        <f>EUconst_CNTR_EmissionsIntSource2 &amp; I1652</f>
        <v>EmInternalSource2_</v>
      </c>
      <c r="Q1735" s="729"/>
      <c r="R1735" s="729"/>
      <c r="S1735" s="729"/>
      <c r="T1735" s="770"/>
      <c r="U1735" s="343"/>
      <c r="V1735" s="343"/>
    </row>
    <row r="1736" spans="1:22" s="364" customFormat="1" ht="12.75" customHeight="1" x14ac:dyDescent="0.25">
      <c r="A1736" s="729"/>
      <c r="B1736" s="302"/>
      <c r="C1736" s="302"/>
      <c r="D1736" s="1820"/>
      <c r="E1736" s="2820" t="str">
        <f>Translations!$B$546</f>
        <v>Получени или подадени парникови газове</v>
      </c>
      <c r="F1736" s="2258"/>
      <c r="G1736" s="1319" t="str">
        <f>EUconst_tCO2epa</f>
        <v>t CO2e/година</v>
      </c>
      <c r="H1736" s="480" t="str">
        <f>IF($I1652="","",IF(INDEX(F_ProductBM!H:H,MATCH($P1736,F_ProductBM!$Q:$Q,0))="","",INDEX(F_ProductBM!H:H,MATCH($P1736,F_ProductBM!$Q:$Q,0))))</f>
        <v/>
      </c>
      <c r="I1736" s="1399" t="str">
        <f>IF($I1652="","",IF(INDEX(F_ProductBM!I:I,MATCH($P1736,F_ProductBM!$Q:$Q,0))="","",INDEX(F_ProductBM!I:I,MATCH($P1736,F_ProductBM!$Q:$Q,0))))</f>
        <v/>
      </c>
      <c r="J1736" s="1832" t="str">
        <f>IF($I1652="","",IF(INDEX(F_ProductBM!J:J,MATCH($P1736,F_ProductBM!$Q:$Q,0))="","",INDEX(F_ProductBM!J:J,MATCH($P1736,F_ProductBM!$Q:$Q,0))))</f>
        <v/>
      </c>
      <c r="K1736" s="480" t="str">
        <f>IF($I1652="","",IF(INDEX(F_ProductBM!K:K,MATCH($P1736,F_ProductBM!$Q:$Q,0))="","",INDEX(F_ProductBM!K:K,MATCH($P1736,F_ProductBM!$Q:$Q,0))))</f>
        <v/>
      </c>
      <c r="L1736" s="480" t="str">
        <f>IF($I1652="","",IF(INDEX(F_ProductBM!L:L,MATCH($P1736,F_ProductBM!$Q:$Q,0))="","",INDEX(F_ProductBM!L:L,MATCH($P1736,F_ProductBM!$Q:$Q,0))))</f>
        <v/>
      </c>
      <c r="M1736" s="480" t="str">
        <f>IF($I1652="","",IF(INDEX(F_ProductBM!M:M,MATCH($P1736,F_ProductBM!$Q:$Q,0))="","",INDEX(F_ProductBM!M:M,MATCH($P1736,F_ProductBM!$Q:$Q,0))))</f>
        <v/>
      </c>
      <c r="N1736" s="1833" t="str">
        <f>IF($I1652="","",IF(INDEX(F_ProductBM!N:N,MATCH($P1736,F_ProductBM!$Q:$Q,0))="","",INDEX(F_ProductBM!N:N,MATCH($P1736,F_ProductBM!$Q:$Q,0))))</f>
        <v/>
      </c>
      <c r="O1736" s="698"/>
      <c r="P1736" s="1500" t="str">
        <f>EUconst_CNTR_CO2Feedstock &amp; I1652</f>
        <v>EmCO2Feedstock_</v>
      </c>
      <c r="Q1736" s="729"/>
      <c r="R1736" s="729"/>
      <c r="S1736" s="729"/>
      <c r="T1736" s="770"/>
      <c r="U1736" s="343"/>
      <c r="V1736" s="343"/>
    </row>
    <row r="1737" spans="1:22" s="364" customFormat="1" ht="5.15" customHeight="1" x14ac:dyDescent="0.25">
      <c r="A1737" s="729"/>
      <c r="B1737" s="302"/>
      <c r="C1737" s="302"/>
      <c r="D1737" s="1820"/>
      <c r="E1737" s="643"/>
      <c r="F1737" s="643"/>
      <c r="G1737" s="626"/>
      <c r="H1737" s="640"/>
      <c r="I1737" s="640"/>
      <c r="J1737" s="640"/>
      <c r="K1737" s="640"/>
      <c r="L1737" s="640"/>
      <c r="M1737" s="640"/>
      <c r="N1737" s="1831"/>
      <c r="O1737" s="698"/>
      <c r="P1737" s="729"/>
      <c r="Q1737" s="729"/>
      <c r="R1737" s="729"/>
      <c r="S1737" s="729"/>
      <c r="T1737" s="770"/>
      <c r="U1737" s="343"/>
      <c r="V1737" s="343"/>
    </row>
    <row r="1738" spans="1:22" s="364" customFormat="1" ht="12.75" customHeight="1" x14ac:dyDescent="0.25">
      <c r="A1738" s="729"/>
      <c r="B1738" s="302"/>
      <c r="C1738" s="302"/>
      <c r="D1738" s="1820"/>
      <c r="E1738" s="2818" t="str">
        <f>Translations!$B$554</f>
        <v>Нетно количество получена топлинна енергия</v>
      </c>
      <c r="F1738" s="2701"/>
      <c r="G1738" s="1326" t="str">
        <f>EUconst_TJpa</f>
        <v>TJ / година</v>
      </c>
      <c r="H1738" s="482" t="str">
        <f>IF($I1652="","",IF(INDEX(F_ProductBM!H:H,MATCH($P1738,F_ProductBM!$Q:$Q,0))="","",INDEX(F_ProductBM!H:H,MATCH($P1738,F_ProductBM!$Q:$Q,0))))</f>
        <v/>
      </c>
      <c r="I1738" s="1824" t="str">
        <f>IF($I1652="","",IF(INDEX(F_ProductBM!I:I,MATCH($P1738,F_ProductBM!$Q:$Q,0))="","",INDEX(F_ProductBM!I:I,MATCH($P1738,F_ProductBM!$Q:$Q,0))))</f>
        <v/>
      </c>
      <c r="J1738" s="1825" t="str">
        <f>IF($I1652="","",IF(INDEX(F_ProductBM!J:J,MATCH($P1738,F_ProductBM!$Q:$Q,0))="","",INDEX(F_ProductBM!J:J,MATCH($P1738,F_ProductBM!$Q:$Q,0))))</f>
        <v/>
      </c>
      <c r="K1738" s="482" t="str">
        <f>IF($I1652="","",IF(INDEX(F_ProductBM!K:K,MATCH($P1738,F_ProductBM!$Q:$Q,0))="","",INDEX(F_ProductBM!K:K,MATCH($P1738,F_ProductBM!$Q:$Q,0))))</f>
        <v/>
      </c>
      <c r="L1738" s="482" t="str">
        <f>IF($I1652="","",IF(INDEX(F_ProductBM!L:L,MATCH($P1738,F_ProductBM!$Q:$Q,0))="","",INDEX(F_ProductBM!L:L,MATCH($P1738,F_ProductBM!$Q:$Q,0))))</f>
        <v/>
      </c>
      <c r="M1738" s="482" t="str">
        <f>IF($I1652="","",IF(INDEX(F_ProductBM!M:M,MATCH($P1738,F_ProductBM!$Q:$Q,0))="","",INDEX(F_ProductBM!M:M,MATCH($P1738,F_ProductBM!$Q:$Q,0))))</f>
        <v/>
      </c>
      <c r="N1738" s="1826" t="str">
        <f>IF($I1652="","",IF(INDEX(F_ProductBM!N:N,MATCH($P1738,F_ProductBM!$Q:$Q,0))="","",INDEX(F_ProductBM!N:N,MATCH($P1738,F_ProductBM!$Q:$Q,0))))</f>
        <v/>
      </c>
      <c r="O1738" s="698"/>
      <c r="P1738" s="1500" t="str">
        <f>EUconst_CNTR_HeatImport &amp; I1652</f>
        <v>HeatIm_</v>
      </c>
      <c r="Q1738" s="729"/>
      <c r="R1738" s="729"/>
      <c r="S1738" s="729"/>
      <c r="T1738" s="770"/>
      <c r="U1738" s="343"/>
      <c r="V1738" s="343"/>
    </row>
    <row r="1739" spans="1:22" s="364" customFormat="1" ht="12.75" customHeight="1" x14ac:dyDescent="0.25">
      <c r="A1739" s="729"/>
      <c r="B1739" s="302"/>
      <c r="C1739" s="302"/>
      <c r="D1739" s="1820"/>
      <c r="E1739" s="2819" t="str">
        <f>Translations!$B$555</f>
        <v>Специфичен EF (получена топлинна енергия)</v>
      </c>
      <c r="F1739" s="2705"/>
      <c r="G1739" s="1329" t="str">
        <f>EUconst_tCO2pTJ</f>
        <v>t CO2 / TJ</v>
      </c>
      <c r="H1739" s="484" t="str">
        <f>IF($I1652="","",IF(INDEX(F_ProductBM!H:H,MATCH($P1739,F_ProductBM!$Q:$Q,0))="","",INDEX(F_ProductBM!H:H,MATCH($P1739,F_ProductBM!$Q:$Q,0))))</f>
        <v/>
      </c>
      <c r="I1739" s="1828" t="str">
        <f>IF($I1652="","",IF(INDEX(F_ProductBM!I:I,MATCH($P1739,F_ProductBM!$Q:$Q,0))="","",INDEX(F_ProductBM!I:I,MATCH($P1739,F_ProductBM!$Q:$Q,0))))</f>
        <v/>
      </c>
      <c r="J1739" s="1829" t="str">
        <f>IF($I1652="","",IF(INDEX(F_ProductBM!J:J,MATCH($P1739,F_ProductBM!$Q:$Q,0))="","",INDEX(F_ProductBM!J:J,MATCH($P1739,F_ProductBM!$Q:$Q,0))))</f>
        <v/>
      </c>
      <c r="K1739" s="484" t="str">
        <f>IF($I1652="","",IF(INDEX(F_ProductBM!K:K,MATCH($P1739,F_ProductBM!$Q:$Q,0))="","",INDEX(F_ProductBM!K:K,MATCH($P1739,F_ProductBM!$Q:$Q,0))))</f>
        <v/>
      </c>
      <c r="L1739" s="484" t="str">
        <f>IF($I1652="","",IF(INDEX(F_ProductBM!L:L,MATCH($P1739,F_ProductBM!$Q:$Q,0))="","",INDEX(F_ProductBM!L:L,MATCH($P1739,F_ProductBM!$Q:$Q,0))))</f>
        <v/>
      </c>
      <c r="M1739" s="484" t="str">
        <f>IF($I1652="","",IF(INDEX(F_ProductBM!M:M,MATCH($P1739,F_ProductBM!$Q:$Q,0))="","",INDEX(F_ProductBM!M:M,MATCH($P1739,F_ProductBM!$Q:$Q,0))))</f>
        <v/>
      </c>
      <c r="N1739" s="1830" t="str">
        <f>IF($I1652="","",IF(INDEX(F_ProductBM!N:N,MATCH($P1739,F_ProductBM!$Q:$Q,0))="","",INDEX(F_ProductBM!N:N,MATCH($P1739,F_ProductBM!$Q:$Q,0))))</f>
        <v/>
      </c>
      <c r="O1739" s="698"/>
      <c r="P1739" s="1500" t="str">
        <f>EUconst_CNTR_HeatImportEF &amp; I1652</f>
        <v>HeatImEF_</v>
      </c>
      <c r="Q1739" s="729"/>
      <c r="R1739" s="729"/>
      <c r="S1739" s="729"/>
      <c r="T1739" s="770"/>
      <c r="U1739" s="343"/>
      <c r="V1739" s="343"/>
    </row>
    <row r="1740" spans="1:22" s="364" customFormat="1" ht="5.15" customHeight="1" x14ac:dyDescent="0.25">
      <c r="A1740" s="729"/>
      <c r="B1740" s="302"/>
      <c r="C1740" s="302"/>
      <c r="D1740" s="1820"/>
      <c r="E1740" s="643"/>
      <c r="F1740" s="643"/>
      <c r="G1740" s="626"/>
      <c r="H1740" s="640"/>
      <c r="I1740" s="640"/>
      <c r="J1740" s="640"/>
      <c r="K1740" s="640"/>
      <c r="L1740" s="640"/>
      <c r="M1740" s="640"/>
      <c r="N1740" s="1831"/>
      <c r="O1740" s="698"/>
      <c r="P1740" s="770"/>
      <c r="Q1740" s="729"/>
      <c r="R1740" s="729"/>
      <c r="S1740" s="729"/>
      <c r="T1740" s="770"/>
      <c r="U1740" s="343"/>
      <c r="V1740" s="343"/>
    </row>
    <row r="1741" spans="1:22" s="364" customFormat="1" ht="12.75" customHeight="1" x14ac:dyDescent="0.25">
      <c r="A1741" s="729"/>
      <c r="B1741" s="302"/>
      <c r="C1741" s="302"/>
      <c r="D1741" s="1820"/>
      <c r="E1741" s="2820" t="str">
        <f>Translations!$B$609</f>
        <v>Нетно количество топлинна енергия, получена от пулп</v>
      </c>
      <c r="F1741" s="2258"/>
      <c r="G1741" s="1319" t="str">
        <f>EUconst_TJpa</f>
        <v>TJ / година</v>
      </c>
      <c r="H1741" s="480" t="str">
        <f>IF($I1652="","",IF(INDEX(F_ProductBM!H:H,MATCH($P1741,F_ProductBM!$Q:$Q,0))="","",INDEX(F_ProductBM!H:H,MATCH($P1741,F_ProductBM!$Q:$Q,0))))</f>
        <v/>
      </c>
      <c r="I1741" s="1399" t="str">
        <f>IF($I1652="","",IF(INDEX(F_ProductBM!I:I,MATCH($P1741,F_ProductBM!$Q:$Q,0))="","",INDEX(F_ProductBM!I:I,MATCH($P1741,F_ProductBM!$Q:$Q,0))))</f>
        <v/>
      </c>
      <c r="J1741" s="1832" t="str">
        <f>IF($I1652="","",IF(INDEX(F_ProductBM!J:J,MATCH($P1741,F_ProductBM!$Q:$Q,0))="","",INDEX(F_ProductBM!J:J,MATCH($P1741,F_ProductBM!$Q:$Q,0))))</f>
        <v/>
      </c>
      <c r="K1741" s="480" t="str">
        <f>IF($I1652="","",IF(INDEX(F_ProductBM!K:K,MATCH($P1741,F_ProductBM!$Q:$Q,0))="","",INDEX(F_ProductBM!K:K,MATCH($P1741,F_ProductBM!$Q:$Q,0))))</f>
        <v/>
      </c>
      <c r="L1741" s="480" t="str">
        <f>IF($I1652="","",IF(INDEX(F_ProductBM!L:L,MATCH($P1741,F_ProductBM!$Q:$Q,0))="","",INDEX(F_ProductBM!L:L,MATCH($P1741,F_ProductBM!$Q:$Q,0))))</f>
        <v/>
      </c>
      <c r="M1741" s="480" t="str">
        <f>IF($I1652="","",IF(INDEX(F_ProductBM!M:M,MATCH($P1741,F_ProductBM!$Q:$Q,0))="","",INDEX(F_ProductBM!M:M,MATCH($P1741,F_ProductBM!$Q:$Q,0))))</f>
        <v/>
      </c>
      <c r="N1741" s="1833" t="str">
        <f>IF($I1652="","",IF(INDEX(F_ProductBM!N:N,MATCH($P1741,F_ProductBM!$Q:$Q,0))="","",INDEX(F_ProductBM!N:N,MATCH($P1741,F_ProductBM!$Q:$Q,0))))</f>
        <v/>
      </c>
      <c r="O1741" s="698"/>
      <c r="P1741" s="1500" t="str">
        <f>EUconst_CNTR_HeatImportPulp &amp; I1652</f>
        <v>HeatImPulp_</v>
      </c>
      <c r="Q1741" s="729"/>
      <c r="R1741" s="729"/>
      <c r="S1741" s="729"/>
      <c r="T1741" s="770"/>
      <c r="U1741" s="343"/>
      <c r="V1741" s="343"/>
    </row>
    <row r="1742" spans="1:22" s="364" customFormat="1" ht="12.75" customHeight="1" x14ac:dyDescent="0.25">
      <c r="A1742" s="729"/>
      <c r="B1742" s="302"/>
      <c r="C1742" s="302"/>
      <c r="D1742" s="1820"/>
      <c r="E1742" s="2820" t="str">
        <f>Translations!$B$558</f>
        <v>Нетно количество топлинна енергия, получена от подинсталации за азотна киселина</v>
      </c>
      <c r="F1742" s="2258"/>
      <c r="G1742" s="1319" t="str">
        <f>EUconst_TJpa</f>
        <v>TJ / година</v>
      </c>
      <c r="H1742" s="480" t="str">
        <f>IF($I1652="","",IF(INDEX(F_ProductBM!H:H,MATCH($P1742,F_ProductBM!$Q:$Q,0))="","",INDEX(F_ProductBM!H:H,MATCH($P1742,F_ProductBM!$Q:$Q,0))))</f>
        <v/>
      </c>
      <c r="I1742" s="1399" t="str">
        <f>IF($I1652="","",IF(INDEX(F_ProductBM!I:I,MATCH($P1742,F_ProductBM!$Q:$Q,0))="","",INDEX(F_ProductBM!I:I,MATCH($P1742,F_ProductBM!$Q:$Q,0))))</f>
        <v/>
      </c>
      <c r="J1742" s="1832" t="str">
        <f>IF($I1652="","",IF(INDEX(F_ProductBM!J:J,MATCH($P1742,F_ProductBM!$Q:$Q,0))="","",INDEX(F_ProductBM!J:J,MATCH($P1742,F_ProductBM!$Q:$Q,0))))</f>
        <v/>
      </c>
      <c r="K1742" s="480" t="str">
        <f>IF($I1652="","",IF(INDEX(F_ProductBM!K:K,MATCH($P1742,F_ProductBM!$Q:$Q,0))="","",INDEX(F_ProductBM!K:K,MATCH($P1742,F_ProductBM!$Q:$Q,0))))</f>
        <v/>
      </c>
      <c r="L1742" s="480" t="str">
        <f>IF($I1652="","",IF(INDEX(F_ProductBM!L:L,MATCH($P1742,F_ProductBM!$Q:$Q,0))="","",INDEX(F_ProductBM!L:L,MATCH($P1742,F_ProductBM!$Q:$Q,0))))</f>
        <v/>
      </c>
      <c r="M1742" s="480" t="str">
        <f>IF($I1652="","",IF(INDEX(F_ProductBM!M:M,MATCH($P1742,F_ProductBM!$Q:$Q,0))="","",INDEX(F_ProductBM!M:M,MATCH($P1742,F_ProductBM!$Q:$Q,0))))</f>
        <v/>
      </c>
      <c r="N1742" s="1833" t="str">
        <f>IF($I1652="","",IF(INDEX(F_ProductBM!N:N,MATCH($P1742,F_ProductBM!$Q:$Q,0))="","",INDEX(F_ProductBM!N:N,MATCH($P1742,F_ProductBM!$Q:$Q,0))))</f>
        <v/>
      </c>
      <c r="O1742" s="698"/>
      <c r="P1742" s="1500" t="str">
        <f>EUconst_CNTR_HeatImportNitric &amp; I1652</f>
        <v>HeatImNitric_</v>
      </c>
      <c r="Q1742" s="729"/>
      <c r="R1742" s="729"/>
      <c r="S1742" s="729"/>
      <c r="T1742" s="770"/>
      <c r="U1742" s="343"/>
      <c r="V1742" s="343"/>
    </row>
    <row r="1743" spans="1:22" s="364" customFormat="1" ht="5.15" customHeight="1" x14ac:dyDescent="0.25">
      <c r="A1743" s="729"/>
      <c r="B1743" s="302"/>
      <c r="C1743" s="302"/>
      <c r="D1743" s="1820"/>
      <c r="E1743" s="643"/>
      <c r="F1743" s="643"/>
      <c r="G1743" s="625"/>
      <c r="H1743" s="640"/>
      <c r="I1743" s="640"/>
      <c r="J1743" s="640"/>
      <c r="K1743" s="640"/>
      <c r="L1743" s="640"/>
      <c r="M1743" s="640"/>
      <c r="N1743" s="1831"/>
      <c r="O1743" s="698"/>
      <c r="P1743" s="770"/>
      <c r="Q1743" s="729"/>
      <c r="R1743" s="729"/>
      <c r="S1743" s="729"/>
      <c r="T1743" s="770"/>
      <c r="U1743" s="343"/>
      <c r="V1743" s="343"/>
    </row>
    <row r="1744" spans="1:22" s="364" customFormat="1" ht="12.75" customHeight="1" x14ac:dyDescent="0.25">
      <c r="A1744" s="729"/>
      <c r="B1744" s="302"/>
      <c r="C1744" s="302"/>
      <c r="D1744" s="1820"/>
      <c r="E1744" s="2818" t="str">
        <f>Translations!$B$560</f>
        <v>Нетно количество подадена топлинна енергия</v>
      </c>
      <c r="F1744" s="2701"/>
      <c r="G1744" s="1326" t="str">
        <f>EUconst_TJpa</f>
        <v>TJ / година</v>
      </c>
      <c r="H1744" s="482" t="str">
        <f>IF($I1652="","",IF(INDEX(F_ProductBM!H:H,MATCH($P1744,F_ProductBM!$Q:$Q,0))="","",INDEX(F_ProductBM!H:H,MATCH($P1744,F_ProductBM!$Q:$Q,0))))</f>
        <v/>
      </c>
      <c r="I1744" s="1824" t="str">
        <f>IF($I1652="","",IF(INDEX(F_ProductBM!I:I,MATCH($P1744,F_ProductBM!$Q:$Q,0))="","",INDEX(F_ProductBM!I:I,MATCH($P1744,F_ProductBM!$Q:$Q,0))))</f>
        <v/>
      </c>
      <c r="J1744" s="1825" t="str">
        <f>IF($I1652="","",IF(INDEX(F_ProductBM!J:J,MATCH($P1744,F_ProductBM!$Q:$Q,0))="","",INDEX(F_ProductBM!J:J,MATCH($P1744,F_ProductBM!$Q:$Q,0))))</f>
        <v/>
      </c>
      <c r="K1744" s="482" t="str">
        <f>IF($I1652="","",IF(INDEX(F_ProductBM!K:K,MATCH($P1744,F_ProductBM!$Q:$Q,0))="","",INDEX(F_ProductBM!K:K,MATCH($P1744,F_ProductBM!$Q:$Q,0))))</f>
        <v/>
      </c>
      <c r="L1744" s="482" t="str">
        <f>IF($I1652="","",IF(INDEX(F_ProductBM!L:L,MATCH($P1744,F_ProductBM!$Q:$Q,0))="","",INDEX(F_ProductBM!L:L,MATCH($P1744,F_ProductBM!$Q:$Q,0))))</f>
        <v/>
      </c>
      <c r="M1744" s="482" t="str">
        <f>IF($I1652="","",IF(INDEX(F_ProductBM!M:M,MATCH($P1744,F_ProductBM!$Q:$Q,0))="","",INDEX(F_ProductBM!M:M,MATCH($P1744,F_ProductBM!$Q:$Q,0))))</f>
        <v/>
      </c>
      <c r="N1744" s="1826" t="str">
        <f>IF($I1652="","",IF(INDEX(F_ProductBM!N:N,MATCH($P1744,F_ProductBM!$Q:$Q,0))="","",INDEX(F_ProductBM!N:N,MATCH($P1744,F_ProductBM!$Q:$Q,0))))</f>
        <v/>
      </c>
      <c r="O1744" s="698"/>
      <c r="P1744" s="1500" t="str">
        <f>EUconst_CNTR_HeatExport &amp; I1652</f>
        <v>HeatEx_</v>
      </c>
      <c r="Q1744" s="729"/>
      <c r="R1744" s="729"/>
      <c r="S1744" s="729"/>
      <c r="T1744" s="770"/>
      <c r="U1744" s="343"/>
      <c r="V1744" s="343"/>
    </row>
    <row r="1745" spans="1:22" s="364" customFormat="1" ht="12.75" customHeight="1" x14ac:dyDescent="0.25">
      <c r="A1745" s="729"/>
      <c r="B1745" s="302"/>
      <c r="C1745" s="302"/>
      <c r="D1745" s="1820"/>
      <c r="E1745" s="2819" t="str">
        <f>Translations!$B$561</f>
        <v>Специфичен EF (подадена топлинна енергия)</v>
      </c>
      <c r="F1745" s="2705"/>
      <c r="G1745" s="1329" t="str">
        <f>EUconst_tCO2pTJ</f>
        <v>t CO2 / TJ</v>
      </c>
      <c r="H1745" s="484" t="str">
        <f>IF($I1652="","",IF(INDEX(F_ProductBM!H:H,MATCH($P1745,F_ProductBM!$Q:$Q,0))="","",INDEX(F_ProductBM!H:H,MATCH($P1745,F_ProductBM!$Q:$Q,0))))</f>
        <v/>
      </c>
      <c r="I1745" s="1828" t="str">
        <f>IF($I1652="","",IF(INDEX(F_ProductBM!I:I,MATCH($P1745,F_ProductBM!$Q:$Q,0))="","",INDEX(F_ProductBM!I:I,MATCH($P1745,F_ProductBM!$Q:$Q,0))))</f>
        <v/>
      </c>
      <c r="J1745" s="1829" t="str">
        <f>IF($I1652="","",IF(INDEX(F_ProductBM!J:J,MATCH($P1745,F_ProductBM!$Q:$Q,0))="","",INDEX(F_ProductBM!J:J,MATCH($P1745,F_ProductBM!$Q:$Q,0))))</f>
        <v/>
      </c>
      <c r="K1745" s="484" t="str">
        <f>IF($I1652="","",IF(INDEX(F_ProductBM!K:K,MATCH($P1745,F_ProductBM!$Q:$Q,0))="","",INDEX(F_ProductBM!K:K,MATCH($P1745,F_ProductBM!$Q:$Q,0))))</f>
        <v/>
      </c>
      <c r="L1745" s="484" t="str">
        <f>IF($I1652="","",IF(INDEX(F_ProductBM!L:L,MATCH($P1745,F_ProductBM!$Q:$Q,0))="","",INDEX(F_ProductBM!L:L,MATCH($P1745,F_ProductBM!$Q:$Q,0))))</f>
        <v/>
      </c>
      <c r="M1745" s="484" t="str">
        <f>IF($I1652="","",IF(INDEX(F_ProductBM!M:M,MATCH($P1745,F_ProductBM!$Q:$Q,0))="","",INDEX(F_ProductBM!M:M,MATCH($P1745,F_ProductBM!$Q:$Q,0))))</f>
        <v/>
      </c>
      <c r="N1745" s="1830" t="str">
        <f>IF($I1652="","",IF(INDEX(F_ProductBM!N:N,MATCH($P1745,F_ProductBM!$Q:$Q,0))="","",INDEX(F_ProductBM!N:N,MATCH($P1745,F_ProductBM!$Q:$Q,0))))</f>
        <v/>
      </c>
      <c r="O1745" s="698"/>
      <c r="P1745" s="1500" t="str">
        <f>EUconst_CNTR_HeatExportEF &amp; I1652</f>
        <v>HeatExEF_</v>
      </c>
      <c r="Q1745" s="729"/>
      <c r="R1745" s="729"/>
      <c r="S1745" s="729"/>
      <c r="T1745" s="770"/>
      <c r="U1745" s="343"/>
      <c r="V1745" s="343"/>
    </row>
    <row r="1746" spans="1:22" s="364" customFormat="1" ht="5.15" customHeight="1" x14ac:dyDescent="0.25">
      <c r="A1746" s="729"/>
      <c r="B1746" s="302"/>
      <c r="C1746" s="302"/>
      <c r="D1746" s="1820"/>
      <c r="E1746" s="643"/>
      <c r="F1746" s="643"/>
      <c r="G1746" s="625"/>
      <c r="H1746" s="640"/>
      <c r="I1746" s="640"/>
      <c r="J1746" s="640"/>
      <c r="K1746" s="640"/>
      <c r="L1746" s="640"/>
      <c r="M1746" s="640"/>
      <c r="N1746" s="1831"/>
      <c r="O1746" s="698"/>
      <c r="P1746" s="770"/>
      <c r="Q1746" s="729"/>
      <c r="R1746" s="729"/>
      <c r="S1746" s="729"/>
      <c r="T1746" s="770"/>
      <c r="U1746" s="343"/>
      <c r="V1746" s="343"/>
    </row>
    <row r="1747" spans="1:22" s="364" customFormat="1" ht="12.75" customHeight="1" x14ac:dyDescent="0.25">
      <c r="A1747" s="729"/>
      <c r="B1747" s="302"/>
      <c r="C1747" s="302"/>
      <c r="D1747" s="1820"/>
      <c r="E1747" s="2818" t="str">
        <f>Translations!$B$568</f>
        <v>Произведен отпаден газ</v>
      </c>
      <c r="F1747" s="2701"/>
      <c r="G1747" s="1326" t="str">
        <f>EUconst_TJpa</f>
        <v>TJ / година</v>
      </c>
      <c r="H1747" s="482" t="str">
        <f>IF($I1652="","",IF(INDEX(F_ProductBM!H:H,MATCH($P1747,F_ProductBM!$Q:$Q,0))="","",INDEX(F_ProductBM!H:H,MATCH($P1747,F_ProductBM!$Q:$Q,0))))</f>
        <v/>
      </c>
      <c r="I1747" s="1824" t="str">
        <f>IF($I1652="","",IF(INDEX(F_ProductBM!I:I,MATCH($P1747,F_ProductBM!$Q:$Q,0))="","",INDEX(F_ProductBM!I:I,MATCH($P1747,F_ProductBM!$Q:$Q,0))))</f>
        <v/>
      </c>
      <c r="J1747" s="1825" t="str">
        <f>IF($I1652="","",IF(INDEX(F_ProductBM!J:J,MATCH($P1747,F_ProductBM!$Q:$Q,0))="","",INDEX(F_ProductBM!J:J,MATCH($P1747,F_ProductBM!$Q:$Q,0))))</f>
        <v/>
      </c>
      <c r="K1747" s="482" t="str">
        <f>IF($I1652="","",IF(INDEX(F_ProductBM!K:K,MATCH($P1747,F_ProductBM!$Q:$Q,0))="","",INDEX(F_ProductBM!K:K,MATCH($P1747,F_ProductBM!$Q:$Q,0))))</f>
        <v/>
      </c>
      <c r="L1747" s="482" t="str">
        <f>IF($I1652="","",IF(INDEX(F_ProductBM!L:L,MATCH($P1747,F_ProductBM!$Q:$Q,0))="","",INDEX(F_ProductBM!L:L,MATCH($P1747,F_ProductBM!$Q:$Q,0))))</f>
        <v/>
      </c>
      <c r="M1747" s="482" t="str">
        <f>IF($I1652="","",IF(INDEX(F_ProductBM!M:M,MATCH($P1747,F_ProductBM!$Q:$Q,0))="","",INDEX(F_ProductBM!M:M,MATCH($P1747,F_ProductBM!$Q:$Q,0))))</f>
        <v/>
      </c>
      <c r="N1747" s="1826" t="str">
        <f>IF($I1652="","",IF(INDEX(F_ProductBM!N:N,MATCH($P1747,F_ProductBM!$Q:$Q,0))="","",INDEX(F_ProductBM!N:N,MATCH($P1747,F_ProductBM!$Q:$Q,0))))</f>
        <v/>
      </c>
      <c r="O1747" s="698"/>
      <c r="P1747" s="1827" t="str">
        <f>EUconst_CNTR_WGProduced &amp; I1652</f>
        <v>WasteGasProd_</v>
      </c>
      <c r="Q1747" s="729"/>
      <c r="R1747" s="729"/>
      <c r="S1747" s="729"/>
      <c r="T1747" s="770"/>
      <c r="U1747" s="343"/>
      <c r="V1747" s="343"/>
    </row>
    <row r="1748" spans="1:22" s="364" customFormat="1" ht="12.75" customHeight="1" x14ac:dyDescent="0.25">
      <c r="A1748" s="729"/>
      <c r="B1748" s="302"/>
      <c r="C1748" s="302"/>
      <c r="D1748" s="1820"/>
      <c r="E1748" s="2819" t="str">
        <f>Translations!$B$569</f>
        <v>Специфичен EF (произведен отпаден газ)</v>
      </c>
      <c r="F1748" s="2705"/>
      <c r="G1748" s="1329" t="str">
        <f>EUconst_tCO2pTJ</f>
        <v>t CO2 / TJ</v>
      </c>
      <c r="H1748" s="484" t="str">
        <f>IF($I1652="","",IF(INDEX(F_ProductBM!H:H,MATCH($P1748,F_ProductBM!$Q:$Q,0))="","",INDEX(F_ProductBM!H:H,MATCH($P1748,F_ProductBM!$Q:$Q,0))))</f>
        <v/>
      </c>
      <c r="I1748" s="1828" t="str">
        <f>IF($I1652="","",IF(INDEX(F_ProductBM!I:I,MATCH($P1748,F_ProductBM!$Q:$Q,0))="","",INDEX(F_ProductBM!I:I,MATCH($P1748,F_ProductBM!$Q:$Q,0))))</f>
        <v/>
      </c>
      <c r="J1748" s="1829" t="str">
        <f>IF($I1652="","",IF(INDEX(F_ProductBM!J:J,MATCH($P1748,F_ProductBM!$Q:$Q,0))="","",INDEX(F_ProductBM!J:J,MATCH($P1748,F_ProductBM!$Q:$Q,0))))</f>
        <v/>
      </c>
      <c r="K1748" s="484" t="str">
        <f>IF($I1652="","",IF(INDEX(F_ProductBM!K:K,MATCH($P1748,F_ProductBM!$Q:$Q,0))="","",INDEX(F_ProductBM!K:K,MATCH($P1748,F_ProductBM!$Q:$Q,0))))</f>
        <v/>
      </c>
      <c r="L1748" s="484" t="str">
        <f>IF($I1652="","",IF(INDEX(F_ProductBM!L:L,MATCH($P1748,F_ProductBM!$Q:$Q,0))="","",INDEX(F_ProductBM!L:L,MATCH($P1748,F_ProductBM!$Q:$Q,0))))</f>
        <v/>
      </c>
      <c r="M1748" s="484" t="str">
        <f>IF($I1652="","",IF(INDEX(F_ProductBM!M:M,MATCH($P1748,F_ProductBM!$Q:$Q,0))="","",INDEX(F_ProductBM!M:M,MATCH($P1748,F_ProductBM!$Q:$Q,0))))</f>
        <v/>
      </c>
      <c r="N1748" s="1830" t="str">
        <f>IF($I1652="","",IF(INDEX(F_ProductBM!N:N,MATCH($P1748,F_ProductBM!$Q:$Q,0))="","",INDEX(F_ProductBM!N:N,MATCH($P1748,F_ProductBM!$Q:$Q,0))))</f>
        <v/>
      </c>
      <c r="O1748" s="698"/>
      <c r="P1748" s="1500" t="str">
        <f>EUconst_CNTR_WGProducedEF &amp; I1652</f>
        <v>WasteGasProdEF_</v>
      </c>
      <c r="Q1748" s="729"/>
      <c r="R1748" s="729"/>
      <c r="S1748" s="729"/>
      <c r="T1748" s="770"/>
      <c r="U1748" s="343"/>
      <c r="V1748" s="343"/>
    </row>
    <row r="1749" spans="1:22" s="364" customFormat="1" ht="12.75" customHeight="1" x14ac:dyDescent="0.25">
      <c r="A1749" s="729"/>
      <c r="B1749" s="302"/>
      <c r="C1749" s="302"/>
      <c r="D1749" s="1820"/>
      <c r="E1749" s="2818" t="str">
        <f>Translations!$B$573</f>
        <v>Консумиран отпаден газ</v>
      </c>
      <c r="F1749" s="2701"/>
      <c r="G1749" s="1326" t="str">
        <f>EUconst_TJpa</f>
        <v>TJ / година</v>
      </c>
      <c r="H1749" s="482" t="str">
        <f>IF($I1652="","",IF(INDEX(F_ProductBM!H:H,MATCH($P1749,F_ProductBM!$Q:$Q,0))="","",INDEX(F_ProductBM!H:H,MATCH($P1749,F_ProductBM!$Q:$Q,0))))</f>
        <v/>
      </c>
      <c r="I1749" s="1824" t="str">
        <f>IF($I1652="","",IF(INDEX(F_ProductBM!I:I,MATCH($P1749,F_ProductBM!$Q:$Q,0))="","",INDEX(F_ProductBM!I:I,MATCH($P1749,F_ProductBM!$Q:$Q,0))))</f>
        <v/>
      </c>
      <c r="J1749" s="1825" t="str">
        <f>IF($I1652="","",IF(INDEX(F_ProductBM!J:J,MATCH($P1749,F_ProductBM!$Q:$Q,0))="","",INDEX(F_ProductBM!J:J,MATCH($P1749,F_ProductBM!$Q:$Q,0))))</f>
        <v/>
      </c>
      <c r="K1749" s="482" t="str">
        <f>IF($I1652="","",IF(INDEX(F_ProductBM!K:K,MATCH($P1749,F_ProductBM!$Q:$Q,0))="","",INDEX(F_ProductBM!K:K,MATCH($P1749,F_ProductBM!$Q:$Q,0))))</f>
        <v/>
      </c>
      <c r="L1749" s="482" t="str">
        <f>IF($I1652="","",IF(INDEX(F_ProductBM!L:L,MATCH($P1749,F_ProductBM!$Q:$Q,0))="","",INDEX(F_ProductBM!L:L,MATCH($P1749,F_ProductBM!$Q:$Q,0))))</f>
        <v/>
      </c>
      <c r="M1749" s="482" t="str">
        <f>IF($I1652="","",IF(INDEX(F_ProductBM!M:M,MATCH($P1749,F_ProductBM!$Q:$Q,0))="","",INDEX(F_ProductBM!M:M,MATCH($P1749,F_ProductBM!$Q:$Q,0))))</f>
        <v/>
      </c>
      <c r="N1749" s="1826" t="str">
        <f>IF($I1652="","",IF(INDEX(F_ProductBM!N:N,MATCH($P1749,F_ProductBM!$Q:$Q,0))="","",INDEX(F_ProductBM!N:N,MATCH($P1749,F_ProductBM!$Q:$Q,0))))</f>
        <v/>
      </c>
      <c r="O1749" s="698"/>
      <c r="P1749" s="1500" t="str">
        <f>EUconst_CNTR_WGConsumed &amp; I1652</f>
        <v>WasteGasCons_</v>
      </c>
      <c r="Q1749" s="729"/>
      <c r="R1749" s="729"/>
      <c r="S1749" s="729"/>
      <c r="T1749" s="770"/>
      <c r="U1749" s="343"/>
      <c r="V1749" s="343"/>
    </row>
    <row r="1750" spans="1:22" s="364" customFormat="1" ht="12.75" customHeight="1" x14ac:dyDescent="0.25">
      <c r="A1750" s="729"/>
      <c r="B1750" s="302"/>
      <c r="C1750" s="302"/>
      <c r="D1750" s="1820"/>
      <c r="E1750" s="2819" t="str">
        <f>Translations!$B$574</f>
        <v>Специфичен EF (консумиран отпаден газ)</v>
      </c>
      <c r="F1750" s="2705"/>
      <c r="G1750" s="1329" t="str">
        <f>EUconst_tCO2pTJ</f>
        <v>t CO2 / TJ</v>
      </c>
      <c r="H1750" s="484" t="str">
        <f>IF($I1652="","",IF(INDEX(F_ProductBM!H:H,MATCH($P1750,F_ProductBM!$Q:$Q,0))="","",INDEX(F_ProductBM!H:H,MATCH($P1750,F_ProductBM!$Q:$Q,0))))</f>
        <v/>
      </c>
      <c r="I1750" s="1828" t="str">
        <f>IF($I1652="","",IF(INDEX(F_ProductBM!I:I,MATCH($P1750,F_ProductBM!$Q:$Q,0))="","",INDEX(F_ProductBM!I:I,MATCH($P1750,F_ProductBM!$Q:$Q,0))))</f>
        <v/>
      </c>
      <c r="J1750" s="1829" t="str">
        <f>IF($I1652="","",IF(INDEX(F_ProductBM!J:J,MATCH($P1750,F_ProductBM!$Q:$Q,0))="","",INDEX(F_ProductBM!J:J,MATCH($P1750,F_ProductBM!$Q:$Q,0))))</f>
        <v/>
      </c>
      <c r="K1750" s="484" t="str">
        <f>IF($I1652="","",IF(INDEX(F_ProductBM!K:K,MATCH($P1750,F_ProductBM!$Q:$Q,0))="","",INDEX(F_ProductBM!K:K,MATCH($P1750,F_ProductBM!$Q:$Q,0))))</f>
        <v/>
      </c>
      <c r="L1750" s="484" t="str">
        <f>IF($I1652="","",IF(INDEX(F_ProductBM!L:L,MATCH($P1750,F_ProductBM!$Q:$Q,0))="","",INDEX(F_ProductBM!L:L,MATCH($P1750,F_ProductBM!$Q:$Q,0))))</f>
        <v/>
      </c>
      <c r="M1750" s="484" t="str">
        <f>IF($I1652="","",IF(INDEX(F_ProductBM!M:M,MATCH($P1750,F_ProductBM!$Q:$Q,0))="","",INDEX(F_ProductBM!M:M,MATCH($P1750,F_ProductBM!$Q:$Q,0))))</f>
        <v/>
      </c>
      <c r="N1750" s="1830" t="str">
        <f>IF($I1652="","",IF(INDEX(F_ProductBM!N:N,MATCH($P1750,F_ProductBM!$Q:$Q,0))="","",INDEX(F_ProductBM!N:N,MATCH($P1750,F_ProductBM!$Q:$Q,0))))</f>
        <v/>
      </c>
      <c r="O1750" s="698"/>
      <c r="P1750" s="1500" t="str">
        <f>EUconst_CNTR_WGConsumedEF &amp; I1652</f>
        <v>WasteGasConsEF_</v>
      </c>
      <c r="Q1750" s="729"/>
      <c r="R1750" s="729"/>
      <c r="S1750" s="729"/>
      <c r="T1750" s="770"/>
      <c r="U1750" s="343"/>
      <c r="V1750" s="343"/>
    </row>
    <row r="1751" spans="1:22" s="364" customFormat="1" ht="12.75" customHeight="1" x14ac:dyDescent="0.25">
      <c r="A1751" s="729"/>
      <c r="B1751" s="302"/>
      <c r="C1751" s="302"/>
      <c r="D1751" s="1820"/>
      <c r="E1751" s="2818" t="str">
        <f>Translations!$B$580</f>
        <v>Изгорен във факел отпаден газ</v>
      </c>
      <c r="F1751" s="2701"/>
      <c r="G1751" s="1326" t="str">
        <f>EUconst_TJpa</f>
        <v>TJ / година</v>
      </c>
      <c r="H1751" s="482" t="str">
        <f>IF($I1652="","",IF(INDEX(F_ProductBM!H:H,MATCH($P1751,F_ProductBM!$Q:$Q,0))="","",INDEX(F_ProductBM!H:H,MATCH($P1751,F_ProductBM!$Q:$Q,0))))</f>
        <v/>
      </c>
      <c r="I1751" s="1824" t="str">
        <f>IF($I1652="","",IF(INDEX(F_ProductBM!I:I,MATCH($P1751,F_ProductBM!$Q:$Q,0))="","",INDEX(F_ProductBM!I:I,MATCH($P1751,F_ProductBM!$Q:$Q,0))))</f>
        <v/>
      </c>
      <c r="J1751" s="1825" t="str">
        <f>IF($I1652="","",IF(INDEX(F_ProductBM!J:J,MATCH($P1751,F_ProductBM!$Q:$Q,0))="","",INDEX(F_ProductBM!J:J,MATCH($P1751,F_ProductBM!$Q:$Q,0))))</f>
        <v/>
      </c>
      <c r="K1751" s="482" t="str">
        <f>IF($I1652="","",IF(INDEX(F_ProductBM!K:K,MATCH($P1751,F_ProductBM!$Q:$Q,0))="","",INDEX(F_ProductBM!K:K,MATCH($P1751,F_ProductBM!$Q:$Q,0))))</f>
        <v/>
      </c>
      <c r="L1751" s="482" t="str">
        <f>IF($I1652="","",IF(INDEX(F_ProductBM!L:L,MATCH($P1751,F_ProductBM!$Q:$Q,0))="","",INDEX(F_ProductBM!L:L,MATCH($P1751,F_ProductBM!$Q:$Q,0))))</f>
        <v/>
      </c>
      <c r="M1751" s="482" t="str">
        <f>IF($I1652="","",IF(INDEX(F_ProductBM!M:M,MATCH($P1751,F_ProductBM!$Q:$Q,0))="","",INDEX(F_ProductBM!M:M,MATCH($P1751,F_ProductBM!$Q:$Q,0))))</f>
        <v/>
      </c>
      <c r="N1751" s="1826" t="str">
        <f>IF($I1652="","",IF(INDEX(F_ProductBM!N:N,MATCH($P1751,F_ProductBM!$Q:$Q,0))="","",INDEX(F_ProductBM!N:N,MATCH($P1751,F_ProductBM!$Q:$Q,0))))</f>
        <v/>
      </c>
      <c r="O1751" s="698"/>
      <c r="P1751" s="1500" t="str">
        <f>EUconst_CNTR_WGFlared &amp; I1652</f>
        <v>WasteGasFlare_</v>
      </c>
      <c r="Q1751" s="729"/>
      <c r="R1751" s="729"/>
      <c r="S1751" s="729"/>
      <c r="T1751" s="770"/>
      <c r="U1751" s="343"/>
      <c r="V1751" s="343"/>
    </row>
    <row r="1752" spans="1:22" s="364" customFormat="1" ht="12.75" customHeight="1" x14ac:dyDescent="0.25">
      <c r="A1752" s="729"/>
      <c r="B1752" s="302"/>
      <c r="C1752" s="302"/>
      <c r="D1752" s="1820"/>
      <c r="E1752" s="2819" t="str">
        <f>Translations!$B$581</f>
        <v>Специфичен EF (изгорен във факел отпаден газ)</v>
      </c>
      <c r="F1752" s="2705"/>
      <c r="G1752" s="1329" t="str">
        <f>EUconst_tCO2pTJ</f>
        <v>t CO2 / TJ</v>
      </c>
      <c r="H1752" s="484" t="str">
        <f>IF($I1652="","",IF(INDEX(F_ProductBM!H:H,MATCH($P1752,F_ProductBM!$Q:$Q,0))="","",INDEX(F_ProductBM!H:H,MATCH($P1752,F_ProductBM!$Q:$Q,0))))</f>
        <v/>
      </c>
      <c r="I1752" s="1828" t="str">
        <f>IF($I1652="","",IF(INDEX(F_ProductBM!I:I,MATCH($P1752,F_ProductBM!$Q:$Q,0))="","",INDEX(F_ProductBM!I:I,MATCH($P1752,F_ProductBM!$Q:$Q,0))))</f>
        <v/>
      </c>
      <c r="J1752" s="1829" t="str">
        <f>IF($I1652="","",IF(INDEX(F_ProductBM!J:J,MATCH($P1752,F_ProductBM!$Q:$Q,0))="","",INDEX(F_ProductBM!J:J,MATCH($P1752,F_ProductBM!$Q:$Q,0))))</f>
        <v/>
      </c>
      <c r="K1752" s="484" t="str">
        <f>IF($I1652="","",IF(INDEX(F_ProductBM!K:K,MATCH($P1752,F_ProductBM!$Q:$Q,0))="","",INDEX(F_ProductBM!K:K,MATCH($P1752,F_ProductBM!$Q:$Q,0))))</f>
        <v/>
      </c>
      <c r="L1752" s="484" t="str">
        <f>IF($I1652="","",IF(INDEX(F_ProductBM!L:L,MATCH($P1752,F_ProductBM!$Q:$Q,0))="","",INDEX(F_ProductBM!L:L,MATCH($P1752,F_ProductBM!$Q:$Q,0))))</f>
        <v/>
      </c>
      <c r="M1752" s="484" t="str">
        <f>IF($I1652="","",IF(INDEX(F_ProductBM!M:M,MATCH($P1752,F_ProductBM!$Q:$Q,0))="","",INDEX(F_ProductBM!M:M,MATCH($P1752,F_ProductBM!$Q:$Q,0))))</f>
        <v/>
      </c>
      <c r="N1752" s="1830" t="str">
        <f>IF($I1652="","",IF(INDEX(F_ProductBM!N:N,MATCH($P1752,F_ProductBM!$Q:$Q,0))="","",INDEX(F_ProductBM!N:N,MATCH($P1752,F_ProductBM!$Q:$Q,0))))</f>
        <v/>
      </c>
      <c r="O1752" s="698"/>
      <c r="P1752" s="1500" t="str">
        <f>EUconst_CNTR_WGFlaredEF &amp; I1652</f>
        <v>WasteGasFlareEF_</v>
      </c>
      <c r="Q1752" s="729"/>
      <c r="R1752" s="729"/>
      <c r="S1752" s="729"/>
      <c r="T1752" s="770"/>
      <c r="U1752" s="343"/>
      <c r="V1752" s="343"/>
    </row>
    <row r="1753" spans="1:22" s="364" customFormat="1" ht="12.75" customHeight="1" x14ac:dyDescent="0.25">
      <c r="A1753" s="729"/>
      <c r="B1753" s="302"/>
      <c r="C1753" s="302"/>
      <c r="D1753" s="1820"/>
      <c r="E1753" s="2818" t="str">
        <f>Translations!$B$586</f>
        <v>Получен отпаден газ</v>
      </c>
      <c r="F1753" s="2701"/>
      <c r="G1753" s="1326" t="str">
        <f>EUconst_TJpa</f>
        <v>TJ / година</v>
      </c>
      <c r="H1753" s="482" t="str">
        <f>IF($I1652="","",IF(INDEX(F_ProductBM!H:H,MATCH($P1753,F_ProductBM!$Q:$Q,0))="","",INDEX(F_ProductBM!H:H,MATCH($P1753,F_ProductBM!$Q:$Q,0))))</f>
        <v/>
      </c>
      <c r="I1753" s="1824" t="str">
        <f>IF($I1652="","",IF(INDEX(F_ProductBM!I:I,MATCH($P1753,F_ProductBM!$Q:$Q,0))="","",INDEX(F_ProductBM!I:I,MATCH($P1753,F_ProductBM!$Q:$Q,0))))</f>
        <v/>
      </c>
      <c r="J1753" s="1825" t="str">
        <f>IF($I1652="","",IF(INDEX(F_ProductBM!J:J,MATCH($P1753,F_ProductBM!$Q:$Q,0))="","",INDEX(F_ProductBM!J:J,MATCH($P1753,F_ProductBM!$Q:$Q,0))))</f>
        <v/>
      </c>
      <c r="K1753" s="482" t="str">
        <f>IF($I1652="","",IF(INDEX(F_ProductBM!K:K,MATCH($P1753,F_ProductBM!$Q:$Q,0))="","",INDEX(F_ProductBM!K:K,MATCH($P1753,F_ProductBM!$Q:$Q,0))))</f>
        <v/>
      </c>
      <c r="L1753" s="482" t="str">
        <f>IF($I1652="","",IF(INDEX(F_ProductBM!L:L,MATCH($P1753,F_ProductBM!$Q:$Q,0))="","",INDEX(F_ProductBM!L:L,MATCH($P1753,F_ProductBM!$Q:$Q,0))))</f>
        <v/>
      </c>
      <c r="M1753" s="482" t="str">
        <f>IF($I1652="","",IF(INDEX(F_ProductBM!M:M,MATCH($P1753,F_ProductBM!$Q:$Q,0))="","",INDEX(F_ProductBM!M:M,MATCH($P1753,F_ProductBM!$Q:$Q,0))))</f>
        <v/>
      </c>
      <c r="N1753" s="1826" t="str">
        <f>IF($I1652="","",IF(INDEX(F_ProductBM!N:N,MATCH($P1753,F_ProductBM!$Q:$Q,0))="","",INDEX(F_ProductBM!N:N,MATCH($P1753,F_ProductBM!$Q:$Q,0))))</f>
        <v/>
      </c>
      <c r="O1753" s="698"/>
      <c r="P1753" s="1500" t="str">
        <f>EUconst_CNTR_WGImport &amp; I1652</f>
        <v>WasteGasIm_</v>
      </c>
      <c r="Q1753" s="729"/>
      <c r="R1753" s="729"/>
      <c r="S1753" s="729"/>
      <c r="T1753" s="770"/>
      <c r="U1753" s="343"/>
      <c r="V1753" s="343"/>
    </row>
    <row r="1754" spans="1:22" s="364" customFormat="1" ht="12.75" customHeight="1" x14ac:dyDescent="0.25">
      <c r="A1754" s="729"/>
      <c r="B1754" s="302"/>
      <c r="C1754" s="302"/>
      <c r="D1754" s="1820"/>
      <c r="E1754" s="1834" t="str">
        <f>Translations!$B$587</f>
        <v>Специфичен EF (получен отпаден газ)</v>
      </c>
      <c r="F1754" s="1834"/>
      <c r="G1754" s="639" t="str">
        <f>EUconst_tCO2pTJ</f>
        <v>t CO2 / TJ</v>
      </c>
      <c r="H1754" s="484" t="str">
        <f>IF($I1652="","",IF(INDEX(F_ProductBM!H:H,MATCH($P1754,F_ProductBM!$Q:$Q,0))="","",INDEX(F_ProductBM!H:H,MATCH($P1754,F_ProductBM!$Q:$Q,0))))</f>
        <v/>
      </c>
      <c r="I1754" s="1828" t="str">
        <f>IF($I1652="","",IF(INDEX(F_ProductBM!I:I,MATCH($P1754,F_ProductBM!$Q:$Q,0))="","",INDEX(F_ProductBM!I:I,MATCH($P1754,F_ProductBM!$Q:$Q,0))))</f>
        <v/>
      </c>
      <c r="J1754" s="1829" t="str">
        <f>IF($I1652="","",IF(INDEX(F_ProductBM!J:J,MATCH($P1754,F_ProductBM!$Q:$Q,0))="","",INDEX(F_ProductBM!J:J,MATCH($P1754,F_ProductBM!$Q:$Q,0))))</f>
        <v/>
      </c>
      <c r="K1754" s="484" t="str">
        <f>IF($I1652="","",IF(INDEX(F_ProductBM!K:K,MATCH($P1754,F_ProductBM!$Q:$Q,0))="","",INDEX(F_ProductBM!K:K,MATCH($P1754,F_ProductBM!$Q:$Q,0))))</f>
        <v/>
      </c>
      <c r="L1754" s="484" t="str">
        <f>IF($I1652="","",IF(INDEX(F_ProductBM!L:L,MATCH($P1754,F_ProductBM!$Q:$Q,0))="","",INDEX(F_ProductBM!L:L,MATCH($P1754,F_ProductBM!$Q:$Q,0))))</f>
        <v/>
      </c>
      <c r="M1754" s="484" t="str">
        <f>IF($I1652="","",IF(INDEX(F_ProductBM!M:M,MATCH($P1754,F_ProductBM!$Q:$Q,0))="","",INDEX(F_ProductBM!M:M,MATCH($P1754,F_ProductBM!$Q:$Q,0))))</f>
        <v/>
      </c>
      <c r="N1754" s="1830" t="str">
        <f>IF($I1652="","",IF(INDEX(F_ProductBM!N:N,MATCH($P1754,F_ProductBM!$Q:$Q,0))="","",INDEX(F_ProductBM!N:N,MATCH($P1754,F_ProductBM!$Q:$Q,0))))</f>
        <v/>
      </c>
      <c r="O1754" s="698"/>
      <c r="P1754" s="1500" t="str">
        <f>EUconst_CNTR_WGImportEF &amp; I1652</f>
        <v>WasteGasImEF_</v>
      </c>
      <c r="Q1754" s="729"/>
      <c r="R1754" s="729"/>
      <c r="S1754" s="729"/>
      <c r="T1754" s="770"/>
      <c r="U1754" s="343"/>
      <c r="V1754" s="343"/>
    </row>
    <row r="1755" spans="1:22" s="364" customFormat="1" ht="12.75" customHeight="1" x14ac:dyDescent="0.25">
      <c r="A1755" s="729"/>
      <c r="B1755" s="302"/>
      <c r="C1755" s="302"/>
      <c r="D1755" s="1820"/>
      <c r="E1755" s="2818" t="str">
        <f>Translations!$B$591</f>
        <v>Подаден отпаден газ</v>
      </c>
      <c r="F1755" s="2701"/>
      <c r="G1755" s="1326" t="str">
        <f>EUconst_TJpa</f>
        <v>TJ / година</v>
      </c>
      <c r="H1755" s="482" t="str">
        <f>IF($I1652="","",IF(INDEX(F_ProductBM!H:H,MATCH($P1755,F_ProductBM!$Q:$Q,0))="","",INDEX(F_ProductBM!H:H,MATCH($P1755,F_ProductBM!$Q:$Q,0))))</f>
        <v/>
      </c>
      <c r="I1755" s="1824" t="str">
        <f>IF($I1652="","",IF(INDEX(F_ProductBM!I:I,MATCH($P1755,F_ProductBM!$Q:$Q,0))="","",INDEX(F_ProductBM!I:I,MATCH($P1755,F_ProductBM!$Q:$Q,0))))</f>
        <v/>
      </c>
      <c r="J1755" s="1825" t="str">
        <f>IF($I1652="","",IF(INDEX(F_ProductBM!J:J,MATCH($P1755,F_ProductBM!$Q:$Q,0))="","",INDEX(F_ProductBM!J:J,MATCH($P1755,F_ProductBM!$Q:$Q,0))))</f>
        <v/>
      </c>
      <c r="K1755" s="482" t="str">
        <f>IF($I1652="","",IF(INDEX(F_ProductBM!K:K,MATCH($P1755,F_ProductBM!$Q:$Q,0))="","",INDEX(F_ProductBM!K:K,MATCH($P1755,F_ProductBM!$Q:$Q,0))))</f>
        <v/>
      </c>
      <c r="L1755" s="482" t="str">
        <f>IF($I1652="","",IF(INDEX(F_ProductBM!L:L,MATCH($P1755,F_ProductBM!$Q:$Q,0))="","",INDEX(F_ProductBM!L:L,MATCH($P1755,F_ProductBM!$Q:$Q,0))))</f>
        <v/>
      </c>
      <c r="M1755" s="482" t="str">
        <f>IF($I1652="","",IF(INDEX(F_ProductBM!M:M,MATCH($P1755,F_ProductBM!$Q:$Q,0))="","",INDEX(F_ProductBM!M:M,MATCH($P1755,F_ProductBM!$Q:$Q,0))))</f>
        <v/>
      </c>
      <c r="N1755" s="1826" t="str">
        <f>IF($I1652="","",IF(INDEX(F_ProductBM!N:N,MATCH($P1755,F_ProductBM!$Q:$Q,0))="","",INDEX(F_ProductBM!N:N,MATCH($P1755,F_ProductBM!$Q:$Q,0))))</f>
        <v/>
      </c>
      <c r="O1755" s="698"/>
      <c r="P1755" s="1500" t="str">
        <f>EUconst_CNTR_WGExport &amp; I1652</f>
        <v>WasteGasEx_</v>
      </c>
      <c r="Q1755" s="729"/>
      <c r="R1755" s="729"/>
      <c r="S1755" s="729"/>
      <c r="T1755" s="770"/>
      <c r="U1755" s="343"/>
      <c r="V1755" s="343"/>
    </row>
    <row r="1756" spans="1:22" s="364" customFormat="1" ht="12.75" customHeight="1" x14ac:dyDescent="0.25">
      <c r="A1756" s="729"/>
      <c r="B1756" s="302"/>
      <c r="C1756" s="302"/>
      <c r="D1756" s="1820"/>
      <c r="E1756" s="2819" t="str">
        <f>Translations!$B$592</f>
        <v>Специфичен EF (подаден отпаден газ)</v>
      </c>
      <c r="F1756" s="2705"/>
      <c r="G1756" s="639" t="str">
        <f>EUconst_tCO2pTJ</f>
        <v>t CO2 / TJ</v>
      </c>
      <c r="H1756" s="484" t="str">
        <f>IF($I1652="","",IF(INDEX(F_ProductBM!H:H,MATCH($P1756,F_ProductBM!$Q:$Q,0))="","",INDEX(F_ProductBM!H:H,MATCH($P1756,F_ProductBM!$Q:$Q,0))))</f>
        <v/>
      </c>
      <c r="I1756" s="1828" t="str">
        <f>IF($I1652="","",IF(INDEX(F_ProductBM!I:I,MATCH($P1756,F_ProductBM!$Q:$Q,0))="","",INDEX(F_ProductBM!I:I,MATCH($P1756,F_ProductBM!$Q:$Q,0))))</f>
        <v/>
      </c>
      <c r="J1756" s="1829" t="str">
        <f>IF($I1652="","",IF(INDEX(F_ProductBM!J:J,MATCH($P1756,F_ProductBM!$Q:$Q,0))="","",INDEX(F_ProductBM!J:J,MATCH($P1756,F_ProductBM!$Q:$Q,0))))</f>
        <v/>
      </c>
      <c r="K1756" s="484" t="str">
        <f>IF($I1652="","",IF(INDEX(F_ProductBM!K:K,MATCH($P1756,F_ProductBM!$Q:$Q,0))="","",INDEX(F_ProductBM!K:K,MATCH($P1756,F_ProductBM!$Q:$Q,0))))</f>
        <v/>
      </c>
      <c r="L1756" s="484" t="str">
        <f>IF($I1652="","",IF(INDEX(F_ProductBM!L:L,MATCH($P1756,F_ProductBM!$Q:$Q,0))="","",INDEX(F_ProductBM!L:L,MATCH($P1756,F_ProductBM!$Q:$Q,0))))</f>
        <v/>
      </c>
      <c r="M1756" s="484" t="str">
        <f>IF($I1652="","",IF(INDEX(F_ProductBM!M:M,MATCH($P1756,F_ProductBM!$Q:$Q,0))="","",INDEX(F_ProductBM!M:M,MATCH($P1756,F_ProductBM!$Q:$Q,0))))</f>
        <v/>
      </c>
      <c r="N1756" s="1830" t="str">
        <f>IF($I1652="","",IF(INDEX(F_ProductBM!N:N,MATCH($P1756,F_ProductBM!$Q:$Q,0))="","",INDEX(F_ProductBM!N:N,MATCH($P1756,F_ProductBM!$Q:$Q,0))))</f>
        <v/>
      </c>
      <c r="O1756" s="698"/>
      <c r="P1756" s="1500" t="str">
        <f>EUconst_CNTR_WGExportEF &amp; I1652</f>
        <v>WasteGasExEF_</v>
      </c>
      <c r="Q1756" s="729"/>
      <c r="R1756" s="729"/>
      <c r="S1756" s="729"/>
      <c r="T1756" s="770"/>
      <c r="U1756" s="343"/>
      <c r="V1756" s="343"/>
    </row>
    <row r="1757" spans="1:22" s="364" customFormat="1" ht="5.15" customHeight="1" x14ac:dyDescent="0.25">
      <c r="A1757" s="729"/>
      <c r="B1757" s="302"/>
      <c r="C1757" s="302"/>
      <c r="D1757" s="1820"/>
      <c r="E1757" s="643"/>
      <c r="F1757" s="643"/>
      <c r="G1757" s="625"/>
      <c r="H1757" s="640"/>
      <c r="I1757" s="640"/>
      <c r="J1757" s="640"/>
      <c r="K1757" s="640"/>
      <c r="L1757" s="640"/>
      <c r="M1757" s="640"/>
      <c r="N1757" s="1831"/>
      <c r="O1757" s="698"/>
      <c r="P1757" s="770"/>
      <c r="Q1757" s="729"/>
      <c r="R1757" s="729"/>
      <c r="S1757" s="729"/>
      <c r="T1757" s="770"/>
      <c r="U1757" s="343"/>
      <c r="V1757" s="343"/>
    </row>
    <row r="1758" spans="1:22" s="364" customFormat="1" ht="12.75" customHeight="1" x14ac:dyDescent="0.25">
      <c r="A1758" s="729"/>
      <c r="B1758" s="302"/>
      <c r="C1758" s="302"/>
      <c r="D1758" s="1820"/>
      <c r="E1758" s="2820" t="str">
        <f>Translations!$B$485</f>
        <v>Съответно потребление на електроенергия</v>
      </c>
      <c r="F1758" s="2258"/>
      <c r="G1758" s="1319" t="str">
        <f>EUconst_MWhpa</f>
        <v>MWh / година</v>
      </c>
      <c r="H1758" s="480" t="str">
        <f>IF($I1652="","",IF(INDEX(F_ProductBM!H:H,MATCH($P1758,F_ProductBM!$Q:$Q,0))="","",INDEX(F_ProductBM!H:H,MATCH($P1758,F_ProductBM!$Q:$Q,0))))</f>
        <v/>
      </c>
      <c r="I1758" s="1399" t="str">
        <f>IF($I1652="","",IF(INDEX(F_ProductBM!I:I,MATCH($P1758,F_ProductBM!$Q:$Q,0))="","",INDEX(F_ProductBM!I:I,MATCH($P1758,F_ProductBM!$Q:$Q,0))))</f>
        <v/>
      </c>
      <c r="J1758" s="1832" t="str">
        <f>IF($I1652="","",IF(INDEX(F_ProductBM!J:J,MATCH($P1758,F_ProductBM!$Q:$Q,0))="","",INDEX(F_ProductBM!J:J,MATCH($P1758,F_ProductBM!$Q:$Q,0))))</f>
        <v/>
      </c>
      <c r="K1758" s="480" t="str">
        <f>IF($I1652="","",IF(INDEX(F_ProductBM!K:K,MATCH($P1758,F_ProductBM!$Q:$Q,0))="","",INDEX(F_ProductBM!K:K,MATCH($P1758,F_ProductBM!$Q:$Q,0))))</f>
        <v/>
      </c>
      <c r="L1758" s="480" t="str">
        <f>IF($I1652="","",IF(INDEX(F_ProductBM!L:L,MATCH($P1758,F_ProductBM!$Q:$Q,0))="","",INDEX(F_ProductBM!L:L,MATCH($P1758,F_ProductBM!$Q:$Q,0))))</f>
        <v/>
      </c>
      <c r="M1758" s="480" t="str">
        <f>IF($I1652="","",IF(INDEX(F_ProductBM!M:M,MATCH($P1758,F_ProductBM!$Q:$Q,0))="","",INDEX(F_ProductBM!M:M,MATCH($P1758,F_ProductBM!$Q:$Q,0))))</f>
        <v/>
      </c>
      <c r="N1758" s="1833" t="str">
        <f>IF($I1652="","",IF(INDEX(F_ProductBM!N:N,MATCH($P1758,F_ProductBM!$Q:$Q,0))="","",INDEX(F_ProductBM!N:N,MATCH($P1758,F_ProductBM!$Q:$Q,0))))</f>
        <v/>
      </c>
      <c r="O1758" s="698"/>
      <c r="P1758" s="1190" t="str">
        <f>EUconst_CNTR_HAL&amp;EUconst_CNTR_ELEXCH &amp; I1652</f>
        <v>HAL_ELEXCH_</v>
      </c>
      <c r="Q1758" s="729"/>
      <c r="R1758" s="729"/>
      <c r="S1758" s="729"/>
      <c r="T1758" s="770"/>
      <c r="U1758" s="343"/>
      <c r="V1758" s="343"/>
    </row>
    <row r="1759" spans="1:22" s="364" customFormat="1" ht="12.75" customHeight="1" x14ac:dyDescent="0.25">
      <c r="A1759" s="729"/>
      <c r="B1759" s="302"/>
      <c r="C1759" s="302"/>
      <c r="D1759" s="1820"/>
      <c r="E1759" s="2820" t="str">
        <f>Translations!$B$595</f>
        <v>Произведена електроенергия</v>
      </c>
      <c r="F1759" s="2258"/>
      <c r="G1759" s="1319" t="str">
        <f>EUconst_MWhpa</f>
        <v>MWh / година</v>
      </c>
      <c r="H1759" s="480" t="str">
        <f>IF($I1652="","",IF(INDEX(F_ProductBM!H:H,MATCH($P1759,F_ProductBM!$Q:$Q,0))="","",INDEX(F_ProductBM!H:H,MATCH($P1759,F_ProductBM!$Q:$Q,0))))</f>
        <v/>
      </c>
      <c r="I1759" s="1399" t="str">
        <f>IF($I1652="","",IF(INDEX(F_ProductBM!I:I,MATCH($P1759,F_ProductBM!$Q:$Q,0))="","",INDEX(F_ProductBM!I:I,MATCH($P1759,F_ProductBM!$Q:$Q,0))))</f>
        <v/>
      </c>
      <c r="J1759" s="1832" t="str">
        <f>IF($I1652="","",IF(INDEX(F_ProductBM!J:J,MATCH($P1759,F_ProductBM!$Q:$Q,0))="","",INDEX(F_ProductBM!J:J,MATCH($P1759,F_ProductBM!$Q:$Q,0))))</f>
        <v/>
      </c>
      <c r="K1759" s="480" t="str">
        <f>IF($I1652="","",IF(INDEX(F_ProductBM!K:K,MATCH($P1759,F_ProductBM!$Q:$Q,0))="","",INDEX(F_ProductBM!K:K,MATCH($P1759,F_ProductBM!$Q:$Q,0))))</f>
        <v/>
      </c>
      <c r="L1759" s="480" t="str">
        <f>IF($I1652="","",IF(INDEX(F_ProductBM!L:L,MATCH($P1759,F_ProductBM!$Q:$Q,0))="","",INDEX(F_ProductBM!L:L,MATCH($P1759,F_ProductBM!$Q:$Q,0))))</f>
        <v/>
      </c>
      <c r="M1759" s="480" t="str">
        <f>IF($I1652="","",IF(INDEX(F_ProductBM!M:M,MATCH($P1759,F_ProductBM!$Q:$Q,0))="","",INDEX(F_ProductBM!M:M,MATCH($P1759,F_ProductBM!$Q:$Q,0))))</f>
        <v/>
      </c>
      <c r="N1759" s="1833" t="str">
        <f>IF($I1652="","",IF(INDEX(F_ProductBM!N:N,MATCH($P1759,F_ProductBM!$Q:$Q,0))="","",INDEX(F_ProductBM!N:N,MATCH($P1759,F_ProductBM!$Q:$Q,0))))</f>
        <v/>
      </c>
      <c r="O1759" s="698"/>
      <c r="P1759" s="1500" t="str">
        <f>EUconst_CNTR_ElectricityExported &amp; I1652</f>
        <v>ElecEx_</v>
      </c>
      <c r="Q1759" s="729"/>
      <c r="R1759" s="729"/>
      <c r="S1759" s="729"/>
      <c r="T1759" s="770"/>
      <c r="U1759" s="343"/>
      <c r="V1759" s="343"/>
    </row>
    <row r="1760" spans="1:22" s="364" customFormat="1" ht="5.15" customHeight="1" x14ac:dyDescent="0.25">
      <c r="A1760" s="729"/>
      <c r="B1760" s="302"/>
      <c r="C1760" s="302"/>
      <c r="D1760" s="1820"/>
      <c r="E1760" s="643"/>
      <c r="F1760" s="643"/>
      <c r="G1760" s="625"/>
      <c r="H1760" s="640"/>
      <c r="I1760" s="640"/>
      <c r="J1760" s="640"/>
      <c r="K1760" s="640"/>
      <c r="L1760" s="640"/>
      <c r="M1760" s="640"/>
      <c r="N1760" s="1831"/>
      <c r="O1760" s="698"/>
      <c r="P1760" s="770"/>
      <c r="Q1760" s="729"/>
      <c r="R1760" s="729"/>
      <c r="S1760" s="729"/>
      <c r="T1760" s="770"/>
      <c r="U1760" s="343"/>
      <c r="V1760" s="343"/>
    </row>
    <row r="1761" spans="1:22" s="364" customFormat="1" x14ac:dyDescent="0.25">
      <c r="A1761" s="729"/>
      <c r="B1761" s="302"/>
      <c r="C1761" s="302"/>
      <c r="D1761" s="1820"/>
      <c r="E1761" s="3059" t="str">
        <f>Translations!$B$957</f>
        <v>Междинно получаване:</v>
      </c>
      <c r="F1761" s="2672"/>
      <c r="G1761" s="625"/>
      <c r="H1761" s="640"/>
      <c r="I1761" s="640"/>
      <c r="J1761" s="640"/>
      <c r="K1761" s="640"/>
      <c r="L1761" s="640"/>
      <c r="M1761" s="640"/>
      <c r="N1761" s="1831"/>
      <c r="O1761" s="698"/>
      <c r="P1761" s="770"/>
      <c r="Q1761" s="729"/>
      <c r="R1761" s="729"/>
      <c r="S1761" s="729"/>
      <c r="T1761" s="770"/>
      <c r="U1761" s="343"/>
      <c r="V1761" s="343"/>
    </row>
    <row r="1762" spans="1:22" s="364" customFormat="1" x14ac:dyDescent="0.25">
      <c r="A1762" s="729"/>
      <c r="B1762" s="302"/>
      <c r="C1762" s="302"/>
      <c r="D1762" s="1820"/>
      <c r="E1762" s="2814" t="str">
        <f>IF(I1652="","",IF(INDEX(F_ProductBM!E:E,MATCH($P1762,F_ProductBM!$Q:$Q,0))="","",INDEX(F_ProductBM!E:E,MATCH($P1762,F_ProductBM!$Q:$Q,0))))</f>
        <v/>
      </c>
      <c r="F1762" s="2258"/>
      <c r="G1762" s="1319" t="str">
        <f>EUconst_Tons</f>
        <v>тона</v>
      </c>
      <c r="H1762" s="480" t="str">
        <f>IF($I1652="","",IF(INDEX(F_ProductBM!H:H,MATCH($P1762,F_ProductBM!$Q:$Q,0))="","",INDEX(F_ProductBM!H:H,MATCH($P1762,F_ProductBM!$Q:$Q,0))))</f>
        <v/>
      </c>
      <c r="I1762" s="1399" t="str">
        <f>IF($I1652="","",IF(INDEX(F_ProductBM!I:I,MATCH($P1762,F_ProductBM!$Q:$Q,0))="","",INDEX(F_ProductBM!I:I,MATCH($P1762,F_ProductBM!$Q:$Q,0))))</f>
        <v/>
      </c>
      <c r="J1762" s="1832" t="str">
        <f>IF($I1652="","",IF(INDEX(F_ProductBM!J:J,MATCH($P1762,F_ProductBM!$Q:$Q,0))="","",INDEX(F_ProductBM!J:J,MATCH($P1762,F_ProductBM!$Q:$Q,0))))</f>
        <v/>
      </c>
      <c r="K1762" s="480" t="str">
        <f>IF($I1652="","",IF(INDEX(F_ProductBM!K:K,MATCH($P1762,F_ProductBM!$Q:$Q,0))="","",INDEX(F_ProductBM!K:K,MATCH($P1762,F_ProductBM!$Q:$Q,0))))</f>
        <v/>
      </c>
      <c r="L1762" s="480" t="str">
        <f>IF($I1652="","",IF(INDEX(F_ProductBM!L:L,MATCH($P1762,F_ProductBM!$Q:$Q,0))="","",INDEX(F_ProductBM!L:L,MATCH($P1762,F_ProductBM!$Q:$Q,0))))</f>
        <v/>
      </c>
      <c r="M1762" s="480" t="str">
        <f>IF($I1652="","",IF(INDEX(F_ProductBM!M:M,MATCH($P1762,F_ProductBM!$Q:$Q,0))="","",INDEX(F_ProductBM!M:M,MATCH($P1762,F_ProductBM!$Q:$Q,0))))</f>
        <v/>
      </c>
      <c r="N1762" s="1833" t="str">
        <f>IF($I1652="","",IF(INDEX(F_ProductBM!N:N,MATCH($P1762,F_ProductBM!$Q:$Q,0))="","",INDEX(F_ProductBM!N:N,MATCH($P1762,F_ProductBM!$Q:$Q,0))))</f>
        <v/>
      </c>
      <c r="O1762" s="698"/>
      <c r="P1762" s="1500" t="str">
        <f>EUconst_CNTR_IntermediateImport &amp; R1762 &amp; "_" &amp; I1652</f>
        <v>IntImp_1_</v>
      </c>
      <c r="Q1762" s="729"/>
      <c r="R1762" s="1176">
        <v>1</v>
      </c>
      <c r="S1762" s="729"/>
      <c r="T1762" s="770"/>
      <c r="U1762" s="343"/>
      <c r="V1762" s="343"/>
    </row>
    <row r="1763" spans="1:22" s="364" customFormat="1" x14ac:dyDescent="0.25">
      <c r="A1763" s="729"/>
      <c r="B1763" s="302"/>
      <c r="C1763" s="302"/>
      <c r="D1763" s="1820"/>
      <c r="E1763" s="2814" t="str">
        <f>IF(I1652="","",IF(INDEX(F_ProductBM!E:E,MATCH($P1763,F_ProductBM!$Q:$Q,0))="","",INDEX(F_ProductBM!E:E,MATCH($P1763,F_ProductBM!$Q:$Q,0))))</f>
        <v/>
      </c>
      <c r="F1763" s="2258"/>
      <c r="G1763" s="1319" t="str">
        <f>EUconst_Tons</f>
        <v>тона</v>
      </c>
      <c r="H1763" s="480" t="str">
        <f>IF($I1652="","",IF(INDEX(F_ProductBM!H:H,MATCH($P1763,F_ProductBM!$Q:$Q,0))="","",INDEX(F_ProductBM!H:H,MATCH($P1763,F_ProductBM!$Q:$Q,0))))</f>
        <v/>
      </c>
      <c r="I1763" s="1399" t="str">
        <f>IF($I1652="","",IF(INDEX(F_ProductBM!I:I,MATCH($P1763,F_ProductBM!$Q:$Q,0))="","",INDEX(F_ProductBM!I:I,MATCH($P1763,F_ProductBM!$Q:$Q,0))))</f>
        <v/>
      </c>
      <c r="J1763" s="1832" t="str">
        <f>IF($I1652="","",IF(INDEX(F_ProductBM!J:J,MATCH($P1763,F_ProductBM!$Q:$Q,0))="","",INDEX(F_ProductBM!J:J,MATCH($P1763,F_ProductBM!$Q:$Q,0))))</f>
        <v/>
      </c>
      <c r="K1763" s="480" t="str">
        <f>IF($I1652="","",IF(INDEX(F_ProductBM!K:K,MATCH($P1763,F_ProductBM!$Q:$Q,0))="","",INDEX(F_ProductBM!K:K,MATCH($P1763,F_ProductBM!$Q:$Q,0))))</f>
        <v/>
      </c>
      <c r="L1763" s="480" t="str">
        <f>IF($I1652="","",IF(INDEX(F_ProductBM!L:L,MATCH($P1763,F_ProductBM!$Q:$Q,0))="","",INDEX(F_ProductBM!L:L,MATCH($P1763,F_ProductBM!$Q:$Q,0))))</f>
        <v/>
      </c>
      <c r="M1763" s="480" t="str">
        <f>IF($I1652="","",IF(INDEX(F_ProductBM!M:M,MATCH($P1763,F_ProductBM!$Q:$Q,0))="","",INDEX(F_ProductBM!M:M,MATCH($P1763,F_ProductBM!$Q:$Q,0))))</f>
        <v/>
      </c>
      <c r="N1763" s="1833" t="str">
        <f>IF($I1652="","",IF(INDEX(F_ProductBM!N:N,MATCH($P1763,F_ProductBM!$Q:$Q,0))="","",INDEX(F_ProductBM!N:N,MATCH($P1763,F_ProductBM!$Q:$Q,0))))</f>
        <v/>
      </c>
      <c r="O1763" s="698"/>
      <c r="P1763" s="1500" t="str">
        <f>EUconst_CNTR_IntermediateImport &amp; R1763 &amp; "_" &amp; I1652</f>
        <v>IntImp_2_</v>
      </c>
      <c r="Q1763" s="729"/>
      <c r="R1763" s="1176">
        <v>2</v>
      </c>
      <c r="S1763" s="729"/>
      <c r="T1763" s="770"/>
      <c r="U1763" s="343"/>
      <c r="V1763" s="343"/>
    </row>
    <row r="1764" spans="1:22" s="364" customFormat="1" x14ac:dyDescent="0.25">
      <c r="A1764" s="729"/>
      <c r="B1764" s="302"/>
      <c r="C1764" s="302"/>
      <c r="D1764" s="1820"/>
      <c r="E1764" s="2820" t="str">
        <f>Translations!$B$958</f>
        <v>Междинно подаване:</v>
      </c>
      <c r="F1764" s="2258"/>
      <c r="G1764" s="625"/>
      <c r="H1764" s="640"/>
      <c r="I1764" s="640"/>
      <c r="J1764" s="640"/>
      <c r="K1764" s="640"/>
      <c r="L1764" s="640"/>
      <c r="M1764" s="640"/>
      <c r="N1764" s="1831"/>
      <c r="O1764" s="698"/>
      <c r="P1764" s="770"/>
      <c r="Q1764" s="729"/>
      <c r="R1764" s="729"/>
      <c r="S1764" s="729"/>
      <c r="T1764" s="770"/>
      <c r="U1764" s="343"/>
      <c r="V1764" s="343"/>
    </row>
    <row r="1765" spans="1:22" s="364" customFormat="1" x14ac:dyDescent="0.25">
      <c r="A1765" s="729"/>
      <c r="B1765" s="302"/>
      <c r="C1765" s="302"/>
      <c r="D1765" s="1820"/>
      <c r="E1765" s="2814" t="str">
        <f>IF(I1652="","",IF(INDEX(F_ProductBM!E:E,MATCH($P1765,F_ProductBM!$Q:$Q,0))="","",INDEX(F_ProductBM!E:E,MATCH($P1765,F_ProductBM!$Q:$Q,0))))</f>
        <v/>
      </c>
      <c r="F1765" s="2258"/>
      <c r="G1765" s="1319" t="str">
        <f>EUconst_Tons</f>
        <v>тона</v>
      </c>
      <c r="H1765" s="480" t="str">
        <f>IF($I1652="","",IF(INDEX(F_ProductBM!H:H,MATCH($P1765,F_ProductBM!$Q:$Q,0))="","",INDEX(F_ProductBM!H:H,MATCH($P1765,F_ProductBM!$Q:$Q,0))))</f>
        <v/>
      </c>
      <c r="I1765" s="1399" t="str">
        <f>IF($I1652="","",IF(INDEX(F_ProductBM!I:I,MATCH($P1765,F_ProductBM!$Q:$Q,0))="","",INDEX(F_ProductBM!I:I,MATCH($P1765,F_ProductBM!$Q:$Q,0))))</f>
        <v/>
      </c>
      <c r="J1765" s="1832" t="str">
        <f>IF($I1652="","",IF(INDEX(F_ProductBM!J:J,MATCH($P1765,F_ProductBM!$Q:$Q,0))="","",INDEX(F_ProductBM!J:J,MATCH($P1765,F_ProductBM!$Q:$Q,0))))</f>
        <v/>
      </c>
      <c r="K1765" s="480" t="str">
        <f>IF($I1652="","",IF(INDEX(F_ProductBM!K:K,MATCH($P1765,F_ProductBM!$Q:$Q,0))="","",INDEX(F_ProductBM!K:K,MATCH($P1765,F_ProductBM!$Q:$Q,0))))</f>
        <v/>
      </c>
      <c r="L1765" s="480" t="str">
        <f>IF($I1652="","",IF(INDEX(F_ProductBM!L:L,MATCH($P1765,F_ProductBM!$Q:$Q,0))="","",INDEX(F_ProductBM!L:L,MATCH($P1765,F_ProductBM!$Q:$Q,0))))</f>
        <v/>
      </c>
      <c r="M1765" s="480" t="str">
        <f>IF($I1652="","",IF(INDEX(F_ProductBM!M:M,MATCH($P1765,F_ProductBM!$Q:$Q,0))="","",INDEX(F_ProductBM!M:M,MATCH($P1765,F_ProductBM!$Q:$Q,0))))</f>
        <v/>
      </c>
      <c r="N1765" s="1833" t="str">
        <f>IF($I1652="","",IF(INDEX(F_ProductBM!N:N,MATCH($P1765,F_ProductBM!$Q:$Q,0))="","",INDEX(F_ProductBM!N:N,MATCH($P1765,F_ProductBM!$Q:$Q,0))))</f>
        <v/>
      </c>
      <c r="O1765" s="698"/>
      <c r="P1765" s="1500" t="str">
        <f>EUconst_CNTR_IntermediateExport &amp; R1762 &amp; "_" &amp; I1652</f>
        <v>IntExp_1_</v>
      </c>
      <c r="Q1765" s="729"/>
      <c r="R1765" s="1176">
        <v>1</v>
      </c>
      <c r="S1765" s="729"/>
      <c r="T1765" s="770"/>
      <c r="U1765" s="343"/>
      <c r="V1765" s="343"/>
    </row>
    <row r="1766" spans="1:22" s="364" customFormat="1" x14ac:dyDescent="0.25">
      <c r="A1766" s="729"/>
      <c r="B1766" s="302"/>
      <c r="C1766" s="302"/>
      <c r="D1766" s="1820"/>
      <c r="E1766" s="2814" t="str">
        <f>IF(I1652="","",IF(INDEX(F_ProductBM!E:E,MATCH($P1766,F_ProductBM!$Q:$Q,0))="","",INDEX(F_ProductBM!E:E,MATCH($P1766,F_ProductBM!$Q:$Q,0))))</f>
        <v/>
      </c>
      <c r="F1766" s="2258"/>
      <c r="G1766" s="1319" t="str">
        <f>EUconst_Tons</f>
        <v>тона</v>
      </c>
      <c r="H1766" s="480" t="str">
        <f>IF($I1652="","",IF(INDEX(F_ProductBM!H:H,MATCH($P1766,F_ProductBM!$Q:$Q,0))="","",INDEX(F_ProductBM!H:H,MATCH($P1766,F_ProductBM!$Q:$Q,0))))</f>
        <v/>
      </c>
      <c r="I1766" s="1399" t="str">
        <f>IF($I1652="","",IF(INDEX(F_ProductBM!I:I,MATCH($P1766,F_ProductBM!$Q:$Q,0))="","",INDEX(F_ProductBM!I:I,MATCH($P1766,F_ProductBM!$Q:$Q,0))))</f>
        <v/>
      </c>
      <c r="J1766" s="1832" t="str">
        <f>IF($I1652="","",IF(INDEX(F_ProductBM!J:J,MATCH($P1766,F_ProductBM!$Q:$Q,0))="","",INDEX(F_ProductBM!J:J,MATCH($P1766,F_ProductBM!$Q:$Q,0))))</f>
        <v/>
      </c>
      <c r="K1766" s="480" t="str">
        <f>IF($I1652="","",IF(INDEX(F_ProductBM!K:K,MATCH($P1766,F_ProductBM!$Q:$Q,0))="","",INDEX(F_ProductBM!K:K,MATCH($P1766,F_ProductBM!$Q:$Q,0))))</f>
        <v/>
      </c>
      <c r="L1766" s="480" t="str">
        <f>IF($I1652="","",IF(INDEX(F_ProductBM!L:L,MATCH($P1766,F_ProductBM!$Q:$Q,0))="","",INDEX(F_ProductBM!L:L,MATCH($P1766,F_ProductBM!$Q:$Q,0))))</f>
        <v/>
      </c>
      <c r="M1766" s="480" t="str">
        <f>IF($I1652="","",IF(INDEX(F_ProductBM!M:M,MATCH($P1766,F_ProductBM!$Q:$Q,0))="","",INDEX(F_ProductBM!M:M,MATCH($P1766,F_ProductBM!$Q:$Q,0))))</f>
        <v/>
      </c>
      <c r="N1766" s="1833" t="str">
        <f>IF($I1652="","",IF(INDEX(F_ProductBM!N:N,MATCH($P1766,F_ProductBM!$Q:$Q,0))="","",INDEX(F_ProductBM!N:N,MATCH($P1766,F_ProductBM!$Q:$Q,0))))</f>
        <v/>
      </c>
      <c r="O1766" s="698"/>
      <c r="P1766" s="1500" t="str">
        <f>EUconst_CNTR_IntermediateExport &amp; R1766 &amp; "_" &amp; I1652</f>
        <v>IntExp_2_</v>
      </c>
      <c r="Q1766" s="729"/>
      <c r="R1766" s="1176">
        <v>2</v>
      </c>
      <c r="S1766" s="729"/>
      <c r="T1766" s="770"/>
      <c r="U1766" s="343"/>
      <c r="V1766" s="343"/>
    </row>
    <row r="1767" spans="1:22" s="364" customFormat="1" ht="5.15" customHeight="1" x14ac:dyDescent="0.25">
      <c r="A1767" s="729"/>
      <c r="B1767" s="302"/>
      <c r="C1767" s="302"/>
      <c r="D1767" s="1820"/>
      <c r="E1767" s="625"/>
      <c r="F1767" s="625"/>
      <c r="G1767" s="625"/>
      <c r="H1767" s="625"/>
      <c r="I1767" s="644"/>
      <c r="J1767" s="644"/>
      <c r="K1767" s="644"/>
      <c r="L1767" s="644"/>
      <c r="M1767" s="644"/>
      <c r="N1767" s="1316"/>
      <c r="O1767" s="698"/>
      <c r="P1767" s="770"/>
      <c r="Q1767" s="729"/>
      <c r="R1767" s="1165"/>
      <c r="S1767" s="729"/>
      <c r="T1767" s="770"/>
      <c r="U1767" s="343"/>
      <c r="V1767" s="343"/>
    </row>
    <row r="1768" spans="1:22" s="364" customFormat="1" ht="13" x14ac:dyDescent="0.25">
      <c r="A1768" s="729"/>
      <c r="B1768" s="302"/>
      <c r="C1768" s="302"/>
      <c r="D1768" s="1820"/>
      <c r="E1768" s="3060" t="str">
        <f>Translations!$B$1585</f>
        <v>Корекции за актуализиране на показателя при специфичен показател, когато е приложимо</v>
      </c>
      <c r="F1768" s="3060"/>
      <c r="G1768" s="3060"/>
      <c r="H1768" s="3060"/>
      <c r="I1768" s="3060"/>
      <c r="J1768" s="3060"/>
      <c r="K1768" s="3060"/>
      <c r="L1768" s="3060"/>
      <c r="M1768" s="3060"/>
      <c r="N1768" s="1316"/>
      <c r="O1768" s="698"/>
      <c r="P1768" s="770"/>
      <c r="Q1768" s="729"/>
      <c r="R1768" s="1165"/>
      <c r="S1768" s="729"/>
      <c r="T1768" s="770"/>
      <c r="U1768" s="343"/>
      <c r="V1768" s="343"/>
    </row>
    <row r="1769" spans="1:22" s="364" customFormat="1" x14ac:dyDescent="0.25">
      <c r="A1769" s="729"/>
      <c r="B1769" s="302"/>
      <c r="C1769" s="302"/>
      <c r="D1769" s="1820"/>
      <c r="E1769" s="641" t="str">
        <f>Translations!$B$596</f>
        <v>Общо количество произведен пулп</v>
      </c>
      <c r="F1769" s="1835"/>
      <c r="G1769" s="642" t="str">
        <f>EUconst_Tons</f>
        <v>тона</v>
      </c>
      <c r="H1769" s="499" t="str">
        <f>IF($I1652="","",IF(INDEX(F_ProductBM!H:H,MATCH($P1769,F_ProductBM!$Q:$Q,0))="","",INDEX(F_ProductBM!H:H,MATCH($P1769,F_ProductBM!$Q:$Q,0))))</f>
        <v/>
      </c>
      <c r="I1769" s="1399" t="str">
        <f>IF($I1652="","",IF(INDEX(F_ProductBM!I:I,MATCH($P1769,F_ProductBM!$Q:$Q,0))="","",INDEX(F_ProductBM!I:I,MATCH($P1769,F_ProductBM!$Q:$Q,0))))</f>
        <v/>
      </c>
      <c r="J1769" s="1832" t="str">
        <f>IF($I1652="","",IF(INDEX(F_ProductBM!J:J,MATCH($P1769,F_ProductBM!$Q:$Q,0))="","",INDEX(F_ProductBM!J:J,MATCH($P1769,F_ProductBM!$Q:$Q,0))))</f>
        <v/>
      </c>
      <c r="K1769" s="499" t="str">
        <f>IF($I1652="","",IF(INDEX(F_ProductBM!K:K,MATCH($P1769,F_ProductBM!$Q:$Q,0))="","",INDEX(F_ProductBM!K:K,MATCH($P1769,F_ProductBM!$Q:$Q,0))))</f>
        <v/>
      </c>
      <c r="L1769" s="499" t="str">
        <f>IF($I1652="","",IF(INDEX(F_ProductBM!L:L,MATCH($P1769,F_ProductBM!$Q:$Q,0))="","",INDEX(F_ProductBM!L:L,MATCH($P1769,F_ProductBM!$Q:$Q,0))))</f>
        <v/>
      </c>
      <c r="M1769" s="499" t="str">
        <f>IF($I1652="","",IF(INDEX(F_ProductBM!M:M,MATCH($P1769,F_ProductBM!$Q:$Q,0))="","",INDEX(F_ProductBM!M:M,MATCH($P1769,F_ProductBM!$Q:$Q,0))))</f>
        <v/>
      </c>
      <c r="N1769" s="1836" t="str">
        <f>IF($I1652="","",IF(INDEX(F_ProductBM!N:N,MATCH($P1769,F_ProductBM!$Q:$Q,0))="","",INDEX(F_ProductBM!N:N,MATCH($P1769,F_ProductBM!$Q:$Q,0))))</f>
        <v/>
      </c>
      <c r="O1769" s="698"/>
      <c r="P1769" s="1500" t="str">
        <f>EUconst_CNTR_HALPulpTotal &amp;  I1652</f>
        <v>HALPulpTotal_</v>
      </c>
      <c r="Q1769" s="729"/>
      <c r="R1769" s="729"/>
      <c r="S1769" s="729"/>
      <c r="T1769" s="770"/>
      <c r="U1769" s="343"/>
      <c r="V1769" s="343"/>
    </row>
    <row r="1770" spans="1:22" s="364" customFormat="1" ht="5.15" customHeight="1" x14ac:dyDescent="0.25">
      <c r="A1770" s="729"/>
      <c r="B1770" s="302"/>
      <c r="C1770" s="302"/>
      <c r="D1770" s="1820"/>
      <c r="E1770" s="625"/>
      <c r="F1770" s="625"/>
      <c r="G1770" s="625"/>
      <c r="H1770" s="644"/>
      <c r="I1770" s="644"/>
      <c r="J1770" s="644"/>
      <c r="K1770" s="644"/>
      <c r="L1770" s="644"/>
      <c r="M1770" s="644"/>
      <c r="N1770" s="1837"/>
      <c r="O1770" s="698"/>
      <c r="P1770" s="770"/>
      <c r="Q1770" s="729"/>
      <c r="R1770" s="729"/>
      <c r="S1770" s="729"/>
      <c r="T1770" s="770"/>
      <c r="U1770" s="343"/>
      <c r="V1770" s="343"/>
    </row>
    <row r="1771" spans="1:22" s="364" customFormat="1" ht="12.75" customHeight="1" x14ac:dyDescent="0.25">
      <c r="A1771" s="729"/>
      <c r="B1771" s="302"/>
      <c r="C1771" s="302"/>
      <c r="D1771" s="1820"/>
      <c r="E1771" s="641" t="str">
        <f>Translations!$B$1586</f>
        <v>Производство на водород (действително + теоретично)</v>
      </c>
      <c r="F1771" s="1835"/>
      <c r="G1771" s="642" t="str">
        <f>EUconst_Tons</f>
        <v>тона</v>
      </c>
      <c r="H1771" s="499" t="str">
        <f>IF($L1655=$R1771,SUMIFS(H_SpecialBM!H:H,H_SpecialBM!$Q:$Q,$P1771),"")</f>
        <v/>
      </c>
      <c r="I1771" s="1399" t="str">
        <f>IF($L1655=$R1771,SUMIFS(H_SpecialBM!I:I,H_SpecialBM!$Q:$Q,$P1771),"")</f>
        <v/>
      </c>
      <c r="J1771" s="1832" t="str">
        <f>IF($L1655=$R1771,SUMIFS(H_SpecialBM!J:J,H_SpecialBM!$Q:$Q,$P1771),"")</f>
        <v/>
      </c>
      <c r="K1771" s="499" t="str">
        <f>IF($L1655=$R1771,SUMIFS(H_SpecialBM!K:K,H_SpecialBM!$Q:$Q,$P1771),"")</f>
        <v/>
      </c>
      <c r="L1771" s="499" t="str">
        <f>IF($L1655=$R1771,SUMIFS(H_SpecialBM!L:L,H_SpecialBM!$Q:$Q,$P1771),"")</f>
        <v/>
      </c>
      <c r="M1771" s="499" t="str">
        <f>IF($L1655=$R1771,SUMIFS(H_SpecialBM!M:M,H_SpecialBM!$Q:$Q,$P1771),"")</f>
        <v/>
      </c>
      <c r="N1771" s="1836" t="str">
        <f>IF($L1655=$R1771,SUMIFS(H_SpecialBM!N:N,H_SpecialBM!$Q:$Q,$P1771),"")</f>
        <v/>
      </c>
      <c r="O1771" s="698"/>
      <c r="P1771" s="1190" t="str">
        <f>EUconst_CNTR_H2ActualPlusTheoretical</f>
        <v>H2Total_</v>
      </c>
      <c r="Q1771" s="729"/>
      <c r="R1771" s="1176">
        <v>50</v>
      </c>
      <c r="S1771" s="729"/>
      <c r="T1771" s="770"/>
      <c r="U1771" s="343"/>
      <c r="V1771" s="343"/>
    </row>
    <row r="1772" spans="1:22" s="364" customFormat="1" x14ac:dyDescent="0.25">
      <c r="A1772" s="729"/>
      <c r="B1772" s="302"/>
      <c r="C1772" s="302"/>
      <c r="D1772" s="1820"/>
      <c r="E1772" s="641" t="str">
        <f>Translations!$B$1587</f>
        <v>Емисии във връзка с водород</v>
      </c>
      <c r="F1772" s="1835"/>
      <c r="G1772" s="642" t="str">
        <f>EUconst_tCO2pa</f>
        <v>t CO2 / година</v>
      </c>
      <c r="H1772" s="499" t="str">
        <f>IF($L1655=$R1772,SUMIFS(H_SpecialBM!H:H,H_SpecialBM!$Q:$Q,$P1772),"")</f>
        <v/>
      </c>
      <c r="I1772" s="1399" t="str">
        <f>IF($L1655=$R1772,SUMIFS(H_SpecialBM!I:I,H_SpecialBM!$Q:$Q,$P1772),"")</f>
        <v/>
      </c>
      <c r="J1772" s="1832" t="str">
        <f>IF($L1655=$R1772,SUMIFS(H_SpecialBM!J:J,H_SpecialBM!$Q:$Q,$P1772),"")</f>
        <v/>
      </c>
      <c r="K1772" s="499" t="str">
        <f>IF($L1655=$R1772,SUMIFS(H_SpecialBM!K:K,H_SpecialBM!$Q:$Q,$P1772),"")</f>
        <v/>
      </c>
      <c r="L1772" s="499" t="str">
        <f>IF($L1655=$R1772,SUMIFS(H_SpecialBM!L:L,H_SpecialBM!$Q:$Q,$P1772),"")</f>
        <v/>
      </c>
      <c r="M1772" s="499" t="str">
        <f>IF($L1655=$R1772,SUMIFS(H_SpecialBM!M:M,H_SpecialBM!$Q:$Q,$P1772),"")</f>
        <v/>
      </c>
      <c r="N1772" s="1836" t="str">
        <f>IF($L1655=$R1772,SUMIFS(H_SpecialBM!N:N,H_SpecialBM!$Q:$Q,$P1772),"")</f>
        <v/>
      </c>
      <c r="O1772" s="698"/>
      <c r="P1772" s="1190" t="str">
        <f>EUconst_CNTR_H2AdditionalEmissions</f>
        <v>H2AddEm_</v>
      </c>
      <c r="Q1772" s="729"/>
      <c r="R1772" s="1176">
        <v>50</v>
      </c>
      <c r="S1772" s="729"/>
      <c r="T1772" s="770"/>
      <c r="U1772" s="343"/>
      <c r="V1772" s="343"/>
    </row>
    <row r="1773" spans="1:22" s="364" customFormat="1" ht="5.15" customHeight="1" x14ac:dyDescent="0.25">
      <c r="A1773" s="729"/>
      <c r="B1773" s="302"/>
      <c r="C1773" s="302"/>
      <c r="D1773" s="1820"/>
      <c r="E1773" s="625"/>
      <c r="F1773" s="625"/>
      <c r="G1773" s="625"/>
      <c r="H1773" s="644"/>
      <c r="I1773" s="644"/>
      <c r="J1773" s="644"/>
      <c r="K1773" s="644"/>
      <c r="L1773" s="644"/>
      <c r="M1773" s="644"/>
      <c r="N1773" s="1837"/>
      <c r="O1773" s="698"/>
      <c r="P1773" s="729"/>
      <c r="Q1773" s="729"/>
      <c r="R1773" s="729"/>
      <c r="S1773" s="729"/>
      <c r="T1773" s="770"/>
      <c r="U1773" s="343"/>
      <c r="V1773" s="343"/>
    </row>
    <row r="1774" spans="1:22" s="364" customFormat="1" x14ac:dyDescent="0.25">
      <c r="A1774" s="729"/>
      <c r="B1774" s="302"/>
      <c r="C1774" s="302"/>
      <c r="D1774" s="1820"/>
      <c r="E1774" s="641" t="str">
        <f>Translations!$B$1588</f>
        <v>Корекция на емисиите във връзка с HVC</v>
      </c>
      <c r="F1774" s="1835"/>
      <c r="G1774" s="642" t="str">
        <f>EUconst_tCO2pa</f>
        <v>t CO2 / година</v>
      </c>
      <c r="H1774" s="499" t="str">
        <f>IF($L1655=$R1774,-SUMIFS(H_SpecialBM!H:H,H_SpecialBM!$Q:$Q,$P1774),"")</f>
        <v/>
      </c>
      <c r="I1774" s="1399" t="str">
        <f>IF($L1655=$R1774,-SUMIFS(H_SpecialBM!I:I,H_SpecialBM!$Q:$Q,$P1774),"")</f>
        <v/>
      </c>
      <c r="J1774" s="1832" t="str">
        <f>IF($L1655=$R1774,-SUMIFS(H_SpecialBM!J:J,H_SpecialBM!$Q:$Q,$P1774),"")</f>
        <v/>
      </c>
      <c r="K1774" s="499" t="str">
        <f>IF($L1655=$R1774,-SUMIFS(H_SpecialBM!K:K,H_SpecialBM!$Q:$Q,$P1774),"")</f>
        <v/>
      </c>
      <c r="L1774" s="499" t="str">
        <f>IF($L1655=$R1774,-SUMIFS(H_SpecialBM!L:L,H_SpecialBM!$Q:$Q,$P1774),"")</f>
        <v/>
      </c>
      <c r="M1774" s="499" t="str">
        <f>IF($L1655=$R1774,-SUMIFS(H_SpecialBM!M:M,H_SpecialBM!$Q:$Q,$P1774),"")</f>
        <v/>
      </c>
      <c r="N1774" s="1836" t="str">
        <f>IF($L1655=$R1774,-SUMIFS(H_SpecialBM!N:N,H_SpecialBM!$Q:$Q,$P1774),"")</f>
        <v/>
      </c>
      <c r="O1774" s="698"/>
      <c r="P1774" s="1500" t="str">
        <f>EUconst_CNTR_HVC</f>
        <v>HVC_</v>
      </c>
      <c r="Q1774" s="729"/>
      <c r="R1774" s="1176">
        <v>42</v>
      </c>
      <c r="S1774" s="729"/>
      <c r="T1774" s="770"/>
      <c r="U1774" s="343"/>
      <c r="V1774" s="343"/>
    </row>
    <row r="1775" spans="1:22" s="364" customFormat="1" ht="5.15" customHeight="1" x14ac:dyDescent="0.25">
      <c r="A1775" s="729"/>
      <c r="B1775" s="302"/>
      <c r="C1775" s="302"/>
      <c r="D1775" s="1820"/>
      <c r="E1775" s="625"/>
      <c r="F1775" s="625"/>
      <c r="G1775" s="625"/>
      <c r="H1775" s="644"/>
      <c r="I1775" s="644"/>
      <c r="J1775" s="644"/>
      <c r="K1775" s="644"/>
      <c r="L1775" s="644"/>
      <c r="M1775" s="644"/>
      <c r="N1775" s="1837"/>
      <c r="O1775" s="698"/>
      <c r="P1775" s="770"/>
      <c r="Q1775" s="729"/>
      <c r="R1775" s="729"/>
      <c r="S1775" s="729"/>
      <c r="T1775" s="770"/>
      <c r="U1775" s="343"/>
      <c r="V1775" s="343"/>
    </row>
    <row r="1776" spans="1:22" s="364" customFormat="1" ht="12.75" customHeight="1" x14ac:dyDescent="0.25">
      <c r="A1776" s="729"/>
      <c r="B1776" s="302"/>
      <c r="C1776" s="302"/>
      <c r="D1776" s="1820"/>
      <c r="E1776" s="641" t="str">
        <f>Translations!$B$1589</f>
        <v>Корекция на емисиите във връзка с VCM</v>
      </c>
      <c r="F1776" s="1835"/>
      <c r="G1776" s="642" t="str">
        <f>EUconst_tCO2pa</f>
        <v>t CO2 / година</v>
      </c>
      <c r="H1776" s="499" t="str">
        <f>IF($L1655=$R1776,INDEX(H_SpecialBM!H:H,MATCH($P1776,H_SpecialBM!$Q:$Q,0)-2),"")</f>
        <v/>
      </c>
      <c r="I1776" s="1399" t="str">
        <f>IF($L1655=$R1776,INDEX(H_SpecialBM!I:I,MATCH($P1776,H_SpecialBM!$Q:$Q,0)-2),"")</f>
        <v/>
      </c>
      <c r="J1776" s="1832" t="str">
        <f>IF($L1655=$R1776,INDEX(H_SpecialBM!J:J,MATCH($P1776,H_SpecialBM!$Q:$Q,0)-2),"")</f>
        <v/>
      </c>
      <c r="K1776" s="499" t="str">
        <f>IF($L1655=$R1776,INDEX(H_SpecialBM!K:K,MATCH($P1776,H_SpecialBM!$Q:$Q,0)-2),"")</f>
        <v/>
      </c>
      <c r="L1776" s="499" t="str">
        <f>IF($L1655=$R1776,INDEX(H_SpecialBM!L:L,MATCH($P1776,H_SpecialBM!$Q:$Q,0)-2),"")</f>
        <v/>
      </c>
      <c r="M1776" s="499" t="str">
        <f>IF($L1655=$R1776,INDEX(H_SpecialBM!M:M,MATCH($P1776,H_SpecialBM!$Q:$Q,0)-2),"")</f>
        <v/>
      </c>
      <c r="N1776" s="1836" t="str">
        <f>IF($L1655=$R1776,INDEX(H_SpecialBM!N:N,MATCH($P1776,H_SpecialBM!$Q:$Q,0)-2),"")</f>
        <v/>
      </c>
      <c r="O1776" s="698"/>
      <c r="P1776" s="1190" t="str">
        <f>EUconst_CNTR_VCM</f>
        <v>VCM_</v>
      </c>
      <c r="Q1776" s="729"/>
      <c r="R1776" s="1176">
        <v>47</v>
      </c>
      <c r="S1776" s="729"/>
      <c r="T1776" s="770"/>
      <c r="U1776" s="343"/>
      <c r="V1776" s="343"/>
    </row>
    <row r="1777" spans="1:22" s="364" customFormat="1" ht="12.75" customHeight="1" thickBot="1" x14ac:dyDescent="0.3">
      <c r="A1777" s="729"/>
      <c r="B1777" s="302"/>
      <c r="C1777" s="302"/>
      <c r="D1777" s="1838"/>
      <c r="E1777" s="1839"/>
      <c r="F1777" s="1839"/>
      <c r="G1777" s="1839"/>
      <c r="H1777" s="1839"/>
      <c r="I1777" s="1840"/>
      <c r="J1777" s="1840"/>
      <c r="K1777" s="1840"/>
      <c r="L1777" s="1840"/>
      <c r="M1777" s="1840"/>
      <c r="N1777" s="1379"/>
      <c r="O1777" s="698"/>
      <c r="P1777" s="729"/>
      <c r="Q1777" s="729"/>
      <c r="R1777" s="1165"/>
      <c r="S1777" s="729"/>
      <c r="T1777" s="770"/>
      <c r="U1777" s="343"/>
      <c r="V1777" s="343"/>
    </row>
    <row r="1778" spans="1:22" s="364" customFormat="1" ht="12.75" customHeight="1" x14ac:dyDescent="0.25">
      <c r="A1778" s="729"/>
      <c r="B1778" s="302"/>
      <c r="C1778" s="302"/>
      <c r="D1778" s="302"/>
      <c r="E1778" s="646"/>
      <c r="O1778" s="698"/>
      <c r="P1778" s="729"/>
      <c r="Q1778" s="729"/>
      <c r="R1778" s="729"/>
      <c r="S1778" s="729"/>
      <c r="T1778" s="729"/>
      <c r="U1778" s="343"/>
      <c r="V1778" s="343"/>
    </row>
    <row r="1779" spans="1:22" s="364" customFormat="1" ht="5.15" customHeight="1" thickBot="1" x14ac:dyDescent="0.3">
      <c r="A1779" s="729"/>
      <c r="B1779" s="302"/>
      <c r="C1779" s="302"/>
      <c r="D1779" s="302"/>
      <c r="E1779" s="646"/>
      <c r="O1779" s="698"/>
      <c r="P1779" s="729"/>
      <c r="Q1779" s="729"/>
      <c r="R1779" s="729"/>
      <c r="S1779" s="729"/>
      <c r="T1779" s="729"/>
      <c r="U1779" s="343"/>
      <c r="V1779" s="343"/>
    </row>
    <row r="1780" spans="1:22" s="364" customFormat="1" ht="5.15" customHeight="1" thickBot="1" x14ac:dyDescent="0.3">
      <c r="A1780" s="729"/>
      <c r="B1780" s="284"/>
      <c r="C1780" s="581"/>
      <c r="D1780" s="581"/>
      <c r="E1780" s="581"/>
      <c r="F1780" s="581"/>
      <c r="G1780" s="581"/>
      <c r="H1780" s="581"/>
      <c r="I1780" s="581"/>
      <c r="J1780" s="581"/>
      <c r="K1780" s="581"/>
      <c r="L1780" s="581"/>
      <c r="M1780" s="581"/>
      <c r="N1780" s="581"/>
      <c r="O1780" s="698"/>
      <c r="P1780" s="729"/>
      <c r="Q1780" s="729"/>
      <c r="R1780" s="729"/>
      <c r="S1780" s="729"/>
      <c r="T1780" s="729"/>
      <c r="U1780" s="343"/>
      <c r="V1780" s="343"/>
    </row>
    <row r="1781" spans="1:22" s="364" customFormat="1" ht="5.15" customHeight="1" thickBot="1" x14ac:dyDescent="0.3">
      <c r="A1781" s="729"/>
      <c r="B1781" s="284"/>
      <c r="C1781" s="581"/>
      <c r="D1781" s="581"/>
      <c r="E1781" s="581"/>
      <c r="F1781" s="581"/>
      <c r="G1781" s="581"/>
      <c r="H1781" s="581"/>
      <c r="I1781" s="581"/>
      <c r="J1781" s="581"/>
      <c r="K1781" s="581"/>
      <c r="L1781" s="581"/>
      <c r="M1781" s="581"/>
      <c r="N1781" s="581"/>
      <c r="O1781" s="698"/>
      <c r="P1781" s="729"/>
      <c r="Q1781" s="729"/>
      <c r="R1781" s="729"/>
      <c r="S1781" s="729"/>
      <c r="T1781" s="729"/>
      <c r="U1781" s="343"/>
      <c r="V1781" s="343"/>
    </row>
    <row r="1782" spans="1:22" s="364" customFormat="1" ht="15" customHeight="1" thickBot="1" x14ac:dyDescent="0.35">
      <c r="A1782" s="729"/>
      <c r="B1782" s="302"/>
      <c r="C1782" s="357">
        <v>11</v>
      </c>
      <c r="D1782" s="2323" t="str">
        <f>CONCATENATE(EUconst_FBSubinst," ",C1782-10, ":")</f>
        <v>Алтернативна подинсталация („Fall-Back sub-installation“) 1:</v>
      </c>
      <c r="E1782" s="2323"/>
      <c r="F1782" s="2323"/>
      <c r="G1782" s="2323"/>
      <c r="H1782" s="2987"/>
      <c r="I1782" s="2988" t="str">
        <f>INDEX(EUconst_FallBackListNames,$C1782-10)</f>
        <v>Подинсталация с топлинен показател (с риск от ИВЕ | извън МКВЕГ)</v>
      </c>
      <c r="J1782" s="2989"/>
      <c r="K1782" s="2989"/>
      <c r="L1782" s="2990"/>
      <c r="M1782" s="2919" t="str">
        <f>IF(INDEX(CNTR_FallBackSubInstRelevant,C1782-10)="","",IF(INDEX(CNTR_FallBackSubInstRelevant,C1782-10),EUconst_Relevant,EUconst_NotRelevant))</f>
        <v/>
      </c>
      <c r="N1782" s="2920"/>
      <c r="O1782" s="698"/>
      <c r="P1782" s="729"/>
      <c r="Q1782" s="1684">
        <f>C1782</f>
        <v>11</v>
      </c>
      <c r="R1782" s="1685" t="str">
        <f>I1782</f>
        <v>Подинсталация с топлинен показател (с риск от ИВЕ | извън МКВЕГ)</v>
      </c>
      <c r="S1782" s="729"/>
      <c r="T1782" s="729"/>
      <c r="U1782" s="343"/>
      <c r="V1782" s="343"/>
    </row>
    <row r="1783" spans="1:22" s="364" customFormat="1" ht="5.15" customHeight="1" x14ac:dyDescent="0.3">
      <c r="A1783" s="729"/>
      <c r="B1783" s="302"/>
      <c r="C1783" s="357"/>
      <c r="D1783" s="357"/>
      <c r="E1783" s="357"/>
      <c r="F1783" s="357"/>
      <c r="G1783" s="357"/>
      <c r="H1783" s="357"/>
      <c r="I1783" s="357"/>
      <c r="J1783" s="357"/>
      <c r="K1783" s="357"/>
      <c r="L1783" s="357"/>
      <c r="M1783" s="357"/>
      <c r="N1783" s="357"/>
      <c r="O1783" s="698"/>
      <c r="P1783" s="729"/>
      <c r="Q1783" s="729"/>
      <c r="R1783" s="729"/>
      <c r="S1783" s="729"/>
      <c r="T1783" s="729"/>
      <c r="U1783" s="343"/>
      <c r="V1783" s="343"/>
    </row>
    <row r="1784" spans="1:22" s="364" customFormat="1" ht="12.75" customHeight="1" x14ac:dyDescent="0.3">
      <c r="A1784" s="729"/>
      <c r="B1784" s="302"/>
      <c r="C1784" s="357"/>
      <c r="D1784" s="357"/>
      <c r="E1784" s="357"/>
      <c r="F1784" s="357"/>
      <c r="H1784" s="595" t="str">
        <f>Translations!$B$942</f>
        <v>Риск от ИВЕ</v>
      </c>
      <c r="I1784" s="595" t="s">
        <v>2151</v>
      </c>
      <c r="J1784" s="595" t="str">
        <f>Translations!$B$946</f>
        <v>В/Е</v>
      </c>
      <c r="K1784" s="595" t="str">
        <f>Translations!$B$1360</f>
        <v>Спряна експлоатация</v>
      </c>
      <c r="L1784" s="654" t="str">
        <f>Translations!$B$944</f>
        <v>№ на п-л</v>
      </c>
      <c r="M1784" s="2991" t="str">
        <f>Translations!$B$948</f>
        <v>Стойност на п-л</v>
      </c>
      <c r="N1784" s="2991"/>
      <c r="O1784" s="698"/>
      <c r="P1784" s="729"/>
      <c r="Q1784" s="729"/>
      <c r="R1784" s="729"/>
      <c r="S1784" s="729"/>
      <c r="T1784" s="729"/>
      <c r="U1784" s="343"/>
      <c r="V1784" s="343"/>
    </row>
    <row r="1785" spans="1:22" s="364" customFormat="1" ht="12.75" customHeight="1" x14ac:dyDescent="0.3">
      <c r="A1785" s="729"/>
      <c r="B1785" s="302"/>
      <c r="C1785" s="357"/>
      <c r="D1785" s="357"/>
      <c r="E1785" s="361" t="str">
        <f>I1782</f>
        <v>Подинсталация с топлинен показател (с риск от ИВЕ | извън МКВЕГ)</v>
      </c>
      <c r="F1785" s="373"/>
      <c r="G1785" s="373"/>
      <c r="H1785" s="600" t="b">
        <f>INDEX(EUconst_FallBackListCLstatus,MATCH(I1782,EUconst_FallBackListNames,0))</f>
        <v>1</v>
      </c>
      <c r="I1785" s="600" t="b">
        <f>INDEX(EUconst_FallBackListCBAMstatus,MATCH(I1782,EUconst_FallBackListNames,0))</f>
        <v>0</v>
      </c>
      <c r="J1785" s="655" t="str">
        <f>IF($M1782&lt;&gt;EUconst_Relevant,EUconst_NA,INDEX(CNTR_SubInstStartDate,MATCH(I1782,CNTR_SubInstListNames,0)))</f>
        <v>Не е приложимо</v>
      </c>
      <c r="K1785" s="655" t="str">
        <f>IF($M1782&lt;&gt;EUconst_Relevant,EUconst_NA,IF(INDEX(CNTR_SubInstCessationDate,MATCH(I1782,CNTR_SubInstListNames,0))=0,"",INDEX(CNTR_SubInstCessationDate,MATCH(I1782,CNTR_SubInstListNames,0))))</f>
        <v>Не е приложимо</v>
      </c>
      <c r="L1785" s="1687">
        <f>C1782-10</f>
        <v>1</v>
      </c>
      <c r="M1785" s="1841" t="str">
        <f>IF(M1782&lt;&gt;EUconst_Relevant,EUconst_NA,INDEX(EUconst_FallBackListBMvaluesMatrix,L1785,3))</f>
        <v>Не е приложимо</v>
      </c>
      <c r="N1785" s="382" t="str">
        <f>EUconst_EUA &amp; "/" &amp; F1788</f>
        <v>Квота за емисии/TJ</v>
      </c>
      <c r="O1785" s="698"/>
      <c r="P1785" s="729"/>
      <c r="Q1785" s="729"/>
      <c r="R1785" s="729"/>
      <c r="S1785" s="729"/>
      <c r="T1785" s="729"/>
      <c r="U1785" s="343"/>
      <c r="V1785" s="343"/>
    </row>
    <row r="1786" spans="1:22" s="364" customFormat="1" ht="5.15" customHeight="1" thickBot="1" x14ac:dyDescent="0.35">
      <c r="A1786" s="729"/>
      <c r="B1786" s="302"/>
      <c r="C1786" s="302"/>
      <c r="D1786" s="302"/>
      <c r="E1786" s="357"/>
      <c r="J1786" s="302"/>
      <c r="K1786" s="302"/>
      <c r="L1786" s="302"/>
      <c r="M1786" s="302"/>
      <c r="N1786" s="302"/>
      <c r="O1786" s="698"/>
      <c r="P1786" s="729"/>
      <c r="Q1786" s="729"/>
      <c r="R1786" s="729"/>
      <c r="S1786" s="729"/>
      <c r="T1786" s="770"/>
      <c r="U1786" s="343"/>
      <c r="V1786" s="343"/>
    </row>
    <row r="1787" spans="1:22" s="364" customFormat="1" ht="12.75" customHeight="1" x14ac:dyDescent="0.25">
      <c r="A1787" s="729"/>
      <c r="B1787" s="302"/>
      <c r="C1787" s="302"/>
      <c r="D1787" s="302"/>
      <c r="E1787" s="313"/>
      <c r="F1787" s="300" t="str">
        <f>EUconst_Unit</f>
        <v>Единица мярка</v>
      </c>
      <c r="G1787" s="1842" t="str">
        <f>Translations!$B$1284</f>
        <v>HAL</v>
      </c>
      <c r="H1787" s="757">
        <f t="shared" ref="H1787:N1787" si="154">H$2505</f>
        <v>2024</v>
      </c>
      <c r="I1787" s="572">
        <f t="shared" si="154"/>
        <v>2025</v>
      </c>
      <c r="J1787" s="757">
        <f t="shared" si="154"/>
        <v>2026</v>
      </c>
      <c r="K1787" s="391">
        <f t="shared" si="154"/>
        <v>2027</v>
      </c>
      <c r="L1787" s="391">
        <f t="shared" si="154"/>
        <v>2028</v>
      </c>
      <c r="M1787" s="391">
        <f t="shared" si="154"/>
        <v>2029</v>
      </c>
      <c r="N1787" s="391">
        <f t="shared" si="154"/>
        <v>2030</v>
      </c>
      <c r="O1787" s="698"/>
      <c r="P1787" s="729"/>
      <c r="Q1787" s="729" t="s">
        <v>1851</v>
      </c>
      <c r="R1787" s="1690">
        <f>J$2505</f>
        <v>2026</v>
      </c>
      <c r="S1787" s="1691">
        <f>K$2505</f>
        <v>2027</v>
      </c>
      <c r="T1787" s="1691">
        <f>L$2505</f>
        <v>2028</v>
      </c>
      <c r="U1787" s="1691">
        <f>M$2505</f>
        <v>2029</v>
      </c>
      <c r="V1787" s="1692">
        <f>N$2505</f>
        <v>2030</v>
      </c>
    </row>
    <row r="1788" spans="1:22" s="364" customFormat="1" ht="12.75" customHeight="1" thickBot="1" x14ac:dyDescent="0.3">
      <c r="A1788" s="729"/>
      <c r="B1788" s="302"/>
      <c r="C1788" s="302"/>
      <c r="D1788" s="302"/>
      <c r="E1788" s="388" t="str">
        <f>Translations!$B$1371</f>
        <v>Докладвано равнище на дейност</v>
      </c>
      <c r="F1788" s="1062" t="str">
        <f>INDEX(EUconst_FallBackListUnits,L1785)</f>
        <v>TJ</v>
      </c>
      <c r="G1788" s="1843" t="str">
        <f>I1819</f>
        <v/>
      </c>
      <c r="H1788" s="1844" t="str">
        <f>IF($M1782&lt;&gt;EUconst_Relevant,"",IF(H1787&gt;=CNTR_ReportingYear,"",SUMIF('G_Fall-back'!$Q:$Q,$P1788,'G_Fall-back'!H:H)))</f>
        <v/>
      </c>
      <c r="I1788" s="1845" t="str">
        <f>IF($M1782&lt;&gt;EUconst_Relevant,"",IF(I1787&gt;=CNTR_ReportingYear,"",SUMIF('G_Fall-back'!$Q:$Q,$P1788,'G_Fall-back'!I:I)))</f>
        <v/>
      </c>
      <c r="J1788" s="1844" t="str">
        <f>IF($M1782&lt;&gt;EUconst_Relevant,"",IF(J1787&gt;=CNTR_ReportingYear,"",SUMIF('G_Fall-back'!$Q:$Q,$P1788,'G_Fall-back'!J:J)))</f>
        <v/>
      </c>
      <c r="K1788" s="1846" t="str">
        <f>IF($M1782&lt;&gt;EUconst_Relevant,"",IF(K1787&gt;=CNTR_ReportingYear,"",SUMIF('G_Fall-back'!$Q:$Q,$P1788,'G_Fall-back'!K:K)))</f>
        <v/>
      </c>
      <c r="L1788" s="1846" t="str">
        <f>IF($M1782&lt;&gt;EUconst_Relevant,"",IF(L1787&gt;=CNTR_ReportingYear,"",SUMIF('G_Fall-back'!$Q:$Q,$P1788,'G_Fall-back'!L:L)))</f>
        <v/>
      </c>
      <c r="M1788" s="1846" t="str">
        <f>IF($M1782&lt;&gt;EUconst_Relevant,"",IF(M1787&gt;=CNTR_ReportingYear,"",SUMIF('G_Fall-back'!$Q:$Q,$P1788,'G_Fall-back'!M:M)))</f>
        <v/>
      </c>
      <c r="N1788" s="1846" t="str">
        <f>IF($M1782&lt;&gt;EUconst_Relevant,"",IF(N1787&gt;=CNTR_ReportingYear,"",SUMIF('G_Fall-back'!$Q:$Q,$P1788,'G_Fall-back'!N:N)))</f>
        <v/>
      </c>
      <c r="O1788" s="698"/>
      <c r="P1788" s="1190" t="str">
        <f>EUconst_CNTR_HAL&amp;I1782</f>
        <v>HAL_Подинсталация с топлинен показател (с риск от ИВЕ | извън МКВЕГ)</v>
      </c>
      <c r="Q1788" s="729"/>
      <c r="R1788" s="1580" t="b">
        <f>AND($M1782=EUconst_Relevant,R1787&lt;=CNTR_ReportingYear,IF($J1785&lt;&gt;EUconst_NA,R1787&gt;=YEAR($J1785),TRUE))</f>
        <v>0</v>
      </c>
      <c r="S1788" s="1255" t="b">
        <f>AND($M1782=EUconst_Relevant,S1787&lt;=CNTR_ReportingYear,IF($J1785&lt;&gt;EUconst_NA,S1787&gt;=YEAR($J1785),TRUE))</f>
        <v>0</v>
      </c>
      <c r="T1788" s="1255" t="b">
        <f>AND($M1782=EUconst_Relevant,T1787&lt;=CNTR_ReportingYear,IF($J1785&lt;&gt;EUconst_NA,T1787&gt;=YEAR($J1785),TRUE))</f>
        <v>0</v>
      </c>
      <c r="U1788" s="1255" t="b">
        <f>AND($M1782=EUconst_Relevant,U1787&lt;=CNTR_ReportingYear,IF($J1785&lt;&gt;EUconst_NA,U1787&gt;=YEAR($J1785),TRUE))</f>
        <v>0</v>
      </c>
      <c r="V1788" s="1256" t="b">
        <f>AND($M1782=EUconst_Relevant,V1787&lt;=CNTR_ReportingYear,IF($J1785&lt;&gt;EUconst_NA,V1787&gt;=YEAR($J1785),TRUE))</f>
        <v>0</v>
      </c>
    </row>
    <row r="1789" spans="1:22" s="364" customFormat="1" ht="5.15" customHeight="1" thickBot="1" x14ac:dyDescent="0.3">
      <c r="A1789" s="729"/>
      <c r="B1789" s="302"/>
      <c r="C1789" s="302"/>
      <c r="D1789" s="302"/>
      <c r="F1789" s="302"/>
      <c r="G1789" s="302"/>
      <c r="H1789" s="302"/>
      <c r="I1789" s="1746"/>
      <c r="J1789" s="302"/>
      <c r="K1789" s="302"/>
      <c r="L1789" s="302"/>
      <c r="M1789" s="302"/>
      <c r="N1789" s="302"/>
      <c r="O1789" s="698"/>
      <c r="P1789" s="729"/>
      <c r="Q1789" s="729"/>
      <c r="R1789" s="729"/>
      <c r="S1789" s="729"/>
      <c r="T1789" s="770"/>
      <c r="U1789" s="343"/>
      <c r="V1789" s="343"/>
    </row>
    <row r="1790" spans="1:22" s="364" customFormat="1" ht="5.15" customHeight="1" x14ac:dyDescent="0.3">
      <c r="A1790" s="729"/>
      <c r="B1790" s="302"/>
      <c r="C1790" s="357"/>
      <c r="D1790" s="1695"/>
      <c r="E1790" s="1696"/>
      <c r="F1790" s="1696"/>
      <c r="G1790" s="1696"/>
      <c r="H1790" s="1696"/>
      <c r="I1790" s="1696"/>
      <c r="J1790" s="1696"/>
      <c r="K1790" s="1696"/>
      <c r="L1790" s="1696"/>
      <c r="M1790" s="1696"/>
      <c r="N1790" s="1697"/>
      <c r="O1790" s="698"/>
      <c r="P1790" s="729"/>
      <c r="Q1790" s="729"/>
      <c r="R1790" s="729"/>
      <c r="S1790" s="729"/>
      <c r="T1790" s="729"/>
      <c r="U1790" s="343"/>
      <c r="V1790" s="343"/>
    </row>
    <row r="1791" spans="1:22" s="364" customFormat="1" ht="12.75" customHeight="1" x14ac:dyDescent="0.3">
      <c r="A1791" s="729"/>
      <c r="B1791" s="302"/>
      <c r="C1791" s="357"/>
      <c r="D1791" s="1698"/>
      <c r="E1791" s="389" t="str">
        <f>Translations!$B$1372</f>
        <v>Приложимост на пълзящата средна стойност</v>
      </c>
      <c r="F1791" s="498"/>
      <c r="G1791" s="498"/>
      <c r="H1791" s="527" t="str">
        <f>EUconst_Unit</f>
        <v>Единица мярка</v>
      </c>
      <c r="I1791" s="1699"/>
      <c r="J1791" s="1523">
        <f>J$2505</f>
        <v>2026</v>
      </c>
      <c r="K1791" s="387">
        <f>K$2505</f>
        <v>2027</v>
      </c>
      <c r="L1791" s="387">
        <f>L$2505</f>
        <v>2028</v>
      </c>
      <c r="M1791" s="387">
        <f>M$2505</f>
        <v>2029</v>
      </c>
      <c r="N1791" s="1544">
        <f>N$2505</f>
        <v>2030</v>
      </c>
      <c r="O1791" s="698"/>
      <c r="P1791" s="729"/>
      <c r="Q1791" s="729"/>
      <c r="R1791" s="729"/>
      <c r="S1791" s="729"/>
      <c r="T1791" s="729"/>
      <c r="U1791" s="343"/>
      <c r="V1791" s="343"/>
    </row>
    <row r="1792" spans="1:22" s="364" customFormat="1" ht="12.75" customHeight="1" x14ac:dyDescent="0.3">
      <c r="A1792" s="729"/>
      <c r="B1792" s="302"/>
      <c r="C1792" s="357"/>
      <c r="D1792" s="1698"/>
      <c r="E1792" s="1700" t="str">
        <f>Translations!$B$1364</f>
        <v>Критерий 1: В експлоатация &gt; 2 години?</v>
      </c>
      <c r="F1792" s="1701"/>
      <c r="G1792" s="1701"/>
      <c r="H1792" s="1702" t="s">
        <v>1052</v>
      </c>
      <c r="I1792" s="1701"/>
      <c r="J1792" s="1703" t="str">
        <f>IF(R1788,INDEX('G_Fall-back'!V:V,MATCH($P1792,'G_Fall-back'!$Q:$Q,0))&gt;=3,"")</f>
        <v/>
      </c>
      <c r="K1792" s="1704" t="str">
        <f>IF(S1788,INDEX('G_Fall-back'!W:W,MATCH($P1792,'G_Fall-back'!$Q:$Q,0))&gt;=3,"")</f>
        <v/>
      </c>
      <c r="L1792" s="1704" t="str">
        <f>IF(T1788,INDEX('G_Fall-back'!X:X,MATCH($P1792,'G_Fall-back'!$Q:$Q,0))&gt;=3,"")</f>
        <v/>
      </c>
      <c r="M1792" s="1704" t="str">
        <f>IF(U1788,INDEX('G_Fall-back'!Y:Y,MATCH($P1792,'G_Fall-back'!$Q:$Q,0))&gt;=3,"")</f>
        <v/>
      </c>
      <c r="N1792" s="1705" t="str">
        <f>IF(V1788,INDEX('G_Fall-back'!Z:Z,MATCH($P1792,'G_Fall-back'!$Q:$Q,0))&gt;=3,"")</f>
        <v/>
      </c>
      <c r="O1792" s="698"/>
      <c r="P1792" s="1190" t="str">
        <f>EUconst_CNTR_HALinitial&amp;I1782</f>
        <v>HALini_Подинсталация с топлинен показател (с риск от ИВЕ | извън МКВЕГ)</v>
      </c>
      <c r="Q1792" s="729"/>
      <c r="R1792" s="729"/>
      <c r="S1792" s="729"/>
      <c r="T1792" s="729"/>
      <c r="U1792" s="343"/>
      <c r="V1792" s="343"/>
    </row>
    <row r="1793" spans="1:22" s="364" customFormat="1" ht="12.75" customHeight="1" x14ac:dyDescent="0.3">
      <c r="A1793" s="729"/>
      <c r="B1793" s="302"/>
      <c r="C1793" s="357"/>
      <c r="D1793" s="1698"/>
      <c r="E1793" s="1706" t="str">
        <f>Translations!$B$1366</f>
        <v>Критерий 2: Не е спряна от експлоатация през предходната година?</v>
      </c>
      <c r="F1793" s="1707"/>
      <c r="G1793" s="1707"/>
      <c r="H1793" s="1708" t="s">
        <v>1052</v>
      </c>
      <c r="I1793" s="1707"/>
      <c r="J1793" s="1709" t="str">
        <f>IF(R1788,IF($K1785="",2050,YEAR($K1785))&lt;&gt;(J1791-1),"")</f>
        <v/>
      </c>
      <c r="K1793" s="1710" t="str">
        <f>IF(S1788,IF($K1785="",2050,YEAR($K1785))&lt;&gt;(K1791-1),"")</f>
        <v/>
      </c>
      <c r="L1793" s="1710" t="str">
        <f>IF(T1788,IF($K1785="",2050,YEAR($K1785))&lt;&gt;(L1791-1),"")</f>
        <v/>
      </c>
      <c r="M1793" s="1710" t="str">
        <f>IF(U1788,IF($K1785="",2050,YEAR($K1785))&lt;&gt;(M1791-1),"")</f>
        <v/>
      </c>
      <c r="N1793" s="1711" t="str">
        <f>IF(V1788,IF($K1785="",2050,YEAR($K1785))&lt;&gt;(N1791-1),"")</f>
        <v/>
      </c>
      <c r="O1793" s="698"/>
      <c r="P1793" s="729"/>
      <c r="Q1793" s="729"/>
      <c r="R1793" s="729"/>
      <c r="S1793" s="729"/>
      <c r="T1793" s="729"/>
      <c r="U1793" s="343"/>
      <c r="V1793" s="343"/>
    </row>
    <row r="1794" spans="1:22" s="364" customFormat="1" ht="5.15" customHeight="1" x14ac:dyDescent="0.3">
      <c r="A1794" s="729"/>
      <c r="B1794" s="302"/>
      <c r="C1794" s="357"/>
      <c r="D1794" s="1698"/>
      <c r="E1794" s="357"/>
      <c r="F1794" s="357"/>
      <c r="G1794" s="357"/>
      <c r="H1794" s="357"/>
      <c r="I1794" s="357"/>
      <c r="J1794" s="357"/>
      <c r="K1794" s="357"/>
      <c r="L1794" s="357"/>
      <c r="M1794" s="357"/>
      <c r="N1794" s="1712"/>
      <c r="O1794" s="698"/>
      <c r="P1794" s="729"/>
      <c r="Q1794" s="729"/>
      <c r="R1794" s="729"/>
      <c r="S1794" s="729"/>
      <c r="T1794" s="729"/>
      <c r="U1794" s="343"/>
      <c r="V1794" s="343"/>
    </row>
    <row r="1795" spans="1:22" s="364" customFormat="1" ht="12.75" customHeight="1" x14ac:dyDescent="0.3">
      <c r="A1795" s="729"/>
      <c r="B1795" s="302"/>
      <c r="C1795" s="357"/>
      <c r="D1795" s="1698"/>
      <c r="E1795" s="313" t="str">
        <f>Translations!$B$1373</f>
        <v>Промени: Няма промяна (базова стойност)</v>
      </c>
      <c r="F1795" s="302"/>
      <c r="G1795" s="302"/>
      <c r="H1795" s="527" t="str">
        <f>EUconst_Unit</f>
        <v>Единица мярка</v>
      </c>
      <c r="I1795" s="1699"/>
      <c r="J1795" s="757">
        <f>J$2505</f>
        <v>2026</v>
      </c>
      <c r="K1795" s="391">
        <f>K$2505</f>
        <v>2027</v>
      </c>
      <c r="L1795" s="391">
        <f>L$2505</f>
        <v>2028</v>
      </c>
      <c r="M1795" s="391">
        <f>M$2505</f>
        <v>2029</v>
      </c>
      <c r="N1795" s="1713">
        <f>N$2505</f>
        <v>2030</v>
      </c>
      <c r="O1795" s="698"/>
      <c r="P1795" s="729"/>
      <c r="Q1795" s="729"/>
      <c r="R1795" s="729"/>
      <c r="S1795" s="729"/>
      <c r="T1795" s="729"/>
      <c r="U1795" s="343"/>
      <c r="V1795" s="343"/>
    </row>
    <row r="1796" spans="1:22" s="364" customFormat="1" ht="12.75" customHeight="1" x14ac:dyDescent="0.3">
      <c r="A1796" s="729"/>
      <c r="B1796" s="302"/>
      <c r="C1796" s="357"/>
      <c r="D1796" s="1698"/>
      <c r="E1796" s="388" t="str">
        <f>Translations!$B$1579</f>
        <v>Очаквано равнище на дейност</v>
      </c>
      <c r="F1796" s="388"/>
      <c r="G1796" s="388"/>
      <c r="H1796" s="1210" t="str">
        <f>F1788</f>
        <v>TJ</v>
      </c>
      <c r="I1796" s="388"/>
      <c r="J1796" s="1844" t="str">
        <f>IF(T1820&gt;=$H$2505,S1819,I1819)</f>
        <v/>
      </c>
      <c r="K1796" s="1846" t="str">
        <f>J1819</f>
        <v/>
      </c>
      <c r="L1796" s="1846" t="str">
        <f>K1819</f>
        <v/>
      </c>
      <c r="M1796" s="1846" t="str">
        <f>L1819</f>
        <v/>
      </c>
      <c r="N1796" s="1847" t="str">
        <f>M1819</f>
        <v/>
      </c>
      <c r="O1796" s="698"/>
      <c r="P1796" s="729"/>
      <c r="Q1796" s="729"/>
      <c r="R1796" s="729"/>
      <c r="S1796" s="729"/>
      <c r="T1796" s="729"/>
      <c r="U1796" s="343"/>
      <c r="V1796" s="343"/>
    </row>
    <row r="1797" spans="1:22" s="364" customFormat="1" ht="12.75" customHeight="1" x14ac:dyDescent="0.3">
      <c r="A1797" s="729"/>
      <c r="B1797" s="302"/>
      <c r="C1797" s="357"/>
      <c r="D1797" s="1698"/>
      <c r="E1797" s="388" t="str">
        <f>Translations!$B$1374</f>
        <v>Стойност на предварително разпределяне</v>
      </c>
      <c r="F1797" s="388"/>
      <c r="G1797" s="388"/>
      <c r="H1797" s="421" t="str">
        <f>EUconst_EUA</f>
        <v>Квота за емисии</v>
      </c>
      <c r="I1797" s="1728"/>
      <c r="J1797" s="1694" t="str">
        <f>IF($M1782&lt;&gt;EUconst_Relevant,"",MAX(0,ROUND((SUM($M1785)*SUM(J1796))*IF($H1785=TRUE,1,IF($L1785=4,J$2413,J$2412))*IF($I1785=TRUE,INDEX(EUconst_CBAMFactor,J1795-2020),1)*IF($L1785&gt;=8,J$2415/0.97,1),0)))</f>
        <v/>
      </c>
      <c r="K1797" s="406" t="str">
        <f>IF($M1782&lt;&gt;EUconst_Relevant,"",MAX(0,ROUND((SUM($M1785)*SUM(K1796))*IF($H1785=TRUE,1,IF($L1785=4,K$2413,K$2412))*IF($I1785=TRUE,INDEX(EUconst_CBAMFactor,K1795-2020),1)*IF($L1785&gt;=8,K$2415/0.97,1),0)))</f>
        <v/>
      </c>
      <c r="L1797" s="406" t="str">
        <f>IF($M1782&lt;&gt;EUconst_Relevant,"",MAX(0,ROUND((SUM($M1785)*SUM(L1796))*IF($H1785=TRUE,1,IF($L1785=4,L$2413,L$2412))*IF($I1785=TRUE,INDEX(EUconst_CBAMFactor,L1795-2020),1)*IF($L1785&gt;=8,L$2415/0.97,1),0)))</f>
        <v/>
      </c>
      <c r="M1797" s="406" t="str">
        <f>IF($M1782&lt;&gt;EUconst_Relevant,"",MAX(0,ROUND((SUM($M1785)*SUM(M1796))*IF($H1785=TRUE,1,IF($L1785=4,M$2413,M$2412))*IF($I1785=TRUE,INDEX(EUconst_CBAMFactor,M1795-2020),1)*IF($L1785&gt;=8,M$2415/0.97,1),0)))</f>
        <v/>
      </c>
      <c r="N1797" s="1729" t="str">
        <f>IF($M1782&lt;&gt;EUconst_Relevant,"",MAX(0,ROUND((SUM($M1785)*SUM(N1796))*IF($H1785=TRUE,1,IF($L1785=4,N$2413,N$2412))*IF($I1785=TRUE,INDEX(EUconst_CBAMFactor,N1795-2020),1)*IF($L1785&gt;=8,N$2415/0.97,1),0)))</f>
        <v/>
      </c>
      <c r="O1797" s="698"/>
      <c r="P1797" s="729"/>
      <c r="Q1797" s="729"/>
      <c r="R1797" s="729"/>
      <c r="S1797" s="729"/>
      <c r="T1797" s="729"/>
      <c r="U1797" s="343"/>
      <c r="V1797" s="343"/>
    </row>
    <row r="1798" spans="1:22" s="364" customFormat="1" ht="5.15" customHeight="1" x14ac:dyDescent="0.3">
      <c r="A1798" s="729"/>
      <c r="B1798" s="302"/>
      <c r="C1798" s="357"/>
      <c r="D1798" s="1698"/>
      <c r="E1798" s="357"/>
      <c r="F1798" s="357"/>
      <c r="G1798" s="357"/>
      <c r="H1798" s="357"/>
      <c r="I1798" s="357"/>
      <c r="J1798" s="357"/>
      <c r="K1798" s="357"/>
      <c r="L1798" s="357"/>
      <c r="M1798" s="357"/>
      <c r="N1798" s="1712"/>
      <c r="O1798" s="698"/>
      <c r="P1798" s="729"/>
      <c r="Q1798" s="729"/>
      <c r="R1798" s="729"/>
      <c r="S1798" s="729"/>
      <c r="T1798" s="729"/>
      <c r="U1798" s="343"/>
      <c r="V1798" s="343"/>
    </row>
    <row r="1799" spans="1:22" s="364" customFormat="1" ht="12.75" customHeight="1" x14ac:dyDescent="0.3">
      <c r="A1799" s="729"/>
      <c r="B1799" s="302"/>
      <c r="C1799" s="357"/>
      <c r="D1799" s="1698"/>
      <c r="E1799" s="389" t="str">
        <f>Translations!$B$1375</f>
        <v>Промени: Равнище на дейност</v>
      </c>
      <c r="F1799" s="498"/>
      <c r="G1799" s="498"/>
      <c r="H1799" s="527" t="str">
        <f>EUconst_Unit</f>
        <v>Единица мярка</v>
      </c>
      <c r="I1799" s="1699"/>
      <c r="J1799" s="1523">
        <f>J$2505</f>
        <v>2026</v>
      </c>
      <c r="K1799" s="387">
        <f>K$2505</f>
        <v>2027</v>
      </c>
      <c r="L1799" s="387">
        <f>L$2505</f>
        <v>2028</v>
      </c>
      <c r="M1799" s="387">
        <f>M$2505</f>
        <v>2029</v>
      </c>
      <c r="N1799" s="1544">
        <f>N$2505</f>
        <v>2030</v>
      </c>
      <c r="O1799" s="698"/>
      <c r="P1799" s="729"/>
      <c r="Q1799" s="729"/>
      <c r="R1799" s="729"/>
      <c r="S1799" s="729"/>
      <c r="T1799" s="729"/>
      <c r="U1799" s="343"/>
      <c r="V1799" s="343"/>
    </row>
    <row r="1800" spans="1:22" s="364" customFormat="1" ht="12.75" customHeight="1" x14ac:dyDescent="0.3">
      <c r="A1800" s="729"/>
      <c r="B1800" s="302"/>
      <c r="C1800" s="357"/>
      <c r="D1800" s="1698"/>
      <c r="E1800" s="392" t="str">
        <f>Translations!$B$1328</f>
        <v>Средна годишна стойност</v>
      </c>
      <c r="F1800" s="392"/>
      <c r="G1800" s="392"/>
      <c r="H1800" s="1730" t="str">
        <f>H1796</f>
        <v>TJ</v>
      </c>
      <c r="I1800" s="1731"/>
      <c r="J1800" s="1848" t="str">
        <f>INDEX('G_Fall-back'!J:J,MATCH($P1800,'G_Fall-back'!$Q:$Q,0))</f>
        <v/>
      </c>
      <c r="K1800" s="1849" t="str">
        <f>INDEX('G_Fall-back'!K:K,MATCH($P1800,'G_Fall-back'!$Q:$Q,0))</f>
        <v/>
      </c>
      <c r="L1800" s="1849" t="str">
        <f>INDEX('G_Fall-back'!L:L,MATCH($P1800,'G_Fall-back'!$Q:$Q,0))</f>
        <v/>
      </c>
      <c r="M1800" s="1849" t="str">
        <f>INDEX('G_Fall-back'!M:M,MATCH($P1800,'G_Fall-back'!$Q:$Q,0))</f>
        <v/>
      </c>
      <c r="N1800" s="1850" t="str">
        <f>INDEX('G_Fall-back'!N:N,MATCH($P1800,'G_Fall-back'!$Q:$Q,0))</f>
        <v/>
      </c>
      <c r="O1800" s="698"/>
      <c r="P1800" s="1190" t="str">
        <f>EUconst_CNTR_HALinitial&amp;I1782</f>
        <v>HALini_Подинсталация с топлинен показател (с риск от ИВЕ | извън МКВЕГ)</v>
      </c>
      <c r="Q1800" s="729"/>
      <c r="R1800" s="729"/>
      <c r="S1800" s="729"/>
      <c r="T1800" s="729"/>
      <c r="U1800" s="343"/>
      <c r="V1800" s="343"/>
    </row>
    <row r="1801" spans="1:22" s="364" customFormat="1" ht="12.75" customHeight="1" x14ac:dyDescent="0.3">
      <c r="A1801" s="729"/>
      <c r="B1801" s="302"/>
      <c r="C1801" s="357"/>
      <c r="D1801" s="1698"/>
      <c r="E1801" s="398" t="str">
        <f>Translations!$B$1376</f>
        <v>Промяна в сравнение с HAL</v>
      </c>
      <c r="F1801" s="398"/>
      <c r="G1801" s="398"/>
      <c r="H1801" s="1751" t="s">
        <v>1052</v>
      </c>
      <c r="I1801" s="1735"/>
      <c r="J1801" s="159" t="str">
        <f>INDEX('G_Fall-back'!J:J,MATCH($P1801,'G_Fall-back'!$Q:$Q,0))</f>
        <v/>
      </c>
      <c r="K1801" s="160" t="str">
        <f>INDEX('G_Fall-back'!K:K,MATCH($P1801,'G_Fall-back'!$Q:$Q,0))</f>
        <v/>
      </c>
      <c r="L1801" s="160" t="str">
        <f>INDEX('G_Fall-back'!L:L,MATCH($P1801,'G_Fall-back'!$Q:$Q,0))</f>
        <v/>
      </c>
      <c r="M1801" s="160" t="str">
        <f>INDEX('G_Fall-back'!M:M,MATCH($P1801,'G_Fall-back'!$Q:$Q,0))</f>
        <v/>
      </c>
      <c r="N1801" s="161" t="str">
        <f>INDEX('G_Fall-back'!N:N,MATCH($P1801,'G_Fall-back'!$Q:$Q,0))</f>
        <v/>
      </c>
      <c r="O1801" s="698"/>
      <c r="P1801" s="1190" t="str">
        <f>EUconst_CNTR_RelThreshold &amp; I1782</f>
        <v>RelThresh_Подинсталация с топлинен показател (с риск от ИВЕ | извън МКВЕГ)</v>
      </c>
      <c r="Q1801" s="729"/>
      <c r="R1801" s="729"/>
      <c r="S1801" s="729"/>
      <c r="T1801" s="729"/>
      <c r="U1801" s="343"/>
      <c r="V1801" s="343"/>
    </row>
    <row r="1802" spans="1:22" s="364" customFormat="1" ht="12.75" customHeight="1" x14ac:dyDescent="0.3">
      <c r="A1802" s="729"/>
      <c r="B1802" s="302"/>
      <c r="C1802" s="357"/>
      <c r="D1802" s="1698"/>
      <c r="E1802" s="1851" t="str">
        <f>Translations!$B$1590</f>
        <v>Критерий 3a: Надвишен ли е относителният праг?</v>
      </c>
      <c r="F1802" s="1851"/>
      <c r="G1802" s="1851"/>
      <c r="H1802" s="1852" t="s">
        <v>1052</v>
      </c>
      <c r="I1802" s="1852"/>
      <c r="J1802" s="1853" t="str">
        <f>INDEX('G_Fall-back'!V:V,MATCH($P1802,'G_Fall-back'!$Q:$Q,0)+1)</f>
        <v/>
      </c>
      <c r="K1802" s="1854" t="str">
        <f>INDEX('G_Fall-back'!W:W,MATCH($P1802,'G_Fall-back'!$Q:$Q,0)+1)</f>
        <v/>
      </c>
      <c r="L1802" s="1854" t="str">
        <f>INDEX('G_Fall-back'!X:X,MATCH($P1802,'G_Fall-back'!$Q:$Q,0)+1)</f>
        <v/>
      </c>
      <c r="M1802" s="1854" t="str">
        <f>INDEX('G_Fall-back'!Y:Y,MATCH($P1802,'G_Fall-back'!$Q:$Q,0)+1)</f>
        <v/>
      </c>
      <c r="N1802" s="1855" t="str">
        <f>INDEX('G_Fall-back'!Z:Z,MATCH($P1802,'G_Fall-back'!$Q:$Q,0)+1)</f>
        <v/>
      </c>
      <c r="O1802" s="698"/>
      <c r="P1802" s="1190" t="str">
        <f>P1801</f>
        <v>RelThresh_Подинсталация с топлинен показател (с риск от ИВЕ | извън МКВЕГ)</v>
      </c>
      <c r="Q1802" s="729"/>
      <c r="R1802" s="729"/>
      <c r="S1802" s="729"/>
      <c r="T1802" s="729"/>
      <c r="U1802" s="343"/>
      <c r="V1802" s="343"/>
    </row>
    <row r="1803" spans="1:22" s="364" customFormat="1" ht="12.75" customHeight="1" x14ac:dyDescent="0.3">
      <c r="A1803" s="729"/>
      <c r="B1803" s="302"/>
      <c r="C1803" s="357"/>
      <c r="D1803" s="1698"/>
      <c r="E1803" s="392" t="str">
        <f>Translations!$B$1579</f>
        <v>Очаквано равнище на дейност</v>
      </c>
      <c r="F1803" s="392"/>
      <c r="G1803" s="392"/>
      <c r="H1803" s="1730" t="str">
        <f>F1788</f>
        <v>TJ</v>
      </c>
      <c r="I1803" s="392"/>
      <c r="J1803" s="1848" t="str">
        <f>INDEX('G_Fall-back'!J:J,MATCH($P1803,'G_Fall-back'!$Q:$Q,0))</f>
        <v/>
      </c>
      <c r="K1803" s="1849" t="str">
        <f>INDEX('G_Fall-back'!K:K,MATCH($P1803,'G_Fall-back'!$Q:$Q,0))</f>
        <v/>
      </c>
      <c r="L1803" s="1849" t="str">
        <f>INDEX('G_Fall-back'!L:L,MATCH($P1803,'G_Fall-back'!$Q:$Q,0))</f>
        <v/>
      </c>
      <c r="M1803" s="1849" t="str">
        <f>INDEX('G_Fall-back'!M:M,MATCH($P1803,'G_Fall-back'!$Q:$Q,0))</f>
        <v/>
      </c>
      <c r="N1803" s="1850" t="str">
        <f>INDEX('G_Fall-back'!N:N,MATCH($P1803,'G_Fall-back'!$Q:$Q,0))</f>
        <v/>
      </c>
      <c r="O1803" s="698"/>
      <c r="P1803" s="1190" t="str">
        <f>EUconst_CNTR_HALprelim&amp;I1782</f>
        <v>HALprelim_Подинсталация с топлинен показател (с риск от ИВЕ | извън МКВЕГ)</v>
      </c>
      <c r="Q1803" s="729"/>
      <c r="R1803" s="729"/>
      <c r="S1803" s="729"/>
      <c r="T1803" s="729"/>
      <c r="U1803" s="343"/>
      <c r="V1803" s="343"/>
    </row>
    <row r="1804" spans="1:22" s="364" customFormat="1" ht="12.75" customHeight="1" x14ac:dyDescent="0.3">
      <c r="A1804" s="729"/>
      <c r="B1804" s="302"/>
      <c r="C1804" s="357"/>
      <c r="D1804" s="1698"/>
      <c r="E1804" s="398" t="str">
        <f>Translations!$B$1591</f>
        <v>Промяна в сравнение с HAL (очаквана)</v>
      </c>
      <c r="F1804" s="398"/>
      <c r="G1804" s="398"/>
      <c r="H1804" s="516" t="s">
        <v>1052</v>
      </c>
      <c r="I1804" s="1720"/>
      <c r="J1804" s="159" t="str">
        <f>INDEX('G_Fall-back'!J:J,MATCH($P1804,'G_Fall-back'!$Q:$Q,0))</f>
        <v/>
      </c>
      <c r="K1804" s="160" t="str">
        <f>INDEX('G_Fall-back'!K:K,MATCH($P1804,'G_Fall-back'!$Q:$Q,0))</f>
        <v/>
      </c>
      <c r="L1804" s="160" t="str">
        <f>INDEX('G_Fall-back'!L:L,MATCH($P1804,'G_Fall-back'!$Q:$Q,0))</f>
        <v/>
      </c>
      <c r="M1804" s="160" t="str">
        <f>INDEX('G_Fall-back'!M:M,MATCH($P1804,'G_Fall-back'!$Q:$Q,0))</f>
        <v/>
      </c>
      <c r="N1804" s="161" t="str">
        <f>INDEX('G_Fall-back'!N:N,MATCH($P1804,'G_Fall-back'!$Q:$Q,0))</f>
        <v/>
      </c>
      <c r="O1804" s="698"/>
      <c r="P1804" s="1190" t="str">
        <f>EUconst_CNTR_EnEffPct&amp;I1782</f>
        <v>EnEffPct_Подинсталация с топлинен показател (с риск от ИВЕ | извън МКВЕГ)</v>
      </c>
      <c r="Q1804" s="729"/>
      <c r="R1804" s="729"/>
      <c r="S1804" s="729"/>
      <c r="T1804" s="729"/>
      <c r="U1804" s="343"/>
      <c r="V1804" s="343"/>
    </row>
    <row r="1805" spans="1:22" s="364" customFormat="1" ht="12.75" customHeight="1" x14ac:dyDescent="0.3">
      <c r="A1805" s="729"/>
      <c r="B1805" s="302"/>
      <c r="C1805" s="357"/>
      <c r="D1805" s="1698"/>
      <c r="E1805" s="1706" t="str">
        <f>Translations!$B$1379</f>
        <v>Критерий 3б: Надвишени ли са относителните прагове?</v>
      </c>
      <c r="F1805" s="1706"/>
      <c r="G1805" s="1706"/>
      <c r="H1805" s="1856" t="s">
        <v>1052</v>
      </c>
      <c r="I1805" s="1857"/>
      <c r="J1805" s="1709" t="str">
        <f>INDEX('G_Fall-back'!V:V,MATCH($P1805,'G_Fall-back'!$Q:$Q,0)+1)</f>
        <v/>
      </c>
      <c r="K1805" s="1710" t="str">
        <f>INDEX('G_Fall-back'!W:W,MATCH($P1805,'G_Fall-back'!$Q:$Q,0)+1)</f>
        <v/>
      </c>
      <c r="L1805" s="1710" t="str">
        <f>INDEX('G_Fall-back'!X:X,MATCH($P1805,'G_Fall-back'!$Q:$Q,0)+1)</f>
        <v/>
      </c>
      <c r="M1805" s="1710" t="str">
        <f>INDEX('G_Fall-back'!Y:Y,MATCH($P1805,'G_Fall-back'!$Q:$Q,0)+1)</f>
        <v/>
      </c>
      <c r="N1805" s="1711" t="str">
        <f>INDEX('G_Fall-back'!Z:Z,MATCH($P1805,'G_Fall-back'!$Q:$Q,0)+1)</f>
        <v/>
      </c>
      <c r="O1805" s="698"/>
      <c r="P1805" s="1190" t="str">
        <f>EUconst_CNTR_EnEffPct&amp;I1782</f>
        <v>EnEffPct_Подинсталация с топлинен показател (с риск от ИВЕ | извън МКВЕГ)</v>
      </c>
      <c r="Q1805" s="729"/>
      <c r="R1805" s="729"/>
      <c r="S1805" s="729"/>
      <c r="T1805" s="729"/>
      <c r="U1805" s="343"/>
      <c r="V1805" s="343"/>
    </row>
    <row r="1806" spans="1:22" s="364" customFormat="1" ht="13" x14ac:dyDescent="0.25">
      <c r="A1806" s="729"/>
      <c r="B1806" s="302"/>
      <c r="C1806" s="302"/>
      <c r="D1806" s="344"/>
      <c r="E1806" s="498" t="str">
        <f>Translations!$B$1389</f>
        <v>Действителна корекция на равнището на дейност</v>
      </c>
      <c r="F1806" s="498"/>
      <c r="G1806" s="498"/>
      <c r="H1806" s="1858" t="s">
        <v>1052</v>
      </c>
      <c r="I1806" s="1859"/>
      <c r="J1806" s="225" t="str">
        <f>INDEX('G_Fall-back'!J:J,MATCH($P1806,'G_Fall-back'!$Q:$Q,0))</f>
        <v/>
      </c>
      <c r="K1806" s="226" t="str">
        <f>INDEX('G_Fall-back'!K:K,MATCH($P1806,'G_Fall-back'!$Q:$Q,0))</f>
        <v/>
      </c>
      <c r="L1806" s="226" t="str">
        <f>INDEX('G_Fall-back'!L:L,MATCH($P1806,'G_Fall-back'!$Q:$Q,0))</f>
        <v/>
      </c>
      <c r="M1806" s="226" t="str">
        <f>INDEX('G_Fall-back'!M:M,MATCH($P1806,'G_Fall-back'!$Q:$Q,0))</f>
        <v/>
      </c>
      <c r="N1806" s="227" t="str">
        <f>INDEX('G_Fall-back'!N:N,MATCH($P1806,'G_Fall-back'!$Q:$Q,0))</f>
        <v/>
      </c>
      <c r="O1806" s="698"/>
      <c r="P1806" s="1190" t="str">
        <f>EUconst_CNTR_HALAdjPct&amp;I1782</f>
        <v>HALAdjPct_Подинсталация с топлинен показател (с риск от ИВЕ | извън МКВЕГ)</v>
      </c>
      <c r="Q1806" s="729"/>
      <c r="R1806" s="729"/>
      <c r="S1806" s="729"/>
      <c r="T1806" s="770"/>
      <c r="U1806" s="343"/>
      <c r="V1806" s="343"/>
    </row>
    <row r="1807" spans="1:22" s="364" customFormat="1" ht="5.15" customHeight="1" thickBot="1" x14ac:dyDescent="0.3">
      <c r="A1807" s="729"/>
      <c r="B1807" s="302"/>
      <c r="C1807" s="302"/>
      <c r="D1807" s="1801"/>
      <c r="E1807" s="1762"/>
      <c r="F1807" s="1762"/>
      <c r="G1807" s="1762"/>
      <c r="H1807" s="1762"/>
      <c r="I1807" s="1860"/>
      <c r="J1807" s="1762"/>
      <c r="K1807" s="1762"/>
      <c r="L1807" s="1762"/>
      <c r="M1807" s="1762"/>
      <c r="N1807" s="1764"/>
      <c r="O1807" s="698"/>
      <c r="P1807" s="729"/>
      <c r="Q1807" s="729"/>
      <c r="R1807" s="729"/>
      <c r="S1807" s="729"/>
      <c r="T1807" s="770"/>
      <c r="U1807" s="343"/>
      <c r="V1807" s="343"/>
    </row>
    <row r="1808" spans="1:22" s="364" customFormat="1" ht="5.15" customHeight="1" thickBot="1" x14ac:dyDescent="0.3">
      <c r="A1808" s="729"/>
      <c r="B1808" s="302"/>
      <c r="C1808" s="302"/>
      <c r="D1808" s="302"/>
      <c r="E1808" s="302"/>
      <c r="F1808" s="302"/>
      <c r="G1808" s="302"/>
      <c r="H1808" s="302"/>
      <c r="I1808" s="1861"/>
      <c r="J1808" s="302"/>
      <c r="K1808" s="302"/>
      <c r="L1808" s="302"/>
      <c r="M1808" s="302"/>
      <c r="N1808" s="302"/>
      <c r="O1808" s="698"/>
      <c r="P1808" s="729"/>
      <c r="Q1808" s="729"/>
      <c r="R1808" s="729"/>
      <c r="S1808" s="729"/>
      <c r="T1808" s="770"/>
      <c r="U1808" s="343"/>
      <c r="V1808" s="343"/>
    </row>
    <row r="1809" spans="1:22" s="364" customFormat="1" ht="5.15" customHeight="1" x14ac:dyDescent="0.25">
      <c r="A1809" s="729"/>
      <c r="B1809" s="302"/>
      <c r="C1809" s="302"/>
      <c r="D1809" s="1765"/>
      <c r="E1809" s="1766"/>
      <c r="F1809" s="1766"/>
      <c r="G1809" s="1766"/>
      <c r="H1809" s="1766"/>
      <c r="I1809" s="1767"/>
      <c r="J1809" s="1766"/>
      <c r="K1809" s="1766"/>
      <c r="L1809" s="1766"/>
      <c r="M1809" s="1766"/>
      <c r="N1809" s="1768"/>
      <c r="O1809" s="698"/>
      <c r="P1809" s="729"/>
      <c r="Q1809" s="729"/>
      <c r="R1809" s="729"/>
      <c r="S1809" s="729"/>
      <c r="T1809" s="729"/>
      <c r="U1809" s="729"/>
      <c r="V1809" s="729"/>
    </row>
    <row r="1810" spans="1:22" s="364" customFormat="1" ht="13" x14ac:dyDescent="0.25">
      <c r="A1810" s="729"/>
      <c r="B1810" s="302"/>
      <c r="C1810" s="302"/>
      <c r="D1810" s="344"/>
      <c r="E1810" s="1769" t="str">
        <f>Translations!$B$1583</f>
        <v>Предварителни стойности за критерий &gt; 300 EUA</v>
      </c>
      <c r="F1810" s="1746"/>
      <c r="G1810" s="1746"/>
      <c r="H1810" s="1699" t="str">
        <f>EUconst_Unit</f>
        <v>Единица мярка</v>
      </c>
      <c r="I1810" s="1862" t="str">
        <f>Translations!$B$1341</f>
        <v>Базова стойност</v>
      </c>
      <c r="J1810" s="1771">
        <f>J$2505</f>
        <v>2026</v>
      </c>
      <c r="K1810" s="1772">
        <f>K$2505</f>
        <v>2027</v>
      </c>
      <c r="L1810" s="1772">
        <f>L$2505</f>
        <v>2028</v>
      </c>
      <c r="M1810" s="1772">
        <f>M$2505</f>
        <v>2029</v>
      </c>
      <c r="N1810" s="1773">
        <f>N$2505</f>
        <v>2030</v>
      </c>
      <c r="O1810" s="698"/>
      <c r="P1810" s="729"/>
      <c r="Q1810" s="729"/>
      <c r="R1810" s="729"/>
      <c r="S1810" s="729"/>
      <c r="T1810" s="729"/>
      <c r="U1810" s="729"/>
      <c r="V1810" s="729"/>
    </row>
    <row r="1811" spans="1:22" s="364" customFormat="1" x14ac:dyDescent="0.25">
      <c r="A1811" s="729"/>
      <c r="B1811" s="302"/>
      <c r="C1811" s="302"/>
      <c r="D1811" s="344"/>
      <c r="E1811" s="1789" t="str">
        <f>Translations!$B$1579</f>
        <v>Очаквано равнище на дейност</v>
      </c>
      <c r="F1811" s="1789"/>
      <c r="G1811" s="1789"/>
      <c r="H1811" s="1863" t="str">
        <f>F1788</f>
        <v>TJ</v>
      </c>
      <c r="I1811" s="1864" t="str">
        <f>IF($M1782&lt;&gt;EUconst_Relevant,"",IF(T1820&gt;=$H$2505,0,S1819))</f>
        <v/>
      </c>
      <c r="J1811" s="1864" t="str">
        <f>INDEX('G_Fall-back'!J:J,MATCH($P1811,'G_Fall-back'!$Q:$Q,0))</f>
        <v/>
      </c>
      <c r="K1811" s="1865" t="str">
        <f>INDEX('G_Fall-back'!K:K,MATCH($P1811,'G_Fall-back'!$Q:$Q,0))</f>
        <v/>
      </c>
      <c r="L1811" s="1865" t="str">
        <f>INDEX('G_Fall-back'!L:L,MATCH($P1811,'G_Fall-back'!$Q:$Q,0))</f>
        <v/>
      </c>
      <c r="M1811" s="1865" t="str">
        <f>INDEX('G_Fall-back'!M:M,MATCH($P1811,'G_Fall-back'!$Q:$Q,0))</f>
        <v/>
      </c>
      <c r="N1811" s="1866" t="str">
        <f>INDEX('G_Fall-back'!N:N,MATCH($P1811,'G_Fall-back'!$Q:$Q,0))</f>
        <v/>
      </c>
      <c r="O1811" s="698"/>
      <c r="P1811" s="1190" t="str">
        <f>EUconst_CNTR_HALprelim&amp;I1782</f>
        <v>HALprelim_Подинсталация с топлинен показател (с риск от ИВЕ | извън МКВЕГ)</v>
      </c>
      <c r="Q1811" s="729"/>
      <c r="R1811" s="729"/>
      <c r="S1811" s="729"/>
      <c r="T1811" s="729"/>
      <c r="U1811" s="729"/>
      <c r="V1811" s="729"/>
    </row>
    <row r="1812" spans="1:22" s="364" customFormat="1" x14ac:dyDescent="0.25">
      <c r="A1812" s="729"/>
      <c r="B1812" s="302"/>
      <c r="C1812" s="302"/>
      <c r="D1812" s="344"/>
      <c r="E1812" s="1789" t="str">
        <f>Translations!$B$1374</f>
        <v>Стойност на предварително разпределяне</v>
      </c>
      <c r="F1812" s="1789"/>
      <c r="G1812" s="1789"/>
      <c r="H1812" s="1790" t="str">
        <f>EUconst_EUA</f>
        <v>Квота за емисии</v>
      </c>
      <c r="I1812" s="1867" t="str">
        <f>IF($M1782&lt;&gt;EUconst_Relevant,"",MAX(0,ROUND((SUM($M1785)*SUM(I1819))*IF($H1785=TRUE,1,IF($L1785=4,J$2413,J$2412)),0)))</f>
        <v/>
      </c>
      <c r="J1812" s="1714" t="str">
        <f>IF($M1782&lt;&gt;EUconst_Relevant,"",MAX(0,ROUND((SUM($M1785)*SUM(J1811))*IF($H1785=TRUE,1,IF($L1785=4,J$2413,J$2412))*IF($I1785=TRUE,INDEX(EUconst_CBAMFactor,J1795-2020),1)*IF($L1785&gt;=8,J$2415/0.97,1),0)))</f>
        <v/>
      </c>
      <c r="K1812" s="1693" t="str">
        <f>IF($M1782&lt;&gt;EUconst_Relevant,"",MAX(0,ROUND((SUM($M1785)*SUM(K1811))*IF($H1785=TRUE,1,IF($L1785=4,K$2413,K$2412))*IF($I1785=TRUE,INDEX(EUconst_CBAMFactor,K1795-2020),1)*IF($L1785&gt;=8,K$2415/0.97,1),0)))</f>
        <v/>
      </c>
      <c r="L1812" s="1693" t="str">
        <f>IF($M1782&lt;&gt;EUconst_Relevant,"",MAX(0,ROUND((SUM($M1785)*SUM(L1811))*IF($H1785=TRUE,1,IF($L1785=4,L$2413,L$2412))*IF($I1785=TRUE,INDEX(EUconst_CBAMFactor,L1795-2020),1)*IF($L1785&gt;=8,L$2415/0.97,1),0)))</f>
        <v/>
      </c>
      <c r="M1812" s="1693" t="str">
        <f>IF($M1782&lt;&gt;EUconst_Relevant,"",MAX(0,ROUND((SUM($M1785)*SUM(M1811))*IF($H1785=TRUE,1,IF($L1785=4,M$2413,M$2412))*IF($I1785=TRUE,INDEX(EUconst_CBAMFactor,M1795-2020),1)*IF($L1785&gt;=8,M$2415/0.97,1),0)))</f>
        <v/>
      </c>
      <c r="N1812" s="1715" t="str">
        <f>IF($M1782&lt;&gt;EUconst_Relevant,"",MAX(0,ROUND((SUM($M1785)*SUM(N1811))*IF($H1785=TRUE,1,IF($L1785=4,N$2413,N$2412))*IF($I1785=TRUE,INDEX(EUconst_CBAMFactor,N1795-2020),1)*IF($L1785&gt;=8,N$2415/0.97,1),0)))</f>
        <v/>
      </c>
      <c r="O1812" s="698"/>
      <c r="P1812" s="729"/>
      <c r="Q1812" s="729"/>
      <c r="R1812" s="729"/>
      <c r="S1812" s="729"/>
      <c r="T1812" s="729"/>
      <c r="U1812" s="729"/>
      <c r="V1812" s="729"/>
    </row>
    <row r="1813" spans="1:22" s="364" customFormat="1" x14ac:dyDescent="0.25">
      <c r="A1813" s="729"/>
      <c r="B1813" s="302"/>
      <c r="C1813" s="302"/>
      <c r="D1813" s="344"/>
      <c r="E1813" s="388" t="str">
        <f>Translations!$B$1584</f>
        <v>Разлика в предварителната стойност</v>
      </c>
      <c r="F1813" s="388"/>
      <c r="G1813" s="388"/>
      <c r="H1813" s="421" t="str">
        <f>EUconst_EUA</f>
        <v>Квота за емисии</v>
      </c>
      <c r="I1813" s="1792"/>
      <c r="J1813" s="1793" t="str">
        <f>IF(J1812="","",SUM(J1812)-SUM(J1797))</f>
        <v/>
      </c>
      <c r="K1813" s="998" t="str">
        <f t="shared" ref="K1813:N1813" si="155">IF(K1812="","",SUM(K1812)-SUM(K1797))</f>
        <v/>
      </c>
      <c r="L1813" s="998" t="str">
        <f t="shared" si="155"/>
        <v/>
      </c>
      <c r="M1813" s="998" t="str">
        <f t="shared" si="155"/>
        <v/>
      </c>
      <c r="N1813" s="1794" t="str">
        <f t="shared" si="155"/>
        <v/>
      </c>
      <c r="O1813" s="698"/>
      <c r="P1813" s="1190" t="str">
        <f>EUconst_CNTR_AllocPrelimChange</f>
        <v>AllocPrelimChange_</v>
      </c>
      <c r="Q1813" s="729"/>
      <c r="R1813" s="729"/>
      <c r="S1813" s="729"/>
      <c r="T1813" s="729"/>
      <c r="U1813" s="729"/>
      <c r="V1813" s="729"/>
    </row>
    <row r="1814" spans="1:22" s="364" customFormat="1" x14ac:dyDescent="0.25">
      <c r="A1814" s="729"/>
      <c r="B1814" s="302"/>
      <c r="C1814" s="302"/>
      <c r="D1814" s="344"/>
      <c r="E1814" s="1796" t="str">
        <f>Translations!$B$1581</f>
        <v>Критерий 4: Разлика от поне 300 квоти за емисии?</v>
      </c>
      <c r="F1814" s="1796"/>
      <c r="G1814" s="1796"/>
      <c r="H1814" s="1797" t="s">
        <v>1052</v>
      </c>
      <c r="I1814" s="1792"/>
      <c r="J1814" s="1798" t="str">
        <f>IF(J1813="","",ABS(J1813)&gt;=300)</f>
        <v/>
      </c>
      <c r="K1814" s="1799" t="str">
        <f t="shared" ref="K1814:N1814" si="156">IF(K1813="","",ABS(K1813)&gt;=300)</f>
        <v/>
      </c>
      <c r="L1814" s="1799" t="str">
        <f t="shared" si="156"/>
        <v/>
      </c>
      <c r="M1814" s="1799" t="str">
        <f t="shared" si="156"/>
        <v/>
      </c>
      <c r="N1814" s="1800" t="str">
        <f t="shared" si="156"/>
        <v/>
      </c>
      <c r="O1814" s="698"/>
      <c r="P1814" s="1190" t="str">
        <f>EUconst_CNTR_300EUA&amp;I1782</f>
        <v>EUA300_Подинсталация с топлинен показател (с риск от ИВЕ | извън МКВЕГ)</v>
      </c>
      <c r="Q1814" s="729"/>
      <c r="R1814" s="729"/>
      <c r="S1814" s="729"/>
      <c r="T1814" s="729"/>
      <c r="U1814" s="729"/>
      <c r="V1814" s="729"/>
    </row>
    <row r="1815" spans="1:22" s="364" customFormat="1" ht="5.15" customHeight="1" thickBot="1" x14ac:dyDescent="0.3">
      <c r="A1815" s="729"/>
      <c r="B1815" s="302"/>
      <c r="C1815" s="302"/>
      <c r="D1815" s="1801"/>
      <c r="E1815" s="1762"/>
      <c r="F1815" s="1762"/>
      <c r="G1815" s="1762"/>
      <c r="H1815" s="1762"/>
      <c r="I1815" s="1762"/>
      <c r="J1815" s="1762"/>
      <c r="K1815" s="1762"/>
      <c r="L1815" s="1762"/>
      <c r="M1815" s="1762"/>
      <c r="N1815" s="1764"/>
      <c r="O1815" s="698"/>
      <c r="P1815" s="729"/>
      <c r="Q1815" s="729"/>
      <c r="R1815" s="729"/>
      <c r="S1815" s="729"/>
      <c r="T1815" s="770"/>
      <c r="U1815" s="343"/>
      <c r="V1815" s="343"/>
    </row>
    <row r="1816" spans="1:22" s="364" customFormat="1" ht="5.15" customHeight="1" thickBot="1" x14ac:dyDescent="0.3">
      <c r="A1816" s="729"/>
      <c r="B1816" s="302"/>
      <c r="C1816" s="302"/>
      <c r="D1816" s="302"/>
      <c r="E1816" s="302"/>
      <c r="F1816" s="302"/>
      <c r="G1816" s="302"/>
      <c r="H1816" s="302"/>
      <c r="I1816" s="1861"/>
      <c r="J1816" s="302"/>
      <c r="K1816" s="302"/>
      <c r="L1816" s="302"/>
      <c r="M1816" s="302"/>
      <c r="N1816" s="302"/>
      <c r="O1816" s="698"/>
      <c r="P1816" s="729"/>
      <c r="Q1816" s="729"/>
      <c r="R1816" s="729"/>
      <c r="S1816" s="729"/>
      <c r="T1816" s="770"/>
      <c r="U1816" s="343"/>
      <c r="V1816" s="343"/>
    </row>
    <row r="1817" spans="1:22" s="364" customFormat="1" ht="5.15" customHeight="1" x14ac:dyDescent="0.25">
      <c r="A1817" s="729"/>
      <c r="B1817" s="302"/>
      <c r="C1817" s="302"/>
      <c r="D1817" s="1765"/>
      <c r="E1817" s="1766"/>
      <c r="F1817" s="1766"/>
      <c r="G1817" s="1766"/>
      <c r="H1817" s="1766"/>
      <c r="I1817" s="1767"/>
      <c r="J1817" s="1766"/>
      <c r="K1817" s="1766"/>
      <c r="L1817" s="1766"/>
      <c r="M1817" s="1766"/>
      <c r="N1817" s="1768"/>
      <c r="O1817" s="698"/>
      <c r="P1817" s="729"/>
      <c r="Q1817" s="729"/>
      <c r="R1817" s="729"/>
      <c r="S1817" s="729"/>
      <c r="T1817" s="770"/>
      <c r="U1817" s="343"/>
      <c r="V1817" s="343"/>
    </row>
    <row r="1818" spans="1:22" s="364" customFormat="1" ht="13" x14ac:dyDescent="0.25">
      <c r="A1818" s="729"/>
      <c r="B1818" s="302"/>
      <c r="C1818" s="302"/>
      <c r="D1818" s="344"/>
      <c r="E1818" s="313" t="str">
        <f>Translations!$B$1387</f>
        <v>Използвани действителни стойности</v>
      </c>
      <c r="F1818" s="302"/>
      <c r="G1818" s="302"/>
      <c r="H1818" s="527" t="str">
        <f>EUconst_Unit</f>
        <v>Единица мярка</v>
      </c>
      <c r="I1818" s="1868" t="str">
        <f>Translations!$B$1341</f>
        <v>Базова стойност</v>
      </c>
      <c r="J1818" s="1523">
        <f>J$2505</f>
        <v>2026</v>
      </c>
      <c r="K1818" s="387">
        <f>K$2505</f>
        <v>2027</v>
      </c>
      <c r="L1818" s="387">
        <f>L$2505</f>
        <v>2028</v>
      </c>
      <c r="M1818" s="387">
        <f>M$2505</f>
        <v>2029</v>
      </c>
      <c r="N1818" s="1544">
        <f>N$2505</f>
        <v>2030</v>
      </c>
      <c r="O1818" s="698"/>
      <c r="P1818" s="729"/>
      <c r="Q1818" s="729"/>
      <c r="R1818" s="729"/>
      <c r="S1818" s="1519" t="str">
        <f>Translations!$B$1284</f>
        <v>HAL</v>
      </c>
      <c r="T1818" s="770"/>
      <c r="U1818" s="343"/>
      <c r="V1818" s="343"/>
    </row>
    <row r="1819" spans="1:22" s="364" customFormat="1" x14ac:dyDescent="0.25">
      <c r="A1819" s="729"/>
      <c r="B1819" s="302"/>
      <c r="C1819" s="302"/>
      <c r="D1819" s="344"/>
      <c r="E1819" s="388" t="str">
        <f>Translations!$B$1390</f>
        <v>Използвано равнище на дейност</v>
      </c>
      <c r="F1819" s="388"/>
      <c r="G1819" s="388"/>
      <c r="H1819" s="1210" t="str">
        <f>F1788</f>
        <v>TJ</v>
      </c>
      <c r="I1819" s="1864" t="str">
        <f>IF($M1782&lt;&gt;EUconst_Relevant,"",IF(T1820&gt;=$H$2505,0,S1819))</f>
        <v/>
      </c>
      <c r="J1819" s="1844" t="str">
        <f>INDEX('G_Fall-back'!J:J,MATCH($P1819,'G_Fall-back'!$Q:$Q,0))</f>
        <v/>
      </c>
      <c r="K1819" s="1846" t="str">
        <f>INDEX('G_Fall-back'!K:K,MATCH($P1819,'G_Fall-back'!$Q:$Q,0))</f>
        <v/>
      </c>
      <c r="L1819" s="1846" t="str">
        <f>INDEX('G_Fall-back'!L:L,MATCH($P1819,'G_Fall-back'!$Q:$Q,0))</f>
        <v/>
      </c>
      <c r="M1819" s="1846" t="str">
        <f>INDEX('G_Fall-back'!M:M,MATCH($P1819,'G_Fall-back'!$Q:$Q,0))</f>
        <v/>
      </c>
      <c r="N1819" s="1847" t="str">
        <f>INDEX('G_Fall-back'!N:N,MATCH($P1819,'G_Fall-back'!$Q:$Q,0))</f>
        <v/>
      </c>
      <c r="O1819" s="698"/>
      <c r="P1819" s="1190" t="str">
        <f>EUconst_CNTR_HALfinal&amp;I1782</f>
        <v>HALfinal_Подинсталация с топлинен показател (с риск от ИВЕ | извън МКВЕГ)</v>
      </c>
      <c r="Q1819" s="729"/>
      <c r="R1819" s="729"/>
      <c r="S1819" s="1817" t="str">
        <f>IF($M1782&lt;&gt;EUconst_Relevant,"",SUMIF('G_Fall-back'!$Q:$Q,$P1819,'G_Fall-back'!I:I))</f>
        <v/>
      </c>
      <c r="T1819" s="770"/>
      <c r="U1819" s="343"/>
      <c r="V1819" s="343"/>
    </row>
    <row r="1820" spans="1:22" s="364" customFormat="1" x14ac:dyDescent="0.25">
      <c r="A1820" s="729"/>
      <c r="B1820" s="302"/>
      <c r="C1820" s="302"/>
      <c r="D1820" s="344"/>
      <c r="E1820" s="388" t="str">
        <f>Translations!$B$892</f>
        <v>Предварително разпределяне</v>
      </c>
      <c r="F1820" s="388"/>
      <c r="G1820" s="388"/>
      <c r="H1820" s="421" t="str">
        <f>EUconst_EUA</f>
        <v>Квота за емисии</v>
      </c>
      <c r="I1820" s="1867" t="str">
        <f>IF($M1782&lt;&gt;EUconst_Relevant,"",MAX(0,ROUND((SUM($M1785)*SUM(I1819))*IF($H1785=TRUE,1,IF($L1785=4,J$2413,J$2412)),0)))</f>
        <v/>
      </c>
      <c r="J1820" s="1694" t="str">
        <f>IF($M1782&lt;&gt;EUconst_Relevant,"",MAX(0,ROUND((SUM($M1785)*SUM(J1819))*IF($H1785=TRUE,1,IF($L1785=4,J$2413,J$2412))*IF($I1785=TRUE,INDEX(EUconst_CBAMFactor,J1795-2020),1)*IF($L1785&gt;=8,J$2415/0.97,1),0)))</f>
        <v/>
      </c>
      <c r="K1820" s="406" t="str">
        <f>IF($M1782&lt;&gt;EUconst_Relevant,"",MAX(0,ROUND((SUM($M1785)*SUM(K1819))*IF($H1785=TRUE,1,IF($L1785=4,K$2413,K$2412))*IF($I1785=TRUE,INDEX(EUconst_CBAMFactor,K1795-2020),1)*IF($L1785&gt;=8,K$2415/0.97,1),0)))</f>
        <v/>
      </c>
      <c r="L1820" s="406" t="str">
        <f>IF($M1782&lt;&gt;EUconst_Relevant,"",MAX(0,ROUND((SUM($M1785)*SUM(L1819))*IF($H1785=TRUE,1,IF($L1785=4,L$2413,L$2412))*IF($I1785=TRUE,INDEX(EUconst_CBAMFactor,L1795-2020),1)*IF($L1785&gt;=8,L$2415/0.97,1),0)))</f>
        <v/>
      </c>
      <c r="M1820" s="406" t="str">
        <f>IF($M1782&lt;&gt;EUconst_Relevant,"",MAX(0,ROUND((SUM($M1785)*SUM(M1819))*IF($H1785=TRUE,1,IF($L1785=4,M$2413,M$2412))*IF($I1785=TRUE,INDEX(EUconst_CBAMFactor,M1795-2020),1)*IF($L1785&gt;=8,M$2415/0.97,1),0)))</f>
        <v/>
      </c>
      <c r="N1820" s="1729" t="str">
        <f>IF($M1782&lt;&gt;EUconst_Relevant,"",MAX(0,ROUND((SUM($M1785)*SUM(N1819))*IF($H1785=TRUE,1,IF($L1785=4,N$2413,N$2412))*IF($I1785=TRUE,INDEX(EUconst_CBAMFactor,N1795-2020),1)*IF($L1785&gt;=8,N$2415/0.97,1),0)))</f>
        <v/>
      </c>
      <c r="O1820" s="698"/>
      <c r="P1820" s="1190" t="str">
        <f>EUconst_AllocPrelim&amp;I1782</f>
        <v>AllocPrelim_Подинсталация с топлинен показател (с риск от ИВЕ | извън МКВЕГ)</v>
      </c>
      <c r="Q1820" s="729"/>
      <c r="R1820" s="729"/>
      <c r="S1820" s="729"/>
      <c r="T1820" s="1176">
        <f>INDEX('G_Fall-back'!V:V,MATCH(L1785,'G_Fall-back'!C:C,0))</f>
        <v>2005</v>
      </c>
      <c r="U1820" s="727" t="b">
        <f>OR(INDEX(I1820:N1820,CNTR_ReportingYear-$I$2505)&lt;&gt;INDEX(I1820:N1820,CNTR_ReportingYear-$H$2505),
(CNTR_ReportingYear-T1820)&lt;=1)</f>
        <v>0</v>
      </c>
      <c r="V1820" s="716" t="b">
        <f ca="1">IF(I1820="",FALSE,COUNTIF(OFFSET(I1820,,,,MAX(1,CNTR_ReportingYear-$I$2505)),"&lt;&gt;" &amp; INDEX(I1820:N1820,CNTR_ReportingYear-$H$2505))&gt;0)</f>
        <v>0</v>
      </c>
    </row>
    <row r="1821" spans="1:22" s="364" customFormat="1" ht="5.15" customHeight="1" thickBot="1" x14ac:dyDescent="0.3">
      <c r="A1821" s="729"/>
      <c r="B1821" s="302"/>
      <c r="C1821" s="302"/>
      <c r="D1821" s="1801"/>
      <c r="E1821" s="1762"/>
      <c r="F1821" s="1762"/>
      <c r="G1821" s="1762"/>
      <c r="H1821" s="1762"/>
      <c r="I1821" s="1762"/>
      <c r="J1821" s="1762"/>
      <c r="K1821" s="1762"/>
      <c r="L1821" s="1762"/>
      <c r="M1821" s="1762"/>
      <c r="N1821" s="1764"/>
      <c r="O1821" s="698"/>
      <c r="P1821" s="729"/>
      <c r="Q1821" s="729"/>
      <c r="R1821" s="729"/>
      <c r="S1821" s="729"/>
      <c r="T1821" s="770"/>
      <c r="U1821" s="343"/>
      <c r="V1821" s="343"/>
    </row>
    <row r="1822" spans="1:22" s="364" customFormat="1" ht="5.15" customHeight="1" thickBot="1" x14ac:dyDescent="0.3">
      <c r="A1822" s="729"/>
      <c r="B1822" s="302"/>
      <c r="C1822" s="302"/>
      <c r="D1822" s="302"/>
      <c r="E1822" s="302"/>
      <c r="F1822" s="302"/>
      <c r="G1822" s="302"/>
      <c r="M1822" s="302"/>
      <c r="N1822" s="302"/>
      <c r="O1822" s="698"/>
      <c r="P1822" s="729"/>
      <c r="Q1822" s="729"/>
      <c r="R1822" s="729"/>
      <c r="S1822" s="729"/>
      <c r="T1822" s="729"/>
      <c r="U1822" s="343"/>
      <c r="V1822" s="343"/>
    </row>
    <row r="1823" spans="1:22" s="364" customFormat="1" ht="5.15" customHeight="1" x14ac:dyDescent="0.25">
      <c r="A1823" s="729"/>
      <c r="B1823" s="302"/>
      <c r="C1823" s="302"/>
      <c r="D1823" s="1818"/>
      <c r="E1823" s="1819"/>
      <c r="F1823" s="1300"/>
      <c r="G1823" s="1300"/>
      <c r="H1823" s="1300"/>
      <c r="I1823" s="1300"/>
      <c r="J1823" s="1300"/>
      <c r="K1823" s="1300"/>
      <c r="L1823" s="1300"/>
      <c r="M1823" s="1300"/>
      <c r="N1823" s="1301"/>
      <c r="O1823" s="698"/>
      <c r="P1823" s="729"/>
      <c r="Q1823" s="729"/>
      <c r="R1823" s="729"/>
      <c r="S1823" s="729"/>
      <c r="T1823" s="729"/>
      <c r="U1823" s="343"/>
      <c r="V1823" s="343"/>
    </row>
    <row r="1824" spans="1:22" s="364" customFormat="1" ht="13.5" thickBot="1" x14ac:dyDescent="0.3">
      <c r="A1824" s="729"/>
      <c r="B1824" s="302"/>
      <c r="C1824" s="302"/>
      <c r="D1824" s="1820"/>
      <c r="E1824" s="625"/>
      <c r="F1824" s="626"/>
      <c r="G1824" s="627" t="str">
        <f>EUconst_Unit</f>
        <v>Единица мярка</v>
      </c>
      <c r="H1824" s="628">
        <f t="shared" ref="H1824:N1824" si="157">H$2505</f>
        <v>2024</v>
      </c>
      <c r="I1824" s="628">
        <f t="shared" si="157"/>
        <v>2025</v>
      </c>
      <c r="J1824" s="628">
        <f t="shared" si="157"/>
        <v>2026</v>
      </c>
      <c r="K1824" s="629">
        <f t="shared" si="157"/>
        <v>2027</v>
      </c>
      <c r="L1824" s="629">
        <f t="shared" si="157"/>
        <v>2028</v>
      </c>
      <c r="M1824" s="629">
        <f t="shared" si="157"/>
        <v>2029</v>
      </c>
      <c r="N1824" s="1312">
        <f t="shared" si="157"/>
        <v>2030</v>
      </c>
      <c r="O1824" s="698"/>
      <c r="P1824" s="729"/>
      <c r="Q1824" s="729"/>
      <c r="R1824" s="729"/>
      <c r="S1824" s="729"/>
      <c r="T1824" s="729"/>
      <c r="U1824" s="343"/>
      <c r="V1824" s="343"/>
    </row>
    <row r="1825" spans="1:22" s="364" customFormat="1" ht="13.5" customHeight="1" thickBot="1" x14ac:dyDescent="0.3">
      <c r="A1825" s="729"/>
      <c r="B1825" s="302"/>
      <c r="C1825" s="302"/>
      <c r="D1825" s="1820"/>
      <c r="E1825" s="2929" t="str">
        <f>Translations!$B$349</f>
        <v>Произведена измерима топлинна енергия</v>
      </c>
      <c r="F1825" s="2258"/>
      <c r="G1825" s="631" t="str">
        <f>EUconst_TJpa</f>
        <v>TJ / година</v>
      </c>
      <c r="H1825" s="661" t="str">
        <f>IF($M1782&lt;&gt;EUconst_Relevant,"",IF(INDEX('G_Fall-back'!H:H,MATCH($P1825,'G_Fall-back'!$Q:$Q,0))="","",INDEX('G_Fall-back'!H:H,MATCH($P1825,'G_Fall-back'!$Q:$Q,0))))</f>
        <v/>
      </c>
      <c r="I1825" s="663" t="str">
        <f>IF($M1782&lt;&gt;EUconst_Relevant,"",IF(INDEX('G_Fall-back'!I:I,MATCH($P1825,'G_Fall-back'!$Q:$Q,0))="","",INDEX('G_Fall-back'!I:I,MATCH($P1825,'G_Fall-back'!$Q:$Q,0))))</f>
        <v/>
      </c>
      <c r="J1825" s="661" t="str">
        <f>IF($M1782&lt;&gt;EUconst_Relevant,"",IF(INDEX('G_Fall-back'!J:J,MATCH($P1825,'G_Fall-back'!$Q:$Q,0))="","",INDEX('G_Fall-back'!J:J,MATCH($P1825,'G_Fall-back'!$Q:$Q,0))))</f>
        <v/>
      </c>
      <c r="K1825" s="662" t="str">
        <f>IF($M1782&lt;&gt;EUconst_Relevant,"",IF(INDEX('G_Fall-back'!K:K,MATCH($P1825,'G_Fall-back'!$Q:$Q,0))="","",INDEX('G_Fall-back'!K:K,MATCH($P1825,'G_Fall-back'!$Q:$Q,0))))</f>
        <v/>
      </c>
      <c r="L1825" s="662" t="str">
        <f>IF($M1782&lt;&gt;EUconst_Relevant,"",IF(INDEX('G_Fall-back'!L:L,MATCH($P1825,'G_Fall-back'!$Q:$Q,0))="","",INDEX('G_Fall-back'!L:L,MATCH($P1825,'G_Fall-back'!$Q:$Q,0))))</f>
        <v/>
      </c>
      <c r="M1825" s="662" t="str">
        <f>IF($M1782&lt;&gt;EUconst_Relevant,"",IF(INDEX('G_Fall-back'!M:M,MATCH($P1825,'G_Fall-back'!$Q:$Q,0))="","",INDEX('G_Fall-back'!M:M,MATCH($P1825,'G_Fall-back'!$Q:$Q,0))))</f>
        <v/>
      </c>
      <c r="N1825" s="663" t="str">
        <f>IF($M1782&lt;&gt;EUconst_Relevant,"",IF(INDEX('G_Fall-back'!N:N,MATCH($P1825,'G_Fall-back'!$Q:$Q,0))="","",INDEX('G_Fall-back'!N:N,MATCH($P1825,'G_Fall-back'!$Q:$Q,0))))</f>
        <v/>
      </c>
      <c r="O1825" s="698"/>
      <c r="P1825" s="1500" t="str">
        <f>EUconst_CNTR_HeatProduced &amp;I1782</f>
        <v>HeatProd_Подинсталация с топлинен показател (с риск от ИВЕ | извън МКВЕГ)</v>
      </c>
      <c r="Q1825" s="729"/>
      <c r="R1825" s="729"/>
      <c r="S1825" s="729"/>
      <c r="T1825" s="729"/>
      <c r="U1825" s="343"/>
      <c r="V1825" s="343"/>
    </row>
    <row r="1826" spans="1:22" s="364" customFormat="1" ht="13.5" customHeight="1" x14ac:dyDescent="0.25">
      <c r="A1826" s="729"/>
      <c r="B1826" s="302"/>
      <c r="C1826" s="302"/>
      <c r="D1826" s="1820"/>
      <c r="E1826" s="2820" t="str">
        <f>Translations!$B$1555</f>
        <v>Топлинна енергия, произведена от електроенергия</v>
      </c>
      <c r="F1826" s="2992"/>
      <c r="G1826" s="631" t="str">
        <f>EUconst_TJpa</f>
        <v>TJ / година</v>
      </c>
      <c r="H1826" s="1869" t="str">
        <f>IF($M1782&lt;&gt;EUconst_Relevant,"",IF(INDEX('G_Fall-back'!H:H,MATCH($P1826,'G_Fall-back'!$Q:$Q,0))="","",INDEX('G_Fall-back'!H:H,MATCH($P1826,'G_Fall-back'!$Q:$Q,0))))</f>
        <v/>
      </c>
      <c r="I1826" s="1870" t="str">
        <f>IF($M1782&lt;&gt;EUconst_Relevant,"",IF(INDEX('G_Fall-back'!I:I,MATCH($P1826,'G_Fall-back'!$Q:$Q,0))="","",INDEX('G_Fall-back'!I:I,MATCH($P1826,'G_Fall-back'!$Q:$Q,0))))</f>
        <v/>
      </c>
      <c r="J1826" s="1871" t="str">
        <f>IF($M1782&lt;&gt;EUconst_Relevant,"",IF(INDEX('G_Fall-back'!J:J,MATCH($P1826,'G_Fall-back'!$Q:$Q,0))="","",INDEX('G_Fall-back'!J:J,MATCH($P1826,'G_Fall-back'!$Q:$Q,0))))</f>
        <v/>
      </c>
      <c r="K1826" s="1869" t="str">
        <f>IF($M1782&lt;&gt;EUconst_Relevant,"",IF(INDEX('G_Fall-back'!K:K,MATCH($P1826,'G_Fall-back'!$Q:$Q,0))="","",INDEX('G_Fall-back'!K:K,MATCH($P1826,'G_Fall-back'!$Q:$Q,0))))</f>
        <v/>
      </c>
      <c r="L1826" s="1869" t="str">
        <f>IF($M1782&lt;&gt;EUconst_Relevant,"",IF(INDEX('G_Fall-back'!L:L,MATCH($P1826,'G_Fall-back'!$Q:$Q,0))="","",INDEX('G_Fall-back'!L:L,MATCH($P1826,'G_Fall-back'!$Q:$Q,0))))</f>
        <v/>
      </c>
      <c r="M1826" s="1869" t="str">
        <f>IF($M1782&lt;&gt;EUconst_Relevant,"",IF(INDEX('G_Fall-back'!M:M,MATCH($P1826,'G_Fall-back'!$Q:$Q,0))="","",INDEX('G_Fall-back'!M:M,MATCH($P1826,'G_Fall-back'!$Q:$Q,0))))</f>
        <v/>
      </c>
      <c r="N1826" s="1870" t="str">
        <f>IF($M1782&lt;&gt;EUconst_Relevant,"",IF(INDEX('G_Fall-back'!N:N,MATCH($P1826,'G_Fall-back'!$Q:$Q,0))="","",INDEX('G_Fall-back'!N:N,MATCH($P1826,'G_Fall-back'!$Q:$Q,0))))</f>
        <v/>
      </c>
      <c r="O1826" s="698"/>
      <c r="P1826" s="1500" t="str">
        <f>EUconst_CNTR_HeatProducedElectricity  &amp;I1782</f>
        <v>HeatProdElec_Подинсталация с топлинен показател (с риск от ИВЕ | извън МКВЕГ)</v>
      </c>
      <c r="Q1826" s="729"/>
      <c r="R1826" s="729"/>
      <c r="S1826" s="729"/>
      <c r="T1826" s="729"/>
      <c r="U1826" s="343"/>
      <c r="V1826" s="343"/>
    </row>
    <row r="1827" spans="1:22" s="364" customFormat="1" ht="5.15" customHeight="1" thickBot="1" x14ac:dyDescent="0.3">
      <c r="A1827" s="729"/>
      <c r="B1827" s="302"/>
      <c r="C1827" s="302"/>
      <c r="D1827" s="1820"/>
      <c r="E1827" s="625"/>
      <c r="F1827" s="625"/>
      <c r="G1827" s="625"/>
      <c r="H1827" s="640"/>
      <c r="I1827" s="640"/>
      <c r="J1827" s="640"/>
      <c r="K1827" s="640"/>
      <c r="L1827" s="640"/>
      <c r="M1827" s="640"/>
      <c r="N1827" s="1831"/>
      <c r="O1827" s="698"/>
      <c r="P1827" s="729"/>
      <c r="Q1827" s="729"/>
      <c r="R1827" s="729"/>
      <c r="S1827" s="729"/>
      <c r="T1827" s="729"/>
      <c r="U1827" s="343"/>
      <c r="V1827" s="343"/>
    </row>
    <row r="1828" spans="1:22" s="364" customFormat="1" ht="13.5" customHeight="1" thickBot="1" x14ac:dyDescent="0.3">
      <c r="A1828" s="729"/>
      <c r="B1828" s="302"/>
      <c r="C1828" s="302"/>
      <c r="D1828" s="1820"/>
      <c r="E1828" s="2929" t="str">
        <f>Translations!$B$956</f>
        <v>Общо зададени емисии</v>
      </c>
      <c r="F1828" s="2258"/>
      <c r="G1828" s="631" t="str">
        <f>EUconst_tCO2epa</f>
        <v>t CO2e/година</v>
      </c>
      <c r="H1828" s="661" t="str">
        <f t="shared" ref="H1828:N1828" si="158">INDEX(H$95:H$114,MATCH($I1782,$E$95:$E$114,0))</f>
        <v/>
      </c>
      <c r="I1828" s="663" t="str">
        <f t="shared" si="158"/>
        <v/>
      </c>
      <c r="J1828" s="661" t="str">
        <f t="shared" si="158"/>
        <v/>
      </c>
      <c r="K1828" s="662" t="str">
        <f t="shared" si="158"/>
        <v/>
      </c>
      <c r="L1828" s="662" t="str">
        <f t="shared" si="158"/>
        <v/>
      </c>
      <c r="M1828" s="662" t="str">
        <f t="shared" si="158"/>
        <v/>
      </c>
      <c r="N1828" s="663" t="str">
        <f t="shared" si="158"/>
        <v/>
      </c>
      <c r="O1828" s="698"/>
      <c r="P1828" s="729"/>
      <c r="Q1828" s="729"/>
      <c r="R1828" s="729"/>
      <c r="S1828" s="729"/>
      <c r="T1828" s="770"/>
      <c r="U1828" s="343"/>
      <c r="V1828" s="343"/>
    </row>
    <row r="1829" spans="1:22" s="364" customFormat="1" ht="5.15" customHeight="1" x14ac:dyDescent="0.25">
      <c r="A1829" s="729"/>
      <c r="B1829" s="302"/>
      <c r="C1829" s="302"/>
      <c r="D1829" s="1820"/>
      <c r="E1829" s="625"/>
      <c r="F1829" s="625"/>
      <c r="G1829" s="625"/>
      <c r="H1829" s="635"/>
      <c r="I1829" s="635"/>
      <c r="J1829" s="635"/>
      <c r="K1829" s="635"/>
      <c r="L1829" s="635"/>
      <c r="M1829" s="635"/>
      <c r="N1829" s="1823"/>
      <c r="O1829" s="698"/>
      <c r="P1829" s="729"/>
      <c r="Q1829" s="729"/>
      <c r="R1829" s="729"/>
      <c r="S1829" s="729"/>
      <c r="T1829" s="770"/>
      <c r="U1829" s="343"/>
      <c r="V1829" s="343"/>
    </row>
    <row r="1830" spans="1:22" s="364" customFormat="1" x14ac:dyDescent="0.25">
      <c r="A1830" s="729"/>
      <c r="B1830" s="302"/>
      <c r="C1830" s="302"/>
      <c r="D1830" s="1820"/>
      <c r="E1830" s="2818" t="str">
        <f>Translations!$B$521</f>
        <v>Вложени горива</v>
      </c>
      <c r="F1830" s="2701"/>
      <c r="G1830" s="1326" t="str">
        <f>EUconst_TJpa</f>
        <v>TJ / година</v>
      </c>
      <c r="H1830" s="482" t="str">
        <f>IF($M1782&lt;&gt;EUconst_Relevant,"",IF(INDEX('G_Fall-back'!H:H,MATCH($P1830,'G_Fall-back'!$Q:$Q,0))="","",INDEX('G_Fall-back'!H:H,MATCH($P1830,'G_Fall-back'!$Q:$Q,0))))</f>
        <v/>
      </c>
      <c r="I1830" s="1824" t="str">
        <f>IF($M1782&lt;&gt;EUconst_Relevant,"",IF(INDEX('G_Fall-back'!I:I,MATCH($P1830,'G_Fall-back'!$Q:$Q,0))="","",INDEX('G_Fall-back'!I:I,MATCH($P1830,'G_Fall-back'!$Q:$Q,0))))</f>
        <v/>
      </c>
      <c r="J1830" s="1825" t="str">
        <f>IF($M1782&lt;&gt;EUconst_Relevant,"",IF(INDEX('G_Fall-back'!J:J,MATCH($P1830,'G_Fall-back'!$Q:$Q,0))="","",INDEX('G_Fall-back'!J:J,MATCH($P1830,'G_Fall-back'!$Q:$Q,0))))</f>
        <v/>
      </c>
      <c r="K1830" s="482" t="str">
        <f>IF($M1782&lt;&gt;EUconst_Relevant,"",IF(INDEX('G_Fall-back'!K:K,MATCH($P1830,'G_Fall-back'!$Q:$Q,0))="","",INDEX('G_Fall-back'!K:K,MATCH($P1830,'G_Fall-back'!$Q:$Q,0))))</f>
        <v/>
      </c>
      <c r="L1830" s="482" t="str">
        <f>IF($M1782&lt;&gt;EUconst_Relevant,"",IF(INDEX('G_Fall-back'!L:L,MATCH($P1830,'G_Fall-back'!$Q:$Q,0))="","",INDEX('G_Fall-back'!L:L,MATCH($P1830,'G_Fall-back'!$Q:$Q,0))))</f>
        <v/>
      </c>
      <c r="M1830" s="482" t="str">
        <f>IF($M1782&lt;&gt;EUconst_Relevant,"",IF(INDEX('G_Fall-back'!M:M,MATCH($P1830,'G_Fall-back'!$Q:$Q,0))="","",INDEX('G_Fall-back'!M:M,MATCH($P1830,'G_Fall-back'!$Q:$Q,0))))</f>
        <v/>
      </c>
      <c r="N1830" s="1826" t="str">
        <f>IF($M1782&lt;&gt;EUconst_Relevant,"",IF(INDEX('G_Fall-back'!N:N,MATCH($P1830,'G_Fall-back'!$Q:$Q,0))="","",INDEX('G_Fall-back'!N:N,MATCH($P1830,'G_Fall-back'!$Q:$Q,0))))</f>
        <v/>
      </c>
      <c r="O1830" s="698"/>
      <c r="P1830" s="1827" t="str">
        <f>EUconst_CNTR_FuelInput &amp;I1782</f>
        <v>FuelInput_Подинсталация с топлинен показател (с риск от ИВЕ | извън МКВЕГ)</v>
      </c>
      <c r="Q1830" s="729"/>
      <c r="R1830" s="729"/>
      <c r="S1830" s="729"/>
      <c r="T1830" s="729"/>
      <c r="U1830" s="343"/>
      <c r="V1830" s="343"/>
    </row>
    <row r="1831" spans="1:22" s="364" customFormat="1" ht="12.75" customHeight="1" x14ac:dyDescent="0.25">
      <c r="A1831" s="729"/>
      <c r="B1831" s="302"/>
      <c r="C1831" s="302"/>
      <c r="D1831" s="1820"/>
      <c r="E1831" s="2819" t="str">
        <f>Translations!$B$522</f>
        <v>Претеглен емисионен фактор</v>
      </c>
      <c r="F1831" s="2705"/>
      <c r="G1831" s="1329" t="str">
        <f>EUconst_tCO2pTJ</f>
        <v>t CO2 / TJ</v>
      </c>
      <c r="H1831" s="484" t="str">
        <f>IF($M1782&lt;&gt;EUconst_Relevant,"",IF(INDEX('G_Fall-back'!H:H,MATCH($P1831,'G_Fall-back'!$Q:$Q,0))="","",INDEX('G_Fall-back'!H:H,MATCH($P1831,'G_Fall-back'!$Q:$Q,0))))</f>
        <v/>
      </c>
      <c r="I1831" s="1828" t="str">
        <f>IF($M1782&lt;&gt;EUconst_Relevant,"",IF(INDEX('G_Fall-back'!I:I,MATCH($P1831,'G_Fall-back'!$Q:$Q,0))="","",INDEX('G_Fall-back'!I:I,MATCH($P1831,'G_Fall-back'!$Q:$Q,0))))</f>
        <v/>
      </c>
      <c r="J1831" s="1829" t="str">
        <f>IF($M1782&lt;&gt;EUconst_Relevant,"",IF(INDEX('G_Fall-back'!J:J,MATCH($P1831,'G_Fall-back'!$Q:$Q,0))="","",INDEX('G_Fall-back'!J:J,MATCH($P1831,'G_Fall-back'!$Q:$Q,0))))</f>
        <v/>
      </c>
      <c r="K1831" s="484" t="str">
        <f>IF($M1782&lt;&gt;EUconst_Relevant,"",IF(INDEX('G_Fall-back'!K:K,MATCH($P1831,'G_Fall-back'!$Q:$Q,0))="","",INDEX('G_Fall-back'!K:K,MATCH($P1831,'G_Fall-back'!$Q:$Q,0))))</f>
        <v/>
      </c>
      <c r="L1831" s="484" t="str">
        <f>IF($M1782&lt;&gt;EUconst_Relevant,"",IF(INDEX('G_Fall-back'!L:L,MATCH($P1831,'G_Fall-back'!$Q:$Q,0))="","",INDEX('G_Fall-back'!L:L,MATCH($P1831,'G_Fall-back'!$Q:$Q,0))))</f>
        <v/>
      </c>
      <c r="M1831" s="484" t="str">
        <f>IF($M1782&lt;&gt;EUconst_Relevant,"",IF(INDEX('G_Fall-back'!M:M,MATCH($P1831,'G_Fall-back'!$Q:$Q,0))="","",INDEX('G_Fall-back'!M:M,MATCH($P1831,'G_Fall-back'!$Q:$Q,0))))</f>
        <v/>
      </c>
      <c r="N1831" s="1830" t="str">
        <f>IF($M1782&lt;&gt;EUconst_Relevant,"",IF(INDEX('G_Fall-back'!N:N,MATCH($P1831,'G_Fall-back'!$Q:$Q,0))="","",INDEX('G_Fall-back'!N:N,MATCH($P1831,'G_Fall-back'!$Q:$Q,0))))</f>
        <v/>
      </c>
      <c r="O1831" s="698"/>
      <c r="P1831" s="1500" t="str">
        <f>EUconst_CNTR_FuelEF &amp;I1782</f>
        <v>FuelEF_Подинсталация с топлинен показател (с риск от ИВЕ | извън МКВЕГ)</v>
      </c>
      <c r="Q1831" s="729"/>
      <c r="R1831" s="729"/>
      <c r="S1831" s="729"/>
      <c r="T1831" s="729"/>
      <c r="U1831" s="343"/>
      <c r="V1831" s="343"/>
    </row>
    <row r="1832" spans="1:22" s="364" customFormat="1" ht="12.75" customHeight="1" x14ac:dyDescent="0.25">
      <c r="A1832" s="729"/>
      <c r="B1832" s="302"/>
      <c r="C1832" s="302"/>
      <c r="D1832" s="1820"/>
      <c r="E1832" s="2818" t="str">
        <f>Translations!$B$637</f>
        <v>Вложени горива от отпадни газове</v>
      </c>
      <c r="F1832" s="2701"/>
      <c r="G1832" s="1326" t="str">
        <f>EUconst_TJpa</f>
        <v>TJ / година</v>
      </c>
      <c r="H1832" s="482" t="str">
        <f>IF($M1782&lt;&gt;EUconst_Relevant,"",IF(INDEX('G_Fall-back'!H:H,MATCH($P1832,'G_Fall-back'!$Q:$Q,0))="","",INDEX('G_Fall-back'!H:H,MATCH($P1832,'G_Fall-back'!$Q:$Q,0))))</f>
        <v/>
      </c>
      <c r="I1832" s="1824" t="str">
        <f>IF($M1782&lt;&gt;EUconst_Relevant,"",IF(INDEX('G_Fall-back'!I:I,MATCH($P1832,'G_Fall-back'!$Q:$Q,0))="","",INDEX('G_Fall-back'!I:I,MATCH($P1832,'G_Fall-back'!$Q:$Q,0))))</f>
        <v/>
      </c>
      <c r="J1832" s="1825" t="str">
        <f>IF($M1782&lt;&gt;EUconst_Relevant,"",IF(INDEX('G_Fall-back'!J:J,MATCH($P1832,'G_Fall-back'!$Q:$Q,0))="","",INDEX('G_Fall-back'!J:J,MATCH($P1832,'G_Fall-back'!$Q:$Q,0))))</f>
        <v/>
      </c>
      <c r="K1832" s="482" t="str">
        <f>IF($M1782&lt;&gt;EUconst_Relevant,"",IF(INDEX('G_Fall-back'!K:K,MATCH($P1832,'G_Fall-back'!$Q:$Q,0))="","",INDEX('G_Fall-back'!K:K,MATCH($P1832,'G_Fall-back'!$Q:$Q,0))))</f>
        <v/>
      </c>
      <c r="L1832" s="482" t="str">
        <f>IF($M1782&lt;&gt;EUconst_Relevant,"",IF(INDEX('G_Fall-back'!L:L,MATCH($P1832,'G_Fall-back'!$Q:$Q,0))="","",INDEX('G_Fall-back'!L:L,MATCH($P1832,'G_Fall-back'!$Q:$Q,0))))</f>
        <v/>
      </c>
      <c r="M1832" s="482" t="str">
        <f>IF($M1782&lt;&gt;EUconst_Relevant,"",IF(INDEX('G_Fall-back'!M:M,MATCH($P1832,'G_Fall-back'!$Q:$Q,0))="","",INDEX('G_Fall-back'!M:M,MATCH($P1832,'G_Fall-back'!$Q:$Q,0))))</f>
        <v/>
      </c>
      <c r="N1832" s="1826" t="str">
        <f>IF($M1782&lt;&gt;EUconst_Relevant,"",IF(INDEX('G_Fall-back'!N:N,MATCH($P1832,'G_Fall-back'!$Q:$Q,0))="","",INDEX('G_Fall-back'!N:N,MATCH($P1832,'G_Fall-back'!$Q:$Q,0))))</f>
        <v/>
      </c>
      <c r="O1832" s="698"/>
      <c r="P1832" s="716" t="str">
        <f>EUconst_CNTR_WGConsumed &amp;I1782</f>
        <v>WasteGasCons_Подинсталация с топлинен показател (с риск от ИВЕ | извън МКВЕГ)</v>
      </c>
      <c r="Q1832" s="729"/>
      <c r="R1832" s="729"/>
      <c r="S1832" s="729"/>
      <c r="T1832" s="729"/>
      <c r="U1832" s="343"/>
      <c r="V1832" s="343"/>
    </row>
    <row r="1833" spans="1:22" s="364" customFormat="1" ht="12.75" customHeight="1" x14ac:dyDescent="0.25">
      <c r="A1833" s="729"/>
      <c r="B1833" s="302"/>
      <c r="C1833" s="302"/>
      <c r="D1833" s="1820"/>
      <c r="E1833" s="2819" t="str">
        <f>Translations!$B$522</f>
        <v>Претеглен емисионен фактор</v>
      </c>
      <c r="F1833" s="2705"/>
      <c r="G1833" s="1329" t="str">
        <f>EUconst_tCO2pTJ</f>
        <v>t CO2 / TJ</v>
      </c>
      <c r="H1833" s="484" t="str">
        <f>IF($M1782&lt;&gt;EUconst_Relevant,"",IF(INDEX('G_Fall-back'!H:H,MATCH($P1833,'G_Fall-back'!$Q:$Q,0))="","",INDEX('G_Fall-back'!H:H,MATCH($P1833,'G_Fall-back'!$Q:$Q,0))))</f>
        <v/>
      </c>
      <c r="I1833" s="1828" t="str">
        <f>IF($M1782&lt;&gt;EUconst_Relevant,"",IF(INDEX('G_Fall-back'!I:I,MATCH($P1833,'G_Fall-back'!$Q:$Q,0))="","",INDEX('G_Fall-back'!I:I,MATCH($P1833,'G_Fall-back'!$Q:$Q,0))))</f>
        <v/>
      </c>
      <c r="J1833" s="1829" t="str">
        <f>IF($M1782&lt;&gt;EUconst_Relevant,"",IF(INDEX('G_Fall-back'!J:J,MATCH($P1833,'G_Fall-back'!$Q:$Q,0))="","",INDEX('G_Fall-back'!J:J,MATCH($P1833,'G_Fall-back'!$Q:$Q,0))))</f>
        <v/>
      </c>
      <c r="K1833" s="484" t="str">
        <f>IF($M1782&lt;&gt;EUconst_Relevant,"",IF(INDEX('G_Fall-back'!K:K,MATCH($P1833,'G_Fall-back'!$Q:$Q,0))="","",INDEX('G_Fall-back'!K:K,MATCH($P1833,'G_Fall-back'!$Q:$Q,0))))</f>
        <v/>
      </c>
      <c r="L1833" s="484" t="str">
        <f>IF($M1782&lt;&gt;EUconst_Relevant,"",IF(INDEX('G_Fall-back'!L:L,MATCH($P1833,'G_Fall-back'!$Q:$Q,0))="","",INDEX('G_Fall-back'!L:L,MATCH($P1833,'G_Fall-back'!$Q:$Q,0))))</f>
        <v/>
      </c>
      <c r="M1833" s="484" t="str">
        <f>IF($M1782&lt;&gt;EUconst_Relevant,"",IF(INDEX('G_Fall-back'!M:M,MATCH($P1833,'G_Fall-back'!$Q:$Q,0))="","",INDEX('G_Fall-back'!M:M,MATCH($P1833,'G_Fall-back'!$Q:$Q,0))))</f>
        <v/>
      </c>
      <c r="N1833" s="1830" t="str">
        <f>IF($M1782&lt;&gt;EUconst_Relevant,"",IF(INDEX('G_Fall-back'!N:N,MATCH($P1833,'G_Fall-back'!$Q:$Q,0))="","",INDEX('G_Fall-back'!N:N,MATCH($P1833,'G_Fall-back'!$Q:$Q,0))))</f>
        <v/>
      </c>
      <c r="O1833" s="698"/>
      <c r="P1833" s="1500" t="str">
        <f>EUconst_CNTR_WGConsumedEF &amp;I1782</f>
        <v>WasteGasConsEF_Подинсталация с топлинен показател (с риск от ИВЕ | извън МКВЕГ)</v>
      </c>
      <c r="Q1833" s="729"/>
      <c r="R1833" s="729"/>
      <c r="S1833" s="729"/>
      <c r="T1833" s="729"/>
      <c r="U1833" s="343"/>
      <c r="V1833" s="343"/>
    </row>
    <row r="1834" spans="1:22" s="364" customFormat="1" ht="12.75" customHeight="1" x14ac:dyDescent="0.25">
      <c r="A1834" s="729"/>
      <c r="B1834" s="302"/>
      <c r="C1834" s="302"/>
      <c r="D1834" s="1820"/>
      <c r="E1834" s="2818" t="str">
        <f>Translations!$B$1475</f>
        <v>Вложена електроенергия за производството на топлинна енергия</v>
      </c>
      <c r="F1834" s="2701"/>
      <c r="G1834" s="1326" t="str">
        <f>EUconst_TJpa</f>
        <v>TJ / година</v>
      </c>
      <c r="H1834" s="482" t="str">
        <f>IF($M1782&lt;&gt;EUconst_Relevant,"",IF(INDEX('G_Fall-back'!H:H,MATCH($P1834,'G_Fall-back'!$Q:$Q,0))="","",INDEX('G_Fall-back'!H:H,MATCH($P1834,'G_Fall-back'!$Q:$Q,0))))</f>
        <v/>
      </c>
      <c r="I1834" s="1824" t="str">
        <f>IF($M1782&lt;&gt;EUconst_Relevant,"",IF(INDEX('G_Fall-back'!I:I,MATCH($P1834,'G_Fall-back'!$Q:$Q,0))="","",INDEX('G_Fall-back'!I:I,MATCH($P1834,'G_Fall-back'!$Q:$Q,0))))</f>
        <v/>
      </c>
      <c r="J1834" s="1825" t="str">
        <f>IF($M1782&lt;&gt;EUconst_Relevant,"",IF(INDEX('G_Fall-back'!J:J,MATCH($P1834,'G_Fall-back'!$Q:$Q,0))="","",INDEX('G_Fall-back'!J:J,MATCH($P1834,'G_Fall-back'!$Q:$Q,0))))</f>
        <v/>
      </c>
      <c r="K1834" s="482" t="str">
        <f>IF($M1782&lt;&gt;EUconst_Relevant,"",IF(INDEX('G_Fall-back'!K:K,MATCH($P1834,'G_Fall-back'!$Q:$Q,0))="","",INDEX('G_Fall-back'!K:K,MATCH($P1834,'G_Fall-back'!$Q:$Q,0))))</f>
        <v/>
      </c>
      <c r="L1834" s="482" t="str">
        <f>IF($M1782&lt;&gt;EUconst_Relevant,"",IF(INDEX('G_Fall-back'!L:L,MATCH($P1834,'G_Fall-back'!$Q:$Q,0))="","",INDEX('G_Fall-back'!L:L,MATCH($P1834,'G_Fall-back'!$Q:$Q,0))))</f>
        <v/>
      </c>
      <c r="M1834" s="482" t="str">
        <f>IF($M1782&lt;&gt;EUconst_Relevant,"",IF(INDEX('G_Fall-back'!M:M,MATCH($P1834,'G_Fall-back'!$Q:$Q,0))="","",INDEX('G_Fall-back'!M:M,MATCH($P1834,'G_Fall-back'!$Q:$Q,0))))</f>
        <v/>
      </c>
      <c r="N1834" s="1826" t="str">
        <f>IF($M1782&lt;&gt;EUconst_Relevant,"",IF(INDEX('G_Fall-back'!N:N,MATCH($P1834,'G_Fall-back'!$Q:$Q,0))="","",INDEX('G_Fall-back'!N:N,MATCH($P1834,'G_Fall-back'!$Q:$Q,0))))</f>
        <v/>
      </c>
      <c r="O1834" s="698"/>
      <c r="P1834" s="716" t="str">
        <f>EUconst_CNTR_ElectricityInput &amp;I1782</f>
        <v>ElectricityInput_Подинсталация с топлинен показател (с риск от ИВЕ | извън МКВЕГ)</v>
      </c>
      <c r="Q1834" s="729"/>
      <c r="R1834" s="729"/>
      <c r="S1834" s="729"/>
      <c r="T1834" s="729"/>
      <c r="U1834" s="343"/>
      <c r="V1834" s="343"/>
    </row>
    <row r="1835" spans="1:22" s="364" customFormat="1" ht="12.75" customHeight="1" x14ac:dyDescent="0.25">
      <c r="A1835" s="729"/>
      <c r="B1835" s="302"/>
      <c r="C1835" s="302"/>
      <c r="D1835" s="1820"/>
      <c r="E1835" s="2819" t="str">
        <f>Translations!$B$522</f>
        <v>Претеглен емисионен фактор</v>
      </c>
      <c r="F1835" s="2705"/>
      <c r="G1835" s="1329" t="str">
        <f>EUconst_tCO2pTJ</f>
        <v>t CO2 / TJ</v>
      </c>
      <c r="H1835" s="484" t="str">
        <f>IF($M1782&lt;&gt;EUconst_Relevant,"",IF(INDEX('G_Fall-back'!H:H,MATCH($P1835,'G_Fall-back'!$Q:$Q,0))="","",INDEX('G_Fall-back'!H:H,MATCH($P1835,'G_Fall-back'!$Q:$Q,0))))</f>
        <v/>
      </c>
      <c r="I1835" s="1828" t="str">
        <f>IF($M1782&lt;&gt;EUconst_Relevant,"",IF(INDEX('G_Fall-back'!I:I,MATCH($P1835,'G_Fall-back'!$Q:$Q,0))="","",INDEX('G_Fall-back'!I:I,MATCH($P1835,'G_Fall-back'!$Q:$Q,0))))</f>
        <v/>
      </c>
      <c r="J1835" s="1829" t="str">
        <f>IF($M1782&lt;&gt;EUconst_Relevant,"",IF(INDEX('G_Fall-back'!J:J,MATCH($P1835,'G_Fall-back'!$Q:$Q,0))="","",INDEX('G_Fall-back'!J:J,MATCH($P1835,'G_Fall-back'!$Q:$Q,0))))</f>
        <v/>
      </c>
      <c r="K1835" s="484" t="str">
        <f>IF($M1782&lt;&gt;EUconst_Relevant,"",IF(INDEX('G_Fall-back'!K:K,MATCH($P1835,'G_Fall-back'!$Q:$Q,0))="","",INDEX('G_Fall-back'!K:K,MATCH($P1835,'G_Fall-back'!$Q:$Q,0))))</f>
        <v/>
      </c>
      <c r="L1835" s="484" t="str">
        <f>IF($M1782&lt;&gt;EUconst_Relevant,"",IF(INDEX('G_Fall-back'!L:L,MATCH($P1835,'G_Fall-back'!$Q:$Q,0))="","",INDEX('G_Fall-back'!L:L,MATCH($P1835,'G_Fall-back'!$Q:$Q,0))))</f>
        <v/>
      </c>
      <c r="M1835" s="484" t="str">
        <f>IF($M1782&lt;&gt;EUconst_Relevant,"",IF(INDEX('G_Fall-back'!M:M,MATCH($P1835,'G_Fall-back'!$Q:$Q,0))="","",INDEX('G_Fall-back'!M:M,MATCH($P1835,'G_Fall-back'!$Q:$Q,0))))</f>
        <v/>
      </c>
      <c r="N1835" s="1830" t="str">
        <f>IF($M1782&lt;&gt;EUconst_Relevant,"",IF(INDEX('G_Fall-back'!N:N,MATCH($P1835,'G_Fall-back'!$Q:$Q,0))="","",INDEX('G_Fall-back'!N:N,MATCH($P1835,'G_Fall-back'!$Q:$Q,0))))</f>
        <v/>
      </c>
      <c r="O1835" s="698"/>
      <c r="P1835" s="1500" t="str">
        <f>EUconst_CNTR_ElectricityEF &amp;I1782</f>
        <v>ElectricityEF_Подинсталация с топлинен показател (с риск от ИВЕ | извън МКВЕГ)</v>
      </c>
      <c r="Q1835" s="729"/>
      <c r="R1835" s="729"/>
      <c r="S1835" s="729"/>
      <c r="T1835" s="729"/>
      <c r="U1835" s="343"/>
      <c r="V1835" s="343"/>
    </row>
    <row r="1836" spans="1:22" s="364" customFormat="1" ht="12.75" customHeight="1" x14ac:dyDescent="0.25">
      <c r="A1836" s="729"/>
      <c r="B1836" s="302"/>
      <c r="C1836" s="302"/>
      <c r="D1836" s="1820"/>
      <c r="E1836" s="2818" t="str">
        <f>Translations!$B$1476</f>
        <v>Друга вложена енергия (например екзотермична топлина)</v>
      </c>
      <c r="F1836" s="2701"/>
      <c r="G1836" s="1326" t="str">
        <f>EUconst_TJpa</f>
        <v>TJ / година</v>
      </c>
      <c r="H1836" s="482" t="str">
        <f>IF($M1782&lt;&gt;EUconst_Relevant,"",IF(INDEX('G_Fall-back'!H:H,MATCH($P1836,'G_Fall-back'!$Q:$Q,0))="","",INDEX('G_Fall-back'!H:H,MATCH($P1836,'G_Fall-back'!$Q:$Q,0))))</f>
        <v/>
      </c>
      <c r="I1836" s="1824" t="str">
        <f>IF($M1782&lt;&gt;EUconst_Relevant,"",IF(INDEX('G_Fall-back'!I:I,MATCH($P1836,'G_Fall-back'!$Q:$Q,0))="","",INDEX('G_Fall-back'!I:I,MATCH($P1836,'G_Fall-back'!$Q:$Q,0))))</f>
        <v/>
      </c>
      <c r="J1836" s="1825" t="str">
        <f>IF($M1782&lt;&gt;EUconst_Relevant,"",IF(INDEX('G_Fall-back'!J:J,MATCH($P1836,'G_Fall-back'!$Q:$Q,0))="","",INDEX('G_Fall-back'!J:J,MATCH($P1836,'G_Fall-back'!$Q:$Q,0))))</f>
        <v/>
      </c>
      <c r="K1836" s="482" t="str">
        <f>IF($M1782&lt;&gt;EUconst_Relevant,"",IF(INDEX('G_Fall-back'!K:K,MATCH($P1836,'G_Fall-back'!$Q:$Q,0))="","",INDEX('G_Fall-back'!K:K,MATCH($P1836,'G_Fall-back'!$Q:$Q,0))))</f>
        <v/>
      </c>
      <c r="L1836" s="482" t="str">
        <f>IF($M1782&lt;&gt;EUconst_Relevant,"",IF(INDEX('G_Fall-back'!L:L,MATCH($P1836,'G_Fall-back'!$Q:$Q,0))="","",INDEX('G_Fall-back'!L:L,MATCH($P1836,'G_Fall-back'!$Q:$Q,0))))</f>
        <v/>
      </c>
      <c r="M1836" s="482" t="str">
        <f>IF($M1782&lt;&gt;EUconst_Relevant,"",IF(INDEX('G_Fall-back'!M:M,MATCH($P1836,'G_Fall-back'!$Q:$Q,0))="","",INDEX('G_Fall-back'!M:M,MATCH($P1836,'G_Fall-back'!$Q:$Q,0))))</f>
        <v/>
      </c>
      <c r="N1836" s="1826" t="str">
        <f>IF($M1782&lt;&gt;EUconst_Relevant,"",IF(INDEX('G_Fall-back'!N:N,MATCH($P1836,'G_Fall-back'!$Q:$Q,0))="","",INDEX('G_Fall-back'!N:N,MATCH($P1836,'G_Fall-back'!$Q:$Q,0))))</f>
        <v/>
      </c>
      <c r="O1836" s="698"/>
      <c r="P1836" s="716" t="str">
        <f>EUconst_CNTR_OtherEnergyInput&amp;I1782</f>
        <v>OtherEnergyInput_Подинсталация с топлинен показател (с риск от ИВЕ | извън МКВЕГ)</v>
      </c>
      <c r="Q1836" s="729"/>
      <c r="R1836" s="729"/>
      <c r="S1836" s="729"/>
      <c r="T1836" s="729"/>
      <c r="U1836" s="343"/>
      <c r="V1836" s="343"/>
    </row>
    <row r="1837" spans="1:22" s="364" customFormat="1" ht="12.75" customHeight="1" x14ac:dyDescent="0.25">
      <c r="A1837" s="729"/>
      <c r="B1837" s="302"/>
      <c r="C1837" s="302"/>
      <c r="D1837" s="1820"/>
      <c r="E1837" s="2819" t="str">
        <f>Translations!$B$522</f>
        <v>Претеглен емисионен фактор</v>
      </c>
      <c r="F1837" s="2705"/>
      <c r="G1837" s="1329" t="str">
        <f>EUconst_tCO2pTJ</f>
        <v>t CO2 / TJ</v>
      </c>
      <c r="H1837" s="484" t="str">
        <f>IF($M1782&lt;&gt;EUconst_Relevant,"",IF(INDEX('G_Fall-back'!H:H,MATCH($P1837,'G_Fall-back'!$Q:$Q,0))="","",INDEX('G_Fall-back'!H:H,MATCH($P1837,'G_Fall-back'!$Q:$Q,0))))</f>
        <v/>
      </c>
      <c r="I1837" s="1828" t="str">
        <f>IF($M1782&lt;&gt;EUconst_Relevant,"",IF(INDEX('G_Fall-back'!I:I,MATCH($P1837,'G_Fall-back'!$Q:$Q,0))="","",INDEX('G_Fall-back'!I:I,MATCH($P1837,'G_Fall-back'!$Q:$Q,0))))</f>
        <v/>
      </c>
      <c r="J1837" s="1829" t="str">
        <f>IF($M1782&lt;&gt;EUconst_Relevant,"",IF(INDEX('G_Fall-back'!J:J,MATCH($P1837,'G_Fall-back'!$Q:$Q,0))="","",INDEX('G_Fall-back'!J:J,MATCH($P1837,'G_Fall-back'!$Q:$Q,0))))</f>
        <v/>
      </c>
      <c r="K1837" s="484" t="str">
        <f>IF($M1782&lt;&gt;EUconst_Relevant,"",IF(INDEX('G_Fall-back'!K:K,MATCH($P1837,'G_Fall-back'!$Q:$Q,0))="","",INDEX('G_Fall-back'!K:K,MATCH($P1837,'G_Fall-back'!$Q:$Q,0))))</f>
        <v/>
      </c>
      <c r="L1837" s="484" t="str">
        <f>IF($M1782&lt;&gt;EUconst_Relevant,"",IF(INDEX('G_Fall-back'!L:L,MATCH($P1837,'G_Fall-back'!$Q:$Q,0))="","",INDEX('G_Fall-back'!L:L,MATCH($P1837,'G_Fall-back'!$Q:$Q,0))))</f>
        <v/>
      </c>
      <c r="M1837" s="484" t="str">
        <f>IF($M1782&lt;&gt;EUconst_Relevant,"",IF(INDEX('G_Fall-back'!M:M,MATCH($P1837,'G_Fall-back'!$Q:$Q,0))="","",INDEX('G_Fall-back'!M:M,MATCH($P1837,'G_Fall-back'!$Q:$Q,0))))</f>
        <v/>
      </c>
      <c r="N1837" s="1830" t="str">
        <f>IF($M1782&lt;&gt;EUconst_Relevant,"",IF(INDEX('G_Fall-back'!N:N,MATCH($P1837,'G_Fall-back'!$Q:$Q,0))="","",INDEX('G_Fall-back'!N:N,MATCH($P1837,'G_Fall-back'!$Q:$Q,0))))</f>
        <v/>
      </c>
      <c r="O1837" s="698"/>
      <c r="P1837" s="1500" t="str">
        <f>EUconst_CNTR_OtherEnergyEF &amp;I1782</f>
        <v>ElectricityEF_Подинсталация с топлинен показател (с риск от ИВЕ | извън МКВЕГ)</v>
      </c>
      <c r="Q1837" s="729"/>
      <c r="R1837" s="729"/>
      <c r="S1837" s="729"/>
      <c r="T1837" s="729"/>
      <c r="U1837" s="343"/>
      <c r="V1837" s="343"/>
    </row>
    <row r="1838" spans="1:22" s="364" customFormat="1" ht="12.75" customHeight="1" x14ac:dyDescent="0.25">
      <c r="A1838" s="729"/>
      <c r="B1838" s="302"/>
      <c r="C1838" s="302"/>
      <c r="D1838" s="1820"/>
      <c r="E1838" s="2819" t="str">
        <f>Translations!$B$1553</f>
        <v>Обща вложена енергия (= i. + v. + vii.)</v>
      </c>
      <c r="F1838" s="2705"/>
      <c r="G1838" s="1329" t="str">
        <f>EUconst_TJpa</f>
        <v>TJ / година</v>
      </c>
      <c r="H1838" s="484" t="str">
        <f>IF($M1782&lt;&gt;EUconst_Relevant,"",IF(INDEX('G_Fall-back'!H:H,MATCH($P1838,'G_Fall-back'!$Q:$Q,0))="","",INDEX('G_Fall-back'!H:H,MATCH($P1838,'G_Fall-back'!$Q:$Q,0))))</f>
        <v/>
      </c>
      <c r="I1838" s="1828" t="str">
        <f>IF($M1782&lt;&gt;EUconst_Relevant,"",IF(INDEX('G_Fall-back'!I:I,MATCH($P1838,'G_Fall-back'!$Q:$Q,0))="","",INDEX('G_Fall-back'!I:I,MATCH($P1838,'G_Fall-back'!$Q:$Q,0))))</f>
        <v/>
      </c>
      <c r="J1838" s="1829" t="str">
        <f>IF($M1782&lt;&gt;EUconst_Relevant,"",IF(INDEX('G_Fall-back'!J:J,MATCH($P1838,'G_Fall-back'!$Q:$Q,0))="","",INDEX('G_Fall-back'!J:J,MATCH($P1838,'G_Fall-back'!$Q:$Q,0))))</f>
        <v/>
      </c>
      <c r="K1838" s="484" t="str">
        <f>IF($M1782&lt;&gt;EUconst_Relevant,"",IF(INDEX('G_Fall-back'!K:K,MATCH($P1838,'G_Fall-back'!$Q:$Q,0))="","",INDEX('G_Fall-back'!K:K,MATCH($P1838,'G_Fall-back'!$Q:$Q,0))))</f>
        <v/>
      </c>
      <c r="L1838" s="484" t="str">
        <f>IF($M1782&lt;&gt;EUconst_Relevant,"",IF(INDEX('G_Fall-back'!L:L,MATCH($P1838,'G_Fall-back'!$Q:$Q,0))="","",INDEX('G_Fall-back'!L:L,MATCH($P1838,'G_Fall-back'!$Q:$Q,0))))</f>
        <v/>
      </c>
      <c r="M1838" s="484" t="str">
        <f>IF($M1782&lt;&gt;EUconst_Relevant,"",IF(INDEX('G_Fall-back'!M:M,MATCH($P1838,'G_Fall-back'!$Q:$Q,0))="","",INDEX('G_Fall-back'!M:M,MATCH($P1838,'G_Fall-back'!$Q:$Q,0))))</f>
        <v/>
      </c>
      <c r="N1838" s="1830" t="str">
        <f>IF($M1782&lt;&gt;EUconst_Relevant,"",IF(INDEX('G_Fall-back'!N:N,MATCH($P1838,'G_Fall-back'!$Q:$Q,0))="","",INDEX('G_Fall-back'!N:N,MATCH($P1838,'G_Fall-back'!$Q:$Q,0))))</f>
        <v/>
      </c>
      <c r="O1838" s="698"/>
      <c r="P1838" s="1500" t="str">
        <f>EUconst_CNTR_TotalEnergyInput&amp;I1782</f>
        <v>TotalEnergyInput_Подинсталация с топлинен показател (с риск от ИВЕ | извън МКВЕГ)</v>
      </c>
      <c r="Q1838" s="729"/>
      <c r="R1838" s="729"/>
      <c r="S1838" s="729"/>
      <c r="T1838" s="729"/>
      <c r="U1838" s="343"/>
      <c r="V1838" s="343"/>
    </row>
    <row r="1839" spans="1:22" s="364" customFormat="1" ht="5.15" customHeight="1" x14ac:dyDescent="0.25">
      <c r="A1839" s="729"/>
      <c r="B1839" s="302"/>
      <c r="C1839" s="302"/>
      <c r="D1839" s="1820"/>
      <c r="E1839" s="625"/>
      <c r="F1839" s="626"/>
      <c r="G1839" s="626"/>
      <c r="H1839" s="640"/>
      <c r="I1839" s="640"/>
      <c r="J1839" s="640"/>
      <c r="K1839" s="640"/>
      <c r="L1839" s="640"/>
      <c r="M1839" s="640"/>
      <c r="N1839" s="1831"/>
      <c r="O1839" s="698"/>
      <c r="P1839" s="729"/>
      <c r="Q1839" s="729"/>
      <c r="R1839" s="729"/>
      <c r="S1839" s="729"/>
      <c r="T1839" s="729"/>
      <c r="U1839" s="343"/>
      <c r="V1839" s="343"/>
    </row>
    <row r="1840" spans="1:22" s="364" customFormat="1" x14ac:dyDescent="0.25">
      <c r="A1840" s="729"/>
      <c r="B1840" s="302"/>
      <c r="C1840" s="302"/>
      <c r="D1840" s="1820"/>
      <c r="E1840" s="2820" t="str">
        <f>Translations!$B$484</f>
        <v>Преки емисии</v>
      </c>
      <c r="F1840" s="2258"/>
      <c r="G1840" s="1319" t="str">
        <f>EUconst_tCO2pa</f>
        <v>t CO2 / година</v>
      </c>
      <c r="H1840" s="480" t="str">
        <f>IF($M1782&lt;&gt;EUconst_Relevant,"",IF(INDEX('G_Fall-back'!H:H,MATCH($P1840,'G_Fall-back'!$Q:$Q,0))="","",INDEX('G_Fall-back'!H:H,MATCH($P1840,'G_Fall-back'!$Q:$Q,0))))</f>
        <v/>
      </c>
      <c r="I1840" s="1399" t="str">
        <f>IF($M1782&lt;&gt;EUconst_Relevant,"",IF(INDEX('G_Fall-back'!I:I,MATCH($P1840,'G_Fall-back'!$Q:$Q,0))="","",INDEX('G_Fall-back'!I:I,MATCH($P1840,'G_Fall-back'!$Q:$Q,0))))</f>
        <v/>
      </c>
      <c r="J1840" s="1832" t="str">
        <f>IF($M1782&lt;&gt;EUconst_Relevant,"",IF(INDEX('G_Fall-back'!J:J,MATCH($P1840,'G_Fall-back'!$Q:$Q,0))="","",INDEX('G_Fall-back'!J:J,MATCH($P1840,'G_Fall-back'!$Q:$Q,0))))</f>
        <v/>
      </c>
      <c r="K1840" s="480" t="str">
        <f>IF($M1782&lt;&gt;EUconst_Relevant,"",IF(INDEX('G_Fall-back'!K:K,MATCH($P1840,'G_Fall-back'!$Q:$Q,0))="","",INDEX('G_Fall-back'!K:K,MATCH($P1840,'G_Fall-back'!$Q:$Q,0))))</f>
        <v/>
      </c>
      <c r="L1840" s="480" t="str">
        <f>IF($M1782&lt;&gt;EUconst_Relevant,"",IF(INDEX('G_Fall-back'!L:L,MATCH($P1840,'G_Fall-back'!$Q:$Q,0))="","",INDEX('G_Fall-back'!L:L,MATCH($P1840,'G_Fall-back'!$Q:$Q,0))))</f>
        <v/>
      </c>
      <c r="M1840" s="480" t="str">
        <f>IF($M1782&lt;&gt;EUconst_Relevant,"",IF(INDEX('G_Fall-back'!M:M,MATCH($P1840,'G_Fall-back'!$Q:$Q,0))="","",INDEX('G_Fall-back'!M:M,MATCH($P1840,'G_Fall-back'!$Q:$Q,0))))</f>
        <v/>
      </c>
      <c r="N1840" s="1833" t="str">
        <f>IF($M1782&lt;&gt;EUconst_Relevant,"",IF(INDEX('G_Fall-back'!N:N,MATCH($P1840,'G_Fall-back'!$Q:$Q,0))="","",INDEX('G_Fall-back'!N:N,MATCH($P1840,'G_Fall-back'!$Q:$Q,0))))</f>
        <v/>
      </c>
      <c r="O1840" s="698"/>
      <c r="P1840" s="1500" t="str">
        <f>EUconst_CNTR_Emissions &amp;I1782</f>
        <v>DirEmissions_Подинсталация с топлинен показател (с риск от ИВЕ | извън МКВЕГ)</v>
      </c>
      <c r="Q1840" s="729"/>
      <c r="R1840" s="729"/>
      <c r="S1840" s="729"/>
      <c r="T1840" s="729"/>
      <c r="U1840" s="343"/>
      <c r="V1840" s="343"/>
    </row>
    <row r="1841" spans="1:22" s="364" customFormat="1" ht="5.15" customHeight="1" x14ac:dyDescent="0.25">
      <c r="A1841" s="729"/>
      <c r="B1841" s="302"/>
      <c r="C1841" s="302"/>
      <c r="D1841" s="1820"/>
      <c r="E1841" s="625"/>
      <c r="F1841" s="625"/>
      <c r="G1841" s="625"/>
      <c r="H1841" s="640"/>
      <c r="I1841" s="640"/>
      <c r="J1841" s="640"/>
      <c r="K1841" s="640"/>
      <c r="L1841" s="640"/>
      <c r="M1841" s="640"/>
      <c r="N1841" s="1831"/>
      <c r="O1841" s="698"/>
      <c r="P1841" s="729"/>
      <c r="Q1841" s="729"/>
      <c r="R1841" s="729"/>
      <c r="S1841" s="729"/>
      <c r="T1841" s="729"/>
      <c r="U1841" s="343"/>
      <c r="V1841" s="343"/>
    </row>
    <row r="1842" spans="1:22" s="364" customFormat="1" ht="12.75" customHeight="1" x14ac:dyDescent="0.25">
      <c r="A1842" s="729"/>
      <c r="B1842" s="302"/>
      <c r="C1842" s="302"/>
      <c r="D1842" s="1820"/>
      <c r="E1842" s="2818" t="str">
        <f>Translations!$B$959</f>
        <v>Нетно к-во получена топлинна енергия (други)</v>
      </c>
      <c r="F1842" s="2701"/>
      <c r="G1842" s="1326" t="str">
        <f>EUconst_TJpa</f>
        <v>TJ / година</v>
      </c>
      <c r="H1842" s="482" t="str">
        <f>IF($M1782&lt;&gt;EUconst_Relevant,"",IF(INDEX('G_Fall-back'!H:H,MATCH($P1842,'G_Fall-back'!$Q:$Q,0))="","",INDEX('G_Fall-back'!H:H,MATCH($P1842,'G_Fall-back'!$Q:$Q,0))))</f>
        <v/>
      </c>
      <c r="I1842" s="1824" t="str">
        <f>IF($M1782&lt;&gt;EUconst_Relevant,"",IF(INDEX('G_Fall-back'!I:I,MATCH($P1842,'G_Fall-back'!$Q:$Q,0))="","",INDEX('G_Fall-back'!I:I,MATCH($P1842,'G_Fall-back'!$Q:$Q,0))))</f>
        <v/>
      </c>
      <c r="J1842" s="1825" t="str">
        <f>IF($M1782&lt;&gt;EUconst_Relevant,"",IF(INDEX('G_Fall-back'!J:J,MATCH($P1842,'G_Fall-back'!$Q:$Q,0))="","",INDEX('G_Fall-back'!J:J,MATCH($P1842,'G_Fall-back'!$Q:$Q,0))))</f>
        <v/>
      </c>
      <c r="K1842" s="482" t="str">
        <f>IF($M1782&lt;&gt;EUconst_Relevant,"",IF(INDEX('G_Fall-back'!K:K,MATCH($P1842,'G_Fall-back'!$Q:$Q,0))="","",INDEX('G_Fall-back'!K:K,MATCH($P1842,'G_Fall-back'!$Q:$Q,0))))</f>
        <v/>
      </c>
      <c r="L1842" s="482" t="str">
        <f>IF($M1782&lt;&gt;EUconst_Relevant,"",IF(INDEX('G_Fall-back'!L:L,MATCH($P1842,'G_Fall-back'!$Q:$Q,0))="","",INDEX('G_Fall-back'!L:L,MATCH($P1842,'G_Fall-back'!$Q:$Q,0))))</f>
        <v/>
      </c>
      <c r="M1842" s="482" t="str">
        <f>IF($M1782&lt;&gt;EUconst_Relevant,"",IF(INDEX('G_Fall-back'!M:M,MATCH($P1842,'G_Fall-back'!$Q:$Q,0))="","",INDEX('G_Fall-back'!M:M,MATCH($P1842,'G_Fall-back'!$Q:$Q,0))))</f>
        <v/>
      </c>
      <c r="N1842" s="1826" t="str">
        <f>IF($M1782&lt;&gt;EUconst_Relevant,"",IF(INDEX('G_Fall-back'!N:N,MATCH($P1842,'G_Fall-back'!$Q:$Q,0))="","",INDEX('G_Fall-back'!N:N,MATCH($P1842,'G_Fall-back'!$Q:$Q,0))))</f>
        <v/>
      </c>
      <c r="O1842" s="698"/>
      <c r="P1842" s="1500" t="str">
        <f>EUconst_CNTR_HeatImport &amp;I1782</f>
        <v>HeatIm_Подинсталация с топлинен показател (с риск от ИВЕ | извън МКВЕГ)</v>
      </c>
      <c r="Q1842" s="729"/>
      <c r="R1842" s="729"/>
      <c r="S1842" s="729"/>
      <c r="T1842" s="729"/>
      <c r="U1842" s="343"/>
      <c r="V1842" s="343"/>
    </row>
    <row r="1843" spans="1:22" s="364" customFormat="1" ht="12.75" customHeight="1" x14ac:dyDescent="0.25">
      <c r="A1843" s="729"/>
      <c r="B1843" s="302"/>
      <c r="C1843" s="302"/>
      <c r="D1843" s="1820"/>
      <c r="E1843" s="2819" t="str">
        <f>Translations!$B$555</f>
        <v>Специфичен EF (получена топлинна енергия)</v>
      </c>
      <c r="F1843" s="2705"/>
      <c r="G1843" s="1329" t="str">
        <f>EUconst_tCO2pTJ</f>
        <v>t CO2 / TJ</v>
      </c>
      <c r="H1843" s="484" t="str">
        <f>IF($M1782&lt;&gt;EUconst_Relevant,"",IF(INDEX('G_Fall-back'!H:H,MATCH($P1843,'G_Fall-back'!$Q:$Q,0))="","",INDEX('G_Fall-back'!H:H,MATCH($P1843,'G_Fall-back'!$Q:$Q,0))))</f>
        <v/>
      </c>
      <c r="I1843" s="1828" t="str">
        <f>IF($M1782&lt;&gt;EUconst_Relevant,"",IF(INDEX('G_Fall-back'!I:I,MATCH($P1843,'G_Fall-back'!$Q:$Q,0))="","",INDEX('G_Fall-back'!I:I,MATCH($P1843,'G_Fall-back'!$Q:$Q,0))))</f>
        <v/>
      </c>
      <c r="J1843" s="1829" t="str">
        <f>IF($M1782&lt;&gt;EUconst_Relevant,"",IF(INDEX('G_Fall-back'!J:J,MATCH($P1843,'G_Fall-back'!$Q:$Q,0))="","",INDEX('G_Fall-back'!J:J,MATCH($P1843,'G_Fall-back'!$Q:$Q,0))))</f>
        <v/>
      </c>
      <c r="K1843" s="484" t="str">
        <f>IF($M1782&lt;&gt;EUconst_Relevant,"",IF(INDEX('G_Fall-back'!K:K,MATCH($P1843,'G_Fall-back'!$Q:$Q,0))="","",INDEX('G_Fall-back'!K:K,MATCH($P1843,'G_Fall-back'!$Q:$Q,0))))</f>
        <v/>
      </c>
      <c r="L1843" s="484" t="str">
        <f>IF($M1782&lt;&gt;EUconst_Relevant,"",IF(INDEX('G_Fall-back'!L:L,MATCH($P1843,'G_Fall-back'!$Q:$Q,0))="","",INDEX('G_Fall-back'!L:L,MATCH($P1843,'G_Fall-back'!$Q:$Q,0))))</f>
        <v/>
      </c>
      <c r="M1843" s="484" t="str">
        <f>IF($M1782&lt;&gt;EUconst_Relevant,"",IF(INDEX('G_Fall-back'!M:M,MATCH($P1843,'G_Fall-back'!$Q:$Q,0))="","",INDEX('G_Fall-back'!M:M,MATCH($P1843,'G_Fall-back'!$Q:$Q,0))))</f>
        <v/>
      </c>
      <c r="N1843" s="1830" t="str">
        <f>IF($M1782&lt;&gt;EUconst_Relevant,"",IF(INDEX('G_Fall-back'!N:N,MATCH($P1843,'G_Fall-back'!$Q:$Q,0))="","",INDEX('G_Fall-back'!N:N,MATCH($P1843,'G_Fall-back'!$Q:$Q,0))))</f>
        <v/>
      </c>
      <c r="O1843" s="698"/>
      <c r="P1843" s="1500" t="str">
        <f>EUconst_CNTR_HeatImportEF &amp;I1782</f>
        <v>HeatImEF_Подинсталация с топлинен показател (с риск от ИВЕ | извън МКВЕГ)</v>
      </c>
      <c r="Q1843" s="729"/>
      <c r="R1843" s="729"/>
      <c r="S1843" s="729"/>
      <c r="T1843" s="729"/>
      <c r="U1843" s="343"/>
      <c r="V1843" s="343"/>
    </row>
    <row r="1844" spans="1:22" s="364" customFormat="1" ht="12.75" customHeight="1" x14ac:dyDescent="0.25">
      <c r="A1844" s="729"/>
      <c r="B1844" s="302"/>
      <c r="C1844" s="302"/>
      <c r="D1844" s="1820"/>
      <c r="E1844" s="2818" t="str">
        <f>Translations!$B$960</f>
        <v>Нетно к-во получена топлинна енергия (прод. п-л)</v>
      </c>
      <c r="F1844" s="2701"/>
      <c r="G1844" s="1326" t="str">
        <f>EUconst_TJpa</f>
        <v>TJ / година</v>
      </c>
      <c r="H1844" s="482" t="str">
        <f>IF($M1782&lt;&gt;EUconst_Relevant,"",IF(INDEX('G_Fall-back'!H:H,MATCH($P1844,'G_Fall-back'!$Q:$Q,0))="","",INDEX('G_Fall-back'!H:H,MATCH($P1844,'G_Fall-back'!$Q:$Q,0))))</f>
        <v/>
      </c>
      <c r="I1844" s="1824" t="str">
        <f>IF($M1782&lt;&gt;EUconst_Relevant,"",IF(INDEX('G_Fall-back'!I:I,MATCH($P1844,'G_Fall-back'!$Q:$Q,0))="","",INDEX('G_Fall-back'!I:I,MATCH($P1844,'G_Fall-back'!$Q:$Q,0))))</f>
        <v/>
      </c>
      <c r="J1844" s="1825" t="str">
        <f>IF($M1782&lt;&gt;EUconst_Relevant,"",IF(INDEX('G_Fall-back'!J:J,MATCH($P1844,'G_Fall-back'!$Q:$Q,0))="","",INDEX('G_Fall-back'!J:J,MATCH($P1844,'G_Fall-back'!$Q:$Q,0))))</f>
        <v/>
      </c>
      <c r="K1844" s="482" t="str">
        <f>IF($M1782&lt;&gt;EUconst_Relevant,"",IF(INDEX('G_Fall-back'!K:K,MATCH($P1844,'G_Fall-back'!$Q:$Q,0))="","",INDEX('G_Fall-back'!K:K,MATCH($P1844,'G_Fall-back'!$Q:$Q,0))))</f>
        <v/>
      </c>
      <c r="L1844" s="482" t="str">
        <f>IF($M1782&lt;&gt;EUconst_Relevant,"",IF(INDEX('G_Fall-back'!L:L,MATCH($P1844,'G_Fall-back'!$Q:$Q,0))="","",INDEX('G_Fall-back'!L:L,MATCH($P1844,'G_Fall-back'!$Q:$Q,0))))</f>
        <v/>
      </c>
      <c r="M1844" s="482" t="str">
        <f>IF($M1782&lt;&gt;EUconst_Relevant,"",IF(INDEX('G_Fall-back'!M:M,MATCH($P1844,'G_Fall-back'!$Q:$Q,0))="","",INDEX('G_Fall-back'!M:M,MATCH($P1844,'G_Fall-back'!$Q:$Q,0))))</f>
        <v/>
      </c>
      <c r="N1844" s="1826" t="str">
        <f>IF($M1782&lt;&gt;EUconst_Relevant,"",IF(INDEX('G_Fall-back'!N:N,MATCH($P1844,'G_Fall-back'!$Q:$Q,0))="","",INDEX('G_Fall-back'!N:N,MATCH($P1844,'G_Fall-back'!$Q:$Q,0))))</f>
        <v/>
      </c>
      <c r="O1844" s="698"/>
      <c r="P1844" s="1500" t="str">
        <f>EUconst_CNTR_HeatImportProduct &amp;I1782</f>
        <v>HeatImProd_Подинсталация с топлинен показател (с риск от ИВЕ | извън МКВЕГ)</v>
      </c>
      <c r="Q1844" s="729"/>
      <c r="R1844" s="729"/>
      <c r="S1844" s="729"/>
      <c r="T1844" s="729"/>
      <c r="U1844" s="343"/>
      <c r="V1844" s="343"/>
    </row>
    <row r="1845" spans="1:22" s="364" customFormat="1" ht="12.75" customHeight="1" x14ac:dyDescent="0.25">
      <c r="A1845" s="729"/>
      <c r="B1845" s="302"/>
      <c r="C1845" s="302"/>
      <c r="D1845" s="1820"/>
      <c r="E1845" s="2819" t="str">
        <f>Translations!$B$652</f>
        <v>Специфичен EF (от продуктов показател)</v>
      </c>
      <c r="F1845" s="2705"/>
      <c r="G1845" s="1329" t="str">
        <f>EUconst_tCO2pTJ</f>
        <v>t CO2 / TJ</v>
      </c>
      <c r="H1845" s="484" t="str">
        <f>IF($M1782&lt;&gt;EUconst_Relevant,"",IF(INDEX('G_Fall-back'!H:H,MATCH($P1845,'G_Fall-back'!$Q:$Q,0))="","",INDEX('G_Fall-back'!H:H,MATCH($P1845,'G_Fall-back'!$Q:$Q,0))))</f>
        <v/>
      </c>
      <c r="I1845" s="1828" t="str">
        <f>IF($M1782&lt;&gt;EUconst_Relevant,"",IF(INDEX('G_Fall-back'!I:I,MATCH($P1845,'G_Fall-back'!$Q:$Q,0))="","",INDEX('G_Fall-back'!I:I,MATCH($P1845,'G_Fall-back'!$Q:$Q,0))))</f>
        <v/>
      </c>
      <c r="J1845" s="1829" t="str">
        <f>IF($M1782&lt;&gt;EUconst_Relevant,"",IF(INDEX('G_Fall-back'!J:J,MATCH($P1845,'G_Fall-back'!$Q:$Q,0))="","",INDEX('G_Fall-back'!J:J,MATCH($P1845,'G_Fall-back'!$Q:$Q,0))))</f>
        <v/>
      </c>
      <c r="K1845" s="484" t="str">
        <f>IF($M1782&lt;&gt;EUconst_Relevant,"",IF(INDEX('G_Fall-back'!K:K,MATCH($P1845,'G_Fall-back'!$Q:$Q,0))="","",INDEX('G_Fall-back'!K:K,MATCH($P1845,'G_Fall-back'!$Q:$Q,0))))</f>
        <v/>
      </c>
      <c r="L1845" s="484" t="str">
        <f>IF($M1782&lt;&gt;EUconst_Relevant,"",IF(INDEX('G_Fall-back'!L:L,MATCH($P1845,'G_Fall-back'!$Q:$Q,0))="","",INDEX('G_Fall-back'!L:L,MATCH($P1845,'G_Fall-back'!$Q:$Q,0))))</f>
        <v/>
      </c>
      <c r="M1845" s="484" t="str">
        <f>IF($M1782&lt;&gt;EUconst_Relevant,"",IF(INDEX('G_Fall-back'!M:M,MATCH($P1845,'G_Fall-back'!$Q:$Q,0))="","",INDEX('G_Fall-back'!M:M,MATCH($P1845,'G_Fall-back'!$Q:$Q,0))))</f>
        <v/>
      </c>
      <c r="N1845" s="1830" t="str">
        <f>IF($M1782&lt;&gt;EUconst_Relevant,"",IF(INDEX('G_Fall-back'!N:N,MATCH($P1845,'G_Fall-back'!$Q:$Q,0))="","",INDEX('G_Fall-back'!N:N,MATCH($P1845,'G_Fall-back'!$Q:$Q,0))))</f>
        <v/>
      </c>
      <c r="O1845" s="698"/>
      <c r="P1845" s="1500" t="str">
        <f>EUconst_CNTR_HeatImportProductEF &amp;I1782</f>
        <v>HeatImProdEF_Подинсталация с топлинен показател (с риск от ИВЕ | извън МКВЕГ)</v>
      </c>
      <c r="Q1845" s="729"/>
      <c r="R1845" s="729"/>
      <c r="S1845" s="729"/>
      <c r="T1845" s="729"/>
      <c r="U1845" s="343"/>
      <c r="V1845" s="343"/>
    </row>
    <row r="1846" spans="1:22" s="364" customFormat="1" ht="12.75" customHeight="1" x14ac:dyDescent="0.25">
      <c r="A1846" s="729"/>
      <c r="B1846" s="302"/>
      <c r="C1846" s="302"/>
      <c r="D1846" s="1820"/>
      <c r="E1846" s="2818" t="str">
        <f>Translations!$B$961</f>
        <v>Нетно к-во получена топлинна енергия (пулп)</v>
      </c>
      <c r="F1846" s="2701"/>
      <c r="G1846" s="1326" t="str">
        <f>EUconst_TJpa</f>
        <v>TJ / година</v>
      </c>
      <c r="H1846" s="482" t="str">
        <f>IF($M1782&lt;&gt;EUconst_Relevant,"",IF(INDEX('G_Fall-back'!H:H,MATCH($P1846,'G_Fall-back'!$Q:$Q,0))="","",INDEX('G_Fall-back'!H:H,MATCH($P1846,'G_Fall-back'!$Q:$Q,0))))</f>
        <v/>
      </c>
      <c r="I1846" s="1824" t="str">
        <f>IF($M1782&lt;&gt;EUconst_Relevant,"",IF(INDEX('G_Fall-back'!I:I,MATCH($P1846,'G_Fall-back'!$Q:$Q,0))="","",INDEX('G_Fall-back'!I:I,MATCH($P1846,'G_Fall-back'!$Q:$Q,0))))</f>
        <v/>
      </c>
      <c r="J1846" s="1825" t="str">
        <f>IF($M1782&lt;&gt;EUconst_Relevant,"",IF(INDEX('G_Fall-back'!J:J,MATCH($P1846,'G_Fall-back'!$Q:$Q,0))="","",INDEX('G_Fall-back'!J:J,MATCH($P1846,'G_Fall-back'!$Q:$Q,0))))</f>
        <v/>
      </c>
      <c r="K1846" s="482" t="str">
        <f>IF($M1782&lt;&gt;EUconst_Relevant,"",IF(INDEX('G_Fall-back'!K:K,MATCH($P1846,'G_Fall-back'!$Q:$Q,0))="","",INDEX('G_Fall-back'!K:K,MATCH($P1846,'G_Fall-back'!$Q:$Q,0))))</f>
        <v/>
      </c>
      <c r="L1846" s="482" t="str">
        <f>IF($M1782&lt;&gt;EUconst_Relevant,"",IF(INDEX('G_Fall-back'!L:L,MATCH($P1846,'G_Fall-back'!$Q:$Q,0))="","",INDEX('G_Fall-back'!L:L,MATCH($P1846,'G_Fall-back'!$Q:$Q,0))))</f>
        <v/>
      </c>
      <c r="M1846" s="482" t="str">
        <f>IF($M1782&lt;&gt;EUconst_Relevant,"",IF(INDEX('G_Fall-back'!M:M,MATCH($P1846,'G_Fall-back'!$Q:$Q,0))="","",INDEX('G_Fall-back'!M:M,MATCH($P1846,'G_Fall-back'!$Q:$Q,0))))</f>
        <v/>
      </c>
      <c r="N1846" s="1826" t="str">
        <f>IF($M1782&lt;&gt;EUconst_Relevant,"",IF(INDEX('G_Fall-back'!N:N,MATCH($P1846,'G_Fall-back'!$Q:$Q,0))="","",INDEX('G_Fall-back'!N:N,MATCH($P1846,'G_Fall-back'!$Q:$Q,0))))</f>
        <v/>
      </c>
      <c r="O1846" s="698"/>
      <c r="P1846" s="1500" t="str">
        <f>EUconst_CNTR_HeatImportPulp &amp;I1782</f>
        <v>HeatImPulp_Подинсталация с топлинен показател (с риск от ИВЕ | извън МКВЕГ)</v>
      </c>
      <c r="Q1846" s="729"/>
      <c r="R1846" s="729"/>
      <c r="S1846" s="729"/>
      <c r="T1846" s="729"/>
      <c r="U1846" s="343"/>
      <c r="V1846" s="343"/>
    </row>
    <row r="1847" spans="1:22" s="364" customFormat="1" x14ac:dyDescent="0.25">
      <c r="A1847" s="729"/>
      <c r="B1847" s="302"/>
      <c r="C1847" s="302"/>
      <c r="D1847" s="1820"/>
      <c r="E1847" s="2819" t="str">
        <f>Translations!$B$654</f>
        <v>Специфичен EF (от пулп)</v>
      </c>
      <c r="F1847" s="2705"/>
      <c r="G1847" s="1329" t="str">
        <f>EUconst_tCO2pTJ</f>
        <v>t CO2 / TJ</v>
      </c>
      <c r="H1847" s="484" t="str">
        <f>IF($M1782&lt;&gt;EUconst_Relevant,"",IF(INDEX('G_Fall-back'!H:H,MATCH($P1847,'G_Fall-back'!$Q:$Q,0))="","",INDEX('G_Fall-back'!H:H,MATCH($P1847,'G_Fall-back'!$Q:$Q,0))))</f>
        <v/>
      </c>
      <c r="I1847" s="1828" t="str">
        <f>IF($M1782&lt;&gt;EUconst_Relevant,"",IF(INDEX('G_Fall-back'!I:I,MATCH($P1847,'G_Fall-back'!$Q:$Q,0))="","",INDEX('G_Fall-back'!I:I,MATCH($P1847,'G_Fall-back'!$Q:$Q,0))))</f>
        <v/>
      </c>
      <c r="J1847" s="1829" t="str">
        <f>IF($M1782&lt;&gt;EUconst_Relevant,"",IF(INDEX('G_Fall-back'!J:J,MATCH($P1847,'G_Fall-back'!$Q:$Q,0))="","",INDEX('G_Fall-back'!J:J,MATCH($P1847,'G_Fall-back'!$Q:$Q,0))))</f>
        <v/>
      </c>
      <c r="K1847" s="484" t="str">
        <f>IF($M1782&lt;&gt;EUconst_Relevant,"",IF(INDEX('G_Fall-back'!K:K,MATCH($P1847,'G_Fall-back'!$Q:$Q,0))="","",INDEX('G_Fall-back'!K:K,MATCH($P1847,'G_Fall-back'!$Q:$Q,0))))</f>
        <v/>
      </c>
      <c r="L1847" s="484" t="str">
        <f>IF($M1782&lt;&gt;EUconst_Relevant,"",IF(INDEX('G_Fall-back'!L:L,MATCH($P1847,'G_Fall-back'!$Q:$Q,0))="","",INDEX('G_Fall-back'!L:L,MATCH($P1847,'G_Fall-back'!$Q:$Q,0))))</f>
        <v/>
      </c>
      <c r="M1847" s="484" t="str">
        <f>IF($M1782&lt;&gt;EUconst_Relevant,"",IF(INDEX('G_Fall-back'!M:M,MATCH($P1847,'G_Fall-back'!$Q:$Q,0))="","",INDEX('G_Fall-back'!M:M,MATCH($P1847,'G_Fall-back'!$Q:$Q,0))))</f>
        <v/>
      </c>
      <c r="N1847" s="1830" t="str">
        <f>IF($M1782&lt;&gt;EUconst_Relevant,"",IF(INDEX('G_Fall-back'!N:N,MATCH($P1847,'G_Fall-back'!$Q:$Q,0))="","",INDEX('G_Fall-back'!N:N,MATCH($P1847,'G_Fall-back'!$Q:$Q,0))))</f>
        <v/>
      </c>
      <c r="O1847" s="698"/>
      <c r="P1847" s="1500" t="str">
        <f>EUconst_CNTR_HeatImportPulpEF &amp;I1782</f>
        <v>HeatImPulpEF_Подинсталация с топлинен показател (с риск от ИВЕ | извън МКВЕГ)</v>
      </c>
      <c r="Q1847" s="729"/>
      <c r="R1847" s="729"/>
      <c r="S1847" s="729"/>
      <c r="T1847" s="729"/>
      <c r="U1847" s="343"/>
      <c r="V1847" s="343"/>
    </row>
    <row r="1848" spans="1:22" s="364" customFormat="1" ht="12.75" customHeight="1" x14ac:dyDescent="0.25">
      <c r="A1848" s="729"/>
      <c r="B1848" s="302"/>
      <c r="C1848" s="302"/>
      <c r="D1848" s="1820"/>
      <c r="E1848" s="2818" t="str">
        <f>Translations!$B$962</f>
        <v>Нетно к-во получена топлинна енергия (горивен п-л)</v>
      </c>
      <c r="F1848" s="2701"/>
      <c r="G1848" s="1326" t="str">
        <f>EUconst_TJpa</f>
        <v>TJ / година</v>
      </c>
      <c r="H1848" s="482" t="str">
        <f>IF($M1782&lt;&gt;EUconst_Relevant,"",IF(INDEX('G_Fall-back'!H:H,MATCH($P1848,'G_Fall-back'!$Q:$Q,0))="","",INDEX('G_Fall-back'!H:H,MATCH($P1848,'G_Fall-back'!$Q:$Q,0))))</f>
        <v/>
      </c>
      <c r="I1848" s="1824" t="str">
        <f>IF($M1782&lt;&gt;EUconst_Relevant,"",IF(INDEX('G_Fall-back'!I:I,MATCH($P1848,'G_Fall-back'!$Q:$Q,0))="","",INDEX('G_Fall-back'!I:I,MATCH($P1848,'G_Fall-back'!$Q:$Q,0))))</f>
        <v/>
      </c>
      <c r="J1848" s="1825" t="str">
        <f>IF($M1782&lt;&gt;EUconst_Relevant,"",IF(INDEX('G_Fall-back'!J:J,MATCH($P1848,'G_Fall-back'!$Q:$Q,0))="","",INDEX('G_Fall-back'!J:J,MATCH($P1848,'G_Fall-back'!$Q:$Q,0))))</f>
        <v/>
      </c>
      <c r="K1848" s="482" t="str">
        <f>IF($M1782&lt;&gt;EUconst_Relevant,"",IF(INDEX('G_Fall-back'!K:K,MATCH($P1848,'G_Fall-back'!$Q:$Q,0))="","",INDEX('G_Fall-back'!K:K,MATCH($P1848,'G_Fall-back'!$Q:$Q,0))))</f>
        <v/>
      </c>
      <c r="L1848" s="482" t="str">
        <f>IF($M1782&lt;&gt;EUconst_Relevant,"",IF(INDEX('G_Fall-back'!L:L,MATCH($P1848,'G_Fall-back'!$Q:$Q,0))="","",INDEX('G_Fall-back'!L:L,MATCH($P1848,'G_Fall-back'!$Q:$Q,0))))</f>
        <v/>
      </c>
      <c r="M1848" s="482" t="str">
        <f>IF($M1782&lt;&gt;EUconst_Relevant,"",IF(INDEX('G_Fall-back'!M:M,MATCH($P1848,'G_Fall-back'!$Q:$Q,0))="","",INDEX('G_Fall-back'!M:M,MATCH($P1848,'G_Fall-back'!$Q:$Q,0))))</f>
        <v/>
      </c>
      <c r="N1848" s="1826" t="str">
        <f>IF($M1782&lt;&gt;EUconst_Relevant,"",IF(INDEX('G_Fall-back'!N:N,MATCH($P1848,'G_Fall-back'!$Q:$Q,0))="","",INDEX('G_Fall-back'!N:N,MATCH($P1848,'G_Fall-back'!$Q:$Q,0))))</f>
        <v/>
      </c>
      <c r="O1848" s="698"/>
      <c r="P1848" s="1500" t="str">
        <f>EUconst_CNTR_HeatImportFuel &amp;I1782</f>
        <v>HeatImFuel_Подинсталация с топлинен показател (с риск от ИВЕ | извън МКВЕГ)</v>
      </c>
      <c r="Q1848" s="729"/>
      <c r="R1848" s="729"/>
      <c r="S1848" s="729"/>
      <c r="T1848" s="729"/>
      <c r="U1848" s="343"/>
      <c r="V1848" s="343"/>
    </row>
    <row r="1849" spans="1:22" s="364" customFormat="1" ht="12.75" customHeight="1" x14ac:dyDescent="0.25">
      <c r="A1849" s="729"/>
      <c r="B1849" s="302"/>
      <c r="C1849" s="302"/>
      <c r="D1849" s="1820"/>
      <c r="E1849" s="2819" t="str">
        <f>Translations!$B$656</f>
        <v>Специфичен EF (от горивен показател)</v>
      </c>
      <c r="F1849" s="2705"/>
      <c r="G1849" s="639" t="str">
        <f>EUconst_tCO2pTJ</f>
        <v>t CO2 / TJ</v>
      </c>
      <c r="H1849" s="484" t="str">
        <f>IF($M1782&lt;&gt;EUconst_Relevant,"",IF(INDEX('G_Fall-back'!H:H,MATCH($P1849,'G_Fall-back'!$Q:$Q,0))="","",INDEX('G_Fall-back'!H:H,MATCH($P1849,'G_Fall-back'!$Q:$Q,0))))</f>
        <v/>
      </c>
      <c r="I1849" s="1828" t="str">
        <f>IF($M1782&lt;&gt;EUconst_Relevant,"",IF(INDEX('G_Fall-back'!I:I,MATCH($P1849,'G_Fall-back'!$Q:$Q,0))="","",INDEX('G_Fall-back'!I:I,MATCH($P1849,'G_Fall-back'!$Q:$Q,0))))</f>
        <v/>
      </c>
      <c r="J1849" s="1829" t="str">
        <f>IF($M1782&lt;&gt;EUconst_Relevant,"",IF(INDEX('G_Fall-back'!J:J,MATCH($P1849,'G_Fall-back'!$Q:$Q,0))="","",INDEX('G_Fall-back'!J:J,MATCH($P1849,'G_Fall-back'!$Q:$Q,0))))</f>
        <v/>
      </c>
      <c r="K1849" s="484" t="str">
        <f>IF($M1782&lt;&gt;EUconst_Relevant,"",IF(INDEX('G_Fall-back'!K:K,MATCH($P1849,'G_Fall-back'!$Q:$Q,0))="","",INDEX('G_Fall-back'!K:K,MATCH($P1849,'G_Fall-back'!$Q:$Q,0))))</f>
        <v/>
      </c>
      <c r="L1849" s="484" t="str">
        <f>IF($M1782&lt;&gt;EUconst_Relevant,"",IF(INDEX('G_Fall-back'!L:L,MATCH($P1849,'G_Fall-back'!$Q:$Q,0))="","",INDEX('G_Fall-back'!L:L,MATCH($P1849,'G_Fall-back'!$Q:$Q,0))))</f>
        <v/>
      </c>
      <c r="M1849" s="484" t="str">
        <f>IF($M1782&lt;&gt;EUconst_Relevant,"",IF(INDEX('G_Fall-back'!M:M,MATCH($P1849,'G_Fall-back'!$Q:$Q,0))="","",INDEX('G_Fall-back'!M:M,MATCH($P1849,'G_Fall-back'!$Q:$Q,0))))</f>
        <v/>
      </c>
      <c r="N1849" s="1830" t="str">
        <f>IF($M1782&lt;&gt;EUconst_Relevant,"",IF(INDEX('G_Fall-back'!N:N,MATCH($P1849,'G_Fall-back'!$Q:$Q,0))="","",INDEX('G_Fall-back'!N:N,MATCH($P1849,'G_Fall-back'!$Q:$Q,0))))</f>
        <v/>
      </c>
      <c r="O1849" s="698"/>
      <c r="P1849" s="1500" t="str">
        <f>EUconst_CNTR_HeatImportFuelEF &amp;I1782</f>
        <v>HeatImFuelEF_Подинсталация с топлинен показател (с риск от ИВЕ | извън МКВЕГ)</v>
      </c>
      <c r="Q1849" s="729"/>
      <c r="R1849" s="729"/>
      <c r="S1849" s="729"/>
      <c r="T1849" s="729"/>
      <c r="U1849" s="343"/>
      <c r="V1849" s="343"/>
    </row>
    <row r="1850" spans="1:22" s="364" customFormat="1" ht="12.75" customHeight="1" x14ac:dyDescent="0.25">
      <c r="A1850" s="729"/>
      <c r="B1850" s="302"/>
      <c r="C1850" s="302"/>
      <c r="D1850" s="1820"/>
      <c r="E1850" s="2818" t="str">
        <f>Translations!$B$963</f>
        <v>Нетно к-во получена топлинна енергия (отпадни газове)</v>
      </c>
      <c r="F1850" s="2701"/>
      <c r="G1850" s="1326" t="str">
        <f>EUconst_TJpa</f>
        <v>TJ / година</v>
      </c>
      <c r="H1850" s="482" t="str">
        <f>IF($M1782&lt;&gt;EUconst_Relevant,"",IF(INDEX('G_Fall-back'!H:H,MATCH($P1850,'G_Fall-back'!$Q:$Q,0))="","",INDEX('G_Fall-back'!H:H,MATCH($P1850,'G_Fall-back'!$Q:$Q,0))))</f>
        <v/>
      </c>
      <c r="I1850" s="1824" t="str">
        <f>IF($M1782&lt;&gt;EUconst_Relevant,"",IF(INDEX('G_Fall-back'!I:I,MATCH($P1850,'G_Fall-back'!$Q:$Q,0))="","",INDEX('G_Fall-back'!I:I,MATCH($P1850,'G_Fall-back'!$Q:$Q,0))))</f>
        <v/>
      </c>
      <c r="J1850" s="1825" t="str">
        <f>IF($M1782&lt;&gt;EUconst_Relevant,"",IF(INDEX('G_Fall-back'!J:J,MATCH($P1850,'G_Fall-back'!$Q:$Q,0))="","",INDEX('G_Fall-back'!J:J,MATCH($P1850,'G_Fall-back'!$Q:$Q,0))))</f>
        <v/>
      </c>
      <c r="K1850" s="482" t="str">
        <f>IF($M1782&lt;&gt;EUconst_Relevant,"",IF(INDEX('G_Fall-back'!K:K,MATCH($P1850,'G_Fall-back'!$Q:$Q,0))="","",INDEX('G_Fall-back'!K:K,MATCH($P1850,'G_Fall-back'!$Q:$Q,0))))</f>
        <v/>
      </c>
      <c r="L1850" s="482" t="str">
        <f>IF($M1782&lt;&gt;EUconst_Relevant,"",IF(INDEX('G_Fall-back'!L:L,MATCH($P1850,'G_Fall-back'!$Q:$Q,0))="","",INDEX('G_Fall-back'!L:L,MATCH($P1850,'G_Fall-back'!$Q:$Q,0))))</f>
        <v/>
      </c>
      <c r="M1850" s="482" t="str">
        <f>IF($M1782&lt;&gt;EUconst_Relevant,"",IF(INDEX('G_Fall-back'!M:M,MATCH($P1850,'G_Fall-back'!$Q:$Q,0))="","",INDEX('G_Fall-back'!M:M,MATCH($P1850,'G_Fall-back'!$Q:$Q,0))))</f>
        <v/>
      </c>
      <c r="N1850" s="1826" t="str">
        <f>IF($M1782&lt;&gt;EUconst_Relevant,"",IF(INDEX('G_Fall-back'!N:N,MATCH($P1850,'G_Fall-back'!$Q:$Q,0))="","",INDEX('G_Fall-back'!N:N,MATCH($P1850,'G_Fall-back'!$Q:$Q,0))))</f>
        <v/>
      </c>
      <c r="O1850" s="698"/>
      <c r="P1850" s="1500" t="str">
        <f>EUconst_CNTR_WGImport &amp;I1782</f>
        <v>WasteGasIm_Подинсталация с топлинен показател (с риск от ИВЕ | извън МКВЕГ)</v>
      </c>
      <c r="Q1850" s="729"/>
      <c r="R1850" s="729"/>
      <c r="S1850" s="729"/>
      <c r="T1850" s="729"/>
      <c r="U1850" s="343"/>
      <c r="V1850" s="343"/>
    </row>
    <row r="1851" spans="1:22" s="364" customFormat="1" ht="12.75" customHeight="1" x14ac:dyDescent="0.25">
      <c r="A1851" s="729"/>
      <c r="B1851" s="302"/>
      <c r="C1851" s="302"/>
      <c r="D1851" s="1820"/>
      <c r="E1851" s="2819" t="str">
        <f>Translations!$B$658</f>
        <v>Специфичен EF (от отпаден газ)</v>
      </c>
      <c r="F1851" s="2705"/>
      <c r="G1851" s="639" t="str">
        <f>EUconst_tCO2pTJ</f>
        <v>t CO2 / TJ</v>
      </c>
      <c r="H1851" s="484" t="str">
        <f>IF($M1782&lt;&gt;EUconst_Relevant,"",IF(INDEX('G_Fall-back'!H:H,MATCH($P1851,'G_Fall-back'!$Q:$Q,0))="","",INDEX('G_Fall-back'!H:H,MATCH($P1851,'G_Fall-back'!$Q:$Q,0))))</f>
        <v/>
      </c>
      <c r="I1851" s="1828" t="str">
        <f>IF($M1782&lt;&gt;EUconst_Relevant,"",IF(INDEX('G_Fall-back'!I:I,MATCH($P1851,'G_Fall-back'!$Q:$Q,0))="","",INDEX('G_Fall-back'!I:I,MATCH($P1851,'G_Fall-back'!$Q:$Q,0))))</f>
        <v/>
      </c>
      <c r="J1851" s="1829" t="str">
        <f>IF($M1782&lt;&gt;EUconst_Relevant,"",IF(INDEX('G_Fall-back'!J:J,MATCH($P1851,'G_Fall-back'!$Q:$Q,0))="","",INDEX('G_Fall-back'!J:J,MATCH($P1851,'G_Fall-back'!$Q:$Q,0))))</f>
        <v/>
      </c>
      <c r="K1851" s="484" t="str">
        <f>IF($M1782&lt;&gt;EUconst_Relevant,"",IF(INDEX('G_Fall-back'!K:K,MATCH($P1851,'G_Fall-back'!$Q:$Q,0))="","",INDEX('G_Fall-back'!K:K,MATCH($P1851,'G_Fall-back'!$Q:$Q,0))))</f>
        <v/>
      </c>
      <c r="L1851" s="484" t="str">
        <f>IF($M1782&lt;&gt;EUconst_Relevant,"",IF(INDEX('G_Fall-back'!L:L,MATCH($P1851,'G_Fall-back'!$Q:$Q,0))="","",INDEX('G_Fall-back'!L:L,MATCH($P1851,'G_Fall-back'!$Q:$Q,0))))</f>
        <v/>
      </c>
      <c r="M1851" s="484" t="str">
        <f>IF($M1782&lt;&gt;EUconst_Relevant,"",IF(INDEX('G_Fall-back'!M:M,MATCH($P1851,'G_Fall-back'!$Q:$Q,0))="","",INDEX('G_Fall-back'!M:M,MATCH($P1851,'G_Fall-back'!$Q:$Q,0))))</f>
        <v/>
      </c>
      <c r="N1851" s="1830" t="str">
        <f>IF($M1782&lt;&gt;EUconst_Relevant,"",IF(INDEX('G_Fall-back'!N:N,MATCH($P1851,'G_Fall-back'!$Q:$Q,0))="","",INDEX('G_Fall-back'!N:N,MATCH($P1851,'G_Fall-back'!$Q:$Q,0))))</f>
        <v/>
      </c>
      <c r="O1851" s="698"/>
      <c r="P1851" s="1500" t="str">
        <f>EUconst_CNTR_WGImportEF &amp;I1782</f>
        <v>WasteGasImEF_Подинсталация с топлинен показател (с риск от ИВЕ | извън МКВЕГ)</v>
      </c>
      <c r="Q1851" s="729"/>
      <c r="R1851" s="729"/>
      <c r="S1851" s="729"/>
      <c r="T1851" s="729"/>
      <c r="U1851" s="343"/>
      <c r="V1851" s="343"/>
    </row>
    <row r="1852" spans="1:22" s="364" customFormat="1" ht="5.15" customHeight="1" thickBot="1" x14ac:dyDescent="0.3">
      <c r="A1852" s="729"/>
      <c r="B1852" s="302"/>
      <c r="C1852" s="302"/>
      <c r="D1852" s="1838"/>
      <c r="E1852" s="1378"/>
      <c r="F1852" s="1378"/>
      <c r="G1852" s="1378"/>
      <c r="H1852" s="1378"/>
      <c r="I1852" s="1378"/>
      <c r="J1852" s="1378"/>
      <c r="K1852" s="1378"/>
      <c r="L1852" s="1378"/>
      <c r="M1852" s="1378"/>
      <c r="N1852" s="1379"/>
      <c r="O1852" s="698"/>
      <c r="P1852" s="729"/>
      <c r="Q1852" s="729"/>
      <c r="R1852" s="729"/>
      <c r="S1852" s="729"/>
      <c r="T1852" s="729"/>
      <c r="U1852" s="343"/>
      <c r="V1852" s="343"/>
    </row>
    <row r="1853" spans="1:22" s="364" customFormat="1" ht="5.15" customHeight="1" thickBot="1" x14ac:dyDescent="0.3">
      <c r="A1853" s="729"/>
      <c r="B1853" s="302"/>
      <c r="C1853" s="302"/>
      <c r="D1853" s="302"/>
      <c r="E1853" s="302"/>
      <c r="F1853" s="302"/>
      <c r="G1853" s="302"/>
      <c r="M1853" s="302"/>
      <c r="N1853" s="302"/>
      <c r="O1853" s="698"/>
      <c r="P1853" s="729"/>
      <c r="Q1853" s="729"/>
      <c r="R1853" s="729"/>
      <c r="S1853" s="729"/>
      <c r="T1853" s="729"/>
      <c r="U1853" s="343"/>
      <c r="V1853" s="343"/>
    </row>
    <row r="1854" spans="1:22" s="364" customFormat="1" ht="5.15" customHeight="1" thickBot="1" x14ac:dyDescent="0.3">
      <c r="A1854" s="729"/>
      <c r="B1854" s="284"/>
      <c r="C1854" s="581"/>
      <c r="D1854" s="581"/>
      <c r="E1854" s="581"/>
      <c r="F1854" s="581"/>
      <c r="G1854" s="581"/>
      <c r="H1854" s="581"/>
      <c r="I1854" s="581"/>
      <c r="J1854" s="581"/>
      <c r="K1854" s="581"/>
      <c r="L1854" s="581"/>
      <c r="M1854" s="581"/>
      <c r="N1854" s="581"/>
      <c r="O1854" s="698"/>
      <c r="P1854" s="729"/>
      <c r="Q1854" s="729"/>
      <c r="R1854" s="729"/>
      <c r="S1854" s="729"/>
      <c r="T1854" s="729"/>
      <c r="U1854" s="343"/>
      <c r="V1854" s="343"/>
    </row>
    <row r="1855" spans="1:22" s="364" customFormat="1" ht="15" customHeight="1" thickBot="1" x14ac:dyDescent="0.35">
      <c r="A1855" s="729"/>
      <c r="B1855" s="302"/>
      <c r="C1855" s="357">
        <f>C1782+1</f>
        <v>12</v>
      </c>
      <c r="D1855" s="2323" t="str">
        <f>CONCATENATE(EUconst_FBSubinst," ",C1855-10, ":")</f>
        <v>Алтернативна подинсталация („Fall-Back sub-installation“) 2:</v>
      </c>
      <c r="E1855" s="2323"/>
      <c r="F1855" s="2323"/>
      <c r="G1855" s="2323"/>
      <c r="H1855" s="2987"/>
      <c r="I1855" s="2988" t="str">
        <f>INDEX(EUconst_FallBackListNames,$C1855-10)</f>
        <v>Подинсталация с топлинен показател (без риск от ИВЕ | извън МКВЕГ)</v>
      </c>
      <c r="J1855" s="2989"/>
      <c r="K1855" s="2989"/>
      <c r="L1855" s="2990"/>
      <c r="M1855" s="2919" t="str">
        <f>IF(INDEX(CNTR_FallBackSubInstRelevant,C1855-10)="","",IF(INDEX(CNTR_FallBackSubInstRelevant,C1855-10),EUconst_Relevant,EUconst_NotRelevant))</f>
        <v/>
      </c>
      <c r="N1855" s="2920"/>
      <c r="O1855" s="698"/>
      <c r="P1855" s="729"/>
      <c r="Q1855" s="1684">
        <f>C1855</f>
        <v>12</v>
      </c>
      <c r="R1855" s="1685" t="str">
        <f>I1855</f>
        <v>Подинсталация с топлинен показател (без риск от ИВЕ | извън МКВЕГ)</v>
      </c>
      <c r="S1855" s="729"/>
      <c r="T1855" s="729"/>
      <c r="U1855" s="343"/>
      <c r="V1855" s="343"/>
    </row>
    <row r="1856" spans="1:22" s="364" customFormat="1" ht="5.15" customHeight="1" x14ac:dyDescent="0.3">
      <c r="A1856" s="729"/>
      <c r="B1856" s="302"/>
      <c r="C1856" s="357"/>
      <c r="D1856" s="357"/>
      <c r="E1856" s="357"/>
      <c r="F1856" s="357"/>
      <c r="G1856" s="357"/>
      <c r="H1856" s="357"/>
      <c r="I1856" s="357"/>
      <c r="J1856" s="357"/>
      <c r="K1856" s="357"/>
      <c r="L1856" s="357"/>
      <c r="M1856" s="357"/>
      <c r="N1856" s="357"/>
      <c r="O1856" s="698"/>
      <c r="P1856" s="729"/>
      <c r="Q1856" s="729"/>
      <c r="R1856" s="729"/>
      <c r="S1856" s="729"/>
      <c r="T1856" s="729"/>
      <c r="U1856" s="343"/>
      <c r="V1856" s="343"/>
    </row>
    <row r="1857" spans="1:22" s="364" customFormat="1" ht="12.75" customHeight="1" x14ac:dyDescent="0.3">
      <c r="A1857" s="729"/>
      <c r="B1857" s="302"/>
      <c r="C1857" s="357"/>
      <c r="D1857" s="357"/>
      <c r="E1857" s="357"/>
      <c r="F1857" s="357"/>
      <c r="H1857" s="595" t="str">
        <f>Translations!$B$942</f>
        <v>Риск от ИВЕ</v>
      </c>
      <c r="I1857" s="595" t="s">
        <v>2151</v>
      </c>
      <c r="J1857" s="595" t="str">
        <f>Translations!$B$946</f>
        <v>В/Е</v>
      </c>
      <c r="K1857" s="595" t="str">
        <f>Translations!$B$1360</f>
        <v>Спряна експлоатация</v>
      </c>
      <c r="L1857" s="654" t="str">
        <f>Translations!$B$944</f>
        <v>№ на п-л</v>
      </c>
      <c r="M1857" s="2991" t="str">
        <f>Translations!$B$948</f>
        <v>Стойност на п-л</v>
      </c>
      <c r="N1857" s="2991"/>
      <c r="O1857" s="698"/>
      <c r="P1857" s="729"/>
      <c r="Q1857" s="729"/>
      <c r="R1857" s="729"/>
      <c r="S1857" s="729"/>
      <c r="T1857" s="729"/>
      <c r="U1857" s="343"/>
      <c r="V1857" s="343"/>
    </row>
    <row r="1858" spans="1:22" s="364" customFormat="1" ht="12.75" customHeight="1" x14ac:dyDescent="0.3">
      <c r="A1858" s="729"/>
      <c r="B1858" s="302"/>
      <c r="C1858" s="357"/>
      <c r="D1858" s="357"/>
      <c r="E1858" s="361" t="str">
        <f>I1855</f>
        <v>Подинсталация с топлинен показател (без риск от ИВЕ | извън МКВЕГ)</v>
      </c>
      <c r="F1858" s="373"/>
      <c r="G1858" s="373"/>
      <c r="H1858" s="600" t="b">
        <f>INDEX(EUconst_FallBackListCLstatus,MATCH(I1855,EUconst_FallBackListNames,0))</f>
        <v>0</v>
      </c>
      <c r="I1858" s="600" t="b">
        <f>INDEX(EUconst_FallBackListCBAMstatus,MATCH(I1855,EUconst_FallBackListNames,0))</f>
        <v>0</v>
      </c>
      <c r="J1858" s="655" t="str">
        <f>IF($M1855&lt;&gt;EUconst_Relevant,EUconst_NA,INDEX(CNTR_SubInstStartDate,MATCH(I1855,CNTR_SubInstListNames,0)))</f>
        <v>Не е приложимо</v>
      </c>
      <c r="K1858" s="655" t="str">
        <f>IF($M1855&lt;&gt;EUconst_Relevant,EUconst_NA,IF(INDEX(CNTR_SubInstCessationDate,MATCH(I1855,CNTR_SubInstListNames,0))=0,"",INDEX(CNTR_SubInstCessationDate,MATCH(I1855,CNTR_SubInstListNames,0))))</f>
        <v>Не е приложимо</v>
      </c>
      <c r="L1858" s="1687">
        <f>C1855-10</f>
        <v>2</v>
      </c>
      <c r="M1858" s="1841" t="str">
        <f>IF(M1855&lt;&gt;EUconst_Relevant,EUconst_NA,INDEX(EUconst_FallBackListBMvaluesMatrix,L1858,3))</f>
        <v>Не е приложимо</v>
      </c>
      <c r="N1858" s="382" t="str">
        <f>EUconst_EUA &amp; "/" &amp; F1861</f>
        <v>Квота за емисии/TJ</v>
      </c>
      <c r="O1858" s="698"/>
      <c r="P1858" s="729"/>
      <c r="Q1858" s="729"/>
      <c r="R1858" s="729"/>
      <c r="S1858" s="729"/>
      <c r="T1858" s="729"/>
      <c r="U1858" s="343"/>
      <c r="V1858" s="343"/>
    </row>
    <row r="1859" spans="1:22" s="364" customFormat="1" ht="5.15" customHeight="1" thickBot="1" x14ac:dyDescent="0.35">
      <c r="A1859" s="729"/>
      <c r="B1859" s="302"/>
      <c r="C1859" s="302"/>
      <c r="D1859" s="302"/>
      <c r="E1859" s="357"/>
      <c r="J1859" s="302"/>
      <c r="K1859" s="302"/>
      <c r="L1859" s="302"/>
      <c r="M1859" s="302"/>
      <c r="N1859" s="302"/>
      <c r="O1859" s="698"/>
      <c r="P1859" s="729"/>
      <c r="Q1859" s="729"/>
      <c r="R1859" s="729"/>
      <c r="S1859" s="729"/>
      <c r="T1859" s="770"/>
      <c r="U1859" s="343"/>
      <c r="V1859" s="343"/>
    </row>
    <row r="1860" spans="1:22" s="364" customFormat="1" ht="12.75" customHeight="1" x14ac:dyDescent="0.25">
      <c r="A1860" s="729"/>
      <c r="B1860" s="302"/>
      <c r="C1860" s="302"/>
      <c r="D1860" s="302"/>
      <c r="E1860" s="313"/>
      <c r="F1860" s="300" t="str">
        <f>EUconst_Unit</f>
        <v>Единица мярка</v>
      </c>
      <c r="G1860" s="1842" t="str">
        <f>Translations!$B$1284</f>
        <v>HAL</v>
      </c>
      <c r="H1860" s="757">
        <f t="shared" ref="H1860:N1860" si="159">H$2505</f>
        <v>2024</v>
      </c>
      <c r="I1860" s="572">
        <f t="shared" si="159"/>
        <v>2025</v>
      </c>
      <c r="J1860" s="757">
        <f t="shared" si="159"/>
        <v>2026</v>
      </c>
      <c r="K1860" s="391">
        <f t="shared" si="159"/>
        <v>2027</v>
      </c>
      <c r="L1860" s="391">
        <f t="shared" si="159"/>
        <v>2028</v>
      </c>
      <c r="M1860" s="391">
        <f t="shared" si="159"/>
        <v>2029</v>
      </c>
      <c r="N1860" s="391">
        <f t="shared" si="159"/>
        <v>2030</v>
      </c>
      <c r="O1860" s="698"/>
      <c r="P1860" s="729"/>
      <c r="Q1860" s="729" t="s">
        <v>1851</v>
      </c>
      <c r="R1860" s="1690">
        <f>J$2505</f>
        <v>2026</v>
      </c>
      <c r="S1860" s="1691">
        <f>K$2505</f>
        <v>2027</v>
      </c>
      <c r="T1860" s="1691">
        <f>L$2505</f>
        <v>2028</v>
      </c>
      <c r="U1860" s="1691">
        <f>M$2505</f>
        <v>2029</v>
      </c>
      <c r="V1860" s="1692">
        <f>N$2505</f>
        <v>2030</v>
      </c>
    </row>
    <row r="1861" spans="1:22" s="364" customFormat="1" ht="12.75" customHeight="1" thickBot="1" x14ac:dyDescent="0.3">
      <c r="A1861" s="729"/>
      <c r="B1861" s="302"/>
      <c r="C1861" s="302"/>
      <c r="D1861" s="302"/>
      <c r="E1861" s="388" t="str">
        <f>Translations!$B$1371</f>
        <v>Докладвано равнище на дейност</v>
      </c>
      <c r="F1861" s="1062" t="str">
        <f>INDEX(EUconst_FallBackListUnits,L1858)</f>
        <v>TJ</v>
      </c>
      <c r="G1861" s="1843" t="str">
        <f>I1892</f>
        <v/>
      </c>
      <c r="H1861" s="1844" t="str">
        <f>IF($M1855&lt;&gt;EUconst_Relevant,"",IF(H1860&gt;=CNTR_ReportingYear,"",SUMIF('G_Fall-back'!$Q:$Q,$P1861,'G_Fall-back'!H:H)))</f>
        <v/>
      </c>
      <c r="I1861" s="1845" t="str">
        <f>IF($M1855&lt;&gt;EUconst_Relevant,"",IF(I1860&gt;=CNTR_ReportingYear,"",SUMIF('G_Fall-back'!$Q:$Q,$P1861,'G_Fall-back'!I:I)))</f>
        <v/>
      </c>
      <c r="J1861" s="1844" t="str">
        <f>IF($M1855&lt;&gt;EUconst_Relevant,"",IF(J1860&gt;=CNTR_ReportingYear,"",SUMIF('G_Fall-back'!$Q:$Q,$P1861,'G_Fall-back'!J:J)))</f>
        <v/>
      </c>
      <c r="K1861" s="1846" t="str">
        <f>IF($M1855&lt;&gt;EUconst_Relevant,"",IF(K1860&gt;=CNTR_ReportingYear,"",SUMIF('G_Fall-back'!$Q:$Q,$P1861,'G_Fall-back'!K:K)))</f>
        <v/>
      </c>
      <c r="L1861" s="1846" t="str">
        <f>IF($M1855&lt;&gt;EUconst_Relevant,"",IF(L1860&gt;=CNTR_ReportingYear,"",SUMIF('G_Fall-back'!$Q:$Q,$P1861,'G_Fall-back'!L:L)))</f>
        <v/>
      </c>
      <c r="M1861" s="1846" t="str">
        <f>IF($M1855&lt;&gt;EUconst_Relevant,"",IF(M1860&gt;=CNTR_ReportingYear,"",SUMIF('G_Fall-back'!$Q:$Q,$P1861,'G_Fall-back'!M:M)))</f>
        <v/>
      </c>
      <c r="N1861" s="1846" t="str">
        <f>IF($M1855&lt;&gt;EUconst_Relevant,"",IF(N1860&gt;=CNTR_ReportingYear,"",SUMIF('G_Fall-back'!$Q:$Q,$P1861,'G_Fall-back'!N:N)))</f>
        <v/>
      </c>
      <c r="O1861" s="698"/>
      <c r="P1861" s="1190" t="str">
        <f>EUconst_CNTR_HAL&amp;I1855</f>
        <v>HAL_Подинсталация с топлинен показател (без риск от ИВЕ | извън МКВЕГ)</v>
      </c>
      <c r="Q1861" s="729"/>
      <c r="R1861" s="1580" t="b">
        <f>AND($M1855=EUconst_Relevant,R1860&lt;=CNTR_ReportingYear,IF($J1858&lt;&gt;EUconst_NA,R1860&gt;=YEAR($J1858),TRUE))</f>
        <v>0</v>
      </c>
      <c r="S1861" s="1255" t="b">
        <f>AND($M1855=EUconst_Relevant,S1860&lt;=CNTR_ReportingYear,IF($J1858&lt;&gt;EUconst_NA,S1860&gt;=YEAR($J1858),TRUE))</f>
        <v>0</v>
      </c>
      <c r="T1861" s="1255" t="b">
        <f>AND($M1855=EUconst_Relevant,T1860&lt;=CNTR_ReportingYear,IF($J1858&lt;&gt;EUconst_NA,T1860&gt;=YEAR($J1858),TRUE))</f>
        <v>0</v>
      </c>
      <c r="U1861" s="1255" t="b">
        <f>AND($M1855=EUconst_Relevant,U1860&lt;=CNTR_ReportingYear,IF($J1858&lt;&gt;EUconst_NA,U1860&gt;=YEAR($J1858),TRUE))</f>
        <v>0</v>
      </c>
      <c r="V1861" s="1256" t="b">
        <f>AND($M1855=EUconst_Relevant,V1860&lt;=CNTR_ReportingYear,IF($J1858&lt;&gt;EUconst_NA,V1860&gt;=YEAR($J1858),TRUE))</f>
        <v>0</v>
      </c>
    </row>
    <row r="1862" spans="1:22" s="364" customFormat="1" ht="5.15" customHeight="1" thickBot="1" x14ac:dyDescent="0.3">
      <c r="A1862" s="729"/>
      <c r="B1862" s="302"/>
      <c r="C1862" s="302"/>
      <c r="D1862" s="302"/>
      <c r="F1862" s="302"/>
      <c r="G1862" s="302"/>
      <c r="H1862" s="302"/>
      <c r="I1862" s="1746"/>
      <c r="J1862" s="302"/>
      <c r="K1862" s="302"/>
      <c r="L1862" s="302"/>
      <c r="M1862" s="302"/>
      <c r="N1862" s="302"/>
      <c r="O1862" s="698"/>
      <c r="P1862" s="729"/>
      <c r="Q1862" s="729"/>
      <c r="R1862" s="729"/>
      <c r="S1862" s="729"/>
      <c r="T1862" s="770"/>
      <c r="U1862" s="343"/>
      <c r="V1862" s="343"/>
    </row>
    <row r="1863" spans="1:22" s="364" customFormat="1" ht="5.15" customHeight="1" x14ac:dyDescent="0.3">
      <c r="A1863" s="729"/>
      <c r="B1863" s="302"/>
      <c r="C1863" s="357"/>
      <c r="D1863" s="1695"/>
      <c r="E1863" s="1696"/>
      <c r="F1863" s="1696"/>
      <c r="G1863" s="1696"/>
      <c r="H1863" s="1696"/>
      <c r="I1863" s="1696"/>
      <c r="J1863" s="1696"/>
      <c r="K1863" s="1696"/>
      <c r="L1863" s="1696"/>
      <c r="M1863" s="1696"/>
      <c r="N1863" s="1697"/>
      <c r="O1863" s="698"/>
      <c r="P1863" s="729"/>
      <c r="Q1863" s="729"/>
      <c r="R1863" s="729"/>
      <c r="S1863" s="729"/>
      <c r="T1863" s="729"/>
      <c r="U1863" s="343"/>
      <c r="V1863" s="343"/>
    </row>
    <row r="1864" spans="1:22" s="364" customFormat="1" ht="12.75" customHeight="1" x14ac:dyDescent="0.3">
      <c r="A1864" s="729"/>
      <c r="B1864" s="302"/>
      <c r="C1864" s="357"/>
      <c r="D1864" s="1698"/>
      <c r="E1864" s="389" t="str">
        <f>Translations!$B$1372</f>
        <v>Приложимост на пълзящата средна стойност</v>
      </c>
      <c r="F1864" s="498"/>
      <c r="G1864" s="498"/>
      <c r="H1864" s="527" t="str">
        <f>EUconst_Unit</f>
        <v>Единица мярка</v>
      </c>
      <c r="I1864" s="1699"/>
      <c r="J1864" s="1523">
        <f>J$2505</f>
        <v>2026</v>
      </c>
      <c r="K1864" s="387">
        <f>K$2505</f>
        <v>2027</v>
      </c>
      <c r="L1864" s="387">
        <f>L$2505</f>
        <v>2028</v>
      </c>
      <c r="M1864" s="387">
        <f>M$2505</f>
        <v>2029</v>
      </c>
      <c r="N1864" s="1544">
        <f>N$2505</f>
        <v>2030</v>
      </c>
      <c r="O1864" s="698"/>
      <c r="P1864" s="729"/>
      <c r="Q1864" s="729"/>
      <c r="R1864" s="729"/>
      <c r="S1864" s="729"/>
      <c r="T1864" s="729"/>
      <c r="U1864" s="343"/>
      <c r="V1864" s="343"/>
    </row>
    <row r="1865" spans="1:22" s="364" customFormat="1" ht="12.75" customHeight="1" x14ac:dyDescent="0.3">
      <c r="A1865" s="729"/>
      <c r="B1865" s="302"/>
      <c r="C1865" s="357"/>
      <c r="D1865" s="1698"/>
      <c r="E1865" s="1700" t="str">
        <f>Translations!$B$1364</f>
        <v>Критерий 1: В експлоатация &gt; 2 години?</v>
      </c>
      <c r="F1865" s="1701"/>
      <c r="G1865" s="1701"/>
      <c r="H1865" s="1702" t="s">
        <v>1052</v>
      </c>
      <c r="I1865" s="1701"/>
      <c r="J1865" s="1703" t="str">
        <f>IF(R1861,INDEX('G_Fall-back'!V:V,MATCH($P1865,'G_Fall-back'!$Q:$Q,0))&gt;=3,"")</f>
        <v/>
      </c>
      <c r="K1865" s="1704" t="str">
        <f>IF(S1861,INDEX('G_Fall-back'!W:W,MATCH($P1865,'G_Fall-back'!$Q:$Q,0))&gt;=3,"")</f>
        <v/>
      </c>
      <c r="L1865" s="1704" t="str">
        <f>IF(T1861,INDEX('G_Fall-back'!X:X,MATCH($P1865,'G_Fall-back'!$Q:$Q,0))&gt;=3,"")</f>
        <v/>
      </c>
      <c r="M1865" s="1704" t="str">
        <f>IF(U1861,INDEX('G_Fall-back'!Y:Y,MATCH($P1865,'G_Fall-back'!$Q:$Q,0))&gt;=3,"")</f>
        <v/>
      </c>
      <c r="N1865" s="1705" t="str">
        <f>IF(V1861,INDEX('G_Fall-back'!Z:Z,MATCH($P1865,'G_Fall-back'!$Q:$Q,0))&gt;=3,"")</f>
        <v/>
      </c>
      <c r="O1865" s="698"/>
      <c r="P1865" s="1190" t="str">
        <f>EUconst_CNTR_HALinitial&amp;I1855</f>
        <v>HALini_Подинсталация с топлинен показател (без риск от ИВЕ | извън МКВЕГ)</v>
      </c>
      <c r="Q1865" s="729"/>
      <c r="R1865" s="729"/>
      <c r="S1865" s="729"/>
      <c r="T1865" s="729"/>
      <c r="U1865" s="343"/>
      <c r="V1865" s="343"/>
    </row>
    <row r="1866" spans="1:22" s="364" customFormat="1" ht="12.75" customHeight="1" x14ac:dyDescent="0.3">
      <c r="A1866" s="729"/>
      <c r="B1866" s="302"/>
      <c r="C1866" s="357"/>
      <c r="D1866" s="1698"/>
      <c r="E1866" s="1706" t="str">
        <f>Translations!$B$1366</f>
        <v>Критерий 2: Не е спряна от експлоатация през предходната година?</v>
      </c>
      <c r="F1866" s="1707"/>
      <c r="G1866" s="1707"/>
      <c r="H1866" s="1708" t="s">
        <v>1052</v>
      </c>
      <c r="I1866" s="1707"/>
      <c r="J1866" s="1709" t="str">
        <f>IF(R1861,IF($K1858="",2050,YEAR($K1858))&lt;&gt;(J1864-1),"")</f>
        <v/>
      </c>
      <c r="K1866" s="1710" t="str">
        <f>IF(S1861,IF($K1858="",2050,YEAR($K1858))&lt;&gt;(K1864-1),"")</f>
        <v/>
      </c>
      <c r="L1866" s="1710" t="str">
        <f>IF(T1861,IF($K1858="",2050,YEAR($K1858))&lt;&gt;(L1864-1),"")</f>
        <v/>
      </c>
      <c r="M1866" s="1710" t="str">
        <f>IF(U1861,IF($K1858="",2050,YEAR($K1858))&lt;&gt;(M1864-1),"")</f>
        <v/>
      </c>
      <c r="N1866" s="1711" t="str">
        <f>IF(V1861,IF($K1858="",2050,YEAR($K1858))&lt;&gt;(N1864-1),"")</f>
        <v/>
      </c>
      <c r="O1866" s="698"/>
      <c r="P1866" s="729"/>
      <c r="Q1866" s="729"/>
      <c r="R1866" s="729"/>
      <c r="S1866" s="729"/>
      <c r="T1866" s="729"/>
      <c r="U1866" s="343"/>
      <c r="V1866" s="343"/>
    </row>
    <row r="1867" spans="1:22" s="364" customFormat="1" ht="5.15" customHeight="1" x14ac:dyDescent="0.3">
      <c r="A1867" s="729"/>
      <c r="B1867" s="302"/>
      <c r="C1867" s="357"/>
      <c r="D1867" s="1698"/>
      <c r="E1867" s="357"/>
      <c r="F1867" s="357"/>
      <c r="G1867" s="357"/>
      <c r="H1867" s="357"/>
      <c r="I1867" s="357"/>
      <c r="J1867" s="357"/>
      <c r="K1867" s="357"/>
      <c r="L1867" s="357"/>
      <c r="M1867" s="357"/>
      <c r="N1867" s="1712"/>
      <c r="O1867" s="698"/>
      <c r="P1867" s="729"/>
      <c r="Q1867" s="729"/>
      <c r="R1867" s="729"/>
      <c r="S1867" s="729"/>
      <c r="T1867" s="729"/>
      <c r="U1867" s="343"/>
      <c r="V1867" s="343"/>
    </row>
    <row r="1868" spans="1:22" s="364" customFormat="1" ht="12.75" customHeight="1" x14ac:dyDescent="0.3">
      <c r="A1868" s="729"/>
      <c r="B1868" s="302"/>
      <c r="C1868" s="357"/>
      <c r="D1868" s="1698"/>
      <c r="E1868" s="313" t="str">
        <f>Translations!$B$1373</f>
        <v>Промени: Няма промяна (базова стойност)</v>
      </c>
      <c r="F1868" s="302"/>
      <c r="G1868" s="302"/>
      <c r="H1868" s="527" t="str">
        <f>EUconst_Unit</f>
        <v>Единица мярка</v>
      </c>
      <c r="I1868" s="1699"/>
      <c r="J1868" s="757">
        <f>J$2505</f>
        <v>2026</v>
      </c>
      <c r="K1868" s="391">
        <f>K$2505</f>
        <v>2027</v>
      </c>
      <c r="L1868" s="391">
        <f>L$2505</f>
        <v>2028</v>
      </c>
      <c r="M1868" s="391">
        <f>M$2505</f>
        <v>2029</v>
      </c>
      <c r="N1868" s="1713">
        <f>N$2505</f>
        <v>2030</v>
      </c>
      <c r="O1868" s="698"/>
      <c r="P1868" s="729"/>
      <c r="Q1868" s="729"/>
      <c r="R1868" s="729"/>
      <c r="S1868" s="729"/>
      <c r="T1868" s="729"/>
      <c r="U1868" s="343"/>
      <c r="V1868" s="343"/>
    </row>
    <row r="1869" spans="1:22" s="364" customFormat="1" ht="12.75" customHeight="1" x14ac:dyDescent="0.3">
      <c r="A1869" s="729"/>
      <c r="B1869" s="302"/>
      <c r="C1869" s="357"/>
      <c r="D1869" s="1698"/>
      <c r="E1869" s="388" t="str">
        <f>Translations!$B$1579</f>
        <v>Очаквано равнище на дейност</v>
      </c>
      <c r="F1869" s="388"/>
      <c r="G1869" s="388"/>
      <c r="H1869" s="1210" t="str">
        <f>F1861</f>
        <v>TJ</v>
      </c>
      <c r="I1869" s="388"/>
      <c r="J1869" s="1844" t="str">
        <f>IF(T1893&gt;=$H$2505,S1892,I1892)</f>
        <v/>
      </c>
      <c r="K1869" s="1846" t="str">
        <f>J1892</f>
        <v/>
      </c>
      <c r="L1869" s="1846" t="str">
        <f>K1892</f>
        <v/>
      </c>
      <c r="M1869" s="1846" t="str">
        <f>L1892</f>
        <v/>
      </c>
      <c r="N1869" s="1847" t="str">
        <f>M1892</f>
        <v/>
      </c>
      <c r="O1869" s="698"/>
      <c r="P1869" s="729"/>
      <c r="Q1869" s="729"/>
      <c r="R1869" s="729"/>
      <c r="S1869" s="729"/>
      <c r="T1869" s="729"/>
      <c r="U1869" s="343"/>
      <c r="V1869" s="343"/>
    </row>
    <row r="1870" spans="1:22" s="364" customFormat="1" ht="12.75" customHeight="1" x14ac:dyDescent="0.3">
      <c r="A1870" s="729"/>
      <c r="B1870" s="302"/>
      <c r="C1870" s="357"/>
      <c r="D1870" s="1698"/>
      <c r="E1870" s="388" t="str">
        <f>Translations!$B$1374</f>
        <v>Стойност на предварително разпределяне</v>
      </c>
      <c r="F1870" s="388"/>
      <c r="G1870" s="388"/>
      <c r="H1870" s="421" t="str">
        <f>EUconst_EUA</f>
        <v>Квота за емисии</v>
      </c>
      <c r="I1870" s="1728"/>
      <c r="J1870" s="1694" t="str">
        <f>IF($M1855&lt;&gt;EUconst_Relevant,"",MAX(0,ROUND((SUM($M1858)*SUM(J1869))*IF($H1858=TRUE,1,IF($L1858=4,J$2413,J$2412))*IF($I1858=TRUE,INDEX(EUconst_CBAMFactor,J1868-2020),1)*IF($L1858&gt;=8,J$2415/0.97,1),0)))</f>
        <v/>
      </c>
      <c r="K1870" s="406" t="str">
        <f>IF($M1855&lt;&gt;EUconst_Relevant,"",MAX(0,ROUND((SUM($M1858)*SUM(K1869))*IF($H1858=TRUE,1,IF($L1858=4,K$2413,K$2412))*IF($I1858=TRUE,INDEX(EUconst_CBAMFactor,K1868-2020),1)*IF($L1858&gt;=8,K$2415/0.97,1),0)))</f>
        <v/>
      </c>
      <c r="L1870" s="406" t="str">
        <f>IF($M1855&lt;&gt;EUconst_Relevant,"",MAX(0,ROUND((SUM($M1858)*SUM(L1869))*IF($H1858=TRUE,1,IF($L1858=4,L$2413,L$2412))*IF($I1858=TRUE,INDEX(EUconst_CBAMFactor,L1868-2020),1)*IF($L1858&gt;=8,L$2415/0.97,1),0)))</f>
        <v/>
      </c>
      <c r="M1870" s="406" t="str">
        <f>IF($M1855&lt;&gt;EUconst_Relevant,"",MAX(0,ROUND((SUM($M1858)*SUM(M1869))*IF($H1858=TRUE,1,IF($L1858=4,M$2413,M$2412))*IF($I1858=TRUE,INDEX(EUconst_CBAMFactor,M1868-2020),1)*IF($L1858&gt;=8,M$2415/0.97,1),0)))</f>
        <v/>
      </c>
      <c r="N1870" s="1729" t="str">
        <f>IF($M1855&lt;&gt;EUconst_Relevant,"",MAX(0,ROUND((SUM($M1858)*SUM(N1869))*IF($H1858=TRUE,1,IF($L1858=4,N$2413,N$2412))*IF($I1858=TRUE,INDEX(EUconst_CBAMFactor,N1868-2020),1)*IF($L1858&gt;=8,N$2415/0.97,1),0)))</f>
        <v/>
      </c>
      <c r="O1870" s="698"/>
      <c r="P1870" s="729"/>
      <c r="Q1870" s="729"/>
      <c r="R1870" s="729"/>
      <c r="S1870" s="729"/>
      <c r="T1870" s="729"/>
      <c r="U1870" s="343"/>
      <c r="V1870" s="343"/>
    </row>
    <row r="1871" spans="1:22" s="364" customFormat="1" ht="5.15" customHeight="1" x14ac:dyDescent="0.3">
      <c r="A1871" s="729"/>
      <c r="B1871" s="302"/>
      <c r="C1871" s="357"/>
      <c r="D1871" s="1698"/>
      <c r="E1871" s="357"/>
      <c r="F1871" s="357"/>
      <c r="G1871" s="357"/>
      <c r="H1871" s="357"/>
      <c r="I1871" s="357"/>
      <c r="J1871" s="357"/>
      <c r="K1871" s="357"/>
      <c r="L1871" s="357"/>
      <c r="M1871" s="357"/>
      <c r="N1871" s="1712"/>
      <c r="O1871" s="698"/>
      <c r="P1871" s="729"/>
      <c r="Q1871" s="729"/>
      <c r="R1871" s="729"/>
      <c r="S1871" s="729"/>
      <c r="T1871" s="729"/>
      <c r="U1871" s="343"/>
      <c r="V1871" s="343"/>
    </row>
    <row r="1872" spans="1:22" s="364" customFormat="1" ht="12.75" customHeight="1" x14ac:dyDescent="0.3">
      <c r="A1872" s="729"/>
      <c r="B1872" s="302"/>
      <c r="C1872" s="357"/>
      <c r="D1872" s="1698"/>
      <c r="E1872" s="389" t="str">
        <f>Translations!$B$1375</f>
        <v>Промени: Равнище на дейност</v>
      </c>
      <c r="F1872" s="498"/>
      <c r="G1872" s="498"/>
      <c r="H1872" s="527" t="str">
        <f>EUconst_Unit</f>
        <v>Единица мярка</v>
      </c>
      <c r="I1872" s="1699"/>
      <c r="J1872" s="1523">
        <f>J$2505</f>
        <v>2026</v>
      </c>
      <c r="K1872" s="387">
        <f>K$2505</f>
        <v>2027</v>
      </c>
      <c r="L1872" s="387">
        <f>L$2505</f>
        <v>2028</v>
      </c>
      <c r="M1872" s="387">
        <f>M$2505</f>
        <v>2029</v>
      </c>
      <c r="N1872" s="1544">
        <f>N$2505</f>
        <v>2030</v>
      </c>
      <c r="O1872" s="698"/>
      <c r="P1872" s="729"/>
      <c r="Q1872" s="729"/>
      <c r="R1872" s="729"/>
      <c r="S1872" s="729"/>
      <c r="T1872" s="729"/>
      <c r="U1872" s="343"/>
      <c r="V1872" s="343"/>
    </row>
    <row r="1873" spans="1:22" s="364" customFormat="1" ht="12.75" customHeight="1" x14ac:dyDescent="0.3">
      <c r="A1873" s="729"/>
      <c r="B1873" s="302"/>
      <c r="C1873" s="357"/>
      <c r="D1873" s="1698"/>
      <c r="E1873" s="392" t="str">
        <f>Translations!$B$1328</f>
        <v>Средна годишна стойност</v>
      </c>
      <c r="F1873" s="392"/>
      <c r="G1873" s="392"/>
      <c r="H1873" s="1730" t="str">
        <f>H1869</f>
        <v>TJ</v>
      </c>
      <c r="I1873" s="1731"/>
      <c r="J1873" s="1848" t="str">
        <f>INDEX('G_Fall-back'!J:J,MATCH($P1873,'G_Fall-back'!$Q:$Q,0))</f>
        <v/>
      </c>
      <c r="K1873" s="1849" t="str">
        <f>INDEX('G_Fall-back'!K:K,MATCH($P1873,'G_Fall-back'!$Q:$Q,0))</f>
        <v/>
      </c>
      <c r="L1873" s="1849" t="str">
        <f>INDEX('G_Fall-back'!L:L,MATCH($P1873,'G_Fall-back'!$Q:$Q,0))</f>
        <v/>
      </c>
      <c r="M1873" s="1849" t="str">
        <f>INDEX('G_Fall-back'!M:M,MATCH($P1873,'G_Fall-back'!$Q:$Q,0))</f>
        <v/>
      </c>
      <c r="N1873" s="1850" t="str">
        <f>INDEX('G_Fall-back'!N:N,MATCH($P1873,'G_Fall-back'!$Q:$Q,0))</f>
        <v/>
      </c>
      <c r="O1873" s="698"/>
      <c r="P1873" s="1190" t="str">
        <f>EUconst_CNTR_HALinitial&amp;I1855</f>
        <v>HALini_Подинсталация с топлинен показател (без риск от ИВЕ | извън МКВЕГ)</v>
      </c>
      <c r="Q1873" s="729"/>
      <c r="R1873" s="729"/>
      <c r="S1873" s="729"/>
      <c r="T1873" s="729"/>
      <c r="U1873" s="343"/>
      <c r="V1873" s="343"/>
    </row>
    <row r="1874" spans="1:22" s="364" customFormat="1" ht="12.75" customHeight="1" x14ac:dyDescent="0.3">
      <c r="A1874" s="729"/>
      <c r="B1874" s="302"/>
      <c r="C1874" s="357"/>
      <c r="D1874" s="1698"/>
      <c r="E1874" s="398" t="str">
        <f>Translations!$B$1376</f>
        <v>Промяна в сравнение с HAL</v>
      </c>
      <c r="F1874" s="398"/>
      <c r="G1874" s="398"/>
      <c r="H1874" s="1751" t="s">
        <v>1052</v>
      </c>
      <c r="I1874" s="1735"/>
      <c r="J1874" s="159" t="str">
        <f>INDEX('G_Fall-back'!J:J,MATCH($P1874,'G_Fall-back'!$Q:$Q,0))</f>
        <v/>
      </c>
      <c r="K1874" s="160" t="str">
        <f>INDEX('G_Fall-back'!K:K,MATCH($P1874,'G_Fall-back'!$Q:$Q,0))</f>
        <v/>
      </c>
      <c r="L1874" s="160" t="str">
        <f>INDEX('G_Fall-back'!L:L,MATCH($P1874,'G_Fall-back'!$Q:$Q,0))</f>
        <v/>
      </c>
      <c r="M1874" s="160" t="str">
        <f>INDEX('G_Fall-back'!M:M,MATCH($P1874,'G_Fall-back'!$Q:$Q,0))</f>
        <v/>
      </c>
      <c r="N1874" s="161" t="str">
        <f>INDEX('G_Fall-back'!N:N,MATCH($P1874,'G_Fall-back'!$Q:$Q,0))</f>
        <v/>
      </c>
      <c r="O1874" s="698"/>
      <c r="P1874" s="1190" t="str">
        <f>EUconst_CNTR_RelThreshold &amp; I1855</f>
        <v>RelThresh_Подинсталация с топлинен показател (без риск от ИВЕ | извън МКВЕГ)</v>
      </c>
      <c r="Q1874" s="729"/>
      <c r="R1874" s="729"/>
      <c r="S1874" s="729"/>
      <c r="T1874" s="729"/>
      <c r="U1874" s="343"/>
      <c r="V1874" s="343"/>
    </row>
    <row r="1875" spans="1:22" s="364" customFormat="1" ht="12.75" customHeight="1" x14ac:dyDescent="0.3">
      <c r="A1875" s="729"/>
      <c r="B1875" s="302"/>
      <c r="C1875" s="357"/>
      <c r="D1875" s="1698"/>
      <c r="E1875" s="1851" t="str">
        <f>Translations!$B$1590</f>
        <v>Критерий 3a: Надвишен ли е относителният праг?</v>
      </c>
      <c r="F1875" s="1851"/>
      <c r="G1875" s="1851"/>
      <c r="H1875" s="1852" t="s">
        <v>1052</v>
      </c>
      <c r="I1875" s="1852"/>
      <c r="J1875" s="1853" t="str">
        <f>INDEX('G_Fall-back'!V:V,MATCH($P1875,'G_Fall-back'!$Q:$Q,0)+1)</f>
        <v/>
      </c>
      <c r="K1875" s="1854" t="str">
        <f>INDEX('G_Fall-back'!W:W,MATCH($P1875,'G_Fall-back'!$Q:$Q,0)+1)</f>
        <v/>
      </c>
      <c r="L1875" s="1854" t="str">
        <f>INDEX('G_Fall-back'!X:X,MATCH($P1875,'G_Fall-back'!$Q:$Q,0)+1)</f>
        <v/>
      </c>
      <c r="M1875" s="1854" t="str">
        <f>INDEX('G_Fall-back'!Y:Y,MATCH($P1875,'G_Fall-back'!$Q:$Q,0)+1)</f>
        <v/>
      </c>
      <c r="N1875" s="1855" t="str">
        <f>INDEX('G_Fall-back'!Z:Z,MATCH($P1875,'G_Fall-back'!$Q:$Q,0)+1)</f>
        <v/>
      </c>
      <c r="O1875" s="698"/>
      <c r="P1875" s="1190" t="str">
        <f>P1874</f>
        <v>RelThresh_Подинсталация с топлинен показател (без риск от ИВЕ | извън МКВЕГ)</v>
      </c>
      <c r="Q1875" s="729"/>
      <c r="R1875" s="729"/>
      <c r="S1875" s="729"/>
      <c r="T1875" s="729"/>
      <c r="U1875" s="343"/>
      <c r="V1875" s="343"/>
    </row>
    <row r="1876" spans="1:22" s="364" customFormat="1" ht="12.75" customHeight="1" x14ac:dyDescent="0.3">
      <c r="A1876" s="729"/>
      <c r="B1876" s="302"/>
      <c r="C1876" s="357"/>
      <c r="D1876" s="1698"/>
      <c r="E1876" s="392" t="str">
        <f>Translations!$B$1579</f>
        <v>Очаквано равнище на дейност</v>
      </c>
      <c r="F1876" s="392"/>
      <c r="G1876" s="392"/>
      <c r="H1876" s="1730" t="str">
        <f>F1861</f>
        <v>TJ</v>
      </c>
      <c r="I1876" s="392"/>
      <c r="J1876" s="1848" t="str">
        <f>INDEX('G_Fall-back'!J:J,MATCH($P1876,'G_Fall-back'!$Q:$Q,0))</f>
        <v/>
      </c>
      <c r="K1876" s="1849" t="str">
        <f>INDEX('G_Fall-back'!K:K,MATCH($P1876,'G_Fall-back'!$Q:$Q,0))</f>
        <v/>
      </c>
      <c r="L1876" s="1849" t="str">
        <f>INDEX('G_Fall-back'!L:L,MATCH($P1876,'G_Fall-back'!$Q:$Q,0))</f>
        <v/>
      </c>
      <c r="M1876" s="1849" t="str">
        <f>INDEX('G_Fall-back'!M:M,MATCH($P1876,'G_Fall-back'!$Q:$Q,0))</f>
        <v/>
      </c>
      <c r="N1876" s="1850" t="str">
        <f>INDEX('G_Fall-back'!N:N,MATCH($P1876,'G_Fall-back'!$Q:$Q,0))</f>
        <v/>
      </c>
      <c r="O1876" s="698"/>
      <c r="P1876" s="1190" t="str">
        <f>EUconst_CNTR_HALprelim&amp;I1855</f>
        <v>HALprelim_Подинсталация с топлинен показател (без риск от ИВЕ | извън МКВЕГ)</v>
      </c>
      <c r="Q1876" s="729"/>
      <c r="R1876" s="729"/>
      <c r="S1876" s="729"/>
      <c r="T1876" s="729"/>
      <c r="U1876" s="343"/>
      <c r="V1876" s="343"/>
    </row>
    <row r="1877" spans="1:22" s="364" customFormat="1" ht="12.75" customHeight="1" x14ac:dyDescent="0.3">
      <c r="A1877" s="729"/>
      <c r="B1877" s="302"/>
      <c r="C1877" s="357"/>
      <c r="D1877" s="1698"/>
      <c r="E1877" s="398" t="str">
        <f>Translations!$B$1591</f>
        <v>Промяна в сравнение с HAL (очаквана)</v>
      </c>
      <c r="F1877" s="398"/>
      <c r="G1877" s="398"/>
      <c r="H1877" s="516" t="s">
        <v>1052</v>
      </c>
      <c r="I1877" s="1720"/>
      <c r="J1877" s="159" t="str">
        <f>INDEX('G_Fall-back'!J:J,MATCH($P1877,'G_Fall-back'!$Q:$Q,0))</f>
        <v/>
      </c>
      <c r="K1877" s="160" t="str">
        <f>INDEX('G_Fall-back'!K:K,MATCH($P1877,'G_Fall-back'!$Q:$Q,0))</f>
        <v/>
      </c>
      <c r="L1877" s="160" t="str">
        <f>INDEX('G_Fall-back'!L:L,MATCH($P1877,'G_Fall-back'!$Q:$Q,0))</f>
        <v/>
      </c>
      <c r="M1877" s="160" t="str">
        <f>INDEX('G_Fall-back'!M:M,MATCH($P1877,'G_Fall-back'!$Q:$Q,0))</f>
        <v/>
      </c>
      <c r="N1877" s="161" t="str">
        <f>INDEX('G_Fall-back'!N:N,MATCH($P1877,'G_Fall-back'!$Q:$Q,0))</f>
        <v/>
      </c>
      <c r="O1877" s="698"/>
      <c r="P1877" s="1190" t="str">
        <f>EUconst_CNTR_EnEffPct&amp;I1855</f>
        <v>EnEffPct_Подинсталация с топлинен показател (без риск от ИВЕ | извън МКВЕГ)</v>
      </c>
      <c r="Q1877" s="729"/>
      <c r="R1877" s="729"/>
      <c r="S1877" s="729"/>
      <c r="T1877" s="729"/>
      <c r="U1877" s="343"/>
      <c r="V1877" s="343"/>
    </row>
    <row r="1878" spans="1:22" s="364" customFormat="1" ht="12.75" customHeight="1" x14ac:dyDescent="0.3">
      <c r="A1878" s="729"/>
      <c r="B1878" s="302"/>
      <c r="C1878" s="357"/>
      <c r="D1878" s="1698"/>
      <c r="E1878" s="1706" t="str">
        <f>Translations!$B$1379</f>
        <v>Критерий 3б: Надвишени ли са относителните прагове?</v>
      </c>
      <c r="F1878" s="1706"/>
      <c r="G1878" s="1706"/>
      <c r="H1878" s="1856" t="s">
        <v>1052</v>
      </c>
      <c r="I1878" s="1857"/>
      <c r="J1878" s="1709" t="str">
        <f>INDEX('G_Fall-back'!V:V,MATCH($P1878,'G_Fall-back'!$Q:$Q,0)+1)</f>
        <v/>
      </c>
      <c r="K1878" s="1710" t="str">
        <f>INDEX('G_Fall-back'!W:W,MATCH($P1878,'G_Fall-back'!$Q:$Q,0)+1)</f>
        <v/>
      </c>
      <c r="L1878" s="1710" t="str">
        <f>INDEX('G_Fall-back'!X:X,MATCH($P1878,'G_Fall-back'!$Q:$Q,0)+1)</f>
        <v/>
      </c>
      <c r="M1878" s="1710" t="str">
        <f>INDEX('G_Fall-back'!Y:Y,MATCH($P1878,'G_Fall-back'!$Q:$Q,0)+1)</f>
        <v/>
      </c>
      <c r="N1878" s="1711" t="str">
        <f>INDEX('G_Fall-back'!Z:Z,MATCH($P1878,'G_Fall-back'!$Q:$Q,0)+1)</f>
        <v/>
      </c>
      <c r="O1878" s="698"/>
      <c r="P1878" s="1190" t="str">
        <f>EUconst_CNTR_EnEffPct&amp;I1855</f>
        <v>EnEffPct_Подинсталация с топлинен показател (без риск от ИВЕ | извън МКВЕГ)</v>
      </c>
      <c r="Q1878" s="729"/>
      <c r="R1878" s="729"/>
      <c r="S1878" s="729"/>
      <c r="T1878" s="729"/>
      <c r="U1878" s="343"/>
      <c r="V1878" s="343"/>
    </row>
    <row r="1879" spans="1:22" s="364" customFormat="1" ht="13" x14ac:dyDescent="0.25">
      <c r="A1879" s="729"/>
      <c r="B1879" s="302"/>
      <c r="C1879" s="302"/>
      <c r="D1879" s="344"/>
      <c r="E1879" s="498" t="str">
        <f>Translations!$B$1389</f>
        <v>Действителна корекция на равнището на дейност</v>
      </c>
      <c r="F1879" s="498"/>
      <c r="G1879" s="498"/>
      <c r="H1879" s="1858" t="s">
        <v>1052</v>
      </c>
      <c r="I1879" s="1859"/>
      <c r="J1879" s="225" t="str">
        <f>INDEX('G_Fall-back'!J:J,MATCH($P1879,'G_Fall-back'!$Q:$Q,0))</f>
        <v/>
      </c>
      <c r="K1879" s="226" t="str">
        <f>INDEX('G_Fall-back'!K:K,MATCH($P1879,'G_Fall-back'!$Q:$Q,0))</f>
        <v/>
      </c>
      <c r="L1879" s="226" t="str">
        <f>INDEX('G_Fall-back'!L:L,MATCH($P1879,'G_Fall-back'!$Q:$Q,0))</f>
        <v/>
      </c>
      <c r="M1879" s="226" t="str">
        <f>INDEX('G_Fall-back'!M:M,MATCH($P1879,'G_Fall-back'!$Q:$Q,0))</f>
        <v/>
      </c>
      <c r="N1879" s="227" t="str">
        <f>INDEX('G_Fall-back'!N:N,MATCH($P1879,'G_Fall-back'!$Q:$Q,0))</f>
        <v/>
      </c>
      <c r="O1879" s="698"/>
      <c r="P1879" s="1190" t="str">
        <f>EUconst_CNTR_HALAdjPct&amp;I1855</f>
        <v>HALAdjPct_Подинсталация с топлинен показател (без риск от ИВЕ | извън МКВЕГ)</v>
      </c>
      <c r="Q1879" s="729"/>
      <c r="R1879" s="729"/>
      <c r="S1879" s="729"/>
      <c r="T1879" s="770"/>
      <c r="U1879" s="343"/>
      <c r="V1879" s="343"/>
    </row>
    <row r="1880" spans="1:22" s="364" customFormat="1" ht="5.15" customHeight="1" thickBot="1" x14ac:dyDescent="0.3">
      <c r="A1880" s="729"/>
      <c r="B1880" s="302"/>
      <c r="C1880" s="302"/>
      <c r="D1880" s="1801"/>
      <c r="E1880" s="1762"/>
      <c r="F1880" s="1762"/>
      <c r="G1880" s="1762"/>
      <c r="H1880" s="1762"/>
      <c r="I1880" s="1860"/>
      <c r="J1880" s="1762"/>
      <c r="K1880" s="1762"/>
      <c r="L1880" s="1762"/>
      <c r="M1880" s="1762"/>
      <c r="N1880" s="1764"/>
      <c r="O1880" s="698"/>
      <c r="P1880" s="729"/>
      <c r="Q1880" s="729"/>
      <c r="R1880" s="729"/>
      <c r="S1880" s="729"/>
      <c r="T1880" s="770"/>
      <c r="U1880" s="343"/>
      <c r="V1880" s="343"/>
    </row>
    <row r="1881" spans="1:22" s="364" customFormat="1" ht="5.15" customHeight="1" thickBot="1" x14ac:dyDescent="0.3">
      <c r="A1881" s="729"/>
      <c r="B1881" s="302"/>
      <c r="C1881" s="302"/>
      <c r="D1881" s="302"/>
      <c r="E1881" s="302"/>
      <c r="F1881" s="302"/>
      <c r="G1881" s="302"/>
      <c r="H1881" s="302"/>
      <c r="I1881" s="1861"/>
      <c r="J1881" s="302"/>
      <c r="K1881" s="302"/>
      <c r="L1881" s="302"/>
      <c r="M1881" s="302"/>
      <c r="N1881" s="302"/>
      <c r="O1881" s="698"/>
      <c r="P1881" s="729"/>
      <c r="Q1881" s="729"/>
      <c r="R1881" s="729"/>
      <c r="S1881" s="729"/>
      <c r="T1881" s="770"/>
      <c r="U1881" s="343"/>
      <c r="V1881" s="343"/>
    </row>
    <row r="1882" spans="1:22" s="364" customFormat="1" ht="5.15" customHeight="1" x14ac:dyDescent="0.25">
      <c r="A1882" s="729"/>
      <c r="B1882" s="302"/>
      <c r="C1882" s="302"/>
      <c r="D1882" s="1765"/>
      <c r="E1882" s="1766"/>
      <c r="F1882" s="1766"/>
      <c r="G1882" s="1766"/>
      <c r="H1882" s="1766"/>
      <c r="I1882" s="1767"/>
      <c r="J1882" s="1766"/>
      <c r="K1882" s="1766"/>
      <c r="L1882" s="1766"/>
      <c r="M1882" s="1766"/>
      <c r="N1882" s="1768"/>
      <c r="O1882" s="698"/>
      <c r="P1882" s="729"/>
      <c r="Q1882" s="729"/>
      <c r="R1882" s="729"/>
      <c r="S1882" s="729"/>
      <c r="T1882" s="729"/>
      <c r="U1882" s="729"/>
      <c r="V1882" s="729"/>
    </row>
    <row r="1883" spans="1:22" s="364" customFormat="1" ht="13" x14ac:dyDescent="0.25">
      <c r="A1883" s="729"/>
      <c r="B1883" s="302"/>
      <c r="C1883" s="302"/>
      <c r="D1883" s="344"/>
      <c r="E1883" s="1769" t="str">
        <f>Translations!$B$1583</f>
        <v>Предварителни стойности за критерий &gt; 300 EUA</v>
      </c>
      <c r="F1883" s="1746"/>
      <c r="G1883" s="1746"/>
      <c r="H1883" s="1699" t="str">
        <f>EUconst_Unit</f>
        <v>Единица мярка</v>
      </c>
      <c r="I1883" s="1862" t="str">
        <f>Translations!$B$1341</f>
        <v>Базова стойност</v>
      </c>
      <c r="J1883" s="1771">
        <f>J$2505</f>
        <v>2026</v>
      </c>
      <c r="K1883" s="1772">
        <f>K$2505</f>
        <v>2027</v>
      </c>
      <c r="L1883" s="1772">
        <f>L$2505</f>
        <v>2028</v>
      </c>
      <c r="M1883" s="1772">
        <f>M$2505</f>
        <v>2029</v>
      </c>
      <c r="N1883" s="1773">
        <f>N$2505</f>
        <v>2030</v>
      </c>
      <c r="O1883" s="698"/>
      <c r="P1883" s="729"/>
      <c r="Q1883" s="729"/>
      <c r="R1883" s="729"/>
      <c r="S1883" s="729"/>
      <c r="T1883" s="729"/>
      <c r="U1883" s="729"/>
      <c r="V1883" s="729"/>
    </row>
    <row r="1884" spans="1:22" s="364" customFormat="1" x14ac:dyDescent="0.25">
      <c r="A1884" s="729"/>
      <c r="B1884" s="302"/>
      <c r="C1884" s="302"/>
      <c r="D1884" s="344"/>
      <c r="E1884" s="1789" t="str">
        <f>Translations!$B$1579</f>
        <v>Очаквано равнище на дейност</v>
      </c>
      <c r="F1884" s="1789"/>
      <c r="G1884" s="1789"/>
      <c r="H1884" s="1863" t="str">
        <f>F1861</f>
        <v>TJ</v>
      </c>
      <c r="I1884" s="1864" t="str">
        <f>IF($M1855&lt;&gt;EUconst_Relevant,"",IF(T1893&gt;=$H$2505,0,S1892))</f>
        <v/>
      </c>
      <c r="J1884" s="1864" t="str">
        <f>INDEX('G_Fall-back'!J:J,MATCH($P1884,'G_Fall-back'!$Q:$Q,0))</f>
        <v/>
      </c>
      <c r="K1884" s="1865" t="str">
        <f>INDEX('G_Fall-back'!K:K,MATCH($P1884,'G_Fall-back'!$Q:$Q,0))</f>
        <v/>
      </c>
      <c r="L1884" s="1865" t="str">
        <f>INDEX('G_Fall-back'!L:L,MATCH($P1884,'G_Fall-back'!$Q:$Q,0))</f>
        <v/>
      </c>
      <c r="M1884" s="1865" t="str">
        <f>INDEX('G_Fall-back'!M:M,MATCH($P1884,'G_Fall-back'!$Q:$Q,0))</f>
        <v/>
      </c>
      <c r="N1884" s="1866" t="str">
        <f>INDEX('G_Fall-back'!N:N,MATCH($P1884,'G_Fall-back'!$Q:$Q,0))</f>
        <v/>
      </c>
      <c r="O1884" s="698"/>
      <c r="P1884" s="1190" t="str">
        <f>EUconst_CNTR_HALprelim&amp;I1855</f>
        <v>HALprelim_Подинсталация с топлинен показател (без риск от ИВЕ | извън МКВЕГ)</v>
      </c>
      <c r="Q1884" s="729"/>
      <c r="R1884" s="729"/>
      <c r="S1884" s="729"/>
      <c r="T1884" s="729"/>
      <c r="U1884" s="729"/>
      <c r="V1884" s="729"/>
    </row>
    <row r="1885" spans="1:22" s="364" customFormat="1" x14ac:dyDescent="0.25">
      <c r="A1885" s="729"/>
      <c r="B1885" s="302"/>
      <c r="C1885" s="302"/>
      <c r="D1885" s="344"/>
      <c r="E1885" s="1789" t="str">
        <f>Translations!$B$1374</f>
        <v>Стойност на предварително разпределяне</v>
      </c>
      <c r="F1885" s="1789"/>
      <c r="G1885" s="1789"/>
      <c r="H1885" s="1790" t="str">
        <f>EUconst_EUA</f>
        <v>Квота за емисии</v>
      </c>
      <c r="I1885" s="1867" t="str">
        <f>IF($M1855&lt;&gt;EUconst_Relevant,"",MAX(0,ROUND((SUM($M1858)*SUM(I1892))*IF($H1858=TRUE,1,IF($L1858=4,J$2413,J$2412)),0)))</f>
        <v/>
      </c>
      <c r="J1885" s="1714" t="str">
        <f>IF($M1855&lt;&gt;EUconst_Relevant,"",MAX(0,ROUND((SUM($M1858)*SUM(J1884))*IF($H1858=TRUE,1,IF($L1858=4,J$2413,J$2412))*IF($I1858=TRUE,INDEX(EUconst_CBAMFactor,J1868-2020),1)*IF($L1858&gt;=8,J$2415/0.97,1),0)))</f>
        <v/>
      </c>
      <c r="K1885" s="1693" t="str">
        <f>IF($M1855&lt;&gt;EUconst_Relevant,"",MAX(0,ROUND((SUM($M1858)*SUM(K1884))*IF($H1858=TRUE,1,IF($L1858=4,K$2413,K$2412))*IF($I1858=TRUE,INDEX(EUconst_CBAMFactor,K1868-2020),1)*IF($L1858&gt;=8,K$2415/0.97,1),0)))</f>
        <v/>
      </c>
      <c r="L1885" s="1693" t="str">
        <f>IF($M1855&lt;&gt;EUconst_Relevant,"",MAX(0,ROUND((SUM($M1858)*SUM(L1884))*IF($H1858=TRUE,1,IF($L1858=4,L$2413,L$2412))*IF($I1858=TRUE,INDEX(EUconst_CBAMFactor,L1868-2020),1)*IF($L1858&gt;=8,L$2415/0.97,1),0)))</f>
        <v/>
      </c>
      <c r="M1885" s="1693" t="str">
        <f>IF($M1855&lt;&gt;EUconst_Relevant,"",MAX(0,ROUND((SUM($M1858)*SUM(M1884))*IF($H1858=TRUE,1,IF($L1858=4,M$2413,M$2412))*IF($I1858=TRUE,INDEX(EUconst_CBAMFactor,M1868-2020),1)*IF($L1858&gt;=8,M$2415/0.97,1),0)))</f>
        <v/>
      </c>
      <c r="N1885" s="1715" t="str">
        <f>IF($M1855&lt;&gt;EUconst_Relevant,"",MAX(0,ROUND((SUM($M1858)*SUM(N1884))*IF($H1858=TRUE,1,IF($L1858=4,N$2413,N$2412))*IF($I1858=TRUE,INDEX(EUconst_CBAMFactor,N1868-2020),1)*IF($L1858&gt;=8,N$2415/0.97,1),0)))</f>
        <v/>
      </c>
      <c r="O1885" s="698"/>
      <c r="P1885" s="729"/>
      <c r="Q1885" s="729"/>
      <c r="R1885" s="729"/>
      <c r="S1885" s="729"/>
      <c r="T1885" s="729"/>
      <c r="U1885" s="729"/>
      <c r="V1885" s="729"/>
    </row>
    <row r="1886" spans="1:22" s="364" customFormat="1" x14ac:dyDescent="0.25">
      <c r="A1886" s="729"/>
      <c r="B1886" s="302"/>
      <c r="C1886" s="302"/>
      <c r="D1886" s="344"/>
      <c r="E1886" s="388" t="str">
        <f>Translations!$B$1584</f>
        <v>Разлика в предварителната стойност</v>
      </c>
      <c r="F1886" s="388"/>
      <c r="G1886" s="388"/>
      <c r="H1886" s="421" t="str">
        <f>EUconst_EUA</f>
        <v>Квота за емисии</v>
      </c>
      <c r="I1886" s="1792"/>
      <c r="J1886" s="1793" t="str">
        <f>IF(J1885="","",SUM(J1885)-SUM(J1870))</f>
        <v/>
      </c>
      <c r="K1886" s="998" t="str">
        <f t="shared" ref="K1886:N1886" si="160">IF(K1885="","",SUM(K1885)-SUM(K1870))</f>
        <v/>
      </c>
      <c r="L1886" s="998" t="str">
        <f t="shared" si="160"/>
        <v/>
      </c>
      <c r="M1886" s="998" t="str">
        <f t="shared" si="160"/>
        <v/>
      </c>
      <c r="N1886" s="1794" t="str">
        <f t="shared" si="160"/>
        <v/>
      </c>
      <c r="O1886" s="698"/>
      <c r="P1886" s="1190" t="str">
        <f>EUconst_CNTR_AllocPrelimChange</f>
        <v>AllocPrelimChange_</v>
      </c>
      <c r="Q1886" s="729"/>
      <c r="R1886" s="729"/>
      <c r="S1886" s="729"/>
      <c r="T1886" s="729"/>
      <c r="U1886" s="729"/>
      <c r="V1886" s="729"/>
    </row>
    <row r="1887" spans="1:22" s="364" customFormat="1" x14ac:dyDescent="0.25">
      <c r="A1887" s="729"/>
      <c r="B1887" s="302"/>
      <c r="C1887" s="302"/>
      <c r="D1887" s="344"/>
      <c r="E1887" s="1796" t="str">
        <f>Translations!$B$1581</f>
        <v>Критерий 4: Разлика от поне 300 квоти за емисии?</v>
      </c>
      <c r="F1887" s="1796"/>
      <c r="G1887" s="1796"/>
      <c r="H1887" s="1797" t="s">
        <v>1052</v>
      </c>
      <c r="I1887" s="1792"/>
      <c r="J1887" s="1798" t="str">
        <f>IF(J1886="","",ABS(J1886)&gt;=300)</f>
        <v/>
      </c>
      <c r="K1887" s="1799" t="str">
        <f t="shared" ref="K1887:N1887" si="161">IF(K1886="","",ABS(K1886)&gt;=300)</f>
        <v/>
      </c>
      <c r="L1887" s="1799" t="str">
        <f t="shared" si="161"/>
        <v/>
      </c>
      <c r="M1887" s="1799" t="str">
        <f t="shared" si="161"/>
        <v/>
      </c>
      <c r="N1887" s="1800" t="str">
        <f t="shared" si="161"/>
        <v/>
      </c>
      <c r="O1887" s="698"/>
      <c r="P1887" s="1190" t="str">
        <f>EUconst_CNTR_300EUA&amp;I1855</f>
        <v>EUA300_Подинсталация с топлинен показател (без риск от ИВЕ | извън МКВЕГ)</v>
      </c>
      <c r="Q1887" s="729"/>
      <c r="R1887" s="729"/>
      <c r="S1887" s="729"/>
      <c r="T1887" s="729"/>
      <c r="U1887" s="729"/>
      <c r="V1887" s="729"/>
    </row>
    <row r="1888" spans="1:22" s="364" customFormat="1" ht="5.15" customHeight="1" thickBot="1" x14ac:dyDescent="0.3">
      <c r="A1888" s="729"/>
      <c r="B1888" s="302"/>
      <c r="C1888" s="302"/>
      <c r="D1888" s="1801"/>
      <c r="E1888" s="1762"/>
      <c r="F1888" s="1762"/>
      <c r="G1888" s="1762"/>
      <c r="H1888" s="1762"/>
      <c r="I1888" s="1762"/>
      <c r="J1888" s="1762"/>
      <c r="K1888" s="1762"/>
      <c r="L1888" s="1762"/>
      <c r="M1888" s="1762"/>
      <c r="N1888" s="1764"/>
      <c r="O1888" s="698"/>
      <c r="P1888" s="729"/>
      <c r="Q1888" s="729"/>
      <c r="R1888" s="729"/>
      <c r="S1888" s="729"/>
      <c r="T1888" s="770"/>
      <c r="U1888" s="343"/>
      <c r="V1888" s="343"/>
    </row>
    <row r="1889" spans="1:22" s="364" customFormat="1" ht="5.15" customHeight="1" thickBot="1" x14ac:dyDescent="0.3">
      <c r="A1889" s="729"/>
      <c r="B1889" s="302"/>
      <c r="C1889" s="302"/>
      <c r="D1889" s="302"/>
      <c r="E1889" s="302"/>
      <c r="F1889" s="302"/>
      <c r="G1889" s="302"/>
      <c r="H1889" s="302"/>
      <c r="I1889" s="1861"/>
      <c r="J1889" s="302"/>
      <c r="K1889" s="302"/>
      <c r="L1889" s="302"/>
      <c r="M1889" s="302"/>
      <c r="N1889" s="302"/>
      <c r="O1889" s="698"/>
      <c r="P1889" s="729"/>
      <c r="Q1889" s="729"/>
      <c r="R1889" s="729"/>
      <c r="S1889" s="729"/>
      <c r="T1889" s="770"/>
      <c r="U1889" s="343"/>
      <c r="V1889" s="343"/>
    </row>
    <row r="1890" spans="1:22" s="364" customFormat="1" ht="5.15" customHeight="1" x14ac:dyDescent="0.25">
      <c r="A1890" s="729"/>
      <c r="B1890" s="302"/>
      <c r="C1890" s="302"/>
      <c r="D1890" s="1765"/>
      <c r="E1890" s="1766"/>
      <c r="F1890" s="1766"/>
      <c r="G1890" s="1766"/>
      <c r="H1890" s="1766"/>
      <c r="I1890" s="1767"/>
      <c r="J1890" s="1766"/>
      <c r="K1890" s="1766"/>
      <c r="L1890" s="1766"/>
      <c r="M1890" s="1766"/>
      <c r="N1890" s="1768"/>
      <c r="O1890" s="698"/>
      <c r="P1890" s="729"/>
      <c r="Q1890" s="729"/>
      <c r="R1890" s="729"/>
      <c r="S1890" s="729"/>
      <c r="T1890" s="770"/>
      <c r="U1890" s="343"/>
      <c r="V1890" s="343"/>
    </row>
    <row r="1891" spans="1:22" s="364" customFormat="1" ht="13" x14ac:dyDescent="0.25">
      <c r="A1891" s="729"/>
      <c r="B1891" s="302"/>
      <c r="C1891" s="302"/>
      <c r="D1891" s="344"/>
      <c r="E1891" s="313" t="str">
        <f>Translations!$B$1387</f>
        <v>Използвани действителни стойности</v>
      </c>
      <c r="F1891" s="302"/>
      <c r="G1891" s="302"/>
      <c r="H1891" s="527" t="str">
        <f>EUconst_Unit</f>
        <v>Единица мярка</v>
      </c>
      <c r="I1891" s="1868" t="str">
        <f>Translations!$B$1341</f>
        <v>Базова стойност</v>
      </c>
      <c r="J1891" s="1523">
        <f>J$2505</f>
        <v>2026</v>
      </c>
      <c r="K1891" s="387">
        <f>K$2505</f>
        <v>2027</v>
      </c>
      <c r="L1891" s="387">
        <f>L$2505</f>
        <v>2028</v>
      </c>
      <c r="M1891" s="387">
        <f>M$2505</f>
        <v>2029</v>
      </c>
      <c r="N1891" s="1544">
        <f>N$2505</f>
        <v>2030</v>
      </c>
      <c r="O1891" s="698"/>
      <c r="P1891" s="729"/>
      <c r="Q1891" s="729"/>
      <c r="R1891" s="729"/>
      <c r="S1891" s="1519" t="str">
        <f>Translations!$B$1284</f>
        <v>HAL</v>
      </c>
      <c r="T1891" s="770"/>
      <c r="U1891" s="343"/>
      <c r="V1891" s="343"/>
    </row>
    <row r="1892" spans="1:22" s="364" customFormat="1" x14ac:dyDescent="0.25">
      <c r="A1892" s="729"/>
      <c r="B1892" s="302"/>
      <c r="C1892" s="302"/>
      <c r="D1892" s="344"/>
      <c r="E1892" s="388" t="str">
        <f>Translations!$B$1390</f>
        <v>Използвано равнище на дейност</v>
      </c>
      <c r="F1892" s="388"/>
      <c r="G1892" s="388"/>
      <c r="H1892" s="1210" t="str">
        <f>F1861</f>
        <v>TJ</v>
      </c>
      <c r="I1892" s="1864" t="str">
        <f>IF($M1855&lt;&gt;EUconst_Relevant,"",IF(T1893&gt;=$H$2505,0,S1892))</f>
        <v/>
      </c>
      <c r="J1892" s="1844" t="str">
        <f>INDEX('G_Fall-back'!J:J,MATCH($P1892,'G_Fall-back'!$Q:$Q,0))</f>
        <v/>
      </c>
      <c r="K1892" s="1846" t="str">
        <f>INDEX('G_Fall-back'!K:K,MATCH($P1892,'G_Fall-back'!$Q:$Q,0))</f>
        <v/>
      </c>
      <c r="L1892" s="1846" t="str">
        <f>INDEX('G_Fall-back'!L:L,MATCH($P1892,'G_Fall-back'!$Q:$Q,0))</f>
        <v/>
      </c>
      <c r="M1892" s="1846" t="str">
        <f>INDEX('G_Fall-back'!M:M,MATCH($P1892,'G_Fall-back'!$Q:$Q,0))</f>
        <v/>
      </c>
      <c r="N1892" s="1847" t="str">
        <f>INDEX('G_Fall-back'!N:N,MATCH($P1892,'G_Fall-back'!$Q:$Q,0))</f>
        <v/>
      </c>
      <c r="O1892" s="698"/>
      <c r="P1892" s="1190" t="str">
        <f>EUconst_CNTR_HALfinal&amp;I1855</f>
        <v>HALfinal_Подинсталация с топлинен показател (без риск от ИВЕ | извън МКВЕГ)</v>
      </c>
      <c r="Q1892" s="729"/>
      <c r="R1892" s="729"/>
      <c r="S1892" s="1817" t="str">
        <f>IF($M1855&lt;&gt;EUconst_Relevant,"",SUMIF('G_Fall-back'!$Q:$Q,$P1892,'G_Fall-back'!I:I))</f>
        <v/>
      </c>
      <c r="T1892" s="770"/>
      <c r="U1892" s="343"/>
      <c r="V1892" s="343"/>
    </row>
    <row r="1893" spans="1:22" s="364" customFormat="1" x14ac:dyDescent="0.25">
      <c r="A1893" s="729"/>
      <c r="B1893" s="302"/>
      <c r="C1893" s="302"/>
      <c r="D1893" s="344"/>
      <c r="E1893" s="388" t="str">
        <f>Translations!$B$892</f>
        <v>Предварително разпределяне</v>
      </c>
      <c r="F1893" s="388"/>
      <c r="G1893" s="388"/>
      <c r="H1893" s="421" t="str">
        <f>EUconst_EUA</f>
        <v>Квота за емисии</v>
      </c>
      <c r="I1893" s="1867" t="str">
        <f>IF($M1855&lt;&gt;EUconst_Relevant,"",MAX(0,ROUND((SUM($M1858)*SUM(I1892))*IF($H1858=TRUE,1,IF($L1858=4,J$2413,J$2412)),0)))</f>
        <v/>
      </c>
      <c r="J1893" s="1694" t="str">
        <f>IF($M1855&lt;&gt;EUconst_Relevant,"",MAX(0,ROUND((SUM($M1858)*SUM(J1892))*IF($H1858=TRUE,1,IF($L1858=4,J$2413,J$2412))*IF($I1858=TRUE,INDEX(EUconst_CBAMFactor,J1868-2020),1)*IF($L1858&gt;=8,J$2415/0.97,1),0)))</f>
        <v/>
      </c>
      <c r="K1893" s="406" t="str">
        <f>IF($M1855&lt;&gt;EUconst_Relevant,"",MAX(0,ROUND((SUM($M1858)*SUM(K1892))*IF($H1858=TRUE,1,IF($L1858=4,K$2413,K$2412))*IF($I1858=TRUE,INDEX(EUconst_CBAMFactor,K1868-2020),1)*IF($L1858&gt;=8,K$2415/0.97,1),0)))</f>
        <v/>
      </c>
      <c r="L1893" s="406" t="str">
        <f>IF($M1855&lt;&gt;EUconst_Relevant,"",MAX(0,ROUND((SUM($M1858)*SUM(L1892))*IF($H1858=TRUE,1,IF($L1858=4,L$2413,L$2412))*IF($I1858=TRUE,INDEX(EUconst_CBAMFactor,L1868-2020),1)*IF($L1858&gt;=8,L$2415/0.97,1),0)))</f>
        <v/>
      </c>
      <c r="M1893" s="406" t="str">
        <f>IF($M1855&lt;&gt;EUconst_Relevant,"",MAX(0,ROUND((SUM($M1858)*SUM(M1892))*IF($H1858=TRUE,1,IF($L1858=4,M$2413,M$2412))*IF($I1858=TRUE,INDEX(EUconst_CBAMFactor,M1868-2020),1)*IF($L1858&gt;=8,M$2415/0.97,1),0)))</f>
        <v/>
      </c>
      <c r="N1893" s="1729" t="str">
        <f>IF($M1855&lt;&gt;EUconst_Relevant,"",MAX(0,ROUND((SUM($M1858)*SUM(N1892))*IF($H1858=TRUE,1,IF($L1858=4,N$2413,N$2412))*IF($I1858=TRUE,INDEX(EUconst_CBAMFactor,N1868-2020),1)*IF($L1858&gt;=8,N$2415/0.97,1),0)))</f>
        <v/>
      </c>
      <c r="O1893" s="698"/>
      <c r="P1893" s="1190" t="str">
        <f>EUconst_AllocPrelim&amp;I1855</f>
        <v>AllocPrelim_Подинсталация с топлинен показател (без риск от ИВЕ | извън МКВЕГ)</v>
      </c>
      <c r="Q1893" s="729"/>
      <c r="R1893" s="729"/>
      <c r="S1893" s="729"/>
      <c r="T1893" s="1176">
        <f>INDEX('G_Fall-back'!V:V,MATCH(L1858,'G_Fall-back'!C:C,0))</f>
        <v>2005</v>
      </c>
      <c r="U1893" s="727" t="b">
        <f>OR(INDEX(I1893:N1893,CNTR_ReportingYear-$I$2505)&lt;&gt;INDEX(I1893:N1893,CNTR_ReportingYear-$H$2505),
(CNTR_ReportingYear-T1893)&lt;=1)</f>
        <v>0</v>
      </c>
      <c r="V1893" s="716" t="b">
        <f ca="1">IF(I1893="",FALSE,COUNTIF(OFFSET(I1893,,,,MAX(1,CNTR_ReportingYear-$I$2505)),"&lt;&gt;" &amp; INDEX(I1893:N1893,CNTR_ReportingYear-$H$2505))&gt;0)</f>
        <v>0</v>
      </c>
    </row>
    <row r="1894" spans="1:22" s="364" customFormat="1" ht="5.15" customHeight="1" thickBot="1" x14ac:dyDescent="0.3">
      <c r="A1894" s="729"/>
      <c r="B1894" s="302"/>
      <c r="C1894" s="302"/>
      <c r="D1894" s="1801"/>
      <c r="E1894" s="1762"/>
      <c r="F1894" s="1762"/>
      <c r="G1894" s="1762"/>
      <c r="H1894" s="1762"/>
      <c r="I1894" s="1762"/>
      <c r="J1894" s="1762"/>
      <c r="K1894" s="1762"/>
      <c r="L1894" s="1762"/>
      <c r="M1894" s="1762"/>
      <c r="N1894" s="1764"/>
      <c r="O1894" s="698"/>
      <c r="P1894" s="729"/>
      <c r="Q1894" s="729"/>
      <c r="R1894" s="729"/>
      <c r="S1894" s="729"/>
      <c r="T1894" s="770"/>
      <c r="U1894" s="343"/>
      <c r="V1894" s="343"/>
    </row>
    <row r="1895" spans="1:22" s="364" customFormat="1" ht="5.15" customHeight="1" thickBot="1" x14ac:dyDescent="0.3">
      <c r="A1895" s="729"/>
      <c r="B1895" s="302"/>
      <c r="C1895" s="302"/>
      <c r="D1895" s="302"/>
      <c r="E1895" s="302"/>
      <c r="F1895" s="302"/>
      <c r="G1895" s="302"/>
      <c r="M1895" s="302"/>
      <c r="N1895" s="302"/>
      <c r="O1895" s="698"/>
      <c r="P1895" s="729"/>
      <c r="Q1895" s="729"/>
      <c r="R1895" s="729"/>
      <c r="S1895" s="729"/>
      <c r="T1895" s="729"/>
      <c r="U1895" s="343"/>
      <c r="V1895" s="343"/>
    </row>
    <row r="1896" spans="1:22" s="364" customFormat="1" ht="5.15" customHeight="1" x14ac:dyDescent="0.25">
      <c r="A1896" s="729"/>
      <c r="B1896" s="302"/>
      <c r="C1896" s="302"/>
      <c r="D1896" s="1818"/>
      <c r="E1896" s="1819"/>
      <c r="F1896" s="1300"/>
      <c r="G1896" s="1300"/>
      <c r="H1896" s="1300"/>
      <c r="I1896" s="1300"/>
      <c r="J1896" s="1300"/>
      <c r="K1896" s="1300"/>
      <c r="L1896" s="1300"/>
      <c r="M1896" s="1300"/>
      <c r="N1896" s="1301"/>
      <c r="O1896" s="698"/>
      <c r="P1896" s="729"/>
      <c r="Q1896" s="729"/>
      <c r="R1896" s="729"/>
      <c r="S1896" s="729"/>
      <c r="T1896" s="729"/>
      <c r="U1896" s="343"/>
      <c r="V1896" s="343"/>
    </row>
    <row r="1897" spans="1:22" s="364" customFormat="1" ht="13.5" thickBot="1" x14ac:dyDescent="0.3">
      <c r="A1897" s="729"/>
      <c r="B1897" s="302"/>
      <c r="C1897" s="302"/>
      <c r="D1897" s="1820"/>
      <c r="E1897" s="625"/>
      <c r="F1897" s="626"/>
      <c r="G1897" s="627" t="str">
        <f>EUconst_Unit</f>
        <v>Единица мярка</v>
      </c>
      <c r="H1897" s="628">
        <f t="shared" ref="H1897:N1897" si="162">H$2505</f>
        <v>2024</v>
      </c>
      <c r="I1897" s="628">
        <f t="shared" si="162"/>
        <v>2025</v>
      </c>
      <c r="J1897" s="628">
        <f t="shared" si="162"/>
        <v>2026</v>
      </c>
      <c r="K1897" s="629">
        <f t="shared" si="162"/>
        <v>2027</v>
      </c>
      <c r="L1897" s="629">
        <f t="shared" si="162"/>
        <v>2028</v>
      </c>
      <c r="M1897" s="629">
        <f t="shared" si="162"/>
        <v>2029</v>
      </c>
      <c r="N1897" s="1312">
        <f t="shared" si="162"/>
        <v>2030</v>
      </c>
      <c r="O1897" s="698"/>
      <c r="P1897" s="729"/>
      <c r="Q1897" s="729"/>
      <c r="R1897" s="729"/>
      <c r="S1897" s="729"/>
      <c r="T1897" s="729"/>
      <c r="U1897" s="343"/>
      <c r="V1897" s="343"/>
    </row>
    <row r="1898" spans="1:22" s="364" customFormat="1" ht="13.5" customHeight="1" thickBot="1" x14ac:dyDescent="0.3">
      <c r="A1898" s="729"/>
      <c r="B1898" s="302"/>
      <c r="C1898" s="302"/>
      <c r="D1898" s="1820"/>
      <c r="E1898" s="2929" t="str">
        <f>Translations!$B$349</f>
        <v>Произведена измерима топлинна енергия</v>
      </c>
      <c r="F1898" s="2258"/>
      <c r="G1898" s="631" t="str">
        <f>EUconst_TJpa</f>
        <v>TJ / година</v>
      </c>
      <c r="H1898" s="661" t="str">
        <f>IF($M1855&lt;&gt;EUconst_Relevant,"",IF(INDEX('G_Fall-back'!H:H,MATCH($P1898,'G_Fall-back'!$Q:$Q,0))="","",INDEX('G_Fall-back'!H:H,MATCH($P1898,'G_Fall-back'!$Q:$Q,0))))</f>
        <v/>
      </c>
      <c r="I1898" s="663" t="str">
        <f>IF($M1855&lt;&gt;EUconst_Relevant,"",IF(INDEX('G_Fall-back'!I:I,MATCH($P1898,'G_Fall-back'!$Q:$Q,0))="","",INDEX('G_Fall-back'!I:I,MATCH($P1898,'G_Fall-back'!$Q:$Q,0))))</f>
        <v/>
      </c>
      <c r="J1898" s="661" t="str">
        <f>IF($M1855&lt;&gt;EUconst_Relevant,"",IF(INDEX('G_Fall-back'!J:J,MATCH($P1898,'G_Fall-back'!$Q:$Q,0))="","",INDEX('G_Fall-back'!J:J,MATCH($P1898,'G_Fall-back'!$Q:$Q,0))))</f>
        <v/>
      </c>
      <c r="K1898" s="662" t="str">
        <f>IF($M1855&lt;&gt;EUconst_Relevant,"",IF(INDEX('G_Fall-back'!K:K,MATCH($P1898,'G_Fall-back'!$Q:$Q,0))="","",INDEX('G_Fall-back'!K:K,MATCH($P1898,'G_Fall-back'!$Q:$Q,0))))</f>
        <v/>
      </c>
      <c r="L1898" s="662" t="str">
        <f>IF($M1855&lt;&gt;EUconst_Relevant,"",IF(INDEX('G_Fall-back'!L:L,MATCH($P1898,'G_Fall-back'!$Q:$Q,0))="","",INDEX('G_Fall-back'!L:L,MATCH($P1898,'G_Fall-back'!$Q:$Q,0))))</f>
        <v/>
      </c>
      <c r="M1898" s="662" t="str">
        <f>IF($M1855&lt;&gt;EUconst_Relevant,"",IF(INDEX('G_Fall-back'!M:M,MATCH($P1898,'G_Fall-back'!$Q:$Q,0))="","",INDEX('G_Fall-back'!M:M,MATCH($P1898,'G_Fall-back'!$Q:$Q,0))))</f>
        <v/>
      </c>
      <c r="N1898" s="663" t="str">
        <f>IF($M1855&lt;&gt;EUconst_Relevant,"",IF(INDEX('G_Fall-back'!N:N,MATCH($P1898,'G_Fall-back'!$Q:$Q,0))="","",INDEX('G_Fall-back'!N:N,MATCH($P1898,'G_Fall-back'!$Q:$Q,0))))</f>
        <v/>
      </c>
      <c r="O1898" s="698"/>
      <c r="P1898" s="1500" t="str">
        <f>EUconst_CNTR_HeatProduced &amp;I1855</f>
        <v>HeatProd_Подинсталация с топлинен показател (без риск от ИВЕ | извън МКВЕГ)</v>
      </c>
      <c r="Q1898" s="729"/>
      <c r="R1898" s="729"/>
      <c r="S1898" s="729"/>
      <c r="T1898" s="729"/>
      <c r="U1898" s="343"/>
      <c r="V1898" s="343"/>
    </row>
    <row r="1899" spans="1:22" s="364" customFormat="1" ht="13.5" customHeight="1" x14ac:dyDescent="0.25">
      <c r="A1899" s="729"/>
      <c r="B1899" s="302"/>
      <c r="C1899" s="302"/>
      <c r="D1899" s="1820"/>
      <c r="E1899" s="2820" t="str">
        <f>Translations!$B$1555</f>
        <v>Топлинна енергия, произведена от електроенергия</v>
      </c>
      <c r="F1899" s="2992"/>
      <c r="G1899" s="631" t="str">
        <f>EUconst_TJpa</f>
        <v>TJ / година</v>
      </c>
      <c r="H1899" s="1869" t="str">
        <f>IF($M1855&lt;&gt;EUconst_Relevant,"",IF(INDEX('G_Fall-back'!H:H,MATCH($P1899,'G_Fall-back'!$Q:$Q,0))="","",INDEX('G_Fall-back'!H:H,MATCH($P1899,'G_Fall-back'!$Q:$Q,0))))</f>
        <v/>
      </c>
      <c r="I1899" s="1870" t="str">
        <f>IF($M1855&lt;&gt;EUconst_Relevant,"",IF(INDEX('G_Fall-back'!I:I,MATCH($P1899,'G_Fall-back'!$Q:$Q,0))="","",INDEX('G_Fall-back'!I:I,MATCH($P1899,'G_Fall-back'!$Q:$Q,0))))</f>
        <v/>
      </c>
      <c r="J1899" s="1871" t="str">
        <f>IF($M1855&lt;&gt;EUconst_Relevant,"",IF(INDEX('G_Fall-back'!J:J,MATCH($P1899,'G_Fall-back'!$Q:$Q,0))="","",INDEX('G_Fall-back'!J:J,MATCH($P1899,'G_Fall-back'!$Q:$Q,0))))</f>
        <v/>
      </c>
      <c r="K1899" s="1869" t="str">
        <f>IF($M1855&lt;&gt;EUconst_Relevant,"",IF(INDEX('G_Fall-back'!K:K,MATCH($P1899,'G_Fall-back'!$Q:$Q,0))="","",INDEX('G_Fall-back'!K:K,MATCH($P1899,'G_Fall-back'!$Q:$Q,0))))</f>
        <v/>
      </c>
      <c r="L1899" s="1869" t="str">
        <f>IF($M1855&lt;&gt;EUconst_Relevant,"",IF(INDEX('G_Fall-back'!L:L,MATCH($P1899,'G_Fall-back'!$Q:$Q,0))="","",INDEX('G_Fall-back'!L:L,MATCH($P1899,'G_Fall-back'!$Q:$Q,0))))</f>
        <v/>
      </c>
      <c r="M1899" s="1869" t="str">
        <f>IF($M1855&lt;&gt;EUconst_Relevant,"",IF(INDEX('G_Fall-back'!M:M,MATCH($P1899,'G_Fall-back'!$Q:$Q,0))="","",INDEX('G_Fall-back'!M:M,MATCH($P1899,'G_Fall-back'!$Q:$Q,0))))</f>
        <v/>
      </c>
      <c r="N1899" s="1870" t="str">
        <f>IF($M1855&lt;&gt;EUconst_Relevant,"",IF(INDEX('G_Fall-back'!N:N,MATCH($P1899,'G_Fall-back'!$Q:$Q,0))="","",INDEX('G_Fall-back'!N:N,MATCH($P1899,'G_Fall-back'!$Q:$Q,0))))</f>
        <v/>
      </c>
      <c r="O1899" s="698"/>
      <c r="P1899" s="1500" t="str">
        <f>EUconst_CNTR_HeatProducedElectricity  &amp;I1855</f>
        <v>HeatProdElec_Подинсталация с топлинен показател (без риск от ИВЕ | извън МКВЕГ)</v>
      </c>
      <c r="Q1899" s="729"/>
      <c r="R1899" s="729"/>
      <c r="S1899" s="729"/>
      <c r="T1899" s="729"/>
      <c r="U1899" s="343"/>
      <c r="V1899" s="343"/>
    </row>
    <row r="1900" spans="1:22" s="364" customFormat="1" ht="5.15" customHeight="1" thickBot="1" x14ac:dyDescent="0.3">
      <c r="A1900" s="729"/>
      <c r="B1900" s="302"/>
      <c r="C1900" s="302"/>
      <c r="D1900" s="1820"/>
      <c r="E1900" s="625"/>
      <c r="F1900" s="625"/>
      <c r="G1900" s="625"/>
      <c r="H1900" s="640"/>
      <c r="I1900" s="640"/>
      <c r="J1900" s="640"/>
      <c r="K1900" s="640"/>
      <c r="L1900" s="640"/>
      <c r="M1900" s="640"/>
      <c r="N1900" s="1831"/>
      <c r="O1900" s="698"/>
      <c r="P1900" s="729"/>
      <c r="Q1900" s="729"/>
      <c r="R1900" s="729"/>
      <c r="S1900" s="729"/>
      <c r="T1900" s="729"/>
      <c r="U1900" s="343"/>
      <c r="V1900" s="343"/>
    </row>
    <row r="1901" spans="1:22" s="364" customFormat="1" ht="13.5" customHeight="1" thickBot="1" x14ac:dyDescent="0.3">
      <c r="A1901" s="729"/>
      <c r="B1901" s="302"/>
      <c r="C1901" s="302"/>
      <c r="D1901" s="1820"/>
      <c r="E1901" s="2929" t="str">
        <f>Translations!$B$956</f>
        <v>Общо зададени емисии</v>
      </c>
      <c r="F1901" s="2258"/>
      <c r="G1901" s="631" t="str">
        <f>EUconst_tCO2epa</f>
        <v>t CO2e/година</v>
      </c>
      <c r="H1901" s="661" t="str">
        <f t="shared" ref="H1901:N1901" si="163">INDEX(H$95:H$114,MATCH($I1855,$E$95:$E$114,0))</f>
        <v/>
      </c>
      <c r="I1901" s="663" t="str">
        <f t="shared" si="163"/>
        <v/>
      </c>
      <c r="J1901" s="661" t="str">
        <f t="shared" si="163"/>
        <v/>
      </c>
      <c r="K1901" s="662" t="str">
        <f t="shared" si="163"/>
        <v/>
      </c>
      <c r="L1901" s="662" t="str">
        <f t="shared" si="163"/>
        <v/>
      </c>
      <c r="M1901" s="662" t="str">
        <f t="shared" si="163"/>
        <v/>
      </c>
      <c r="N1901" s="663" t="str">
        <f t="shared" si="163"/>
        <v/>
      </c>
      <c r="O1901" s="698"/>
      <c r="P1901" s="729"/>
      <c r="Q1901" s="729"/>
      <c r="R1901" s="729"/>
      <c r="S1901" s="729"/>
      <c r="T1901" s="770"/>
      <c r="U1901" s="343"/>
      <c r="V1901" s="343"/>
    </row>
    <row r="1902" spans="1:22" s="364" customFormat="1" ht="5.15" customHeight="1" x14ac:dyDescent="0.25">
      <c r="A1902" s="729"/>
      <c r="B1902" s="302"/>
      <c r="C1902" s="302"/>
      <c r="D1902" s="1820"/>
      <c r="E1902" s="625"/>
      <c r="F1902" s="625"/>
      <c r="G1902" s="625"/>
      <c r="H1902" s="635"/>
      <c r="I1902" s="635"/>
      <c r="J1902" s="635"/>
      <c r="K1902" s="635"/>
      <c r="L1902" s="635"/>
      <c r="M1902" s="635"/>
      <c r="N1902" s="1823"/>
      <c r="O1902" s="698"/>
      <c r="P1902" s="729"/>
      <c r="Q1902" s="729"/>
      <c r="R1902" s="729"/>
      <c r="S1902" s="729"/>
      <c r="T1902" s="770"/>
      <c r="U1902" s="343"/>
      <c r="V1902" s="343"/>
    </row>
    <row r="1903" spans="1:22" s="364" customFormat="1" x14ac:dyDescent="0.25">
      <c r="A1903" s="729"/>
      <c r="B1903" s="302"/>
      <c r="C1903" s="302"/>
      <c r="D1903" s="1820"/>
      <c r="E1903" s="2818" t="str">
        <f>Translations!$B$521</f>
        <v>Вложени горива</v>
      </c>
      <c r="F1903" s="2701"/>
      <c r="G1903" s="1326" t="str">
        <f>EUconst_TJpa</f>
        <v>TJ / година</v>
      </c>
      <c r="H1903" s="482" t="str">
        <f>IF($M1855&lt;&gt;EUconst_Relevant,"",IF(INDEX('G_Fall-back'!H:H,MATCH($P1903,'G_Fall-back'!$Q:$Q,0))="","",INDEX('G_Fall-back'!H:H,MATCH($P1903,'G_Fall-back'!$Q:$Q,0))))</f>
        <v/>
      </c>
      <c r="I1903" s="1824" t="str">
        <f>IF($M1855&lt;&gt;EUconst_Relevant,"",IF(INDEX('G_Fall-back'!I:I,MATCH($P1903,'G_Fall-back'!$Q:$Q,0))="","",INDEX('G_Fall-back'!I:I,MATCH($P1903,'G_Fall-back'!$Q:$Q,0))))</f>
        <v/>
      </c>
      <c r="J1903" s="1825" t="str">
        <f>IF($M1855&lt;&gt;EUconst_Relevant,"",IF(INDEX('G_Fall-back'!J:J,MATCH($P1903,'G_Fall-back'!$Q:$Q,0))="","",INDEX('G_Fall-back'!J:J,MATCH($P1903,'G_Fall-back'!$Q:$Q,0))))</f>
        <v/>
      </c>
      <c r="K1903" s="482" t="str">
        <f>IF($M1855&lt;&gt;EUconst_Relevant,"",IF(INDEX('G_Fall-back'!K:K,MATCH($P1903,'G_Fall-back'!$Q:$Q,0))="","",INDEX('G_Fall-back'!K:K,MATCH($P1903,'G_Fall-back'!$Q:$Q,0))))</f>
        <v/>
      </c>
      <c r="L1903" s="482" t="str">
        <f>IF($M1855&lt;&gt;EUconst_Relevant,"",IF(INDEX('G_Fall-back'!L:L,MATCH($P1903,'G_Fall-back'!$Q:$Q,0))="","",INDEX('G_Fall-back'!L:L,MATCH($P1903,'G_Fall-back'!$Q:$Q,0))))</f>
        <v/>
      </c>
      <c r="M1903" s="482" t="str">
        <f>IF($M1855&lt;&gt;EUconst_Relevant,"",IF(INDEX('G_Fall-back'!M:M,MATCH($P1903,'G_Fall-back'!$Q:$Q,0))="","",INDEX('G_Fall-back'!M:M,MATCH($P1903,'G_Fall-back'!$Q:$Q,0))))</f>
        <v/>
      </c>
      <c r="N1903" s="1826" t="str">
        <f>IF($M1855&lt;&gt;EUconst_Relevant,"",IF(INDEX('G_Fall-back'!N:N,MATCH($P1903,'G_Fall-back'!$Q:$Q,0))="","",INDEX('G_Fall-back'!N:N,MATCH($P1903,'G_Fall-back'!$Q:$Q,0))))</f>
        <v/>
      </c>
      <c r="O1903" s="698"/>
      <c r="P1903" s="1827" t="str">
        <f>EUconst_CNTR_FuelInput &amp;I1855</f>
        <v>FuelInput_Подинсталация с топлинен показател (без риск от ИВЕ | извън МКВЕГ)</v>
      </c>
      <c r="Q1903" s="729"/>
      <c r="R1903" s="729"/>
      <c r="S1903" s="729"/>
      <c r="T1903" s="729"/>
      <c r="U1903" s="343"/>
      <c r="V1903" s="343"/>
    </row>
    <row r="1904" spans="1:22" s="364" customFormat="1" ht="12.75" customHeight="1" x14ac:dyDescent="0.25">
      <c r="A1904" s="729"/>
      <c r="B1904" s="302"/>
      <c r="C1904" s="302"/>
      <c r="D1904" s="1820"/>
      <c r="E1904" s="2819" t="str">
        <f>Translations!$B$522</f>
        <v>Претеглен емисионен фактор</v>
      </c>
      <c r="F1904" s="2705"/>
      <c r="G1904" s="1329" t="str">
        <f>EUconst_tCO2pTJ</f>
        <v>t CO2 / TJ</v>
      </c>
      <c r="H1904" s="484" t="str">
        <f>IF($M1855&lt;&gt;EUconst_Relevant,"",IF(INDEX('G_Fall-back'!H:H,MATCH($P1904,'G_Fall-back'!$Q:$Q,0))="","",INDEX('G_Fall-back'!H:H,MATCH($P1904,'G_Fall-back'!$Q:$Q,0))))</f>
        <v/>
      </c>
      <c r="I1904" s="1828" t="str">
        <f>IF($M1855&lt;&gt;EUconst_Relevant,"",IF(INDEX('G_Fall-back'!I:I,MATCH($P1904,'G_Fall-back'!$Q:$Q,0))="","",INDEX('G_Fall-back'!I:I,MATCH($P1904,'G_Fall-back'!$Q:$Q,0))))</f>
        <v/>
      </c>
      <c r="J1904" s="1829" t="str">
        <f>IF($M1855&lt;&gt;EUconst_Relevant,"",IF(INDEX('G_Fall-back'!J:J,MATCH($P1904,'G_Fall-back'!$Q:$Q,0))="","",INDEX('G_Fall-back'!J:J,MATCH($P1904,'G_Fall-back'!$Q:$Q,0))))</f>
        <v/>
      </c>
      <c r="K1904" s="484" t="str">
        <f>IF($M1855&lt;&gt;EUconst_Relevant,"",IF(INDEX('G_Fall-back'!K:K,MATCH($P1904,'G_Fall-back'!$Q:$Q,0))="","",INDEX('G_Fall-back'!K:K,MATCH($P1904,'G_Fall-back'!$Q:$Q,0))))</f>
        <v/>
      </c>
      <c r="L1904" s="484" t="str">
        <f>IF($M1855&lt;&gt;EUconst_Relevant,"",IF(INDEX('G_Fall-back'!L:L,MATCH($P1904,'G_Fall-back'!$Q:$Q,0))="","",INDEX('G_Fall-back'!L:L,MATCH($P1904,'G_Fall-back'!$Q:$Q,0))))</f>
        <v/>
      </c>
      <c r="M1904" s="484" t="str">
        <f>IF($M1855&lt;&gt;EUconst_Relevant,"",IF(INDEX('G_Fall-back'!M:M,MATCH($P1904,'G_Fall-back'!$Q:$Q,0))="","",INDEX('G_Fall-back'!M:M,MATCH($P1904,'G_Fall-back'!$Q:$Q,0))))</f>
        <v/>
      </c>
      <c r="N1904" s="1830" t="str">
        <f>IF($M1855&lt;&gt;EUconst_Relevant,"",IF(INDEX('G_Fall-back'!N:N,MATCH($P1904,'G_Fall-back'!$Q:$Q,0))="","",INDEX('G_Fall-back'!N:N,MATCH($P1904,'G_Fall-back'!$Q:$Q,0))))</f>
        <v/>
      </c>
      <c r="O1904" s="698"/>
      <c r="P1904" s="1500" t="str">
        <f>EUconst_CNTR_FuelEF &amp;I1855</f>
        <v>FuelEF_Подинсталация с топлинен показател (без риск от ИВЕ | извън МКВЕГ)</v>
      </c>
      <c r="Q1904" s="729"/>
      <c r="R1904" s="729"/>
      <c r="S1904" s="729"/>
      <c r="T1904" s="729"/>
      <c r="U1904" s="343"/>
      <c r="V1904" s="343"/>
    </row>
    <row r="1905" spans="1:22" s="364" customFormat="1" ht="12.75" customHeight="1" x14ac:dyDescent="0.25">
      <c r="A1905" s="729"/>
      <c r="B1905" s="302"/>
      <c r="C1905" s="302"/>
      <c r="D1905" s="1820"/>
      <c r="E1905" s="2818" t="str">
        <f>Translations!$B$637</f>
        <v>Вложени горива от отпадни газове</v>
      </c>
      <c r="F1905" s="2701"/>
      <c r="G1905" s="1326" t="str">
        <f>EUconst_TJpa</f>
        <v>TJ / година</v>
      </c>
      <c r="H1905" s="482" t="str">
        <f>IF($M1855&lt;&gt;EUconst_Relevant,"",IF(INDEX('G_Fall-back'!H:H,MATCH($P1905,'G_Fall-back'!$Q:$Q,0))="","",INDEX('G_Fall-back'!H:H,MATCH($P1905,'G_Fall-back'!$Q:$Q,0))))</f>
        <v/>
      </c>
      <c r="I1905" s="1824" t="str">
        <f>IF($M1855&lt;&gt;EUconst_Relevant,"",IF(INDEX('G_Fall-back'!I:I,MATCH($P1905,'G_Fall-back'!$Q:$Q,0))="","",INDEX('G_Fall-back'!I:I,MATCH($P1905,'G_Fall-back'!$Q:$Q,0))))</f>
        <v/>
      </c>
      <c r="J1905" s="1825" t="str">
        <f>IF($M1855&lt;&gt;EUconst_Relevant,"",IF(INDEX('G_Fall-back'!J:J,MATCH($P1905,'G_Fall-back'!$Q:$Q,0))="","",INDEX('G_Fall-back'!J:J,MATCH($P1905,'G_Fall-back'!$Q:$Q,0))))</f>
        <v/>
      </c>
      <c r="K1905" s="482" t="str">
        <f>IF($M1855&lt;&gt;EUconst_Relevant,"",IF(INDEX('G_Fall-back'!K:K,MATCH($P1905,'G_Fall-back'!$Q:$Q,0))="","",INDEX('G_Fall-back'!K:K,MATCH($P1905,'G_Fall-back'!$Q:$Q,0))))</f>
        <v/>
      </c>
      <c r="L1905" s="482" t="str">
        <f>IF($M1855&lt;&gt;EUconst_Relevant,"",IF(INDEX('G_Fall-back'!L:L,MATCH($P1905,'G_Fall-back'!$Q:$Q,0))="","",INDEX('G_Fall-back'!L:L,MATCH($P1905,'G_Fall-back'!$Q:$Q,0))))</f>
        <v/>
      </c>
      <c r="M1905" s="482" t="str">
        <f>IF($M1855&lt;&gt;EUconst_Relevant,"",IF(INDEX('G_Fall-back'!M:M,MATCH($P1905,'G_Fall-back'!$Q:$Q,0))="","",INDEX('G_Fall-back'!M:M,MATCH($P1905,'G_Fall-back'!$Q:$Q,0))))</f>
        <v/>
      </c>
      <c r="N1905" s="1826" t="str">
        <f>IF($M1855&lt;&gt;EUconst_Relevant,"",IF(INDEX('G_Fall-back'!N:N,MATCH($P1905,'G_Fall-back'!$Q:$Q,0))="","",INDEX('G_Fall-back'!N:N,MATCH($P1905,'G_Fall-back'!$Q:$Q,0))))</f>
        <v/>
      </c>
      <c r="O1905" s="698"/>
      <c r="P1905" s="716" t="str">
        <f>EUconst_CNTR_WGConsumed &amp;I1855</f>
        <v>WasteGasCons_Подинсталация с топлинен показател (без риск от ИВЕ | извън МКВЕГ)</v>
      </c>
      <c r="Q1905" s="729"/>
      <c r="R1905" s="729"/>
      <c r="S1905" s="729"/>
      <c r="T1905" s="729"/>
      <c r="U1905" s="343"/>
      <c r="V1905" s="343"/>
    </row>
    <row r="1906" spans="1:22" s="364" customFormat="1" ht="12.75" customHeight="1" x14ac:dyDescent="0.25">
      <c r="A1906" s="729"/>
      <c r="B1906" s="302"/>
      <c r="C1906" s="302"/>
      <c r="D1906" s="1820"/>
      <c r="E1906" s="2819" t="str">
        <f>Translations!$B$522</f>
        <v>Претеглен емисионен фактор</v>
      </c>
      <c r="F1906" s="2705"/>
      <c r="G1906" s="1329" t="str">
        <f>EUconst_tCO2pTJ</f>
        <v>t CO2 / TJ</v>
      </c>
      <c r="H1906" s="484" t="str">
        <f>IF($M1855&lt;&gt;EUconst_Relevant,"",IF(INDEX('G_Fall-back'!H:H,MATCH($P1906,'G_Fall-back'!$Q:$Q,0))="","",INDEX('G_Fall-back'!H:H,MATCH($P1906,'G_Fall-back'!$Q:$Q,0))))</f>
        <v/>
      </c>
      <c r="I1906" s="1828" t="str">
        <f>IF($M1855&lt;&gt;EUconst_Relevant,"",IF(INDEX('G_Fall-back'!I:I,MATCH($P1906,'G_Fall-back'!$Q:$Q,0))="","",INDEX('G_Fall-back'!I:I,MATCH($P1906,'G_Fall-back'!$Q:$Q,0))))</f>
        <v/>
      </c>
      <c r="J1906" s="1829" t="str">
        <f>IF($M1855&lt;&gt;EUconst_Relevant,"",IF(INDEX('G_Fall-back'!J:J,MATCH($P1906,'G_Fall-back'!$Q:$Q,0))="","",INDEX('G_Fall-back'!J:J,MATCH($P1906,'G_Fall-back'!$Q:$Q,0))))</f>
        <v/>
      </c>
      <c r="K1906" s="484" t="str">
        <f>IF($M1855&lt;&gt;EUconst_Relevant,"",IF(INDEX('G_Fall-back'!K:K,MATCH($P1906,'G_Fall-back'!$Q:$Q,0))="","",INDEX('G_Fall-back'!K:K,MATCH($P1906,'G_Fall-back'!$Q:$Q,0))))</f>
        <v/>
      </c>
      <c r="L1906" s="484" t="str">
        <f>IF($M1855&lt;&gt;EUconst_Relevant,"",IF(INDEX('G_Fall-back'!L:L,MATCH($P1906,'G_Fall-back'!$Q:$Q,0))="","",INDEX('G_Fall-back'!L:L,MATCH($P1906,'G_Fall-back'!$Q:$Q,0))))</f>
        <v/>
      </c>
      <c r="M1906" s="484" t="str">
        <f>IF($M1855&lt;&gt;EUconst_Relevant,"",IF(INDEX('G_Fall-back'!M:M,MATCH($P1906,'G_Fall-back'!$Q:$Q,0))="","",INDEX('G_Fall-back'!M:M,MATCH($P1906,'G_Fall-back'!$Q:$Q,0))))</f>
        <v/>
      </c>
      <c r="N1906" s="1830" t="str">
        <f>IF($M1855&lt;&gt;EUconst_Relevant,"",IF(INDEX('G_Fall-back'!N:N,MATCH($P1906,'G_Fall-back'!$Q:$Q,0))="","",INDEX('G_Fall-back'!N:N,MATCH($P1906,'G_Fall-back'!$Q:$Q,0))))</f>
        <v/>
      </c>
      <c r="O1906" s="698"/>
      <c r="P1906" s="1500" t="str">
        <f>EUconst_CNTR_WGConsumedEF &amp;I1855</f>
        <v>WasteGasConsEF_Подинсталация с топлинен показател (без риск от ИВЕ | извън МКВЕГ)</v>
      </c>
      <c r="Q1906" s="729"/>
      <c r="R1906" s="729"/>
      <c r="S1906" s="729"/>
      <c r="T1906" s="729"/>
      <c r="U1906" s="343"/>
      <c r="V1906" s="343"/>
    </row>
    <row r="1907" spans="1:22" s="364" customFormat="1" ht="12.75" customHeight="1" x14ac:dyDescent="0.25">
      <c r="A1907" s="729"/>
      <c r="B1907" s="302"/>
      <c r="C1907" s="302"/>
      <c r="D1907" s="1820"/>
      <c r="E1907" s="2818" t="str">
        <f>Translations!$B$1475</f>
        <v>Вложена електроенергия за производството на топлинна енергия</v>
      </c>
      <c r="F1907" s="2701"/>
      <c r="G1907" s="1326" t="str">
        <f>EUconst_TJpa</f>
        <v>TJ / година</v>
      </c>
      <c r="H1907" s="482" t="str">
        <f>IF($M1855&lt;&gt;EUconst_Relevant,"",IF(INDEX('G_Fall-back'!H:H,MATCH($P1907,'G_Fall-back'!$Q:$Q,0))="","",INDEX('G_Fall-back'!H:H,MATCH($P1907,'G_Fall-back'!$Q:$Q,0))))</f>
        <v/>
      </c>
      <c r="I1907" s="1824" t="str">
        <f>IF($M1855&lt;&gt;EUconst_Relevant,"",IF(INDEX('G_Fall-back'!I:I,MATCH($P1907,'G_Fall-back'!$Q:$Q,0))="","",INDEX('G_Fall-back'!I:I,MATCH($P1907,'G_Fall-back'!$Q:$Q,0))))</f>
        <v/>
      </c>
      <c r="J1907" s="1825" t="str">
        <f>IF($M1855&lt;&gt;EUconst_Relevant,"",IF(INDEX('G_Fall-back'!J:J,MATCH($P1907,'G_Fall-back'!$Q:$Q,0))="","",INDEX('G_Fall-back'!J:J,MATCH($P1907,'G_Fall-back'!$Q:$Q,0))))</f>
        <v/>
      </c>
      <c r="K1907" s="482" t="str">
        <f>IF($M1855&lt;&gt;EUconst_Relevant,"",IF(INDEX('G_Fall-back'!K:K,MATCH($P1907,'G_Fall-back'!$Q:$Q,0))="","",INDEX('G_Fall-back'!K:K,MATCH($P1907,'G_Fall-back'!$Q:$Q,0))))</f>
        <v/>
      </c>
      <c r="L1907" s="482" t="str">
        <f>IF($M1855&lt;&gt;EUconst_Relevant,"",IF(INDEX('G_Fall-back'!L:L,MATCH($P1907,'G_Fall-back'!$Q:$Q,0))="","",INDEX('G_Fall-back'!L:L,MATCH($P1907,'G_Fall-back'!$Q:$Q,0))))</f>
        <v/>
      </c>
      <c r="M1907" s="482" t="str">
        <f>IF($M1855&lt;&gt;EUconst_Relevant,"",IF(INDEX('G_Fall-back'!M:M,MATCH($P1907,'G_Fall-back'!$Q:$Q,0))="","",INDEX('G_Fall-back'!M:M,MATCH($P1907,'G_Fall-back'!$Q:$Q,0))))</f>
        <v/>
      </c>
      <c r="N1907" s="1826" t="str">
        <f>IF($M1855&lt;&gt;EUconst_Relevant,"",IF(INDEX('G_Fall-back'!N:N,MATCH($P1907,'G_Fall-back'!$Q:$Q,0))="","",INDEX('G_Fall-back'!N:N,MATCH($P1907,'G_Fall-back'!$Q:$Q,0))))</f>
        <v/>
      </c>
      <c r="O1907" s="698"/>
      <c r="P1907" s="716" t="str">
        <f>EUconst_CNTR_ElectricityInput &amp;I1855</f>
        <v>ElectricityInput_Подинсталация с топлинен показател (без риск от ИВЕ | извън МКВЕГ)</v>
      </c>
      <c r="Q1907" s="729"/>
      <c r="R1907" s="729"/>
      <c r="S1907" s="729"/>
      <c r="T1907" s="729"/>
      <c r="U1907" s="343"/>
      <c r="V1907" s="343"/>
    </row>
    <row r="1908" spans="1:22" s="364" customFormat="1" ht="12.75" customHeight="1" x14ac:dyDescent="0.25">
      <c r="A1908" s="729"/>
      <c r="B1908" s="302"/>
      <c r="C1908" s="302"/>
      <c r="D1908" s="1820"/>
      <c r="E1908" s="2819" t="str">
        <f>Translations!$B$522</f>
        <v>Претеглен емисионен фактор</v>
      </c>
      <c r="F1908" s="2705"/>
      <c r="G1908" s="1329" t="str">
        <f>EUconst_tCO2pTJ</f>
        <v>t CO2 / TJ</v>
      </c>
      <c r="H1908" s="484" t="str">
        <f>IF($M1855&lt;&gt;EUconst_Relevant,"",IF(INDEX('G_Fall-back'!H:H,MATCH($P1908,'G_Fall-back'!$Q:$Q,0))="","",INDEX('G_Fall-back'!H:H,MATCH($P1908,'G_Fall-back'!$Q:$Q,0))))</f>
        <v/>
      </c>
      <c r="I1908" s="1828" t="str">
        <f>IF($M1855&lt;&gt;EUconst_Relevant,"",IF(INDEX('G_Fall-back'!I:I,MATCH($P1908,'G_Fall-back'!$Q:$Q,0))="","",INDEX('G_Fall-back'!I:I,MATCH($P1908,'G_Fall-back'!$Q:$Q,0))))</f>
        <v/>
      </c>
      <c r="J1908" s="1829" t="str">
        <f>IF($M1855&lt;&gt;EUconst_Relevant,"",IF(INDEX('G_Fall-back'!J:J,MATCH($P1908,'G_Fall-back'!$Q:$Q,0))="","",INDEX('G_Fall-back'!J:J,MATCH($P1908,'G_Fall-back'!$Q:$Q,0))))</f>
        <v/>
      </c>
      <c r="K1908" s="484" t="str">
        <f>IF($M1855&lt;&gt;EUconst_Relevant,"",IF(INDEX('G_Fall-back'!K:K,MATCH($P1908,'G_Fall-back'!$Q:$Q,0))="","",INDEX('G_Fall-back'!K:K,MATCH($P1908,'G_Fall-back'!$Q:$Q,0))))</f>
        <v/>
      </c>
      <c r="L1908" s="484" t="str">
        <f>IF($M1855&lt;&gt;EUconst_Relevant,"",IF(INDEX('G_Fall-back'!L:L,MATCH($P1908,'G_Fall-back'!$Q:$Q,0))="","",INDEX('G_Fall-back'!L:L,MATCH($P1908,'G_Fall-back'!$Q:$Q,0))))</f>
        <v/>
      </c>
      <c r="M1908" s="484" t="str">
        <f>IF($M1855&lt;&gt;EUconst_Relevant,"",IF(INDEX('G_Fall-back'!M:M,MATCH($P1908,'G_Fall-back'!$Q:$Q,0))="","",INDEX('G_Fall-back'!M:M,MATCH($P1908,'G_Fall-back'!$Q:$Q,0))))</f>
        <v/>
      </c>
      <c r="N1908" s="1830" t="str">
        <f>IF($M1855&lt;&gt;EUconst_Relevant,"",IF(INDEX('G_Fall-back'!N:N,MATCH($P1908,'G_Fall-back'!$Q:$Q,0))="","",INDEX('G_Fall-back'!N:N,MATCH($P1908,'G_Fall-back'!$Q:$Q,0))))</f>
        <v/>
      </c>
      <c r="O1908" s="698"/>
      <c r="P1908" s="1500" t="str">
        <f>EUconst_CNTR_ElectricityEF &amp;I1855</f>
        <v>ElectricityEF_Подинсталация с топлинен показател (без риск от ИВЕ | извън МКВЕГ)</v>
      </c>
      <c r="Q1908" s="729"/>
      <c r="R1908" s="729"/>
      <c r="S1908" s="729"/>
      <c r="T1908" s="729"/>
      <c r="U1908" s="343"/>
      <c r="V1908" s="343"/>
    </row>
    <row r="1909" spans="1:22" s="364" customFormat="1" ht="12.75" customHeight="1" x14ac:dyDescent="0.25">
      <c r="A1909" s="729"/>
      <c r="B1909" s="302"/>
      <c r="C1909" s="302"/>
      <c r="D1909" s="1820"/>
      <c r="E1909" s="2818" t="str">
        <f>Translations!$B$1476</f>
        <v>Друга вложена енергия (например екзотермична топлина)</v>
      </c>
      <c r="F1909" s="2701"/>
      <c r="G1909" s="1326" t="str">
        <f>EUconst_TJpa</f>
        <v>TJ / година</v>
      </c>
      <c r="H1909" s="482" t="str">
        <f>IF($M1855&lt;&gt;EUconst_Relevant,"",IF(INDEX('G_Fall-back'!H:H,MATCH($P1909,'G_Fall-back'!$Q:$Q,0))="","",INDEX('G_Fall-back'!H:H,MATCH($P1909,'G_Fall-back'!$Q:$Q,0))))</f>
        <v/>
      </c>
      <c r="I1909" s="1824" t="str">
        <f>IF($M1855&lt;&gt;EUconst_Relevant,"",IF(INDEX('G_Fall-back'!I:I,MATCH($P1909,'G_Fall-back'!$Q:$Q,0))="","",INDEX('G_Fall-back'!I:I,MATCH($P1909,'G_Fall-back'!$Q:$Q,0))))</f>
        <v/>
      </c>
      <c r="J1909" s="1825" t="str">
        <f>IF($M1855&lt;&gt;EUconst_Relevant,"",IF(INDEX('G_Fall-back'!J:J,MATCH($P1909,'G_Fall-back'!$Q:$Q,0))="","",INDEX('G_Fall-back'!J:J,MATCH($P1909,'G_Fall-back'!$Q:$Q,0))))</f>
        <v/>
      </c>
      <c r="K1909" s="482" t="str">
        <f>IF($M1855&lt;&gt;EUconst_Relevant,"",IF(INDEX('G_Fall-back'!K:K,MATCH($P1909,'G_Fall-back'!$Q:$Q,0))="","",INDEX('G_Fall-back'!K:K,MATCH($P1909,'G_Fall-back'!$Q:$Q,0))))</f>
        <v/>
      </c>
      <c r="L1909" s="482" t="str">
        <f>IF($M1855&lt;&gt;EUconst_Relevant,"",IF(INDEX('G_Fall-back'!L:L,MATCH($P1909,'G_Fall-back'!$Q:$Q,0))="","",INDEX('G_Fall-back'!L:L,MATCH($P1909,'G_Fall-back'!$Q:$Q,0))))</f>
        <v/>
      </c>
      <c r="M1909" s="482" t="str">
        <f>IF($M1855&lt;&gt;EUconst_Relevant,"",IF(INDEX('G_Fall-back'!M:M,MATCH($P1909,'G_Fall-back'!$Q:$Q,0))="","",INDEX('G_Fall-back'!M:M,MATCH($P1909,'G_Fall-back'!$Q:$Q,0))))</f>
        <v/>
      </c>
      <c r="N1909" s="1826" t="str">
        <f>IF($M1855&lt;&gt;EUconst_Relevant,"",IF(INDEX('G_Fall-back'!N:N,MATCH($P1909,'G_Fall-back'!$Q:$Q,0))="","",INDEX('G_Fall-back'!N:N,MATCH($P1909,'G_Fall-back'!$Q:$Q,0))))</f>
        <v/>
      </c>
      <c r="O1909" s="698"/>
      <c r="P1909" s="716" t="str">
        <f>EUconst_CNTR_OtherEnergyInput&amp;I1855</f>
        <v>OtherEnergyInput_Подинсталация с топлинен показател (без риск от ИВЕ | извън МКВЕГ)</v>
      </c>
      <c r="Q1909" s="729"/>
      <c r="R1909" s="729"/>
      <c r="S1909" s="729"/>
      <c r="T1909" s="729"/>
      <c r="U1909" s="343"/>
      <c r="V1909" s="343"/>
    </row>
    <row r="1910" spans="1:22" s="364" customFormat="1" ht="12.75" customHeight="1" x14ac:dyDescent="0.25">
      <c r="A1910" s="729"/>
      <c r="B1910" s="302"/>
      <c r="C1910" s="302"/>
      <c r="D1910" s="1820"/>
      <c r="E1910" s="2819" t="str">
        <f>Translations!$B$522</f>
        <v>Претеглен емисионен фактор</v>
      </c>
      <c r="F1910" s="2705"/>
      <c r="G1910" s="1329" t="str">
        <f>EUconst_tCO2pTJ</f>
        <v>t CO2 / TJ</v>
      </c>
      <c r="H1910" s="484" t="str">
        <f>IF($M1855&lt;&gt;EUconst_Relevant,"",IF(INDEX('G_Fall-back'!H:H,MATCH($P1910,'G_Fall-back'!$Q:$Q,0))="","",INDEX('G_Fall-back'!H:H,MATCH($P1910,'G_Fall-back'!$Q:$Q,0))))</f>
        <v/>
      </c>
      <c r="I1910" s="1828" t="str">
        <f>IF($M1855&lt;&gt;EUconst_Relevant,"",IF(INDEX('G_Fall-back'!I:I,MATCH($P1910,'G_Fall-back'!$Q:$Q,0))="","",INDEX('G_Fall-back'!I:I,MATCH($P1910,'G_Fall-back'!$Q:$Q,0))))</f>
        <v/>
      </c>
      <c r="J1910" s="1829" t="str">
        <f>IF($M1855&lt;&gt;EUconst_Relevant,"",IF(INDEX('G_Fall-back'!J:J,MATCH($P1910,'G_Fall-back'!$Q:$Q,0))="","",INDEX('G_Fall-back'!J:J,MATCH($P1910,'G_Fall-back'!$Q:$Q,0))))</f>
        <v/>
      </c>
      <c r="K1910" s="484" t="str">
        <f>IF($M1855&lt;&gt;EUconst_Relevant,"",IF(INDEX('G_Fall-back'!K:K,MATCH($P1910,'G_Fall-back'!$Q:$Q,0))="","",INDEX('G_Fall-back'!K:K,MATCH($P1910,'G_Fall-back'!$Q:$Q,0))))</f>
        <v/>
      </c>
      <c r="L1910" s="484" t="str">
        <f>IF($M1855&lt;&gt;EUconst_Relevant,"",IF(INDEX('G_Fall-back'!L:L,MATCH($P1910,'G_Fall-back'!$Q:$Q,0))="","",INDEX('G_Fall-back'!L:L,MATCH($P1910,'G_Fall-back'!$Q:$Q,0))))</f>
        <v/>
      </c>
      <c r="M1910" s="484" t="str">
        <f>IF($M1855&lt;&gt;EUconst_Relevant,"",IF(INDEX('G_Fall-back'!M:M,MATCH($P1910,'G_Fall-back'!$Q:$Q,0))="","",INDEX('G_Fall-back'!M:M,MATCH($P1910,'G_Fall-back'!$Q:$Q,0))))</f>
        <v/>
      </c>
      <c r="N1910" s="1830" t="str">
        <f>IF($M1855&lt;&gt;EUconst_Relevant,"",IF(INDEX('G_Fall-back'!N:N,MATCH($P1910,'G_Fall-back'!$Q:$Q,0))="","",INDEX('G_Fall-back'!N:N,MATCH($P1910,'G_Fall-back'!$Q:$Q,0))))</f>
        <v/>
      </c>
      <c r="O1910" s="698"/>
      <c r="P1910" s="1500" t="str">
        <f>EUconst_CNTR_OtherEnergyEF &amp;I1855</f>
        <v>ElectricityEF_Подинсталация с топлинен показател (без риск от ИВЕ | извън МКВЕГ)</v>
      </c>
      <c r="Q1910" s="729"/>
      <c r="R1910" s="729"/>
      <c r="S1910" s="729"/>
      <c r="T1910" s="729"/>
      <c r="U1910" s="343"/>
      <c r="V1910" s="343"/>
    </row>
    <row r="1911" spans="1:22" s="364" customFormat="1" ht="12.75" customHeight="1" x14ac:dyDescent="0.25">
      <c r="A1911" s="729"/>
      <c r="B1911" s="302"/>
      <c r="C1911" s="302"/>
      <c r="D1911" s="1820"/>
      <c r="E1911" s="2819" t="str">
        <f>Translations!$B$1553</f>
        <v>Обща вложена енергия (= i. + v. + vii.)</v>
      </c>
      <c r="F1911" s="2705"/>
      <c r="G1911" s="1329" t="str">
        <f>EUconst_TJpa</f>
        <v>TJ / година</v>
      </c>
      <c r="H1911" s="484" t="str">
        <f>IF($M1855&lt;&gt;EUconst_Relevant,"",IF(INDEX('G_Fall-back'!H:H,MATCH($P1911,'G_Fall-back'!$Q:$Q,0))="","",INDEX('G_Fall-back'!H:H,MATCH($P1911,'G_Fall-back'!$Q:$Q,0))))</f>
        <v/>
      </c>
      <c r="I1911" s="1828" t="str">
        <f>IF($M1855&lt;&gt;EUconst_Relevant,"",IF(INDEX('G_Fall-back'!I:I,MATCH($P1911,'G_Fall-back'!$Q:$Q,0))="","",INDEX('G_Fall-back'!I:I,MATCH($P1911,'G_Fall-back'!$Q:$Q,0))))</f>
        <v/>
      </c>
      <c r="J1911" s="1829" t="str">
        <f>IF($M1855&lt;&gt;EUconst_Relevant,"",IF(INDEX('G_Fall-back'!J:J,MATCH($P1911,'G_Fall-back'!$Q:$Q,0))="","",INDEX('G_Fall-back'!J:J,MATCH($P1911,'G_Fall-back'!$Q:$Q,0))))</f>
        <v/>
      </c>
      <c r="K1911" s="484" t="str">
        <f>IF($M1855&lt;&gt;EUconst_Relevant,"",IF(INDEX('G_Fall-back'!K:K,MATCH($P1911,'G_Fall-back'!$Q:$Q,0))="","",INDEX('G_Fall-back'!K:K,MATCH($P1911,'G_Fall-back'!$Q:$Q,0))))</f>
        <v/>
      </c>
      <c r="L1911" s="484" t="str">
        <f>IF($M1855&lt;&gt;EUconst_Relevant,"",IF(INDEX('G_Fall-back'!L:L,MATCH($P1911,'G_Fall-back'!$Q:$Q,0))="","",INDEX('G_Fall-back'!L:L,MATCH($P1911,'G_Fall-back'!$Q:$Q,0))))</f>
        <v/>
      </c>
      <c r="M1911" s="484" t="str">
        <f>IF($M1855&lt;&gt;EUconst_Relevant,"",IF(INDEX('G_Fall-back'!M:M,MATCH($P1911,'G_Fall-back'!$Q:$Q,0))="","",INDEX('G_Fall-back'!M:M,MATCH($P1911,'G_Fall-back'!$Q:$Q,0))))</f>
        <v/>
      </c>
      <c r="N1911" s="1830" t="str">
        <f>IF($M1855&lt;&gt;EUconst_Relevant,"",IF(INDEX('G_Fall-back'!N:N,MATCH($P1911,'G_Fall-back'!$Q:$Q,0))="","",INDEX('G_Fall-back'!N:N,MATCH($P1911,'G_Fall-back'!$Q:$Q,0))))</f>
        <v/>
      </c>
      <c r="O1911" s="698"/>
      <c r="P1911" s="1500" t="str">
        <f>EUconst_CNTR_TotalEnergyInput&amp;I1855</f>
        <v>TotalEnergyInput_Подинсталация с топлинен показател (без риск от ИВЕ | извън МКВЕГ)</v>
      </c>
      <c r="Q1911" s="729"/>
      <c r="R1911" s="729"/>
      <c r="S1911" s="729"/>
      <c r="T1911" s="729"/>
      <c r="U1911" s="343"/>
      <c r="V1911" s="343"/>
    </row>
    <row r="1912" spans="1:22" s="364" customFormat="1" ht="5.15" customHeight="1" x14ac:dyDescent="0.25">
      <c r="A1912" s="729"/>
      <c r="B1912" s="302"/>
      <c r="C1912" s="302"/>
      <c r="D1912" s="1820"/>
      <c r="E1912" s="625"/>
      <c r="F1912" s="626"/>
      <c r="G1912" s="626"/>
      <c r="H1912" s="640"/>
      <c r="I1912" s="640"/>
      <c r="J1912" s="640"/>
      <c r="K1912" s="640"/>
      <c r="L1912" s="640"/>
      <c r="M1912" s="640"/>
      <c r="N1912" s="1831"/>
      <c r="O1912" s="698"/>
      <c r="P1912" s="729"/>
      <c r="Q1912" s="729"/>
      <c r="R1912" s="729"/>
      <c r="S1912" s="729"/>
      <c r="T1912" s="729"/>
      <c r="U1912" s="343"/>
      <c r="V1912" s="343"/>
    </row>
    <row r="1913" spans="1:22" s="364" customFormat="1" x14ac:dyDescent="0.25">
      <c r="A1913" s="729"/>
      <c r="B1913" s="302"/>
      <c r="C1913" s="302"/>
      <c r="D1913" s="1820"/>
      <c r="E1913" s="2820" t="str">
        <f>Translations!$B$484</f>
        <v>Преки емисии</v>
      </c>
      <c r="F1913" s="2258"/>
      <c r="G1913" s="1319" t="str">
        <f>EUconst_tCO2pa</f>
        <v>t CO2 / година</v>
      </c>
      <c r="H1913" s="480" t="str">
        <f>IF($M1855&lt;&gt;EUconst_Relevant,"",IF(INDEX('G_Fall-back'!H:H,MATCH($P1913,'G_Fall-back'!$Q:$Q,0))="","",INDEX('G_Fall-back'!H:H,MATCH($P1913,'G_Fall-back'!$Q:$Q,0))))</f>
        <v/>
      </c>
      <c r="I1913" s="1399" t="str">
        <f>IF($M1855&lt;&gt;EUconst_Relevant,"",IF(INDEX('G_Fall-back'!I:I,MATCH($P1913,'G_Fall-back'!$Q:$Q,0))="","",INDEX('G_Fall-back'!I:I,MATCH($P1913,'G_Fall-back'!$Q:$Q,0))))</f>
        <v/>
      </c>
      <c r="J1913" s="1832" t="str">
        <f>IF($M1855&lt;&gt;EUconst_Relevant,"",IF(INDEX('G_Fall-back'!J:J,MATCH($P1913,'G_Fall-back'!$Q:$Q,0))="","",INDEX('G_Fall-back'!J:J,MATCH($P1913,'G_Fall-back'!$Q:$Q,0))))</f>
        <v/>
      </c>
      <c r="K1913" s="480" t="str">
        <f>IF($M1855&lt;&gt;EUconst_Relevant,"",IF(INDEX('G_Fall-back'!K:K,MATCH($P1913,'G_Fall-back'!$Q:$Q,0))="","",INDEX('G_Fall-back'!K:K,MATCH($P1913,'G_Fall-back'!$Q:$Q,0))))</f>
        <v/>
      </c>
      <c r="L1913" s="480" t="str">
        <f>IF($M1855&lt;&gt;EUconst_Relevant,"",IF(INDEX('G_Fall-back'!L:L,MATCH($P1913,'G_Fall-back'!$Q:$Q,0))="","",INDEX('G_Fall-back'!L:L,MATCH($P1913,'G_Fall-back'!$Q:$Q,0))))</f>
        <v/>
      </c>
      <c r="M1913" s="480" t="str">
        <f>IF($M1855&lt;&gt;EUconst_Relevant,"",IF(INDEX('G_Fall-back'!M:M,MATCH($P1913,'G_Fall-back'!$Q:$Q,0))="","",INDEX('G_Fall-back'!M:M,MATCH($P1913,'G_Fall-back'!$Q:$Q,0))))</f>
        <v/>
      </c>
      <c r="N1913" s="1833" t="str">
        <f>IF($M1855&lt;&gt;EUconst_Relevant,"",IF(INDEX('G_Fall-back'!N:N,MATCH($P1913,'G_Fall-back'!$Q:$Q,0))="","",INDEX('G_Fall-back'!N:N,MATCH($P1913,'G_Fall-back'!$Q:$Q,0))))</f>
        <v/>
      </c>
      <c r="O1913" s="698"/>
      <c r="P1913" s="1500" t="str">
        <f>EUconst_CNTR_Emissions &amp;I1855</f>
        <v>DirEmissions_Подинсталация с топлинен показател (без риск от ИВЕ | извън МКВЕГ)</v>
      </c>
      <c r="Q1913" s="729"/>
      <c r="R1913" s="729"/>
      <c r="S1913" s="729"/>
      <c r="T1913" s="729"/>
      <c r="U1913" s="343"/>
      <c r="V1913" s="343"/>
    </row>
    <row r="1914" spans="1:22" s="364" customFormat="1" ht="5.15" customHeight="1" x14ac:dyDescent="0.25">
      <c r="A1914" s="729"/>
      <c r="B1914" s="302"/>
      <c r="C1914" s="302"/>
      <c r="D1914" s="1820"/>
      <c r="E1914" s="625"/>
      <c r="F1914" s="625"/>
      <c r="G1914" s="625"/>
      <c r="H1914" s="640"/>
      <c r="I1914" s="640"/>
      <c r="J1914" s="640"/>
      <c r="K1914" s="640"/>
      <c r="L1914" s="640"/>
      <c r="M1914" s="640"/>
      <c r="N1914" s="1831"/>
      <c r="O1914" s="698"/>
      <c r="P1914" s="729"/>
      <c r="Q1914" s="729"/>
      <c r="R1914" s="729"/>
      <c r="S1914" s="729"/>
      <c r="T1914" s="729"/>
      <c r="U1914" s="343"/>
      <c r="V1914" s="343"/>
    </row>
    <row r="1915" spans="1:22" s="364" customFormat="1" ht="12.75" customHeight="1" x14ac:dyDescent="0.25">
      <c r="A1915" s="729"/>
      <c r="B1915" s="302"/>
      <c r="C1915" s="302"/>
      <c r="D1915" s="1820"/>
      <c r="E1915" s="2818" t="str">
        <f>Translations!$B$959</f>
        <v>Нетно к-во получена топлинна енергия (други)</v>
      </c>
      <c r="F1915" s="2701"/>
      <c r="G1915" s="1326" t="str">
        <f>EUconst_TJpa</f>
        <v>TJ / година</v>
      </c>
      <c r="H1915" s="482" t="str">
        <f>IF($M1855&lt;&gt;EUconst_Relevant,"",IF(INDEX('G_Fall-back'!H:H,MATCH($P1915,'G_Fall-back'!$Q:$Q,0))="","",INDEX('G_Fall-back'!H:H,MATCH($P1915,'G_Fall-back'!$Q:$Q,0))))</f>
        <v/>
      </c>
      <c r="I1915" s="1824" t="str">
        <f>IF($M1855&lt;&gt;EUconst_Relevant,"",IF(INDEX('G_Fall-back'!I:I,MATCH($P1915,'G_Fall-back'!$Q:$Q,0))="","",INDEX('G_Fall-back'!I:I,MATCH($P1915,'G_Fall-back'!$Q:$Q,0))))</f>
        <v/>
      </c>
      <c r="J1915" s="1825" t="str">
        <f>IF($M1855&lt;&gt;EUconst_Relevant,"",IF(INDEX('G_Fall-back'!J:J,MATCH($P1915,'G_Fall-back'!$Q:$Q,0))="","",INDEX('G_Fall-back'!J:J,MATCH($P1915,'G_Fall-back'!$Q:$Q,0))))</f>
        <v/>
      </c>
      <c r="K1915" s="482" t="str">
        <f>IF($M1855&lt;&gt;EUconst_Relevant,"",IF(INDEX('G_Fall-back'!K:K,MATCH($P1915,'G_Fall-back'!$Q:$Q,0))="","",INDEX('G_Fall-back'!K:K,MATCH($P1915,'G_Fall-back'!$Q:$Q,0))))</f>
        <v/>
      </c>
      <c r="L1915" s="482" t="str">
        <f>IF($M1855&lt;&gt;EUconst_Relevant,"",IF(INDEX('G_Fall-back'!L:L,MATCH($P1915,'G_Fall-back'!$Q:$Q,0))="","",INDEX('G_Fall-back'!L:L,MATCH($P1915,'G_Fall-back'!$Q:$Q,0))))</f>
        <v/>
      </c>
      <c r="M1915" s="482" t="str">
        <f>IF($M1855&lt;&gt;EUconst_Relevant,"",IF(INDEX('G_Fall-back'!M:M,MATCH($P1915,'G_Fall-back'!$Q:$Q,0))="","",INDEX('G_Fall-back'!M:M,MATCH($P1915,'G_Fall-back'!$Q:$Q,0))))</f>
        <v/>
      </c>
      <c r="N1915" s="1826" t="str">
        <f>IF($M1855&lt;&gt;EUconst_Relevant,"",IF(INDEX('G_Fall-back'!N:N,MATCH($P1915,'G_Fall-back'!$Q:$Q,0))="","",INDEX('G_Fall-back'!N:N,MATCH($P1915,'G_Fall-back'!$Q:$Q,0))))</f>
        <v/>
      </c>
      <c r="O1915" s="698"/>
      <c r="P1915" s="1500" t="str">
        <f>EUconst_CNTR_HeatImport &amp;I1855</f>
        <v>HeatIm_Подинсталация с топлинен показател (без риск от ИВЕ | извън МКВЕГ)</v>
      </c>
      <c r="Q1915" s="729"/>
      <c r="R1915" s="729"/>
      <c r="S1915" s="729"/>
      <c r="T1915" s="729"/>
      <c r="U1915" s="343"/>
      <c r="V1915" s="343"/>
    </row>
    <row r="1916" spans="1:22" s="364" customFormat="1" ht="12.75" customHeight="1" x14ac:dyDescent="0.25">
      <c r="A1916" s="729"/>
      <c r="B1916" s="302"/>
      <c r="C1916" s="302"/>
      <c r="D1916" s="1820"/>
      <c r="E1916" s="2819" t="str">
        <f>Translations!$B$555</f>
        <v>Специфичен EF (получена топлинна енергия)</v>
      </c>
      <c r="F1916" s="2705"/>
      <c r="G1916" s="1329" t="str">
        <f>EUconst_tCO2pTJ</f>
        <v>t CO2 / TJ</v>
      </c>
      <c r="H1916" s="484" t="str">
        <f>IF($M1855&lt;&gt;EUconst_Relevant,"",IF(INDEX('G_Fall-back'!H:H,MATCH($P1916,'G_Fall-back'!$Q:$Q,0))="","",INDEX('G_Fall-back'!H:H,MATCH($P1916,'G_Fall-back'!$Q:$Q,0))))</f>
        <v/>
      </c>
      <c r="I1916" s="1828" t="str">
        <f>IF($M1855&lt;&gt;EUconst_Relevant,"",IF(INDEX('G_Fall-back'!I:I,MATCH($P1916,'G_Fall-back'!$Q:$Q,0))="","",INDEX('G_Fall-back'!I:I,MATCH($P1916,'G_Fall-back'!$Q:$Q,0))))</f>
        <v/>
      </c>
      <c r="J1916" s="1829" t="str">
        <f>IF($M1855&lt;&gt;EUconst_Relevant,"",IF(INDEX('G_Fall-back'!J:J,MATCH($P1916,'G_Fall-back'!$Q:$Q,0))="","",INDEX('G_Fall-back'!J:J,MATCH($P1916,'G_Fall-back'!$Q:$Q,0))))</f>
        <v/>
      </c>
      <c r="K1916" s="484" t="str">
        <f>IF($M1855&lt;&gt;EUconst_Relevant,"",IF(INDEX('G_Fall-back'!K:K,MATCH($P1916,'G_Fall-back'!$Q:$Q,0))="","",INDEX('G_Fall-back'!K:K,MATCH($P1916,'G_Fall-back'!$Q:$Q,0))))</f>
        <v/>
      </c>
      <c r="L1916" s="484" t="str">
        <f>IF($M1855&lt;&gt;EUconst_Relevant,"",IF(INDEX('G_Fall-back'!L:L,MATCH($P1916,'G_Fall-back'!$Q:$Q,0))="","",INDEX('G_Fall-back'!L:L,MATCH($P1916,'G_Fall-back'!$Q:$Q,0))))</f>
        <v/>
      </c>
      <c r="M1916" s="484" t="str">
        <f>IF($M1855&lt;&gt;EUconst_Relevant,"",IF(INDEX('G_Fall-back'!M:M,MATCH($P1916,'G_Fall-back'!$Q:$Q,0))="","",INDEX('G_Fall-back'!M:M,MATCH($P1916,'G_Fall-back'!$Q:$Q,0))))</f>
        <v/>
      </c>
      <c r="N1916" s="1830" t="str">
        <f>IF($M1855&lt;&gt;EUconst_Relevant,"",IF(INDEX('G_Fall-back'!N:N,MATCH($P1916,'G_Fall-back'!$Q:$Q,0))="","",INDEX('G_Fall-back'!N:N,MATCH($P1916,'G_Fall-back'!$Q:$Q,0))))</f>
        <v/>
      </c>
      <c r="O1916" s="698"/>
      <c r="P1916" s="1500" t="str">
        <f>EUconst_CNTR_HeatImportEF &amp;I1855</f>
        <v>HeatImEF_Подинсталация с топлинен показател (без риск от ИВЕ | извън МКВЕГ)</v>
      </c>
      <c r="Q1916" s="729"/>
      <c r="R1916" s="729"/>
      <c r="S1916" s="729"/>
      <c r="T1916" s="729"/>
      <c r="U1916" s="343"/>
      <c r="V1916" s="343"/>
    </row>
    <row r="1917" spans="1:22" s="364" customFormat="1" ht="12.75" customHeight="1" x14ac:dyDescent="0.25">
      <c r="A1917" s="729"/>
      <c r="B1917" s="302"/>
      <c r="C1917" s="302"/>
      <c r="D1917" s="1820"/>
      <c r="E1917" s="2818" t="str">
        <f>Translations!$B$960</f>
        <v>Нетно к-во получена топлинна енергия (прод. п-л)</v>
      </c>
      <c r="F1917" s="2701"/>
      <c r="G1917" s="1326" t="str">
        <f>EUconst_TJpa</f>
        <v>TJ / година</v>
      </c>
      <c r="H1917" s="482" t="str">
        <f>IF($M1855&lt;&gt;EUconst_Relevant,"",IF(INDEX('G_Fall-back'!H:H,MATCH($P1917,'G_Fall-back'!$Q:$Q,0))="","",INDEX('G_Fall-back'!H:H,MATCH($P1917,'G_Fall-back'!$Q:$Q,0))))</f>
        <v/>
      </c>
      <c r="I1917" s="1824" t="str">
        <f>IF($M1855&lt;&gt;EUconst_Relevant,"",IF(INDEX('G_Fall-back'!I:I,MATCH($P1917,'G_Fall-back'!$Q:$Q,0))="","",INDEX('G_Fall-back'!I:I,MATCH($P1917,'G_Fall-back'!$Q:$Q,0))))</f>
        <v/>
      </c>
      <c r="J1917" s="1825" t="str">
        <f>IF($M1855&lt;&gt;EUconst_Relevant,"",IF(INDEX('G_Fall-back'!J:J,MATCH($P1917,'G_Fall-back'!$Q:$Q,0))="","",INDEX('G_Fall-back'!J:J,MATCH($P1917,'G_Fall-back'!$Q:$Q,0))))</f>
        <v/>
      </c>
      <c r="K1917" s="482" t="str">
        <f>IF($M1855&lt;&gt;EUconst_Relevant,"",IF(INDEX('G_Fall-back'!K:K,MATCH($P1917,'G_Fall-back'!$Q:$Q,0))="","",INDEX('G_Fall-back'!K:K,MATCH($P1917,'G_Fall-back'!$Q:$Q,0))))</f>
        <v/>
      </c>
      <c r="L1917" s="482" t="str">
        <f>IF($M1855&lt;&gt;EUconst_Relevant,"",IF(INDEX('G_Fall-back'!L:L,MATCH($P1917,'G_Fall-back'!$Q:$Q,0))="","",INDEX('G_Fall-back'!L:L,MATCH($P1917,'G_Fall-back'!$Q:$Q,0))))</f>
        <v/>
      </c>
      <c r="M1917" s="482" t="str">
        <f>IF($M1855&lt;&gt;EUconst_Relevant,"",IF(INDEX('G_Fall-back'!M:M,MATCH($P1917,'G_Fall-back'!$Q:$Q,0))="","",INDEX('G_Fall-back'!M:M,MATCH($P1917,'G_Fall-back'!$Q:$Q,0))))</f>
        <v/>
      </c>
      <c r="N1917" s="1826" t="str">
        <f>IF($M1855&lt;&gt;EUconst_Relevant,"",IF(INDEX('G_Fall-back'!N:N,MATCH($P1917,'G_Fall-back'!$Q:$Q,0))="","",INDEX('G_Fall-back'!N:N,MATCH($P1917,'G_Fall-back'!$Q:$Q,0))))</f>
        <v/>
      </c>
      <c r="O1917" s="698"/>
      <c r="P1917" s="1500" t="str">
        <f>EUconst_CNTR_HeatImportProduct &amp;I1855</f>
        <v>HeatImProd_Подинсталация с топлинен показател (без риск от ИВЕ | извън МКВЕГ)</v>
      </c>
      <c r="Q1917" s="729"/>
      <c r="R1917" s="729"/>
      <c r="S1917" s="729"/>
      <c r="T1917" s="729"/>
      <c r="U1917" s="343"/>
      <c r="V1917" s="343"/>
    </row>
    <row r="1918" spans="1:22" s="364" customFormat="1" ht="12.75" customHeight="1" x14ac:dyDescent="0.25">
      <c r="A1918" s="729"/>
      <c r="B1918" s="302"/>
      <c r="C1918" s="302"/>
      <c r="D1918" s="1820"/>
      <c r="E1918" s="2819" t="str">
        <f>Translations!$B$652</f>
        <v>Специфичен EF (от продуктов показател)</v>
      </c>
      <c r="F1918" s="2705"/>
      <c r="G1918" s="1329" t="str">
        <f>EUconst_tCO2pTJ</f>
        <v>t CO2 / TJ</v>
      </c>
      <c r="H1918" s="484" t="str">
        <f>IF($M1855&lt;&gt;EUconst_Relevant,"",IF(INDEX('G_Fall-back'!H:H,MATCH($P1918,'G_Fall-back'!$Q:$Q,0))="","",INDEX('G_Fall-back'!H:H,MATCH($P1918,'G_Fall-back'!$Q:$Q,0))))</f>
        <v/>
      </c>
      <c r="I1918" s="1828" t="str">
        <f>IF($M1855&lt;&gt;EUconst_Relevant,"",IF(INDEX('G_Fall-back'!I:I,MATCH($P1918,'G_Fall-back'!$Q:$Q,0))="","",INDEX('G_Fall-back'!I:I,MATCH($P1918,'G_Fall-back'!$Q:$Q,0))))</f>
        <v/>
      </c>
      <c r="J1918" s="1829" t="str">
        <f>IF($M1855&lt;&gt;EUconst_Relevant,"",IF(INDEX('G_Fall-back'!J:J,MATCH($P1918,'G_Fall-back'!$Q:$Q,0))="","",INDEX('G_Fall-back'!J:J,MATCH($P1918,'G_Fall-back'!$Q:$Q,0))))</f>
        <v/>
      </c>
      <c r="K1918" s="484" t="str">
        <f>IF($M1855&lt;&gt;EUconst_Relevant,"",IF(INDEX('G_Fall-back'!K:K,MATCH($P1918,'G_Fall-back'!$Q:$Q,0))="","",INDEX('G_Fall-back'!K:K,MATCH($P1918,'G_Fall-back'!$Q:$Q,0))))</f>
        <v/>
      </c>
      <c r="L1918" s="484" t="str">
        <f>IF($M1855&lt;&gt;EUconst_Relevant,"",IF(INDEX('G_Fall-back'!L:L,MATCH($P1918,'G_Fall-back'!$Q:$Q,0))="","",INDEX('G_Fall-back'!L:L,MATCH($P1918,'G_Fall-back'!$Q:$Q,0))))</f>
        <v/>
      </c>
      <c r="M1918" s="484" t="str">
        <f>IF($M1855&lt;&gt;EUconst_Relevant,"",IF(INDEX('G_Fall-back'!M:M,MATCH($P1918,'G_Fall-back'!$Q:$Q,0))="","",INDEX('G_Fall-back'!M:M,MATCH($P1918,'G_Fall-back'!$Q:$Q,0))))</f>
        <v/>
      </c>
      <c r="N1918" s="1830" t="str">
        <f>IF($M1855&lt;&gt;EUconst_Relevant,"",IF(INDEX('G_Fall-back'!N:N,MATCH($P1918,'G_Fall-back'!$Q:$Q,0))="","",INDEX('G_Fall-back'!N:N,MATCH($P1918,'G_Fall-back'!$Q:$Q,0))))</f>
        <v/>
      </c>
      <c r="O1918" s="698"/>
      <c r="P1918" s="1500" t="str">
        <f>EUconst_CNTR_HeatImportProductEF &amp;I1855</f>
        <v>HeatImProdEF_Подинсталация с топлинен показател (без риск от ИВЕ | извън МКВЕГ)</v>
      </c>
      <c r="Q1918" s="729"/>
      <c r="R1918" s="729"/>
      <c r="S1918" s="729"/>
      <c r="T1918" s="729"/>
      <c r="U1918" s="343"/>
      <c r="V1918" s="343"/>
    </row>
    <row r="1919" spans="1:22" s="364" customFormat="1" ht="12.75" customHeight="1" x14ac:dyDescent="0.25">
      <c r="A1919" s="729"/>
      <c r="B1919" s="302"/>
      <c r="C1919" s="302"/>
      <c r="D1919" s="1820"/>
      <c r="E1919" s="2818" t="str">
        <f>Translations!$B$961</f>
        <v>Нетно к-во получена топлинна енергия (пулп)</v>
      </c>
      <c r="F1919" s="2701"/>
      <c r="G1919" s="1326" t="str">
        <f>EUconst_TJpa</f>
        <v>TJ / година</v>
      </c>
      <c r="H1919" s="482" t="str">
        <f>IF($M1855&lt;&gt;EUconst_Relevant,"",IF(INDEX('G_Fall-back'!H:H,MATCH($P1919,'G_Fall-back'!$Q:$Q,0))="","",INDEX('G_Fall-back'!H:H,MATCH($P1919,'G_Fall-back'!$Q:$Q,0))))</f>
        <v/>
      </c>
      <c r="I1919" s="1824" t="str">
        <f>IF($M1855&lt;&gt;EUconst_Relevant,"",IF(INDEX('G_Fall-back'!I:I,MATCH($P1919,'G_Fall-back'!$Q:$Q,0))="","",INDEX('G_Fall-back'!I:I,MATCH($P1919,'G_Fall-back'!$Q:$Q,0))))</f>
        <v/>
      </c>
      <c r="J1919" s="1825" t="str">
        <f>IF($M1855&lt;&gt;EUconst_Relevant,"",IF(INDEX('G_Fall-back'!J:J,MATCH($P1919,'G_Fall-back'!$Q:$Q,0))="","",INDEX('G_Fall-back'!J:J,MATCH($P1919,'G_Fall-back'!$Q:$Q,0))))</f>
        <v/>
      </c>
      <c r="K1919" s="482" t="str">
        <f>IF($M1855&lt;&gt;EUconst_Relevant,"",IF(INDEX('G_Fall-back'!K:K,MATCH($P1919,'G_Fall-back'!$Q:$Q,0))="","",INDEX('G_Fall-back'!K:K,MATCH($P1919,'G_Fall-back'!$Q:$Q,0))))</f>
        <v/>
      </c>
      <c r="L1919" s="482" t="str">
        <f>IF($M1855&lt;&gt;EUconst_Relevant,"",IF(INDEX('G_Fall-back'!L:L,MATCH($P1919,'G_Fall-back'!$Q:$Q,0))="","",INDEX('G_Fall-back'!L:L,MATCH($P1919,'G_Fall-back'!$Q:$Q,0))))</f>
        <v/>
      </c>
      <c r="M1919" s="482" t="str">
        <f>IF($M1855&lt;&gt;EUconst_Relevant,"",IF(INDEX('G_Fall-back'!M:M,MATCH($P1919,'G_Fall-back'!$Q:$Q,0))="","",INDEX('G_Fall-back'!M:M,MATCH($P1919,'G_Fall-back'!$Q:$Q,0))))</f>
        <v/>
      </c>
      <c r="N1919" s="1826" t="str">
        <f>IF($M1855&lt;&gt;EUconst_Relevant,"",IF(INDEX('G_Fall-back'!N:N,MATCH($P1919,'G_Fall-back'!$Q:$Q,0))="","",INDEX('G_Fall-back'!N:N,MATCH($P1919,'G_Fall-back'!$Q:$Q,0))))</f>
        <v/>
      </c>
      <c r="O1919" s="698"/>
      <c r="P1919" s="1500" t="str">
        <f>EUconst_CNTR_HeatImportPulp &amp;I1855</f>
        <v>HeatImPulp_Подинсталация с топлинен показател (без риск от ИВЕ | извън МКВЕГ)</v>
      </c>
      <c r="Q1919" s="729"/>
      <c r="R1919" s="729"/>
      <c r="S1919" s="729"/>
      <c r="T1919" s="729"/>
      <c r="U1919" s="343"/>
      <c r="V1919" s="343"/>
    </row>
    <row r="1920" spans="1:22" s="364" customFormat="1" x14ac:dyDescent="0.25">
      <c r="A1920" s="729"/>
      <c r="B1920" s="302"/>
      <c r="C1920" s="302"/>
      <c r="D1920" s="1820"/>
      <c r="E1920" s="2819" t="str">
        <f>Translations!$B$654</f>
        <v>Специфичен EF (от пулп)</v>
      </c>
      <c r="F1920" s="2705"/>
      <c r="G1920" s="1329" t="str">
        <f>EUconst_tCO2pTJ</f>
        <v>t CO2 / TJ</v>
      </c>
      <c r="H1920" s="484" t="str">
        <f>IF($M1855&lt;&gt;EUconst_Relevant,"",IF(INDEX('G_Fall-back'!H:H,MATCH($P1920,'G_Fall-back'!$Q:$Q,0))="","",INDEX('G_Fall-back'!H:H,MATCH($P1920,'G_Fall-back'!$Q:$Q,0))))</f>
        <v/>
      </c>
      <c r="I1920" s="1828" t="str">
        <f>IF($M1855&lt;&gt;EUconst_Relevant,"",IF(INDEX('G_Fall-back'!I:I,MATCH($P1920,'G_Fall-back'!$Q:$Q,0))="","",INDEX('G_Fall-back'!I:I,MATCH($P1920,'G_Fall-back'!$Q:$Q,0))))</f>
        <v/>
      </c>
      <c r="J1920" s="1829" t="str">
        <f>IF($M1855&lt;&gt;EUconst_Relevant,"",IF(INDEX('G_Fall-back'!J:J,MATCH($P1920,'G_Fall-back'!$Q:$Q,0))="","",INDEX('G_Fall-back'!J:J,MATCH($P1920,'G_Fall-back'!$Q:$Q,0))))</f>
        <v/>
      </c>
      <c r="K1920" s="484" t="str">
        <f>IF($M1855&lt;&gt;EUconst_Relevant,"",IF(INDEX('G_Fall-back'!K:K,MATCH($P1920,'G_Fall-back'!$Q:$Q,0))="","",INDEX('G_Fall-back'!K:K,MATCH($P1920,'G_Fall-back'!$Q:$Q,0))))</f>
        <v/>
      </c>
      <c r="L1920" s="484" t="str">
        <f>IF($M1855&lt;&gt;EUconst_Relevant,"",IF(INDEX('G_Fall-back'!L:L,MATCH($P1920,'G_Fall-back'!$Q:$Q,0))="","",INDEX('G_Fall-back'!L:L,MATCH($P1920,'G_Fall-back'!$Q:$Q,0))))</f>
        <v/>
      </c>
      <c r="M1920" s="484" t="str">
        <f>IF($M1855&lt;&gt;EUconst_Relevant,"",IF(INDEX('G_Fall-back'!M:M,MATCH($P1920,'G_Fall-back'!$Q:$Q,0))="","",INDEX('G_Fall-back'!M:M,MATCH($P1920,'G_Fall-back'!$Q:$Q,0))))</f>
        <v/>
      </c>
      <c r="N1920" s="1830" t="str">
        <f>IF($M1855&lt;&gt;EUconst_Relevant,"",IF(INDEX('G_Fall-back'!N:N,MATCH($P1920,'G_Fall-back'!$Q:$Q,0))="","",INDEX('G_Fall-back'!N:N,MATCH($P1920,'G_Fall-back'!$Q:$Q,0))))</f>
        <v/>
      </c>
      <c r="O1920" s="698"/>
      <c r="P1920" s="1500" t="str">
        <f>EUconst_CNTR_HeatImportPulpEF &amp;I1855</f>
        <v>HeatImPulpEF_Подинсталация с топлинен показател (без риск от ИВЕ | извън МКВЕГ)</v>
      </c>
      <c r="Q1920" s="729"/>
      <c r="R1920" s="729"/>
      <c r="S1920" s="729"/>
      <c r="T1920" s="729"/>
      <c r="U1920" s="343"/>
      <c r="V1920" s="343"/>
    </row>
    <row r="1921" spans="1:22" s="364" customFormat="1" ht="12.75" customHeight="1" x14ac:dyDescent="0.25">
      <c r="A1921" s="729"/>
      <c r="B1921" s="302"/>
      <c r="C1921" s="302"/>
      <c r="D1921" s="1820"/>
      <c r="E1921" s="2818" t="str">
        <f>Translations!$B$962</f>
        <v>Нетно к-во получена топлинна енергия (горивен п-л)</v>
      </c>
      <c r="F1921" s="2701"/>
      <c r="G1921" s="1326" t="str">
        <f>EUconst_TJpa</f>
        <v>TJ / година</v>
      </c>
      <c r="H1921" s="482" t="str">
        <f>IF($M1855&lt;&gt;EUconst_Relevant,"",IF(INDEX('G_Fall-back'!H:H,MATCH($P1921,'G_Fall-back'!$Q:$Q,0))="","",INDEX('G_Fall-back'!H:H,MATCH($P1921,'G_Fall-back'!$Q:$Q,0))))</f>
        <v/>
      </c>
      <c r="I1921" s="1824" t="str">
        <f>IF($M1855&lt;&gt;EUconst_Relevant,"",IF(INDEX('G_Fall-back'!I:I,MATCH($P1921,'G_Fall-back'!$Q:$Q,0))="","",INDEX('G_Fall-back'!I:I,MATCH($P1921,'G_Fall-back'!$Q:$Q,0))))</f>
        <v/>
      </c>
      <c r="J1921" s="1825" t="str">
        <f>IF($M1855&lt;&gt;EUconst_Relevant,"",IF(INDEX('G_Fall-back'!J:J,MATCH($P1921,'G_Fall-back'!$Q:$Q,0))="","",INDEX('G_Fall-back'!J:J,MATCH($P1921,'G_Fall-back'!$Q:$Q,0))))</f>
        <v/>
      </c>
      <c r="K1921" s="482" t="str">
        <f>IF($M1855&lt;&gt;EUconst_Relevant,"",IF(INDEX('G_Fall-back'!K:K,MATCH($P1921,'G_Fall-back'!$Q:$Q,0))="","",INDEX('G_Fall-back'!K:K,MATCH($P1921,'G_Fall-back'!$Q:$Q,0))))</f>
        <v/>
      </c>
      <c r="L1921" s="482" t="str">
        <f>IF($M1855&lt;&gt;EUconst_Relevant,"",IF(INDEX('G_Fall-back'!L:L,MATCH($P1921,'G_Fall-back'!$Q:$Q,0))="","",INDEX('G_Fall-back'!L:L,MATCH($P1921,'G_Fall-back'!$Q:$Q,0))))</f>
        <v/>
      </c>
      <c r="M1921" s="482" t="str">
        <f>IF($M1855&lt;&gt;EUconst_Relevant,"",IF(INDEX('G_Fall-back'!M:M,MATCH($P1921,'G_Fall-back'!$Q:$Q,0))="","",INDEX('G_Fall-back'!M:M,MATCH($P1921,'G_Fall-back'!$Q:$Q,0))))</f>
        <v/>
      </c>
      <c r="N1921" s="1826" t="str">
        <f>IF($M1855&lt;&gt;EUconst_Relevant,"",IF(INDEX('G_Fall-back'!N:N,MATCH($P1921,'G_Fall-back'!$Q:$Q,0))="","",INDEX('G_Fall-back'!N:N,MATCH($P1921,'G_Fall-back'!$Q:$Q,0))))</f>
        <v/>
      </c>
      <c r="O1921" s="698"/>
      <c r="P1921" s="1500" t="str">
        <f>EUconst_CNTR_HeatImportFuel &amp;I1855</f>
        <v>HeatImFuel_Подинсталация с топлинен показател (без риск от ИВЕ | извън МКВЕГ)</v>
      </c>
      <c r="Q1921" s="729"/>
      <c r="R1921" s="729"/>
      <c r="S1921" s="729"/>
      <c r="T1921" s="729"/>
      <c r="U1921" s="343"/>
      <c r="V1921" s="343"/>
    </row>
    <row r="1922" spans="1:22" s="364" customFormat="1" ht="12.75" customHeight="1" x14ac:dyDescent="0.25">
      <c r="A1922" s="729"/>
      <c r="B1922" s="302"/>
      <c r="C1922" s="302"/>
      <c r="D1922" s="1820"/>
      <c r="E1922" s="2819" t="str">
        <f>Translations!$B$656</f>
        <v>Специфичен EF (от горивен показател)</v>
      </c>
      <c r="F1922" s="2705"/>
      <c r="G1922" s="639" t="str">
        <f>EUconst_tCO2pTJ</f>
        <v>t CO2 / TJ</v>
      </c>
      <c r="H1922" s="484" t="str">
        <f>IF($M1855&lt;&gt;EUconst_Relevant,"",IF(INDEX('G_Fall-back'!H:H,MATCH($P1922,'G_Fall-back'!$Q:$Q,0))="","",INDEX('G_Fall-back'!H:H,MATCH($P1922,'G_Fall-back'!$Q:$Q,0))))</f>
        <v/>
      </c>
      <c r="I1922" s="1828" t="str">
        <f>IF($M1855&lt;&gt;EUconst_Relevant,"",IF(INDEX('G_Fall-back'!I:I,MATCH($P1922,'G_Fall-back'!$Q:$Q,0))="","",INDEX('G_Fall-back'!I:I,MATCH($P1922,'G_Fall-back'!$Q:$Q,0))))</f>
        <v/>
      </c>
      <c r="J1922" s="1829" t="str">
        <f>IF($M1855&lt;&gt;EUconst_Relevant,"",IF(INDEX('G_Fall-back'!J:J,MATCH($P1922,'G_Fall-back'!$Q:$Q,0))="","",INDEX('G_Fall-back'!J:J,MATCH($P1922,'G_Fall-back'!$Q:$Q,0))))</f>
        <v/>
      </c>
      <c r="K1922" s="484" t="str">
        <f>IF($M1855&lt;&gt;EUconst_Relevant,"",IF(INDEX('G_Fall-back'!K:K,MATCH($P1922,'G_Fall-back'!$Q:$Q,0))="","",INDEX('G_Fall-back'!K:K,MATCH($P1922,'G_Fall-back'!$Q:$Q,0))))</f>
        <v/>
      </c>
      <c r="L1922" s="484" t="str">
        <f>IF($M1855&lt;&gt;EUconst_Relevant,"",IF(INDEX('G_Fall-back'!L:L,MATCH($P1922,'G_Fall-back'!$Q:$Q,0))="","",INDEX('G_Fall-back'!L:L,MATCH($P1922,'G_Fall-back'!$Q:$Q,0))))</f>
        <v/>
      </c>
      <c r="M1922" s="484" t="str">
        <f>IF($M1855&lt;&gt;EUconst_Relevant,"",IF(INDEX('G_Fall-back'!M:M,MATCH($P1922,'G_Fall-back'!$Q:$Q,0))="","",INDEX('G_Fall-back'!M:M,MATCH($P1922,'G_Fall-back'!$Q:$Q,0))))</f>
        <v/>
      </c>
      <c r="N1922" s="1830" t="str">
        <f>IF($M1855&lt;&gt;EUconst_Relevant,"",IF(INDEX('G_Fall-back'!N:N,MATCH($P1922,'G_Fall-back'!$Q:$Q,0))="","",INDEX('G_Fall-back'!N:N,MATCH($P1922,'G_Fall-back'!$Q:$Q,0))))</f>
        <v/>
      </c>
      <c r="O1922" s="698"/>
      <c r="P1922" s="1500" t="str">
        <f>EUconst_CNTR_HeatImportFuelEF &amp;I1855</f>
        <v>HeatImFuelEF_Подинсталация с топлинен показател (без риск от ИВЕ | извън МКВЕГ)</v>
      </c>
      <c r="Q1922" s="729"/>
      <c r="R1922" s="729"/>
      <c r="S1922" s="729"/>
      <c r="T1922" s="729"/>
      <c r="U1922" s="343"/>
      <c r="V1922" s="343"/>
    </row>
    <row r="1923" spans="1:22" s="364" customFormat="1" ht="12.75" customHeight="1" x14ac:dyDescent="0.25">
      <c r="A1923" s="729"/>
      <c r="B1923" s="302"/>
      <c r="C1923" s="302"/>
      <c r="D1923" s="1820"/>
      <c r="E1923" s="2818" t="str">
        <f>Translations!$B$963</f>
        <v>Нетно к-во получена топлинна енергия (отпадни газове)</v>
      </c>
      <c r="F1923" s="2701"/>
      <c r="G1923" s="1326" t="str">
        <f>EUconst_TJpa</f>
        <v>TJ / година</v>
      </c>
      <c r="H1923" s="482" t="str">
        <f>IF($M1855&lt;&gt;EUconst_Relevant,"",IF(INDEX('G_Fall-back'!H:H,MATCH($P1923,'G_Fall-back'!$Q:$Q,0))="","",INDEX('G_Fall-back'!H:H,MATCH($P1923,'G_Fall-back'!$Q:$Q,0))))</f>
        <v/>
      </c>
      <c r="I1923" s="1824" t="str">
        <f>IF($M1855&lt;&gt;EUconst_Relevant,"",IF(INDEX('G_Fall-back'!I:I,MATCH($P1923,'G_Fall-back'!$Q:$Q,0))="","",INDEX('G_Fall-back'!I:I,MATCH($P1923,'G_Fall-back'!$Q:$Q,0))))</f>
        <v/>
      </c>
      <c r="J1923" s="1825" t="str">
        <f>IF($M1855&lt;&gt;EUconst_Relevant,"",IF(INDEX('G_Fall-back'!J:J,MATCH($P1923,'G_Fall-back'!$Q:$Q,0))="","",INDEX('G_Fall-back'!J:J,MATCH($P1923,'G_Fall-back'!$Q:$Q,0))))</f>
        <v/>
      </c>
      <c r="K1923" s="482" t="str">
        <f>IF($M1855&lt;&gt;EUconst_Relevant,"",IF(INDEX('G_Fall-back'!K:K,MATCH($P1923,'G_Fall-back'!$Q:$Q,0))="","",INDEX('G_Fall-back'!K:K,MATCH($P1923,'G_Fall-back'!$Q:$Q,0))))</f>
        <v/>
      </c>
      <c r="L1923" s="482" t="str">
        <f>IF($M1855&lt;&gt;EUconst_Relevant,"",IF(INDEX('G_Fall-back'!L:L,MATCH($P1923,'G_Fall-back'!$Q:$Q,0))="","",INDEX('G_Fall-back'!L:L,MATCH($P1923,'G_Fall-back'!$Q:$Q,0))))</f>
        <v/>
      </c>
      <c r="M1923" s="482" t="str">
        <f>IF($M1855&lt;&gt;EUconst_Relevant,"",IF(INDEX('G_Fall-back'!M:M,MATCH($P1923,'G_Fall-back'!$Q:$Q,0))="","",INDEX('G_Fall-back'!M:M,MATCH($P1923,'G_Fall-back'!$Q:$Q,0))))</f>
        <v/>
      </c>
      <c r="N1923" s="1826" t="str">
        <f>IF($M1855&lt;&gt;EUconst_Relevant,"",IF(INDEX('G_Fall-back'!N:N,MATCH($P1923,'G_Fall-back'!$Q:$Q,0))="","",INDEX('G_Fall-back'!N:N,MATCH($P1923,'G_Fall-back'!$Q:$Q,0))))</f>
        <v/>
      </c>
      <c r="O1923" s="698"/>
      <c r="P1923" s="1500" t="str">
        <f>EUconst_CNTR_WGImport &amp;I1855</f>
        <v>WasteGasIm_Подинсталация с топлинен показател (без риск от ИВЕ | извън МКВЕГ)</v>
      </c>
      <c r="Q1923" s="729"/>
      <c r="R1923" s="729"/>
      <c r="S1923" s="729"/>
      <c r="T1923" s="729"/>
      <c r="U1923" s="343"/>
      <c r="V1923" s="343"/>
    </row>
    <row r="1924" spans="1:22" s="364" customFormat="1" ht="12.75" customHeight="1" x14ac:dyDescent="0.25">
      <c r="A1924" s="729"/>
      <c r="B1924" s="302"/>
      <c r="C1924" s="302"/>
      <c r="D1924" s="1820"/>
      <c r="E1924" s="2819" t="str">
        <f>Translations!$B$658</f>
        <v>Специфичен EF (от отпаден газ)</v>
      </c>
      <c r="F1924" s="2705"/>
      <c r="G1924" s="639" t="str">
        <f>EUconst_tCO2pTJ</f>
        <v>t CO2 / TJ</v>
      </c>
      <c r="H1924" s="484" t="str">
        <f>IF($M1855&lt;&gt;EUconst_Relevant,"",IF(INDEX('G_Fall-back'!H:H,MATCH($P1924,'G_Fall-back'!$Q:$Q,0))="","",INDEX('G_Fall-back'!H:H,MATCH($P1924,'G_Fall-back'!$Q:$Q,0))))</f>
        <v/>
      </c>
      <c r="I1924" s="1828" t="str">
        <f>IF($M1855&lt;&gt;EUconst_Relevant,"",IF(INDEX('G_Fall-back'!I:I,MATCH($P1924,'G_Fall-back'!$Q:$Q,0))="","",INDEX('G_Fall-back'!I:I,MATCH($P1924,'G_Fall-back'!$Q:$Q,0))))</f>
        <v/>
      </c>
      <c r="J1924" s="1829" t="str">
        <f>IF($M1855&lt;&gt;EUconst_Relevant,"",IF(INDEX('G_Fall-back'!J:J,MATCH($P1924,'G_Fall-back'!$Q:$Q,0))="","",INDEX('G_Fall-back'!J:J,MATCH($P1924,'G_Fall-back'!$Q:$Q,0))))</f>
        <v/>
      </c>
      <c r="K1924" s="484" t="str">
        <f>IF($M1855&lt;&gt;EUconst_Relevant,"",IF(INDEX('G_Fall-back'!K:K,MATCH($P1924,'G_Fall-back'!$Q:$Q,0))="","",INDEX('G_Fall-back'!K:K,MATCH($P1924,'G_Fall-back'!$Q:$Q,0))))</f>
        <v/>
      </c>
      <c r="L1924" s="484" t="str">
        <f>IF($M1855&lt;&gt;EUconst_Relevant,"",IF(INDEX('G_Fall-back'!L:L,MATCH($P1924,'G_Fall-back'!$Q:$Q,0))="","",INDEX('G_Fall-back'!L:L,MATCH($P1924,'G_Fall-back'!$Q:$Q,0))))</f>
        <v/>
      </c>
      <c r="M1924" s="484" t="str">
        <f>IF($M1855&lt;&gt;EUconst_Relevant,"",IF(INDEX('G_Fall-back'!M:M,MATCH($P1924,'G_Fall-back'!$Q:$Q,0))="","",INDEX('G_Fall-back'!M:M,MATCH($P1924,'G_Fall-back'!$Q:$Q,0))))</f>
        <v/>
      </c>
      <c r="N1924" s="1830" t="str">
        <f>IF($M1855&lt;&gt;EUconst_Relevant,"",IF(INDEX('G_Fall-back'!N:N,MATCH($P1924,'G_Fall-back'!$Q:$Q,0))="","",INDEX('G_Fall-back'!N:N,MATCH($P1924,'G_Fall-back'!$Q:$Q,0))))</f>
        <v/>
      </c>
      <c r="O1924" s="698"/>
      <c r="P1924" s="1500" t="str">
        <f>EUconst_CNTR_WGImportEF &amp;I1855</f>
        <v>WasteGasImEF_Подинсталация с топлинен показател (без риск от ИВЕ | извън МКВЕГ)</v>
      </c>
      <c r="Q1924" s="729"/>
      <c r="R1924" s="729"/>
      <c r="S1924" s="729"/>
      <c r="T1924" s="729"/>
      <c r="U1924" s="343"/>
      <c r="V1924" s="343"/>
    </row>
    <row r="1925" spans="1:22" s="364" customFormat="1" ht="5.15" customHeight="1" thickBot="1" x14ac:dyDescent="0.3">
      <c r="A1925" s="729"/>
      <c r="B1925" s="302"/>
      <c r="C1925" s="302"/>
      <c r="D1925" s="1838"/>
      <c r="E1925" s="1378"/>
      <c r="F1925" s="1378"/>
      <c r="G1925" s="1378"/>
      <c r="H1925" s="1378"/>
      <c r="I1925" s="1378"/>
      <c r="J1925" s="1378"/>
      <c r="K1925" s="1378"/>
      <c r="L1925" s="1378"/>
      <c r="M1925" s="1378"/>
      <c r="N1925" s="1379"/>
      <c r="O1925" s="698"/>
      <c r="P1925" s="729"/>
      <c r="Q1925" s="729"/>
      <c r="R1925" s="729"/>
      <c r="S1925" s="729"/>
      <c r="T1925" s="729"/>
      <c r="U1925" s="343"/>
      <c r="V1925" s="343"/>
    </row>
    <row r="1926" spans="1:22" s="364" customFormat="1" ht="5.15" customHeight="1" thickBot="1" x14ac:dyDescent="0.3">
      <c r="A1926" s="729"/>
      <c r="B1926" s="302"/>
      <c r="C1926" s="302"/>
      <c r="D1926" s="302"/>
      <c r="E1926" s="302"/>
      <c r="F1926" s="302"/>
      <c r="G1926" s="302"/>
      <c r="M1926" s="302"/>
      <c r="N1926" s="302"/>
      <c r="O1926" s="698"/>
      <c r="P1926" s="729"/>
      <c r="Q1926" s="729"/>
      <c r="R1926" s="729"/>
      <c r="S1926" s="729"/>
      <c r="T1926" s="729"/>
      <c r="U1926" s="343"/>
      <c r="V1926" s="343"/>
    </row>
    <row r="1927" spans="1:22" s="364" customFormat="1" ht="5.15" customHeight="1" thickBot="1" x14ac:dyDescent="0.3">
      <c r="A1927" s="729"/>
      <c r="B1927" s="284"/>
      <c r="C1927" s="581"/>
      <c r="D1927" s="581"/>
      <c r="E1927" s="581"/>
      <c r="F1927" s="581"/>
      <c r="G1927" s="581"/>
      <c r="H1927" s="581"/>
      <c r="I1927" s="581"/>
      <c r="J1927" s="581"/>
      <c r="K1927" s="581"/>
      <c r="L1927" s="581"/>
      <c r="M1927" s="581"/>
      <c r="N1927" s="581"/>
      <c r="O1927" s="698"/>
      <c r="P1927" s="729"/>
      <c r="Q1927" s="729"/>
      <c r="R1927" s="729"/>
      <c r="S1927" s="729"/>
      <c r="T1927" s="729"/>
      <c r="U1927" s="343"/>
      <c r="V1927" s="343"/>
    </row>
    <row r="1928" spans="1:22" s="364" customFormat="1" ht="15" customHeight="1" thickBot="1" x14ac:dyDescent="0.35">
      <c r="A1928" s="729"/>
      <c r="B1928" s="302"/>
      <c r="C1928" s="357">
        <f>C1855+1</f>
        <v>13</v>
      </c>
      <c r="D1928" s="2323" t="str">
        <f>CONCATENATE(EUconst_FBSubinst," ",C1928-10, ":")</f>
        <v>Алтернативна подинсталация („Fall-Back sub-installation“) 3:</v>
      </c>
      <c r="E1928" s="2323"/>
      <c r="F1928" s="2323"/>
      <c r="G1928" s="2323"/>
      <c r="H1928" s="2987"/>
      <c r="I1928" s="2988" t="str">
        <f>INDEX(EUconst_FallBackListNames,$C1928-10)</f>
        <v>Подинсталация с топлинен показател (с риск от ИВЕ | в рамките на МКВЕГ)</v>
      </c>
      <c r="J1928" s="2989"/>
      <c r="K1928" s="2989"/>
      <c r="L1928" s="2990"/>
      <c r="M1928" s="2919" t="str">
        <f>IF(INDEX(CNTR_FallBackSubInstRelevant,C1928-10)="","",IF(INDEX(CNTR_FallBackSubInstRelevant,C1928-10),EUconst_Relevant,EUconst_NotRelevant))</f>
        <v/>
      </c>
      <c r="N1928" s="2920"/>
      <c r="O1928" s="698"/>
      <c r="P1928" s="729"/>
      <c r="Q1928" s="1684">
        <f>C1928</f>
        <v>13</v>
      </c>
      <c r="R1928" s="1685" t="str">
        <f>I1928</f>
        <v>Подинсталация с топлинен показател (с риск от ИВЕ | в рамките на МКВЕГ)</v>
      </c>
      <c r="S1928" s="729"/>
      <c r="T1928" s="729"/>
      <c r="U1928" s="343"/>
      <c r="V1928" s="343"/>
    </row>
    <row r="1929" spans="1:22" s="364" customFormat="1" ht="5.15" customHeight="1" x14ac:dyDescent="0.3">
      <c r="A1929" s="729"/>
      <c r="B1929" s="302"/>
      <c r="C1929" s="357"/>
      <c r="D1929" s="357"/>
      <c r="E1929" s="357"/>
      <c r="F1929" s="357"/>
      <c r="G1929" s="357"/>
      <c r="H1929" s="357"/>
      <c r="I1929" s="357"/>
      <c r="J1929" s="357"/>
      <c r="K1929" s="357"/>
      <c r="L1929" s="357"/>
      <c r="M1929" s="357"/>
      <c r="N1929" s="357"/>
      <c r="O1929" s="698"/>
      <c r="P1929" s="729"/>
      <c r="Q1929" s="729"/>
      <c r="R1929" s="729"/>
      <c r="S1929" s="729"/>
      <c r="T1929" s="729"/>
      <c r="U1929" s="343"/>
      <c r="V1929" s="343"/>
    </row>
    <row r="1930" spans="1:22" s="364" customFormat="1" ht="12.75" customHeight="1" x14ac:dyDescent="0.3">
      <c r="A1930" s="729"/>
      <c r="B1930" s="302"/>
      <c r="C1930" s="357"/>
      <c r="D1930" s="357"/>
      <c r="E1930" s="357"/>
      <c r="F1930" s="357"/>
      <c r="H1930" s="595" t="str">
        <f>Translations!$B$942</f>
        <v>Риск от ИВЕ</v>
      </c>
      <c r="I1930" s="595" t="s">
        <v>2151</v>
      </c>
      <c r="J1930" s="595" t="str">
        <f>Translations!$B$946</f>
        <v>В/Е</v>
      </c>
      <c r="K1930" s="595" t="str">
        <f>Translations!$B$1360</f>
        <v>Спряна експлоатация</v>
      </c>
      <c r="L1930" s="654" t="str">
        <f>Translations!$B$944</f>
        <v>№ на п-л</v>
      </c>
      <c r="M1930" s="2991" t="str">
        <f>Translations!$B$948</f>
        <v>Стойност на п-л</v>
      </c>
      <c r="N1930" s="2991"/>
      <c r="O1930" s="698"/>
      <c r="P1930" s="729"/>
      <c r="Q1930" s="729"/>
      <c r="R1930" s="729"/>
      <c r="S1930" s="729"/>
      <c r="T1930" s="729"/>
      <c r="U1930" s="343"/>
      <c r="V1930" s="343"/>
    </row>
    <row r="1931" spans="1:22" s="364" customFormat="1" ht="12.75" customHeight="1" x14ac:dyDescent="0.3">
      <c r="A1931" s="729"/>
      <c r="B1931" s="302"/>
      <c r="C1931" s="357"/>
      <c r="D1931" s="357"/>
      <c r="E1931" s="361" t="str">
        <f>I1928</f>
        <v>Подинсталация с топлинен показател (с риск от ИВЕ | в рамките на МКВЕГ)</v>
      </c>
      <c r="F1931" s="373"/>
      <c r="G1931" s="373"/>
      <c r="H1931" s="600" t="b">
        <f>INDEX(EUconst_FallBackListCLstatus,MATCH(I1928,EUconst_FallBackListNames,0))</f>
        <v>1</v>
      </c>
      <c r="I1931" s="600" t="b">
        <f>INDEX(EUconst_FallBackListCBAMstatus,MATCH(I1928,EUconst_FallBackListNames,0))</f>
        <v>1</v>
      </c>
      <c r="J1931" s="655" t="str">
        <f>IF($M1928&lt;&gt;EUconst_Relevant,EUconst_NA,INDEX(CNTR_SubInstStartDate,MATCH(I1928,CNTR_SubInstListNames,0)))</f>
        <v>Не е приложимо</v>
      </c>
      <c r="K1931" s="655" t="str">
        <f>IF($M1928&lt;&gt;EUconst_Relevant,EUconst_NA,IF(INDEX(CNTR_SubInstCessationDate,MATCH(I1928,CNTR_SubInstListNames,0))=0,"",INDEX(CNTR_SubInstCessationDate,MATCH(I1928,CNTR_SubInstListNames,0))))</f>
        <v>Не е приложимо</v>
      </c>
      <c r="L1931" s="1687">
        <f>C1928-10</f>
        <v>3</v>
      </c>
      <c r="M1931" s="1841" t="str">
        <f>IF(M1928&lt;&gt;EUconst_Relevant,EUconst_NA,INDEX(EUconst_FallBackListBMvaluesMatrix,L1931,3))</f>
        <v>Не е приложимо</v>
      </c>
      <c r="N1931" s="382" t="str">
        <f>EUconst_EUA &amp; "/" &amp; F1934</f>
        <v>Квота за емисии/TJ</v>
      </c>
      <c r="O1931" s="698"/>
      <c r="P1931" s="729"/>
      <c r="Q1931" s="729"/>
      <c r="R1931" s="729"/>
      <c r="S1931" s="729"/>
      <c r="T1931" s="729"/>
      <c r="U1931" s="343"/>
      <c r="V1931" s="343"/>
    </row>
    <row r="1932" spans="1:22" s="364" customFormat="1" ht="5.15" customHeight="1" thickBot="1" x14ac:dyDescent="0.35">
      <c r="A1932" s="729"/>
      <c r="B1932" s="302"/>
      <c r="C1932" s="302"/>
      <c r="D1932" s="302"/>
      <c r="E1932" s="357"/>
      <c r="J1932" s="302"/>
      <c r="K1932" s="302"/>
      <c r="L1932" s="302"/>
      <c r="M1932" s="302"/>
      <c r="N1932" s="302"/>
      <c r="O1932" s="698"/>
      <c r="P1932" s="729"/>
      <c r="Q1932" s="729"/>
      <c r="R1932" s="729"/>
      <c r="S1932" s="729"/>
      <c r="T1932" s="770"/>
      <c r="U1932" s="343"/>
      <c r="V1932" s="343"/>
    </row>
    <row r="1933" spans="1:22" s="364" customFormat="1" ht="12.75" customHeight="1" x14ac:dyDescent="0.25">
      <c r="A1933" s="729"/>
      <c r="B1933" s="302"/>
      <c r="C1933" s="302"/>
      <c r="D1933" s="302"/>
      <c r="E1933" s="313"/>
      <c r="F1933" s="300" t="str">
        <f>EUconst_Unit</f>
        <v>Единица мярка</v>
      </c>
      <c r="G1933" s="1842" t="str">
        <f>Translations!$B$1284</f>
        <v>HAL</v>
      </c>
      <c r="H1933" s="757">
        <f t="shared" ref="H1933:N1933" si="164">H$2505</f>
        <v>2024</v>
      </c>
      <c r="I1933" s="572">
        <f t="shared" si="164"/>
        <v>2025</v>
      </c>
      <c r="J1933" s="757">
        <f t="shared" si="164"/>
        <v>2026</v>
      </c>
      <c r="K1933" s="391">
        <f t="shared" si="164"/>
        <v>2027</v>
      </c>
      <c r="L1933" s="391">
        <f t="shared" si="164"/>
        <v>2028</v>
      </c>
      <c r="M1933" s="391">
        <f t="shared" si="164"/>
        <v>2029</v>
      </c>
      <c r="N1933" s="391">
        <f t="shared" si="164"/>
        <v>2030</v>
      </c>
      <c r="O1933" s="698"/>
      <c r="P1933" s="729"/>
      <c r="Q1933" s="729" t="s">
        <v>1851</v>
      </c>
      <c r="R1933" s="1690">
        <f>J$2505</f>
        <v>2026</v>
      </c>
      <c r="S1933" s="1691">
        <f>K$2505</f>
        <v>2027</v>
      </c>
      <c r="T1933" s="1691">
        <f>L$2505</f>
        <v>2028</v>
      </c>
      <c r="U1933" s="1691">
        <f>M$2505</f>
        <v>2029</v>
      </c>
      <c r="V1933" s="1692">
        <f>N$2505</f>
        <v>2030</v>
      </c>
    </row>
    <row r="1934" spans="1:22" s="364" customFormat="1" ht="12.75" customHeight="1" thickBot="1" x14ac:dyDescent="0.3">
      <c r="A1934" s="729"/>
      <c r="B1934" s="302"/>
      <c r="C1934" s="302"/>
      <c r="D1934" s="302"/>
      <c r="E1934" s="388" t="str">
        <f>Translations!$B$1371</f>
        <v>Докладвано равнище на дейност</v>
      </c>
      <c r="F1934" s="1062" t="str">
        <f>INDEX(EUconst_FallBackListUnits,L1931)</f>
        <v>TJ</v>
      </c>
      <c r="G1934" s="1843" t="str">
        <f>I1965</f>
        <v/>
      </c>
      <c r="H1934" s="1844" t="str">
        <f>IF($M1928&lt;&gt;EUconst_Relevant,"",IF(H1933&gt;=CNTR_ReportingYear,"",SUMIF('G_Fall-back'!$Q:$Q,$P1934,'G_Fall-back'!H:H)))</f>
        <v/>
      </c>
      <c r="I1934" s="1845" t="str">
        <f>IF($M1928&lt;&gt;EUconst_Relevant,"",IF(I1933&gt;=CNTR_ReportingYear,"",SUMIF('G_Fall-back'!$Q:$Q,$P1934,'G_Fall-back'!I:I)))</f>
        <v/>
      </c>
      <c r="J1934" s="1844" t="str">
        <f>IF($M1928&lt;&gt;EUconst_Relevant,"",IF(J1933&gt;=CNTR_ReportingYear,"",SUMIF('G_Fall-back'!$Q:$Q,$P1934,'G_Fall-back'!J:J)))</f>
        <v/>
      </c>
      <c r="K1934" s="1846" t="str">
        <f>IF($M1928&lt;&gt;EUconst_Relevant,"",IF(K1933&gt;=CNTR_ReportingYear,"",SUMIF('G_Fall-back'!$Q:$Q,$P1934,'G_Fall-back'!K:K)))</f>
        <v/>
      </c>
      <c r="L1934" s="1846" t="str">
        <f>IF($M1928&lt;&gt;EUconst_Relevant,"",IF(L1933&gt;=CNTR_ReportingYear,"",SUMIF('G_Fall-back'!$Q:$Q,$P1934,'G_Fall-back'!L:L)))</f>
        <v/>
      </c>
      <c r="M1934" s="1846" t="str">
        <f>IF($M1928&lt;&gt;EUconst_Relevant,"",IF(M1933&gt;=CNTR_ReportingYear,"",SUMIF('G_Fall-back'!$Q:$Q,$P1934,'G_Fall-back'!M:M)))</f>
        <v/>
      </c>
      <c r="N1934" s="1846" t="str">
        <f>IF($M1928&lt;&gt;EUconst_Relevant,"",IF(N1933&gt;=CNTR_ReportingYear,"",SUMIF('G_Fall-back'!$Q:$Q,$P1934,'G_Fall-back'!N:N)))</f>
        <v/>
      </c>
      <c r="O1934" s="698"/>
      <c r="P1934" s="1190" t="str">
        <f>EUconst_CNTR_HAL&amp;I1928</f>
        <v>HAL_Подинсталация с топлинен показател (с риск от ИВЕ | в рамките на МКВЕГ)</v>
      </c>
      <c r="Q1934" s="729"/>
      <c r="R1934" s="1580" t="b">
        <f>AND($M1928=EUconst_Relevant,R1933&lt;=CNTR_ReportingYear,IF($J1931&lt;&gt;EUconst_NA,R1933&gt;=YEAR($J1931),TRUE))</f>
        <v>0</v>
      </c>
      <c r="S1934" s="1255" t="b">
        <f>AND($M1928=EUconst_Relevant,S1933&lt;=CNTR_ReportingYear,IF($J1931&lt;&gt;EUconst_NA,S1933&gt;=YEAR($J1931),TRUE))</f>
        <v>0</v>
      </c>
      <c r="T1934" s="1255" t="b">
        <f>AND($M1928=EUconst_Relevant,T1933&lt;=CNTR_ReportingYear,IF($J1931&lt;&gt;EUconst_NA,T1933&gt;=YEAR($J1931),TRUE))</f>
        <v>0</v>
      </c>
      <c r="U1934" s="1255" t="b">
        <f>AND($M1928=EUconst_Relevant,U1933&lt;=CNTR_ReportingYear,IF($J1931&lt;&gt;EUconst_NA,U1933&gt;=YEAR($J1931),TRUE))</f>
        <v>0</v>
      </c>
      <c r="V1934" s="1256" t="b">
        <f>AND($M1928=EUconst_Relevant,V1933&lt;=CNTR_ReportingYear,IF($J1931&lt;&gt;EUconst_NA,V1933&gt;=YEAR($J1931),TRUE))</f>
        <v>0</v>
      </c>
    </row>
    <row r="1935" spans="1:22" s="364" customFormat="1" ht="5.15" customHeight="1" thickBot="1" x14ac:dyDescent="0.3">
      <c r="A1935" s="729"/>
      <c r="B1935" s="302"/>
      <c r="C1935" s="302"/>
      <c r="D1935" s="302"/>
      <c r="F1935" s="302"/>
      <c r="G1935" s="302"/>
      <c r="H1935" s="302"/>
      <c r="I1935" s="1746"/>
      <c r="J1935" s="302"/>
      <c r="K1935" s="302"/>
      <c r="L1935" s="302"/>
      <c r="M1935" s="302"/>
      <c r="N1935" s="302"/>
      <c r="O1935" s="698"/>
      <c r="P1935" s="729"/>
      <c r="Q1935" s="729"/>
      <c r="R1935" s="729"/>
      <c r="S1935" s="729"/>
      <c r="T1935" s="770"/>
      <c r="U1935" s="343"/>
      <c r="V1935" s="343"/>
    </row>
    <row r="1936" spans="1:22" s="364" customFormat="1" ht="5.15" customHeight="1" x14ac:dyDescent="0.3">
      <c r="A1936" s="729"/>
      <c r="B1936" s="302"/>
      <c r="C1936" s="357"/>
      <c r="D1936" s="1695"/>
      <c r="E1936" s="1696"/>
      <c r="F1936" s="1696"/>
      <c r="G1936" s="1696"/>
      <c r="H1936" s="1696"/>
      <c r="I1936" s="1696"/>
      <c r="J1936" s="1696"/>
      <c r="K1936" s="1696"/>
      <c r="L1936" s="1696"/>
      <c r="M1936" s="1696"/>
      <c r="N1936" s="1697"/>
      <c r="O1936" s="698"/>
      <c r="P1936" s="729"/>
      <c r="Q1936" s="729"/>
      <c r="R1936" s="729"/>
      <c r="S1936" s="729"/>
      <c r="T1936" s="729"/>
      <c r="U1936" s="343"/>
      <c r="V1936" s="343"/>
    </row>
    <row r="1937" spans="1:22" s="364" customFormat="1" ht="12.75" customHeight="1" x14ac:dyDescent="0.3">
      <c r="A1937" s="729"/>
      <c r="B1937" s="302"/>
      <c r="C1937" s="357"/>
      <c r="D1937" s="1698"/>
      <c r="E1937" s="389" t="str">
        <f>Translations!$B$1372</f>
        <v>Приложимост на пълзящата средна стойност</v>
      </c>
      <c r="F1937" s="498"/>
      <c r="G1937" s="498"/>
      <c r="H1937" s="527" t="str">
        <f>EUconst_Unit</f>
        <v>Единица мярка</v>
      </c>
      <c r="I1937" s="1699"/>
      <c r="J1937" s="1523">
        <f>J$2505</f>
        <v>2026</v>
      </c>
      <c r="K1937" s="387">
        <f>K$2505</f>
        <v>2027</v>
      </c>
      <c r="L1937" s="387">
        <f>L$2505</f>
        <v>2028</v>
      </c>
      <c r="M1937" s="387">
        <f>M$2505</f>
        <v>2029</v>
      </c>
      <c r="N1937" s="1544">
        <f>N$2505</f>
        <v>2030</v>
      </c>
      <c r="O1937" s="698"/>
      <c r="P1937" s="729"/>
      <c r="Q1937" s="729"/>
      <c r="R1937" s="729"/>
      <c r="S1937" s="729"/>
      <c r="T1937" s="729"/>
      <c r="U1937" s="343"/>
      <c r="V1937" s="343"/>
    </row>
    <row r="1938" spans="1:22" s="364" customFormat="1" ht="12.75" customHeight="1" x14ac:dyDescent="0.3">
      <c r="A1938" s="729"/>
      <c r="B1938" s="302"/>
      <c r="C1938" s="357"/>
      <c r="D1938" s="1698"/>
      <c r="E1938" s="1700" t="str">
        <f>Translations!$B$1364</f>
        <v>Критерий 1: В експлоатация &gt; 2 години?</v>
      </c>
      <c r="F1938" s="1701"/>
      <c r="G1938" s="1701"/>
      <c r="H1938" s="1702" t="s">
        <v>1052</v>
      </c>
      <c r="I1938" s="1701"/>
      <c r="J1938" s="1703" t="str">
        <f>IF(R1934,INDEX('G_Fall-back'!V:V,MATCH($P1938,'G_Fall-back'!$Q:$Q,0))&gt;=3,"")</f>
        <v/>
      </c>
      <c r="K1938" s="1704" t="str">
        <f>IF(S1934,INDEX('G_Fall-back'!W:W,MATCH($P1938,'G_Fall-back'!$Q:$Q,0))&gt;=3,"")</f>
        <v/>
      </c>
      <c r="L1938" s="1704" t="str">
        <f>IF(T1934,INDEX('G_Fall-back'!X:X,MATCH($P1938,'G_Fall-back'!$Q:$Q,0))&gt;=3,"")</f>
        <v/>
      </c>
      <c r="M1938" s="1704" t="str">
        <f>IF(U1934,INDEX('G_Fall-back'!Y:Y,MATCH($P1938,'G_Fall-back'!$Q:$Q,0))&gt;=3,"")</f>
        <v/>
      </c>
      <c r="N1938" s="1705" t="str">
        <f>IF(V1934,INDEX('G_Fall-back'!Z:Z,MATCH($P1938,'G_Fall-back'!$Q:$Q,0))&gt;=3,"")</f>
        <v/>
      </c>
      <c r="O1938" s="698"/>
      <c r="P1938" s="1190" t="str">
        <f>EUconst_CNTR_HALinitial&amp;I1928</f>
        <v>HALini_Подинсталация с топлинен показател (с риск от ИВЕ | в рамките на МКВЕГ)</v>
      </c>
      <c r="Q1938" s="729"/>
      <c r="R1938" s="729"/>
      <c r="S1938" s="729"/>
      <c r="T1938" s="729"/>
      <c r="U1938" s="343"/>
      <c r="V1938" s="343"/>
    </row>
    <row r="1939" spans="1:22" s="364" customFormat="1" ht="12.75" customHeight="1" x14ac:dyDescent="0.3">
      <c r="A1939" s="729"/>
      <c r="B1939" s="302"/>
      <c r="C1939" s="357"/>
      <c r="D1939" s="1698"/>
      <c r="E1939" s="1706" t="str">
        <f>Translations!$B$1366</f>
        <v>Критерий 2: Не е спряна от експлоатация през предходната година?</v>
      </c>
      <c r="F1939" s="1707"/>
      <c r="G1939" s="1707"/>
      <c r="H1939" s="1708" t="s">
        <v>1052</v>
      </c>
      <c r="I1939" s="1707"/>
      <c r="J1939" s="1709" t="str">
        <f>IF(R1934,IF($K1931="",2050,YEAR($K1931))&lt;&gt;(J1937-1),"")</f>
        <v/>
      </c>
      <c r="K1939" s="1710" t="str">
        <f>IF(S1934,IF($K1931="",2050,YEAR($K1931))&lt;&gt;(K1937-1),"")</f>
        <v/>
      </c>
      <c r="L1939" s="1710" t="str">
        <f>IF(T1934,IF($K1931="",2050,YEAR($K1931))&lt;&gt;(L1937-1),"")</f>
        <v/>
      </c>
      <c r="M1939" s="1710" t="str">
        <f>IF(U1934,IF($K1931="",2050,YEAR($K1931))&lt;&gt;(M1937-1),"")</f>
        <v/>
      </c>
      <c r="N1939" s="1711" t="str">
        <f>IF(V1934,IF($K1931="",2050,YEAR($K1931))&lt;&gt;(N1937-1),"")</f>
        <v/>
      </c>
      <c r="O1939" s="698"/>
      <c r="P1939" s="729"/>
      <c r="Q1939" s="729"/>
      <c r="R1939" s="729"/>
      <c r="S1939" s="729"/>
      <c r="T1939" s="729"/>
      <c r="U1939" s="343"/>
      <c r="V1939" s="343"/>
    </row>
    <row r="1940" spans="1:22" s="364" customFormat="1" ht="5.15" customHeight="1" x14ac:dyDescent="0.3">
      <c r="A1940" s="729"/>
      <c r="B1940" s="302"/>
      <c r="C1940" s="357"/>
      <c r="D1940" s="1698"/>
      <c r="E1940" s="357"/>
      <c r="F1940" s="357"/>
      <c r="G1940" s="357"/>
      <c r="H1940" s="357"/>
      <c r="I1940" s="357"/>
      <c r="J1940" s="357"/>
      <c r="K1940" s="357"/>
      <c r="L1940" s="357"/>
      <c r="M1940" s="357"/>
      <c r="N1940" s="1712"/>
      <c r="O1940" s="698"/>
      <c r="P1940" s="729"/>
      <c r="Q1940" s="729"/>
      <c r="R1940" s="729"/>
      <c r="S1940" s="729"/>
      <c r="T1940" s="729"/>
      <c r="U1940" s="343"/>
      <c r="V1940" s="343"/>
    </row>
    <row r="1941" spans="1:22" s="364" customFormat="1" ht="12.75" customHeight="1" x14ac:dyDescent="0.3">
      <c r="A1941" s="729"/>
      <c r="B1941" s="302"/>
      <c r="C1941" s="357"/>
      <c r="D1941" s="1698"/>
      <c r="E1941" s="313" t="str">
        <f>Translations!$B$1373</f>
        <v>Промени: Няма промяна (базова стойност)</v>
      </c>
      <c r="F1941" s="302"/>
      <c r="G1941" s="302"/>
      <c r="H1941" s="527" t="str">
        <f>EUconst_Unit</f>
        <v>Единица мярка</v>
      </c>
      <c r="I1941" s="1699"/>
      <c r="J1941" s="757">
        <f>J$2505</f>
        <v>2026</v>
      </c>
      <c r="K1941" s="391">
        <f>K$2505</f>
        <v>2027</v>
      </c>
      <c r="L1941" s="391">
        <f>L$2505</f>
        <v>2028</v>
      </c>
      <c r="M1941" s="391">
        <f>M$2505</f>
        <v>2029</v>
      </c>
      <c r="N1941" s="1713">
        <f>N$2505</f>
        <v>2030</v>
      </c>
      <c r="O1941" s="698"/>
      <c r="P1941" s="729"/>
      <c r="Q1941" s="729"/>
      <c r="R1941" s="729"/>
      <c r="S1941" s="729"/>
      <c r="T1941" s="729"/>
      <c r="U1941" s="343"/>
      <c r="V1941" s="343"/>
    </row>
    <row r="1942" spans="1:22" s="364" customFormat="1" ht="12.75" customHeight="1" x14ac:dyDescent="0.3">
      <c r="A1942" s="729"/>
      <c r="B1942" s="302"/>
      <c r="C1942" s="357"/>
      <c r="D1942" s="1698"/>
      <c r="E1942" s="388" t="str">
        <f>Translations!$B$1579</f>
        <v>Очаквано равнище на дейност</v>
      </c>
      <c r="F1942" s="388"/>
      <c r="G1942" s="388"/>
      <c r="H1942" s="1210" t="str">
        <f>F1934</f>
        <v>TJ</v>
      </c>
      <c r="I1942" s="388"/>
      <c r="J1942" s="1844" t="str">
        <f>IF(T1966&gt;=$H$2505,S1965,I1965)</f>
        <v/>
      </c>
      <c r="K1942" s="1846" t="str">
        <f>J1965</f>
        <v/>
      </c>
      <c r="L1942" s="1846" t="str">
        <f>K1965</f>
        <v/>
      </c>
      <c r="M1942" s="1846" t="str">
        <f>L1965</f>
        <v/>
      </c>
      <c r="N1942" s="1847" t="str">
        <f>M1965</f>
        <v/>
      </c>
      <c r="O1942" s="698"/>
      <c r="P1942" s="729"/>
      <c r="Q1942" s="729"/>
      <c r="R1942" s="729"/>
      <c r="S1942" s="729"/>
      <c r="T1942" s="729"/>
      <c r="U1942" s="343"/>
      <c r="V1942" s="343"/>
    </row>
    <row r="1943" spans="1:22" s="364" customFormat="1" ht="12.75" customHeight="1" x14ac:dyDescent="0.3">
      <c r="A1943" s="729"/>
      <c r="B1943" s="302"/>
      <c r="C1943" s="357"/>
      <c r="D1943" s="1698"/>
      <c r="E1943" s="388" t="str">
        <f>Translations!$B$1374</f>
        <v>Стойност на предварително разпределяне</v>
      </c>
      <c r="F1943" s="388"/>
      <c r="G1943" s="388"/>
      <c r="H1943" s="421" t="str">
        <f>EUconst_EUA</f>
        <v>Квота за емисии</v>
      </c>
      <c r="I1943" s="1728"/>
      <c r="J1943" s="1694" t="str">
        <f>IF($M1928&lt;&gt;EUconst_Relevant,"",MAX(0,ROUND((SUM($M1931)*SUM(J1942))*IF($H1931=TRUE,1,IF($L1931=4,J$2413,J$2412))*IF($I1931=TRUE,INDEX(EUconst_CBAMFactor,J1941-2020),1)*IF($L1931&gt;=8,J$2415/0.97,1),0)))</f>
        <v/>
      </c>
      <c r="K1943" s="406" t="str">
        <f>IF($M1928&lt;&gt;EUconst_Relevant,"",MAX(0,ROUND((SUM($M1931)*SUM(K1942))*IF($H1931=TRUE,1,IF($L1931=4,K$2413,K$2412))*IF($I1931=TRUE,INDEX(EUconst_CBAMFactor,K1941-2020),1)*IF($L1931&gt;=8,K$2415/0.97,1),0)))</f>
        <v/>
      </c>
      <c r="L1943" s="406" t="str">
        <f>IF($M1928&lt;&gt;EUconst_Relevant,"",MAX(0,ROUND((SUM($M1931)*SUM(L1942))*IF($H1931=TRUE,1,IF($L1931=4,L$2413,L$2412))*IF($I1931=TRUE,INDEX(EUconst_CBAMFactor,L1941-2020),1)*IF($L1931&gt;=8,L$2415/0.97,1),0)))</f>
        <v/>
      </c>
      <c r="M1943" s="406" t="str">
        <f>IF($M1928&lt;&gt;EUconst_Relevant,"",MAX(0,ROUND((SUM($M1931)*SUM(M1942))*IF($H1931=TRUE,1,IF($L1931=4,M$2413,M$2412))*IF($I1931=TRUE,INDEX(EUconst_CBAMFactor,M1941-2020),1)*IF($L1931&gt;=8,M$2415/0.97,1),0)))</f>
        <v/>
      </c>
      <c r="N1943" s="1729" t="str">
        <f>IF($M1928&lt;&gt;EUconst_Relevant,"",MAX(0,ROUND((SUM($M1931)*SUM(N1942))*IF($H1931=TRUE,1,IF($L1931=4,N$2413,N$2412))*IF($I1931=TRUE,INDEX(EUconst_CBAMFactor,N1941-2020),1)*IF($L1931&gt;=8,N$2415/0.97,1),0)))</f>
        <v/>
      </c>
      <c r="O1943" s="698"/>
      <c r="P1943" s="729"/>
      <c r="Q1943" s="729"/>
      <c r="R1943" s="729"/>
      <c r="S1943" s="729"/>
      <c r="T1943" s="729"/>
      <c r="U1943" s="343"/>
      <c r="V1943" s="343"/>
    </row>
    <row r="1944" spans="1:22" s="364" customFormat="1" ht="5.15" customHeight="1" x14ac:dyDescent="0.3">
      <c r="A1944" s="729"/>
      <c r="B1944" s="302"/>
      <c r="C1944" s="357"/>
      <c r="D1944" s="1698"/>
      <c r="E1944" s="357"/>
      <c r="F1944" s="357"/>
      <c r="G1944" s="357"/>
      <c r="H1944" s="357"/>
      <c r="I1944" s="357"/>
      <c r="J1944" s="357"/>
      <c r="K1944" s="357"/>
      <c r="L1944" s="357"/>
      <c r="M1944" s="357"/>
      <c r="N1944" s="1712"/>
      <c r="O1944" s="698"/>
      <c r="P1944" s="729"/>
      <c r="Q1944" s="729"/>
      <c r="R1944" s="729"/>
      <c r="S1944" s="729"/>
      <c r="T1944" s="729"/>
      <c r="U1944" s="343"/>
      <c r="V1944" s="343"/>
    </row>
    <row r="1945" spans="1:22" s="364" customFormat="1" ht="12.75" customHeight="1" x14ac:dyDescent="0.3">
      <c r="A1945" s="729"/>
      <c r="B1945" s="302"/>
      <c r="C1945" s="357"/>
      <c r="D1945" s="1698"/>
      <c r="E1945" s="389" t="str">
        <f>Translations!$B$1375</f>
        <v>Промени: Равнище на дейност</v>
      </c>
      <c r="F1945" s="498"/>
      <c r="G1945" s="498"/>
      <c r="H1945" s="527" t="str">
        <f>EUconst_Unit</f>
        <v>Единица мярка</v>
      </c>
      <c r="I1945" s="1699"/>
      <c r="J1945" s="1523">
        <f>J$2505</f>
        <v>2026</v>
      </c>
      <c r="K1945" s="387">
        <f>K$2505</f>
        <v>2027</v>
      </c>
      <c r="L1945" s="387">
        <f>L$2505</f>
        <v>2028</v>
      </c>
      <c r="M1945" s="387">
        <f>M$2505</f>
        <v>2029</v>
      </c>
      <c r="N1945" s="1544">
        <f>N$2505</f>
        <v>2030</v>
      </c>
      <c r="O1945" s="698"/>
      <c r="P1945" s="729"/>
      <c r="Q1945" s="729"/>
      <c r="R1945" s="729"/>
      <c r="S1945" s="729"/>
      <c r="T1945" s="729"/>
      <c r="U1945" s="343"/>
      <c r="V1945" s="343"/>
    </row>
    <row r="1946" spans="1:22" s="364" customFormat="1" ht="12.75" customHeight="1" x14ac:dyDescent="0.3">
      <c r="A1946" s="729"/>
      <c r="B1946" s="302"/>
      <c r="C1946" s="357"/>
      <c r="D1946" s="1698"/>
      <c r="E1946" s="392" t="str">
        <f>Translations!$B$1328</f>
        <v>Средна годишна стойност</v>
      </c>
      <c r="F1946" s="392"/>
      <c r="G1946" s="392"/>
      <c r="H1946" s="1730" t="str">
        <f>H1942</f>
        <v>TJ</v>
      </c>
      <c r="I1946" s="1731"/>
      <c r="J1946" s="1848" t="str">
        <f>INDEX('G_Fall-back'!J:J,MATCH($P1946,'G_Fall-back'!$Q:$Q,0))</f>
        <v/>
      </c>
      <c r="K1946" s="1849" t="str">
        <f>INDEX('G_Fall-back'!K:K,MATCH($P1946,'G_Fall-back'!$Q:$Q,0))</f>
        <v/>
      </c>
      <c r="L1946" s="1849" t="str">
        <f>INDEX('G_Fall-back'!L:L,MATCH($P1946,'G_Fall-back'!$Q:$Q,0))</f>
        <v/>
      </c>
      <c r="M1946" s="1849" t="str">
        <f>INDEX('G_Fall-back'!M:M,MATCH($P1946,'G_Fall-back'!$Q:$Q,0))</f>
        <v/>
      </c>
      <c r="N1946" s="1850" t="str">
        <f>INDEX('G_Fall-back'!N:N,MATCH($P1946,'G_Fall-back'!$Q:$Q,0))</f>
        <v/>
      </c>
      <c r="O1946" s="698"/>
      <c r="P1946" s="1190" t="str">
        <f>EUconst_CNTR_HALinitial&amp;I1928</f>
        <v>HALini_Подинсталация с топлинен показател (с риск от ИВЕ | в рамките на МКВЕГ)</v>
      </c>
      <c r="Q1946" s="729"/>
      <c r="R1946" s="729"/>
      <c r="S1946" s="729"/>
      <c r="T1946" s="729"/>
      <c r="U1946" s="343"/>
      <c r="V1946" s="343"/>
    </row>
    <row r="1947" spans="1:22" s="364" customFormat="1" ht="12.75" customHeight="1" x14ac:dyDescent="0.3">
      <c r="A1947" s="729"/>
      <c r="B1947" s="302"/>
      <c r="C1947" s="357"/>
      <c r="D1947" s="1698"/>
      <c r="E1947" s="398" t="str">
        <f>Translations!$B$1376</f>
        <v>Промяна в сравнение с HAL</v>
      </c>
      <c r="F1947" s="398"/>
      <c r="G1947" s="398"/>
      <c r="H1947" s="1751" t="s">
        <v>1052</v>
      </c>
      <c r="I1947" s="1735"/>
      <c r="J1947" s="159" t="str">
        <f>INDEX('G_Fall-back'!J:J,MATCH($P1947,'G_Fall-back'!$Q:$Q,0))</f>
        <v/>
      </c>
      <c r="K1947" s="160" t="str">
        <f>INDEX('G_Fall-back'!K:K,MATCH($P1947,'G_Fall-back'!$Q:$Q,0))</f>
        <v/>
      </c>
      <c r="L1947" s="160" t="str">
        <f>INDEX('G_Fall-back'!L:L,MATCH($P1947,'G_Fall-back'!$Q:$Q,0))</f>
        <v/>
      </c>
      <c r="M1947" s="160" t="str">
        <f>INDEX('G_Fall-back'!M:M,MATCH($P1947,'G_Fall-back'!$Q:$Q,0))</f>
        <v/>
      </c>
      <c r="N1947" s="161" t="str">
        <f>INDEX('G_Fall-back'!N:N,MATCH($P1947,'G_Fall-back'!$Q:$Q,0))</f>
        <v/>
      </c>
      <c r="O1947" s="698"/>
      <c r="P1947" s="1190" t="str">
        <f>EUconst_CNTR_RelThreshold &amp; I1928</f>
        <v>RelThresh_Подинсталация с топлинен показател (с риск от ИВЕ | в рамките на МКВЕГ)</v>
      </c>
      <c r="Q1947" s="729"/>
      <c r="R1947" s="729"/>
      <c r="S1947" s="729"/>
      <c r="T1947" s="729"/>
      <c r="U1947" s="343"/>
      <c r="V1947" s="343"/>
    </row>
    <row r="1948" spans="1:22" s="364" customFormat="1" ht="12.75" customHeight="1" x14ac:dyDescent="0.3">
      <c r="A1948" s="729"/>
      <c r="B1948" s="302"/>
      <c r="C1948" s="357"/>
      <c r="D1948" s="1698"/>
      <c r="E1948" s="1851" t="str">
        <f>Translations!$B$1590</f>
        <v>Критерий 3a: Надвишен ли е относителният праг?</v>
      </c>
      <c r="F1948" s="1851"/>
      <c r="G1948" s="1851"/>
      <c r="H1948" s="1852" t="s">
        <v>1052</v>
      </c>
      <c r="I1948" s="1852"/>
      <c r="J1948" s="1853" t="str">
        <f>INDEX('G_Fall-back'!V:V,MATCH($P1948,'G_Fall-back'!$Q:$Q,0)+1)</f>
        <v/>
      </c>
      <c r="K1948" s="1854" t="str">
        <f>INDEX('G_Fall-back'!W:W,MATCH($P1948,'G_Fall-back'!$Q:$Q,0)+1)</f>
        <v/>
      </c>
      <c r="L1948" s="1854" t="str">
        <f>INDEX('G_Fall-back'!X:X,MATCH($P1948,'G_Fall-back'!$Q:$Q,0)+1)</f>
        <v/>
      </c>
      <c r="M1948" s="1854" t="str">
        <f>INDEX('G_Fall-back'!Y:Y,MATCH($P1948,'G_Fall-back'!$Q:$Q,0)+1)</f>
        <v/>
      </c>
      <c r="N1948" s="1855" t="str">
        <f>INDEX('G_Fall-back'!Z:Z,MATCH($P1948,'G_Fall-back'!$Q:$Q,0)+1)</f>
        <v/>
      </c>
      <c r="O1948" s="698"/>
      <c r="P1948" s="1190" t="str">
        <f>P1947</f>
        <v>RelThresh_Подинсталация с топлинен показател (с риск от ИВЕ | в рамките на МКВЕГ)</v>
      </c>
      <c r="Q1948" s="729"/>
      <c r="R1948" s="729"/>
      <c r="S1948" s="729"/>
      <c r="T1948" s="729"/>
      <c r="U1948" s="343"/>
      <c r="V1948" s="343"/>
    </row>
    <row r="1949" spans="1:22" s="364" customFormat="1" ht="12.75" customHeight="1" x14ac:dyDescent="0.3">
      <c r="A1949" s="729"/>
      <c r="B1949" s="302"/>
      <c r="C1949" s="357"/>
      <c r="D1949" s="1698"/>
      <c r="E1949" s="392" t="str">
        <f>Translations!$B$1579</f>
        <v>Очаквано равнище на дейност</v>
      </c>
      <c r="F1949" s="392"/>
      <c r="G1949" s="392"/>
      <c r="H1949" s="1730" t="str">
        <f>F1934</f>
        <v>TJ</v>
      </c>
      <c r="I1949" s="392"/>
      <c r="J1949" s="1848" t="str">
        <f>INDEX('G_Fall-back'!J:J,MATCH($P1949,'G_Fall-back'!$Q:$Q,0))</f>
        <v/>
      </c>
      <c r="K1949" s="1849" t="str">
        <f>INDEX('G_Fall-back'!K:K,MATCH($P1949,'G_Fall-back'!$Q:$Q,0))</f>
        <v/>
      </c>
      <c r="L1949" s="1849" t="str">
        <f>INDEX('G_Fall-back'!L:L,MATCH($P1949,'G_Fall-back'!$Q:$Q,0))</f>
        <v/>
      </c>
      <c r="M1949" s="1849" t="str">
        <f>INDEX('G_Fall-back'!M:M,MATCH($P1949,'G_Fall-back'!$Q:$Q,0))</f>
        <v/>
      </c>
      <c r="N1949" s="1850" t="str">
        <f>INDEX('G_Fall-back'!N:N,MATCH($P1949,'G_Fall-back'!$Q:$Q,0))</f>
        <v/>
      </c>
      <c r="O1949" s="698"/>
      <c r="P1949" s="1190" t="str">
        <f>EUconst_CNTR_HALprelim&amp;I1928</f>
        <v>HALprelim_Подинсталация с топлинен показател (с риск от ИВЕ | в рамките на МКВЕГ)</v>
      </c>
      <c r="Q1949" s="729"/>
      <c r="R1949" s="729"/>
      <c r="S1949" s="729"/>
      <c r="T1949" s="729"/>
      <c r="U1949" s="343"/>
      <c r="V1949" s="343"/>
    </row>
    <row r="1950" spans="1:22" s="364" customFormat="1" ht="12.75" customHeight="1" x14ac:dyDescent="0.3">
      <c r="A1950" s="729"/>
      <c r="B1950" s="302"/>
      <c r="C1950" s="357"/>
      <c r="D1950" s="1698"/>
      <c r="E1950" s="398" t="str">
        <f>Translations!$B$1591</f>
        <v>Промяна в сравнение с HAL (очаквана)</v>
      </c>
      <c r="F1950" s="398"/>
      <c r="G1950" s="398"/>
      <c r="H1950" s="516" t="s">
        <v>1052</v>
      </c>
      <c r="I1950" s="1720"/>
      <c r="J1950" s="159" t="str">
        <f>INDEX('G_Fall-back'!J:J,MATCH($P1950,'G_Fall-back'!$Q:$Q,0))</f>
        <v/>
      </c>
      <c r="K1950" s="160" t="str">
        <f>INDEX('G_Fall-back'!K:K,MATCH($P1950,'G_Fall-back'!$Q:$Q,0))</f>
        <v/>
      </c>
      <c r="L1950" s="160" t="str">
        <f>INDEX('G_Fall-back'!L:L,MATCH($P1950,'G_Fall-back'!$Q:$Q,0))</f>
        <v/>
      </c>
      <c r="M1950" s="160" t="str">
        <f>INDEX('G_Fall-back'!M:M,MATCH($P1950,'G_Fall-back'!$Q:$Q,0))</f>
        <v/>
      </c>
      <c r="N1950" s="161" t="str">
        <f>INDEX('G_Fall-back'!N:N,MATCH($P1950,'G_Fall-back'!$Q:$Q,0))</f>
        <v/>
      </c>
      <c r="O1950" s="698"/>
      <c r="P1950" s="1190" t="str">
        <f>EUconst_CNTR_EnEffPct&amp;I1928</f>
        <v>EnEffPct_Подинсталация с топлинен показател (с риск от ИВЕ | в рамките на МКВЕГ)</v>
      </c>
      <c r="Q1950" s="729"/>
      <c r="R1950" s="729"/>
      <c r="S1950" s="729"/>
      <c r="T1950" s="729"/>
      <c r="U1950" s="343"/>
      <c r="V1950" s="343"/>
    </row>
    <row r="1951" spans="1:22" s="364" customFormat="1" ht="12.75" customHeight="1" x14ac:dyDescent="0.3">
      <c r="A1951" s="729"/>
      <c r="B1951" s="302"/>
      <c r="C1951" s="357"/>
      <c r="D1951" s="1698"/>
      <c r="E1951" s="1706" t="str">
        <f>Translations!$B$1379</f>
        <v>Критерий 3б: Надвишени ли са относителните прагове?</v>
      </c>
      <c r="F1951" s="1706"/>
      <c r="G1951" s="1706"/>
      <c r="H1951" s="1856" t="s">
        <v>1052</v>
      </c>
      <c r="I1951" s="1857"/>
      <c r="J1951" s="1709" t="str">
        <f>INDEX('G_Fall-back'!V:V,MATCH($P1951,'G_Fall-back'!$Q:$Q,0)+1)</f>
        <v/>
      </c>
      <c r="K1951" s="1710" t="str">
        <f>INDEX('G_Fall-back'!W:W,MATCH($P1951,'G_Fall-back'!$Q:$Q,0)+1)</f>
        <v/>
      </c>
      <c r="L1951" s="1710" t="str">
        <f>INDEX('G_Fall-back'!X:X,MATCH($P1951,'G_Fall-back'!$Q:$Q,0)+1)</f>
        <v/>
      </c>
      <c r="M1951" s="1710" t="str">
        <f>INDEX('G_Fall-back'!Y:Y,MATCH($P1951,'G_Fall-back'!$Q:$Q,0)+1)</f>
        <v/>
      </c>
      <c r="N1951" s="1711" t="str">
        <f>INDEX('G_Fall-back'!Z:Z,MATCH($P1951,'G_Fall-back'!$Q:$Q,0)+1)</f>
        <v/>
      </c>
      <c r="O1951" s="698"/>
      <c r="P1951" s="1190" t="str">
        <f>EUconst_CNTR_EnEffPct&amp;I1928</f>
        <v>EnEffPct_Подинсталация с топлинен показател (с риск от ИВЕ | в рамките на МКВЕГ)</v>
      </c>
      <c r="Q1951" s="729"/>
      <c r="R1951" s="729"/>
      <c r="S1951" s="729"/>
      <c r="T1951" s="729"/>
      <c r="U1951" s="343"/>
      <c r="V1951" s="343"/>
    </row>
    <row r="1952" spans="1:22" s="364" customFormat="1" ht="13" x14ac:dyDescent="0.25">
      <c r="A1952" s="729"/>
      <c r="B1952" s="302"/>
      <c r="C1952" s="302"/>
      <c r="D1952" s="344"/>
      <c r="E1952" s="498" t="str">
        <f>Translations!$B$1389</f>
        <v>Действителна корекция на равнището на дейност</v>
      </c>
      <c r="F1952" s="498"/>
      <c r="G1952" s="498"/>
      <c r="H1952" s="1858" t="s">
        <v>1052</v>
      </c>
      <c r="I1952" s="1859"/>
      <c r="J1952" s="225" t="str">
        <f>INDEX('G_Fall-back'!J:J,MATCH($P1952,'G_Fall-back'!$Q:$Q,0))</f>
        <v/>
      </c>
      <c r="K1952" s="226" t="str">
        <f>INDEX('G_Fall-back'!K:K,MATCH($P1952,'G_Fall-back'!$Q:$Q,0))</f>
        <v/>
      </c>
      <c r="L1952" s="226" t="str">
        <f>INDEX('G_Fall-back'!L:L,MATCH($P1952,'G_Fall-back'!$Q:$Q,0))</f>
        <v/>
      </c>
      <c r="M1952" s="226" t="str">
        <f>INDEX('G_Fall-back'!M:M,MATCH($P1952,'G_Fall-back'!$Q:$Q,0))</f>
        <v/>
      </c>
      <c r="N1952" s="227" t="str">
        <f>INDEX('G_Fall-back'!N:N,MATCH($P1952,'G_Fall-back'!$Q:$Q,0))</f>
        <v/>
      </c>
      <c r="O1952" s="698"/>
      <c r="P1952" s="1190" t="str">
        <f>EUconst_CNTR_HALAdjPct&amp;I1928</f>
        <v>HALAdjPct_Подинсталация с топлинен показател (с риск от ИВЕ | в рамките на МКВЕГ)</v>
      </c>
      <c r="Q1952" s="729"/>
      <c r="R1952" s="729"/>
      <c r="S1952" s="729"/>
      <c r="T1952" s="770"/>
      <c r="U1952" s="343"/>
      <c r="V1952" s="343"/>
    </row>
    <row r="1953" spans="1:22" s="364" customFormat="1" ht="5.15" customHeight="1" thickBot="1" x14ac:dyDescent="0.3">
      <c r="A1953" s="729"/>
      <c r="B1953" s="302"/>
      <c r="C1953" s="302"/>
      <c r="D1953" s="1801"/>
      <c r="E1953" s="1762"/>
      <c r="F1953" s="1762"/>
      <c r="G1953" s="1762"/>
      <c r="H1953" s="1762"/>
      <c r="I1953" s="1860"/>
      <c r="J1953" s="1762"/>
      <c r="K1953" s="1762"/>
      <c r="L1953" s="1762"/>
      <c r="M1953" s="1762"/>
      <c r="N1953" s="1764"/>
      <c r="O1953" s="698"/>
      <c r="P1953" s="729"/>
      <c r="Q1953" s="729"/>
      <c r="R1953" s="729"/>
      <c r="S1953" s="729"/>
      <c r="T1953" s="770"/>
      <c r="U1953" s="343"/>
      <c r="V1953" s="343"/>
    </row>
    <row r="1954" spans="1:22" s="364" customFormat="1" ht="5.15" customHeight="1" thickBot="1" x14ac:dyDescent="0.3">
      <c r="A1954" s="729"/>
      <c r="B1954" s="302"/>
      <c r="C1954" s="302"/>
      <c r="D1954" s="302"/>
      <c r="E1954" s="302"/>
      <c r="F1954" s="302"/>
      <c r="G1954" s="302"/>
      <c r="H1954" s="302"/>
      <c r="I1954" s="1861"/>
      <c r="J1954" s="302"/>
      <c r="K1954" s="302"/>
      <c r="L1954" s="302"/>
      <c r="M1954" s="302"/>
      <c r="N1954" s="302"/>
      <c r="O1954" s="698"/>
      <c r="P1954" s="729"/>
      <c r="Q1954" s="729"/>
      <c r="R1954" s="729"/>
      <c r="S1954" s="729"/>
      <c r="T1954" s="770"/>
      <c r="U1954" s="343"/>
      <c r="V1954" s="343"/>
    </row>
    <row r="1955" spans="1:22" s="364" customFormat="1" ht="5.15" customHeight="1" x14ac:dyDescent="0.25">
      <c r="A1955" s="729"/>
      <c r="B1955" s="302"/>
      <c r="C1955" s="302"/>
      <c r="D1955" s="1765"/>
      <c r="E1955" s="1766"/>
      <c r="F1955" s="1766"/>
      <c r="G1955" s="1766"/>
      <c r="H1955" s="1766"/>
      <c r="I1955" s="1767"/>
      <c r="J1955" s="1766"/>
      <c r="K1955" s="1766"/>
      <c r="L1955" s="1766"/>
      <c r="M1955" s="1766"/>
      <c r="N1955" s="1768"/>
      <c r="O1955" s="698"/>
      <c r="P1955" s="729"/>
      <c r="Q1955" s="729"/>
      <c r="R1955" s="729"/>
      <c r="S1955" s="729"/>
      <c r="T1955" s="729"/>
      <c r="U1955" s="729"/>
      <c r="V1955" s="729"/>
    </row>
    <row r="1956" spans="1:22" s="364" customFormat="1" ht="13" x14ac:dyDescent="0.25">
      <c r="A1956" s="729"/>
      <c r="B1956" s="302"/>
      <c r="C1956" s="302"/>
      <c r="D1956" s="344"/>
      <c r="E1956" s="1769" t="str">
        <f>Translations!$B$1583</f>
        <v>Предварителни стойности за критерий &gt; 300 EUA</v>
      </c>
      <c r="F1956" s="1746"/>
      <c r="G1956" s="1746"/>
      <c r="H1956" s="1699" t="str">
        <f>EUconst_Unit</f>
        <v>Единица мярка</v>
      </c>
      <c r="I1956" s="1862" t="str">
        <f>Translations!$B$1341</f>
        <v>Базова стойност</v>
      </c>
      <c r="J1956" s="1771">
        <f>J$2505</f>
        <v>2026</v>
      </c>
      <c r="K1956" s="1772">
        <f>K$2505</f>
        <v>2027</v>
      </c>
      <c r="L1956" s="1772">
        <f>L$2505</f>
        <v>2028</v>
      </c>
      <c r="M1956" s="1772">
        <f>M$2505</f>
        <v>2029</v>
      </c>
      <c r="N1956" s="1773">
        <f>N$2505</f>
        <v>2030</v>
      </c>
      <c r="O1956" s="698"/>
      <c r="P1956" s="729"/>
      <c r="Q1956" s="729"/>
      <c r="R1956" s="729"/>
      <c r="S1956" s="729"/>
      <c r="T1956" s="729"/>
      <c r="U1956" s="729"/>
      <c r="V1956" s="729"/>
    </row>
    <row r="1957" spans="1:22" s="364" customFormat="1" x14ac:dyDescent="0.25">
      <c r="A1957" s="729"/>
      <c r="B1957" s="302"/>
      <c r="C1957" s="302"/>
      <c r="D1957" s="344"/>
      <c r="E1957" s="1789" t="str">
        <f>Translations!$B$1579</f>
        <v>Очаквано равнище на дейност</v>
      </c>
      <c r="F1957" s="1789"/>
      <c r="G1957" s="1789"/>
      <c r="H1957" s="1863" t="str">
        <f>F1934</f>
        <v>TJ</v>
      </c>
      <c r="I1957" s="1864" t="str">
        <f>IF($M1928&lt;&gt;EUconst_Relevant,"",IF(T1966&gt;=$H$2505,0,S1965))</f>
        <v/>
      </c>
      <c r="J1957" s="1864" t="str">
        <f>INDEX('G_Fall-back'!J:J,MATCH($P1957,'G_Fall-back'!$Q:$Q,0))</f>
        <v/>
      </c>
      <c r="K1957" s="1865" t="str">
        <f>INDEX('G_Fall-back'!K:K,MATCH($P1957,'G_Fall-back'!$Q:$Q,0))</f>
        <v/>
      </c>
      <c r="L1957" s="1865" t="str">
        <f>INDEX('G_Fall-back'!L:L,MATCH($P1957,'G_Fall-back'!$Q:$Q,0))</f>
        <v/>
      </c>
      <c r="M1957" s="1865" t="str">
        <f>INDEX('G_Fall-back'!M:M,MATCH($P1957,'G_Fall-back'!$Q:$Q,0))</f>
        <v/>
      </c>
      <c r="N1957" s="1866" t="str">
        <f>INDEX('G_Fall-back'!N:N,MATCH($P1957,'G_Fall-back'!$Q:$Q,0))</f>
        <v/>
      </c>
      <c r="O1957" s="698"/>
      <c r="P1957" s="1190" t="str">
        <f>EUconst_CNTR_HALprelim&amp;I1928</f>
        <v>HALprelim_Подинсталация с топлинен показател (с риск от ИВЕ | в рамките на МКВЕГ)</v>
      </c>
      <c r="Q1957" s="729"/>
      <c r="R1957" s="729"/>
      <c r="S1957" s="729"/>
      <c r="T1957" s="729"/>
      <c r="U1957" s="729"/>
      <c r="V1957" s="729"/>
    </row>
    <row r="1958" spans="1:22" s="364" customFormat="1" x14ac:dyDescent="0.25">
      <c r="A1958" s="729"/>
      <c r="B1958" s="302"/>
      <c r="C1958" s="302"/>
      <c r="D1958" s="344"/>
      <c r="E1958" s="1789" t="str">
        <f>Translations!$B$1374</f>
        <v>Стойност на предварително разпределяне</v>
      </c>
      <c r="F1958" s="1789"/>
      <c r="G1958" s="1789"/>
      <c r="H1958" s="1790" t="str">
        <f>EUconst_EUA</f>
        <v>Квота за емисии</v>
      </c>
      <c r="I1958" s="1867" t="str">
        <f>IF($M1928&lt;&gt;EUconst_Relevant,"",MAX(0,ROUND((SUM($M1931)*SUM(I1965))*IF($H1931=TRUE,1,IF($L1931=4,J$2413,J$2412)),0)))</f>
        <v/>
      </c>
      <c r="J1958" s="1714" t="str">
        <f>IF($M1928&lt;&gt;EUconst_Relevant,"",MAX(0,ROUND((SUM($M1931)*SUM(J1957))*IF($H1931=TRUE,1,IF($L1931=4,J$2413,J$2412))*IF($I1931=TRUE,INDEX(EUconst_CBAMFactor,J1941-2020),1)*IF($L1931&gt;=8,J$2415/0.97,1),0)))</f>
        <v/>
      </c>
      <c r="K1958" s="1693" t="str">
        <f>IF($M1928&lt;&gt;EUconst_Relevant,"",MAX(0,ROUND((SUM($M1931)*SUM(K1957))*IF($H1931=TRUE,1,IF($L1931=4,K$2413,K$2412))*IF($I1931=TRUE,INDEX(EUconst_CBAMFactor,K1941-2020),1)*IF($L1931&gt;=8,K$2415/0.97,1),0)))</f>
        <v/>
      </c>
      <c r="L1958" s="1693" t="str">
        <f>IF($M1928&lt;&gt;EUconst_Relevant,"",MAX(0,ROUND((SUM($M1931)*SUM(L1957))*IF($H1931=TRUE,1,IF($L1931=4,L$2413,L$2412))*IF($I1931=TRUE,INDEX(EUconst_CBAMFactor,L1941-2020),1)*IF($L1931&gt;=8,L$2415/0.97,1),0)))</f>
        <v/>
      </c>
      <c r="M1958" s="1693" t="str">
        <f>IF($M1928&lt;&gt;EUconst_Relevant,"",MAX(0,ROUND((SUM($M1931)*SUM(M1957))*IF($H1931=TRUE,1,IF($L1931=4,M$2413,M$2412))*IF($I1931=TRUE,INDEX(EUconst_CBAMFactor,M1941-2020),1)*IF($L1931&gt;=8,M$2415/0.97,1),0)))</f>
        <v/>
      </c>
      <c r="N1958" s="1715" t="str">
        <f>IF($M1928&lt;&gt;EUconst_Relevant,"",MAX(0,ROUND((SUM($M1931)*SUM(N1957))*IF($H1931=TRUE,1,IF($L1931=4,N$2413,N$2412))*IF($I1931=TRUE,INDEX(EUconst_CBAMFactor,N1941-2020),1)*IF($L1931&gt;=8,N$2415/0.97,1),0)))</f>
        <v/>
      </c>
      <c r="O1958" s="698"/>
      <c r="P1958" s="729"/>
      <c r="Q1958" s="729"/>
      <c r="R1958" s="729"/>
      <c r="S1958" s="729"/>
      <c r="T1958" s="729"/>
      <c r="U1958" s="729"/>
      <c r="V1958" s="729"/>
    </row>
    <row r="1959" spans="1:22" s="364" customFormat="1" x14ac:dyDescent="0.25">
      <c r="A1959" s="729"/>
      <c r="B1959" s="302"/>
      <c r="C1959" s="302"/>
      <c r="D1959" s="344"/>
      <c r="E1959" s="388" t="str">
        <f>Translations!$B$1584</f>
        <v>Разлика в предварителната стойност</v>
      </c>
      <c r="F1959" s="388"/>
      <c r="G1959" s="388"/>
      <c r="H1959" s="421" t="str">
        <f>EUconst_EUA</f>
        <v>Квота за емисии</v>
      </c>
      <c r="I1959" s="1792"/>
      <c r="J1959" s="1793" t="str">
        <f>IF(J1958="","",SUM(J1958)-SUM(J1943))</f>
        <v/>
      </c>
      <c r="K1959" s="998" t="str">
        <f t="shared" ref="K1959:N1959" si="165">IF(K1958="","",SUM(K1958)-SUM(K1943))</f>
        <v/>
      </c>
      <c r="L1959" s="998" t="str">
        <f t="shared" si="165"/>
        <v/>
      </c>
      <c r="M1959" s="998" t="str">
        <f t="shared" si="165"/>
        <v/>
      </c>
      <c r="N1959" s="1794" t="str">
        <f t="shared" si="165"/>
        <v/>
      </c>
      <c r="O1959" s="698"/>
      <c r="P1959" s="1190" t="str">
        <f>EUconst_CNTR_AllocPrelimChange</f>
        <v>AllocPrelimChange_</v>
      </c>
      <c r="Q1959" s="729"/>
      <c r="R1959" s="729"/>
      <c r="S1959" s="729"/>
      <c r="T1959" s="729"/>
      <c r="U1959" s="729"/>
      <c r="V1959" s="729"/>
    </row>
    <row r="1960" spans="1:22" s="364" customFormat="1" x14ac:dyDescent="0.25">
      <c r="A1960" s="729"/>
      <c r="B1960" s="302"/>
      <c r="C1960" s="302"/>
      <c r="D1960" s="344"/>
      <c r="E1960" s="1796" t="str">
        <f>Translations!$B$1581</f>
        <v>Критерий 4: Разлика от поне 300 квоти за емисии?</v>
      </c>
      <c r="F1960" s="1796"/>
      <c r="G1960" s="1796"/>
      <c r="H1960" s="1797" t="s">
        <v>1052</v>
      </c>
      <c r="I1960" s="1792"/>
      <c r="J1960" s="1798" t="str">
        <f>IF(J1959="","",ABS(J1959)&gt;=300)</f>
        <v/>
      </c>
      <c r="K1960" s="1799" t="str">
        <f t="shared" ref="K1960:N1960" si="166">IF(K1959="","",ABS(K1959)&gt;=300)</f>
        <v/>
      </c>
      <c r="L1960" s="1799" t="str">
        <f t="shared" si="166"/>
        <v/>
      </c>
      <c r="M1960" s="1799" t="str">
        <f t="shared" si="166"/>
        <v/>
      </c>
      <c r="N1960" s="1800" t="str">
        <f t="shared" si="166"/>
        <v/>
      </c>
      <c r="O1960" s="698"/>
      <c r="P1960" s="1190" t="str">
        <f>EUconst_CNTR_300EUA&amp;I1928</f>
        <v>EUA300_Подинсталация с топлинен показател (с риск от ИВЕ | в рамките на МКВЕГ)</v>
      </c>
      <c r="Q1960" s="729"/>
      <c r="R1960" s="729"/>
      <c r="S1960" s="729"/>
      <c r="T1960" s="729"/>
      <c r="U1960" s="729"/>
      <c r="V1960" s="729"/>
    </row>
    <row r="1961" spans="1:22" s="364" customFormat="1" ht="5.15" customHeight="1" thickBot="1" x14ac:dyDescent="0.3">
      <c r="A1961" s="729"/>
      <c r="B1961" s="302"/>
      <c r="C1961" s="302"/>
      <c r="D1961" s="1801"/>
      <c r="E1961" s="1762"/>
      <c r="F1961" s="1762"/>
      <c r="G1961" s="1762"/>
      <c r="H1961" s="1762"/>
      <c r="I1961" s="1762"/>
      <c r="J1961" s="1762"/>
      <c r="K1961" s="1762"/>
      <c r="L1961" s="1762"/>
      <c r="M1961" s="1762"/>
      <c r="N1961" s="1764"/>
      <c r="O1961" s="698"/>
      <c r="P1961" s="729"/>
      <c r="Q1961" s="729"/>
      <c r="R1961" s="729"/>
      <c r="S1961" s="729"/>
      <c r="T1961" s="770"/>
      <c r="U1961" s="343"/>
      <c r="V1961" s="343"/>
    </row>
    <row r="1962" spans="1:22" s="364" customFormat="1" ht="5.15" customHeight="1" thickBot="1" x14ac:dyDescent="0.3">
      <c r="A1962" s="729"/>
      <c r="B1962" s="302"/>
      <c r="C1962" s="302"/>
      <c r="D1962" s="302"/>
      <c r="E1962" s="302"/>
      <c r="F1962" s="302"/>
      <c r="G1962" s="302"/>
      <c r="H1962" s="302"/>
      <c r="I1962" s="1861"/>
      <c r="J1962" s="302"/>
      <c r="K1962" s="302"/>
      <c r="L1962" s="302"/>
      <c r="M1962" s="302"/>
      <c r="N1962" s="302"/>
      <c r="O1962" s="698"/>
      <c r="P1962" s="729"/>
      <c r="Q1962" s="729"/>
      <c r="R1962" s="729"/>
      <c r="S1962" s="729"/>
      <c r="T1962" s="770"/>
      <c r="U1962" s="343"/>
      <c r="V1962" s="343"/>
    </row>
    <row r="1963" spans="1:22" s="364" customFormat="1" ht="5.15" customHeight="1" x14ac:dyDescent="0.25">
      <c r="A1963" s="729"/>
      <c r="B1963" s="302"/>
      <c r="C1963" s="302"/>
      <c r="D1963" s="1765"/>
      <c r="E1963" s="1766"/>
      <c r="F1963" s="1766"/>
      <c r="G1963" s="1766"/>
      <c r="H1963" s="1766"/>
      <c r="I1963" s="1767"/>
      <c r="J1963" s="1766"/>
      <c r="K1963" s="1766"/>
      <c r="L1963" s="1766"/>
      <c r="M1963" s="1766"/>
      <c r="N1963" s="1768"/>
      <c r="O1963" s="698"/>
      <c r="P1963" s="729"/>
      <c r="Q1963" s="729"/>
      <c r="R1963" s="729"/>
      <c r="S1963" s="729"/>
      <c r="T1963" s="770"/>
      <c r="U1963" s="343"/>
      <c r="V1963" s="343"/>
    </row>
    <row r="1964" spans="1:22" s="364" customFormat="1" ht="13" x14ac:dyDescent="0.25">
      <c r="A1964" s="729"/>
      <c r="B1964" s="302"/>
      <c r="C1964" s="302"/>
      <c r="D1964" s="344"/>
      <c r="E1964" s="313" t="str">
        <f>Translations!$B$1387</f>
        <v>Използвани действителни стойности</v>
      </c>
      <c r="F1964" s="302"/>
      <c r="G1964" s="302"/>
      <c r="H1964" s="527" t="str">
        <f>EUconst_Unit</f>
        <v>Единица мярка</v>
      </c>
      <c r="I1964" s="1868" t="str">
        <f>Translations!$B$1341</f>
        <v>Базова стойност</v>
      </c>
      <c r="J1964" s="1523">
        <f>J$2505</f>
        <v>2026</v>
      </c>
      <c r="K1964" s="387">
        <f>K$2505</f>
        <v>2027</v>
      </c>
      <c r="L1964" s="387">
        <f>L$2505</f>
        <v>2028</v>
      </c>
      <c r="M1964" s="387">
        <f>M$2505</f>
        <v>2029</v>
      </c>
      <c r="N1964" s="1544">
        <f>N$2505</f>
        <v>2030</v>
      </c>
      <c r="O1964" s="698"/>
      <c r="P1964" s="729"/>
      <c r="Q1964" s="729"/>
      <c r="R1964" s="729"/>
      <c r="S1964" s="1519" t="str">
        <f>Translations!$B$1284</f>
        <v>HAL</v>
      </c>
      <c r="T1964" s="770"/>
      <c r="U1964" s="343"/>
      <c r="V1964" s="343"/>
    </row>
    <row r="1965" spans="1:22" s="364" customFormat="1" x14ac:dyDescent="0.25">
      <c r="A1965" s="729"/>
      <c r="B1965" s="302"/>
      <c r="C1965" s="302"/>
      <c r="D1965" s="344"/>
      <c r="E1965" s="388" t="str">
        <f>Translations!$B$1390</f>
        <v>Използвано равнище на дейност</v>
      </c>
      <c r="F1965" s="388"/>
      <c r="G1965" s="388"/>
      <c r="H1965" s="1210" t="str">
        <f>F1934</f>
        <v>TJ</v>
      </c>
      <c r="I1965" s="1864" t="str">
        <f>IF($M1928&lt;&gt;EUconst_Relevant,"",IF(T1966&gt;=$H$2505,0,S1965))</f>
        <v/>
      </c>
      <c r="J1965" s="1844" t="str">
        <f>INDEX('G_Fall-back'!J:J,MATCH($P1965,'G_Fall-back'!$Q:$Q,0))</f>
        <v/>
      </c>
      <c r="K1965" s="1846" t="str">
        <f>INDEX('G_Fall-back'!K:K,MATCH($P1965,'G_Fall-back'!$Q:$Q,0))</f>
        <v/>
      </c>
      <c r="L1965" s="1846" t="str">
        <f>INDEX('G_Fall-back'!L:L,MATCH($P1965,'G_Fall-back'!$Q:$Q,0))</f>
        <v/>
      </c>
      <c r="M1965" s="1846" t="str">
        <f>INDEX('G_Fall-back'!M:M,MATCH($P1965,'G_Fall-back'!$Q:$Q,0))</f>
        <v/>
      </c>
      <c r="N1965" s="1847" t="str">
        <f>INDEX('G_Fall-back'!N:N,MATCH($P1965,'G_Fall-back'!$Q:$Q,0))</f>
        <v/>
      </c>
      <c r="O1965" s="698"/>
      <c r="P1965" s="1190" t="str">
        <f>EUconst_CNTR_HALfinal&amp;I1928</f>
        <v>HALfinal_Подинсталация с топлинен показател (с риск от ИВЕ | в рамките на МКВЕГ)</v>
      </c>
      <c r="Q1965" s="729"/>
      <c r="R1965" s="729"/>
      <c r="S1965" s="1817" t="str">
        <f>IF($M1928&lt;&gt;EUconst_Relevant,"",SUMIF('G_Fall-back'!$Q:$Q,$P1965,'G_Fall-back'!I:I))</f>
        <v/>
      </c>
      <c r="T1965" s="770"/>
      <c r="U1965" s="343"/>
      <c r="V1965" s="343"/>
    </row>
    <row r="1966" spans="1:22" s="364" customFormat="1" x14ac:dyDescent="0.25">
      <c r="A1966" s="729"/>
      <c r="B1966" s="302"/>
      <c r="C1966" s="302"/>
      <c r="D1966" s="344"/>
      <c r="E1966" s="388" t="str">
        <f>Translations!$B$892</f>
        <v>Предварително разпределяне</v>
      </c>
      <c r="F1966" s="388"/>
      <c r="G1966" s="388"/>
      <c r="H1966" s="421" t="str">
        <f>EUconst_EUA</f>
        <v>Квота за емисии</v>
      </c>
      <c r="I1966" s="1867" t="str">
        <f>IF($M1928&lt;&gt;EUconst_Relevant,"",MAX(0,ROUND((SUM($M1931)*SUM(I1965))*IF($H1931=TRUE,1,IF($L1931=4,J$2413,J$2412)),0)))</f>
        <v/>
      </c>
      <c r="J1966" s="1694" t="str">
        <f>IF($M1928&lt;&gt;EUconst_Relevant,"",MAX(0,ROUND((SUM($M1931)*SUM(J1965))*IF($H1931=TRUE,1,IF($L1931=4,J$2413,J$2412))*IF($I1931=TRUE,INDEX(EUconst_CBAMFactor,J1941-2020),1)*IF($L1931&gt;=8,J$2415/0.97,1),0)))</f>
        <v/>
      </c>
      <c r="K1966" s="406" t="str">
        <f>IF($M1928&lt;&gt;EUconst_Relevant,"",MAX(0,ROUND((SUM($M1931)*SUM(K1965))*IF($H1931=TRUE,1,IF($L1931=4,K$2413,K$2412))*IF($I1931=TRUE,INDEX(EUconst_CBAMFactor,K1941-2020),1)*IF($L1931&gt;=8,K$2415/0.97,1),0)))</f>
        <v/>
      </c>
      <c r="L1966" s="406" t="str">
        <f>IF($M1928&lt;&gt;EUconst_Relevant,"",MAX(0,ROUND((SUM($M1931)*SUM(L1965))*IF($H1931=TRUE,1,IF($L1931=4,L$2413,L$2412))*IF($I1931=TRUE,INDEX(EUconst_CBAMFactor,L1941-2020),1)*IF($L1931&gt;=8,L$2415/0.97,1),0)))</f>
        <v/>
      </c>
      <c r="M1966" s="406" t="str">
        <f>IF($M1928&lt;&gt;EUconst_Relevant,"",MAX(0,ROUND((SUM($M1931)*SUM(M1965))*IF($H1931=TRUE,1,IF($L1931=4,M$2413,M$2412))*IF($I1931=TRUE,INDEX(EUconst_CBAMFactor,M1941-2020),1)*IF($L1931&gt;=8,M$2415/0.97,1),0)))</f>
        <v/>
      </c>
      <c r="N1966" s="1729" t="str">
        <f>IF($M1928&lt;&gt;EUconst_Relevant,"",MAX(0,ROUND((SUM($M1931)*SUM(N1965))*IF($H1931=TRUE,1,IF($L1931=4,N$2413,N$2412))*IF($I1931=TRUE,INDEX(EUconst_CBAMFactor,N1941-2020),1)*IF($L1931&gt;=8,N$2415/0.97,1),0)))</f>
        <v/>
      </c>
      <c r="O1966" s="698"/>
      <c r="P1966" s="1190" t="str">
        <f>EUconst_AllocPrelim&amp;I1928</f>
        <v>AllocPrelim_Подинсталация с топлинен показател (с риск от ИВЕ | в рамките на МКВЕГ)</v>
      </c>
      <c r="Q1966" s="729"/>
      <c r="R1966" s="729"/>
      <c r="S1966" s="729"/>
      <c r="T1966" s="1176">
        <f>INDEX('G_Fall-back'!V:V,MATCH(L1931,'G_Fall-back'!C:C,0))</f>
        <v>2005</v>
      </c>
      <c r="U1966" s="727" t="b">
        <f>OR(INDEX(I1966:N1966,CNTR_ReportingYear-$I$2505)&lt;&gt;INDEX(I1966:N1966,CNTR_ReportingYear-$H$2505),
(CNTR_ReportingYear-T1966)&lt;=1)</f>
        <v>0</v>
      </c>
      <c r="V1966" s="716" t="b">
        <f ca="1">IF(I1966="",FALSE,COUNTIF(OFFSET(I1966,,,,MAX(1,CNTR_ReportingYear-$I$2505)),"&lt;&gt;" &amp; INDEX(I1966:N1966,CNTR_ReportingYear-$H$2505))&gt;0)</f>
        <v>0</v>
      </c>
    </row>
    <row r="1967" spans="1:22" s="364" customFormat="1" ht="5.15" customHeight="1" thickBot="1" x14ac:dyDescent="0.3">
      <c r="A1967" s="729"/>
      <c r="B1967" s="302"/>
      <c r="C1967" s="302"/>
      <c r="D1967" s="1801"/>
      <c r="E1967" s="1762"/>
      <c r="F1967" s="1762"/>
      <c r="G1967" s="1762"/>
      <c r="H1967" s="1762"/>
      <c r="I1967" s="1762"/>
      <c r="J1967" s="1762"/>
      <c r="K1967" s="1762"/>
      <c r="L1967" s="1762"/>
      <c r="M1967" s="1762"/>
      <c r="N1967" s="1764"/>
      <c r="O1967" s="698"/>
      <c r="P1967" s="729"/>
      <c r="Q1967" s="729"/>
      <c r="R1967" s="729"/>
      <c r="S1967" s="729"/>
      <c r="T1967" s="770"/>
      <c r="U1967" s="343"/>
      <c r="V1967" s="343"/>
    </row>
    <row r="1968" spans="1:22" s="364" customFormat="1" ht="5.15" customHeight="1" thickBot="1" x14ac:dyDescent="0.3">
      <c r="A1968" s="729"/>
      <c r="B1968" s="302"/>
      <c r="C1968" s="302"/>
      <c r="D1968" s="302"/>
      <c r="E1968" s="302"/>
      <c r="F1968" s="302"/>
      <c r="G1968" s="302"/>
      <c r="M1968" s="302"/>
      <c r="N1968" s="302"/>
      <c r="O1968" s="698"/>
      <c r="P1968" s="729"/>
      <c r="Q1968" s="729"/>
      <c r="R1968" s="729"/>
      <c r="S1968" s="729"/>
      <c r="T1968" s="729"/>
      <c r="U1968" s="343"/>
      <c r="V1968" s="343"/>
    </row>
    <row r="1969" spans="1:22" s="364" customFormat="1" ht="5.15" customHeight="1" x14ac:dyDescent="0.25">
      <c r="A1969" s="729"/>
      <c r="B1969" s="302"/>
      <c r="C1969" s="302"/>
      <c r="D1969" s="1818"/>
      <c r="E1969" s="1819"/>
      <c r="F1969" s="1300"/>
      <c r="G1969" s="1300"/>
      <c r="H1969" s="1300"/>
      <c r="I1969" s="1300"/>
      <c r="J1969" s="1300"/>
      <c r="K1969" s="1300"/>
      <c r="L1969" s="1300"/>
      <c r="M1969" s="1300"/>
      <c r="N1969" s="1301"/>
      <c r="O1969" s="698"/>
      <c r="P1969" s="729"/>
      <c r="Q1969" s="729"/>
      <c r="R1969" s="729"/>
      <c r="S1969" s="729"/>
      <c r="T1969" s="729"/>
      <c r="U1969" s="343"/>
      <c r="V1969" s="343"/>
    </row>
    <row r="1970" spans="1:22" s="364" customFormat="1" ht="13.5" thickBot="1" x14ac:dyDescent="0.3">
      <c r="A1970" s="729"/>
      <c r="B1970" s="302"/>
      <c r="C1970" s="302"/>
      <c r="D1970" s="1820"/>
      <c r="E1970" s="625"/>
      <c r="F1970" s="626"/>
      <c r="G1970" s="627" t="str">
        <f>EUconst_Unit</f>
        <v>Единица мярка</v>
      </c>
      <c r="H1970" s="628">
        <f t="shared" ref="H1970:N1970" si="167">H$2505</f>
        <v>2024</v>
      </c>
      <c r="I1970" s="628">
        <f t="shared" si="167"/>
        <v>2025</v>
      </c>
      <c r="J1970" s="628">
        <f t="shared" si="167"/>
        <v>2026</v>
      </c>
      <c r="K1970" s="629">
        <f t="shared" si="167"/>
        <v>2027</v>
      </c>
      <c r="L1970" s="629">
        <f t="shared" si="167"/>
        <v>2028</v>
      </c>
      <c r="M1970" s="629">
        <f t="shared" si="167"/>
        <v>2029</v>
      </c>
      <c r="N1970" s="1312">
        <f t="shared" si="167"/>
        <v>2030</v>
      </c>
      <c r="O1970" s="698"/>
      <c r="P1970" s="729"/>
      <c r="Q1970" s="729"/>
      <c r="R1970" s="729"/>
      <c r="S1970" s="729"/>
      <c r="T1970" s="729"/>
      <c r="U1970" s="343"/>
      <c r="V1970" s="343"/>
    </row>
    <row r="1971" spans="1:22" s="364" customFormat="1" ht="13.5" customHeight="1" thickBot="1" x14ac:dyDescent="0.3">
      <c r="A1971" s="729"/>
      <c r="B1971" s="302"/>
      <c r="C1971" s="302"/>
      <c r="D1971" s="1820"/>
      <c r="E1971" s="2929" t="str">
        <f>Translations!$B$349</f>
        <v>Произведена измерима топлинна енергия</v>
      </c>
      <c r="F1971" s="2258"/>
      <c r="G1971" s="631" t="str">
        <f>EUconst_TJpa</f>
        <v>TJ / година</v>
      </c>
      <c r="H1971" s="661" t="str">
        <f>IF($M1928&lt;&gt;EUconst_Relevant,"",IF(INDEX('G_Fall-back'!H:H,MATCH($P1971,'G_Fall-back'!$Q:$Q,0))="","",INDEX('G_Fall-back'!H:H,MATCH($P1971,'G_Fall-back'!$Q:$Q,0))))</f>
        <v/>
      </c>
      <c r="I1971" s="663" t="str">
        <f>IF($M1928&lt;&gt;EUconst_Relevant,"",IF(INDEX('G_Fall-back'!I:I,MATCH($P1971,'G_Fall-back'!$Q:$Q,0))="","",INDEX('G_Fall-back'!I:I,MATCH($P1971,'G_Fall-back'!$Q:$Q,0))))</f>
        <v/>
      </c>
      <c r="J1971" s="661" t="str">
        <f>IF($M1928&lt;&gt;EUconst_Relevant,"",IF(INDEX('G_Fall-back'!J:J,MATCH($P1971,'G_Fall-back'!$Q:$Q,0))="","",INDEX('G_Fall-back'!J:J,MATCH($P1971,'G_Fall-back'!$Q:$Q,0))))</f>
        <v/>
      </c>
      <c r="K1971" s="662" t="str">
        <f>IF($M1928&lt;&gt;EUconst_Relevant,"",IF(INDEX('G_Fall-back'!K:K,MATCH($P1971,'G_Fall-back'!$Q:$Q,0))="","",INDEX('G_Fall-back'!K:K,MATCH($P1971,'G_Fall-back'!$Q:$Q,0))))</f>
        <v/>
      </c>
      <c r="L1971" s="662" t="str">
        <f>IF($M1928&lt;&gt;EUconst_Relevant,"",IF(INDEX('G_Fall-back'!L:L,MATCH($P1971,'G_Fall-back'!$Q:$Q,0))="","",INDEX('G_Fall-back'!L:L,MATCH($P1971,'G_Fall-back'!$Q:$Q,0))))</f>
        <v/>
      </c>
      <c r="M1971" s="662" t="str">
        <f>IF($M1928&lt;&gt;EUconst_Relevant,"",IF(INDEX('G_Fall-back'!M:M,MATCH($P1971,'G_Fall-back'!$Q:$Q,0))="","",INDEX('G_Fall-back'!M:M,MATCH($P1971,'G_Fall-back'!$Q:$Q,0))))</f>
        <v/>
      </c>
      <c r="N1971" s="663" t="str">
        <f>IF($M1928&lt;&gt;EUconst_Relevant,"",IF(INDEX('G_Fall-back'!N:N,MATCH($P1971,'G_Fall-back'!$Q:$Q,0))="","",INDEX('G_Fall-back'!N:N,MATCH($P1971,'G_Fall-back'!$Q:$Q,0))))</f>
        <v/>
      </c>
      <c r="O1971" s="698"/>
      <c r="P1971" s="1500" t="str">
        <f>EUconst_CNTR_HeatProduced &amp;I1928</f>
        <v>HeatProd_Подинсталация с топлинен показател (с риск от ИВЕ | в рамките на МКВЕГ)</v>
      </c>
      <c r="Q1971" s="729"/>
      <c r="R1971" s="729"/>
      <c r="S1971" s="729"/>
      <c r="T1971" s="729"/>
      <c r="U1971" s="343"/>
      <c r="V1971" s="343"/>
    </row>
    <row r="1972" spans="1:22" s="364" customFormat="1" ht="13.5" customHeight="1" x14ac:dyDescent="0.25">
      <c r="A1972" s="729"/>
      <c r="B1972" s="302"/>
      <c r="C1972" s="302"/>
      <c r="D1972" s="1820"/>
      <c r="E1972" s="2820" t="str">
        <f>Translations!$B$1555</f>
        <v>Топлинна енергия, произведена от електроенергия</v>
      </c>
      <c r="F1972" s="2992"/>
      <c r="G1972" s="631" t="str">
        <f>EUconst_TJpa</f>
        <v>TJ / година</v>
      </c>
      <c r="H1972" s="1869" t="str">
        <f>IF($M1928&lt;&gt;EUconst_Relevant,"",IF(INDEX('G_Fall-back'!H:H,MATCH($P1972,'G_Fall-back'!$Q:$Q,0))="","",INDEX('G_Fall-back'!H:H,MATCH($P1972,'G_Fall-back'!$Q:$Q,0))))</f>
        <v/>
      </c>
      <c r="I1972" s="1870" t="str">
        <f>IF($M1928&lt;&gt;EUconst_Relevant,"",IF(INDEX('G_Fall-back'!I:I,MATCH($P1972,'G_Fall-back'!$Q:$Q,0))="","",INDEX('G_Fall-back'!I:I,MATCH($P1972,'G_Fall-back'!$Q:$Q,0))))</f>
        <v/>
      </c>
      <c r="J1972" s="1871" t="str">
        <f>IF($M1928&lt;&gt;EUconst_Relevant,"",IF(INDEX('G_Fall-back'!J:J,MATCH($P1972,'G_Fall-back'!$Q:$Q,0))="","",INDEX('G_Fall-back'!J:J,MATCH($P1972,'G_Fall-back'!$Q:$Q,0))))</f>
        <v/>
      </c>
      <c r="K1972" s="1869" t="str">
        <f>IF($M1928&lt;&gt;EUconst_Relevant,"",IF(INDEX('G_Fall-back'!K:K,MATCH($P1972,'G_Fall-back'!$Q:$Q,0))="","",INDEX('G_Fall-back'!K:K,MATCH($P1972,'G_Fall-back'!$Q:$Q,0))))</f>
        <v/>
      </c>
      <c r="L1972" s="1869" t="str">
        <f>IF($M1928&lt;&gt;EUconst_Relevant,"",IF(INDEX('G_Fall-back'!L:L,MATCH($P1972,'G_Fall-back'!$Q:$Q,0))="","",INDEX('G_Fall-back'!L:L,MATCH($P1972,'G_Fall-back'!$Q:$Q,0))))</f>
        <v/>
      </c>
      <c r="M1972" s="1869" t="str">
        <f>IF($M1928&lt;&gt;EUconst_Relevant,"",IF(INDEX('G_Fall-back'!M:M,MATCH($P1972,'G_Fall-back'!$Q:$Q,0))="","",INDEX('G_Fall-back'!M:M,MATCH($P1972,'G_Fall-back'!$Q:$Q,0))))</f>
        <v/>
      </c>
      <c r="N1972" s="1870" t="str">
        <f>IF($M1928&lt;&gt;EUconst_Relevant,"",IF(INDEX('G_Fall-back'!N:N,MATCH($P1972,'G_Fall-back'!$Q:$Q,0))="","",INDEX('G_Fall-back'!N:N,MATCH($P1972,'G_Fall-back'!$Q:$Q,0))))</f>
        <v/>
      </c>
      <c r="O1972" s="698"/>
      <c r="P1972" s="1500" t="str">
        <f>EUconst_CNTR_HeatProducedElectricity  &amp;I1928</f>
        <v>HeatProdElec_Подинсталация с топлинен показател (с риск от ИВЕ | в рамките на МКВЕГ)</v>
      </c>
      <c r="Q1972" s="729"/>
      <c r="R1972" s="729"/>
      <c r="S1972" s="729"/>
      <c r="T1972" s="729"/>
      <c r="U1972" s="343"/>
      <c r="V1972" s="343"/>
    </row>
    <row r="1973" spans="1:22" s="364" customFormat="1" ht="5.15" customHeight="1" thickBot="1" x14ac:dyDescent="0.3">
      <c r="A1973" s="729"/>
      <c r="B1973" s="302"/>
      <c r="C1973" s="302"/>
      <c r="D1973" s="1820"/>
      <c r="E1973" s="625"/>
      <c r="F1973" s="625"/>
      <c r="G1973" s="625"/>
      <c r="H1973" s="640"/>
      <c r="I1973" s="640"/>
      <c r="J1973" s="640"/>
      <c r="K1973" s="640"/>
      <c r="L1973" s="640"/>
      <c r="M1973" s="640"/>
      <c r="N1973" s="1831"/>
      <c r="O1973" s="698"/>
      <c r="P1973" s="729"/>
      <c r="Q1973" s="729"/>
      <c r="R1973" s="729"/>
      <c r="S1973" s="729"/>
      <c r="T1973" s="729"/>
      <c r="U1973" s="343"/>
      <c r="V1973" s="343"/>
    </row>
    <row r="1974" spans="1:22" s="364" customFormat="1" ht="13.5" customHeight="1" thickBot="1" x14ac:dyDescent="0.3">
      <c r="A1974" s="729"/>
      <c r="B1974" s="302"/>
      <c r="C1974" s="302"/>
      <c r="D1974" s="1820"/>
      <c r="E1974" s="2929" t="str">
        <f>Translations!$B$956</f>
        <v>Общо зададени емисии</v>
      </c>
      <c r="F1974" s="2258"/>
      <c r="G1974" s="631" t="str">
        <f>EUconst_tCO2epa</f>
        <v>t CO2e/година</v>
      </c>
      <c r="H1974" s="661" t="str">
        <f t="shared" ref="H1974:N1974" si="168">INDEX(H$95:H$114,MATCH($I1928,$E$95:$E$114,0))</f>
        <v/>
      </c>
      <c r="I1974" s="663" t="str">
        <f t="shared" si="168"/>
        <v/>
      </c>
      <c r="J1974" s="661" t="str">
        <f t="shared" si="168"/>
        <v/>
      </c>
      <c r="K1974" s="662" t="str">
        <f t="shared" si="168"/>
        <v/>
      </c>
      <c r="L1974" s="662" t="str">
        <f t="shared" si="168"/>
        <v/>
      </c>
      <c r="M1974" s="662" t="str">
        <f t="shared" si="168"/>
        <v/>
      </c>
      <c r="N1974" s="663" t="str">
        <f t="shared" si="168"/>
        <v/>
      </c>
      <c r="O1974" s="698"/>
      <c r="P1974" s="729"/>
      <c r="Q1974" s="729"/>
      <c r="R1974" s="729"/>
      <c r="S1974" s="729"/>
      <c r="T1974" s="770"/>
      <c r="U1974" s="343"/>
      <c r="V1974" s="343"/>
    </row>
    <row r="1975" spans="1:22" s="364" customFormat="1" ht="5.15" customHeight="1" x14ac:dyDescent="0.25">
      <c r="A1975" s="729"/>
      <c r="B1975" s="302"/>
      <c r="C1975" s="302"/>
      <c r="D1975" s="1820"/>
      <c r="E1975" s="625"/>
      <c r="F1975" s="625"/>
      <c r="G1975" s="625"/>
      <c r="H1975" s="635"/>
      <c r="I1975" s="635"/>
      <c r="J1975" s="635"/>
      <c r="K1975" s="635"/>
      <c r="L1975" s="635"/>
      <c r="M1975" s="635"/>
      <c r="N1975" s="1823"/>
      <c r="O1975" s="698"/>
      <c r="P1975" s="729"/>
      <c r="Q1975" s="729"/>
      <c r="R1975" s="729"/>
      <c r="S1975" s="729"/>
      <c r="T1975" s="770"/>
      <c r="U1975" s="343"/>
      <c r="V1975" s="343"/>
    </row>
    <row r="1976" spans="1:22" s="364" customFormat="1" x14ac:dyDescent="0.25">
      <c r="A1976" s="729"/>
      <c r="B1976" s="302"/>
      <c r="C1976" s="302"/>
      <c r="D1976" s="1820"/>
      <c r="E1976" s="2818" t="str">
        <f>Translations!$B$521</f>
        <v>Вложени горива</v>
      </c>
      <c r="F1976" s="2701"/>
      <c r="G1976" s="1326" t="str">
        <f>EUconst_TJpa</f>
        <v>TJ / година</v>
      </c>
      <c r="H1976" s="482" t="str">
        <f>IF($M1928&lt;&gt;EUconst_Relevant,"",IF(INDEX('G_Fall-back'!H:H,MATCH($P1976,'G_Fall-back'!$Q:$Q,0))="","",INDEX('G_Fall-back'!H:H,MATCH($P1976,'G_Fall-back'!$Q:$Q,0))))</f>
        <v/>
      </c>
      <c r="I1976" s="1824" t="str">
        <f>IF($M1928&lt;&gt;EUconst_Relevant,"",IF(INDEX('G_Fall-back'!I:I,MATCH($P1976,'G_Fall-back'!$Q:$Q,0))="","",INDEX('G_Fall-back'!I:I,MATCH($P1976,'G_Fall-back'!$Q:$Q,0))))</f>
        <v/>
      </c>
      <c r="J1976" s="1825" t="str">
        <f>IF($M1928&lt;&gt;EUconst_Relevant,"",IF(INDEX('G_Fall-back'!J:J,MATCH($P1976,'G_Fall-back'!$Q:$Q,0))="","",INDEX('G_Fall-back'!J:J,MATCH($P1976,'G_Fall-back'!$Q:$Q,0))))</f>
        <v/>
      </c>
      <c r="K1976" s="482" t="str">
        <f>IF($M1928&lt;&gt;EUconst_Relevant,"",IF(INDEX('G_Fall-back'!K:K,MATCH($P1976,'G_Fall-back'!$Q:$Q,0))="","",INDEX('G_Fall-back'!K:K,MATCH($P1976,'G_Fall-back'!$Q:$Q,0))))</f>
        <v/>
      </c>
      <c r="L1976" s="482" t="str">
        <f>IF($M1928&lt;&gt;EUconst_Relevant,"",IF(INDEX('G_Fall-back'!L:L,MATCH($P1976,'G_Fall-back'!$Q:$Q,0))="","",INDEX('G_Fall-back'!L:L,MATCH($P1976,'G_Fall-back'!$Q:$Q,0))))</f>
        <v/>
      </c>
      <c r="M1976" s="482" t="str">
        <f>IF($M1928&lt;&gt;EUconst_Relevant,"",IF(INDEX('G_Fall-back'!M:M,MATCH($P1976,'G_Fall-back'!$Q:$Q,0))="","",INDEX('G_Fall-back'!M:M,MATCH($P1976,'G_Fall-back'!$Q:$Q,0))))</f>
        <v/>
      </c>
      <c r="N1976" s="1826" t="str">
        <f>IF($M1928&lt;&gt;EUconst_Relevant,"",IF(INDEX('G_Fall-back'!N:N,MATCH($P1976,'G_Fall-back'!$Q:$Q,0))="","",INDEX('G_Fall-back'!N:N,MATCH($P1976,'G_Fall-back'!$Q:$Q,0))))</f>
        <v/>
      </c>
      <c r="O1976" s="698"/>
      <c r="P1976" s="1827" t="str">
        <f>EUconst_CNTR_FuelInput &amp;I1928</f>
        <v>FuelInput_Подинсталация с топлинен показател (с риск от ИВЕ | в рамките на МКВЕГ)</v>
      </c>
      <c r="Q1976" s="729"/>
      <c r="R1976" s="729"/>
      <c r="S1976" s="729"/>
      <c r="T1976" s="729"/>
      <c r="U1976" s="343"/>
      <c r="V1976" s="343"/>
    </row>
    <row r="1977" spans="1:22" s="364" customFormat="1" ht="12.75" customHeight="1" x14ac:dyDescent="0.25">
      <c r="A1977" s="729"/>
      <c r="B1977" s="302"/>
      <c r="C1977" s="302"/>
      <c r="D1977" s="1820"/>
      <c r="E1977" s="2819" t="str">
        <f>Translations!$B$522</f>
        <v>Претеглен емисионен фактор</v>
      </c>
      <c r="F1977" s="2705"/>
      <c r="G1977" s="1329" t="str">
        <f>EUconst_tCO2pTJ</f>
        <v>t CO2 / TJ</v>
      </c>
      <c r="H1977" s="484" t="str">
        <f>IF($M1928&lt;&gt;EUconst_Relevant,"",IF(INDEX('G_Fall-back'!H:H,MATCH($P1977,'G_Fall-back'!$Q:$Q,0))="","",INDEX('G_Fall-back'!H:H,MATCH($P1977,'G_Fall-back'!$Q:$Q,0))))</f>
        <v/>
      </c>
      <c r="I1977" s="1828" t="str">
        <f>IF($M1928&lt;&gt;EUconst_Relevant,"",IF(INDEX('G_Fall-back'!I:I,MATCH($P1977,'G_Fall-back'!$Q:$Q,0))="","",INDEX('G_Fall-back'!I:I,MATCH($P1977,'G_Fall-back'!$Q:$Q,0))))</f>
        <v/>
      </c>
      <c r="J1977" s="1829" t="str">
        <f>IF($M1928&lt;&gt;EUconst_Relevant,"",IF(INDEX('G_Fall-back'!J:J,MATCH($P1977,'G_Fall-back'!$Q:$Q,0))="","",INDEX('G_Fall-back'!J:J,MATCH($P1977,'G_Fall-back'!$Q:$Q,0))))</f>
        <v/>
      </c>
      <c r="K1977" s="484" t="str">
        <f>IF($M1928&lt;&gt;EUconst_Relevant,"",IF(INDEX('G_Fall-back'!K:K,MATCH($P1977,'G_Fall-back'!$Q:$Q,0))="","",INDEX('G_Fall-back'!K:K,MATCH($P1977,'G_Fall-back'!$Q:$Q,0))))</f>
        <v/>
      </c>
      <c r="L1977" s="484" t="str">
        <f>IF($M1928&lt;&gt;EUconst_Relevant,"",IF(INDEX('G_Fall-back'!L:L,MATCH($P1977,'G_Fall-back'!$Q:$Q,0))="","",INDEX('G_Fall-back'!L:L,MATCH($P1977,'G_Fall-back'!$Q:$Q,0))))</f>
        <v/>
      </c>
      <c r="M1977" s="484" t="str">
        <f>IF($M1928&lt;&gt;EUconst_Relevant,"",IF(INDEX('G_Fall-back'!M:M,MATCH($P1977,'G_Fall-back'!$Q:$Q,0))="","",INDEX('G_Fall-back'!M:M,MATCH($P1977,'G_Fall-back'!$Q:$Q,0))))</f>
        <v/>
      </c>
      <c r="N1977" s="1830" t="str">
        <f>IF($M1928&lt;&gt;EUconst_Relevant,"",IF(INDEX('G_Fall-back'!N:N,MATCH($P1977,'G_Fall-back'!$Q:$Q,0))="","",INDEX('G_Fall-back'!N:N,MATCH($P1977,'G_Fall-back'!$Q:$Q,0))))</f>
        <v/>
      </c>
      <c r="O1977" s="698"/>
      <c r="P1977" s="1500" t="str">
        <f>EUconst_CNTR_FuelEF &amp;I1928</f>
        <v>FuelEF_Подинсталация с топлинен показател (с риск от ИВЕ | в рамките на МКВЕГ)</v>
      </c>
      <c r="Q1977" s="729"/>
      <c r="R1977" s="729"/>
      <c r="S1977" s="729"/>
      <c r="T1977" s="729"/>
      <c r="U1977" s="343"/>
      <c r="V1977" s="343"/>
    </row>
    <row r="1978" spans="1:22" s="364" customFormat="1" ht="12.75" customHeight="1" x14ac:dyDescent="0.25">
      <c r="A1978" s="729"/>
      <c r="B1978" s="302"/>
      <c r="C1978" s="302"/>
      <c r="D1978" s="1820"/>
      <c r="E1978" s="2818" t="str">
        <f>Translations!$B$637</f>
        <v>Вложени горива от отпадни газове</v>
      </c>
      <c r="F1978" s="2701"/>
      <c r="G1978" s="1326" t="str">
        <f>EUconst_TJpa</f>
        <v>TJ / година</v>
      </c>
      <c r="H1978" s="482" t="str">
        <f>IF($M1928&lt;&gt;EUconst_Relevant,"",IF(INDEX('G_Fall-back'!H:H,MATCH($P1978,'G_Fall-back'!$Q:$Q,0))="","",INDEX('G_Fall-back'!H:H,MATCH($P1978,'G_Fall-back'!$Q:$Q,0))))</f>
        <v/>
      </c>
      <c r="I1978" s="1824" t="str">
        <f>IF($M1928&lt;&gt;EUconst_Relevant,"",IF(INDEX('G_Fall-back'!I:I,MATCH($P1978,'G_Fall-back'!$Q:$Q,0))="","",INDEX('G_Fall-back'!I:I,MATCH($P1978,'G_Fall-back'!$Q:$Q,0))))</f>
        <v/>
      </c>
      <c r="J1978" s="1825" t="str">
        <f>IF($M1928&lt;&gt;EUconst_Relevant,"",IF(INDEX('G_Fall-back'!J:J,MATCH($P1978,'G_Fall-back'!$Q:$Q,0))="","",INDEX('G_Fall-back'!J:J,MATCH($P1978,'G_Fall-back'!$Q:$Q,0))))</f>
        <v/>
      </c>
      <c r="K1978" s="482" t="str">
        <f>IF($M1928&lt;&gt;EUconst_Relevant,"",IF(INDEX('G_Fall-back'!K:K,MATCH($P1978,'G_Fall-back'!$Q:$Q,0))="","",INDEX('G_Fall-back'!K:K,MATCH($P1978,'G_Fall-back'!$Q:$Q,0))))</f>
        <v/>
      </c>
      <c r="L1978" s="482" t="str">
        <f>IF($M1928&lt;&gt;EUconst_Relevant,"",IF(INDEX('G_Fall-back'!L:L,MATCH($P1978,'G_Fall-back'!$Q:$Q,0))="","",INDEX('G_Fall-back'!L:L,MATCH($P1978,'G_Fall-back'!$Q:$Q,0))))</f>
        <v/>
      </c>
      <c r="M1978" s="482" t="str">
        <f>IF($M1928&lt;&gt;EUconst_Relevant,"",IF(INDEX('G_Fall-back'!M:M,MATCH($P1978,'G_Fall-back'!$Q:$Q,0))="","",INDEX('G_Fall-back'!M:M,MATCH($P1978,'G_Fall-back'!$Q:$Q,0))))</f>
        <v/>
      </c>
      <c r="N1978" s="1826" t="str">
        <f>IF($M1928&lt;&gt;EUconst_Relevant,"",IF(INDEX('G_Fall-back'!N:N,MATCH($P1978,'G_Fall-back'!$Q:$Q,0))="","",INDEX('G_Fall-back'!N:N,MATCH($P1978,'G_Fall-back'!$Q:$Q,0))))</f>
        <v/>
      </c>
      <c r="O1978" s="698"/>
      <c r="P1978" s="716" t="str">
        <f>EUconst_CNTR_WGConsumed &amp;I1928</f>
        <v>WasteGasCons_Подинсталация с топлинен показател (с риск от ИВЕ | в рамките на МКВЕГ)</v>
      </c>
      <c r="Q1978" s="729"/>
      <c r="R1978" s="729"/>
      <c r="S1978" s="729"/>
      <c r="T1978" s="729"/>
      <c r="U1978" s="343"/>
      <c r="V1978" s="343"/>
    </row>
    <row r="1979" spans="1:22" s="364" customFormat="1" ht="12.75" customHeight="1" x14ac:dyDescent="0.25">
      <c r="A1979" s="729"/>
      <c r="B1979" s="302"/>
      <c r="C1979" s="302"/>
      <c r="D1979" s="1820"/>
      <c r="E1979" s="2819" t="str">
        <f>Translations!$B$522</f>
        <v>Претеглен емисионен фактор</v>
      </c>
      <c r="F1979" s="2705"/>
      <c r="G1979" s="1329" t="str">
        <f>EUconst_tCO2pTJ</f>
        <v>t CO2 / TJ</v>
      </c>
      <c r="H1979" s="484" t="str">
        <f>IF($M1928&lt;&gt;EUconst_Relevant,"",IF(INDEX('G_Fall-back'!H:H,MATCH($P1979,'G_Fall-back'!$Q:$Q,0))="","",INDEX('G_Fall-back'!H:H,MATCH($P1979,'G_Fall-back'!$Q:$Q,0))))</f>
        <v/>
      </c>
      <c r="I1979" s="1828" t="str">
        <f>IF($M1928&lt;&gt;EUconst_Relevant,"",IF(INDEX('G_Fall-back'!I:I,MATCH($P1979,'G_Fall-back'!$Q:$Q,0))="","",INDEX('G_Fall-back'!I:I,MATCH($P1979,'G_Fall-back'!$Q:$Q,0))))</f>
        <v/>
      </c>
      <c r="J1979" s="1829" t="str">
        <f>IF($M1928&lt;&gt;EUconst_Relevant,"",IF(INDEX('G_Fall-back'!J:J,MATCH($P1979,'G_Fall-back'!$Q:$Q,0))="","",INDEX('G_Fall-back'!J:J,MATCH($P1979,'G_Fall-back'!$Q:$Q,0))))</f>
        <v/>
      </c>
      <c r="K1979" s="484" t="str">
        <f>IF($M1928&lt;&gt;EUconst_Relevant,"",IF(INDEX('G_Fall-back'!K:K,MATCH($P1979,'G_Fall-back'!$Q:$Q,0))="","",INDEX('G_Fall-back'!K:K,MATCH($P1979,'G_Fall-back'!$Q:$Q,0))))</f>
        <v/>
      </c>
      <c r="L1979" s="484" t="str">
        <f>IF($M1928&lt;&gt;EUconst_Relevant,"",IF(INDEX('G_Fall-back'!L:L,MATCH($P1979,'G_Fall-back'!$Q:$Q,0))="","",INDEX('G_Fall-back'!L:L,MATCH($P1979,'G_Fall-back'!$Q:$Q,0))))</f>
        <v/>
      </c>
      <c r="M1979" s="484" t="str">
        <f>IF($M1928&lt;&gt;EUconst_Relevant,"",IF(INDEX('G_Fall-back'!M:M,MATCH($P1979,'G_Fall-back'!$Q:$Q,0))="","",INDEX('G_Fall-back'!M:M,MATCH($P1979,'G_Fall-back'!$Q:$Q,0))))</f>
        <v/>
      </c>
      <c r="N1979" s="1830" t="str">
        <f>IF($M1928&lt;&gt;EUconst_Relevant,"",IF(INDEX('G_Fall-back'!N:N,MATCH($P1979,'G_Fall-back'!$Q:$Q,0))="","",INDEX('G_Fall-back'!N:N,MATCH($P1979,'G_Fall-back'!$Q:$Q,0))))</f>
        <v/>
      </c>
      <c r="O1979" s="698"/>
      <c r="P1979" s="1500" t="str">
        <f>EUconst_CNTR_WGConsumedEF &amp;I1928</f>
        <v>WasteGasConsEF_Подинсталация с топлинен показател (с риск от ИВЕ | в рамките на МКВЕГ)</v>
      </c>
      <c r="Q1979" s="729"/>
      <c r="R1979" s="729"/>
      <c r="S1979" s="729"/>
      <c r="T1979" s="729"/>
      <c r="U1979" s="343"/>
      <c r="V1979" s="343"/>
    </row>
    <row r="1980" spans="1:22" s="364" customFormat="1" ht="12.75" customHeight="1" x14ac:dyDescent="0.25">
      <c r="A1980" s="729"/>
      <c r="B1980" s="302"/>
      <c r="C1980" s="302"/>
      <c r="D1980" s="1820"/>
      <c r="E1980" s="2818" t="str">
        <f>Translations!$B$1475</f>
        <v>Вложена електроенергия за производството на топлинна енергия</v>
      </c>
      <c r="F1980" s="2701"/>
      <c r="G1980" s="1326" t="str">
        <f>EUconst_TJpa</f>
        <v>TJ / година</v>
      </c>
      <c r="H1980" s="482" t="str">
        <f>IF($M1928&lt;&gt;EUconst_Relevant,"",IF(INDEX('G_Fall-back'!H:H,MATCH($P1980,'G_Fall-back'!$Q:$Q,0))="","",INDEX('G_Fall-back'!H:H,MATCH($P1980,'G_Fall-back'!$Q:$Q,0))))</f>
        <v/>
      </c>
      <c r="I1980" s="1824" t="str">
        <f>IF($M1928&lt;&gt;EUconst_Relevant,"",IF(INDEX('G_Fall-back'!I:I,MATCH($P1980,'G_Fall-back'!$Q:$Q,0))="","",INDEX('G_Fall-back'!I:I,MATCH($P1980,'G_Fall-back'!$Q:$Q,0))))</f>
        <v/>
      </c>
      <c r="J1980" s="1825" t="str">
        <f>IF($M1928&lt;&gt;EUconst_Relevant,"",IF(INDEX('G_Fall-back'!J:J,MATCH($P1980,'G_Fall-back'!$Q:$Q,0))="","",INDEX('G_Fall-back'!J:J,MATCH($P1980,'G_Fall-back'!$Q:$Q,0))))</f>
        <v/>
      </c>
      <c r="K1980" s="482" t="str">
        <f>IF($M1928&lt;&gt;EUconst_Relevant,"",IF(INDEX('G_Fall-back'!K:K,MATCH($P1980,'G_Fall-back'!$Q:$Q,0))="","",INDEX('G_Fall-back'!K:K,MATCH($P1980,'G_Fall-back'!$Q:$Q,0))))</f>
        <v/>
      </c>
      <c r="L1980" s="482" t="str">
        <f>IF($M1928&lt;&gt;EUconst_Relevant,"",IF(INDEX('G_Fall-back'!L:L,MATCH($P1980,'G_Fall-back'!$Q:$Q,0))="","",INDEX('G_Fall-back'!L:L,MATCH($P1980,'G_Fall-back'!$Q:$Q,0))))</f>
        <v/>
      </c>
      <c r="M1980" s="482" t="str">
        <f>IF($M1928&lt;&gt;EUconst_Relevant,"",IF(INDEX('G_Fall-back'!M:M,MATCH($P1980,'G_Fall-back'!$Q:$Q,0))="","",INDEX('G_Fall-back'!M:M,MATCH($P1980,'G_Fall-back'!$Q:$Q,0))))</f>
        <v/>
      </c>
      <c r="N1980" s="1826" t="str">
        <f>IF($M1928&lt;&gt;EUconst_Relevant,"",IF(INDEX('G_Fall-back'!N:N,MATCH($P1980,'G_Fall-back'!$Q:$Q,0))="","",INDEX('G_Fall-back'!N:N,MATCH($P1980,'G_Fall-back'!$Q:$Q,0))))</f>
        <v/>
      </c>
      <c r="O1980" s="698"/>
      <c r="P1980" s="716" t="str">
        <f>EUconst_CNTR_ElectricityInput &amp;I1928</f>
        <v>ElectricityInput_Подинсталация с топлинен показател (с риск от ИВЕ | в рамките на МКВЕГ)</v>
      </c>
      <c r="Q1980" s="729"/>
      <c r="R1980" s="729"/>
      <c r="S1980" s="729"/>
      <c r="T1980" s="729"/>
      <c r="U1980" s="343"/>
      <c r="V1980" s="343"/>
    </row>
    <row r="1981" spans="1:22" s="364" customFormat="1" ht="12.75" customHeight="1" x14ac:dyDescent="0.25">
      <c r="A1981" s="729"/>
      <c r="B1981" s="302"/>
      <c r="C1981" s="302"/>
      <c r="D1981" s="1820"/>
      <c r="E1981" s="2819" t="str">
        <f>Translations!$B$522</f>
        <v>Претеглен емисионен фактор</v>
      </c>
      <c r="F1981" s="2705"/>
      <c r="G1981" s="1329" t="str">
        <f>EUconst_tCO2pTJ</f>
        <v>t CO2 / TJ</v>
      </c>
      <c r="H1981" s="484" t="str">
        <f>IF($M1928&lt;&gt;EUconst_Relevant,"",IF(INDEX('G_Fall-back'!H:H,MATCH($P1981,'G_Fall-back'!$Q:$Q,0))="","",INDEX('G_Fall-back'!H:H,MATCH($P1981,'G_Fall-back'!$Q:$Q,0))))</f>
        <v/>
      </c>
      <c r="I1981" s="1828" t="str">
        <f>IF($M1928&lt;&gt;EUconst_Relevant,"",IF(INDEX('G_Fall-back'!I:I,MATCH($P1981,'G_Fall-back'!$Q:$Q,0))="","",INDEX('G_Fall-back'!I:I,MATCH($P1981,'G_Fall-back'!$Q:$Q,0))))</f>
        <v/>
      </c>
      <c r="J1981" s="1829" t="str">
        <f>IF($M1928&lt;&gt;EUconst_Relevant,"",IF(INDEX('G_Fall-back'!J:J,MATCH($P1981,'G_Fall-back'!$Q:$Q,0))="","",INDEX('G_Fall-back'!J:J,MATCH($P1981,'G_Fall-back'!$Q:$Q,0))))</f>
        <v/>
      </c>
      <c r="K1981" s="484" t="str">
        <f>IF($M1928&lt;&gt;EUconst_Relevant,"",IF(INDEX('G_Fall-back'!K:K,MATCH($P1981,'G_Fall-back'!$Q:$Q,0))="","",INDEX('G_Fall-back'!K:K,MATCH($P1981,'G_Fall-back'!$Q:$Q,0))))</f>
        <v/>
      </c>
      <c r="L1981" s="484" t="str">
        <f>IF($M1928&lt;&gt;EUconst_Relevant,"",IF(INDEX('G_Fall-back'!L:L,MATCH($P1981,'G_Fall-back'!$Q:$Q,0))="","",INDEX('G_Fall-back'!L:L,MATCH($P1981,'G_Fall-back'!$Q:$Q,0))))</f>
        <v/>
      </c>
      <c r="M1981" s="484" t="str">
        <f>IF($M1928&lt;&gt;EUconst_Relevant,"",IF(INDEX('G_Fall-back'!M:M,MATCH($P1981,'G_Fall-back'!$Q:$Q,0))="","",INDEX('G_Fall-back'!M:M,MATCH($P1981,'G_Fall-back'!$Q:$Q,0))))</f>
        <v/>
      </c>
      <c r="N1981" s="1830" t="str">
        <f>IF($M1928&lt;&gt;EUconst_Relevant,"",IF(INDEX('G_Fall-back'!N:N,MATCH($P1981,'G_Fall-back'!$Q:$Q,0))="","",INDEX('G_Fall-back'!N:N,MATCH($P1981,'G_Fall-back'!$Q:$Q,0))))</f>
        <v/>
      </c>
      <c r="O1981" s="698"/>
      <c r="P1981" s="1500" t="str">
        <f>EUconst_CNTR_ElectricityEF &amp;I1928</f>
        <v>ElectricityEF_Подинсталация с топлинен показател (с риск от ИВЕ | в рамките на МКВЕГ)</v>
      </c>
      <c r="Q1981" s="729"/>
      <c r="R1981" s="729"/>
      <c r="S1981" s="729"/>
      <c r="T1981" s="729"/>
      <c r="U1981" s="343"/>
      <c r="V1981" s="343"/>
    </row>
    <row r="1982" spans="1:22" s="364" customFormat="1" ht="12.75" customHeight="1" x14ac:dyDescent="0.25">
      <c r="A1982" s="729"/>
      <c r="B1982" s="302"/>
      <c r="C1982" s="302"/>
      <c r="D1982" s="1820"/>
      <c r="E1982" s="2818" t="str">
        <f>Translations!$B$1476</f>
        <v>Друга вложена енергия (например екзотермична топлина)</v>
      </c>
      <c r="F1982" s="2701"/>
      <c r="G1982" s="1326" t="str">
        <f>EUconst_TJpa</f>
        <v>TJ / година</v>
      </c>
      <c r="H1982" s="482" t="str">
        <f>IF($M1928&lt;&gt;EUconst_Relevant,"",IF(INDEX('G_Fall-back'!H:H,MATCH($P1982,'G_Fall-back'!$Q:$Q,0))="","",INDEX('G_Fall-back'!H:H,MATCH($P1982,'G_Fall-back'!$Q:$Q,0))))</f>
        <v/>
      </c>
      <c r="I1982" s="1824" t="str">
        <f>IF($M1928&lt;&gt;EUconst_Relevant,"",IF(INDEX('G_Fall-back'!I:I,MATCH($P1982,'G_Fall-back'!$Q:$Q,0))="","",INDEX('G_Fall-back'!I:I,MATCH($P1982,'G_Fall-back'!$Q:$Q,0))))</f>
        <v/>
      </c>
      <c r="J1982" s="1825" t="str">
        <f>IF($M1928&lt;&gt;EUconst_Relevant,"",IF(INDEX('G_Fall-back'!J:J,MATCH($P1982,'G_Fall-back'!$Q:$Q,0))="","",INDEX('G_Fall-back'!J:J,MATCH($P1982,'G_Fall-back'!$Q:$Q,0))))</f>
        <v/>
      </c>
      <c r="K1982" s="482" t="str">
        <f>IF($M1928&lt;&gt;EUconst_Relevant,"",IF(INDEX('G_Fall-back'!K:K,MATCH($P1982,'G_Fall-back'!$Q:$Q,0))="","",INDEX('G_Fall-back'!K:K,MATCH($P1982,'G_Fall-back'!$Q:$Q,0))))</f>
        <v/>
      </c>
      <c r="L1982" s="482" t="str">
        <f>IF($M1928&lt;&gt;EUconst_Relevant,"",IF(INDEX('G_Fall-back'!L:L,MATCH($P1982,'G_Fall-back'!$Q:$Q,0))="","",INDEX('G_Fall-back'!L:L,MATCH($P1982,'G_Fall-back'!$Q:$Q,0))))</f>
        <v/>
      </c>
      <c r="M1982" s="482" t="str">
        <f>IF($M1928&lt;&gt;EUconst_Relevant,"",IF(INDEX('G_Fall-back'!M:M,MATCH($P1982,'G_Fall-back'!$Q:$Q,0))="","",INDEX('G_Fall-back'!M:M,MATCH($P1982,'G_Fall-back'!$Q:$Q,0))))</f>
        <v/>
      </c>
      <c r="N1982" s="1826" t="str">
        <f>IF($M1928&lt;&gt;EUconst_Relevant,"",IF(INDEX('G_Fall-back'!N:N,MATCH($P1982,'G_Fall-back'!$Q:$Q,0))="","",INDEX('G_Fall-back'!N:N,MATCH($P1982,'G_Fall-back'!$Q:$Q,0))))</f>
        <v/>
      </c>
      <c r="O1982" s="698"/>
      <c r="P1982" s="716" t="str">
        <f>EUconst_CNTR_OtherEnergyInput&amp;I1928</f>
        <v>OtherEnergyInput_Подинсталация с топлинен показател (с риск от ИВЕ | в рамките на МКВЕГ)</v>
      </c>
      <c r="Q1982" s="729"/>
      <c r="R1982" s="729"/>
      <c r="S1982" s="729"/>
      <c r="T1982" s="729"/>
      <c r="U1982" s="343"/>
      <c r="V1982" s="343"/>
    </row>
    <row r="1983" spans="1:22" s="364" customFormat="1" ht="12.75" customHeight="1" x14ac:dyDescent="0.25">
      <c r="A1983" s="729"/>
      <c r="B1983" s="302"/>
      <c r="C1983" s="302"/>
      <c r="D1983" s="1820"/>
      <c r="E1983" s="2819" t="str">
        <f>Translations!$B$522</f>
        <v>Претеглен емисионен фактор</v>
      </c>
      <c r="F1983" s="2705"/>
      <c r="G1983" s="1329" t="str">
        <f>EUconst_tCO2pTJ</f>
        <v>t CO2 / TJ</v>
      </c>
      <c r="H1983" s="484" t="str">
        <f>IF($M1928&lt;&gt;EUconst_Relevant,"",IF(INDEX('G_Fall-back'!H:H,MATCH($P1983,'G_Fall-back'!$Q:$Q,0))="","",INDEX('G_Fall-back'!H:H,MATCH($P1983,'G_Fall-back'!$Q:$Q,0))))</f>
        <v/>
      </c>
      <c r="I1983" s="1828" t="str">
        <f>IF($M1928&lt;&gt;EUconst_Relevant,"",IF(INDEX('G_Fall-back'!I:I,MATCH($P1983,'G_Fall-back'!$Q:$Q,0))="","",INDEX('G_Fall-back'!I:I,MATCH($P1983,'G_Fall-back'!$Q:$Q,0))))</f>
        <v/>
      </c>
      <c r="J1983" s="1829" t="str">
        <f>IF($M1928&lt;&gt;EUconst_Relevant,"",IF(INDEX('G_Fall-back'!J:J,MATCH($P1983,'G_Fall-back'!$Q:$Q,0))="","",INDEX('G_Fall-back'!J:J,MATCH($P1983,'G_Fall-back'!$Q:$Q,0))))</f>
        <v/>
      </c>
      <c r="K1983" s="484" t="str">
        <f>IF($M1928&lt;&gt;EUconst_Relevant,"",IF(INDEX('G_Fall-back'!K:K,MATCH($P1983,'G_Fall-back'!$Q:$Q,0))="","",INDEX('G_Fall-back'!K:K,MATCH($P1983,'G_Fall-back'!$Q:$Q,0))))</f>
        <v/>
      </c>
      <c r="L1983" s="484" t="str">
        <f>IF($M1928&lt;&gt;EUconst_Relevant,"",IF(INDEX('G_Fall-back'!L:L,MATCH($P1983,'G_Fall-back'!$Q:$Q,0))="","",INDEX('G_Fall-back'!L:L,MATCH($P1983,'G_Fall-back'!$Q:$Q,0))))</f>
        <v/>
      </c>
      <c r="M1983" s="484" t="str">
        <f>IF($M1928&lt;&gt;EUconst_Relevant,"",IF(INDEX('G_Fall-back'!M:M,MATCH($P1983,'G_Fall-back'!$Q:$Q,0))="","",INDEX('G_Fall-back'!M:M,MATCH($P1983,'G_Fall-back'!$Q:$Q,0))))</f>
        <v/>
      </c>
      <c r="N1983" s="1830" t="str">
        <f>IF($M1928&lt;&gt;EUconst_Relevant,"",IF(INDEX('G_Fall-back'!N:N,MATCH($P1983,'G_Fall-back'!$Q:$Q,0))="","",INDEX('G_Fall-back'!N:N,MATCH($P1983,'G_Fall-back'!$Q:$Q,0))))</f>
        <v/>
      </c>
      <c r="O1983" s="698"/>
      <c r="P1983" s="1500" t="str">
        <f>EUconst_CNTR_OtherEnergyEF &amp;I1928</f>
        <v>ElectricityEF_Подинсталация с топлинен показател (с риск от ИВЕ | в рамките на МКВЕГ)</v>
      </c>
      <c r="Q1983" s="729"/>
      <c r="R1983" s="729"/>
      <c r="S1983" s="729"/>
      <c r="T1983" s="729"/>
      <c r="U1983" s="343"/>
      <c r="V1983" s="343"/>
    </row>
    <row r="1984" spans="1:22" s="364" customFormat="1" ht="12.75" customHeight="1" x14ac:dyDescent="0.25">
      <c r="A1984" s="729"/>
      <c r="B1984" s="302"/>
      <c r="C1984" s="302"/>
      <c r="D1984" s="1820"/>
      <c r="E1984" s="2819" t="str">
        <f>Translations!$B$1553</f>
        <v>Обща вложена енергия (= i. + v. + vii.)</v>
      </c>
      <c r="F1984" s="2705"/>
      <c r="G1984" s="1329" t="str">
        <f>EUconst_TJpa</f>
        <v>TJ / година</v>
      </c>
      <c r="H1984" s="484" t="str">
        <f>IF($M1928&lt;&gt;EUconst_Relevant,"",IF(INDEX('G_Fall-back'!H:H,MATCH($P1984,'G_Fall-back'!$Q:$Q,0))="","",INDEX('G_Fall-back'!H:H,MATCH($P1984,'G_Fall-back'!$Q:$Q,0))))</f>
        <v/>
      </c>
      <c r="I1984" s="1828" t="str">
        <f>IF($M1928&lt;&gt;EUconst_Relevant,"",IF(INDEX('G_Fall-back'!I:I,MATCH($P1984,'G_Fall-back'!$Q:$Q,0))="","",INDEX('G_Fall-back'!I:I,MATCH($P1984,'G_Fall-back'!$Q:$Q,0))))</f>
        <v/>
      </c>
      <c r="J1984" s="1829" t="str">
        <f>IF($M1928&lt;&gt;EUconst_Relevant,"",IF(INDEX('G_Fall-back'!J:J,MATCH($P1984,'G_Fall-back'!$Q:$Q,0))="","",INDEX('G_Fall-back'!J:J,MATCH($P1984,'G_Fall-back'!$Q:$Q,0))))</f>
        <v/>
      </c>
      <c r="K1984" s="484" t="str">
        <f>IF($M1928&lt;&gt;EUconst_Relevant,"",IF(INDEX('G_Fall-back'!K:K,MATCH($P1984,'G_Fall-back'!$Q:$Q,0))="","",INDEX('G_Fall-back'!K:K,MATCH($P1984,'G_Fall-back'!$Q:$Q,0))))</f>
        <v/>
      </c>
      <c r="L1984" s="484" t="str">
        <f>IF($M1928&lt;&gt;EUconst_Relevant,"",IF(INDEX('G_Fall-back'!L:L,MATCH($P1984,'G_Fall-back'!$Q:$Q,0))="","",INDEX('G_Fall-back'!L:L,MATCH($P1984,'G_Fall-back'!$Q:$Q,0))))</f>
        <v/>
      </c>
      <c r="M1984" s="484" t="str">
        <f>IF($M1928&lt;&gt;EUconst_Relevant,"",IF(INDEX('G_Fall-back'!M:M,MATCH($P1984,'G_Fall-back'!$Q:$Q,0))="","",INDEX('G_Fall-back'!M:M,MATCH($P1984,'G_Fall-back'!$Q:$Q,0))))</f>
        <v/>
      </c>
      <c r="N1984" s="1830" t="str">
        <f>IF($M1928&lt;&gt;EUconst_Relevant,"",IF(INDEX('G_Fall-back'!N:N,MATCH($P1984,'G_Fall-back'!$Q:$Q,0))="","",INDEX('G_Fall-back'!N:N,MATCH($P1984,'G_Fall-back'!$Q:$Q,0))))</f>
        <v/>
      </c>
      <c r="O1984" s="698"/>
      <c r="P1984" s="1500" t="str">
        <f>EUconst_CNTR_TotalEnergyInput&amp;I1928</f>
        <v>TotalEnergyInput_Подинсталация с топлинен показател (с риск от ИВЕ | в рамките на МКВЕГ)</v>
      </c>
      <c r="Q1984" s="729"/>
      <c r="R1984" s="729"/>
      <c r="S1984" s="729"/>
      <c r="T1984" s="729"/>
      <c r="U1984" s="343"/>
      <c r="V1984" s="343"/>
    </row>
    <row r="1985" spans="1:22" s="364" customFormat="1" ht="5.15" customHeight="1" x14ac:dyDescent="0.25">
      <c r="A1985" s="729"/>
      <c r="B1985" s="302"/>
      <c r="C1985" s="302"/>
      <c r="D1985" s="1820"/>
      <c r="E1985" s="625"/>
      <c r="F1985" s="626"/>
      <c r="G1985" s="626"/>
      <c r="H1985" s="640"/>
      <c r="I1985" s="640"/>
      <c r="J1985" s="640"/>
      <c r="K1985" s="640"/>
      <c r="L1985" s="640"/>
      <c r="M1985" s="640"/>
      <c r="N1985" s="1831"/>
      <c r="O1985" s="698"/>
      <c r="P1985" s="729"/>
      <c r="Q1985" s="729"/>
      <c r="R1985" s="729"/>
      <c r="S1985" s="729"/>
      <c r="T1985" s="729"/>
      <c r="U1985" s="343"/>
      <c r="V1985" s="343"/>
    </row>
    <row r="1986" spans="1:22" s="364" customFormat="1" x14ac:dyDescent="0.25">
      <c r="A1986" s="729"/>
      <c r="B1986" s="302"/>
      <c r="C1986" s="302"/>
      <c r="D1986" s="1820"/>
      <c r="E1986" s="2820" t="str">
        <f>Translations!$B$484</f>
        <v>Преки емисии</v>
      </c>
      <c r="F1986" s="2258"/>
      <c r="G1986" s="1319" t="str">
        <f>EUconst_tCO2pa</f>
        <v>t CO2 / година</v>
      </c>
      <c r="H1986" s="480" t="str">
        <f>IF($M1928&lt;&gt;EUconst_Relevant,"",IF(INDEX('G_Fall-back'!H:H,MATCH($P1986,'G_Fall-back'!$Q:$Q,0))="","",INDEX('G_Fall-back'!H:H,MATCH($P1986,'G_Fall-back'!$Q:$Q,0))))</f>
        <v/>
      </c>
      <c r="I1986" s="1399" t="str">
        <f>IF($M1928&lt;&gt;EUconst_Relevant,"",IF(INDEX('G_Fall-back'!I:I,MATCH($P1986,'G_Fall-back'!$Q:$Q,0))="","",INDEX('G_Fall-back'!I:I,MATCH($P1986,'G_Fall-back'!$Q:$Q,0))))</f>
        <v/>
      </c>
      <c r="J1986" s="1832" t="str">
        <f>IF($M1928&lt;&gt;EUconst_Relevant,"",IF(INDEX('G_Fall-back'!J:J,MATCH($P1986,'G_Fall-back'!$Q:$Q,0))="","",INDEX('G_Fall-back'!J:J,MATCH($P1986,'G_Fall-back'!$Q:$Q,0))))</f>
        <v/>
      </c>
      <c r="K1986" s="480" t="str">
        <f>IF($M1928&lt;&gt;EUconst_Relevant,"",IF(INDEX('G_Fall-back'!K:K,MATCH($P1986,'G_Fall-back'!$Q:$Q,0))="","",INDEX('G_Fall-back'!K:K,MATCH($P1986,'G_Fall-back'!$Q:$Q,0))))</f>
        <v/>
      </c>
      <c r="L1986" s="480" t="str">
        <f>IF($M1928&lt;&gt;EUconst_Relevant,"",IF(INDEX('G_Fall-back'!L:L,MATCH($P1986,'G_Fall-back'!$Q:$Q,0))="","",INDEX('G_Fall-back'!L:L,MATCH($P1986,'G_Fall-back'!$Q:$Q,0))))</f>
        <v/>
      </c>
      <c r="M1986" s="480" t="str">
        <f>IF($M1928&lt;&gt;EUconst_Relevant,"",IF(INDEX('G_Fall-back'!M:M,MATCH($P1986,'G_Fall-back'!$Q:$Q,0))="","",INDEX('G_Fall-back'!M:M,MATCH($P1986,'G_Fall-back'!$Q:$Q,0))))</f>
        <v/>
      </c>
      <c r="N1986" s="1833" t="str">
        <f>IF($M1928&lt;&gt;EUconst_Relevant,"",IF(INDEX('G_Fall-back'!N:N,MATCH($P1986,'G_Fall-back'!$Q:$Q,0))="","",INDEX('G_Fall-back'!N:N,MATCH($P1986,'G_Fall-back'!$Q:$Q,0))))</f>
        <v/>
      </c>
      <c r="O1986" s="698"/>
      <c r="P1986" s="1500" t="str">
        <f>EUconst_CNTR_Emissions &amp;I1928</f>
        <v>DirEmissions_Подинсталация с топлинен показател (с риск от ИВЕ | в рамките на МКВЕГ)</v>
      </c>
      <c r="Q1986" s="729"/>
      <c r="R1986" s="729"/>
      <c r="S1986" s="729"/>
      <c r="T1986" s="729"/>
      <c r="U1986" s="343"/>
      <c r="V1986" s="343"/>
    </row>
    <row r="1987" spans="1:22" s="364" customFormat="1" ht="5.15" customHeight="1" x14ac:dyDescent="0.25">
      <c r="A1987" s="729"/>
      <c r="B1987" s="302"/>
      <c r="C1987" s="302"/>
      <c r="D1987" s="1820"/>
      <c r="E1987" s="625"/>
      <c r="F1987" s="625"/>
      <c r="G1987" s="625"/>
      <c r="H1987" s="640"/>
      <c r="I1987" s="640"/>
      <c r="J1987" s="640"/>
      <c r="K1987" s="640"/>
      <c r="L1987" s="640"/>
      <c r="M1987" s="640"/>
      <c r="N1987" s="1831"/>
      <c r="O1987" s="698"/>
      <c r="P1987" s="729"/>
      <c r="Q1987" s="729"/>
      <c r="R1987" s="729"/>
      <c r="S1987" s="729"/>
      <c r="T1987" s="729"/>
      <c r="U1987" s="343"/>
      <c r="V1987" s="343"/>
    </row>
    <row r="1988" spans="1:22" s="364" customFormat="1" ht="12.75" customHeight="1" x14ac:dyDescent="0.25">
      <c r="A1988" s="729"/>
      <c r="B1988" s="302"/>
      <c r="C1988" s="302"/>
      <c r="D1988" s="1820"/>
      <c r="E1988" s="2818" t="str">
        <f>Translations!$B$959</f>
        <v>Нетно к-во получена топлинна енергия (други)</v>
      </c>
      <c r="F1988" s="2701"/>
      <c r="G1988" s="1326" t="str">
        <f>EUconst_TJpa</f>
        <v>TJ / година</v>
      </c>
      <c r="H1988" s="482" t="str">
        <f>IF($M1928&lt;&gt;EUconst_Relevant,"",IF(INDEX('G_Fall-back'!H:H,MATCH($P1988,'G_Fall-back'!$Q:$Q,0))="","",INDEX('G_Fall-back'!H:H,MATCH($P1988,'G_Fall-back'!$Q:$Q,0))))</f>
        <v/>
      </c>
      <c r="I1988" s="1824" t="str">
        <f>IF($M1928&lt;&gt;EUconst_Relevant,"",IF(INDEX('G_Fall-back'!I:I,MATCH($P1988,'G_Fall-back'!$Q:$Q,0))="","",INDEX('G_Fall-back'!I:I,MATCH($P1988,'G_Fall-back'!$Q:$Q,0))))</f>
        <v/>
      </c>
      <c r="J1988" s="1825" t="str">
        <f>IF($M1928&lt;&gt;EUconst_Relevant,"",IF(INDEX('G_Fall-back'!J:J,MATCH($P1988,'G_Fall-back'!$Q:$Q,0))="","",INDEX('G_Fall-back'!J:J,MATCH($P1988,'G_Fall-back'!$Q:$Q,0))))</f>
        <v/>
      </c>
      <c r="K1988" s="482" t="str">
        <f>IF($M1928&lt;&gt;EUconst_Relevant,"",IF(INDEX('G_Fall-back'!K:K,MATCH($P1988,'G_Fall-back'!$Q:$Q,0))="","",INDEX('G_Fall-back'!K:K,MATCH($P1988,'G_Fall-back'!$Q:$Q,0))))</f>
        <v/>
      </c>
      <c r="L1988" s="482" t="str">
        <f>IF($M1928&lt;&gt;EUconst_Relevant,"",IF(INDEX('G_Fall-back'!L:L,MATCH($P1988,'G_Fall-back'!$Q:$Q,0))="","",INDEX('G_Fall-back'!L:L,MATCH($P1988,'G_Fall-back'!$Q:$Q,0))))</f>
        <v/>
      </c>
      <c r="M1988" s="482" t="str">
        <f>IF($M1928&lt;&gt;EUconst_Relevant,"",IF(INDEX('G_Fall-back'!M:M,MATCH($P1988,'G_Fall-back'!$Q:$Q,0))="","",INDEX('G_Fall-back'!M:M,MATCH($P1988,'G_Fall-back'!$Q:$Q,0))))</f>
        <v/>
      </c>
      <c r="N1988" s="1826" t="str">
        <f>IF($M1928&lt;&gt;EUconst_Relevant,"",IF(INDEX('G_Fall-back'!N:N,MATCH($P1988,'G_Fall-back'!$Q:$Q,0))="","",INDEX('G_Fall-back'!N:N,MATCH($P1988,'G_Fall-back'!$Q:$Q,0))))</f>
        <v/>
      </c>
      <c r="O1988" s="698"/>
      <c r="P1988" s="1500" t="str">
        <f>EUconst_CNTR_HeatImport &amp;I1928</f>
        <v>HeatIm_Подинсталация с топлинен показател (с риск от ИВЕ | в рамките на МКВЕГ)</v>
      </c>
      <c r="Q1988" s="729"/>
      <c r="R1988" s="729"/>
      <c r="S1988" s="729"/>
      <c r="T1988" s="729"/>
      <c r="U1988" s="343"/>
      <c r="V1988" s="343"/>
    </row>
    <row r="1989" spans="1:22" s="364" customFormat="1" ht="12.75" customHeight="1" x14ac:dyDescent="0.25">
      <c r="A1989" s="729"/>
      <c r="B1989" s="302"/>
      <c r="C1989" s="302"/>
      <c r="D1989" s="1820"/>
      <c r="E1989" s="2819" t="str">
        <f>Translations!$B$555</f>
        <v>Специфичен EF (получена топлинна енергия)</v>
      </c>
      <c r="F1989" s="2705"/>
      <c r="G1989" s="1329" t="str">
        <f>EUconst_tCO2pTJ</f>
        <v>t CO2 / TJ</v>
      </c>
      <c r="H1989" s="484" t="str">
        <f>IF($M1928&lt;&gt;EUconst_Relevant,"",IF(INDEX('G_Fall-back'!H:H,MATCH($P1989,'G_Fall-back'!$Q:$Q,0))="","",INDEX('G_Fall-back'!H:H,MATCH($P1989,'G_Fall-back'!$Q:$Q,0))))</f>
        <v/>
      </c>
      <c r="I1989" s="1828" t="str">
        <f>IF($M1928&lt;&gt;EUconst_Relevant,"",IF(INDEX('G_Fall-back'!I:I,MATCH($P1989,'G_Fall-back'!$Q:$Q,0))="","",INDEX('G_Fall-back'!I:I,MATCH($P1989,'G_Fall-back'!$Q:$Q,0))))</f>
        <v/>
      </c>
      <c r="J1989" s="1829" t="str">
        <f>IF($M1928&lt;&gt;EUconst_Relevant,"",IF(INDEX('G_Fall-back'!J:J,MATCH($P1989,'G_Fall-back'!$Q:$Q,0))="","",INDEX('G_Fall-back'!J:J,MATCH($P1989,'G_Fall-back'!$Q:$Q,0))))</f>
        <v/>
      </c>
      <c r="K1989" s="484" t="str">
        <f>IF($M1928&lt;&gt;EUconst_Relevant,"",IF(INDEX('G_Fall-back'!K:K,MATCH($P1989,'G_Fall-back'!$Q:$Q,0))="","",INDEX('G_Fall-back'!K:K,MATCH($P1989,'G_Fall-back'!$Q:$Q,0))))</f>
        <v/>
      </c>
      <c r="L1989" s="484" t="str">
        <f>IF($M1928&lt;&gt;EUconst_Relevant,"",IF(INDEX('G_Fall-back'!L:L,MATCH($P1989,'G_Fall-back'!$Q:$Q,0))="","",INDEX('G_Fall-back'!L:L,MATCH($P1989,'G_Fall-back'!$Q:$Q,0))))</f>
        <v/>
      </c>
      <c r="M1989" s="484" t="str">
        <f>IF($M1928&lt;&gt;EUconst_Relevant,"",IF(INDEX('G_Fall-back'!M:M,MATCH($P1989,'G_Fall-back'!$Q:$Q,0))="","",INDEX('G_Fall-back'!M:M,MATCH($P1989,'G_Fall-back'!$Q:$Q,0))))</f>
        <v/>
      </c>
      <c r="N1989" s="1830" t="str">
        <f>IF($M1928&lt;&gt;EUconst_Relevant,"",IF(INDEX('G_Fall-back'!N:N,MATCH($P1989,'G_Fall-back'!$Q:$Q,0))="","",INDEX('G_Fall-back'!N:N,MATCH($P1989,'G_Fall-back'!$Q:$Q,0))))</f>
        <v/>
      </c>
      <c r="O1989" s="698"/>
      <c r="P1989" s="1500" t="str">
        <f>EUconst_CNTR_HeatImportEF &amp;I1928</f>
        <v>HeatImEF_Подинсталация с топлинен показател (с риск от ИВЕ | в рамките на МКВЕГ)</v>
      </c>
      <c r="Q1989" s="729"/>
      <c r="R1989" s="729"/>
      <c r="S1989" s="729"/>
      <c r="T1989" s="729"/>
      <c r="U1989" s="343"/>
      <c r="V1989" s="343"/>
    </row>
    <row r="1990" spans="1:22" s="364" customFormat="1" ht="12.75" customHeight="1" x14ac:dyDescent="0.25">
      <c r="A1990" s="729"/>
      <c r="B1990" s="302"/>
      <c r="C1990" s="302"/>
      <c r="D1990" s="1820"/>
      <c r="E1990" s="2818" t="str">
        <f>Translations!$B$960</f>
        <v>Нетно к-во получена топлинна енергия (прод. п-л)</v>
      </c>
      <c r="F1990" s="2701"/>
      <c r="G1990" s="1326" t="str">
        <f>EUconst_TJpa</f>
        <v>TJ / година</v>
      </c>
      <c r="H1990" s="482" t="str">
        <f>IF($M1928&lt;&gt;EUconst_Relevant,"",IF(INDEX('G_Fall-back'!H:H,MATCH($P1990,'G_Fall-back'!$Q:$Q,0))="","",INDEX('G_Fall-back'!H:H,MATCH($P1990,'G_Fall-back'!$Q:$Q,0))))</f>
        <v/>
      </c>
      <c r="I1990" s="1824" t="str">
        <f>IF($M1928&lt;&gt;EUconst_Relevant,"",IF(INDEX('G_Fall-back'!I:I,MATCH($P1990,'G_Fall-back'!$Q:$Q,0))="","",INDEX('G_Fall-back'!I:I,MATCH($P1990,'G_Fall-back'!$Q:$Q,0))))</f>
        <v/>
      </c>
      <c r="J1990" s="1825" t="str">
        <f>IF($M1928&lt;&gt;EUconst_Relevant,"",IF(INDEX('G_Fall-back'!J:J,MATCH($P1990,'G_Fall-back'!$Q:$Q,0))="","",INDEX('G_Fall-back'!J:J,MATCH($P1990,'G_Fall-back'!$Q:$Q,0))))</f>
        <v/>
      </c>
      <c r="K1990" s="482" t="str">
        <f>IF($M1928&lt;&gt;EUconst_Relevant,"",IF(INDEX('G_Fall-back'!K:K,MATCH($P1990,'G_Fall-back'!$Q:$Q,0))="","",INDEX('G_Fall-back'!K:K,MATCH($P1990,'G_Fall-back'!$Q:$Q,0))))</f>
        <v/>
      </c>
      <c r="L1990" s="482" t="str">
        <f>IF($M1928&lt;&gt;EUconst_Relevant,"",IF(INDEX('G_Fall-back'!L:L,MATCH($P1990,'G_Fall-back'!$Q:$Q,0))="","",INDEX('G_Fall-back'!L:L,MATCH($P1990,'G_Fall-back'!$Q:$Q,0))))</f>
        <v/>
      </c>
      <c r="M1990" s="482" t="str">
        <f>IF($M1928&lt;&gt;EUconst_Relevant,"",IF(INDEX('G_Fall-back'!M:M,MATCH($P1990,'G_Fall-back'!$Q:$Q,0))="","",INDEX('G_Fall-back'!M:M,MATCH($P1990,'G_Fall-back'!$Q:$Q,0))))</f>
        <v/>
      </c>
      <c r="N1990" s="1826" t="str">
        <f>IF($M1928&lt;&gt;EUconst_Relevant,"",IF(INDEX('G_Fall-back'!N:N,MATCH($P1990,'G_Fall-back'!$Q:$Q,0))="","",INDEX('G_Fall-back'!N:N,MATCH($P1990,'G_Fall-back'!$Q:$Q,0))))</f>
        <v/>
      </c>
      <c r="O1990" s="698"/>
      <c r="P1990" s="1500" t="str">
        <f>EUconst_CNTR_HeatImportProduct &amp;I1928</f>
        <v>HeatImProd_Подинсталация с топлинен показател (с риск от ИВЕ | в рамките на МКВЕГ)</v>
      </c>
      <c r="Q1990" s="729"/>
      <c r="R1990" s="729"/>
      <c r="S1990" s="729"/>
      <c r="T1990" s="729"/>
      <c r="U1990" s="343"/>
      <c r="V1990" s="343"/>
    </row>
    <row r="1991" spans="1:22" s="364" customFormat="1" ht="12.75" customHeight="1" x14ac:dyDescent="0.25">
      <c r="A1991" s="729"/>
      <c r="B1991" s="302"/>
      <c r="C1991" s="302"/>
      <c r="D1991" s="1820"/>
      <c r="E1991" s="2819" t="str">
        <f>Translations!$B$652</f>
        <v>Специфичен EF (от продуктов показател)</v>
      </c>
      <c r="F1991" s="2705"/>
      <c r="G1991" s="1329" t="str">
        <f>EUconst_tCO2pTJ</f>
        <v>t CO2 / TJ</v>
      </c>
      <c r="H1991" s="484" t="str">
        <f>IF($M1928&lt;&gt;EUconst_Relevant,"",IF(INDEX('G_Fall-back'!H:H,MATCH($P1991,'G_Fall-back'!$Q:$Q,0))="","",INDEX('G_Fall-back'!H:H,MATCH($P1991,'G_Fall-back'!$Q:$Q,0))))</f>
        <v/>
      </c>
      <c r="I1991" s="1828" t="str">
        <f>IF($M1928&lt;&gt;EUconst_Relevant,"",IF(INDEX('G_Fall-back'!I:I,MATCH($P1991,'G_Fall-back'!$Q:$Q,0))="","",INDEX('G_Fall-back'!I:I,MATCH($P1991,'G_Fall-back'!$Q:$Q,0))))</f>
        <v/>
      </c>
      <c r="J1991" s="1829" t="str">
        <f>IF($M1928&lt;&gt;EUconst_Relevant,"",IF(INDEX('G_Fall-back'!J:J,MATCH($P1991,'G_Fall-back'!$Q:$Q,0))="","",INDEX('G_Fall-back'!J:J,MATCH($P1991,'G_Fall-back'!$Q:$Q,0))))</f>
        <v/>
      </c>
      <c r="K1991" s="484" t="str">
        <f>IF($M1928&lt;&gt;EUconst_Relevant,"",IF(INDEX('G_Fall-back'!K:K,MATCH($P1991,'G_Fall-back'!$Q:$Q,0))="","",INDEX('G_Fall-back'!K:K,MATCH($P1991,'G_Fall-back'!$Q:$Q,0))))</f>
        <v/>
      </c>
      <c r="L1991" s="484" t="str">
        <f>IF($M1928&lt;&gt;EUconst_Relevant,"",IF(INDEX('G_Fall-back'!L:L,MATCH($P1991,'G_Fall-back'!$Q:$Q,0))="","",INDEX('G_Fall-back'!L:L,MATCH($P1991,'G_Fall-back'!$Q:$Q,0))))</f>
        <v/>
      </c>
      <c r="M1991" s="484" t="str">
        <f>IF($M1928&lt;&gt;EUconst_Relevant,"",IF(INDEX('G_Fall-back'!M:M,MATCH($P1991,'G_Fall-back'!$Q:$Q,0))="","",INDEX('G_Fall-back'!M:M,MATCH($P1991,'G_Fall-back'!$Q:$Q,0))))</f>
        <v/>
      </c>
      <c r="N1991" s="1830" t="str">
        <f>IF($M1928&lt;&gt;EUconst_Relevant,"",IF(INDEX('G_Fall-back'!N:N,MATCH($P1991,'G_Fall-back'!$Q:$Q,0))="","",INDEX('G_Fall-back'!N:N,MATCH($P1991,'G_Fall-back'!$Q:$Q,0))))</f>
        <v/>
      </c>
      <c r="O1991" s="698"/>
      <c r="P1991" s="1500" t="str">
        <f>EUconst_CNTR_HeatImportProductEF &amp;I1928</f>
        <v>HeatImProdEF_Подинсталация с топлинен показател (с риск от ИВЕ | в рамките на МКВЕГ)</v>
      </c>
      <c r="Q1991" s="729"/>
      <c r="R1991" s="729"/>
      <c r="S1991" s="729"/>
      <c r="T1991" s="729"/>
      <c r="U1991" s="343"/>
      <c r="V1991" s="343"/>
    </row>
    <row r="1992" spans="1:22" s="364" customFormat="1" ht="12.75" customHeight="1" x14ac:dyDescent="0.25">
      <c r="A1992" s="729"/>
      <c r="B1992" s="302"/>
      <c r="C1992" s="302"/>
      <c r="D1992" s="1820"/>
      <c r="E1992" s="2818" t="str">
        <f>Translations!$B$961</f>
        <v>Нетно к-во получена топлинна енергия (пулп)</v>
      </c>
      <c r="F1992" s="2701"/>
      <c r="G1992" s="1326" t="str">
        <f>EUconst_TJpa</f>
        <v>TJ / година</v>
      </c>
      <c r="H1992" s="482" t="str">
        <f>IF($M1928&lt;&gt;EUconst_Relevant,"",IF(INDEX('G_Fall-back'!H:H,MATCH($P1992,'G_Fall-back'!$Q:$Q,0))="","",INDEX('G_Fall-back'!H:H,MATCH($P1992,'G_Fall-back'!$Q:$Q,0))))</f>
        <v/>
      </c>
      <c r="I1992" s="1824" t="str">
        <f>IF($M1928&lt;&gt;EUconst_Relevant,"",IF(INDEX('G_Fall-back'!I:I,MATCH($P1992,'G_Fall-back'!$Q:$Q,0))="","",INDEX('G_Fall-back'!I:I,MATCH($P1992,'G_Fall-back'!$Q:$Q,0))))</f>
        <v/>
      </c>
      <c r="J1992" s="1825" t="str">
        <f>IF($M1928&lt;&gt;EUconst_Relevant,"",IF(INDEX('G_Fall-back'!J:J,MATCH($P1992,'G_Fall-back'!$Q:$Q,0))="","",INDEX('G_Fall-back'!J:J,MATCH($P1992,'G_Fall-back'!$Q:$Q,0))))</f>
        <v/>
      </c>
      <c r="K1992" s="482" t="str">
        <f>IF($M1928&lt;&gt;EUconst_Relevant,"",IF(INDEX('G_Fall-back'!K:K,MATCH($P1992,'G_Fall-back'!$Q:$Q,0))="","",INDEX('G_Fall-back'!K:K,MATCH($P1992,'G_Fall-back'!$Q:$Q,0))))</f>
        <v/>
      </c>
      <c r="L1992" s="482" t="str">
        <f>IF($M1928&lt;&gt;EUconst_Relevant,"",IF(INDEX('G_Fall-back'!L:L,MATCH($P1992,'G_Fall-back'!$Q:$Q,0))="","",INDEX('G_Fall-back'!L:L,MATCH($P1992,'G_Fall-back'!$Q:$Q,0))))</f>
        <v/>
      </c>
      <c r="M1992" s="482" t="str">
        <f>IF($M1928&lt;&gt;EUconst_Relevant,"",IF(INDEX('G_Fall-back'!M:M,MATCH($P1992,'G_Fall-back'!$Q:$Q,0))="","",INDEX('G_Fall-back'!M:M,MATCH($P1992,'G_Fall-back'!$Q:$Q,0))))</f>
        <v/>
      </c>
      <c r="N1992" s="1826" t="str">
        <f>IF($M1928&lt;&gt;EUconst_Relevant,"",IF(INDEX('G_Fall-back'!N:N,MATCH($P1992,'G_Fall-back'!$Q:$Q,0))="","",INDEX('G_Fall-back'!N:N,MATCH($P1992,'G_Fall-back'!$Q:$Q,0))))</f>
        <v/>
      </c>
      <c r="O1992" s="698"/>
      <c r="P1992" s="1500" t="str">
        <f>EUconst_CNTR_HeatImportPulp &amp;I1928</f>
        <v>HeatImPulp_Подинсталация с топлинен показател (с риск от ИВЕ | в рамките на МКВЕГ)</v>
      </c>
      <c r="Q1992" s="729"/>
      <c r="R1992" s="729"/>
      <c r="S1992" s="729"/>
      <c r="T1992" s="729"/>
      <c r="U1992" s="343"/>
      <c r="V1992" s="343"/>
    </row>
    <row r="1993" spans="1:22" s="364" customFormat="1" x14ac:dyDescent="0.25">
      <c r="A1993" s="729"/>
      <c r="B1993" s="302"/>
      <c r="C1993" s="302"/>
      <c r="D1993" s="1820"/>
      <c r="E1993" s="2819" t="str">
        <f>Translations!$B$654</f>
        <v>Специфичен EF (от пулп)</v>
      </c>
      <c r="F1993" s="2705"/>
      <c r="G1993" s="1329" t="str">
        <f>EUconst_tCO2pTJ</f>
        <v>t CO2 / TJ</v>
      </c>
      <c r="H1993" s="484" t="str">
        <f>IF($M1928&lt;&gt;EUconst_Relevant,"",IF(INDEX('G_Fall-back'!H:H,MATCH($P1993,'G_Fall-back'!$Q:$Q,0))="","",INDEX('G_Fall-back'!H:H,MATCH($P1993,'G_Fall-back'!$Q:$Q,0))))</f>
        <v/>
      </c>
      <c r="I1993" s="1828" t="str">
        <f>IF($M1928&lt;&gt;EUconst_Relevant,"",IF(INDEX('G_Fall-back'!I:I,MATCH($P1993,'G_Fall-back'!$Q:$Q,0))="","",INDEX('G_Fall-back'!I:I,MATCH($P1993,'G_Fall-back'!$Q:$Q,0))))</f>
        <v/>
      </c>
      <c r="J1993" s="1829" t="str">
        <f>IF($M1928&lt;&gt;EUconst_Relevant,"",IF(INDEX('G_Fall-back'!J:J,MATCH($P1993,'G_Fall-back'!$Q:$Q,0))="","",INDEX('G_Fall-back'!J:J,MATCH($P1993,'G_Fall-back'!$Q:$Q,0))))</f>
        <v/>
      </c>
      <c r="K1993" s="484" t="str">
        <f>IF($M1928&lt;&gt;EUconst_Relevant,"",IF(INDEX('G_Fall-back'!K:K,MATCH($P1993,'G_Fall-back'!$Q:$Q,0))="","",INDEX('G_Fall-back'!K:K,MATCH($P1993,'G_Fall-back'!$Q:$Q,0))))</f>
        <v/>
      </c>
      <c r="L1993" s="484" t="str">
        <f>IF($M1928&lt;&gt;EUconst_Relevant,"",IF(INDEX('G_Fall-back'!L:L,MATCH($P1993,'G_Fall-back'!$Q:$Q,0))="","",INDEX('G_Fall-back'!L:L,MATCH($P1993,'G_Fall-back'!$Q:$Q,0))))</f>
        <v/>
      </c>
      <c r="M1993" s="484" t="str">
        <f>IF($M1928&lt;&gt;EUconst_Relevant,"",IF(INDEX('G_Fall-back'!M:M,MATCH($P1993,'G_Fall-back'!$Q:$Q,0))="","",INDEX('G_Fall-back'!M:M,MATCH($P1993,'G_Fall-back'!$Q:$Q,0))))</f>
        <v/>
      </c>
      <c r="N1993" s="1830" t="str">
        <f>IF($M1928&lt;&gt;EUconst_Relevant,"",IF(INDEX('G_Fall-back'!N:N,MATCH($P1993,'G_Fall-back'!$Q:$Q,0))="","",INDEX('G_Fall-back'!N:N,MATCH($P1993,'G_Fall-back'!$Q:$Q,0))))</f>
        <v/>
      </c>
      <c r="O1993" s="698"/>
      <c r="P1993" s="1500" t="str">
        <f>EUconst_CNTR_HeatImportPulpEF &amp;I1928</f>
        <v>HeatImPulpEF_Подинсталация с топлинен показател (с риск от ИВЕ | в рамките на МКВЕГ)</v>
      </c>
      <c r="Q1993" s="729"/>
      <c r="R1993" s="729"/>
      <c r="S1993" s="729"/>
      <c r="T1993" s="729"/>
      <c r="U1993" s="343"/>
      <c r="V1993" s="343"/>
    </row>
    <row r="1994" spans="1:22" s="364" customFormat="1" ht="12.75" customHeight="1" x14ac:dyDescent="0.25">
      <c r="A1994" s="729"/>
      <c r="B1994" s="302"/>
      <c r="C1994" s="302"/>
      <c r="D1994" s="1820"/>
      <c r="E1994" s="2818" t="str">
        <f>Translations!$B$962</f>
        <v>Нетно к-во получена топлинна енергия (горивен п-л)</v>
      </c>
      <c r="F1994" s="2701"/>
      <c r="G1994" s="1326" t="str">
        <f>EUconst_TJpa</f>
        <v>TJ / година</v>
      </c>
      <c r="H1994" s="482" t="str">
        <f>IF($M1928&lt;&gt;EUconst_Relevant,"",IF(INDEX('G_Fall-back'!H:H,MATCH($P1994,'G_Fall-back'!$Q:$Q,0))="","",INDEX('G_Fall-back'!H:H,MATCH($P1994,'G_Fall-back'!$Q:$Q,0))))</f>
        <v/>
      </c>
      <c r="I1994" s="1824" t="str">
        <f>IF($M1928&lt;&gt;EUconst_Relevant,"",IF(INDEX('G_Fall-back'!I:I,MATCH($P1994,'G_Fall-back'!$Q:$Q,0))="","",INDEX('G_Fall-back'!I:I,MATCH($P1994,'G_Fall-back'!$Q:$Q,0))))</f>
        <v/>
      </c>
      <c r="J1994" s="1825" t="str">
        <f>IF($M1928&lt;&gt;EUconst_Relevant,"",IF(INDEX('G_Fall-back'!J:J,MATCH($P1994,'G_Fall-back'!$Q:$Q,0))="","",INDEX('G_Fall-back'!J:J,MATCH($P1994,'G_Fall-back'!$Q:$Q,0))))</f>
        <v/>
      </c>
      <c r="K1994" s="482" t="str">
        <f>IF($M1928&lt;&gt;EUconst_Relevant,"",IF(INDEX('G_Fall-back'!K:K,MATCH($P1994,'G_Fall-back'!$Q:$Q,0))="","",INDEX('G_Fall-back'!K:K,MATCH($P1994,'G_Fall-back'!$Q:$Q,0))))</f>
        <v/>
      </c>
      <c r="L1994" s="482" t="str">
        <f>IF($M1928&lt;&gt;EUconst_Relevant,"",IF(INDEX('G_Fall-back'!L:L,MATCH($P1994,'G_Fall-back'!$Q:$Q,0))="","",INDEX('G_Fall-back'!L:L,MATCH($P1994,'G_Fall-back'!$Q:$Q,0))))</f>
        <v/>
      </c>
      <c r="M1994" s="482" t="str">
        <f>IF($M1928&lt;&gt;EUconst_Relevant,"",IF(INDEX('G_Fall-back'!M:M,MATCH($P1994,'G_Fall-back'!$Q:$Q,0))="","",INDEX('G_Fall-back'!M:M,MATCH($P1994,'G_Fall-back'!$Q:$Q,0))))</f>
        <v/>
      </c>
      <c r="N1994" s="1826" t="str">
        <f>IF($M1928&lt;&gt;EUconst_Relevant,"",IF(INDEX('G_Fall-back'!N:N,MATCH($P1994,'G_Fall-back'!$Q:$Q,0))="","",INDEX('G_Fall-back'!N:N,MATCH($P1994,'G_Fall-back'!$Q:$Q,0))))</f>
        <v/>
      </c>
      <c r="O1994" s="698"/>
      <c r="P1994" s="1500" t="str">
        <f>EUconst_CNTR_HeatImportFuel &amp;I1928</f>
        <v>HeatImFuel_Подинсталация с топлинен показател (с риск от ИВЕ | в рамките на МКВЕГ)</v>
      </c>
      <c r="Q1994" s="729"/>
      <c r="R1994" s="729"/>
      <c r="S1994" s="729"/>
      <c r="T1994" s="729"/>
      <c r="U1994" s="343"/>
      <c r="V1994" s="343"/>
    </row>
    <row r="1995" spans="1:22" s="364" customFormat="1" ht="12.75" customHeight="1" x14ac:dyDescent="0.25">
      <c r="A1995" s="729"/>
      <c r="B1995" s="302"/>
      <c r="C1995" s="302"/>
      <c r="D1995" s="1820"/>
      <c r="E1995" s="2819" t="str">
        <f>Translations!$B$656</f>
        <v>Специфичен EF (от горивен показател)</v>
      </c>
      <c r="F1995" s="2705"/>
      <c r="G1995" s="639" t="str">
        <f>EUconst_tCO2pTJ</f>
        <v>t CO2 / TJ</v>
      </c>
      <c r="H1995" s="484" t="str">
        <f>IF($M1928&lt;&gt;EUconst_Relevant,"",IF(INDEX('G_Fall-back'!H:H,MATCH($P1995,'G_Fall-back'!$Q:$Q,0))="","",INDEX('G_Fall-back'!H:H,MATCH($P1995,'G_Fall-back'!$Q:$Q,0))))</f>
        <v/>
      </c>
      <c r="I1995" s="1828" t="str">
        <f>IF($M1928&lt;&gt;EUconst_Relevant,"",IF(INDEX('G_Fall-back'!I:I,MATCH($P1995,'G_Fall-back'!$Q:$Q,0))="","",INDEX('G_Fall-back'!I:I,MATCH($P1995,'G_Fall-back'!$Q:$Q,0))))</f>
        <v/>
      </c>
      <c r="J1995" s="1829" t="str">
        <f>IF($M1928&lt;&gt;EUconst_Relevant,"",IF(INDEX('G_Fall-back'!J:J,MATCH($P1995,'G_Fall-back'!$Q:$Q,0))="","",INDEX('G_Fall-back'!J:J,MATCH($P1995,'G_Fall-back'!$Q:$Q,0))))</f>
        <v/>
      </c>
      <c r="K1995" s="484" t="str">
        <f>IF($M1928&lt;&gt;EUconst_Relevant,"",IF(INDEX('G_Fall-back'!K:K,MATCH($P1995,'G_Fall-back'!$Q:$Q,0))="","",INDEX('G_Fall-back'!K:K,MATCH($P1995,'G_Fall-back'!$Q:$Q,0))))</f>
        <v/>
      </c>
      <c r="L1995" s="484" t="str">
        <f>IF($M1928&lt;&gt;EUconst_Relevant,"",IF(INDEX('G_Fall-back'!L:L,MATCH($P1995,'G_Fall-back'!$Q:$Q,0))="","",INDEX('G_Fall-back'!L:L,MATCH($P1995,'G_Fall-back'!$Q:$Q,0))))</f>
        <v/>
      </c>
      <c r="M1995" s="484" t="str">
        <f>IF($M1928&lt;&gt;EUconst_Relevant,"",IF(INDEX('G_Fall-back'!M:M,MATCH($P1995,'G_Fall-back'!$Q:$Q,0))="","",INDEX('G_Fall-back'!M:M,MATCH($P1995,'G_Fall-back'!$Q:$Q,0))))</f>
        <v/>
      </c>
      <c r="N1995" s="1830" t="str">
        <f>IF($M1928&lt;&gt;EUconst_Relevant,"",IF(INDEX('G_Fall-back'!N:N,MATCH($P1995,'G_Fall-back'!$Q:$Q,0))="","",INDEX('G_Fall-back'!N:N,MATCH($P1995,'G_Fall-back'!$Q:$Q,0))))</f>
        <v/>
      </c>
      <c r="O1995" s="698"/>
      <c r="P1995" s="1500" t="str">
        <f>EUconst_CNTR_HeatImportFuelEF &amp;I1928</f>
        <v>HeatImFuelEF_Подинсталация с топлинен показател (с риск от ИВЕ | в рамките на МКВЕГ)</v>
      </c>
      <c r="Q1995" s="729"/>
      <c r="R1995" s="729"/>
      <c r="S1995" s="729"/>
      <c r="T1995" s="729"/>
      <c r="U1995" s="343"/>
      <c r="V1995" s="343"/>
    </row>
    <row r="1996" spans="1:22" s="364" customFormat="1" ht="12.75" customHeight="1" x14ac:dyDescent="0.25">
      <c r="A1996" s="729"/>
      <c r="B1996" s="302"/>
      <c r="C1996" s="302"/>
      <c r="D1996" s="1820"/>
      <c r="E1996" s="2818" t="str">
        <f>Translations!$B$963</f>
        <v>Нетно к-во получена топлинна енергия (отпадни газове)</v>
      </c>
      <c r="F1996" s="2701"/>
      <c r="G1996" s="1326" t="str">
        <f>EUconst_TJpa</f>
        <v>TJ / година</v>
      </c>
      <c r="H1996" s="482" t="str">
        <f>IF($M1928&lt;&gt;EUconst_Relevant,"",IF(INDEX('G_Fall-back'!H:H,MATCH($P1996,'G_Fall-back'!$Q:$Q,0))="","",INDEX('G_Fall-back'!H:H,MATCH($P1996,'G_Fall-back'!$Q:$Q,0))))</f>
        <v/>
      </c>
      <c r="I1996" s="1824" t="str">
        <f>IF($M1928&lt;&gt;EUconst_Relevant,"",IF(INDEX('G_Fall-back'!I:I,MATCH($P1996,'G_Fall-back'!$Q:$Q,0))="","",INDEX('G_Fall-back'!I:I,MATCH($P1996,'G_Fall-back'!$Q:$Q,0))))</f>
        <v/>
      </c>
      <c r="J1996" s="1825" t="str">
        <f>IF($M1928&lt;&gt;EUconst_Relevant,"",IF(INDEX('G_Fall-back'!J:J,MATCH($P1996,'G_Fall-back'!$Q:$Q,0))="","",INDEX('G_Fall-back'!J:J,MATCH($P1996,'G_Fall-back'!$Q:$Q,0))))</f>
        <v/>
      </c>
      <c r="K1996" s="482" t="str">
        <f>IF($M1928&lt;&gt;EUconst_Relevant,"",IF(INDEX('G_Fall-back'!K:K,MATCH($P1996,'G_Fall-back'!$Q:$Q,0))="","",INDEX('G_Fall-back'!K:K,MATCH($P1996,'G_Fall-back'!$Q:$Q,0))))</f>
        <v/>
      </c>
      <c r="L1996" s="482" t="str">
        <f>IF($M1928&lt;&gt;EUconst_Relevant,"",IF(INDEX('G_Fall-back'!L:L,MATCH($P1996,'G_Fall-back'!$Q:$Q,0))="","",INDEX('G_Fall-back'!L:L,MATCH($P1996,'G_Fall-back'!$Q:$Q,0))))</f>
        <v/>
      </c>
      <c r="M1996" s="482" t="str">
        <f>IF($M1928&lt;&gt;EUconst_Relevant,"",IF(INDEX('G_Fall-back'!M:M,MATCH($P1996,'G_Fall-back'!$Q:$Q,0))="","",INDEX('G_Fall-back'!M:M,MATCH($P1996,'G_Fall-back'!$Q:$Q,0))))</f>
        <v/>
      </c>
      <c r="N1996" s="1826" t="str">
        <f>IF($M1928&lt;&gt;EUconst_Relevant,"",IF(INDEX('G_Fall-back'!N:N,MATCH($P1996,'G_Fall-back'!$Q:$Q,0))="","",INDEX('G_Fall-back'!N:N,MATCH($P1996,'G_Fall-back'!$Q:$Q,0))))</f>
        <v/>
      </c>
      <c r="O1996" s="698"/>
      <c r="P1996" s="1500" t="str">
        <f>EUconst_CNTR_WGImport &amp;I1928</f>
        <v>WasteGasIm_Подинсталация с топлинен показател (с риск от ИВЕ | в рамките на МКВЕГ)</v>
      </c>
      <c r="Q1996" s="729"/>
      <c r="R1996" s="729"/>
      <c r="S1996" s="729"/>
      <c r="T1996" s="729"/>
      <c r="U1996" s="343"/>
      <c r="V1996" s="343"/>
    </row>
    <row r="1997" spans="1:22" s="364" customFormat="1" ht="12.75" customHeight="1" x14ac:dyDescent="0.25">
      <c r="A1997" s="729"/>
      <c r="B1997" s="302"/>
      <c r="C1997" s="302"/>
      <c r="D1997" s="1820"/>
      <c r="E1997" s="2819" t="str">
        <f>Translations!$B$658</f>
        <v>Специфичен EF (от отпаден газ)</v>
      </c>
      <c r="F1997" s="2705"/>
      <c r="G1997" s="639" t="str">
        <f>EUconst_tCO2pTJ</f>
        <v>t CO2 / TJ</v>
      </c>
      <c r="H1997" s="484" t="str">
        <f>IF($M1928&lt;&gt;EUconst_Relevant,"",IF(INDEX('G_Fall-back'!H:H,MATCH($P1997,'G_Fall-back'!$Q:$Q,0))="","",INDEX('G_Fall-back'!H:H,MATCH($P1997,'G_Fall-back'!$Q:$Q,0))))</f>
        <v/>
      </c>
      <c r="I1997" s="1828" t="str">
        <f>IF($M1928&lt;&gt;EUconst_Relevant,"",IF(INDEX('G_Fall-back'!I:I,MATCH($P1997,'G_Fall-back'!$Q:$Q,0))="","",INDEX('G_Fall-back'!I:I,MATCH($P1997,'G_Fall-back'!$Q:$Q,0))))</f>
        <v/>
      </c>
      <c r="J1997" s="1829" t="str">
        <f>IF($M1928&lt;&gt;EUconst_Relevant,"",IF(INDEX('G_Fall-back'!J:J,MATCH($P1997,'G_Fall-back'!$Q:$Q,0))="","",INDEX('G_Fall-back'!J:J,MATCH($P1997,'G_Fall-back'!$Q:$Q,0))))</f>
        <v/>
      </c>
      <c r="K1997" s="484" t="str">
        <f>IF($M1928&lt;&gt;EUconst_Relevant,"",IF(INDEX('G_Fall-back'!K:K,MATCH($P1997,'G_Fall-back'!$Q:$Q,0))="","",INDEX('G_Fall-back'!K:K,MATCH($P1997,'G_Fall-back'!$Q:$Q,0))))</f>
        <v/>
      </c>
      <c r="L1997" s="484" t="str">
        <f>IF($M1928&lt;&gt;EUconst_Relevant,"",IF(INDEX('G_Fall-back'!L:L,MATCH($P1997,'G_Fall-back'!$Q:$Q,0))="","",INDEX('G_Fall-back'!L:L,MATCH($P1997,'G_Fall-back'!$Q:$Q,0))))</f>
        <v/>
      </c>
      <c r="M1997" s="484" t="str">
        <f>IF($M1928&lt;&gt;EUconst_Relevant,"",IF(INDEX('G_Fall-back'!M:M,MATCH($P1997,'G_Fall-back'!$Q:$Q,0))="","",INDEX('G_Fall-back'!M:M,MATCH($P1997,'G_Fall-back'!$Q:$Q,0))))</f>
        <v/>
      </c>
      <c r="N1997" s="1830" t="str">
        <f>IF($M1928&lt;&gt;EUconst_Relevant,"",IF(INDEX('G_Fall-back'!N:N,MATCH($P1997,'G_Fall-back'!$Q:$Q,0))="","",INDEX('G_Fall-back'!N:N,MATCH($P1997,'G_Fall-back'!$Q:$Q,0))))</f>
        <v/>
      </c>
      <c r="O1997" s="698"/>
      <c r="P1997" s="1500" t="str">
        <f>EUconst_CNTR_WGImportEF &amp;I1928</f>
        <v>WasteGasImEF_Подинсталация с топлинен показател (с риск от ИВЕ | в рамките на МКВЕГ)</v>
      </c>
      <c r="Q1997" s="729"/>
      <c r="R1997" s="729"/>
      <c r="S1997" s="729"/>
      <c r="T1997" s="729"/>
      <c r="U1997" s="343"/>
      <c r="V1997" s="343"/>
    </row>
    <row r="1998" spans="1:22" s="364" customFormat="1" ht="5.15" customHeight="1" thickBot="1" x14ac:dyDescent="0.3">
      <c r="A1998" s="729"/>
      <c r="B1998" s="302"/>
      <c r="C1998" s="302"/>
      <c r="D1998" s="1838"/>
      <c r="E1998" s="1378"/>
      <c r="F1998" s="1378"/>
      <c r="G1998" s="1378"/>
      <c r="H1998" s="1378"/>
      <c r="I1998" s="1378"/>
      <c r="J1998" s="1378"/>
      <c r="K1998" s="1378"/>
      <c r="L1998" s="1378"/>
      <c r="M1998" s="1378"/>
      <c r="N1998" s="1379"/>
      <c r="O1998" s="698"/>
      <c r="P1998" s="729"/>
      <c r="Q1998" s="729"/>
      <c r="R1998" s="729"/>
      <c r="S1998" s="729"/>
      <c r="T1998" s="729"/>
      <c r="U1998" s="343"/>
      <c r="V1998" s="343"/>
    </row>
    <row r="1999" spans="1:22" s="364" customFormat="1" ht="5.15" customHeight="1" thickBot="1" x14ac:dyDescent="0.3">
      <c r="A1999" s="729"/>
      <c r="B1999" s="302"/>
      <c r="C1999" s="302"/>
      <c r="D1999" s="302"/>
      <c r="E1999" s="302"/>
      <c r="F1999" s="302"/>
      <c r="G1999" s="302"/>
      <c r="M1999" s="302"/>
      <c r="N1999" s="302"/>
      <c r="O1999" s="698"/>
      <c r="P1999" s="729"/>
      <c r="Q1999" s="729"/>
      <c r="R1999" s="729"/>
      <c r="S1999" s="729"/>
      <c r="T1999" s="729"/>
      <c r="U1999" s="343"/>
      <c r="V1999" s="343"/>
    </row>
    <row r="2000" spans="1:22" s="364" customFormat="1" ht="5.15" customHeight="1" thickBot="1" x14ac:dyDescent="0.3">
      <c r="A2000" s="729"/>
      <c r="B2000" s="284"/>
      <c r="C2000" s="581"/>
      <c r="D2000" s="581"/>
      <c r="E2000" s="581"/>
      <c r="F2000" s="581"/>
      <c r="G2000" s="581"/>
      <c r="H2000" s="581"/>
      <c r="I2000" s="581"/>
      <c r="J2000" s="581"/>
      <c r="K2000" s="581"/>
      <c r="L2000" s="581"/>
      <c r="M2000" s="581"/>
      <c r="N2000" s="581"/>
      <c r="O2000" s="698"/>
      <c r="P2000" s="729"/>
      <c r="Q2000" s="729"/>
      <c r="R2000" s="729"/>
      <c r="S2000" s="729"/>
      <c r="T2000" s="729"/>
      <c r="U2000" s="343"/>
      <c r="V2000" s="343"/>
    </row>
    <row r="2001" spans="1:22" s="364" customFormat="1" ht="15" customHeight="1" thickBot="1" x14ac:dyDescent="0.35">
      <c r="A2001" s="729"/>
      <c r="B2001" s="302"/>
      <c r="C2001" s="357">
        <f>C1928+1</f>
        <v>14</v>
      </c>
      <c r="D2001" s="2323" t="str">
        <f>CONCATENATE(EUconst_FBSubinst," ",C2001-10, ":")</f>
        <v>Алтернативна подинсталация („Fall-Back sub-installation“) 4:</v>
      </c>
      <c r="E2001" s="2323"/>
      <c r="F2001" s="2323"/>
      <c r="G2001" s="2323"/>
      <c r="H2001" s="2987"/>
      <c r="I2001" s="2988" t="str">
        <f>INDEX(EUconst_FallBackListNames,$C2001-10)</f>
        <v>Подинсталация на топлофикационна мрежа</v>
      </c>
      <c r="J2001" s="2989"/>
      <c r="K2001" s="2989"/>
      <c r="L2001" s="2990"/>
      <c r="M2001" s="2919" t="str">
        <f>IF(INDEX(CNTR_FallBackSubInstRelevant,C2001-10)="","",IF(INDEX(CNTR_FallBackSubInstRelevant,C2001-10),EUconst_Relevant,EUconst_NotRelevant))</f>
        <v/>
      </c>
      <c r="N2001" s="2920"/>
      <c r="O2001" s="698"/>
      <c r="P2001" s="729"/>
      <c r="Q2001" s="1684">
        <f>C2001</f>
        <v>14</v>
      </c>
      <c r="R2001" s="1685" t="str">
        <f>I2001</f>
        <v>Подинсталация на топлофикационна мрежа</v>
      </c>
      <c r="S2001" s="729"/>
      <c r="T2001" s="729"/>
      <c r="U2001" s="343"/>
      <c r="V2001" s="343"/>
    </row>
    <row r="2002" spans="1:22" s="364" customFormat="1" ht="5.15" customHeight="1" x14ac:dyDescent="0.3">
      <c r="A2002" s="729"/>
      <c r="B2002" s="302"/>
      <c r="C2002" s="357"/>
      <c r="D2002" s="357"/>
      <c r="E2002" s="357"/>
      <c r="F2002" s="357"/>
      <c r="G2002" s="357"/>
      <c r="H2002" s="357"/>
      <c r="I2002" s="357"/>
      <c r="J2002" s="357"/>
      <c r="K2002" s="357"/>
      <c r="L2002" s="357"/>
      <c r="M2002" s="357"/>
      <c r="N2002" s="357"/>
      <c r="O2002" s="698"/>
      <c r="P2002" s="729"/>
      <c r="Q2002" s="729"/>
      <c r="R2002" s="729"/>
      <c r="S2002" s="729"/>
      <c r="T2002" s="729"/>
      <c r="U2002" s="343"/>
      <c r="V2002" s="343"/>
    </row>
    <row r="2003" spans="1:22" s="364" customFormat="1" ht="12.75" customHeight="1" x14ac:dyDescent="0.3">
      <c r="A2003" s="729"/>
      <c r="B2003" s="302"/>
      <c r="C2003" s="357"/>
      <c r="D2003" s="357"/>
      <c r="E2003" s="357"/>
      <c r="F2003" s="357"/>
      <c r="H2003" s="595" t="str">
        <f>Translations!$B$942</f>
        <v>Риск от ИВЕ</v>
      </c>
      <c r="I2003" s="595" t="s">
        <v>2151</v>
      </c>
      <c r="J2003" s="595" t="str">
        <f>Translations!$B$946</f>
        <v>В/Е</v>
      </c>
      <c r="K2003" s="595" t="str">
        <f>Translations!$B$1360</f>
        <v>Спряна експлоатация</v>
      </c>
      <c r="L2003" s="654" t="str">
        <f>Translations!$B$944</f>
        <v>№ на п-л</v>
      </c>
      <c r="M2003" s="2991" t="str">
        <f>Translations!$B$948</f>
        <v>Стойност на п-л</v>
      </c>
      <c r="N2003" s="2991"/>
      <c r="O2003" s="698"/>
      <c r="P2003" s="729"/>
      <c r="Q2003" s="729"/>
      <c r="R2003" s="729"/>
      <c r="S2003" s="729"/>
      <c r="T2003" s="729"/>
      <c r="U2003" s="343"/>
      <c r="V2003" s="343"/>
    </row>
    <row r="2004" spans="1:22" s="364" customFormat="1" ht="12.75" customHeight="1" x14ac:dyDescent="0.3">
      <c r="A2004" s="729"/>
      <c r="B2004" s="302"/>
      <c r="C2004" s="357"/>
      <c r="D2004" s="357"/>
      <c r="E2004" s="361" t="str">
        <f>I2001</f>
        <v>Подинсталация на топлофикационна мрежа</v>
      </c>
      <c r="F2004" s="373"/>
      <c r="G2004" s="373"/>
      <c r="H2004" s="600" t="b">
        <f>INDEX(EUconst_FallBackListCLstatus,MATCH(I2001,EUconst_FallBackListNames,0))</f>
        <v>0</v>
      </c>
      <c r="I2004" s="600" t="b">
        <f>INDEX(EUconst_FallBackListCBAMstatus,MATCH(I2001,EUconst_FallBackListNames,0))</f>
        <v>0</v>
      </c>
      <c r="J2004" s="655" t="str">
        <f>IF($M2001&lt;&gt;EUconst_Relevant,EUconst_NA,INDEX(CNTR_SubInstStartDate,MATCH(I2001,CNTR_SubInstListNames,0)))</f>
        <v>Не е приложимо</v>
      </c>
      <c r="K2004" s="655" t="str">
        <f>IF($M2001&lt;&gt;EUconst_Relevant,EUconst_NA,IF(INDEX(CNTR_SubInstCessationDate,MATCH(I2001,CNTR_SubInstListNames,0))=0,"",INDEX(CNTR_SubInstCessationDate,MATCH(I2001,CNTR_SubInstListNames,0))))</f>
        <v>Не е приложимо</v>
      </c>
      <c r="L2004" s="1687">
        <f>C2001-10</f>
        <v>4</v>
      </c>
      <c r="M2004" s="1841" t="str">
        <f>IF(M2001&lt;&gt;EUconst_Relevant,EUconst_NA,INDEX(EUconst_FallBackListBMvaluesMatrix,L2004,3))</f>
        <v>Не е приложимо</v>
      </c>
      <c r="N2004" s="382" t="str">
        <f>EUconst_EUA &amp; "/" &amp; F2007</f>
        <v>Квота за емисии/TJ</v>
      </c>
      <c r="O2004" s="698"/>
      <c r="P2004" s="729"/>
      <c r="Q2004" s="729"/>
      <c r="R2004" s="729"/>
      <c r="S2004" s="729"/>
      <c r="T2004" s="729"/>
      <c r="U2004" s="343"/>
      <c r="V2004" s="343"/>
    </row>
    <row r="2005" spans="1:22" s="364" customFormat="1" ht="5.15" customHeight="1" thickBot="1" x14ac:dyDescent="0.35">
      <c r="A2005" s="729"/>
      <c r="B2005" s="302"/>
      <c r="C2005" s="302"/>
      <c r="D2005" s="302"/>
      <c r="E2005" s="357"/>
      <c r="J2005" s="302"/>
      <c r="K2005" s="302"/>
      <c r="L2005" s="302"/>
      <c r="M2005" s="302"/>
      <c r="N2005" s="302"/>
      <c r="O2005" s="698"/>
      <c r="P2005" s="729"/>
      <c r="Q2005" s="729"/>
      <c r="R2005" s="729"/>
      <c r="S2005" s="729"/>
      <c r="T2005" s="770"/>
      <c r="U2005" s="343"/>
      <c r="V2005" s="343"/>
    </row>
    <row r="2006" spans="1:22" s="364" customFormat="1" ht="12.75" customHeight="1" x14ac:dyDescent="0.25">
      <c r="A2006" s="729"/>
      <c r="B2006" s="302"/>
      <c r="C2006" s="302"/>
      <c r="D2006" s="302"/>
      <c r="E2006" s="313"/>
      <c r="F2006" s="300" t="str">
        <f>EUconst_Unit</f>
        <v>Единица мярка</v>
      </c>
      <c r="G2006" s="1842" t="str">
        <f>Translations!$B$1284</f>
        <v>HAL</v>
      </c>
      <c r="H2006" s="757">
        <f t="shared" ref="H2006:N2006" si="169">H$2505</f>
        <v>2024</v>
      </c>
      <c r="I2006" s="572">
        <f t="shared" si="169"/>
        <v>2025</v>
      </c>
      <c r="J2006" s="757">
        <f t="shared" si="169"/>
        <v>2026</v>
      </c>
      <c r="K2006" s="391">
        <f t="shared" si="169"/>
        <v>2027</v>
      </c>
      <c r="L2006" s="391">
        <f t="shared" si="169"/>
        <v>2028</v>
      </c>
      <c r="M2006" s="391">
        <f t="shared" si="169"/>
        <v>2029</v>
      </c>
      <c r="N2006" s="391">
        <f t="shared" si="169"/>
        <v>2030</v>
      </c>
      <c r="O2006" s="698"/>
      <c r="P2006" s="729"/>
      <c r="Q2006" s="729" t="s">
        <v>1851</v>
      </c>
      <c r="R2006" s="1690">
        <f>J$2505</f>
        <v>2026</v>
      </c>
      <c r="S2006" s="1691">
        <f>K$2505</f>
        <v>2027</v>
      </c>
      <c r="T2006" s="1691">
        <f>L$2505</f>
        <v>2028</v>
      </c>
      <c r="U2006" s="1691">
        <f>M$2505</f>
        <v>2029</v>
      </c>
      <c r="V2006" s="1692">
        <f>N$2505</f>
        <v>2030</v>
      </c>
    </row>
    <row r="2007" spans="1:22" s="364" customFormat="1" ht="12.75" customHeight="1" thickBot="1" x14ac:dyDescent="0.3">
      <c r="A2007" s="729"/>
      <c r="B2007" s="302"/>
      <c r="C2007" s="302"/>
      <c r="D2007" s="302"/>
      <c r="E2007" s="388" t="str">
        <f>Translations!$B$1371</f>
        <v>Докладвано равнище на дейност</v>
      </c>
      <c r="F2007" s="1062" t="str">
        <f>INDEX(EUconst_FallBackListUnits,L2004)</f>
        <v>TJ</v>
      </c>
      <c r="G2007" s="1843" t="str">
        <f>I2038</f>
        <v/>
      </c>
      <c r="H2007" s="1844" t="str">
        <f>IF($M2001&lt;&gt;EUconst_Relevant,"",IF(H2006&gt;=CNTR_ReportingYear,"",SUMIF('G_Fall-back'!$Q:$Q,$P2007,'G_Fall-back'!H:H)))</f>
        <v/>
      </c>
      <c r="I2007" s="1845" t="str">
        <f>IF($M2001&lt;&gt;EUconst_Relevant,"",IF(I2006&gt;=CNTR_ReportingYear,"",SUMIF('G_Fall-back'!$Q:$Q,$P2007,'G_Fall-back'!I:I)))</f>
        <v/>
      </c>
      <c r="J2007" s="1844" t="str">
        <f>IF($M2001&lt;&gt;EUconst_Relevant,"",IF(J2006&gt;=CNTR_ReportingYear,"",SUMIF('G_Fall-back'!$Q:$Q,$P2007,'G_Fall-back'!J:J)))</f>
        <v/>
      </c>
      <c r="K2007" s="1846" t="str">
        <f>IF($M2001&lt;&gt;EUconst_Relevant,"",IF(K2006&gt;=CNTR_ReportingYear,"",SUMIF('G_Fall-back'!$Q:$Q,$P2007,'G_Fall-back'!K:K)))</f>
        <v/>
      </c>
      <c r="L2007" s="1846" t="str">
        <f>IF($M2001&lt;&gt;EUconst_Relevant,"",IF(L2006&gt;=CNTR_ReportingYear,"",SUMIF('G_Fall-back'!$Q:$Q,$P2007,'G_Fall-back'!L:L)))</f>
        <v/>
      </c>
      <c r="M2007" s="1846" t="str">
        <f>IF($M2001&lt;&gt;EUconst_Relevant,"",IF(M2006&gt;=CNTR_ReportingYear,"",SUMIF('G_Fall-back'!$Q:$Q,$P2007,'G_Fall-back'!M:M)))</f>
        <v/>
      </c>
      <c r="N2007" s="1846" t="str">
        <f>IF($M2001&lt;&gt;EUconst_Relevant,"",IF(N2006&gt;=CNTR_ReportingYear,"",SUMIF('G_Fall-back'!$Q:$Q,$P2007,'G_Fall-back'!N:N)))</f>
        <v/>
      </c>
      <c r="O2007" s="698"/>
      <c r="P2007" s="1190" t="str">
        <f>EUconst_CNTR_HAL&amp;I2001</f>
        <v>HAL_Подинсталация на топлофикационна мрежа</v>
      </c>
      <c r="Q2007" s="729"/>
      <c r="R2007" s="1580" t="b">
        <f>AND($M2001=EUconst_Relevant,R2006&lt;=CNTR_ReportingYear,IF($J2004&lt;&gt;EUconst_NA,R2006&gt;=YEAR($J2004),TRUE))</f>
        <v>0</v>
      </c>
      <c r="S2007" s="1255" t="b">
        <f>AND($M2001=EUconst_Relevant,S2006&lt;=CNTR_ReportingYear,IF($J2004&lt;&gt;EUconst_NA,S2006&gt;=YEAR($J2004),TRUE))</f>
        <v>0</v>
      </c>
      <c r="T2007" s="1255" t="b">
        <f>AND($M2001=EUconst_Relevant,T2006&lt;=CNTR_ReportingYear,IF($J2004&lt;&gt;EUconst_NA,T2006&gt;=YEAR($J2004),TRUE))</f>
        <v>0</v>
      </c>
      <c r="U2007" s="1255" t="b">
        <f>AND($M2001=EUconst_Relevant,U2006&lt;=CNTR_ReportingYear,IF($J2004&lt;&gt;EUconst_NA,U2006&gt;=YEAR($J2004),TRUE))</f>
        <v>0</v>
      </c>
      <c r="V2007" s="1256" t="b">
        <f>AND($M2001=EUconst_Relevant,V2006&lt;=CNTR_ReportingYear,IF($J2004&lt;&gt;EUconst_NA,V2006&gt;=YEAR($J2004),TRUE))</f>
        <v>0</v>
      </c>
    </row>
    <row r="2008" spans="1:22" s="364" customFormat="1" ht="5.15" customHeight="1" thickBot="1" x14ac:dyDescent="0.3">
      <c r="A2008" s="729"/>
      <c r="B2008" s="302"/>
      <c r="C2008" s="302"/>
      <c r="D2008" s="302"/>
      <c r="F2008" s="302"/>
      <c r="G2008" s="302"/>
      <c r="H2008" s="302"/>
      <c r="I2008" s="1746"/>
      <c r="J2008" s="302"/>
      <c r="K2008" s="302"/>
      <c r="L2008" s="302"/>
      <c r="M2008" s="302"/>
      <c r="N2008" s="302"/>
      <c r="O2008" s="698"/>
      <c r="P2008" s="729"/>
      <c r="Q2008" s="729"/>
      <c r="R2008" s="729"/>
      <c r="S2008" s="729"/>
      <c r="T2008" s="770"/>
      <c r="U2008" s="343"/>
      <c r="V2008" s="343"/>
    </row>
    <row r="2009" spans="1:22" s="364" customFormat="1" ht="5.15" customHeight="1" x14ac:dyDescent="0.3">
      <c r="A2009" s="729"/>
      <c r="B2009" s="302"/>
      <c r="C2009" s="357"/>
      <c r="D2009" s="1695"/>
      <c r="E2009" s="1696"/>
      <c r="F2009" s="1696"/>
      <c r="G2009" s="1696"/>
      <c r="H2009" s="1696"/>
      <c r="I2009" s="1696"/>
      <c r="J2009" s="1696"/>
      <c r="K2009" s="1696"/>
      <c r="L2009" s="1696"/>
      <c r="M2009" s="1696"/>
      <c r="N2009" s="1697"/>
      <c r="O2009" s="698"/>
      <c r="P2009" s="729"/>
      <c r="Q2009" s="729"/>
      <c r="R2009" s="729"/>
      <c r="S2009" s="729"/>
      <c r="T2009" s="729"/>
      <c r="U2009" s="343"/>
      <c r="V2009" s="343"/>
    </row>
    <row r="2010" spans="1:22" s="364" customFormat="1" ht="12.75" customHeight="1" x14ac:dyDescent="0.3">
      <c r="A2010" s="729"/>
      <c r="B2010" s="302"/>
      <c r="C2010" s="357"/>
      <c r="D2010" s="1698"/>
      <c r="E2010" s="389" t="str">
        <f>Translations!$B$1372</f>
        <v>Приложимост на пълзящата средна стойност</v>
      </c>
      <c r="F2010" s="498"/>
      <c r="G2010" s="498"/>
      <c r="H2010" s="527" t="str">
        <f>EUconst_Unit</f>
        <v>Единица мярка</v>
      </c>
      <c r="I2010" s="1699"/>
      <c r="J2010" s="1523">
        <f>J$2505</f>
        <v>2026</v>
      </c>
      <c r="K2010" s="387">
        <f>K$2505</f>
        <v>2027</v>
      </c>
      <c r="L2010" s="387">
        <f>L$2505</f>
        <v>2028</v>
      </c>
      <c r="M2010" s="387">
        <f>M$2505</f>
        <v>2029</v>
      </c>
      <c r="N2010" s="1544">
        <f>N$2505</f>
        <v>2030</v>
      </c>
      <c r="O2010" s="698"/>
      <c r="P2010" s="729"/>
      <c r="Q2010" s="729"/>
      <c r="R2010" s="729"/>
      <c r="S2010" s="729"/>
      <c r="T2010" s="729"/>
      <c r="U2010" s="343"/>
      <c r="V2010" s="343"/>
    </row>
    <row r="2011" spans="1:22" s="364" customFormat="1" ht="12.75" customHeight="1" x14ac:dyDescent="0.3">
      <c r="A2011" s="729"/>
      <c r="B2011" s="302"/>
      <c r="C2011" s="357"/>
      <c r="D2011" s="1698"/>
      <c r="E2011" s="1700" t="str">
        <f>Translations!$B$1364</f>
        <v>Критерий 1: В експлоатация &gt; 2 години?</v>
      </c>
      <c r="F2011" s="1701"/>
      <c r="G2011" s="1701"/>
      <c r="H2011" s="1702" t="s">
        <v>1052</v>
      </c>
      <c r="I2011" s="1701"/>
      <c r="J2011" s="1703" t="str">
        <f>IF(R2007,INDEX('G_Fall-back'!V:V,MATCH($P2011,'G_Fall-back'!$Q:$Q,0))&gt;=3,"")</f>
        <v/>
      </c>
      <c r="K2011" s="1704" t="str">
        <f>IF(S2007,INDEX('G_Fall-back'!W:W,MATCH($P2011,'G_Fall-back'!$Q:$Q,0))&gt;=3,"")</f>
        <v/>
      </c>
      <c r="L2011" s="1704" t="str">
        <f>IF(T2007,INDEX('G_Fall-back'!X:X,MATCH($P2011,'G_Fall-back'!$Q:$Q,0))&gt;=3,"")</f>
        <v/>
      </c>
      <c r="M2011" s="1704" t="str">
        <f>IF(U2007,INDEX('G_Fall-back'!Y:Y,MATCH($P2011,'G_Fall-back'!$Q:$Q,0))&gt;=3,"")</f>
        <v/>
      </c>
      <c r="N2011" s="1705" t="str">
        <f>IF(V2007,INDEX('G_Fall-back'!Z:Z,MATCH($P2011,'G_Fall-back'!$Q:$Q,0))&gt;=3,"")</f>
        <v/>
      </c>
      <c r="O2011" s="698"/>
      <c r="P2011" s="1190" t="str">
        <f>EUconst_CNTR_HALinitial&amp;I2001</f>
        <v>HALini_Подинсталация на топлофикационна мрежа</v>
      </c>
      <c r="Q2011" s="729"/>
      <c r="R2011" s="729"/>
      <c r="S2011" s="729"/>
      <c r="T2011" s="729"/>
      <c r="U2011" s="343"/>
      <c r="V2011" s="343"/>
    </row>
    <row r="2012" spans="1:22" s="364" customFormat="1" ht="12.75" customHeight="1" x14ac:dyDescent="0.3">
      <c r="A2012" s="729"/>
      <c r="B2012" s="302"/>
      <c r="C2012" s="357"/>
      <c r="D2012" s="1698"/>
      <c r="E2012" s="1706" t="str">
        <f>Translations!$B$1366</f>
        <v>Критерий 2: Не е спряна от експлоатация през предходната година?</v>
      </c>
      <c r="F2012" s="1707"/>
      <c r="G2012" s="1707"/>
      <c r="H2012" s="1708" t="s">
        <v>1052</v>
      </c>
      <c r="I2012" s="1707"/>
      <c r="J2012" s="1709" t="str">
        <f>IF(R2007,IF($K2004="",2050,YEAR($K2004))&lt;&gt;(J2010-1),"")</f>
        <v/>
      </c>
      <c r="K2012" s="1710" t="str">
        <f>IF(S2007,IF($K2004="",2050,YEAR($K2004))&lt;&gt;(K2010-1),"")</f>
        <v/>
      </c>
      <c r="L2012" s="1710" t="str">
        <f>IF(T2007,IF($K2004="",2050,YEAR($K2004))&lt;&gt;(L2010-1),"")</f>
        <v/>
      </c>
      <c r="M2012" s="1710" t="str">
        <f>IF(U2007,IF($K2004="",2050,YEAR($K2004))&lt;&gt;(M2010-1),"")</f>
        <v/>
      </c>
      <c r="N2012" s="1711" t="str">
        <f>IF(V2007,IF($K2004="",2050,YEAR($K2004))&lt;&gt;(N2010-1),"")</f>
        <v/>
      </c>
      <c r="O2012" s="698"/>
      <c r="P2012" s="729"/>
      <c r="Q2012" s="729"/>
      <c r="R2012" s="729"/>
      <c r="S2012" s="729"/>
      <c r="T2012" s="729"/>
      <c r="U2012" s="343"/>
      <c r="V2012" s="343"/>
    </row>
    <row r="2013" spans="1:22" s="364" customFormat="1" ht="5.15" customHeight="1" x14ac:dyDescent="0.3">
      <c r="A2013" s="729"/>
      <c r="B2013" s="302"/>
      <c r="C2013" s="357"/>
      <c r="D2013" s="1698"/>
      <c r="E2013" s="357"/>
      <c r="F2013" s="357"/>
      <c r="G2013" s="357"/>
      <c r="H2013" s="357"/>
      <c r="I2013" s="357"/>
      <c r="J2013" s="357"/>
      <c r="K2013" s="357"/>
      <c r="L2013" s="357"/>
      <c r="M2013" s="357"/>
      <c r="N2013" s="1712"/>
      <c r="O2013" s="698"/>
      <c r="P2013" s="729"/>
      <c r="Q2013" s="729"/>
      <c r="R2013" s="729"/>
      <c r="S2013" s="729"/>
      <c r="T2013" s="729"/>
      <c r="U2013" s="343"/>
      <c r="V2013" s="343"/>
    </row>
    <row r="2014" spans="1:22" s="364" customFormat="1" ht="12.75" customHeight="1" x14ac:dyDescent="0.3">
      <c r="A2014" s="729"/>
      <c r="B2014" s="302"/>
      <c r="C2014" s="357"/>
      <c r="D2014" s="1698"/>
      <c r="E2014" s="313" t="str">
        <f>Translations!$B$1373</f>
        <v>Промени: Няма промяна (базова стойност)</v>
      </c>
      <c r="F2014" s="302"/>
      <c r="G2014" s="302"/>
      <c r="H2014" s="527" t="str">
        <f>EUconst_Unit</f>
        <v>Единица мярка</v>
      </c>
      <c r="I2014" s="1699"/>
      <c r="J2014" s="757">
        <f>J$2505</f>
        <v>2026</v>
      </c>
      <c r="K2014" s="391">
        <f>K$2505</f>
        <v>2027</v>
      </c>
      <c r="L2014" s="391">
        <f>L$2505</f>
        <v>2028</v>
      </c>
      <c r="M2014" s="391">
        <f>M$2505</f>
        <v>2029</v>
      </c>
      <c r="N2014" s="1713">
        <f>N$2505</f>
        <v>2030</v>
      </c>
      <c r="O2014" s="698"/>
      <c r="P2014" s="729"/>
      <c r="Q2014" s="729"/>
      <c r="R2014" s="729"/>
      <c r="S2014" s="729"/>
      <c r="T2014" s="729"/>
      <c r="U2014" s="343"/>
      <c r="V2014" s="343"/>
    </row>
    <row r="2015" spans="1:22" s="364" customFormat="1" ht="12.75" customHeight="1" x14ac:dyDescent="0.3">
      <c r="A2015" s="729"/>
      <c r="B2015" s="302"/>
      <c r="C2015" s="357"/>
      <c r="D2015" s="1698"/>
      <c r="E2015" s="388" t="str">
        <f>Translations!$B$1579</f>
        <v>Очаквано равнище на дейност</v>
      </c>
      <c r="F2015" s="388"/>
      <c r="G2015" s="388"/>
      <c r="H2015" s="1210" t="str">
        <f>F2007</f>
        <v>TJ</v>
      </c>
      <c r="I2015" s="388"/>
      <c r="J2015" s="1844" t="str">
        <f>IF(T2039&gt;=$H$2505,S2038,I2038)</f>
        <v/>
      </c>
      <c r="K2015" s="1846" t="str">
        <f>J2038</f>
        <v/>
      </c>
      <c r="L2015" s="1846" t="str">
        <f>K2038</f>
        <v/>
      </c>
      <c r="M2015" s="1846" t="str">
        <f>L2038</f>
        <v/>
      </c>
      <c r="N2015" s="1847" t="str">
        <f>M2038</f>
        <v/>
      </c>
      <c r="O2015" s="698"/>
      <c r="P2015" s="729"/>
      <c r="Q2015" s="729"/>
      <c r="R2015" s="729"/>
      <c r="S2015" s="729"/>
      <c r="T2015" s="729"/>
      <c r="U2015" s="343"/>
      <c r="V2015" s="343"/>
    </row>
    <row r="2016" spans="1:22" s="364" customFormat="1" ht="12.75" customHeight="1" x14ac:dyDescent="0.3">
      <c r="A2016" s="729"/>
      <c r="B2016" s="302"/>
      <c r="C2016" s="357"/>
      <c r="D2016" s="1698"/>
      <c r="E2016" s="388" t="str">
        <f>Translations!$B$1374</f>
        <v>Стойност на предварително разпределяне</v>
      </c>
      <c r="F2016" s="388"/>
      <c r="G2016" s="388"/>
      <c r="H2016" s="421" t="str">
        <f>EUconst_EUA</f>
        <v>Квота за емисии</v>
      </c>
      <c r="I2016" s="1728"/>
      <c r="J2016" s="1694" t="str">
        <f>IF($M2001&lt;&gt;EUconst_Relevant,"",MAX(0,ROUND((SUM($M2004)*SUM(J2015))*IF($H2004=TRUE,1,IF($L2004=4,J$2413,J$2412))*IF($I2004=TRUE,INDEX(EUconst_CBAMFactor,J2014-2020),1)*IF($L2004&gt;=8,J$2415/0.97,1),0)))</f>
        <v/>
      </c>
      <c r="K2016" s="406" t="str">
        <f>IF($M2001&lt;&gt;EUconst_Relevant,"",MAX(0,ROUND((SUM($M2004)*SUM(K2015))*IF($H2004=TRUE,1,IF($L2004=4,K$2413,K$2412))*IF($I2004=TRUE,INDEX(EUconst_CBAMFactor,K2014-2020),1)*IF($L2004&gt;=8,K$2415/0.97,1),0)))</f>
        <v/>
      </c>
      <c r="L2016" s="406" t="str">
        <f>IF($M2001&lt;&gt;EUconst_Relevant,"",MAX(0,ROUND((SUM($M2004)*SUM(L2015))*IF($H2004=TRUE,1,IF($L2004=4,L$2413,L$2412))*IF($I2004=TRUE,INDEX(EUconst_CBAMFactor,L2014-2020),1)*IF($L2004&gt;=8,L$2415/0.97,1),0)))</f>
        <v/>
      </c>
      <c r="M2016" s="406" t="str">
        <f>IF($M2001&lt;&gt;EUconst_Relevant,"",MAX(0,ROUND((SUM($M2004)*SUM(M2015))*IF($H2004=TRUE,1,IF($L2004=4,M$2413,M$2412))*IF($I2004=TRUE,INDEX(EUconst_CBAMFactor,M2014-2020),1)*IF($L2004&gt;=8,M$2415/0.97,1),0)))</f>
        <v/>
      </c>
      <c r="N2016" s="1729" t="str">
        <f>IF($M2001&lt;&gt;EUconst_Relevant,"",MAX(0,ROUND((SUM($M2004)*SUM(N2015))*IF($H2004=TRUE,1,IF($L2004=4,N$2413,N$2412))*IF($I2004=TRUE,INDEX(EUconst_CBAMFactor,N2014-2020),1)*IF($L2004&gt;=8,N$2415/0.97,1),0)))</f>
        <v/>
      </c>
      <c r="O2016" s="698"/>
      <c r="P2016" s="729"/>
      <c r="Q2016" s="729"/>
      <c r="R2016" s="729"/>
      <c r="S2016" s="729"/>
      <c r="T2016" s="729"/>
      <c r="U2016" s="343"/>
      <c r="V2016" s="343"/>
    </row>
    <row r="2017" spans="1:22" s="364" customFormat="1" ht="5.15" customHeight="1" x14ac:dyDescent="0.3">
      <c r="A2017" s="729"/>
      <c r="B2017" s="302"/>
      <c r="C2017" s="357"/>
      <c r="D2017" s="1698"/>
      <c r="E2017" s="357"/>
      <c r="F2017" s="357"/>
      <c r="G2017" s="357"/>
      <c r="H2017" s="357"/>
      <c r="I2017" s="357"/>
      <c r="J2017" s="357"/>
      <c r="K2017" s="357"/>
      <c r="L2017" s="357"/>
      <c r="M2017" s="357"/>
      <c r="N2017" s="1712"/>
      <c r="O2017" s="698"/>
      <c r="P2017" s="729"/>
      <c r="Q2017" s="729"/>
      <c r="R2017" s="729"/>
      <c r="S2017" s="729"/>
      <c r="T2017" s="729"/>
      <c r="U2017" s="343"/>
      <c r="V2017" s="343"/>
    </row>
    <row r="2018" spans="1:22" s="364" customFormat="1" ht="12.75" customHeight="1" x14ac:dyDescent="0.3">
      <c r="A2018" s="729"/>
      <c r="B2018" s="302"/>
      <c r="C2018" s="357"/>
      <c r="D2018" s="1698"/>
      <c r="E2018" s="389" t="str">
        <f>Translations!$B$1375</f>
        <v>Промени: Равнище на дейност</v>
      </c>
      <c r="F2018" s="498"/>
      <c r="G2018" s="498"/>
      <c r="H2018" s="527" t="str">
        <f>EUconst_Unit</f>
        <v>Единица мярка</v>
      </c>
      <c r="I2018" s="1699"/>
      <c r="J2018" s="1523">
        <f>J$2505</f>
        <v>2026</v>
      </c>
      <c r="K2018" s="387">
        <f>K$2505</f>
        <v>2027</v>
      </c>
      <c r="L2018" s="387">
        <f>L$2505</f>
        <v>2028</v>
      </c>
      <c r="M2018" s="387">
        <f>M$2505</f>
        <v>2029</v>
      </c>
      <c r="N2018" s="1544">
        <f>N$2505</f>
        <v>2030</v>
      </c>
      <c r="O2018" s="698"/>
      <c r="P2018" s="729"/>
      <c r="Q2018" s="729"/>
      <c r="R2018" s="729"/>
      <c r="S2018" s="729"/>
      <c r="T2018" s="729"/>
      <c r="U2018" s="343"/>
      <c r="V2018" s="343"/>
    </row>
    <row r="2019" spans="1:22" s="364" customFormat="1" ht="12.75" customHeight="1" x14ac:dyDescent="0.3">
      <c r="A2019" s="729"/>
      <c r="B2019" s="302"/>
      <c r="C2019" s="357"/>
      <c r="D2019" s="1698"/>
      <c r="E2019" s="392" t="str">
        <f>Translations!$B$1328</f>
        <v>Средна годишна стойност</v>
      </c>
      <c r="F2019" s="392"/>
      <c r="G2019" s="392"/>
      <c r="H2019" s="1730" t="str">
        <f>H2015</f>
        <v>TJ</v>
      </c>
      <c r="I2019" s="1731"/>
      <c r="J2019" s="1848" t="str">
        <f>INDEX('G_Fall-back'!J:J,MATCH($P2019,'G_Fall-back'!$Q:$Q,0))</f>
        <v/>
      </c>
      <c r="K2019" s="1849" t="str">
        <f>INDEX('G_Fall-back'!K:K,MATCH($P2019,'G_Fall-back'!$Q:$Q,0))</f>
        <v/>
      </c>
      <c r="L2019" s="1849" t="str">
        <f>INDEX('G_Fall-back'!L:L,MATCH($P2019,'G_Fall-back'!$Q:$Q,0))</f>
        <v/>
      </c>
      <c r="M2019" s="1849" t="str">
        <f>INDEX('G_Fall-back'!M:M,MATCH($P2019,'G_Fall-back'!$Q:$Q,0))</f>
        <v/>
      </c>
      <c r="N2019" s="1850" t="str">
        <f>INDEX('G_Fall-back'!N:N,MATCH($P2019,'G_Fall-back'!$Q:$Q,0))</f>
        <v/>
      </c>
      <c r="O2019" s="698"/>
      <c r="P2019" s="1190" t="str">
        <f>EUconst_CNTR_HALinitial&amp;I2001</f>
        <v>HALini_Подинсталация на топлофикационна мрежа</v>
      </c>
      <c r="Q2019" s="729"/>
      <c r="R2019" s="729"/>
      <c r="S2019" s="729"/>
      <c r="T2019" s="729"/>
      <c r="U2019" s="343"/>
      <c r="V2019" s="343"/>
    </row>
    <row r="2020" spans="1:22" s="364" customFormat="1" ht="12.75" customHeight="1" x14ac:dyDescent="0.3">
      <c r="A2020" s="729"/>
      <c r="B2020" s="302"/>
      <c r="C2020" s="357"/>
      <c r="D2020" s="1698"/>
      <c r="E2020" s="398" t="str">
        <f>Translations!$B$1376</f>
        <v>Промяна в сравнение с HAL</v>
      </c>
      <c r="F2020" s="398"/>
      <c r="G2020" s="398"/>
      <c r="H2020" s="1751" t="s">
        <v>1052</v>
      </c>
      <c r="I2020" s="1735"/>
      <c r="J2020" s="159" t="str">
        <f>INDEX('G_Fall-back'!J:J,MATCH($P2020,'G_Fall-back'!$Q:$Q,0))</f>
        <v/>
      </c>
      <c r="K2020" s="160" t="str">
        <f>INDEX('G_Fall-back'!K:K,MATCH($P2020,'G_Fall-back'!$Q:$Q,0))</f>
        <v/>
      </c>
      <c r="L2020" s="160" t="str">
        <f>INDEX('G_Fall-back'!L:L,MATCH($P2020,'G_Fall-back'!$Q:$Q,0))</f>
        <v/>
      </c>
      <c r="M2020" s="160" t="str">
        <f>INDEX('G_Fall-back'!M:M,MATCH($P2020,'G_Fall-back'!$Q:$Q,0))</f>
        <v/>
      </c>
      <c r="N2020" s="161" t="str">
        <f>INDEX('G_Fall-back'!N:N,MATCH($P2020,'G_Fall-back'!$Q:$Q,0))</f>
        <v/>
      </c>
      <c r="O2020" s="698"/>
      <c r="P2020" s="1190" t="str">
        <f>EUconst_CNTR_RelThreshold &amp; I2001</f>
        <v>RelThresh_Подинсталация на топлофикационна мрежа</v>
      </c>
      <c r="Q2020" s="729"/>
      <c r="R2020" s="729"/>
      <c r="S2020" s="729"/>
      <c r="T2020" s="729"/>
      <c r="U2020" s="343"/>
      <c r="V2020" s="343"/>
    </row>
    <row r="2021" spans="1:22" s="364" customFormat="1" ht="12.75" customHeight="1" x14ac:dyDescent="0.3">
      <c r="A2021" s="729"/>
      <c r="B2021" s="302"/>
      <c r="C2021" s="357"/>
      <c r="D2021" s="1698"/>
      <c r="E2021" s="1851" t="str">
        <f>Translations!$B$1590</f>
        <v>Критерий 3a: Надвишен ли е относителният праг?</v>
      </c>
      <c r="F2021" s="1851"/>
      <c r="G2021" s="1851"/>
      <c r="H2021" s="1852" t="s">
        <v>1052</v>
      </c>
      <c r="I2021" s="1852"/>
      <c r="J2021" s="1853" t="str">
        <f>INDEX('G_Fall-back'!V:V,MATCH($P2021,'G_Fall-back'!$Q:$Q,0)+1)</f>
        <v/>
      </c>
      <c r="K2021" s="1854" t="str">
        <f>INDEX('G_Fall-back'!W:W,MATCH($P2021,'G_Fall-back'!$Q:$Q,0)+1)</f>
        <v/>
      </c>
      <c r="L2021" s="1854" t="str">
        <f>INDEX('G_Fall-back'!X:X,MATCH($P2021,'G_Fall-back'!$Q:$Q,0)+1)</f>
        <v/>
      </c>
      <c r="M2021" s="1854" t="str">
        <f>INDEX('G_Fall-back'!Y:Y,MATCH($P2021,'G_Fall-back'!$Q:$Q,0)+1)</f>
        <v/>
      </c>
      <c r="N2021" s="1855" t="str">
        <f>INDEX('G_Fall-back'!Z:Z,MATCH($P2021,'G_Fall-back'!$Q:$Q,0)+1)</f>
        <v/>
      </c>
      <c r="O2021" s="698"/>
      <c r="P2021" s="1190" t="str">
        <f>P2020</f>
        <v>RelThresh_Подинсталация на топлофикационна мрежа</v>
      </c>
      <c r="Q2021" s="729"/>
      <c r="R2021" s="729"/>
      <c r="S2021" s="729"/>
      <c r="T2021" s="729"/>
      <c r="U2021" s="343"/>
      <c r="V2021" s="343"/>
    </row>
    <row r="2022" spans="1:22" s="364" customFormat="1" ht="12.75" customHeight="1" x14ac:dyDescent="0.3">
      <c r="A2022" s="729"/>
      <c r="B2022" s="302"/>
      <c r="C2022" s="357"/>
      <c r="D2022" s="1698"/>
      <c r="E2022" s="392" t="str">
        <f>Translations!$B$1579</f>
        <v>Очаквано равнище на дейност</v>
      </c>
      <c r="F2022" s="392"/>
      <c r="G2022" s="392"/>
      <c r="H2022" s="1730" t="str">
        <f>F2007</f>
        <v>TJ</v>
      </c>
      <c r="I2022" s="392"/>
      <c r="J2022" s="1848" t="str">
        <f>INDEX('G_Fall-back'!J:J,MATCH($P2022,'G_Fall-back'!$Q:$Q,0))</f>
        <v/>
      </c>
      <c r="K2022" s="1849" t="str">
        <f>INDEX('G_Fall-back'!K:K,MATCH($P2022,'G_Fall-back'!$Q:$Q,0))</f>
        <v/>
      </c>
      <c r="L2022" s="1849" t="str">
        <f>INDEX('G_Fall-back'!L:L,MATCH($P2022,'G_Fall-back'!$Q:$Q,0))</f>
        <v/>
      </c>
      <c r="M2022" s="1849" t="str">
        <f>INDEX('G_Fall-back'!M:M,MATCH($P2022,'G_Fall-back'!$Q:$Q,0))</f>
        <v/>
      </c>
      <c r="N2022" s="1850" t="str">
        <f>INDEX('G_Fall-back'!N:N,MATCH($P2022,'G_Fall-back'!$Q:$Q,0))</f>
        <v/>
      </c>
      <c r="O2022" s="698"/>
      <c r="P2022" s="1190" t="str">
        <f>EUconst_CNTR_HALprelim&amp;I2001</f>
        <v>HALprelim_Подинсталация на топлофикационна мрежа</v>
      </c>
      <c r="Q2022" s="729"/>
      <c r="R2022" s="729"/>
      <c r="S2022" s="729"/>
      <c r="T2022" s="729"/>
      <c r="U2022" s="343"/>
      <c r="V2022" s="343"/>
    </row>
    <row r="2023" spans="1:22" s="364" customFormat="1" ht="12.75" customHeight="1" x14ac:dyDescent="0.3">
      <c r="A2023" s="729"/>
      <c r="B2023" s="302"/>
      <c r="C2023" s="357"/>
      <c r="D2023" s="1698"/>
      <c r="E2023" s="398" t="str">
        <f>Translations!$B$1591</f>
        <v>Промяна в сравнение с HAL (очаквана)</v>
      </c>
      <c r="F2023" s="398"/>
      <c r="G2023" s="398"/>
      <c r="H2023" s="516" t="s">
        <v>1052</v>
      </c>
      <c r="I2023" s="1720"/>
      <c r="J2023" s="159" t="str">
        <f>INDEX('G_Fall-back'!J:J,MATCH($P2023,'G_Fall-back'!$Q:$Q,0))</f>
        <v/>
      </c>
      <c r="K2023" s="160" t="str">
        <f>INDEX('G_Fall-back'!K:K,MATCH($P2023,'G_Fall-back'!$Q:$Q,0))</f>
        <v/>
      </c>
      <c r="L2023" s="160" t="str">
        <f>INDEX('G_Fall-back'!L:L,MATCH($P2023,'G_Fall-back'!$Q:$Q,0))</f>
        <v/>
      </c>
      <c r="M2023" s="160" t="str">
        <f>INDEX('G_Fall-back'!M:M,MATCH($P2023,'G_Fall-back'!$Q:$Q,0))</f>
        <v/>
      </c>
      <c r="N2023" s="161" t="str">
        <f>INDEX('G_Fall-back'!N:N,MATCH($P2023,'G_Fall-back'!$Q:$Q,0))</f>
        <v/>
      </c>
      <c r="O2023" s="698"/>
      <c r="P2023" s="1190" t="str">
        <f>EUconst_CNTR_EnEffPct&amp;I2001</f>
        <v>EnEffPct_Подинсталация на топлофикационна мрежа</v>
      </c>
      <c r="Q2023" s="729"/>
      <c r="R2023" s="729"/>
      <c r="S2023" s="729"/>
      <c r="T2023" s="729"/>
      <c r="U2023" s="343"/>
      <c r="V2023" s="343"/>
    </row>
    <row r="2024" spans="1:22" s="364" customFormat="1" ht="12.75" customHeight="1" x14ac:dyDescent="0.3">
      <c r="A2024" s="729"/>
      <c r="B2024" s="302"/>
      <c r="C2024" s="357"/>
      <c r="D2024" s="1698"/>
      <c r="E2024" s="1706" t="str">
        <f>Translations!$B$1379</f>
        <v>Критерий 3б: Надвишени ли са относителните прагове?</v>
      </c>
      <c r="F2024" s="1706"/>
      <c r="G2024" s="1706"/>
      <c r="H2024" s="1856" t="s">
        <v>1052</v>
      </c>
      <c r="I2024" s="1857"/>
      <c r="J2024" s="1709" t="str">
        <f>INDEX('G_Fall-back'!V:V,MATCH($P2024,'G_Fall-back'!$Q:$Q,0)+1)</f>
        <v/>
      </c>
      <c r="K2024" s="1710" t="str">
        <f>INDEX('G_Fall-back'!W:W,MATCH($P2024,'G_Fall-back'!$Q:$Q,0)+1)</f>
        <v/>
      </c>
      <c r="L2024" s="1710" t="str">
        <f>INDEX('G_Fall-back'!X:X,MATCH($P2024,'G_Fall-back'!$Q:$Q,0)+1)</f>
        <v/>
      </c>
      <c r="M2024" s="1710" t="str">
        <f>INDEX('G_Fall-back'!Y:Y,MATCH($P2024,'G_Fall-back'!$Q:$Q,0)+1)</f>
        <v/>
      </c>
      <c r="N2024" s="1711" t="str">
        <f>INDEX('G_Fall-back'!Z:Z,MATCH($P2024,'G_Fall-back'!$Q:$Q,0)+1)</f>
        <v/>
      </c>
      <c r="O2024" s="698"/>
      <c r="P2024" s="1190" t="str">
        <f>EUconst_CNTR_EnEffPct&amp;I2001</f>
        <v>EnEffPct_Подинсталация на топлофикационна мрежа</v>
      </c>
      <c r="Q2024" s="729"/>
      <c r="R2024" s="729"/>
      <c r="S2024" s="729"/>
      <c r="T2024" s="729"/>
      <c r="U2024" s="343"/>
      <c r="V2024" s="343"/>
    </row>
    <row r="2025" spans="1:22" s="364" customFormat="1" ht="13" x14ac:dyDescent="0.25">
      <c r="A2025" s="729"/>
      <c r="B2025" s="302"/>
      <c r="C2025" s="302"/>
      <c r="D2025" s="344"/>
      <c r="E2025" s="498" t="str">
        <f>Translations!$B$1389</f>
        <v>Действителна корекция на равнището на дейност</v>
      </c>
      <c r="F2025" s="498"/>
      <c r="G2025" s="498"/>
      <c r="H2025" s="1858" t="s">
        <v>1052</v>
      </c>
      <c r="I2025" s="1859"/>
      <c r="J2025" s="225" t="str">
        <f>INDEX('G_Fall-back'!J:J,MATCH($P2025,'G_Fall-back'!$Q:$Q,0))</f>
        <v/>
      </c>
      <c r="K2025" s="226" t="str">
        <f>INDEX('G_Fall-back'!K:K,MATCH($P2025,'G_Fall-back'!$Q:$Q,0))</f>
        <v/>
      </c>
      <c r="L2025" s="226" t="str">
        <f>INDEX('G_Fall-back'!L:L,MATCH($P2025,'G_Fall-back'!$Q:$Q,0))</f>
        <v/>
      </c>
      <c r="M2025" s="226" t="str">
        <f>INDEX('G_Fall-back'!M:M,MATCH($P2025,'G_Fall-back'!$Q:$Q,0))</f>
        <v/>
      </c>
      <c r="N2025" s="227" t="str">
        <f>INDEX('G_Fall-back'!N:N,MATCH($P2025,'G_Fall-back'!$Q:$Q,0))</f>
        <v/>
      </c>
      <c r="O2025" s="698"/>
      <c r="P2025" s="1190" t="str">
        <f>EUconst_CNTR_HALAdjPct&amp;I2001</f>
        <v>HALAdjPct_Подинсталация на топлофикационна мрежа</v>
      </c>
      <c r="Q2025" s="729"/>
      <c r="R2025" s="729"/>
      <c r="S2025" s="729"/>
      <c r="T2025" s="770"/>
      <c r="U2025" s="343"/>
      <c r="V2025" s="343"/>
    </row>
    <row r="2026" spans="1:22" s="364" customFormat="1" ht="5.15" customHeight="1" thickBot="1" x14ac:dyDescent="0.3">
      <c r="A2026" s="729"/>
      <c r="B2026" s="302"/>
      <c r="C2026" s="302"/>
      <c r="D2026" s="1801"/>
      <c r="E2026" s="1762"/>
      <c r="F2026" s="1762"/>
      <c r="G2026" s="1762"/>
      <c r="H2026" s="1762"/>
      <c r="I2026" s="1860"/>
      <c r="J2026" s="1762"/>
      <c r="K2026" s="1762"/>
      <c r="L2026" s="1762"/>
      <c r="M2026" s="1762"/>
      <c r="N2026" s="1764"/>
      <c r="O2026" s="698"/>
      <c r="P2026" s="729"/>
      <c r="Q2026" s="729"/>
      <c r="R2026" s="729"/>
      <c r="S2026" s="729"/>
      <c r="T2026" s="770"/>
      <c r="U2026" s="343"/>
      <c r="V2026" s="343"/>
    </row>
    <row r="2027" spans="1:22" s="364" customFormat="1" ht="5.15" customHeight="1" thickBot="1" x14ac:dyDescent="0.3">
      <c r="A2027" s="729"/>
      <c r="B2027" s="302"/>
      <c r="C2027" s="302"/>
      <c r="D2027" s="302"/>
      <c r="E2027" s="302"/>
      <c r="F2027" s="302"/>
      <c r="G2027" s="302"/>
      <c r="H2027" s="302"/>
      <c r="I2027" s="1861"/>
      <c r="J2027" s="302"/>
      <c r="K2027" s="302"/>
      <c r="L2027" s="302"/>
      <c r="M2027" s="302"/>
      <c r="N2027" s="302"/>
      <c r="O2027" s="698"/>
      <c r="P2027" s="729"/>
      <c r="Q2027" s="729"/>
      <c r="R2027" s="729"/>
      <c r="S2027" s="729"/>
      <c r="T2027" s="770"/>
      <c r="U2027" s="343"/>
      <c r="V2027" s="343"/>
    </row>
    <row r="2028" spans="1:22" s="364" customFormat="1" ht="5.15" customHeight="1" x14ac:dyDescent="0.25">
      <c r="A2028" s="729"/>
      <c r="B2028" s="302"/>
      <c r="C2028" s="302"/>
      <c r="D2028" s="1765"/>
      <c r="E2028" s="1766"/>
      <c r="F2028" s="1766"/>
      <c r="G2028" s="1766"/>
      <c r="H2028" s="1766"/>
      <c r="I2028" s="1767"/>
      <c r="J2028" s="1766"/>
      <c r="K2028" s="1766"/>
      <c r="L2028" s="1766"/>
      <c r="M2028" s="1766"/>
      <c r="N2028" s="1768"/>
      <c r="O2028" s="698"/>
      <c r="P2028" s="729"/>
      <c r="Q2028" s="729"/>
      <c r="R2028" s="729"/>
      <c r="S2028" s="729"/>
      <c r="T2028" s="729"/>
      <c r="U2028" s="729"/>
      <c r="V2028" s="729"/>
    </row>
    <row r="2029" spans="1:22" s="364" customFormat="1" ht="13" x14ac:dyDescent="0.25">
      <c r="A2029" s="729"/>
      <c r="B2029" s="302"/>
      <c r="C2029" s="302"/>
      <c r="D2029" s="344"/>
      <c r="E2029" s="1769" t="str">
        <f>Translations!$B$1583</f>
        <v>Предварителни стойности за критерий &gt; 300 EUA</v>
      </c>
      <c r="F2029" s="1746"/>
      <c r="G2029" s="1746"/>
      <c r="H2029" s="1699" t="str">
        <f>EUconst_Unit</f>
        <v>Единица мярка</v>
      </c>
      <c r="I2029" s="1862" t="str">
        <f>Translations!$B$1341</f>
        <v>Базова стойност</v>
      </c>
      <c r="J2029" s="1771">
        <f>J$2505</f>
        <v>2026</v>
      </c>
      <c r="K2029" s="1772">
        <f>K$2505</f>
        <v>2027</v>
      </c>
      <c r="L2029" s="1772">
        <f>L$2505</f>
        <v>2028</v>
      </c>
      <c r="M2029" s="1772">
        <f>M$2505</f>
        <v>2029</v>
      </c>
      <c r="N2029" s="1773">
        <f>N$2505</f>
        <v>2030</v>
      </c>
      <c r="O2029" s="698"/>
      <c r="P2029" s="729"/>
      <c r="Q2029" s="729"/>
      <c r="R2029" s="729"/>
      <c r="S2029" s="729"/>
      <c r="T2029" s="729"/>
      <c r="U2029" s="729"/>
      <c r="V2029" s="729"/>
    </row>
    <row r="2030" spans="1:22" s="364" customFormat="1" x14ac:dyDescent="0.25">
      <c r="A2030" s="729"/>
      <c r="B2030" s="302"/>
      <c r="C2030" s="302"/>
      <c r="D2030" s="344"/>
      <c r="E2030" s="1789" t="str">
        <f>Translations!$B$1579</f>
        <v>Очаквано равнище на дейност</v>
      </c>
      <c r="F2030" s="1789"/>
      <c r="G2030" s="1789"/>
      <c r="H2030" s="1863" t="str">
        <f>F2007</f>
        <v>TJ</v>
      </c>
      <c r="I2030" s="1864" t="str">
        <f>IF($M2001&lt;&gt;EUconst_Relevant,"",IF(T2039&gt;=$H$2505,0,S2038))</f>
        <v/>
      </c>
      <c r="J2030" s="1864" t="str">
        <f>INDEX('G_Fall-back'!J:J,MATCH($P2030,'G_Fall-back'!$Q:$Q,0))</f>
        <v/>
      </c>
      <c r="K2030" s="1865" t="str">
        <f>INDEX('G_Fall-back'!K:K,MATCH($P2030,'G_Fall-back'!$Q:$Q,0))</f>
        <v/>
      </c>
      <c r="L2030" s="1865" t="str">
        <f>INDEX('G_Fall-back'!L:L,MATCH($P2030,'G_Fall-back'!$Q:$Q,0))</f>
        <v/>
      </c>
      <c r="M2030" s="1865" t="str">
        <f>INDEX('G_Fall-back'!M:M,MATCH($P2030,'G_Fall-back'!$Q:$Q,0))</f>
        <v/>
      </c>
      <c r="N2030" s="1866" t="str">
        <f>INDEX('G_Fall-back'!N:N,MATCH($P2030,'G_Fall-back'!$Q:$Q,0))</f>
        <v/>
      </c>
      <c r="O2030" s="698"/>
      <c r="P2030" s="1190" t="str">
        <f>EUconst_CNTR_HALprelim&amp;I2001</f>
        <v>HALprelim_Подинсталация на топлофикационна мрежа</v>
      </c>
      <c r="Q2030" s="729"/>
      <c r="R2030" s="729"/>
      <c r="S2030" s="729"/>
      <c r="T2030" s="729"/>
      <c r="U2030" s="729"/>
      <c r="V2030" s="729"/>
    </row>
    <row r="2031" spans="1:22" s="364" customFormat="1" x14ac:dyDescent="0.25">
      <c r="A2031" s="729"/>
      <c r="B2031" s="302"/>
      <c r="C2031" s="302"/>
      <c r="D2031" s="344"/>
      <c r="E2031" s="1789" t="str">
        <f>Translations!$B$1374</f>
        <v>Стойност на предварително разпределяне</v>
      </c>
      <c r="F2031" s="1789"/>
      <c r="G2031" s="1789"/>
      <c r="H2031" s="1790" t="str">
        <f>EUconst_EUA</f>
        <v>Квота за емисии</v>
      </c>
      <c r="I2031" s="1867" t="str">
        <f>IF($M2001&lt;&gt;EUconst_Relevant,"",MAX(0,ROUND((SUM($M2004)*SUM(I2038))*IF($H2004=TRUE,1,IF($L2004=4,J$2413,J$2412)),0)))</f>
        <v/>
      </c>
      <c r="J2031" s="1714" t="str">
        <f>IF($M2001&lt;&gt;EUconst_Relevant,"",MAX(0,ROUND((SUM($M2004)*SUM(J2030))*IF($H2004=TRUE,1,IF($L2004=4,J$2413,J$2412))*IF($I2004=TRUE,INDEX(EUconst_CBAMFactor,J2014-2020),1)*IF($L2004&gt;=8,J$2415/0.97,1),0)))</f>
        <v/>
      </c>
      <c r="K2031" s="1693" t="str">
        <f>IF($M2001&lt;&gt;EUconst_Relevant,"",MAX(0,ROUND((SUM($M2004)*SUM(K2030))*IF($H2004=TRUE,1,IF($L2004=4,K$2413,K$2412))*IF($I2004=TRUE,INDEX(EUconst_CBAMFactor,K2014-2020),1)*IF($L2004&gt;=8,K$2415/0.97,1),0)))</f>
        <v/>
      </c>
      <c r="L2031" s="1693" t="str">
        <f>IF($M2001&lt;&gt;EUconst_Relevant,"",MAX(0,ROUND((SUM($M2004)*SUM(L2030))*IF($H2004=TRUE,1,IF($L2004=4,L$2413,L$2412))*IF($I2004=TRUE,INDEX(EUconst_CBAMFactor,L2014-2020),1)*IF($L2004&gt;=8,L$2415/0.97,1),0)))</f>
        <v/>
      </c>
      <c r="M2031" s="1693" t="str">
        <f>IF($M2001&lt;&gt;EUconst_Relevant,"",MAX(0,ROUND((SUM($M2004)*SUM(M2030))*IF($H2004=TRUE,1,IF($L2004=4,M$2413,M$2412))*IF($I2004=TRUE,INDEX(EUconst_CBAMFactor,M2014-2020),1)*IF($L2004&gt;=8,M$2415/0.97,1),0)))</f>
        <v/>
      </c>
      <c r="N2031" s="1715" t="str">
        <f>IF($M2001&lt;&gt;EUconst_Relevant,"",MAX(0,ROUND((SUM($M2004)*SUM(N2030))*IF($H2004=TRUE,1,IF($L2004=4,N$2413,N$2412))*IF($I2004=TRUE,INDEX(EUconst_CBAMFactor,N2014-2020),1)*IF($L2004&gt;=8,N$2415/0.97,1),0)))</f>
        <v/>
      </c>
      <c r="O2031" s="698"/>
      <c r="P2031" s="729"/>
      <c r="Q2031" s="729"/>
      <c r="R2031" s="729"/>
      <c r="S2031" s="729"/>
      <c r="T2031" s="729"/>
      <c r="U2031" s="729"/>
      <c r="V2031" s="729"/>
    </row>
    <row r="2032" spans="1:22" s="364" customFormat="1" x14ac:dyDescent="0.25">
      <c r="A2032" s="729"/>
      <c r="B2032" s="302"/>
      <c r="C2032" s="302"/>
      <c r="D2032" s="344"/>
      <c r="E2032" s="388" t="str">
        <f>Translations!$B$1584</f>
        <v>Разлика в предварителната стойност</v>
      </c>
      <c r="F2032" s="388"/>
      <c r="G2032" s="388"/>
      <c r="H2032" s="421" t="str">
        <f>EUconst_EUA</f>
        <v>Квота за емисии</v>
      </c>
      <c r="I2032" s="1792"/>
      <c r="J2032" s="1793" t="str">
        <f>IF(J2031="","",SUM(J2031)-SUM(J2016))</f>
        <v/>
      </c>
      <c r="K2032" s="998" t="str">
        <f t="shared" ref="K2032:N2032" si="170">IF(K2031="","",SUM(K2031)-SUM(K2016))</f>
        <v/>
      </c>
      <c r="L2032" s="998" t="str">
        <f t="shared" si="170"/>
        <v/>
      </c>
      <c r="M2032" s="998" t="str">
        <f t="shared" si="170"/>
        <v/>
      </c>
      <c r="N2032" s="1794" t="str">
        <f t="shared" si="170"/>
        <v/>
      </c>
      <c r="O2032" s="698"/>
      <c r="P2032" s="1190" t="str">
        <f>EUconst_CNTR_AllocPrelimChange</f>
        <v>AllocPrelimChange_</v>
      </c>
      <c r="Q2032" s="729"/>
      <c r="R2032" s="729"/>
      <c r="S2032" s="729"/>
      <c r="T2032" s="729"/>
      <c r="U2032" s="729"/>
      <c r="V2032" s="729"/>
    </row>
    <row r="2033" spans="1:22" s="364" customFormat="1" x14ac:dyDescent="0.25">
      <c r="A2033" s="729"/>
      <c r="B2033" s="302"/>
      <c r="C2033" s="302"/>
      <c r="D2033" s="344"/>
      <c r="E2033" s="1796" t="str">
        <f>Translations!$B$1581</f>
        <v>Критерий 4: Разлика от поне 300 квоти за емисии?</v>
      </c>
      <c r="F2033" s="1796"/>
      <c r="G2033" s="1796"/>
      <c r="H2033" s="1797" t="s">
        <v>1052</v>
      </c>
      <c r="I2033" s="1792"/>
      <c r="J2033" s="1798" t="str">
        <f>IF(J2032="","",ABS(J2032)&gt;=300)</f>
        <v/>
      </c>
      <c r="K2033" s="1799" t="str">
        <f t="shared" ref="K2033:N2033" si="171">IF(K2032="","",ABS(K2032)&gt;=300)</f>
        <v/>
      </c>
      <c r="L2033" s="1799" t="str">
        <f t="shared" si="171"/>
        <v/>
      </c>
      <c r="M2033" s="1799" t="str">
        <f t="shared" si="171"/>
        <v/>
      </c>
      <c r="N2033" s="1800" t="str">
        <f t="shared" si="171"/>
        <v/>
      </c>
      <c r="O2033" s="698"/>
      <c r="P2033" s="1190" t="str">
        <f>EUconst_CNTR_300EUA&amp;I2001</f>
        <v>EUA300_Подинсталация на топлофикационна мрежа</v>
      </c>
      <c r="Q2033" s="729"/>
      <c r="R2033" s="729"/>
      <c r="S2033" s="729"/>
      <c r="T2033" s="729"/>
      <c r="U2033" s="729"/>
      <c r="V2033" s="729"/>
    </row>
    <row r="2034" spans="1:22" s="364" customFormat="1" ht="5.15" customHeight="1" thickBot="1" x14ac:dyDescent="0.3">
      <c r="A2034" s="729"/>
      <c r="B2034" s="302"/>
      <c r="C2034" s="302"/>
      <c r="D2034" s="1801"/>
      <c r="E2034" s="1762"/>
      <c r="F2034" s="1762"/>
      <c r="G2034" s="1762"/>
      <c r="H2034" s="1762"/>
      <c r="I2034" s="1762"/>
      <c r="J2034" s="1762"/>
      <c r="K2034" s="1762"/>
      <c r="L2034" s="1762"/>
      <c r="M2034" s="1762"/>
      <c r="N2034" s="1764"/>
      <c r="O2034" s="698"/>
      <c r="P2034" s="729"/>
      <c r="Q2034" s="729"/>
      <c r="R2034" s="729"/>
      <c r="S2034" s="729"/>
      <c r="T2034" s="770"/>
      <c r="U2034" s="343"/>
      <c r="V2034" s="343"/>
    </row>
    <row r="2035" spans="1:22" s="364" customFormat="1" ht="5.15" customHeight="1" thickBot="1" x14ac:dyDescent="0.3">
      <c r="A2035" s="729"/>
      <c r="B2035" s="302"/>
      <c r="C2035" s="302"/>
      <c r="D2035" s="302"/>
      <c r="E2035" s="302"/>
      <c r="F2035" s="302"/>
      <c r="G2035" s="302"/>
      <c r="H2035" s="302"/>
      <c r="I2035" s="1861"/>
      <c r="J2035" s="302"/>
      <c r="K2035" s="302"/>
      <c r="L2035" s="302"/>
      <c r="M2035" s="302"/>
      <c r="N2035" s="302"/>
      <c r="O2035" s="698"/>
      <c r="P2035" s="729"/>
      <c r="Q2035" s="729"/>
      <c r="R2035" s="729"/>
      <c r="S2035" s="729"/>
      <c r="T2035" s="770"/>
      <c r="U2035" s="343"/>
      <c r="V2035" s="343"/>
    </row>
    <row r="2036" spans="1:22" s="364" customFormat="1" ht="5.15" customHeight="1" x14ac:dyDescent="0.25">
      <c r="A2036" s="729"/>
      <c r="B2036" s="302"/>
      <c r="C2036" s="302"/>
      <c r="D2036" s="1765"/>
      <c r="E2036" s="1766"/>
      <c r="F2036" s="1766"/>
      <c r="G2036" s="1766"/>
      <c r="H2036" s="1766"/>
      <c r="I2036" s="1767"/>
      <c r="J2036" s="1766"/>
      <c r="K2036" s="1766"/>
      <c r="L2036" s="1766"/>
      <c r="M2036" s="1766"/>
      <c r="N2036" s="1768"/>
      <c r="O2036" s="698"/>
      <c r="P2036" s="729"/>
      <c r="Q2036" s="729"/>
      <c r="R2036" s="729"/>
      <c r="S2036" s="729"/>
      <c r="T2036" s="770"/>
      <c r="U2036" s="343"/>
      <c r="V2036" s="343"/>
    </row>
    <row r="2037" spans="1:22" s="364" customFormat="1" ht="13" x14ac:dyDescent="0.25">
      <c r="A2037" s="729"/>
      <c r="B2037" s="302"/>
      <c r="C2037" s="302"/>
      <c r="D2037" s="344"/>
      <c r="E2037" s="313" t="str">
        <f>Translations!$B$1387</f>
        <v>Използвани действителни стойности</v>
      </c>
      <c r="F2037" s="302"/>
      <c r="G2037" s="302"/>
      <c r="H2037" s="527" t="str">
        <f>EUconst_Unit</f>
        <v>Единица мярка</v>
      </c>
      <c r="I2037" s="1868" t="str">
        <f>Translations!$B$1341</f>
        <v>Базова стойност</v>
      </c>
      <c r="J2037" s="1523">
        <f>J$2505</f>
        <v>2026</v>
      </c>
      <c r="K2037" s="387">
        <f>K$2505</f>
        <v>2027</v>
      </c>
      <c r="L2037" s="387">
        <f>L$2505</f>
        <v>2028</v>
      </c>
      <c r="M2037" s="387">
        <f>M$2505</f>
        <v>2029</v>
      </c>
      <c r="N2037" s="1544">
        <f>N$2505</f>
        <v>2030</v>
      </c>
      <c r="O2037" s="698"/>
      <c r="P2037" s="729"/>
      <c r="Q2037" s="729"/>
      <c r="R2037" s="729"/>
      <c r="S2037" s="1519" t="str">
        <f>Translations!$B$1284</f>
        <v>HAL</v>
      </c>
      <c r="T2037" s="770"/>
      <c r="U2037" s="343"/>
      <c r="V2037" s="343"/>
    </row>
    <row r="2038" spans="1:22" s="364" customFormat="1" x14ac:dyDescent="0.25">
      <c r="A2038" s="729"/>
      <c r="B2038" s="302"/>
      <c r="C2038" s="302"/>
      <c r="D2038" s="344"/>
      <c r="E2038" s="388" t="str">
        <f>Translations!$B$1390</f>
        <v>Използвано равнище на дейност</v>
      </c>
      <c r="F2038" s="388"/>
      <c r="G2038" s="388"/>
      <c r="H2038" s="1210" t="str">
        <f>F2007</f>
        <v>TJ</v>
      </c>
      <c r="I2038" s="1864" t="str">
        <f>IF($M2001&lt;&gt;EUconst_Relevant,"",IF(T2039&gt;=$H$2505,0,S2038))</f>
        <v/>
      </c>
      <c r="J2038" s="1844" t="str">
        <f>INDEX('G_Fall-back'!J:J,MATCH($P2038,'G_Fall-back'!$Q:$Q,0))</f>
        <v/>
      </c>
      <c r="K2038" s="1846" t="str">
        <f>INDEX('G_Fall-back'!K:K,MATCH($P2038,'G_Fall-back'!$Q:$Q,0))</f>
        <v/>
      </c>
      <c r="L2038" s="1846" t="str">
        <f>INDEX('G_Fall-back'!L:L,MATCH($P2038,'G_Fall-back'!$Q:$Q,0))</f>
        <v/>
      </c>
      <c r="M2038" s="1846" t="str">
        <f>INDEX('G_Fall-back'!M:M,MATCH($P2038,'G_Fall-back'!$Q:$Q,0))</f>
        <v/>
      </c>
      <c r="N2038" s="1847" t="str">
        <f>INDEX('G_Fall-back'!N:N,MATCH($P2038,'G_Fall-back'!$Q:$Q,0))</f>
        <v/>
      </c>
      <c r="O2038" s="698"/>
      <c r="P2038" s="1190" t="str">
        <f>EUconst_CNTR_HALfinal&amp;I2001</f>
        <v>HALfinal_Подинсталация на топлофикационна мрежа</v>
      </c>
      <c r="Q2038" s="729"/>
      <c r="R2038" s="729"/>
      <c r="S2038" s="1817" t="str">
        <f>IF($M2001&lt;&gt;EUconst_Relevant,"",SUMIF('G_Fall-back'!$Q:$Q,$P2038,'G_Fall-back'!I:I))</f>
        <v/>
      </c>
      <c r="T2038" s="770"/>
      <c r="U2038" s="343"/>
      <c r="V2038" s="343"/>
    </row>
    <row r="2039" spans="1:22" s="364" customFormat="1" x14ac:dyDescent="0.25">
      <c r="A2039" s="729"/>
      <c r="B2039" s="302"/>
      <c r="C2039" s="302"/>
      <c r="D2039" s="344"/>
      <c r="E2039" s="388" t="str">
        <f>Translations!$B$892</f>
        <v>Предварително разпределяне</v>
      </c>
      <c r="F2039" s="388"/>
      <c r="G2039" s="388"/>
      <c r="H2039" s="421" t="str">
        <f>EUconst_EUA</f>
        <v>Квота за емисии</v>
      </c>
      <c r="I2039" s="1867" t="str">
        <f>IF($M2001&lt;&gt;EUconst_Relevant,"",MAX(0,ROUND((SUM($M2004)*SUM(I2038))*IF($H2004=TRUE,1,IF($L2004=4,J$2413,J$2412)),0)))</f>
        <v/>
      </c>
      <c r="J2039" s="1694" t="str">
        <f>IF($M2001&lt;&gt;EUconst_Relevant,"",MAX(0,ROUND((SUM($M2004)*SUM(J2038))*IF($H2004=TRUE,1,IF($L2004=4,J$2413,J$2412))*IF($I2004=TRUE,INDEX(EUconst_CBAMFactor,J2014-2020),1)*IF($L2004&gt;=8,J$2415/0.97,1),0)))</f>
        <v/>
      </c>
      <c r="K2039" s="406" t="str">
        <f>IF($M2001&lt;&gt;EUconst_Relevant,"",MAX(0,ROUND((SUM($M2004)*SUM(K2038))*IF($H2004=TRUE,1,IF($L2004=4,K$2413,K$2412))*IF($I2004=TRUE,INDEX(EUconst_CBAMFactor,K2014-2020),1)*IF($L2004&gt;=8,K$2415/0.97,1),0)))</f>
        <v/>
      </c>
      <c r="L2039" s="406" t="str">
        <f>IF($M2001&lt;&gt;EUconst_Relevant,"",MAX(0,ROUND((SUM($M2004)*SUM(L2038))*IF($H2004=TRUE,1,IF($L2004=4,L$2413,L$2412))*IF($I2004=TRUE,INDEX(EUconst_CBAMFactor,L2014-2020),1)*IF($L2004&gt;=8,L$2415/0.97,1),0)))</f>
        <v/>
      </c>
      <c r="M2039" s="406" t="str">
        <f>IF($M2001&lt;&gt;EUconst_Relevant,"",MAX(0,ROUND((SUM($M2004)*SUM(M2038))*IF($H2004=TRUE,1,IF($L2004=4,M$2413,M$2412))*IF($I2004=TRUE,INDEX(EUconst_CBAMFactor,M2014-2020),1)*IF($L2004&gt;=8,M$2415/0.97,1),0)))</f>
        <v/>
      </c>
      <c r="N2039" s="1729" t="str">
        <f>IF($M2001&lt;&gt;EUconst_Relevant,"",MAX(0,ROUND((SUM($M2004)*SUM(N2038))*IF($H2004=TRUE,1,IF($L2004=4,N$2413,N$2412))*IF($I2004=TRUE,INDEX(EUconst_CBAMFactor,N2014-2020),1)*IF($L2004&gt;=8,N$2415/0.97,1),0)))</f>
        <v/>
      </c>
      <c r="O2039" s="698"/>
      <c r="P2039" s="1190" t="str">
        <f>EUconst_AllocPrelim&amp;I2001</f>
        <v>AllocPrelim_Подинсталация на топлофикационна мрежа</v>
      </c>
      <c r="Q2039" s="729"/>
      <c r="R2039" s="729"/>
      <c r="S2039" s="729"/>
      <c r="T2039" s="1176">
        <f>INDEX('G_Fall-back'!V:V,MATCH(L2004,'G_Fall-back'!C:C,0))</f>
        <v>2005</v>
      </c>
      <c r="U2039" s="727" t="b">
        <f>OR(INDEX(I2039:N2039,CNTR_ReportingYear-$I$2505)&lt;&gt;INDEX(I2039:N2039,CNTR_ReportingYear-$H$2505),
(CNTR_ReportingYear-T2039)&lt;=1)</f>
        <v>0</v>
      </c>
      <c r="V2039" s="716" t="b">
        <f ca="1">IF(I2039="",FALSE,COUNTIF(OFFSET(I2039,,,,MAX(1,CNTR_ReportingYear-$I$2505)),"&lt;&gt;" &amp; INDEX(I2039:N2039,CNTR_ReportingYear-$H$2505))&gt;0)</f>
        <v>0</v>
      </c>
    </row>
    <row r="2040" spans="1:22" s="364" customFormat="1" ht="5.15" customHeight="1" thickBot="1" x14ac:dyDescent="0.3">
      <c r="A2040" s="729"/>
      <c r="B2040" s="302"/>
      <c r="C2040" s="302"/>
      <c r="D2040" s="1801"/>
      <c r="E2040" s="1762"/>
      <c r="F2040" s="1762"/>
      <c r="G2040" s="1762"/>
      <c r="H2040" s="1762"/>
      <c r="I2040" s="1762"/>
      <c r="J2040" s="1762"/>
      <c r="K2040" s="1762"/>
      <c r="L2040" s="1762"/>
      <c r="M2040" s="1762"/>
      <c r="N2040" s="1764"/>
      <c r="O2040" s="698"/>
      <c r="P2040" s="729"/>
      <c r="Q2040" s="729"/>
      <c r="R2040" s="729"/>
      <c r="S2040" s="729"/>
      <c r="T2040" s="770"/>
      <c r="U2040" s="343"/>
      <c r="V2040" s="343"/>
    </row>
    <row r="2041" spans="1:22" s="364" customFormat="1" ht="5.15" customHeight="1" thickBot="1" x14ac:dyDescent="0.3">
      <c r="A2041" s="729"/>
      <c r="B2041" s="302"/>
      <c r="C2041" s="302"/>
      <c r="D2041" s="302"/>
      <c r="E2041" s="302"/>
      <c r="F2041" s="302"/>
      <c r="G2041" s="302"/>
      <c r="M2041" s="302"/>
      <c r="N2041" s="302"/>
      <c r="O2041" s="698"/>
      <c r="P2041" s="729"/>
      <c r="Q2041" s="729"/>
      <c r="R2041" s="729"/>
      <c r="S2041" s="729"/>
      <c r="T2041" s="729"/>
      <c r="U2041" s="343"/>
      <c r="V2041" s="343"/>
    </row>
    <row r="2042" spans="1:22" s="364" customFormat="1" ht="5.15" customHeight="1" x14ac:dyDescent="0.25">
      <c r="A2042" s="729"/>
      <c r="B2042" s="302"/>
      <c r="C2042" s="302"/>
      <c r="D2042" s="1818"/>
      <c r="E2042" s="1819"/>
      <c r="F2042" s="1300"/>
      <c r="G2042" s="1300"/>
      <c r="H2042" s="1300"/>
      <c r="I2042" s="1300"/>
      <c r="J2042" s="1300"/>
      <c r="K2042" s="1300"/>
      <c r="L2042" s="1300"/>
      <c r="M2042" s="1300"/>
      <c r="N2042" s="1301"/>
      <c r="O2042" s="698"/>
      <c r="P2042" s="729"/>
      <c r="Q2042" s="729"/>
      <c r="R2042" s="729"/>
      <c r="S2042" s="729"/>
      <c r="T2042" s="729"/>
      <c r="U2042" s="343"/>
      <c r="V2042" s="343"/>
    </row>
    <row r="2043" spans="1:22" s="364" customFormat="1" ht="13.5" thickBot="1" x14ac:dyDescent="0.3">
      <c r="A2043" s="729"/>
      <c r="B2043" s="302"/>
      <c r="C2043" s="302"/>
      <c r="D2043" s="1820"/>
      <c r="E2043" s="625"/>
      <c r="F2043" s="626"/>
      <c r="G2043" s="627" t="str">
        <f>EUconst_Unit</f>
        <v>Единица мярка</v>
      </c>
      <c r="H2043" s="628">
        <f t="shared" ref="H2043:N2043" si="172">H$2505</f>
        <v>2024</v>
      </c>
      <c r="I2043" s="628">
        <f t="shared" si="172"/>
        <v>2025</v>
      </c>
      <c r="J2043" s="628">
        <f t="shared" si="172"/>
        <v>2026</v>
      </c>
      <c r="K2043" s="629">
        <f t="shared" si="172"/>
        <v>2027</v>
      </c>
      <c r="L2043" s="629">
        <f t="shared" si="172"/>
        <v>2028</v>
      </c>
      <c r="M2043" s="629">
        <f t="shared" si="172"/>
        <v>2029</v>
      </c>
      <c r="N2043" s="1312">
        <f t="shared" si="172"/>
        <v>2030</v>
      </c>
      <c r="O2043" s="698"/>
      <c r="P2043" s="729"/>
      <c r="Q2043" s="729"/>
      <c r="R2043" s="729"/>
      <c r="S2043" s="729"/>
      <c r="T2043" s="729"/>
      <c r="U2043" s="343"/>
      <c r="V2043" s="343"/>
    </row>
    <row r="2044" spans="1:22" s="364" customFormat="1" ht="13.5" customHeight="1" thickBot="1" x14ac:dyDescent="0.3">
      <c r="A2044" s="729"/>
      <c r="B2044" s="302"/>
      <c r="C2044" s="302"/>
      <c r="D2044" s="1820"/>
      <c r="E2044" s="2929" t="str">
        <f>Translations!$B$349</f>
        <v>Произведена измерима топлинна енергия</v>
      </c>
      <c r="F2044" s="2258"/>
      <c r="G2044" s="631" t="str">
        <f>EUconst_TJpa</f>
        <v>TJ / година</v>
      </c>
      <c r="H2044" s="661" t="str">
        <f>IF($M2001&lt;&gt;EUconst_Relevant,"",IF(INDEX('G_Fall-back'!H:H,MATCH($P2044,'G_Fall-back'!$Q:$Q,0))="","",INDEX('G_Fall-back'!H:H,MATCH($P2044,'G_Fall-back'!$Q:$Q,0))))</f>
        <v/>
      </c>
      <c r="I2044" s="663" t="str">
        <f>IF($M2001&lt;&gt;EUconst_Relevant,"",IF(INDEX('G_Fall-back'!I:I,MATCH($P2044,'G_Fall-back'!$Q:$Q,0))="","",INDEX('G_Fall-back'!I:I,MATCH($P2044,'G_Fall-back'!$Q:$Q,0))))</f>
        <v/>
      </c>
      <c r="J2044" s="661" t="str">
        <f>IF($M2001&lt;&gt;EUconst_Relevant,"",IF(INDEX('G_Fall-back'!J:J,MATCH($P2044,'G_Fall-back'!$Q:$Q,0))="","",INDEX('G_Fall-back'!J:J,MATCH($P2044,'G_Fall-back'!$Q:$Q,0))))</f>
        <v/>
      </c>
      <c r="K2044" s="662" t="str">
        <f>IF($M2001&lt;&gt;EUconst_Relevant,"",IF(INDEX('G_Fall-back'!K:K,MATCH($P2044,'G_Fall-back'!$Q:$Q,0))="","",INDEX('G_Fall-back'!K:K,MATCH($P2044,'G_Fall-back'!$Q:$Q,0))))</f>
        <v/>
      </c>
      <c r="L2044" s="662" t="str">
        <f>IF($M2001&lt;&gt;EUconst_Relevant,"",IF(INDEX('G_Fall-back'!L:L,MATCH($P2044,'G_Fall-back'!$Q:$Q,0))="","",INDEX('G_Fall-back'!L:L,MATCH($P2044,'G_Fall-back'!$Q:$Q,0))))</f>
        <v/>
      </c>
      <c r="M2044" s="662" t="str">
        <f>IF($M2001&lt;&gt;EUconst_Relevant,"",IF(INDEX('G_Fall-back'!M:M,MATCH($P2044,'G_Fall-back'!$Q:$Q,0))="","",INDEX('G_Fall-back'!M:M,MATCH($P2044,'G_Fall-back'!$Q:$Q,0))))</f>
        <v/>
      </c>
      <c r="N2044" s="663" t="str">
        <f>IF($M2001&lt;&gt;EUconst_Relevant,"",IF(INDEX('G_Fall-back'!N:N,MATCH($P2044,'G_Fall-back'!$Q:$Q,0))="","",INDEX('G_Fall-back'!N:N,MATCH($P2044,'G_Fall-back'!$Q:$Q,0))))</f>
        <v/>
      </c>
      <c r="O2044" s="698"/>
      <c r="P2044" s="1500" t="str">
        <f>EUconst_CNTR_HeatProduced &amp;I2001</f>
        <v>HeatProd_Подинсталация на топлофикационна мрежа</v>
      </c>
      <c r="Q2044" s="729"/>
      <c r="R2044" s="729"/>
      <c r="S2044" s="729"/>
      <c r="T2044" s="729"/>
      <c r="U2044" s="343"/>
      <c r="V2044" s="343"/>
    </row>
    <row r="2045" spans="1:22" s="364" customFormat="1" ht="13.5" customHeight="1" x14ac:dyDescent="0.25">
      <c r="A2045" s="729"/>
      <c r="B2045" s="302"/>
      <c r="C2045" s="302"/>
      <c r="D2045" s="1820"/>
      <c r="E2045" s="2820" t="str">
        <f>Translations!$B$1555</f>
        <v>Топлинна енергия, произведена от електроенергия</v>
      </c>
      <c r="F2045" s="2992"/>
      <c r="G2045" s="631" t="str">
        <f>EUconst_TJpa</f>
        <v>TJ / година</v>
      </c>
      <c r="H2045" s="1869" t="str">
        <f>IF($M2001&lt;&gt;EUconst_Relevant,"",IF(INDEX('G_Fall-back'!H:H,MATCH($P2045,'G_Fall-back'!$Q:$Q,0))="","",INDEX('G_Fall-back'!H:H,MATCH($P2045,'G_Fall-back'!$Q:$Q,0))))</f>
        <v/>
      </c>
      <c r="I2045" s="1870" t="str">
        <f>IF($M2001&lt;&gt;EUconst_Relevant,"",IF(INDEX('G_Fall-back'!I:I,MATCH($P2045,'G_Fall-back'!$Q:$Q,0))="","",INDEX('G_Fall-back'!I:I,MATCH($P2045,'G_Fall-back'!$Q:$Q,0))))</f>
        <v/>
      </c>
      <c r="J2045" s="1871" t="str">
        <f>IF($M2001&lt;&gt;EUconst_Relevant,"",IF(INDEX('G_Fall-back'!J:J,MATCH($P2045,'G_Fall-back'!$Q:$Q,0))="","",INDEX('G_Fall-back'!J:J,MATCH($P2045,'G_Fall-back'!$Q:$Q,0))))</f>
        <v/>
      </c>
      <c r="K2045" s="1869" t="str">
        <f>IF($M2001&lt;&gt;EUconst_Relevant,"",IF(INDEX('G_Fall-back'!K:K,MATCH($P2045,'G_Fall-back'!$Q:$Q,0))="","",INDEX('G_Fall-back'!K:K,MATCH($P2045,'G_Fall-back'!$Q:$Q,0))))</f>
        <v/>
      </c>
      <c r="L2045" s="1869" t="str">
        <f>IF($M2001&lt;&gt;EUconst_Relevant,"",IF(INDEX('G_Fall-back'!L:L,MATCH($P2045,'G_Fall-back'!$Q:$Q,0))="","",INDEX('G_Fall-back'!L:L,MATCH($P2045,'G_Fall-back'!$Q:$Q,0))))</f>
        <v/>
      </c>
      <c r="M2045" s="1869" t="str">
        <f>IF($M2001&lt;&gt;EUconst_Relevant,"",IF(INDEX('G_Fall-back'!M:M,MATCH($P2045,'G_Fall-back'!$Q:$Q,0))="","",INDEX('G_Fall-back'!M:M,MATCH($P2045,'G_Fall-back'!$Q:$Q,0))))</f>
        <v/>
      </c>
      <c r="N2045" s="1870" t="str">
        <f>IF($M2001&lt;&gt;EUconst_Relevant,"",IF(INDEX('G_Fall-back'!N:N,MATCH($P2045,'G_Fall-back'!$Q:$Q,0))="","",INDEX('G_Fall-back'!N:N,MATCH($P2045,'G_Fall-back'!$Q:$Q,0))))</f>
        <v/>
      </c>
      <c r="O2045" s="698"/>
      <c r="P2045" s="1500" t="str">
        <f>EUconst_CNTR_HeatProducedElectricity  &amp;I2001</f>
        <v>HeatProdElec_Подинсталация на топлофикационна мрежа</v>
      </c>
      <c r="Q2045" s="729"/>
      <c r="R2045" s="729"/>
      <c r="S2045" s="729"/>
      <c r="T2045" s="729"/>
      <c r="U2045" s="343"/>
      <c r="V2045" s="343"/>
    </row>
    <row r="2046" spans="1:22" s="364" customFormat="1" ht="5.15" customHeight="1" thickBot="1" x14ac:dyDescent="0.3">
      <c r="A2046" s="729"/>
      <c r="B2046" s="302"/>
      <c r="C2046" s="302"/>
      <c r="D2046" s="1820"/>
      <c r="E2046" s="625"/>
      <c r="F2046" s="625"/>
      <c r="G2046" s="625"/>
      <c r="H2046" s="640"/>
      <c r="I2046" s="640"/>
      <c r="J2046" s="640"/>
      <c r="K2046" s="640"/>
      <c r="L2046" s="640"/>
      <c r="M2046" s="640"/>
      <c r="N2046" s="1831"/>
      <c r="O2046" s="698"/>
      <c r="P2046" s="729"/>
      <c r="Q2046" s="729"/>
      <c r="R2046" s="729"/>
      <c r="S2046" s="729"/>
      <c r="T2046" s="729"/>
      <c r="U2046" s="343"/>
      <c r="V2046" s="343"/>
    </row>
    <row r="2047" spans="1:22" s="364" customFormat="1" ht="13.5" customHeight="1" thickBot="1" x14ac:dyDescent="0.3">
      <c r="A2047" s="729"/>
      <c r="B2047" s="302"/>
      <c r="C2047" s="302"/>
      <c r="D2047" s="1820"/>
      <c r="E2047" s="2929" t="str">
        <f>Translations!$B$956</f>
        <v>Общо зададени емисии</v>
      </c>
      <c r="F2047" s="2258"/>
      <c r="G2047" s="631" t="str">
        <f>EUconst_tCO2epa</f>
        <v>t CO2e/година</v>
      </c>
      <c r="H2047" s="661" t="str">
        <f t="shared" ref="H2047:N2047" si="173">INDEX(H$95:H$114,MATCH($I2001,$E$95:$E$114,0))</f>
        <v/>
      </c>
      <c r="I2047" s="663" t="str">
        <f t="shared" si="173"/>
        <v/>
      </c>
      <c r="J2047" s="661" t="str">
        <f t="shared" si="173"/>
        <v/>
      </c>
      <c r="K2047" s="662" t="str">
        <f t="shared" si="173"/>
        <v/>
      </c>
      <c r="L2047" s="662" t="str">
        <f t="shared" si="173"/>
        <v/>
      </c>
      <c r="M2047" s="662" t="str">
        <f t="shared" si="173"/>
        <v/>
      </c>
      <c r="N2047" s="663" t="str">
        <f t="shared" si="173"/>
        <v/>
      </c>
      <c r="O2047" s="698"/>
      <c r="P2047" s="729"/>
      <c r="Q2047" s="729"/>
      <c r="R2047" s="729"/>
      <c r="S2047" s="729"/>
      <c r="T2047" s="770"/>
      <c r="U2047" s="343"/>
      <c r="V2047" s="343"/>
    </row>
    <row r="2048" spans="1:22" s="364" customFormat="1" ht="5.15" customHeight="1" x14ac:dyDescent="0.25">
      <c r="A2048" s="729"/>
      <c r="B2048" s="302"/>
      <c r="C2048" s="302"/>
      <c r="D2048" s="1820"/>
      <c r="E2048" s="625"/>
      <c r="F2048" s="625"/>
      <c r="G2048" s="625"/>
      <c r="H2048" s="635"/>
      <c r="I2048" s="635"/>
      <c r="J2048" s="635"/>
      <c r="K2048" s="635"/>
      <c r="L2048" s="635"/>
      <c r="M2048" s="635"/>
      <c r="N2048" s="1823"/>
      <c r="O2048" s="698"/>
      <c r="P2048" s="729"/>
      <c r="Q2048" s="729"/>
      <c r="R2048" s="729"/>
      <c r="S2048" s="729"/>
      <c r="T2048" s="770"/>
      <c r="U2048" s="343"/>
      <c r="V2048" s="343"/>
    </row>
    <row r="2049" spans="1:22" s="364" customFormat="1" x14ac:dyDescent="0.25">
      <c r="A2049" s="729"/>
      <c r="B2049" s="302"/>
      <c r="C2049" s="302"/>
      <c r="D2049" s="1820"/>
      <c r="E2049" s="2818" t="str">
        <f>Translations!$B$521</f>
        <v>Вложени горива</v>
      </c>
      <c r="F2049" s="2701"/>
      <c r="G2049" s="1326" t="str">
        <f>EUconst_TJpa</f>
        <v>TJ / година</v>
      </c>
      <c r="H2049" s="482" t="str">
        <f>IF($M2001&lt;&gt;EUconst_Relevant,"",IF(INDEX('G_Fall-back'!H:H,MATCH($P2049,'G_Fall-back'!$Q:$Q,0))="","",INDEX('G_Fall-back'!H:H,MATCH($P2049,'G_Fall-back'!$Q:$Q,0))))</f>
        <v/>
      </c>
      <c r="I2049" s="1824" t="str">
        <f>IF($M2001&lt;&gt;EUconst_Relevant,"",IF(INDEX('G_Fall-back'!I:I,MATCH($P2049,'G_Fall-back'!$Q:$Q,0))="","",INDEX('G_Fall-back'!I:I,MATCH($P2049,'G_Fall-back'!$Q:$Q,0))))</f>
        <v/>
      </c>
      <c r="J2049" s="1825" t="str">
        <f>IF($M2001&lt;&gt;EUconst_Relevant,"",IF(INDEX('G_Fall-back'!J:J,MATCH($P2049,'G_Fall-back'!$Q:$Q,0))="","",INDEX('G_Fall-back'!J:J,MATCH($P2049,'G_Fall-back'!$Q:$Q,0))))</f>
        <v/>
      </c>
      <c r="K2049" s="482" t="str">
        <f>IF($M2001&lt;&gt;EUconst_Relevant,"",IF(INDEX('G_Fall-back'!K:K,MATCH($P2049,'G_Fall-back'!$Q:$Q,0))="","",INDEX('G_Fall-back'!K:K,MATCH($P2049,'G_Fall-back'!$Q:$Q,0))))</f>
        <v/>
      </c>
      <c r="L2049" s="482" t="str">
        <f>IF($M2001&lt;&gt;EUconst_Relevant,"",IF(INDEX('G_Fall-back'!L:L,MATCH($P2049,'G_Fall-back'!$Q:$Q,0))="","",INDEX('G_Fall-back'!L:L,MATCH($P2049,'G_Fall-back'!$Q:$Q,0))))</f>
        <v/>
      </c>
      <c r="M2049" s="482" t="str">
        <f>IF($M2001&lt;&gt;EUconst_Relevant,"",IF(INDEX('G_Fall-back'!M:M,MATCH($P2049,'G_Fall-back'!$Q:$Q,0))="","",INDEX('G_Fall-back'!M:M,MATCH($P2049,'G_Fall-back'!$Q:$Q,0))))</f>
        <v/>
      </c>
      <c r="N2049" s="1826" t="str">
        <f>IF($M2001&lt;&gt;EUconst_Relevant,"",IF(INDEX('G_Fall-back'!N:N,MATCH($P2049,'G_Fall-back'!$Q:$Q,0))="","",INDEX('G_Fall-back'!N:N,MATCH($P2049,'G_Fall-back'!$Q:$Q,0))))</f>
        <v/>
      </c>
      <c r="O2049" s="698"/>
      <c r="P2049" s="1827" t="str">
        <f>EUconst_CNTR_FuelInput &amp;I2001</f>
        <v>FuelInput_Подинсталация на топлофикационна мрежа</v>
      </c>
      <c r="Q2049" s="729"/>
      <c r="R2049" s="729"/>
      <c r="S2049" s="729"/>
      <c r="T2049" s="729"/>
      <c r="U2049" s="343"/>
      <c r="V2049" s="343"/>
    </row>
    <row r="2050" spans="1:22" s="364" customFormat="1" ht="12.75" customHeight="1" x14ac:dyDescent="0.25">
      <c r="A2050" s="729"/>
      <c r="B2050" s="302"/>
      <c r="C2050" s="302"/>
      <c r="D2050" s="1820"/>
      <c r="E2050" s="2819" t="str">
        <f>Translations!$B$522</f>
        <v>Претеглен емисионен фактор</v>
      </c>
      <c r="F2050" s="2705"/>
      <c r="G2050" s="1329" t="str">
        <f>EUconst_tCO2pTJ</f>
        <v>t CO2 / TJ</v>
      </c>
      <c r="H2050" s="484" t="str">
        <f>IF($M2001&lt;&gt;EUconst_Relevant,"",IF(INDEX('G_Fall-back'!H:H,MATCH($P2050,'G_Fall-back'!$Q:$Q,0))="","",INDEX('G_Fall-back'!H:H,MATCH($P2050,'G_Fall-back'!$Q:$Q,0))))</f>
        <v/>
      </c>
      <c r="I2050" s="1828" t="str">
        <f>IF($M2001&lt;&gt;EUconst_Relevant,"",IF(INDEX('G_Fall-back'!I:I,MATCH($P2050,'G_Fall-back'!$Q:$Q,0))="","",INDEX('G_Fall-back'!I:I,MATCH($P2050,'G_Fall-back'!$Q:$Q,0))))</f>
        <v/>
      </c>
      <c r="J2050" s="1829" t="str">
        <f>IF($M2001&lt;&gt;EUconst_Relevant,"",IF(INDEX('G_Fall-back'!J:J,MATCH($P2050,'G_Fall-back'!$Q:$Q,0))="","",INDEX('G_Fall-back'!J:J,MATCH($P2050,'G_Fall-back'!$Q:$Q,0))))</f>
        <v/>
      </c>
      <c r="K2050" s="484" t="str">
        <f>IF($M2001&lt;&gt;EUconst_Relevant,"",IF(INDEX('G_Fall-back'!K:K,MATCH($P2050,'G_Fall-back'!$Q:$Q,0))="","",INDEX('G_Fall-back'!K:K,MATCH($P2050,'G_Fall-back'!$Q:$Q,0))))</f>
        <v/>
      </c>
      <c r="L2050" s="484" t="str">
        <f>IF($M2001&lt;&gt;EUconst_Relevant,"",IF(INDEX('G_Fall-back'!L:L,MATCH($P2050,'G_Fall-back'!$Q:$Q,0))="","",INDEX('G_Fall-back'!L:L,MATCH($P2050,'G_Fall-back'!$Q:$Q,0))))</f>
        <v/>
      </c>
      <c r="M2050" s="484" t="str">
        <f>IF($M2001&lt;&gt;EUconst_Relevant,"",IF(INDEX('G_Fall-back'!M:M,MATCH($P2050,'G_Fall-back'!$Q:$Q,0))="","",INDEX('G_Fall-back'!M:M,MATCH($P2050,'G_Fall-back'!$Q:$Q,0))))</f>
        <v/>
      </c>
      <c r="N2050" s="1830" t="str">
        <f>IF($M2001&lt;&gt;EUconst_Relevant,"",IF(INDEX('G_Fall-back'!N:N,MATCH($P2050,'G_Fall-back'!$Q:$Q,0))="","",INDEX('G_Fall-back'!N:N,MATCH($P2050,'G_Fall-back'!$Q:$Q,0))))</f>
        <v/>
      </c>
      <c r="O2050" s="698"/>
      <c r="P2050" s="1500" t="str">
        <f>EUconst_CNTR_FuelEF &amp;I2001</f>
        <v>FuelEF_Подинсталация на топлофикационна мрежа</v>
      </c>
      <c r="Q2050" s="729"/>
      <c r="R2050" s="729"/>
      <c r="S2050" s="729"/>
      <c r="T2050" s="729"/>
      <c r="U2050" s="343"/>
      <c r="V2050" s="343"/>
    </row>
    <row r="2051" spans="1:22" s="364" customFormat="1" ht="12.75" customHeight="1" x14ac:dyDescent="0.25">
      <c r="A2051" s="729"/>
      <c r="B2051" s="302"/>
      <c r="C2051" s="302"/>
      <c r="D2051" s="1820"/>
      <c r="E2051" s="2818" t="str">
        <f>Translations!$B$637</f>
        <v>Вложени горива от отпадни газове</v>
      </c>
      <c r="F2051" s="2701"/>
      <c r="G2051" s="1326" t="str">
        <f>EUconst_TJpa</f>
        <v>TJ / година</v>
      </c>
      <c r="H2051" s="482" t="str">
        <f>IF($M2001&lt;&gt;EUconst_Relevant,"",IF(INDEX('G_Fall-back'!H:H,MATCH($P2051,'G_Fall-back'!$Q:$Q,0))="","",INDEX('G_Fall-back'!H:H,MATCH($P2051,'G_Fall-back'!$Q:$Q,0))))</f>
        <v/>
      </c>
      <c r="I2051" s="1824" t="str">
        <f>IF($M2001&lt;&gt;EUconst_Relevant,"",IF(INDEX('G_Fall-back'!I:I,MATCH($P2051,'G_Fall-back'!$Q:$Q,0))="","",INDEX('G_Fall-back'!I:I,MATCH($P2051,'G_Fall-back'!$Q:$Q,0))))</f>
        <v/>
      </c>
      <c r="J2051" s="1825" t="str">
        <f>IF($M2001&lt;&gt;EUconst_Relevant,"",IF(INDEX('G_Fall-back'!J:J,MATCH($P2051,'G_Fall-back'!$Q:$Q,0))="","",INDEX('G_Fall-back'!J:J,MATCH($P2051,'G_Fall-back'!$Q:$Q,0))))</f>
        <v/>
      </c>
      <c r="K2051" s="482" t="str">
        <f>IF($M2001&lt;&gt;EUconst_Relevant,"",IF(INDEX('G_Fall-back'!K:K,MATCH($P2051,'G_Fall-back'!$Q:$Q,0))="","",INDEX('G_Fall-back'!K:K,MATCH($P2051,'G_Fall-back'!$Q:$Q,0))))</f>
        <v/>
      </c>
      <c r="L2051" s="482" t="str">
        <f>IF($M2001&lt;&gt;EUconst_Relevant,"",IF(INDEX('G_Fall-back'!L:L,MATCH($P2051,'G_Fall-back'!$Q:$Q,0))="","",INDEX('G_Fall-back'!L:L,MATCH($P2051,'G_Fall-back'!$Q:$Q,0))))</f>
        <v/>
      </c>
      <c r="M2051" s="482" t="str">
        <f>IF($M2001&lt;&gt;EUconst_Relevant,"",IF(INDEX('G_Fall-back'!M:M,MATCH($P2051,'G_Fall-back'!$Q:$Q,0))="","",INDEX('G_Fall-back'!M:M,MATCH($P2051,'G_Fall-back'!$Q:$Q,0))))</f>
        <v/>
      </c>
      <c r="N2051" s="1826" t="str">
        <f>IF($M2001&lt;&gt;EUconst_Relevant,"",IF(INDEX('G_Fall-back'!N:N,MATCH($P2051,'G_Fall-back'!$Q:$Q,0))="","",INDEX('G_Fall-back'!N:N,MATCH($P2051,'G_Fall-back'!$Q:$Q,0))))</f>
        <v/>
      </c>
      <c r="O2051" s="698"/>
      <c r="P2051" s="716" t="str">
        <f>EUconst_CNTR_WGConsumed &amp;I2001</f>
        <v>WasteGasCons_Подинсталация на топлофикационна мрежа</v>
      </c>
      <c r="Q2051" s="729"/>
      <c r="R2051" s="729"/>
      <c r="S2051" s="729"/>
      <c r="T2051" s="729"/>
      <c r="U2051" s="343"/>
      <c r="V2051" s="343"/>
    </row>
    <row r="2052" spans="1:22" s="364" customFormat="1" ht="12.75" customHeight="1" x14ac:dyDescent="0.25">
      <c r="A2052" s="729"/>
      <c r="B2052" s="302"/>
      <c r="C2052" s="302"/>
      <c r="D2052" s="1820"/>
      <c r="E2052" s="2819" t="str">
        <f>Translations!$B$522</f>
        <v>Претеглен емисионен фактор</v>
      </c>
      <c r="F2052" s="2705"/>
      <c r="G2052" s="1329" t="str">
        <f>EUconst_tCO2pTJ</f>
        <v>t CO2 / TJ</v>
      </c>
      <c r="H2052" s="484" t="str">
        <f>IF($M2001&lt;&gt;EUconst_Relevant,"",IF(INDEX('G_Fall-back'!H:H,MATCH($P2052,'G_Fall-back'!$Q:$Q,0))="","",INDEX('G_Fall-back'!H:H,MATCH($P2052,'G_Fall-back'!$Q:$Q,0))))</f>
        <v/>
      </c>
      <c r="I2052" s="1828" t="str">
        <f>IF($M2001&lt;&gt;EUconst_Relevant,"",IF(INDEX('G_Fall-back'!I:I,MATCH($P2052,'G_Fall-back'!$Q:$Q,0))="","",INDEX('G_Fall-back'!I:I,MATCH($P2052,'G_Fall-back'!$Q:$Q,0))))</f>
        <v/>
      </c>
      <c r="J2052" s="1829" t="str">
        <f>IF($M2001&lt;&gt;EUconst_Relevant,"",IF(INDEX('G_Fall-back'!J:J,MATCH($P2052,'G_Fall-back'!$Q:$Q,0))="","",INDEX('G_Fall-back'!J:J,MATCH($P2052,'G_Fall-back'!$Q:$Q,0))))</f>
        <v/>
      </c>
      <c r="K2052" s="484" t="str">
        <f>IF($M2001&lt;&gt;EUconst_Relevant,"",IF(INDEX('G_Fall-back'!K:K,MATCH($P2052,'G_Fall-back'!$Q:$Q,0))="","",INDEX('G_Fall-back'!K:K,MATCH($P2052,'G_Fall-back'!$Q:$Q,0))))</f>
        <v/>
      </c>
      <c r="L2052" s="484" t="str">
        <f>IF($M2001&lt;&gt;EUconst_Relevant,"",IF(INDEX('G_Fall-back'!L:L,MATCH($P2052,'G_Fall-back'!$Q:$Q,0))="","",INDEX('G_Fall-back'!L:L,MATCH($P2052,'G_Fall-back'!$Q:$Q,0))))</f>
        <v/>
      </c>
      <c r="M2052" s="484" t="str">
        <f>IF($M2001&lt;&gt;EUconst_Relevant,"",IF(INDEX('G_Fall-back'!M:M,MATCH($P2052,'G_Fall-back'!$Q:$Q,0))="","",INDEX('G_Fall-back'!M:M,MATCH($P2052,'G_Fall-back'!$Q:$Q,0))))</f>
        <v/>
      </c>
      <c r="N2052" s="1830" t="str">
        <f>IF($M2001&lt;&gt;EUconst_Relevant,"",IF(INDEX('G_Fall-back'!N:N,MATCH($P2052,'G_Fall-back'!$Q:$Q,0))="","",INDEX('G_Fall-back'!N:N,MATCH($P2052,'G_Fall-back'!$Q:$Q,0))))</f>
        <v/>
      </c>
      <c r="O2052" s="698"/>
      <c r="P2052" s="1500" t="str">
        <f>EUconst_CNTR_WGConsumedEF &amp;I2001</f>
        <v>WasteGasConsEF_Подинсталация на топлофикационна мрежа</v>
      </c>
      <c r="Q2052" s="729"/>
      <c r="R2052" s="729"/>
      <c r="S2052" s="729"/>
      <c r="T2052" s="729"/>
      <c r="U2052" s="343"/>
      <c r="V2052" s="343"/>
    </row>
    <row r="2053" spans="1:22" s="364" customFormat="1" ht="12.75" customHeight="1" x14ac:dyDescent="0.25">
      <c r="A2053" s="729"/>
      <c r="B2053" s="302"/>
      <c r="C2053" s="302"/>
      <c r="D2053" s="1820"/>
      <c r="E2053" s="2818" t="str">
        <f>Translations!$B$1475</f>
        <v>Вложена електроенергия за производството на топлинна енергия</v>
      </c>
      <c r="F2053" s="2701"/>
      <c r="G2053" s="1326" t="str">
        <f>EUconst_TJpa</f>
        <v>TJ / година</v>
      </c>
      <c r="H2053" s="482" t="str">
        <f>IF($M2001&lt;&gt;EUconst_Relevant,"",IF(INDEX('G_Fall-back'!H:H,MATCH($P2053,'G_Fall-back'!$Q:$Q,0))="","",INDEX('G_Fall-back'!H:H,MATCH($P2053,'G_Fall-back'!$Q:$Q,0))))</f>
        <v/>
      </c>
      <c r="I2053" s="1824" t="str">
        <f>IF($M2001&lt;&gt;EUconst_Relevant,"",IF(INDEX('G_Fall-back'!I:I,MATCH($P2053,'G_Fall-back'!$Q:$Q,0))="","",INDEX('G_Fall-back'!I:I,MATCH($P2053,'G_Fall-back'!$Q:$Q,0))))</f>
        <v/>
      </c>
      <c r="J2053" s="1825" t="str">
        <f>IF($M2001&lt;&gt;EUconst_Relevant,"",IF(INDEX('G_Fall-back'!J:J,MATCH($P2053,'G_Fall-back'!$Q:$Q,0))="","",INDEX('G_Fall-back'!J:J,MATCH($P2053,'G_Fall-back'!$Q:$Q,0))))</f>
        <v/>
      </c>
      <c r="K2053" s="482" t="str">
        <f>IF($M2001&lt;&gt;EUconst_Relevant,"",IF(INDEX('G_Fall-back'!K:K,MATCH($P2053,'G_Fall-back'!$Q:$Q,0))="","",INDEX('G_Fall-back'!K:K,MATCH($P2053,'G_Fall-back'!$Q:$Q,0))))</f>
        <v/>
      </c>
      <c r="L2053" s="482" t="str">
        <f>IF($M2001&lt;&gt;EUconst_Relevant,"",IF(INDEX('G_Fall-back'!L:L,MATCH($P2053,'G_Fall-back'!$Q:$Q,0))="","",INDEX('G_Fall-back'!L:L,MATCH($P2053,'G_Fall-back'!$Q:$Q,0))))</f>
        <v/>
      </c>
      <c r="M2053" s="482" t="str">
        <f>IF($M2001&lt;&gt;EUconst_Relevant,"",IF(INDEX('G_Fall-back'!M:M,MATCH($P2053,'G_Fall-back'!$Q:$Q,0))="","",INDEX('G_Fall-back'!M:M,MATCH($P2053,'G_Fall-back'!$Q:$Q,0))))</f>
        <v/>
      </c>
      <c r="N2053" s="1826" t="str">
        <f>IF($M2001&lt;&gt;EUconst_Relevant,"",IF(INDEX('G_Fall-back'!N:N,MATCH($P2053,'G_Fall-back'!$Q:$Q,0))="","",INDEX('G_Fall-back'!N:N,MATCH($P2053,'G_Fall-back'!$Q:$Q,0))))</f>
        <v/>
      </c>
      <c r="O2053" s="698"/>
      <c r="P2053" s="716" t="str">
        <f>EUconst_CNTR_ElectricityInput &amp;I2001</f>
        <v>ElectricityInput_Подинсталация на топлофикационна мрежа</v>
      </c>
      <c r="Q2053" s="729"/>
      <c r="R2053" s="729"/>
      <c r="S2053" s="729"/>
      <c r="T2053" s="729"/>
      <c r="U2053" s="343"/>
      <c r="V2053" s="343"/>
    </row>
    <row r="2054" spans="1:22" s="364" customFormat="1" ht="12.75" customHeight="1" x14ac:dyDescent="0.25">
      <c r="A2054" s="729"/>
      <c r="B2054" s="302"/>
      <c r="C2054" s="302"/>
      <c r="D2054" s="1820"/>
      <c r="E2054" s="2819" t="str">
        <f>Translations!$B$522</f>
        <v>Претеглен емисионен фактор</v>
      </c>
      <c r="F2054" s="2705"/>
      <c r="G2054" s="1329" t="str">
        <f>EUconst_tCO2pTJ</f>
        <v>t CO2 / TJ</v>
      </c>
      <c r="H2054" s="484" t="str">
        <f>IF($M2001&lt;&gt;EUconst_Relevant,"",IF(INDEX('G_Fall-back'!H:H,MATCH($P2054,'G_Fall-back'!$Q:$Q,0))="","",INDEX('G_Fall-back'!H:H,MATCH($P2054,'G_Fall-back'!$Q:$Q,0))))</f>
        <v/>
      </c>
      <c r="I2054" s="1828" t="str">
        <f>IF($M2001&lt;&gt;EUconst_Relevant,"",IF(INDEX('G_Fall-back'!I:I,MATCH($P2054,'G_Fall-back'!$Q:$Q,0))="","",INDEX('G_Fall-back'!I:I,MATCH($P2054,'G_Fall-back'!$Q:$Q,0))))</f>
        <v/>
      </c>
      <c r="J2054" s="1829" t="str">
        <f>IF($M2001&lt;&gt;EUconst_Relevant,"",IF(INDEX('G_Fall-back'!J:J,MATCH($P2054,'G_Fall-back'!$Q:$Q,0))="","",INDEX('G_Fall-back'!J:J,MATCH($P2054,'G_Fall-back'!$Q:$Q,0))))</f>
        <v/>
      </c>
      <c r="K2054" s="484" t="str">
        <f>IF($M2001&lt;&gt;EUconst_Relevant,"",IF(INDEX('G_Fall-back'!K:K,MATCH($P2054,'G_Fall-back'!$Q:$Q,0))="","",INDEX('G_Fall-back'!K:K,MATCH($P2054,'G_Fall-back'!$Q:$Q,0))))</f>
        <v/>
      </c>
      <c r="L2054" s="484" t="str">
        <f>IF($M2001&lt;&gt;EUconst_Relevant,"",IF(INDEX('G_Fall-back'!L:L,MATCH($P2054,'G_Fall-back'!$Q:$Q,0))="","",INDEX('G_Fall-back'!L:L,MATCH($P2054,'G_Fall-back'!$Q:$Q,0))))</f>
        <v/>
      </c>
      <c r="M2054" s="484" t="str">
        <f>IF($M2001&lt;&gt;EUconst_Relevant,"",IF(INDEX('G_Fall-back'!M:M,MATCH($P2054,'G_Fall-back'!$Q:$Q,0))="","",INDEX('G_Fall-back'!M:M,MATCH($P2054,'G_Fall-back'!$Q:$Q,0))))</f>
        <v/>
      </c>
      <c r="N2054" s="1830" t="str">
        <f>IF($M2001&lt;&gt;EUconst_Relevant,"",IF(INDEX('G_Fall-back'!N:N,MATCH($P2054,'G_Fall-back'!$Q:$Q,0))="","",INDEX('G_Fall-back'!N:N,MATCH($P2054,'G_Fall-back'!$Q:$Q,0))))</f>
        <v/>
      </c>
      <c r="O2054" s="698"/>
      <c r="P2054" s="1500" t="str">
        <f>EUconst_CNTR_ElectricityEF &amp;I2001</f>
        <v>ElectricityEF_Подинсталация на топлофикационна мрежа</v>
      </c>
      <c r="Q2054" s="729"/>
      <c r="R2054" s="729"/>
      <c r="S2054" s="729"/>
      <c r="T2054" s="729"/>
      <c r="U2054" s="343"/>
      <c r="V2054" s="343"/>
    </row>
    <row r="2055" spans="1:22" s="364" customFormat="1" ht="12.75" customHeight="1" x14ac:dyDescent="0.25">
      <c r="A2055" s="729"/>
      <c r="B2055" s="302"/>
      <c r="C2055" s="302"/>
      <c r="D2055" s="1820"/>
      <c r="E2055" s="2818" t="str">
        <f>Translations!$B$1476</f>
        <v>Друга вложена енергия (например екзотермична топлина)</v>
      </c>
      <c r="F2055" s="2701"/>
      <c r="G2055" s="1326" t="str">
        <f>EUconst_TJpa</f>
        <v>TJ / година</v>
      </c>
      <c r="H2055" s="482" t="str">
        <f>IF($M2001&lt;&gt;EUconst_Relevant,"",IF(INDEX('G_Fall-back'!H:H,MATCH($P2055,'G_Fall-back'!$Q:$Q,0))="","",INDEX('G_Fall-back'!H:H,MATCH($P2055,'G_Fall-back'!$Q:$Q,0))))</f>
        <v/>
      </c>
      <c r="I2055" s="1824" t="str">
        <f>IF($M2001&lt;&gt;EUconst_Relevant,"",IF(INDEX('G_Fall-back'!I:I,MATCH($P2055,'G_Fall-back'!$Q:$Q,0))="","",INDEX('G_Fall-back'!I:I,MATCH($P2055,'G_Fall-back'!$Q:$Q,0))))</f>
        <v/>
      </c>
      <c r="J2055" s="1825" t="str">
        <f>IF($M2001&lt;&gt;EUconst_Relevant,"",IF(INDEX('G_Fall-back'!J:J,MATCH($P2055,'G_Fall-back'!$Q:$Q,0))="","",INDEX('G_Fall-back'!J:J,MATCH($P2055,'G_Fall-back'!$Q:$Q,0))))</f>
        <v/>
      </c>
      <c r="K2055" s="482" t="str">
        <f>IF($M2001&lt;&gt;EUconst_Relevant,"",IF(INDEX('G_Fall-back'!K:K,MATCH($P2055,'G_Fall-back'!$Q:$Q,0))="","",INDEX('G_Fall-back'!K:K,MATCH($P2055,'G_Fall-back'!$Q:$Q,0))))</f>
        <v/>
      </c>
      <c r="L2055" s="482" t="str">
        <f>IF($M2001&lt;&gt;EUconst_Relevant,"",IF(INDEX('G_Fall-back'!L:L,MATCH($P2055,'G_Fall-back'!$Q:$Q,0))="","",INDEX('G_Fall-back'!L:L,MATCH($P2055,'G_Fall-back'!$Q:$Q,0))))</f>
        <v/>
      </c>
      <c r="M2055" s="482" t="str">
        <f>IF($M2001&lt;&gt;EUconst_Relevant,"",IF(INDEX('G_Fall-back'!M:M,MATCH($P2055,'G_Fall-back'!$Q:$Q,0))="","",INDEX('G_Fall-back'!M:M,MATCH($P2055,'G_Fall-back'!$Q:$Q,0))))</f>
        <v/>
      </c>
      <c r="N2055" s="1826" t="str">
        <f>IF($M2001&lt;&gt;EUconst_Relevant,"",IF(INDEX('G_Fall-back'!N:N,MATCH($P2055,'G_Fall-back'!$Q:$Q,0))="","",INDEX('G_Fall-back'!N:N,MATCH($P2055,'G_Fall-back'!$Q:$Q,0))))</f>
        <v/>
      </c>
      <c r="O2055" s="698"/>
      <c r="P2055" s="716" t="str">
        <f>EUconst_CNTR_OtherEnergyInput&amp;I2001</f>
        <v>OtherEnergyInput_Подинсталация на топлофикационна мрежа</v>
      </c>
      <c r="Q2055" s="729"/>
      <c r="R2055" s="729"/>
      <c r="S2055" s="729"/>
      <c r="T2055" s="729"/>
      <c r="U2055" s="343"/>
      <c r="V2055" s="343"/>
    </row>
    <row r="2056" spans="1:22" s="364" customFormat="1" ht="12.75" customHeight="1" x14ac:dyDescent="0.25">
      <c r="A2056" s="729"/>
      <c r="B2056" s="302"/>
      <c r="C2056" s="302"/>
      <c r="D2056" s="1820"/>
      <c r="E2056" s="2819" t="str">
        <f>Translations!$B$522</f>
        <v>Претеглен емисионен фактор</v>
      </c>
      <c r="F2056" s="2705"/>
      <c r="G2056" s="1329" t="str">
        <f>EUconst_tCO2pTJ</f>
        <v>t CO2 / TJ</v>
      </c>
      <c r="H2056" s="484" t="str">
        <f>IF($M2001&lt;&gt;EUconst_Relevant,"",IF(INDEX('G_Fall-back'!H:H,MATCH($P2056,'G_Fall-back'!$Q:$Q,0))="","",INDEX('G_Fall-back'!H:H,MATCH($P2056,'G_Fall-back'!$Q:$Q,0))))</f>
        <v/>
      </c>
      <c r="I2056" s="1828" t="str">
        <f>IF($M2001&lt;&gt;EUconst_Relevant,"",IF(INDEX('G_Fall-back'!I:I,MATCH($P2056,'G_Fall-back'!$Q:$Q,0))="","",INDEX('G_Fall-back'!I:I,MATCH($P2056,'G_Fall-back'!$Q:$Q,0))))</f>
        <v/>
      </c>
      <c r="J2056" s="1829" t="str">
        <f>IF($M2001&lt;&gt;EUconst_Relevant,"",IF(INDEX('G_Fall-back'!J:J,MATCH($P2056,'G_Fall-back'!$Q:$Q,0))="","",INDEX('G_Fall-back'!J:J,MATCH($P2056,'G_Fall-back'!$Q:$Q,0))))</f>
        <v/>
      </c>
      <c r="K2056" s="484" t="str">
        <f>IF($M2001&lt;&gt;EUconst_Relevant,"",IF(INDEX('G_Fall-back'!K:K,MATCH($P2056,'G_Fall-back'!$Q:$Q,0))="","",INDEX('G_Fall-back'!K:K,MATCH($P2056,'G_Fall-back'!$Q:$Q,0))))</f>
        <v/>
      </c>
      <c r="L2056" s="484" t="str">
        <f>IF($M2001&lt;&gt;EUconst_Relevant,"",IF(INDEX('G_Fall-back'!L:L,MATCH($P2056,'G_Fall-back'!$Q:$Q,0))="","",INDEX('G_Fall-back'!L:L,MATCH($P2056,'G_Fall-back'!$Q:$Q,0))))</f>
        <v/>
      </c>
      <c r="M2056" s="484" t="str">
        <f>IF($M2001&lt;&gt;EUconst_Relevant,"",IF(INDEX('G_Fall-back'!M:M,MATCH($P2056,'G_Fall-back'!$Q:$Q,0))="","",INDEX('G_Fall-back'!M:M,MATCH($P2056,'G_Fall-back'!$Q:$Q,0))))</f>
        <v/>
      </c>
      <c r="N2056" s="1830" t="str">
        <f>IF($M2001&lt;&gt;EUconst_Relevant,"",IF(INDEX('G_Fall-back'!N:N,MATCH($P2056,'G_Fall-back'!$Q:$Q,0))="","",INDEX('G_Fall-back'!N:N,MATCH($P2056,'G_Fall-back'!$Q:$Q,0))))</f>
        <v/>
      </c>
      <c r="O2056" s="698"/>
      <c r="P2056" s="1500" t="str">
        <f>EUconst_CNTR_OtherEnergyEF &amp;I2001</f>
        <v>ElectricityEF_Подинсталация на топлофикационна мрежа</v>
      </c>
      <c r="Q2056" s="729"/>
      <c r="R2056" s="729"/>
      <c r="S2056" s="729"/>
      <c r="T2056" s="729"/>
      <c r="U2056" s="343"/>
      <c r="V2056" s="343"/>
    </row>
    <row r="2057" spans="1:22" s="364" customFormat="1" ht="12.75" customHeight="1" x14ac:dyDescent="0.25">
      <c r="A2057" s="729"/>
      <c r="B2057" s="302"/>
      <c r="C2057" s="302"/>
      <c r="D2057" s="1820"/>
      <c r="E2057" s="2819" t="str">
        <f>Translations!$B$1553</f>
        <v>Обща вложена енергия (= i. + v. + vii.)</v>
      </c>
      <c r="F2057" s="2705"/>
      <c r="G2057" s="1329" t="str">
        <f>EUconst_TJpa</f>
        <v>TJ / година</v>
      </c>
      <c r="H2057" s="484" t="str">
        <f>IF($M2001&lt;&gt;EUconst_Relevant,"",IF(INDEX('G_Fall-back'!H:H,MATCH($P2057,'G_Fall-back'!$Q:$Q,0))="","",INDEX('G_Fall-back'!H:H,MATCH($P2057,'G_Fall-back'!$Q:$Q,0))))</f>
        <v/>
      </c>
      <c r="I2057" s="1828" t="str">
        <f>IF($M2001&lt;&gt;EUconst_Relevant,"",IF(INDEX('G_Fall-back'!I:I,MATCH($P2057,'G_Fall-back'!$Q:$Q,0))="","",INDEX('G_Fall-back'!I:I,MATCH($P2057,'G_Fall-back'!$Q:$Q,0))))</f>
        <v/>
      </c>
      <c r="J2057" s="1829" t="str">
        <f>IF($M2001&lt;&gt;EUconst_Relevant,"",IF(INDEX('G_Fall-back'!J:J,MATCH($P2057,'G_Fall-back'!$Q:$Q,0))="","",INDEX('G_Fall-back'!J:J,MATCH($P2057,'G_Fall-back'!$Q:$Q,0))))</f>
        <v/>
      </c>
      <c r="K2057" s="484" t="str">
        <f>IF($M2001&lt;&gt;EUconst_Relevant,"",IF(INDEX('G_Fall-back'!K:K,MATCH($P2057,'G_Fall-back'!$Q:$Q,0))="","",INDEX('G_Fall-back'!K:K,MATCH($P2057,'G_Fall-back'!$Q:$Q,0))))</f>
        <v/>
      </c>
      <c r="L2057" s="484" t="str">
        <f>IF($M2001&lt;&gt;EUconst_Relevant,"",IF(INDEX('G_Fall-back'!L:L,MATCH($P2057,'G_Fall-back'!$Q:$Q,0))="","",INDEX('G_Fall-back'!L:L,MATCH($P2057,'G_Fall-back'!$Q:$Q,0))))</f>
        <v/>
      </c>
      <c r="M2057" s="484" t="str">
        <f>IF($M2001&lt;&gt;EUconst_Relevant,"",IF(INDEX('G_Fall-back'!M:M,MATCH($P2057,'G_Fall-back'!$Q:$Q,0))="","",INDEX('G_Fall-back'!M:M,MATCH($P2057,'G_Fall-back'!$Q:$Q,0))))</f>
        <v/>
      </c>
      <c r="N2057" s="1830" t="str">
        <f>IF($M2001&lt;&gt;EUconst_Relevant,"",IF(INDEX('G_Fall-back'!N:N,MATCH($P2057,'G_Fall-back'!$Q:$Q,0))="","",INDEX('G_Fall-back'!N:N,MATCH($P2057,'G_Fall-back'!$Q:$Q,0))))</f>
        <v/>
      </c>
      <c r="O2057" s="698"/>
      <c r="P2057" s="1500" t="str">
        <f>EUconst_CNTR_TotalEnergyInput&amp;I2001</f>
        <v>TotalEnergyInput_Подинсталация на топлофикационна мрежа</v>
      </c>
      <c r="Q2057" s="729"/>
      <c r="R2057" s="729"/>
      <c r="S2057" s="729"/>
      <c r="T2057" s="729"/>
      <c r="U2057" s="343"/>
      <c r="V2057" s="343"/>
    </row>
    <row r="2058" spans="1:22" s="364" customFormat="1" ht="5.15" customHeight="1" x14ac:dyDescent="0.25">
      <c r="A2058" s="729"/>
      <c r="B2058" s="302"/>
      <c r="C2058" s="302"/>
      <c r="D2058" s="1820"/>
      <c r="E2058" s="625"/>
      <c r="F2058" s="626"/>
      <c r="G2058" s="626"/>
      <c r="H2058" s="640"/>
      <c r="I2058" s="640"/>
      <c r="J2058" s="640"/>
      <c r="K2058" s="640"/>
      <c r="L2058" s="640"/>
      <c r="M2058" s="640"/>
      <c r="N2058" s="1831"/>
      <c r="O2058" s="698"/>
      <c r="P2058" s="729"/>
      <c r="Q2058" s="729"/>
      <c r="R2058" s="729"/>
      <c r="S2058" s="729"/>
      <c r="T2058" s="729"/>
      <c r="U2058" s="343"/>
      <c r="V2058" s="343"/>
    </row>
    <row r="2059" spans="1:22" s="364" customFormat="1" x14ac:dyDescent="0.25">
      <c r="A2059" s="729"/>
      <c r="B2059" s="302"/>
      <c r="C2059" s="302"/>
      <c r="D2059" s="1820"/>
      <c r="E2059" s="2820" t="str">
        <f>Translations!$B$484</f>
        <v>Преки емисии</v>
      </c>
      <c r="F2059" s="2258"/>
      <c r="G2059" s="1319" t="str">
        <f>EUconst_tCO2pa</f>
        <v>t CO2 / година</v>
      </c>
      <c r="H2059" s="480" t="str">
        <f>IF($M2001&lt;&gt;EUconst_Relevant,"",IF(INDEX('G_Fall-back'!H:H,MATCH($P2059,'G_Fall-back'!$Q:$Q,0))="","",INDEX('G_Fall-back'!H:H,MATCH($P2059,'G_Fall-back'!$Q:$Q,0))))</f>
        <v/>
      </c>
      <c r="I2059" s="1399" t="str">
        <f>IF($M2001&lt;&gt;EUconst_Relevant,"",IF(INDEX('G_Fall-back'!I:I,MATCH($P2059,'G_Fall-back'!$Q:$Q,0))="","",INDEX('G_Fall-back'!I:I,MATCH($P2059,'G_Fall-back'!$Q:$Q,0))))</f>
        <v/>
      </c>
      <c r="J2059" s="1832" t="str">
        <f>IF($M2001&lt;&gt;EUconst_Relevant,"",IF(INDEX('G_Fall-back'!J:J,MATCH($P2059,'G_Fall-back'!$Q:$Q,0))="","",INDEX('G_Fall-back'!J:J,MATCH($P2059,'G_Fall-back'!$Q:$Q,0))))</f>
        <v/>
      </c>
      <c r="K2059" s="480" t="str">
        <f>IF($M2001&lt;&gt;EUconst_Relevant,"",IF(INDEX('G_Fall-back'!K:K,MATCH($P2059,'G_Fall-back'!$Q:$Q,0))="","",INDEX('G_Fall-back'!K:K,MATCH($P2059,'G_Fall-back'!$Q:$Q,0))))</f>
        <v/>
      </c>
      <c r="L2059" s="480" t="str">
        <f>IF($M2001&lt;&gt;EUconst_Relevant,"",IF(INDEX('G_Fall-back'!L:L,MATCH($P2059,'G_Fall-back'!$Q:$Q,0))="","",INDEX('G_Fall-back'!L:L,MATCH($P2059,'G_Fall-back'!$Q:$Q,0))))</f>
        <v/>
      </c>
      <c r="M2059" s="480" t="str">
        <f>IF($M2001&lt;&gt;EUconst_Relevant,"",IF(INDEX('G_Fall-back'!M:M,MATCH($P2059,'G_Fall-back'!$Q:$Q,0))="","",INDEX('G_Fall-back'!M:M,MATCH($P2059,'G_Fall-back'!$Q:$Q,0))))</f>
        <v/>
      </c>
      <c r="N2059" s="1833" t="str">
        <f>IF($M2001&lt;&gt;EUconst_Relevant,"",IF(INDEX('G_Fall-back'!N:N,MATCH($P2059,'G_Fall-back'!$Q:$Q,0))="","",INDEX('G_Fall-back'!N:N,MATCH($P2059,'G_Fall-back'!$Q:$Q,0))))</f>
        <v/>
      </c>
      <c r="O2059" s="698"/>
      <c r="P2059" s="1500" t="str">
        <f>EUconst_CNTR_Emissions &amp;I2001</f>
        <v>DirEmissions_Подинсталация на топлофикационна мрежа</v>
      </c>
      <c r="Q2059" s="729"/>
      <c r="R2059" s="729"/>
      <c r="S2059" s="729"/>
      <c r="T2059" s="729"/>
      <c r="U2059" s="343"/>
      <c r="V2059" s="343"/>
    </row>
    <row r="2060" spans="1:22" s="364" customFormat="1" ht="5.15" customHeight="1" x14ac:dyDescent="0.25">
      <c r="A2060" s="729"/>
      <c r="B2060" s="302"/>
      <c r="C2060" s="302"/>
      <c r="D2060" s="1820"/>
      <c r="E2060" s="625"/>
      <c r="F2060" s="625"/>
      <c r="G2060" s="625"/>
      <c r="H2060" s="640"/>
      <c r="I2060" s="640"/>
      <c r="J2060" s="640"/>
      <c r="K2060" s="640"/>
      <c r="L2060" s="640"/>
      <c r="M2060" s="640"/>
      <c r="N2060" s="1831"/>
      <c r="O2060" s="698"/>
      <c r="P2060" s="729"/>
      <c r="Q2060" s="729"/>
      <c r="R2060" s="729"/>
      <c r="S2060" s="729"/>
      <c r="T2060" s="729"/>
      <c r="U2060" s="343"/>
      <c r="V2060" s="343"/>
    </row>
    <row r="2061" spans="1:22" s="364" customFormat="1" ht="12.75" customHeight="1" x14ac:dyDescent="0.25">
      <c r="A2061" s="729"/>
      <c r="B2061" s="302"/>
      <c r="C2061" s="302"/>
      <c r="D2061" s="1820"/>
      <c r="E2061" s="2818" t="str">
        <f>Translations!$B$959</f>
        <v>Нетно к-во получена топлинна енергия (други)</v>
      </c>
      <c r="F2061" s="2701"/>
      <c r="G2061" s="1326" t="str">
        <f>EUconst_TJpa</f>
        <v>TJ / година</v>
      </c>
      <c r="H2061" s="482" t="str">
        <f>IF($M2001&lt;&gt;EUconst_Relevant,"",IF(INDEX('G_Fall-back'!H:H,MATCH($P2061,'G_Fall-back'!$Q:$Q,0))="","",INDEX('G_Fall-back'!H:H,MATCH($P2061,'G_Fall-back'!$Q:$Q,0))))</f>
        <v/>
      </c>
      <c r="I2061" s="1824" t="str">
        <f>IF($M2001&lt;&gt;EUconst_Relevant,"",IF(INDEX('G_Fall-back'!I:I,MATCH($P2061,'G_Fall-back'!$Q:$Q,0))="","",INDEX('G_Fall-back'!I:I,MATCH($P2061,'G_Fall-back'!$Q:$Q,0))))</f>
        <v/>
      </c>
      <c r="J2061" s="1825" t="str">
        <f>IF($M2001&lt;&gt;EUconst_Relevant,"",IF(INDEX('G_Fall-back'!J:J,MATCH($P2061,'G_Fall-back'!$Q:$Q,0))="","",INDEX('G_Fall-back'!J:J,MATCH($P2061,'G_Fall-back'!$Q:$Q,0))))</f>
        <v/>
      </c>
      <c r="K2061" s="482" t="str">
        <f>IF($M2001&lt;&gt;EUconst_Relevant,"",IF(INDEX('G_Fall-back'!K:K,MATCH($P2061,'G_Fall-back'!$Q:$Q,0))="","",INDEX('G_Fall-back'!K:K,MATCH($P2061,'G_Fall-back'!$Q:$Q,0))))</f>
        <v/>
      </c>
      <c r="L2061" s="482" t="str">
        <f>IF($M2001&lt;&gt;EUconst_Relevant,"",IF(INDEX('G_Fall-back'!L:L,MATCH($P2061,'G_Fall-back'!$Q:$Q,0))="","",INDEX('G_Fall-back'!L:L,MATCH($P2061,'G_Fall-back'!$Q:$Q,0))))</f>
        <v/>
      </c>
      <c r="M2061" s="482" t="str">
        <f>IF($M2001&lt;&gt;EUconst_Relevant,"",IF(INDEX('G_Fall-back'!M:M,MATCH($P2061,'G_Fall-back'!$Q:$Q,0))="","",INDEX('G_Fall-back'!M:M,MATCH($P2061,'G_Fall-back'!$Q:$Q,0))))</f>
        <v/>
      </c>
      <c r="N2061" s="1826" t="str">
        <f>IF($M2001&lt;&gt;EUconst_Relevant,"",IF(INDEX('G_Fall-back'!N:N,MATCH($P2061,'G_Fall-back'!$Q:$Q,0))="","",INDEX('G_Fall-back'!N:N,MATCH($P2061,'G_Fall-back'!$Q:$Q,0))))</f>
        <v/>
      </c>
      <c r="O2061" s="698"/>
      <c r="P2061" s="1500" t="str">
        <f>EUconst_CNTR_HeatImport &amp;I2001</f>
        <v>HeatIm_Подинсталация на топлофикационна мрежа</v>
      </c>
      <c r="Q2061" s="729"/>
      <c r="R2061" s="729"/>
      <c r="S2061" s="729"/>
      <c r="T2061" s="729"/>
      <c r="U2061" s="343"/>
      <c r="V2061" s="343"/>
    </row>
    <row r="2062" spans="1:22" s="364" customFormat="1" ht="12.75" customHeight="1" x14ac:dyDescent="0.25">
      <c r="A2062" s="729"/>
      <c r="B2062" s="302"/>
      <c r="C2062" s="302"/>
      <c r="D2062" s="1820"/>
      <c r="E2062" s="2819" t="str">
        <f>Translations!$B$555</f>
        <v>Специфичен EF (получена топлинна енергия)</v>
      </c>
      <c r="F2062" s="2705"/>
      <c r="G2062" s="1329" t="str">
        <f>EUconst_tCO2pTJ</f>
        <v>t CO2 / TJ</v>
      </c>
      <c r="H2062" s="484" t="str">
        <f>IF($M2001&lt;&gt;EUconst_Relevant,"",IF(INDEX('G_Fall-back'!H:H,MATCH($P2062,'G_Fall-back'!$Q:$Q,0))="","",INDEX('G_Fall-back'!H:H,MATCH($P2062,'G_Fall-back'!$Q:$Q,0))))</f>
        <v/>
      </c>
      <c r="I2062" s="1828" t="str">
        <f>IF($M2001&lt;&gt;EUconst_Relevant,"",IF(INDEX('G_Fall-back'!I:I,MATCH($P2062,'G_Fall-back'!$Q:$Q,0))="","",INDEX('G_Fall-back'!I:I,MATCH($P2062,'G_Fall-back'!$Q:$Q,0))))</f>
        <v/>
      </c>
      <c r="J2062" s="1829" t="str">
        <f>IF($M2001&lt;&gt;EUconst_Relevant,"",IF(INDEX('G_Fall-back'!J:J,MATCH($P2062,'G_Fall-back'!$Q:$Q,0))="","",INDEX('G_Fall-back'!J:J,MATCH($P2062,'G_Fall-back'!$Q:$Q,0))))</f>
        <v/>
      </c>
      <c r="K2062" s="484" t="str">
        <f>IF($M2001&lt;&gt;EUconst_Relevant,"",IF(INDEX('G_Fall-back'!K:K,MATCH($P2062,'G_Fall-back'!$Q:$Q,0))="","",INDEX('G_Fall-back'!K:K,MATCH($P2062,'G_Fall-back'!$Q:$Q,0))))</f>
        <v/>
      </c>
      <c r="L2062" s="484" t="str">
        <f>IF($M2001&lt;&gt;EUconst_Relevant,"",IF(INDEX('G_Fall-back'!L:L,MATCH($P2062,'G_Fall-back'!$Q:$Q,0))="","",INDEX('G_Fall-back'!L:L,MATCH($P2062,'G_Fall-back'!$Q:$Q,0))))</f>
        <v/>
      </c>
      <c r="M2062" s="484" t="str">
        <f>IF($M2001&lt;&gt;EUconst_Relevant,"",IF(INDEX('G_Fall-back'!M:M,MATCH($P2062,'G_Fall-back'!$Q:$Q,0))="","",INDEX('G_Fall-back'!M:M,MATCH($P2062,'G_Fall-back'!$Q:$Q,0))))</f>
        <v/>
      </c>
      <c r="N2062" s="1830" t="str">
        <f>IF($M2001&lt;&gt;EUconst_Relevant,"",IF(INDEX('G_Fall-back'!N:N,MATCH($P2062,'G_Fall-back'!$Q:$Q,0))="","",INDEX('G_Fall-back'!N:N,MATCH($P2062,'G_Fall-back'!$Q:$Q,0))))</f>
        <v/>
      </c>
      <c r="O2062" s="698"/>
      <c r="P2062" s="1500" t="str">
        <f>EUconst_CNTR_HeatImportEF &amp;I2001</f>
        <v>HeatImEF_Подинсталация на топлофикационна мрежа</v>
      </c>
      <c r="Q2062" s="729"/>
      <c r="R2062" s="729"/>
      <c r="S2062" s="729"/>
      <c r="T2062" s="729"/>
      <c r="U2062" s="343"/>
      <c r="V2062" s="343"/>
    </row>
    <row r="2063" spans="1:22" s="364" customFormat="1" ht="12.75" customHeight="1" x14ac:dyDescent="0.25">
      <c r="A2063" s="729"/>
      <c r="B2063" s="302"/>
      <c r="C2063" s="302"/>
      <c r="D2063" s="1820"/>
      <c r="E2063" s="2818" t="str">
        <f>Translations!$B$960</f>
        <v>Нетно к-во получена топлинна енергия (прод. п-л)</v>
      </c>
      <c r="F2063" s="2701"/>
      <c r="G2063" s="1326" t="str">
        <f>EUconst_TJpa</f>
        <v>TJ / година</v>
      </c>
      <c r="H2063" s="482" t="str">
        <f>IF($M2001&lt;&gt;EUconst_Relevant,"",IF(INDEX('G_Fall-back'!H:H,MATCH($P2063,'G_Fall-back'!$Q:$Q,0))="","",INDEX('G_Fall-back'!H:H,MATCH($P2063,'G_Fall-back'!$Q:$Q,0))))</f>
        <v/>
      </c>
      <c r="I2063" s="1824" t="str">
        <f>IF($M2001&lt;&gt;EUconst_Relevant,"",IF(INDEX('G_Fall-back'!I:I,MATCH($P2063,'G_Fall-back'!$Q:$Q,0))="","",INDEX('G_Fall-back'!I:I,MATCH($P2063,'G_Fall-back'!$Q:$Q,0))))</f>
        <v/>
      </c>
      <c r="J2063" s="1825" t="str">
        <f>IF($M2001&lt;&gt;EUconst_Relevant,"",IF(INDEX('G_Fall-back'!J:J,MATCH($P2063,'G_Fall-back'!$Q:$Q,0))="","",INDEX('G_Fall-back'!J:J,MATCH($P2063,'G_Fall-back'!$Q:$Q,0))))</f>
        <v/>
      </c>
      <c r="K2063" s="482" t="str">
        <f>IF($M2001&lt;&gt;EUconst_Relevant,"",IF(INDEX('G_Fall-back'!K:K,MATCH($P2063,'G_Fall-back'!$Q:$Q,0))="","",INDEX('G_Fall-back'!K:K,MATCH($P2063,'G_Fall-back'!$Q:$Q,0))))</f>
        <v/>
      </c>
      <c r="L2063" s="482" t="str">
        <f>IF($M2001&lt;&gt;EUconst_Relevant,"",IF(INDEX('G_Fall-back'!L:L,MATCH($P2063,'G_Fall-back'!$Q:$Q,0))="","",INDEX('G_Fall-back'!L:L,MATCH($P2063,'G_Fall-back'!$Q:$Q,0))))</f>
        <v/>
      </c>
      <c r="M2063" s="482" t="str">
        <f>IF($M2001&lt;&gt;EUconst_Relevant,"",IF(INDEX('G_Fall-back'!M:M,MATCH($P2063,'G_Fall-back'!$Q:$Q,0))="","",INDEX('G_Fall-back'!M:M,MATCH($P2063,'G_Fall-back'!$Q:$Q,0))))</f>
        <v/>
      </c>
      <c r="N2063" s="1826" t="str">
        <f>IF($M2001&lt;&gt;EUconst_Relevant,"",IF(INDEX('G_Fall-back'!N:N,MATCH($P2063,'G_Fall-back'!$Q:$Q,0))="","",INDEX('G_Fall-back'!N:N,MATCH($P2063,'G_Fall-back'!$Q:$Q,0))))</f>
        <v/>
      </c>
      <c r="O2063" s="698"/>
      <c r="P2063" s="1500" t="str">
        <f>EUconst_CNTR_HeatImportProduct &amp;I2001</f>
        <v>HeatImProd_Подинсталация на топлофикационна мрежа</v>
      </c>
      <c r="Q2063" s="729"/>
      <c r="R2063" s="729"/>
      <c r="S2063" s="729"/>
      <c r="T2063" s="729"/>
      <c r="U2063" s="343"/>
      <c r="V2063" s="343"/>
    </row>
    <row r="2064" spans="1:22" s="364" customFormat="1" ht="12.75" customHeight="1" x14ac:dyDescent="0.25">
      <c r="A2064" s="729"/>
      <c r="B2064" s="302"/>
      <c r="C2064" s="302"/>
      <c r="D2064" s="1820"/>
      <c r="E2064" s="2819" t="str">
        <f>Translations!$B$652</f>
        <v>Специфичен EF (от продуктов показател)</v>
      </c>
      <c r="F2064" s="2705"/>
      <c r="G2064" s="1329" t="str">
        <f>EUconst_tCO2pTJ</f>
        <v>t CO2 / TJ</v>
      </c>
      <c r="H2064" s="484" t="str">
        <f>IF($M2001&lt;&gt;EUconst_Relevant,"",IF(INDEX('G_Fall-back'!H:H,MATCH($P2064,'G_Fall-back'!$Q:$Q,0))="","",INDEX('G_Fall-back'!H:H,MATCH($P2064,'G_Fall-back'!$Q:$Q,0))))</f>
        <v/>
      </c>
      <c r="I2064" s="1828" t="str">
        <f>IF($M2001&lt;&gt;EUconst_Relevant,"",IF(INDEX('G_Fall-back'!I:I,MATCH($P2064,'G_Fall-back'!$Q:$Q,0))="","",INDEX('G_Fall-back'!I:I,MATCH($P2064,'G_Fall-back'!$Q:$Q,0))))</f>
        <v/>
      </c>
      <c r="J2064" s="1829" t="str">
        <f>IF($M2001&lt;&gt;EUconst_Relevant,"",IF(INDEX('G_Fall-back'!J:J,MATCH($P2064,'G_Fall-back'!$Q:$Q,0))="","",INDEX('G_Fall-back'!J:J,MATCH($P2064,'G_Fall-back'!$Q:$Q,0))))</f>
        <v/>
      </c>
      <c r="K2064" s="484" t="str">
        <f>IF($M2001&lt;&gt;EUconst_Relevant,"",IF(INDEX('G_Fall-back'!K:K,MATCH($P2064,'G_Fall-back'!$Q:$Q,0))="","",INDEX('G_Fall-back'!K:K,MATCH($P2064,'G_Fall-back'!$Q:$Q,0))))</f>
        <v/>
      </c>
      <c r="L2064" s="484" t="str">
        <f>IF($M2001&lt;&gt;EUconst_Relevant,"",IF(INDEX('G_Fall-back'!L:L,MATCH($P2064,'G_Fall-back'!$Q:$Q,0))="","",INDEX('G_Fall-back'!L:L,MATCH($P2064,'G_Fall-back'!$Q:$Q,0))))</f>
        <v/>
      </c>
      <c r="M2064" s="484" t="str">
        <f>IF($M2001&lt;&gt;EUconst_Relevant,"",IF(INDEX('G_Fall-back'!M:M,MATCH($P2064,'G_Fall-back'!$Q:$Q,0))="","",INDEX('G_Fall-back'!M:M,MATCH($P2064,'G_Fall-back'!$Q:$Q,0))))</f>
        <v/>
      </c>
      <c r="N2064" s="1830" t="str">
        <f>IF($M2001&lt;&gt;EUconst_Relevant,"",IF(INDEX('G_Fall-back'!N:N,MATCH($P2064,'G_Fall-back'!$Q:$Q,0))="","",INDEX('G_Fall-back'!N:N,MATCH($P2064,'G_Fall-back'!$Q:$Q,0))))</f>
        <v/>
      </c>
      <c r="O2064" s="698"/>
      <c r="P2064" s="1500" t="str">
        <f>EUconst_CNTR_HeatImportProductEF &amp;I2001</f>
        <v>HeatImProdEF_Подинсталация на топлофикационна мрежа</v>
      </c>
      <c r="Q2064" s="729"/>
      <c r="R2064" s="729"/>
      <c r="S2064" s="729"/>
      <c r="T2064" s="729"/>
      <c r="U2064" s="343"/>
      <c r="V2064" s="343"/>
    </row>
    <row r="2065" spans="1:22" s="364" customFormat="1" ht="12.75" customHeight="1" x14ac:dyDescent="0.25">
      <c r="A2065" s="729"/>
      <c r="B2065" s="302"/>
      <c r="C2065" s="302"/>
      <c r="D2065" s="1820"/>
      <c r="E2065" s="2818" t="str">
        <f>Translations!$B$961</f>
        <v>Нетно к-во получена топлинна енергия (пулп)</v>
      </c>
      <c r="F2065" s="2701"/>
      <c r="G2065" s="1326" t="str">
        <f>EUconst_TJpa</f>
        <v>TJ / година</v>
      </c>
      <c r="H2065" s="482" t="str">
        <f>IF($M2001&lt;&gt;EUconst_Relevant,"",IF(INDEX('G_Fall-back'!H:H,MATCH($P2065,'G_Fall-back'!$Q:$Q,0))="","",INDEX('G_Fall-back'!H:H,MATCH($P2065,'G_Fall-back'!$Q:$Q,0))))</f>
        <v/>
      </c>
      <c r="I2065" s="1824" t="str">
        <f>IF($M2001&lt;&gt;EUconst_Relevant,"",IF(INDEX('G_Fall-back'!I:I,MATCH($P2065,'G_Fall-back'!$Q:$Q,0))="","",INDEX('G_Fall-back'!I:I,MATCH($P2065,'G_Fall-back'!$Q:$Q,0))))</f>
        <v/>
      </c>
      <c r="J2065" s="1825" t="str">
        <f>IF($M2001&lt;&gt;EUconst_Relevant,"",IF(INDEX('G_Fall-back'!J:J,MATCH($P2065,'G_Fall-back'!$Q:$Q,0))="","",INDEX('G_Fall-back'!J:J,MATCH($P2065,'G_Fall-back'!$Q:$Q,0))))</f>
        <v/>
      </c>
      <c r="K2065" s="482" t="str">
        <f>IF($M2001&lt;&gt;EUconst_Relevant,"",IF(INDEX('G_Fall-back'!K:K,MATCH($P2065,'G_Fall-back'!$Q:$Q,0))="","",INDEX('G_Fall-back'!K:K,MATCH($P2065,'G_Fall-back'!$Q:$Q,0))))</f>
        <v/>
      </c>
      <c r="L2065" s="482" t="str">
        <f>IF($M2001&lt;&gt;EUconst_Relevant,"",IF(INDEX('G_Fall-back'!L:L,MATCH($P2065,'G_Fall-back'!$Q:$Q,0))="","",INDEX('G_Fall-back'!L:L,MATCH($P2065,'G_Fall-back'!$Q:$Q,0))))</f>
        <v/>
      </c>
      <c r="M2065" s="482" t="str">
        <f>IF($M2001&lt;&gt;EUconst_Relevant,"",IF(INDEX('G_Fall-back'!M:M,MATCH($P2065,'G_Fall-back'!$Q:$Q,0))="","",INDEX('G_Fall-back'!M:M,MATCH($P2065,'G_Fall-back'!$Q:$Q,0))))</f>
        <v/>
      </c>
      <c r="N2065" s="1826" t="str">
        <f>IF($M2001&lt;&gt;EUconst_Relevant,"",IF(INDEX('G_Fall-back'!N:N,MATCH($P2065,'G_Fall-back'!$Q:$Q,0))="","",INDEX('G_Fall-back'!N:N,MATCH($P2065,'G_Fall-back'!$Q:$Q,0))))</f>
        <v/>
      </c>
      <c r="O2065" s="698"/>
      <c r="P2065" s="1500" t="str">
        <f>EUconst_CNTR_HeatImportPulp &amp;I2001</f>
        <v>HeatImPulp_Подинсталация на топлофикационна мрежа</v>
      </c>
      <c r="Q2065" s="729"/>
      <c r="R2065" s="729"/>
      <c r="S2065" s="729"/>
      <c r="T2065" s="729"/>
      <c r="U2065" s="343"/>
      <c r="V2065" s="343"/>
    </row>
    <row r="2066" spans="1:22" s="364" customFormat="1" x14ac:dyDescent="0.25">
      <c r="A2066" s="729"/>
      <c r="B2066" s="302"/>
      <c r="C2066" s="302"/>
      <c r="D2066" s="1820"/>
      <c r="E2066" s="2819" t="str">
        <f>Translations!$B$654</f>
        <v>Специфичен EF (от пулп)</v>
      </c>
      <c r="F2066" s="2705"/>
      <c r="G2066" s="1329" t="str">
        <f>EUconst_tCO2pTJ</f>
        <v>t CO2 / TJ</v>
      </c>
      <c r="H2066" s="484" t="str">
        <f>IF($M2001&lt;&gt;EUconst_Relevant,"",IF(INDEX('G_Fall-back'!H:H,MATCH($P2066,'G_Fall-back'!$Q:$Q,0))="","",INDEX('G_Fall-back'!H:H,MATCH($P2066,'G_Fall-back'!$Q:$Q,0))))</f>
        <v/>
      </c>
      <c r="I2066" s="1828" t="str">
        <f>IF($M2001&lt;&gt;EUconst_Relevant,"",IF(INDEX('G_Fall-back'!I:I,MATCH($P2066,'G_Fall-back'!$Q:$Q,0))="","",INDEX('G_Fall-back'!I:I,MATCH($P2066,'G_Fall-back'!$Q:$Q,0))))</f>
        <v/>
      </c>
      <c r="J2066" s="1829" t="str">
        <f>IF($M2001&lt;&gt;EUconst_Relevant,"",IF(INDEX('G_Fall-back'!J:J,MATCH($P2066,'G_Fall-back'!$Q:$Q,0))="","",INDEX('G_Fall-back'!J:J,MATCH($P2066,'G_Fall-back'!$Q:$Q,0))))</f>
        <v/>
      </c>
      <c r="K2066" s="484" t="str">
        <f>IF($M2001&lt;&gt;EUconst_Relevant,"",IF(INDEX('G_Fall-back'!K:K,MATCH($P2066,'G_Fall-back'!$Q:$Q,0))="","",INDEX('G_Fall-back'!K:K,MATCH($P2066,'G_Fall-back'!$Q:$Q,0))))</f>
        <v/>
      </c>
      <c r="L2066" s="484" t="str">
        <f>IF($M2001&lt;&gt;EUconst_Relevant,"",IF(INDEX('G_Fall-back'!L:L,MATCH($P2066,'G_Fall-back'!$Q:$Q,0))="","",INDEX('G_Fall-back'!L:L,MATCH($P2066,'G_Fall-back'!$Q:$Q,0))))</f>
        <v/>
      </c>
      <c r="M2066" s="484" t="str">
        <f>IF($M2001&lt;&gt;EUconst_Relevant,"",IF(INDEX('G_Fall-back'!M:M,MATCH($P2066,'G_Fall-back'!$Q:$Q,0))="","",INDEX('G_Fall-back'!M:M,MATCH($P2066,'G_Fall-back'!$Q:$Q,0))))</f>
        <v/>
      </c>
      <c r="N2066" s="1830" t="str">
        <f>IF($M2001&lt;&gt;EUconst_Relevant,"",IF(INDEX('G_Fall-back'!N:N,MATCH($P2066,'G_Fall-back'!$Q:$Q,0))="","",INDEX('G_Fall-back'!N:N,MATCH($P2066,'G_Fall-back'!$Q:$Q,0))))</f>
        <v/>
      </c>
      <c r="O2066" s="698"/>
      <c r="P2066" s="1500" t="str">
        <f>EUconst_CNTR_HeatImportPulpEF &amp;I2001</f>
        <v>HeatImPulpEF_Подинсталация на топлофикационна мрежа</v>
      </c>
      <c r="Q2066" s="729"/>
      <c r="R2066" s="729"/>
      <c r="S2066" s="729"/>
      <c r="T2066" s="729"/>
      <c r="U2066" s="343"/>
      <c r="V2066" s="343"/>
    </row>
    <row r="2067" spans="1:22" s="364" customFormat="1" ht="12.75" customHeight="1" x14ac:dyDescent="0.25">
      <c r="A2067" s="729"/>
      <c r="B2067" s="302"/>
      <c r="C2067" s="302"/>
      <c r="D2067" s="1820"/>
      <c r="E2067" s="2818" t="str">
        <f>Translations!$B$962</f>
        <v>Нетно к-во получена топлинна енергия (горивен п-л)</v>
      </c>
      <c r="F2067" s="2701"/>
      <c r="G2067" s="1326" t="str">
        <f>EUconst_TJpa</f>
        <v>TJ / година</v>
      </c>
      <c r="H2067" s="482" t="str">
        <f>IF($M2001&lt;&gt;EUconst_Relevant,"",IF(INDEX('G_Fall-back'!H:H,MATCH($P2067,'G_Fall-back'!$Q:$Q,0))="","",INDEX('G_Fall-back'!H:H,MATCH($P2067,'G_Fall-back'!$Q:$Q,0))))</f>
        <v/>
      </c>
      <c r="I2067" s="1824" t="str">
        <f>IF($M2001&lt;&gt;EUconst_Relevant,"",IF(INDEX('G_Fall-back'!I:I,MATCH($P2067,'G_Fall-back'!$Q:$Q,0))="","",INDEX('G_Fall-back'!I:I,MATCH($P2067,'G_Fall-back'!$Q:$Q,0))))</f>
        <v/>
      </c>
      <c r="J2067" s="1825" t="str">
        <f>IF($M2001&lt;&gt;EUconst_Relevant,"",IF(INDEX('G_Fall-back'!J:J,MATCH($P2067,'G_Fall-back'!$Q:$Q,0))="","",INDEX('G_Fall-back'!J:J,MATCH($P2067,'G_Fall-back'!$Q:$Q,0))))</f>
        <v/>
      </c>
      <c r="K2067" s="482" t="str">
        <f>IF($M2001&lt;&gt;EUconst_Relevant,"",IF(INDEX('G_Fall-back'!K:K,MATCH($P2067,'G_Fall-back'!$Q:$Q,0))="","",INDEX('G_Fall-back'!K:K,MATCH($P2067,'G_Fall-back'!$Q:$Q,0))))</f>
        <v/>
      </c>
      <c r="L2067" s="482" t="str">
        <f>IF($M2001&lt;&gt;EUconst_Relevant,"",IF(INDEX('G_Fall-back'!L:L,MATCH($P2067,'G_Fall-back'!$Q:$Q,0))="","",INDEX('G_Fall-back'!L:L,MATCH($P2067,'G_Fall-back'!$Q:$Q,0))))</f>
        <v/>
      </c>
      <c r="M2067" s="482" t="str">
        <f>IF($M2001&lt;&gt;EUconst_Relevant,"",IF(INDEX('G_Fall-back'!M:M,MATCH($P2067,'G_Fall-back'!$Q:$Q,0))="","",INDEX('G_Fall-back'!M:M,MATCH($P2067,'G_Fall-back'!$Q:$Q,0))))</f>
        <v/>
      </c>
      <c r="N2067" s="1826" t="str">
        <f>IF($M2001&lt;&gt;EUconst_Relevant,"",IF(INDEX('G_Fall-back'!N:N,MATCH($P2067,'G_Fall-back'!$Q:$Q,0))="","",INDEX('G_Fall-back'!N:N,MATCH($P2067,'G_Fall-back'!$Q:$Q,0))))</f>
        <v/>
      </c>
      <c r="O2067" s="698"/>
      <c r="P2067" s="1500" t="str">
        <f>EUconst_CNTR_HeatImportFuel &amp;I2001</f>
        <v>HeatImFuel_Подинсталация на топлофикационна мрежа</v>
      </c>
      <c r="Q2067" s="729"/>
      <c r="R2067" s="729"/>
      <c r="S2067" s="729"/>
      <c r="T2067" s="729"/>
      <c r="U2067" s="343"/>
      <c r="V2067" s="343"/>
    </row>
    <row r="2068" spans="1:22" s="364" customFormat="1" ht="12.75" customHeight="1" x14ac:dyDescent="0.25">
      <c r="A2068" s="729"/>
      <c r="B2068" s="302"/>
      <c r="C2068" s="302"/>
      <c r="D2068" s="1820"/>
      <c r="E2068" s="2819" t="str">
        <f>Translations!$B$656</f>
        <v>Специфичен EF (от горивен показател)</v>
      </c>
      <c r="F2068" s="2705"/>
      <c r="G2068" s="639" t="str">
        <f>EUconst_tCO2pTJ</f>
        <v>t CO2 / TJ</v>
      </c>
      <c r="H2068" s="484" t="str">
        <f>IF($M2001&lt;&gt;EUconst_Relevant,"",IF(INDEX('G_Fall-back'!H:H,MATCH($P2068,'G_Fall-back'!$Q:$Q,0))="","",INDEX('G_Fall-back'!H:H,MATCH($P2068,'G_Fall-back'!$Q:$Q,0))))</f>
        <v/>
      </c>
      <c r="I2068" s="1828" t="str">
        <f>IF($M2001&lt;&gt;EUconst_Relevant,"",IF(INDEX('G_Fall-back'!I:I,MATCH($P2068,'G_Fall-back'!$Q:$Q,0))="","",INDEX('G_Fall-back'!I:I,MATCH($P2068,'G_Fall-back'!$Q:$Q,0))))</f>
        <v/>
      </c>
      <c r="J2068" s="1829" t="str">
        <f>IF($M2001&lt;&gt;EUconst_Relevant,"",IF(INDEX('G_Fall-back'!J:J,MATCH($P2068,'G_Fall-back'!$Q:$Q,0))="","",INDEX('G_Fall-back'!J:J,MATCH($P2068,'G_Fall-back'!$Q:$Q,0))))</f>
        <v/>
      </c>
      <c r="K2068" s="484" t="str">
        <f>IF($M2001&lt;&gt;EUconst_Relevant,"",IF(INDEX('G_Fall-back'!K:K,MATCH($P2068,'G_Fall-back'!$Q:$Q,0))="","",INDEX('G_Fall-back'!K:K,MATCH($P2068,'G_Fall-back'!$Q:$Q,0))))</f>
        <v/>
      </c>
      <c r="L2068" s="484" t="str">
        <f>IF($M2001&lt;&gt;EUconst_Relevant,"",IF(INDEX('G_Fall-back'!L:L,MATCH($P2068,'G_Fall-back'!$Q:$Q,0))="","",INDEX('G_Fall-back'!L:L,MATCH($P2068,'G_Fall-back'!$Q:$Q,0))))</f>
        <v/>
      </c>
      <c r="M2068" s="484" t="str">
        <f>IF($M2001&lt;&gt;EUconst_Relevant,"",IF(INDEX('G_Fall-back'!M:M,MATCH($P2068,'G_Fall-back'!$Q:$Q,0))="","",INDEX('G_Fall-back'!M:M,MATCH($P2068,'G_Fall-back'!$Q:$Q,0))))</f>
        <v/>
      </c>
      <c r="N2068" s="1830" t="str">
        <f>IF($M2001&lt;&gt;EUconst_Relevant,"",IF(INDEX('G_Fall-back'!N:N,MATCH($P2068,'G_Fall-back'!$Q:$Q,0))="","",INDEX('G_Fall-back'!N:N,MATCH($P2068,'G_Fall-back'!$Q:$Q,0))))</f>
        <v/>
      </c>
      <c r="O2068" s="698"/>
      <c r="P2068" s="1500" t="str">
        <f>EUconst_CNTR_HeatImportFuelEF &amp;I2001</f>
        <v>HeatImFuelEF_Подинсталация на топлофикационна мрежа</v>
      </c>
      <c r="Q2068" s="729"/>
      <c r="R2068" s="729"/>
      <c r="S2068" s="729"/>
      <c r="T2068" s="729"/>
      <c r="U2068" s="343"/>
      <c r="V2068" s="343"/>
    </row>
    <row r="2069" spans="1:22" s="364" customFormat="1" ht="12.75" customHeight="1" x14ac:dyDescent="0.25">
      <c r="A2069" s="729"/>
      <c r="B2069" s="302"/>
      <c r="C2069" s="302"/>
      <c r="D2069" s="1820"/>
      <c r="E2069" s="2818" t="str">
        <f>Translations!$B$963</f>
        <v>Нетно к-во получена топлинна енергия (отпадни газове)</v>
      </c>
      <c r="F2069" s="2701"/>
      <c r="G2069" s="1326" t="str">
        <f>EUconst_TJpa</f>
        <v>TJ / година</v>
      </c>
      <c r="H2069" s="482" t="str">
        <f>IF($M2001&lt;&gt;EUconst_Relevant,"",IF(INDEX('G_Fall-back'!H:H,MATCH($P2069,'G_Fall-back'!$Q:$Q,0))="","",INDEX('G_Fall-back'!H:H,MATCH($P2069,'G_Fall-back'!$Q:$Q,0))))</f>
        <v/>
      </c>
      <c r="I2069" s="1824" t="str">
        <f>IF($M2001&lt;&gt;EUconst_Relevant,"",IF(INDEX('G_Fall-back'!I:I,MATCH($P2069,'G_Fall-back'!$Q:$Q,0))="","",INDEX('G_Fall-back'!I:I,MATCH($P2069,'G_Fall-back'!$Q:$Q,0))))</f>
        <v/>
      </c>
      <c r="J2069" s="1825" t="str">
        <f>IF($M2001&lt;&gt;EUconst_Relevant,"",IF(INDEX('G_Fall-back'!J:J,MATCH($P2069,'G_Fall-back'!$Q:$Q,0))="","",INDEX('G_Fall-back'!J:J,MATCH($P2069,'G_Fall-back'!$Q:$Q,0))))</f>
        <v/>
      </c>
      <c r="K2069" s="482" t="str">
        <f>IF($M2001&lt;&gt;EUconst_Relevant,"",IF(INDEX('G_Fall-back'!K:K,MATCH($P2069,'G_Fall-back'!$Q:$Q,0))="","",INDEX('G_Fall-back'!K:K,MATCH($P2069,'G_Fall-back'!$Q:$Q,0))))</f>
        <v/>
      </c>
      <c r="L2069" s="482" t="str">
        <f>IF($M2001&lt;&gt;EUconst_Relevant,"",IF(INDEX('G_Fall-back'!L:L,MATCH($P2069,'G_Fall-back'!$Q:$Q,0))="","",INDEX('G_Fall-back'!L:L,MATCH($P2069,'G_Fall-back'!$Q:$Q,0))))</f>
        <v/>
      </c>
      <c r="M2069" s="482" t="str">
        <f>IF($M2001&lt;&gt;EUconst_Relevant,"",IF(INDEX('G_Fall-back'!M:M,MATCH($P2069,'G_Fall-back'!$Q:$Q,0))="","",INDEX('G_Fall-back'!M:M,MATCH($P2069,'G_Fall-back'!$Q:$Q,0))))</f>
        <v/>
      </c>
      <c r="N2069" s="1826" t="str">
        <f>IF($M2001&lt;&gt;EUconst_Relevant,"",IF(INDEX('G_Fall-back'!N:N,MATCH($P2069,'G_Fall-back'!$Q:$Q,0))="","",INDEX('G_Fall-back'!N:N,MATCH($P2069,'G_Fall-back'!$Q:$Q,0))))</f>
        <v/>
      </c>
      <c r="O2069" s="698"/>
      <c r="P2069" s="1500" t="str">
        <f>EUconst_CNTR_WGImport &amp;I2001</f>
        <v>WasteGasIm_Подинсталация на топлофикационна мрежа</v>
      </c>
      <c r="Q2069" s="729"/>
      <c r="R2069" s="729"/>
      <c r="S2069" s="729"/>
      <c r="T2069" s="729"/>
      <c r="U2069" s="343"/>
      <c r="V2069" s="343"/>
    </row>
    <row r="2070" spans="1:22" s="364" customFormat="1" ht="12.75" customHeight="1" x14ac:dyDescent="0.25">
      <c r="A2070" s="729"/>
      <c r="B2070" s="302"/>
      <c r="C2070" s="302"/>
      <c r="D2070" s="1820"/>
      <c r="E2070" s="2819" t="str">
        <f>Translations!$B$658</f>
        <v>Специфичен EF (от отпаден газ)</v>
      </c>
      <c r="F2070" s="2705"/>
      <c r="G2070" s="639" t="str">
        <f>EUconst_tCO2pTJ</f>
        <v>t CO2 / TJ</v>
      </c>
      <c r="H2070" s="484" t="str">
        <f>IF($M2001&lt;&gt;EUconst_Relevant,"",IF(INDEX('G_Fall-back'!H:H,MATCH($P2070,'G_Fall-back'!$Q:$Q,0))="","",INDEX('G_Fall-back'!H:H,MATCH($P2070,'G_Fall-back'!$Q:$Q,0))))</f>
        <v/>
      </c>
      <c r="I2070" s="1828" t="str">
        <f>IF($M2001&lt;&gt;EUconst_Relevant,"",IF(INDEX('G_Fall-back'!I:I,MATCH($P2070,'G_Fall-back'!$Q:$Q,0))="","",INDEX('G_Fall-back'!I:I,MATCH($P2070,'G_Fall-back'!$Q:$Q,0))))</f>
        <v/>
      </c>
      <c r="J2070" s="1829" t="str">
        <f>IF($M2001&lt;&gt;EUconst_Relevant,"",IF(INDEX('G_Fall-back'!J:J,MATCH($P2070,'G_Fall-back'!$Q:$Q,0))="","",INDEX('G_Fall-back'!J:J,MATCH($P2070,'G_Fall-back'!$Q:$Q,0))))</f>
        <v/>
      </c>
      <c r="K2070" s="484" t="str">
        <f>IF($M2001&lt;&gt;EUconst_Relevant,"",IF(INDEX('G_Fall-back'!K:K,MATCH($P2070,'G_Fall-back'!$Q:$Q,0))="","",INDEX('G_Fall-back'!K:K,MATCH($P2070,'G_Fall-back'!$Q:$Q,0))))</f>
        <v/>
      </c>
      <c r="L2070" s="484" t="str">
        <f>IF($M2001&lt;&gt;EUconst_Relevant,"",IF(INDEX('G_Fall-back'!L:L,MATCH($P2070,'G_Fall-back'!$Q:$Q,0))="","",INDEX('G_Fall-back'!L:L,MATCH($P2070,'G_Fall-back'!$Q:$Q,0))))</f>
        <v/>
      </c>
      <c r="M2070" s="484" t="str">
        <f>IF($M2001&lt;&gt;EUconst_Relevant,"",IF(INDEX('G_Fall-back'!M:M,MATCH($P2070,'G_Fall-back'!$Q:$Q,0))="","",INDEX('G_Fall-back'!M:M,MATCH($P2070,'G_Fall-back'!$Q:$Q,0))))</f>
        <v/>
      </c>
      <c r="N2070" s="1830" t="str">
        <f>IF($M2001&lt;&gt;EUconst_Relevant,"",IF(INDEX('G_Fall-back'!N:N,MATCH($P2070,'G_Fall-back'!$Q:$Q,0))="","",INDEX('G_Fall-back'!N:N,MATCH($P2070,'G_Fall-back'!$Q:$Q,0))))</f>
        <v/>
      </c>
      <c r="O2070" s="698"/>
      <c r="P2070" s="1500" t="str">
        <f>EUconst_CNTR_WGImportEF &amp;I2001</f>
        <v>WasteGasImEF_Подинсталация на топлофикационна мрежа</v>
      </c>
      <c r="Q2070" s="729"/>
      <c r="R2070" s="729"/>
      <c r="S2070" s="729"/>
      <c r="T2070" s="729"/>
      <c r="U2070" s="343"/>
      <c r="V2070" s="343"/>
    </row>
    <row r="2071" spans="1:22" s="364" customFormat="1" ht="5.15" customHeight="1" thickBot="1" x14ac:dyDescent="0.3">
      <c r="A2071" s="729"/>
      <c r="B2071" s="302"/>
      <c r="C2071" s="302"/>
      <c r="D2071" s="1838"/>
      <c r="E2071" s="1378"/>
      <c r="F2071" s="1378"/>
      <c r="G2071" s="1378"/>
      <c r="H2071" s="1378"/>
      <c r="I2071" s="1378"/>
      <c r="J2071" s="1378"/>
      <c r="K2071" s="1378"/>
      <c r="L2071" s="1378"/>
      <c r="M2071" s="1378"/>
      <c r="N2071" s="1379"/>
      <c r="O2071" s="698"/>
      <c r="P2071" s="729"/>
      <c r="Q2071" s="729"/>
      <c r="R2071" s="729"/>
      <c r="S2071" s="729"/>
      <c r="T2071" s="729"/>
      <c r="U2071" s="343"/>
      <c r="V2071" s="343"/>
    </row>
    <row r="2072" spans="1:22" s="364" customFormat="1" ht="5.15" customHeight="1" thickBot="1" x14ac:dyDescent="0.3">
      <c r="A2072" s="729"/>
      <c r="B2072" s="302"/>
      <c r="C2072" s="302"/>
      <c r="D2072" s="302"/>
      <c r="E2072" s="302"/>
      <c r="F2072" s="302"/>
      <c r="G2072" s="302"/>
      <c r="M2072" s="302"/>
      <c r="N2072" s="302"/>
      <c r="O2072" s="698"/>
      <c r="P2072" s="729"/>
      <c r="Q2072" s="729"/>
      <c r="R2072" s="729"/>
      <c r="S2072" s="729"/>
      <c r="T2072" s="729"/>
      <c r="U2072" s="343"/>
      <c r="V2072" s="343"/>
    </row>
    <row r="2073" spans="1:22" s="364" customFormat="1" ht="5.15" customHeight="1" thickBot="1" x14ac:dyDescent="0.3">
      <c r="A2073" s="729"/>
      <c r="B2073" s="284"/>
      <c r="C2073" s="581"/>
      <c r="D2073" s="581"/>
      <c r="E2073" s="581"/>
      <c r="F2073" s="581"/>
      <c r="G2073" s="581"/>
      <c r="H2073" s="581"/>
      <c r="I2073" s="581"/>
      <c r="J2073" s="581"/>
      <c r="K2073" s="581"/>
      <c r="L2073" s="581"/>
      <c r="M2073" s="581"/>
      <c r="N2073" s="581"/>
      <c r="O2073" s="698"/>
      <c r="P2073" s="729"/>
      <c r="Q2073" s="729"/>
      <c r="R2073" s="729"/>
      <c r="S2073" s="729"/>
      <c r="T2073" s="729"/>
      <c r="U2073" s="343"/>
      <c r="V2073" s="343"/>
    </row>
    <row r="2074" spans="1:22" s="364" customFormat="1" ht="15" customHeight="1" thickBot="1" x14ac:dyDescent="0.35">
      <c r="A2074" s="729"/>
      <c r="B2074" s="302"/>
      <c r="C2074" s="357">
        <f>C2001+1</f>
        <v>15</v>
      </c>
      <c r="D2074" s="2323" t="str">
        <f>CONCATENATE(EUconst_FBSubinst," ",C2074-10, ":")</f>
        <v>Алтернативна подинсталация („Fall-Back sub-installation“) 5:</v>
      </c>
      <c r="E2074" s="2323"/>
      <c r="F2074" s="2323"/>
      <c r="G2074" s="2323"/>
      <c r="H2074" s="2987"/>
      <c r="I2074" s="2988" t="str">
        <f>INDEX(EUconst_FallBackListNames,$C2074-10)</f>
        <v>Подинсталация с горивен показател (с риск от ИВЕ | извън МКВЕГ)</v>
      </c>
      <c r="J2074" s="2989"/>
      <c r="K2074" s="2989"/>
      <c r="L2074" s="2990"/>
      <c r="M2074" s="2919" t="str">
        <f>IF(INDEX(CNTR_FallBackSubInstRelevant,C2074-10)="","",IF(INDEX(CNTR_FallBackSubInstRelevant,C2074-10),EUconst_Relevant,EUconst_NotRelevant))</f>
        <v/>
      </c>
      <c r="N2074" s="2920"/>
      <c r="O2074" s="698"/>
      <c r="P2074" s="729"/>
      <c r="Q2074" s="1684">
        <f>C2074</f>
        <v>15</v>
      </c>
      <c r="R2074" s="1685" t="str">
        <f>I2074</f>
        <v>Подинсталация с горивен показател (с риск от ИВЕ | извън МКВЕГ)</v>
      </c>
      <c r="S2074" s="729"/>
      <c r="T2074" s="729"/>
      <c r="U2074" s="343"/>
      <c r="V2074" s="343"/>
    </row>
    <row r="2075" spans="1:22" s="364" customFormat="1" ht="5.15" customHeight="1" x14ac:dyDescent="0.3">
      <c r="A2075" s="729"/>
      <c r="B2075" s="302"/>
      <c r="C2075" s="357"/>
      <c r="D2075" s="357"/>
      <c r="E2075" s="357"/>
      <c r="F2075" s="357"/>
      <c r="G2075" s="357"/>
      <c r="H2075" s="357"/>
      <c r="I2075" s="357"/>
      <c r="J2075" s="357"/>
      <c r="K2075" s="357"/>
      <c r="L2075" s="357"/>
      <c r="M2075" s="357"/>
      <c r="N2075" s="357"/>
      <c r="O2075" s="698"/>
      <c r="P2075" s="729"/>
      <c r="Q2075" s="729"/>
      <c r="R2075" s="729"/>
      <c r="S2075" s="729"/>
      <c r="T2075" s="729"/>
      <c r="U2075" s="343"/>
      <c r="V2075" s="343"/>
    </row>
    <row r="2076" spans="1:22" s="364" customFormat="1" ht="12.75" customHeight="1" x14ac:dyDescent="0.3">
      <c r="A2076" s="729"/>
      <c r="B2076" s="302"/>
      <c r="C2076" s="357"/>
      <c r="D2076" s="357"/>
      <c r="E2076" s="357"/>
      <c r="F2076" s="357"/>
      <c r="H2076" s="595" t="str">
        <f>Translations!$B$942</f>
        <v>Риск от ИВЕ</v>
      </c>
      <c r="I2076" s="595" t="s">
        <v>2151</v>
      </c>
      <c r="J2076" s="595" t="str">
        <f>Translations!$B$946</f>
        <v>В/Е</v>
      </c>
      <c r="K2076" s="595" t="str">
        <f>Translations!$B$1360</f>
        <v>Спряна експлоатация</v>
      </c>
      <c r="L2076" s="654" t="str">
        <f>Translations!$B$944</f>
        <v>№ на п-л</v>
      </c>
      <c r="M2076" s="2991" t="str">
        <f>Translations!$B$948</f>
        <v>Стойност на п-л</v>
      </c>
      <c r="N2076" s="2991"/>
      <c r="O2076" s="698"/>
      <c r="P2076" s="729"/>
      <c r="Q2076" s="729"/>
      <c r="R2076" s="729"/>
      <c r="S2076" s="729"/>
      <c r="T2076" s="729"/>
      <c r="U2076" s="343"/>
      <c r="V2076" s="343"/>
    </row>
    <row r="2077" spans="1:22" s="364" customFormat="1" ht="12.75" customHeight="1" x14ac:dyDescent="0.3">
      <c r="A2077" s="729"/>
      <c r="B2077" s="302"/>
      <c r="C2077" s="357"/>
      <c r="D2077" s="357"/>
      <c r="E2077" s="361" t="str">
        <f>I2074</f>
        <v>Подинсталация с горивен показател (с риск от ИВЕ | извън МКВЕГ)</v>
      </c>
      <c r="F2077" s="373"/>
      <c r="G2077" s="373"/>
      <c r="H2077" s="600" t="b">
        <f>INDEX(EUconst_FallBackListCLstatus,MATCH(I2074,EUconst_FallBackListNames,0))</f>
        <v>1</v>
      </c>
      <c r="I2077" s="600" t="b">
        <f>INDEX(EUconst_FallBackListCBAMstatus,MATCH(I2074,EUconst_FallBackListNames,0))</f>
        <v>0</v>
      </c>
      <c r="J2077" s="655" t="str">
        <f>IF($M2074&lt;&gt;EUconst_Relevant,EUconst_NA,INDEX(CNTR_SubInstStartDate,MATCH(I2074,CNTR_SubInstListNames,0)))</f>
        <v>Не е приложимо</v>
      </c>
      <c r="K2077" s="655" t="str">
        <f>IF($M2074&lt;&gt;EUconst_Relevant,EUconst_NA,IF(INDEX(CNTR_SubInstCessationDate,MATCH(I2074,CNTR_SubInstListNames,0))=0,"",INDEX(CNTR_SubInstCessationDate,MATCH(I2074,CNTR_SubInstListNames,0))))</f>
        <v>Не е приложимо</v>
      </c>
      <c r="L2077" s="1687">
        <f>C2074-10</f>
        <v>5</v>
      </c>
      <c r="M2077" s="1841" t="str">
        <f>IF(M2074&lt;&gt;EUconst_Relevant,EUconst_NA,INDEX(EUconst_FallBackListBMvaluesMatrix,L2077,3))</f>
        <v>Не е приложимо</v>
      </c>
      <c r="N2077" s="382" t="str">
        <f>EUconst_EUA &amp; "/" &amp; F2080</f>
        <v>Квота за емисии/TJ</v>
      </c>
      <c r="O2077" s="698"/>
      <c r="P2077" s="729"/>
      <c r="Q2077" s="729"/>
      <c r="R2077" s="729"/>
      <c r="S2077" s="729"/>
      <c r="T2077" s="729"/>
      <c r="U2077" s="343"/>
      <c r="V2077" s="343"/>
    </row>
    <row r="2078" spans="1:22" s="364" customFormat="1" ht="5.15" customHeight="1" thickBot="1" x14ac:dyDescent="0.35">
      <c r="A2078" s="729"/>
      <c r="B2078" s="302"/>
      <c r="C2078" s="302"/>
      <c r="D2078" s="302"/>
      <c r="E2078" s="357"/>
      <c r="J2078" s="302"/>
      <c r="K2078" s="302"/>
      <c r="L2078" s="302"/>
      <c r="M2078" s="302"/>
      <c r="N2078" s="302"/>
      <c r="O2078" s="698"/>
      <c r="P2078" s="729"/>
      <c r="Q2078" s="729"/>
      <c r="R2078" s="729"/>
      <c r="S2078" s="729"/>
      <c r="T2078" s="770"/>
      <c r="U2078" s="343"/>
      <c r="V2078" s="343"/>
    </row>
    <row r="2079" spans="1:22" s="364" customFormat="1" ht="12.75" customHeight="1" x14ac:dyDescent="0.25">
      <c r="A2079" s="729"/>
      <c r="B2079" s="302"/>
      <c r="C2079" s="302"/>
      <c r="D2079" s="302"/>
      <c r="E2079" s="313"/>
      <c r="F2079" s="300" t="str">
        <f>EUconst_Unit</f>
        <v>Единица мярка</v>
      </c>
      <c r="G2079" s="1842" t="str">
        <f>Translations!$B$1284</f>
        <v>HAL</v>
      </c>
      <c r="H2079" s="757">
        <f t="shared" ref="H2079:N2079" si="174">H$2505</f>
        <v>2024</v>
      </c>
      <c r="I2079" s="572">
        <f t="shared" si="174"/>
        <v>2025</v>
      </c>
      <c r="J2079" s="757">
        <f t="shared" si="174"/>
        <v>2026</v>
      </c>
      <c r="K2079" s="391">
        <f t="shared" si="174"/>
        <v>2027</v>
      </c>
      <c r="L2079" s="391">
        <f t="shared" si="174"/>
        <v>2028</v>
      </c>
      <c r="M2079" s="391">
        <f t="shared" si="174"/>
        <v>2029</v>
      </c>
      <c r="N2079" s="391">
        <f t="shared" si="174"/>
        <v>2030</v>
      </c>
      <c r="O2079" s="698"/>
      <c r="P2079" s="729"/>
      <c r="Q2079" s="729" t="s">
        <v>1851</v>
      </c>
      <c r="R2079" s="1690">
        <f>J$2505</f>
        <v>2026</v>
      </c>
      <c r="S2079" s="1691">
        <f>K$2505</f>
        <v>2027</v>
      </c>
      <c r="T2079" s="1691">
        <f>L$2505</f>
        <v>2028</v>
      </c>
      <c r="U2079" s="1691">
        <f>M$2505</f>
        <v>2029</v>
      </c>
      <c r="V2079" s="1692">
        <f>N$2505</f>
        <v>2030</v>
      </c>
    </row>
    <row r="2080" spans="1:22" s="364" customFormat="1" ht="12.75" customHeight="1" thickBot="1" x14ac:dyDescent="0.3">
      <c r="A2080" s="729"/>
      <c r="B2080" s="302"/>
      <c r="C2080" s="302"/>
      <c r="D2080" s="302"/>
      <c r="E2080" s="388" t="str">
        <f>Translations!$B$1371</f>
        <v>Докладвано равнище на дейност</v>
      </c>
      <c r="F2080" s="1062" t="str">
        <f>INDEX(EUconst_FallBackListUnits,L2077)</f>
        <v>TJ</v>
      </c>
      <c r="G2080" s="1843" t="str">
        <f>I2111</f>
        <v/>
      </c>
      <c r="H2080" s="1844" t="str">
        <f>IF($M2074&lt;&gt;EUconst_Relevant,"",IF(H2079&gt;=CNTR_ReportingYear,"",SUMIF('G_Fall-back'!$Q:$Q,$P2080,'G_Fall-back'!H:H)))</f>
        <v/>
      </c>
      <c r="I2080" s="1845" t="str">
        <f>IF($M2074&lt;&gt;EUconst_Relevant,"",IF(I2079&gt;=CNTR_ReportingYear,"",SUMIF('G_Fall-back'!$Q:$Q,$P2080,'G_Fall-back'!I:I)))</f>
        <v/>
      </c>
      <c r="J2080" s="1844" t="str">
        <f>IF($M2074&lt;&gt;EUconst_Relevant,"",IF(J2079&gt;=CNTR_ReportingYear,"",SUMIF('G_Fall-back'!$Q:$Q,$P2080,'G_Fall-back'!J:J)))</f>
        <v/>
      </c>
      <c r="K2080" s="1846" t="str">
        <f>IF($M2074&lt;&gt;EUconst_Relevant,"",IF(K2079&gt;=CNTR_ReportingYear,"",SUMIF('G_Fall-back'!$Q:$Q,$P2080,'G_Fall-back'!K:K)))</f>
        <v/>
      </c>
      <c r="L2080" s="1846" t="str">
        <f>IF($M2074&lt;&gt;EUconst_Relevant,"",IF(L2079&gt;=CNTR_ReportingYear,"",SUMIF('G_Fall-back'!$Q:$Q,$P2080,'G_Fall-back'!L:L)))</f>
        <v/>
      </c>
      <c r="M2080" s="1846" t="str">
        <f>IF($M2074&lt;&gt;EUconst_Relevant,"",IF(M2079&gt;=CNTR_ReportingYear,"",SUMIF('G_Fall-back'!$Q:$Q,$P2080,'G_Fall-back'!M:M)))</f>
        <v/>
      </c>
      <c r="N2080" s="1846" t="str">
        <f>IF($M2074&lt;&gt;EUconst_Relevant,"",IF(N2079&gt;=CNTR_ReportingYear,"",SUMIF('G_Fall-back'!$Q:$Q,$P2080,'G_Fall-back'!N:N)))</f>
        <v/>
      </c>
      <c r="O2080" s="698"/>
      <c r="P2080" s="1190" t="str">
        <f>EUconst_CNTR_HAL&amp;I2074</f>
        <v>HAL_Подинсталация с горивен показател (с риск от ИВЕ | извън МКВЕГ)</v>
      </c>
      <c r="Q2080" s="729"/>
      <c r="R2080" s="1580" t="b">
        <f>AND($M2074=EUconst_Relevant,R2079&lt;=CNTR_ReportingYear,IF($J2077&lt;&gt;EUconst_NA,R2079&gt;=YEAR($J2077),TRUE))</f>
        <v>0</v>
      </c>
      <c r="S2080" s="1255" t="b">
        <f>AND($M2074=EUconst_Relevant,S2079&lt;=CNTR_ReportingYear,IF($J2077&lt;&gt;EUconst_NA,S2079&gt;=YEAR($J2077),TRUE))</f>
        <v>0</v>
      </c>
      <c r="T2080" s="1255" t="b">
        <f>AND($M2074=EUconst_Relevant,T2079&lt;=CNTR_ReportingYear,IF($J2077&lt;&gt;EUconst_NA,T2079&gt;=YEAR($J2077),TRUE))</f>
        <v>0</v>
      </c>
      <c r="U2080" s="1255" t="b">
        <f>AND($M2074=EUconst_Relevant,U2079&lt;=CNTR_ReportingYear,IF($J2077&lt;&gt;EUconst_NA,U2079&gt;=YEAR($J2077),TRUE))</f>
        <v>0</v>
      </c>
      <c r="V2080" s="1256" t="b">
        <f>AND($M2074=EUconst_Relevant,V2079&lt;=CNTR_ReportingYear,IF($J2077&lt;&gt;EUconst_NA,V2079&gt;=YEAR($J2077),TRUE))</f>
        <v>0</v>
      </c>
    </row>
    <row r="2081" spans="1:22" s="364" customFormat="1" ht="5.15" customHeight="1" thickBot="1" x14ac:dyDescent="0.3">
      <c r="A2081" s="729"/>
      <c r="B2081" s="302"/>
      <c r="C2081" s="302"/>
      <c r="D2081" s="302"/>
      <c r="F2081" s="302"/>
      <c r="G2081" s="302"/>
      <c r="H2081" s="302"/>
      <c r="I2081" s="1746"/>
      <c r="J2081" s="302"/>
      <c r="K2081" s="302"/>
      <c r="L2081" s="302"/>
      <c r="M2081" s="302"/>
      <c r="N2081" s="302"/>
      <c r="O2081" s="698"/>
      <c r="P2081" s="729"/>
      <c r="Q2081" s="729"/>
      <c r="R2081" s="729"/>
      <c r="S2081" s="729"/>
      <c r="T2081" s="770"/>
      <c r="U2081" s="343"/>
      <c r="V2081" s="343"/>
    </row>
    <row r="2082" spans="1:22" s="364" customFormat="1" ht="5.15" customHeight="1" x14ac:dyDescent="0.3">
      <c r="A2082" s="729"/>
      <c r="B2082" s="302"/>
      <c r="C2082" s="357"/>
      <c r="D2082" s="1695"/>
      <c r="E2082" s="1696"/>
      <c r="F2082" s="1696"/>
      <c r="G2082" s="1696"/>
      <c r="H2082" s="1696"/>
      <c r="I2082" s="1696"/>
      <c r="J2082" s="1696"/>
      <c r="K2082" s="1696"/>
      <c r="L2082" s="1696"/>
      <c r="M2082" s="1696"/>
      <c r="N2082" s="1697"/>
      <c r="O2082" s="698"/>
      <c r="P2082" s="729"/>
      <c r="Q2082" s="729"/>
      <c r="R2082" s="729"/>
      <c r="S2082" s="729"/>
      <c r="T2082" s="729"/>
      <c r="U2082" s="343"/>
      <c r="V2082" s="343"/>
    </row>
    <row r="2083" spans="1:22" s="364" customFormat="1" ht="12.75" customHeight="1" x14ac:dyDescent="0.3">
      <c r="A2083" s="729"/>
      <c r="B2083" s="302"/>
      <c r="C2083" s="357"/>
      <c r="D2083" s="1698"/>
      <c r="E2083" s="389" t="str">
        <f>Translations!$B$1372</f>
        <v>Приложимост на пълзящата средна стойност</v>
      </c>
      <c r="F2083" s="498"/>
      <c r="G2083" s="498"/>
      <c r="H2083" s="527" t="str">
        <f>EUconst_Unit</f>
        <v>Единица мярка</v>
      </c>
      <c r="I2083" s="1699"/>
      <c r="J2083" s="1523">
        <f>J$2505</f>
        <v>2026</v>
      </c>
      <c r="K2083" s="387">
        <f>K$2505</f>
        <v>2027</v>
      </c>
      <c r="L2083" s="387">
        <f>L$2505</f>
        <v>2028</v>
      </c>
      <c r="M2083" s="387">
        <f>M$2505</f>
        <v>2029</v>
      </c>
      <c r="N2083" s="1544">
        <f>N$2505</f>
        <v>2030</v>
      </c>
      <c r="O2083" s="698"/>
      <c r="P2083" s="729"/>
      <c r="Q2083" s="729"/>
      <c r="R2083" s="729"/>
      <c r="S2083" s="729"/>
      <c r="T2083" s="729"/>
      <c r="U2083" s="343"/>
      <c r="V2083" s="343"/>
    </row>
    <row r="2084" spans="1:22" s="364" customFormat="1" ht="12.75" customHeight="1" x14ac:dyDescent="0.3">
      <c r="A2084" s="729"/>
      <c r="B2084" s="302"/>
      <c r="C2084" s="357"/>
      <c r="D2084" s="1698"/>
      <c r="E2084" s="1700" t="str">
        <f>Translations!$B$1364</f>
        <v>Критерий 1: В експлоатация &gt; 2 години?</v>
      </c>
      <c r="F2084" s="1701"/>
      <c r="G2084" s="1701"/>
      <c r="H2084" s="1702" t="s">
        <v>1052</v>
      </c>
      <c r="I2084" s="1701"/>
      <c r="J2084" s="1703" t="str">
        <f>IF(R2080,INDEX('G_Fall-back'!V:V,MATCH($P2084,'G_Fall-back'!$Q:$Q,0))&gt;=3,"")</f>
        <v/>
      </c>
      <c r="K2084" s="1704" t="str">
        <f>IF(S2080,INDEX('G_Fall-back'!W:W,MATCH($P2084,'G_Fall-back'!$Q:$Q,0))&gt;=3,"")</f>
        <v/>
      </c>
      <c r="L2084" s="1704" t="str">
        <f>IF(T2080,INDEX('G_Fall-back'!X:X,MATCH($P2084,'G_Fall-back'!$Q:$Q,0))&gt;=3,"")</f>
        <v/>
      </c>
      <c r="M2084" s="1704" t="str">
        <f>IF(U2080,INDEX('G_Fall-back'!Y:Y,MATCH($P2084,'G_Fall-back'!$Q:$Q,0))&gt;=3,"")</f>
        <v/>
      </c>
      <c r="N2084" s="1705" t="str">
        <f>IF(V2080,INDEX('G_Fall-back'!Z:Z,MATCH($P2084,'G_Fall-back'!$Q:$Q,0))&gt;=3,"")</f>
        <v/>
      </c>
      <c r="O2084" s="698"/>
      <c r="P2084" s="1190" t="str">
        <f>EUconst_CNTR_HALinitial&amp;I2074</f>
        <v>HALini_Подинсталация с горивен показател (с риск от ИВЕ | извън МКВЕГ)</v>
      </c>
      <c r="Q2084" s="729"/>
      <c r="R2084" s="729"/>
      <c r="S2084" s="729"/>
      <c r="T2084" s="729"/>
      <c r="U2084" s="343"/>
      <c r="V2084" s="343"/>
    </row>
    <row r="2085" spans="1:22" s="364" customFormat="1" ht="12.75" customHeight="1" x14ac:dyDescent="0.3">
      <c r="A2085" s="729"/>
      <c r="B2085" s="302"/>
      <c r="C2085" s="357"/>
      <c r="D2085" s="1698"/>
      <c r="E2085" s="1706" t="str">
        <f>Translations!$B$1366</f>
        <v>Критерий 2: Не е спряна от експлоатация през предходната година?</v>
      </c>
      <c r="F2085" s="1707"/>
      <c r="G2085" s="1707"/>
      <c r="H2085" s="1708" t="s">
        <v>1052</v>
      </c>
      <c r="I2085" s="1707"/>
      <c r="J2085" s="1709" t="str">
        <f>IF(R2080,IF($K2077="",2050,YEAR($K2077))&lt;&gt;(J2083-1),"")</f>
        <v/>
      </c>
      <c r="K2085" s="1710" t="str">
        <f>IF(S2080,IF($K2077="",2050,YEAR($K2077))&lt;&gt;(K2083-1),"")</f>
        <v/>
      </c>
      <c r="L2085" s="1710" t="str">
        <f>IF(T2080,IF($K2077="",2050,YEAR($K2077))&lt;&gt;(L2083-1),"")</f>
        <v/>
      </c>
      <c r="M2085" s="1710" t="str">
        <f>IF(U2080,IF($K2077="",2050,YEAR($K2077))&lt;&gt;(M2083-1),"")</f>
        <v/>
      </c>
      <c r="N2085" s="1711" t="str">
        <f>IF(V2080,IF($K2077="",2050,YEAR($K2077))&lt;&gt;(N2083-1),"")</f>
        <v/>
      </c>
      <c r="O2085" s="698"/>
      <c r="P2085" s="729"/>
      <c r="Q2085" s="729"/>
      <c r="R2085" s="729"/>
      <c r="S2085" s="729"/>
      <c r="T2085" s="729"/>
      <c r="U2085" s="343"/>
      <c r="V2085" s="343"/>
    </row>
    <row r="2086" spans="1:22" s="364" customFormat="1" ht="5.15" customHeight="1" x14ac:dyDescent="0.3">
      <c r="A2086" s="729"/>
      <c r="B2086" s="302"/>
      <c r="C2086" s="357"/>
      <c r="D2086" s="1698"/>
      <c r="E2086" s="357"/>
      <c r="F2086" s="357"/>
      <c r="G2086" s="357"/>
      <c r="H2086" s="357"/>
      <c r="I2086" s="357"/>
      <c r="J2086" s="357"/>
      <c r="K2086" s="357"/>
      <c r="L2086" s="357"/>
      <c r="M2086" s="357"/>
      <c r="N2086" s="1712"/>
      <c r="O2086" s="698"/>
      <c r="P2086" s="729"/>
      <c r="Q2086" s="729"/>
      <c r="R2086" s="729"/>
      <c r="S2086" s="729"/>
      <c r="T2086" s="729"/>
      <c r="U2086" s="343"/>
      <c r="V2086" s="343"/>
    </row>
    <row r="2087" spans="1:22" s="364" customFormat="1" ht="12.75" customHeight="1" x14ac:dyDescent="0.3">
      <c r="A2087" s="729"/>
      <c r="B2087" s="302"/>
      <c r="C2087" s="357"/>
      <c r="D2087" s="1698"/>
      <c r="E2087" s="313" t="str">
        <f>Translations!$B$1373</f>
        <v>Промени: Няма промяна (базова стойност)</v>
      </c>
      <c r="F2087" s="302"/>
      <c r="G2087" s="302"/>
      <c r="H2087" s="527" t="str">
        <f>EUconst_Unit</f>
        <v>Единица мярка</v>
      </c>
      <c r="I2087" s="1699"/>
      <c r="J2087" s="757">
        <f>J$2505</f>
        <v>2026</v>
      </c>
      <c r="K2087" s="391">
        <f>K$2505</f>
        <v>2027</v>
      </c>
      <c r="L2087" s="391">
        <f>L$2505</f>
        <v>2028</v>
      </c>
      <c r="M2087" s="391">
        <f>M$2505</f>
        <v>2029</v>
      </c>
      <c r="N2087" s="1713">
        <f>N$2505</f>
        <v>2030</v>
      </c>
      <c r="O2087" s="698"/>
      <c r="P2087" s="729"/>
      <c r="Q2087" s="729"/>
      <c r="R2087" s="729"/>
      <c r="S2087" s="729"/>
      <c r="T2087" s="729"/>
      <c r="U2087" s="343"/>
      <c r="V2087" s="343"/>
    </row>
    <row r="2088" spans="1:22" s="364" customFormat="1" ht="12.75" customHeight="1" x14ac:dyDescent="0.3">
      <c r="A2088" s="729"/>
      <c r="B2088" s="302"/>
      <c r="C2088" s="357"/>
      <c r="D2088" s="1698"/>
      <c r="E2088" s="388" t="str">
        <f>Translations!$B$1579</f>
        <v>Очаквано равнище на дейност</v>
      </c>
      <c r="F2088" s="388"/>
      <c r="G2088" s="388"/>
      <c r="H2088" s="1210" t="str">
        <f>F2080</f>
        <v>TJ</v>
      </c>
      <c r="I2088" s="388"/>
      <c r="J2088" s="1844" t="str">
        <f>IF(T2112&gt;=$H$2505,S2111,I2111)</f>
        <v/>
      </c>
      <c r="K2088" s="1846" t="str">
        <f>J2111</f>
        <v/>
      </c>
      <c r="L2088" s="1846" t="str">
        <f>K2111</f>
        <v/>
      </c>
      <c r="M2088" s="1846" t="str">
        <f>L2111</f>
        <v/>
      </c>
      <c r="N2088" s="1847" t="str">
        <f>M2111</f>
        <v/>
      </c>
      <c r="O2088" s="698"/>
      <c r="P2088" s="729"/>
      <c r="Q2088" s="729"/>
      <c r="R2088" s="729"/>
      <c r="S2088" s="729"/>
      <c r="T2088" s="729"/>
      <c r="U2088" s="343"/>
      <c r="V2088" s="343"/>
    </row>
    <row r="2089" spans="1:22" s="364" customFormat="1" ht="12.75" customHeight="1" x14ac:dyDescent="0.3">
      <c r="A2089" s="729"/>
      <c r="B2089" s="302"/>
      <c r="C2089" s="357"/>
      <c r="D2089" s="1698"/>
      <c r="E2089" s="388" t="str">
        <f>Translations!$B$1374</f>
        <v>Стойност на предварително разпределяне</v>
      </c>
      <c r="F2089" s="388"/>
      <c r="G2089" s="388"/>
      <c r="H2089" s="421" t="str">
        <f>EUconst_EUA</f>
        <v>Квота за емисии</v>
      </c>
      <c r="I2089" s="1728"/>
      <c r="J2089" s="1694" t="str">
        <f>IF($M2074&lt;&gt;EUconst_Relevant,"",MAX(0,ROUND((SUM($M2077)*SUM(J2088))*IF($H2077=TRUE,1,IF($L2077=4,J$2413,J$2412))*IF($I2077=TRUE,INDEX(EUconst_CBAMFactor,J2087-2020),1)*IF($L2077&gt;=8,J$2415/0.97,1),0)))</f>
        <v/>
      </c>
      <c r="K2089" s="406" t="str">
        <f>IF($M2074&lt;&gt;EUconst_Relevant,"",MAX(0,ROUND((SUM($M2077)*SUM(K2088))*IF($H2077=TRUE,1,IF($L2077=4,K$2413,K$2412))*IF($I2077=TRUE,INDEX(EUconst_CBAMFactor,K2087-2020),1)*IF($L2077&gt;=8,K$2415/0.97,1),0)))</f>
        <v/>
      </c>
      <c r="L2089" s="406" t="str">
        <f>IF($M2074&lt;&gt;EUconst_Relevant,"",MAX(0,ROUND((SUM($M2077)*SUM(L2088))*IF($H2077=TRUE,1,IF($L2077=4,L$2413,L$2412))*IF($I2077=TRUE,INDEX(EUconst_CBAMFactor,L2087-2020),1)*IF($L2077&gt;=8,L$2415/0.97,1),0)))</f>
        <v/>
      </c>
      <c r="M2089" s="406" t="str">
        <f>IF($M2074&lt;&gt;EUconst_Relevant,"",MAX(0,ROUND((SUM($M2077)*SUM(M2088))*IF($H2077=TRUE,1,IF($L2077=4,M$2413,M$2412))*IF($I2077=TRUE,INDEX(EUconst_CBAMFactor,M2087-2020),1)*IF($L2077&gt;=8,M$2415/0.97,1),0)))</f>
        <v/>
      </c>
      <c r="N2089" s="1729" t="str">
        <f>IF($M2074&lt;&gt;EUconst_Relevant,"",MAX(0,ROUND((SUM($M2077)*SUM(N2088))*IF($H2077=TRUE,1,IF($L2077=4,N$2413,N$2412))*IF($I2077=TRUE,INDEX(EUconst_CBAMFactor,N2087-2020),1)*IF($L2077&gt;=8,N$2415/0.97,1),0)))</f>
        <v/>
      </c>
      <c r="O2089" s="698"/>
      <c r="P2089" s="729"/>
      <c r="Q2089" s="729"/>
      <c r="R2089" s="729"/>
      <c r="S2089" s="729"/>
      <c r="T2089" s="729"/>
      <c r="U2089" s="343"/>
      <c r="V2089" s="343"/>
    </row>
    <row r="2090" spans="1:22" s="364" customFormat="1" ht="5.15" customHeight="1" x14ac:dyDescent="0.3">
      <c r="A2090" s="729"/>
      <c r="B2090" s="302"/>
      <c r="C2090" s="357"/>
      <c r="D2090" s="1698"/>
      <c r="E2090" s="357"/>
      <c r="F2090" s="357"/>
      <c r="G2090" s="357"/>
      <c r="H2090" s="357"/>
      <c r="I2090" s="357"/>
      <c r="J2090" s="357"/>
      <c r="K2090" s="357"/>
      <c r="L2090" s="357"/>
      <c r="M2090" s="357"/>
      <c r="N2090" s="1712"/>
      <c r="O2090" s="698"/>
      <c r="P2090" s="729"/>
      <c r="Q2090" s="729"/>
      <c r="R2090" s="729"/>
      <c r="S2090" s="729"/>
      <c r="T2090" s="729"/>
      <c r="U2090" s="343"/>
      <c r="V2090" s="343"/>
    </row>
    <row r="2091" spans="1:22" s="364" customFormat="1" ht="12.75" customHeight="1" x14ac:dyDescent="0.3">
      <c r="A2091" s="729"/>
      <c r="B2091" s="302"/>
      <c r="C2091" s="357"/>
      <c r="D2091" s="1698"/>
      <c r="E2091" s="389" t="str">
        <f>Translations!$B$1375</f>
        <v>Промени: Равнище на дейност</v>
      </c>
      <c r="F2091" s="498"/>
      <c r="G2091" s="498"/>
      <c r="H2091" s="527" t="str">
        <f>EUconst_Unit</f>
        <v>Единица мярка</v>
      </c>
      <c r="I2091" s="1699"/>
      <c r="J2091" s="1523">
        <f>J$2505</f>
        <v>2026</v>
      </c>
      <c r="K2091" s="387">
        <f>K$2505</f>
        <v>2027</v>
      </c>
      <c r="L2091" s="387">
        <f>L$2505</f>
        <v>2028</v>
      </c>
      <c r="M2091" s="387">
        <f>M$2505</f>
        <v>2029</v>
      </c>
      <c r="N2091" s="1544">
        <f>N$2505</f>
        <v>2030</v>
      </c>
      <c r="O2091" s="698"/>
      <c r="P2091" s="729"/>
      <c r="Q2091" s="729"/>
      <c r="R2091" s="729"/>
      <c r="S2091" s="729"/>
      <c r="T2091" s="729"/>
      <c r="U2091" s="343"/>
      <c r="V2091" s="343"/>
    </row>
    <row r="2092" spans="1:22" s="364" customFormat="1" ht="12.75" customHeight="1" x14ac:dyDescent="0.3">
      <c r="A2092" s="729"/>
      <c r="B2092" s="302"/>
      <c r="C2092" s="357"/>
      <c r="D2092" s="1698"/>
      <c r="E2092" s="392" t="str">
        <f>Translations!$B$1328</f>
        <v>Средна годишна стойност</v>
      </c>
      <c r="F2092" s="392"/>
      <c r="G2092" s="392"/>
      <c r="H2092" s="1730" t="str">
        <f>H2088</f>
        <v>TJ</v>
      </c>
      <c r="I2092" s="1731"/>
      <c r="J2092" s="1848" t="str">
        <f>INDEX('G_Fall-back'!J:J,MATCH($P2092,'G_Fall-back'!$Q:$Q,0))</f>
        <v/>
      </c>
      <c r="K2092" s="1849" t="str">
        <f>INDEX('G_Fall-back'!K:K,MATCH($P2092,'G_Fall-back'!$Q:$Q,0))</f>
        <v/>
      </c>
      <c r="L2092" s="1849" t="str">
        <f>INDEX('G_Fall-back'!L:L,MATCH($P2092,'G_Fall-back'!$Q:$Q,0))</f>
        <v/>
      </c>
      <c r="M2092" s="1849" t="str">
        <f>INDEX('G_Fall-back'!M:M,MATCH($P2092,'G_Fall-back'!$Q:$Q,0))</f>
        <v/>
      </c>
      <c r="N2092" s="1850" t="str">
        <f>INDEX('G_Fall-back'!N:N,MATCH($P2092,'G_Fall-back'!$Q:$Q,0))</f>
        <v/>
      </c>
      <c r="O2092" s="698"/>
      <c r="P2092" s="1190" t="str">
        <f>EUconst_CNTR_HALinitial&amp;I2074</f>
        <v>HALini_Подинсталация с горивен показател (с риск от ИВЕ | извън МКВЕГ)</v>
      </c>
      <c r="Q2092" s="729"/>
      <c r="R2092" s="729"/>
      <c r="S2092" s="729"/>
      <c r="T2092" s="729"/>
      <c r="U2092" s="343"/>
      <c r="V2092" s="343"/>
    </row>
    <row r="2093" spans="1:22" s="364" customFormat="1" ht="12.75" customHeight="1" x14ac:dyDescent="0.3">
      <c r="A2093" s="729"/>
      <c r="B2093" s="302"/>
      <c r="C2093" s="357"/>
      <c r="D2093" s="1698"/>
      <c r="E2093" s="398" t="str">
        <f>Translations!$B$1376</f>
        <v>Промяна в сравнение с HAL</v>
      </c>
      <c r="F2093" s="398"/>
      <c r="G2093" s="398"/>
      <c r="H2093" s="1751" t="s">
        <v>1052</v>
      </c>
      <c r="I2093" s="1735"/>
      <c r="J2093" s="159" t="str">
        <f>INDEX('G_Fall-back'!J:J,MATCH($P2093,'G_Fall-back'!$Q:$Q,0))</f>
        <v/>
      </c>
      <c r="K2093" s="160" t="str">
        <f>INDEX('G_Fall-back'!K:K,MATCH($P2093,'G_Fall-back'!$Q:$Q,0))</f>
        <v/>
      </c>
      <c r="L2093" s="160" t="str">
        <f>INDEX('G_Fall-back'!L:L,MATCH($P2093,'G_Fall-back'!$Q:$Q,0))</f>
        <v/>
      </c>
      <c r="M2093" s="160" t="str">
        <f>INDEX('G_Fall-back'!M:M,MATCH($P2093,'G_Fall-back'!$Q:$Q,0))</f>
        <v/>
      </c>
      <c r="N2093" s="161" t="str">
        <f>INDEX('G_Fall-back'!N:N,MATCH($P2093,'G_Fall-back'!$Q:$Q,0))</f>
        <v/>
      </c>
      <c r="O2093" s="698"/>
      <c r="P2093" s="1190" t="str">
        <f>EUconst_CNTR_RelThreshold &amp; I2074</f>
        <v>RelThresh_Подинсталация с горивен показател (с риск от ИВЕ | извън МКВЕГ)</v>
      </c>
      <c r="Q2093" s="729"/>
      <c r="R2093" s="729"/>
      <c r="S2093" s="729"/>
      <c r="T2093" s="729"/>
      <c r="U2093" s="343"/>
      <c r="V2093" s="343"/>
    </row>
    <row r="2094" spans="1:22" s="364" customFormat="1" ht="12.75" customHeight="1" x14ac:dyDescent="0.3">
      <c r="A2094" s="729"/>
      <c r="B2094" s="302"/>
      <c r="C2094" s="357"/>
      <c r="D2094" s="1698"/>
      <c r="E2094" s="1851" t="str">
        <f>Translations!$B$1590</f>
        <v>Критерий 3a: Надвишен ли е относителният праг?</v>
      </c>
      <c r="F2094" s="1851"/>
      <c r="G2094" s="1851"/>
      <c r="H2094" s="1852" t="s">
        <v>1052</v>
      </c>
      <c r="I2094" s="1852"/>
      <c r="J2094" s="1853" t="str">
        <f>INDEX('G_Fall-back'!V:V,MATCH($P2094,'G_Fall-back'!$Q:$Q,0)+1)</f>
        <v/>
      </c>
      <c r="K2094" s="1854" t="str">
        <f>INDEX('G_Fall-back'!W:W,MATCH($P2094,'G_Fall-back'!$Q:$Q,0)+1)</f>
        <v/>
      </c>
      <c r="L2094" s="1854" t="str">
        <f>INDEX('G_Fall-back'!X:X,MATCH($P2094,'G_Fall-back'!$Q:$Q,0)+1)</f>
        <v/>
      </c>
      <c r="M2094" s="1854" t="str">
        <f>INDEX('G_Fall-back'!Y:Y,MATCH($P2094,'G_Fall-back'!$Q:$Q,0)+1)</f>
        <v/>
      </c>
      <c r="N2094" s="1855" t="str">
        <f>INDEX('G_Fall-back'!Z:Z,MATCH($P2094,'G_Fall-back'!$Q:$Q,0)+1)</f>
        <v/>
      </c>
      <c r="O2094" s="698"/>
      <c r="P2094" s="1190" t="str">
        <f>P2093</f>
        <v>RelThresh_Подинсталация с горивен показател (с риск от ИВЕ | извън МКВЕГ)</v>
      </c>
      <c r="Q2094" s="729"/>
      <c r="R2094" s="729"/>
      <c r="S2094" s="729"/>
      <c r="T2094" s="729"/>
      <c r="U2094" s="343"/>
      <c r="V2094" s="343"/>
    </row>
    <row r="2095" spans="1:22" s="364" customFormat="1" ht="12.75" customHeight="1" x14ac:dyDescent="0.3">
      <c r="A2095" s="729"/>
      <c r="B2095" s="302"/>
      <c r="C2095" s="357"/>
      <c r="D2095" s="1698"/>
      <c r="E2095" s="392" t="str">
        <f>Translations!$B$1579</f>
        <v>Очаквано равнище на дейност</v>
      </c>
      <c r="F2095" s="392"/>
      <c r="G2095" s="392"/>
      <c r="H2095" s="1730" t="str">
        <f>F2080</f>
        <v>TJ</v>
      </c>
      <c r="I2095" s="392"/>
      <c r="J2095" s="1848" t="str">
        <f>INDEX('G_Fall-back'!J:J,MATCH($P2095,'G_Fall-back'!$Q:$Q,0))</f>
        <v/>
      </c>
      <c r="K2095" s="1849" t="str">
        <f>INDEX('G_Fall-back'!K:K,MATCH($P2095,'G_Fall-back'!$Q:$Q,0))</f>
        <v/>
      </c>
      <c r="L2095" s="1849" t="str">
        <f>INDEX('G_Fall-back'!L:L,MATCH($P2095,'G_Fall-back'!$Q:$Q,0))</f>
        <v/>
      </c>
      <c r="M2095" s="1849" t="str">
        <f>INDEX('G_Fall-back'!M:M,MATCH($P2095,'G_Fall-back'!$Q:$Q,0))</f>
        <v/>
      </c>
      <c r="N2095" s="1850" t="str">
        <f>INDEX('G_Fall-back'!N:N,MATCH($P2095,'G_Fall-back'!$Q:$Q,0))</f>
        <v/>
      </c>
      <c r="O2095" s="698"/>
      <c r="P2095" s="1190" t="str">
        <f>EUconst_CNTR_HALprelim&amp;I2074</f>
        <v>HALprelim_Подинсталация с горивен показател (с риск от ИВЕ | извън МКВЕГ)</v>
      </c>
      <c r="Q2095" s="729"/>
      <c r="R2095" s="729"/>
      <c r="S2095" s="729"/>
      <c r="T2095" s="729"/>
      <c r="U2095" s="343"/>
      <c r="V2095" s="343"/>
    </row>
    <row r="2096" spans="1:22" s="364" customFormat="1" ht="12.75" customHeight="1" x14ac:dyDescent="0.3">
      <c r="A2096" s="729"/>
      <c r="B2096" s="302"/>
      <c r="C2096" s="357"/>
      <c r="D2096" s="1698"/>
      <c r="E2096" s="398" t="str">
        <f>Translations!$B$1591</f>
        <v>Промяна в сравнение с HAL (очаквана)</v>
      </c>
      <c r="F2096" s="398"/>
      <c r="G2096" s="398"/>
      <c r="H2096" s="516" t="s">
        <v>1052</v>
      </c>
      <c r="I2096" s="1720"/>
      <c r="J2096" s="159" t="str">
        <f>INDEX('G_Fall-back'!J:J,MATCH($P2096,'G_Fall-back'!$Q:$Q,0))</f>
        <v/>
      </c>
      <c r="K2096" s="160" t="str">
        <f>INDEX('G_Fall-back'!K:K,MATCH($P2096,'G_Fall-back'!$Q:$Q,0))</f>
        <v/>
      </c>
      <c r="L2096" s="160" t="str">
        <f>INDEX('G_Fall-back'!L:L,MATCH($P2096,'G_Fall-back'!$Q:$Q,0))</f>
        <v/>
      </c>
      <c r="M2096" s="160" t="str">
        <f>INDEX('G_Fall-back'!M:M,MATCH($P2096,'G_Fall-back'!$Q:$Q,0))</f>
        <v/>
      </c>
      <c r="N2096" s="161" t="str">
        <f>INDEX('G_Fall-back'!N:N,MATCH($P2096,'G_Fall-back'!$Q:$Q,0))</f>
        <v/>
      </c>
      <c r="O2096" s="698"/>
      <c r="P2096" s="1190" t="str">
        <f>EUconst_CNTR_EnEffPct&amp;I2074</f>
        <v>EnEffPct_Подинсталация с горивен показател (с риск от ИВЕ | извън МКВЕГ)</v>
      </c>
      <c r="Q2096" s="729"/>
      <c r="R2096" s="729"/>
      <c r="S2096" s="729"/>
      <c r="T2096" s="729"/>
      <c r="U2096" s="343"/>
      <c r="V2096" s="343"/>
    </row>
    <row r="2097" spans="1:22" s="364" customFormat="1" ht="12.75" customHeight="1" x14ac:dyDescent="0.3">
      <c r="A2097" s="729"/>
      <c r="B2097" s="302"/>
      <c r="C2097" s="357"/>
      <c r="D2097" s="1698"/>
      <c r="E2097" s="1706" t="str">
        <f>Translations!$B$1379</f>
        <v>Критерий 3б: Надвишени ли са относителните прагове?</v>
      </c>
      <c r="F2097" s="1706"/>
      <c r="G2097" s="1706"/>
      <c r="H2097" s="1856" t="s">
        <v>1052</v>
      </c>
      <c r="I2097" s="1857"/>
      <c r="J2097" s="1709" t="str">
        <f>INDEX('G_Fall-back'!V:V,MATCH($P2097,'G_Fall-back'!$Q:$Q,0)+1)</f>
        <v/>
      </c>
      <c r="K2097" s="1710" t="str">
        <f>INDEX('G_Fall-back'!W:W,MATCH($P2097,'G_Fall-back'!$Q:$Q,0)+1)</f>
        <v/>
      </c>
      <c r="L2097" s="1710" t="str">
        <f>INDEX('G_Fall-back'!X:X,MATCH($P2097,'G_Fall-back'!$Q:$Q,0)+1)</f>
        <v/>
      </c>
      <c r="M2097" s="1710" t="str">
        <f>INDEX('G_Fall-back'!Y:Y,MATCH($P2097,'G_Fall-back'!$Q:$Q,0)+1)</f>
        <v/>
      </c>
      <c r="N2097" s="1711" t="str">
        <f>INDEX('G_Fall-back'!Z:Z,MATCH($P2097,'G_Fall-back'!$Q:$Q,0)+1)</f>
        <v/>
      </c>
      <c r="O2097" s="698"/>
      <c r="P2097" s="1190" t="str">
        <f>EUconst_CNTR_EnEffPct&amp;I2074</f>
        <v>EnEffPct_Подинсталация с горивен показател (с риск от ИВЕ | извън МКВЕГ)</v>
      </c>
      <c r="Q2097" s="729"/>
      <c r="R2097" s="729"/>
      <c r="S2097" s="729"/>
      <c r="T2097" s="729"/>
      <c r="U2097" s="343"/>
      <c r="V2097" s="343"/>
    </row>
    <row r="2098" spans="1:22" s="364" customFormat="1" ht="13" x14ac:dyDescent="0.25">
      <c r="A2098" s="729"/>
      <c r="B2098" s="302"/>
      <c r="C2098" s="302"/>
      <c r="D2098" s="344"/>
      <c r="E2098" s="498" t="str">
        <f>Translations!$B$1389</f>
        <v>Действителна корекция на равнището на дейност</v>
      </c>
      <c r="F2098" s="498"/>
      <c r="G2098" s="498"/>
      <c r="H2098" s="1858" t="s">
        <v>1052</v>
      </c>
      <c r="I2098" s="1859"/>
      <c r="J2098" s="225" t="str">
        <f>INDEX('G_Fall-back'!J:J,MATCH($P2098,'G_Fall-back'!$Q:$Q,0))</f>
        <v/>
      </c>
      <c r="K2098" s="226" t="str">
        <f>INDEX('G_Fall-back'!K:K,MATCH($P2098,'G_Fall-back'!$Q:$Q,0))</f>
        <v/>
      </c>
      <c r="L2098" s="226" t="str">
        <f>INDEX('G_Fall-back'!L:L,MATCH($P2098,'G_Fall-back'!$Q:$Q,0))</f>
        <v/>
      </c>
      <c r="M2098" s="226" t="str">
        <f>INDEX('G_Fall-back'!M:M,MATCH($P2098,'G_Fall-back'!$Q:$Q,0))</f>
        <v/>
      </c>
      <c r="N2098" s="227" t="str">
        <f>INDEX('G_Fall-back'!N:N,MATCH($P2098,'G_Fall-back'!$Q:$Q,0))</f>
        <v/>
      </c>
      <c r="O2098" s="698"/>
      <c r="P2098" s="1190" t="str">
        <f>EUconst_CNTR_HALAdjPct&amp;I2074</f>
        <v>HALAdjPct_Подинсталация с горивен показател (с риск от ИВЕ | извън МКВЕГ)</v>
      </c>
      <c r="Q2098" s="729"/>
      <c r="R2098" s="729"/>
      <c r="S2098" s="729"/>
      <c r="T2098" s="770"/>
      <c r="U2098" s="343"/>
      <c r="V2098" s="343"/>
    </row>
    <row r="2099" spans="1:22" s="364" customFormat="1" ht="5.15" customHeight="1" thickBot="1" x14ac:dyDescent="0.3">
      <c r="A2099" s="729"/>
      <c r="B2099" s="302"/>
      <c r="C2099" s="302"/>
      <c r="D2099" s="1801"/>
      <c r="E2099" s="1762"/>
      <c r="F2099" s="1762"/>
      <c r="G2099" s="1762"/>
      <c r="H2099" s="1762"/>
      <c r="I2099" s="1860"/>
      <c r="J2099" s="1762"/>
      <c r="K2099" s="1762"/>
      <c r="L2099" s="1762"/>
      <c r="M2099" s="1762"/>
      <c r="N2099" s="1764"/>
      <c r="O2099" s="698"/>
      <c r="P2099" s="729"/>
      <c r="Q2099" s="729"/>
      <c r="R2099" s="729"/>
      <c r="S2099" s="729"/>
      <c r="T2099" s="770"/>
      <c r="U2099" s="343"/>
      <c r="V2099" s="343"/>
    </row>
    <row r="2100" spans="1:22" s="364" customFormat="1" ht="5.15" customHeight="1" thickBot="1" x14ac:dyDescent="0.3">
      <c r="A2100" s="729"/>
      <c r="B2100" s="302"/>
      <c r="C2100" s="302"/>
      <c r="D2100" s="302"/>
      <c r="E2100" s="302"/>
      <c r="F2100" s="302"/>
      <c r="G2100" s="302"/>
      <c r="H2100" s="302"/>
      <c r="I2100" s="1861"/>
      <c r="J2100" s="302"/>
      <c r="K2100" s="302"/>
      <c r="L2100" s="302"/>
      <c r="M2100" s="302"/>
      <c r="N2100" s="302"/>
      <c r="O2100" s="698"/>
      <c r="P2100" s="729"/>
      <c r="Q2100" s="729"/>
      <c r="R2100" s="729"/>
      <c r="S2100" s="729"/>
      <c r="T2100" s="770"/>
      <c r="U2100" s="343"/>
      <c r="V2100" s="343"/>
    </row>
    <row r="2101" spans="1:22" s="364" customFormat="1" ht="5.15" customHeight="1" x14ac:dyDescent="0.25">
      <c r="A2101" s="729"/>
      <c r="B2101" s="302"/>
      <c r="C2101" s="302"/>
      <c r="D2101" s="1765"/>
      <c r="E2101" s="1766"/>
      <c r="F2101" s="1766"/>
      <c r="G2101" s="1766"/>
      <c r="H2101" s="1766"/>
      <c r="I2101" s="1767"/>
      <c r="J2101" s="1766"/>
      <c r="K2101" s="1766"/>
      <c r="L2101" s="1766"/>
      <c r="M2101" s="1766"/>
      <c r="N2101" s="1768"/>
      <c r="O2101" s="698"/>
      <c r="P2101" s="729"/>
      <c r="Q2101" s="729"/>
      <c r="R2101" s="729"/>
      <c r="S2101" s="729"/>
      <c r="T2101" s="729"/>
      <c r="U2101" s="729"/>
      <c r="V2101" s="729"/>
    </row>
    <row r="2102" spans="1:22" s="364" customFormat="1" ht="13" x14ac:dyDescent="0.25">
      <c r="A2102" s="729"/>
      <c r="B2102" s="302"/>
      <c r="C2102" s="302"/>
      <c r="D2102" s="344"/>
      <c r="E2102" s="1769" t="str">
        <f>Translations!$B$1583</f>
        <v>Предварителни стойности за критерий &gt; 300 EUA</v>
      </c>
      <c r="F2102" s="1746"/>
      <c r="G2102" s="1746"/>
      <c r="H2102" s="1699" t="str">
        <f>EUconst_Unit</f>
        <v>Единица мярка</v>
      </c>
      <c r="I2102" s="1862" t="str">
        <f>Translations!$B$1341</f>
        <v>Базова стойност</v>
      </c>
      <c r="J2102" s="1771">
        <f>J$2505</f>
        <v>2026</v>
      </c>
      <c r="K2102" s="1772">
        <f>K$2505</f>
        <v>2027</v>
      </c>
      <c r="L2102" s="1772">
        <f>L$2505</f>
        <v>2028</v>
      </c>
      <c r="M2102" s="1772">
        <f>M$2505</f>
        <v>2029</v>
      </c>
      <c r="N2102" s="1773">
        <f>N$2505</f>
        <v>2030</v>
      </c>
      <c r="O2102" s="698"/>
      <c r="P2102" s="729"/>
      <c r="Q2102" s="729"/>
      <c r="R2102" s="729"/>
      <c r="S2102" s="729"/>
      <c r="T2102" s="729"/>
      <c r="U2102" s="729"/>
      <c r="V2102" s="729"/>
    </row>
    <row r="2103" spans="1:22" s="364" customFormat="1" x14ac:dyDescent="0.25">
      <c r="A2103" s="729"/>
      <c r="B2103" s="302"/>
      <c r="C2103" s="302"/>
      <c r="D2103" s="344"/>
      <c r="E2103" s="1789" t="str">
        <f>Translations!$B$1579</f>
        <v>Очаквано равнище на дейност</v>
      </c>
      <c r="F2103" s="1789"/>
      <c r="G2103" s="1789"/>
      <c r="H2103" s="1863" t="str">
        <f>F2080</f>
        <v>TJ</v>
      </c>
      <c r="I2103" s="1864" t="str">
        <f>IF($M2074&lt;&gt;EUconst_Relevant,"",IF(T2112&gt;=$H$2505,0,S2111))</f>
        <v/>
      </c>
      <c r="J2103" s="1864" t="str">
        <f>INDEX('G_Fall-back'!J:J,MATCH($P2103,'G_Fall-back'!$Q:$Q,0))</f>
        <v/>
      </c>
      <c r="K2103" s="1865" t="str">
        <f>INDEX('G_Fall-back'!K:K,MATCH($P2103,'G_Fall-back'!$Q:$Q,0))</f>
        <v/>
      </c>
      <c r="L2103" s="1865" t="str">
        <f>INDEX('G_Fall-back'!L:L,MATCH($P2103,'G_Fall-back'!$Q:$Q,0))</f>
        <v/>
      </c>
      <c r="M2103" s="1865" t="str">
        <f>INDEX('G_Fall-back'!M:M,MATCH($P2103,'G_Fall-back'!$Q:$Q,0))</f>
        <v/>
      </c>
      <c r="N2103" s="1866" t="str">
        <f>INDEX('G_Fall-back'!N:N,MATCH($P2103,'G_Fall-back'!$Q:$Q,0))</f>
        <v/>
      </c>
      <c r="O2103" s="698"/>
      <c r="P2103" s="1190" t="str">
        <f>EUconst_CNTR_HALprelim&amp;I2074</f>
        <v>HALprelim_Подинсталация с горивен показател (с риск от ИВЕ | извън МКВЕГ)</v>
      </c>
      <c r="Q2103" s="729"/>
      <c r="R2103" s="729"/>
      <c r="S2103" s="729"/>
      <c r="T2103" s="729"/>
      <c r="U2103" s="729"/>
      <c r="V2103" s="729"/>
    </row>
    <row r="2104" spans="1:22" s="364" customFormat="1" x14ac:dyDescent="0.25">
      <c r="A2104" s="729"/>
      <c r="B2104" s="302"/>
      <c r="C2104" s="302"/>
      <c r="D2104" s="344"/>
      <c r="E2104" s="1789" t="str">
        <f>Translations!$B$1374</f>
        <v>Стойност на предварително разпределяне</v>
      </c>
      <c r="F2104" s="1789"/>
      <c r="G2104" s="1789"/>
      <c r="H2104" s="1790" t="str">
        <f>EUconst_EUA</f>
        <v>Квота за емисии</v>
      </c>
      <c r="I2104" s="1867" t="str">
        <f>IF($M2074&lt;&gt;EUconst_Relevant,"",MAX(0,ROUND((SUM($M2077)*SUM(I2111))*IF($H2077=TRUE,1,IF($L2077=4,J$2413,J$2412)),0)))</f>
        <v/>
      </c>
      <c r="J2104" s="1714" t="str">
        <f>IF($M2074&lt;&gt;EUconst_Relevant,"",MAX(0,ROUND((SUM($M2077)*SUM(J2103))*IF($H2077=TRUE,1,IF($L2077=4,J$2413,J$2412))*IF($I2077=TRUE,INDEX(EUconst_CBAMFactor,J2087-2020),1)*IF($L2077&gt;=8,J$2415/0.97,1),0)))</f>
        <v/>
      </c>
      <c r="K2104" s="1693" t="str">
        <f>IF($M2074&lt;&gt;EUconst_Relevant,"",MAX(0,ROUND((SUM($M2077)*SUM(K2103))*IF($H2077=TRUE,1,IF($L2077=4,K$2413,K$2412))*IF($I2077=TRUE,INDEX(EUconst_CBAMFactor,K2087-2020),1)*IF($L2077&gt;=8,K$2415/0.97,1),0)))</f>
        <v/>
      </c>
      <c r="L2104" s="1693" t="str">
        <f>IF($M2074&lt;&gt;EUconst_Relevant,"",MAX(0,ROUND((SUM($M2077)*SUM(L2103))*IF($H2077=TRUE,1,IF($L2077=4,L$2413,L$2412))*IF($I2077=TRUE,INDEX(EUconst_CBAMFactor,L2087-2020),1)*IF($L2077&gt;=8,L$2415/0.97,1),0)))</f>
        <v/>
      </c>
      <c r="M2104" s="1693" t="str">
        <f>IF($M2074&lt;&gt;EUconst_Relevant,"",MAX(0,ROUND((SUM($M2077)*SUM(M2103))*IF($H2077=TRUE,1,IF($L2077=4,M$2413,M$2412))*IF($I2077=TRUE,INDEX(EUconst_CBAMFactor,M2087-2020),1)*IF($L2077&gt;=8,M$2415/0.97,1),0)))</f>
        <v/>
      </c>
      <c r="N2104" s="1715" t="str">
        <f>IF($M2074&lt;&gt;EUconst_Relevant,"",MAX(0,ROUND((SUM($M2077)*SUM(N2103))*IF($H2077=TRUE,1,IF($L2077=4,N$2413,N$2412))*IF($I2077=TRUE,INDEX(EUconst_CBAMFactor,N2087-2020),1)*IF($L2077&gt;=8,N$2415/0.97,1),0)))</f>
        <v/>
      </c>
      <c r="O2104" s="698"/>
      <c r="P2104" s="729"/>
      <c r="Q2104" s="729"/>
      <c r="R2104" s="729"/>
      <c r="S2104" s="729"/>
      <c r="T2104" s="729"/>
      <c r="U2104" s="729"/>
      <c r="V2104" s="729"/>
    </row>
    <row r="2105" spans="1:22" s="364" customFormat="1" x14ac:dyDescent="0.25">
      <c r="A2105" s="729"/>
      <c r="B2105" s="302"/>
      <c r="C2105" s="302"/>
      <c r="D2105" s="344"/>
      <c r="E2105" s="388" t="str">
        <f>Translations!$B$1584</f>
        <v>Разлика в предварителната стойност</v>
      </c>
      <c r="F2105" s="388"/>
      <c r="G2105" s="388"/>
      <c r="H2105" s="421" t="str">
        <f>EUconst_EUA</f>
        <v>Квота за емисии</v>
      </c>
      <c r="I2105" s="1792"/>
      <c r="J2105" s="1793" t="str">
        <f>IF(J2104="","",SUM(J2104)-SUM(J2089))</f>
        <v/>
      </c>
      <c r="K2105" s="998" t="str">
        <f t="shared" ref="K2105:N2105" si="175">IF(K2104="","",SUM(K2104)-SUM(K2089))</f>
        <v/>
      </c>
      <c r="L2105" s="998" t="str">
        <f t="shared" si="175"/>
        <v/>
      </c>
      <c r="M2105" s="998" t="str">
        <f t="shared" si="175"/>
        <v/>
      </c>
      <c r="N2105" s="1794" t="str">
        <f t="shared" si="175"/>
        <v/>
      </c>
      <c r="O2105" s="698"/>
      <c r="P2105" s="1190" t="str">
        <f>EUconst_CNTR_AllocPrelimChange</f>
        <v>AllocPrelimChange_</v>
      </c>
      <c r="Q2105" s="729"/>
      <c r="R2105" s="729"/>
      <c r="S2105" s="729"/>
      <c r="T2105" s="729"/>
      <c r="U2105" s="729"/>
      <c r="V2105" s="729"/>
    </row>
    <row r="2106" spans="1:22" s="364" customFormat="1" x14ac:dyDescent="0.25">
      <c r="A2106" s="729"/>
      <c r="B2106" s="302"/>
      <c r="C2106" s="302"/>
      <c r="D2106" s="344"/>
      <c r="E2106" s="1796" t="str">
        <f>Translations!$B$1581</f>
        <v>Критерий 4: Разлика от поне 300 квоти за емисии?</v>
      </c>
      <c r="F2106" s="1796"/>
      <c r="G2106" s="1796"/>
      <c r="H2106" s="1797" t="s">
        <v>1052</v>
      </c>
      <c r="I2106" s="1792"/>
      <c r="J2106" s="1798" t="str">
        <f>IF(J2105="","",ABS(J2105)&gt;=300)</f>
        <v/>
      </c>
      <c r="K2106" s="1799" t="str">
        <f t="shared" ref="K2106:N2106" si="176">IF(K2105="","",ABS(K2105)&gt;=300)</f>
        <v/>
      </c>
      <c r="L2106" s="1799" t="str">
        <f t="shared" si="176"/>
        <v/>
      </c>
      <c r="M2106" s="1799" t="str">
        <f t="shared" si="176"/>
        <v/>
      </c>
      <c r="N2106" s="1800" t="str">
        <f t="shared" si="176"/>
        <v/>
      </c>
      <c r="O2106" s="698"/>
      <c r="P2106" s="1190" t="str">
        <f>EUconst_CNTR_300EUA&amp;I2074</f>
        <v>EUA300_Подинсталация с горивен показател (с риск от ИВЕ | извън МКВЕГ)</v>
      </c>
      <c r="Q2106" s="729"/>
      <c r="R2106" s="729"/>
      <c r="S2106" s="729"/>
      <c r="T2106" s="729"/>
      <c r="U2106" s="729"/>
      <c r="V2106" s="729"/>
    </row>
    <row r="2107" spans="1:22" s="364" customFormat="1" ht="5.15" customHeight="1" thickBot="1" x14ac:dyDescent="0.3">
      <c r="A2107" s="729"/>
      <c r="B2107" s="302"/>
      <c r="C2107" s="302"/>
      <c r="D2107" s="1801"/>
      <c r="E2107" s="1762"/>
      <c r="F2107" s="1762"/>
      <c r="G2107" s="1762"/>
      <c r="H2107" s="1762"/>
      <c r="I2107" s="1762"/>
      <c r="J2107" s="1762"/>
      <c r="K2107" s="1762"/>
      <c r="L2107" s="1762"/>
      <c r="M2107" s="1762"/>
      <c r="N2107" s="1764"/>
      <c r="O2107" s="698"/>
      <c r="P2107" s="729"/>
      <c r="Q2107" s="729"/>
      <c r="R2107" s="729"/>
      <c r="S2107" s="729"/>
      <c r="T2107" s="770"/>
      <c r="U2107" s="343"/>
      <c r="V2107" s="343"/>
    </row>
    <row r="2108" spans="1:22" s="364" customFormat="1" ht="5.15" customHeight="1" thickBot="1" x14ac:dyDescent="0.3">
      <c r="A2108" s="729"/>
      <c r="B2108" s="302"/>
      <c r="C2108" s="302"/>
      <c r="D2108" s="302"/>
      <c r="E2108" s="302"/>
      <c r="F2108" s="302"/>
      <c r="G2108" s="302"/>
      <c r="H2108" s="302"/>
      <c r="I2108" s="1861"/>
      <c r="J2108" s="302"/>
      <c r="K2108" s="302"/>
      <c r="L2108" s="302"/>
      <c r="M2108" s="302"/>
      <c r="N2108" s="302"/>
      <c r="O2108" s="698"/>
      <c r="P2108" s="729"/>
      <c r="Q2108" s="729"/>
      <c r="R2108" s="729"/>
      <c r="S2108" s="729"/>
      <c r="T2108" s="770"/>
      <c r="U2108" s="343"/>
      <c r="V2108" s="343"/>
    </row>
    <row r="2109" spans="1:22" s="364" customFormat="1" ht="5.15" customHeight="1" x14ac:dyDescent="0.25">
      <c r="A2109" s="729"/>
      <c r="B2109" s="302"/>
      <c r="C2109" s="302"/>
      <c r="D2109" s="1765"/>
      <c r="E2109" s="1766"/>
      <c r="F2109" s="1766"/>
      <c r="G2109" s="1766"/>
      <c r="H2109" s="1766"/>
      <c r="I2109" s="1767"/>
      <c r="J2109" s="1766"/>
      <c r="K2109" s="1766"/>
      <c r="L2109" s="1766"/>
      <c r="M2109" s="1766"/>
      <c r="N2109" s="1768"/>
      <c r="O2109" s="698"/>
      <c r="P2109" s="729"/>
      <c r="Q2109" s="729"/>
      <c r="R2109" s="729"/>
      <c r="S2109" s="729"/>
      <c r="T2109" s="770"/>
      <c r="U2109" s="343"/>
      <c r="V2109" s="343"/>
    </row>
    <row r="2110" spans="1:22" s="364" customFormat="1" ht="13" x14ac:dyDescent="0.25">
      <c r="A2110" s="729"/>
      <c r="B2110" s="302"/>
      <c r="C2110" s="302"/>
      <c r="D2110" s="344"/>
      <c r="E2110" s="313" t="str">
        <f>Translations!$B$1387</f>
        <v>Използвани действителни стойности</v>
      </c>
      <c r="F2110" s="302"/>
      <c r="G2110" s="302"/>
      <c r="H2110" s="527" t="str">
        <f>EUconst_Unit</f>
        <v>Единица мярка</v>
      </c>
      <c r="I2110" s="1868" t="str">
        <f>Translations!$B$1341</f>
        <v>Базова стойност</v>
      </c>
      <c r="J2110" s="1523">
        <f>J$2505</f>
        <v>2026</v>
      </c>
      <c r="K2110" s="387">
        <f>K$2505</f>
        <v>2027</v>
      </c>
      <c r="L2110" s="387">
        <f>L$2505</f>
        <v>2028</v>
      </c>
      <c r="M2110" s="387">
        <f>M$2505</f>
        <v>2029</v>
      </c>
      <c r="N2110" s="1544">
        <f>N$2505</f>
        <v>2030</v>
      </c>
      <c r="O2110" s="698"/>
      <c r="P2110" s="729"/>
      <c r="Q2110" s="729"/>
      <c r="R2110" s="729"/>
      <c r="S2110" s="1519" t="str">
        <f>Translations!$B$1284</f>
        <v>HAL</v>
      </c>
      <c r="T2110" s="770"/>
      <c r="U2110" s="343"/>
      <c r="V2110" s="343"/>
    </row>
    <row r="2111" spans="1:22" s="364" customFormat="1" x14ac:dyDescent="0.25">
      <c r="A2111" s="729"/>
      <c r="B2111" s="302"/>
      <c r="C2111" s="302"/>
      <c r="D2111" s="344"/>
      <c r="E2111" s="388" t="str">
        <f>Translations!$B$1390</f>
        <v>Използвано равнище на дейност</v>
      </c>
      <c r="F2111" s="388"/>
      <c r="G2111" s="388"/>
      <c r="H2111" s="1210" t="str">
        <f>F2080</f>
        <v>TJ</v>
      </c>
      <c r="I2111" s="1864" t="str">
        <f>IF($M2074&lt;&gt;EUconst_Relevant,"",IF(T2112&gt;=$H$2505,0,S2111))</f>
        <v/>
      </c>
      <c r="J2111" s="1844" t="str">
        <f>INDEX('G_Fall-back'!J:J,MATCH($P2111,'G_Fall-back'!$Q:$Q,0))</f>
        <v/>
      </c>
      <c r="K2111" s="1846" t="str">
        <f>INDEX('G_Fall-back'!K:K,MATCH($P2111,'G_Fall-back'!$Q:$Q,0))</f>
        <v/>
      </c>
      <c r="L2111" s="1846" t="str">
        <f>INDEX('G_Fall-back'!L:L,MATCH($P2111,'G_Fall-back'!$Q:$Q,0))</f>
        <v/>
      </c>
      <c r="M2111" s="1846" t="str">
        <f>INDEX('G_Fall-back'!M:M,MATCH($P2111,'G_Fall-back'!$Q:$Q,0))</f>
        <v/>
      </c>
      <c r="N2111" s="1847" t="str">
        <f>INDEX('G_Fall-back'!N:N,MATCH($P2111,'G_Fall-back'!$Q:$Q,0))</f>
        <v/>
      </c>
      <c r="O2111" s="698"/>
      <c r="P2111" s="1190" t="str">
        <f>EUconst_CNTR_HALfinal&amp;I2074</f>
        <v>HALfinal_Подинсталация с горивен показател (с риск от ИВЕ | извън МКВЕГ)</v>
      </c>
      <c r="Q2111" s="729"/>
      <c r="R2111" s="729"/>
      <c r="S2111" s="1817" t="str">
        <f>IF($M2074&lt;&gt;EUconst_Relevant,"",SUMIF('G_Fall-back'!$Q:$Q,$P2111,'G_Fall-back'!I:I))</f>
        <v/>
      </c>
      <c r="T2111" s="770"/>
      <c r="U2111" s="343"/>
      <c r="V2111" s="343"/>
    </row>
    <row r="2112" spans="1:22" s="364" customFormat="1" x14ac:dyDescent="0.25">
      <c r="A2112" s="729"/>
      <c r="B2112" s="302"/>
      <c r="C2112" s="302"/>
      <c r="D2112" s="344"/>
      <c r="E2112" s="388" t="str">
        <f>Translations!$B$892</f>
        <v>Предварително разпределяне</v>
      </c>
      <c r="F2112" s="388"/>
      <c r="G2112" s="388"/>
      <c r="H2112" s="421" t="str">
        <f>EUconst_EUA</f>
        <v>Квота за емисии</v>
      </c>
      <c r="I2112" s="1867" t="str">
        <f>IF($M2074&lt;&gt;EUconst_Relevant,"",MAX(0,ROUND((SUM($M2077)*SUM(I2111))*IF($H2077=TRUE,1,IF($L2077=4,J$2413,J$2412)),0)))</f>
        <v/>
      </c>
      <c r="J2112" s="1694" t="str">
        <f>IF($M2074&lt;&gt;EUconst_Relevant,"",MAX(0,ROUND((SUM($M2077)*SUM(J2111))*IF($H2077=TRUE,1,IF($L2077=4,J$2413,J$2412))*IF($I2077=TRUE,INDEX(EUconst_CBAMFactor,J2087-2020),1)*IF($L2077&gt;=8,J$2415/0.97,1),0)))</f>
        <v/>
      </c>
      <c r="K2112" s="406" t="str">
        <f>IF($M2074&lt;&gt;EUconst_Relevant,"",MAX(0,ROUND((SUM($M2077)*SUM(K2111))*IF($H2077=TRUE,1,IF($L2077=4,K$2413,K$2412))*IF($I2077=TRUE,INDEX(EUconst_CBAMFactor,K2087-2020),1)*IF($L2077&gt;=8,K$2415/0.97,1),0)))</f>
        <v/>
      </c>
      <c r="L2112" s="406" t="str">
        <f>IF($M2074&lt;&gt;EUconst_Relevant,"",MAX(0,ROUND((SUM($M2077)*SUM(L2111))*IF($H2077=TRUE,1,IF($L2077=4,L$2413,L$2412))*IF($I2077=TRUE,INDEX(EUconst_CBAMFactor,L2087-2020),1)*IF($L2077&gt;=8,L$2415/0.97,1),0)))</f>
        <v/>
      </c>
      <c r="M2112" s="406" t="str">
        <f>IF($M2074&lt;&gt;EUconst_Relevant,"",MAX(0,ROUND((SUM($M2077)*SUM(M2111))*IF($H2077=TRUE,1,IF($L2077=4,M$2413,M$2412))*IF($I2077=TRUE,INDEX(EUconst_CBAMFactor,M2087-2020),1)*IF($L2077&gt;=8,M$2415/0.97,1),0)))</f>
        <v/>
      </c>
      <c r="N2112" s="1729" t="str">
        <f>IF($M2074&lt;&gt;EUconst_Relevant,"",MAX(0,ROUND((SUM($M2077)*SUM(N2111))*IF($H2077=TRUE,1,IF($L2077=4,N$2413,N$2412))*IF($I2077=TRUE,INDEX(EUconst_CBAMFactor,N2087-2020),1)*IF($L2077&gt;=8,N$2415/0.97,1),0)))</f>
        <v/>
      </c>
      <c r="O2112" s="698"/>
      <c r="P2112" s="1190" t="str">
        <f>EUconst_AllocPrelim&amp;I2074</f>
        <v>AllocPrelim_Подинсталация с горивен показател (с риск от ИВЕ | извън МКВЕГ)</v>
      </c>
      <c r="Q2112" s="729"/>
      <c r="R2112" s="729"/>
      <c r="S2112" s="729"/>
      <c r="T2112" s="1176">
        <f>INDEX('G_Fall-back'!V:V,MATCH(L2077,'G_Fall-back'!C:C,0))</f>
        <v>2005</v>
      </c>
      <c r="U2112" s="727" t="b">
        <f>OR(INDEX(I2112:N2112,CNTR_ReportingYear-$I$2505)&lt;&gt;INDEX(I2112:N2112,CNTR_ReportingYear-$H$2505),
(CNTR_ReportingYear-T2112)&lt;=1)</f>
        <v>0</v>
      </c>
      <c r="V2112" s="716" t="b">
        <f ca="1">IF(I2112="",FALSE,COUNTIF(OFFSET(I2112,,,,MAX(1,CNTR_ReportingYear-$I$2505)),"&lt;&gt;" &amp; INDEX(I2112:N2112,CNTR_ReportingYear-$H$2505))&gt;0)</f>
        <v>0</v>
      </c>
    </row>
    <row r="2113" spans="1:22" s="364" customFormat="1" ht="5.15" customHeight="1" thickBot="1" x14ac:dyDescent="0.3">
      <c r="A2113" s="729"/>
      <c r="B2113" s="302"/>
      <c r="C2113" s="302"/>
      <c r="D2113" s="1801"/>
      <c r="E2113" s="1762"/>
      <c r="F2113" s="1762"/>
      <c r="G2113" s="1762"/>
      <c r="H2113" s="1762"/>
      <c r="I2113" s="1762"/>
      <c r="J2113" s="1762"/>
      <c r="K2113" s="1762"/>
      <c r="L2113" s="1762"/>
      <c r="M2113" s="1762"/>
      <c r="N2113" s="1764"/>
      <c r="O2113" s="698"/>
      <c r="P2113" s="729"/>
      <c r="Q2113" s="729"/>
      <c r="R2113" s="729"/>
      <c r="S2113" s="729"/>
      <c r="T2113" s="770"/>
      <c r="U2113" s="343"/>
      <c r="V2113" s="343"/>
    </row>
    <row r="2114" spans="1:22" s="364" customFormat="1" ht="5.15" customHeight="1" x14ac:dyDescent="0.25">
      <c r="A2114" s="729"/>
      <c r="B2114" s="302"/>
      <c r="C2114" s="302"/>
      <c r="D2114" s="302"/>
      <c r="E2114" s="302"/>
      <c r="F2114" s="302"/>
      <c r="G2114" s="302"/>
      <c r="M2114" s="302"/>
      <c r="N2114" s="302"/>
      <c r="O2114" s="698"/>
      <c r="P2114" s="729"/>
      <c r="Q2114" s="729"/>
      <c r="R2114" s="729"/>
      <c r="S2114" s="729"/>
      <c r="T2114" s="729"/>
      <c r="U2114" s="343"/>
      <c r="V2114" s="343"/>
    </row>
    <row r="2115" spans="1:22" s="364" customFormat="1" ht="5.15" customHeight="1" thickBot="1" x14ac:dyDescent="0.3">
      <c r="A2115" s="729"/>
      <c r="B2115" s="302"/>
      <c r="C2115" s="302"/>
      <c r="D2115" s="302"/>
      <c r="E2115" s="302"/>
      <c r="F2115" s="302"/>
      <c r="G2115" s="302"/>
      <c r="M2115" s="302"/>
      <c r="N2115" s="302"/>
      <c r="O2115" s="698"/>
      <c r="P2115" s="729"/>
      <c r="Q2115" s="729"/>
      <c r="R2115" s="729"/>
      <c r="S2115" s="729"/>
      <c r="T2115" s="729"/>
      <c r="U2115" s="343"/>
      <c r="V2115" s="343"/>
    </row>
    <row r="2116" spans="1:22" s="364" customFormat="1" ht="5.15" customHeight="1" x14ac:dyDescent="0.25">
      <c r="A2116" s="729"/>
      <c r="B2116" s="302"/>
      <c r="C2116" s="302"/>
      <c r="D2116" s="1872"/>
      <c r="E2116" s="1819"/>
      <c r="F2116" s="1300"/>
      <c r="G2116" s="1300"/>
      <c r="H2116" s="1300"/>
      <c r="I2116" s="1300"/>
      <c r="J2116" s="1300"/>
      <c r="K2116" s="1300"/>
      <c r="L2116" s="1300"/>
      <c r="M2116" s="1300"/>
      <c r="N2116" s="1301"/>
      <c r="O2116" s="698"/>
      <c r="P2116" s="729"/>
      <c r="Q2116" s="729"/>
      <c r="R2116" s="729"/>
      <c r="S2116" s="729"/>
      <c r="T2116" s="729"/>
      <c r="U2116" s="343"/>
      <c r="V2116" s="343"/>
    </row>
    <row r="2117" spans="1:22" s="364" customFormat="1" ht="13.5" thickBot="1" x14ac:dyDescent="0.3">
      <c r="A2117" s="729"/>
      <c r="B2117" s="302"/>
      <c r="C2117" s="302"/>
      <c r="D2117" s="1873"/>
      <c r="E2117" s="625"/>
      <c r="F2117" s="1874"/>
      <c r="G2117" s="627" t="str">
        <f>EUconst_Unit</f>
        <v>Единица мярка</v>
      </c>
      <c r="H2117" s="666">
        <f t="shared" ref="H2117:N2117" si="177">H$2505</f>
        <v>2024</v>
      </c>
      <c r="I2117" s="666">
        <f t="shared" si="177"/>
        <v>2025</v>
      </c>
      <c r="J2117" s="666">
        <f t="shared" si="177"/>
        <v>2026</v>
      </c>
      <c r="K2117" s="667">
        <f t="shared" si="177"/>
        <v>2027</v>
      </c>
      <c r="L2117" s="667">
        <f t="shared" si="177"/>
        <v>2028</v>
      </c>
      <c r="M2117" s="667">
        <f t="shared" si="177"/>
        <v>2029</v>
      </c>
      <c r="N2117" s="667">
        <f t="shared" si="177"/>
        <v>2030</v>
      </c>
      <c r="O2117" s="698"/>
      <c r="P2117" s="729"/>
      <c r="Q2117" s="729"/>
      <c r="R2117" s="729"/>
      <c r="S2117" s="729"/>
      <c r="T2117" s="729"/>
      <c r="U2117" s="343"/>
      <c r="V2117" s="343"/>
    </row>
    <row r="2118" spans="1:22" s="364" customFormat="1" ht="13.5" customHeight="1" thickBot="1" x14ac:dyDescent="0.3">
      <c r="A2118" s="729"/>
      <c r="B2118" s="302"/>
      <c r="C2118" s="302"/>
      <c r="D2118" s="1873"/>
      <c r="E2118" s="1875" t="str">
        <f>Translations!$B$956</f>
        <v>Общо зададени емисии</v>
      </c>
      <c r="F2118" s="1875"/>
      <c r="G2118" s="631" t="str">
        <f>EUconst_tCO2epa</f>
        <v>t CO2e/година</v>
      </c>
      <c r="H2118" s="661" t="str">
        <f>INDEX(H$95:H$114,MATCH($I2074,$E$95:$E$114,0))</f>
        <v/>
      </c>
      <c r="I2118" s="663" t="str">
        <f t="shared" ref="I2118:N2118" si="178">INDEX(I$95:I$114,MATCH($I2074,$E$95:$E$114,0))</f>
        <v/>
      </c>
      <c r="J2118" s="661" t="str">
        <f t="shared" si="178"/>
        <v/>
      </c>
      <c r="K2118" s="662" t="str">
        <f t="shared" si="178"/>
        <v/>
      </c>
      <c r="L2118" s="662" t="str">
        <f t="shared" si="178"/>
        <v/>
      </c>
      <c r="M2118" s="662" t="str">
        <f t="shared" si="178"/>
        <v/>
      </c>
      <c r="N2118" s="663" t="str">
        <f t="shared" si="178"/>
        <v/>
      </c>
      <c r="O2118" s="698"/>
      <c r="P2118" s="729"/>
      <c r="Q2118" s="729"/>
      <c r="R2118" s="729"/>
      <c r="S2118" s="729"/>
      <c r="T2118" s="770"/>
      <c r="U2118" s="343"/>
      <c r="V2118" s="343"/>
    </row>
    <row r="2119" spans="1:22" s="364" customFormat="1" ht="5.15" customHeight="1" x14ac:dyDescent="0.25">
      <c r="A2119" s="729"/>
      <c r="B2119" s="302"/>
      <c r="C2119" s="302"/>
      <c r="D2119" s="1873"/>
      <c r="E2119" s="625"/>
      <c r="F2119" s="625"/>
      <c r="G2119" s="625"/>
      <c r="H2119" s="635"/>
      <c r="I2119" s="635"/>
      <c r="J2119" s="635"/>
      <c r="K2119" s="635"/>
      <c r="L2119" s="635"/>
      <c r="M2119" s="635"/>
      <c r="N2119" s="635"/>
      <c r="O2119" s="698"/>
      <c r="P2119" s="729"/>
      <c r="Q2119" s="729"/>
      <c r="R2119" s="729"/>
      <c r="S2119" s="729"/>
      <c r="T2119" s="770"/>
      <c r="U2119" s="343"/>
      <c r="V2119" s="343"/>
    </row>
    <row r="2120" spans="1:22" s="364" customFormat="1" x14ac:dyDescent="0.25">
      <c r="A2120" s="729"/>
      <c r="B2120" s="302"/>
      <c r="C2120" s="302"/>
      <c r="D2120" s="1873"/>
      <c r="E2120" s="1876" t="str">
        <f>Translations!$B$521</f>
        <v>Вложени горива</v>
      </c>
      <c r="F2120" s="1877"/>
      <c r="G2120" s="1326" t="str">
        <f>EUconst_TJpa</f>
        <v>TJ / година</v>
      </c>
      <c r="H2120" s="482" t="str">
        <f>IF($M2074&lt;&gt;EUconst_Relevant,"",IF(INDEX('G_Fall-back'!H:H,MATCH($P2120,'G_Fall-back'!$Q:$Q,0))="","",INDEX('G_Fall-back'!H:H,MATCH($P2120,'G_Fall-back'!$Q:$Q,0))))</f>
        <v/>
      </c>
      <c r="I2120" s="1824" t="str">
        <f>IF($M2074&lt;&gt;EUconst_Relevant,"",IF(INDEX('G_Fall-back'!I:I,MATCH($P2120,'G_Fall-back'!$Q:$Q,0))="","",INDEX('G_Fall-back'!I:I,MATCH($P2120,'G_Fall-back'!$Q:$Q,0))))</f>
        <v/>
      </c>
      <c r="J2120" s="1825" t="str">
        <f>IF($M2074&lt;&gt;EUconst_Relevant,"",IF(INDEX('G_Fall-back'!J:J,MATCH($P2120,'G_Fall-back'!$Q:$Q,0))="","",INDEX('G_Fall-back'!J:J,MATCH($P2120,'G_Fall-back'!$Q:$Q,0))))</f>
        <v/>
      </c>
      <c r="K2120" s="482" t="str">
        <f>IF($M2074&lt;&gt;EUconst_Relevant,"",IF(INDEX('G_Fall-back'!K:K,MATCH($P2120,'G_Fall-back'!$Q:$Q,0))="","",INDEX('G_Fall-back'!K:K,MATCH($P2120,'G_Fall-back'!$Q:$Q,0))))</f>
        <v/>
      </c>
      <c r="L2120" s="482" t="str">
        <f>IF($M2074&lt;&gt;EUconst_Relevant,"",IF(INDEX('G_Fall-back'!L:L,MATCH($P2120,'G_Fall-back'!$Q:$Q,0))="","",INDEX('G_Fall-back'!L:L,MATCH($P2120,'G_Fall-back'!$Q:$Q,0))))</f>
        <v/>
      </c>
      <c r="M2120" s="482" t="str">
        <f>IF($M2074&lt;&gt;EUconst_Relevant,"",IF(INDEX('G_Fall-back'!M:M,MATCH($P2120,'G_Fall-back'!$Q:$Q,0))="","",INDEX('G_Fall-back'!M:M,MATCH($P2120,'G_Fall-back'!$Q:$Q,0))))</f>
        <v/>
      </c>
      <c r="N2120" s="482" t="str">
        <f>IF($M2074&lt;&gt;EUconst_Relevant,"",IF(INDEX('G_Fall-back'!N:N,MATCH($P2120,'G_Fall-back'!$Q:$Q,0))="","",INDEX('G_Fall-back'!N:N,MATCH($P2120,'G_Fall-back'!$Q:$Q,0))))</f>
        <v/>
      </c>
      <c r="O2120" s="698"/>
      <c r="P2120" s="1827" t="str">
        <f>EUconst_CNTR_FuelInput &amp; I2074</f>
        <v>FuelInput_Подинсталация с горивен показател (с риск от ИВЕ | извън МКВЕГ)</v>
      </c>
      <c r="Q2120" s="729"/>
      <c r="R2120" s="729"/>
      <c r="S2120" s="729"/>
      <c r="T2120" s="729"/>
      <c r="U2120" s="343"/>
      <c r="V2120" s="343"/>
    </row>
    <row r="2121" spans="1:22" s="364" customFormat="1" ht="12.75" customHeight="1" x14ac:dyDescent="0.25">
      <c r="A2121" s="729"/>
      <c r="B2121" s="302"/>
      <c r="C2121" s="302"/>
      <c r="D2121" s="1873"/>
      <c r="E2121" s="1834" t="str">
        <f>Translations!$B$522</f>
        <v>Претеглен емисионен фактор</v>
      </c>
      <c r="F2121" s="1878"/>
      <c r="G2121" s="1329" t="str">
        <f>EUconst_tCO2pTJ</f>
        <v>t CO2 / TJ</v>
      </c>
      <c r="H2121" s="484" t="str">
        <f>IF($M2074&lt;&gt;EUconst_Relevant,"",IF(INDEX('G_Fall-back'!H:H,MATCH($P2121,'G_Fall-back'!$Q:$Q,0))="","",INDEX('G_Fall-back'!H:H,MATCH($P2121,'G_Fall-back'!$Q:$Q,0))))</f>
        <v/>
      </c>
      <c r="I2121" s="1828" t="str">
        <f>IF($M2074&lt;&gt;EUconst_Relevant,"",IF(INDEX('G_Fall-back'!I:I,MATCH($P2121,'G_Fall-back'!$Q:$Q,0))="","",INDEX('G_Fall-back'!I:I,MATCH($P2121,'G_Fall-back'!$Q:$Q,0))))</f>
        <v/>
      </c>
      <c r="J2121" s="1829" t="str">
        <f>IF($M2074&lt;&gt;EUconst_Relevant,"",IF(INDEX('G_Fall-back'!J:J,MATCH($P2121,'G_Fall-back'!$Q:$Q,0))="","",INDEX('G_Fall-back'!J:J,MATCH($P2121,'G_Fall-back'!$Q:$Q,0))))</f>
        <v/>
      </c>
      <c r="K2121" s="484" t="str">
        <f>IF($M2074&lt;&gt;EUconst_Relevant,"",IF(INDEX('G_Fall-back'!K:K,MATCH($P2121,'G_Fall-back'!$Q:$Q,0))="","",INDEX('G_Fall-back'!K:K,MATCH($P2121,'G_Fall-back'!$Q:$Q,0))))</f>
        <v/>
      </c>
      <c r="L2121" s="484" t="str">
        <f>IF($M2074&lt;&gt;EUconst_Relevant,"",IF(INDEX('G_Fall-back'!L:L,MATCH($P2121,'G_Fall-back'!$Q:$Q,0))="","",INDEX('G_Fall-back'!L:L,MATCH($P2121,'G_Fall-back'!$Q:$Q,0))))</f>
        <v/>
      </c>
      <c r="M2121" s="484" t="str">
        <f>IF($M2074&lt;&gt;EUconst_Relevant,"",IF(INDEX('G_Fall-back'!M:M,MATCH($P2121,'G_Fall-back'!$Q:$Q,0))="","",INDEX('G_Fall-back'!M:M,MATCH($P2121,'G_Fall-back'!$Q:$Q,0))))</f>
        <v/>
      </c>
      <c r="N2121" s="484" t="str">
        <f>IF($M2074&lt;&gt;EUconst_Relevant,"",IF(INDEX('G_Fall-back'!N:N,MATCH($P2121,'G_Fall-back'!$Q:$Q,0))="","",INDEX('G_Fall-back'!N:N,MATCH($P2121,'G_Fall-back'!$Q:$Q,0))))</f>
        <v/>
      </c>
      <c r="O2121" s="698"/>
      <c r="P2121" s="1500" t="str">
        <f>EUconst_CNTR_FuelEF &amp; I2074</f>
        <v>FuelEF_Подинсталация с горивен показател (с риск от ИВЕ | извън МКВЕГ)</v>
      </c>
      <c r="Q2121" s="729"/>
      <c r="R2121" s="729"/>
      <c r="S2121" s="729"/>
      <c r="T2121" s="729"/>
      <c r="U2121" s="343"/>
      <c r="V2121" s="343"/>
    </row>
    <row r="2122" spans="1:22" s="364" customFormat="1" ht="12.75" customHeight="1" x14ac:dyDescent="0.25">
      <c r="A2122" s="729"/>
      <c r="B2122" s="302"/>
      <c r="C2122" s="302"/>
      <c r="D2122" s="1873"/>
      <c r="E2122" s="1876" t="str">
        <f>Translations!$B$637</f>
        <v>Вложени горива от отпадни газове</v>
      </c>
      <c r="F2122" s="1877"/>
      <c r="G2122" s="1326" t="str">
        <f>EUconst_TJpa</f>
        <v>TJ / година</v>
      </c>
      <c r="H2122" s="482" t="str">
        <f>IF($M2074&lt;&gt;EUconst_Relevant,"",IF(INDEX('G_Fall-back'!H:H,MATCH($P2122,'G_Fall-back'!$Q:$Q,0))="","",INDEX('G_Fall-back'!H:H,MATCH($P2122,'G_Fall-back'!$Q:$Q,0))))</f>
        <v/>
      </c>
      <c r="I2122" s="1824" t="str">
        <f>IF($M2074&lt;&gt;EUconst_Relevant,"",IF(INDEX('G_Fall-back'!I:I,MATCH($P2122,'G_Fall-back'!$Q:$Q,0))="","",INDEX('G_Fall-back'!I:I,MATCH($P2122,'G_Fall-back'!$Q:$Q,0))))</f>
        <v/>
      </c>
      <c r="J2122" s="1825" t="str">
        <f>IF($M2074&lt;&gt;EUconst_Relevant,"",IF(INDEX('G_Fall-back'!J:J,MATCH($P2122,'G_Fall-back'!$Q:$Q,0))="","",INDEX('G_Fall-back'!J:J,MATCH($P2122,'G_Fall-back'!$Q:$Q,0))))</f>
        <v/>
      </c>
      <c r="K2122" s="482" t="str">
        <f>IF($M2074&lt;&gt;EUconst_Relevant,"",IF(INDEX('G_Fall-back'!K:K,MATCH($P2122,'G_Fall-back'!$Q:$Q,0))="","",INDEX('G_Fall-back'!K:K,MATCH($P2122,'G_Fall-back'!$Q:$Q,0))))</f>
        <v/>
      </c>
      <c r="L2122" s="482" t="str">
        <f>IF($M2074&lt;&gt;EUconst_Relevant,"",IF(INDEX('G_Fall-back'!L:L,MATCH($P2122,'G_Fall-back'!$Q:$Q,0))="","",INDEX('G_Fall-back'!L:L,MATCH($P2122,'G_Fall-back'!$Q:$Q,0))))</f>
        <v/>
      </c>
      <c r="M2122" s="482" t="str">
        <f>IF($M2074&lt;&gt;EUconst_Relevant,"",IF(INDEX('G_Fall-back'!M:M,MATCH($P2122,'G_Fall-back'!$Q:$Q,0))="","",INDEX('G_Fall-back'!M:M,MATCH($P2122,'G_Fall-back'!$Q:$Q,0))))</f>
        <v/>
      </c>
      <c r="N2122" s="482" t="str">
        <f>IF($M2074&lt;&gt;EUconst_Relevant,"",IF(INDEX('G_Fall-back'!N:N,MATCH($P2122,'G_Fall-back'!$Q:$Q,0))="","",INDEX('G_Fall-back'!N:N,MATCH($P2122,'G_Fall-back'!$Q:$Q,0))))</f>
        <v/>
      </c>
      <c r="O2122" s="698"/>
      <c r="P2122" s="716" t="str">
        <f>EUconst_CNTR_WGConsumed &amp; I2074</f>
        <v>WasteGasCons_Подинсталация с горивен показател (с риск от ИВЕ | извън МКВЕГ)</v>
      </c>
      <c r="Q2122" s="729"/>
      <c r="R2122" s="729"/>
      <c r="S2122" s="729"/>
      <c r="T2122" s="729"/>
      <c r="U2122" s="343"/>
      <c r="V2122" s="343"/>
    </row>
    <row r="2123" spans="1:22" s="364" customFormat="1" ht="12.75" customHeight="1" x14ac:dyDescent="0.25">
      <c r="A2123" s="729"/>
      <c r="B2123" s="302"/>
      <c r="C2123" s="302"/>
      <c r="D2123" s="1873"/>
      <c r="E2123" s="1834" t="str">
        <f>Translations!$B$522</f>
        <v>Претеглен емисионен фактор</v>
      </c>
      <c r="F2123" s="1878"/>
      <c r="G2123" s="1329" t="str">
        <f>EUconst_tCO2pTJ</f>
        <v>t CO2 / TJ</v>
      </c>
      <c r="H2123" s="484" t="str">
        <f>IF($M2074&lt;&gt;EUconst_Relevant,"",IF(INDEX('G_Fall-back'!H:H,MATCH($P2123,'G_Fall-back'!$Q:$Q,0))="","",INDEX('G_Fall-back'!H:H,MATCH($P2123,'G_Fall-back'!$Q:$Q,0))))</f>
        <v/>
      </c>
      <c r="I2123" s="1828" t="str">
        <f>IF($M2074&lt;&gt;EUconst_Relevant,"",IF(INDEX('G_Fall-back'!I:I,MATCH($P2123,'G_Fall-back'!$Q:$Q,0))="","",INDEX('G_Fall-back'!I:I,MATCH($P2123,'G_Fall-back'!$Q:$Q,0))))</f>
        <v/>
      </c>
      <c r="J2123" s="1829" t="str">
        <f>IF($M2074&lt;&gt;EUconst_Relevant,"",IF(INDEX('G_Fall-back'!J:J,MATCH($P2123,'G_Fall-back'!$Q:$Q,0))="","",INDEX('G_Fall-back'!J:J,MATCH($P2123,'G_Fall-back'!$Q:$Q,0))))</f>
        <v/>
      </c>
      <c r="K2123" s="484" t="str">
        <f>IF($M2074&lt;&gt;EUconst_Relevant,"",IF(INDEX('G_Fall-back'!K:K,MATCH($P2123,'G_Fall-back'!$Q:$Q,0))="","",INDEX('G_Fall-back'!K:K,MATCH($P2123,'G_Fall-back'!$Q:$Q,0))))</f>
        <v/>
      </c>
      <c r="L2123" s="484" t="str">
        <f>IF($M2074&lt;&gt;EUconst_Relevant,"",IF(INDEX('G_Fall-back'!L:L,MATCH($P2123,'G_Fall-back'!$Q:$Q,0))="","",INDEX('G_Fall-back'!L:L,MATCH($P2123,'G_Fall-back'!$Q:$Q,0))))</f>
        <v/>
      </c>
      <c r="M2123" s="484" t="str">
        <f>IF($M2074&lt;&gt;EUconst_Relevant,"",IF(INDEX('G_Fall-back'!M:M,MATCH($P2123,'G_Fall-back'!$Q:$Q,0))="","",INDEX('G_Fall-back'!M:M,MATCH($P2123,'G_Fall-back'!$Q:$Q,0))))</f>
        <v/>
      </c>
      <c r="N2123" s="484" t="str">
        <f>IF($M2074&lt;&gt;EUconst_Relevant,"",IF(INDEX('G_Fall-back'!N:N,MATCH($P2123,'G_Fall-back'!$Q:$Q,0))="","",INDEX('G_Fall-back'!N:N,MATCH($P2123,'G_Fall-back'!$Q:$Q,0))))</f>
        <v/>
      </c>
      <c r="O2123" s="698"/>
      <c r="P2123" s="1500" t="str">
        <f>EUconst_CNTR_WGConsumedEF &amp; I2074</f>
        <v>WasteGasConsEF_Подинсталация с горивен показател (с риск от ИВЕ | извън МКВЕГ)</v>
      </c>
      <c r="Q2123" s="729"/>
      <c r="R2123" s="729"/>
      <c r="S2123" s="729"/>
      <c r="T2123" s="729"/>
      <c r="U2123" s="343"/>
      <c r="V2123" s="343"/>
    </row>
    <row r="2124" spans="1:22" s="364" customFormat="1" ht="12.75" customHeight="1" x14ac:dyDescent="0.25">
      <c r="A2124" s="729"/>
      <c r="B2124" s="302"/>
      <c r="C2124" s="302"/>
      <c r="D2124" s="1873"/>
      <c r="E2124" s="1876" t="str">
        <f>Translations!$B$1475</f>
        <v>Вложена електроенергия за производството на топлинна енергия</v>
      </c>
      <c r="F2124" s="1877"/>
      <c r="G2124" s="1326" t="str">
        <f>EUconst_TJpa</f>
        <v>TJ / година</v>
      </c>
      <c r="H2124" s="482" t="str">
        <f>IF($M2074&lt;&gt;EUconst_Relevant,"",IF(INDEX('G_Fall-back'!H:H,MATCH($P2124,'G_Fall-back'!$Q:$Q,0))="","",INDEX('G_Fall-back'!H:H,MATCH($P2124,'G_Fall-back'!$Q:$Q,0))))</f>
        <v/>
      </c>
      <c r="I2124" s="1824" t="str">
        <f>IF($M2074&lt;&gt;EUconst_Relevant,"",IF(INDEX('G_Fall-back'!I:I,MATCH($P2124,'G_Fall-back'!$Q:$Q,0))="","",INDEX('G_Fall-back'!I:I,MATCH($P2124,'G_Fall-back'!$Q:$Q,0))))</f>
        <v/>
      </c>
      <c r="J2124" s="1825" t="str">
        <f>IF($M2074&lt;&gt;EUconst_Relevant,"",IF(INDEX('G_Fall-back'!J:J,MATCH($P2124,'G_Fall-back'!$Q:$Q,0))="","",INDEX('G_Fall-back'!J:J,MATCH($P2124,'G_Fall-back'!$Q:$Q,0))))</f>
        <v/>
      </c>
      <c r="K2124" s="482" t="str">
        <f>IF($M2074&lt;&gt;EUconst_Relevant,"",IF(INDEX('G_Fall-back'!K:K,MATCH($P2124,'G_Fall-back'!$Q:$Q,0))="","",INDEX('G_Fall-back'!K:K,MATCH($P2124,'G_Fall-back'!$Q:$Q,0))))</f>
        <v/>
      </c>
      <c r="L2124" s="482" t="str">
        <f>IF($M2074&lt;&gt;EUconst_Relevant,"",IF(INDEX('G_Fall-back'!L:L,MATCH($P2124,'G_Fall-back'!$Q:$Q,0))="","",INDEX('G_Fall-back'!L:L,MATCH($P2124,'G_Fall-back'!$Q:$Q,0))))</f>
        <v/>
      </c>
      <c r="M2124" s="482" t="str">
        <f>IF($M2074&lt;&gt;EUconst_Relevant,"",IF(INDEX('G_Fall-back'!M:M,MATCH($P2124,'G_Fall-back'!$Q:$Q,0))="","",INDEX('G_Fall-back'!M:M,MATCH($P2124,'G_Fall-back'!$Q:$Q,0))))</f>
        <v/>
      </c>
      <c r="N2124" s="482" t="str">
        <f>IF($M2074&lt;&gt;EUconst_Relevant,"",IF(INDEX('G_Fall-back'!N:N,MATCH($P2124,'G_Fall-back'!$Q:$Q,0))="","",INDEX('G_Fall-back'!N:N,MATCH($P2124,'G_Fall-back'!$Q:$Q,0))))</f>
        <v/>
      </c>
      <c r="O2124" s="698"/>
      <c r="P2124" s="716" t="str">
        <f>EUconst_CNTR_ElectricityInput&amp; I2074</f>
        <v>ElectricityInput_Подинсталация с горивен показател (с риск от ИВЕ | извън МКВЕГ)</v>
      </c>
      <c r="Q2124" s="729"/>
      <c r="R2124" s="729"/>
      <c r="S2124" s="729"/>
      <c r="T2124" s="729"/>
      <c r="U2124" s="343"/>
      <c r="V2124" s="343"/>
    </row>
    <row r="2125" spans="1:22" s="364" customFormat="1" ht="12.75" customHeight="1" x14ac:dyDescent="0.25">
      <c r="A2125" s="729"/>
      <c r="B2125" s="302"/>
      <c r="C2125" s="302"/>
      <c r="D2125" s="1873"/>
      <c r="E2125" s="1834" t="str">
        <f>Translations!$B$522</f>
        <v>Претеглен емисионен фактор</v>
      </c>
      <c r="F2125" s="1878"/>
      <c r="G2125" s="1329" t="str">
        <f>EUconst_tCO2pTJ</f>
        <v>t CO2 / TJ</v>
      </c>
      <c r="H2125" s="484" t="str">
        <f>IF($M2074&lt;&gt;EUconst_Relevant,"",IF(INDEX('G_Fall-back'!H:H,MATCH($P2125,'G_Fall-back'!$Q:$Q,0))="","",INDEX('G_Fall-back'!H:H,MATCH($P2125,'G_Fall-back'!$Q:$Q,0))))</f>
        <v/>
      </c>
      <c r="I2125" s="1828" t="str">
        <f>IF($M2074&lt;&gt;EUconst_Relevant,"",IF(INDEX('G_Fall-back'!I:I,MATCH($P2125,'G_Fall-back'!$Q:$Q,0))="","",INDEX('G_Fall-back'!I:I,MATCH($P2125,'G_Fall-back'!$Q:$Q,0))))</f>
        <v/>
      </c>
      <c r="J2125" s="1829" t="str">
        <f>IF($M2074&lt;&gt;EUconst_Relevant,"",IF(INDEX('G_Fall-back'!J:J,MATCH($P2125,'G_Fall-back'!$Q:$Q,0))="","",INDEX('G_Fall-back'!J:J,MATCH($P2125,'G_Fall-back'!$Q:$Q,0))))</f>
        <v/>
      </c>
      <c r="K2125" s="484" t="str">
        <f>IF($M2074&lt;&gt;EUconst_Relevant,"",IF(INDEX('G_Fall-back'!K:K,MATCH($P2125,'G_Fall-back'!$Q:$Q,0))="","",INDEX('G_Fall-back'!K:K,MATCH($P2125,'G_Fall-back'!$Q:$Q,0))))</f>
        <v/>
      </c>
      <c r="L2125" s="484" t="str">
        <f>IF($M2074&lt;&gt;EUconst_Relevant,"",IF(INDEX('G_Fall-back'!L:L,MATCH($P2125,'G_Fall-back'!$Q:$Q,0))="","",INDEX('G_Fall-back'!L:L,MATCH($P2125,'G_Fall-back'!$Q:$Q,0))))</f>
        <v/>
      </c>
      <c r="M2125" s="484" t="str">
        <f>IF($M2074&lt;&gt;EUconst_Relevant,"",IF(INDEX('G_Fall-back'!M:M,MATCH($P2125,'G_Fall-back'!$Q:$Q,0))="","",INDEX('G_Fall-back'!M:M,MATCH($P2125,'G_Fall-back'!$Q:$Q,0))))</f>
        <v/>
      </c>
      <c r="N2125" s="484" t="str">
        <f>IF($M2074&lt;&gt;EUconst_Relevant,"",IF(INDEX('G_Fall-back'!N:N,MATCH($P2125,'G_Fall-back'!$Q:$Q,0))="","",INDEX('G_Fall-back'!N:N,MATCH($P2125,'G_Fall-back'!$Q:$Q,0))))</f>
        <v/>
      </c>
      <c r="O2125" s="698"/>
      <c r="P2125" s="1500" t="str">
        <f>EUconst_CNTR_ElectricityEF &amp; I2074</f>
        <v>ElectricityEF_Подинсталация с горивен показател (с риск от ИВЕ | извън МКВЕГ)</v>
      </c>
      <c r="Q2125" s="729"/>
      <c r="R2125" s="729"/>
      <c r="S2125" s="729"/>
      <c r="T2125" s="729"/>
      <c r="U2125" s="343"/>
      <c r="V2125" s="343"/>
    </row>
    <row r="2126" spans="1:22" s="364" customFormat="1" ht="5.15" customHeight="1" x14ac:dyDescent="0.25">
      <c r="A2126" s="729"/>
      <c r="B2126" s="302"/>
      <c r="C2126" s="302"/>
      <c r="D2126" s="1873"/>
      <c r="E2126" s="625"/>
      <c r="F2126" s="626"/>
      <c r="G2126" s="626"/>
      <c r="H2126" s="640"/>
      <c r="I2126" s="640"/>
      <c r="J2126" s="640"/>
      <c r="K2126" s="640"/>
      <c r="L2126" s="640"/>
      <c r="M2126" s="640"/>
      <c r="N2126" s="640"/>
      <c r="O2126" s="698"/>
      <c r="P2126" s="729"/>
      <c r="Q2126" s="729"/>
      <c r="R2126" s="729"/>
      <c r="S2126" s="729"/>
      <c r="T2126" s="729"/>
      <c r="U2126" s="343"/>
      <c r="V2126" s="343"/>
    </row>
    <row r="2127" spans="1:22" s="364" customFormat="1" x14ac:dyDescent="0.25">
      <c r="A2127" s="729"/>
      <c r="B2127" s="302"/>
      <c r="C2127" s="302"/>
      <c r="D2127" s="1873"/>
      <c r="E2127" s="1835" t="str">
        <f>Translations!$B$484</f>
        <v>Преки емисии</v>
      </c>
      <c r="F2127" s="1879"/>
      <c r="G2127" s="1319" t="str">
        <f>EUconst_tCO2pa</f>
        <v>t CO2 / година</v>
      </c>
      <c r="H2127" s="480" t="str">
        <f>IF($M2074&lt;&gt;EUconst_Relevant,"",IF(INDEX('G_Fall-back'!H:H,MATCH($P2127,'G_Fall-back'!$Q:$Q,0))="","",INDEX('G_Fall-back'!H:H,MATCH($P2127,'G_Fall-back'!$Q:$Q,0))))</f>
        <v/>
      </c>
      <c r="I2127" s="1399" t="str">
        <f>IF($M2074&lt;&gt;EUconst_Relevant,"",IF(INDEX('G_Fall-back'!I:I,MATCH($P2127,'G_Fall-back'!$Q:$Q,0))="","",INDEX('G_Fall-back'!I:I,MATCH($P2127,'G_Fall-back'!$Q:$Q,0))))</f>
        <v/>
      </c>
      <c r="J2127" s="1832" t="str">
        <f>IF($M2074&lt;&gt;EUconst_Relevant,"",IF(INDEX('G_Fall-back'!J:J,MATCH($P2127,'G_Fall-back'!$Q:$Q,0))="","",INDEX('G_Fall-back'!J:J,MATCH($P2127,'G_Fall-back'!$Q:$Q,0))))</f>
        <v/>
      </c>
      <c r="K2127" s="480" t="str">
        <f>IF($M2074&lt;&gt;EUconst_Relevant,"",IF(INDEX('G_Fall-back'!K:K,MATCH($P2127,'G_Fall-back'!$Q:$Q,0))="","",INDEX('G_Fall-back'!K:K,MATCH($P2127,'G_Fall-back'!$Q:$Q,0))))</f>
        <v/>
      </c>
      <c r="L2127" s="480" t="str">
        <f>IF($M2074&lt;&gt;EUconst_Relevant,"",IF(INDEX('G_Fall-back'!L:L,MATCH($P2127,'G_Fall-back'!$Q:$Q,0))="","",INDEX('G_Fall-back'!L:L,MATCH($P2127,'G_Fall-back'!$Q:$Q,0))))</f>
        <v/>
      </c>
      <c r="M2127" s="480" t="str">
        <f>IF($M2074&lt;&gt;EUconst_Relevant,"",IF(INDEX('G_Fall-back'!M:M,MATCH($P2127,'G_Fall-back'!$Q:$Q,0))="","",INDEX('G_Fall-back'!M:M,MATCH($P2127,'G_Fall-back'!$Q:$Q,0))))</f>
        <v/>
      </c>
      <c r="N2127" s="480" t="str">
        <f>IF($M2074&lt;&gt;EUconst_Relevant,"",IF(INDEX('G_Fall-back'!N:N,MATCH($P2127,'G_Fall-back'!$Q:$Q,0))="","",INDEX('G_Fall-back'!N:N,MATCH($P2127,'G_Fall-back'!$Q:$Q,0))))</f>
        <v/>
      </c>
      <c r="O2127" s="698"/>
      <c r="P2127" s="1500" t="str">
        <f>EUconst_CNTR_Emissions &amp; I2074</f>
        <v>DirEmissions_Подинсталация с горивен показател (с риск от ИВЕ | извън МКВЕГ)</v>
      </c>
      <c r="Q2127" s="729"/>
      <c r="R2127" s="729"/>
      <c r="S2127" s="729"/>
      <c r="T2127" s="729"/>
      <c r="U2127" s="343"/>
      <c r="V2127" s="343"/>
    </row>
    <row r="2128" spans="1:22" s="364" customFormat="1" ht="5.15" customHeight="1" x14ac:dyDescent="0.25">
      <c r="A2128" s="729"/>
      <c r="B2128" s="302"/>
      <c r="C2128" s="302"/>
      <c r="D2128" s="1873"/>
      <c r="E2128" s="625"/>
      <c r="F2128" s="625"/>
      <c r="G2128" s="625"/>
      <c r="H2128" s="640"/>
      <c r="I2128" s="640"/>
      <c r="J2128" s="640"/>
      <c r="K2128" s="640"/>
      <c r="L2128" s="640"/>
      <c r="M2128" s="640"/>
      <c r="N2128" s="640"/>
      <c r="O2128" s="698"/>
      <c r="P2128" s="729"/>
      <c r="Q2128" s="729"/>
      <c r="R2128" s="729"/>
      <c r="S2128" s="729"/>
      <c r="T2128" s="729"/>
      <c r="U2128" s="343"/>
      <c r="V2128" s="343"/>
    </row>
    <row r="2129" spans="1:22" s="364" customFormat="1" ht="25" x14ac:dyDescent="0.25">
      <c r="A2129" s="729"/>
      <c r="B2129" s="302"/>
      <c r="C2129" s="302"/>
      <c r="D2129" s="1873"/>
      <c r="E2129" s="1835" t="str">
        <f>Translations!$B$560</f>
        <v>Нетно количество подадена топлинна енергия</v>
      </c>
      <c r="F2129" s="1879"/>
      <c r="G2129" s="1319" t="str">
        <f>EUconst_TJpa</f>
        <v>TJ / година</v>
      </c>
      <c r="H2129" s="480" t="str">
        <f>IF($M2074&lt;&gt;EUconst_Relevant,"",IF(INDEX('G_Fall-back'!H:H,MATCH($P2129,'G_Fall-back'!$Q:$Q,0))="","",INDEX('G_Fall-back'!H:H,MATCH($P2129,'G_Fall-back'!$Q:$Q,0))))</f>
        <v/>
      </c>
      <c r="I2129" s="1399" t="str">
        <f>IF($M2074&lt;&gt;EUconst_Relevant,"",IF(INDEX('G_Fall-back'!I:I,MATCH($P2129,'G_Fall-back'!$Q:$Q,0))="","",INDEX('G_Fall-back'!I:I,MATCH($P2129,'G_Fall-back'!$Q:$Q,0))))</f>
        <v/>
      </c>
      <c r="J2129" s="1832" t="str">
        <f>IF($M2074&lt;&gt;EUconst_Relevant,"",IF(INDEX('G_Fall-back'!J:J,MATCH($P2129,'G_Fall-back'!$Q:$Q,0))="","",INDEX('G_Fall-back'!J:J,MATCH($P2129,'G_Fall-back'!$Q:$Q,0))))</f>
        <v/>
      </c>
      <c r="K2129" s="480" t="str">
        <f>IF($M2074&lt;&gt;EUconst_Relevant,"",IF(INDEX('G_Fall-back'!K:K,MATCH($P2129,'G_Fall-back'!$Q:$Q,0))="","",INDEX('G_Fall-back'!K:K,MATCH($P2129,'G_Fall-back'!$Q:$Q,0))))</f>
        <v/>
      </c>
      <c r="L2129" s="480" t="str">
        <f>IF($M2074&lt;&gt;EUconst_Relevant,"",IF(INDEX('G_Fall-back'!L:L,MATCH($P2129,'G_Fall-back'!$Q:$Q,0))="","",INDEX('G_Fall-back'!L:L,MATCH($P2129,'G_Fall-back'!$Q:$Q,0))))</f>
        <v/>
      </c>
      <c r="M2129" s="480" t="str">
        <f>IF($M2074&lt;&gt;EUconst_Relevant,"",IF(INDEX('G_Fall-back'!M:M,MATCH($P2129,'G_Fall-back'!$Q:$Q,0))="","",INDEX('G_Fall-back'!M:M,MATCH($P2129,'G_Fall-back'!$Q:$Q,0))))</f>
        <v/>
      </c>
      <c r="N2129" s="480" t="str">
        <f>IF($M2074&lt;&gt;EUconst_Relevant,"",IF(INDEX('G_Fall-back'!N:N,MATCH($P2129,'G_Fall-back'!$Q:$Q,0))="","",INDEX('G_Fall-back'!N:N,MATCH($P2129,'G_Fall-back'!$Q:$Q,0))))</f>
        <v/>
      </c>
      <c r="O2129" s="698"/>
      <c r="P2129" s="1500" t="str">
        <f>EUconst_CNTR_HeatExport &amp; I2074</f>
        <v>HeatEx_Подинсталация с горивен показател (с риск от ИВЕ | извън МКВЕГ)</v>
      </c>
      <c r="Q2129" s="729"/>
      <c r="R2129" s="729"/>
      <c r="S2129" s="729"/>
      <c r="T2129" s="729"/>
      <c r="U2129" s="343"/>
      <c r="V2129" s="343"/>
    </row>
    <row r="2130" spans="1:22" s="364" customFormat="1" ht="12.75" customHeight="1" x14ac:dyDescent="0.25">
      <c r="A2130" s="729"/>
      <c r="B2130" s="302"/>
      <c r="C2130" s="302"/>
      <c r="D2130" s="1873"/>
      <c r="E2130" s="1835" t="str">
        <f>Translations!$B$665</f>
        <v>Специфичен EF (подадена топлинна енергия)</v>
      </c>
      <c r="F2130" s="1879"/>
      <c r="G2130" s="1319" t="str">
        <f>EUconst_TJpa</f>
        <v>TJ / година</v>
      </c>
      <c r="H2130" s="480" t="str">
        <f>IF($M2074&lt;&gt;EUconst_Relevant,"",IF(INDEX('G_Fall-back'!H:H,MATCH($P2130,'G_Fall-back'!$Q:$Q,0))="","",INDEX('G_Fall-back'!H:H,MATCH($P2130,'G_Fall-back'!$Q:$Q,0))))</f>
        <v/>
      </c>
      <c r="I2130" s="1399" t="str">
        <f>IF($M2074&lt;&gt;EUconst_Relevant,"",IF(INDEX('G_Fall-back'!I:I,MATCH($P2130,'G_Fall-back'!$Q:$Q,0))="","",INDEX('G_Fall-back'!I:I,MATCH($P2130,'G_Fall-back'!$Q:$Q,0))))</f>
        <v/>
      </c>
      <c r="J2130" s="1832" t="str">
        <f>IF($M2074&lt;&gt;EUconst_Relevant,"",IF(INDEX('G_Fall-back'!J:J,MATCH($P2130,'G_Fall-back'!$Q:$Q,0))="","",INDEX('G_Fall-back'!J:J,MATCH($P2130,'G_Fall-back'!$Q:$Q,0))))</f>
        <v/>
      </c>
      <c r="K2130" s="480" t="str">
        <f>IF($M2074&lt;&gt;EUconst_Relevant,"",IF(INDEX('G_Fall-back'!K:K,MATCH($P2130,'G_Fall-back'!$Q:$Q,0))="","",INDEX('G_Fall-back'!K:K,MATCH($P2130,'G_Fall-back'!$Q:$Q,0))))</f>
        <v/>
      </c>
      <c r="L2130" s="480" t="str">
        <f>IF($M2074&lt;&gt;EUconst_Relevant,"",IF(INDEX('G_Fall-back'!L:L,MATCH($P2130,'G_Fall-back'!$Q:$Q,0))="","",INDEX('G_Fall-back'!L:L,MATCH($P2130,'G_Fall-back'!$Q:$Q,0))))</f>
        <v/>
      </c>
      <c r="M2130" s="480" t="str">
        <f>IF($M2074&lt;&gt;EUconst_Relevant,"",IF(INDEX('G_Fall-back'!M:M,MATCH($P2130,'G_Fall-back'!$Q:$Q,0))="","",INDEX('G_Fall-back'!M:M,MATCH($P2130,'G_Fall-back'!$Q:$Q,0))))</f>
        <v/>
      </c>
      <c r="N2130" s="480" t="str">
        <f>IF($M2074&lt;&gt;EUconst_Relevant,"",IF(INDEX('G_Fall-back'!N:N,MATCH($P2130,'G_Fall-back'!$Q:$Q,0))="","",INDEX('G_Fall-back'!N:N,MATCH($P2130,'G_Fall-back'!$Q:$Q,0))))</f>
        <v/>
      </c>
      <c r="O2130" s="698"/>
      <c r="P2130" s="1190" t="str">
        <f>EUconst_CNTR_HeatExportEF &amp; I2074</f>
        <v>HeatExEF_Подинсталация с горивен показател (с риск от ИВЕ | извън МКВЕГ)</v>
      </c>
      <c r="Q2130" s="729"/>
      <c r="R2130" s="729"/>
      <c r="S2130" s="729"/>
      <c r="T2130" s="729"/>
      <c r="U2130" s="343"/>
      <c r="V2130" s="343"/>
    </row>
    <row r="2131" spans="1:22" s="364" customFormat="1" ht="5.15" customHeight="1" thickBot="1" x14ac:dyDescent="0.3">
      <c r="A2131" s="729"/>
      <c r="B2131" s="302"/>
      <c r="C2131" s="302"/>
      <c r="D2131" s="1880"/>
      <c r="E2131" s="1378"/>
      <c r="F2131" s="1378"/>
      <c r="G2131" s="1378"/>
      <c r="H2131" s="1378"/>
      <c r="I2131" s="1378"/>
      <c r="J2131" s="1378"/>
      <c r="K2131" s="1378"/>
      <c r="L2131" s="1378"/>
      <c r="M2131" s="1378"/>
      <c r="N2131" s="1379"/>
      <c r="O2131" s="698"/>
      <c r="P2131" s="729"/>
      <c r="Q2131" s="729"/>
      <c r="R2131" s="729"/>
      <c r="S2131" s="729"/>
      <c r="T2131" s="729"/>
      <c r="U2131" s="343"/>
      <c r="V2131" s="343"/>
    </row>
    <row r="2132" spans="1:22" s="364" customFormat="1" ht="5.15" customHeight="1" thickBot="1" x14ac:dyDescent="0.3">
      <c r="A2132" s="729"/>
      <c r="B2132" s="302"/>
      <c r="C2132" s="302"/>
      <c r="D2132" s="302"/>
      <c r="E2132" s="302"/>
      <c r="F2132" s="302"/>
      <c r="G2132" s="302"/>
      <c r="M2132" s="302"/>
      <c r="N2132" s="302"/>
      <c r="O2132" s="698"/>
      <c r="P2132" s="729"/>
      <c r="Q2132" s="729"/>
      <c r="R2132" s="729"/>
      <c r="S2132" s="729"/>
      <c r="T2132" s="729"/>
      <c r="U2132" s="343"/>
      <c r="V2132" s="343"/>
    </row>
    <row r="2133" spans="1:22" s="364" customFormat="1" ht="5.15" customHeight="1" thickBot="1" x14ac:dyDescent="0.3">
      <c r="A2133" s="729"/>
      <c r="B2133" s="284"/>
      <c r="C2133" s="581"/>
      <c r="D2133" s="581"/>
      <c r="E2133" s="581"/>
      <c r="F2133" s="581"/>
      <c r="G2133" s="581"/>
      <c r="H2133" s="581"/>
      <c r="I2133" s="581"/>
      <c r="J2133" s="581"/>
      <c r="K2133" s="581"/>
      <c r="L2133" s="581"/>
      <c r="M2133" s="581"/>
      <c r="N2133" s="581"/>
      <c r="O2133" s="698"/>
      <c r="P2133" s="729"/>
      <c r="Q2133" s="729"/>
      <c r="R2133" s="729"/>
      <c r="S2133" s="729"/>
      <c r="T2133" s="729"/>
      <c r="U2133" s="343"/>
      <c r="V2133" s="343"/>
    </row>
    <row r="2134" spans="1:22" s="364" customFormat="1" ht="15" customHeight="1" thickBot="1" x14ac:dyDescent="0.35">
      <c r="A2134" s="729"/>
      <c r="B2134" s="302"/>
      <c r="C2134" s="357">
        <f>C2074+1</f>
        <v>16</v>
      </c>
      <c r="D2134" s="2323" t="str">
        <f>CONCATENATE(EUconst_FBSubinst," ",C2134-10, ":")</f>
        <v>Алтернативна подинсталация („Fall-Back sub-installation“) 6:</v>
      </c>
      <c r="E2134" s="2323"/>
      <c r="F2134" s="2323"/>
      <c r="G2134" s="2323"/>
      <c r="H2134" s="2987"/>
      <c r="I2134" s="2988" t="str">
        <f>INDEX(EUconst_FallBackListNames,$C2134-10)</f>
        <v>Подинсталация с горивен показател (без риск от ИВЕ | извън МКВЕГ)</v>
      </c>
      <c r="J2134" s="2989"/>
      <c r="K2134" s="2989"/>
      <c r="L2134" s="2990"/>
      <c r="M2134" s="2919" t="str">
        <f>IF(INDEX(CNTR_FallBackSubInstRelevant,C2134-10)="","",IF(INDEX(CNTR_FallBackSubInstRelevant,C2134-10),EUconst_Relevant,EUconst_NotRelevant))</f>
        <v/>
      </c>
      <c r="N2134" s="2920"/>
      <c r="O2134" s="698"/>
      <c r="P2134" s="729"/>
      <c r="Q2134" s="1684">
        <f>C2134</f>
        <v>16</v>
      </c>
      <c r="R2134" s="1685" t="str">
        <f>I2134</f>
        <v>Подинсталация с горивен показател (без риск от ИВЕ | извън МКВЕГ)</v>
      </c>
      <c r="S2134" s="729"/>
      <c r="T2134" s="729"/>
      <c r="U2134" s="343"/>
      <c r="V2134" s="343"/>
    </row>
    <row r="2135" spans="1:22" s="364" customFormat="1" ht="5.15" customHeight="1" x14ac:dyDescent="0.3">
      <c r="A2135" s="729"/>
      <c r="B2135" s="302"/>
      <c r="C2135" s="357"/>
      <c r="D2135" s="357"/>
      <c r="E2135" s="357"/>
      <c r="F2135" s="357"/>
      <c r="G2135" s="357"/>
      <c r="H2135" s="357"/>
      <c r="I2135" s="357"/>
      <c r="J2135" s="357"/>
      <c r="K2135" s="357"/>
      <c r="L2135" s="357"/>
      <c r="M2135" s="357"/>
      <c r="N2135" s="357"/>
      <c r="O2135" s="698"/>
      <c r="P2135" s="729"/>
      <c r="Q2135" s="729"/>
      <c r="R2135" s="729"/>
      <c r="S2135" s="729"/>
      <c r="T2135" s="729"/>
      <c r="U2135" s="343"/>
      <c r="V2135" s="343"/>
    </row>
    <row r="2136" spans="1:22" s="364" customFormat="1" ht="12.75" customHeight="1" x14ac:dyDescent="0.3">
      <c r="A2136" s="729"/>
      <c r="B2136" s="302"/>
      <c r="C2136" s="357"/>
      <c r="D2136" s="357"/>
      <c r="E2136" s="357"/>
      <c r="F2136" s="357"/>
      <c r="H2136" s="595" t="str">
        <f>Translations!$B$942</f>
        <v>Риск от ИВЕ</v>
      </c>
      <c r="I2136" s="595" t="s">
        <v>2151</v>
      </c>
      <c r="J2136" s="595" t="str">
        <f>Translations!$B$946</f>
        <v>В/Е</v>
      </c>
      <c r="K2136" s="595" t="str">
        <f>Translations!$B$1360</f>
        <v>Спряна експлоатация</v>
      </c>
      <c r="L2136" s="654" t="str">
        <f>Translations!$B$944</f>
        <v>№ на п-л</v>
      </c>
      <c r="M2136" s="2991" t="str">
        <f>Translations!$B$948</f>
        <v>Стойност на п-л</v>
      </c>
      <c r="N2136" s="2991"/>
      <c r="O2136" s="698"/>
      <c r="P2136" s="729"/>
      <c r="Q2136" s="729"/>
      <c r="R2136" s="729"/>
      <c r="S2136" s="729"/>
      <c r="T2136" s="729"/>
      <c r="U2136" s="343"/>
      <c r="V2136" s="343"/>
    </row>
    <row r="2137" spans="1:22" s="364" customFormat="1" ht="12.75" customHeight="1" x14ac:dyDescent="0.3">
      <c r="A2137" s="729"/>
      <c r="B2137" s="302"/>
      <c r="C2137" s="357"/>
      <c r="D2137" s="357"/>
      <c r="E2137" s="361" t="str">
        <f>I2134</f>
        <v>Подинсталация с горивен показател (без риск от ИВЕ | извън МКВЕГ)</v>
      </c>
      <c r="F2137" s="373"/>
      <c r="G2137" s="373"/>
      <c r="H2137" s="600" t="b">
        <f>INDEX(EUconst_FallBackListCLstatus,MATCH(I2134,EUconst_FallBackListNames,0))</f>
        <v>0</v>
      </c>
      <c r="I2137" s="600" t="b">
        <f>INDEX(EUconst_FallBackListCBAMstatus,MATCH(I2134,EUconst_FallBackListNames,0))</f>
        <v>0</v>
      </c>
      <c r="J2137" s="655" t="str">
        <f>IF($M2134&lt;&gt;EUconst_Relevant,EUconst_NA,INDEX(CNTR_SubInstStartDate,MATCH(I2134,CNTR_SubInstListNames,0)))</f>
        <v>Не е приложимо</v>
      </c>
      <c r="K2137" s="655" t="str">
        <f>IF($M2134&lt;&gt;EUconst_Relevant,EUconst_NA,IF(INDEX(CNTR_SubInstCessationDate,MATCH(I2134,CNTR_SubInstListNames,0))=0,"",INDEX(CNTR_SubInstCessationDate,MATCH(I2134,CNTR_SubInstListNames,0))))</f>
        <v>Не е приложимо</v>
      </c>
      <c r="L2137" s="1687">
        <f>C2134-10</f>
        <v>6</v>
      </c>
      <c r="M2137" s="1841" t="str">
        <f>IF(M2134&lt;&gt;EUconst_Relevant,EUconst_NA,INDEX(EUconst_FallBackListBMvaluesMatrix,L2137,3))</f>
        <v>Не е приложимо</v>
      </c>
      <c r="N2137" s="382" t="str">
        <f>EUconst_EUA &amp; "/" &amp; F2140</f>
        <v>Квота за емисии/TJ</v>
      </c>
      <c r="O2137" s="698"/>
      <c r="P2137" s="729"/>
      <c r="Q2137" s="729"/>
      <c r="R2137" s="729"/>
      <c r="S2137" s="729"/>
      <c r="T2137" s="729"/>
      <c r="U2137" s="343"/>
      <c r="V2137" s="343"/>
    </row>
    <row r="2138" spans="1:22" s="364" customFormat="1" ht="5.15" customHeight="1" thickBot="1" x14ac:dyDescent="0.35">
      <c r="A2138" s="729"/>
      <c r="B2138" s="302"/>
      <c r="C2138" s="302"/>
      <c r="D2138" s="302"/>
      <c r="E2138" s="357"/>
      <c r="J2138" s="302"/>
      <c r="K2138" s="302"/>
      <c r="L2138" s="302"/>
      <c r="M2138" s="302"/>
      <c r="N2138" s="302"/>
      <c r="O2138" s="698"/>
      <c r="P2138" s="729"/>
      <c r="Q2138" s="729"/>
      <c r="R2138" s="729"/>
      <c r="S2138" s="729"/>
      <c r="T2138" s="770"/>
      <c r="U2138" s="343"/>
      <c r="V2138" s="343"/>
    </row>
    <row r="2139" spans="1:22" s="364" customFormat="1" ht="12.75" customHeight="1" x14ac:dyDescent="0.25">
      <c r="A2139" s="729"/>
      <c r="B2139" s="302"/>
      <c r="C2139" s="302"/>
      <c r="D2139" s="302"/>
      <c r="E2139" s="313"/>
      <c r="F2139" s="300" t="str">
        <f>EUconst_Unit</f>
        <v>Единица мярка</v>
      </c>
      <c r="G2139" s="1842" t="str">
        <f>Translations!$B$1284</f>
        <v>HAL</v>
      </c>
      <c r="H2139" s="757">
        <f t="shared" ref="H2139:N2139" si="179">H$2505</f>
        <v>2024</v>
      </c>
      <c r="I2139" s="572">
        <f t="shared" si="179"/>
        <v>2025</v>
      </c>
      <c r="J2139" s="757">
        <f t="shared" si="179"/>
        <v>2026</v>
      </c>
      <c r="K2139" s="391">
        <f t="shared" si="179"/>
        <v>2027</v>
      </c>
      <c r="L2139" s="391">
        <f t="shared" si="179"/>
        <v>2028</v>
      </c>
      <c r="M2139" s="391">
        <f t="shared" si="179"/>
        <v>2029</v>
      </c>
      <c r="N2139" s="391">
        <f t="shared" si="179"/>
        <v>2030</v>
      </c>
      <c r="O2139" s="698"/>
      <c r="P2139" s="729"/>
      <c r="Q2139" s="729" t="s">
        <v>1851</v>
      </c>
      <c r="R2139" s="1690">
        <f>J$2505</f>
        <v>2026</v>
      </c>
      <c r="S2139" s="1691">
        <f>K$2505</f>
        <v>2027</v>
      </c>
      <c r="T2139" s="1691">
        <f>L$2505</f>
        <v>2028</v>
      </c>
      <c r="U2139" s="1691">
        <f>M$2505</f>
        <v>2029</v>
      </c>
      <c r="V2139" s="1692">
        <f>N$2505</f>
        <v>2030</v>
      </c>
    </row>
    <row r="2140" spans="1:22" s="364" customFormat="1" ht="12.75" customHeight="1" thickBot="1" x14ac:dyDescent="0.3">
      <c r="A2140" s="729"/>
      <c r="B2140" s="302"/>
      <c r="C2140" s="302"/>
      <c r="D2140" s="302"/>
      <c r="E2140" s="388" t="str">
        <f>Translations!$B$1371</f>
        <v>Докладвано равнище на дейност</v>
      </c>
      <c r="F2140" s="1062" t="str">
        <f>INDEX(EUconst_FallBackListUnits,L2137)</f>
        <v>TJ</v>
      </c>
      <c r="G2140" s="1843" t="str">
        <f>I2171</f>
        <v/>
      </c>
      <c r="H2140" s="1844" t="str">
        <f>IF($M2134&lt;&gt;EUconst_Relevant,"",IF(H2139&gt;=CNTR_ReportingYear,"",SUMIF('G_Fall-back'!$Q:$Q,$P2140,'G_Fall-back'!H:H)))</f>
        <v/>
      </c>
      <c r="I2140" s="1845" t="str">
        <f>IF($M2134&lt;&gt;EUconst_Relevant,"",IF(I2139&gt;=CNTR_ReportingYear,"",SUMIF('G_Fall-back'!$Q:$Q,$P2140,'G_Fall-back'!I:I)))</f>
        <v/>
      </c>
      <c r="J2140" s="1844" t="str">
        <f>IF($M2134&lt;&gt;EUconst_Relevant,"",IF(J2139&gt;=CNTR_ReportingYear,"",SUMIF('G_Fall-back'!$Q:$Q,$P2140,'G_Fall-back'!J:J)))</f>
        <v/>
      </c>
      <c r="K2140" s="1846" t="str">
        <f>IF($M2134&lt;&gt;EUconst_Relevant,"",IF(K2139&gt;=CNTR_ReportingYear,"",SUMIF('G_Fall-back'!$Q:$Q,$P2140,'G_Fall-back'!K:K)))</f>
        <v/>
      </c>
      <c r="L2140" s="1846" t="str">
        <f>IF($M2134&lt;&gt;EUconst_Relevant,"",IF(L2139&gt;=CNTR_ReportingYear,"",SUMIF('G_Fall-back'!$Q:$Q,$P2140,'G_Fall-back'!L:L)))</f>
        <v/>
      </c>
      <c r="M2140" s="1846" t="str">
        <f>IF($M2134&lt;&gt;EUconst_Relevant,"",IF(M2139&gt;=CNTR_ReportingYear,"",SUMIF('G_Fall-back'!$Q:$Q,$P2140,'G_Fall-back'!M:M)))</f>
        <v/>
      </c>
      <c r="N2140" s="1846" t="str">
        <f>IF($M2134&lt;&gt;EUconst_Relevant,"",IF(N2139&gt;=CNTR_ReportingYear,"",SUMIF('G_Fall-back'!$Q:$Q,$P2140,'G_Fall-back'!N:N)))</f>
        <v/>
      </c>
      <c r="O2140" s="698"/>
      <c r="P2140" s="1190" t="str">
        <f>EUconst_CNTR_HAL&amp;I2134</f>
        <v>HAL_Подинсталация с горивен показател (без риск от ИВЕ | извън МКВЕГ)</v>
      </c>
      <c r="Q2140" s="729"/>
      <c r="R2140" s="1580" t="b">
        <f>AND($M2134=EUconst_Relevant,R2139&lt;=CNTR_ReportingYear,IF($J2137&lt;&gt;EUconst_NA,R2139&gt;=YEAR($J2137),TRUE))</f>
        <v>0</v>
      </c>
      <c r="S2140" s="1255" t="b">
        <f>AND($M2134=EUconst_Relevant,S2139&lt;=CNTR_ReportingYear,IF($J2137&lt;&gt;EUconst_NA,S2139&gt;=YEAR($J2137),TRUE))</f>
        <v>0</v>
      </c>
      <c r="T2140" s="1255" t="b">
        <f>AND($M2134=EUconst_Relevant,T2139&lt;=CNTR_ReportingYear,IF($J2137&lt;&gt;EUconst_NA,T2139&gt;=YEAR($J2137),TRUE))</f>
        <v>0</v>
      </c>
      <c r="U2140" s="1255" t="b">
        <f>AND($M2134=EUconst_Relevant,U2139&lt;=CNTR_ReportingYear,IF($J2137&lt;&gt;EUconst_NA,U2139&gt;=YEAR($J2137),TRUE))</f>
        <v>0</v>
      </c>
      <c r="V2140" s="1256" t="b">
        <f>AND($M2134=EUconst_Relevant,V2139&lt;=CNTR_ReportingYear,IF($J2137&lt;&gt;EUconst_NA,V2139&gt;=YEAR($J2137),TRUE))</f>
        <v>0</v>
      </c>
    </row>
    <row r="2141" spans="1:22" s="364" customFormat="1" ht="5.15" customHeight="1" thickBot="1" x14ac:dyDescent="0.3">
      <c r="A2141" s="729"/>
      <c r="B2141" s="302"/>
      <c r="C2141" s="302"/>
      <c r="D2141" s="302"/>
      <c r="F2141" s="302"/>
      <c r="G2141" s="302"/>
      <c r="H2141" s="302"/>
      <c r="I2141" s="1746"/>
      <c r="J2141" s="302"/>
      <c r="K2141" s="302"/>
      <c r="L2141" s="302"/>
      <c r="M2141" s="302"/>
      <c r="N2141" s="302"/>
      <c r="O2141" s="698"/>
      <c r="P2141" s="729"/>
      <c r="Q2141" s="729"/>
      <c r="R2141" s="729"/>
      <c r="S2141" s="729"/>
      <c r="T2141" s="770"/>
      <c r="U2141" s="343"/>
      <c r="V2141" s="343"/>
    </row>
    <row r="2142" spans="1:22" s="364" customFormat="1" ht="5.15" customHeight="1" x14ac:dyDescent="0.3">
      <c r="A2142" s="729"/>
      <c r="B2142" s="302"/>
      <c r="C2142" s="357"/>
      <c r="D2142" s="1695"/>
      <c r="E2142" s="1696"/>
      <c r="F2142" s="1696"/>
      <c r="G2142" s="1696"/>
      <c r="H2142" s="1696"/>
      <c r="I2142" s="1696"/>
      <c r="J2142" s="1696"/>
      <c r="K2142" s="1696"/>
      <c r="L2142" s="1696"/>
      <c r="M2142" s="1696"/>
      <c r="N2142" s="1697"/>
      <c r="O2142" s="698"/>
      <c r="P2142" s="729"/>
      <c r="Q2142" s="729"/>
      <c r="R2142" s="729"/>
      <c r="S2142" s="729"/>
      <c r="T2142" s="729"/>
      <c r="U2142" s="343"/>
      <c r="V2142" s="343"/>
    </row>
    <row r="2143" spans="1:22" s="364" customFormat="1" ht="12.75" customHeight="1" x14ac:dyDescent="0.3">
      <c r="A2143" s="729"/>
      <c r="B2143" s="302"/>
      <c r="C2143" s="357"/>
      <c r="D2143" s="1698"/>
      <c r="E2143" s="389" t="str">
        <f>Translations!$B$1372</f>
        <v>Приложимост на пълзящата средна стойност</v>
      </c>
      <c r="F2143" s="498"/>
      <c r="G2143" s="498"/>
      <c r="H2143" s="527" t="str">
        <f>EUconst_Unit</f>
        <v>Единица мярка</v>
      </c>
      <c r="I2143" s="1699"/>
      <c r="J2143" s="1523">
        <f>J$2505</f>
        <v>2026</v>
      </c>
      <c r="K2143" s="387">
        <f>K$2505</f>
        <v>2027</v>
      </c>
      <c r="L2143" s="387">
        <f>L$2505</f>
        <v>2028</v>
      </c>
      <c r="M2143" s="387">
        <f>M$2505</f>
        <v>2029</v>
      </c>
      <c r="N2143" s="1544">
        <f>N$2505</f>
        <v>2030</v>
      </c>
      <c r="O2143" s="698"/>
      <c r="P2143" s="729"/>
      <c r="Q2143" s="729"/>
      <c r="R2143" s="729"/>
      <c r="S2143" s="729"/>
      <c r="T2143" s="729"/>
      <c r="U2143" s="343"/>
      <c r="V2143" s="343"/>
    </row>
    <row r="2144" spans="1:22" s="364" customFormat="1" ht="12.75" customHeight="1" x14ac:dyDescent="0.3">
      <c r="A2144" s="729"/>
      <c r="B2144" s="302"/>
      <c r="C2144" s="357"/>
      <c r="D2144" s="1698"/>
      <c r="E2144" s="1700" t="str">
        <f>Translations!$B$1364</f>
        <v>Критерий 1: В експлоатация &gt; 2 години?</v>
      </c>
      <c r="F2144" s="1701"/>
      <c r="G2144" s="1701"/>
      <c r="H2144" s="1702" t="s">
        <v>1052</v>
      </c>
      <c r="I2144" s="1701"/>
      <c r="J2144" s="1703" t="str">
        <f>IF(R2140,INDEX('G_Fall-back'!V:V,MATCH($P2144,'G_Fall-back'!$Q:$Q,0))&gt;=3,"")</f>
        <v/>
      </c>
      <c r="K2144" s="1704" t="str">
        <f>IF(S2140,INDEX('G_Fall-back'!W:W,MATCH($P2144,'G_Fall-back'!$Q:$Q,0))&gt;=3,"")</f>
        <v/>
      </c>
      <c r="L2144" s="1704" t="str">
        <f>IF(T2140,INDEX('G_Fall-back'!X:X,MATCH($P2144,'G_Fall-back'!$Q:$Q,0))&gt;=3,"")</f>
        <v/>
      </c>
      <c r="M2144" s="1704" t="str">
        <f>IF(U2140,INDEX('G_Fall-back'!Y:Y,MATCH($P2144,'G_Fall-back'!$Q:$Q,0))&gt;=3,"")</f>
        <v/>
      </c>
      <c r="N2144" s="1705" t="str">
        <f>IF(V2140,INDEX('G_Fall-back'!Z:Z,MATCH($P2144,'G_Fall-back'!$Q:$Q,0))&gt;=3,"")</f>
        <v/>
      </c>
      <c r="O2144" s="698"/>
      <c r="P2144" s="1190" t="str">
        <f>EUconst_CNTR_HALinitial&amp;I2134</f>
        <v>HALini_Подинсталация с горивен показател (без риск от ИВЕ | извън МКВЕГ)</v>
      </c>
      <c r="Q2144" s="729"/>
      <c r="R2144" s="729"/>
      <c r="S2144" s="729"/>
      <c r="T2144" s="729"/>
      <c r="U2144" s="343"/>
      <c r="V2144" s="343"/>
    </row>
    <row r="2145" spans="1:22" s="364" customFormat="1" ht="12.75" customHeight="1" x14ac:dyDescent="0.3">
      <c r="A2145" s="729"/>
      <c r="B2145" s="302"/>
      <c r="C2145" s="357"/>
      <c r="D2145" s="1698"/>
      <c r="E2145" s="1706" t="str">
        <f>Translations!$B$1366</f>
        <v>Критерий 2: Не е спряна от експлоатация през предходната година?</v>
      </c>
      <c r="F2145" s="1707"/>
      <c r="G2145" s="1707"/>
      <c r="H2145" s="1708" t="s">
        <v>1052</v>
      </c>
      <c r="I2145" s="1707"/>
      <c r="J2145" s="1709" t="str">
        <f>IF(R2140,IF($K2137="",2050,YEAR($K2137))&lt;&gt;(J2143-1),"")</f>
        <v/>
      </c>
      <c r="K2145" s="1710" t="str">
        <f>IF(S2140,IF($K2137="",2050,YEAR($K2137))&lt;&gt;(K2143-1),"")</f>
        <v/>
      </c>
      <c r="L2145" s="1710" t="str">
        <f>IF(T2140,IF($K2137="",2050,YEAR($K2137))&lt;&gt;(L2143-1),"")</f>
        <v/>
      </c>
      <c r="M2145" s="1710" t="str">
        <f>IF(U2140,IF($K2137="",2050,YEAR($K2137))&lt;&gt;(M2143-1),"")</f>
        <v/>
      </c>
      <c r="N2145" s="1711" t="str">
        <f>IF(V2140,IF($K2137="",2050,YEAR($K2137))&lt;&gt;(N2143-1),"")</f>
        <v/>
      </c>
      <c r="O2145" s="698"/>
      <c r="P2145" s="729"/>
      <c r="Q2145" s="729"/>
      <c r="R2145" s="729"/>
      <c r="S2145" s="729"/>
      <c r="T2145" s="729"/>
      <c r="U2145" s="343"/>
      <c r="V2145" s="343"/>
    </row>
    <row r="2146" spans="1:22" s="364" customFormat="1" ht="5.15" customHeight="1" x14ac:dyDescent="0.3">
      <c r="A2146" s="729"/>
      <c r="B2146" s="302"/>
      <c r="C2146" s="357"/>
      <c r="D2146" s="1698"/>
      <c r="E2146" s="357"/>
      <c r="F2146" s="357"/>
      <c r="G2146" s="357"/>
      <c r="H2146" s="357"/>
      <c r="I2146" s="357"/>
      <c r="J2146" s="357"/>
      <c r="K2146" s="357"/>
      <c r="L2146" s="357"/>
      <c r="M2146" s="357"/>
      <c r="N2146" s="1712"/>
      <c r="O2146" s="698"/>
      <c r="P2146" s="729"/>
      <c r="Q2146" s="729"/>
      <c r="R2146" s="729"/>
      <c r="S2146" s="729"/>
      <c r="T2146" s="729"/>
      <c r="U2146" s="343"/>
      <c r="V2146" s="343"/>
    </row>
    <row r="2147" spans="1:22" s="364" customFormat="1" ht="12.75" customHeight="1" x14ac:dyDescent="0.3">
      <c r="A2147" s="729"/>
      <c r="B2147" s="302"/>
      <c r="C2147" s="357"/>
      <c r="D2147" s="1698"/>
      <c r="E2147" s="313" t="str">
        <f>Translations!$B$1373</f>
        <v>Промени: Няма промяна (базова стойност)</v>
      </c>
      <c r="F2147" s="302"/>
      <c r="G2147" s="302"/>
      <c r="H2147" s="527" t="str">
        <f>EUconst_Unit</f>
        <v>Единица мярка</v>
      </c>
      <c r="I2147" s="1699"/>
      <c r="J2147" s="757">
        <f>J$2505</f>
        <v>2026</v>
      </c>
      <c r="K2147" s="391">
        <f>K$2505</f>
        <v>2027</v>
      </c>
      <c r="L2147" s="391">
        <f>L$2505</f>
        <v>2028</v>
      </c>
      <c r="M2147" s="391">
        <f>M$2505</f>
        <v>2029</v>
      </c>
      <c r="N2147" s="1713">
        <f>N$2505</f>
        <v>2030</v>
      </c>
      <c r="O2147" s="698"/>
      <c r="P2147" s="729"/>
      <c r="Q2147" s="729"/>
      <c r="R2147" s="729"/>
      <c r="S2147" s="729"/>
      <c r="T2147" s="729"/>
      <c r="U2147" s="343"/>
      <c r="V2147" s="343"/>
    </row>
    <row r="2148" spans="1:22" s="364" customFormat="1" ht="12.75" customHeight="1" x14ac:dyDescent="0.3">
      <c r="A2148" s="729"/>
      <c r="B2148" s="302"/>
      <c r="C2148" s="357"/>
      <c r="D2148" s="1698"/>
      <c r="E2148" s="388" t="str">
        <f>Translations!$B$1579</f>
        <v>Очаквано равнище на дейност</v>
      </c>
      <c r="F2148" s="388"/>
      <c r="G2148" s="388"/>
      <c r="H2148" s="1210" t="str">
        <f>F2140</f>
        <v>TJ</v>
      </c>
      <c r="I2148" s="388"/>
      <c r="J2148" s="1844" t="str">
        <f>IF(T2172&gt;=$H$2505,S2171,I2171)</f>
        <v/>
      </c>
      <c r="K2148" s="1846" t="str">
        <f>J2171</f>
        <v/>
      </c>
      <c r="L2148" s="1846" t="str">
        <f>K2171</f>
        <v/>
      </c>
      <c r="M2148" s="1846" t="str">
        <f>L2171</f>
        <v/>
      </c>
      <c r="N2148" s="1847" t="str">
        <f>M2171</f>
        <v/>
      </c>
      <c r="O2148" s="698"/>
      <c r="P2148" s="729"/>
      <c r="Q2148" s="729"/>
      <c r="R2148" s="729"/>
      <c r="S2148" s="729"/>
      <c r="T2148" s="729"/>
      <c r="U2148" s="343"/>
      <c r="V2148" s="343"/>
    </row>
    <row r="2149" spans="1:22" s="364" customFormat="1" ht="12.75" customHeight="1" x14ac:dyDescent="0.3">
      <c r="A2149" s="729"/>
      <c r="B2149" s="302"/>
      <c r="C2149" s="357"/>
      <c r="D2149" s="1698"/>
      <c r="E2149" s="388" t="str">
        <f>Translations!$B$1374</f>
        <v>Стойност на предварително разпределяне</v>
      </c>
      <c r="F2149" s="388"/>
      <c r="G2149" s="388"/>
      <c r="H2149" s="421" t="str">
        <f>EUconst_EUA</f>
        <v>Квота за емисии</v>
      </c>
      <c r="I2149" s="1728"/>
      <c r="J2149" s="1694" t="str">
        <f>IF($M2134&lt;&gt;EUconst_Relevant,"",MAX(0,ROUND((SUM($M2137)*SUM(J2148))*IF($H2137=TRUE,1,IF($L2137=4,J$2413,J$2412))*IF($I2137=TRUE,INDEX(EUconst_CBAMFactor,J2147-2020),1)*IF($L2137&gt;=8,J$2415/0.97,1),0)))</f>
        <v/>
      </c>
      <c r="K2149" s="406" t="str">
        <f>IF($M2134&lt;&gt;EUconst_Relevant,"",MAX(0,ROUND((SUM($M2137)*SUM(K2148))*IF($H2137=TRUE,1,IF($L2137=4,K$2413,K$2412))*IF($I2137=TRUE,INDEX(EUconst_CBAMFactor,K2147-2020),1)*IF($L2137&gt;=8,K$2415/0.97,1),0)))</f>
        <v/>
      </c>
      <c r="L2149" s="406" t="str">
        <f>IF($M2134&lt;&gt;EUconst_Relevant,"",MAX(0,ROUND((SUM($M2137)*SUM(L2148))*IF($H2137=TRUE,1,IF($L2137=4,L$2413,L$2412))*IF($I2137=TRUE,INDEX(EUconst_CBAMFactor,L2147-2020),1)*IF($L2137&gt;=8,L$2415/0.97,1),0)))</f>
        <v/>
      </c>
      <c r="M2149" s="406" t="str">
        <f>IF($M2134&lt;&gt;EUconst_Relevant,"",MAX(0,ROUND((SUM($M2137)*SUM(M2148))*IF($H2137=TRUE,1,IF($L2137=4,M$2413,M$2412))*IF($I2137=TRUE,INDEX(EUconst_CBAMFactor,M2147-2020),1)*IF($L2137&gt;=8,M$2415/0.97,1),0)))</f>
        <v/>
      </c>
      <c r="N2149" s="1729" t="str">
        <f>IF($M2134&lt;&gt;EUconst_Relevant,"",MAX(0,ROUND((SUM($M2137)*SUM(N2148))*IF($H2137=TRUE,1,IF($L2137=4,N$2413,N$2412))*IF($I2137=TRUE,INDEX(EUconst_CBAMFactor,N2147-2020),1)*IF($L2137&gt;=8,N$2415/0.97,1),0)))</f>
        <v/>
      </c>
      <c r="O2149" s="698"/>
      <c r="P2149" s="729"/>
      <c r="Q2149" s="729"/>
      <c r="R2149" s="729"/>
      <c r="S2149" s="729"/>
      <c r="T2149" s="729"/>
      <c r="U2149" s="343"/>
      <c r="V2149" s="343"/>
    </row>
    <row r="2150" spans="1:22" s="364" customFormat="1" ht="5.15" customHeight="1" x14ac:dyDescent="0.3">
      <c r="A2150" s="729"/>
      <c r="B2150" s="302"/>
      <c r="C2150" s="357"/>
      <c r="D2150" s="1698"/>
      <c r="E2150" s="357"/>
      <c r="F2150" s="357"/>
      <c r="G2150" s="357"/>
      <c r="H2150" s="357"/>
      <c r="I2150" s="357"/>
      <c r="J2150" s="357"/>
      <c r="K2150" s="357"/>
      <c r="L2150" s="357"/>
      <c r="M2150" s="357"/>
      <c r="N2150" s="1712"/>
      <c r="O2150" s="698"/>
      <c r="P2150" s="729"/>
      <c r="Q2150" s="729"/>
      <c r="R2150" s="729"/>
      <c r="S2150" s="729"/>
      <c r="T2150" s="729"/>
      <c r="U2150" s="343"/>
      <c r="V2150" s="343"/>
    </row>
    <row r="2151" spans="1:22" s="364" customFormat="1" ht="12.75" customHeight="1" x14ac:dyDescent="0.3">
      <c r="A2151" s="729"/>
      <c r="B2151" s="302"/>
      <c r="C2151" s="357"/>
      <c r="D2151" s="1698"/>
      <c r="E2151" s="389" t="str">
        <f>Translations!$B$1375</f>
        <v>Промени: Равнище на дейност</v>
      </c>
      <c r="F2151" s="498"/>
      <c r="G2151" s="498"/>
      <c r="H2151" s="527" t="str">
        <f>EUconst_Unit</f>
        <v>Единица мярка</v>
      </c>
      <c r="I2151" s="1699"/>
      <c r="J2151" s="1523">
        <f>J$2505</f>
        <v>2026</v>
      </c>
      <c r="K2151" s="387">
        <f>K$2505</f>
        <v>2027</v>
      </c>
      <c r="L2151" s="387">
        <f>L$2505</f>
        <v>2028</v>
      </c>
      <c r="M2151" s="387">
        <f>M$2505</f>
        <v>2029</v>
      </c>
      <c r="N2151" s="1544">
        <f>N$2505</f>
        <v>2030</v>
      </c>
      <c r="O2151" s="698"/>
      <c r="P2151" s="729"/>
      <c r="Q2151" s="729"/>
      <c r="R2151" s="729"/>
      <c r="S2151" s="729"/>
      <c r="T2151" s="729"/>
      <c r="U2151" s="343"/>
      <c r="V2151" s="343"/>
    </row>
    <row r="2152" spans="1:22" s="364" customFormat="1" ht="12.75" customHeight="1" x14ac:dyDescent="0.3">
      <c r="A2152" s="729"/>
      <c r="B2152" s="302"/>
      <c r="C2152" s="357"/>
      <c r="D2152" s="1698"/>
      <c r="E2152" s="392" t="str">
        <f>Translations!$B$1328</f>
        <v>Средна годишна стойност</v>
      </c>
      <c r="F2152" s="392"/>
      <c r="G2152" s="392"/>
      <c r="H2152" s="1730" t="str">
        <f>H2148</f>
        <v>TJ</v>
      </c>
      <c r="I2152" s="1731"/>
      <c r="J2152" s="1848" t="str">
        <f>INDEX('G_Fall-back'!J:J,MATCH($P2152,'G_Fall-back'!$Q:$Q,0))</f>
        <v/>
      </c>
      <c r="K2152" s="1849" t="str">
        <f>INDEX('G_Fall-back'!K:K,MATCH($P2152,'G_Fall-back'!$Q:$Q,0))</f>
        <v/>
      </c>
      <c r="L2152" s="1849" t="str">
        <f>INDEX('G_Fall-back'!L:L,MATCH($P2152,'G_Fall-back'!$Q:$Q,0))</f>
        <v/>
      </c>
      <c r="M2152" s="1849" t="str">
        <f>INDEX('G_Fall-back'!M:M,MATCH($P2152,'G_Fall-back'!$Q:$Q,0))</f>
        <v/>
      </c>
      <c r="N2152" s="1850" t="str">
        <f>INDEX('G_Fall-back'!N:N,MATCH($P2152,'G_Fall-back'!$Q:$Q,0))</f>
        <v/>
      </c>
      <c r="O2152" s="698"/>
      <c r="P2152" s="1190" t="str">
        <f>EUconst_CNTR_HALinitial&amp;I2134</f>
        <v>HALini_Подинсталация с горивен показател (без риск от ИВЕ | извън МКВЕГ)</v>
      </c>
      <c r="Q2152" s="729"/>
      <c r="R2152" s="729"/>
      <c r="S2152" s="729"/>
      <c r="T2152" s="729"/>
      <c r="U2152" s="343"/>
      <c r="V2152" s="343"/>
    </row>
    <row r="2153" spans="1:22" s="364" customFormat="1" ht="12.75" customHeight="1" x14ac:dyDescent="0.3">
      <c r="A2153" s="729"/>
      <c r="B2153" s="302"/>
      <c r="C2153" s="357"/>
      <c r="D2153" s="1698"/>
      <c r="E2153" s="398" t="str">
        <f>Translations!$B$1376</f>
        <v>Промяна в сравнение с HAL</v>
      </c>
      <c r="F2153" s="398"/>
      <c r="G2153" s="398"/>
      <c r="H2153" s="1751" t="s">
        <v>1052</v>
      </c>
      <c r="I2153" s="1735"/>
      <c r="J2153" s="159" t="str">
        <f>INDEX('G_Fall-back'!J:J,MATCH($P2153,'G_Fall-back'!$Q:$Q,0))</f>
        <v/>
      </c>
      <c r="K2153" s="160" t="str">
        <f>INDEX('G_Fall-back'!K:K,MATCH($P2153,'G_Fall-back'!$Q:$Q,0))</f>
        <v/>
      </c>
      <c r="L2153" s="160" t="str">
        <f>INDEX('G_Fall-back'!L:L,MATCH($P2153,'G_Fall-back'!$Q:$Q,0))</f>
        <v/>
      </c>
      <c r="M2153" s="160" t="str">
        <f>INDEX('G_Fall-back'!M:M,MATCH($P2153,'G_Fall-back'!$Q:$Q,0))</f>
        <v/>
      </c>
      <c r="N2153" s="161" t="str">
        <f>INDEX('G_Fall-back'!N:N,MATCH($P2153,'G_Fall-back'!$Q:$Q,0))</f>
        <v/>
      </c>
      <c r="O2153" s="698"/>
      <c r="P2153" s="1190" t="str">
        <f>EUconst_CNTR_RelThreshold &amp; I2134</f>
        <v>RelThresh_Подинсталация с горивен показател (без риск от ИВЕ | извън МКВЕГ)</v>
      </c>
      <c r="Q2153" s="729"/>
      <c r="R2153" s="729"/>
      <c r="S2153" s="729"/>
      <c r="T2153" s="729"/>
      <c r="U2153" s="343"/>
      <c r="V2153" s="343"/>
    </row>
    <row r="2154" spans="1:22" s="364" customFormat="1" ht="12.75" customHeight="1" x14ac:dyDescent="0.3">
      <c r="A2154" s="729"/>
      <c r="B2154" s="302"/>
      <c r="C2154" s="357"/>
      <c r="D2154" s="1698"/>
      <c r="E2154" s="1851" t="str">
        <f>Translations!$B$1590</f>
        <v>Критерий 3a: Надвишен ли е относителният праг?</v>
      </c>
      <c r="F2154" s="1851"/>
      <c r="G2154" s="1851"/>
      <c r="H2154" s="1852" t="s">
        <v>1052</v>
      </c>
      <c r="I2154" s="1852"/>
      <c r="J2154" s="1853" t="str">
        <f>INDEX('G_Fall-back'!V:V,MATCH($P2154,'G_Fall-back'!$Q:$Q,0)+1)</f>
        <v/>
      </c>
      <c r="K2154" s="1854" t="str">
        <f>INDEX('G_Fall-back'!W:W,MATCH($P2154,'G_Fall-back'!$Q:$Q,0)+1)</f>
        <v/>
      </c>
      <c r="L2154" s="1854" t="str">
        <f>INDEX('G_Fall-back'!X:X,MATCH($P2154,'G_Fall-back'!$Q:$Q,0)+1)</f>
        <v/>
      </c>
      <c r="M2154" s="1854" t="str">
        <f>INDEX('G_Fall-back'!Y:Y,MATCH($P2154,'G_Fall-back'!$Q:$Q,0)+1)</f>
        <v/>
      </c>
      <c r="N2154" s="1855" t="str">
        <f>INDEX('G_Fall-back'!Z:Z,MATCH($P2154,'G_Fall-back'!$Q:$Q,0)+1)</f>
        <v/>
      </c>
      <c r="O2154" s="698"/>
      <c r="P2154" s="1190" t="str">
        <f>P2153</f>
        <v>RelThresh_Подинсталация с горивен показател (без риск от ИВЕ | извън МКВЕГ)</v>
      </c>
      <c r="Q2154" s="729"/>
      <c r="R2154" s="729"/>
      <c r="S2154" s="729"/>
      <c r="T2154" s="729"/>
      <c r="U2154" s="343"/>
      <c r="V2154" s="343"/>
    </row>
    <row r="2155" spans="1:22" s="364" customFormat="1" ht="12.75" customHeight="1" x14ac:dyDescent="0.3">
      <c r="A2155" s="729"/>
      <c r="B2155" s="302"/>
      <c r="C2155" s="357"/>
      <c r="D2155" s="1698"/>
      <c r="E2155" s="392" t="str">
        <f>Translations!$B$1579</f>
        <v>Очаквано равнище на дейност</v>
      </c>
      <c r="F2155" s="392"/>
      <c r="G2155" s="392"/>
      <c r="H2155" s="1730" t="str">
        <f>F2140</f>
        <v>TJ</v>
      </c>
      <c r="I2155" s="392"/>
      <c r="J2155" s="1848" t="str">
        <f>INDEX('G_Fall-back'!J:J,MATCH($P2155,'G_Fall-back'!$Q:$Q,0))</f>
        <v/>
      </c>
      <c r="K2155" s="1849" t="str">
        <f>INDEX('G_Fall-back'!K:K,MATCH($P2155,'G_Fall-back'!$Q:$Q,0))</f>
        <v/>
      </c>
      <c r="L2155" s="1849" t="str">
        <f>INDEX('G_Fall-back'!L:L,MATCH($P2155,'G_Fall-back'!$Q:$Q,0))</f>
        <v/>
      </c>
      <c r="M2155" s="1849" t="str">
        <f>INDEX('G_Fall-back'!M:M,MATCH($P2155,'G_Fall-back'!$Q:$Q,0))</f>
        <v/>
      </c>
      <c r="N2155" s="1850" t="str">
        <f>INDEX('G_Fall-back'!N:N,MATCH($P2155,'G_Fall-back'!$Q:$Q,0))</f>
        <v/>
      </c>
      <c r="O2155" s="698"/>
      <c r="P2155" s="1190" t="str">
        <f>EUconst_CNTR_HALprelim&amp;I2134</f>
        <v>HALprelim_Подинсталация с горивен показател (без риск от ИВЕ | извън МКВЕГ)</v>
      </c>
      <c r="Q2155" s="729"/>
      <c r="R2155" s="729"/>
      <c r="S2155" s="729"/>
      <c r="T2155" s="729"/>
      <c r="U2155" s="343"/>
      <c r="V2155" s="343"/>
    </row>
    <row r="2156" spans="1:22" s="364" customFormat="1" ht="12.75" customHeight="1" x14ac:dyDescent="0.3">
      <c r="A2156" s="729"/>
      <c r="B2156" s="302"/>
      <c r="C2156" s="357"/>
      <c r="D2156" s="1698"/>
      <c r="E2156" s="398" t="str">
        <f>Translations!$B$1591</f>
        <v>Промяна в сравнение с HAL (очаквана)</v>
      </c>
      <c r="F2156" s="398"/>
      <c r="G2156" s="398"/>
      <c r="H2156" s="516" t="s">
        <v>1052</v>
      </c>
      <c r="I2156" s="1720"/>
      <c r="J2156" s="159" t="str">
        <f>INDEX('G_Fall-back'!J:J,MATCH($P2156,'G_Fall-back'!$Q:$Q,0))</f>
        <v/>
      </c>
      <c r="K2156" s="160" t="str">
        <f>INDEX('G_Fall-back'!K:K,MATCH($P2156,'G_Fall-back'!$Q:$Q,0))</f>
        <v/>
      </c>
      <c r="L2156" s="160" t="str">
        <f>INDEX('G_Fall-back'!L:L,MATCH($P2156,'G_Fall-back'!$Q:$Q,0))</f>
        <v/>
      </c>
      <c r="M2156" s="160" t="str">
        <f>INDEX('G_Fall-back'!M:M,MATCH($P2156,'G_Fall-back'!$Q:$Q,0))</f>
        <v/>
      </c>
      <c r="N2156" s="161" t="str">
        <f>INDEX('G_Fall-back'!N:N,MATCH($P2156,'G_Fall-back'!$Q:$Q,0))</f>
        <v/>
      </c>
      <c r="O2156" s="698"/>
      <c r="P2156" s="1190" t="str">
        <f>EUconst_CNTR_EnEffPct&amp;I2134</f>
        <v>EnEffPct_Подинсталация с горивен показател (без риск от ИВЕ | извън МКВЕГ)</v>
      </c>
      <c r="Q2156" s="729"/>
      <c r="R2156" s="729"/>
      <c r="S2156" s="729"/>
      <c r="T2156" s="729"/>
      <c r="U2156" s="343"/>
      <c r="V2156" s="343"/>
    </row>
    <row r="2157" spans="1:22" s="364" customFormat="1" ht="12.75" customHeight="1" x14ac:dyDescent="0.3">
      <c r="A2157" s="729"/>
      <c r="B2157" s="302"/>
      <c r="C2157" s="357"/>
      <c r="D2157" s="1698"/>
      <c r="E2157" s="1706" t="str">
        <f>Translations!$B$1379</f>
        <v>Критерий 3б: Надвишени ли са относителните прагове?</v>
      </c>
      <c r="F2157" s="1706"/>
      <c r="G2157" s="1706"/>
      <c r="H2157" s="1856" t="s">
        <v>1052</v>
      </c>
      <c r="I2157" s="1857"/>
      <c r="J2157" s="1709" t="str">
        <f>INDEX('G_Fall-back'!V:V,MATCH($P2157,'G_Fall-back'!$Q:$Q,0)+1)</f>
        <v/>
      </c>
      <c r="K2157" s="1710" t="str">
        <f>INDEX('G_Fall-back'!W:W,MATCH($P2157,'G_Fall-back'!$Q:$Q,0)+1)</f>
        <v/>
      </c>
      <c r="L2157" s="1710" t="str">
        <f>INDEX('G_Fall-back'!X:X,MATCH($P2157,'G_Fall-back'!$Q:$Q,0)+1)</f>
        <v/>
      </c>
      <c r="M2157" s="1710" t="str">
        <f>INDEX('G_Fall-back'!Y:Y,MATCH($P2157,'G_Fall-back'!$Q:$Q,0)+1)</f>
        <v/>
      </c>
      <c r="N2157" s="1711" t="str">
        <f>INDEX('G_Fall-back'!Z:Z,MATCH($P2157,'G_Fall-back'!$Q:$Q,0)+1)</f>
        <v/>
      </c>
      <c r="O2157" s="698"/>
      <c r="P2157" s="1190" t="str">
        <f>EUconst_CNTR_EnEffPct&amp;I2134</f>
        <v>EnEffPct_Подинсталация с горивен показател (без риск от ИВЕ | извън МКВЕГ)</v>
      </c>
      <c r="Q2157" s="729"/>
      <c r="R2157" s="729"/>
      <c r="S2157" s="729"/>
      <c r="T2157" s="729"/>
      <c r="U2157" s="343"/>
      <c r="V2157" s="343"/>
    </row>
    <row r="2158" spans="1:22" s="364" customFormat="1" ht="13" x14ac:dyDescent="0.25">
      <c r="A2158" s="729"/>
      <c r="B2158" s="302"/>
      <c r="C2158" s="302"/>
      <c r="D2158" s="344"/>
      <c r="E2158" s="498" t="str">
        <f>Translations!$B$1389</f>
        <v>Действителна корекция на равнището на дейност</v>
      </c>
      <c r="F2158" s="498"/>
      <c r="G2158" s="498"/>
      <c r="H2158" s="1858" t="s">
        <v>1052</v>
      </c>
      <c r="I2158" s="1859"/>
      <c r="J2158" s="225" t="str">
        <f>INDEX('G_Fall-back'!J:J,MATCH($P2158,'G_Fall-back'!$Q:$Q,0))</f>
        <v/>
      </c>
      <c r="K2158" s="226" t="str">
        <f>INDEX('G_Fall-back'!K:K,MATCH($P2158,'G_Fall-back'!$Q:$Q,0))</f>
        <v/>
      </c>
      <c r="L2158" s="226" t="str">
        <f>INDEX('G_Fall-back'!L:L,MATCH($P2158,'G_Fall-back'!$Q:$Q,0))</f>
        <v/>
      </c>
      <c r="M2158" s="226" t="str">
        <f>INDEX('G_Fall-back'!M:M,MATCH($P2158,'G_Fall-back'!$Q:$Q,0))</f>
        <v/>
      </c>
      <c r="N2158" s="227" t="str">
        <f>INDEX('G_Fall-back'!N:N,MATCH($P2158,'G_Fall-back'!$Q:$Q,0))</f>
        <v/>
      </c>
      <c r="O2158" s="698"/>
      <c r="P2158" s="1190" t="str">
        <f>EUconst_CNTR_HALAdjPct&amp;I2134</f>
        <v>HALAdjPct_Подинсталация с горивен показател (без риск от ИВЕ | извън МКВЕГ)</v>
      </c>
      <c r="Q2158" s="729"/>
      <c r="R2158" s="729"/>
      <c r="S2158" s="729"/>
      <c r="T2158" s="770"/>
      <c r="U2158" s="343"/>
      <c r="V2158" s="343"/>
    </row>
    <row r="2159" spans="1:22" s="364" customFormat="1" ht="5.15" customHeight="1" thickBot="1" x14ac:dyDescent="0.3">
      <c r="A2159" s="729"/>
      <c r="B2159" s="302"/>
      <c r="C2159" s="302"/>
      <c r="D2159" s="1801"/>
      <c r="E2159" s="1762"/>
      <c r="F2159" s="1762"/>
      <c r="G2159" s="1762"/>
      <c r="H2159" s="1762"/>
      <c r="I2159" s="1860"/>
      <c r="J2159" s="1762"/>
      <c r="K2159" s="1762"/>
      <c r="L2159" s="1762"/>
      <c r="M2159" s="1762"/>
      <c r="N2159" s="1764"/>
      <c r="O2159" s="698"/>
      <c r="P2159" s="729"/>
      <c r="Q2159" s="729"/>
      <c r="R2159" s="729"/>
      <c r="S2159" s="729"/>
      <c r="T2159" s="770"/>
      <c r="U2159" s="343"/>
      <c r="V2159" s="343"/>
    </row>
    <row r="2160" spans="1:22" s="364" customFormat="1" ht="5.15" customHeight="1" thickBot="1" x14ac:dyDescent="0.3">
      <c r="A2160" s="729"/>
      <c r="B2160" s="302"/>
      <c r="C2160" s="302"/>
      <c r="D2160" s="302"/>
      <c r="E2160" s="302"/>
      <c r="F2160" s="302"/>
      <c r="G2160" s="302"/>
      <c r="H2160" s="302"/>
      <c r="I2160" s="1861"/>
      <c r="J2160" s="302"/>
      <c r="K2160" s="302"/>
      <c r="L2160" s="302"/>
      <c r="M2160" s="302"/>
      <c r="N2160" s="302"/>
      <c r="O2160" s="698"/>
      <c r="P2160" s="729"/>
      <c r="Q2160" s="729"/>
      <c r="R2160" s="729"/>
      <c r="S2160" s="729"/>
      <c r="T2160" s="770"/>
      <c r="U2160" s="343"/>
      <c r="V2160" s="343"/>
    </row>
    <row r="2161" spans="1:22" s="364" customFormat="1" ht="5.15" customHeight="1" x14ac:dyDescent="0.25">
      <c r="A2161" s="729"/>
      <c r="B2161" s="302"/>
      <c r="C2161" s="302"/>
      <c r="D2161" s="1765"/>
      <c r="E2161" s="1766"/>
      <c r="F2161" s="1766"/>
      <c r="G2161" s="1766"/>
      <c r="H2161" s="1766"/>
      <c r="I2161" s="1767"/>
      <c r="J2161" s="1766"/>
      <c r="K2161" s="1766"/>
      <c r="L2161" s="1766"/>
      <c r="M2161" s="1766"/>
      <c r="N2161" s="1768"/>
      <c r="O2161" s="698"/>
      <c r="P2161" s="729"/>
      <c r="Q2161" s="729"/>
      <c r="R2161" s="729"/>
      <c r="S2161" s="729"/>
      <c r="T2161" s="729"/>
      <c r="U2161" s="729"/>
      <c r="V2161" s="729"/>
    </row>
    <row r="2162" spans="1:22" s="364" customFormat="1" ht="13" x14ac:dyDescent="0.25">
      <c r="A2162" s="729"/>
      <c r="B2162" s="302"/>
      <c r="C2162" s="302"/>
      <c r="D2162" s="344"/>
      <c r="E2162" s="1769" t="str">
        <f>Translations!$B$1583</f>
        <v>Предварителни стойности за критерий &gt; 300 EUA</v>
      </c>
      <c r="F2162" s="1746"/>
      <c r="G2162" s="1746"/>
      <c r="H2162" s="1699" t="str">
        <f>EUconst_Unit</f>
        <v>Единица мярка</v>
      </c>
      <c r="I2162" s="1862" t="str">
        <f>Translations!$B$1341</f>
        <v>Базова стойност</v>
      </c>
      <c r="J2162" s="1771">
        <f>J$2505</f>
        <v>2026</v>
      </c>
      <c r="K2162" s="1772">
        <f>K$2505</f>
        <v>2027</v>
      </c>
      <c r="L2162" s="1772">
        <f>L$2505</f>
        <v>2028</v>
      </c>
      <c r="M2162" s="1772">
        <f>M$2505</f>
        <v>2029</v>
      </c>
      <c r="N2162" s="1773">
        <f>N$2505</f>
        <v>2030</v>
      </c>
      <c r="O2162" s="698"/>
      <c r="P2162" s="729"/>
      <c r="Q2162" s="729"/>
      <c r="R2162" s="729"/>
      <c r="S2162" s="729"/>
      <c r="T2162" s="729"/>
      <c r="U2162" s="729"/>
      <c r="V2162" s="729"/>
    </row>
    <row r="2163" spans="1:22" s="364" customFormat="1" x14ac:dyDescent="0.25">
      <c r="A2163" s="729"/>
      <c r="B2163" s="302"/>
      <c r="C2163" s="302"/>
      <c r="D2163" s="344"/>
      <c r="E2163" s="1789" t="str">
        <f>Translations!$B$1579</f>
        <v>Очаквано равнище на дейност</v>
      </c>
      <c r="F2163" s="1789"/>
      <c r="G2163" s="1789"/>
      <c r="H2163" s="1863" t="str">
        <f>F2140</f>
        <v>TJ</v>
      </c>
      <c r="I2163" s="1864" t="str">
        <f>IF($M2134&lt;&gt;EUconst_Relevant,"",IF(T2172&gt;=$H$2505,0,S2171))</f>
        <v/>
      </c>
      <c r="J2163" s="1864" t="str">
        <f>INDEX('G_Fall-back'!J:J,MATCH($P2163,'G_Fall-back'!$Q:$Q,0))</f>
        <v/>
      </c>
      <c r="K2163" s="1865" t="str">
        <f>INDEX('G_Fall-back'!K:K,MATCH($P2163,'G_Fall-back'!$Q:$Q,0))</f>
        <v/>
      </c>
      <c r="L2163" s="1865" t="str">
        <f>INDEX('G_Fall-back'!L:L,MATCH($P2163,'G_Fall-back'!$Q:$Q,0))</f>
        <v/>
      </c>
      <c r="M2163" s="1865" t="str">
        <f>INDEX('G_Fall-back'!M:M,MATCH($P2163,'G_Fall-back'!$Q:$Q,0))</f>
        <v/>
      </c>
      <c r="N2163" s="1866" t="str">
        <f>INDEX('G_Fall-back'!N:N,MATCH($P2163,'G_Fall-back'!$Q:$Q,0))</f>
        <v/>
      </c>
      <c r="O2163" s="698"/>
      <c r="P2163" s="1190" t="str">
        <f>EUconst_CNTR_HALprelim&amp;I2134</f>
        <v>HALprelim_Подинсталация с горивен показател (без риск от ИВЕ | извън МКВЕГ)</v>
      </c>
      <c r="Q2163" s="729"/>
      <c r="R2163" s="729"/>
      <c r="S2163" s="729"/>
      <c r="T2163" s="729"/>
      <c r="U2163" s="729"/>
      <c r="V2163" s="729"/>
    </row>
    <row r="2164" spans="1:22" s="364" customFormat="1" x14ac:dyDescent="0.25">
      <c r="A2164" s="729"/>
      <c r="B2164" s="302"/>
      <c r="C2164" s="302"/>
      <c r="D2164" s="344"/>
      <c r="E2164" s="1789" t="str">
        <f>Translations!$B$1374</f>
        <v>Стойност на предварително разпределяне</v>
      </c>
      <c r="F2164" s="1789"/>
      <c r="G2164" s="1789"/>
      <c r="H2164" s="1790" t="str">
        <f>EUconst_EUA</f>
        <v>Квота за емисии</v>
      </c>
      <c r="I2164" s="1867" t="str">
        <f>IF($M2134&lt;&gt;EUconst_Relevant,"",MAX(0,ROUND((SUM($M2137)*SUM(I2171))*IF($H2137=TRUE,1,IF($L2137=4,J$2413,J$2412)),0)))</f>
        <v/>
      </c>
      <c r="J2164" s="1714" t="str">
        <f>IF($M2134&lt;&gt;EUconst_Relevant,"",MAX(0,ROUND((SUM($M2137)*SUM(J2163))*IF($H2137=TRUE,1,IF($L2137=4,J$2413,J$2412))*IF($I2137=TRUE,INDEX(EUconst_CBAMFactor,J2147-2020),1)*IF($L2137&gt;=8,J$2415/0.97,1),0)))</f>
        <v/>
      </c>
      <c r="K2164" s="1693" t="str">
        <f>IF($M2134&lt;&gt;EUconst_Relevant,"",MAX(0,ROUND((SUM($M2137)*SUM(K2163))*IF($H2137=TRUE,1,IF($L2137=4,K$2413,K$2412))*IF($I2137=TRUE,INDEX(EUconst_CBAMFactor,K2147-2020),1)*IF($L2137&gt;=8,K$2415/0.97,1),0)))</f>
        <v/>
      </c>
      <c r="L2164" s="1693" t="str">
        <f>IF($M2134&lt;&gt;EUconst_Relevant,"",MAX(0,ROUND((SUM($M2137)*SUM(L2163))*IF($H2137=TRUE,1,IF($L2137=4,L$2413,L$2412))*IF($I2137=TRUE,INDEX(EUconst_CBAMFactor,L2147-2020),1)*IF($L2137&gt;=8,L$2415/0.97,1),0)))</f>
        <v/>
      </c>
      <c r="M2164" s="1693" t="str">
        <f>IF($M2134&lt;&gt;EUconst_Relevant,"",MAX(0,ROUND((SUM($M2137)*SUM(M2163))*IF($H2137=TRUE,1,IF($L2137=4,M$2413,M$2412))*IF($I2137=TRUE,INDEX(EUconst_CBAMFactor,M2147-2020),1)*IF($L2137&gt;=8,M$2415/0.97,1),0)))</f>
        <v/>
      </c>
      <c r="N2164" s="1715" t="str">
        <f>IF($M2134&lt;&gt;EUconst_Relevant,"",MAX(0,ROUND((SUM($M2137)*SUM(N2163))*IF($H2137=TRUE,1,IF($L2137=4,N$2413,N$2412))*IF($I2137=TRUE,INDEX(EUconst_CBAMFactor,N2147-2020),1)*IF($L2137&gt;=8,N$2415/0.97,1),0)))</f>
        <v/>
      </c>
      <c r="O2164" s="698"/>
      <c r="P2164" s="729"/>
      <c r="Q2164" s="729"/>
      <c r="R2164" s="729"/>
      <c r="S2164" s="729"/>
      <c r="T2164" s="729"/>
      <c r="U2164" s="729"/>
      <c r="V2164" s="729"/>
    </row>
    <row r="2165" spans="1:22" s="364" customFormat="1" x14ac:dyDescent="0.25">
      <c r="A2165" s="729"/>
      <c r="B2165" s="302"/>
      <c r="C2165" s="302"/>
      <c r="D2165" s="344"/>
      <c r="E2165" s="388" t="str">
        <f>Translations!$B$1584</f>
        <v>Разлика в предварителната стойност</v>
      </c>
      <c r="F2165" s="388"/>
      <c r="G2165" s="388"/>
      <c r="H2165" s="421" t="str">
        <f>EUconst_EUA</f>
        <v>Квота за емисии</v>
      </c>
      <c r="I2165" s="1792"/>
      <c r="J2165" s="1793" t="str">
        <f>IF(J2164="","",SUM(J2164)-SUM(J2149))</f>
        <v/>
      </c>
      <c r="K2165" s="998" t="str">
        <f t="shared" ref="K2165:N2165" si="180">IF(K2164="","",SUM(K2164)-SUM(K2149))</f>
        <v/>
      </c>
      <c r="L2165" s="998" t="str">
        <f t="shared" si="180"/>
        <v/>
      </c>
      <c r="M2165" s="998" t="str">
        <f t="shared" si="180"/>
        <v/>
      </c>
      <c r="N2165" s="1794" t="str">
        <f t="shared" si="180"/>
        <v/>
      </c>
      <c r="O2165" s="698"/>
      <c r="P2165" s="1190" t="str">
        <f>EUconst_CNTR_AllocPrelimChange</f>
        <v>AllocPrelimChange_</v>
      </c>
      <c r="Q2165" s="729"/>
      <c r="R2165" s="729"/>
      <c r="S2165" s="729"/>
      <c r="T2165" s="729"/>
      <c r="U2165" s="729"/>
      <c r="V2165" s="729"/>
    </row>
    <row r="2166" spans="1:22" s="364" customFormat="1" x14ac:dyDescent="0.25">
      <c r="A2166" s="729"/>
      <c r="B2166" s="302"/>
      <c r="C2166" s="302"/>
      <c r="D2166" s="344"/>
      <c r="E2166" s="1796" t="str">
        <f>Translations!$B$1581</f>
        <v>Критерий 4: Разлика от поне 300 квоти за емисии?</v>
      </c>
      <c r="F2166" s="1796"/>
      <c r="G2166" s="1796"/>
      <c r="H2166" s="1797" t="s">
        <v>1052</v>
      </c>
      <c r="I2166" s="1792"/>
      <c r="J2166" s="1798" t="str">
        <f>IF(J2165="","",ABS(J2165)&gt;=300)</f>
        <v/>
      </c>
      <c r="K2166" s="1799" t="str">
        <f t="shared" ref="K2166:N2166" si="181">IF(K2165="","",ABS(K2165)&gt;=300)</f>
        <v/>
      </c>
      <c r="L2166" s="1799" t="str">
        <f t="shared" si="181"/>
        <v/>
      </c>
      <c r="M2166" s="1799" t="str">
        <f t="shared" si="181"/>
        <v/>
      </c>
      <c r="N2166" s="1800" t="str">
        <f t="shared" si="181"/>
        <v/>
      </c>
      <c r="O2166" s="698"/>
      <c r="P2166" s="1190" t="str">
        <f>EUconst_CNTR_300EUA&amp;I2134</f>
        <v>EUA300_Подинсталация с горивен показател (без риск от ИВЕ | извън МКВЕГ)</v>
      </c>
      <c r="Q2166" s="729"/>
      <c r="R2166" s="729"/>
      <c r="S2166" s="729"/>
      <c r="T2166" s="729"/>
      <c r="U2166" s="729"/>
      <c r="V2166" s="729"/>
    </row>
    <row r="2167" spans="1:22" s="364" customFormat="1" ht="5.15" customHeight="1" thickBot="1" x14ac:dyDescent="0.3">
      <c r="A2167" s="729"/>
      <c r="B2167" s="302"/>
      <c r="C2167" s="302"/>
      <c r="D2167" s="1801"/>
      <c r="E2167" s="1762"/>
      <c r="F2167" s="1762"/>
      <c r="G2167" s="1762"/>
      <c r="H2167" s="1762"/>
      <c r="I2167" s="1762"/>
      <c r="J2167" s="1762"/>
      <c r="K2167" s="1762"/>
      <c r="L2167" s="1762"/>
      <c r="M2167" s="1762"/>
      <c r="N2167" s="1764"/>
      <c r="O2167" s="698"/>
      <c r="P2167" s="729"/>
      <c r="Q2167" s="729"/>
      <c r="R2167" s="729"/>
      <c r="S2167" s="729"/>
      <c r="T2167" s="770"/>
      <c r="U2167" s="343"/>
      <c r="V2167" s="343"/>
    </row>
    <row r="2168" spans="1:22" s="364" customFormat="1" ht="5.15" customHeight="1" thickBot="1" x14ac:dyDescent="0.3">
      <c r="A2168" s="729"/>
      <c r="B2168" s="302"/>
      <c r="C2168" s="302"/>
      <c r="D2168" s="302"/>
      <c r="E2168" s="302"/>
      <c r="F2168" s="302"/>
      <c r="G2168" s="302"/>
      <c r="H2168" s="302"/>
      <c r="I2168" s="1861"/>
      <c r="J2168" s="302"/>
      <c r="K2168" s="302"/>
      <c r="L2168" s="302"/>
      <c r="M2168" s="302"/>
      <c r="N2168" s="302"/>
      <c r="O2168" s="698"/>
      <c r="P2168" s="729"/>
      <c r="Q2168" s="729"/>
      <c r="R2168" s="729"/>
      <c r="S2168" s="729"/>
      <c r="T2168" s="770"/>
      <c r="U2168" s="343"/>
      <c r="V2168" s="343"/>
    </row>
    <row r="2169" spans="1:22" s="364" customFormat="1" ht="5.15" customHeight="1" x14ac:dyDescent="0.25">
      <c r="A2169" s="729"/>
      <c r="B2169" s="302"/>
      <c r="C2169" s="302"/>
      <c r="D2169" s="1765"/>
      <c r="E2169" s="1766"/>
      <c r="F2169" s="1766"/>
      <c r="G2169" s="1766"/>
      <c r="H2169" s="1766"/>
      <c r="I2169" s="1767"/>
      <c r="J2169" s="1766"/>
      <c r="K2169" s="1766"/>
      <c r="L2169" s="1766"/>
      <c r="M2169" s="1766"/>
      <c r="N2169" s="1768"/>
      <c r="O2169" s="698"/>
      <c r="P2169" s="729"/>
      <c r="Q2169" s="729"/>
      <c r="R2169" s="729"/>
      <c r="S2169" s="729"/>
      <c r="T2169" s="770"/>
      <c r="U2169" s="343"/>
      <c r="V2169" s="343"/>
    </row>
    <row r="2170" spans="1:22" s="364" customFormat="1" ht="13" x14ac:dyDescent="0.25">
      <c r="A2170" s="729"/>
      <c r="B2170" s="302"/>
      <c r="C2170" s="302"/>
      <c r="D2170" s="344"/>
      <c r="E2170" s="313" t="str">
        <f>Translations!$B$1387</f>
        <v>Използвани действителни стойности</v>
      </c>
      <c r="F2170" s="302"/>
      <c r="G2170" s="302"/>
      <c r="H2170" s="527" t="str">
        <f>EUconst_Unit</f>
        <v>Единица мярка</v>
      </c>
      <c r="I2170" s="1868" t="str">
        <f>Translations!$B$1341</f>
        <v>Базова стойност</v>
      </c>
      <c r="J2170" s="1523">
        <f>J$2505</f>
        <v>2026</v>
      </c>
      <c r="K2170" s="387">
        <f>K$2505</f>
        <v>2027</v>
      </c>
      <c r="L2170" s="387">
        <f>L$2505</f>
        <v>2028</v>
      </c>
      <c r="M2170" s="387">
        <f>M$2505</f>
        <v>2029</v>
      </c>
      <c r="N2170" s="1544">
        <f>N$2505</f>
        <v>2030</v>
      </c>
      <c r="O2170" s="698"/>
      <c r="P2170" s="729"/>
      <c r="Q2170" s="729"/>
      <c r="R2170" s="729"/>
      <c r="S2170" s="1519" t="str">
        <f>Translations!$B$1284</f>
        <v>HAL</v>
      </c>
      <c r="T2170" s="770"/>
      <c r="U2170" s="343"/>
      <c r="V2170" s="343"/>
    </row>
    <row r="2171" spans="1:22" s="364" customFormat="1" x14ac:dyDescent="0.25">
      <c r="A2171" s="729"/>
      <c r="B2171" s="302"/>
      <c r="C2171" s="302"/>
      <c r="D2171" s="344"/>
      <c r="E2171" s="388" t="str">
        <f>Translations!$B$1390</f>
        <v>Използвано равнище на дейност</v>
      </c>
      <c r="F2171" s="388"/>
      <c r="G2171" s="388"/>
      <c r="H2171" s="1210" t="str">
        <f>F2140</f>
        <v>TJ</v>
      </c>
      <c r="I2171" s="1864" t="str">
        <f>IF($M2134&lt;&gt;EUconst_Relevant,"",IF(T2172&gt;=$H$2505,0,S2171))</f>
        <v/>
      </c>
      <c r="J2171" s="1844" t="str">
        <f>INDEX('G_Fall-back'!J:J,MATCH($P2171,'G_Fall-back'!$Q:$Q,0))</f>
        <v/>
      </c>
      <c r="K2171" s="1846" t="str">
        <f>INDEX('G_Fall-back'!K:K,MATCH($P2171,'G_Fall-back'!$Q:$Q,0))</f>
        <v/>
      </c>
      <c r="L2171" s="1846" t="str">
        <f>INDEX('G_Fall-back'!L:L,MATCH($P2171,'G_Fall-back'!$Q:$Q,0))</f>
        <v/>
      </c>
      <c r="M2171" s="1846" t="str">
        <f>INDEX('G_Fall-back'!M:M,MATCH($P2171,'G_Fall-back'!$Q:$Q,0))</f>
        <v/>
      </c>
      <c r="N2171" s="1847" t="str">
        <f>INDEX('G_Fall-back'!N:N,MATCH($P2171,'G_Fall-back'!$Q:$Q,0))</f>
        <v/>
      </c>
      <c r="O2171" s="698"/>
      <c r="P2171" s="1190" t="str">
        <f>EUconst_CNTR_HALfinal&amp;I2134</f>
        <v>HALfinal_Подинсталация с горивен показател (без риск от ИВЕ | извън МКВЕГ)</v>
      </c>
      <c r="Q2171" s="729"/>
      <c r="R2171" s="729"/>
      <c r="S2171" s="1817" t="str">
        <f>IF($M2134&lt;&gt;EUconst_Relevant,"",SUMIF('G_Fall-back'!$Q:$Q,$P2171,'G_Fall-back'!I:I))</f>
        <v/>
      </c>
      <c r="T2171" s="770"/>
      <c r="U2171" s="343"/>
      <c r="V2171" s="343"/>
    </row>
    <row r="2172" spans="1:22" s="364" customFormat="1" x14ac:dyDescent="0.25">
      <c r="A2172" s="729"/>
      <c r="B2172" s="302"/>
      <c r="C2172" s="302"/>
      <c r="D2172" s="344"/>
      <c r="E2172" s="388" t="str">
        <f>Translations!$B$892</f>
        <v>Предварително разпределяне</v>
      </c>
      <c r="F2172" s="388"/>
      <c r="G2172" s="388"/>
      <c r="H2172" s="421" t="str">
        <f>EUconst_EUA</f>
        <v>Квота за емисии</v>
      </c>
      <c r="I2172" s="1867" t="str">
        <f>IF($M2134&lt;&gt;EUconst_Relevant,"",MAX(0,ROUND((SUM($M2137)*SUM(I2171))*IF($H2137=TRUE,1,IF($L2137=4,J$2413,J$2412)),0)))</f>
        <v/>
      </c>
      <c r="J2172" s="1694" t="str">
        <f>IF($M2134&lt;&gt;EUconst_Relevant,"",MAX(0,ROUND((SUM($M2137)*SUM(J2171))*IF($H2137=TRUE,1,IF($L2137=4,J$2413,J$2412))*IF($I2137=TRUE,INDEX(EUconst_CBAMFactor,J2147-2020),1)*IF($L2137&gt;=8,J$2415/0.97,1),0)))</f>
        <v/>
      </c>
      <c r="K2172" s="406" t="str">
        <f>IF($M2134&lt;&gt;EUconst_Relevant,"",MAX(0,ROUND((SUM($M2137)*SUM(K2171))*IF($H2137=TRUE,1,IF($L2137=4,K$2413,K$2412))*IF($I2137=TRUE,INDEX(EUconst_CBAMFactor,K2147-2020),1)*IF($L2137&gt;=8,K$2415/0.97,1),0)))</f>
        <v/>
      </c>
      <c r="L2172" s="406" t="str">
        <f>IF($M2134&lt;&gt;EUconst_Relevant,"",MAX(0,ROUND((SUM($M2137)*SUM(L2171))*IF($H2137=TRUE,1,IF($L2137=4,L$2413,L$2412))*IF($I2137=TRUE,INDEX(EUconst_CBAMFactor,L2147-2020),1)*IF($L2137&gt;=8,L$2415/0.97,1),0)))</f>
        <v/>
      </c>
      <c r="M2172" s="406" t="str">
        <f>IF($M2134&lt;&gt;EUconst_Relevant,"",MAX(0,ROUND((SUM($M2137)*SUM(M2171))*IF($H2137=TRUE,1,IF($L2137=4,M$2413,M$2412))*IF($I2137=TRUE,INDEX(EUconst_CBAMFactor,M2147-2020),1)*IF($L2137&gt;=8,M$2415/0.97,1),0)))</f>
        <v/>
      </c>
      <c r="N2172" s="1729" t="str">
        <f>IF($M2134&lt;&gt;EUconst_Relevant,"",MAX(0,ROUND((SUM($M2137)*SUM(N2171))*IF($H2137=TRUE,1,IF($L2137=4,N$2413,N$2412))*IF($I2137=TRUE,INDEX(EUconst_CBAMFactor,N2147-2020),1)*IF($L2137&gt;=8,N$2415/0.97,1),0)))</f>
        <v/>
      </c>
      <c r="O2172" s="698"/>
      <c r="P2172" s="1190" t="str">
        <f>EUconst_AllocPrelim&amp;I2134</f>
        <v>AllocPrelim_Подинсталация с горивен показател (без риск от ИВЕ | извън МКВЕГ)</v>
      </c>
      <c r="Q2172" s="729"/>
      <c r="R2172" s="729"/>
      <c r="S2172" s="729"/>
      <c r="T2172" s="1176">
        <f>INDEX('G_Fall-back'!V:V,MATCH(L2137,'G_Fall-back'!C:C,0))</f>
        <v>2005</v>
      </c>
      <c r="U2172" s="727" t="b">
        <f>OR(INDEX(I2172:N2172,CNTR_ReportingYear-$I$2505)&lt;&gt;INDEX(I2172:N2172,CNTR_ReportingYear-$H$2505),
(CNTR_ReportingYear-T2172)&lt;=1)</f>
        <v>0</v>
      </c>
      <c r="V2172" s="716" t="b">
        <f ca="1">IF(I2172="",FALSE,COUNTIF(OFFSET(I2172,,,,MAX(1,CNTR_ReportingYear-$I$2505)),"&lt;&gt;" &amp; INDEX(I2172:N2172,CNTR_ReportingYear-$H$2505))&gt;0)</f>
        <v>0</v>
      </c>
    </row>
    <row r="2173" spans="1:22" s="364" customFormat="1" ht="5.15" customHeight="1" thickBot="1" x14ac:dyDescent="0.3">
      <c r="A2173" s="729"/>
      <c r="B2173" s="302"/>
      <c r="C2173" s="302"/>
      <c r="D2173" s="1801"/>
      <c r="E2173" s="1762"/>
      <c r="F2173" s="1762"/>
      <c r="G2173" s="1762"/>
      <c r="H2173" s="1762"/>
      <c r="I2173" s="1762"/>
      <c r="J2173" s="1762"/>
      <c r="K2173" s="1762"/>
      <c r="L2173" s="1762"/>
      <c r="M2173" s="1762"/>
      <c r="N2173" s="1764"/>
      <c r="O2173" s="698"/>
      <c r="P2173" s="729"/>
      <c r="Q2173" s="729"/>
      <c r="R2173" s="729"/>
      <c r="S2173" s="729"/>
      <c r="T2173" s="770"/>
      <c r="U2173" s="343"/>
      <c r="V2173" s="343"/>
    </row>
    <row r="2174" spans="1:22" s="364" customFormat="1" ht="5.15" customHeight="1" x14ac:dyDescent="0.25">
      <c r="A2174" s="729"/>
      <c r="B2174" s="302"/>
      <c r="C2174" s="302"/>
      <c r="D2174" s="302"/>
      <c r="E2174" s="302"/>
      <c r="F2174" s="302"/>
      <c r="G2174" s="302"/>
      <c r="M2174" s="302"/>
      <c r="N2174" s="302"/>
      <c r="O2174" s="698"/>
      <c r="P2174" s="729"/>
      <c r="Q2174" s="729"/>
      <c r="R2174" s="729"/>
      <c r="S2174" s="729"/>
      <c r="T2174" s="729"/>
      <c r="U2174" s="343"/>
      <c r="V2174" s="343"/>
    </row>
    <row r="2175" spans="1:22" s="364" customFormat="1" ht="5.15" customHeight="1" thickBot="1" x14ac:dyDescent="0.3">
      <c r="A2175" s="729"/>
      <c r="B2175" s="302"/>
      <c r="C2175" s="302"/>
      <c r="D2175" s="302"/>
      <c r="E2175" s="302"/>
      <c r="F2175" s="302"/>
      <c r="G2175" s="302"/>
      <c r="M2175" s="302"/>
      <c r="N2175" s="302"/>
      <c r="O2175" s="698"/>
      <c r="P2175" s="729"/>
      <c r="Q2175" s="729"/>
      <c r="R2175" s="729"/>
      <c r="S2175" s="729"/>
      <c r="T2175" s="729"/>
      <c r="U2175" s="343"/>
      <c r="V2175" s="343"/>
    </row>
    <row r="2176" spans="1:22" s="364" customFormat="1" ht="5.15" customHeight="1" x14ac:dyDescent="0.25">
      <c r="A2176" s="729"/>
      <c r="B2176" s="302"/>
      <c r="C2176" s="302"/>
      <c r="D2176" s="1872"/>
      <c r="E2176" s="1819"/>
      <c r="F2176" s="1300"/>
      <c r="G2176" s="1300"/>
      <c r="H2176" s="1300"/>
      <c r="I2176" s="1300"/>
      <c r="J2176" s="1300"/>
      <c r="K2176" s="1300"/>
      <c r="L2176" s="1300"/>
      <c r="M2176" s="1300"/>
      <c r="N2176" s="1301"/>
      <c r="O2176" s="698"/>
      <c r="P2176" s="729"/>
      <c r="Q2176" s="729"/>
      <c r="R2176" s="729"/>
      <c r="S2176" s="729"/>
      <c r="T2176" s="729"/>
      <c r="U2176" s="343"/>
      <c r="V2176" s="343"/>
    </row>
    <row r="2177" spans="1:22" s="364" customFormat="1" ht="13.5" thickBot="1" x14ac:dyDescent="0.3">
      <c r="A2177" s="729"/>
      <c r="B2177" s="302"/>
      <c r="C2177" s="302"/>
      <c r="D2177" s="1873"/>
      <c r="E2177" s="625"/>
      <c r="F2177" s="1874"/>
      <c r="G2177" s="627" t="str">
        <f>EUconst_Unit</f>
        <v>Единица мярка</v>
      </c>
      <c r="H2177" s="666">
        <f t="shared" ref="H2177:N2177" si="182">H$2505</f>
        <v>2024</v>
      </c>
      <c r="I2177" s="666">
        <f t="shared" si="182"/>
        <v>2025</v>
      </c>
      <c r="J2177" s="666">
        <f t="shared" si="182"/>
        <v>2026</v>
      </c>
      <c r="K2177" s="667">
        <f t="shared" si="182"/>
        <v>2027</v>
      </c>
      <c r="L2177" s="667">
        <f t="shared" si="182"/>
        <v>2028</v>
      </c>
      <c r="M2177" s="667">
        <f t="shared" si="182"/>
        <v>2029</v>
      </c>
      <c r="N2177" s="667">
        <f t="shared" si="182"/>
        <v>2030</v>
      </c>
      <c r="O2177" s="698"/>
      <c r="P2177" s="729"/>
      <c r="Q2177" s="729"/>
      <c r="R2177" s="729"/>
      <c r="S2177" s="729"/>
      <c r="T2177" s="729"/>
      <c r="U2177" s="343"/>
      <c r="V2177" s="343"/>
    </row>
    <row r="2178" spans="1:22" s="364" customFormat="1" ht="13.5" customHeight="1" thickBot="1" x14ac:dyDescent="0.3">
      <c r="A2178" s="729"/>
      <c r="B2178" s="302"/>
      <c r="C2178" s="302"/>
      <c r="D2178" s="1873"/>
      <c r="E2178" s="1875" t="str">
        <f>Translations!$B$956</f>
        <v>Общо зададени емисии</v>
      </c>
      <c r="F2178" s="1875"/>
      <c r="G2178" s="631" t="str">
        <f>EUconst_tCO2epa</f>
        <v>t CO2e/година</v>
      </c>
      <c r="H2178" s="661" t="str">
        <f>INDEX(H$95:H$114,MATCH($I2134,$E$95:$E$114,0))</f>
        <v/>
      </c>
      <c r="I2178" s="663" t="str">
        <f t="shared" ref="I2178:N2178" si="183">INDEX(I$95:I$114,MATCH($I2134,$E$95:$E$114,0))</f>
        <v/>
      </c>
      <c r="J2178" s="661" t="str">
        <f t="shared" si="183"/>
        <v/>
      </c>
      <c r="K2178" s="662" t="str">
        <f t="shared" si="183"/>
        <v/>
      </c>
      <c r="L2178" s="662" t="str">
        <f t="shared" si="183"/>
        <v/>
      </c>
      <c r="M2178" s="662" t="str">
        <f t="shared" si="183"/>
        <v/>
      </c>
      <c r="N2178" s="663" t="str">
        <f t="shared" si="183"/>
        <v/>
      </c>
      <c r="O2178" s="698"/>
      <c r="P2178" s="729"/>
      <c r="Q2178" s="729"/>
      <c r="R2178" s="729"/>
      <c r="S2178" s="729"/>
      <c r="T2178" s="770"/>
      <c r="U2178" s="343"/>
      <c r="V2178" s="343"/>
    </row>
    <row r="2179" spans="1:22" s="364" customFormat="1" ht="5.15" customHeight="1" x14ac:dyDescent="0.25">
      <c r="A2179" s="729"/>
      <c r="B2179" s="302"/>
      <c r="C2179" s="302"/>
      <c r="D2179" s="1873"/>
      <c r="E2179" s="625"/>
      <c r="F2179" s="625"/>
      <c r="G2179" s="625"/>
      <c r="H2179" s="635"/>
      <c r="I2179" s="635"/>
      <c r="J2179" s="635"/>
      <c r="K2179" s="635"/>
      <c r="L2179" s="635"/>
      <c r="M2179" s="635"/>
      <c r="N2179" s="635"/>
      <c r="O2179" s="698"/>
      <c r="P2179" s="729"/>
      <c r="Q2179" s="729"/>
      <c r="R2179" s="729"/>
      <c r="S2179" s="729"/>
      <c r="T2179" s="770"/>
      <c r="U2179" s="343"/>
      <c r="V2179" s="343"/>
    </row>
    <row r="2180" spans="1:22" s="364" customFormat="1" x14ac:dyDescent="0.25">
      <c r="A2180" s="729"/>
      <c r="B2180" s="302"/>
      <c r="C2180" s="302"/>
      <c r="D2180" s="1873"/>
      <c r="E2180" s="1876" t="str">
        <f>Translations!$B$521</f>
        <v>Вложени горива</v>
      </c>
      <c r="F2180" s="1877"/>
      <c r="G2180" s="1326" t="str">
        <f>EUconst_TJpa</f>
        <v>TJ / година</v>
      </c>
      <c r="H2180" s="482" t="str">
        <f>IF($M2134&lt;&gt;EUconst_Relevant,"",IF(INDEX('G_Fall-back'!H:H,MATCH($P2180,'G_Fall-back'!$Q:$Q,0))="","",INDEX('G_Fall-back'!H:H,MATCH($P2180,'G_Fall-back'!$Q:$Q,0))))</f>
        <v/>
      </c>
      <c r="I2180" s="1824" t="str">
        <f>IF($M2134&lt;&gt;EUconst_Relevant,"",IF(INDEX('G_Fall-back'!I:I,MATCH($P2180,'G_Fall-back'!$Q:$Q,0))="","",INDEX('G_Fall-back'!I:I,MATCH($P2180,'G_Fall-back'!$Q:$Q,0))))</f>
        <v/>
      </c>
      <c r="J2180" s="1825" t="str">
        <f>IF($M2134&lt;&gt;EUconst_Relevant,"",IF(INDEX('G_Fall-back'!J:J,MATCH($P2180,'G_Fall-back'!$Q:$Q,0))="","",INDEX('G_Fall-back'!J:J,MATCH($P2180,'G_Fall-back'!$Q:$Q,0))))</f>
        <v/>
      </c>
      <c r="K2180" s="482" t="str">
        <f>IF($M2134&lt;&gt;EUconst_Relevant,"",IF(INDEX('G_Fall-back'!K:K,MATCH($P2180,'G_Fall-back'!$Q:$Q,0))="","",INDEX('G_Fall-back'!K:K,MATCH($P2180,'G_Fall-back'!$Q:$Q,0))))</f>
        <v/>
      </c>
      <c r="L2180" s="482" t="str">
        <f>IF($M2134&lt;&gt;EUconst_Relevant,"",IF(INDEX('G_Fall-back'!L:L,MATCH($P2180,'G_Fall-back'!$Q:$Q,0))="","",INDEX('G_Fall-back'!L:L,MATCH($P2180,'G_Fall-back'!$Q:$Q,0))))</f>
        <v/>
      </c>
      <c r="M2180" s="482" t="str">
        <f>IF($M2134&lt;&gt;EUconst_Relevant,"",IF(INDEX('G_Fall-back'!M:M,MATCH($P2180,'G_Fall-back'!$Q:$Q,0))="","",INDEX('G_Fall-back'!M:M,MATCH($P2180,'G_Fall-back'!$Q:$Q,0))))</f>
        <v/>
      </c>
      <c r="N2180" s="482" t="str">
        <f>IF($M2134&lt;&gt;EUconst_Relevant,"",IF(INDEX('G_Fall-back'!N:N,MATCH($P2180,'G_Fall-back'!$Q:$Q,0))="","",INDEX('G_Fall-back'!N:N,MATCH($P2180,'G_Fall-back'!$Q:$Q,0))))</f>
        <v/>
      </c>
      <c r="O2180" s="698"/>
      <c r="P2180" s="1827" t="str">
        <f>EUconst_CNTR_FuelInput &amp; I2134</f>
        <v>FuelInput_Подинсталация с горивен показател (без риск от ИВЕ | извън МКВЕГ)</v>
      </c>
      <c r="Q2180" s="729"/>
      <c r="R2180" s="729"/>
      <c r="S2180" s="729"/>
      <c r="T2180" s="729"/>
      <c r="U2180" s="343"/>
      <c r="V2180" s="343"/>
    </row>
    <row r="2181" spans="1:22" s="364" customFormat="1" ht="12.75" customHeight="1" x14ac:dyDescent="0.25">
      <c r="A2181" s="729"/>
      <c r="B2181" s="302"/>
      <c r="C2181" s="302"/>
      <c r="D2181" s="1873"/>
      <c r="E2181" s="1834" t="str">
        <f>Translations!$B$522</f>
        <v>Претеглен емисионен фактор</v>
      </c>
      <c r="F2181" s="1878"/>
      <c r="G2181" s="1329" t="str">
        <f>EUconst_tCO2pTJ</f>
        <v>t CO2 / TJ</v>
      </c>
      <c r="H2181" s="484" t="str">
        <f>IF($M2134&lt;&gt;EUconst_Relevant,"",IF(INDEX('G_Fall-back'!H:H,MATCH($P2181,'G_Fall-back'!$Q:$Q,0))="","",INDEX('G_Fall-back'!H:H,MATCH($P2181,'G_Fall-back'!$Q:$Q,0))))</f>
        <v/>
      </c>
      <c r="I2181" s="1828" t="str">
        <f>IF($M2134&lt;&gt;EUconst_Relevant,"",IF(INDEX('G_Fall-back'!I:I,MATCH($P2181,'G_Fall-back'!$Q:$Q,0))="","",INDEX('G_Fall-back'!I:I,MATCH($P2181,'G_Fall-back'!$Q:$Q,0))))</f>
        <v/>
      </c>
      <c r="J2181" s="1829" t="str">
        <f>IF($M2134&lt;&gt;EUconst_Relevant,"",IF(INDEX('G_Fall-back'!J:J,MATCH($P2181,'G_Fall-back'!$Q:$Q,0))="","",INDEX('G_Fall-back'!J:J,MATCH($P2181,'G_Fall-back'!$Q:$Q,0))))</f>
        <v/>
      </c>
      <c r="K2181" s="484" t="str">
        <f>IF($M2134&lt;&gt;EUconst_Relevant,"",IF(INDEX('G_Fall-back'!K:K,MATCH($P2181,'G_Fall-back'!$Q:$Q,0))="","",INDEX('G_Fall-back'!K:K,MATCH($P2181,'G_Fall-back'!$Q:$Q,0))))</f>
        <v/>
      </c>
      <c r="L2181" s="484" t="str">
        <f>IF($M2134&lt;&gt;EUconst_Relevant,"",IF(INDEX('G_Fall-back'!L:L,MATCH($P2181,'G_Fall-back'!$Q:$Q,0))="","",INDEX('G_Fall-back'!L:L,MATCH($P2181,'G_Fall-back'!$Q:$Q,0))))</f>
        <v/>
      </c>
      <c r="M2181" s="484" t="str">
        <f>IF($M2134&lt;&gt;EUconst_Relevant,"",IF(INDEX('G_Fall-back'!M:M,MATCH($P2181,'G_Fall-back'!$Q:$Q,0))="","",INDEX('G_Fall-back'!M:M,MATCH($P2181,'G_Fall-back'!$Q:$Q,0))))</f>
        <v/>
      </c>
      <c r="N2181" s="484" t="str">
        <f>IF($M2134&lt;&gt;EUconst_Relevant,"",IF(INDEX('G_Fall-back'!N:N,MATCH($P2181,'G_Fall-back'!$Q:$Q,0))="","",INDEX('G_Fall-back'!N:N,MATCH($P2181,'G_Fall-back'!$Q:$Q,0))))</f>
        <v/>
      </c>
      <c r="O2181" s="698"/>
      <c r="P2181" s="1500" t="str">
        <f>EUconst_CNTR_FuelEF &amp; I2134</f>
        <v>FuelEF_Подинсталация с горивен показател (без риск от ИВЕ | извън МКВЕГ)</v>
      </c>
      <c r="Q2181" s="729"/>
      <c r="R2181" s="729"/>
      <c r="S2181" s="729"/>
      <c r="T2181" s="729"/>
      <c r="U2181" s="343"/>
      <c r="V2181" s="343"/>
    </row>
    <row r="2182" spans="1:22" s="364" customFormat="1" ht="12.75" customHeight="1" x14ac:dyDescent="0.25">
      <c r="A2182" s="729"/>
      <c r="B2182" s="302"/>
      <c r="C2182" s="302"/>
      <c r="D2182" s="1873"/>
      <c r="E2182" s="1876" t="str">
        <f>Translations!$B$637</f>
        <v>Вложени горива от отпадни газове</v>
      </c>
      <c r="F2182" s="1877"/>
      <c r="G2182" s="1326" t="str">
        <f>EUconst_TJpa</f>
        <v>TJ / година</v>
      </c>
      <c r="H2182" s="482" t="str">
        <f>IF($M2134&lt;&gt;EUconst_Relevant,"",IF(INDEX('G_Fall-back'!H:H,MATCH($P2182,'G_Fall-back'!$Q:$Q,0))="","",INDEX('G_Fall-back'!H:H,MATCH($P2182,'G_Fall-back'!$Q:$Q,0))))</f>
        <v/>
      </c>
      <c r="I2182" s="1824" t="str">
        <f>IF($M2134&lt;&gt;EUconst_Relevant,"",IF(INDEX('G_Fall-back'!I:I,MATCH($P2182,'G_Fall-back'!$Q:$Q,0))="","",INDEX('G_Fall-back'!I:I,MATCH($P2182,'G_Fall-back'!$Q:$Q,0))))</f>
        <v/>
      </c>
      <c r="J2182" s="1825" t="str">
        <f>IF($M2134&lt;&gt;EUconst_Relevant,"",IF(INDEX('G_Fall-back'!J:J,MATCH($P2182,'G_Fall-back'!$Q:$Q,0))="","",INDEX('G_Fall-back'!J:J,MATCH($P2182,'G_Fall-back'!$Q:$Q,0))))</f>
        <v/>
      </c>
      <c r="K2182" s="482" t="str">
        <f>IF($M2134&lt;&gt;EUconst_Relevant,"",IF(INDEX('G_Fall-back'!K:K,MATCH($P2182,'G_Fall-back'!$Q:$Q,0))="","",INDEX('G_Fall-back'!K:K,MATCH($P2182,'G_Fall-back'!$Q:$Q,0))))</f>
        <v/>
      </c>
      <c r="L2182" s="482" t="str">
        <f>IF($M2134&lt;&gt;EUconst_Relevant,"",IF(INDEX('G_Fall-back'!L:L,MATCH($P2182,'G_Fall-back'!$Q:$Q,0))="","",INDEX('G_Fall-back'!L:L,MATCH($P2182,'G_Fall-back'!$Q:$Q,0))))</f>
        <v/>
      </c>
      <c r="M2182" s="482" t="str">
        <f>IF($M2134&lt;&gt;EUconst_Relevant,"",IF(INDEX('G_Fall-back'!M:M,MATCH($P2182,'G_Fall-back'!$Q:$Q,0))="","",INDEX('G_Fall-back'!M:M,MATCH($P2182,'G_Fall-back'!$Q:$Q,0))))</f>
        <v/>
      </c>
      <c r="N2182" s="482" t="str">
        <f>IF($M2134&lt;&gt;EUconst_Relevant,"",IF(INDEX('G_Fall-back'!N:N,MATCH($P2182,'G_Fall-back'!$Q:$Q,0))="","",INDEX('G_Fall-back'!N:N,MATCH($P2182,'G_Fall-back'!$Q:$Q,0))))</f>
        <v/>
      </c>
      <c r="O2182" s="698"/>
      <c r="P2182" s="716" t="str">
        <f>EUconst_CNTR_WGConsumed &amp; I2134</f>
        <v>WasteGasCons_Подинсталация с горивен показател (без риск от ИВЕ | извън МКВЕГ)</v>
      </c>
      <c r="Q2182" s="729"/>
      <c r="R2182" s="729"/>
      <c r="S2182" s="729"/>
      <c r="T2182" s="729"/>
      <c r="U2182" s="343"/>
      <c r="V2182" s="343"/>
    </row>
    <row r="2183" spans="1:22" s="364" customFormat="1" ht="12.75" customHeight="1" x14ac:dyDescent="0.25">
      <c r="A2183" s="729"/>
      <c r="B2183" s="302"/>
      <c r="C2183" s="302"/>
      <c r="D2183" s="1873"/>
      <c r="E2183" s="1834" t="str">
        <f>Translations!$B$522</f>
        <v>Претеглен емисионен фактор</v>
      </c>
      <c r="F2183" s="1878"/>
      <c r="G2183" s="1329" t="str">
        <f>EUconst_tCO2pTJ</f>
        <v>t CO2 / TJ</v>
      </c>
      <c r="H2183" s="484" t="str">
        <f>IF($M2134&lt;&gt;EUconst_Relevant,"",IF(INDEX('G_Fall-back'!H:H,MATCH($P2183,'G_Fall-back'!$Q:$Q,0))="","",INDEX('G_Fall-back'!H:H,MATCH($P2183,'G_Fall-back'!$Q:$Q,0))))</f>
        <v/>
      </c>
      <c r="I2183" s="1828" t="str">
        <f>IF($M2134&lt;&gt;EUconst_Relevant,"",IF(INDEX('G_Fall-back'!I:I,MATCH($P2183,'G_Fall-back'!$Q:$Q,0))="","",INDEX('G_Fall-back'!I:I,MATCH($P2183,'G_Fall-back'!$Q:$Q,0))))</f>
        <v/>
      </c>
      <c r="J2183" s="1829" t="str">
        <f>IF($M2134&lt;&gt;EUconst_Relevant,"",IF(INDEX('G_Fall-back'!J:J,MATCH($P2183,'G_Fall-back'!$Q:$Q,0))="","",INDEX('G_Fall-back'!J:J,MATCH($P2183,'G_Fall-back'!$Q:$Q,0))))</f>
        <v/>
      </c>
      <c r="K2183" s="484" t="str">
        <f>IF($M2134&lt;&gt;EUconst_Relevant,"",IF(INDEX('G_Fall-back'!K:K,MATCH($P2183,'G_Fall-back'!$Q:$Q,0))="","",INDEX('G_Fall-back'!K:K,MATCH($P2183,'G_Fall-back'!$Q:$Q,0))))</f>
        <v/>
      </c>
      <c r="L2183" s="484" t="str">
        <f>IF($M2134&lt;&gt;EUconst_Relevant,"",IF(INDEX('G_Fall-back'!L:L,MATCH($P2183,'G_Fall-back'!$Q:$Q,0))="","",INDEX('G_Fall-back'!L:L,MATCH($P2183,'G_Fall-back'!$Q:$Q,0))))</f>
        <v/>
      </c>
      <c r="M2183" s="484" t="str">
        <f>IF($M2134&lt;&gt;EUconst_Relevant,"",IF(INDEX('G_Fall-back'!M:M,MATCH($P2183,'G_Fall-back'!$Q:$Q,0))="","",INDEX('G_Fall-back'!M:M,MATCH($P2183,'G_Fall-back'!$Q:$Q,0))))</f>
        <v/>
      </c>
      <c r="N2183" s="484" t="str">
        <f>IF($M2134&lt;&gt;EUconst_Relevant,"",IF(INDEX('G_Fall-back'!N:N,MATCH($P2183,'G_Fall-back'!$Q:$Q,0))="","",INDEX('G_Fall-back'!N:N,MATCH($P2183,'G_Fall-back'!$Q:$Q,0))))</f>
        <v/>
      </c>
      <c r="O2183" s="698"/>
      <c r="P2183" s="1500" t="str">
        <f>EUconst_CNTR_WGConsumedEF &amp; I2134</f>
        <v>WasteGasConsEF_Подинсталация с горивен показател (без риск от ИВЕ | извън МКВЕГ)</v>
      </c>
      <c r="Q2183" s="729"/>
      <c r="R2183" s="729"/>
      <c r="S2183" s="729"/>
      <c r="T2183" s="729"/>
      <c r="U2183" s="343"/>
      <c r="V2183" s="343"/>
    </row>
    <row r="2184" spans="1:22" s="364" customFormat="1" ht="12.75" customHeight="1" x14ac:dyDescent="0.25">
      <c r="A2184" s="729"/>
      <c r="B2184" s="302"/>
      <c r="C2184" s="302"/>
      <c r="D2184" s="1873"/>
      <c r="E2184" s="1876" t="str">
        <f>Translations!$B$1475</f>
        <v>Вложена електроенергия за производството на топлинна енергия</v>
      </c>
      <c r="F2184" s="1877"/>
      <c r="G2184" s="1326" t="str">
        <f>EUconst_TJpa</f>
        <v>TJ / година</v>
      </c>
      <c r="H2184" s="482" t="str">
        <f>IF($M2134&lt;&gt;EUconst_Relevant,"",IF(INDEX('G_Fall-back'!H:H,MATCH($P2184,'G_Fall-back'!$Q:$Q,0))="","",INDEX('G_Fall-back'!H:H,MATCH($P2184,'G_Fall-back'!$Q:$Q,0))))</f>
        <v/>
      </c>
      <c r="I2184" s="1824" t="str">
        <f>IF($M2134&lt;&gt;EUconst_Relevant,"",IF(INDEX('G_Fall-back'!I:I,MATCH($P2184,'G_Fall-back'!$Q:$Q,0))="","",INDEX('G_Fall-back'!I:I,MATCH($P2184,'G_Fall-back'!$Q:$Q,0))))</f>
        <v/>
      </c>
      <c r="J2184" s="1825" t="str">
        <f>IF($M2134&lt;&gt;EUconst_Relevant,"",IF(INDEX('G_Fall-back'!J:J,MATCH($P2184,'G_Fall-back'!$Q:$Q,0))="","",INDEX('G_Fall-back'!J:J,MATCH($P2184,'G_Fall-back'!$Q:$Q,0))))</f>
        <v/>
      </c>
      <c r="K2184" s="482" t="str">
        <f>IF($M2134&lt;&gt;EUconst_Relevant,"",IF(INDEX('G_Fall-back'!K:K,MATCH($P2184,'G_Fall-back'!$Q:$Q,0))="","",INDEX('G_Fall-back'!K:K,MATCH($P2184,'G_Fall-back'!$Q:$Q,0))))</f>
        <v/>
      </c>
      <c r="L2184" s="482" t="str">
        <f>IF($M2134&lt;&gt;EUconst_Relevant,"",IF(INDEX('G_Fall-back'!L:L,MATCH($P2184,'G_Fall-back'!$Q:$Q,0))="","",INDEX('G_Fall-back'!L:L,MATCH($P2184,'G_Fall-back'!$Q:$Q,0))))</f>
        <v/>
      </c>
      <c r="M2184" s="482" t="str">
        <f>IF($M2134&lt;&gt;EUconst_Relevant,"",IF(INDEX('G_Fall-back'!M:M,MATCH($P2184,'G_Fall-back'!$Q:$Q,0))="","",INDEX('G_Fall-back'!M:M,MATCH($P2184,'G_Fall-back'!$Q:$Q,0))))</f>
        <v/>
      </c>
      <c r="N2184" s="482" t="str">
        <f>IF($M2134&lt;&gt;EUconst_Relevant,"",IF(INDEX('G_Fall-back'!N:N,MATCH($P2184,'G_Fall-back'!$Q:$Q,0))="","",INDEX('G_Fall-back'!N:N,MATCH($P2184,'G_Fall-back'!$Q:$Q,0))))</f>
        <v/>
      </c>
      <c r="O2184" s="698"/>
      <c r="P2184" s="716" t="str">
        <f>EUconst_CNTR_ElectricityInput&amp; I2134</f>
        <v>ElectricityInput_Подинсталация с горивен показател (без риск от ИВЕ | извън МКВЕГ)</v>
      </c>
      <c r="Q2184" s="729"/>
      <c r="R2184" s="729"/>
      <c r="S2184" s="729"/>
      <c r="T2184" s="729"/>
      <c r="U2184" s="343"/>
      <c r="V2184" s="343"/>
    </row>
    <row r="2185" spans="1:22" s="364" customFormat="1" ht="12.75" customHeight="1" x14ac:dyDescent="0.25">
      <c r="A2185" s="729"/>
      <c r="B2185" s="302"/>
      <c r="C2185" s="302"/>
      <c r="D2185" s="1873"/>
      <c r="E2185" s="1834" t="str">
        <f>Translations!$B$522</f>
        <v>Претеглен емисионен фактор</v>
      </c>
      <c r="F2185" s="1878"/>
      <c r="G2185" s="1329" t="str">
        <f>EUconst_tCO2pTJ</f>
        <v>t CO2 / TJ</v>
      </c>
      <c r="H2185" s="484" t="str">
        <f>IF($M2134&lt;&gt;EUconst_Relevant,"",IF(INDEX('G_Fall-back'!H:H,MATCH($P2185,'G_Fall-back'!$Q:$Q,0))="","",INDEX('G_Fall-back'!H:H,MATCH($P2185,'G_Fall-back'!$Q:$Q,0))))</f>
        <v/>
      </c>
      <c r="I2185" s="1828" t="str">
        <f>IF($M2134&lt;&gt;EUconst_Relevant,"",IF(INDEX('G_Fall-back'!I:I,MATCH($P2185,'G_Fall-back'!$Q:$Q,0))="","",INDEX('G_Fall-back'!I:I,MATCH($P2185,'G_Fall-back'!$Q:$Q,0))))</f>
        <v/>
      </c>
      <c r="J2185" s="1829" t="str">
        <f>IF($M2134&lt;&gt;EUconst_Relevant,"",IF(INDEX('G_Fall-back'!J:J,MATCH($P2185,'G_Fall-back'!$Q:$Q,0))="","",INDEX('G_Fall-back'!J:J,MATCH($P2185,'G_Fall-back'!$Q:$Q,0))))</f>
        <v/>
      </c>
      <c r="K2185" s="484" t="str">
        <f>IF($M2134&lt;&gt;EUconst_Relevant,"",IF(INDEX('G_Fall-back'!K:K,MATCH($P2185,'G_Fall-back'!$Q:$Q,0))="","",INDEX('G_Fall-back'!K:K,MATCH($P2185,'G_Fall-back'!$Q:$Q,0))))</f>
        <v/>
      </c>
      <c r="L2185" s="484" t="str">
        <f>IF($M2134&lt;&gt;EUconst_Relevant,"",IF(INDEX('G_Fall-back'!L:L,MATCH($P2185,'G_Fall-back'!$Q:$Q,0))="","",INDEX('G_Fall-back'!L:L,MATCH($P2185,'G_Fall-back'!$Q:$Q,0))))</f>
        <v/>
      </c>
      <c r="M2185" s="484" t="str">
        <f>IF($M2134&lt;&gt;EUconst_Relevant,"",IF(INDEX('G_Fall-back'!M:M,MATCH($P2185,'G_Fall-back'!$Q:$Q,0))="","",INDEX('G_Fall-back'!M:M,MATCH($P2185,'G_Fall-back'!$Q:$Q,0))))</f>
        <v/>
      </c>
      <c r="N2185" s="484" t="str">
        <f>IF($M2134&lt;&gt;EUconst_Relevant,"",IF(INDEX('G_Fall-back'!N:N,MATCH($P2185,'G_Fall-back'!$Q:$Q,0))="","",INDEX('G_Fall-back'!N:N,MATCH($P2185,'G_Fall-back'!$Q:$Q,0))))</f>
        <v/>
      </c>
      <c r="O2185" s="698"/>
      <c r="P2185" s="1500" t="str">
        <f>EUconst_CNTR_ElectricityEF &amp; I2134</f>
        <v>ElectricityEF_Подинсталация с горивен показател (без риск от ИВЕ | извън МКВЕГ)</v>
      </c>
      <c r="Q2185" s="729"/>
      <c r="R2185" s="729"/>
      <c r="S2185" s="729"/>
      <c r="T2185" s="729"/>
      <c r="U2185" s="343"/>
      <c r="V2185" s="343"/>
    </row>
    <row r="2186" spans="1:22" s="364" customFormat="1" ht="5.15" customHeight="1" x14ac:dyDescent="0.25">
      <c r="A2186" s="729"/>
      <c r="B2186" s="302"/>
      <c r="C2186" s="302"/>
      <c r="D2186" s="1873"/>
      <c r="E2186" s="625"/>
      <c r="F2186" s="626"/>
      <c r="G2186" s="626"/>
      <c r="H2186" s="640"/>
      <c r="I2186" s="640"/>
      <c r="J2186" s="640"/>
      <c r="K2186" s="640"/>
      <c r="L2186" s="640"/>
      <c r="M2186" s="640"/>
      <c r="N2186" s="640"/>
      <c r="O2186" s="698"/>
      <c r="P2186" s="729"/>
      <c r="Q2186" s="729"/>
      <c r="R2186" s="729"/>
      <c r="S2186" s="729"/>
      <c r="T2186" s="729"/>
      <c r="U2186" s="343"/>
      <c r="V2186" s="343"/>
    </row>
    <row r="2187" spans="1:22" s="364" customFormat="1" x14ac:dyDescent="0.25">
      <c r="A2187" s="729"/>
      <c r="B2187" s="302"/>
      <c r="C2187" s="302"/>
      <c r="D2187" s="1873"/>
      <c r="E2187" s="1835" t="str">
        <f>Translations!$B$484</f>
        <v>Преки емисии</v>
      </c>
      <c r="F2187" s="1879"/>
      <c r="G2187" s="1319" t="str">
        <f>EUconst_tCO2pa</f>
        <v>t CO2 / година</v>
      </c>
      <c r="H2187" s="480" t="str">
        <f>IF($M2134&lt;&gt;EUconst_Relevant,"",IF(INDEX('G_Fall-back'!H:H,MATCH($P2187,'G_Fall-back'!$Q:$Q,0))="","",INDEX('G_Fall-back'!H:H,MATCH($P2187,'G_Fall-back'!$Q:$Q,0))))</f>
        <v/>
      </c>
      <c r="I2187" s="1399" t="str">
        <f>IF($M2134&lt;&gt;EUconst_Relevant,"",IF(INDEX('G_Fall-back'!I:I,MATCH($P2187,'G_Fall-back'!$Q:$Q,0))="","",INDEX('G_Fall-back'!I:I,MATCH($P2187,'G_Fall-back'!$Q:$Q,0))))</f>
        <v/>
      </c>
      <c r="J2187" s="1832" t="str">
        <f>IF($M2134&lt;&gt;EUconst_Relevant,"",IF(INDEX('G_Fall-back'!J:J,MATCH($P2187,'G_Fall-back'!$Q:$Q,0))="","",INDEX('G_Fall-back'!J:J,MATCH($P2187,'G_Fall-back'!$Q:$Q,0))))</f>
        <v/>
      </c>
      <c r="K2187" s="480" t="str">
        <f>IF($M2134&lt;&gt;EUconst_Relevant,"",IF(INDEX('G_Fall-back'!K:K,MATCH($P2187,'G_Fall-back'!$Q:$Q,0))="","",INDEX('G_Fall-back'!K:K,MATCH($P2187,'G_Fall-back'!$Q:$Q,0))))</f>
        <v/>
      </c>
      <c r="L2187" s="480" t="str">
        <f>IF($M2134&lt;&gt;EUconst_Relevant,"",IF(INDEX('G_Fall-back'!L:L,MATCH($P2187,'G_Fall-back'!$Q:$Q,0))="","",INDEX('G_Fall-back'!L:L,MATCH($P2187,'G_Fall-back'!$Q:$Q,0))))</f>
        <v/>
      </c>
      <c r="M2187" s="480" t="str">
        <f>IF($M2134&lt;&gt;EUconst_Relevant,"",IF(INDEX('G_Fall-back'!M:M,MATCH($P2187,'G_Fall-back'!$Q:$Q,0))="","",INDEX('G_Fall-back'!M:M,MATCH($P2187,'G_Fall-back'!$Q:$Q,0))))</f>
        <v/>
      </c>
      <c r="N2187" s="480" t="str">
        <f>IF($M2134&lt;&gt;EUconst_Relevant,"",IF(INDEX('G_Fall-back'!N:N,MATCH($P2187,'G_Fall-back'!$Q:$Q,0))="","",INDEX('G_Fall-back'!N:N,MATCH($P2187,'G_Fall-back'!$Q:$Q,0))))</f>
        <v/>
      </c>
      <c r="O2187" s="698"/>
      <c r="P2187" s="1500" t="str">
        <f>EUconst_CNTR_Emissions &amp; I2134</f>
        <v>DirEmissions_Подинсталация с горивен показател (без риск от ИВЕ | извън МКВЕГ)</v>
      </c>
      <c r="Q2187" s="729"/>
      <c r="R2187" s="729"/>
      <c r="S2187" s="729"/>
      <c r="T2187" s="729"/>
      <c r="U2187" s="343"/>
      <c r="V2187" s="343"/>
    </row>
    <row r="2188" spans="1:22" s="364" customFormat="1" ht="5.15" customHeight="1" x14ac:dyDescent="0.25">
      <c r="A2188" s="729"/>
      <c r="B2188" s="302"/>
      <c r="C2188" s="302"/>
      <c r="D2188" s="1873"/>
      <c r="E2188" s="625"/>
      <c r="F2188" s="625"/>
      <c r="G2188" s="625"/>
      <c r="H2188" s="640"/>
      <c r="I2188" s="640"/>
      <c r="J2188" s="640"/>
      <c r="K2188" s="640"/>
      <c r="L2188" s="640"/>
      <c r="M2188" s="640"/>
      <c r="N2188" s="640"/>
      <c r="O2188" s="698"/>
      <c r="P2188" s="729"/>
      <c r="Q2188" s="729"/>
      <c r="R2188" s="729"/>
      <c r="S2188" s="729"/>
      <c r="T2188" s="729"/>
      <c r="U2188" s="343"/>
      <c r="V2188" s="343"/>
    </row>
    <row r="2189" spans="1:22" s="364" customFormat="1" ht="25" x14ac:dyDescent="0.25">
      <c r="A2189" s="729"/>
      <c r="B2189" s="302"/>
      <c r="C2189" s="302"/>
      <c r="D2189" s="1873"/>
      <c r="E2189" s="1835" t="str">
        <f>Translations!$B$560</f>
        <v>Нетно количество подадена топлинна енергия</v>
      </c>
      <c r="F2189" s="1879"/>
      <c r="G2189" s="1319" t="str">
        <f>EUconst_TJpa</f>
        <v>TJ / година</v>
      </c>
      <c r="H2189" s="480" t="str">
        <f>IF($M2134&lt;&gt;EUconst_Relevant,"",IF(INDEX('G_Fall-back'!H:H,MATCH($P2189,'G_Fall-back'!$Q:$Q,0))="","",INDEX('G_Fall-back'!H:H,MATCH($P2189,'G_Fall-back'!$Q:$Q,0))))</f>
        <v/>
      </c>
      <c r="I2189" s="1399" t="str">
        <f>IF($M2134&lt;&gt;EUconst_Relevant,"",IF(INDEX('G_Fall-back'!I:I,MATCH($P2189,'G_Fall-back'!$Q:$Q,0))="","",INDEX('G_Fall-back'!I:I,MATCH($P2189,'G_Fall-back'!$Q:$Q,0))))</f>
        <v/>
      </c>
      <c r="J2189" s="1832" t="str">
        <f>IF($M2134&lt;&gt;EUconst_Relevant,"",IF(INDEX('G_Fall-back'!J:J,MATCH($P2189,'G_Fall-back'!$Q:$Q,0))="","",INDEX('G_Fall-back'!J:J,MATCH($P2189,'G_Fall-back'!$Q:$Q,0))))</f>
        <v/>
      </c>
      <c r="K2189" s="480" t="str">
        <f>IF($M2134&lt;&gt;EUconst_Relevant,"",IF(INDEX('G_Fall-back'!K:K,MATCH($P2189,'G_Fall-back'!$Q:$Q,0))="","",INDEX('G_Fall-back'!K:K,MATCH($P2189,'G_Fall-back'!$Q:$Q,0))))</f>
        <v/>
      </c>
      <c r="L2189" s="480" t="str">
        <f>IF($M2134&lt;&gt;EUconst_Relevant,"",IF(INDEX('G_Fall-back'!L:L,MATCH($P2189,'G_Fall-back'!$Q:$Q,0))="","",INDEX('G_Fall-back'!L:L,MATCH($P2189,'G_Fall-back'!$Q:$Q,0))))</f>
        <v/>
      </c>
      <c r="M2189" s="480" t="str">
        <f>IF($M2134&lt;&gt;EUconst_Relevant,"",IF(INDEX('G_Fall-back'!M:M,MATCH($P2189,'G_Fall-back'!$Q:$Q,0))="","",INDEX('G_Fall-back'!M:M,MATCH($P2189,'G_Fall-back'!$Q:$Q,0))))</f>
        <v/>
      </c>
      <c r="N2189" s="480" t="str">
        <f>IF($M2134&lt;&gt;EUconst_Relevant,"",IF(INDEX('G_Fall-back'!N:N,MATCH($P2189,'G_Fall-back'!$Q:$Q,0))="","",INDEX('G_Fall-back'!N:N,MATCH($P2189,'G_Fall-back'!$Q:$Q,0))))</f>
        <v/>
      </c>
      <c r="O2189" s="698"/>
      <c r="P2189" s="1500" t="str">
        <f>EUconst_CNTR_HeatExport &amp; I2134</f>
        <v>HeatEx_Подинсталация с горивен показател (без риск от ИВЕ | извън МКВЕГ)</v>
      </c>
      <c r="Q2189" s="729"/>
      <c r="R2189" s="729"/>
      <c r="S2189" s="729"/>
      <c r="T2189" s="729"/>
      <c r="U2189" s="343"/>
      <c r="V2189" s="343"/>
    </row>
    <row r="2190" spans="1:22" s="364" customFormat="1" ht="12.75" customHeight="1" x14ac:dyDescent="0.25">
      <c r="A2190" s="729"/>
      <c r="B2190" s="302"/>
      <c r="C2190" s="302"/>
      <c r="D2190" s="1873"/>
      <c r="E2190" s="1835" t="str">
        <f>Translations!$B$665</f>
        <v>Специфичен EF (подадена топлинна енергия)</v>
      </c>
      <c r="F2190" s="1879"/>
      <c r="G2190" s="1319" t="str">
        <f>EUconst_TJpa</f>
        <v>TJ / година</v>
      </c>
      <c r="H2190" s="480" t="str">
        <f>IF($M2134&lt;&gt;EUconst_Relevant,"",IF(INDEX('G_Fall-back'!H:H,MATCH($P2190,'G_Fall-back'!$Q:$Q,0))="","",INDEX('G_Fall-back'!H:H,MATCH($P2190,'G_Fall-back'!$Q:$Q,0))))</f>
        <v/>
      </c>
      <c r="I2190" s="1399" t="str">
        <f>IF($M2134&lt;&gt;EUconst_Relevant,"",IF(INDEX('G_Fall-back'!I:I,MATCH($P2190,'G_Fall-back'!$Q:$Q,0))="","",INDEX('G_Fall-back'!I:I,MATCH($P2190,'G_Fall-back'!$Q:$Q,0))))</f>
        <v/>
      </c>
      <c r="J2190" s="1832" t="str">
        <f>IF($M2134&lt;&gt;EUconst_Relevant,"",IF(INDEX('G_Fall-back'!J:J,MATCH($P2190,'G_Fall-back'!$Q:$Q,0))="","",INDEX('G_Fall-back'!J:J,MATCH($P2190,'G_Fall-back'!$Q:$Q,0))))</f>
        <v/>
      </c>
      <c r="K2190" s="480" t="str">
        <f>IF($M2134&lt;&gt;EUconst_Relevant,"",IF(INDEX('G_Fall-back'!K:K,MATCH($P2190,'G_Fall-back'!$Q:$Q,0))="","",INDEX('G_Fall-back'!K:K,MATCH($P2190,'G_Fall-back'!$Q:$Q,0))))</f>
        <v/>
      </c>
      <c r="L2190" s="480" t="str">
        <f>IF($M2134&lt;&gt;EUconst_Relevant,"",IF(INDEX('G_Fall-back'!L:L,MATCH($P2190,'G_Fall-back'!$Q:$Q,0))="","",INDEX('G_Fall-back'!L:L,MATCH($P2190,'G_Fall-back'!$Q:$Q,0))))</f>
        <v/>
      </c>
      <c r="M2190" s="480" t="str">
        <f>IF($M2134&lt;&gt;EUconst_Relevant,"",IF(INDEX('G_Fall-back'!M:M,MATCH($P2190,'G_Fall-back'!$Q:$Q,0))="","",INDEX('G_Fall-back'!M:M,MATCH($P2190,'G_Fall-back'!$Q:$Q,0))))</f>
        <v/>
      </c>
      <c r="N2190" s="480" t="str">
        <f>IF($M2134&lt;&gt;EUconst_Relevant,"",IF(INDEX('G_Fall-back'!N:N,MATCH($P2190,'G_Fall-back'!$Q:$Q,0))="","",INDEX('G_Fall-back'!N:N,MATCH($P2190,'G_Fall-back'!$Q:$Q,0))))</f>
        <v/>
      </c>
      <c r="O2190" s="698"/>
      <c r="P2190" s="1190" t="str">
        <f>EUconst_CNTR_HeatExportEF &amp; I2134</f>
        <v>HeatExEF_Подинсталация с горивен показател (без риск от ИВЕ | извън МКВЕГ)</v>
      </c>
      <c r="Q2190" s="729"/>
      <c r="R2190" s="729"/>
      <c r="S2190" s="729"/>
      <c r="T2190" s="729"/>
      <c r="U2190" s="343"/>
      <c r="V2190" s="343"/>
    </row>
    <row r="2191" spans="1:22" s="364" customFormat="1" ht="5.15" customHeight="1" thickBot="1" x14ac:dyDescent="0.3">
      <c r="A2191" s="729"/>
      <c r="B2191" s="302"/>
      <c r="C2191" s="302"/>
      <c r="D2191" s="1880"/>
      <c r="E2191" s="1378"/>
      <c r="F2191" s="1378"/>
      <c r="G2191" s="1378"/>
      <c r="H2191" s="1378"/>
      <c r="I2191" s="1378"/>
      <c r="J2191" s="1378"/>
      <c r="K2191" s="1378"/>
      <c r="L2191" s="1378"/>
      <c r="M2191" s="1378"/>
      <c r="N2191" s="1379"/>
      <c r="O2191" s="698"/>
      <c r="P2191" s="729"/>
      <c r="Q2191" s="729"/>
      <c r="R2191" s="729"/>
      <c r="S2191" s="729"/>
      <c r="T2191" s="729"/>
      <c r="U2191" s="343"/>
      <c r="V2191" s="343"/>
    </row>
    <row r="2192" spans="1:22" s="364" customFormat="1" ht="5.15" customHeight="1" thickBot="1" x14ac:dyDescent="0.3">
      <c r="A2192" s="729"/>
      <c r="B2192" s="302"/>
      <c r="C2192" s="302"/>
      <c r="D2192" s="302"/>
      <c r="E2192" s="302"/>
      <c r="F2192" s="302"/>
      <c r="G2192" s="302"/>
      <c r="M2192" s="302"/>
      <c r="N2192" s="302"/>
      <c r="O2192" s="698"/>
      <c r="P2192" s="729"/>
      <c r="Q2192" s="729"/>
      <c r="R2192" s="729"/>
      <c r="S2192" s="729"/>
      <c r="T2192" s="729"/>
      <c r="U2192" s="343"/>
      <c r="V2192" s="343"/>
    </row>
    <row r="2193" spans="1:22" s="364" customFormat="1" ht="5.15" customHeight="1" thickBot="1" x14ac:dyDescent="0.3">
      <c r="A2193" s="729"/>
      <c r="B2193" s="284"/>
      <c r="C2193" s="581"/>
      <c r="D2193" s="581"/>
      <c r="E2193" s="581"/>
      <c r="F2193" s="581"/>
      <c r="G2193" s="581"/>
      <c r="H2193" s="581"/>
      <c r="I2193" s="581"/>
      <c r="J2193" s="581"/>
      <c r="K2193" s="581"/>
      <c r="L2193" s="581"/>
      <c r="M2193" s="581"/>
      <c r="N2193" s="581"/>
      <c r="O2193" s="698"/>
      <c r="P2193" s="729"/>
      <c r="Q2193" s="729"/>
      <c r="R2193" s="729"/>
      <c r="S2193" s="729"/>
      <c r="T2193" s="729"/>
      <c r="U2193" s="343"/>
      <c r="V2193" s="343"/>
    </row>
    <row r="2194" spans="1:22" s="364" customFormat="1" ht="15" customHeight="1" thickBot="1" x14ac:dyDescent="0.35">
      <c r="A2194" s="729"/>
      <c r="B2194" s="302"/>
      <c r="C2194" s="357">
        <f>C2134+1</f>
        <v>17</v>
      </c>
      <c r="D2194" s="2323" t="str">
        <f>CONCATENATE(EUconst_FBSubinst," ",C2194-10, ":")</f>
        <v>Алтернативна подинсталация („Fall-Back sub-installation“) 7:</v>
      </c>
      <c r="E2194" s="2323"/>
      <c r="F2194" s="2323"/>
      <c r="G2194" s="2323"/>
      <c r="H2194" s="2987"/>
      <c r="I2194" s="2988" t="str">
        <f>INDEX(EUconst_FallBackListNames,$C2194-10)</f>
        <v>Подинсталация с горивен показател (с риск от ИВЕ | в рамките на МКВЕГ)</v>
      </c>
      <c r="J2194" s="2989"/>
      <c r="K2194" s="2989"/>
      <c r="L2194" s="2990"/>
      <c r="M2194" s="2919" t="str">
        <f>IF(INDEX(CNTR_FallBackSubInstRelevant,C2194-10)="","",IF(INDEX(CNTR_FallBackSubInstRelevant,C2194-10),EUconst_Relevant,EUconst_NotRelevant))</f>
        <v/>
      </c>
      <c r="N2194" s="2920"/>
      <c r="O2194" s="698"/>
      <c r="P2194" s="729"/>
      <c r="Q2194" s="1684">
        <f>C2194</f>
        <v>17</v>
      </c>
      <c r="R2194" s="1685" t="str">
        <f>I2194</f>
        <v>Подинсталация с горивен показател (с риск от ИВЕ | в рамките на МКВЕГ)</v>
      </c>
      <c r="S2194" s="729"/>
      <c r="T2194" s="729"/>
      <c r="U2194" s="343"/>
      <c r="V2194" s="343"/>
    </row>
    <row r="2195" spans="1:22" s="364" customFormat="1" ht="5.15" customHeight="1" x14ac:dyDescent="0.3">
      <c r="A2195" s="729"/>
      <c r="B2195" s="302"/>
      <c r="C2195" s="357"/>
      <c r="D2195" s="357"/>
      <c r="E2195" s="357"/>
      <c r="F2195" s="357"/>
      <c r="G2195" s="357"/>
      <c r="H2195" s="357"/>
      <c r="I2195" s="357"/>
      <c r="J2195" s="357"/>
      <c r="K2195" s="357"/>
      <c r="L2195" s="357"/>
      <c r="M2195" s="357"/>
      <c r="N2195" s="357"/>
      <c r="O2195" s="698"/>
      <c r="P2195" s="729"/>
      <c r="Q2195" s="729"/>
      <c r="R2195" s="729"/>
      <c r="S2195" s="729"/>
      <c r="T2195" s="729"/>
      <c r="U2195" s="343"/>
      <c r="V2195" s="343"/>
    </row>
    <row r="2196" spans="1:22" s="364" customFormat="1" ht="12.75" customHeight="1" x14ac:dyDescent="0.3">
      <c r="A2196" s="729"/>
      <c r="B2196" s="302"/>
      <c r="C2196" s="357"/>
      <c r="D2196" s="357"/>
      <c r="E2196" s="357"/>
      <c r="F2196" s="357"/>
      <c r="H2196" s="595" t="str">
        <f>Translations!$B$942</f>
        <v>Риск от ИВЕ</v>
      </c>
      <c r="I2196" s="595" t="s">
        <v>2151</v>
      </c>
      <c r="J2196" s="595" t="str">
        <f>Translations!$B$946</f>
        <v>В/Е</v>
      </c>
      <c r="K2196" s="595" t="str">
        <f>Translations!$B$1360</f>
        <v>Спряна експлоатация</v>
      </c>
      <c r="L2196" s="654" t="str">
        <f>Translations!$B$944</f>
        <v>№ на п-л</v>
      </c>
      <c r="M2196" s="2991" t="str">
        <f>Translations!$B$948</f>
        <v>Стойност на п-л</v>
      </c>
      <c r="N2196" s="2991"/>
      <c r="O2196" s="698"/>
      <c r="P2196" s="729"/>
      <c r="Q2196" s="729"/>
      <c r="R2196" s="729"/>
      <c r="S2196" s="729"/>
      <c r="T2196" s="729"/>
      <c r="U2196" s="343"/>
      <c r="V2196" s="343"/>
    </row>
    <row r="2197" spans="1:22" s="364" customFormat="1" ht="12.75" customHeight="1" x14ac:dyDescent="0.3">
      <c r="A2197" s="729"/>
      <c r="B2197" s="302"/>
      <c r="C2197" s="357"/>
      <c r="D2197" s="357"/>
      <c r="E2197" s="361" t="str">
        <f>I2194</f>
        <v>Подинсталация с горивен показател (с риск от ИВЕ | в рамките на МКВЕГ)</v>
      </c>
      <c r="F2197" s="373"/>
      <c r="G2197" s="373"/>
      <c r="H2197" s="600" t="b">
        <f>INDEX(EUconst_FallBackListCLstatus,MATCH(I2194,EUconst_FallBackListNames,0))</f>
        <v>1</v>
      </c>
      <c r="I2197" s="600" t="b">
        <f>INDEX(EUconst_FallBackListCBAMstatus,MATCH(I2194,EUconst_FallBackListNames,0))</f>
        <v>1</v>
      </c>
      <c r="J2197" s="655" t="str">
        <f>IF($M2194&lt;&gt;EUconst_Relevant,EUconst_NA,INDEX(CNTR_SubInstStartDate,MATCH(I2194,CNTR_SubInstListNames,0)))</f>
        <v>Не е приложимо</v>
      </c>
      <c r="K2197" s="655" t="str">
        <f>IF($M2194&lt;&gt;EUconst_Relevant,EUconst_NA,IF(INDEX(CNTR_SubInstCessationDate,MATCH(I2194,CNTR_SubInstListNames,0))=0,"",INDEX(CNTR_SubInstCessationDate,MATCH(I2194,CNTR_SubInstListNames,0))))</f>
        <v>Не е приложимо</v>
      </c>
      <c r="L2197" s="1687">
        <f>C2194-10</f>
        <v>7</v>
      </c>
      <c r="M2197" s="1841" t="str">
        <f>IF(M2194&lt;&gt;EUconst_Relevant,EUconst_NA,INDEX(EUconst_FallBackListBMvaluesMatrix,L2197,3))</f>
        <v>Не е приложимо</v>
      </c>
      <c r="N2197" s="382" t="str">
        <f>EUconst_EUA &amp; "/" &amp; F2200</f>
        <v>Квота за емисии/TJ</v>
      </c>
      <c r="O2197" s="698"/>
      <c r="P2197" s="729"/>
      <c r="Q2197" s="729"/>
      <c r="R2197" s="729"/>
      <c r="S2197" s="729"/>
      <c r="T2197" s="729"/>
      <c r="U2197" s="343"/>
      <c r="V2197" s="343"/>
    </row>
    <row r="2198" spans="1:22" s="364" customFormat="1" ht="5.15" customHeight="1" thickBot="1" x14ac:dyDescent="0.35">
      <c r="A2198" s="729"/>
      <c r="B2198" s="302"/>
      <c r="C2198" s="302"/>
      <c r="D2198" s="302"/>
      <c r="E2198" s="357"/>
      <c r="J2198" s="302"/>
      <c r="K2198" s="302"/>
      <c r="L2198" s="302"/>
      <c r="M2198" s="302"/>
      <c r="N2198" s="302"/>
      <c r="O2198" s="698"/>
      <c r="P2198" s="729"/>
      <c r="Q2198" s="729"/>
      <c r="R2198" s="729"/>
      <c r="S2198" s="729"/>
      <c r="T2198" s="770"/>
      <c r="U2198" s="343"/>
      <c r="V2198" s="343"/>
    </row>
    <row r="2199" spans="1:22" s="364" customFormat="1" ht="12.75" customHeight="1" x14ac:dyDescent="0.25">
      <c r="A2199" s="729"/>
      <c r="B2199" s="302"/>
      <c r="C2199" s="302"/>
      <c r="D2199" s="302"/>
      <c r="E2199" s="313"/>
      <c r="F2199" s="300" t="str">
        <f>EUconst_Unit</f>
        <v>Единица мярка</v>
      </c>
      <c r="G2199" s="1842" t="str">
        <f>Translations!$B$1284</f>
        <v>HAL</v>
      </c>
      <c r="H2199" s="757">
        <f t="shared" ref="H2199:N2199" si="184">H$2505</f>
        <v>2024</v>
      </c>
      <c r="I2199" s="572">
        <f t="shared" si="184"/>
        <v>2025</v>
      </c>
      <c r="J2199" s="757">
        <f t="shared" si="184"/>
        <v>2026</v>
      </c>
      <c r="K2199" s="391">
        <f t="shared" si="184"/>
        <v>2027</v>
      </c>
      <c r="L2199" s="391">
        <f t="shared" si="184"/>
        <v>2028</v>
      </c>
      <c r="M2199" s="391">
        <f t="shared" si="184"/>
        <v>2029</v>
      </c>
      <c r="N2199" s="391">
        <f t="shared" si="184"/>
        <v>2030</v>
      </c>
      <c r="O2199" s="698"/>
      <c r="P2199" s="729"/>
      <c r="Q2199" s="729" t="s">
        <v>1851</v>
      </c>
      <c r="R2199" s="1690">
        <f>J$2505</f>
        <v>2026</v>
      </c>
      <c r="S2199" s="1691">
        <f>K$2505</f>
        <v>2027</v>
      </c>
      <c r="T2199" s="1691">
        <f>L$2505</f>
        <v>2028</v>
      </c>
      <c r="U2199" s="1691">
        <f>M$2505</f>
        <v>2029</v>
      </c>
      <c r="V2199" s="1692">
        <f>N$2505</f>
        <v>2030</v>
      </c>
    </row>
    <row r="2200" spans="1:22" s="364" customFormat="1" ht="12.75" customHeight="1" thickBot="1" x14ac:dyDescent="0.3">
      <c r="A2200" s="729"/>
      <c r="B2200" s="302"/>
      <c r="C2200" s="302"/>
      <c r="D2200" s="302"/>
      <c r="E2200" s="388" t="str">
        <f>Translations!$B$1371</f>
        <v>Докладвано равнище на дейност</v>
      </c>
      <c r="F2200" s="1062" t="str">
        <f>INDEX(EUconst_FallBackListUnits,L2197)</f>
        <v>TJ</v>
      </c>
      <c r="G2200" s="1843" t="str">
        <f>I2231</f>
        <v/>
      </c>
      <c r="H2200" s="1844" t="str">
        <f>IF($M2194&lt;&gt;EUconst_Relevant,"",IF(H2199&gt;=CNTR_ReportingYear,"",SUMIF('G_Fall-back'!$Q:$Q,$P2200,'G_Fall-back'!H:H)))</f>
        <v/>
      </c>
      <c r="I2200" s="1845" t="str">
        <f>IF($M2194&lt;&gt;EUconst_Relevant,"",IF(I2199&gt;=CNTR_ReportingYear,"",SUMIF('G_Fall-back'!$Q:$Q,$P2200,'G_Fall-back'!I:I)))</f>
        <v/>
      </c>
      <c r="J2200" s="1844" t="str">
        <f>IF($M2194&lt;&gt;EUconst_Relevant,"",IF(J2199&gt;=CNTR_ReportingYear,"",SUMIF('G_Fall-back'!$Q:$Q,$P2200,'G_Fall-back'!J:J)))</f>
        <v/>
      </c>
      <c r="K2200" s="1846" t="str">
        <f>IF($M2194&lt;&gt;EUconst_Relevant,"",IF(K2199&gt;=CNTR_ReportingYear,"",SUMIF('G_Fall-back'!$Q:$Q,$P2200,'G_Fall-back'!K:K)))</f>
        <v/>
      </c>
      <c r="L2200" s="1846" t="str">
        <f>IF($M2194&lt;&gt;EUconst_Relevant,"",IF(L2199&gt;=CNTR_ReportingYear,"",SUMIF('G_Fall-back'!$Q:$Q,$P2200,'G_Fall-back'!L:L)))</f>
        <v/>
      </c>
      <c r="M2200" s="1846" t="str">
        <f>IF($M2194&lt;&gt;EUconst_Relevant,"",IF(M2199&gt;=CNTR_ReportingYear,"",SUMIF('G_Fall-back'!$Q:$Q,$P2200,'G_Fall-back'!M:M)))</f>
        <v/>
      </c>
      <c r="N2200" s="1846" t="str">
        <f>IF($M2194&lt;&gt;EUconst_Relevant,"",IF(N2199&gt;=CNTR_ReportingYear,"",SUMIF('G_Fall-back'!$Q:$Q,$P2200,'G_Fall-back'!N:N)))</f>
        <v/>
      </c>
      <c r="O2200" s="698"/>
      <c r="P2200" s="1190" t="str">
        <f>EUconst_CNTR_HAL&amp;I2194</f>
        <v>HAL_Подинсталация с горивен показател (с риск от ИВЕ | в рамките на МКВЕГ)</v>
      </c>
      <c r="Q2200" s="729"/>
      <c r="R2200" s="1580" t="b">
        <f>AND($M2194=EUconst_Relevant,R2199&lt;=CNTR_ReportingYear,IF($J2197&lt;&gt;EUconst_NA,R2199&gt;=YEAR($J2197),TRUE))</f>
        <v>0</v>
      </c>
      <c r="S2200" s="1255" t="b">
        <f>AND($M2194=EUconst_Relevant,S2199&lt;=CNTR_ReportingYear,IF($J2197&lt;&gt;EUconst_NA,S2199&gt;=YEAR($J2197),TRUE))</f>
        <v>0</v>
      </c>
      <c r="T2200" s="1255" t="b">
        <f>AND($M2194=EUconst_Relevant,T2199&lt;=CNTR_ReportingYear,IF($J2197&lt;&gt;EUconst_NA,T2199&gt;=YEAR($J2197),TRUE))</f>
        <v>0</v>
      </c>
      <c r="U2200" s="1255" t="b">
        <f>AND($M2194=EUconst_Relevant,U2199&lt;=CNTR_ReportingYear,IF($J2197&lt;&gt;EUconst_NA,U2199&gt;=YEAR($J2197),TRUE))</f>
        <v>0</v>
      </c>
      <c r="V2200" s="1256" t="b">
        <f>AND($M2194=EUconst_Relevant,V2199&lt;=CNTR_ReportingYear,IF($J2197&lt;&gt;EUconst_NA,V2199&gt;=YEAR($J2197),TRUE))</f>
        <v>0</v>
      </c>
    </row>
    <row r="2201" spans="1:22" s="364" customFormat="1" ht="5.15" customHeight="1" thickBot="1" x14ac:dyDescent="0.3">
      <c r="A2201" s="729"/>
      <c r="B2201" s="302"/>
      <c r="C2201" s="302"/>
      <c r="D2201" s="302"/>
      <c r="F2201" s="302"/>
      <c r="G2201" s="302"/>
      <c r="H2201" s="302"/>
      <c r="I2201" s="1746"/>
      <c r="J2201" s="302"/>
      <c r="K2201" s="302"/>
      <c r="L2201" s="302"/>
      <c r="M2201" s="302"/>
      <c r="N2201" s="302"/>
      <c r="O2201" s="698"/>
      <c r="P2201" s="729"/>
      <c r="Q2201" s="729"/>
      <c r="R2201" s="729"/>
      <c r="S2201" s="729"/>
      <c r="T2201" s="770"/>
      <c r="U2201" s="343"/>
      <c r="V2201" s="343"/>
    </row>
    <row r="2202" spans="1:22" s="364" customFormat="1" ht="5.15" customHeight="1" x14ac:dyDescent="0.3">
      <c r="A2202" s="729"/>
      <c r="B2202" s="302"/>
      <c r="C2202" s="357"/>
      <c r="D2202" s="1695"/>
      <c r="E2202" s="1696"/>
      <c r="F2202" s="1696"/>
      <c r="G2202" s="1696"/>
      <c r="H2202" s="1696"/>
      <c r="I2202" s="1696"/>
      <c r="J2202" s="1696"/>
      <c r="K2202" s="1696"/>
      <c r="L2202" s="1696"/>
      <c r="M2202" s="1696"/>
      <c r="N2202" s="1697"/>
      <c r="O2202" s="698"/>
      <c r="P2202" s="729"/>
      <c r="Q2202" s="729"/>
      <c r="R2202" s="729"/>
      <c r="S2202" s="729"/>
      <c r="T2202" s="729"/>
      <c r="U2202" s="343"/>
      <c r="V2202" s="343"/>
    </row>
    <row r="2203" spans="1:22" s="364" customFormat="1" ht="12.75" customHeight="1" x14ac:dyDescent="0.3">
      <c r="A2203" s="729"/>
      <c r="B2203" s="302"/>
      <c r="C2203" s="357"/>
      <c r="D2203" s="1698"/>
      <c r="E2203" s="389" t="str">
        <f>Translations!$B$1372</f>
        <v>Приложимост на пълзящата средна стойност</v>
      </c>
      <c r="F2203" s="498"/>
      <c r="G2203" s="498"/>
      <c r="H2203" s="527" t="str">
        <f>EUconst_Unit</f>
        <v>Единица мярка</v>
      </c>
      <c r="I2203" s="1699"/>
      <c r="J2203" s="1523">
        <f>J$2505</f>
        <v>2026</v>
      </c>
      <c r="K2203" s="387">
        <f>K$2505</f>
        <v>2027</v>
      </c>
      <c r="L2203" s="387">
        <f>L$2505</f>
        <v>2028</v>
      </c>
      <c r="M2203" s="387">
        <f>M$2505</f>
        <v>2029</v>
      </c>
      <c r="N2203" s="1544">
        <f>N$2505</f>
        <v>2030</v>
      </c>
      <c r="O2203" s="698"/>
      <c r="P2203" s="729"/>
      <c r="Q2203" s="729"/>
      <c r="R2203" s="729"/>
      <c r="S2203" s="729"/>
      <c r="T2203" s="729"/>
      <c r="U2203" s="343"/>
      <c r="V2203" s="343"/>
    </row>
    <row r="2204" spans="1:22" s="364" customFormat="1" ht="12.75" customHeight="1" x14ac:dyDescent="0.3">
      <c r="A2204" s="729"/>
      <c r="B2204" s="302"/>
      <c r="C2204" s="357"/>
      <c r="D2204" s="1698"/>
      <c r="E2204" s="1700" t="str">
        <f>Translations!$B$1364</f>
        <v>Критерий 1: В експлоатация &gt; 2 години?</v>
      </c>
      <c r="F2204" s="1701"/>
      <c r="G2204" s="1701"/>
      <c r="H2204" s="1702" t="s">
        <v>1052</v>
      </c>
      <c r="I2204" s="1701"/>
      <c r="J2204" s="1703" t="str">
        <f>IF(R2200,INDEX('G_Fall-back'!V:V,MATCH($P2204,'G_Fall-back'!$Q:$Q,0))&gt;=3,"")</f>
        <v/>
      </c>
      <c r="K2204" s="1704" t="str">
        <f>IF(S2200,INDEX('G_Fall-back'!W:W,MATCH($P2204,'G_Fall-back'!$Q:$Q,0))&gt;=3,"")</f>
        <v/>
      </c>
      <c r="L2204" s="1704" t="str">
        <f>IF(T2200,INDEX('G_Fall-back'!X:X,MATCH($P2204,'G_Fall-back'!$Q:$Q,0))&gt;=3,"")</f>
        <v/>
      </c>
      <c r="M2204" s="1704" t="str">
        <f>IF(U2200,INDEX('G_Fall-back'!Y:Y,MATCH($P2204,'G_Fall-back'!$Q:$Q,0))&gt;=3,"")</f>
        <v/>
      </c>
      <c r="N2204" s="1705" t="str">
        <f>IF(V2200,INDEX('G_Fall-back'!Z:Z,MATCH($P2204,'G_Fall-back'!$Q:$Q,0))&gt;=3,"")</f>
        <v/>
      </c>
      <c r="O2204" s="698"/>
      <c r="P2204" s="1190" t="str">
        <f>EUconst_CNTR_HALinitial&amp;I2194</f>
        <v>HALini_Подинсталация с горивен показател (с риск от ИВЕ | в рамките на МКВЕГ)</v>
      </c>
      <c r="Q2204" s="729"/>
      <c r="R2204" s="729"/>
      <c r="S2204" s="729"/>
      <c r="T2204" s="729"/>
      <c r="U2204" s="343"/>
      <c r="V2204" s="343"/>
    </row>
    <row r="2205" spans="1:22" s="364" customFormat="1" ht="12.75" customHeight="1" x14ac:dyDescent="0.3">
      <c r="A2205" s="729"/>
      <c r="B2205" s="302"/>
      <c r="C2205" s="357"/>
      <c r="D2205" s="1698"/>
      <c r="E2205" s="1706" t="str">
        <f>Translations!$B$1366</f>
        <v>Критерий 2: Не е спряна от експлоатация през предходната година?</v>
      </c>
      <c r="F2205" s="1707"/>
      <c r="G2205" s="1707"/>
      <c r="H2205" s="1708" t="s">
        <v>1052</v>
      </c>
      <c r="I2205" s="1707"/>
      <c r="J2205" s="1709" t="str">
        <f>IF(R2200,IF($K2197="",2050,YEAR($K2197))&lt;&gt;(J2203-1),"")</f>
        <v/>
      </c>
      <c r="K2205" s="1710" t="str">
        <f>IF(S2200,IF($K2197="",2050,YEAR($K2197))&lt;&gt;(K2203-1),"")</f>
        <v/>
      </c>
      <c r="L2205" s="1710" t="str">
        <f>IF(T2200,IF($K2197="",2050,YEAR($K2197))&lt;&gt;(L2203-1),"")</f>
        <v/>
      </c>
      <c r="M2205" s="1710" t="str">
        <f>IF(U2200,IF($K2197="",2050,YEAR($K2197))&lt;&gt;(M2203-1),"")</f>
        <v/>
      </c>
      <c r="N2205" s="1711" t="str">
        <f>IF(V2200,IF($K2197="",2050,YEAR($K2197))&lt;&gt;(N2203-1),"")</f>
        <v/>
      </c>
      <c r="O2205" s="698"/>
      <c r="P2205" s="729"/>
      <c r="Q2205" s="729"/>
      <c r="R2205" s="729"/>
      <c r="S2205" s="729"/>
      <c r="T2205" s="729"/>
      <c r="U2205" s="343"/>
      <c r="V2205" s="343"/>
    </row>
    <row r="2206" spans="1:22" s="364" customFormat="1" ht="5.15" customHeight="1" x14ac:dyDescent="0.3">
      <c r="A2206" s="729"/>
      <c r="B2206" s="302"/>
      <c r="C2206" s="357"/>
      <c r="D2206" s="1698"/>
      <c r="E2206" s="357"/>
      <c r="F2206" s="357"/>
      <c r="G2206" s="357"/>
      <c r="H2206" s="357"/>
      <c r="I2206" s="357"/>
      <c r="J2206" s="357"/>
      <c r="K2206" s="357"/>
      <c r="L2206" s="357"/>
      <c r="M2206" s="357"/>
      <c r="N2206" s="1712"/>
      <c r="O2206" s="698"/>
      <c r="P2206" s="729"/>
      <c r="Q2206" s="729"/>
      <c r="R2206" s="729"/>
      <c r="S2206" s="729"/>
      <c r="T2206" s="729"/>
      <c r="U2206" s="343"/>
      <c r="V2206" s="343"/>
    </row>
    <row r="2207" spans="1:22" s="364" customFormat="1" ht="12.75" customHeight="1" x14ac:dyDescent="0.3">
      <c r="A2207" s="729"/>
      <c r="B2207" s="302"/>
      <c r="C2207" s="357"/>
      <c r="D2207" s="1698"/>
      <c r="E2207" s="313" t="str">
        <f>Translations!$B$1373</f>
        <v>Промени: Няма промяна (базова стойност)</v>
      </c>
      <c r="F2207" s="302"/>
      <c r="G2207" s="302"/>
      <c r="H2207" s="527" t="str">
        <f>EUconst_Unit</f>
        <v>Единица мярка</v>
      </c>
      <c r="I2207" s="1699"/>
      <c r="J2207" s="757">
        <f>J$2505</f>
        <v>2026</v>
      </c>
      <c r="K2207" s="391">
        <f>K$2505</f>
        <v>2027</v>
      </c>
      <c r="L2207" s="391">
        <f>L$2505</f>
        <v>2028</v>
      </c>
      <c r="M2207" s="391">
        <f>M$2505</f>
        <v>2029</v>
      </c>
      <c r="N2207" s="1713">
        <f>N$2505</f>
        <v>2030</v>
      </c>
      <c r="O2207" s="698"/>
      <c r="P2207" s="729"/>
      <c r="Q2207" s="729"/>
      <c r="R2207" s="729"/>
      <c r="S2207" s="729"/>
      <c r="T2207" s="729"/>
      <c r="U2207" s="343"/>
      <c r="V2207" s="343"/>
    </row>
    <row r="2208" spans="1:22" s="364" customFormat="1" ht="12.75" customHeight="1" x14ac:dyDescent="0.3">
      <c r="A2208" s="729"/>
      <c r="B2208" s="302"/>
      <c r="C2208" s="357"/>
      <c r="D2208" s="1698"/>
      <c r="E2208" s="388" t="str">
        <f>Translations!$B$1579</f>
        <v>Очаквано равнище на дейност</v>
      </c>
      <c r="F2208" s="388"/>
      <c r="G2208" s="388"/>
      <c r="H2208" s="1210" t="str">
        <f>F2200</f>
        <v>TJ</v>
      </c>
      <c r="I2208" s="388"/>
      <c r="J2208" s="1844" t="str">
        <f>IF(T2232&gt;=$H$2505,S2231,I2231)</f>
        <v/>
      </c>
      <c r="K2208" s="1846" t="str">
        <f>J2231</f>
        <v/>
      </c>
      <c r="L2208" s="1846" t="str">
        <f>K2231</f>
        <v/>
      </c>
      <c r="M2208" s="1846" t="str">
        <f>L2231</f>
        <v/>
      </c>
      <c r="N2208" s="1847" t="str">
        <f>M2231</f>
        <v/>
      </c>
      <c r="O2208" s="698"/>
      <c r="P2208" s="729"/>
      <c r="Q2208" s="729"/>
      <c r="R2208" s="729"/>
      <c r="S2208" s="729"/>
      <c r="T2208" s="729"/>
      <c r="U2208" s="343"/>
      <c r="V2208" s="343"/>
    </row>
    <row r="2209" spans="1:22" s="364" customFormat="1" ht="12.75" customHeight="1" x14ac:dyDescent="0.3">
      <c r="A2209" s="729"/>
      <c r="B2209" s="302"/>
      <c r="C2209" s="357"/>
      <c r="D2209" s="1698"/>
      <c r="E2209" s="388" t="str">
        <f>Translations!$B$1374</f>
        <v>Стойност на предварително разпределяне</v>
      </c>
      <c r="F2209" s="388"/>
      <c r="G2209" s="388"/>
      <c r="H2209" s="421" t="str">
        <f>EUconst_EUA</f>
        <v>Квота за емисии</v>
      </c>
      <c r="I2209" s="1728"/>
      <c r="J2209" s="1694" t="str">
        <f>IF($M2194&lt;&gt;EUconst_Relevant,"",MAX(0,ROUND((SUM($M2197)*SUM(J2208))*IF($H2197=TRUE,1,IF($L2197=4,J$2413,J$2412))*IF($I2197=TRUE,INDEX(EUconst_CBAMFactor,J2207-2020),1)*IF($L2197&gt;=8,J$2415/0.97,1),0)))</f>
        <v/>
      </c>
      <c r="K2209" s="406" t="str">
        <f>IF($M2194&lt;&gt;EUconst_Relevant,"",MAX(0,ROUND((SUM($M2197)*SUM(K2208))*IF($H2197=TRUE,1,IF($L2197=4,K$2413,K$2412))*IF($I2197=TRUE,INDEX(EUconst_CBAMFactor,K2207-2020),1)*IF($L2197&gt;=8,K$2415/0.97,1),0)))</f>
        <v/>
      </c>
      <c r="L2209" s="406" t="str">
        <f>IF($M2194&lt;&gt;EUconst_Relevant,"",MAX(0,ROUND((SUM($M2197)*SUM(L2208))*IF($H2197=TRUE,1,IF($L2197=4,L$2413,L$2412))*IF($I2197=TRUE,INDEX(EUconst_CBAMFactor,L2207-2020),1)*IF($L2197&gt;=8,L$2415/0.97,1),0)))</f>
        <v/>
      </c>
      <c r="M2209" s="406" t="str">
        <f>IF($M2194&lt;&gt;EUconst_Relevant,"",MAX(0,ROUND((SUM($M2197)*SUM(M2208))*IF($H2197=TRUE,1,IF($L2197=4,M$2413,M$2412))*IF($I2197=TRUE,INDEX(EUconst_CBAMFactor,M2207-2020),1)*IF($L2197&gt;=8,M$2415/0.97,1),0)))</f>
        <v/>
      </c>
      <c r="N2209" s="1729" t="str">
        <f>IF($M2194&lt;&gt;EUconst_Relevant,"",MAX(0,ROUND((SUM($M2197)*SUM(N2208))*IF($H2197=TRUE,1,IF($L2197=4,N$2413,N$2412))*IF($I2197=TRUE,INDEX(EUconst_CBAMFactor,N2207-2020),1)*IF($L2197&gt;=8,N$2415/0.97,1),0)))</f>
        <v/>
      </c>
      <c r="O2209" s="698"/>
      <c r="P2209" s="729"/>
      <c r="Q2209" s="729"/>
      <c r="R2209" s="729"/>
      <c r="S2209" s="729"/>
      <c r="T2209" s="729"/>
      <c r="U2209" s="343"/>
      <c r="V2209" s="343"/>
    </row>
    <row r="2210" spans="1:22" s="364" customFormat="1" ht="5.15" customHeight="1" x14ac:dyDescent="0.3">
      <c r="A2210" s="729"/>
      <c r="B2210" s="302"/>
      <c r="C2210" s="357"/>
      <c r="D2210" s="1698"/>
      <c r="E2210" s="357"/>
      <c r="F2210" s="357"/>
      <c r="G2210" s="357"/>
      <c r="H2210" s="357"/>
      <c r="I2210" s="357"/>
      <c r="J2210" s="357"/>
      <c r="K2210" s="357"/>
      <c r="L2210" s="357"/>
      <c r="M2210" s="357"/>
      <c r="N2210" s="1712"/>
      <c r="O2210" s="698"/>
      <c r="P2210" s="729"/>
      <c r="Q2210" s="729"/>
      <c r="R2210" s="729"/>
      <c r="S2210" s="729"/>
      <c r="T2210" s="729"/>
      <c r="U2210" s="343"/>
      <c r="V2210" s="343"/>
    </row>
    <row r="2211" spans="1:22" s="364" customFormat="1" ht="12.75" customHeight="1" x14ac:dyDescent="0.3">
      <c r="A2211" s="729"/>
      <c r="B2211" s="302"/>
      <c r="C2211" s="357"/>
      <c r="D2211" s="1698"/>
      <c r="E2211" s="389" t="str">
        <f>Translations!$B$1375</f>
        <v>Промени: Равнище на дейност</v>
      </c>
      <c r="F2211" s="498"/>
      <c r="G2211" s="498"/>
      <c r="H2211" s="527" t="str">
        <f>EUconst_Unit</f>
        <v>Единица мярка</v>
      </c>
      <c r="I2211" s="1699"/>
      <c r="J2211" s="1523">
        <f>J$2505</f>
        <v>2026</v>
      </c>
      <c r="K2211" s="387">
        <f>K$2505</f>
        <v>2027</v>
      </c>
      <c r="L2211" s="387">
        <f>L$2505</f>
        <v>2028</v>
      </c>
      <c r="M2211" s="387">
        <f>M$2505</f>
        <v>2029</v>
      </c>
      <c r="N2211" s="1544">
        <f>N$2505</f>
        <v>2030</v>
      </c>
      <c r="O2211" s="698"/>
      <c r="P2211" s="729"/>
      <c r="Q2211" s="729"/>
      <c r="R2211" s="729"/>
      <c r="S2211" s="729"/>
      <c r="T2211" s="729"/>
      <c r="U2211" s="343"/>
      <c r="V2211" s="343"/>
    </row>
    <row r="2212" spans="1:22" s="364" customFormat="1" ht="12.75" customHeight="1" x14ac:dyDescent="0.3">
      <c r="A2212" s="729"/>
      <c r="B2212" s="302"/>
      <c r="C2212" s="357"/>
      <c r="D2212" s="1698"/>
      <c r="E2212" s="392" t="str">
        <f>Translations!$B$1328</f>
        <v>Средна годишна стойност</v>
      </c>
      <c r="F2212" s="392"/>
      <c r="G2212" s="392"/>
      <c r="H2212" s="1730" t="str">
        <f>H2208</f>
        <v>TJ</v>
      </c>
      <c r="I2212" s="1731"/>
      <c r="J2212" s="1848" t="str">
        <f>INDEX('G_Fall-back'!J:J,MATCH($P2212,'G_Fall-back'!$Q:$Q,0))</f>
        <v/>
      </c>
      <c r="K2212" s="1849" t="str">
        <f>INDEX('G_Fall-back'!K:K,MATCH($P2212,'G_Fall-back'!$Q:$Q,0))</f>
        <v/>
      </c>
      <c r="L2212" s="1849" t="str">
        <f>INDEX('G_Fall-back'!L:L,MATCH($P2212,'G_Fall-back'!$Q:$Q,0))</f>
        <v/>
      </c>
      <c r="M2212" s="1849" t="str">
        <f>INDEX('G_Fall-back'!M:M,MATCH($P2212,'G_Fall-back'!$Q:$Q,0))</f>
        <v/>
      </c>
      <c r="N2212" s="1850" t="str">
        <f>INDEX('G_Fall-back'!N:N,MATCH($P2212,'G_Fall-back'!$Q:$Q,0))</f>
        <v/>
      </c>
      <c r="O2212" s="698"/>
      <c r="P2212" s="1190" t="str">
        <f>EUconst_CNTR_HALinitial&amp;I2194</f>
        <v>HALini_Подинсталация с горивен показател (с риск от ИВЕ | в рамките на МКВЕГ)</v>
      </c>
      <c r="Q2212" s="729"/>
      <c r="R2212" s="729"/>
      <c r="S2212" s="729"/>
      <c r="T2212" s="729"/>
      <c r="U2212" s="343"/>
      <c r="V2212" s="343"/>
    </row>
    <row r="2213" spans="1:22" s="364" customFormat="1" ht="12.75" customHeight="1" x14ac:dyDescent="0.3">
      <c r="A2213" s="729"/>
      <c r="B2213" s="302"/>
      <c r="C2213" s="357"/>
      <c r="D2213" s="1698"/>
      <c r="E2213" s="398" t="str">
        <f>Translations!$B$1376</f>
        <v>Промяна в сравнение с HAL</v>
      </c>
      <c r="F2213" s="398"/>
      <c r="G2213" s="398"/>
      <c r="H2213" s="1751" t="s">
        <v>1052</v>
      </c>
      <c r="I2213" s="1735"/>
      <c r="J2213" s="159" t="str">
        <f>INDEX('G_Fall-back'!J:J,MATCH($P2213,'G_Fall-back'!$Q:$Q,0))</f>
        <v/>
      </c>
      <c r="K2213" s="160" t="str">
        <f>INDEX('G_Fall-back'!K:K,MATCH($P2213,'G_Fall-back'!$Q:$Q,0))</f>
        <v/>
      </c>
      <c r="L2213" s="160" t="str">
        <f>INDEX('G_Fall-back'!L:L,MATCH($P2213,'G_Fall-back'!$Q:$Q,0))</f>
        <v/>
      </c>
      <c r="M2213" s="160" t="str">
        <f>INDEX('G_Fall-back'!M:M,MATCH($P2213,'G_Fall-back'!$Q:$Q,0))</f>
        <v/>
      </c>
      <c r="N2213" s="161" t="str">
        <f>INDEX('G_Fall-back'!N:N,MATCH($P2213,'G_Fall-back'!$Q:$Q,0))</f>
        <v/>
      </c>
      <c r="O2213" s="698"/>
      <c r="P2213" s="1190" t="str">
        <f>EUconst_CNTR_RelThreshold &amp; I2194</f>
        <v>RelThresh_Подинсталация с горивен показател (с риск от ИВЕ | в рамките на МКВЕГ)</v>
      </c>
      <c r="Q2213" s="729"/>
      <c r="R2213" s="729"/>
      <c r="S2213" s="729"/>
      <c r="T2213" s="729"/>
      <c r="U2213" s="343"/>
      <c r="V2213" s="343"/>
    </row>
    <row r="2214" spans="1:22" s="364" customFormat="1" ht="12.75" customHeight="1" x14ac:dyDescent="0.3">
      <c r="A2214" s="729"/>
      <c r="B2214" s="302"/>
      <c r="C2214" s="357"/>
      <c r="D2214" s="1698"/>
      <c r="E2214" s="1851" t="str">
        <f>Translations!$B$1590</f>
        <v>Критерий 3a: Надвишен ли е относителният праг?</v>
      </c>
      <c r="F2214" s="1851"/>
      <c r="G2214" s="1851"/>
      <c r="H2214" s="1852" t="s">
        <v>1052</v>
      </c>
      <c r="I2214" s="1852"/>
      <c r="J2214" s="1853" t="str">
        <f>INDEX('G_Fall-back'!V:V,MATCH($P2214,'G_Fall-back'!$Q:$Q,0)+1)</f>
        <v/>
      </c>
      <c r="K2214" s="1854" t="str">
        <f>INDEX('G_Fall-back'!W:W,MATCH($P2214,'G_Fall-back'!$Q:$Q,0)+1)</f>
        <v/>
      </c>
      <c r="L2214" s="1854" t="str">
        <f>INDEX('G_Fall-back'!X:X,MATCH($P2214,'G_Fall-back'!$Q:$Q,0)+1)</f>
        <v/>
      </c>
      <c r="M2214" s="1854" t="str">
        <f>INDEX('G_Fall-back'!Y:Y,MATCH($P2214,'G_Fall-back'!$Q:$Q,0)+1)</f>
        <v/>
      </c>
      <c r="N2214" s="1855" t="str">
        <f>INDEX('G_Fall-back'!Z:Z,MATCH($P2214,'G_Fall-back'!$Q:$Q,0)+1)</f>
        <v/>
      </c>
      <c r="O2214" s="698"/>
      <c r="P2214" s="1190" t="str">
        <f>P2213</f>
        <v>RelThresh_Подинсталация с горивен показател (с риск от ИВЕ | в рамките на МКВЕГ)</v>
      </c>
      <c r="Q2214" s="729"/>
      <c r="R2214" s="729"/>
      <c r="S2214" s="729"/>
      <c r="T2214" s="729"/>
      <c r="U2214" s="343"/>
      <c r="V2214" s="343"/>
    </row>
    <row r="2215" spans="1:22" s="364" customFormat="1" ht="12.75" customHeight="1" x14ac:dyDescent="0.3">
      <c r="A2215" s="729"/>
      <c r="B2215" s="302"/>
      <c r="C2215" s="357"/>
      <c r="D2215" s="1698"/>
      <c r="E2215" s="392" t="str">
        <f>Translations!$B$1579</f>
        <v>Очаквано равнище на дейност</v>
      </c>
      <c r="F2215" s="392"/>
      <c r="G2215" s="392"/>
      <c r="H2215" s="1730" t="str">
        <f>F2200</f>
        <v>TJ</v>
      </c>
      <c r="I2215" s="392"/>
      <c r="J2215" s="1848" t="str">
        <f>INDEX('G_Fall-back'!J:J,MATCH($P2215,'G_Fall-back'!$Q:$Q,0))</f>
        <v/>
      </c>
      <c r="K2215" s="1849" t="str">
        <f>INDEX('G_Fall-back'!K:K,MATCH($P2215,'G_Fall-back'!$Q:$Q,0))</f>
        <v/>
      </c>
      <c r="L2215" s="1849" t="str">
        <f>INDEX('G_Fall-back'!L:L,MATCH($P2215,'G_Fall-back'!$Q:$Q,0))</f>
        <v/>
      </c>
      <c r="M2215" s="1849" t="str">
        <f>INDEX('G_Fall-back'!M:M,MATCH($P2215,'G_Fall-back'!$Q:$Q,0))</f>
        <v/>
      </c>
      <c r="N2215" s="1850" t="str">
        <f>INDEX('G_Fall-back'!N:N,MATCH($P2215,'G_Fall-back'!$Q:$Q,0))</f>
        <v/>
      </c>
      <c r="O2215" s="698"/>
      <c r="P2215" s="1190" t="str">
        <f>EUconst_CNTR_HALprelim&amp;I2194</f>
        <v>HALprelim_Подинсталация с горивен показател (с риск от ИВЕ | в рамките на МКВЕГ)</v>
      </c>
      <c r="Q2215" s="729"/>
      <c r="R2215" s="729"/>
      <c r="S2215" s="729"/>
      <c r="T2215" s="729"/>
      <c r="U2215" s="343"/>
      <c r="V2215" s="343"/>
    </row>
    <row r="2216" spans="1:22" s="364" customFormat="1" ht="12.75" customHeight="1" x14ac:dyDescent="0.3">
      <c r="A2216" s="729"/>
      <c r="B2216" s="302"/>
      <c r="C2216" s="357"/>
      <c r="D2216" s="1698"/>
      <c r="E2216" s="398" t="str">
        <f>Translations!$B$1591</f>
        <v>Промяна в сравнение с HAL (очаквана)</v>
      </c>
      <c r="F2216" s="398"/>
      <c r="G2216" s="398"/>
      <c r="H2216" s="516" t="s">
        <v>1052</v>
      </c>
      <c r="I2216" s="1720"/>
      <c r="J2216" s="159" t="str">
        <f>INDEX('G_Fall-back'!J:J,MATCH($P2216,'G_Fall-back'!$Q:$Q,0))</f>
        <v/>
      </c>
      <c r="K2216" s="160" t="str">
        <f>INDEX('G_Fall-back'!K:K,MATCH($P2216,'G_Fall-back'!$Q:$Q,0))</f>
        <v/>
      </c>
      <c r="L2216" s="160" t="str">
        <f>INDEX('G_Fall-back'!L:L,MATCH($P2216,'G_Fall-back'!$Q:$Q,0))</f>
        <v/>
      </c>
      <c r="M2216" s="160" t="str">
        <f>INDEX('G_Fall-back'!M:M,MATCH($P2216,'G_Fall-back'!$Q:$Q,0))</f>
        <v/>
      </c>
      <c r="N2216" s="161" t="str">
        <f>INDEX('G_Fall-back'!N:N,MATCH($P2216,'G_Fall-back'!$Q:$Q,0))</f>
        <v/>
      </c>
      <c r="O2216" s="698"/>
      <c r="P2216" s="1190" t="str">
        <f>EUconst_CNTR_EnEffPct&amp;I2194</f>
        <v>EnEffPct_Подинсталация с горивен показател (с риск от ИВЕ | в рамките на МКВЕГ)</v>
      </c>
      <c r="Q2216" s="729"/>
      <c r="R2216" s="729"/>
      <c r="S2216" s="729"/>
      <c r="T2216" s="729"/>
      <c r="U2216" s="343"/>
      <c r="V2216" s="343"/>
    </row>
    <row r="2217" spans="1:22" s="364" customFormat="1" ht="12.75" customHeight="1" x14ac:dyDescent="0.3">
      <c r="A2217" s="729"/>
      <c r="B2217" s="302"/>
      <c r="C2217" s="357"/>
      <c r="D2217" s="1698"/>
      <c r="E2217" s="1706" t="str">
        <f>Translations!$B$1379</f>
        <v>Критерий 3б: Надвишени ли са относителните прагове?</v>
      </c>
      <c r="F2217" s="1706"/>
      <c r="G2217" s="1706"/>
      <c r="H2217" s="1856" t="s">
        <v>1052</v>
      </c>
      <c r="I2217" s="1857"/>
      <c r="J2217" s="1709" t="str">
        <f>INDEX('G_Fall-back'!V:V,MATCH($P2217,'G_Fall-back'!$Q:$Q,0)+1)</f>
        <v/>
      </c>
      <c r="K2217" s="1710" t="str">
        <f>INDEX('G_Fall-back'!W:W,MATCH($P2217,'G_Fall-back'!$Q:$Q,0)+1)</f>
        <v/>
      </c>
      <c r="L2217" s="1710" t="str">
        <f>INDEX('G_Fall-back'!X:X,MATCH($P2217,'G_Fall-back'!$Q:$Q,0)+1)</f>
        <v/>
      </c>
      <c r="M2217" s="1710" t="str">
        <f>INDEX('G_Fall-back'!Y:Y,MATCH($P2217,'G_Fall-back'!$Q:$Q,0)+1)</f>
        <v/>
      </c>
      <c r="N2217" s="1711" t="str">
        <f>INDEX('G_Fall-back'!Z:Z,MATCH($P2217,'G_Fall-back'!$Q:$Q,0)+1)</f>
        <v/>
      </c>
      <c r="O2217" s="698"/>
      <c r="P2217" s="1190" t="str">
        <f>EUconst_CNTR_EnEffPct&amp;I2194</f>
        <v>EnEffPct_Подинсталация с горивен показател (с риск от ИВЕ | в рамките на МКВЕГ)</v>
      </c>
      <c r="Q2217" s="729"/>
      <c r="R2217" s="729"/>
      <c r="S2217" s="729"/>
      <c r="T2217" s="729"/>
      <c r="U2217" s="343"/>
      <c r="V2217" s="343"/>
    </row>
    <row r="2218" spans="1:22" s="364" customFormat="1" ht="13" x14ac:dyDescent="0.25">
      <c r="A2218" s="729"/>
      <c r="B2218" s="302"/>
      <c r="C2218" s="302"/>
      <c r="D2218" s="344"/>
      <c r="E2218" s="498" t="str">
        <f>Translations!$B$1389</f>
        <v>Действителна корекция на равнището на дейност</v>
      </c>
      <c r="F2218" s="498"/>
      <c r="G2218" s="498"/>
      <c r="H2218" s="1858" t="s">
        <v>1052</v>
      </c>
      <c r="I2218" s="1859"/>
      <c r="J2218" s="225" t="str">
        <f>INDEX('G_Fall-back'!J:J,MATCH($P2218,'G_Fall-back'!$Q:$Q,0))</f>
        <v/>
      </c>
      <c r="K2218" s="226" t="str">
        <f>INDEX('G_Fall-back'!K:K,MATCH($P2218,'G_Fall-back'!$Q:$Q,0))</f>
        <v/>
      </c>
      <c r="L2218" s="226" t="str">
        <f>INDEX('G_Fall-back'!L:L,MATCH($P2218,'G_Fall-back'!$Q:$Q,0))</f>
        <v/>
      </c>
      <c r="M2218" s="226" t="str">
        <f>INDEX('G_Fall-back'!M:M,MATCH($P2218,'G_Fall-back'!$Q:$Q,0))</f>
        <v/>
      </c>
      <c r="N2218" s="227" t="str">
        <f>INDEX('G_Fall-back'!N:N,MATCH($P2218,'G_Fall-back'!$Q:$Q,0))</f>
        <v/>
      </c>
      <c r="O2218" s="698"/>
      <c r="P2218" s="1190" t="str">
        <f>EUconst_CNTR_HALAdjPct&amp;I2194</f>
        <v>HALAdjPct_Подинсталация с горивен показател (с риск от ИВЕ | в рамките на МКВЕГ)</v>
      </c>
      <c r="Q2218" s="729"/>
      <c r="R2218" s="729"/>
      <c r="S2218" s="729"/>
      <c r="T2218" s="770"/>
      <c r="U2218" s="343"/>
      <c r="V2218" s="343"/>
    </row>
    <row r="2219" spans="1:22" s="364" customFormat="1" ht="5.15" customHeight="1" thickBot="1" x14ac:dyDescent="0.3">
      <c r="A2219" s="729"/>
      <c r="B2219" s="302"/>
      <c r="C2219" s="302"/>
      <c r="D2219" s="1801"/>
      <c r="E2219" s="1762"/>
      <c r="F2219" s="1762"/>
      <c r="G2219" s="1762"/>
      <c r="H2219" s="1762"/>
      <c r="I2219" s="1860"/>
      <c r="J2219" s="1762"/>
      <c r="K2219" s="1762"/>
      <c r="L2219" s="1762"/>
      <c r="M2219" s="1762"/>
      <c r="N2219" s="1764"/>
      <c r="O2219" s="698"/>
      <c r="P2219" s="729"/>
      <c r="Q2219" s="729"/>
      <c r="R2219" s="729"/>
      <c r="S2219" s="729"/>
      <c r="T2219" s="770"/>
      <c r="U2219" s="343"/>
      <c r="V2219" s="343"/>
    </row>
    <row r="2220" spans="1:22" s="364" customFormat="1" ht="5.15" customHeight="1" thickBot="1" x14ac:dyDescent="0.3">
      <c r="A2220" s="729"/>
      <c r="B2220" s="302"/>
      <c r="C2220" s="302"/>
      <c r="D2220" s="302"/>
      <c r="E2220" s="302"/>
      <c r="F2220" s="302"/>
      <c r="G2220" s="302"/>
      <c r="H2220" s="302"/>
      <c r="I2220" s="1861"/>
      <c r="J2220" s="302"/>
      <c r="K2220" s="302"/>
      <c r="L2220" s="302"/>
      <c r="M2220" s="302"/>
      <c r="N2220" s="302"/>
      <c r="O2220" s="698"/>
      <c r="P2220" s="729"/>
      <c r="Q2220" s="729"/>
      <c r="R2220" s="729"/>
      <c r="S2220" s="729"/>
      <c r="T2220" s="770"/>
      <c r="U2220" s="343"/>
      <c r="V2220" s="343"/>
    </row>
    <row r="2221" spans="1:22" s="364" customFormat="1" ht="5.15" customHeight="1" x14ac:dyDescent="0.25">
      <c r="A2221" s="729"/>
      <c r="B2221" s="302"/>
      <c r="C2221" s="302"/>
      <c r="D2221" s="1765"/>
      <c r="E2221" s="1766"/>
      <c r="F2221" s="1766"/>
      <c r="G2221" s="1766"/>
      <c r="H2221" s="1766"/>
      <c r="I2221" s="1767"/>
      <c r="J2221" s="1766"/>
      <c r="K2221" s="1766"/>
      <c r="L2221" s="1766"/>
      <c r="M2221" s="1766"/>
      <c r="N2221" s="1768"/>
      <c r="O2221" s="698"/>
      <c r="P2221" s="729"/>
      <c r="Q2221" s="729"/>
      <c r="R2221" s="729"/>
      <c r="S2221" s="729"/>
      <c r="T2221" s="729"/>
      <c r="U2221" s="729"/>
      <c r="V2221" s="729"/>
    </row>
    <row r="2222" spans="1:22" s="364" customFormat="1" ht="13" x14ac:dyDescent="0.25">
      <c r="A2222" s="729"/>
      <c r="B2222" s="302"/>
      <c r="C2222" s="302"/>
      <c r="D2222" s="344"/>
      <c r="E2222" s="1769" t="str">
        <f>Translations!$B$1583</f>
        <v>Предварителни стойности за критерий &gt; 300 EUA</v>
      </c>
      <c r="F2222" s="1746"/>
      <c r="G2222" s="1746"/>
      <c r="H2222" s="1699" t="str">
        <f>EUconst_Unit</f>
        <v>Единица мярка</v>
      </c>
      <c r="I2222" s="1862" t="str">
        <f>Translations!$B$1341</f>
        <v>Базова стойност</v>
      </c>
      <c r="J2222" s="1771">
        <f>J$2505</f>
        <v>2026</v>
      </c>
      <c r="K2222" s="1772">
        <f>K$2505</f>
        <v>2027</v>
      </c>
      <c r="L2222" s="1772">
        <f>L$2505</f>
        <v>2028</v>
      </c>
      <c r="M2222" s="1772">
        <f>M$2505</f>
        <v>2029</v>
      </c>
      <c r="N2222" s="1773">
        <f>N$2505</f>
        <v>2030</v>
      </c>
      <c r="O2222" s="698"/>
      <c r="P2222" s="729"/>
      <c r="Q2222" s="729"/>
      <c r="R2222" s="729"/>
      <c r="S2222" s="729"/>
      <c r="T2222" s="729"/>
      <c r="U2222" s="729"/>
      <c r="V2222" s="729"/>
    </row>
    <row r="2223" spans="1:22" s="364" customFormat="1" x14ac:dyDescent="0.25">
      <c r="A2223" s="729"/>
      <c r="B2223" s="302"/>
      <c r="C2223" s="302"/>
      <c r="D2223" s="344"/>
      <c r="E2223" s="1789" t="str">
        <f>Translations!$B$1579</f>
        <v>Очаквано равнище на дейност</v>
      </c>
      <c r="F2223" s="1789"/>
      <c r="G2223" s="1789"/>
      <c r="H2223" s="1863" t="str">
        <f>F2200</f>
        <v>TJ</v>
      </c>
      <c r="I2223" s="1864" t="str">
        <f>IF($M2194&lt;&gt;EUconst_Relevant,"",IF(T2232&gt;=$H$2505,0,S2231))</f>
        <v/>
      </c>
      <c r="J2223" s="1864" t="str">
        <f>INDEX('G_Fall-back'!J:J,MATCH($P2223,'G_Fall-back'!$Q:$Q,0))</f>
        <v/>
      </c>
      <c r="K2223" s="1865" t="str">
        <f>INDEX('G_Fall-back'!K:K,MATCH($P2223,'G_Fall-back'!$Q:$Q,0))</f>
        <v/>
      </c>
      <c r="L2223" s="1865" t="str">
        <f>INDEX('G_Fall-back'!L:L,MATCH($P2223,'G_Fall-back'!$Q:$Q,0))</f>
        <v/>
      </c>
      <c r="M2223" s="1865" t="str">
        <f>INDEX('G_Fall-back'!M:M,MATCH($P2223,'G_Fall-back'!$Q:$Q,0))</f>
        <v/>
      </c>
      <c r="N2223" s="1866" t="str">
        <f>INDEX('G_Fall-back'!N:N,MATCH($P2223,'G_Fall-back'!$Q:$Q,0))</f>
        <v/>
      </c>
      <c r="O2223" s="698"/>
      <c r="P2223" s="1190" t="str">
        <f>EUconst_CNTR_HALprelim&amp;I2194</f>
        <v>HALprelim_Подинсталация с горивен показател (с риск от ИВЕ | в рамките на МКВЕГ)</v>
      </c>
      <c r="Q2223" s="729"/>
      <c r="R2223" s="729"/>
      <c r="S2223" s="729"/>
      <c r="T2223" s="729"/>
      <c r="U2223" s="729"/>
      <c r="V2223" s="729"/>
    </row>
    <row r="2224" spans="1:22" s="364" customFormat="1" x14ac:dyDescent="0.25">
      <c r="A2224" s="729"/>
      <c r="B2224" s="302"/>
      <c r="C2224" s="302"/>
      <c r="D2224" s="344"/>
      <c r="E2224" s="1789" t="str">
        <f>Translations!$B$1374</f>
        <v>Стойност на предварително разпределяне</v>
      </c>
      <c r="F2224" s="1789"/>
      <c r="G2224" s="1789"/>
      <c r="H2224" s="1790" t="str">
        <f>EUconst_EUA</f>
        <v>Квота за емисии</v>
      </c>
      <c r="I2224" s="1867" t="str">
        <f>IF($M2194&lt;&gt;EUconst_Relevant,"",MAX(0,ROUND((SUM($M2197)*SUM(I2231))*IF($H2197=TRUE,1,IF($L2197=4,J$2413,J$2412)),0)))</f>
        <v/>
      </c>
      <c r="J2224" s="1714" t="str">
        <f>IF($M2194&lt;&gt;EUconst_Relevant,"",MAX(0,ROUND((SUM($M2197)*SUM(J2223))*IF($H2197=TRUE,1,IF($L2197=4,J$2413,J$2412))*IF($I2197=TRUE,INDEX(EUconst_CBAMFactor,J2207-2020),1)*IF($L2197&gt;=8,J$2415/0.97,1),0)))</f>
        <v/>
      </c>
      <c r="K2224" s="1693" t="str">
        <f>IF($M2194&lt;&gt;EUconst_Relevant,"",MAX(0,ROUND((SUM($M2197)*SUM(K2223))*IF($H2197=TRUE,1,IF($L2197=4,K$2413,K$2412))*IF($I2197=TRUE,INDEX(EUconst_CBAMFactor,K2207-2020),1)*IF($L2197&gt;=8,K$2415/0.97,1),0)))</f>
        <v/>
      </c>
      <c r="L2224" s="1693" t="str">
        <f>IF($M2194&lt;&gt;EUconst_Relevant,"",MAX(0,ROUND((SUM($M2197)*SUM(L2223))*IF($H2197=TRUE,1,IF($L2197=4,L$2413,L$2412))*IF($I2197=TRUE,INDEX(EUconst_CBAMFactor,L2207-2020),1)*IF($L2197&gt;=8,L$2415/0.97,1),0)))</f>
        <v/>
      </c>
      <c r="M2224" s="1693" t="str">
        <f>IF($M2194&lt;&gt;EUconst_Relevant,"",MAX(0,ROUND((SUM($M2197)*SUM(M2223))*IF($H2197=TRUE,1,IF($L2197=4,M$2413,M$2412))*IF($I2197=TRUE,INDEX(EUconst_CBAMFactor,M2207-2020),1)*IF($L2197&gt;=8,M$2415/0.97,1),0)))</f>
        <v/>
      </c>
      <c r="N2224" s="1715" t="str">
        <f>IF($M2194&lt;&gt;EUconst_Relevant,"",MAX(0,ROUND((SUM($M2197)*SUM(N2223))*IF($H2197=TRUE,1,IF($L2197=4,N$2413,N$2412))*IF($I2197=TRUE,INDEX(EUconst_CBAMFactor,N2207-2020),1)*IF($L2197&gt;=8,N$2415/0.97,1),0)))</f>
        <v/>
      </c>
      <c r="O2224" s="698"/>
      <c r="P2224" s="729"/>
      <c r="Q2224" s="729"/>
      <c r="R2224" s="729"/>
      <c r="S2224" s="729"/>
      <c r="T2224" s="729"/>
      <c r="U2224" s="729"/>
      <c r="V2224" s="729"/>
    </row>
    <row r="2225" spans="1:22" s="364" customFormat="1" x14ac:dyDescent="0.25">
      <c r="A2225" s="729"/>
      <c r="B2225" s="302"/>
      <c r="C2225" s="302"/>
      <c r="D2225" s="344"/>
      <c r="E2225" s="388" t="str">
        <f>Translations!$B$1584</f>
        <v>Разлика в предварителната стойност</v>
      </c>
      <c r="F2225" s="388"/>
      <c r="G2225" s="388"/>
      <c r="H2225" s="421" t="str">
        <f>EUconst_EUA</f>
        <v>Квота за емисии</v>
      </c>
      <c r="I2225" s="1792"/>
      <c r="J2225" s="1793" t="str">
        <f>IF(J2224="","",SUM(J2224)-SUM(J2209))</f>
        <v/>
      </c>
      <c r="K2225" s="998" t="str">
        <f t="shared" ref="K2225:N2225" si="185">IF(K2224="","",SUM(K2224)-SUM(K2209))</f>
        <v/>
      </c>
      <c r="L2225" s="998" t="str">
        <f t="shared" si="185"/>
        <v/>
      </c>
      <c r="M2225" s="998" t="str">
        <f t="shared" si="185"/>
        <v/>
      </c>
      <c r="N2225" s="1794" t="str">
        <f t="shared" si="185"/>
        <v/>
      </c>
      <c r="O2225" s="698"/>
      <c r="P2225" s="1190" t="str">
        <f>EUconst_CNTR_AllocPrelimChange</f>
        <v>AllocPrelimChange_</v>
      </c>
      <c r="Q2225" s="729"/>
      <c r="R2225" s="729"/>
      <c r="S2225" s="729"/>
      <c r="T2225" s="729"/>
      <c r="U2225" s="729"/>
      <c r="V2225" s="729"/>
    </row>
    <row r="2226" spans="1:22" s="364" customFormat="1" x14ac:dyDescent="0.25">
      <c r="A2226" s="729"/>
      <c r="B2226" s="302"/>
      <c r="C2226" s="302"/>
      <c r="D2226" s="344"/>
      <c r="E2226" s="1796" t="str">
        <f>Translations!$B$1581</f>
        <v>Критерий 4: Разлика от поне 300 квоти за емисии?</v>
      </c>
      <c r="F2226" s="1796"/>
      <c r="G2226" s="1796"/>
      <c r="H2226" s="1797" t="s">
        <v>1052</v>
      </c>
      <c r="I2226" s="1792"/>
      <c r="J2226" s="1798" t="str">
        <f>IF(J2225="","",ABS(J2225)&gt;=300)</f>
        <v/>
      </c>
      <c r="K2226" s="1799" t="str">
        <f t="shared" ref="K2226:N2226" si="186">IF(K2225="","",ABS(K2225)&gt;=300)</f>
        <v/>
      </c>
      <c r="L2226" s="1799" t="str">
        <f t="shared" si="186"/>
        <v/>
      </c>
      <c r="M2226" s="1799" t="str">
        <f t="shared" si="186"/>
        <v/>
      </c>
      <c r="N2226" s="1800" t="str">
        <f t="shared" si="186"/>
        <v/>
      </c>
      <c r="O2226" s="698"/>
      <c r="P2226" s="1190" t="str">
        <f>EUconst_CNTR_300EUA&amp;I2194</f>
        <v>EUA300_Подинсталация с горивен показател (с риск от ИВЕ | в рамките на МКВЕГ)</v>
      </c>
      <c r="Q2226" s="729"/>
      <c r="R2226" s="729"/>
      <c r="S2226" s="729"/>
      <c r="T2226" s="729"/>
      <c r="U2226" s="729"/>
      <c r="V2226" s="729"/>
    </row>
    <row r="2227" spans="1:22" s="364" customFormat="1" ht="5.15" customHeight="1" thickBot="1" x14ac:dyDescent="0.3">
      <c r="A2227" s="729"/>
      <c r="B2227" s="302"/>
      <c r="C2227" s="302"/>
      <c r="D2227" s="1801"/>
      <c r="E2227" s="1762"/>
      <c r="F2227" s="1762"/>
      <c r="G2227" s="1762"/>
      <c r="H2227" s="1762"/>
      <c r="I2227" s="1762"/>
      <c r="J2227" s="1762"/>
      <c r="K2227" s="1762"/>
      <c r="L2227" s="1762"/>
      <c r="M2227" s="1762"/>
      <c r="N2227" s="1764"/>
      <c r="O2227" s="698"/>
      <c r="P2227" s="729"/>
      <c r="Q2227" s="729"/>
      <c r="R2227" s="729"/>
      <c r="S2227" s="729"/>
      <c r="T2227" s="770"/>
      <c r="U2227" s="343"/>
      <c r="V2227" s="343"/>
    </row>
    <row r="2228" spans="1:22" s="364" customFormat="1" ht="5.15" customHeight="1" thickBot="1" x14ac:dyDescent="0.3">
      <c r="A2228" s="729"/>
      <c r="B2228" s="302"/>
      <c r="C2228" s="302"/>
      <c r="D2228" s="302"/>
      <c r="E2228" s="302"/>
      <c r="F2228" s="302"/>
      <c r="G2228" s="302"/>
      <c r="H2228" s="302"/>
      <c r="I2228" s="1861"/>
      <c r="J2228" s="302"/>
      <c r="K2228" s="302"/>
      <c r="L2228" s="302"/>
      <c r="M2228" s="302"/>
      <c r="N2228" s="302"/>
      <c r="O2228" s="698"/>
      <c r="P2228" s="729"/>
      <c r="Q2228" s="729"/>
      <c r="R2228" s="729"/>
      <c r="S2228" s="729"/>
      <c r="T2228" s="770"/>
      <c r="U2228" s="343"/>
      <c r="V2228" s="343"/>
    </row>
    <row r="2229" spans="1:22" s="364" customFormat="1" ht="5.15" customHeight="1" x14ac:dyDescent="0.25">
      <c r="A2229" s="729"/>
      <c r="B2229" s="302"/>
      <c r="C2229" s="302"/>
      <c r="D2229" s="1765"/>
      <c r="E2229" s="1766"/>
      <c r="F2229" s="1766"/>
      <c r="G2229" s="1766"/>
      <c r="H2229" s="1766"/>
      <c r="I2229" s="1767"/>
      <c r="J2229" s="1766"/>
      <c r="K2229" s="1766"/>
      <c r="L2229" s="1766"/>
      <c r="M2229" s="1766"/>
      <c r="N2229" s="1768"/>
      <c r="O2229" s="698"/>
      <c r="P2229" s="729"/>
      <c r="Q2229" s="729"/>
      <c r="R2229" s="729"/>
      <c r="S2229" s="729"/>
      <c r="T2229" s="770"/>
      <c r="U2229" s="343"/>
      <c r="V2229" s="343"/>
    </row>
    <row r="2230" spans="1:22" s="364" customFormat="1" ht="13" x14ac:dyDescent="0.25">
      <c r="A2230" s="729"/>
      <c r="B2230" s="302"/>
      <c r="C2230" s="302"/>
      <c r="D2230" s="344"/>
      <c r="E2230" s="313" t="str">
        <f>Translations!$B$1387</f>
        <v>Използвани действителни стойности</v>
      </c>
      <c r="F2230" s="302"/>
      <c r="G2230" s="302"/>
      <c r="H2230" s="527" t="str">
        <f>EUconst_Unit</f>
        <v>Единица мярка</v>
      </c>
      <c r="I2230" s="1868" t="str">
        <f>Translations!$B$1341</f>
        <v>Базова стойност</v>
      </c>
      <c r="J2230" s="1523">
        <f>J$2505</f>
        <v>2026</v>
      </c>
      <c r="K2230" s="387">
        <f>K$2505</f>
        <v>2027</v>
      </c>
      <c r="L2230" s="387">
        <f>L$2505</f>
        <v>2028</v>
      </c>
      <c r="M2230" s="387">
        <f>M$2505</f>
        <v>2029</v>
      </c>
      <c r="N2230" s="1544">
        <f>N$2505</f>
        <v>2030</v>
      </c>
      <c r="O2230" s="698"/>
      <c r="P2230" s="729"/>
      <c r="Q2230" s="729"/>
      <c r="R2230" s="729"/>
      <c r="S2230" s="1519" t="str">
        <f>Translations!$B$1284</f>
        <v>HAL</v>
      </c>
      <c r="T2230" s="770"/>
      <c r="U2230" s="343"/>
      <c r="V2230" s="343"/>
    </row>
    <row r="2231" spans="1:22" s="364" customFormat="1" x14ac:dyDescent="0.25">
      <c r="A2231" s="729"/>
      <c r="B2231" s="302"/>
      <c r="C2231" s="302"/>
      <c r="D2231" s="344"/>
      <c r="E2231" s="388" t="str">
        <f>Translations!$B$1390</f>
        <v>Използвано равнище на дейност</v>
      </c>
      <c r="F2231" s="388"/>
      <c r="G2231" s="388"/>
      <c r="H2231" s="1210" t="str">
        <f>F2200</f>
        <v>TJ</v>
      </c>
      <c r="I2231" s="1864" t="str">
        <f>IF($M2194&lt;&gt;EUconst_Relevant,"",IF(T2232&gt;=$H$2505,0,S2231))</f>
        <v/>
      </c>
      <c r="J2231" s="1844" t="str">
        <f>INDEX('G_Fall-back'!J:J,MATCH($P2231,'G_Fall-back'!$Q:$Q,0))</f>
        <v/>
      </c>
      <c r="K2231" s="1846" t="str">
        <f>INDEX('G_Fall-back'!K:K,MATCH($P2231,'G_Fall-back'!$Q:$Q,0))</f>
        <v/>
      </c>
      <c r="L2231" s="1846" t="str">
        <f>INDEX('G_Fall-back'!L:L,MATCH($P2231,'G_Fall-back'!$Q:$Q,0))</f>
        <v/>
      </c>
      <c r="M2231" s="1846" t="str">
        <f>INDEX('G_Fall-back'!M:M,MATCH($P2231,'G_Fall-back'!$Q:$Q,0))</f>
        <v/>
      </c>
      <c r="N2231" s="1847" t="str">
        <f>INDEX('G_Fall-back'!N:N,MATCH($P2231,'G_Fall-back'!$Q:$Q,0))</f>
        <v/>
      </c>
      <c r="O2231" s="698"/>
      <c r="P2231" s="1190" t="str">
        <f>EUconst_CNTR_HALfinal&amp;I2194</f>
        <v>HALfinal_Подинсталация с горивен показател (с риск от ИВЕ | в рамките на МКВЕГ)</v>
      </c>
      <c r="Q2231" s="729"/>
      <c r="R2231" s="729"/>
      <c r="S2231" s="1817" t="str">
        <f>IF($M2194&lt;&gt;EUconst_Relevant,"",SUMIF('G_Fall-back'!$Q:$Q,$P2231,'G_Fall-back'!I:I))</f>
        <v/>
      </c>
      <c r="T2231" s="770"/>
      <c r="U2231" s="343"/>
      <c r="V2231" s="343"/>
    </row>
    <row r="2232" spans="1:22" s="364" customFormat="1" x14ac:dyDescent="0.25">
      <c r="A2232" s="729"/>
      <c r="B2232" s="302"/>
      <c r="C2232" s="302"/>
      <c r="D2232" s="344"/>
      <c r="E2232" s="388" t="str">
        <f>Translations!$B$892</f>
        <v>Предварително разпределяне</v>
      </c>
      <c r="F2232" s="388"/>
      <c r="G2232" s="388"/>
      <c r="H2232" s="421" t="str">
        <f>EUconst_EUA</f>
        <v>Квота за емисии</v>
      </c>
      <c r="I2232" s="1867" t="str">
        <f>IF($M2194&lt;&gt;EUconst_Relevant,"",MAX(0,ROUND((SUM($M2197)*SUM(I2231))*IF($H2197=TRUE,1,IF($L2197=4,J$2413,J$2412)),0)))</f>
        <v/>
      </c>
      <c r="J2232" s="1694" t="str">
        <f>IF($M2194&lt;&gt;EUconst_Relevant,"",MAX(0,ROUND((SUM($M2197)*SUM(J2231))*IF($H2197=TRUE,1,IF($L2197=4,J$2413,J$2412))*IF($I2197=TRUE,INDEX(EUconst_CBAMFactor,J2207-2020),1)*IF($L2197&gt;=8,J$2415/0.97,1),0)))</f>
        <v/>
      </c>
      <c r="K2232" s="406" t="str">
        <f>IF($M2194&lt;&gt;EUconst_Relevant,"",MAX(0,ROUND((SUM($M2197)*SUM(K2231))*IF($H2197=TRUE,1,IF($L2197=4,K$2413,K$2412))*IF($I2197=TRUE,INDEX(EUconst_CBAMFactor,K2207-2020),1)*IF($L2197&gt;=8,K$2415/0.97,1),0)))</f>
        <v/>
      </c>
      <c r="L2232" s="406" t="str">
        <f>IF($M2194&lt;&gt;EUconst_Relevant,"",MAX(0,ROUND((SUM($M2197)*SUM(L2231))*IF($H2197=TRUE,1,IF($L2197=4,L$2413,L$2412))*IF($I2197=TRUE,INDEX(EUconst_CBAMFactor,L2207-2020),1)*IF($L2197&gt;=8,L$2415/0.97,1),0)))</f>
        <v/>
      </c>
      <c r="M2232" s="406" t="str">
        <f>IF($M2194&lt;&gt;EUconst_Relevant,"",MAX(0,ROUND((SUM($M2197)*SUM(M2231))*IF($H2197=TRUE,1,IF($L2197=4,M$2413,M$2412))*IF($I2197=TRUE,INDEX(EUconst_CBAMFactor,M2207-2020),1)*IF($L2197&gt;=8,M$2415/0.97,1),0)))</f>
        <v/>
      </c>
      <c r="N2232" s="1729" t="str">
        <f>IF($M2194&lt;&gt;EUconst_Relevant,"",MAX(0,ROUND((SUM($M2197)*SUM(N2231))*IF($H2197=TRUE,1,IF($L2197=4,N$2413,N$2412))*IF($I2197=TRUE,INDEX(EUconst_CBAMFactor,N2207-2020),1)*IF($L2197&gt;=8,N$2415/0.97,1),0)))</f>
        <v/>
      </c>
      <c r="O2232" s="698"/>
      <c r="P2232" s="1190" t="str">
        <f>EUconst_AllocPrelim&amp;I2194</f>
        <v>AllocPrelim_Подинсталация с горивен показател (с риск от ИВЕ | в рамките на МКВЕГ)</v>
      </c>
      <c r="Q2232" s="729"/>
      <c r="R2232" s="729"/>
      <c r="S2232" s="729"/>
      <c r="T2232" s="1176">
        <f>INDEX('G_Fall-back'!V:V,MATCH(L2197,'G_Fall-back'!C:C,0))</f>
        <v>2005</v>
      </c>
      <c r="U2232" s="727" t="b">
        <f>OR(INDEX(I2232:N2232,CNTR_ReportingYear-$I$2505)&lt;&gt;INDEX(I2232:N2232,CNTR_ReportingYear-$H$2505),
(CNTR_ReportingYear-T2232)&lt;=1)</f>
        <v>0</v>
      </c>
      <c r="V2232" s="716" t="b">
        <f ca="1">IF(I2232="",FALSE,COUNTIF(OFFSET(I2232,,,,MAX(1,CNTR_ReportingYear-$I$2505)),"&lt;&gt;" &amp; INDEX(I2232:N2232,CNTR_ReportingYear-$H$2505))&gt;0)</f>
        <v>0</v>
      </c>
    </row>
    <row r="2233" spans="1:22" s="364" customFormat="1" ht="5.15" customHeight="1" thickBot="1" x14ac:dyDescent="0.3">
      <c r="A2233" s="729"/>
      <c r="B2233" s="302"/>
      <c r="C2233" s="302"/>
      <c r="D2233" s="1801"/>
      <c r="E2233" s="1762"/>
      <c r="F2233" s="1762"/>
      <c r="G2233" s="1762"/>
      <c r="H2233" s="1762"/>
      <c r="I2233" s="1762"/>
      <c r="J2233" s="1762"/>
      <c r="K2233" s="1762"/>
      <c r="L2233" s="1762"/>
      <c r="M2233" s="1762"/>
      <c r="N2233" s="1764"/>
      <c r="O2233" s="698"/>
      <c r="P2233" s="729"/>
      <c r="Q2233" s="729"/>
      <c r="R2233" s="729"/>
      <c r="S2233" s="729"/>
      <c r="T2233" s="770"/>
      <c r="U2233" s="343"/>
      <c r="V2233" s="343"/>
    </row>
    <row r="2234" spans="1:22" s="364" customFormat="1" ht="5.15" customHeight="1" x14ac:dyDescent="0.25">
      <c r="A2234" s="729"/>
      <c r="B2234" s="302"/>
      <c r="C2234" s="302"/>
      <c r="D2234" s="302"/>
      <c r="E2234" s="302"/>
      <c r="F2234" s="302"/>
      <c r="G2234" s="302"/>
      <c r="M2234" s="302"/>
      <c r="N2234" s="302"/>
      <c r="O2234" s="698"/>
      <c r="P2234" s="729"/>
      <c r="Q2234" s="729"/>
      <c r="R2234" s="729"/>
      <c r="S2234" s="729"/>
      <c r="T2234" s="729"/>
      <c r="U2234" s="343"/>
      <c r="V2234" s="343"/>
    </row>
    <row r="2235" spans="1:22" s="364" customFormat="1" ht="5.15" customHeight="1" thickBot="1" x14ac:dyDescent="0.3">
      <c r="A2235" s="729"/>
      <c r="B2235" s="302"/>
      <c r="C2235" s="302"/>
      <c r="D2235" s="302"/>
      <c r="E2235" s="302"/>
      <c r="F2235" s="302"/>
      <c r="G2235" s="302"/>
      <c r="M2235" s="302"/>
      <c r="N2235" s="302"/>
      <c r="O2235" s="698"/>
      <c r="P2235" s="729"/>
      <c r="Q2235" s="729"/>
      <c r="R2235" s="729"/>
      <c r="S2235" s="729"/>
      <c r="T2235" s="729"/>
      <c r="U2235" s="343"/>
      <c r="V2235" s="343"/>
    </row>
    <row r="2236" spans="1:22" s="364" customFormat="1" ht="5.15" customHeight="1" x14ac:dyDescent="0.25">
      <c r="A2236" s="729"/>
      <c r="B2236" s="302"/>
      <c r="C2236" s="302"/>
      <c r="D2236" s="1872"/>
      <c r="E2236" s="1819"/>
      <c r="F2236" s="1300"/>
      <c r="G2236" s="1300"/>
      <c r="H2236" s="1300"/>
      <c r="I2236" s="1300"/>
      <c r="J2236" s="1300"/>
      <c r="K2236" s="1300"/>
      <c r="L2236" s="1300"/>
      <c r="M2236" s="1300"/>
      <c r="N2236" s="1301"/>
      <c r="O2236" s="698"/>
      <c r="P2236" s="729"/>
      <c r="Q2236" s="729"/>
      <c r="R2236" s="729"/>
      <c r="S2236" s="729"/>
      <c r="T2236" s="729"/>
      <c r="U2236" s="343"/>
      <c r="V2236" s="343"/>
    </row>
    <row r="2237" spans="1:22" s="364" customFormat="1" ht="13.5" thickBot="1" x14ac:dyDescent="0.3">
      <c r="A2237" s="729"/>
      <c r="B2237" s="302"/>
      <c r="C2237" s="302"/>
      <c r="D2237" s="1873"/>
      <c r="E2237" s="625"/>
      <c r="F2237" s="1874"/>
      <c r="G2237" s="627" t="str">
        <f>EUconst_Unit</f>
        <v>Единица мярка</v>
      </c>
      <c r="H2237" s="666">
        <f t="shared" ref="H2237:N2237" si="187">H$2505</f>
        <v>2024</v>
      </c>
      <c r="I2237" s="666">
        <f t="shared" si="187"/>
        <v>2025</v>
      </c>
      <c r="J2237" s="666">
        <f t="shared" si="187"/>
        <v>2026</v>
      </c>
      <c r="K2237" s="667">
        <f t="shared" si="187"/>
        <v>2027</v>
      </c>
      <c r="L2237" s="667">
        <f t="shared" si="187"/>
        <v>2028</v>
      </c>
      <c r="M2237" s="667">
        <f t="shared" si="187"/>
        <v>2029</v>
      </c>
      <c r="N2237" s="667">
        <f t="shared" si="187"/>
        <v>2030</v>
      </c>
      <c r="O2237" s="698"/>
      <c r="P2237" s="729"/>
      <c r="Q2237" s="729"/>
      <c r="R2237" s="729"/>
      <c r="S2237" s="729"/>
      <c r="T2237" s="729"/>
      <c r="U2237" s="343"/>
      <c r="V2237" s="343"/>
    </row>
    <row r="2238" spans="1:22" s="364" customFormat="1" ht="13.5" customHeight="1" thickBot="1" x14ac:dyDescent="0.3">
      <c r="A2238" s="729"/>
      <c r="B2238" s="302"/>
      <c r="C2238" s="302"/>
      <c r="D2238" s="1873"/>
      <c r="E2238" s="1875" t="str">
        <f>Translations!$B$956</f>
        <v>Общо зададени емисии</v>
      </c>
      <c r="F2238" s="1875"/>
      <c r="G2238" s="631" t="str">
        <f>EUconst_tCO2epa</f>
        <v>t CO2e/година</v>
      </c>
      <c r="H2238" s="661" t="str">
        <f>INDEX(H$95:H$114,MATCH($I2194,$E$95:$E$114,0))</f>
        <v/>
      </c>
      <c r="I2238" s="663" t="str">
        <f t="shared" ref="I2238:N2238" si="188">INDEX(I$95:I$114,MATCH($I2194,$E$95:$E$114,0))</f>
        <v/>
      </c>
      <c r="J2238" s="661" t="str">
        <f t="shared" si="188"/>
        <v/>
      </c>
      <c r="K2238" s="662" t="str">
        <f t="shared" si="188"/>
        <v/>
      </c>
      <c r="L2238" s="662" t="str">
        <f t="shared" si="188"/>
        <v/>
      </c>
      <c r="M2238" s="662" t="str">
        <f t="shared" si="188"/>
        <v/>
      </c>
      <c r="N2238" s="663" t="str">
        <f t="shared" si="188"/>
        <v/>
      </c>
      <c r="O2238" s="698"/>
      <c r="P2238" s="729"/>
      <c r="Q2238" s="729"/>
      <c r="R2238" s="729"/>
      <c r="S2238" s="729"/>
      <c r="T2238" s="770"/>
      <c r="U2238" s="343"/>
      <c r="V2238" s="343"/>
    </row>
    <row r="2239" spans="1:22" s="364" customFormat="1" ht="5.15" customHeight="1" x14ac:dyDescent="0.25">
      <c r="A2239" s="729"/>
      <c r="B2239" s="302"/>
      <c r="C2239" s="302"/>
      <c r="D2239" s="1873"/>
      <c r="E2239" s="625"/>
      <c r="F2239" s="625"/>
      <c r="G2239" s="625"/>
      <c r="H2239" s="635"/>
      <c r="I2239" s="635"/>
      <c r="J2239" s="635"/>
      <c r="K2239" s="635"/>
      <c r="L2239" s="635"/>
      <c r="M2239" s="635"/>
      <c r="N2239" s="635"/>
      <c r="O2239" s="698"/>
      <c r="P2239" s="729"/>
      <c r="Q2239" s="729"/>
      <c r="R2239" s="729"/>
      <c r="S2239" s="729"/>
      <c r="T2239" s="770"/>
      <c r="U2239" s="343"/>
      <c r="V2239" s="343"/>
    </row>
    <row r="2240" spans="1:22" s="364" customFormat="1" x14ac:dyDescent="0.25">
      <c r="A2240" s="729"/>
      <c r="B2240" s="302"/>
      <c r="C2240" s="302"/>
      <c r="D2240" s="1873"/>
      <c r="E2240" s="1876" t="str">
        <f>Translations!$B$521</f>
        <v>Вложени горива</v>
      </c>
      <c r="F2240" s="1877"/>
      <c r="G2240" s="1326" t="str">
        <f>EUconst_TJpa</f>
        <v>TJ / година</v>
      </c>
      <c r="H2240" s="482" t="str">
        <f>IF($M2194&lt;&gt;EUconst_Relevant,"",IF(INDEX('G_Fall-back'!H:H,MATCH($P2240,'G_Fall-back'!$Q:$Q,0))="","",INDEX('G_Fall-back'!H:H,MATCH($P2240,'G_Fall-back'!$Q:$Q,0))))</f>
        <v/>
      </c>
      <c r="I2240" s="1824" t="str">
        <f>IF($M2194&lt;&gt;EUconst_Relevant,"",IF(INDEX('G_Fall-back'!I:I,MATCH($P2240,'G_Fall-back'!$Q:$Q,0))="","",INDEX('G_Fall-back'!I:I,MATCH($P2240,'G_Fall-back'!$Q:$Q,0))))</f>
        <v/>
      </c>
      <c r="J2240" s="1825" t="str">
        <f>IF($M2194&lt;&gt;EUconst_Relevant,"",IF(INDEX('G_Fall-back'!J:J,MATCH($P2240,'G_Fall-back'!$Q:$Q,0))="","",INDEX('G_Fall-back'!J:J,MATCH($P2240,'G_Fall-back'!$Q:$Q,0))))</f>
        <v/>
      </c>
      <c r="K2240" s="482" t="str">
        <f>IF($M2194&lt;&gt;EUconst_Relevant,"",IF(INDEX('G_Fall-back'!K:K,MATCH($P2240,'G_Fall-back'!$Q:$Q,0))="","",INDEX('G_Fall-back'!K:K,MATCH($P2240,'G_Fall-back'!$Q:$Q,0))))</f>
        <v/>
      </c>
      <c r="L2240" s="482" t="str">
        <f>IF($M2194&lt;&gt;EUconst_Relevant,"",IF(INDEX('G_Fall-back'!L:L,MATCH($P2240,'G_Fall-back'!$Q:$Q,0))="","",INDEX('G_Fall-back'!L:L,MATCH($P2240,'G_Fall-back'!$Q:$Q,0))))</f>
        <v/>
      </c>
      <c r="M2240" s="482" t="str">
        <f>IF($M2194&lt;&gt;EUconst_Relevant,"",IF(INDEX('G_Fall-back'!M:M,MATCH($P2240,'G_Fall-back'!$Q:$Q,0))="","",INDEX('G_Fall-back'!M:M,MATCH($P2240,'G_Fall-back'!$Q:$Q,0))))</f>
        <v/>
      </c>
      <c r="N2240" s="482" t="str">
        <f>IF($M2194&lt;&gt;EUconst_Relevant,"",IF(INDEX('G_Fall-back'!N:N,MATCH($P2240,'G_Fall-back'!$Q:$Q,0))="","",INDEX('G_Fall-back'!N:N,MATCH($P2240,'G_Fall-back'!$Q:$Q,0))))</f>
        <v/>
      </c>
      <c r="O2240" s="698"/>
      <c r="P2240" s="1827" t="str">
        <f>EUconst_CNTR_FuelInput &amp; I2194</f>
        <v>FuelInput_Подинсталация с горивен показател (с риск от ИВЕ | в рамките на МКВЕГ)</v>
      </c>
      <c r="Q2240" s="729"/>
      <c r="R2240" s="729"/>
      <c r="S2240" s="729"/>
      <c r="T2240" s="729"/>
      <c r="U2240" s="343"/>
      <c r="V2240" s="343"/>
    </row>
    <row r="2241" spans="1:22" s="364" customFormat="1" ht="12.75" customHeight="1" x14ac:dyDescent="0.25">
      <c r="A2241" s="729"/>
      <c r="B2241" s="302"/>
      <c r="C2241" s="302"/>
      <c r="D2241" s="1873"/>
      <c r="E2241" s="1834" t="str">
        <f>Translations!$B$522</f>
        <v>Претеглен емисионен фактор</v>
      </c>
      <c r="F2241" s="1878"/>
      <c r="G2241" s="1329" t="str">
        <f>EUconst_tCO2pTJ</f>
        <v>t CO2 / TJ</v>
      </c>
      <c r="H2241" s="484" t="str">
        <f>IF($M2194&lt;&gt;EUconst_Relevant,"",IF(INDEX('G_Fall-back'!H:H,MATCH($P2241,'G_Fall-back'!$Q:$Q,0))="","",INDEX('G_Fall-back'!H:H,MATCH($P2241,'G_Fall-back'!$Q:$Q,0))))</f>
        <v/>
      </c>
      <c r="I2241" s="1828" t="str">
        <f>IF($M2194&lt;&gt;EUconst_Relevant,"",IF(INDEX('G_Fall-back'!I:I,MATCH($P2241,'G_Fall-back'!$Q:$Q,0))="","",INDEX('G_Fall-back'!I:I,MATCH($P2241,'G_Fall-back'!$Q:$Q,0))))</f>
        <v/>
      </c>
      <c r="J2241" s="1829" t="str">
        <f>IF($M2194&lt;&gt;EUconst_Relevant,"",IF(INDEX('G_Fall-back'!J:J,MATCH($P2241,'G_Fall-back'!$Q:$Q,0))="","",INDEX('G_Fall-back'!J:J,MATCH($P2241,'G_Fall-back'!$Q:$Q,0))))</f>
        <v/>
      </c>
      <c r="K2241" s="484" t="str">
        <f>IF($M2194&lt;&gt;EUconst_Relevant,"",IF(INDEX('G_Fall-back'!K:K,MATCH($P2241,'G_Fall-back'!$Q:$Q,0))="","",INDEX('G_Fall-back'!K:K,MATCH($P2241,'G_Fall-back'!$Q:$Q,0))))</f>
        <v/>
      </c>
      <c r="L2241" s="484" t="str">
        <f>IF($M2194&lt;&gt;EUconst_Relevant,"",IF(INDEX('G_Fall-back'!L:L,MATCH($P2241,'G_Fall-back'!$Q:$Q,0))="","",INDEX('G_Fall-back'!L:L,MATCH($P2241,'G_Fall-back'!$Q:$Q,0))))</f>
        <v/>
      </c>
      <c r="M2241" s="484" t="str">
        <f>IF($M2194&lt;&gt;EUconst_Relevant,"",IF(INDEX('G_Fall-back'!M:M,MATCH($P2241,'G_Fall-back'!$Q:$Q,0))="","",INDEX('G_Fall-back'!M:M,MATCH($P2241,'G_Fall-back'!$Q:$Q,0))))</f>
        <v/>
      </c>
      <c r="N2241" s="484" t="str">
        <f>IF($M2194&lt;&gt;EUconst_Relevant,"",IF(INDEX('G_Fall-back'!N:N,MATCH($P2241,'G_Fall-back'!$Q:$Q,0))="","",INDEX('G_Fall-back'!N:N,MATCH($P2241,'G_Fall-back'!$Q:$Q,0))))</f>
        <v/>
      </c>
      <c r="O2241" s="698"/>
      <c r="P2241" s="1500" t="str">
        <f>EUconst_CNTR_FuelEF &amp; I2194</f>
        <v>FuelEF_Подинсталация с горивен показател (с риск от ИВЕ | в рамките на МКВЕГ)</v>
      </c>
      <c r="Q2241" s="729"/>
      <c r="R2241" s="729"/>
      <c r="S2241" s="729"/>
      <c r="T2241" s="729"/>
      <c r="U2241" s="343"/>
      <c r="V2241" s="343"/>
    </row>
    <row r="2242" spans="1:22" s="364" customFormat="1" ht="12.75" customHeight="1" x14ac:dyDescent="0.25">
      <c r="A2242" s="729"/>
      <c r="B2242" s="302"/>
      <c r="C2242" s="302"/>
      <c r="D2242" s="1873"/>
      <c r="E2242" s="1876" t="str">
        <f>Translations!$B$637</f>
        <v>Вложени горива от отпадни газове</v>
      </c>
      <c r="F2242" s="1877"/>
      <c r="G2242" s="1326" t="str">
        <f>EUconst_TJpa</f>
        <v>TJ / година</v>
      </c>
      <c r="H2242" s="482" t="str">
        <f>IF($M2194&lt;&gt;EUconst_Relevant,"",IF(INDEX('G_Fall-back'!H:H,MATCH($P2242,'G_Fall-back'!$Q:$Q,0))="","",INDEX('G_Fall-back'!H:H,MATCH($P2242,'G_Fall-back'!$Q:$Q,0))))</f>
        <v/>
      </c>
      <c r="I2242" s="1824" t="str">
        <f>IF($M2194&lt;&gt;EUconst_Relevant,"",IF(INDEX('G_Fall-back'!I:I,MATCH($P2242,'G_Fall-back'!$Q:$Q,0))="","",INDEX('G_Fall-back'!I:I,MATCH($P2242,'G_Fall-back'!$Q:$Q,0))))</f>
        <v/>
      </c>
      <c r="J2242" s="1825" t="str">
        <f>IF($M2194&lt;&gt;EUconst_Relevant,"",IF(INDEX('G_Fall-back'!J:J,MATCH($P2242,'G_Fall-back'!$Q:$Q,0))="","",INDEX('G_Fall-back'!J:J,MATCH($P2242,'G_Fall-back'!$Q:$Q,0))))</f>
        <v/>
      </c>
      <c r="K2242" s="482" t="str">
        <f>IF($M2194&lt;&gt;EUconst_Relevant,"",IF(INDEX('G_Fall-back'!K:K,MATCH($P2242,'G_Fall-back'!$Q:$Q,0))="","",INDEX('G_Fall-back'!K:K,MATCH($P2242,'G_Fall-back'!$Q:$Q,0))))</f>
        <v/>
      </c>
      <c r="L2242" s="482" t="str">
        <f>IF($M2194&lt;&gt;EUconst_Relevant,"",IF(INDEX('G_Fall-back'!L:L,MATCH($P2242,'G_Fall-back'!$Q:$Q,0))="","",INDEX('G_Fall-back'!L:L,MATCH($P2242,'G_Fall-back'!$Q:$Q,0))))</f>
        <v/>
      </c>
      <c r="M2242" s="482" t="str">
        <f>IF($M2194&lt;&gt;EUconst_Relevant,"",IF(INDEX('G_Fall-back'!M:M,MATCH($P2242,'G_Fall-back'!$Q:$Q,0))="","",INDEX('G_Fall-back'!M:M,MATCH($P2242,'G_Fall-back'!$Q:$Q,0))))</f>
        <v/>
      </c>
      <c r="N2242" s="482" t="str">
        <f>IF($M2194&lt;&gt;EUconst_Relevant,"",IF(INDEX('G_Fall-back'!N:N,MATCH($P2242,'G_Fall-back'!$Q:$Q,0))="","",INDEX('G_Fall-back'!N:N,MATCH($P2242,'G_Fall-back'!$Q:$Q,0))))</f>
        <v/>
      </c>
      <c r="O2242" s="698"/>
      <c r="P2242" s="716" t="str">
        <f>EUconst_CNTR_WGConsumed &amp; I2194</f>
        <v>WasteGasCons_Подинсталация с горивен показател (с риск от ИВЕ | в рамките на МКВЕГ)</v>
      </c>
      <c r="Q2242" s="729"/>
      <c r="R2242" s="729"/>
      <c r="S2242" s="729"/>
      <c r="T2242" s="729"/>
      <c r="U2242" s="343"/>
      <c r="V2242" s="343"/>
    </row>
    <row r="2243" spans="1:22" s="364" customFormat="1" ht="12.75" customHeight="1" x14ac:dyDescent="0.25">
      <c r="A2243" s="729"/>
      <c r="B2243" s="302"/>
      <c r="C2243" s="302"/>
      <c r="D2243" s="1873"/>
      <c r="E2243" s="1834" t="str">
        <f>Translations!$B$522</f>
        <v>Претеглен емисионен фактор</v>
      </c>
      <c r="F2243" s="1878"/>
      <c r="G2243" s="1329" t="str">
        <f>EUconst_tCO2pTJ</f>
        <v>t CO2 / TJ</v>
      </c>
      <c r="H2243" s="484" t="str">
        <f>IF($M2194&lt;&gt;EUconst_Relevant,"",IF(INDEX('G_Fall-back'!H:H,MATCH($P2243,'G_Fall-back'!$Q:$Q,0))="","",INDEX('G_Fall-back'!H:H,MATCH($P2243,'G_Fall-back'!$Q:$Q,0))))</f>
        <v/>
      </c>
      <c r="I2243" s="1828" t="str">
        <f>IF($M2194&lt;&gt;EUconst_Relevant,"",IF(INDEX('G_Fall-back'!I:I,MATCH($P2243,'G_Fall-back'!$Q:$Q,0))="","",INDEX('G_Fall-back'!I:I,MATCH($P2243,'G_Fall-back'!$Q:$Q,0))))</f>
        <v/>
      </c>
      <c r="J2243" s="1829" t="str">
        <f>IF($M2194&lt;&gt;EUconst_Relevant,"",IF(INDEX('G_Fall-back'!J:J,MATCH($P2243,'G_Fall-back'!$Q:$Q,0))="","",INDEX('G_Fall-back'!J:J,MATCH($P2243,'G_Fall-back'!$Q:$Q,0))))</f>
        <v/>
      </c>
      <c r="K2243" s="484" t="str">
        <f>IF($M2194&lt;&gt;EUconst_Relevant,"",IF(INDEX('G_Fall-back'!K:K,MATCH($P2243,'G_Fall-back'!$Q:$Q,0))="","",INDEX('G_Fall-back'!K:K,MATCH($P2243,'G_Fall-back'!$Q:$Q,0))))</f>
        <v/>
      </c>
      <c r="L2243" s="484" t="str">
        <f>IF($M2194&lt;&gt;EUconst_Relevant,"",IF(INDEX('G_Fall-back'!L:L,MATCH($P2243,'G_Fall-back'!$Q:$Q,0))="","",INDEX('G_Fall-back'!L:L,MATCH($P2243,'G_Fall-back'!$Q:$Q,0))))</f>
        <v/>
      </c>
      <c r="M2243" s="484" t="str">
        <f>IF($M2194&lt;&gt;EUconst_Relevant,"",IF(INDEX('G_Fall-back'!M:M,MATCH($P2243,'G_Fall-back'!$Q:$Q,0))="","",INDEX('G_Fall-back'!M:M,MATCH($P2243,'G_Fall-back'!$Q:$Q,0))))</f>
        <v/>
      </c>
      <c r="N2243" s="484" t="str">
        <f>IF($M2194&lt;&gt;EUconst_Relevant,"",IF(INDEX('G_Fall-back'!N:N,MATCH($P2243,'G_Fall-back'!$Q:$Q,0))="","",INDEX('G_Fall-back'!N:N,MATCH($P2243,'G_Fall-back'!$Q:$Q,0))))</f>
        <v/>
      </c>
      <c r="O2243" s="698"/>
      <c r="P2243" s="1500" t="str">
        <f>EUconst_CNTR_WGConsumedEF &amp; I2194</f>
        <v>WasteGasConsEF_Подинсталация с горивен показател (с риск от ИВЕ | в рамките на МКВЕГ)</v>
      </c>
      <c r="Q2243" s="729"/>
      <c r="R2243" s="729"/>
      <c r="S2243" s="729"/>
      <c r="T2243" s="729"/>
      <c r="U2243" s="343"/>
      <c r="V2243" s="343"/>
    </row>
    <row r="2244" spans="1:22" s="364" customFormat="1" ht="12.75" customHeight="1" x14ac:dyDescent="0.25">
      <c r="A2244" s="729"/>
      <c r="B2244" s="302"/>
      <c r="C2244" s="302"/>
      <c r="D2244" s="1873"/>
      <c r="E2244" s="1876" t="str">
        <f>Translations!$B$1475</f>
        <v>Вложена електроенергия за производството на топлинна енергия</v>
      </c>
      <c r="F2244" s="1877"/>
      <c r="G2244" s="1326" t="str">
        <f>EUconst_TJpa</f>
        <v>TJ / година</v>
      </c>
      <c r="H2244" s="482" t="str">
        <f>IF($M2194&lt;&gt;EUconst_Relevant,"",IF(INDEX('G_Fall-back'!H:H,MATCH($P2244,'G_Fall-back'!$Q:$Q,0))="","",INDEX('G_Fall-back'!H:H,MATCH($P2244,'G_Fall-back'!$Q:$Q,0))))</f>
        <v/>
      </c>
      <c r="I2244" s="1824" t="str">
        <f>IF($M2194&lt;&gt;EUconst_Relevant,"",IF(INDEX('G_Fall-back'!I:I,MATCH($P2244,'G_Fall-back'!$Q:$Q,0))="","",INDEX('G_Fall-back'!I:I,MATCH($P2244,'G_Fall-back'!$Q:$Q,0))))</f>
        <v/>
      </c>
      <c r="J2244" s="1825" t="str">
        <f>IF($M2194&lt;&gt;EUconst_Relevant,"",IF(INDEX('G_Fall-back'!J:J,MATCH($P2244,'G_Fall-back'!$Q:$Q,0))="","",INDEX('G_Fall-back'!J:J,MATCH($P2244,'G_Fall-back'!$Q:$Q,0))))</f>
        <v/>
      </c>
      <c r="K2244" s="482" t="str">
        <f>IF($M2194&lt;&gt;EUconst_Relevant,"",IF(INDEX('G_Fall-back'!K:K,MATCH($P2244,'G_Fall-back'!$Q:$Q,0))="","",INDEX('G_Fall-back'!K:K,MATCH($P2244,'G_Fall-back'!$Q:$Q,0))))</f>
        <v/>
      </c>
      <c r="L2244" s="482" t="str">
        <f>IF($M2194&lt;&gt;EUconst_Relevant,"",IF(INDEX('G_Fall-back'!L:L,MATCH($P2244,'G_Fall-back'!$Q:$Q,0))="","",INDEX('G_Fall-back'!L:L,MATCH($P2244,'G_Fall-back'!$Q:$Q,0))))</f>
        <v/>
      </c>
      <c r="M2244" s="482" t="str">
        <f>IF($M2194&lt;&gt;EUconst_Relevant,"",IF(INDEX('G_Fall-back'!M:M,MATCH($P2244,'G_Fall-back'!$Q:$Q,0))="","",INDEX('G_Fall-back'!M:M,MATCH($P2244,'G_Fall-back'!$Q:$Q,0))))</f>
        <v/>
      </c>
      <c r="N2244" s="482" t="str">
        <f>IF($M2194&lt;&gt;EUconst_Relevant,"",IF(INDEX('G_Fall-back'!N:N,MATCH($P2244,'G_Fall-back'!$Q:$Q,0))="","",INDEX('G_Fall-back'!N:N,MATCH($P2244,'G_Fall-back'!$Q:$Q,0))))</f>
        <v/>
      </c>
      <c r="O2244" s="698"/>
      <c r="P2244" s="716" t="str">
        <f>EUconst_CNTR_ElectricityInput&amp; I2194</f>
        <v>ElectricityInput_Подинсталация с горивен показател (с риск от ИВЕ | в рамките на МКВЕГ)</v>
      </c>
      <c r="Q2244" s="729"/>
      <c r="R2244" s="729"/>
      <c r="S2244" s="729"/>
      <c r="T2244" s="729"/>
      <c r="U2244" s="343"/>
      <c r="V2244" s="343"/>
    </row>
    <row r="2245" spans="1:22" s="364" customFormat="1" ht="12.75" customHeight="1" x14ac:dyDescent="0.25">
      <c r="A2245" s="729"/>
      <c r="B2245" s="302"/>
      <c r="C2245" s="302"/>
      <c r="D2245" s="1873"/>
      <c r="E2245" s="1834" t="str">
        <f>Translations!$B$522</f>
        <v>Претеглен емисионен фактор</v>
      </c>
      <c r="F2245" s="1878"/>
      <c r="G2245" s="1329" t="str">
        <f>EUconst_tCO2pTJ</f>
        <v>t CO2 / TJ</v>
      </c>
      <c r="H2245" s="484" t="str">
        <f>IF($M2194&lt;&gt;EUconst_Relevant,"",IF(INDEX('G_Fall-back'!H:H,MATCH($P2245,'G_Fall-back'!$Q:$Q,0))="","",INDEX('G_Fall-back'!H:H,MATCH($P2245,'G_Fall-back'!$Q:$Q,0))))</f>
        <v/>
      </c>
      <c r="I2245" s="1828" t="str">
        <f>IF($M2194&lt;&gt;EUconst_Relevant,"",IF(INDEX('G_Fall-back'!I:I,MATCH($P2245,'G_Fall-back'!$Q:$Q,0))="","",INDEX('G_Fall-back'!I:I,MATCH($P2245,'G_Fall-back'!$Q:$Q,0))))</f>
        <v/>
      </c>
      <c r="J2245" s="1829" t="str">
        <f>IF($M2194&lt;&gt;EUconst_Relevant,"",IF(INDEX('G_Fall-back'!J:J,MATCH($P2245,'G_Fall-back'!$Q:$Q,0))="","",INDEX('G_Fall-back'!J:J,MATCH($P2245,'G_Fall-back'!$Q:$Q,0))))</f>
        <v/>
      </c>
      <c r="K2245" s="484" t="str">
        <f>IF($M2194&lt;&gt;EUconst_Relevant,"",IF(INDEX('G_Fall-back'!K:K,MATCH($P2245,'G_Fall-back'!$Q:$Q,0))="","",INDEX('G_Fall-back'!K:K,MATCH($P2245,'G_Fall-back'!$Q:$Q,0))))</f>
        <v/>
      </c>
      <c r="L2245" s="484" t="str">
        <f>IF($M2194&lt;&gt;EUconst_Relevant,"",IF(INDEX('G_Fall-back'!L:L,MATCH($P2245,'G_Fall-back'!$Q:$Q,0))="","",INDEX('G_Fall-back'!L:L,MATCH($P2245,'G_Fall-back'!$Q:$Q,0))))</f>
        <v/>
      </c>
      <c r="M2245" s="484" t="str">
        <f>IF($M2194&lt;&gt;EUconst_Relevant,"",IF(INDEX('G_Fall-back'!M:M,MATCH($P2245,'G_Fall-back'!$Q:$Q,0))="","",INDEX('G_Fall-back'!M:M,MATCH($P2245,'G_Fall-back'!$Q:$Q,0))))</f>
        <v/>
      </c>
      <c r="N2245" s="484" t="str">
        <f>IF($M2194&lt;&gt;EUconst_Relevant,"",IF(INDEX('G_Fall-back'!N:N,MATCH($P2245,'G_Fall-back'!$Q:$Q,0))="","",INDEX('G_Fall-back'!N:N,MATCH($P2245,'G_Fall-back'!$Q:$Q,0))))</f>
        <v/>
      </c>
      <c r="O2245" s="698"/>
      <c r="P2245" s="1500" t="str">
        <f>EUconst_CNTR_ElectricityEF &amp; I2194</f>
        <v>ElectricityEF_Подинсталация с горивен показател (с риск от ИВЕ | в рамките на МКВЕГ)</v>
      </c>
      <c r="Q2245" s="729"/>
      <c r="R2245" s="729"/>
      <c r="S2245" s="729"/>
      <c r="T2245" s="729"/>
      <c r="U2245" s="343"/>
      <c r="V2245" s="343"/>
    </row>
    <row r="2246" spans="1:22" s="364" customFormat="1" ht="5.15" customHeight="1" x14ac:dyDescent="0.25">
      <c r="A2246" s="729"/>
      <c r="B2246" s="302"/>
      <c r="C2246" s="302"/>
      <c r="D2246" s="1873"/>
      <c r="E2246" s="625"/>
      <c r="F2246" s="626"/>
      <c r="G2246" s="626"/>
      <c r="H2246" s="640"/>
      <c r="I2246" s="640"/>
      <c r="J2246" s="640"/>
      <c r="K2246" s="640"/>
      <c r="L2246" s="640"/>
      <c r="M2246" s="640"/>
      <c r="N2246" s="640"/>
      <c r="O2246" s="698"/>
      <c r="P2246" s="729"/>
      <c r="Q2246" s="729"/>
      <c r="R2246" s="729"/>
      <c r="S2246" s="729"/>
      <c r="T2246" s="729"/>
      <c r="U2246" s="343"/>
      <c r="V2246" s="343"/>
    </row>
    <row r="2247" spans="1:22" s="364" customFormat="1" x14ac:dyDescent="0.25">
      <c r="A2247" s="729"/>
      <c r="B2247" s="302"/>
      <c r="C2247" s="302"/>
      <c r="D2247" s="1873"/>
      <c r="E2247" s="1835" t="str">
        <f>Translations!$B$484</f>
        <v>Преки емисии</v>
      </c>
      <c r="F2247" s="1879"/>
      <c r="G2247" s="1319" t="str">
        <f>EUconst_tCO2pa</f>
        <v>t CO2 / година</v>
      </c>
      <c r="H2247" s="480" t="str">
        <f>IF($M2194&lt;&gt;EUconst_Relevant,"",IF(INDEX('G_Fall-back'!H:H,MATCH($P2247,'G_Fall-back'!$Q:$Q,0))="","",INDEX('G_Fall-back'!H:H,MATCH($P2247,'G_Fall-back'!$Q:$Q,0))))</f>
        <v/>
      </c>
      <c r="I2247" s="1399" t="str">
        <f>IF($M2194&lt;&gt;EUconst_Relevant,"",IF(INDEX('G_Fall-back'!I:I,MATCH($P2247,'G_Fall-back'!$Q:$Q,0))="","",INDEX('G_Fall-back'!I:I,MATCH($P2247,'G_Fall-back'!$Q:$Q,0))))</f>
        <v/>
      </c>
      <c r="J2247" s="1832" t="str">
        <f>IF($M2194&lt;&gt;EUconst_Relevant,"",IF(INDEX('G_Fall-back'!J:J,MATCH($P2247,'G_Fall-back'!$Q:$Q,0))="","",INDEX('G_Fall-back'!J:J,MATCH($P2247,'G_Fall-back'!$Q:$Q,0))))</f>
        <v/>
      </c>
      <c r="K2247" s="480" t="str">
        <f>IF($M2194&lt;&gt;EUconst_Relevant,"",IF(INDEX('G_Fall-back'!K:K,MATCH($P2247,'G_Fall-back'!$Q:$Q,0))="","",INDEX('G_Fall-back'!K:K,MATCH($P2247,'G_Fall-back'!$Q:$Q,0))))</f>
        <v/>
      </c>
      <c r="L2247" s="480" t="str">
        <f>IF($M2194&lt;&gt;EUconst_Relevant,"",IF(INDEX('G_Fall-back'!L:L,MATCH($P2247,'G_Fall-back'!$Q:$Q,0))="","",INDEX('G_Fall-back'!L:L,MATCH($P2247,'G_Fall-back'!$Q:$Q,0))))</f>
        <v/>
      </c>
      <c r="M2247" s="480" t="str">
        <f>IF($M2194&lt;&gt;EUconst_Relevant,"",IF(INDEX('G_Fall-back'!M:M,MATCH($P2247,'G_Fall-back'!$Q:$Q,0))="","",INDEX('G_Fall-back'!M:M,MATCH($P2247,'G_Fall-back'!$Q:$Q,0))))</f>
        <v/>
      </c>
      <c r="N2247" s="480" t="str">
        <f>IF($M2194&lt;&gt;EUconst_Relevant,"",IF(INDEX('G_Fall-back'!N:N,MATCH($P2247,'G_Fall-back'!$Q:$Q,0))="","",INDEX('G_Fall-back'!N:N,MATCH($P2247,'G_Fall-back'!$Q:$Q,0))))</f>
        <v/>
      </c>
      <c r="O2247" s="698"/>
      <c r="P2247" s="1500" t="str">
        <f>EUconst_CNTR_Emissions &amp; I2194</f>
        <v>DirEmissions_Подинсталация с горивен показател (с риск от ИВЕ | в рамките на МКВЕГ)</v>
      </c>
      <c r="Q2247" s="729"/>
      <c r="R2247" s="729"/>
      <c r="S2247" s="729"/>
      <c r="T2247" s="729"/>
      <c r="U2247" s="343"/>
      <c r="V2247" s="343"/>
    </row>
    <row r="2248" spans="1:22" s="364" customFormat="1" ht="5.15" customHeight="1" x14ac:dyDescent="0.25">
      <c r="A2248" s="729"/>
      <c r="B2248" s="302"/>
      <c r="C2248" s="302"/>
      <c r="D2248" s="1873"/>
      <c r="E2248" s="625"/>
      <c r="F2248" s="625"/>
      <c r="G2248" s="625"/>
      <c r="H2248" s="640"/>
      <c r="I2248" s="640"/>
      <c r="J2248" s="640"/>
      <c r="K2248" s="640"/>
      <c r="L2248" s="640"/>
      <c r="M2248" s="640"/>
      <c r="N2248" s="640"/>
      <c r="O2248" s="698"/>
      <c r="P2248" s="729"/>
      <c r="Q2248" s="729"/>
      <c r="R2248" s="729"/>
      <c r="S2248" s="729"/>
      <c r="T2248" s="729"/>
      <c r="U2248" s="343"/>
      <c r="V2248" s="343"/>
    </row>
    <row r="2249" spans="1:22" s="364" customFormat="1" ht="25" x14ac:dyDescent="0.25">
      <c r="A2249" s="729"/>
      <c r="B2249" s="302"/>
      <c r="C2249" s="302"/>
      <c r="D2249" s="1873"/>
      <c r="E2249" s="1835" t="str">
        <f>Translations!$B$560</f>
        <v>Нетно количество подадена топлинна енергия</v>
      </c>
      <c r="F2249" s="1879"/>
      <c r="G2249" s="1319" t="str">
        <f>EUconst_TJpa</f>
        <v>TJ / година</v>
      </c>
      <c r="H2249" s="480" t="str">
        <f>IF($M2194&lt;&gt;EUconst_Relevant,"",IF(INDEX('G_Fall-back'!H:H,MATCH($P2249,'G_Fall-back'!$Q:$Q,0))="","",INDEX('G_Fall-back'!H:H,MATCH($P2249,'G_Fall-back'!$Q:$Q,0))))</f>
        <v/>
      </c>
      <c r="I2249" s="1399" t="str">
        <f>IF($M2194&lt;&gt;EUconst_Relevant,"",IF(INDEX('G_Fall-back'!I:I,MATCH($P2249,'G_Fall-back'!$Q:$Q,0))="","",INDEX('G_Fall-back'!I:I,MATCH($P2249,'G_Fall-back'!$Q:$Q,0))))</f>
        <v/>
      </c>
      <c r="J2249" s="1832" t="str">
        <f>IF($M2194&lt;&gt;EUconst_Relevant,"",IF(INDEX('G_Fall-back'!J:J,MATCH($P2249,'G_Fall-back'!$Q:$Q,0))="","",INDEX('G_Fall-back'!J:J,MATCH($P2249,'G_Fall-back'!$Q:$Q,0))))</f>
        <v/>
      </c>
      <c r="K2249" s="480" t="str">
        <f>IF($M2194&lt;&gt;EUconst_Relevant,"",IF(INDEX('G_Fall-back'!K:K,MATCH($P2249,'G_Fall-back'!$Q:$Q,0))="","",INDEX('G_Fall-back'!K:K,MATCH($P2249,'G_Fall-back'!$Q:$Q,0))))</f>
        <v/>
      </c>
      <c r="L2249" s="480" t="str">
        <f>IF($M2194&lt;&gt;EUconst_Relevant,"",IF(INDEX('G_Fall-back'!L:L,MATCH($P2249,'G_Fall-back'!$Q:$Q,0))="","",INDEX('G_Fall-back'!L:L,MATCH($P2249,'G_Fall-back'!$Q:$Q,0))))</f>
        <v/>
      </c>
      <c r="M2249" s="480" t="str">
        <f>IF($M2194&lt;&gt;EUconst_Relevant,"",IF(INDEX('G_Fall-back'!M:M,MATCH($P2249,'G_Fall-back'!$Q:$Q,0))="","",INDEX('G_Fall-back'!M:M,MATCH($P2249,'G_Fall-back'!$Q:$Q,0))))</f>
        <v/>
      </c>
      <c r="N2249" s="480" t="str">
        <f>IF($M2194&lt;&gt;EUconst_Relevant,"",IF(INDEX('G_Fall-back'!N:N,MATCH($P2249,'G_Fall-back'!$Q:$Q,0))="","",INDEX('G_Fall-back'!N:N,MATCH($P2249,'G_Fall-back'!$Q:$Q,0))))</f>
        <v/>
      </c>
      <c r="O2249" s="698"/>
      <c r="P2249" s="1500" t="str">
        <f>EUconst_CNTR_HeatExport &amp; I2194</f>
        <v>HeatEx_Подинсталация с горивен показател (с риск от ИВЕ | в рамките на МКВЕГ)</v>
      </c>
      <c r="Q2249" s="729"/>
      <c r="R2249" s="729"/>
      <c r="S2249" s="729"/>
      <c r="T2249" s="729"/>
      <c r="U2249" s="343"/>
      <c r="V2249" s="343"/>
    </row>
    <row r="2250" spans="1:22" s="364" customFormat="1" ht="12.75" customHeight="1" x14ac:dyDescent="0.25">
      <c r="A2250" s="729"/>
      <c r="B2250" s="302"/>
      <c r="C2250" s="302"/>
      <c r="D2250" s="1873"/>
      <c r="E2250" s="1835" t="str">
        <f>Translations!$B$665</f>
        <v>Специфичен EF (подадена топлинна енергия)</v>
      </c>
      <c r="F2250" s="1879"/>
      <c r="G2250" s="1319" t="str">
        <f>EUconst_TJpa</f>
        <v>TJ / година</v>
      </c>
      <c r="H2250" s="480" t="str">
        <f>IF($M2194&lt;&gt;EUconst_Relevant,"",IF(INDEX('G_Fall-back'!H:H,MATCH($P2250,'G_Fall-back'!$Q:$Q,0))="","",INDEX('G_Fall-back'!H:H,MATCH($P2250,'G_Fall-back'!$Q:$Q,0))))</f>
        <v/>
      </c>
      <c r="I2250" s="1399" t="str">
        <f>IF($M2194&lt;&gt;EUconst_Relevant,"",IF(INDEX('G_Fall-back'!I:I,MATCH($P2250,'G_Fall-back'!$Q:$Q,0))="","",INDEX('G_Fall-back'!I:I,MATCH($P2250,'G_Fall-back'!$Q:$Q,0))))</f>
        <v/>
      </c>
      <c r="J2250" s="1832" t="str">
        <f>IF($M2194&lt;&gt;EUconst_Relevant,"",IF(INDEX('G_Fall-back'!J:J,MATCH($P2250,'G_Fall-back'!$Q:$Q,0))="","",INDEX('G_Fall-back'!J:J,MATCH($P2250,'G_Fall-back'!$Q:$Q,0))))</f>
        <v/>
      </c>
      <c r="K2250" s="480" t="str">
        <f>IF($M2194&lt;&gt;EUconst_Relevant,"",IF(INDEX('G_Fall-back'!K:K,MATCH($P2250,'G_Fall-back'!$Q:$Q,0))="","",INDEX('G_Fall-back'!K:K,MATCH($P2250,'G_Fall-back'!$Q:$Q,0))))</f>
        <v/>
      </c>
      <c r="L2250" s="480" t="str">
        <f>IF($M2194&lt;&gt;EUconst_Relevant,"",IF(INDEX('G_Fall-back'!L:L,MATCH($P2250,'G_Fall-back'!$Q:$Q,0))="","",INDEX('G_Fall-back'!L:L,MATCH($P2250,'G_Fall-back'!$Q:$Q,0))))</f>
        <v/>
      </c>
      <c r="M2250" s="480" t="str">
        <f>IF($M2194&lt;&gt;EUconst_Relevant,"",IF(INDEX('G_Fall-back'!M:M,MATCH($P2250,'G_Fall-back'!$Q:$Q,0))="","",INDEX('G_Fall-back'!M:M,MATCH($P2250,'G_Fall-back'!$Q:$Q,0))))</f>
        <v/>
      </c>
      <c r="N2250" s="480" t="str">
        <f>IF($M2194&lt;&gt;EUconst_Relevant,"",IF(INDEX('G_Fall-back'!N:N,MATCH($P2250,'G_Fall-back'!$Q:$Q,0))="","",INDEX('G_Fall-back'!N:N,MATCH($P2250,'G_Fall-back'!$Q:$Q,0))))</f>
        <v/>
      </c>
      <c r="O2250" s="698"/>
      <c r="P2250" s="1190" t="str">
        <f>EUconst_CNTR_HeatExportEF &amp; I2194</f>
        <v>HeatExEF_Подинсталация с горивен показател (с риск от ИВЕ | в рамките на МКВЕГ)</v>
      </c>
      <c r="Q2250" s="729"/>
      <c r="R2250" s="729"/>
      <c r="S2250" s="729"/>
      <c r="T2250" s="729"/>
      <c r="U2250" s="343"/>
      <c r="V2250" s="343"/>
    </row>
    <row r="2251" spans="1:22" s="364" customFormat="1" ht="5.15" customHeight="1" thickBot="1" x14ac:dyDescent="0.3">
      <c r="A2251" s="729"/>
      <c r="B2251" s="302"/>
      <c r="C2251" s="302"/>
      <c r="D2251" s="1880"/>
      <c r="E2251" s="1378"/>
      <c r="F2251" s="1378"/>
      <c r="G2251" s="1378"/>
      <c r="H2251" s="1378"/>
      <c r="I2251" s="1378"/>
      <c r="J2251" s="1378"/>
      <c r="K2251" s="1378"/>
      <c r="L2251" s="1378"/>
      <c r="M2251" s="1378"/>
      <c r="N2251" s="1379"/>
      <c r="O2251" s="698"/>
      <c r="P2251" s="729"/>
      <c r="Q2251" s="729"/>
      <c r="R2251" s="729"/>
      <c r="S2251" s="729"/>
      <c r="T2251" s="729"/>
      <c r="U2251" s="343"/>
      <c r="V2251" s="343"/>
    </row>
    <row r="2252" spans="1:22" s="364" customFormat="1" ht="5.15" customHeight="1" thickBot="1" x14ac:dyDescent="0.3">
      <c r="A2252" s="729"/>
      <c r="B2252" s="302"/>
      <c r="C2252" s="302"/>
      <c r="D2252" s="302"/>
      <c r="E2252" s="302"/>
      <c r="F2252" s="302"/>
      <c r="G2252" s="302"/>
      <c r="M2252" s="302"/>
      <c r="N2252" s="302"/>
      <c r="O2252" s="698"/>
      <c r="P2252" s="729"/>
      <c r="Q2252" s="729"/>
      <c r="R2252" s="729"/>
      <c r="S2252" s="729"/>
      <c r="T2252" s="729"/>
      <c r="U2252" s="343"/>
      <c r="V2252" s="343"/>
    </row>
    <row r="2253" spans="1:22" s="364" customFormat="1" ht="5.15" customHeight="1" thickBot="1" x14ac:dyDescent="0.3">
      <c r="A2253" s="729"/>
      <c r="B2253" s="284"/>
      <c r="C2253" s="581"/>
      <c r="D2253" s="581"/>
      <c r="E2253" s="581"/>
      <c r="F2253" s="581"/>
      <c r="G2253" s="581"/>
      <c r="H2253" s="581"/>
      <c r="I2253" s="581"/>
      <c r="J2253" s="581"/>
      <c r="K2253" s="581"/>
      <c r="L2253" s="581"/>
      <c r="M2253" s="581"/>
      <c r="N2253" s="581"/>
      <c r="O2253" s="698"/>
      <c r="P2253" s="729"/>
      <c r="Q2253" s="729"/>
      <c r="R2253" s="729"/>
      <c r="S2253" s="729"/>
      <c r="T2253" s="729"/>
      <c r="U2253" s="343"/>
      <c r="V2253" s="343"/>
    </row>
    <row r="2254" spans="1:22" s="364" customFormat="1" ht="15" customHeight="1" thickBot="1" x14ac:dyDescent="0.35">
      <c r="A2254" s="729"/>
      <c r="B2254" s="302"/>
      <c r="C2254" s="357">
        <f>C2194+1</f>
        <v>18</v>
      </c>
      <c r="D2254" s="2323" t="str">
        <f>CONCATENATE(EUconst_FBSubinst," ",C2254-10, ":")</f>
        <v>Алтернативна подинсталация („Fall-Back sub-installation“) 8:</v>
      </c>
      <c r="E2254" s="2323"/>
      <c r="F2254" s="2323"/>
      <c r="G2254" s="2323"/>
      <c r="H2254" s="2987"/>
      <c r="I2254" s="2988" t="str">
        <f>INDEX(EUconst_FallBackListNames,$C2254-10)</f>
        <v>Подинсталация с емисии от процеси (с риск от ИВЕ | извън МКВЕГ)</v>
      </c>
      <c r="J2254" s="2989"/>
      <c r="K2254" s="2989"/>
      <c r="L2254" s="2990"/>
      <c r="M2254" s="2919" t="str">
        <f>IF(INDEX(CNTR_FallBackSubInstRelevant,C2254-10)="","",IF(INDEX(CNTR_FallBackSubInstRelevant,C2254-10),EUconst_Relevant,EUconst_NotRelevant))</f>
        <v/>
      </c>
      <c r="N2254" s="2920"/>
      <c r="O2254" s="698"/>
      <c r="P2254" s="729"/>
      <c r="Q2254" s="1684">
        <f>C2254</f>
        <v>18</v>
      </c>
      <c r="R2254" s="1685" t="str">
        <f>I2254</f>
        <v>Подинсталация с емисии от процеси (с риск от ИВЕ | извън МКВЕГ)</v>
      </c>
      <c r="S2254" s="729"/>
      <c r="T2254" s="729"/>
      <c r="U2254" s="343"/>
      <c r="V2254" s="343"/>
    </row>
    <row r="2255" spans="1:22" s="364" customFormat="1" ht="5.15" customHeight="1" x14ac:dyDescent="0.3">
      <c r="A2255" s="729"/>
      <c r="B2255" s="302"/>
      <c r="C2255" s="357"/>
      <c r="D2255" s="357"/>
      <c r="E2255" s="357"/>
      <c r="F2255" s="357"/>
      <c r="G2255" s="357"/>
      <c r="H2255" s="357"/>
      <c r="I2255" s="357"/>
      <c r="J2255" s="357"/>
      <c r="K2255" s="357"/>
      <c r="L2255" s="357"/>
      <c r="M2255" s="357"/>
      <c r="N2255" s="357"/>
      <c r="O2255" s="698"/>
      <c r="P2255" s="729"/>
      <c r="Q2255" s="729"/>
      <c r="R2255" s="729"/>
      <c r="S2255" s="729"/>
      <c r="T2255" s="729"/>
      <c r="U2255" s="343"/>
      <c r="V2255" s="343"/>
    </row>
    <row r="2256" spans="1:22" s="364" customFormat="1" ht="12.75" customHeight="1" x14ac:dyDescent="0.3">
      <c r="A2256" s="729"/>
      <c r="B2256" s="302"/>
      <c r="C2256" s="357"/>
      <c r="D2256" s="357"/>
      <c r="E2256" s="357"/>
      <c r="F2256" s="357"/>
      <c r="H2256" s="595" t="str">
        <f>Translations!$B$942</f>
        <v>Риск от ИВЕ</v>
      </c>
      <c r="I2256" s="595" t="s">
        <v>2151</v>
      </c>
      <c r="J2256" s="595" t="str">
        <f>Translations!$B$946</f>
        <v>В/Е</v>
      </c>
      <c r="K2256" s="595" t="str">
        <f>Translations!$B$1360</f>
        <v>Спряна експлоатация</v>
      </c>
      <c r="L2256" s="654" t="str">
        <f>Translations!$B$944</f>
        <v>№ на п-л</v>
      </c>
      <c r="M2256" s="2991" t="str">
        <f>Translations!$B$948</f>
        <v>Стойност на п-л</v>
      </c>
      <c r="N2256" s="2991"/>
      <c r="O2256" s="698"/>
      <c r="P2256" s="729"/>
      <c r="Q2256" s="729"/>
      <c r="R2256" s="729"/>
      <c r="S2256" s="729"/>
      <c r="T2256" s="729"/>
      <c r="U2256" s="343"/>
      <c r="V2256" s="343"/>
    </row>
    <row r="2257" spans="1:22" s="364" customFormat="1" ht="12.75" customHeight="1" x14ac:dyDescent="0.3">
      <c r="A2257" s="729"/>
      <c r="B2257" s="302"/>
      <c r="C2257" s="357"/>
      <c r="D2257" s="357"/>
      <c r="E2257" s="361" t="str">
        <f>I2254</f>
        <v>Подинсталация с емисии от процеси (с риск от ИВЕ | извън МКВЕГ)</v>
      </c>
      <c r="F2257" s="373"/>
      <c r="G2257" s="373"/>
      <c r="H2257" s="600" t="b">
        <f>INDEX(EUconst_FallBackListCLstatus,MATCH(I2254,EUconst_FallBackListNames,0))</f>
        <v>1</v>
      </c>
      <c r="I2257" s="600" t="b">
        <f>INDEX(EUconst_FallBackListCBAMstatus,MATCH(I2254,EUconst_FallBackListNames,0))</f>
        <v>0</v>
      </c>
      <c r="J2257" s="655" t="str">
        <f>IF($M2254&lt;&gt;EUconst_Relevant,EUconst_NA,INDEX(CNTR_SubInstStartDate,MATCH(I2254,CNTR_SubInstListNames,0)))</f>
        <v>Не е приложимо</v>
      </c>
      <c r="K2257" s="655" t="str">
        <f>IF($M2254&lt;&gt;EUconst_Relevant,EUconst_NA,IF(INDEX(CNTR_SubInstCessationDate,MATCH(I2254,CNTR_SubInstListNames,0))=0,"",INDEX(CNTR_SubInstCessationDate,MATCH(I2254,CNTR_SubInstListNames,0))))</f>
        <v>Не е приложимо</v>
      </c>
      <c r="L2257" s="1687">
        <f>C2254-10</f>
        <v>8</v>
      </c>
      <c r="M2257" s="1841" t="str">
        <f>IF(M2254&lt;&gt;EUconst_Relevant,EUconst_NA,INDEX(EUconst_FallBackListBMvaluesMatrix,L2257,3))</f>
        <v>Не е приложимо</v>
      </c>
      <c r="N2257" s="382" t="str">
        <f>EUconst_EUA &amp; "/" &amp; F2260</f>
        <v>Квота за емисии/t CO2e</v>
      </c>
      <c r="O2257" s="698"/>
      <c r="P2257" s="729"/>
      <c r="Q2257" s="729"/>
      <c r="R2257" s="729"/>
      <c r="S2257" s="729"/>
      <c r="T2257" s="729"/>
      <c r="U2257" s="343"/>
      <c r="V2257" s="343"/>
    </row>
    <row r="2258" spans="1:22" s="364" customFormat="1" ht="5.15" customHeight="1" thickBot="1" x14ac:dyDescent="0.35">
      <c r="A2258" s="729"/>
      <c r="B2258" s="302"/>
      <c r="C2258" s="302"/>
      <c r="D2258" s="302"/>
      <c r="E2258" s="357"/>
      <c r="J2258" s="302"/>
      <c r="K2258" s="302"/>
      <c r="L2258" s="302"/>
      <c r="M2258" s="302"/>
      <c r="N2258" s="302"/>
      <c r="O2258" s="698"/>
      <c r="P2258" s="729"/>
      <c r="Q2258" s="729"/>
      <c r="R2258" s="729"/>
      <c r="S2258" s="729"/>
      <c r="T2258" s="770"/>
      <c r="U2258" s="343"/>
      <c r="V2258" s="343"/>
    </row>
    <row r="2259" spans="1:22" s="364" customFormat="1" ht="12.75" customHeight="1" x14ac:dyDescent="0.25">
      <c r="A2259" s="729"/>
      <c r="B2259" s="302"/>
      <c r="C2259" s="302"/>
      <c r="D2259" s="302"/>
      <c r="E2259" s="313"/>
      <c r="F2259" s="300" t="str">
        <f>EUconst_Unit</f>
        <v>Единица мярка</v>
      </c>
      <c r="G2259" s="1842" t="str">
        <f>Translations!$B$1284</f>
        <v>HAL</v>
      </c>
      <c r="H2259" s="757">
        <f t="shared" ref="H2259:N2259" si="189">H$2505</f>
        <v>2024</v>
      </c>
      <c r="I2259" s="572">
        <f t="shared" si="189"/>
        <v>2025</v>
      </c>
      <c r="J2259" s="757">
        <f t="shared" si="189"/>
        <v>2026</v>
      </c>
      <c r="K2259" s="391">
        <f t="shared" si="189"/>
        <v>2027</v>
      </c>
      <c r="L2259" s="391">
        <f t="shared" si="189"/>
        <v>2028</v>
      </c>
      <c r="M2259" s="391">
        <f t="shared" si="189"/>
        <v>2029</v>
      </c>
      <c r="N2259" s="391">
        <f t="shared" si="189"/>
        <v>2030</v>
      </c>
      <c r="O2259" s="698"/>
      <c r="P2259" s="729"/>
      <c r="Q2259" s="729" t="s">
        <v>1851</v>
      </c>
      <c r="R2259" s="1690">
        <f>J$2505</f>
        <v>2026</v>
      </c>
      <c r="S2259" s="1691">
        <f>K$2505</f>
        <v>2027</v>
      </c>
      <c r="T2259" s="1691">
        <f>L$2505</f>
        <v>2028</v>
      </c>
      <c r="U2259" s="1691">
        <f>M$2505</f>
        <v>2029</v>
      </c>
      <c r="V2259" s="1692">
        <f>N$2505</f>
        <v>2030</v>
      </c>
    </row>
    <row r="2260" spans="1:22" s="364" customFormat="1" ht="12.75" customHeight="1" thickBot="1" x14ac:dyDescent="0.3">
      <c r="A2260" s="729"/>
      <c r="B2260" s="302"/>
      <c r="C2260" s="302"/>
      <c r="D2260" s="302"/>
      <c r="E2260" s="388" t="str">
        <f>Translations!$B$1371</f>
        <v>Докладвано равнище на дейност</v>
      </c>
      <c r="F2260" s="1062" t="str">
        <f>INDEX(EUconst_FallBackListUnits,L2257)</f>
        <v>t CO2e</v>
      </c>
      <c r="G2260" s="1843" t="str">
        <f>I2291</f>
        <v/>
      </c>
      <c r="H2260" s="1844" t="str">
        <f>IF($M2254&lt;&gt;EUconst_Relevant,"",IF(H2259&gt;=CNTR_ReportingYear,"",SUMIF('G_Fall-back'!$Q:$Q,$P2260,'G_Fall-back'!H:H)))</f>
        <v/>
      </c>
      <c r="I2260" s="1845" t="str">
        <f>IF($M2254&lt;&gt;EUconst_Relevant,"",IF(I2259&gt;=CNTR_ReportingYear,"",SUMIF('G_Fall-back'!$Q:$Q,$P2260,'G_Fall-back'!I:I)))</f>
        <v/>
      </c>
      <c r="J2260" s="1844" t="str">
        <f>IF($M2254&lt;&gt;EUconst_Relevant,"",IF(J2259&gt;=CNTR_ReportingYear,"",SUMIF('G_Fall-back'!$Q:$Q,$P2260,'G_Fall-back'!J:J)))</f>
        <v/>
      </c>
      <c r="K2260" s="1846" t="str">
        <f>IF($M2254&lt;&gt;EUconst_Relevant,"",IF(K2259&gt;=CNTR_ReportingYear,"",SUMIF('G_Fall-back'!$Q:$Q,$P2260,'G_Fall-back'!K:K)))</f>
        <v/>
      </c>
      <c r="L2260" s="1846" t="str">
        <f>IF($M2254&lt;&gt;EUconst_Relevant,"",IF(L2259&gt;=CNTR_ReportingYear,"",SUMIF('G_Fall-back'!$Q:$Q,$P2260,'G_Fall-back'!L:L)))</f>
        <v/>
      </c>
      <c r="M2260" s="1846" t="str">
        <f>IF($M2254&lt;&gt;EUconst_Relevant,"",IF(M2259&gt;=CNTR_ReportingYear,"",SUMIF('G_Fall-back'!$Q:$Q,$P2260,'G_Fall-back'!M:M)))</f>
        <v/>
      </c>
      <c r="N2260" s="1846" t="str">
        <f>IF($M2254&lt;&gt;EUconst_Relevant,"",IF(N2259&gt;=CNTR_ReportingYear,"",SUMIF('G_Fall-back'!$Q:$Q,$P2260,'G_Fall-back'!N:N)))</f>
        <v/>
      </c>
      <c r="O2260" s="698"/>
      <c r="P2260" s="1190" t="str">
        <f>EUconst_CNTR_HAL&amp;I2254</f>
        <v>HAL_Подинсталация с емисии от процеси (с риск от ИВЕ | извън МКВЕГ)</v>
      </c>
      <c r="Q2260" s="729"/>
      <c r="R2260" s="1580" t="b">
        <f>AND($M2254=EUconst_Relevant,R2259&lt;=CNTR_ReportingYear,IF($J2257&lt;&gt;EUconst_NA,R2259&gt;=YEAR($J2257),TRUE))</f>
        <v>0</v>
      </c>
      <c r="S2260" s="1255" t="b">
        <f>AND($M2254=EUconst_Relevant,S2259&lt;=CNTR_ReportingYear,IF($J2257&lt;&gt;EUconst_NA,S2259&gt;=YEAR($J2257),TRUE))</f>
        <v>0</v>
      </c>
      <c r="T2260" s="1255" t="b">
        <f>AND($M2254=EUconst_Relevant,T2259&lt;=CNTR_ReportingYear,IF($J2257&lt;&gt;EUconst_NA,T2259&gt;=YEAR($J2257),TRUE))</f>
        <v>0</v>
      </c>
      <c r="U2260" s="1255" t="b">
        <f>AND($M2254=EUconst_Relevant,U2259&lt;=CNTR_ReportingYear,IF($J2257&lt;&gt;EUconst_NA,U2259&gt;=YEAR($J2257),TRUE))</f>
        <v>0</v>
      </c>
      <c r="V2260" s="1256" t="b">
        <f>AND($M2254=EUconst_Relevant,V2259&lt;=CNTR_ReportingYear,IF($J2257&lt;&gt;EUconst_NA,V2259&gt;=YEAR($J2257),TRUE))</f>
        <v>0</v>
      </c>
    </row>
    <row r="2261" spans="1:22" s="364" customFormat="1" ht="5.15" customHeight="1" thickBot="1" x14ac:dyDescent="0.3">
      <c r="A2261" s="729"/>
      <c r="B2261" s="302"/>
      <c r="C2261" s="302"/>
      <c r="D2261" s="302"/>
      <c r="F2261" s="302"/>
      <c r="G2261" s="302"/>
      <c r="H2261" s="302"/>
      <c r="I2261" s="1746"/>
      <c r="J2261" s="302"/>
      <c r="K2261" s="302"/>
      <c r="L2261" s="302"/>
      <c r="M2261" s="302"/>
      <c r="N2261" s="302"/>
      <c r="O2261" s="698"/>
      <c r="P2261" s="729"/>
      <c r="Q2261" s="729"/>
      <c r="R2261" s="729"/>
      <c r="S2261" s="729"/>
      <c r="T2261" s="770"/>
      <c r="U2261" s="343"/>
      <c r="V2261" s="343"/>
    </row>
    <row r="2262" spans="1:22" s="364" customFormat="1" ht="5.15" customHeight="1" x14ac:dyDescent="0.3">
      <c r="A2262" s="729"/>
      <c r="B2262" s="302"/>
      <c r="C2262" s="357"/>
      <c r="D2262" s="1695"/>
      <c r="E2262" s="1696"/>
      <c r="F2262" s="1696"/>
      <c r="G2262" s="1696"/>
      <c r="H2262" s="1696"/>
      <c r="I2262" s="1696"/>
      <c r="J2262" s="1696"/>
      <c r="K2262" s="1696"/>
      <c r="L2262" s="1696"/>
      <c r="M2262" s="1696"/>
      <c r="N2262" s="1697"/>
      <c r="O2262" s="698"/>
      <c r="P2262" s="729"/>
      <c r="Q2262" s="729"/>
      <c r="R2262" s="729"/>
      <c r="S2262" s="729"/>
      <c r="T2262" s="729"/>
      <c r="U2262" s="343"/>
      <c r="V2262" s="343"/>
    </row>
    <row r="2263" spans="1:22" s="364" customFormat="1" ht="12.75" customHeight="1" x14ac:dyDescent="0.3">
      <c r="A2263" s="729"/>
      <c r="B2263" s="302"/>
      <c r="C2263" s="357"/>
      <c r="D2263" s="1698"/>
      <c r="E2263" s="389" t="str">
        <f>Translations!$B$1372</f>
        <v>Приложимост на пълзящата средна стойност</v>
      </c>
      <c r="F2263" s="498"/>
      <c r="G2263" s="498"/>
      <c r="H2263" s="527" t="str">
        <f>EUconst_Unit</f>
        <v>Единица мярка</v>
      </c>
      <c r="I2263" s="1699"/>
      <c r="J2263" s="1523">
        <f>J$2505</f>
        <v>2026</v>
      </c>
      <c r="K2263" s="387">
        <f>K$2505</f>
        <v>2027</v>
      </c>
      <c r="L2263" s="387">
        <f>L$2505</f>
        <v>2028</v>
      </c>
      <c r="M2263" s="387">
        <f>M$2505</f>
        <v>2029</v>
      </c>
      <c r="N2263" s="1544">
        <f>N$2505</f>
        <v>2030</v>
      </c>
      <c r="O2263" s="698"/>
      <c r="P2263" s="729"/>
      <c r="Q2263" s="729"/>
      <c r="R2263" s="729"/>
      <c r="S2263" s="729"/>
      <c r="T2263" s="729"/>
      <c r="U2263" s="343"/>
      <c r="V2263" s="343"/>
    </row>
    <row r="2264" spans="1:22" s="364" customFormat="1" ht="12.75" customHeight="1" x14ac:dyDescent="0.3">
      <c r="A2264" s="729"/>
      <c r="B2264" s="302"/>
      <c r="C2264" s="357"/>
      <c r="D2264" s="1698"/>
      <c r="E2264" s="1700" t="str">
        <f>Translations!$B$1364</f>
        <v>Критерий 1: В експлоатация &gt; 2 години?</v>
      </c>
      <c r="F2264" s="1701"/>
      <c r="G2264" s="1701"/>
      <c r="H2264" s="1702" t="s">
        <v>1052</v>
      </c>
      <c r="I2264" s="1701"/>
      <c r="J2264" s="1703" t="str">
        <f>IF(R2260,INDEX('G_Fall-back'!V:V,MATCH($P2264,'G_Fall-back'!$Q:$Q,0))&gt;=3,"")</f>
        <v/>
      </c>
      <c r="K2264" s="1704" t="str">
        <f>IF(S2260,INDEX('G_Fall-back'!W:W,MATCH($P2264,'G_Fall-back'!$Q:$Q,0))&gt;=3,"")</f>
        <v/>
      </c>
      <c r="L2264" s="1704" t="str">
        <f>IF(T2260,INDEX('G_Fall-back'!X:X,MATCH($P2264,'G_Fall-back'!$Q:$Q,0))&gt;=3,"")</f>
        <v/>
      </c>
      <c r="M2264" s="1704" t="str">
        <f>IF(U2260,INDEX('G_Fall-back'!Y:Y,MATCH($P2264,'G_Fall-back'!$Q:$Q,0))&gt;=3,"")</f>
        <v/>
      </c>
      <c r="N2264" s="1705" t="str">
        <f>IF(V2260,INDEX('G_Fall-back'!Z:Z,MATCH($P2264,'G_Fall-back'!$Q:$Q,0))&gt;=3,"")</f>
        <v/>
      </c>
      <c r="O2264" s="698"/>
      <c r="P2264" s="1190" t="str">
        <f>EUconst_CNTR_HALinitial&amp;I2254</f>
        <v>HALini_Подинсталация с емисии от процеси (с риск от ИВЕ | извън МКВЕГ)</v>
      </c>
      <c r="Q2264" s="729"/>
      <c r="R2264" s="729"/>
      <c r="S2264" s="729"/>
      <c r="T2264" s="729"/>
      <c r="U2264" s="343"/>
      <c r="V2264" s="343"/>
    </row>
    <row r="2265" spans="1:22" s="364" customFormat="1" ht="12.75" customHeight="1" x14ac:dyDescent="0.3">
      <c r="A2265" s="729"/>
      <c r="B2265" s="302"/>
      <c r="C2265" s="357"/>
      <c r="D2265" s="1698"/>
      <c r="E2265" s="1706" t="str">
        <f>Translations!$B$1366</f>
        <v>Критерий 2: Не е спряна от експлоатация през предходната година?</v>
      </c>
      <c r="F2265" s="1707"/>
      <c r="G2265" s="1707"/>
      <c r="H2265" s="1708" t="s">
        <v>1052</v>
      </c>
      <c r="I2265" s="1707"/>
      <c r="J2265" s="1709" t="str">
        <f>IF(R2260,IF($K2257="",2050,YEAR($K2257))&lt;&gt;(J2263-1),"")</f>
        <v/>
      </c>
      <c r="K2265" s="1710" t="str">
        <f>IF(S2260,IF($K2257="",2050,YEAR($K2257))&lt;&gt;(K2263-1),"")</f>
        <v/>
      </c>
      <c r="L2265" s="1710" t="str">
        <f>IF(T2260,IF($K2257="",2050,YEAR($K2257))&lt;&gt;(L2263-1),"")</f>
        <v/>
      </c>
      <c r="M2265" s="1710" t="str">
        <f>IF(U2260,IF($K2257="",2050,YEAR($K2257))&lt;&gt;(M2263-1),"")</f>
        <v/>
      </c>
      <c r="N2265" s="1711" t="str">
        <f>IF(V2260,IF($K2257="",2050,YEAR($K2257))&lt;&gt;(N2263-1),"")</f>
        <v/>
      </c>
      <c r="O2265" s="698"/>
      <c r="P2265" s="729"/>
      <c r="Q2265" s="729"/>
      <c r="R2265" s="729"/>
      <c r="S2265" s="729"/>
      <c r="T2265" s="729"/>
      <c r="U2265" s="343"/>
      <c r="V2265" s="343"/>
    </row>
    <row r="2266" spans="1:22" s="364" customFormat="1" ht="5.15" customHeight="1" x14ac:dyDescent="0.3">
      <c r="A2266" s="729"/>
      <c r="B2266" s="302"/>
      <c r="C2266" s="357"/>
      <c r="D2266" s="1698"/>
      <c r="E2266" s="357"/>
      <c r="F2266" s="357"/>
      <c r="G2266" s="357"/>
      <c r="H2266" s="357"/>
      <c r="I2266" s="357"/>
      <c r="J2266" s="357"/>
      <c r="K2266" s="357"/>
      <c r="L2266" s="357"/>
      <c r="M2266" s="357"/>
      <c r="N2266" s="1712"/>
      <c r="O2266" s="698"/>
      <c r="P2266" s="729"/>
      <c r="Q2266" s="729"/>
      <c r="R2266" s="729"/>
      <c r="S2266" s="729"/>
      <c r="T2266" s="729"/>
      <c r="U2266" s="343"/>
      <c r="V2266" s="343"/>
    </row>
    <row r="2267" spans="1:22" s="364" customFormat="1" ht="12.75" customHeight="1" x14ac:dyDescent="0.3">
      <c r="A2267" s="729"/>
      <c r="B2267" s="302"/>
      <c r="C2267" s="357"/>
      <c r="D2267" s="1698"/>
      <c r="E2267" s="313" t="str">
        <f>Translations!$B$1373</f>
        <v>Промени: Няма промяна (базова стойност)</v>
      </c>
      <c r="F2267" s="302"/>
      <c r="G2267" s="302"/>
      <c r="H2267" s="527" t="str">
        <f>EUconst_Unit</f>
        <v>Единица мярка</v>
      </c>
      <c r="I2267" s="1699"/>
      <c r="J2267" s="757">
        <f>J$2505</f>
        <v>2026</v>
      </c>
      <c r="K2267" s="391">
        <f>K$2505</f>
        <v>2027</v>
      </c>
      <c r="L2267" s="391">
        <f>L$2505</f>
        <v>2028</v>
      </c>
      <c r="M2267" s="391">
        <f>M$2505</f>
        <v>2029</v>
      </c>
      <c r="N2267" s="1713">
        <f>N$2505</f>
        <v>2030</v>
      </c>
      <c r="O2267" s="698"/>
      <c r="P2267" s="729"/>
      <c r="Q2267" s="729"/>
      <c r="R2267" s="729"/>
      <c r="S2267" s="729"/>
      <c r="T2267" s="729"/>
      <c r="U2267" s="343"/>
      <c r="V2267" s="343"/>
    </row>
    <row r="2268" spans="1:22" s="364" customFormat="1" ht="12.75" customHeight="1" x14ac:dyDescent="0.3">
      <c r="A2268" s="729"/>
      <c r="B2268" s="302"/>
      <c r="C2268" s="357"/>
      <c r="D2268" s="1698"/>
      <c r="E2268" s="388" t="s">
        <v>2140</v>
      </c>
      <c r="F2268" s="388"/>
      <c r="G2268" s="388"/>
      <c r="H2268" s="1210" t="str">
        <f>F2260</f>
        <v>t CO2e</v>
      </c>
      <c r="I2268" s="388"/>
      <c r="J2268" s="1844" t="str">
        <f>IF(T2292&gt;=$H$2505,S2291,I2291)</f>
        <v/>
      </c>
      <c r="K2268" s="1846" t="str">
        <f>J2291</f>
        <v/>
      </c>
      <c r="L2268" s="1846" t="str">
        <f>K2291</f>
        <v/>
      </c>
      <c r="M2268" s="1846" t="str">
        <f>L2291</f>
        <v/>
      </c>
      <c r="N2268" s="1847" t="str">
        <f>M2291</f>
        <v/>
      </c>
      <c r="O2268" s="698"/>
      <c r="P2268" s="729"/>
      <c r="Q2268" s="729"/>
      <c r="R2268" s="729"/>
      <c r="S2268" s="729"/>
      <c r="T2268" s="729"/>
      <c r="U2268" s="343"/>
      <c r="V2268" s="343"/>
    </row>
    <row r="2269" spans="1:22" s="364" customFormat="1" ht="12.75" customHeight="1" x14ac:dyDescent="0.3">
      <c r="A2269" s="729"/>
      <c r="B2269" s="302"/>
      <c r="C2269" s="357"/>
      <c r="D2269" s="1698"/>
      <c r="E2269" s="388" t="str">
        <f>Translations!$B$1374</f>
        <v>Стойност на предварително разпределяне</v>
      </c>
      <c r="F2269" s="388"/>
      <c r="G2269" s="388"/>
      <c r="H2269" s="421" t="str">
        <f>EUconst_EUA</f>
        <v>Квота за емисии</v>
      </c>
      <c r="I2269" s="1728"/>
      <c r="J2269" s="1694" t="str">
        <f>IF($M2254&lt;&gt;EUconst_Relevant,"",MAX(0,ROUND((SUM($M2257)*SUM(J2268))*IF($H2257=TRUE,1,IF($L2257=4,J$2413,J$2412))*IF($I2257=TRUE,INDEX(EUconst_CBAMFactor,J2267-2020),1)*IF($L2257&gt;=8,J$2415/0.97,1),0)))</f>
        <v/>
      </c>
      <c r="K2269" s="406" t="str">
        <f>IF($M2254&lt;&gt;EUconst_Relevant,"",MAX(0,ROUND((SUM($M2257)*SUM(K2268))*IF($H2257=TRUE,1,IF($L2257=4,K$2413,K$2412))*IF($I2257=TRUE,INDEX(EUconst_CBAMFactor,K2267-2020),1)*IF($L2257&gt;=8,K$2415/0.97,1),0)))</f>
        <v/>
      </c>
      <c r="L2269" s="406" t="str">
        <f>IF($M2254&lt;&gt;EUconst_Relevant,"",MAX(0,ROUND((SUM($M2257)*SUM(L2268))*IF($H2257=TRUE,1,IF($L2257=4,L$2413,L$2412))*IF($I2257=TRUE,INDEX(EUconst_CBAMFactor,L2267-2020),1)*IF($L2257&gt;=8,L$2415/0.97,1),0)))</f>
        <v/>
      </c>
      <c r="M2269" s="406" t="str">
        <f>IF($M2254&lt;&gt;EUconst_Relevant,"",MAX(0,ROUND((SUM($M2257)*SUM(M2268))*IF($H2257=TRUE,1,IF($L2257=4,M$2413,M$2412))*IF($I2257=TRUE,INDEX(EUconst_CBAMFactor,M2267-2020),1)*IF($L2257&gt;=8,M$2415/0.97,1),0)))</f>
        <v/>
      </c>
      <c r="N2269" s="1729" t="str">
        <f>IF($M2254&lt;&gt;EUconst_Relevant,"",MAX(0,ROUND((SUM($M2257)*SUM(N2268))*IF($H2257=TRUE,1,IF($L2257=4,N$2413,N$2412))*IF($I2257=TRUE,INDEX(EUconst_CBAMFactor,N2267-2020),1)*IF($L2257&gt;=8,N$2415/0.97,1),0)))</f>
        <v/>
      </c>
      <c r="O2269" s="698"/>
      <c r="P2269" s="729"/>
      <c r="Q2269" s="729"/>
      <c r="R2269" s="729"/>
      <c r="S2269" s="729"/>
      <c r="T2269" s="729"/>
      <c r="U2269" s="343"/>
      <c r="V2269" s="343"/>
    </row>
    <row r="2270" spans="1:22" s="364" customFormat="1" ht="5.15" customHeight="1" x14ac:dyDescent="0.3">
      <c r="A2270" s="729"/>
      <c r="B2270" s="302"/>
      <c r="C2270" s="357"/>
      <c r="D2270" s="1698"/>
      <c r="E2270" s="357"/>
      <c r="F2270" s="357"/>
      <c r="G2270" s="357"/>
      <c r="H2270" s="357"/>
      <c r="I2270" s="357"/>
      <c r="J2270" s="357"/>
      <c r="K2270" s="357"/>
      <c r="L2270" s="357"/>
      <c r="M2270" s="357"/>
      <c r="N2270" s="1712"/>
      <c r="O2270" s="698"/>
      <c r="P2270" s="729"/>
      <c r="Q2270" s="729"/>
      <c r="R2270" s="729"/>
      <c r="S2270" s="729"/>
      <c r="T2270" s="729"/>
      <c r="U2270" s="343"/>
      <c r="V2270" s="343"/>
    </row>
    <row r="2271" spans="1:22" s="364" customFormat="1" ht="12.75" customHeight="1" x14ac:dyDescent="0.3">
      <c r="A2271" s="729"/>
      <c r="B2271" s="302"/>
      <c r="C2271" s="357"/>
      <c r="D2271" s="1698"/>
      <c r="E2271" s="389" t="str">
        <f>Translations!$B$1375</f>
        <v>Промени: Равнище на дейност</v>
      </c>
      <c r="F2271" s="498"/>
      <c r="G2271" s="498"/>
      <c r="H2271" s="527" t="str">
        <f>EUconst_Unit</f>
        <v>Единица мярка</v>
      </c>
      <c r="I2271" s="1699"/>
      <c r="J2271" s="1523">
        <f>J$2505</f>
        <v>2026</v>
      </c>
      <c r="K2271" s="387">
        <f>K$2505</f>
        <v>2027</v>
      </c>
      <c r="L2271" s="387">
        <f>L$2505</f>
        <v>2028</v>
      </c>
      <c r="M2271" s="387">
        <f>M$2505</f>
        <v>2029</v>
      </c>
      <c r="N2271" s="1544">
        <f>N$2505</f>
        <v>2030</v>
      </c>
      <c r="O2271" s="698"/>
      <c r="P2271" s="729"/>
      <c r="Q2271" s="729"/>
      <c r="R2271" s="729"/>
      <c r="S2271" s="729"/>
      <c r="T2271" s="729"/>
      <c r="U2271" s="343"/>
      <c r="V2271" s="343"/>
    </row>
    <row r="2272" spans="1:22" s="364" customFormat="1" ht="12.75" customHeight="1" x14ac:dyDescent="0.3">
      <c r="A2272" s="729"/>
      <c r="B2272" s="302"/>
      <c r="C2272" s="357"/>
      <c r="D2272" s="1698"/>
      <c r="E2272" s="392" t="str">
        <f>Translations!$B$1328</f>
        <v>Средна годишна стойност</v>
      </c>
      <c r="F2272" s="392"/>
      <c r="G2272" s="392"/>
      <c r="H2272" s="1730" t="str">
        <f>H2268</f>
        <v>t CO2e</v>
      </c>
      <c r="I2272" s="1731"/>
      <c r="J2272" s="1848" t="str">
        <f>INDEX('G_Fall-back'!J:J,MATCH($P2272,'G_Fall-back'!$Q:$Q,0))</f>
        <v/>
      </c>
      <c r="K2272" s="1849" t="str">
        <f>INDEX('G_Fall-back'!K:K,MATCH($P2272,'G_Fall-back'!$Q:$Q,0))</f>
        <v/>
      </c>
      <c r="L2272" s="1849" t="str">
        <f>INDEX('G_Fall-back'!L:L,MATCH($P2272,'G_Fall-back'!$Q:$Q,0))</f>
        <v/>
      </c>
      <c r="M2272" s="1849" t="str">
        <f>INDEX('G_Fall-back'!M:M,MATCH($P2272,'G_Fall-back'!$Q:$Q,0))</f>
        <v/>
      </c>
      <c r="N2272" s="1850" t="str">
        <f>INDEX('G_Fall-back'!N:N,MATCH($P2272,'G_Fall-back'!$Q:$Q,0))</f>
        <v/>
      </c>
      <c r="O2272" s="698"/>
      <c r="P2272" s="1190" t="str">
        <f>EUconst_CNTR_HALinitial&amp;I2254</f>
        <v>HALini_Подинсталация с емисии от процеси (с риск от ИВЕ | извън МКВЕГ)</v>
      </c>
      <c r="Q2272" s="729"/>
      <c r="R2272" s="729"/>
      <c r="S2272" s="729"/>
      <c r="T2272" s="729"/>
      <c r="U2272" s="343"/>
      <c r="V2272" s="343"/>
    </row>
    <row r="2273" spans="1:22" s="364" customFormat="1" ht="12.75" customHeight="1" x14ac:dyDescent="0.3">
      <c r="A2273" s="729"/>
      <c r="B2273" s="302"/>
      <c r="C2273" s="357"/>
      <c r="D2273" s="1698"/>
      <c r="E2273" s="398" t="str">
        <f>Translations!$B$1376</f>
        <v>Промяна в сравнение с HAL</v>
      </c>
      <c r="F2273" s="398"/>
      <c r="G2273" s="398"/>
      <c r="H2273" s="1751" t="s">
        <v>1052</v>
      </c>
      <c r="I2273" s="1735"/>
      <c r="J2273" s="159" t="str">
        <f>INDEX('G_Fall-back'!J:J,MATCH($P2273,'G_Fall-back'!$Q:$Q,0))</f>
        <v/>
      </c>
      <c r="K2273" s="160" t="str">
        <f>INDEX('G_Fall-back'!K:K,MATCH($P2273,'G_Fall-back'!$Q:$Q,0))</f>
        <v/>
      </c>
      <c r="L2273" s="160" t="str">
        <f>INDEX('G_Fall-back'!L:L,MATCH($P2273,'G_Fall-back'!$Q:$Q,0))</f>
        <v/>
      </c>
      <c r="M2273" s="160" t="str">
        <f>INDEX('G_Fall-back'!M:M,MATCH($P2273,'G_Fall-back'!$Q:$Q,0))</f>
        <v/>
      </c>
      <c r="N2273" s="161" t="str">
        <f>INDEX('G_Fall-back'!N:N,MATCH($P2273,'G_Fall-back'!$Q:$Q,0))</f>
        <v/>
      </c>
      <c r="O2273" s="698"/>
      <c r="P2273" s="1190" t="str">
        <f>EUconst_CNTR_RelThreshold &amp; I2254</f>
        <v>RelThresh_Подинсталация с емисии от процеси (с риск от ИВЕ | извън МКВЕГ)</v>
      </c>
      <c r="Q2273" s="729"/>
      <c r="R2273" s="729"/>
      <c r="S2273" s="729"/>
      <c r="T2273" s="729"/>
      <c r="U2273" s="343"/>
      <c r="V2273" s="343"/>
    </row>
    <row r="2274" spans="1:22" s="364" customFormat="1" ht="12.75" customHeight="1" x14ac:dyDescent="0.3">
      <c r="A2274" s="729"/>
      <c r="B2274" s="302"/>
      <c r="C2274" s="357"/>
      <c r="D2274" s="1698"/>
      <c r="E2274" s="1851" t="str">
        <f>Translations!$B$1590</f>
        <v>Критерий 3a: Надвишен ли е относителният праг?</v>
      </c>
      <c r="F2274" s="1851"/>
      <c r="G2274" s="1851"/>
      <c r="H2274" s="1852" t="s">
        <v>1052</v>
      </c>
      <c r="I2274" s="1852"/>
      <c r="J2274" s="1853" t="str">
        <f>INDEX('G_Fall-back'!V:V,MATCH($P2274,'G_Fall-back'!$Q:$Q,0)+1)</f>
        <v/>
      </c>
      <c r="K2274" s="1854" t="str">
        <f>INDEX('G_Fall-back'!W:W,MATCH($P2274,'G_Fall-back'!$Q:$Q,0)+1)</f>
        <v/>
      </c>
      <c r="L2274" s="1854" t="str">
        <f>INDEX('G_Fall-back'!X:X,MATCH($P2274,'G_Fall-back'!$Q:$Q,0)+1)</f>
        <v/>
      </c>
      <c r="M2274" s="1854" t="str">
        <f>INDEX('G_Fall-back'!Y:Y,MATCH($P2274,'G_Fall-back'!$Q:$Q,0)+1)</f>
        <v/>
      </c>
      <c r="N2274" s="1855" t="str">
        <f>INDEX('G_Fall-back'!Z:Z,MATCH($P2274,'G_Fall-back'!$Q:$Q,0)+1)</f>
        <v/>
      </c>
      <c r="O2274" s="698"/>
      <c r="P2274" s="1190" t="str">
        <f>P2273</f>
        <v>RelThresh_Подинсталация с емисии от процеси (с риск от ИВЕ | извън МКВЕГ)</v>
      </c>
      <c r="Q2274" s="729"/>
      <c r="R2274" s="729"/>
      <c r="S2274" s="729"/>
      <c r="T2274" s="729"/>
      <c r="U2274" s="343"/>
      <c r="V2274" s="343"/>
    </row>
    <row r="2275" spans="1:22" s="364" customFormat="1" ht="12.75" customHeight="1" x14ac:dyDescent="0.3">
      <c r="A2275" s="729"/>
      <c r="B2275" s="302"/>
      <c r="C2275" s="357"/>
      <c r="D2275" s="1698"/>
      <c r="E2275" s="392" t="str">
        <f>Translations!$B$1579</f>
        <v>Очаквано равнище на дейност</v>
      </c>
      <c r="F2275" s="392"/>
      <c r="G2275" s="392"/>
      <c r="H2275" s="1730" t="str">
        <f>F2260</f>
        <v>t CO2e</v>
      </c>
      <c r="I2275" s="392"/>
      <c r="J2275" s="1848" t="str">
        <f>INDEX('G_Fall-back'!J:J,MATCH($P2275,'G_Fall-back'!$Q:$Q,0))</f>
        <v/>
      </c>
      <c r="K2275" s="1849" t="str">
        <f>INDEX('G_Fall-back'!K:K,MATCH($P2275,'G_Fall-back'!$Q:$Q,0))</f>
        <v/>
      </c>
      <c r="L2275" s="1849" t="str">
        <f>INDEX('G_Fall-back'!L:L,MATCH($P2275,'G_Fall-back'!$Q:$Q,0))</f>
        <v/>
      </c>
      <c r="M2275" s="1849" t="str">
        <f>INDEX('G_Fall-back'!M:M,MATCH($P2275,'G_Fall-back'!$Q:$Q,0))</f>
        <v/>
      </c>
      <c r="N2275" s="1850" t="str">
        <f>INDEX('G_Fall-back'!N:N,MATCH($P2275,'G_Fall-back'!$Q:$Q,0))</f>
        <v/>
      </c>
      <c r="O2275" s="698"/>
      <c r="P2275" s="1190" t="str">
        <f>EUconst_CNTR_HALprelim&amp;I2254</f>
        <v>HALprelim_Подинсталация с емисии от процеси (с риск от ИВЕ | извън МКВЕГ)</v>
      </c>
      <c r="Q2275" s="729"/>
      <c r="R2275" s="729"/>
      <c r="S2275" s="729"/>
      <c r="T2275" s="729"/>
      <c r="U2275" s="343"/>
      <c r="V2275" s="343"/>
    </row>
    <row r="2276" spans="1:22" s="364" customFormat="1" ht="12.75" customHeight="1" x14ac:dyDescent="0.3">
      <c r="A2276" s="729"/>
      <c r="B2276" s="302"/>
      <c r="C2276" s="357"/>
      <c r="D2276" s="1698"/>
      <c r="E2276" s="398" t="str">
        <f>Translations!$B$1591</f>
        <v>Промяна в сравнение с HAL (очаквана)</v>
      </c>
      <c r="F2276" s="398"/>
      <c r="G2276" s="398"/>
      <c r="H2276" s="516" t="s">
        <v>1052</v>
      </c>
      <c r="I2276" s="1720"/>
      <c r="J2276" s="159" t="str">
        <f>INDEX('G_Fall-back'!J:J,MATCH($P2276,'G_Fall-back'!$Q:$Q,0))</f>
        <v/>
      </c>
      <c r="K2276" s="160" t="str">
        <f>INDEX('G_Fall-back'!K:K,MATCH($P2276,'G_Fall-back'!$Q:$Q,0))</f>
        <v/>
      </c>
      <c r="L2276" s="160" t="str">
        <f>INDEX('G_Fall-back'!L:L,MATCH($P2276,'G_Fall-back'!$Q:$Q,0))</f>
        <v/>
      </c>
      <c r="M2276" s="160" t="str">
        <f>INDEX('G_Fall-back'!M:M,MATCH($P2276,'G_Fall-back'!$Q:$Q,0))</f>
        <v/>
      </c>
      <c r="N2276" s="161" t="str">
        <f>INDEX('G_Fall-back'!N:N,MATCH($P2276,'G_Fall-back'!$Q:$Q,0))</f>
        <v/>
      </c>
      <c r="O2276" s="698"/>
      <c r="P2276" s="1190" t="str">
        <f>EUconst_CNTR_EnEffPct&amp;I2254</f>
        <v>EnEffPct_Подинсталация с емисии от процеси (с риск от ИВЕ | извън МКВЕГ)</v>
      </c>
      <c r="Q2276" s="729"/>
      <c r="R2276" s="729"/>
      <c r="S2276" s="729"/>
      <c r="T2276" s="729"/>
      <c r="U2276" s="343"/>
      <c r="V2276" s="343"/>
    </row>
    <row r="2277" spans="1:22" s="364" customFormat="1" ht="12.75" customHeight="1" x14ac:dyDescent="0.3">
      <c r="A2277" s="729"/>
      <c r="B2277" s="302"/>
      <c r="C2277" s="357"/>
      <c r="D2277" s="1698"/>
      <c r="E2277" s="1706" t="str">
        <f>Translations!$B$1379</f>
        <v>Критерий 3б: Надвишени ли са относителните прагове?</v>
      </c>
      <c r="F2277" s="1706"/>
      <c r="G2277" s="1706"/>
      <c r="H2277" s="1856" t="s">
        <v>1052</v>
      </c>
      <c r="I2277" s="1857"/>
      <c r="J2277" s="1709" t="str">
        <f>INDEX('G_Fall-back'!V:V,MATCH($P2277,'G_Fall-back'!$Q:$Q,0)+1)</f>
        <v/>
      </c>
      <c r="K2277" s="1710" t="str">
        <f>INDEX('G_Fall-back'!W:W,MATCH($P2277,'G_Fall-back'!$Q:$Q,0)+1)</f>
        <v/>
      </c>
      <c r="L2277" s="1710" t="str">
        <f>INDEX('G_Fall-back'!X:X,MATCH($P2277,'G_Fall-back'!$Q:$Q,0)+1)</f>
        <v/>
      </c>
      <c r="M2277" s="1710" t="str">
        <f>INDEX('G_Fall-back'!Y:Y,MATCH($P2277,'G_Fall-back'!$Q:$Q,0)+1)</f>
        <v/>
      </c>
      <c r="N2277" s="1711" t="str">
        <f>INDEX('G_Fall-back'!Z:Z,MATCH($P2277,'G_Fall-back'!$Q:$Q,0)+1)</f>
        <v/>
      </c>
      <c r="O2277" s="698"/>
      <c r="P2277" s="1190" t="str">
        <f>EUconst_CNTR_EnEffPct&amp;I2254</f>
        <v>EnEffPct_Подинсталация с емисии от процеси (с риск от ИВЕ | извън МКВЕГ)</v>
      </c>
      <c r="Q2277" s="729"/>
      <c r="R2277" s="729"/>
      <c r="S2277" s="729"/>
      <c r="T2277" s="729"/>
      <c r="U2277" s="343"/>
      <c r="V2277" s="343"/>
    </row>
    <row r="2278" spans="1:22" s="364" customFormat="1" ht="13" x14ac:dyDescent="0.25">
      <c r="A2278" s="729"/>
      <c r="B2278" s="302"/>
      <c r="C2278" s="302"/>
      <c r="D2278" s="344"/>
      <c r="E2278" s="498" t="str">
        <f>Translations!$B$1389</f>
        <v>Действителна корекция на равнището на дейност</v>
      </c>
      <c r="F2278" s="498"/>
      <c r="G2278" s="498"/>
      <c r="H2278" s="1858" t="s">
        <v>1052</v>
      </c>
      <c r="I2278" s="1859"/>
      <c r="J2278" s="225" t="str">
        <f>INDEX('G_Fall-back'!J:J,MATCH($P2278,'G_Fall-back'!$Q:$Q,0))</f>
        <v/>
      </c>
      <c r="K2278" s="226" t="str">
        <f>INDEX('G_Fall-back'!K:K,MATCH($P2278,'G_Fall-back'!$Q:$Q,0))</f>
        <v/>
      </c>
      <c r="L2278" s="226" t="str">
        <f>INDEX('G_Fall-back'!L:L,MATCH($P2278,'G_Fall-back'!$Q:$Q,0))</f>
        <v/>
      </c>
      <c r="M2278" s="226" t="str">
        <f>INDEX('G_Fall-back'!M:M,MATCH($P2278,'G_Fall-back'!$Q:$Q,0))</f>
        <v/>
      </c>
      <c r="N2278" s="227" t="str">
        <f>INDEX('G_Fall-back'!N:N,MATCH($P2278,'G_Fall-back'!$Q:$Q,0))</f>
        <v/>
      </c>
      <c r="O2278" s="698"/>
      <c r="P2278" s="1190" t="str">
        <f>EUconst_CNTR_HALAdjPct&amp;I2254</f>
        <v>HALAdjPct_Подинсталация с емисии от процеси (с риск от ИВЕ | извън МКВЕГ)</v>
      </c>
      <c r="Q2278" s="729"/>
      <c r="R2278" s="729"/>
      <c r="S2278" s="729"/>
      <c r="T2278" s="770"/>
      <c r="U2278" s="343"/>
      <c r="V2278" s="343"/>
    </row>
    <row r="2279" spans="1:22" s="364" customFormat="1" ht="5.15" customHeight="1" thickBot="1" x14ac:dyDescent="0.3">
      <c r="A2279" s="729"/>
      <c r="B2279" s="302"/>
      <c r="C2279" s="302"/>
      <c r="D2279" s="1801"/>
      <c r="E2279" s="1762"/>
      <c r="F2279" s="1762"/>
      <c r="G2279" s="1762"/>
      <c r="H2279" s="1762"/>
      <c r="I2279" s="1860"/>
      <c r="J2279" s="1762"/>
      <c r="K2279" s="1762"/>
      <c r="L2279" s="1762"/>
      <c r="M2279" s="1762"/>
      <c r="N2279" s="1764"/>
      <c r="O2279" s="698"/>
      <c r="P2279" s="729"/>
      <c r="Q2279" s="729"/>
      <c r="R2279" s="729"/>
      <c r="S2279" s="729"/>
      <c r="T2279" s="770"/>
      <c r="U2279" s="343"/>
      <c r="V2279" s="343"/>
    </row>
    <row r="2280" spans="1:22" s="364" customFormat="1" ht="5.15" customHeight="1" thickBot="1" x14ac:dyDescent="0.3">
      <c r="A2280" s="729"/>
      <c r="B2280" s="302"/>
      <c r="C2280" s="302"/>
      <c r="D2280" s="302"/>
      <c r="E2280" s="302"/>
      <c r="F2280" s="302"/>
      <c r="G2280" s="302"/>
      <c r="H2280" s="302"/>
      <c r="I2280" s="1861"/>
      <c r="J2280" s="302"/>
      <c r="K2280" s="302"/>
      <c r="L2280" s="302"/>
      <c r="M2280" s="302"/>
      <c r="N2280" s="302"/>
      <c r="O2280" s="698"/>
      <c r="P2280" s="729"/>
      <c r="Q2280" s="729"/>
      <c r="R2280" s="729"/>
      <c r="S2280" s="729"/>
      <c r="T2280" s="770"/>
      <c r="U2280" s="343"/>
      <c r="V2280" s="343"/>
    </row>
    <row r="2281" spans="1:22" s="364" customFormat="1" ht="5.15" customHeight="1" x14ac:dyDescent="0.25">
      <c r="A2281" s="729"/>
      <c r="B2281" s="302"/>
      <c r="C2281" s="302"/>
      <c r="D2281" s="1765"/>
      <c r="E2281" s="1766"/>
      <c r="F2281" s="1766"/>
      <c r="G2281" s="1766"/>
      <c r="H2281" s="1766"/>
      <c r="I2281" s="1767"/>
      <c r="J2281" s="1766"/>
      <c r="K2281" s="1766"/>
      <c r="L2281" s="1766"/>
      <c r="M2281" s="1766"/>
      <c r="N2281" s="1768"/>
      <c r="O2281" s="698"/>
      <c r="P2281" s="729"/>
      <c r="Q2281" s="729"/>
      <c r="R2281" s="729"/>
      <c r="S2281" s="729"/>
      <c r="T2281" s="729"/>
      <c r="U2281" s="729"/>
      <c r="V2281" s="729"/>
    </row>
    <row r="2282" spans="1:22" s="364" customFormat="1" ht="13" x14ac:dyDescent="0.25">
      <c r="A2282" s="729"/>
      <c r="B2282" s="302"/>
      <c r="C2282" s="302"/>
      <c r="D2282" s="344"/>
      <c r="E2282" s="1769" t="str">
        <f>Translations!$B$1583</f>
        <v>Предварителни стойности за критерий &gt; 300 EUA</v>
      </c>
      <c r="F2282" s="1746"/>
      <c r="G2282" s="1746"/>
      <c r="H2282" s="1699" t="str">
        <f>EUconst_Unit</f>
        <v>Единица мярка</v>
      </c>
      <c r="I2282" s="1862" t="str">
        <f>Translations!$B$1341</f>
        <v>Базова стойност</v>
      </c>
      <c r="J2282" s="1771">
        <f>J$2505</f>
        <v>2026</v>
      </c>
      <c r="K2282" s="1772">
        <f>K$2505</f>
        <v>2027</v>
      </c>
      <c r="L2282" s="1772">
        <f>L$2505</f>
        <v>2028</v>
      </c>
      <c r="M2282" s="1772">
        <f>M$2505</f>
        <v>2029</v>
      </c>
      <c r="N2282" s="1773">
        <f>N$2505</f>
        <v>2030</v>
      </c>
      <c r="O2282" s="698"/>
      <c r="P2282" s="729"/>
      <c r="Q2282" s="729"/>
      <c r="R2282" s="729"/>
      <c r="S2282" s="729"/>
      <c r="T2282" s="729"/>
      <c r="U2282" s="729"/>
      <c r="V2282" s="729"/>
    </row>
    <row r="2283" spans="1:22" s="364" customFormat="1" x14ac:dyDescent="0.25">
      <c r="A2283" s="729"/>
      <c r="B2283" s="302"/>
      <c r="C2283" s="302"/>
      <c r="D2283" s="344"/>
      <c r="E2283" s="1789" t="str">
        <f>Translations!$B$1579</f>
        <v>Очаквано равнище на дейност</v>
      </c>
      <c r="F2283" s="1789"/>
      <c r="G2283" s="1789"/>
      <c r="H2283" s="1863" t="str">
        <f>F2260</f>
        <v>t CO2e</v>
      </c>
      <c r="I2283" s="1864" t="str">
        <f>IF($M2254&lt;&gt;EUconst_Relevant,"",IF(T2292&gt;=$H$2505,0,S2291))</f>
        <v/>
      </c>
      <c r="J2283" s="1864" t="str">
        <f>INDEX('G_Fall-back'!J:J,MATCH($P2283,'G_Fall-back'!$Q:$Q,0))</f>
        <v/>
      </c>
      <c r="K2283" s="1865" t="str">
        <f>INDEX('G_Fall-back'!K:K,MATCH($P2283,'G_Fall-back'!$Q:$Q,0))</f>
        <v/>
      </c>
      <c r="L2283" s="1865" t="str">
        <f>INDEX('G_Fall-back'!L:L,MATCH($P2283,'G_Fall-back'!$Q:$Q,0))</f>
        <v/>
      </c>
      <c r="M2283" s="1865" t="str">
        <f>INDEX('G_Fall-back'!M:M,MATCH($P2283,'G_Fall-back'!$Q:$Q,0))</f>
        <v/>
      </c>
      <c r="N2283" s="1866" t="str">
        <f>INDEX('G_Fall-back'!N:N,MATCH($P2283,'G_Fall-back'!$Q:$Q,0))</f>
        <v/>
      </c>
      <c r="O2283" s="698"/>
      <c r="P2283" s="1190" t="str">
        <f>EUconst_CNTR_HALprelim&amp;I2254</f>
        <v>HALprelim_Подинсталация с емисии от процеси (с риск от ИВЕ | извън МКВЕГ)</v>
      </c>
      <c r="Q2283" s="729"/>
      <c r="R2283" s="729"/>
      <c r="S2283" s="729"/>
      <c r="T2283" s="729"/>
      <c r="U2283" s="729"/>
      <c r="V2283" s="729"/>
    </row>
    <row r="2284" spans="1:22" s="364" customFormat="1" x14ac:dyDescent="0.25">
      <c r="A2284" s="729"/>
      <c r="B2284" s="302"/>
      <c r="C2284" s="302"/>
      <c r="D2284" s="344"/>
      <c r="E2284" s="1789" t="str">
        <f>Translations!$B$1374</f>
        <v>Стойност на предварително разпределяне</v>
      </c>
      <c r="F2284" s="1789"/>
      <c r="G2284" s="1789"/>
      <c r="H2284" s="1790" t="str">
        <f>EUconst_EUA</f>
        <v>Квота за емисии</v>
      </c>
      <c r="I2284" s="1867" t="str">
        <f>IF($M2254&lt;&gt;EUconst_Relevant,"",MAX(0,ROUND((SUM($M2257)*SUM(I2291))*IF($H2257=TRUE,1,IF($L2257=4,J$2413,J$2412)),0)))</f>
        <v/>
      </c>
      <c r="J2284" s="1714" t="str">
        <f>IF($M2254&lt;&gt;EUconst_Relevant,"",MAX(0,ROUND((SUM($M2257)*SUM(J2283))*IF($H2257=TRUE,1,IF($L2257=4,J$2413,J$2412))*IF($I2257=TRUE,INDEX(EUconst_CBAMFactor,J2267-2020),1)*IF($L2257&gt;=8,J$2415/0.97,1),0)))</f>
        <v/>
      </c>
      <c r="K2284" s="1693" t="str">
        <f>IF($M2254&lt;&gt;EUconst_Relevant,"",MAX(0,ROUND((SUM($M2257)*SUM(K2283))*IF($H2257=TRUE,1,IF($L2257=4,K$2413,K$2412))*IF($I2257=TRUE,INDEX(EUconst_CBAMFactor,K2267-2020),1)*IF($L2257&gt;=8,K$2415/0.97,1),0)))</f>
        <v/>
      </c>
      <c r="L2284" s="1693" t="str">
        <f>IF($M2254&lt;&gt;EUconst_Relevant,"",MAX(0,ROUND((SUM($M2257)*SUM(L2283))*IF($H2257=TRUE,1,IF($L2257=4,L$2413,L$2412))*IF($I2257=TRUE,INDEX(EUconst_CBAMFactor,L2267-2020),1)*IF($L2257&gt;=8,L$2415/0.97,1),0)))</f>
        <v/>
      </c>
      <c r="M2284" s="1693" t="str">
        <f>IF($M2254&lt;&gt;EUconst_Relevant,"",MAX(0,ROUND((SUM($M2257)*SUM(M2283))*IF($H2257=TRUE,1,IF($L2257=4,M$2413,M$2412))*IF($I2257=TRUE,INDEX(EUconst_CBAMFactor,M2267-2020),1)*IF($L2257&gt;=8,M$2415/0.97,1),0)))</f>
        <v/>
      </c>
      <c r="N2284" s="1715" t="str">
        <f>IF($M2254&lt;&gt;EUconst_Relevant,"",MAX(0,ROUND((SUM($M2257)*SUM(N2283))*IF($H2257=TRUE,1,IF($L2257=4,N$2413,N$2412))*IF($I2257=TRUE,INDEX(EUconst_CBAMFactor,N2267-2020),1)*IF($L2257&gt;=8,N$2415/0.97,1),0)))</f>
        <v/>
      </c>
      <c r="O2284" s="698"/>
      <c r="P2284" s="729"/>
      <c r="Q2284" s="729"/>
      <c r="R2284" s="729"/>
      <c r="S2284" s="729"/>
      <c r="T2284" s="729"/>
      <c r="U2284" s="729"/>
      <c r="V2284" s="729"/>
    </row>
    <row r="2285" spans="1:22" s="364" customFormat="1" x14ac:dyDescent="0.25">
      <c r="A2285" s="729"/>
      <c r="B2285" s="302"/>
      <c r="C2285" s="302"/>
      <c r="D2285" s="344"/>
      <c r="E2285" s="388" t="str">
        <f>Translations!$B$1584</f>
        <v>Разлика в предварителната стойност</v>
      </c>
      <c r="F2285" s="388"/>
      <c r="G2285" s="388"/>
      <c r="H2285" s="421" t="str">
        <f>EUconst_EUA</f>
        <v>Квота за емисии</v>
      </c>
      <c r="I2285" s="1792"/>
      <c r="J2285" s="1793" t="str">
        <f>IF(J2284="","",SUM(J2284)-SUM(J2269))</f>
        <v/>
      </c>
      <c r="K2285" s="998" t="str">
        <f t="shared" ref="K2285:N2285" si="190">IF(K2284="","",SUM(K2284)-SUM(K2269))</f>
        <v/>
      </c>
      <c r="L2285" s="998" t="str">
        <f t="shared" si="190"/>
        <v/>
      </c>
      <c r="M2285" s="998" t="str">
        <f t="shared" si="190"/>
        <v/>
      </c>
      <c r="N2285" s="1794" t="str">
        <f t="shared" si="190"/>
        <v/>
      </c>
      <c r="O2285" s="698"/>
      <c r="P2285" s="1190" t="str">
        <f>EUconst_CNTR_AllocPrelimChange</f>
        <v>AllocPrelimChange_</v>
      </c>
      <c r="Q2285" s="729"/>
      <c r="R2285" s="729"/>
      <c r="S2285" s="729"/>
      <c r="T2285" s="729"/>
      <c r="U2285" s="729"/>
      <c r="V2285" s="729"/>
    </row>
    <row r="2286" spans="1:22" s="364" customFormat="1" x14ac:dyDescent="0.25">
      <c r="A2286" s="729"/>
      <c r="B2286" s="302"/>
      <c r="C2286" s="302"/>
      <c r="D2286" s="344"/>
      <c r="E2286" s="1796" t="str">
        <f>Translations!$B$1581</f>
        <v>Критерий 4: Разлика от поне 300 квоти за емисии?</v>
      </c>
      <c r="F2286" s="1796"/>
      <c r="G2286" s="1796"/>
      <c r="H2286" s="1797" t="s">
        <v>1052</v>
      </c>
      <c r="I2286" s="1792"/>
      <c r="J2286" s="1798" t="str">
        <f>IF(J2285="","",ABS(J2285)&gt;=300)</f>
        <v/>
      </c>
      <c r="K2286" s="1799" t="str">
        <f t="shared" ref="K2286:N2286" si="191">IF(K2285="","",ABS(K2285)&gt;=300)</f>
        <v/>
      </c>
      <c r="L2286" s="1799" t="str">
        <f t="shared" si="191"/>
        <v/>
      </c>
      <c r="M2286" s="1799" t="str">
        <f t="shared" si="191"/>
        <v/>
      </c>
      <c r="N2286" s="1800" t="str">
        <f t="shared" si="191"/>
        <v/>
      </c>
      <c r="O2286" s="698"/>
      <c r="P2286" s="1190" t="str">
        <f>EUconst_CNTR_300EUA&amp;I2254</f>
        <v>EUA300_Подинсталация с емисии от процеси (с риск от ИВЕ | извън МКВЕГ)</v>
      </c>
      <c r="Q2286" s="729"/>
      <c r="R2286" s="729"/>
      <c r="S2286" s="729"/>
      <c r="T2286" s="729"/>
      <c r="U2286" s="729"/>
      <c r="V2286" s="729"/>
    </row>
    <row r="2287" spans="1:22" s="364" customFormat="1" ht="5.15" customHeight="1" thickBot="1" x14ac:dyDescent="0.3">
      <c r="A2287" s="729"/>
      <c r="B2287" s="302"/>
      <c r="C2287" s="302"/>
      <c r="D2287" s="1801"/>
      <c r="E2287" s="1762"/>
      <c r="F2287" s="1762"/>
      <c r="G2287" s="1762"/>
      <c r="H2287" s="1762"/>
      <c r="I2287" s="1762"/>
      <c r="J2287" s="1762"/>
      <c r="K2287" s="1762"/>
      <c r="L2287" s="1762"/>
      <c r="M2287" s="1762"/>
      <c r="N2287" s="1764"/>
      <c r="O2287" s="698"/>
      <c r="P2287" s="729"/>
      <c r="Q2287" s="729"/>
      <c r="R2287" s="729"/>
      <c r="S2287" s="729"/>
      <c r="T2287" s="770"/>
      <c r="U2287" s="343"/>
      <c r="V2287" s="343"/>
    </row>
    <row r="2288" spans="1:22" s="364" customFormat="1" ht="5.15" customHeight="1" thickBot="1" x14ac:dyDescent="0.3">
      <c r="A2288" s="729"/>
      <c r="B2288" s="302"/>
      <c r="C2288" s="302"/>
      <c r="D2288" s="302"/>
      <c r="E2288" s="302"/>
      <c r="F2288" s="302"/>
      <c r="G2288" s="302"/>
      <c r="H2288" s="302"/>
      <c r="I2288" s="1861"/>
      <c r="J2288" s="302"/>
      <c r="K2288" s="302"/>
      <c r="L2288" s="302"/>
      <c r="M2288" s="302"/>
      <c r="N2288" s="302"/>
      <c r="O2288" s="698"/>
      <c r="P2288" s="729"/>
      <c r="Q2288" s="729"/>
      <c r="R2288" s="729"/>
      <c r="S2288" s="729"/>
      <c r="T2288" s="770"/>
      <c r="U2288" s="343"/>
      <c r="V2288" s="343"/>
    </row>
    <row r="2289" spans="1:22" s="364" customFormat="1" ht="5.15" customHeight="1" x14ac:dyDescent="0.25">
      <c r="A2289" s="729"/>
      <c r="B2289" s="302"/>
      <c r="C2289" s="302"/>
      <c r="D2289" s="1765"/>
      <c r="E2289" s="1766"/>
      <c r="F2289" s="1766"/>
      <c r="G2289" s="1766"/>
      <c r="H2289" s="1766"/>
      <c r="I2289" s="1767"/>
      <c r="J2289" s="1766"/>
      <c r="K2289" s="1766"/>
      <c r="L2289" s="1766"/>
      <c r="M2289" s="1766"/>
      <c r="N2289" s="1768"/>
      <c r="O2289" s="698"/>
      <c r="P2289" s="729"/>
      <c r="Q2289" s="729"/>
      <c r="R2289" s="729"/>
      <c r="S2289" s="729"/>
      <c r="T2289" s="770"/>
      <c r="U2289" s="343"/>
      <c r="V2289" s="343"/>
    </row>
    <row r="2290" spans="1:22" s="364" customFormat="1" ht="13" x14ac:dyDescent="0.25">
      <c r="A2290" s="729"/>
      <c r="B2290" s="302"/>
      <c r="C2290" s="302"/>
      <c r="D2290" s="344"/>
      <c r="E2290" s="313" t="str">
        <f>Translations!$B$1387</f>
        <v>Използвани действителни стойности</v>
      </c>
      <c r="F2290" s="302"/>
      <c r="G2290" s="302"/>
      <c r="H2290" s="527" t="str">
        <f>EUconst_Unit</f>
        <v>Единица мярка</v>
      </c>
      <c r="I2290" s="1868" t="str">
        <f>Translations!$B$1341</f>
        <v>Базова стойност</v>
      </c>
      <c r="J2290" s="1523">
        <f>J$2505</f>
        <v>2026</v>
      </c>
      <c r="K2290" s="387">
        <f>K$2505</f>
        <v>2027</v>
      </c>
      <c r="L2290" s="387">
        <f>L$2505</f>
        <v>2028</v>
      </c>
      <c r="M2290" s="387">
        <f>M$2505</f>
        <v>2029</v>
      </c>
      <c r="N2290" s="1544">
        <f>N$2505</f>
        <v>2030</v>
      </c>
      <c r="O2290" s="698"/>
      <c r="P2290" s="729"/>
      <c r="Q2290" s="729"/>
      <c r="R2290" s="729"/>
      <c r="S2290" s="1519" t="str">
        <f>Translations!$B$1284</f>
        <v>HAL</v>
      </c>
      <c r="T2290" s="770"/>
      <c r="U2290" s="343"/>
      <c r="V2290" s="343"/>
    </row>
    <row r="2291" spans="1:22" s="364" customFormat="1" x14ac:dyDescent="0.25">
      <c r="A2291" s="729"/>
      <c r="B2291" s="302"/>
      <c r="C2291" s="302"/>
      <c r="D2291" s="344"/>
      <c r="E2291" s="388" t="str">
        <f>Translations!$B$1390</f>
        <v>Използвано равнище на дейност</v>
      </c>
      <c r="F2291" s="388"/>
      <c r="G2291" s="388"/>
      <c r="H2291" s="1210" t="str">
        <f>F2260</f>
        <v>t CO2e</v>
      </c>
      <c r="I2291" s="1864" t="str">
        <f>IF($M2254&lt;&gt;EUconst_Relevant,"",IF(T2292&gt;=$H$2505,0,S2291))</f>
        <v/>
      </c>
      <c r="J2291" s="1844" t="str">
        <f>INDEX('G_Fall-back'!J:J,MATCH($P2291,'G_Fall-back'!$Q:$Q,0))</f>
        <v/>
      </c>
      <c r="K2291" s="1846" t="str">
        <f>INDEX('G_Fall-back'!K:K,MATCH($P2291,'G_Fall-back'!$Q:$Q,0))</f>
        <v/>
      </c>
      <c r="L2291" s="1846" t="str">
        <f>INDEX('G_Fall-back'!L:L,MATCH($P2291,'G_Fall-back'!$Q:$Q,0))</f>
        <v/>
      </c>
      <c r="M2291" s="1846" t="str">
        <f>INDEX('G_Fall-back'!M:M,MATCH($P2291,'G_Fall-back'!$Q:$Q,0))</f>
        <v/>
      </c>
      <c r="N2291" s="1847" t="str">
        <f>INDEX('G_Fall-back'!N:N,MATCH($P2291,'G_Fall-back'!$Q:$Q,0))</f>
        <v/>
      </c>
      <c r="O2291" s="698"/>
      <c r="P2291" s="1190" t="str">
        <f>EUconst_CNTR_HALfinal&amp;I2254</f>
        <v>HALfinal_Подинсталация с емисии от процеси (с риск от ИВЕ | извън МКВЕГ)</v>
      </c>
      <c r="Q2291" s="729"/>
      <c r="R2291" s="729"/>
      <c r="S2291" s="1817" t="str">
        <f>IF($M2254&lt;&gt;EUconst_Relevant,"",SUMIF('G_Fall-back'!$Q:$Q,$P2291,'G_Fall-back'!I:I))</f>
        <v/>
      </c>
      <c r="T2291" s="770"/>
      <c r="U2291" s="343"/>
      <c r="V2291" s="343"/>
    </row>
    <row r="2292" spans="1:22" s="364" customFormat="1" x14ac:dyDescent="0.25">
      <c r="A2292" s="729"/>
      <c r="B2292" s="302"/>
      <c r="C2292" s="302"/>
      <c r="D2292" s="344"/>
      <c r="E2292" s="388" t="str">
        <f>Translations!$B$892</f>
        <v>Предварително разпределяне</v>
      </c>
      <c r="F2292" s="388"/>
      <c r="G2292" s="388"/>
      <c r="H2292" s="421" t="str">
        <f>EUconst_EUA</f>
        <v>Квота за емисии</v>
      </c>
      <c r="I2292" s="1867" t="str">
        <f>IF($M2254&lt;&gt;EUconst_Relevant,"",MAX(0,ROUND((SUM($M2257)*SUM(I2291))*IF($H2257=TRUE,1,IF($L2257=4,J$2413,J$2412)),0)))</f>
        <v/>
      </c>
      <c r="J2292" s="1694" t="str">
        <f>IF($M2254&lt;&gt;EUconst_Relevant,"",MAX(0,ROUND((SUM($M2257)*SUM(J2291))*IF($H2257=TRUE,1,IF($L2257=4,J$2413,J$2412))*IF($I2257=TRUE,INDEX(EUconst_CBAMFactor,J2267-2020),1)*IF($L2257&gt;=8,J$2415/0.97,1),0)))</f>
        <v/>
      </c>
      <c r="K2292" s="406" t="str">
        <f>IF($M2254&lt;&gt;EUconst_Relevant,"",MAX(0,ROUND((SUM($M2257)*SUM(K2291))*IF($H2257=TRUE,1,IF($L2257=4,K$2413,K$2412))*IF($I2257=TRUE,INDEX(EUconst_CBAMFactor,K2267-2020),1)*IF($L2257&gt;=8,K$2415/0.97,1),0)))</f>
        <v/>
      </c>
      <c r="L2292" s="406" t="str">
        <f>IF($M2254&lt;&gt;EUconst_Relevant,"",MAX(0,ROUND((SUM($M2257)*SUM(L2291))*IF($H2257=TRUE,1,IF($L2257=4,L$2413,L$2412))*IF($I2257=TRUE,INDEX(EUconst_CBAMFactor,L2267-2020),1)*IF($L2257&gt;=8,L$2415/0.97,1),0)))</f>
        <v/>
      </c>
      <c r="M2292" s="406" t="str">
        <f>IF($M2254&lt;&gt;EUconst_Relevant,"",MAX(0,ROUND((SUM($M2257)*SUM(M2291))*IF($H2257=TRUE,1,IF($L2257=4,M$2413,M$2412))*IF($I2257=TRUE,INDEX(EUconst_CBAMFactor,M2267-2020),1)*IF($L2257&gt;=8,M$2415/0.97,1),0)))</f>
        <v/>
      </c>
      <c r="N2292" s="1729" t="str">
        <f>IF($M2254&lt;&gt;EUconst_Relevant,"",MAX(0,ROUND((SUM($M2257)*SUM(N2291))*IF($H2257=TRUE,1,IF($L2257=4,N$2413,N$2412))*IF($I2257=TRUE,INDEX(EUconst_CBAMFactor,N2267-2020),1)*IF($L2257&gt;=8,N$2415/0.97,1),0)))</f>
        <v/>
      </c>
      <c r="O2292" s="698"/>
      <c r="P2292" s="1190" t="str">
        <f>EUconst_AllocPrelim&amp;I2254</f>
        <v>AllocPrelim_Подинсталация с емисии от процеси (с риск от ИВЕ | извън МКВЕГ)</v>
      </c>
      <c r="Q2292" s="729"/>
      <c r="R2292" s="729"/>
      <c r="S2292" s="729"/>
      <c r="T2292" s="1176">
        <f>INDEX('G_Fall-back'!V:V,MATCH(L2257,'G_Fall-back'!C:C,0))</f>
        <v>2005</v>
      </c>
      <c r="U2292" s="727" t="b">
        <f>OR(INDEX(I2292:N2292,CNTR_ReportingYear-$I$2505)&lt;&gt;INDEX(I2292:N2292,CNTR_ReportingYear-$H$2505),
(CNTR_ReportingYear-T2292)&lt;=1)</f>
        <v>0</v>
      </c>
      <c r="V2292" s="716" t="b">
        <f ca="1">IF(I2292="",FALSE,COUNTIF(OFFSET(I2292,,,,MAX(1,CNTR_ReportingYear-$I$2505)),"&lt;&gt;" &amp; INDEX(I2292:N2292,CNTR_ReportingYear-$H$2505))&gt;0)</f>
        <v>0</v>
      </c>
    </row>
    <row r="2293" spans="1:22" s="364" customFormat="1" ht="5.15" customHeight="1" thickBot="1" x14ac:dyDescent="0.3">
      <c r="A2293" s="729"/>
      <c r="B2293" s="302"/>
      <c r="C2293" s="302"/>
      <c r="D2293" s="1801"/>
      <c r="E2293" s="1762"/>
      <c r="F2293" s="1762"/>
      <c r="G2293" s="1762"/>
      <c r="H2293" s="1762"/>
      <c r="I2293" s="1762"/>
      <c r="J2293" s="1762"/>
      <c r="K2293" s="1762"/>
      <c r="L2293" s="1762"/>
      <c r="M2293" s="1762"/>
      <c r="N2293" s="1764"/>
      <c r="O2293" s="698"/>
      <c r="P2293" s="729"/>
      <c r="Q2293" s="729"/>
      <c r="R2293" s="729"/>
      <c r="S2293" s="729"/>
      <c r="T2293" s="770"/>
      <c r="U2293" s="343"/>
      <c r="V2293" s="343"/>
    </row>
    <row r="2294" spans="1:22" s="364" customFormat="1" ht="5.15" customHeight="1" x14ac:dyDescent="0.25">
      <c r="A2294" s="729"/>
      <c r="B2294" s="302"/>
      <c r="C2294" s="302"/>
      <c r="D2294" s="302"/>
      <c r="E2294" s="302"/>
      <c r="F2294" s="302"/>
      <c r="G2294" s="302"/>
      <c r="M2294" s="302"/>
      <c r="N2294" s="302"/>
      <c r="O2294" s="698"/>
      <c r="P2294" s="729"/>
      <c r="Q2294" s="729"/>
      <c r="R2294" s="729"/>
      <c r="S2294" s="729"/>
      <c r="T2294" s="729"/>
      <c r="U2294" s="343"/>
      <c r="V2294" s="343"/>
    </row>
    <row r="2295" spans="1:22" s="364" customFormat="1" ht="5.15" customHeight="1" thickBot="1" x14ac:dyDescent="0.3">
      <c r="A2295" s="729"/>
      <c r="B2295" s="302"/>
      <c r="C2295" s="302"/>
      <c r="D2295" s="302"/>
      <c r="E2295" s="302"/>
      <c r="F2295" s="302"/>
      <c r="G2295" s="302"/>
      <c r="M2295" s="302"/>
      <c r="N2295" s="302"/>
      <c r="O2295" s="698"/>
      <c r="P2295" s="729"/>
      <c r="Q2295" s="729"/>
      <c r="R2295" s="729"/>
      <c r="S2295" s="729"/>
      <c r="T2295" s="729"/>
      <c r="U2295" s="343"/>
      <c r="V2295" s="343"/>
    </row>
    <row r="2296" spans="1:22" s="364" customFormat="1" ht="5.15" customHeight="1" x14ac:dyDescent="0.25">
      <c r="A2296" s="729"/>
      <c r="B2296" s="302"/>
      <c r="C2296" s="302"/>
      <c r="D2296" s="1872"/>
      <c r="E2296" s="1819"/>
      <c r="F2296" s="1300"/>
      <c r="G2296" s="1300"/>
      <c r="H2296" s="1300"/>
      <c r="I2296" s="1300"/>
      <c r="J2296" s="1300"/>
      <c r="K2296" s="1300"/>
      <c r="L2296" s="1300"/>
      <c r="M2296" s="1300"/>
      <c r="N2296" s="1301"/>
      <c r="O2296" s="698"/>
      <c r="P2296" s="729"/>
      <c r="Q2296" s="729"/>
      <c r="R2296" s="729"/>
      <c r="S2296" s="729"/>
      <c r="T2296" s="729"/>
      <c r="U2296" s="343"/>
      <c r="V2296" s="343"/>
    </row>
    <row r="2297" spans="1:22" s="364" customFormat="1" ht="13.5" thickBot="1" x14ac:dyDescent="0.3">
      <c r="A2297" s="729"/>
      <c r="B2297" s="302"/>
      <c r="C2297" s="302"/>
      <c r="D2297" s="1873"/>
      <c r="E2297" s="625"/>
      <c r="F2297" s="1874"/>
      <c r="G2297" s="627" t="str">
        <f>EUconst_Unit</f>
        <v>Единица мярка</v>
      </c>
      <c r="H2297" s="666">
        <f t="shared" ref="H2297:N2297" si="192">H$2505</f>
        <v>2024</v>
      </c>
      <c r="I2297" s="666">
        <f t="shared" si="192"/>
        <v>2025</v>
      </c>
      <c r="J2297" s="666">
        <f t="shared" si="192"/>
        <v>2026</v>
      </c>
      <c r="K2297" s="667">
        <f t="shared" si="192"/>
        <v>2027</v>
      </c>
      <c r="L2297" s="667">
        <f t="shared" si="192"/>
        <v>2028</v>
      </c>
      <c r="M2297" s="667">
        <f t="shared" si="192"/>
        <v>2029</v>
      </c>
      <c r="N2297" s="667">
        <f t="shared" si="192"/>
        <v>2030</v>
      </c>
      <c r="O2297" s="698"/>
      <c r="P2297" s="729"/>
      <c r="Q2297" s="729"/>
      <c r="R2297" s="729"/>
      <c r="S2297" s="729"/>
      <c r="T2297" s="729"/>
      <c r="U2297" s="343"/>
      <c r="V2297" s="343"/>
    </row>
    <row r="2298" spans="1:22" s="364" customFormat="1" ht="13.5" customHeight="1" thickBot="1" x14ac:dyDescent="0.3">
      <c r="A2298" s="729"/>
      <c r="B2298" s="302"/>
      <c r="C2298" s="302"/>
      <c r="D2298" s="1873"/>
      <c r="E2298" s="1875" t="str">
        <f>Translations!$B$956</f>
        <v>Общо зададени емисии</v>
      </c>
      <c r="F2298" s="1875"/>
      <c r="G2298" s="631" t="str">
        <f>EUconst_tCO2epa</f>
        <v>t CO2e/година</v>
      </c>
      <c r="H2298" s="661" t="str">
        <f>INDEX(H$95:H$114,MATCH($I2254,$E$95:$E$114,0))</f>
        <v/>
      </c>
      <c r="I2298" s="663" t="str">
        <f t="shared" ref="I2298:N2298" si="193">INDEX(I$95:I$114,MATCH($I2254,$E$95:$E$114,0))</f>
        <v/>
      </c>
      <c r="J2298" s="661" t="str">
        <f t="shared" si="193"/>
        <v/>
      </c>
      <c r="K2298" s="662" t="str">
        <f t="shared" si="193"/>
        <v/>
      </c>
      <c r="L2298" s="662" t="str">
        <f t="shared" si="193"/>
        <v/>
      </c>
      <c r="M2298" s="662" t="str">
        <f t="shared" si="193"/>
        <v/>
      </c>
      <c r="N2298" s="663" t="str">
        <f t="shared" si="193"/>
        <v/>
      </c>
      <c r="O2298" s="698"/>
      <c r="P2298" s="729"/>
      <c r="Q2298" s="729"/>
      <c r="R2298" s="729"/>
      <c r="S2298" s="729"/>
      <c r="T2298" s="770"/>
      <c r="U2298" s="343"/>
      <c r="V2298" s="343"/>
    </row>
    <row r="2299" spans="1:22" s="364" customFormat="1" ht="5.15" customHeight="1" thickBot="1" x14ac:dyDescent="0.3">
      <c r="A2299" s="729"/>
      <c r="B2299" s="302"/>
      <c r="C2299" s="302"/>
      <c r="D2299" s="1880"/>
      <c r="E2299" s="1378"/>
      <c r="F2299" s="1378"/>
      <c r="G2299" s="1378"/>
      <c r="H2299" s="1378"/>
      <c r="I2299" s="1378"/>
      <c r="J2299" s="1378"/>
      <c r="K2299" s="1378"/>
      <c r="L2299" s="1378"/>
      <c r="M2299" s="1378"/>
      <c r="N2299" s="1379"/>
      <c r="O2299" s="698"/>
      <c r="P2299" s="729"/>
      <c r="Q2299" s="729"/>
      <c r="R2299" s="729"/>
      <c r="S2299" s="729"/>
      <c r="T2299" s="729"/>
      <c r="U2299" s="343"/>
      <c r="V2299" s="343"/>
    </row>
    <row r="2300" spans="1:22" s="364" customFormat="1" ht="5.15" customHeight="1" thickBot="1" x14ac:dyDescent="0.3">
      <c r="A2300" s="729"/>
      <c r="B2300" s="302"/>
      <c r="C2300" s="302"/>
      <c r="D2300" s="302"/>
      <c r="E2300" s="302"/>
      <c r="F2300" s="302"/>
      <c r="G2300" s="302"/>
      <c r="M2300" s="302"/>
      <c r="N2300" s="302"/>
      <c r="O2300" s="698"/>
      <c r="P2300" s="729"/>
      <c r="Q2300" s="729"/>
      <c r="R2300" s="729"/>
      <c r="S2300" s="729"/>
      <c r="T2300" s="729"/>
      <c r="U2300" s="343"/>
      <c r="V2300" s="343"/>
    </row>
    <row r="2301" spans="1:22" s="364" customFormat="1" ht="5.15" customHeight="1" thickBot="1" x14ac:dyDescent="0.3">
      <c r="A2301" s="729"/>
      <c r="B2301" s="284"/>
      <c r="C2301" s="581"/>
      <c r="D2301" s="581"/>
      <c r="E2301" s="581"/>
      <c r="F2301" s="581"/>
      <c r="G2301" s="581"/>
      <c r="H2301" s="581"/>
      <c r="I2301" s="581"/>
      <c r="J2301" s="581"/>
      <c r="K2301" s="581"/>
      <c r="L2301" s="581"/>
      <c r="M2301" s="581"/>
      <c r="N2301" s="581"/>
      <c r="O2301" s="698"/>
      <c r="P2301" s="729"/>
      <c r="Q2301" s="729"/>
      <c r="R2301" s="729"/>
      <c r="S2301" s="729"/>
      <c r="T2301" s="729"/>
      <c r="U2301" s="343"/>
      <c r="V2301" s="343"/>
    </row>
    <row r="2302" spans="1:22" s="364" customFormat="1" ht="15" customHeight="1" thickBot="1" x14ac:dyDescent="0.35">
      <c r="A2302" s="729"/>
      <c r="B2302" s="302"/>
      <c r="C2302" s="357">
        <f>C2254+1</f>
        <v>19</v>
      </c>
      <c r="D2302" s="2323" t="str">
        <f>CONCATENATE(EUconst_FBSubinst," ",C2302-10, ":")</f>
        <v>Алтернативна подинсталация („Fall-Back sub-installation“) 9:</v>
      </c>
      <c r="E2302" s="2323"/>
      <c r="F2302" s="2323"/>
      <c r="G2302" s="2323"/>
      <c r="H2302" s="2987"/>
      <c r="I2302" s="2988" t="str">
        <f>INDEX(EUconst_FallBackListNames,$C2302-10)</f>
        <v>Подинсталация с емисии от процеси (без риск от ИВЕ | извън МКВЕГ)</v>
      </c>
      <c r="J2302" s="2989"/>
      <c r="K2302" s="2989"/>
      <c r="L2302" s="2990"/>
      <c r="M2302" s="2919" t="str">
        <f>IF(INDEX(CNTR_FallBackSubInstRelevant,C2302-10)="","",IF(INDEX(CNTR_FallBackSubInstRelevant,C2302-10),EUconst_Relevant,EUconst_NotRelevant))</f>
        <v/>
      </c>
      <c r="N2302" s="2920"/>
      <c r="O2302" s="698"/>
      <c r="P2302" s="729"/>
      <c r="Q2302" s="1684">
        <f>C2302</f>
        <v>19</v>
      </c>
      <c r="R2302" s="1685" t="str">
        <f>I2302</f>
        <v>Подинсталация с емисии от процеси (без риск от ИВЕ | извън МКВЕГ)</v>
      </c>
      <c r="S2302" s="729"/>
      <c r="T2302" s="729"/>
      <c r="U2302" s="343"/>
      <c r="V2302" s="343"/>
    </row>
    <row r="2303" spans="1:22" s="364" customFormat="1" ht="5.15" customHeight="1" x14ac:dyDescent="0.3">
      <c r="A2303" s="729"/>
      <c r="B2303" s="302"/>
      <c r="C2303" s="357"/>
      <c r="D2303" s="357"/>
      <c r="E2303" s="357"/>
      <c r="F2303" s="357"/>
      <c r="G2303" s="357"/>
      <c r="H2303" s="357"/>
      <c r="I2303" s="357"/>
      <c r="J2303" s="357"/>
      <c r="K2303" s="357"/>
      <c r="L2303" s="357"/>
      <c r="M2303" s="357"/>
      <c r="N2303" s="357"/>
      <c r="O2303" s="698"/>
      <c r="P2303" s="729"/>
      <c r="Q2303" s="729"/>
      <c r="R2303" s="729"/>
      <c r="S2303" s="729"/>
      <c r="T2303" s="729"/>
      <c r="U2303" s="343"/>
      <c r="V2303" s="343"/>
    </row>
    <row r="2304" spans="1:22" s="364" customFormat="1" ht="12.75" customHeight="1" x14ac:dyDescent="0.3">
      <c r="A2304" s="729"/>
      <c r="B2304" s="302"/>
      <c r="C2304" s="357"/>
      <c r="D2304" s="357"/>
      <c r="E2304" s="357"/>
      <c r="F2304" s="357"/>
      <c r="H2304" s="595" t="str">
        <f>Translations!$B$942</f>
        <v>Риск от ИВЕ</v>
      </c>
      <c r="I2304" s="595" t="s">
        <v>2151</v>
      </c>
      <c r="J2304" s="595" t="str">
        <f>Translations!$B$946</f>
        <v>В/Е</v>
      </c>
      <c r="K2304" s="595" t="str">
        <f>Translations!$B$1360</f>
        <v>Спряна експлоатация</v>
      </c>
      <c r="L2304" s="654" t="str">
        <f>Translations!$B$944</f>
        <v>№ на п-л</v>
      </c>
      <c r="M2304" s="2991" t="str">
        <f>Translations!$B$948</f>
        <v>Стойност на п-л</v>
      </c>
      <c r="N2304" s="2991"/>
      <c r="O2304" s="698"/>
      <c r="P2304" s="729"/>
      <c r="Q2304" s="729"/>
      <c r="R2304" s="729"/>
      <c r="S2304" s="729"/>
      <c r="T2304" s="729"/>
      <c r="U2304" s="343"/>
      <c r="V2304" s="343"/>
    </row>
    <row r="2305" spans="1:22" s="364" customFormat="1" ht="12.75" customHeight="1" x14ac:dyDescent="0.3">
      <c r="A2305" s="729"/>
      <c r="B2305" s="302"/>
      <c r="C2305" s="357"/>
      <c r="D2305" s="357"/>
      <c r="E2305" s="361" t="str">
        <f>I2302</f>
        <v>Подинсталация с емисии от процеси (без риск от ИВЕ | извън МКВЕГ)</v>
      </c>
      <c r="F2305" s="373"/>
      <c r="G2305" s="373"/>
      <c r="H2305" s="600" t="b">
        <f>INDEX(EUconst_FallBackListCLstatus,MATCH(I2302,EUconst_FallBackListNames,0))</f>
        <v>0</v>
      </c>
      <c r="I2305" s="600" t="b">
        <f>INDEX(EUconst_FallBackListCBAMstatus,MATCH(I2302,EUconst_FallBackListNames,0))</f>
        <v>0</v>
      </c>
      <c r="J2305" s="655" t="str">
        <f>IF($M2302&lt;&gt;EUconst_Relevant,EUconst_NA,INDEX(CNTR_SubInstStartDate,MATCH(I2302,CNTR_SubInstListNames,0)))</f>
        <v>Не е приложимо</v>
      </c>
      <c r="K2305" s="655" t="str">
        <f>IF($M2302&lt;&gt;EUconst_Relevant,EUconst_NA,IF(INDEX(CNTR_SubInstCessationDate,MATCH(I2302,CNTR_SubInstListNames,0))=0,"",INDEX(CNTR_SubInstCessationDate,MATCH(I2302,CNTR_SubInstListNames,0))))</f>
        <v>Не е приложимо</v>
      </c>
      <c r="L2305" s="1687">
        <f>C2302-10</f>
        <v>9</v>
      </c>
      <c r="M2305" s="1841" t="str">
        <f>IF(M2302&lt;&gt;EUconst_Relevant,EUconst_NA,INDEX(EUconst_FallBackListBMvaluesMatrix,L2305,3))</f>
        <v>Не е приложимо</v>
      </c>
      <c r="N2305" s="382" t="str">
        <f>EUconst_EUA &amp; "/" &amp; F2308</f>
        <v>Квота за емисии/t CO2e</v>
      </c>
      <c r="O2305" s="698"/>
      <c r="P2305" s="729"/>
      <c r="Q2305" s="729"/>
      <c r="R2305" s="729"/>
      <c r="S2305" s="729"/>
      <c r="T2305" s="729"/>
      <c r="U2305" s="343"/>
      <c r="V2305" s="343"/>
    </row>
    <row r="2306" spans="1:22" s="364" customFormat="1" ht="5.15" customHeight="1" thickBot="1" x14ac:dyDescent="0.35">
      <c r="A2306" s="729"/>
      <c r="B2306" s="302"/>
      <c r="C2306" s="302"/>
      <c r="D2306" s="302"/>
      <c r="E2306" s="357"/>
      <c r="J2306" s="302"/>
      <c r="K2306" s="302"/>
      <c r="L2306" s="302"/>
      <c r="M2306" s="302"/>
      <c r="N2306" s="302"/>
      <c r="O2306" s="698"/>
      <c r="P2306" s="729"/>
      <c r="Q2306" s="729"/>
      <c r="R2306" s="729"/>
      <c r="S2306" s="729"/>
      <c r="T2306" s="770"/>
      <c r="U2306" s="343"/>
      <c r="V2306" s="343"/>
    </row>
    <row r="2307" spans="1:22" s="364" customFormat="1" ht="12.75" customHeight="1" x14ac:dyDescent="0.25">
      <c r="A2307" s="729"/>
      <c r="B2307" s="302"/>
      <c r="C2307" s="302"/>
      <c r="D2307" s="302"/>
      <c r="E2307" s="313"/>
      <c r="F2307" s="300" t="str">
        <f>EUconst_Unit</f>
        <v>Единица мярка</v>
      </c>
      <c r="G2307" s="1842" t="str">
        <f>Translations!$B$1284</f>
        <v>HAL</v>
      </c>
      <c r="H2307" s="757">
        <f t="shared" ref="H2307:N2307" si="194">H$2505</f>
        <v>2024</v>
      </c>
      <c r="I2307" s="572">
        <f t="shared" si="194"/>
        <v>2025</v>
      </c>
      <c r="J2307" s="757">
        <f t="shared" si="194"/>
        <v>2026</v>
      </c>
      <c r="K2307" s="391">
        <f t="shared" si="194"/>
        <v>2027</v>
      </c>
      <c r="L2307" s="391">
        <f t="shared" si="194"/>
        <v>2028</v>
      </c>
      <c r="M2307" s="391">
        <f t="shared" si="194"/>
        <v>2029</v>
      </c>
      <c r="N2307" s="391">
        <f t="shared" si="194"/>
        <v>2030</v>
      </c>
      <c r="O2307" s="698"/>
      <c r="P2307" s="729"/>
      <c r="Q2307" s="729" t="s">
        <v>1851</v>
      </c>
      <c r="R2307" s="1690">
        <f>J$2505</f>
        <v>2026</v>
      </c>
      <c r="S2307" s="1691">
        <f>K$2505</f>
        <v>2027</v>
      </c>
      <c r="T2307" s="1691">
        <f>L$2505</f>
        <v>2028</v>
      </c>
      <c r="U2307" s="1691">
        <f>M$2505</f>
        <v>2029</v>
      </c>
      <c r="V2307" s="1692">
        <f>N$2505</f>
        <v>2030</v>
      </c>
    </row>
    <row r="2308" spans="1:22" s="364" customFormat="1" ht="12.75" customHeight="1" thickBot="1" x14ac:dyDescent="0.3">
      <c r="A2308" s="729"/>
      <c r="B2308" s="302"/>
      <c r="C2308" s="302"/>
      <c r="D2308" s="302"/>
      <c r="E2308" s="388" t="str">
        <f>Translations!$B$1371</f>
        <v>Докладвано равнище на дейност</v>
      </c>
      <c r="F2308" s="1062" t="str">
        <f>INDEX(EUconst_FallBackListUnits,L2305)</f>
        <v>t CO2e</v>
      </c>
      <c r="G2308" s="1843" t="str">
        <f>I2339</f>
        <v/>
      </c>
      <c r="H2308" s="1844" t="str">
        <f>IF($M2302&lt;&gt;EUconst_Relevant,"",IF(H2307&gt;=CNTR_ReportingYear,"",SUMIF('G_Fall-back'!$Q:$Q,$P2308,'G_Fall-back'!H:H)))</f>
        <v/>
      </c>
      <c r="I2308" s="1845" t="str">
        <f>IF($M2302&lt;&gt;EUconst_Relevant,"",IF(I2307&gt;=CNTR_ReportingYear,"",SUMIF('G_Fall-back'!$Q:$Q,$P2308,'G_Fall-back'!I:I)))</f>
        <v/>
      </c>
      <c r="J2308" s="1844" t="str">
        <f>IF($M2302&lt;&gt;EUconst_Relevant,"",IF(J2307&gt;=CNTR_ReportingYear,"",SUMIF('G_Fall-back'!$Q:$Q,$P2308,'G_Fall-back'!J:J)))</f>
        <v/>
      </c>
      <c r="K2308" s="1846" t="str">
        <f>IF($M2302&lt;&gt;EUconst_Relevant,"",IF(K2307&gt;=CNTR_ReportingYear,"",SUMIF('G_Fall-back'!$Q:$Q,$P2308,'G_Fall-back'!K:K)))</f>
        <v/>
      </c>
      <c r="L2308" s="1846" t="str">
        <f>IF($M2302&lt;&gt;EUconst_Relevant,"",IF(L2307&gt;=CNTR_ReportingYear,"",SUMIF('G_Fall-back'!$Q:$Q,$P2308,'G_Fall-back'!L:L)))</f>
        <v/>
      </c>
      <c r="M2308" s="1846" t="str">
        <f>IF($M2302&lt;&gt;EUconst_Relevant,"",IF(M2307&gt;=CNTR_ReportingYear,"",SUMIF('G_Fall-back'!$Q:$Q,$P2308,'G_Fall-back'!M:M)))</f>
        <v/>
      </c>
      <c r="N2308" s="1846" t="str">
        <f>IF($M2302&lt;&gt;EUconst_Relevant,"",IF(N2307&gt;=CNTR_ReportingYear,"",SUMIF('G_Fall-back'!$Q:$Q,$P2308,'G_Fall-back'!N:N)))</f>
        <v/>
      </c>
      <c r="O2308" s="698"/>
      <c r="P2308" s="1190" t="str">
        <f>EUconst_CNTR_HAL&amp;I2302</f>
        <v>HAL_Подинсталация с емисии от процеси (без риск от ИВЕ | извън МКВЕГ)</v>
      </c>
      <c r="Q2308" s="729"/>
      <c r="R2308" s="1580" t="b">
        <f>AND($M2302=EUconst_Relevant,R2307&lt;=CNTR_ReportingYear,IF($J2305&lt;&gt;EUconst_NA,R2307&gt;=YEAR($J2305),TRUE))</f>
        <v>0</v>
      </c>
      <c r="S2308" s="1255" t="b">
        <f>AND($M2302=EUconst_Relevant,S2307&lt;=CNTR_ReportingYear,IF($J2305&lt;&gt;EUconst_NA,S2307&gt;=YEAR($J2305),TRUE))</f>
        <v>0</v>
      </c>
      <c r="T2308" s="1255" t="b">
        <f>AND($M2302=EUconst_Relevant,T2307&lt;=CNTR_ReportingYear,IF($J2305&lt;&gt;EUconst_NA,T2307&gt;=YEAR($J2305),TRUE))</f>
        <v>0</v>
      </c>
      <c r="U2308" s="1255" t="b">
        <f>AND($M2302=EUconst_Relevant,U2307&lt;=CNTR_ReportingYear,IF($J2305&lt;&gt;EUconst_NA,U2307&gt;=YEAR($J2305),TRUE))</f>
        <v>0</v>
      </c>
      <c r="V2308" s="1256" t="b">
        <f>AND($M2302=EUconst_Relevant,V2307&lt;=CNTR_ReportingYear,IF($J2305&lt;&gt;EUconst_NA,V2307&gt;=YEAR($J2305),TRUE))</f>
        <v>0</v>
      </c>
    </row>
    <row r="2309" spans="1:22" s="364" customFormat="1" ht="5.15" customHeight="1" thickBot="1" x14ac:dyDescent="0.3">
      <c r="A2309" s="729"/>
      <c r="B2309" s="302"/>
      <c r="C2309" s="302"/>
      <c r="D2309" s="302"/>
      <c r="F2309" s="302"/>
      <c r="G2309" s="302"/>
      <c r="H2309" s="302"/>
      <c r="I2309" s="1746"/>
      <c r="J2309" s="302"/>
      <c r="K2309" s="302"/>
      <c r="L2309" s="302"/>
      <c r="M2309" s="302"/>
      <c r="N2309" s="302"/>
      <c r="O2309" s="698"/>
      <c r="P2309" s="729"/>
      <c r="Q2309" s="729"/>
      <c r="R2309" s="729"/>
      <c r="S2309" s="729"/>
      <c r="T2309" s="770"/>
      <c r="U2309" s="343"/>
      <c r="V2309" s="343"/>
    </row>
    <row r="2310" spans="1:22" s="364" customFormat="1" ht="5.15" customHeight="1" x14ac:dyDescent="0.3">
      <c r="A2310" s="729"/>
      <c r="B2310" s="302"/>
      <c r="C2310" s="357"/>
      <c r="D2310" s="1695"/>
      <c r="E2310" s="1696"/>
      <c r="F2310" s="1696"/>
      <c r="G2310" s="1696"/>
      <c r="H2310" s="1696"/>
      <c r="I2310" s="1696"/>
      <c r="J2310" s="1696"/>
      <c r="K2310" s="1696"/>
      <c r="L2310" s="1696"/>
      <c r="M2310" s="1696"/>
      <c r="N2310" s="1697"/>
      <c r="O2310" s="698"/>
      <c r="P2310" s="729"/>
      <c r="Q2310" s="729"/>
      <c r="R2310" s="729"/>
      <c r="S2310" s="729"/>
      <c r="T2310" s="729"/>
      <c r="U2310" s="343"/>
      <c r="V2310" s="343"/>
    </row>
    <row r="2311" spans="1:22" s="364" customFormat="1" ht="12.75" customHeight="1" x14ac:dyDescent="0.3">
      <c r="A2311" s="729"/>
      <c r="B2311" s="302"/>
      <c r="C2311" s="357"/>
      <c r="D2311" s="1698"/>
      <c r="E2311" s="389" t="str">
        <f>Translations!$B$1372</f>
        <v>Приложимост на пълзящата средна стойност</v>
      </c>
      <c r="F2311" s="498"/>
      <c r="G2311" s="498"/>
      <c r="H2311" s="527" t="str">
        <f>EUconst_Unit</f>
        <v>Единица мярка</v>
      </c>
      <c r="I2311" s="1699"/>
      <c r="J2311" s="1523">
        <f>J$2505</f>
        <v>2026</v>
      </c>
      <c r="K2311" s="387">
        <f>K$2505</f>
        <v>2027</v>
      </c>
      <c r="L2311" s="387">
        <f>L$2505</f>
        <v>2028</v>
      </c>
      <c r="M2311" s="387">
        <f>M$2505</f>
        <v>2029</v>
      </c>
      <c r="N2311" s="1544">
        <f>N$2505</f>
        <v>2030</v>
      </c>
      <c r="O2311" s="698"/>
      <c r="P2311" s="729"/>
      <c r="Q2311" s="729"/>
      <c r="R2311" s="729"/>
      <c r="S2311" s="729"/>
      <c r="T2311" s="729"/>
      <c r="U2311" s="343"/>
      <c r="V2311" s="343"/>
    </row>
    <row r="2312" spans="1:22" s="364" customFormat="1" ht="12.75" customHeight="1" x14ac:dyDescent="0.3">
      <c r="A2312" s="729"/>
      <c r="B2312" s="302"/>
      <c r="C2312" s="357"/>
      <c r="D2312" s="1698"/>
      <c r="E2312" s="1700" t="str">
        <f>Translations!$B$1364</f>
        <v>Критерий 1: В експлоатация &gt; 2 години?</v>
      </c>
      <c r="F2312" s="1701"/>
      <c r="G2312" s="1701"/>
      <c r="H2312" s="1702" t="s">
        <v>1052</v>
      </c>
      <c r="I2312" s="1701"/>
      <c r="J2312" s="1703" t="str">
        <f>IF(R2308,INDEX('G_Fall-back'!V:V,MATCH($P2312,'G_Fall-back'!$Q:$Q,0))&gt;=3,"")</f>
        <v/>
      </c>
      <c r="K2312" s="1704" t="str">
        <f>IF(S2308,INDEX('G_Fall-back'!W:W,MATCH($P2312,'G_Fall-back'!$Q:$Q,0))&gt;=3,"")</f>
        <v/>
      </c>
      <c r="L2312" s="1704" t="str">
        <f>IF(T2308,INDEX('G_Fall-back'!X:X,MATCH($P2312,'G_Fall-back'!$Q:$Q,0))&gt;=3,"")</f>
        <v/>
      </c>
      <c r="M2312" s="1704" t="str">
        <f>IF(U2308,INDEX('G_Fall-back'!Y:Y,MATCH($P2312,'G_Fall-back'!$Q:$Q,0))&gt;=3,"")</f>
        <v/>
      </c>
      <c r="N2312" s="1705" t="str">
        <f>IF(V2308,INDEX('G_Fall-back'!Z:Z,MATCH($P2312,'G_Fall-back'!$Q:$Q,0))&gt;=3,"")</f>
        <v/>
      </c>
      <c r="O2312" s="698"/>
      <c r="P2312" s="1190" t="str">
        <f>EUconst_CNTR_HALinitial&amp;I2302</f>
        <v>HALini_Подинсталация с емисии от процеси (без риск от ИВЕ | извън МКВЕГ)</v>
      </c>
      <c r="Q2312" s="729"/>
      <c r="R2312" s="729"/>
      <c r="S2312" s="729"/>
      <c r="T2312" s="729"/>
      <c r="U2312" s="343"/>
      <c r="V2312" s="343"/>
    </row>
    <row r="2313" spans="1:22" s="364" customFormat="1" ht="12.75" customHeight="1" x14ac:dyDescent="0.3">
      <c r="A2313" s="729"/>
      <c r="B2313" s="302"/>
      <c r="C2313" s="357"/>
      <c r="D2313" s="1698"/>
      <c r="E2313" s="1706" t="str">
        <f>Translations!$B$1366</f>
        <v>Критерий 2: Не е спряна от експлоатация през предходната година?</v>
      </c>
      <c r="F2313" s="1707"/>
      <c r="G2313" s="1707"/>
      <c r="H2313" s="1708" t="s">
        <v>1052</v>
      </c>
      <c r="I2313" s="1707"/>
      <c r="J2313" s="1709" t="str">
        <f>IF(R2308,IF($K2305="",2050,YEAR($K2305))&lt;&gt;(J2311-1),"")</f>
        <v/>
      </c>
      <c r="K2313" s="1710" t="str">
        <f>IF(S2308,IF($K2305="",2050,YEAR($K2305))&lt;&gt;(K2311-1),"")</f>
        <v/>
      </c>
      <c r="L2313" s="1710" t="str">
        <f>IF(T2308,IF($K2305="",2050,YEAR($K2305))&lt;&gt;(L2311-1),"")</f>
        <v/>
      </c>
      <c r="M2313" s="1710" t="str">
        <f>IF(U2308,IF($K2305="",2050,YEAR($K2305))&lt;&gt;(M2311-1),"")</f>
        <v/>
      </c>
      <c r="N2313" s="1711" t="str">
        <f>IF(V2308,IF($K2305="",2050,YEAR($K2305))&lt;&gt;(N2311-1),"")</f>
        <v/>
      </c>
      <c r="O2313" s="698"/>
      <c r="P2313" s="729"/>
      <c r="Q2313" s="729"/>
      <c r="R2313" s="729"/>
      <c r="S2313" s="729"/>
      <c r="T2313" s="729"/>
      <c r="U2313" s="343"/>
      <c r="V2313" s="343"/>
    </row>
    <row r="2314" spans="1:22" s="364" customFormat="1" ht="5.15" customHeight="1" x14ac:dyDescent="0.3">
      <c r="A2314" s="729"/>
      <c r="B2314" s="302"/>
      <c r="C2314" s="357"/>
      <c r="D2314" s="1698"/>
      <c r="E2314" s="357"/>
      <c r="F2314" s="357"/>
      <c r="G2314" s="357"/>
      <c r="H2314" s="357"/>
      <c r="I2314" s="357"/>
      <c r="J2314" s="357"/>
      <c r="K2314" s="357"/>
      <c r="L2314" s="357"/>
      <c r="M2314" s="357"/>
      <c r="N2314" s="1712"/>
      <c r="O2314" s="698"/>
      <c r="P2314" s="729"/>
      <c r="Q2314" s="729"/>
      <c r="R2314" s="729"/>
      <c r="S2314" s="729"/>
      <c r="T2314" s="729"/>
      <c r="U2314" s="343"/>
      <c r="V2314" s="343"/>
    </row>
    <row r="2315" spans="1:22" s="364" customFormat="1" ht="12.75" customHeight="1" x14ac:dyDescent="0.3">
      <c r="A2315" s="729"/>
      <c r="B2315" s="302"/>
      <c r="C2315" s="357"/>
      <c r="D2315" s="1698"/>
      <c r="E2315" s="313" t="str">
        <f>Translations!$B$1373</f>
        <v>Промени: Няма промяна (базова стойност)</v>
      </c>
      <c r="F2315" s="302"/>
      <c r="G2315" s="302"/>
      <c r="H2315" s="527" t="str">
        <f>EUconst_Unit</f>
        <v>Единица мярка</v>
      </c>
      <c r="I2315" s="1699"/>
      <c r="J2315" s="757">
        <f>J$2505</f>
        <v>2026</v>
      </c>
      <c r="K2315" s="391">
        <f>K$2505</f>
        <v>2027</v>
      </c>
      <c r="L2315" s="391">
        <f>L$2505</f>
        <v>2028</v>
      </c>
      <c r="M2315" s="391">
        <f>M$2505</f>
        <v>2029</v>
      </c>
      <c r="N2315" s="1713">
        <f>N$2505</f>
        <v>2030</v>
      </c>
      <c r="O2315" s="698"/>
      <c r="P2315" s="729"/>
      <c r="Q2315" s="729"/>
      <c r="R2315" s="729"/>
      <c r="S2315" s="729"/>
      <c r="T2315" s="729"/>
      <c r="U2315" s="343"/>
      <c r="V2315" s="343"/>
    </row>
    <row r="2316" spans="1:22" s="364" customFormat="1" ht="12.75" customHeight="1" x14ac:dyDescent="0.3">
      <c r="A2316" s="729"/>
      <c r="B2316" s="302"/>
      <c r="C2316" s="357"/>
      <c r="D2316" s="1698"/>
      <c r="E2316" s="388" t="str">
        <f>Translations!$B$1579</f>
        <v>Очаквано равнище на дейност</v>
      </c>
      <c r="F2316" s="388"/>
      <c r="G2316" s="388"/>
      <c r="H2316" s="1210" t="str">
        <f>F2308</f>
        <v>t CO2e</v>
      </c>
      <c r="I2316" s="388"/>
      <c r="J2316" s="1844" t="str">
        <f>IF(T2340&gt;=$H$2505,S2339,I2339)</f>
        <v/>
      </c>
      <c r="K2316" s="1846" t="str">
        <f>J2339</f>
        <v/>
      </c>
      <c r="L2316" s="1846" t="str">
        <f>K2339</f>
        <v/>
      </c>
      <c r="M2316" s="1846" t="str">
        <f>L2339</f>
        <v/>
      </c>
      <c r="N2316" s="1847" t="str">
        <f>M2339</f>
        <v/>
      </c>
      <c r="O2316" s="698"/>
      <c r="P2316" s="729"/>
      <c r="Q2316" s="729"/>
      <c r="R2316" s="729"/>
      <c r="S2316" s="729"/>
      <c r="T2316" s="729"/>
      <c r="U2316" s="343"/>
      <c r="V2316" s="343"/>
    </row>
    <row r="2317" spans="1:22" s="364" customFormat="1" ht="12.75" customHeight="1" x14ac:dyDescent="0.3">
      <c r="A2317" s="729"/>
      <c r="B2317" s="302"/>
      <c r="C2317" s="357"/>
      <c r="D2317" s="1698"/>
      <c r="E2317" s="388" t="str">
        <f>Translations!$B$1374</f>
        <v>Стойност на предварително разпределяне</v>
      </c>
      <c r="F2317" s="388"/>
      <c r="G2317" s="388"/>
      <c r="H2317" s="421" t="str">
        <f>EUconst_EUA</f>
        <v>Квота за емисии</v>
      </c>
      <c r="I2317" s="1728"/>
      <c r="J2317" s="1694" t="str">
        <f>IF($M2302&lt;&gt;EUconst_Relevant,"",MAX(0,ROUND((SUM($M2305)*SUM(J2316))*IF($H2305=TRUE,1,IF($L2305=4,J$2413,J$2412))*IF($I2305=TRUE,INDEX(EUconst_CBAMFactor,J2315-2020),1)*IF($L2305&gt;=8,J$2415/0.97,1),0)))</f>
        <v/>
      </c>
      <c r="K2317" s="406" t="str">
        <f>IF($M2302&lt;&gt;EUconst_Relevant,"",MAX(0,ROUND((SUM($M2305)*SUM(K2316))*IF($H2305=TRUE,1,IF($L2305=4,K$2413,K$2412))*IF($I2305=TRUE,INDEX(EUconst_CBAMFactor,K2315-2020),1)*IF($L2305&gt;=8,K$2415/0.97,1),0)))</f>
        <v/>
      </c>
      <c r="L2317" s="406" t="str">
        <f>IF($M2302&lt;&gt;EUconst_Relevant,"",MAX(0,ROUND((SUM($M2305)*SUM(L2316))*IF($H2305=TRUE,1,IF($L2305=4,L$2413,L$2412))*IF($I2305=TRUE,INDEX(EUconst_CBAMFactor,L2315-2020),1)*IF($L2305&gt;=8,L$2415/0.97,1),0)))</f>
        <v/>
      </c>
      <c r="M2317" s="406" t="str">
        <f>IF($M2302&lt;&gt;EUconst_Relevant,"",MAX(0,ROUND((SUM($M2305)*SUM(M2316))*IF($H2305=TRUE,1,IF($L2305=4,M$2413,M$2412))*IF($I2305=TRUE,INDEX(EUconst_CBAMFactor,M2315-2020),1)*IF($L2305&gt;=8,M$2415/0.97,1),0)))</f>
        <v/>
      </c>
      <c r="N2317" s="1729" t="str">
        <f>IF($M2302&lt;&gt;EUconst_Relevant,"",MAX(0,ROUND((SUM($M2305)*SUM(N2316))*IF($H2305=TRUE,1,IF($L2305=4,N$2413,N$2412))*IF($I2305=TRUE,INDEX(EUconst_CBAMFactor,N2315-2020),1)*IF($L2305&gt;=8,N$2415/0.97,1),0)))</f>
        <v/>
      </c>
      <c r="O2317" s="698"/>
      <c r="P2317" s="729"/>
      <c r="Q2317" s="729"/>
      <c r="R2317" s="729"/>
      <c r="S2317" s="729"/>
      <c r="T2317" s="729"/>
      <c r="U2317" s="343"/>
      <c r="V2317" s="343"/>
    </row>
    <row r="2318" spans="1:22" s="364" customFormat="1" ht="5.15" customHeight="1" x14ac:dyDescent="0.3">
      <c r="A2318" s="729"/>
      <c r="B2318" s="302"/>
      <c r="C2318" s="357"/>
      <c r="D2318" s="1698"/>
      <c r="E2318" s="357"/>
      <c r="F2318" s="357"/>
      <c r="G2318" s="357"/>
      <c r="H2318" s="357"/>
      <c r="I2318" s="357"/>
      <c r="J2318" s="357"/>
      <c r="K2318" s="357"/>
      <c r="L2318" s="357"/>
      <c r="M2318" s="357"/>
      <c r="N2318" s="1712"/>
      <c r="O2318" s="698"/>
      <c r="P2318" s="729"/>
      <c r="Q2318" s="729"/>
      <c r="R2318" s="729"/>
      <c r="S2318" s="729"/>
      <c r="T2318" s="729"/>
      <c r="U2318" s="343"/>
      <c r="V2318" s="343"/>
    </row>
    <row r="2319" spans="1:22" s="364" customFormat="1" ht="12.75" customHeight="1" x14ac:dyDescent="0.3">
      <c r="A2319" s="729"/>
      <c r="B2319" s="302"/>
      <c r="C2319" s="357"/>
      <c r="D2319" s="1698"/>
      <c r="E2319" s="389" t="str">
        <f>Translations!$B$1375</f>
        <v>Промени: Равнище на дейност</v>
      </c>
      <c r="F2319" s="498"/>
      <c r="G2319" s="498"/>
      <c r="H2319" s="527" t="str">
        <f>EUconst_Unit</f>
        <v>Единица мярка</v>
      </c>
      <c r="I2319" s="1699"/>
      <c r="J2319" s="1523">
        <f>J$2505</f>
        <v>2026</v>
      </c>
      <c r="K2319" s="387">
        <f>K$2505</f>
        <v>2027</v>
      </c>
      <c r="L2319" s="387">
        <f>L$2505</f>
        <v>2028</v>
      </c>
      <c r="M2319" s="387">
        <f>M$2505</f>
        <v>2029</v>
      </c>
      <c r="N2319" s="1544">
        <f>N$2505</f>
        <v>2030</v>
      </c>
      <c r="O2319" s="698"/>
      <c r="P2319" s="729"/>
      <c r="Q2319" s="729"/>
      <c r="R2319" s="729"/>
      <c r="S2319" s="729"/>
      <c r="T2319" s="729"/>
      <c r="U2319" s="343"/>
      <c r="V2319" s="343"/>
    </row>
    <row r="2320" spans="1:22" s="364" customFormat="1" ht="12.75" customHeight="1" x14ac:dyDescent="0.3">
      <c r="A2320" s="729"/>
      <c r="B2320" s="302"/>
      <c r="C2320" s="357"/>
      <c r="D2320" s="1698"/>
      <c r="E2320" s="392" t="str">
        <f>Translations!$B$1328</f>
        <v>Средна годишна стойност</v>
      </c>
      <c r="F2320" s="392"/>
      <c r="G2320" s="392"/>
      <c r="H2320" s="1730" t="str">
        <f>H2316</f>
        <v>t CO2e</v>
      </c>
      <c r="I2320" s="1731"/>
      <c r="J2320" s="1848" t="str">
        <f>INDEX('G_Fall-back'!J:J,MATCH($P2320,'G_Fall-back'!$Q:$Q,0))</f>
        <v/>
      </c>
      <c r="K2320" s="1849" t="str">
        <f>INDEX('G_Fall-back'!K:K,MATCH($P2320,'G_Fall-back'!$Q:$Q,0))</f>
        <v/>
      </c>
      <c r="L2320" s="1849" t="str">
        <f>INDEX('G_Fall-back'!L:L,MATCH($P2320,'G_Fall-back'!$Q:$Q,0))</f>
        <v/>
      </c>
      <c r="M2320" s="1849" t="str">
        <f>INDEX('G_Fall-back'!M:M,MATCH($P2320,'G_Fall-back'!$Q:$Q,0))</f>
        <v/>
      </c>
      <c r="N2320" s="1850" t="str">
        <f>INDEX('G_Fall-back'!N:N,MATCH($P2320,'G_Fall-back'!$Q:$Q,0))</f>
        <v/>
      </c>
      <c r="O2320" s="698"/>
      <c r="P2320" s="1190" t="str">
        <f>EUconst_CNTR_HALinitial&amp;I2302</f>
        <v>HALini_Подинсталация с емисии от процеси (без риск от ИВЕ | извън МКВЕГ)</v>
      </c>
      <c r="Q2320" s="729"/>
      <c r="R2320" s="729"/>
      <c r="S2320" s="729"/>
      <c r="T2320" s="729"/>
      <c r="U2320" s="343"/>
      <c r="V2320" s="343"/>
    </row>
    <row r="2321" spans="1:22" s="364" customFormat="1" ht="12.75" customHeight="1" x14ac:dyDescent="0.3">
      <c r="A2321" s="729"/>
      <c r="B2321" s="302"/>
      <c r="C2321" s="357"/>
      <c r="D2321" s="1698"/>
      <c r="E2321" s="398" t="str">
        <f>Translations!$B$1376</f>
        <v>Промяна в сравнение с HAL</v>
      </c>
      <c r="F2321" s="398"/>
      <c r="G2321" s="398"/>
      <c r="H2321" s="1751" t="s">
        <v>1052</v>
      </c>
      <c r="I2321" s="1735"/>
      <c r="J2321" s="159" t="str">
        <f>INDEX('G_Fall-back'!J:J,MATCH($P2321,'G_Fall-back'!$Q:$Q,0))</f>
        <v/>
      </c>
      <c r="K2321" s="160" t="str">
        <f>INDEX('G_Fall-back'!K:K,MATCH($P2321,'G_Fall-back'!$Q:$Q,0))</f>
        <v/>
      </c>
      <c r="L2321" s="160" t="str">
        <f>INDEX('G_Fall-back'!L:L,MATCH($P2321,'G_Fall-back'!$Q:$Q,0))</f>
        <v/>
      </c>
      <c r="M2321" s="160" t="str">
        <f>INDEX('G_Fall-back'!M:M,MATCH($P2321,'G_Fall-back'!$Q:$Q,0))</f>
        <v/>
      </c>
      <c r="N2321" s="161" t="str">
        <f>INDEX('G_Fall-back'!N:N,MATCH($P2321,'G_Fall-back'!$Q:$Q,0))</f>
        <v/>
      </c>
      <c r="O2321" s="698"/>
      <c r="P2321" s="1190" t="str">
        <f>EUconst_CNTR_RelThreshold &amp; I2302</f>
        <v>RelThresh_Подинсталация с емисии от процеси (без риск от ИВЕ | извън МКВЕГ)</v>
      </c>
      <c r="Q2321" s="729"/>
      <c r="R2321" s="729"/>
      <c r="S2321" s="729"/>
      <c r="T2321" s="729"/>
      <c r="U2321" s="343"/>
      <c r="V2321" s="343"/>
    </row>
    <row r="2322" spans="1:22" s="364" customFormat="1" ht="12.75" customHeight="1" x14ac:dyDescent="0.3">
      <c r="A2322" s="729"/>
      <c r="B2322" s="302"/>
      <c r="C2322" s="357"/>
      <c r="D2322" s="1698"/>
      <c r="E2322" s="1851" t="str">
        <f>Translations!$B$1590</f>
        <v>Критерий 3a: Надвишен ли е относителният праг?</v>
      </c>
      <c r="F2322" s="1851"/>
      <c r="G2322" s="1851"/>
      <c r="H2322" s="1852" t="s">
        <v>1052</v>
      </c>
      <c r="I2322" s="1852"/>
      <c r="J2322" s="1853" t="str">
        <f>INDEX('G_Fall-back'!V:V,MATCH($P2322,'G_Fall-back'!$Q:$Q,0)+1)</f>
        <v/>
      </c>
      <c r="K2322" s="1854" t="str">
        <f>INDEX('G_Fall-back'!W:W,MATCH($P2322,'G_Fall-back'!$Q:$Q,0)+1)</f>
        <v/>
      </c>
      <c r="L2322" s="1854" t="str">
        <f>INDEX('G_Fall-back'!X:X,MATCH($P2322,'G_Fall-back'!$Q:$Q,0)+1)</f>
        <v/>
      </c>
      <c r="M2322" s="1854" t="str">
        <f>INDEX('G_Fall-back'!Y:Y,MATCH($P2322,'G_Fall-back'!$Q:$Q,0)+1)</f>
        <v/>
      </c>
      <c r="N2322" s="1855" t="str">
        <f>INDEX('G_Fall-back'!Z:Z,MATCH($P2322,'G_Fall-back'!$Q:$Q,0)+1)</f>
        <v/>
      </c>
      <c r="O2322" s="698"/>
      <c r="P2322" s="1190" t="str">
        <f>P2321</f>
        <v>RelThresh_Подинсталация с емисии от процеси (без риск от ИВЕ | извън МКВЕГ)</v>
      </c>
      <c r="Q2322" s="729"/>
      <c r="R2322" s="729"/>
      <c r="S2322" s="729"/>
      <c r="T2322" s="729"/>
      <c r="U2322" s="343"/>
      <c r="V2322" s="343"/>
    </row>
    <row r="2323" spans="1:22" s="364" customFormat="1" ht="12.75" customHeight="1" x14ac:dyDescent="0.3">
      <c r="A2323" s="729"/>
      <c r="B2323" s="302"/>
      <c r="C2323" s="357"/>
      <c r="D2323" s="1698"/>
      <c r="E2323" s="392" t="str">
        <f>Translations!$B$1579</f>
        <v>Очаквано равнище на дейност</v>
      </c>
      <c r="F2323" s="392"/>
      <c r="G2323" s="392"/>
      <c r="H2323" s="1730" t="str">
        <f>F2308</f>
        <v>t CO2e</v>
      </c>
      <c r="I2323" s="392"/>
      <c r="J2323" s="1848" t="str">
        <f>INDEX('G_Fall-back'!J:J,MATCH($P2323,'G_Fall-back'!$Q:$Q,0))</f>
        <v/>
      </c>
      <c r="K2323" s="1849" t="str">
        <f>INDEX('G_Fall-back'!K:K,MATCH($P2323,'G_Fall-back'!$Q:$Q,0))</f>
        <v/>
      </c>
      <c r="L2323" s="1849" t="str">
        <f>INDEX('G_Fall-back'!L:L,MATCH($P2323,'G_Fall-back'!$Q:$Q,0))</f>
        <v/>
      </c>
      <c r="M2323" s="1849" t="str">
        <f>INDEX('G_Fall-back'!M:M,MATCH($P2323,'G_Fall-back'!$Q:$Q,0))</f>
        <v/>
      </c>
      <c r="N2323" s="1850" t="str">
        <f>INDEX('G_Fall-back'!N:N,MATCH($P2323,'G_Fall-back'!$Q:$Q,0))</f>
        <v/>
      </c>
      <c r="O2323" s="698"/>
      <c r="P2323" s="1190" t="str">
        <f>EUconst_CNTR_HALprelim&amp;I2302</f>
        <v>HALprelim_Подинсталация с емисии от процеси (без риск от ИВЕ | извън МКВЕГ)</v>
      </c>
      <c r="Q2323" s="729"/>
      <c r="R2323" s="729"/>
      <c r="S2323" s="729"/>
      <c r="T2323" s="729"/>
      <c r="U2323" s="343"/>
      <c r="V2323" s="343"/>
    </row>
    <row r="2324" spans="1:22" s="364" customFormat="1" ht="12.75" customHeight="1" x14ac:dyDescent="0.3">
      <c r="A2324" s="729"/>
      <c r="B2324" s="302"/>
      <c r="C2324" s="357"/>
      <c r="D2324" s="1698"/>
      <c r="E2324" s="398" t="str">
        <f>Translations!$B$1591</f>
        <v>Промяна в сравнение с HAL (очаквана)</v>
      </c>
      <c r="F2324" s="398"/>
      <c r="G2324" s="398"/>
      <c r="H2324" s="516" t="s">
        <v>1052</v>
      </c>
      <c r="I2324" s="1720"/>
      <c r="J2324" s="159" t="str">
        <f>INDEX('G_Fall-back'!J:J,MATCH($P2324,'G_Fall-back'!$Q:$Q,0))</f>
        <v/>
      </c>
      <c r="K2324" s="160" t="str">
        <f>INDEX('G_Fall-back'!K:K,MATCH($P2324,'G_Fall-back'!$Q:$Q,0))</f>
        <v/>
      </c>
      <c r="L2324" s="160" t="str">
        <f>INDEX('G_Fall-back'!L:L,MATCH($P2324,'G_Fall-back'!$Q:$Q,0))</f>
        <v/>
      </c>
      <c r="M2324" s="160" t="str">
        <f>INDEX('G_Fall-back'!M:M,MATCH($P2324,'G_Fall-back'!$Q:$Q,0))</f>
        <v/>
      </c>
      <c r="N2324" s="161" t="str">
        <f>INDEX('G_Fall-back'!N:N,MATCH($P2324,'G_Fall-back'!$Q:$Q,0))</f>
        <v/>
      </c>
      <c r="O2324" s="698"/>
      <c r="P2324" s="1190" t="str">
        <f>EUconst_CNTR_EnEffPct&amp;I2302</f>
        <v>EnEffPct_Подинсталация с емисии от процеси (без риск от ИВЕ | извън МКВЕГ)</v>
      </c>
      <c r="Q2324" s="729"/>
      <c r="R2324" s="729"/>
      <c r="S2324" s="729"/>
      <c r="T2324" s="729"/>
      <c r="U2324" s="343"/>
      <c r="V2324" s="343"/>
    </row>
    <row r="2325" spans="1:22" s="364" customFormat="1" ht="12.75" customHeight="1" x14ac:dyDescent="0.3">
      <c r="A2325" s="729"/>
      <c r="B2325" s="302"/>
      <c r="C2325" s="357"/>
      <c r="D2325" s="1698"/>
      <c r="E2325" s="1706" t="str">
        <f>Translations!$B$1379</f>
        <v>Критерий 3б: Надвишени ли са относителните прагове?</v>
      </c>
      <c r="F2325" s="1706"/>
      <c r="G2325" s="1706"/>
      <c r="H2325" s="1856" t="s">
        <v>1052</v>
      </c>
      <c r="I2325" s="1857"/>
      <c r="J2325" s="1709" t="str">
        <f>INDEX('G_Fall-back'!V:V,MATCH($P2325,'G_Fall-back'!$Q:$Q,0)+1)</f>
        <v/>
      </c>
      <c r="K2325" s="1710" t="str">
        <f>INDEX('G_Fall-back'!W:W,MATCH($P2325,'G_Fall-back'!$Q:$Q,0)+1)</f>
        <v/>
      </c>
      <c r="L2325" s="1710" t="str">
        <f>INDEX('G_Fall-back'!X:X,MATCH($P2325,'G_Fall-back'!$Q:$Q,0)+1)</f>
        <v/>
      </c>
      <c r="M2325" s="1710" t="str">
        <f>INDEX('G_Fall-back'!Y:Y,MATCH($P2325,'G_Fall-back'!$Q:$Q,0)+1)</f>
        <v/>
      </c>
      <c r="N2325" s="1711" t="str">
        <f>INDEX('G_Fall-back'!Z:Z,MATCH($P2325,'G_Fall-back'!$Q:$Q,0)+1)</f>
        <v/>
      </c>
      <c r="O2325" s="698"/>
      <c r="P2325" s="1190" t="str">
        <f>EUconst_CNTR_EnEffPct&amp;I2302</f>
        <v>EnEffPct_Подинсталация с емисии от процеси (без риск от ИВЕ | извън МКВЕГ)</v>
      </c>
      <c r="Q2325" s="729"/>
      <c r="R2325" s="729"/>
      <c r="S2325" s="729"/>
      <c r="T2325" s="729"/>
      <c r="U2325" s="343"/>
      <c r="V2325" s="343"/>
    </row>
    <row r="2326" spans="1:22" s="364" customFormat="1" ht="13" x14ac:dyDescent="0.25">
      <c r="A2326" s="729"/>
      <c r="B2326" s="302"/>
      <c r="C2326" s="302"/>
      <c r="D2326" s="344"/>
      <c r="E2326" s="498" t="str">
        <f>Translations!$B$1389</f>
        <v>Действителна корекция на равнището на дейност</v>
      </c>
      <c r="F2326" s="498"/>
      <c r="G2326" s="498"/>
      <c r="H2326" s="1858" t="s">
        <v>1052</v>
      </c>
      <c r="I2326" s="1859"/>
      <c r="J2326" s="225" t="str">
        <f>INDEX('G_Fall-back'!J:J,MATCH($P2326,'G_Fall-back'!$Q:$Q,0))</f>
        <v/>
      </c>
      <c r="K2326" s="226" t="str">
        <f>INDEX('G_Fall-back'!K:K,MATCH($P2326,'G_Fall-back'!$Q:$Q,0))</f>
        <v/>
      </c>
      <c r="L2326" s="226" t="str">
        <f>INDEX('G_Fall-back'!L:L,MATCH($P2326,'G_Fall-back'!$Q:$Q,0))</f>
        <v/>
      </c>
      <c r="M2326" s="226" t="str">
        <f>INDEX('G_Fall-back'!M:M,MATCH($P2326,'G_Fall-back'!$Q:$Q,0))</f>
        <v/>
      </c>
      <c r="N2326" s="227" t="str">
        <f>INDEX('G_Fall-back'!N:N,MATCH($P2326,'G_Fall-back'!$Q:$Q,0))</f>
        <v/>
      </c>
      <c r="O2326" s="698"/>
      <c r="P2326" s="1190" t="str">
        <f>EUconst_CNTR_HALAdjPct&amp;I2302</f>
        <v>HALAdjPct_Подинсталация с емисии от процеси (без риск от ИВЕ | извън МКВЕГ)</v>
      </c>
      <c r="Q2326" s="729"/>
      <c r="R2326" s="729"/>
      <c r="S2326" s="729"/>
      <c r="T2326" s="770"/>
      <c r="U2326" s="343"/>
      <c r="V2326" s="343"/>
    </row>
    <row r="2327" spans="1:22" s="364" customFormat="1" ht="5.15" customHeight="1" thickBot="1" x14ac:dyDescent="0.3">
      <c r="A2327" s="729"/>
      <c r="B2327" s="302"/>
      <c r="C2327" s="302"/>
      <c r="D2327" s="1801"/>
      <c r="E2327" s="1762"/>
      <c r="F2327" s="1762"/>
      <c r="G2327" s="1762"/>
      <c r="H2327" s="1762"/>
      <c r="I2327" s="1860"/>
      <c r="J2327" s="1762"/>
      <c r="K2327" s="1762"/>
      <c r="L2327" s="1762"/>
      <c r="M2327" s="1762"/>
      <c r="N2327" s="1764"/>
      <c r="O2327" s="698"/>
      <c r="P2327" s="729"/>
      <c r="Q2327" s="729"/>
      <c r="R2327" s="729"/>
      <c r="S2327" s="729"/>
      <c r="T2327" s="770"/>
      <c r="U2327" s="343"/>
      <c r="V2327" s="343"/>
    </row>
    <row r="2328" spans="1:22" s="364" customFormat="1" ht="5.15" customHeight="1" thickBot="1" x14ac:dyDescent="0.3">
      <c r="A2328" s="729"/>
      <c r="B2328" s="302"/>
      <c r="C2328" s="302"/>
      <c r="D2328" s="302"/>
      <c r="E2328" s="302"/>
      <c r="F2328" s="302"/>
      <c r="G2328" s="302"/>
      <c r="H2328" s="302"/>
      <c r="I2328" s="1861"/>
      <c r="J2328" s="302"/>
      <c r="K2328" s="302"/>
      <c r="L2328" s="302"/>
      <c r="M2328" s="302"/>
      <c r="N2328" s="302"/>
      <c r="O2328" s="698"/>
      <c r="P2328" s="729"/>
      <c r="Q2328" s="729"/>
      <c r="R2328" s="729"/>
      <c r="S2328" s="729"/>
      <c r="T2328" s="770"/>
      <c r="U2328" s="343"/>
      <c r="V2328" s="343"/>
    </row>
    <row r="2329" spans="1:22" s="364" customFormat="1" ht="5.15" customHeight="1" x14ac:dyDescent="0.25">
      <c r="A2329" s="729"/>
      <c r="B2329" s="302"/>
      <c r="C2329" s="302"/>
      <c r="D2329" s="1765"/>
      <c r="E2329" s="1766"/>
      <c r="F2329" s="1766"/>
      <c r="G2329" s="1766"/>
      <c r="H2329" s="1766"/>
      <c r="I2329" s="1767"/>
      <c r="J2329" s="1766"/>
      <c r="K2329" s="1766"/>
      <c r="L2329" s="1766"/>
      <c r="M2329" s="1766"/>
      <c r="N2329" s="1768"/>
      <c r="O2329" s="698"/>
      <c r="P2329" s="729"/>
      <c r="Q2329" s="729"/>
      <c r="R2329" s="729"/>
      <c r="S2329" s="729"/>
      <c r="T2329" s="729"/>
      <c r="U2329" s="729"/>
      <c r="V2329" s="729"/>
    </row>
    <row r="2330" spans="1:22" s="364" customFormat="1" ht="13" x14ac:dyDescent="0.25">
      <c r="A2330" s="729"/>
      <c r="B2330" s="302"/>
      <c r="C2330" s="302"/>
      <c r="D2330" s="344"/>
      <c r="E2330" s="1769" t="str">
        <f>Translations!$B$1583</f>
        <v>Предварителни стойности за критерий &gt; 300 EUA</v>
      </c>
      <c r="F2330" s="1746"/>
      <c r="G2330" s="1746"/>
      <c r="H2330" s="1699" t="str">
        <f>EUconst_Unit</f>
        <v>Единица мярка</v>
      </c>
      <c r="I2330" s="1862" t="str">
        <f>Translations!$B$1341</f>
        <v>Базова стойност</v>
      </c>
      <c r="J2330" s="1771">
        <f>J$2505</f>
        <v>2026</v>
      </c>
      <c r="K2330" s="1772">
        <f>K$2505</f>
        <v>2027</v>
      </c>
      <c r="L2330" s="1772">
        <f>L$2505</f>
        <v>2028</v>
      </c>
      <c r="M2330" s="1772">
        <f>M$2505</f>
        <v>2029</v>
      </c>
      <c r="N2330" s="1773">
        <f>N$2505</f>
        <v>2030</v>
      </c>
      <c r="O2330" s="698"/>
      <c r="P2330" s="729"/>
      <c r="Q2330" s="729"/>
      <c r="R2330" s="729"/>
      <c r="S2330" s="729"/>
      <c r="T2330" s="729"/>
      <c r="U2330" s="729"/>
      <c r="V2330" s="729"/>
    </row>
    <row r="2331" spans="1:22" s="364" customFormat="1" x14ac:dyDescent="0.25">
      <c r="A2331" s="729"/>
      <c r="B2331" s="302"/>
      <c r="C2331" s="302"/>
      <c r="D2331" s="344"/>
      <c r="E2331" s="1789" t="str">
        <f>Translations!$B$1579</f>
        <v>Очаквано равнище на дейност</v>
      </c>
      <c r="F2331" s="1789"/>
      <c r="G2331" s="1789"/>
      <c r="H2331" s="1863" t="str">
        <f>F2308</f>
        <v>t CO2e</v>
      </c>
      <c r="I2331" s="1864" t="str">
        <f>IF($M2302&lt;&gt;EUconst_Relevant,"",IF(T2340&gt;=$H$2505,0,S2339))</f>
        <v/>
      </c>
      <c r="J2331" s="1864" t="str">
        <f>INDEX('G_Fall-back'!J:J,MATCH($P2331,'G_Fall-back'!$Q:$Q,0))</f>
        <v/>
      </c>
      <c r="K2331" s="1865" t="str">
        <f>INDEX('G_Fall-back'!K:K,MATCH($P2331,'G_Fall-back'!$Q:$Q,0))</f>
        <v/>
      </c>
      <c r="L2331" s="1865" t="str">
        <f>INDEX('G_Fall-back'!L:L,MATCH($P2331,'G_Fall-back'!$Q:$Q,0))</f>
        <v/>
      </c>
      <c r="M2331" s="1865" t="str">
        <f>INDEX('G_Fall-back'!M:M,MATCH($P2331,'G_Fall-back'!$Q:$Q,0))</f>
        <v/>
      </c>
      <c r="N2331" s="1866" t="str">
        <f>INDEX('G_Fall-back'!N:N,MATCH($P2331,'G_Fall-back'!$Q:$Q,0))</f>
        <v/>
      </c>
      <c r="O2331" s="698"/>
      <c r="P2331" s="1190" t="str">
        <f>EUconst_CNTR_HALprelim&amp;I2302</f>
        <v>HALprelim_Подинсталация с емисии от процеси (без риск от ИВЕ | извън МКВЕГ)</v>
      </c>
      <c r="Q2331" s="729"/>
      <c r="R2331" s="729"/>
      <c r="S2331" s="729"/>
      <c r="T2331" s="729"/>
      <c r="U2331" s="729"/>
      <c r="V2331" s="729"/>
    </row>
    <row r="2332" spans="1:22" s="364" customFormat="1" x14ac:dyDescent="0.25">
      <c r="A2332" s="729"/>
      <c r="B2332" s="302"/>
      <c r="C2332" s="302"/>
      <c r="D2332" s="344"/>
      <c r="E2332" s="1789" t="str">
        <f>Translations!$B$1374</f>
        <v>Стойност на предварително разпределяне</v>
      </c>
      <c r="F2332" s="1789"/>
      <c r="G2332" s="1789"/>
      <c r="H2332" s="1790" t="str">
        <f>EUconst_EUA</f>
        <v>Квота за емисии</v>
      </c>
      <c r="I2332" s="1867" t="str">
        <f>IF($M2302&lt;&gt;EUconst_Relevant,"",MAX(0,ROUND((SUM($M2305)*SUM(I2339))*IF($H2305=TRUE,1,IF($L2305=4,J$2413,J$2412)),0)))</f>
        <v/>
      </c>
      <c r="J2332" s="1714" t="str">
        <f>IF($M2302&lt;&gt;EUconst_Relevant,"",MAX(0,ROUND((SUM($M2305)*SUM(J2331))*IF($H2305=TRUE,1,IF($L2305=4,J$2413,J$2412))*IF($I2305=TRUE,INDEX(EUconst_CBAMFactor,J2315-2020),1)*IF($L2305&gt;=8,J$2415/0.97,1),0)))</f>
        <v/>
      </c>
      <c r="K2332" s="1693" t="str">
        <f>IF($M2302&lt;&gt;EUconst_Relevant,"",MAX(0,ROUND((SUM($M2305)*SUM(K2331))*IF($H2305=TRUE,1,IF($L2305=4,K$2413,K$2412))*IF($I2305=TRUE,INDEX(EUconst_CBAMFactor,K2315-2020),1)*IF($L2305&gt;=8,K$2415/0.97,1),0)))</f>
        <v/>
      </c>
      <c r="L2332" s="1693" t="str">
        <f>IF($M2302&lt;&gt;EUconst_Relevant,"",MAX(0,ROUND((SUM($M2305)*SUM(L2331))*IF($H2305=TRUE,1,IF($L2305=4,L$2413,L$2412))*IF($I2305=TRUE,INDEX(EUconst_CBAMFactor,L2315-2020),1)*IF($L2305&gt;=8,L$2415/0.97,1),0)))</f>
        <v/>
      </c>
      <c r="M2332" s="1693" t="str">
        <f>IF($M2302&lt;&gt;EUconst_Relevant,"",MAX(0,ROUND((SUM($M2305)*SUM(M2331))*IF($H2305=TRUE,1,IF($L2305=4,M$2413,M$2412))*IF($I2305=TRUE,INDEX(EUconst_CBAMFactor,M2315-2020),1)*IF($L2305&gt;=8,M$2415/0.97,1),0)))</f>
        <v/>
      </c>
      <c r="N2332" s="1715" t="str">
        <f>IF($M2302&lt;&gt;EUconst_Relevant,"",MAX(0,ROUND((SUM($M2305)*SUM(N2331))*IF($H2305=TRUE,1,IF($L2305=4,N$2413,N$2412))*IF($I2305=TRUE,INDEX(EUconst_CBAMFactor,N2315-2020),1)*IF($L2305&gt;=8,N$2415/0.97,1),0)))</f>
        <v/>
      </c>
      <c r="O2332" s="698"/>
      <c r="P2332" s="729"/>
      <c r="Q2332" s="729"/>
      <c r="R2332" s="729"/>
      <c r="S2332" s="729"/>
      <c r="T2332" s="729"/>
      <c r="U2332" s="729"/>
      <c r="V2332" s="729"/>
    </row>
    <row r="2333" spans="1:22" s="364" customFormat="1" x14ac:dyDescent="0.25">
      <c r="A2333" s="729"/>
      <c r="B2333" s="302"/>
      <c r="C2333" s="302"/>
      <c r="D2333" s="344"/>
      <c r="E2333" s="388" t="str">
        <f>Translations!$B$1584</f>
        <v>Разлика в предварителната стойност</v>
      </c>
      <c r="F2333" s="388"/>
      <c r="G2333" s="388"/>
      <c r="H2333" s="421" t="str">
        <f>EUconst_EUA</f>
        <v>Квота за емисии</v>
      </c>
      <c r="I2333" s="1792"/>
      <c r="J2333" s="1793" t="str">
        <f>IF(J2332="","",SUM(J2332)-SUM(J2317))</f>
        <v/>
      </c>
      <c r="K2333" s="998" t="str">
        <f t="shared" ref="K2333:N2333" si="195">IF(K2332="","",SUM(K2332)-SUM(K2317))</f>
        <v/>
      </c>
      <c r="L2333" s="998" t="str">
        <f t="shared" si="195"/>
        <v/>
      </c>
      <c r="M2333" s="998" t="str">
        <f t="shared" si="195"/>
        <v/>
      </c>
      <c r="N2333" s="1794" t="str">
        <f t="shared" si="195"/>
        <v/>
      </c>
      <c r="O2333" s="698"/>
      <c r="P2333" s="1190" t="str">
        <f>EUconst_CNTR_AllocPrelimChange</f>
        <v>AllocPrelimChange_</v>
      </c>
      <c r="Q2333" s="729"/>
      <c r="R2333" s="729"/>
      <c r="S2333" s="729"/>
      <c r="T2333" s="729"/>
      <c r="U2333" s="729"/>
      <c r="V2333" s="729"/>
    </row>
    <row r="2334" spans="1:22" s="364" customFormat="1" x14ac:dyDescent="0.25">
      <c r="A2334" s="729"/>
      <c r="B2334" s="302"/>
      <c r="C2334" s="302"/>
      <c r="D2334" s="344"/>
      <c r="E2334" s="1796" t="str">
        <f>Translations!$B$1581</f>
        <v>Критерий 4: Разлика от поне 300 квоти за емисии?</v>
      </c>
      <c r="F2334" s="1796"/>
      <c r="G2334" s="1796"/>
      <c r="H2334" s="1797" t="s">
        <v>1052</v>
      </c>
      <c r="I2334" s="1792"/>
      <c r="J2334" s="1798" t="str">
        <f>IF(J2333="","",ABS(J2333)&gt;=300)</f>
        <v/>
      </c>
      <c r="K2334" s="1799" t="str">
        <f t="shared" ref="K2334:N2334" si="196">IF(K2333="","",ABS(K2333)&gt;=300)</f>
        <v/>
      </c>
      <c r="L2334" s="1799" t="str">
        <f t="shared" si="196"/>
        <v/>
      </c>
      <c r="M2334" s="1799" t="str">
        <f t="shared" si="196"/>
        <v/>
      </c>
      <c r="N2334" s="1800" t="str">
        <f t="shared" si="196"/>
        <v/>
      </c>
      <c r="O2334" s="698"/>
      <c r="P2334" s="1190" t="str">
        <f>EUconst_CNTR_300EUA&amp;I2302</f>
        <v>EUA300_Подинсталация с емисии от процеси (без риск от ИВЕ | извън МКВЕГ)</v>
      </c>
      <c r="Q2334" s="729"/>
      <c r="R2334" s="729"/>
      <c r="S2334" s="729"/>
      <c r="T2334" s="729"/>
      <c r="U2334" s="729"/>
      <c r="V2334" s="729"/>
    </row>
    <row r="2335" spans="1:22" s="364" customFormat="1" ht="5.15" customHeight="1" thickBot="1" x14ac:dyDescent="0.3">
      <c r="A2335" s="729"/>
      <c r="B2335" s="302"/>
      <c r="C2335" s="302"/>
      <c r="D2335" s="1801"/>
      <c r="E2335" s="1762"/>
      <c r="F2335" s="1762"/>
      <c r="G2335" s="1762"/>
      <c r="H2335" s="1762"/>
      <c r="I2335" s="1762"/>
      <c r="J2335" s="1762"/>
      <c r="K2335" s="1762"/>
      <c r="L2335" s="1762"/>
      <c r="M2335" s="1762"/>
      <c r="N2335" s="1764"/>
      <c r="O2335" s="698"/>
      <c r="P2335" s="729"/>
      <c r="Q2335" s="729"/>
      <c r="R2335" s="729"/>
      <c r="S2335" s="729"/>
      <c r="T2335" s="770"/>
      <c r="U2335" s="343"/>
      <c r="V2335" s="343"/>
    </row>
    <row r="2336" spans="1:22" s="364" customFormat="1" ht="5.15" customHeight="1" thickBot="1" x14ac:dyDescent="0.3">
      <c r="A2336" s="729"/>
      <c r="B2336" s="302"/>
      <c r="C2336" s="302"/>
      <c r="D2336" s="302"/>
      <c r="E2336" s="302"/>
      <c r="F2336" s="302"/>
      <c r="G2336" s="302"/>
      <c r="H2336" s="302"/>
      <c r="I2336" s="1861"/>
      <c r="J2336" s="302"/>
      <c r="K2336" s="302"/>
      <c r="L2336" s="302"/>
      <c r="M2336" s="302"/>
      <c r="N2336" s="302"/>
      <c r="O2336" s="698"/>
      <c r="P2336" s="729"/>
      <c r="Q2336" s="729"/>
      <c r="R2336" s="729"/>
      <c r="S2336" s="729"/>
      <c r="T2336" s="770"/>
      <c r="U2336" s="343"/>
      <c r="V2336" s="343"/>
    </row>
    <row r="2337" spans="1:22" s="364" customFormat="1" ht="5.15" customHeight="1" x14ac:dyDescent="0.25">
      <c r="A2337" s="729"/>
      <c r="B2337" s="302"/>
      <c r="C2337" s="302"/>
      <c r="D2337" s="1765"/>
      <c r="E2337" s="1766"/>
      <c r="F2337" s="1766"/>
      <c r="G2337" s="1766"/>
      <c r="H2337" s="1766"/>
      <c r="I2337" s="1767"/>
      <c r="J2337" s="1766"/>
      <c r="K2337" s="1766"/>
      <c r="L2337" s="1766"/>
      <c r="M2337" s="1766"/>
      <c r="N2337" s="1768"/>
      <c r="O2337" s="698"/>
      <c r="P2337" s="729"/>
      <c r="Q2337" s="729"/>
      <c r="R2337" s="729"/>
      <c r="S2337" s="729"/>
      <c r="T2337" s="770"/>
      <c r="U2337" s="343"/>
      <c r="V2337" s="343"/>
    </row>
    <row r="2338" spans="1:22" s="364" customFormat="1" ht="13" x14ac:dyDescent="0.25">
      <c r="A2338" s="729"/>
      <c r="B2338" s="302"/>
      <c r="C2338" s="302"/>
      <c r="D2338" s="344"/>
      <c r="E2338" s="313" t="str">
        <f>Translations!$B$1387</f>
        <v>Използвани действителни стойности</v>
      </c>
      <c r="F2338" s="302"/>
      <c r="G2338" s="302"/>
      <c r="H2338" s="527" t="str">
        <f>EUconst_Unit</f>
        <v>Единица мярка</v>
      </c>
      <c r="I2338" s="1868" t="str">
        <f>Translations!$B$1341</f>
        <v>Базова стойност</v>
      </c>
      <c r="J2338" s="1523">
        <f>J$2505</f>
        <v>2026</v>
      </c>
      <c r="K2338" s="387">
        <f>K$2505</f>
        <v>2027</v>
      </c>
      <c r="L2338" s="387">
        <f>L$2505</f>
        <v>2028</v>
      </c>
      <c r="M2338" s="387">
        <f>M$2505</f>
        <v>2029</v>
      </c>
      <c r="N2338" s="1544">
        <f>N$2505</f>
        <v>2030</v>
      </c>
      <c r="O2338" s="698"/>
      <c r="P2338" s="729"/>
      <c r="Q2338" s="729"/>
      <c r="R2338" s="729"/>
      <c r="S2338" s="1519" t="str">
        <f>Translations!$B$1284</f>
        <v>HAL</v>
      </c>
      <c r="T2338" s="770"/>
      <c r="U2338" s="343"/>
      <c r="V2338" s="343"/>
    </row>
    <row r="2339" spans="1:22" s="364" customFormat="1" x14ac:dyDescent="0.25">
      <c r="A2339" s="729"/>
      <c r="B2339" s="302"/>
      <c r="C2339" s="302"/>
      <c r="D2339" s="344"/>
      <c r="E2339" s="388" t="str">
        <f>Translations!$B$1390</f>
        <v>Използвано равнище на дейност</v>
      </c>
      <c r="F2339" s="388"/>
      <c r="G2339" s="388"/>
      <c r="H2339" s="1210" t="str">
        <f>F2308</f>
        <v>t CO2e</v>
      </c>
      <c r="I2339" s="1864" t="str">
        <f>IF($M2302&lt;&gt;EUconst_Relevant,"",IF(T2340&gt;=$H$2505,0,S2339))</f>
        <v/>
      </c>
      <c r="J2339" s="1844" t="str">
        <f>INDEX('G_Fall-back'!J:J,MATCH($P2339,'G_Fall-back'!$Q:$Q,0))</f>
        <v/>
      </c>
      <c r="K2339" s="1846" t="str">
        <f>INDEX('G_Fall-back'!K:K,MATCH($P2339,'G_Fall-back'!$Q:$Q,0))</f>
        <v/>
      </c>
      <c r="L2339" s="1846" t="str">
        <f>INDEX('G_Fall-back'!L:L,MATCH($P2339,'G_Fall-back'!$Q:$Q,0))</f>
        <v/>
      </c>
      <c r="M2339" s="1846" t="str">
        <f>INDEX('G_Fall-back'!M:M,MATCH($P2339,'G_Fall-back'!$Q:$Q,0))</f>
        <v/>
      </c>
      <c r="N2339" s="1847" t="str">
        <f>INDEX('G_Fall-back'!N:N,MATCH($P2339,'G_Fall-back'!$Q:$Q,0))</f>
        <v/>
      </c>
      <c r="O2339" s="698"/>
      <c r="P2339" s="1190" t="str">
        <f>EUconst_CNTR_HALfinal&amp;I2302</f>
        <v>HALfinal_Подинсталация с емисии от процеси (без риск от ИВЕ | извън МКВЕГ)</v>
      </c>
      <c r="Q2339" s="729"/>
      <c r="R2339" s="729"/>
      <c r="S2339" s="1817" t="str">
        <f>IF($M2302&lt;&gt;EUconst_Relevant,"",SUMIF('G_Fall-back'!$Q:$Q,$P2339,'G_Fall-back'!I:I))</f>
        <v/>
      </c>
      <c r="T2339" s="770"/>
      <c r="U2339" s="343"/>
      <c r="V2339" s="343"/>
    </row>
    <row r="2340" spans="1:22" s="364" customFormat="1" x14ac:dyDescent="0.25">
      <c r="A2340" s="729"/>
      <c r="B2340" s="302"/>
      <c r="C2340" s="302"/>
      <c r="D2340" s="344"/>
      <c r="E2340" s="388" t="str">
        <f>Translations!$B$892</f>
        <v>Предварително разпределяне</v>
      </c>
      <c r="F2340" s="388"/>
      <c r="G2340" s="388"/>
      <c r="H2340" s="421" t="str">
        <f>EUconst_EUA</f>
        <v>Квота за емисии</v>
      </c>
      <c r="I2340" s="1867" t="str">
        <f>IF($M2302&lt;&gt;EUconst_Relevant,"",MAX(0,ROUND((SUM($M2305)*SUM(I2339))*IF($H2305=TRUE,1,IF($L2305=4,J$2413,J$2412)),0)))</f>
        <v/>
      </c>
      <c r="J2340" s="1694" t="str">
        <f>IF($M2302&lt;&gt;EUconst_Relevant,"",MAX(0,ROUND((SUM($M2305)*SUM(J2339))*IF($H2305=TRUE,1,IF($L2305=4,J$2413,J$2412))*IF($I2305=TRUE,INDEX(EUconst_CBAMFactor,J2315-2020),1)*IF($L2305&gt;=8,J$2415/0.97,1),0)))</f>
        <v/>
      </c>
      <c r="K2340" s="406" t="str">
        <f>IF($M2302&lt;&gt;EUconst_Relevant,"",MAX(0,ROUND((SUM($M2305)*SUM(K2339))*IF($H2305=TRUE,1,IF($L2305=4,K$2413,K$2412))*IF($I2305=TRUE,INDEX(EUconst_CBAMFactor,K2315-2020),1)*IF($L2305&gt;=8,K$2415/0.97,1),0)))</f>
        <v/>
      </c>
      <c r="L2340" s="406" t="str">
        <f>IF($M2302&lt;&gt;EUconst_Relevant,"",MAX(0,ROUND((SUM($M2305)*SUM(L2339))*IF($H2305=TRUE,1,IF($L2305=4,L$2413,L$2412))*IF($I2305=TRUE,INDEX(EUconst_CBAMFactor,L2315-2020),1)*IF($L2305&gt;=8,L$2415/0.97,1),0)))</f>
        <v/>
      </c>
      <c r="M2340" s="406" t="str">
        <f>IF($M2302&lt;&gt;EUconst_Relevant,"",MAX(0,ROUND((SUM($M2305)*SUM(M2339))*IF($H2305=TRUE,1,IF($L2305=4,M$2413,M$2412))*IF($I2305=TRUE,INDEX(EUconst_CBAMFactor,M2315-2020),1)*IF($L2305&gt;=8,M$2415/0.97,1),0)))</f>
        <v/>
      </c>
      <c r="N2340" s="1729" t="str">
        <f>IF($M2302&lt;&gt;EUconst_Relevant,"",MAX(0,ROUND((SUM($M2305)*SUM(N2339))*IF($H2305=TRUE,1,IF($L2305=4,N$2413,N$2412))*IF($I2305=TRUE,INDEX(EUconst_CBAMFactor,N2315-2020),1)*IF($L2305&gt;=8,N$2415/0.97,1),0)))</f>
        <v/>
      </c>
      <c r="O2340" s="698"/>
      <c r="P2340" s="1190" t="str">
        <f>EUconst_AllocPrelim&amp;I2302</f>
        <v>AllocPrelim_Подинсталация с емисии от процеси (без риск от ИВЕ | извън МКВЕГ)</v>
      </c>
      <c r="Q2340" s="729"/>
      <c r="R2340" s="729"/>
      <c r="S2340" s="729"/>
      <c r="T2340" s="1176">
        <f>INDEX('G_Fall-back'!V:V,MATCH(L2305,'G_Fall-back'!C:C,0))</f>
        <v>2005</v>
      </c>
      <c r="U2340" s="727" t="b">
        <f>OR(INDEX(I2340:N2340,CNTR_ReportingYear-$I$2505)&lt;&gt;INDEX(I2340:N2340,CNTR_ReportingYear-$H$2505),
(CNTR_ReportingYear-T2340)&lt;=1)</f>
        <v>0</v>
      </c>
      <c r="V2340" s="716" t="b">
        <f ca="1">IF(I2340="",FALSE,COUNTIF(OFFSET(I2340,,,,MAX(1,CNTR_ReportingYear-$I$2505)),"&lt;&gt;" &amp; INDEX(I2340:N2340,CNTR_ReportingYear-$H$2505))&gt;0)</f>
        <v>0</v>
      </c>
    </row>
    <row r="2341" spans="1:22" s="364" customFormat="1" ht="5.15" customHeight="1" thickBot="1" x14ac:dyDescent="0.3">
      <c r="A2341" s="729"/>
      <c r="B2341" s="302"/>
      <c r="C2341" s="302"/>
      <c r="D2341" s="1801"/>
      <c r="E2341" s="1762"/>
      <c r="F2341" s="1762"/>
      <c r="G2341" s="1762"/>
      <c r="H2341" s="1762"/>
      <c r="I2341" s="1762"/>
      <c r="J2341" s="1762"/>
      <c r="K2341" s="1762"/>
      <c r="L2341" s="1762"/>
      <c r="M2341" s="1762"/>
      <c r="N2341" s="1764"/>
      <c r="O2341" s="698"/>
      <c r="P2341" s="729"/>
      <c r="Q2341" s="729"/>
      <c r="R2341" s="729"/>
      <c r="S2341" s="729"/>
      <c r="T2341" s="770"/>
      <c r="U2341" s="343"/>
      <c r="V2341" s="343"/>
    </row>
    <row r="2342" spans="1:22" s="364" customFormat="1" ht="5.15" customHeight="1" x14ac:dyDescent="0.25">
      <c r="A2342" s="729"/>
      <c r="B2342" s="302"/>
      <c r="C2342" s="302"/>
      <c r="D2342" s="302"/>
      <c r="E2342" s="302"/>
      <c r="F2342" s="302"/>
      <c r="G2342" s="302"/>
      <c r="M2342" s="302"/>
      <c r="N2342" s="302"/>
      <c r="O2342" s="698"/>
      <c r="P2342" s="729"/>
      <c r="Q2342" s="729"/>
      <c r="R2342" s="729"/>
      <c r="S2342" s="729"/>
      <c r="T2342" s="729"/>
      <c r="U2342" s="343"/>
      <c r="V2342" s="343"/>
    </row>
    <row r="2343" spans="1:22" s="364" customFormat="1" ht="5.15" customHeight="1" thickBot="1" x14ac:dyDescent="0.3">
      <c r="A2343" s="729"/>
      <c r="B2343" s="302"/>
      <c r="C2343" s="302"/>
      <c r="D2343" s="302"/>
      <c r="E2343" s="302"/>
      <c r="F2343" s="302"/>
      <c r="G2343" s="302"/>
      <c r="M2343" s="302"/>
      <c r="N2343" s="302"/>
      <c r="O2343" s="698"/>
      <c r="P2343" s="729"/>
      <c r="Q2343" s="729"/>
      <c r="R2343" s="729"/>
      <c r="S2343" s="729"/>
      <c r="T2343" s="729"/>
      <c r="U2343" s="343"/>
      <c r="V2343" s="343"/>
    </row>
    <row r="2344" spans="1:22" s="364" customFormat="1" ht="5.15" customHeight="1" x14ac:dyDescent="0.25">
      <c r="A2344" s="729"/>
      <c r="B2344" s="302"/>
      <c r="C2344" s="302"/>
      <c r="D2344" s="1872"/>
      <c r="E2344" s="1819"/>
      <c r="F2344" s="1300"/>
      <c r="G2344" s="1300"/>
      <c r="H2344" s="1300"/>
      <c r="I2344" s="1300"/>
      <c r="J2344" s="1300"/>
      <c r="K2344" s="1300"/>
      <c r="L2344" s="1300"/>
      <c r="M2344" s="1300"/>
      <c r="N2344" s="1301"/>
      <c r="O2344" s="698"/>
      <c r="P2344" s="729"/>
      <c r="Q2344" s="729"/>
      <c r="R2344" s="729"/>
      <c r="S2344" s="729"/>
      <c r="T2344" s="729"/>
      <c r="U2344" s="343"/>
      <c r="V2344" s="343"/>
    </row>
    <row r="2345" spans="1:22" s="364" customFormat="1" ht="13.5" thickBot="1" x14ac:dyDescent="0.3">
      <c r="A2345" s="729"/>
      <c r="B2345" s="302"/>
      <c r="C2345" s="302"/>
      <c r="D2345" s="1873"/>
      <c r="E2345" s="625"/>
      <c r="F2345" s="1874"/>
      <c r="G2345" s="627" t="str">
        <f>EUconst_Unit</f>
        <v>Единица мярка</v>
      </c>
      <c r="H2345" s="666">
        <f t="shared" ref="H2345:N2345" si="197">H$2505</f>
        <v>2024</v>
      </c>
      <c r="I2345" s="666">
        <f t="shared" si="197"/>
        <v>2025</v>
      </c>
      <c r="J2345" s="666">
        <f t="shared" si="197"/>
        <v>2026</v>
      </c>
      <c r="K2345" s="667">
        <f t="shared" si="197"/>
        <v>2027</v>
      </c>
      <c r="L2345" s="667">
        <f t="shared" si="197"/>
        <v>2028</v>
      </c>
      <c r="M2345" s="667">
        <f t="shared" si="197"/>
        <v>2029</v>
      </c>
      <c r="N2345" s="667">
        <f t="shared" si="197"/>
        <v>2030</v>
      </c>
      <c r="O2345" s="698"/>
      <c r="P2345" s="729"/>
      <c r="Q2345" s="729"/>
      <c r="R2345" s="729"/>
      <c r="S2345" s="729"/>
      <c r="T2345" s="729"/>
      <c r="U2345" s="343"/>
      <c r="V2345" s="343"/>
    </row>
    <row r="2346" spans="1:22" s="364" customFormat="1" ht="13.5" customHeight="1" thickBot="1" x14ac:dyDescent="0.3">
      <c r="A2346" s="729"/>
      <c r="B2346" s="302"/>
      <c r="C2346" s="302"/>
      <c r="D2346" s="1873"/>
      <c r="E2346" s="1875" t="str">
        <f>Translations!$B$956</f>
        <v>Общо зададени емисии</v>
      </c>
      <c r="F2346" s="1875"/>
      <c r="G2346" s="631" t="str">
        <f>EUconst_tCO2epa</f>
        <v>t CO2e/година</v>
      </c>
      <c r="H2346" s="661" t="str">
        <f>INDEX(H$95:H$114,MATCH($I2302,$E$95:$E$114,0))</f>
        <v/>
      </c>
      <c r="I2346" s="663" t="str">
        <f t="shared" ref="I2346:N2346" si="198">INDEX(I$95:I$114,MATCH($I2302,$E$95:$E$114,0))</f>
        <v/>
      </c>
      <c r="J2346" s="661" t="str">
        <f t="shared" si="198"/>
        <v/>
      </c>
      <c r="K2346" s="662" t="str">
        <f t="shared" si="198"/>
        <v/>
      </c>
      <c r="L2346" s="662" t="str">
        <f t="shared" si="198"/>
        <v/>
      </c>
      <c r="M2346" s="662" t="str">
        <f t="shared" si="198"/>
        <v/>
      </c>
      <c r="N2346" s="663" t="str">
        <f t="shared" si="198"/>
        <v/>
      </c>
      <c r="O2346" s="698"/>
      <c r="P2346" s="729"/>
      <c r="Q2346" s="729"/>
      <c r="R2346" s="729"/>
      <c r="S2346" s="729"/>
      <c r="T2346" s="770"/>
      <c r="U2346" s="343"/>
      <c r="V2346" s="343"/>
    </row>
    <row r="2347" spans="1:22" s="364" customFormat="1" ht="5.15" customHeight="1" thickBot="1" x14ac:dyDescent="0.3">
      <c r="A2347" s="729"/>
      <c r="B2347" s="302"/>
      <c r="C2347" s="302"/>
      <c r="D2347" s="1880"/>
      <c r="E2347" s="1378"/>
      <c r="F2347" s="1378"/>
      <c r="G2347" s="1378"/>
      <c r="H2347" s="1378"/>
      <c r="I2347" s="1378"/>
      <c r="J2347" s="1378"/>
      <c r="K2347" s="1378"/>
      <c r="L2347" s="1378"/>
      <c r="M2347" s="1378"/>
      <c r="N2347" s="1379"/>
      <c r="O2347" s="698"/>
      <c r="P2347" s="729"/>
      <c r="Q2347" s="729"/>
      <c r="R2347" s="729"/>
      <c r="S2347" s="729"/>
      <c r="T2347" s="729"/>
      <c r="U2347" s="343"/>
      <c r="V2347" s="343"/>
    </row>
    <row r="2348" spans="1:22" s="364" customFormat="1" ht="5.15" customHeight="1" thickBot="1" x14ac:dyDescent="0.3">
      <c r="A2348" s="729"/>
      <c r="B2348" s="302"/>
      <c r="C2348" s="302"/>
      <c r="D2348" s="302"/>
      <c r="E2348" s="302"/>
      <c r="F2348" s="302"/>
      <c r="G2348" s="302"/>
      <c r="M2348" s="302"/>
      <c r="N2348" s="302"/>
      <c r="O2348" s="698"/>
      <c r="P2348" s="729"/>
      <c r="Q2348" s="729"/>
      <c r="R2348" s="729"/>
      <c r="S2348" s="729"/>
      <c r="T2348" s="729"/>
      <c r="U2348" s="343"/>
      <c r="V2348" s="343"/>
    </row>
    <row r="2349" spans="1:22" s="364" customFormat="1" ht="5.15" customHeight="1" thickBot="1" x14ac:dyDescent="0.3">
      <c r="A2349" s="729"/>
      <c r="B2349" s="284"/>
      <c r="C2349" s="581"/>
      <c r="D2349" s="581"/>
      <c r="E2349" s="581"/>
      <c r="F2349" s="581"/>
      <c r="G2349" s="581"/>
      <c r="H2349" s="581"/>
      <c r="I2349" s="581"/>
      <c r="J2349" s="581"/>
      <c r="K2349" s="581"/>
      <c r="L2349" s="581"/>
      <c r="M2349" s="581"/>
      <c r="N2349" s="581"/>
      <c r="O2349" s="698"/>
      <c r="P2349" s="729"/>
      <c r="Q2349" s="729"/>
      <c r="R2349" s="729"/>
      <c r="S2349" s="729"/>
      <c r="T2349" s="729"/>
      <c r="U2349" s="343"/>
      <c r="V2349" s="343"/>
    </row>
    <row r="2350" spans="1:22" s="364" customFormat="1" ht="15" customHeight="1" thickBot="1" x14ac:dyDescent="0.35">
      <c r="A2350" s="729"/>
      <c r="B2350" s="302"/>
      <c r="C2350" s="357">
        <f>C2302+1</f>
        <v>20</v>
      </c>
      <c r="D2350" s="2323" t="str">
        <f>CONCATENATE(EUconst_FBSubinst," ",C2350-10, ":")</f>
        <v>Алтернативна подинсталация („Fall-Back sub-installation“) 10:</v>
      </c>
      <c r="E2350" s="2323"/>
      <c r="F2350" s="2323"/>
      <c r="G2350" s="2323"/>
      <c r="H2350" s="2987"/>
      <c r="I2350" s="2988" t="str">
        <f>INDEX(EUconst_FallBackListNames,$C2350-10)</f>
        <v>Подинсталация с емисии от процеси (с риск от ИВЕ | в рамките на МКВЕГ)</v>
      </c>
      <c r="J2350" s="2989"/>
      <c r="K2350" s="2989"/>
      <c r="L2350" s="2990"/>
      <c r="M2350" s="2919" t="str">
        <f>IF(INDEX(CNTR_FallBackSubInstRelevant,C2350-10)="","",IF(INDEX(CNTR_FallBackSubInstRelevant,C2350-10),EUconst_Relevant,EUconst_NotRelevant))</f>
        <v/>
      </c>
      <c r="N2350" s="2920"/>
      <c r="O2350" s="698"/>
      <c r="P2350" s="729"/>
      <c r="Q2350" s="1684">
        <f>C2350</f>
        <v>20</v>
      </c>
      <c r="R2350" s="1685" t="str">
        <f>I2350</f>
        <v>Подинсталация с емисии от процеси (с риск от ИВЕ | в рамките на МКВЕГ)</v>
      </c>
      <c r="S2350" s="729"/>
      <c r="T2350" s="729"/>
      <c r="U2350" s="343"/>
      <c r="V2350" s="343"/>
    </row>
    <row r="2351" spans="1:22" s="364" customFormat="1" ht="5.15" customHeight="1" x14ac:dyDescent="0.3">
      <c r="A2351" s="729"/>
      <c r="B2351" s="302"/>
      <c r="C2351" s="357"/>
      <c r="D2351" s="357"/>
      <c r="E2351" s="357"/>
      <c r="F2351" s="357"/>
      <c r="G2351" s="357"/>
      <c r="H2351" s="357"/>
      <c r="I2351" s="357"/>
      <c r="J2351" s="357"/>
      <c r="K2351" s="357"/>
      <c r="L2351" s="357"/>
      <c r="M2351" s="357"/>
      <c r="N2351" s="357"/>
      <c r="O2351" s="698"/>
      <c r="P2351" s="729"/>
      <c r="Q2351" s="729"/>
      <c r="R2351" s="729"/>
      <c r="S2351" s="729"/>
      <c r="T2351" s="729"/>
      <c r="U2351" s="343"/>
      <c r="V2351" s="343"/>
    </row>
    <row r="2352" spans="1:22" s="364" customFormat="1" ht="12.75" customHeight="1" x14ac:dyDescent="0.3">
      <c r="A2352" s="729"/>
      <c r="B2352" s="302"/>
      <c r="C2352" s="357"/>
      <c r="D2352" s="357"/>
      <c r="E2352" s="357"/>
      <c r="F2352" s="357"/>
      <c r="H2352" s="595" t="str">
        <f>Translations!$B$942</f>
        <v>Риск от ИВЕ</v>
      </c>
      <c r="I2352" s="595" t="s">
        <v>2151</v>
      </c>
      <c r="J2352" s="595" t="str">
        <f>Translations!$B$946</f>
        <v>В/Е</v>
      </c>
      <c r="K2352" s="595" t="str">
        <f>Translations!$B$1360</f>
        <v>Спряна експлоатация</v>
      </c>
      <c r="L2352" s="654" t="str">
        <f>Translations!$B$944</f>
        <v>№ на п-л</v>
      </c>
      <c r="M2352" s="2991" t="str">
        <f>Translations!$B$948</f>
        <v>Стойност на п-л</v>
      </c>
      <c r="N2352" s="2991"/>
      <c r="O2352" s="698"/>
      <c r="P2352" s="729"/>
      <c r="Q2352" s="729"/>
      <c r="R2352" s="729"/>
      <c r="S2352" s="729"/>
      <c r="T2352" s="729"/>
      <c r="U2352" s="343"/>
      <c r="V2352" s="343"/>
    </row>
    <row r="2353" spans="1:22" s="364" customFormat="1" ht="12.75" customHeight="1" x14ac:dyDescent="0.3">
      <c r="A2353" s="729"/>
      <c r="B2353" s="302"/>
      <c r="C2353" s="357"/>
      <c r="D2353" s="357"/>
      <c r="E2353" s="361" t="str">
        <f>I2350</f>
        <v>Подинсталация с емисии от процеси (с риск от ИВЕ | в рамките на МКВЕГ)</v>
      </c>
      <c r="F2353" s="373"/>
      <c r="G2353" s="373"/>
      <c r="H2353" s="600" t="b">
        <f>INDEX(EUconst_FallBackListCLstatus,MATCH(I2350,EUconst_FallBackListNames,0))</f>
        <v>1</v>
      </c>
      <c r="I2353" s="600" t="b">
        <f>INDEX(EUconst_FallBackListCBAMstatus,MATCH(I2350,EUconst_FallBackListNames,0))</f>
        <v>1</v>
      </c>
      <c r="J2353" s="655" t="str">
        <f>IF($M2350&lt;&gt;EUconst_Relevant,EUconst_NA,INDEX(CNTR_SubInstStartDate,MATCH(I2350,CNTR_SubInstListNames,0)))</f>
        <v>Не е приложимо</v>
      </c>
      <c r="K2353" s="655" t="str">
        <f>IF($M2350&lt;&gt;EUconst_Relevant,EUconst_NA,IF(INDEX(CNTR_SubInstCessationDate,MATCH(I2350,CNTR_SubInstListNames,0))=0,"",INDEX(CNTR_SubInstCessationDate,MATCH(I2350,CNTR_SubInstListNames,0))))</f>
        <v>Не е приложимо</v>
      </c>
      <c r="L2353" s="1687">
        <f>C2350-10</f>
        <v>10</v>
      </c>
      <c r="M2353" s="1841" t="str">
        <f>IF(M2350&lt;&gt;EUconst_Relevant,EUconst_NA,INDEX(EUconst_FallBackListBMvaluesMatrix,L2353,3))</f>
        <v>Не е приложимо</v>
      </c>
      <c r="N2353" s="382" t="str">
        <f>EUconst_EUA &amp; "/" &amp; F2356</f>
        <v>Квота за емисии/t CO2e</v>
      </c>
      <c r="O2353" s="698"/>
      <c r="P2353" s="729"/>
      <c r="Q2353" s="729"/>
      <c r="R2353" s="729"/>
      <c r="S2353" s="729"/>
      <c r="T2353" s="729"/>
      <c r="U2353" s="343"/>
      <c r="V2353" s="343"/>
    </row>
    <row r="2354" spans="1:22" s="364" customFormat="1" ht="5.15" customHeight="1" thickBot="1" x14ac:dyDescent="0.35">
      <c r="A2354" s="729"/>
      <c r="B2354" s="302"/>
      <c r="C2354" s="302"/>
      <c r="D2354" s="302"/>
      <c r="E2354" s="357"/>
      <c r="J2354" s="302"/>
      <c r="K2354" s="302"/>
      <c r="L2354" s="302"/>
      <c r="M2354" s="302"/>
      <c r="N2354" s="302"/>
      <c r="O2354" s="698"/>
      <c r="P2354" s="729"/>
      <c r="Q2354" s="729"/>
      <c r="R2354" s="729"/>
      <c r="S2354" s="729"/>
      <c r="T2354" s="770"/>
      <c r="U2354" s="343"/>
      <c r="V2354" s="343"/>
    </row>
    <row r="2355" spans="1:22" s="364" customFormat="1" ht="12.75" customHeight="1" x14ac:dyDescent="0.25">
      <c r="A2355" s="729"/>
      <c r="B2355" s="302"/>
      <c r="C2355" s="302"/>
      <c r="D2355" s="302"/>
      <c r="E2355" s="313"/>
      <c r="F2355" s="300" t="str">
        <f>EUconst_Unit</f>
        <v>Единица мярка</v>
      </c>
      <c r="G2355" s="1842" t="str">
        <f>Translations!$B$1284</f>
        <v>HAL</v>
      </c>
      <c r="H2355" s="757">
        <f t="shared" ref="H2355:N2355" si="199">H$2505</f>
        <v>2024</v>
      </c>
      <c r="I2355" s="572">
        <f t="shared" si="199"/>
        <v>2025</v>
      </c>
      <c r="J2355" s="757">
        <f t="shared" si="199"/>
        <v>2026</v>
      </c>
      <c r="K2355" s="391">
        <f t="shared" si="199"/>
        <v>2027</v>
      </c>
      <c r="L2355" s="391">
        <f t="shared" si="199"/>
        <v>2028</v>
      </c>
      <c r="M2355" s="391">
        <f t="shared" si="199"/>
        <v>2029</v>
      </c>
      <c r="N2355" s="391">
        <f t="shared" si="199"/>
        <v>2030</v>
      </c>
      <c r="O2355" s="698"/>
      <c r="P2355" s="729"/>
      <c r="Q2355" s="729" t="s">
        <v>1851</v>
      </c>
      <c r="R2355" s="1690">
        <f>J$2505</f>
        <v>2026</v>
      </c>
      <c r="S2355" s="1691">
        <f>K$2505</f>
        <v>2027</v>
      </c>
      <c r="T2355" s="1691">
        <f>L$2505</f>
        <v>2028</v>
      </c>
      <c r="U2355" s="1691">
        <f>M$2505</f>
        <v>2029</v>
      </c>
      <c r="V2355" s="1692">
        <f>N$2505</f>
        <v>2030</v>
      </c>
    </row>
    <row r="2356" spans="1:22" s="364" customFormat="1" ht="12.75" customHeight="1" thickBot="1" x14ac:dyDescent="0.3">
      <c r="A2356" s="729"/>
      <c r="B2356" s="302"/>
      <c r="C2356" s="302"/>
      <c r="D2356" s="302"/>
      <c r="E2356" s="388" t="str">
        <f>Translations!$B$1371</f>
        <v>Докладвано равнище на дейност</v>
      </c>
      <c r="F2356" s="1062" t="str">
        <f>INDEX(EUconst_FallBackListUnits,L2353)</f>
        <v>t CO2e</v>
      </c>
      <c r="G2356" s="1843" t="str">
        <f>I2387</f>
        <v/>
      </c>
      <c r="H2356" s="1844" t="str">
        <f>IF($M2350&lt;&gt;EUconst_Relevant,"",IF(H2355&gt;=CNTR_ReportingYear,"",SUMIF('G_Fall-back'!$Q:$Q,$P2356,'G_Fall-back'!H:H)))</f>
        <v/>
      </c>
      <c r="I2356" s="1845" t="str">
        <f>IF($M2350&lt;&gt;EUconst_Relevant,"",IF(I2355&gt;=CNTR_ReportingYear,"",SUMIF('G_Fall-back'!$Q:$Q,$P2356,'G_Fall-back'!I:I)))</f>
        <v/>
      </c>
      <c r="J2356" s="1844" t="str">
        <f>IF($M2350&lt;&gt;EUconst_Relevant,"",IF(J2355&gt;=CNTR_ReportingYear,"",SUMIF('G_Fall-back'!$Q:$Q,$P2356,'G_Fall-back'!J:J)))</f>
        <v/>
      </c>
      <c r="K2356" s="1846" t="str">
        <f>IF($M2350&lt;&gt;EUconst_Relevant,"",IF(K2355&gt;=CNTR_ReportingYear,"",SUMIF('G_Fall-back'!$Q:$Q,$P2356,'G_Fall-back'!K:K)))</f>
        <v/>
      </c>
      <c r="L2356" s="1846" t="str">
        <f>IF($M2350&lt;&gt;EUconst_Relevant,"",IF(L2355&gt;=CNTR_ReportingYear,"",SUMIF('G_Fall-back'!$Q:$Q,$P2356,'G_Fall-back'!L:L)))</f>
        <v/>
      </c>
      <c r="M2356" s="1846" t="str">
        <f>IF($M2350&lt;&gt;EUconst_Relevant,"",IF(M2355&gt;=CNTR_ReportingYear,"",SUMIF('G_Fall-back'!$Q:$Q,$P2356,'G_Fall-back'!M:M)))</f>
        <v/>
      </c>
      <c r="N2356" s="1846" t="str">
        <f>IF($M2350&lt;&gt;EUconst_Relevant,"",IF(N2355&gt;=CNTR_ReportingYear,"",SUMIF('G_Fall-back'!$Q:$Q,$P2356,'G_Fall-back'!N:N)))</f>
        <v/>
      </c>
      <c r="O2356" s="698"/>
      <c r="P2356" s="1190" t="str">
        <f>EUconst_CNTR_HAL&amp;I2350</f>
        <v>HAL_Подинсталация с емисии от процеси (с риск от ИВЕ | в рамките на МКВЕГ)</v>
      </c>
      <c r="Q2356" s="729"/>
      <c r="R2356" s="1580" t="b">
        <f>AND($M2350=EUconst_Relevant,R2355&lt;=CNTR_ReportingYear,IF($J2353&lt;&gt;EUconst_NA,R2355&gt;=YEAR($J2353),TRUE))</f>
        <v>0</v>
      </c>
      <c r="S2356" s="1255" t="b">
        <f>AND($M2350=EUconst_Relevant,S2355&lt;=CNTR_ReportingYear,IF($J2353&lt;&gt;EUconst_NA,S2355&gt;=YEAR($J2353),TRUE))</f>
        <v>0</v>
      </c>
      <c r="T2356" s="1255" t="b">
        <f>AND($M2350=EUconst_Relevant,T2355&lt;=CNTR_ReportingYear,IF($J2353&lt;&gt;EUconst_NA,T2355&gt;=YEAR($J2353),TRUE))</f>
        <v>0</v>
      </c>
      <c r="U2356" s="1255" t="b">
        <f>AND($M2350=EUconst_Relevant,U2355&lt;=CNTR_ReportingYear,IF($J2353&lt;&gt;EUconst_NA,U2355&gt;=YEAR($J2353),TRUE))</f>
        <v>0</v>
      </c>
      <c r="V2356" s="1256" t="b">
        <f>AND($M2350=EUconst_Relevant,V2355&lt;=CNTR_ReportingYear,IF($J2353&lt;&gt;EUconst_NA,V2355&gt;=YEAR($J2353),TRUE))</f>
        <v>0</v>
      </c>
    </row>
    <row r="2357" spans="1:22" s="364" customFormat="1" ht="5.15" customHeight="1" thickBot="1" x14ac:dyDescent="0.3">
      <c r="A2357" s="729"/>
      <c r="B2357" s="302"/>
      <c r="C2357" s="302"/>
      <c r="D2357" s="302"/>
      <c r="F2357" s="302"/>
      <c r="G2357" s="302"/>
      <c r="H2357" s="302"/>
      <c r="I2357" s="1746"/>
      <c r="J2357" s="302"/>
      <c r="K2357" s="302"/>
      <c r="L2357" s="302"/>
      <c r="M2357" s="302"/>
      <c r="N2357" s="302"/>
      <c r="O2357" s="698"/>
      <c r="P2357" s="729"/>
      <c r="Q2357" s="729"/>
      <c r="R2357" s="729"/>
      <c r="S2357" s="729"/>
      <c r="T2357" s="770"/>
      <c r="U2357" s="343"/>
      <c r="V2357" s="343"/>
    </row>
    <row r="2358" spans="1:22" s="364" customFormat="1" ht="5.15" customHeight="1" x14ac:dyDescent="0.3">
      <c r="A2358" s="729"/>
      <c r="B2358" s="302"/>
      <c r="C2358" s="357"/>
      <c r="D2358" s="1695"/>
      <c r="E2358" s="1696"/>
      <c r="F2358" s="1696"/>
      <c r="G2358" s="1696"/>
      <c r="H2358" s="1696"/>
      <c r="I2358" s="1696"/>
      <c r="J2358" s="1696"/>
      <c r="K2358" s="1696"/>
      <c r="L2358" s="1696"/>
      <c r="M2358" s="1696"/>
      <c r="N2358" s="1697"/>
      <c r="O2358" s="698"/>
      <c r="P2358" s="729"/>
      <c r="Q2358" s="729"/>
      <c r="R2358" s="729"/>
      <c r="S2358" s="729"/>
      <c r="T2358" s="729"/>
      <c r="U2358" s="343"/>
      <c r="V2358" s="343"/>
    </row>
    <row r="2359" spans="1:22" s="364" customFormat="1" ht="12.75" customHeight="1" x14ac:dyDescent="0.3">
      <c r="A2359" s="729"/>
      <c r="B2359" s="302"/>
      <c r="C2359" s="357"/>
      <c r="D2359" s="1698"/>
      <c r="E2359" s="389" t="str">
        <f>Translations!$B$1372</f>
        <v>Приложимост на пълзящата средна стойност</v>
      </c>
      <c r="F2359" s="498"/>
      <c r="G2359" s="498"/>
      <c r="H2359" s="527" t="str">
        <f>EUconst_Unit</f>
        <v>Единица мярка</v>
      </c>
      <c r="I2359" s="1699"/>
      <c r="J2359" s="1523">
        <f>J$2505</f>
        <v>2026</v>
      </c>
      <c r="K2359" s="387">
        <f>K$2505</f>
        <v>2027</v>
      </c>
      <c r="L2359" s="387">
        <f>L$2505</f>
        <v>2028</v>
      </c>
      <c r="M2359" s="387">
        <f>M$2505</f>
        <v>2029</v>
      </c>
      <c r="N2359" s="1544">
        <f>N$2505</f>
        <v>2030</v>
      </c>
      <c r="O2359" s="698"/>
      <c r="P2359" s="729"/>
      <c r="Q2359" s="729"/>
      <c r="R2359" s="729"/>
      <c r="S2359" s="729"/>
      <c r="T2359" s="729"/>
      <c r="U2359" s="343"/>
      <c r="V2359" s="343"/>
    </row>
    <row r="2360" spans="1:22" s="364" customFormat="1" ht="12.75" customHeight="1" x14ac:dyDescent="0.3">
      <c r="A2360" s="729"/>
      <c r="B2360" s="302"/>
      <c r="C2360" s="357"/>
      <c r="D2360" s="1698"/>
      <c r="E2360" s="1700" t="str">
        <f>Translations!$B$1364</f>
        <v>Критерий 1: В експлоатация &gt; 2 години?</v>
      </c>
      <c r="F2360" s="1701"/>
      <c r="G2360" s="1701"/>
      <c r="H2360" s="1702" t="s">
        <v>1052</v>
      </c>
      <c r="I2360" s="1701"/>
      <c r="J2360" s="1703" t="str">
        <f>IF(R2356,INDEX('G_Fall-back'!V:V,MATCH($P2360,'G_Fall-back'!$Q:$Q,0))&gt;=3,"")</f>
        <v/>
      </c>
      <c r="K2360" s="1704" t="str">
        <f>IF(S2356,INDEX('G_Fall-back'!W:W,MATCH($P2360,'G_Fall-back'!$Q:$Q,0))&gt;=3,"")</f>
        <v/>
      </c>
      <c r="L2360" s="1704" t="str">
        <f>IF(T2356,INDEX('G_Fall-back'!X:X,MATCH($P2360,'G_Fall-back'!$Q:$Q,0))&gt;=3,"")</f>
        <v/>
      </c>
      <c r="M2360" s="1704" t="str">
        <f>IF(U2356,INDEX('G_Fall-back'!Y:Y,MATCH($P2360,'G_Fall-back'!$Q:$Q,0))&gt;=3,"")</f>
        <v/>
      </c>
      <c r="N2360" s="1705" t="str">
        <f>IF(V2356,INDEX('G_Fall-back'!Z:Z,MATCH($P2360,'G_Fall-back'!$Q:$Q,0))&gt;=3,"")</f>
        <v/>
      </c>
      <c r="O2360" s="698"/>
      <c r="P2360" s="1190" t="str">
        <f>EUconst_CNTR_HALinitial&amp;I2350</f>
        <v>HALini_Подинсталация с емисии от процеси (с риск от ИВЕ | в рамките на МКВЕГ)</v>
      </c>
      <c r="Q2360" s="729"/>
      <c r="R2360" s="729"/>
      <c r="S2360" s="729"/>
      <c r="T2360" s="729"/>
      <c r="U2360" s="343"/>
      <c r="V2360" s="343"/>
    </row>
    <row r="2361" spans="1:22" s="364" customFormat="1" ht="12.75" customHeight="1" x14ac:dyDescent="0.3">
      <c r="A2361" s="729"/>
      <c r="B2361" s="302"/>
      <c r="C2361" s="357"/>
      <c r="D2361" s="1698"/>
      <c r="E2361" s="1706" t="str">
        <f>Translations!$B$1366</f>
        <v>Критерий 2: Не е спряна от експлоатация през предходната година?</v>
      </c>
      <c r="F2361" s="1707"/>
      <c r="G2361" s="1707"/>
      <c r="H2361" s="1708" t="s">
        <v>1052</v>
      </c>
      <c r="I2361" s="1707"/>
      <c r="J2361" s="1709" t="str">
        <f>IF(R2356,IF($K2353="",2050,YEAR($K2353))&lt;&gt;(J2359-1),"")</f>
        <v/>
      </c>
      <c r="K2361" s="1710" t="str">
        <f>IF(S2356,IF($K2353="",2050,YEAR($K2353))&lt;&gt;(K2359-1),"")</f>
        <v/>
      </c>
      <c r="L2361" s="1710" t="str">
        <f>IF(T2356,IF($K2353="",2050,YEAR($K2353))&lt;&gt;(L2359-1),"")</f>
        <v/>
      </c>
      <c r="M2361" s="1710" t="str">
        <f>IF(U2356,IF($K2353="",2050,YEAR($K2353))&lt;&gt;(M2359-1),"")</f>
        <v/>
      </c>
      <c r="N2361" s="1711" t="str">
        <f>IF(V2356,IF($K2353="",2050,YEAR($K2353))&lt;&gt;(N2359-1),"")</f>
        <v/>
      </c>
      <c r="O2361" s="698"/>
      <c r="P2361" s="729"/>
      <c r="Q2361" s="729"/>
      <c r="R2361" s="729"/>
      <c r="S2361" s="729"/>
      <c r="T2361" s="729"/>
      <c r="U2361" s="343"/>
      <c r="V2361" s="343"/>
    </row>
    <row r="2362" spans="1:22" s="364" customFormat="1" ht="5.15" customHeight="1" x14ac:dyDescent="0.3">
      <c r="A2362" s="729"/>
      <c r="B2362" s="302"/>
      <c r="C2362" s="357"/>
      <c r="D2362" s="1698"/>
      <c r="E2362" s="357"/>
      <c r="F2362" s="357"/>
      <c r="G2362" s="357"/>
      <c r="H2362" s="357"/>
      <c r="I2362" s="357"/>
      <c r="J2362" s="357"/>
      <c r="K2362" s="357"/>
      <c r="L2362" s="357"/>
      <c r="M2362" s="357"/>
      <c r="N2362" s="1712"/>
      <c r="O2362" s="698"/>
      <c r="P2362" s="729"/>
      <c r="Q2362" s="729"/>
      <c r="R2362" s="729"/>
      <c r="S2362" s="729"/>
      <c r="T2362" s="729"/>
      <c r="U2362" s="343"/>
      <c r="V2362" s="343"/>
    </row>
    <row r="2363" spans="1:22" s="364" customFormat="1" ht="12.75" customHeight="1" x14ac:dyDescent="0.3">
      <c r="A2363" s="729"/>
      <c r="B2363" s="302"/>
      <c r="C2363" s="357"/>
      <c r="D2363" s="1698"/>
      <c r="E2363" s="313" t="str">
        <f>Translations!$B$1373</f>
        <v>Промени: Няма промяна (базова стойност)</v>
      </c>
      <c r="F2363" s="302"/>
      <c r="G2363" s="302"/>
      <c r="H2363" s="527" t="str">
        <f>EUconst_Unit</f>
        <v>Единица мярка</v>
      </c>
      <c r="I2363" s="1699"/>
      <c r="J2363" s="757">
        <f>J$2505</f>
        <v>2026</v>
      </c>
      <c r="K2363" s="391">
        <f>K$2505</f>
        <v>2027</v>
      </c>
      <c r="L2363" s="391">
        <f>L$2505</f>
        <v>2028</v>
      </c>
      <c r="M2363" s="391">
        <f>M$2505</f>
        <v>2029</v>
      </c>
      <c r="N2363" s="1713">
        <f>N$2505</f>
        <v>2030</v>
      </c>
      <c r="O2363" s="698"/>
      <c r="P2363" s="729"/>
      <c r="Q2363" s="729"/>
      <c r="R2363" s="729"/>
      <c r="S2363" s="729"/>
      <c r="T2363" s="729"/>
      <c r="U2363" s="343"/>
      <c r="V2363" s="343"/>
    </row>
    <row r="2364" spans="1:22" s="364" customFormat="1" ht="12.75" customHeight="1" x14ac:dyDescent="0.3">
      <c r="A2364" s="729"/>
      <c r="B2364" s="302"/>
      <c r="C2364" s="357"/>
      <c r="D2364" s="1698"/>
      <c r="E2364" s="388" t="str">
        <f>Translations!$B$1579</f>
        <v>Очаквано равнище на дейност</v>
      </c>
      <c r="F2364" s="388"/>
      <c r="G2364" s="388"/>
      <c r="H2364" s="1210" t="str">
        <f>F2356</f>
        <v>t CO2e</v>
      </c>
      <c r="I2364" s="388"/>
      <c r="J2364" s="1844" t="str">
        <f>IF(T2388&gt;=$H$2505,S2387,I2387)</f>
        <v/>
      </c>
      <c r="K2364" s="1846" t="str">
        <f>J2387</f>
        <v/>
      </c>
      <c r="L2364" s="1846" t="str">
        <f>K2387</f>
        <v/>
      </c>
      <c r="M2364" s="1846" t="str">
        <f>L2387</f>
        <v/>
      </c>
      <c r="N2364" s="1847" t="str">
        <f>M2387</f>
        <v/>
      </c>
      <c r="O2364" s="698"/>
      <c r="P2364" s="729"/>
      <c r="Q2364" s="729"/>
      <c r="R2364" s="729"/>
      <c r="S2364" s="729"/>
      <c r="T2364" s="729"/>
      <c r="U2364" s="343"/>
      <c r="V2364" s="343"/>
    </row>
    <row r="2365" spans="1:22" s="364" customFormat="1" ht="12.75" customHeight="1" x14ac:dyDescent="0.3">
      <c r="A2365" s="729"/>
      <c r="B2365" s="302"/>
      <c r="C2365" s="357"/>
      <c r="D2365" s="1698"/>
      <c r="E2365" s="388" t="str">
        <f>Translations!$B$1374</f>
        <v>Стойност на предварително разпределяне</v>
      </c>
      <c r="F2365" s="388"/>
      <c r="G2365" s="388"/>
      <c r="H2365" s="421" t="str">
        <f>EUconst_EUA</f>
        <v>Квота за емисии</v>
      </c>
      <c r="I2365" s="1728"/>
      <c r="J2365" s="1694" t="str">
        <f>IF($M2350&lt;&gt;EUconst_Relevant,"",MAX(0,ROUND((SUM($M2353)*SUM(J2364))*IF($H2353=TRUE,1,IF($L2353=4,J$2413,J$2412))*IF($I2353=TRUE,INDEX(EUconst_CBAMFactor,J2363-2020),1)*IF($L2353&gt;=8,J$2415/0.97,1),0)))</f>
        <v/>
      </c>
      <c r="K2365" s="406" t="str">
        <f>IF($M2350&lt;&gt;EUconst_Relevant,"",MAX(0,ROUND((SUM($M2353)*SUM(K2364))*IF($H2353=TRUE,1,IF($L2353=4,K$2413,K$2412))*IF($I2353=TRUE,INDEX(EUconst_CBAMFactor,K2363-2020),1)*IF($L2353&gt;=8,K$2415/0.97,1),0)))</f>
        <v/>
      </c>
      <c r="L2365" s="406" t="str">
        <f>IF($M2350&lt;&gt;EUconst_Relevant,"",MAX(0,ROUND((SUM($M2353)*SUM(L2364))*IF($H2353=TRUE,1,IF($L2353=4,L$2413,L$2412))*IF($I2353=TRUE,INDEX(EUconst_CBAMFactor,L2363-2020),1)*IF($L2353&gt;=8,L$2415/0.97,1),0)))</f>
        <v/>
      </c>
      <c r="M2365" s="406" t="str">
        <f>IF($M2350&lt;&gt;EUconst_Relevant,"",MAX(0,ROUND((SUM($M2353)*SUM(M2364))*IF($H2353=TRUE,1,IF($L2353=4,M$2413,M$2412))*IF($I2353=TRUE,INDEX(EUconst_CBAMFactor,M2363-2020),1)*IF($L2353&gt;=8,M$2415/0.97,1),0)))</f>
        <v/>
      </c>
      <c r="N2365" s="1729" t="str">
        <f>IF($M2350&lt;&gt;EUconst_Relevant,"",MAX(0,ROUND((SUM($M2353)*SUM(N2364))*IF($H2353=TRUE,1,IF($L2353=4,N$2413,N$2412))*IF($I2353=TRUE,INDEX(EUconst_CBAMFactor,N2363-2020),1)*IF($L2353&gt;=8,N$2415/0.97,1),0)))</f>
        <v/>
      </c>
      <c r="O2365" s="698"/>
      <c r="P2365" s="729"/>
      <c r="Q2365" s="729"/>
      <c r="R2365" s="729"/>
      <c r="S2365" s="729"/>
      <c r="T2365" s="729"/>
      <c r="U2365" s="343"/>
      <c r="V2365" s="343"/>
    </row>
    <row r="2366" spans="1:22" s="364" customFormat="1" ht="5.15" customHeight="1" x14ac:dyDescent="0.3">
      <c r="A2366" s="729"/>
      <c r="B2366" s="302"/>
      <c r="C2366" s="357"/>
      <c r="D2366" s="1698"/>
      <c r="E2366" s="357"/>
      <c r="F2366" s="357"/>
      <c r="G2366" s="357"/>
      <c r="H2366" s="357"/>
      <c r="I2366" s="357"/>
      <c r="J2366" s="357"/>
      <c r="K2366" s="357"/>
      <c r="L2366" s="357"/>
      <c r="M2366" s="357"/>
      <c r="N2366" s="1712"/>
      <c r="O2366" s="698"/>
      <c r="P2366" s="729"/>
      <c r="Q2366" s="729"/>
      <c r="R2366" s="729"/>
      <c r="S2366" s="729"/>
      <c r="T2366" s="729"/>
      <c r="U2366" s="343"/>
      <c r="V2366" s="343"/>
    </row>
    <row r="2367" spans="1:22" s="364" customFormat="1" ht="12.75" customHeight="1" x14ac:dyDescent="0.3">
      <c r="A2367" s="729"/>
      <c r="B2367" s="302"/>
      <c r="C2367" s="357"/>
      <c r="D2367" s="1698"/>
      <c r="E2367" s="389" t="str">
        <f>Translations!$B$1375</f>
        <v>Промени: Равнище на дейност</v>
      </c>
      <c r="F2367" s="498"/>
      <c r="G2367" s="498"/>
      <c r="H2367" s="527" t="str">
        <f>EUconst_Unit</f>
        <v>Единица мярка</v>
      </c>
      <c r="I2367" s="1699"/>
      <c r="J2367" s="1523">
        <f>J$2505</f>
        <v>2026</v>
      </c>
      <c r="K2367" s="387">
        <f>K$2505</f>
        <v>2027</v>
      </c>
      <c r="L2367" s="387">
        <f>L$2505</f>
        <v>2028</v>
      </c>
      <c r="M2367" s="387">
        <f>M$2505</f>
        <v>2029</v>
      </c>
      <c r="N2367" s="1544">
        <f>N$2505</f>
        <v>2030</v>
      </c>
      <c r="O2367" s="698"/>
      <c r="P2367" s="729"/>
      <c r="Q2367" s="729"/>
      <c r="R2367" s="729"/>
      <c r="S2367" s="729"/>
      <c r="T2367" s="729"/>
      <c r="U2367" s="343"/>
      <c r="V2367" s="343"/>
    </row>
    <row r="2368" spans="1:22" s="364" customFormat="1" ht="12.75" customHeight="1" x14ac:dyDescent="0.3">
      <c r="A2368" s="729"/>
      <c r="B2368" s="302"/>
      <c r="C2368" s="357"/>
      <c r="D2368" s="1698"/>
      <c r="E2368" s="392" t="str">
        <f>Translations!$B$1328</f>
        <v>Средна годишна стойност</v>
      </c>
      <c r="F2368" s="392"/>
      <c r="G2368" s="392"/>
      <c r="H2368" s="1730" t="str">
        <f>H2364</f>
        <v>t CO2e</v>
      </c>
      <c r="I2368" s="1731"/>
      <c r="J2368" s="1848" t="str">
        <f>INDEX('G_Fall-back'!J:J,MATCH($P2368,'G_Fall-back'!$Q:$Q,0))</f>
        <v/>
      </c>
      <c r="K2368" s="1849" t="str">
        <f>INDEX('G_Fall-back'!K:K,MATCH($P2368,'G_Fall-back'!$Q:$Q,0))</f>
        <v/>
      </c>
      <c r="L2368" s="1849" t="str">
        <f>INDEX('G_Fall-back'!L:L,MATCH($P2368,'G_Fall-back'!$Q:$Q,0))</f>
        <v/>
      </c>
      <c r="M2368" s="1849" t="str">
        <f>INDEX('G_Fall-back'!M:M,MATCH($P2368,'G_Fall-back'!$Q:$Q,0))</f>
        <v/>
      </c>
      <c r="N2368" s="1850" t="str">
        <f>INDEX('G_Fall-back'!N:N,MATCH($P2368,'G_Fall-back'!$Q:$Q,0))</f>
        <v/>
      </c>
      <c r="O2368" s="698"/>
      <c r="P2368" s="1190" t="str">
        <f>EUconst_CNTR_HALinitial&amp;I2350</f>
        <v>HALini_Подинсталация с емисии от процеси (с риск от ИВЕ | в рамките на МКВЕГ)</v>
      </c>
      <c r="Q2368" s="729"/>
      <c r="R2368" s="729"/>
      <c r="S2368" s="729"/>
      <c r="T2368" s="729"/>
      <c r="U2368" s="343"/>
      <c r="V2368" s="343"/>
    </row>
    <row r="2369" spans="1:22" s="364" customFormat="1" ht="12.75" customHeight="1" x14ac:dyDescent="0.3">
      <c r="A2369" s="729"/>
      <c r="B2369" s="302"/>
      <c r="C2369" s="357"/>
      <c r="D2369" s="1698"/>
      <c r="E2369" s="398" t="str">
        <f>Translations!$B$1376</f>
        <v>Промяна в сравнение с HAL</v>
      </c>
      <c r="F2369" s="398"/>
      <c r="G2369" s="398"/>
      <c r="H2369" s="1751" t="s">
        <v>1052</v>
      </c>
      <c r="I2369" s="1735"/>
      <c r="J2369" s="159" t="str">
        <f>INDEX('G_Fall-back'!J:J,MATCH($P2369,'G_Fall-back'!$Q:$Q,0))</f>
        <v/>
      </c>
      <c r="K2369" s="160" t="str">
        <f>INDEX('G_Fall-back'!K:K,MATCH($P2369,'G_Fall-back'!$Q:$Q,0))</f>
        <v/>
      </c>
      <c r="L2369" s="160" t="str">
        <f>INDEX('G_Fall-back'!L:L,MATCH($P2369,'G_Fall-back'!$Q:$Q,0))</f>
        <v/>
      </c>
      <c r="M2369" s="160" t="str">
        <f>INDEX('G_Fall-back'!M:M,MATCH($P2369,'G_Fall-back'!$Q:$Q,0))</f>
        <v/>
      </c>
      <c r="N2369" s="161" t="str">
        <f>INDEX('G_Fall-back'!N:N,MATCH($P2369,'G_Fall-back'!$Q:$Q,0))</f>
        <v/>
      </c>
      <c r="O2369" s="698"/>
      <c r="P2369" s="1190" t="str">
        <f>EUconst_CNTR_RelThreshold &amp; I2350</f>
        <v>RelThresh_Подинсталация с емисии от процеси (с риск от ИВЕ | в рамките на МКВЕГ)</v>
      </c>
      <c r="Q2369" s="729"/>
      <c r="R2369" s="729"/>
      <c r="S2369" s="729"/>
      <c r="T2369" s="729"/>
      <c r="U2369" s="343"/>
      <c r="V2369" s="343"/>
    </row>
    <row r="2370" spans="1:22" s="364" customFormat="1" ht="12.75" customHeight="1" x14ac:dyDescent="0.3">
      <c r="A2370" s="729"/>
      <c r="B2370" s="302"/>
      <c r="C2370" s="357"/>
      <c r="D2370" s="1698"/>
      <c r="E2370" s="1851" t="str">
        <f>Translations!$B$1590</f>
        <v>Критерий 3a: Надвишен ли е относителният праг?</v>
      </c>
      <c r="F2370" s="1851"/>
      <c r="G2370" s="1851"/>
      <c r="H2370" s="1852" t="s">
        <v>1052</v>
      </c>
      <c r="I2370" s="1852"/>
      <c r="J2370" s="1853" t="str">
        <f>INDEX('G_Fall-back'!V:V,MATCH($P2370,'G_Fall-back'!$Q:$Q,0)+1)</f>
        <v/>
      </c>
      <c r="K2370" s="1854" t="str">
        <f>INDEX('G_Fall-back'!W:W,MATCH($P2370,'G_Fall-back'!$Q:$Q,0)+1)</f>
        <v/>
      </c>
      <c r="L2370" s="1854" t="str">
        <f>INDEX('G_Fall-back'!X:X,MATCH($P2370,'G_Fall-back'!$Q:$Q,0)+1)</f>
        <v/>
      </c>
      <c r="M2370" s="1854" t="str">
        <f>INDEX('G_Fall-back'!Y:Y,MATCH($P2370,'G_Fall-back'!$Q:$Q,0)+1)</f>
        <v/>
      </c>
      <c r="N2370" s="1855" t="str">
        <f>INDEX('G_Fall-back'!Z:Z,MATCH($P2370,'G_Fall-back'!$Q:$Q,0)+1)</f>
        <v/>
      </c>
      <c r="O2370" s="698"/>
      <c r="P2370" s="1190" t="str">
        <f>P2369</f>
        <v>RelThresh_Подинсталация с емисии от процеси (с риск от ИВЕ | в рамките на МКВЕГ)</v>
      </c>
      <c r="Q2370" s="729"/>
      <c r="R2370" s="729"/>
      <c r="S2370" s="729"/>
      <c r="T2370" s="729"/>
      <c r="U2370" s="343"/>
      <c r="V2370" s="343"/>
    </row>
    <row r="2371" spans="1:22" s="364" customFormat="1" ht="12.75" customHeight="1" x14ac:dyDescent="0.3">
      <c r="A2371" s="729"/>
      <c r="B2371" s="302"/>
      <c r="C2371" s="357"/>
      <c r="D2371" s="1698"/>
      <c r="E2371" s="392" t="str">
        <f>Translations!$B$1579</f>
        <v>Очаквано равнище на дейност</v>
      </c>
      <c r="F2371" s="392"/>
      <c r="G2371" s="392"/>
      <c r="H2371" s="1730" t="str">
        <f>F2356</f>
        <v>t CO2e</v>
      </c>
      <c r="I2371" s="392"/>
      <c r="J2371" s="1848" t="str">
        <f>INDEX('G_Fall-back'!J:J,MATCH($P2371,'G_Fall-back'!$Q:$Q,0))</f>
        <v/>
      </c>
      <c r="K2371" s="1849" t="str">
        <f>INDEX('G_Fall-back'!K:K,MATCH($P2371,'G_Fall-back'!$Q:$Q,0))</f>
        <v/>
      </c>
      <c r="L2371" s="1849" t="str">
        <f>INDEX('G_Fall-back'!L:L,MATCH($P2371,'G_Fall-back'!$Q:$Q,0))</f>
        <v/>
      </c>
      <c r="M2371" s="1849" t="str">
        <f>INDEX('G_Fall-back'!M:M,MATCH($P2371,'G_Fall-back'!$Q:$Q,0))</f>
        <v/>
      </c>
      <c r="N2371" s="1850" t="str">
        <f>INDEX('G_Fall-back'!N:N,MATCH($P2371,'G_Fall-back'!$Q:$Q,0))</f>
        <v/>
      </c>
      <c r="O2371" s="698"/>
      <c r="P2371" s="1190" t="str">
        <f>EUconst_CNTR_HALprelim&amp;I2350</f>
        <v>HALprelim_Подинсталация с емисии от процеси (с риск от ИВЕ | в рамките на МКВЕГ)</v>
      </c>
      <c r="Q2371" s="729"/>
      <c r="R2371" s="729"/>
      <c r="S2371" s="729"/>
      <c r="T2371" s="729"/>
      <c r="U2371" s="343"/>
      <c r="V2371" s="343"/>
    </row>
    <row r="2372" spans="1:22" s="364" customFormat="1" ht="12.75" customHeight="1" x14ac:dyDescent="0.3">
      <c r="A2372" s="729"/>
      <c r="B2372" s="302"/>
      <c r="C2372" s="357"/>
      <c r="D2372" s="1698"/>
      <c r="E2372" s="398" t="str">
        <f>Translations!$B$1591</f>
        <v>Промяна в сравнение с HAL (очаквана)</v>
      </c>
      <c r="F2372" s="398"/>
      <c r="G2372" s="398"/>
      <c r="H2372" s="516" t="s">
        <v>1052</v>
      </c>
      <c r="I2372" s="1720"/>
      <c r="J2372" s="159" t="str">
        <f>INDEX('G_Fall-back'!J:J,MATCH($P2372,'G_Fall-back'!$Q:$Q,0))</f>
        <v/>
      </c>
      <c r="K2372" s="160" t="str">
        <f>INDEX('G_Fall-back'!K:K,MATCH($P2372,'G_Fall-back'!$Q:$Q,0))</f>
        <v/>
      </c>
      <c r="L2372" s="160" t="str">
        <f>INDEX('G_Fall-back'!L:L,MATCH($P2372,'G_Fall-back'!$Q:$Q,0))</f>
        <v/>
      </c>
      <c r="M2372" s="160" t="str">
        <f>INDEX('G_Fall-back'!M:M,MATCH($P2372,'G_Fall-back'!$Q:$Q,0))</f>
        <v/>
      </c>
      <c r="N2372" s="161" t="str">
        <f>INDEX('G_Fall-back'!N:N,MATCH($P2372,'G_Fall-back'!$Q:$Q,0))</f>
        <v/>
      </c>
      <c r="O2372" s="698"/>
      <c r="P2372" s="1190" t="str">
        <f>EUconst_CNTR_EnEffPct&amp;I2350</f>
        <v>EnEffPct_Подинсталация с емисии от процеси (с риск от ИВЕ | в рамките на МКВЕГ)</v>
      </c>
      <c r="Q2372" s="729"/>
      <c r="R2372" s="729"/>
      <c r="S2372" s="729"/>
      <c r="T2372" s="729"/>
      <c r="U2372" s="343"/>
      <c r="V2372" s="343"/>
    </row>
    <row r="2373" spans="1:22" s="364" customFormat="1" ht="12.75" customHeight="1" x14ac:dyDescent="0.3">
      <c r="A2373" s="729"/>
      <c r="B2373" s="302"/>
      <c r="C2373" s="357"/>
      <c r="D2373" s="1698"/>
      <c r="E2373" s="1706" t="str">
        <f>Translations!$B$1379</f>
        <v>Критерий 3б: Надвишени ли са относителните прагове?</v>
      </c>
      <c r="F2373" s="1706"/>
      <c r="G2373" s="1706"/>
      <c r="H2373" s="1856" t="s">
        <v>1052</v>
      </c>
      <c r="I2373" s="1857"/>
      <c r="J2373" s="1709" t="str">
        <f>INDEX('G_Fall-back'!V:V,MATCH($P2373,'G_Fall-back'!$Q:$Q,0)+1)</f>
        <v/>
      </c>
      <c r="K2373" s="1710" t="str">
        <f>INDEX('G_Fall-back'!W:W,MATCH($P2373,'G_Fall-back'!$Q:$Q,0)+1)</f>
        <v/>
      </c>
      <c r="L2373" s="1710" t="str">
        <f>INDEX('G_Fall-back'!X:X,MATCH($P2373,'G_Fall-back'!$Q:$Q,0)+1)</f>
        <v/>
      </c>
      <c r="M2373" s="1710" t="str">
        <f>INDEX('G_Fall-back'!Y:Y,MATCH($P2373,'G_Fall-back'!$Q:$Q,0)+1)</f>
        <v/>
      </c>
      <c r="N2373" s="1711" t="str">
        <f>INDEX('G_Fall-back'!Z:Z,MATCH($P2373,'G_Fall-back'!$Q:$Q,0)+1)</f>
        <v/>
      </c>
      <c r="O2373" s="698"/>
      <c r="P2373" s="1190" t="str">
        <f>EUconst_CNTR_EnEffPct&amp;I2350</f>
        <v>EnEffPct_Подинсталация с емисии от процеси (с риск от ИВЕ | в рамките на МКВЕГ)</v>
      </c>
      <c r="Q2373" s="729"/>
      <c r="R2373" s="729"/>
      <c r="S2373" s="729"/>
      <c r="T2373" s="729"/>
      <c r="U2373" s="343"/>
      <c r="V2373" s="343"/>
    </row>
    <row r="2374" spans="1:22" s="364" customFormat="1" ht="13" x14ac:dyDescent="0.25">
      <c r="A2374" s="729"/>
      <c r="B2374" s="302"/>
      <c r="C2374" s="302"/>
      <c r="D2374" s="344"/>
      <c r="E2374" s="498" t="str">
        <f>Translations!$B$1389</f>
        <v>Действителна корекция на равнището на дейност</v>
      </c>
      <c r="F2374" s="498"/>
      <c r="G2374" s="498"/>
      <c r="H2374" s="1858" t="s">
        <v>1052</v>
      </c>
      <c r="I2374" s="1859"/>
      <c r="J2374" s="225" t="str">
        <f>INDEX('G_Fall-back'!J:J,MATCH($P2374,'G_Fall-back'!$Q:$Q,0))</f>
        <v/>
      </c>
      <c r="K2374" s="226" t="str">
        <f>INDEX('G_Fall-back'!K:K,MATCH($P2374,'G_Fall-back'!$Q:$Q,0))</f>
        <v/>
      </c>
      <c r="L2374" s="226" t="str">
        <f>INDEX('G_Fall-back'!L:L,MATCH($P2374,'G_Fall-back'!$Q:$Q,0))</f>
        <v/>
      </c>
      <c r="M2374" s="226" t="str">
        <f>INDEX('G_Fall-back'!M:M,MATCH($P2374,'G_Fall-back'!$Q:$Q,0))</f>
        <v/>
      </c>
      <c r="N2374" s="227" t="str">
        <f>INDEX('G_Fall-back'!N:N,MATCH($P2374,'G_Fall-back'!$Q:$Q,0))</f>
        <v/>
      </c>
      <c r="O2374" s="698"/>
      <c r="P2374" s="1190" t="str">
        <f>EUconst_CNTR_HALAdjPct&amp;I2350</f>
        <v>HALAdjPct_Подинсталация с емисии от процеси (с риск от ИВЕ | в рамките на МКВЕГ)</v>
      </c>
      <c r="Q2374" s="729"/>
      <c r="R2374" s="729"/>
      <c r="S2374" s="729"/>
      <c r="T2374" s="770"/>
      <c r="U2374" s="343"/>
      <c r="V2374" s="343"/>
    </row>
    <row r="2375" spans="1:22" s="364" customFormat="1" ht="5.15" customHeight="1" thickBot="1" x14ac:dyDescent="0.3">
      <c r="A2375" s="729"/>
      <c r="B2375" s="302"/>
      <c r="C2375" s="302"/>
      <c r="D2375" s="1801"/>
      <c r="E2375" s="1762"/>
      <c r="F2375" s="1762"/>
      <c r="G2375" s="1762"/>
      <c r="H2375" s="1762"/>
      <c r="I2375" s="1860"/>
      <c r="J2375" s="1762"/>
      <c r="K2375" s="1762"/>
      <c r="L2375" s="1762"/>
      <c r="M2375" s="1762"/>
      <c r="N2375" s="1764"/>
      <c r="O2375" s="698"/>
      <c r="P2375" s="729"/>
      <c r="Q2375" s="729"/>
      <c r="R2375" s="729"/>
      <c r="S2375" s="729"/>
      <c r="T2375" s="770"/>
      <c r="U2375" s="343"/>
      <c r="V2375" s="343"/>
    </row>
    <row r="2376" spans="1:22" s="364" customFormat="1" ht="5.15" customHeight="1" thickBot="1" x14ac:dyDescent="0.3">
      <c r="A2376" s="729"/>
      <c r="B2376" s="302"/>
      <c r="C2376" s="302"/>
      <c r="D2376" s="302"/>
      <c r="E2376" s="302"/>
      <c r="F2376" s="302"/>
      <c r="G2376" s="302"/>
      <c r="H2376" s="302"/>
      <c r="I2376" s="1861"/>
      <c r="J2376" s="302"/>
      <c r="K2376" s="302"/>
      <c r="L2376" s="302"/>
      <c r="M2376" s="302"/>
      <c r="N2376" s="302"/>
      <c r="O2376" s="698"/>
      <c r="P2376" s="729"/>
      <c r="Q2376" s="729"/>
      <c r="R2376" s="729"/>
      <c r="S2376" s="729"/>
      <c r="T2376" s="770"/>
      <c r="U2376" s="343"/>
      <c r="V2376" s="343"/>
    </row>
    <row r="2377" spans="1:22" s="364" customFormat="1" ht="5.15" customHeight="1" x14ac:dyDescent="0.25">
      <c r="A2377" s="729"/>
      <c r="B2377" s="302"/>
      <c r="C2377" s="302"/>
      <c r="D2377" s="1765"/>
      <c r="E2377" s="1766"/>
      <c r="F2377" s="1766"/>
      <c r="G2377" s="1766"/>
      <c r="H2377" s="1766"/>
      <c r="I2377" s="1767"/>
      <c r="J2377" s="1766"/>
      <c r="K2377" s="1766"/>
      <c r="L2377" s="1766"/>
      <c r="M2377" s="1766"/>
      <c r="N2377" s="1768"/>
      <c r="O2377" s="698"/>
      <c r="P2377" s="729"/>
      <c r="Q2377" s="729"/>
      <c r="R2377" s="729"/>
      <c r="S2377" s="729"/>
      <c r="T2377" s="729"/>
      <c r="U2377" s="729"/>
      <c r="V2377" s="729"/>
    </row>
    <row r="2378" spans="1:22" s="364" customFormat="1" ht="13" x14ac:dyDescent="0.25">
      <c r="A2378" s="729"/>
      <c r="B2378" s="302"/>
      <c r="C2378" s="302"/>
      <c r="D2378" s="344"/>
      <c r="E2378" s="1769" t="str">
        <f>Translations!$B$1583</f>
        <v>Предварителни стойности за критерий &gt; 300 EUA</v>
      </c>
      <c r="F2378" s="1746"/>
      <c r="G2378" s="1746"/>
      <c r="H2378" s="1699" t="str">
        <f>EUconst_Unit</f>
        <v>Единица мярка</v>
      </c>
      <c r="I2378" s="1862" t="str">
        <f>Translations!$B$1341</f>
        <v>Базова стойност</v>
      </c>
      <c r="J2378" s="1771">
        <f>J$2505</f>
        <v>2026</v>
      </c>
      <c r="K2378" s="1772">
        <f>K$2505</f>
        <v>2027</v>
      </c>
      <c r="L2378" s="1772">
        <f>L$2505</f>
        <v>2028</v>
      </c>
      <c r="M2378" s="1772">
        <f>M$2505</f>
        <v>2029</v>
      </c>
      <c r="N2378" s="1773">
        <f>N$2505</f>
        <v>2030</v>
      </c>
      <c r="O2378" s="698"/>
      <c r="P2378" s="729"/>
      <c r="Q2378" s="729"/>
      <c r="R2378" s="729"/>
      <c r="S2378" s="729"/>
      <c r="T2378" s="729"/>
      <c r="U2378" s="729"/>
      <c r="V2378" s="729"/>
    </row>
    <row r="2379" spans="1:22" s="364" customFormat="1" x14ac:dyDescent="0.25">
      <c r="A2379" s="729"/>
      <c r="B2379" s="302"/>
      <c r="C2379" s="302"/>
      <c r="D2379" s="344"/>
      <c r="E2379" s="1789" t="str">
        <f>Translations!$B$1579</f>
        <v>Очаквано равнище на дейност</v>
      </c>
      <c r="F2379" s="1789"/>
      <c r="G2379" s="1789"/>
      <c r="H2379" s="1863" t="str">
        <f>F2356</f>
        <v>t CO2e</v>
      </c>
      <c r="I2379" s="1864" t="str">
        <f>IF($M2350&lt;&gt;EUconst_Relevant,"",IF(T2388&gt;=$H$2505,0,S2387))</f>
        <v/>
      </c>
      <c r="J2379" s="1864" t="str">
        <f>INDEX('G_Fall-back'!J:J,MATCH($P2379,'G_Fall-back'!$Q:$Q,0))</f>
        <v/>
      </c>
      <c r="K2379" s="1865" t="str">
        <f>INDEX('G_Fall-back'!K:K,MATCH($P2379,'G_Fall-back'!$Q:$Q,0))</f>
        <v/>
      </c>
      <c r="L2379" s="1865" t="str">
        <f>INDEX('G_Fall-back'!L:L,MATCH($P2379,'G_Fall-back'!$Q:$Q,0))</f>
        <v/>
      </c>
      <c r="M2379" s="1865" t="str">
        <f>INDEX('G_Fall-back'!M:M,MATCH($P2379,'G_Fall-back'!$Q:$Q,0))</f>
        <v/>
      </c>
      <c r="N2379" s="1866" t="str">
        <f>INDEX('G_Fall-back'!N:N,MATCH($P2379,'G_Fall-back'!$Q:$Q,0))</f>
        <v/>
      </c>
      <c r="O2379" s="698"/>
      <c r="P2379" s="1190" t="str">
        <f>EUconst_CNTR_HALprelim&amp;I2350</f>
        <v>HALprelim_Подинсталация с емисии от процеси (с риск от ИВЕ | в рамките на МКВЕГ)</v>
      </c>
      <c r="Q2379" s="729"/>
      <c r="R2379" s="729"/>
      <c r="S2379" s="729"/>
      <c r="T2379" s="729"/>
      <c r="U2379" s="729"/>
      <c r="V2379" s="729"/>
    </row>
    <row r="2380" spans="1:22" s="364" customFormat="1" x14ac:dyDescent="0.25">
      <c r="A2380" s="729"/>
      <c r="B2380" s="302"/>
      <c r="C2380" s="302"/>
      <c r="D2380" s="344"/>
      <c r="E2380" s="1789" t="str">
        <f>Translations!$B$1374</f>
        <v>Стойност на предварително разпределяне</v>
      </c>
      <c r="F2380" s="1789"/>
      <c r="G2380" s="1789"/>
      <c r="H2380" s="1790" t="str">
        <f>EUconst_EUA</f>
        <v>Квота за емисии</v>
      </c>
      <c r="I2380" s="1867" t="str">
        <f>IF($M2350&lt;&gt;EUconst_Relevant,"",MAX(0,ROUND((SUM($M2353)*SUM(I2387))*IF($H2353=TRUE,1,IF($L2353=4,J$2413,J$2412)),0)))</f>
        <v/>
      </c>
      <c r="J2380" s="1714" t="str">
        <f>IF($M2350&lt;&gt;EUconst_Relevant,"",MAX(0,ROUND((SUM($M2353)*SUM(J2379))*IF($H2353=TRUE,1,IF($L2353=4,J$2413,J$2412))*IF($I2353=TRUE,INDEX(EUconst_CBAMFactor,J2363-2020),1)*IF($L2353&gt;=8,J$2415/0.97,1),0)))</f>
        <v/>
      </c>
      <c r="K2380" s="1693" t="str">
        <f>IF($M2350&lt;&gt;EUconst_Relevant,"",MAX(0,ROUND((SUM($M2353)*SUM(K2379))*IF($H2353=TRUE,1,IF($L2353=4,K$2413,K$2412))*IF($I2353=TRUE,INDEX(EUconst_CBAMFactor,K2363-2020),1)*IF($L2353&gt;=8,K$2415/0.97,1),0)))</f>
        <v/>
      </c>
      <c r="L2380" s="1693" t="str">
        <f>IF($M2350&lt;&gt;EUconst_Relevant,"",MAX(0,ROUND((SUM($M2353)*SUM(L2379))*IF($H2353=TRUE,1,IF($L2353=4,L$2413,L$2412))*IF($I2353=TRUE,INDEX(EUconst_CBAMFactor,L2363-2020),1)*IF($L2353&gt;=8,L$2415/0.97,1),0)))</f>
        <v/>
      </c>
      <c r="M2380" s="1693" t="str">
        <f>IF($M2350&lt;&gt;EUconst_Relevant,"",MAX(0,ROUND((SUM($M2353)*SUM(M2379))*IF($H2353=TRUE,1,IF($L2353=4,M$2413,M$2412))*IF($I2353=TRUE,INDEX(EUconst_CBAMFactor,M2363-2020),1)*IF($L2353&gt;=8,M$2415/0.97,1),0)))</f>
        <v/>
      </c>
      <c r="N2380" s="1715" t="str">
        <f>IF($M2350&lt;&gt;EUconst_Relevant,"",MAX(0,ROUND((SUM($M2353)*SUM(N2379))*IF($H2353=TRUE,1,IF($L2353=4,N$2413,N$2412))*IF($I2353=TRUE,INDEX(EUconst_CBAMFactor,N2363-2020),1)*IF($L2353&gt;=8,N$2415/0.97,1),0)))</f>
        <v/>
      </c>
      <c r="O2380" s="698"/>
      <c r="P2380" s="729"/>
      <c r="Q2380" s="729"/>
      <c r="R2380" s="729"/>
      <c r="S2380" s="729"/>
      <c r="T2380" s="729"/>
      <c r="U2380" s="729"/>
      <c r="V2380" s="729"/>
    </row>
    <row r="2381" spans="1:22" s="364" customFormat="1" x14ac:dyDescent="0.25">
      <c r="A2381" s="729"/>
      <c r="B2381" s="302"/>
      <c r="C2381" s="302"/>
      <c r="D2381" s="344"/>
      <c r="E2381" s="388" t="str">
        <f>Translations!$B$1584</f>
        <v>Разлика в предварителната стойност</v>
      </c>
      <c r="F2381" s="388"/>
      <c r="G2381" s="388"/>
      <c r="H2381" s="421" t="str">
        <f>EUconst_EUA</f>
        <v>Квота за емисии</v>
      </c>
      <c r="I2381" s="1792"/>
      <c r="J2381" s="1793" t="str">
        <f>IF(J2380="","",SUM(J2380)-SUM(J2365))</f>
        <v/>
      </c>
      <c r="K2381" s="998" t="str">
        <f t="shared" ref="K2381:N2381" si="200">IF(K2380="","",SUM(K2380)-SUM(K2365))</f>
        <v/>
      </c>
      <c r="L2381" s="998" t="str">
        <f t="shared" si="200"/>
        <v/>
      </c>
      <c r="M2381" s="998" t="str">
        <f t="shared" si="200"/>
        <v/>
      </c>
      <c r="N2381" s="1794" t="str">
        <f t="shared" si="200"/>
        <v/>
      </c>
      <c r="O2381" s="698"/>
      <c r="P2381" s="1190" t="str">
        <f>EUconst_CNTR_AllocPrelimChange</f>
        <v>AllocPrelimChange_</v>
      </c>
      <c r="Q2381" s="729"/>
      <c r="R2381" s="729"/>
      <c r="S2381" s="729"/>
      <c r="T2381" s="729"/>
      <c r="U2381" s="729"/>
      <c r="V2381" s="729"/>
    </row>
    <row r="2382" spans="1:22" s="364" customFormat="1" x14ac:dyDescent="0.25">
      <c r="A2382" s="729"/>
      <c r="B2382" s="302"/>
      <c r="C2382" s="302"/>
      <c r="D2382" s="344"/>
      <c r="E2382" s="1796" t="str">
        <f>Translations!$B$1581</f>
        <v>Критерий 4: Разлика от поне 300 квоти за емисии?</v>
      </c>
      <c r="F2382" s="1796"/>
      <c r="G2382" s="1796"/>
      <c r="H2382" s="1797" t="s">
        <v>1052</v>
      </c>
      <c r="I2382" s="1792"/>
      <c r="J2382" s="1798" t="str">
        <f>IF(J2381="","",ABS(J2381)&gt;=300)</f>
        <v/>
      </c>
      <c r="K2382" s="1799" t="str">
        <f t="shared" ref="K2382:N2382" si="201">IF(K2381="","",ABS(K2381)&gt;=300)</f>
        <v/>
      </c>
      <c r="L2382" s="1799" t="str">
        <f t="shared" si="201"/>
        <v/>
      </c>
      <c r="M2382" s="1799" t="str">
        <f t="shared" si="201"/>
        <v/>
      </c>
      <c r="N2382" s="1800" t="str">
        <f t="shared" si="201"/>
        <v/>
      </c>
      <c r="O2382" s="698"/>
      <c r="P2382" s="1190" t="str">
        <f>EUconst_CNTR_300EUA&amp;I2350</f>
        <v>EUA300_Подинсталация с емисии от процеси (с риск от ИВЕ | в рамките на МКВЕГ)</v>
      </c>
      <c r="Q2382" s="729"/>
      <c r="R2382" s="729"/>
      <c r="S2382" s="729"/>
      <c r="T2382" s="729"/>
      <c r="U2382" s="729"/>
      <c r="V2382" s="729"/>
    </row>
    <row r="2383" spans="1:22" s="364" customFormat="1" ht="5.15" customHeight="1" thickBot="1" x14ac:dyDescent="0.3">
      <c r="A2383" s="729"/>
      <c r="B2383" s="302"/>
      <c r="C2383" s="302"/>
      <c r="D2383" s="1801"/>
      <c r="E2383" s="1762"/>
      <c r="F2383" s="1762"/>
      <c r="G2383" s="1762"/>
      <c r="H2383" s="1762"/>
      <c r="I2383" s="1762"/>
      <c r="J2383" s="1762"/>
      <c r="K2383" s="1762"/>
      <c r="L2383" s="1762"/>
      <c r="M2383" s="1762"/>
      <c r="N2383" s="1764"/>
      <c r="O2383" s="698"/>
      <c r="P2383" s="729"/>
      <c r="Q2383" s="729"/>
      <c r="R2383" s="729"/>
      <c r="S2383" s="729"/>
      <c r="T2383" s="770"/>
      <c r="U2383" s="343"/>
      <c r="V2383" s="343"/>
    </row>
    <row r="2384" spans="1:22" s="364" customFormat="1" ht="5.15" customHeight="1" thickBot="1" x14ac:dyDescent="0.3">
      <c r="A2384" s="729"/>
      <c r="B2384" s="302"/>
      <c r="C2384" s="302"/>
      <c r="D2384" s="302"/>
      <c r="E2384" s="302"/>
      <c r="F2384" s="302"/>
      <c r="G2384" s="302"/>
      <c r="H2384" s="302"/>
      <c r="I2384" s="1861"/>
      <c r="J2384" s="302"/>
      <c r="K2384" s="302"/>
      <c r="L2384" s="302"/>
      <c r="M2384" s="302"/>
      <c r="N2384" s="302"/>
      <c r="O2384" s="698"/>
      <c r="P2384" s="729"/>
      <c r="Q2384" s="729"/>
      <c r="R2384" s="729"/>
      <c r="S2384" s="729"/>
      <c r="T2384" s="770"/>
      <c r="U2384" s="343"/>
      <c r="V2384" s="343"/>
    </row>
    <row r="2385" spans="1:22" s="364" customFormat="1" ht="5.15" customHeight="1" x14ac:dyDescent="0.25">
      <c r="A2385" s="729"/>
      <c r="B2385" s="302"/>
      <c r="C2385" s="302"/>
      <c r="D2385" s="1765"/>
      <c r="E2385" s="1766"/>
      <c r="F2385" s="1766"/>
      <c r="G2385" s="1766"/>
      <c r="H2385" s="1766"/>
      <c r="I2385" s="1767"/>
      <c r="J2385" s="1766"/>
      <c r="K2385" s="1766"/>
      <c r="L2385" s="1766"/>
      <c r="M2385" s="1766"/>
      <c r="N2385" s="1768"/>
      <c r="O2385" s="698"/>
      <c r="P2385" s="729"/>
      <c r="Q2385" s="729"/>
      <c r="R2385" s="729"/>
      <c r="S2385" s="729"/>
      <c r="T2385" s="770"/>
      <c r="U2385" s="343"/>
      <c r="V2385" s="343"/>
    </row>
    <row r="2386" spans="1:22" s="364" customFormat="1" ht="13" x14ac:dyDescent="0.25">
      <c r="A2386" s="729"/>
      <c r="B2386" s="302"/>
      <c r="C2386" s="302"/>
      <c r="D2386" s="344"/>
      <c r="E2386" s="313" t="str">
        <f>Translations!$B$1387</f>
        <v>Използвани действителни стойности</v>
      </c>
      <c r="F2386" s="302"/>
      <c r="G2386" s="302"/>
      <c r="H2386" s="527" t="str">
        <f>EUconst_Unit</f>
        <v>Единица мярка</v>
      </c>
      <c r="I2386" s="1868" t="str">
        <f>Translations!$B$1341</f>
        <v>Базова стойност</v>
      </c>
      <c r="J2386" s="1523">
        <f>J$2505</f>
        <v>2026</v>
      </c>
      <c r="K2386" s="387">
        <f>K$2505</f>
        <v>2027</v>
      </c>
      <c r="L2386" s="387">
        <f>L$2505</f>
        <v>2028</v>
      </c>
      <c r="M2386" s="387">
        <f>M$2505</f>
        <v>2029</v>
      </c>
      <c r="N2386" s="1544">
        <f>N$2505</f>
        <v>2030</v>
      </c>
      <c r="O2386" s="698"/>
      <c r="P2386" s="729"/>
      <c r="Q2386" s="729"/>
      <c r="R2386" s="729"/>
      <c r="S2386" s="1519" t="str">
        <f>Translations!$B$1284</f>
        <v>HAL</v>
      </c>
      <c r="T2386" s="770"/>
      <c r="U2386" s="343"/>
      <c r="V2386" s="343"/>
    </row>
    <row r="2387" spans="1:22" s="364" customFormat="1" x14ac:dyDescent="0.25">
      <c r="A2387" s="729"/>
      <c r="B2387" s="302"/>
      <c r="C2387" s="302"/>
      <c r="D2387" s="344"/>
      <c r="E2387" s="388" t="str">
        <f>Translations!$B$1390</f>
        <v>Използвано равнище на дейност</v>
      </c>
      <c r="F2387" s="388"/>
      <c r="G2387" s="388"/>
      <c r="H2387" s="1210" t="str">
        <f>F2356</f>
        <v>t CO2e</v>
      </c>
      <c r="I2387" s="1864" t="str">
        <f>IF($M2350&lt;&gt;EUconst_Relevant,"",IF(T2388&gt;=$H$2505,0,S2387))</f>
        <v/>
      </c>
      <c r="J2387" s="1844" t="str">
        <f>INDEX('G_Fall-back'!J:J,MATCH($P2387,'G_Fall-back'!$Q:$Q,0))</f>
        <v/>
      </c>
      <c r="K2387" s="1846" t="str">
        <f>INDEX('G_Fall-back'!K:K,MATCH($P2387,'G_Fall-back'!$Q:$Q,0))</f>
        <v/>
      </c>
      <c r="L2387" s="1846" t="str">
        <f>INDEX('G_Fall-back'!L:L,MATCH($P2387,'G_Fall-back'!$Q:$Q,0))</f>
        <v/>
      </c>
      <c r="M2387" s="1846" t="str">
        <f>INDEX('G_Fall-back'!M:M,MATCH($P2387,'G_Fall-back'!$Q:$Q,0))</f>
        <v/>
      </c>
      <c r="N2387" s="1847" t="str">
        <f>INDEX('G_Fall-back'!N:N,MATCH($P2387,'G_Fall-back'!$Q:$Q,0))</f>
        <v/>
      </c>
      <c r="O2387" s="698"/>
      <c r="P2387" s="1190" t="str">
        <f>EUconst_CNTR_HALfinal&amp;I2350</f>
        <v>HALfinal_Подинсталация с емисии от процеси (с риск от ИВЕ | в рамките на МКВЕГ)</v>
      </c>
      <c r="Q2387" s="729"/>
      <c r="R2387" s="729"/>
      <c r="S2387" s="1817" t="str">
        <f>IF($M2350&lt;&gt;EUconst_Relevant,"",SUMIF('G_Fall-back'!$Q:$Q,$P2387,'G_Fall-back'!I:I))</f>
        <v/>
      </c>
      <c r="T2387" s="770"/>
      <c r="U2387" s="343"/>
      <c r="V2387" s="343"/>
    </row>
    <row r="2388" spans="1:22" s="364" customFormat="1" x14ac:dyDescent="0.25">
      <c r="A2388" s="729"/>
      <c r="B2388" s="302"/>
      <c r="C2388" s="302"/>
      <c r="D2388" s="344"/>
      <c r="E2388" s="388" t="str">
        <f>Translations!$B$892</f>
        <v>Предварително разпределяне</v>
      </c>
      <c r="F2388" s="388"/>
      <c r="G2388" s="388"/>
      <c r="H2388" s="421" t="str">
        <f>EUconst_EUA</f>
        <v>Квота за емисии</v>
      </c>
      <c r="I2388" s="1867" t="str">
        <f>IF($M2350&lt;&gt;EUconst_Relevant,"",MAX(0,ROUND((SUM($M2353)*SUM(I2387))*IF($H2353=TRUE,1,IF($L2353=4,J$2413,J$2412)),0)))</f>
        <v/>
      </c>
      <c r="J2388" s="1694" t="str">
        <f>IF($M2350&lt;&gt;EUconst_Relevant,"",MAX(0,ROUND((SUM($M2353)*SUM(J2387))*IF($H2353=TRUE,1,IF($L2353=4,J$2413,J$2412))*IF($I2353=TRUE,INDEX(EUconst_CBAMFactor,J2363-2020),1)*IF($L2353&gt;=8,J$2415/0.97,1),0)))</f>
        <v/>
      </c>
      <c r="K2388" s="406" t="str">
        <f>IF($M2350&lt;&gt;EUconst_Relevant,"",MAX(0,ROUND((SUM($M2353)*SUM(K2387))*IF($H2353=TRUE,1,IF($L2353=4,K$2413,K$2412))*IF($I2353=TRUE,INDEX(EUconst_CBAMFactor,K2363-2020),1)*IF($L2353&gt;=8,K$2415/0.97,1),0)))</f>
        <v/>
      </c>
      <c r="L2388" s="406" t="str">
        <f>IF($M2350&lt;&gt;EUconst_Relevant,"",MAX(0,ROUND((SUM($M2353)*SUM(L2387))*IF($H2353=TRUE,1,IF($L2353=4,L$2413,L$2412))*IF($I2353=TRUE,INDEX(EUconst_CBAMFactor,L2363-2020),1)*IF($L2353&gt;=8,L$2415/0.97,1),0)))</f>
        <v/>
      </c>
      <c r="M2388" s="406" t="str">
        <f>IF($M2350&lt;&gt;EUconst_Relevant,"",MAX(0,ROUND((SUM($M2353)*SUM(M2387))*IF($H2353=TRUE,1,IF($L2353=4,M$2413,M$2412))*IF($I2353=TRUE,INDEX(EUconst_CBAMFactor,M2363-2020),1)*IF($L2353&gt;=8,M$2415/0.97,1),0)))</f>
        <v/>
      </c>
      <c r="N2388" s="1729" t="str">
        <f>IF($M2350&lt;&gt;EUconst_Relevant,"",MAX(0,ROUND((SUM($M2353)*SUM(N2387))*IF($H2353=TRUE,1,IF($L2353=4,N$2413,N$2412))*IF($I2353=TRUE,INDEX(EUconst_CBAMFactor,N2363-2020),1)*IF($L2353&gt;=8,N$2415/0.97,1),0)))</f>
        <v/>
      </c>
      <c r="O2388" s="698"/>
      <c r="P2388" s="1190" t="str">
        <f>EUconst_AllocPrelim&amp;I2350</f>
        <v>AllocPrelim_Подинсталация с емисии от процеси (с риск от ИВЕ | в рамките на МКВЕГ)</v>
      </c>
      <c r="Q2388" s="729"/>
      <c r="R2388" s="729"/>
      <c r="S2388" s="729"/>
      <c r="T2388" s="1176">
        <f>INDEX('G_Fall-back'!V:V,MATCH(L2353,'G_Fall-back'!C:C,0))</f>
        <v>2005</v>
      </c>
      <c r="U2388" s="727" t="b">
        <f>OR(INDEX(I2388:N2388,CNTR_ReportingYear-$I$2505)&lt;&gt;INDEX(I2388:N2388,CNTR_ReportingYear-$H$2505),
(CNTR_ReportingYear-T2388)&lt;=1)</f>
        <v>0</v>
      </c>
      <c r="V2388" s="716" t="b">
        <f ca="1">IF(I2388="",FALSE,COUNTIF(OFFSET(I2388,,,,MAX(1,CNTR_ReportingYear-$I$2505)),"&lt;&gt;" &amp; INDEX(I2388:N2388,CNTR_ReportingYear-$H$2505))&gt;0)</f>
        <v>0</v>
      </c>
    </row>
    <row r="2389" spans="1:22" s="364" customFormat="1" ht="5.15" customHeight="1" thickBot="1" x14ac:dyDescent="0.3">
      <c r="A2389" s="729"/>
      <c r="B2389" s="302"/>
      <c r="C2389" s="302"/>
      <c r="D2389" s="1801"/>
      <c r="E2389" s="1762"/>
      <c r="F2389" s="1762"/>
      <c r="G2389" s="1762"/>
      <c r="H2389" s="1762"/>
      <c r="I2389" s="1762"/>
      <c r="J2389" s="1762"/>
      <c r="K2389" s="1762"/>
      <c r="L2389" s="1762"/>
      <c r="M2389" s="1762"/>
      <c r="N2389" s="1764"/>
      <c r="O2389" s="698"/>
      <c r="P2389" s="729"/>
      <c r="Q2389" s="729"/>
      <c r="R2389" s="729"/>
      <c r="S2389" s="729"/>
      <c r="T2389" s="770"/>
      <c r="U2389" s="343"/>
      <c r="V2389" s="343"/>
    </row>
    <row r="2390" spans="1:22" s="364" customFormat="1" ht="5.15" customHeight="1" x14ac:dyDescent="0.25">
      <c r="A2390" s="729"/>
      <c r="B2390" s="302"/>
      <c r="C2390" s="302"/>
      <c r="D2390" s="302"/>
      <c r="E2390" s="302"/>
      <c r="F2390" s="302"/>
      <c r="G2390" s="302"/>
      <c r="M2390" s="302"/>
      <c r="N2390" s="302"/>
      <c r="O2390" s="698"/>
      <c r="P2390" s="729"/>
      <c r="Q2390" s="729"/>
      <c r="R2390" s="729"/>
      <c r="S2390" s="729"/>
      <c r="T2390" s="729"/>
      <c r="U2390" s="343"/>
      <c r="V2390" s="343"/>
    </row>
    <row r="2391" spans="1:22" s="364" customFormat="1" ht="5.15" customHeight="1" thickBot="1" x14ac:dyDescent="0.3">
      <c r="A2391" s="729"/>
      <c r="B2391" s="302"/>
      <c r="C2391" s="302"/>
      <c r="D2391" s="302"/>
      <c r="E2391" s="302"/>
      <c r="F2391" s="302"/>
      <c r="G2391" s="302"/>
      <c r="M2391" s="302"/>
      <c r="N2391" s="302"/>
      <c r="O2391" s="698"/>
      <c r="P2391" s="729"/>
      <c r="Q2391" s="729"/>
      <c r="R2391" s="729"/>
      <c r="S2391" s="729"/>
      <c r="T2391" s="729"/>
      <c r="U2391" s="343"/>
      <c r="V2391" s="343"/>
    </row>
    <row r="2392" spans="1:22" s="364" customFormat="1" ht="5.15" customHeight="1" x14ac:dyDescent="0.25">
      <c r="A2392" s="729"/>
      <c r="B2392" s="302"/>
      <c r="C2392" s="302"/>
      <c r="D2392" s="1872"/>
      <c r="E2392" s="1819"/>
      <c r="F2392" s="1300"/>
      <c r="G2392" s="1300"/>
      <c r="H2392" s="1300"/>
      <c r="I2392" s="1300"/>
      <c r="J2392" s="1300"/>
      <c r="K2392" s="1300"/>
      <c r="L2392" s="1300"/>
      <c r="M2392" s="1300"/>
      <c r="N2392" s="1301"/>
      <c r="O2392" s="698"/>
      <c r="P2392" s="729"/>
      <c r="Q2392" s="729"/>
      <c r="R2392" s="729"/>
      <c r="S2392" s="729"/>
      <c r="T2392" s="729"/>
      <c r="U2392" s="343"/>
      <c r="V2392" s="343"/>
    </row>
    <row r="2393" spans="1:22" s="364" customFormat="1" ht="13.5" thickBot="1" x14ac:dyDescent="0.3">
      <c r="A2393" s="729"/>
      <c r="B2393" s="302"/>
      <c r="C2393" s="302"/>
      <c r="D2393" s="1873"/>
      <c r="E2393" s="625"/>
      <c r="F2393" s="1874"/>
      <c r="G2393" s="627" t="str">
        <f>EUconst_Unit</f>
        <v>Единица мярка</v>
      </c>
      <c r="H2393" s="666">
        <f t="shared" ref="H2393:N2393" si="202">H$2505</f>
        <v>2024</v>
      </c>
      <c r="I2393" s="666">
        <f t="shared" si="202"/>
        <v>2025</v>
      </c>
      <c r="J2393" s="666">
        <f t="shared" si="202"/>
        <v>2026</v>
      </c>
      <c r="K2393" s="667">
        <f t="shared" si="202"/>
        <v>2027</v>
      </c>
      <c r="L2393" s="667">
        <f t="shared" si="202"/>
        <v>2028</v>
      </c>
      <c r="M2393" s="667">
        <f t="shared" si="202"/>
        <v>2029</v>
      </c>
      <c r="N2393" s="667">
        <f t="shared" si="202"/>
        <v>2030</v>
      </c>
      <c r="O2393" s="698"/>
      <c r="P2393" s="729"/>
      <c r="Q2393" s="729"/>
      <c r="R2393" s="729"/>
      <c r="S2393" s="729"/>
      <c r="T2393" s="729"/>
      <c r="U2393" s="343"/>
      <c r="V2393" s="343"/>
    </row>
    <row r="2394" spans="1:22" s="364" customFormat="1" ht="13.5" customHeight="1" thickBot="1" x14ac:dyDescent="0.3">
      <c r="A2394" s="729"/>
      <c r="B2394" s="302"/>
      <c r="C2394" s="302"/>
      <c r="D2394" s="1873"/>
      <c r="E2394" s="1875" t="str">
        <f>Translations!$B$956</f>
        <v>Общо зададени емисии</v>
      </c>
      <c r="F2394" s="1875"/>
      <c r="G2394" s="631" t="str">
        <f>EUconst_tCO2epa</f>
        <v>t CO2e/година</v>
      </c>
      <c r="H2394" s="661" t="str">
        <f>INDEX(H$95:H$114,MATCH($I2350,$E$95:$E$114,0))</f>
        <v/>
      </c>
      <c r="I2394" s="663" t="str">
        <f t="shared" ref="I2394:N2394" si="203">INDEX(I$95:I$114,MATCH($I2350,$E$95:$E$114,0))</f>
        <v/>
      </c>
      <c r="J2394" s="661" t="str">
        <f t="shared" si="203"/>
        <v/>
      </c>
      <c r="K2394" s="662" t="str">
        <f t="shared" si="203"/>
        <v/>
      </c>
      <c r="L2394" s="662" t="str">
        <f t="shared" si="203"/>
        <v/>
      </c>
      <c r="M2394" s="662" t="str">
        <f t="shared" si="203"/>
        <v/>
      </c>
      <c r="N2394" s="663" t="str">
        <f t="shared" si="203"/>
        <v/>
      </c>
      <c r="O2394" s="698"/>
      <c r="P2394" s="729"/>
      <c r="Q2394" s="729"/>
      <c r="R2394" s="729"/>
      <c r="S2394" s="729"/>
      <c r="T2394" s="770"/>
      <c r="U2394" s="343"/>
      <c r="V2394" s="343"/>
    </row>
    <row r="2395" spans="1:22" s="364" customFormat="1" ht="5.15" customHeight="1" thickBot="1" x14ac:dyDescent="0.3">
      <c r="A2395" s="729"/>
      <c r="B2395" s="302"/>
      <c r="C2395" s="302"/>
      <c r="D2395" s="1880"/>
      <c r="E2395" s="1378"/>
      <c r="F2395" s="1378"/>
      <c r="G2395" s="1378"/>
      <c r="H2395" s="1378"/>
      <c r="I2395" s="1378"/>
      <c r="J2395" s="1378"/>
      <c r="K2395" s="1378"/>
      <c r="L2395" s="1378"/>
      <c r="M2395" s="1378"/>
      <c r="N2395" s="1379"/>
      <c r="O2395" s="698"/>
      <c r="P2395" s="729"/>
      <c r="Q2395" s="729"/>
      <c r="R2395" s="729"/>
      <c r="S2395" s="729"/>
      <c r="T2395" s="729"/>
      <c r="U2395" s="343"/>
      <c r="V2395" s="343"/>
    </row>
    <row r="2396" spans="1:22" ht="25.5" customHeight="1" x14ac:dyDescent="0.25">
      <c r="A2396" s="694"/>
      <c r="B2396" s="698"/>
      <c r="C2396" s="698"/>
      <c r="D2396" s="698"/>
      <c r="E2396" s="698"/>
      <c r="F2396" s="698"/>
      <c r="G2396" s="698"/>
      <c r="H2396" s="698"/>
      <c r="I2396" s="698"/>
      <c r="J2396" s="698"/>
      <c r="K2396" s="698"/>
      <c r="L2396" s="698"/>
      <c r="M2396" s="698"/>
      <c r="N2396" s="698"/>
      <c r="O2396" s="698"/>
      <c r="P2396" s="694"/>
      <c r="Q2396" s="694"/>
      <c r="R2396" s="694"/>
      <c r="S2396" s="694"/>
      <c r="T2396" s="694"/>
      <c r="U2396" s="343"/>
      <c r="V2396" s="343"/>
    </row>
    <row r="2397" spans="1:22" s="364" customFormat="1" ht="15.5" x14ac:dyDescent="0.35">
      <c r="A2397" s="729"/>
      <c r="B2397" s="284"/>
      <c r="C2397" s="327" t="s">
        <v>654</v>
      </c>
      <c r="D2397" s="356" t="str">
        <f>Translations!$B$964</f>
        <v>Изчисляване на предварителното годишно количество на квотите за емисии, разпределени безплатно</v>
      </c>
      <c r="E2397" s="356"/>
      <c r="F2397" s="356"/>
      <c r="G2397" s="356"/>
      <c r="H2397" s="356"/>
      <c r="I2397" s="356"/>
      <c r="J2397" s="356"/>
      <c r="K2397" s="356"/>
      <c r="L2397" s="356"/>
      <c r="M2397" s="356"/>
      <c r="N2397" s="356"/>
      <c r="O2397" s="698"/>
      <c r="P2397" s="770" t="s">
        <v>1571</v>
      </c>
      <c r="Q2397" s="770" t="s">
        <v>1571</v>
      </c>
      <c r="R2397" s="770" t="s">
        <v>1571</v>
      </c>
      <c r="S2397" s="770" t="s">
        <v>1571</v>
      </c>
      <c r="T2397" s="770" t="s">
        <v>1571</v>
      </c>
      <c r="U2397" s="770" t="s">
        <v>1571</v>
      </c>
      <c r="V2397" s="770" t="s">
        <v>1571</v>
      </c>
    </row>
    <row r="2398" spans="1:22" s="364" customFormat="1" ht="12.75" customHeight="1" x14ac:dyDescent="0.25">
      <c r="A2398" s="729"/>
      <c r="B2398" s="302"/>
      <c r="C2398" s="302"/>
      <c r="D2398" s="302"/>
      <c r="E2398" s="302"/>
      <c r="F2398" s="302"/>
      <c r="G2398" s="302"/>
      <c r="H2398" s="302"/>
      <c r="I2398" s="302"/>
      <c r="J2398" s="302"/>
      <c r="K2398" s="302"/>
      <c r="L2398" s="302"/>
      <c r="M2398" s="302"/>
      <c r="N2398" s="302"/>
      <c r="O2398" s="698"/>
      <c r="P2398" s="770"/>
      <c r="Q2398" s="770"/>
      <c r="R2398" s="770"/>
      <c r="S2398" s="770"/>
      <c r="T2398" s="770"/>
      <c r="U2398" s="343"/>
      <c r="V2398" s="343"/>
    </row>
    <row r="2399" spans="1:22" s="364" customFormat="1" ht="40" customHeight="1" x14ac:dyDescent="0.25">
      <c r="A2399" s="729"/>
      <c r="B2399" s="284"/>
      <c r="C2399" s="284"/>
      <c r="D2399" s="302"/>
      <c r="E2399" s="2358" t="str">
        <f>Translations!$B$965</f>
        <v>В настоящия раздел можете да видите обобщение на стойностите за предварителното разпределение на квоти съответно за периода 2021—2025 г. или 2026—2030 г., приложими за тази инсталация, които се базират на данните, показани в предходните раздели въз основа на Вашите данни. Показаната информация не съдържа проверки за пълнота. Затова данните може да се считат за верни само ако сте се уверили, че са изпълнени следните условия:</v>
      </c>
      <c r="F2399" s="2249"/>
      <c r="G2399" s="2249"/>
      <c r="H2399" s="2249"/>
      <c r="I2399" s="2249"/>
      <c r="J2399" s="2249"/>
      <c r="K2399" s="2249"/>
      <c r="L2399" s="2249"/>
      <c r="M2399" s="2249"/>
      <c r="N2399" s="2249"/>
      <c r="O2399" s="698"/>
      <c r="P2399" s="770"/>
      <c r="Q2399" s="729"/>
      <c r="R2399" s="729"/>
      <c r="S2399" s="729"/>
      <c r="T2399" s="729"/>
      <c r="U2399" s="343"/>
      <c r="V2399" s="343"/>
    </row>
    <row r="2400" spans="1:22" s="364" customFormat="1" x14ac:dyDescent="0.25">
      <c r="A2400" s="729"/>
      <c r="B2400" s="284"/>
      <c r="C2400" s="284"/>
      <c r="D2400" s="302"/>
      <c r="E2400" s="1634" t="s">
        <v>1052</v>
      </c>
      <c r="F2400" s="2358" t="str">
        <f>Translations!$B$1391</f>
        <v>Листове „A_InstallationData“ („А_Данни за инсталацията“) и „B+C_SubInstallations“ („B+C_Подинсталации“) са изцяло попълнени.</v>
      </c>
      <c r="G2400" s="2358"/>
      <c r="H2400" s="2358"/>
      <c r="I2400" s="2358"/>
      <c r="J2400" s="2358"/>
      <c r="K2400" s="2358"/>
      <c r="L2400" s="2358"/>
      <c r="M2400" s="2358"/>
      <c r="N2400" s="2358"/>
      <c r="O2400" s="698"/>
      <c r="P2400" s="770"/>
      <c r="Q2400" s="729"/>
      <c r="R2400" s="729"/>
      <c r="S2400" s="729"/>
      <c r="T2400" s="729"/>
      <c r="U2400" s="343"/>
      <c r="V2400" s="343"/>
    </row>
    <row r="2401" spans="1:22" s="364" customFormat="1" x14ac:dyDescent="0.25">
      <c r="A2401" s="729"/>
      <c r="B2401" s="284"/>
      <c r="C2401" s="284"/>
      <c r="D2401" s="302"/>
      <c r="E2401" s="1634" t="s">
        <v>1052</v>
      </c>
      <c r="F2401" s="2358" t="str">
        <f>Translations!$B$1392</f>
        <v>Попълнени са данните за всички приложими години и съответните раздели от листове F и G.</v>
      </c>
      <c r="G2401" s="2358"/>
      <c r="H2401" s="2358"/>
      <c r="I2401" s="2358"/>
      <c r="J2401" s="2358"/>
      <c r="K2401" s="2358"/>
      <c r="L2401" s="2358"/>
      <c r="M2401" s="2358"/>
      <c r="N2401" s="2358"/>
      <c r="O2401" s="698"/>
      <c r="P2401" s="770"/>
      <c r="Q2401" s="729"/>
      <c r="R2401" s="729"/>
      <c r="S2401" s="729"/>
      <c r="T2401" s="729"/>
      <c r="U2401" s="343"/>
      <c r="V2401" s="343"/>
    </row>
    <row r="2402" spans="1:22" s="364" customFormat="1" x14ac:dyDescent="0.25">
      <c r="A2402" s="729"/>
      <c r="B2402" s="284"/>
      <c r="C2402" s="284"/>
      <c r="D2402" s="302"/>
      <c r="E2402" s="1634" t="s">
        <v>1052</v>
      </c>
      <c r="F2402" s="2358" t="str">
        <f>Translations!$B$966</f>
        <v>Не се показват съобщения за грешки в съответните раздели на тези работни листове.</v>
      </c>
      <c r="G2402" s="2358"/>
      <c r="H2402" s="2358"/>
      <c r="I2402" s="2358"/>
      <c r="J2402" s="2358"/>
      <c r="K2402" s="2358"/>
      <c r="L2402" s="2358"/>
      <c r="M2402" s="2358"/>
      <c r="N2402" s="2358"/>
      <c r="O2402" s="698"/>
      <c r="P2402" s="770"/>
      <c r="Q2402" s="729"/>
      <c r="R2402" s="729"/>
      <c r="S2402" s="729"/>
      <c r="T2402" s="729"/>
      <c r="U2402" s="343"/>
      <c r="V2402" s="343"/>
    </row>
    <row r="2403" spans="1:22" s="364" customFormat="1" ht="12.75" customHeight="1" thickBot="1" x14ac:dyDescent="0.3">
      <c r="A2403" s="729"/>
      <c r="B2403" s="284"/>
      <c r="C2403" s="284"/>
      <c r="D2403" s="302"/>
      <c r="E2403" s="1634"/>
      <c r="F2403" s="1881"/>
      <c r="G2403" s="1881"/>
      <c r="H2403" s="1881"/>
      <c r="I2403" s="1881"/>
      <c r="J2403" s="1881"/>
      <c r="K2403" s="1881"/>
      <c r="L2403" s="1881"/>
      <c r="M2403" s="1881"/>
      <c r="N2403" s="1881"/>
      <c r="O2403" s="698"/>
      <c r="P2403" s="770"/>
      <c r="Q2403" s="729"/>
      <c r="R2403" s="729"/>
      <c r="S2403" s="729"/>
      <c r="T2403" s="729"/>
      <c r="U2403" s="343"/>
      <c r="V2403" s="343"/>
    </row>
    <row r="2404" spans="1:22" s="1883" customFormat="1" ht="75" customHeight="1" thickBot="1" x14ac:dyDescent="0.3">
      <c r="A2404" s="1882"/>
      <c r="B2404" s="290"/>
      <c r="C2404" s="290"/>
      <c r="D2404" s="3026" t="str">
        <f>Translations!$B$1393</f>
        <v>Отказ от отговорност: Резултатите, показани тук, са само ориентировъчни и отразяват изискванията съгласно член 16, параграф 1 от ПБР и членове 5 и 6 от ALC-R. Не се предоставя никаква гаранция, изрична или подразбираща се, по отношение на точността, пълнотата или надеждността на резултата. От резултата, показан в настоящия образец, не могат да бъдат изведени права или права върху определено количество квоти. За точността на изчисленията, моля, вижте също декларацията за отказ от отговорност в лист „Насоки и условия“.</v>
      </c>
      <c r="E2404" s="3027"/>
      <c r="F2404" s="3027"/>
      <c r="G2404" s="3027"/>
      <c r="H2404" s="3027"/>
      <c r="I2404" s="3027"/>
      <c r="J2404" s="3027"/>
      <c r="K2404" s="3027"/>
      <c r="L2404" s="3027"/>
      <c r="M2404" s="3027"/>
      <c r="N2404" s="3028"/>
      <c r="O2404" s="698"/>
      <c r="P2404" s="770"/>
      <c r="Q2404" s="770"/>
      <c r="R2404" s="770"/>
      <c r="S2404" s="770"/>
      <c r="T2404" s="770"/>
      <c r="U2404" s="343"/>
      <c r="V2404" s="343"/>
    </row>
    <row r="2405" spans="1:22" s="364" customFormat="1" x14ac:dyDescent="0.25">
      <c r="A2405" s="729"/>
      <c r="B2405" s="302"/>
      <c r="C2405" s="302"/>
      <c r="D2405" s="302"/>
      <c r="E2405" s="302"/>
      <c r="F2405" s="302"/>
      <c r="G2405" s="302"/>
      <c r="H2405" s="302"/>
      <c r="I2405" s="302"/>
      <c r="J2405" s="302"/>
      <c r="K2405" s="302"/>
      <c r="L2405" s="302"/>
      <c r="M2405" s="302"/>
      <c r="N2405" s="302"/>
      <c r="O2405" s="698"/>
      <c r="P2405" s="729"/>
      <c r="Q2405" s="729"/>
      <c r="R2405" s="729"/>
      <c r="S2405" s="729"/>
      <c r="T2405" s="729"/>
      <c r="U2405" s="343"/>
      <c r="V2405" s="343"/>
    </row>
    <row r="2406" spans="1:22" s="364" customFormat="1" ht="14" x14ac:dyDescent="0.3">
      <c r="A2406" s="694"/>
      <c r="B2406" s="284"/>
      <c r="C2406" s="357">
        <v>1</v>
      </c>
      <c r="D2406" s="2682" t="str">
        <f>Translations!$B$967</f>
        <v>Общо предварително годишно количество на квотите за емисии, разпределени безплатно:</v>
      </c>
      <c r="E2406" s="2240"/>
      <c r="F2406" s="2240"/>
      <c r="G2406" s="2240"/>
      <c r="H2406" s="2240"/>
      <c r="I2406" s="2240"/>
      <c r="J2406" s="2240"/>
      <c r="K2406" s="2240"/>
      <c r="L2406" s="2240"/>
      <c r="M2406" s="2240"/>
      <c r="N2406" s="2240"/>
      <c r="O2406" s="698"/>
      <c r="P2406" s="729"/>
      <c r="Q2406" s="729"/>
      <c r="R2406" s="729"/>
      <c r="S2406" s="729"/>
      <c r="T2406" s="729"/>
      <c r="U2406" s="343"/>
      <c r="V2406" s="343"/>
    </row>
    <row r="2407" spans="1:22" s="364" customFormat="1" ht="38.9" customHeight="1" x14ac:dyDescent="0.25">
      <c r="A2407" s="694"/>
      <c r="B2407" s="284"/>
      <c r="C2407" s="284"/>
      <c r="D2407" s="302"/>
      <c r="E2407" s="2358" t="str">
        <f>Translations!$B$968</f>
        <v>Показаните тук количества отразяват изчисляването на предварителния годишен брой квоти за емисии, разпределени безплатно съгласно член 16, параграфи 1—7 от ПБР, т. е. вече е приложен посочения в приложение V от ПБР коефициент (наричан по-долу „коефициент за отчитане на изместване на въглеродни емисии“). Съгласно член 16, параграф 3 от ПБР при подинсталациите на топлофикационни мрежи този коефициент ще бъде 0,3 за всички години.</v>
      </c>
      <c r="F2407" s="2249"/>
      <c r="G2407" s="2249"/>
      <c r="H2407" s="2249"/>
      <c r="I2407" s="2249"/>
      <c r="J2407" s="2249"/>
      <c r="K2407" s="2249"/>
      <c r="L2407" s="2249"/>
      <c r="M2407" s="2249"/>
      <c r="N2407" s="2249"/>
      <c r="O2407" s="698"/>
      <c r="P2407" s="770"/>
      <c r="Q2407" s="729"/>
      <c r="R2407" s="729"/>
      <c r="S2407" s="729"/>
      <c r="T2407" s="729"/>
      <c r="U2407" s="343"/>
      <c r="V2407" s="343"/>
    </row>
    <row r="2408" spans="1:22" s="364" customFormat="1" ht="13" x14ac:dyDescent="0.25">
      <c r="A2408" s="694"/>
      <c r="B2408" s="284"/>
      <c r="C2408" s="284"/>
      <c r="D2408" s="302"/>
      <c r="E2408" s="2459" t="str">
        <f>Translations!$B$969</f>
        <v>В случай че за дадена подинсталация изчисленото предварително годишно количество квоти за безплатно разпределяне има отрицателна стойност, тя се коригира на нула.</v>
      </c>
      <c r="F2408" s="2460"/>
      <c r="G2408" s="2460"/>
      <c r="H2408" s="2460"/>
      <c r="I2408" s="2460"/>
      <c r="J2408" s="2460"/>
      <c r="K2408" s="2460"/>
      <c r="L2408" s="2460"/>
      <c r="M2408" s="2460"/>
      <c r="N2408" s="2460"/>
      <c r="O2408" s="698"/>
      <c r="P2408" s="770"/>
      <c r="Q2408" s="729"/>
      <c r="R2408" s="729"/>
      <c r="S2408" s="729"/>
      <c r="T2408" s="729"/>
      <c r="U2408" s="343"/>
      <c r="V2408" s="343"/>
    </row>
    <row r="2409" spans="1:22" s="364" customFormat="1" ht="5.15" customHeight="1" x14ac:dyDescent="0.25">
      <c r="A2409" s="694"/>
      <c r="B2409" s="302"/>
      <c r="C2409" s="302"/>
      <c r="D2409" s="302"/>
      <c r="E2409" s="302"/>
      <c r="F2409" s="302"/>
      <c r="G2409" s="302"/>
      <c r="H2409" s="302"/>
      <c r="I2409" s="302"/>
      <c r="J2409" s="302"/>
      <c r="K2409" s="302"/>
      <c r="L2409" s="302"/>
      <c r="M2409" s="302"/>
      <c r="N2409" s="302"/>
      <c r="O2409" s="698"/>
      <c r="P2409" s="729"/>
      <c r="Q2409" s="729"/>
      <c r="R2409" s="729"/>
      <c r="S2409" s="729"/>
      <c r="T2409" s="729"/>
      <c r="U2409" s="343"/>
      <c r="V2409" s="343"/>
    </row>
    <row r="2410" spans="1:22" s="364" customFormat="1" ht="13" x14ac:dyDescent="0.25">
      <c r="A2410" s="694"/>
      <c r="B2410" s="284"/>
      <c r="C2410" s="647"/>
      <c r="D2410" s="300" t="s">
        <v>408</v>
      </c>
      <c r="E2410" s="313" t="str">
        <f>Translations!$B$970</f>
        <v>Изчислителни коефициенти:</v>
      </c>
      <c r="F2410" s="313"/>
      <c r="G2410" s="313"/>
      <c r="H2410" s="298"/>
      <c r="I2410" s="556"/>
      <c r="J2410" s="556"/>
      <c r="K2410" s="329"/>
      <c r="L2410" s="302"/>
      <c r="M2410" s="302"/>
      <c r="N2410" s="302"/>
      <c r="O2410" s="698"/>
      <c r="P2410" s="729"/>
      <c r="Q2410" s="729"/>
      <c r="R2410" s="729"/>
      <c r="S2410" s="729"/>
      <c r="T2410" s="729"/>
      <c r="U2410" s="343"/>
      <c r="V2410" s="343"/>
    </row>
    <row r="2411" spans="1:22" s="364" customFormat="1" ht="13" x14ac:dyDescent="0.25">
      <c r="A2411" s="694"/>
      <c r="B2411" s="302"/>
      <c r="C2411" s="302"/>
      <c r="D2411" s="302"/>
      <c r="E2411" s="498"/>
      <c r="F2411" s="498"/>
      <c r="G2411" s="498"/>
      <c r="H2411" s="498"/>
      <c r="I2411" s="498"/>
      <c r="J2411" s="387">
        <f>J$2505</f>
        <v>2026</v>
      </c>
      <c r="K2411" s="387">
        <f>K$2505</f>
        <v>2027</v>
      </c>
      <c r="L2411" s="387">
        <f>L$2505</f>
        <v>2028</v>
      </c>
      <c r="M2411" s="387">
        <f>M$2505</f>
        <v>2029</v>
      </c>
      <c r="N2411" s="387">
        <f>N$2505</f>
        <v>2030</v>
      </c>
      <c r="O2411" s="698"/>
      <c r="P2411" s="729"/>
      <c r="Q2411" s="729"/>
      <c r="R2411" s="729"/>
      <c r="S2411" s="729"/>
      <c r="T2411" s="729"/>
      <c r="U2411" s="343"/>
      <c r="V2411" s="343"/>
    </row>
    <row r="2412" spans="1:22" s="364" customFormat="1" x14ac:dyDescent="0.25">
      <c r="A2412" s="694"/>
      <c r="B2412" s="302"/>
      <c r="C2412" s="302"/>
      <c r="D2412" s="302"/>
      <c r="E2412" s="3021" t="str">
        <f>Translations!$B$971</f>
        <v>Коефициент за отчитане на ИВЕ за сектори, които не са изложени на риск</v>
      </c>
      <c r="F2412" s="3021"/>
      <c r="G2412" s="3021"/>
      <c r="H2412" s="3021"/>
      <c r="I2412" s="3021"/>
      <c r="J2412" s="670">
        <f>INDEX(EUconst_CLEFYears,J2411-2020)</f>
        <v>0.3</v>
      </c>
      <c r="K2412" s="670">
        <f>INDEX(EUconst_CLEFYears,K2411-2020)</f>
        <v>0.22499999999999998</v>
      </c>
      <c r="L2412" s="670">
        <f>INDEX(EUconst_CLEFYears,L2411-2020)</f>
        <v>0.14999999999999997</v>
      </c>
      <c r="M2412" s="670">
        <f>INDEX(EUconst_CLEFYears,M2411-2020)</f>
        <v>7.4999999999999969E-2</v>
      </c>
      <c r="N2412" s="670">
        <f>INDEX(EUconst_CLEFYears,N2411-2020)</f>
        <v>0</v>
      </c>
      <c r="O2412" s="698"/>
      <c r="P2412" s="729"/>
      <c r="Q2412" s="729"/>
      <c r="R2412" s="729"/>
      <c r="S2412" s="729"/>
      <c r="T2412" s="729"/>
      <c r="U2412" s="343"/>
      <c r="V2412" s="343"/>
    </row>
    <row r="2413" spans="1:22" s="364" customFormat="1" x14ac:dyDescent="0.25">
      <c r="A2413" s="694"/>
      <c r="B2413" s="302"/>
      <c r="C2413" s="302"/>
      <c r="D2413" s="302"/>
      <c r="E2413" s="3021" t="str">
        <f>Translations!$B$972</f>
        <v>Коефициент за отчитане на ИВЕ за топлофикационни мрежи</v>
      </c>
      <c r="F2413" s="3021"/>
      <c r="G2413" s="3021"/>
      <c r="H2413" s="3021"/>
      <c r="I2413" s="3021"/>
      <c r="J2413" s="670">
        <f>INDEX(EUconst_CLEFDistrict,J2411-2020)</f>
        <v>0.3</v>
      </c>
      <c r="K2413" s="670">
        <f>INDEX(EUconst_CLEFDistrict,K2411-2020)</f>
        <v>0.3</v>
      </c>
      <c r="L2413" s="670">
        <f>INDEX(EUconst_CLEFDistrict,L2411-2020)</f>
        <v>0.3</v>
      </c>
      <c r="M2413" s="670">
        <f>INDEX(EUconst_CLEFDistrict,M2411-2020)</f>
        <v>0.3</v>
      </c>
      <c r="N2413" s="670">
        <f>INDEX(EUconst_CLEFDistrict,N2411-2020)</f>
        <v>0.3</v>
      </c>
      <c r="O2413" s="698"/>
      <c r="P2413" s="729"/>
      <c r="Q2413" s="729"/>
      <c r="R2413" s="729"/>
      <c r="S2413" s="729"/>
      <c r="T2413" s="729"/>
      <c r="U2413" s="343"/>
      <c r="V2413" s="343"/>
    </row>
    <row r="2414" spans="1:22" s="364" customFormat="1" x14ac:dyDescent="0.25">
      <c r="A2414" s="694"/>
      <c r="B2414" s="302"/>
      <c r="C2414" s="302"/>
      <c r="D2414" s="302"/>
      <c r="E2414" s="2783" t="str">
        <f>Translations!$B$973</f>
        <v>Забележка: За сектори, изложени на риск от ИВЕ, коефициентът за отчитане на ИВЕ е 1,0000 за всички години.</v>
      </c>
      <c r="F2414" s="2358"/>
      <c r="G2414" s="2358"/>
      <c r="H2414" s="2358"/>
      <c r="I2414" s="2358"/>
      <c r="J2414" s="2358"/>
      <c r="K2414" s="2358"/>
      <c r="L2414" s="2358"/>
      <c r="M2414" s="2358"/>
      <c r="N2414" s="2358"/>
      <c r="O2414" s="698"/>
      <c r="P2414" s="729"/>
      <c r="Q2414" s="729"/>
      <c r="R2414" s="729"/>
      <c r="S2414" s="729"/>
      <c r="T2414" s="729"/>
      <c r="U2414" s="343"/>
      <c r="V2414" s="343"/>
    </row>
    <row r="2415" spans="1:22" s="364" customFormat="1" x14ac:dyDescent="0.25">
      <c r="A2415" s="694"/>
      <c r="B2415" s="302"/>
      <c r="C2415" s="302"/>
      <c r="D2415" s="302"/>
      <c r="E2415" s="3021" t="str">
        <f>Translations!$B$1592</f>
        <v>Коефициент за емисии от процеси</v>
      </c>
      <c r="F2415" s="3021"/>
      <c r="G2415" s="3021"/>
      <c r="H2415" s="3021"/>
      <c r="I2415" s="3021"/>
      <c r="J2415" s="670">
        <v>0.97</v>
      </c>
      <c r="K2415" s="670">
        <v>0.97</v>
      </c>
      <c r="L2415" s="670">
        <v>0.91</v>
      </c>
      <c r="M2415" s="670">
        <v>0.91</v>
      </c>
      <c r="N2415" s="670">
        <v>0.91</v>
      </c>
      <c r="O2415" s="698"/>
      <c r="P2415" s="729"/>
      <c r="Q2415" s="729"/>
      <c r="R2415" s="729"/>
      <c r="S2415" s="729"/>
      <c r="T2415" s="729"/>
      <c r="U2415" s="343"/>
      <c r="V2415" s="343"/>
    </row>
    <row r="2416" spans="1:22" s="364" customFormat="1" x14ac:dyDescent="0.25">
      <c r="A2416" s="694"/>
      <c r="B2416" s="302"/>
      <c r="C2416" s="302"/>
      <c r="D2416" s="302"/>
      <c r="E2416" s="3021" t="str">
        <f>Translations!$B$1593</f>
        <v>Коефициент на Механизма за корекция на въглеродните емисии на границите (МКВЕГ)</v>
      </c>
      <c r="F2416" s="3021"/>
      <c r="G2416" s="3021"/>
      <c r="H2416" s="3021"/>
      <c r="I2416" s="3021"/>
      <c r="J2416" s="670">
        <f>INDEX(EUconst_CBAMFactor,J2411-2020)</f>
        <v>0.97499999999999998</v>
      </c>
      <c r="K2416" s="670">
        <f>INDEX(EUconst_CBAMFactor,K2411-2020)</f>
        <v>0.95</v>
      </c>
      <c r="L2416" s="670">
        <f>INDEX(EUconst_CBAMFactor,L2411-2020)</f>
        <v>0.9</v>
      </c>
      <c r="M2416" s="670">
        <f>INDEX(EUconst_CBAMFactor,M2411-2020)</f>
        <v>0.77500000000000002</v>
      </c>
      <c r="N2416" s="670">
        <f>INDEX(EUconst_CBAMFactor,N2411-2020)</f>
        <v>0.51500000000000001</v>
      </c>
      <c r="O2416" s="698"/>
      <c r="P2416" s="729"/>
      <c r="Q2416" s="729"/>
      <c r="R2416" s="729"/>
      <c r="S2416" s="729"/>
      <c r="T2416" s="729"/>
      <c r="U2416" s="343"/>
      <c r="V2416" s="343"/>
    </row>
    <row r="2417" spans="1:22" s="364" customFormat="1" x14ac:dyDescent="0.25">
      <c r="A2417" s="694"/>
      <c r="B2417" s="302"/>
      <c r="C2417" s="302"/>
      <c r="D2417" s="302"/>
      <c r="E2417" s="302"/>
      <c r="F2417" s="302"/>
      <c r="G2417" s="302"/>
      <c r="H2417" s="302"/>
      <c r="I2417" s="302"/>
      <c r="J2417" s="302"/>
      <c r="K2417" s="302"/>
      <c r="L2417" s="302"/>
      <c r="M2417" s="302"/>
      <c r="N2417" s="302"/>
      <c r="O2417" s="698"/>
      <c r="P2417" s="729"/>
      <c r="Q2417" s="729"/>
      <c r="R2417" s="729"/>
      <c r="S2417" s="729"/>
      <c r="T2417" s="729"/>
      <c r="U2417" s="343"/>
      <c r="V2417" s="343"/>
    </row>
    <row r="2418" spans="1:22" s="364" customFormat="1" ht="13" x14ac:dyDescent="0.25">
      <c r="A2418" s="694"/>
      <c r="B2418" s="284"/>
      <c r="C2418" s="647"/>
      <c r="D2418" s="300" t="s">
        <v>901</v>
      </c>
      <c r="E2418" s="313" t="str">
        <f>Translations!$B$1394</f>
        <v>Изчисление съгласно член 16, параграфи 1—7 от правилата за безплатно разпределяне на квоти и членове 5 и 6 от ALC-R:</v>
      </c>
      <c r="F2418" s="313"/>
      <c r="G2418" s="313"/>
      <c r="H2418" s="298"/>
      <c r="I2418" s="556"/>
      <c r="J2418" s="556"/>
      <c r="K2418" s="329"/>
      <c r="L2418" s="302"/>
      <c r="M2418" s="302"/>
      <c r="N2418" s="302"/>
      <c r="O2418" s="698"/>
      <c r="P2418" s="729"/>
      <c r="Q2418" s="729"/>
      <c r="R2418" s="729"/>
      <c r="S2418" s="729"/>
      <c r="T2418" s="729"/>
      <c r="U2418" s="343"/>
      <c r="V2418" s="343"/>
    </row>
    <row r="2419" spans="1:22" s="364" customFormat="1" ht="5.15" customHeight="1" x14ac:dyDescent="0.25">
      <c r="A2419" s="694"/>
      <c r="B2419" s="302"/>
      <c r="C2419" s="302"/>
      <c r="D2419" s="302"/>
      <c r="E2419" s="302"/>
      <c r="F2419" s="302"/>
      <c r="G2419" s="302"/>
      <c r="H2419" s="302"/>
      <c r="I2419" s="302"/>
      <c r="J2419" s="302"/>
      <c r="K2419" s="302"/>
      <c r="L2419" s="302"/>
      <c r="M2419" s="302"/>
      <c r="N2419" s="302"/>
      <c r="O2419" s="698"/>
      <c r="P2419" s="729"/>
      <c r="Q2419" s="729"/>
      <c r="R2419" s="729"/>
      <c r="S2419" s="729"/>
      <c r="T2419" s="729"/>
      <c r="U2419" s="343"/>
      <c r="V2419" s="343"/>
    </row>
    <row r="2420" spans="1:22" s="364" customFormat="1" ht="12.75" customHeight="1" thickBot="1" x14ac:dyDescent="0.3">
      <c r="A2420" s="694"/>
      <c r="B2420" s="302"/>
      <c r="C2420" s="302"/>
      <c r="D2420" s="3051" t="str">
        <f>Translations!$B$425</f>
        <v>Подинсталация</v>
      </c>
      <c r="E2420" s="3052"/>
      <c r="F2420" s="3052"/>
      <c r="G2420" s="3052"/>
      <c r="H2420" s="3052"/>
      <c r="I2420" s="3053"/>
      <c r="J2420" s="391">
        <f>J$2505</f>
        <v>2026</v>
      </c>
      <c r="K2420" s="391">
        <f>K$2505</f>
        <v>2027</v>
      </c>
      <c r="L2420" s="391">
        <f>L$2505</f>
        <v>2028</v>
      </c>
      <c r="M2420" s="391">
        <f>M$2505</f>
        <v>2029</v>
      </c>
      <c r="N2420" s="391">
        <f>N$2505</f>
        <v>2030</v>
      </c>
      <c r="O2420" s="698"/>
      <c r="P2420" s="729"/>
      <c r="Q2420" s="729"/>
      <c r="R2420" s="729"/>
      <c r="S2420" s="729"/>
      <c r="T2420" s="729"/>
      <c r="U2420" s="343"/>
      <c r="V2420" s="343"/>
    </row>
    <row r="2421" spans="1:22" s="364" customFormat="1" x14ac:dyDescent="0.25">
      <c r="A2421" s="694"/>
      <c r="B2421" s="302"/>
      <c r="C2421" s="1884">
        <v>1</v>
      </c>
      <c r="D2421" s="3023" t="str">
        <f t="shared" ref="D2421:D2430" si="204">INDEX($R$500:$R$2397,MATCH($C2421,$Q$500:$Q$2397,0))</f>
        <v/>
      </c>
      <c r="E2421" s="3023"/>
      <c r="F2421" s="3023"/>
      <c r="G2421" s="3023"/>
      <c r="H2421" s="3023"/>
      <c r="I2421" s="3023"/>
      <c r="J2421" s="1885" t="str">
        <f t="shared" ref="J2421:N2430" si="205">IF(ISNUMBER(INDEX(J$500:J$2397,MATCH(EUconst_AllocPrelim&amp;$D2421,$P$500:$P$2397,0))),
IF(CNTR_Eligible10a,INDEX(J$500:J$2397,MATCH(EUconst_AllocPrelim&amp;$D2421,$P$500:$P$2397,0))+IF(AND($C2421=14,J$2453=TRUE),SUM(J$2443),0),
EUconst_NotEligible),"")</f>
        <v/>
      </c>
      <c r="K2421" s="1885" t="str">
        <f t="shared" si="205"/>
        <v/>
      </c>
      <c r="L2421" s="1885" t="str">
        <f t="shared" si="205"/>
        <v/>
      </c>
      <c r="M2421" s="1885" t="str">
        <f t="shared" si="205"/>
        <v/>
      </c>
      <c r="N2421" s="1885" t="str">
        <f t="shared" si="205"/>
        <v/>
      </c>
      <c r="O2421" s="698"/>
      <c r="P2421" s="729"/>
      <c r="Q2421" s="729"/>
      <c r="R2421" s="729"/>
      <c r="S2421" s="729"/>
      <c r="T2421" s="729"/>
      <c r="U2421" s="343"/>
      <c r="V2421" s="343"/>
    </row>
    <row r="2422" spans="1:22" s="364" customFormat="1" x14ac:dyDescent="0.25">
      <c r="A2422" s="694"/>
      <c r="B2422" s="302"/>
      <c r="C2422" s="301">
        <f>C2421+1</f>
        <v>2</v>
      </c>
      <c r="D2422" s="3021" t="str">
        <f t="shared" si="204"/>
        <v/>
      </c>
      <c r="E2422" s="3022"/>
      <c r="F2422" s="3022"/>
      <c r="G2422" s="3022"/>
      <c r="H2422" s="3022"/>
      <c r="I2422" s="3022"/>
      <c r="J2422" s="659" t="str">
        <f t="shared" si="205"/>
        <v/>
      </c>
      <c r="K2422" s="659" t="str">
        <f t="shared" si="205"/>
        <v/>
      </c>
      <c r="L2422" s="659" t="str">
        <f t="shared" si="205"/>
        <v/>
      </c>
      <c r="M2422" s="659" t="str">
        <f t="shared" si="205"/>
        <v/>
      </c>
      <c r="N2422" s="659" t="str">
        <f t="shared" si="205"/>
        <v/>
      </c>
      <c r="O2422" s="698"/>
      <c r="P2422" s="729"/>
      <c r="Q2422" s="729"/>
      <c r="R2422" s="729"/>
      <c r="S2422" s="729"/>
      <c r="T2422" s="729"/>
      <c r="U2422" s="343"/>
      <c r="V2422" s="343"/>
    </row>
    <row r="2423" spans="1:22" s="364" customFormat="1" x14ac:dyDescent="0.25">
      <c r="A2423" s="694"/>
      <c r="B2423" s="302"/>
      <c r="C2423" s="301">
        <f t="shared" ref="C2423:C2440" si="206">C2422+1</f>
        <v>3</v>
      </c>
      <c r="D2423" s="3021" t="str">
        <f t="shared" si="204"/>
        <v/>
      </c>
      <c r="E2423" s="3022"/>
      <c r="F2423" s="3022"/>
      <c r="G2423" s="3022"/>
      <c r="H2423" s="3022"/>
      <c r="I2423" s="3022"/>
      <c r="J2423" s="659" t="str">
        <f t="shared" si="205"/>
        <v/>
      </c>
      <c r="K2423" s="659" t="str">
        <f t="shared" si="205"/>
        <v/>
      </c>
      <c r="L2423" s="659" t="str">
        <f t="shared" si="205"/>
        <v/>
      </c>
      <c r="M2423" s="659" t="str">
        <f t="shared" si="205"/>
        <v/>
      </c>
      <c r="N2423" s="659" t="str">
        <f t="shared" si="205"/>
        <v/>
      </c>
      <c r="O2423" s="698"/>
      <c r="P2423" s="729"/>
      <c r="Q2423" s="729"/>
      <c r="R2423" s="729"/>
      <c r="S2423" s="729"/>
      <c r="T2423" s="729"/>
      <c r="U2423" s="343"/>
      <c r="V2423" s="343"/>
    </row>
    <row r="2424" spans="1:22" s="364" customFormat="1" x14ac:dyDescent="0.25">
      <c r="A2424" s="694"/>
      <c r="B2424" s="302"/>
      <c r="C2424" s="301">
        <f t="shared" si="206"/>
        <v>4</v>
      </c>
      <c r="D2424" s="3021" t="str">
        <f t="shared" si="204"/>
        <v/>
      </c>
      <c r="E2424" s="3022"/>
      <c r="F2424" s="3022"/>
      <c r="G2424" s="3022"/>
      <c r="H2424" s="3022"/>
      <c r="I2424" s="3022"/>
      <c r="J2424" s="659" t="str">
        <f t="shared" si="205"/>
        <v/>
      </c>
      <c r="K2424" s="659" t="str">
        <f t="shared" si="205"/>
        <v/>
      </c>
      <c r="L2424" s="659" t="str">
        <f t="shared" si="205"/>
        <v/>
      </c>
      <c r="M2424" s="659" t="str">
        <f t="shared" si="205"/>
        <v/>
      </c>
      <c r="N2424" s="659" t="str">
        <f t="shared" si="205"/>
        <v/>
      </c>
      <c r="O2424" s="698"/>
      <c r="P2424" s="729"/>
      <c r="Q2424" s="729"/>
      <c r="R2424" s="729"/>
      <c r="S2424" s="729"/>
      <c r="T2424" s="729"/>
      <c r="U2424" s="343"/>
      <c r="V2424" s="343"/>
    </row>
    <row r="2425" spans="1:22" s="364" customFormat="1" x14ac:dyDescent="0.25">
      <c r="A2425" s="694"/>
      <c r="B2425" s="302"/>
      <c r="C2425" s="301">
        <f t="shared" si="206"/>
        <v>5</v>
      </c>
      <c r="D2425" s="3021" t="str">
        <f t="shared" si="204"/>
        <v/>
      </c>
      <c r="E2425" s="3022"/>
      <c r="F2425" s="3022"/>
      <c r="G2425" s="3022"/>
      <c r="H2425" s="3022"/>
      <c r="I2425" s="3022"/>
      <c r="J2425" s="659" t="str">
        <f t="shared" si="205"/>
        <v/>
      </c>
      <c r="K2425" s="659" t="str">
        <f t="shared" si="205"/>
        <v/>
      </c>
      <c r="L2425" s="659" t="str">
        <f t="shared" si="205"/>
        <v/>
      </c>
      <c r="M2425" s="659" t="str">
        <f t="shared" si="205"/>
        <v/>
      </c>
      <c r="N2425" s="659" t="str">
        <f t="shared" si="205"/>
        <v/>
      </c>
      <c r="O2425" s="698"/>
      <c r="P2425" s="729"/>
      <c r="Q2425" s="729"/>
      <c r="R2425" s="729"/>
      <c r="S2425" s="729"/>
      <c r="T2425" s="729"/>
      <c r="U2425" s="343"/>
      <c r="V2425" s="343"/>
    </row>
    <row r="2426" spans="1:22" s="364" customFormat="1" x14ac:dyDescent="0.25">
      <c r="A2426" s="694"/>
      <c r="B2426" s="302"/>
      <c r="C2426" s="301">
        <f t="shared" si="206"/>
        <v>6</v>
      </c>
      <c r="D2426" s="3021" t="str">
        <f t="shared" si="204"/>
        <v/>
      </c>
      <c r="E2426" s="3022"/>
      <c r="F2426" s="3022"/>
      <c r="G2426" s="3022"/>
      <c r="H2426" s="3022"/>
      <c r="I2426" s="3022"/>
      <c r="J2426" s="659" t="str">
        <f t="shared" si="205"/>
        <v/>
      </c>
      <c r="K2426" s="659" t="str">
        <f t="shared" si="205"/>
        <v/>
      </c>
      <c r="L2426" s="659" t="str">
        <f t="shared" si="205"/>
        <v/>
      </c>
      <c r="M2426" s="659" t="str">
        <f t="shared" si="205"/>
        <v/>
      </c>
      <c r="N2426" s="659" t="str">
        <f t="shared" si="205"/>
        <v/>
      </c>
      <c r="O2426" s="698"/>
      <c r="P2426" s="729"/>
      <c r="Q2426" s="729"/>
      <c r="R2426" s="729"/>
      <c r="S2426" s="729"/>
      <c r="T2426" s="729"/>
      <c r="U2426" s="343"/>
      <c r="V2426" s="343"/>
    </row>
    <row r="2427" spans="1:22" s="364" customFormat="1" ht="12.75" customHeight="1" x14ac:dyDescent="0.25">
      <c r="A2427" s="694"/>
      <c r="B2427" s="302"/>
      <c r="C2427" s="301">
        <f t="shared" si="206"/>
        <v>7</v>
      </c>
      <c r="D2427" s="3021" t="str">
        <f t="shared" si="204"/>
        <v/>
      </c>
      <c r="E2427" s="3022"/>
      <c r="F2427" s="3022"/>
      <c r="G2427" s="3022"/>
      <c r="H2427" s="3022"/>
      <c r="I2427" s="3022"/>
      <c r="J2427" s="659" t="str">
        <f t="shared" si="205"/>
        <v/>
      </c>
      <c r="K2427" s="659" t="str">
        <f t="shared" si="205"/>
        <v/>
      </c>
      <c r="L2427" s="659" t="str">
        <f t="shared" si="205"/>
        <v/>
      </c>
      <c r="M2427" s="659" t="str">
        <f t="shared" si="205"/>
        <v/>
      </c>
      <c r="N2427" s="659" t="str">
        <f t="shared" si="205"/>
        <v/>
      </c>
      <c r="O2427" s="698"/>
      <c r="P2427" s="729"/>
      <c r="Q2427" s="729"/>
      <c r="R2427" s="729"/>
      <c r="S2427" s="729"/>
      <c r="T2427" s="729"/>
      <c r="U2427" s="343"/>
      <c r="V2427" s="343"/>
    </row>
    <row r="2428" spans="1:22" s="364" customFormat="1" ht="12.75" customHeight="1" x14ac:dyDescent="0.25">
      <c r="A2428" s="694"/>
      <c r="B2428" s="302"/>
      <c r="C2428" s="301">
        <f t="shared" si="206"/>
        <v>8</v>
      </c>
      <c r="D2428" s="3021" t="str">
        <f t="shared" si="204"/>
        <v/>
      </c>
      <c r="E2428" s="3022"/>
      <c r="F2428" s="3022"/>
      <c r="G2428" s="3022"/>
      <c r="H2428" s="3022"/>
      <c r="I2428" s="3022"/>
      <c r="J2428" s="659" t="str">
        <f t="shared" si="205"/>
        <v/>
      </c>
      <c r="K2428" s="659" t="str">
        <f t="shared" si="205"/>
        <v/>
      </c>
      <c r="L2428" s="659" t="str">
        <f t="shared" si="205"/>
        <v/>
      </c>
      <c r="M2428" s="659" t="str">
        <f t="shared" si="205"/>
        <v/>
      </c>
      <c r="N2428" s="659" t="str">
        <f t="shared" si="205"/>
        <v/>
      </c>
      <c r="O2428" s="698"/>
      <c r="P2428" s="729"/>
      <c r="Q2428" s="729"/>
      <c r="R2428" s="729"/>
      <c r="S2428" s="729"/>
      <c r="T2428" s="729"/>
      <c r="U2428" s="343"/>
      <c r="V2428" s="343"/>
    </row>
    <row r="2429" spans="1:22" s="364" customFormat="1" ht="12.75" customHeight="1" x14ac:dyDescent="0.25">
      <c r="A2429" s="694"/>
      <c r="B2429" s="302"/>
      <c r="C2429" s="301">
        <f t="shared" si="206"/>
        <v>9</v>
      </c>
      <c r="D2429" s="3021" t="str">
        <f t="shared" si="204"/>
        <v/>
      </c>
      <c r="E2429" s="3022"/>
      <c r="F2429" s="3022"/>
      <c r="G2429" s="3022"/>
      <c r="H2429" s="3022"/>
      <c r="I2429" s="3022"/>
      <c r="J2429" s="659" t="str">
        <f t="shared" si="205"/>
        <v/>
      </c>
      <c r="K2429" s="659" t="str">
        <f t="shared" si="205"/>
        <v/>
      </c>
      <c r="L2429" s="659" t="str">
        <f t="shared" si="205"/>
        <v/>
      </c>
      <c r="M2429" s="659" t="str">
        <f t="shared" si="205"/>
        <v/>
      </c>
      <c r="N2429" s="659" t="str">
        <f t="shared" si="205"/>
        <v/>
      </c>
      <c r="O2429" s="698"/>
      <c r="P2429" s="729"/>
      <c r="Q2429" s="729"/>
      <c r="R2429" s="729"/>
      <c r="S2429" s="729"/>
      <c r="T2429" s="729"/>
      <c r="U2429" s="343"/>
      <c r="V2429" s="343"/>
    </row>
    <row r="2430" spans="1:22" s="364" customFormat="1" ht="13" thickBot="1" x14ac:dyDescent="0.3">
      <c r="A2430" s="694"/>
      <c r="B2430" s="302"/>
      <c r="C2430" s="673">
        <f t="shared" si="206"/>
        <v>10</v>
      </c>
      <c r="D2430" s="3024" t="str">
        <f t="shared" si="204"/>
        <v/>
      </c>
      <c r="E2430" s="3025"/>
      <c r="F2430" s="3025"/>
      <c r="G2430" s="3025"/>
      <c r="H2430" s="3025"/>
      <c r="I2430" s="3025"/>
      <c r="J2430" s="675" t="str">
        <f t="shared" si="205"/>
        <v/>
      </c>
      <c r="K2430" s="675" t="str">
        <f t="shared" si="205"/>
        <v/>
      </c>
      <c r="L2430" s="675" t="str">
        <f t="shared" si="205"/>
        <v/>
      </c>
      <c r="M2430" s="675" t="str">
        <f t="shared" si="205"/>
        <v/>
      </c>
      <c r="N2430" s="675" t="str">
        <f t="shared" si="205"/>
        <v/>
      </c>
      <c r="O2430" s="698"/>
      <c r="P2430" s="729"/>
      <c r="Q2430" s="729"/>
      <c r="R2430" s="729"/>
      <c r="S2430" s="729"/>
      <c r="T2430" s="729"/>
      <c r="U2430" s="343"/>
      <c r="V2430" s="343"/>
    </row>
    <row r="2431" spans="1:22" s="364" customFormat="1" x14ac:dyDescent="0.25">
      <c r="A2431" s="694"/>
      <c r="B2431" s="302"/>
      <c r="C2431" s="301">
        <f t="shared" si="206"/>
        <v>11</v>
      </c>
      <c r="D2431" s="3023" t="str">
        <f t="shared" ref="D2431:D2440" si="207">INDEX($R$1779:$R$2397,MATCH($C2431,$Q$1779:$Q$2397,0))</f>
        <v>Подинсталация с топлинен показател (с риск от ИВЕ | извън МКВЕГ)</v>
      </c>
      <c r="E2431" s="3029"/>
      <c r="F2431" s="3029"/>
      <c r="G2431" s="3029"/>
      <c r="H2431" s="3029"/>
      <c r="I2431" s="3029"/>
      <c r="J2431" s="459" t="str">
        <f t="shared" ref="J2431:N2440" si="208">IF(ISNUMBER(INDEX(J$500:J$2397,MATCH(EUconst_AllocPrelim&amp;$D2431,$P$500:$P$2397,0))),
IF(CNTR_Eligible10a,INDEX(J$500:J$2397,MATCH(EUconst_AllocPrelim&amp;$D2431,$P$500:$P$2397,0))+IF(AND($C2431=14,J$2453=TRUE),SUM(J$2443),0),
EUconst_NotEligible),"")</f>
        <v/>
      </c>
      <c r="K2431" s="459" t="str">
        <f t="shared" si="208"/>
        <v/>
      </c>
      <c r="L2431" s="459" t="str">
        <f t="shared" si="208"/>
        <v/>
      </c>
      <c r="M2431" s="459" t="str">
        <f t="shared" si="208"/>
        <v/>
      </c>
      <c r="N2431" s="459" t="str">
        <f t="shared" si="208"/>
        <v/>
      </c>
      <c r="O2431" s="698"/>
      <c r="P2431" s="729"/>
      <c r="Q2431" s="729"/>
      <c r="R2431" s="729"/>
      <c r="S2431" s="729"/>
      <c r="T2431" s="729"/>
      <c r="U2431" s="343"/>
      <c r="V2431" s="343"/>
    </row>
    <row r="2432" spans="1:22" s="364" customFormat="1" x14ac:dyDescent="0.25">
      <c r="A2432" s="694"/>
      <c r="B2432" s="302"/>
      <c r="C2432" s="301">
        <f t="shared" si="206"/>
        <v>12</v>
      </c>
      <c r="D2432" s="3021" t="str">
        <f t="shared" si="207"/>
        <v>Подинсталация с топлинен показател (без риск от ИВЕ | извън МКВЕГ)</v>
      </c>
      <c r="E2432" s="3022"/>
      <c r="F2432" s="3022"/>
      <c r="G2432" s="3022"/>
      <c r="H2432" s="3022"/>
      <c r="I2432" s="3022"/>
      <c r="J2432" s="659" t="str">
        <f t="shared" si="208"/>
        <v/>
      </c>
      <c r="K2432" s="659" t="str">
        <f t="shared" si="208"/>
        <v/>
      </c>
      <c r="L2432" s="659" t="str">
        <f t="shared" si="208"/>
        <v/>
      </c>
      <c r="M2432" s="659" t="str">
        <f t="shared" si="208"/>
        <v/>
      </c>
      <c r="N2432" s="659" t="str">
        <f t="shared" si="208"/>
        <v/>
      </c>
      <c r="O2432" s="698"/>
      <c r="P2432" s="729"/>
      <c r="Q2432" s="729"/>
      <c r="R2432" s="729"/>
      <c r="S2432" s="729"/>
      <c r="T2432" s="729"/>
      <c r="U2432" s="343"/>
      <c r="V2432" s="343"/>
    </row>
    <row r="2433" spans="1:22" s="364" customFormat="1" x14ac:dyDescent="0.25">
      <c r="A2433" s="694"/>
      <c r="B2433" s="302"/>
      <c r="C2433" s="301">
        <f t="shared" si="206"/>
        <v>13</v>
      </c>
      <c r="D2433" s="3021" t="str">
        <f t="shared" si="207"/>
        <v>Подинсталация с топлинен показател (с риск от ИВЕ | в рамките на МКВЕГ)</v>
      </c>
      <c r="E2433" s="3022"/>
      <c r="F2433" s="3022"/>
      <c r="G2433" s="3022"/>
      <c r="H2433" s="3022"/>
      <c r="I2433" s="3022"/>
      <c r="J2433" s="659" t="str">
        <f t="shared" si="208"/>
        <v/>
      </c>
      <c r="K2433" s="659" t="str">
        <f t="shared" si="208"/>
        <v/>
      </c>
      <c r="L2433" s="659" t="str">
        <f t="shared" si="208"/>
        <v/>
      </c>
      <c r="M2433" s="659" t="str">
        <f t="shared" si="208"/>
        <v/>
      </c>
      <c r="N2433" s="659" t="str">
        <f t="shared" si="208"/>
        <v/>
      </c>
      <c r="O2433" s="698"/>
      <c r="P2433" s="729"/>
      <c r="Q2433" s="729"/>
      <c r="R2433" s="729"/>
      <c r="S2433" s="729"/>
      <c r="T2433" s="729"/>
      <c r="U2433" s="343"/>
      <c r="V2433" s="343"/>
    </row>
    <row r="2434" spans="1:22" s="364" customFormat="1" x14ac:dyDescent="0.25">
      <c r="A2434" s="694"/>
      <c r="B2434" s="302"/>
      <c r="C2434" s="301">
        <f t="shared" si="206"/>
        <v>14</v>
      </c>
      <c r="D2434" s="3021" t="str">
        <f t="shared" si="207"/>
        <v>Подинсталация на топлофикационна мрежа</v>
      </c>
      <c r="E2434" s="3022"/>
      <c r="F2434" s="3022"/>
      <c r="G2434" s="3022"/>
      <c r="H2434" s="3022"/>
      <c r="I2434" s="3022"/>
      <c r="J2434" s="659" t="str">
        <f t="shared" si="208"/>
        <v/>
      </c>
      <c r="K2434" s="659" t="str">
        <f t="shared" si="208"/>
        <v/>
      </c>
      <c r="L2434" s="659" t="str">
        <f t="shared" si="208"/>
        <v/>
      </c>
      <c r="M2434" s="659" t="str">
        <f t="shared" si="208"/>
        <v/>
      </c>
      <c r="N2434" s="659" t="str">
        <f t="shared" si="208"/>
        <v/>
      </c>
      <c r="O2434" s="698"/>
      <c r="P2434" s="729"/>
      <c r="Q2434" s="729"/>
      <c r="R2434" s="729"/>
      <c r="S2434" s="729"/>
      <c r="T2434" s="729"/>
      <c r="U2434" s="343"/>
      <c r="V2434" s="343"/>
    </row>
    <row r="2435" spans="1:22" s="364" customFormat="1" x14ac:dyDescent="0.25">
      <c r="A2435" s="694"/>
      <c r="B2435" s="302"/>
      <c r="C2435" s="301">
        <f t="shared" si="206"/>
        <v>15</v>
      </c>
      <c r="D2435" s="3021" t="str">
        <f t="shared" si="207"/>
        <v>Подинсталация с горивен показател (с риск от ИВЕ | извън МКВЕГ)</v>
      </c>
      <c r="E2435" s="3022"/>
      <c r="F2435" s="3022"/>
      <c r="G2435" s="3022"/>
      <c r="H2435" s="3022"/>
      <c r="I2435" s="3022"/>
      <c r="J2435" s="659" t="str">
        <f t="shared" si="208"/>
        <v/>
      </c>
      <c r="K2435" s="659" t="str">
        <f t="shared" si="208"/>
        <v/>
      </c>
      <c r="L2435" s="659" t="str">
        <f t="shared" si="208"/>
        <v/>
      </c>
      <c r="M2435" s="659" t="str">
        <f t="shared" si="208"/>
        <v/>
      </c>
      <c r="N2435" s="659" t="str">
        <f t="shared" si="208"/>
        <v/>
      </c>
      <c r="O2435" s="698"/>
      <c r="P2435" s="729"/>
      <c r="Q2435" s="729"/>
      <c r="R2435" s="729"/>
      <c r="S2435" s="729"/>
      <c r="T2435" s="729"/>
      <c r="U2435" s="343"/>
      <c r="V2435" s="343"/>
    </row>
    <row r="2436" spans="1:22" s="364" customFormat="1" x14ac:dyDescent="0.25">
      <c r="A2436" s="694"/>
      <c r="B2436" s="302"/>
      <c r="C2436" s="301">
        <f t="shared" si="206"/>
        <v>16</v>
      </c>
      <c r="D2436" s="3021" t="str">
        <f t="shared" si="207"/>
        <v>Подинсталация с горивен показател (без риск от ИВЕ | извън МКВЕГ)</v>
      </c>
      <c r="E2436" s="3022"/>
      <c r="F2436" s="3022"/>
      <c r="G2436" s="3022"/>
      <c r="H2436" s="3022"/>
      <c r="I2436" s="3022"/>
      <c r="J2436" s="659" t="str">
        <f t="shared" si="208"/>
        <v/>
      </c>
      <c r="K2436" s="659" t="str">
        <f t="shared" si="208"/>
        <v/>
      </c>
      <c r="L2436" s="659" t="str">
        <f t="shared" si="208"/>
        <v/>
      </c>
      <c r="M2436" s="659" t="str">
        <f t="shared" si="208"/>
        <v/>
      </c>
      <c r="N2436" s="659" t="str">
        <f t="shared" si="208"/>
        <v/>
      </c>
      <c r="O2436" s="698"/>
      <c r="P2436" s="729"/>
      <c r="Q2436" s="729"/>
      <c r="R2436" s="729"/>
      <c r="S2436" s="729"/>
      <c r="T2436" s="729"/>
      <c r="U2436" s="343"/>
      <c r="V2436" s="343"/>
    </row>
    <row r="2437" spans="1:22" s="364" customFormat="1" x14ac:dyDescent="0.25">
      <c r="A2437" s="694"/>
      <c r="B2437" s="302"/>
      <c r="C2437" s="301">
        <f t="shared" si="206"/>
        <v>17</v>
      </c>
      <c r="D2437" s="3021" t="str">
        <f t="shared" si="207"/>
        <v>Подинсталация с горивен показател (с риск от ИВЕ | в рамките на МКВЕГ)</v>
      </c>
      <c r="E2437" s="3022"/>
      <c r="F2437" s="3022"/>
      <c r="G2437" s="3022"/>
      <c r="H2437" s="3022"/>
      <c r="I2437" s="3022"/>
      <c r="J2437" s="659" t="str">
        <f t="shared" si="208"/>
        <v/>
      </c>
      <c r="K2437" s="659" t="str">
        <f t="shared" si="208"/>
        <v/>
      </c>
      <c r="L2437" s="659" t="str">
        <f t="shared" si="208"/>
        <v/>
      </c>
      <c r="M2437" s="659" t="str">
        <f t="shared" si="208"/>
        <v/>
      </c>
      <c r="N2437" s="659" t="str">
        <f t="shared" si="208"/>
        <v/>
      </c>
      <c r="O2437" s="698"/>
      <c r="P2437" s="729"/>
      <c r="Q2437" s="729"/>
      <c r="R2437" s="729"/>
      <c r="S2437" s="729"/>
      <c r="T2437" s="729"/>
      <c r="U2437" s="343"/>
      <c r="V2437" s="343"/>
    </row>
    <row r="2438" spans="1:22" s="364" customFormat="1" x14ac:dyDescent="0.25">
      <c r="A2438" s="694"/>
      <c r="B2438" s="302"/>
      <c r="C2438" s="301">
        <f t="shared" si="206"/>
        <v>18</v>
      </c>
      <c r="D2438" s="3021" t="str">
        <f t="shared" si="207"/>
        <v>Подинсталация с емисии от процеси (с риск от ИВЕ | извън МКВЕГ)</v>
      </c>
      <c r="E2438" s="3022"/>
      <c r="F2438" s="3022"/>
      <c r="G2438" s="3022"/>
      <c r="H2438" s="3022"/>
      <c r="I2438" s="3022"/>
      <c r="J2438" s="659" t="str">
        <f t="shared" si="208"/>
        <v/>
      </c>
      <c r="K2438" s="659" t="str">
        <f t="shared" si="208"/>
        <v/>
      </c>
      <c r="L2438" s="659" t="str">
        <f t="shared" si="208"/>
        <v/>
      </c>
      <c r="M2438" s="659" t="str">
        <f t="shared" si="208"/>
        <v/>
      </c>
      <c r="N2438" s="659" t="str">
        <f t="shared" si="208"/>
        <v/>
      </c>
      <c r="O2438" s="698"/>
      <c r="P2438" s="729"/>
      <c r="Q2438" s="729"/>
      <c r="R2438" s="729"/>
      <c r="S2438" s="729"/>
      <c r="T2438" s="729"/>
      <c r="U2438" s="343"/>
      <c r="V2438" s="343"/>
    </row>
    <row r="2439" spans="1:22" s="364" customFormat="1" x14ac:dyDescent="0.25">
      <c r="A2439" s="694"/>
      <c r="B2439" s="302"/>
      <c r="C2439" s="301">
        <f t="shared" si="206"/>
        <v>19</v>
      </c>
      <c r="D2439" s="3021" t="str">
        <f t="shared" si="207"/>
        <v>Подинсталация с емисии от процеси (без риск от ИВЕ | извън МКВЕГ)</v>
      </c>
      <c r="E2439" s="3022"/>
      <c r="F2439" s="3022"/>
      <c r="G2439" s="3022"/>
      <c r="H2439" s="3022"/>
      <c r="I2439" s="3022"/>
      <c r="J2439" s="677" t="str">
        <f t="shared" si="208"/>
        <v/>
      </c>
      <c r="K2439" s="677" t="str">
        <f t="shared" si="208"/>
        <v/>
      </c>
      <c r="L2439" s="677" t="str">
        <f t="shared" si="208"/>
        <v/>
      </c>
      <c r="M2439" s="677" t="str">
        <f t="shared" si="208"/>
        <v/>
      </c>
      <c r="N2439" s="677" t="str">
        <f t="shared" si="208"/>
        <v/>
      </c>
      <c r="O2439" s="698"/>
      <c r="P2439" s="729"/>
      <c r="Q2439" s="729"/>
      <c r="R2439" s="729"/>
      <c r="S2439" s="729"/>
      <c r="T2439" s="729"/>
      <c r="U2439" s="343"/>
      <c r="V2439" s="343"/>
    </row>
    <row r="2440" spans="1:22" s="364" customFormat="1" ht="13" thickBot="1" x14ac:dyDescent="0.3">
      <c r="A2440" s="694"/>
      <c r="B2440" s="302"/>
      <c r="C2440" s="678">
        <f t="shared" si="206"/>
        <v>20</v>
      </c>
      <c r="D2440" s="3049" t="str">
        <f t="shared" si="207"/>
        <v>Подинсталация с емисии от процеси (с риск от ИВЕ | в рамките на МКВЕГ)</v>
      </c>
      <c r="E2440" s="3050"/>
      <c r="F2440" s="3050"/>
      <c r="G2440" s="3050"/>
      <c r="H2440" s="3050"/>
      <c r="I2440" s="3050"/>
      <c r="J2440" s="675" t="str">
        <f t="shared" si="208"/>
        <v/>
      </c>
      <c r="K2440" s="675" t="str">
        <f t="shared" si="208"/>
        <v/>
      </c>
      <c r="L2440" s="675" t="str">
        <f t="shared" si="208"/>
        <v/>
      </c>
      <c r="M2440" s="675" t="str">
        <f t="shared" si="208"/>
        <v/>
      </c>
      <c r="N2440" s="675" t="str">
        <f t="shared" si="208"/>
        <v/>
      </c>
      <c r="O2440" s="698"/>
      <c r="P2440" s="729"/>
      <c r="Q2440" s="729"/>
      <c r="R2440" s="729"/>
      <c r="S2440" s="729"/>
      <c r="T2440" s="729"/>
      <c r="U2440" s="343"/>
      <c r="V2440" s="343"/>
    </row>
    <row r="2441" spans="1:22" s="364" customFormat="1" ht="13" x14ac:dyDescent="0.25">
      <c r="A2441" s="694"/>
      <c r="B2441" s="302"/>
      <c r="C2441" s="302"/>
      <c r="D2441" s="3054" t="str">
        <f>Translations!$B$974</f>
        <v>Общо предварително безплатно разпределение на квоти за емисии</v>
      </c>
      <c r="E2441" s="3055"/>
      <c r="F2441" s="3055"/>
      <c r="G2441" s="3055"/>
      <c r="H2441" s="3055"/>
      <c r="I2441" s="3055"/>
      <c r="J2441" s="681" t="str">
        <f>IF(COUNT(J2421:J2440)&gt;0,IF(SUM(J2421:J2440)&gt;0,SUM(J2421:J2440),0),"")</f>
        <v/>
      </c>
      <c r="K2441" s="681" t="str">
        <f>IF(COUNT(K2421:K2440)&gt;0,IF(SUM(K2421:K2440)&gt;0,SUM(K2421:K2440),0),"")</f>
        <v/>
      </c>
      <c r="L2441" s="681" t="str">
        <f>IF(COUNT(L2421:L2440)&gt;0,IF(SUM(L2421:L2440)&gt;0,SUM(L2421:L2440),0),"")</f>
        <v/>
      </c>
      <c r="M2441" s="681" t="str">
        <f>IF(COUNT(M2421:M2440)&gt;0,IF(SUM(M2421:M2440)&gt;0,SUM(M2421:M2440),0),"")</f>
        <v/>
      </c>
      <c r="N2441" s="681" t="str">
        <f>IF(COUNT(N2421:N2440)&gt;0,IF(SUM(N2421:N2440)&gt;0,SUM(N2421:N2440),0),"")</f>
        <v/>
      </c>
      <c r="O2441" s="698"/>
      <c r="P2441" s="729"/>
      <c r="Q2441" s="729"/>
      <c r="R2441" s="729"/>
      <c r="S2441" s="729"/>
      <c r="T2441" s="729"/>
      <c r="U2441" s="343"/>
      <c r="V2441" s="343"/>
    </row>
    <row r="2442" spans="1:22" ht="5.15" customHeight="1" x14ac:dyDescent="0.25">
      <c r="A2442" s="694"/>
      <c r="B2442" s="698"/>
      <c r="C2442" s="698"/>
      <c r="D2442" s="698"/>
      <c r="E2442" s="698"/>
      <c r="F2442" s="698"/>
      <c r="G2442" s="698"/>
      <c r="H2442" s="698"/>
      <c r="I2442" s="698"/>
      <c r="J2442" s="698"/>
      <c r="K2442" s="698"/>
      <c r="L2442" s="698"/>
      <c r="M2442" s="698"/>
      <c r="N2442" s="698"/>
      <c r="O2442" s="698"/>
      <c r="P2442" s="694"/>
      <c r="Q2442" s="694"/>
      <c r="R2442" s="694"/>
      <c r="S2442" s="694"/>
      <c r="T2442" s="694"/>
      <c r="U2442" s="343"/>
      <c r="V2442" s="343"/>
    </row>
    <row r="2443" spans="1:22" ht="13" x14ac:dyDescent="0.25">
      <c r="A2443" s="694"/>
      <c r="B2443" s="698"/>
      <c r="C2443" s="698"/>
      <c r="D2443" s="2993" t="str">
        <f>Translations!$B$1599</f>
        <v>Допълнителна информация за справка: допълнителни 30 % EUA за топлофикационна мрежа, включени в таблицата по-горе, ако е приложимо</v>
      </c>
      <c r="E2443" s="2993"/>
      <c r="F2443" s="2993"/>
      <c r="G2443" s="2993"/>
      <c r="H2443" s="2993"/>
      <c r="I2443" s="2994"/>
      <c r="J2443" s="659" t="str">
        <f>IF(AND(ISNUMBER(G2007),J$2453=TRUE),ROUND(G2007*EUconst_HeatBMvalue*30%,0),"")</f>
        <v/>
      </c>
      <c r="K2443" s="659" t="str">
        <f>IF(J2443="","",J2443)</f>
        <v/>
      </c>
      <c r="L2443" s="659" t="str">
        <f t="shared" ref="L2443:N2443" si="209">IF(K2443="","",K2443)</f>
        <v/>
      </c>
      <c r="M2443" s="659" t="str">
        <f t="shared" si="209"/>
        <v/>
      </c>
      <c r="N2443" s="659" t="str">
        <f t="shared" si="209"/>
        <v/>
      </c>
      <c r="O2443" s="698"/>
      <c r="P2443" s="694"/>
      <c r="Q2443" s="694"/>
      <c r="R2443" s="694"/>
      <c r="S2443" s="694"/>
      <c r="T2443" s="694"/>
      <c r="U2443" s="343"/>
      <c r="V2443" s="343"/>
    </row>
    <row r="2444" spans="1:22" s="364" customFormat="1" x14ac:dyDescent="0.25">
      <c r="A2444" s="694"/>
      <c r="B2444" s="302"/>
      <c r="C2444" s="302"/>
      <c r="D2444" s="302"/>
      <c r="E2444" s="302"/>
      <c r="F2444" s="302"/>
      <c r="G2444" s="302"/>
      <c r="H2444" s="302"/>
      <c r="I2444" s="302"/>
      <c r="J2444" s="302"/>
      <c r="K2444" s="302"/>
      <c r="L2444" s="302"/>
      <c r="M2444" s="302"/>
      <c r="N2444" s="302"/>
      <c r="O2444" s="698"/>
      <c r="P2444" s="729"/>
      <c r="Q2444" s="729"/>
      <c r="R2444" s="729"/>
      <c r="S2444" s="729"/>
      <c r="T2444" s="729"/>
      <c r="U2444" s="343"/>
      <c r="V2444" s="343"/>
    </row>
    <row r="2445" spans="1:22" s="364" customFormat="1" ht="14" x14ac:dyDescent="0.3">
      <c r="A2445" s="694"/>
      <c r="B2445" s="284"/>
      <c r="C2445" s="357">
        <v>2</v>
      </c>
      <c r="D2445" s="358" t="str">
        <f>Translations!$B$975</f>
        <v>Индикативно очаквано крайно количество безплатни квоти:</v>
      </c>
      <c r="E2445" s="298"/>
      <c r="F2445" s="298"/>
      <c r="G2445" s="298"/>
      <c r="H2445" s="298"/>
      <c r="I2445" s="556"/>
      <c r="J2445" s="556"/>
      <c r="K2445" s="329"/>
      <c r="L2445" s="302"/>
      <c r="M2445" s="302"/>
      <c r="N2445" s="302"/>
      <c r="O2445" s="698"/>
      <c r="P2445" s="729"/>
      <c r="Q2445" s="729"/>
      <c r="R2445" s="729"/>
      <c r="S2445" s="729"/>
      <c r="T2445" s="729"/>
      <c r="U2445" s="343"/>
      <c r="V2445" s="343"/>
    </row>
    <row r="2446" spans="1:22" s="364" customFormat="1" ht="5.15" customHeight="1" x14ac:dyDescent="0.25">
      <c r="A2446" s="694"/>
      <c r="B2446" s="302"/>
      <c r="C2446" s="302"/>
      <c r="D2446" s="302"/>
      <c r="E2446" s="302"/>
      <c r="F2446" s="302"/>
      <c r="G2446" s="302"/>
      <c r="H2446" s="302"/>
      <c r="I2446" s="302"/>
      <c r="J2446" s="302"/>
      <c r="K2446" s="302"/>
      <c r="L2446" s="302"/>
      <c r="M2446" s="302"/>
      <c r="N2446" s="302"/>
      <c r="O2446" s="698"/>
      <c r="P2446" s="729"/>
      <c r="Q2446" s="729"/>
      <c r="R2446" s="729"/>
      <c r="S2446" s="729"/>
      <c r="T2446" s="729"/>
      <c r="U2446" s="343"/>
      <c r="V2446" s="343"/>
    </row>
    <row r="2447" spans="1:22" s="364" customFormat="1" ht="13" x14ac:dyDescent="0.25">
      <c r="A2447" s="694"/>
      <c r="B2447" s="284"/>
      <c r="C2447" s="647"/>
      <c r="D2447" s="300" t="s">
        <v>408</v>
      </c>
      <c r="E2447" s="313" t="str">
        <f>Translations!$B$1594</f>
        <v>Приложими обвързаности с условия</v>
      </c>
      <c r="F2447" s="313"/>
      <c r="G2447" s="313"/>
      <c r="H2447" s="298"/>
      <c r="I2447" s="556"/>
      <c r="J2447" s="556"/>
      <c r="K2447" s="329"/>
      <c r="L2447" s="302"/>
      <c r="M2447" s="302"/>
      <c r="N2447" s="302"/>
      <c r="O2447" s="698"/>
      <c r="P2447" s="729"/>
      <c r="Q2447" s="729"/>
      <c r="R2447" s="729"/>
      <c r="S2447" s="729"/>
      <c r="T2447" s="729"/>
      <c r="U2447" s="343"/>
      <c r="V2447" s="343"/>
    </row>
    <row r="2448" spans="1:22" s="364" customFormat="1" ht="13" x14ac:dyDescent="0.25">
      <c r="A2448" s="694"/>
      <c r="B2448" s="302"/>
      <c r="C2448" s="302"/>
      <c r="D2448" s="302"/>
      <c r="E2448" s="302"/>
      <c r="F2448" s="302"/>
      <c r="G2448" s="302"/>
      <c r="H2448" s="302"/>
      <c r="I2448" s="1886"/>
      <c r="J2448" s="1887">
        <f>J$2505</f>
        <v>2026</v>
      </c>
      <c r="K2448" s="387">
        <f>K$2505</f>
        <v>2027</v>
      </c>
      <c r="L2448" s="387">
        <f>L$2505</f>
        <v>2028</v>
      </c>
      <c r="M2448" s="387">
        <f>M$2505</f>
        <v>2029</v>
      </c>
      <c r="N2448" s="387">
        <f>N$2505</f>
        <v>2030</v>
      </c>
      <c r="O2448" s="698"/>
      <c r="P2448" s="729"/>
      <c r="Q2448" s="729"/>
      <c r="R2448" s="729"/>
      <c r="S2448" s="729"/>
      <c r="T2448" s="729"/>
      <c r="U2448" s="343"/>
      <c r="V2448" s="343"/>
    </row>
    <row r="2449" spans="1:22" s="364" customFormat="1" x14ac:dyDescent="0.25">
      <c r="A2449" s="694"/>
      <c r="B2449" s="302"/>
      <c r="C2449" s="302"/>
      <c r="D2449" s="302"/>
      <c r="E2449" s="3046" t="str">
        <f>Translations!$B$1595</f>
        <v>Обвързаност с условия 1: Мерки за енергийна ефективност</v>
      </c>
      <c r="F2449" s="3046"/>
      <c r="G2449" s="3046"/>
      <c r="H2449" s="3046"/>
      <c r="I2449" s="3048"/>
      <c r="J2449" s="684" t="str">
        <f>IF(CNTR_HasEntries_A_I,INDEX(CNTR_EnEffCond,COLUMNS($J2448:J2448)),"")</f>
        <v/>
      </c>
      <c r="K2449" s="684" t="str">
        <f>IF(CNTR_HasEntries_A_I,INDEX(CNTR_EnEffCond,COLUMNS($J2448:K2448)),"")</f>
        <v/>
      </c>
      <c r="L2449" s="684" t="str">
        <f>IF(CNTR_HasEntries_A_I,INDEX(CNTR_EnEffCond,COLUMNS($J2448:L2448)),"")</f>
        <v/>
      </c>
      <c r="M2449" s="684" t="str">
        <f>IF(CNTR_HasEntries_A_I,INDEX(CNTR_EnEffCond,COLUMNS($J2448:M2448)),"")</f>
        <v/>
      </c>
      <c r="N2449" s="684" t="str">
        <f>IF(CNTR_HasEntries_A_I,INDEX(CNTR_EnEffCond,COLUMNS($J2448:N2448)),"")</f>
        <v/>
      </c>
      <c r="O2449" s="698"/>
      <c r="P2449" s="729"/>
      <c r="Q2449" s="1888"/>
      <c r="R2449" s="729"/>
      <c r="S2449" s="729"/>
      <c r="T2449" s="729"/>
      <c r="U2449" s="343"/>
      <c r="V2449" s="343"/>
    </row>
    <row r="2450" spans="1:22" s="364" customFormat="1" ht="5.15" customHeight="1" x14ac:dyDescent="0.25">
      <c r="A2450" s="694"/>
      <c r="B2450" s="302"/>
      <c r="C2450" s="302"/>
      <c r="D2450" s="302"/>
      <c r="E2450" s="368"/>
      <c r="F2450" s="368"/>
      <c r="G2450" s="368"/>
      <c r="H2450" s="368"/>
      <c r="I2450" s="1886"/>
      <c r="J2450" s="1886"/>
      <c r="K2450" s="1886"/>
      <c r="L2450" s="1886"/>
      <c r="M2450" s="1886"/>
      <c r="N2450" s="1886"/>
      <c r="O2450" s="698"/>
      <c r="P2450" s="729"/>
      <c r="Q2450" s="729"/>
      <c r="R2450" s="729"/>
      <c r="S2450" s="729"/>
      <c r="T2450" s="729"/>
      <c r="U2450" s="343"/>
      <c r="V2450" s="343"/>
    </row>
    <row r="2451" spans="1:22" s="364" customFormat="1" x14ac:dyDescent="0.25">
      <c r="A2451" s="694"/>
      <c r="B2451" s="302"/>
      <c r="C2451" s="302"/>
      <c r="D2451" s="302"/>
      <c r="E2451" s="3046" t="str">
        <f>Translations!$B$1596</f>
        <v>Обвързаност с условия 2: Планове за неутралност по отношение на климата</v>
      </c>
      <c r="F2451" s="3046"/>
      <c r="G2451" s="3046"/>
      <c r="H2451" s="3046"/>
      <c r="I2451" s="3048"/>
      <c r="J2451" s="684" t="str">
        <f>IF(CNTR_HasEntries_A_I,INDEX(CNTR_CNPCond,COLUMNS($J2448:J2448)),"")</f>
        <v/>
      </c>
      <c r="K2451" s="684" t="str">
        <f>IF(CNTR_HasEntries_A_I,INDEX(CNTR_CNPCond,COLUMNS($J2448:K2448)),"")</f>
        <v/>
      </c>
      <c r="L2451" s="684" t="str">
        <f>IF(CNTR_HasEntries_A_I,INDEX(CNTR_CNPCond,COLUMNS($J2448:L2448)),"")</f>
        <v/>
      </c>
      <c r="M2451" s="684" t="str">
        <f>IF(CNTR_HasEntries_A_I,INDEX(CNTR_CNPCond,COLUMNS($J2448:M2448)),"")</f>
        <v/>
      </c>
      <c r="N2451" s="684" t="str">
        <f>IF(CNTR_HasEntries_A_I,INDEX(CNTR_CNPCond,COLUMNS($J2448:N2448)),"")</f>
        <v/>
      </c>
      <c r="O2451" s="698"/>
      <c r="P2451" s="729"/>
      <c r="Q2451" s="729"/>
      <c r="R2451" s="729"/>
      <c r="S2451" s="729"/>
      <c r="T2451" s="729"/>
      <c r="U2451" s="343"/>
      <c r="V2451" s="343"/>
    </row>
    <row r="2452" spans="1:22" s="364" customFormat="1" ht="5.15" customHeight="1" x14ac:dyDescent="0.25">
      <c r="A2452" s="694"/>
      <c r="B2452" s="302"/>
      <c r="C2452" s="302"/>
      <c r="D2452" s="302"/>
      <c r="E2452" s="368"/>
      <c r="F2452" s="368"/>
      <c r="G2452" s="368"/>
      <c r="H2452" s="368"/>
      <c r="I2452" s="1886"/>
      <c r="J2452" s="1886"/>
      <c r="K2452" s="1886"/>
      <c r="L2452" s="1886"/>
      <c r="M2452" s="1886"/>
      <c r="N2452" s="1886"/>
      <c r="O2452" s="698"/>
      <c r="P2452" s="729"/>
      <c r="Q2452" s="729"/>
      <c r="R2452" s="729"/>
      <c r="S2452" s="729"/>
      <c r="T2452" s="729"/>
      <c r="U2452" s="343"/>
      <c r="V2452" s="343"/>
    </row>
    <row r="2453" spans="1:22" s="364" customFormat="1" x14ac:dyDescent="0.25">
      <c r="A2453" s="694"/>
      <c r="B2453" s="302"/>
      <c r="C2453" s="302"/>
      <c r="D2453" s="302"/>
      <c r="E2453" s="3046" t="str">
        <f>Translations!$B$1597</f>
        <v>Обвързаност с условия 3: + 30 % топлофикационна мрежа</v>
      </c>
      <c r="F2453" s="3046"/>
      <c r="G2453" s="3046"/>
      <c r="H2453" s="3046"/>
      <c r="I2453" s="3048"/>
      <c r="J2453" s="684" t="str">
        <f>IF(CNTR_HasEntries_A_I,INDEX(CNTR_DHCond,COLUMNS($J2448:J2448)),"")</f>
        <v/>
      </c>
      <c r="K2453" s="684" t="str">
        <f>IF(CNTR_HasEntries_A_I,INDEX(CNTR_DHCond,COLUMNS($J2448:K2448)),"")</f>
        <v/>
      </c>
      <c r="L2453" s="684" t="str">
        <f>IF(CNTR_HasEntries_A_I,INDEX(CNTR_DHCond,COLUMNS($J2448:L2448)),"")</f>
        <v/>
      </c>
      <c r="M2453" s="684" t="str">
        <f>IF(CNTR_HasEntries_A_I,INDEX(CNTR_DHCond,COLUMNS($J2448:M2448)),"")</f>
        <v/>
      </c>
      <c r="N2453" s="684" t="str">
        <f>IF(CNTR_HasEntries_A_I,INDEX(CNTR_DHCond,COLUMNS($J2448:N2448)),"")</f>
        <v/>
      </c>
      <c r="O2453" s="698"/>
      <c r="P2453" s="729"/>
      <c r="Q2453" s="729"/>
      <c r="R2453" s="729"/>
      <c r="S2453" s="729"/>
      <c r="T2453" s="729"/>
      <c r="U2453" s="343"/>
      <c r="V2453" s="343"/>
    </row>
    <row r="2454" spans="1:22" s="364" customFormat="1" ht="5.15" customHeight="1" x14ac:dyDescent="0.25">
      <c r="A2454" s="694"/>
      <c r="B2454" s="302"/>
      <c r="C2454" s="302"/>
      <c r="D2454" s="302"/>
      <c r="E2454" s="368"/>
      <c r="F2454" s="368"/>
      <c r="G2454" s="368"/>
      <c r="H2454" s="368"/>
      <c r="I2454" s="1886"/>
      <c r="J2454" s="1886"/>
      <c r="K2454" s="1886"/>
      <c r="L2454" s="1886"/>
      <c r="M2454" s="1886"/>
      <c r="N2454" s="1886"/>
      <c r="O2454" s="698"/>
      <c r="P2454" s="729"/>
      <c r="Q2454" s="729"/>
      <c r="R2454" s="729"/>
      <c r="S2454" s="729"/>
      <c r="T2454" s="729"/>
      <c r="U2454" s="343"/>
      <c r="V2454" s="343"/>
    </row>
    <row r="2455" spans="1:22" s="364" customFormat="1" x14ac:dyDescent="0.25">
      <c r="A2455" s="694"/>
      <c r="B2455" s="302"/>
      <c r="C2455" s="302"/>
      <c r="D2455" s="302"/>
      <c r="E2455" s="3046" t="str">
        <f>Translations!$B$1598</f>
        <v>Обвързаност с условия 4: Най-ефективна инсталация</v>
      </c>
      <c r="F2455" s="3046"/>
      <c r="G2455" s="3046"/>
      <c r="H2455" s="3046"/>
      <c r="I2455" s="3048"/>
      <c r="J2455" s="684" t="str">
        <f>IF(CNTR_HasEntries_A_I,IF(CNTR_10BestCond="",FALSE,CNTR_10BestCond),"")</f>
        <v/>
      </c>
      <c r="K2455" s="684" t="str">
        <f>IF(CNTR_HasEntries_A_I,IF(CNTR_10BestCond="",FALSE,CNTR_10BestCond),"")</f>
        <v/>
      </c>
      <c r="L2455" s="684" t="str">
        <f>IF(CNTR_HasEntries_A_I,IF(CNTR_10BestCond="",FALSE,CNTR_10BestCond),"")</f>
        <v/>
      </c>
      <c r="M2455" s="684" t="str">
        <f>IF(CNTR_HasEntries_A_I,IF(CNTR_10BestCond="",FALSE,CNTR_10BestCond),"")</f>
        <v/>
      </c>
      <c r="N2455" s="684" t="str">
        <f>IF(CNTR_HasEntries_A_I,IF(CNTR_10BestCond="",FALSE,CNTR_10BestCond),"")</f>
        <v/>
      </c>
      <c r="O2455" s="698"/>
      <c r="P2455" s="729"/>
      <c r="Q2455" s="729"/>
      <c r="R2455" s="729"/>
      <c r="S2455" s="729"/>
      <c r="T2455" s="729"/>
      <c r="U2455" s="343"/>
      <c r="V2455" s="343"/>
    </row>
    <row r="2456" spans="1:22" s="364" customFormat="1" ht="5.15" customHeight="1" x14ac:dyDescent="0.25">
      <c r="A2456" s="694"/>
      <c r="B2456" s="302"/>
      <c r="C2456" s="302"/>
      <c r="D2456" s="302"/>
      <c r="E2456" s="302"/>
      <c r="F2456" s="302"/>
      <c r="G2456" s="302"/>
      <c r="H2456" s="302"/>
      <c r="I2456" s="302"/>
      <c r="J2456" s="302"/>
      <c r="K2456" s="302"/>
      <c r="L2456" s="302"/>
      <c r="M2456" s="302"/>
      <c r="N2456" s="302"/>
      <c r="O2456" s="698"/>
      <c r="P2456" s="729"/>
      <c r="Q2456" s="729"/>
      <c r="R2456" s="729"/>
      <c r="S2456" s="729"/>
      <c r="T2456" s="729"/>
      <c r="U2456" s="343"/>
      <c r="V2456" s="343"/>
    </row>
    <row r="2457" spans="1:22" s="364" customFormat="1" ht="13" x14ac:dyDescent="0.25">
      <c r="A2457" s="694"/>
      <c r="B2457" s="284"/>
      <c r="C2457" s="647"/>
      <c r="D2457" s="300" t="s">
        <v>901</v>
      </c>
      <c r="E2457" s="313" t="str">
        <f>Translations!$B$1395</f>
        <v>Линеен коефициент, определен в член 10а, параграф 7 от Директивата за СТЕ на ЕС:</v>
      </c>
      <c r="F2457" s="313"/>
      <c r="G2457" s="313"/>
      <c r="H2457" s="298"/>
      <c r="I2457" s="556"/>
      <c r="J2457" s="556"/>
      <c r="K2457" s="329"/>
      <c r="L2457" s="302"/>
      <c r="M2457" s="302"/>
      <c r="N2457" s="302"/>
      <c r="O2457" s="698"/>
      <c r="P2457" s="729"/>
      <c r="Q2457" s="729"/>
      <c r="R2457" s="729"/>
      <c r="S2457" s="729"/>
      <c r="T2457" s="729"/>
      <c r="U2457" s="343"/>
      <c r="V2457" s="343"/>
    </row>
    <row r="2458" spans="1:22" s="364" customFormat="1" ht="13" x14ac:dyDescent="0.25">
      <c r="A2458" s="694"/>
      <c r="B2458" s="302"/>
      <c r="C2458" s="302"/>
      <c r="D2458" s="302"/>
      <c r="E2458" s="302"/>
      <c r="F2458" s="302"/>
      <c r="G2458" s="302"/>
      <c r="H2458" s="302"/>
      <c r="I2458" s="556"/>
      <c r="J2458" s="1887">
        <f>J$2505</f>
        <v>2026</v>
      </c>
      <c r="K2458" s="387">
        <f>K$2505</f>
        <v>2027</v>
      </c>
      <c r="L2458" s="387">
        <f>L$2505</f>
        <v>2028</v>
      </c>
      <c r="M2458" s="387">
        <f>M$2505</f>
        <v>2029</v>
      </c>
      <c r="N2458" s="387">
        <f>N$2505</f>
        <v>2030</v>
      </c>
      <c r="O2458" s="698"/>
      <c r="P2458" s="729"/>
      <c r="Q2458" s="729"/>
      <c r="R2458" s="729"/>
      <c r="S2458" s="729"/>
      <c r="T2458" s="729"/>
      <c r="U2458" s="343"/>
      <c r="V2458" s="343"/>
    </row>
    <row r="2459" spans="1:22" s="364" customFormat="1" x14ac:dyDescent="0.25">
      <c r="A2459" s="694"/>
      <c r="B2459" s="302"/>
      <c r="C2459" s="302"/>
      <c r="D2459" s="302"/>
      <c r="E2459" s="3046" t="str">
        <f>Translations!$B$1396</f>
        <v>Линеен коефициент за нови участници</v>
      </c>
      <c r="F2459" s="3046"/>
      <c r="G2459" s="3046"/>
      <c r="H2459" s="3046"/>
      <c r="I2459" s="3048"/>
      <c r="J2459" s="670">
        <v>1</v>
      </c>
      <c r="K2459" s="670">
        <f>J2459-0.022</f>
        <v>0.97799999999999998</v>
      </c>
      <c r="L2459" s="670">
        <f>K2459-0.022</f>
        <v>0.95599999999999996</v>
      </c>
      <c r="M2459" s="670">
        <f>L2459-0.043</f>
        <v>0.91299999999999992</v>
      </c>
      <c r="N2459" s="670">
        <f>M2459-0.043</f>
        <v>0.86999999999999988</v>
      </c>
      <c r="O2459" s="698"/>
      <c r="P2459" s="729"/>
      <c r="Q2459" s="729"/>
      <c r="R2459" s="729"/>
      <c r="S2459" s="729"/>
      <c r="T2459" s="729"/>
      <c r="U2459" s="343"/>
      <c r="V2459" s="343"/>
    </row>
    <row r="2460" spans="1:22" s="364" customFormat="1" ht="5.15" customHeight="1" x14ac:dyDescent="0.25">
      <c r="A2460" s="694"/>
      <c r="B2460" s="302"/>
      <c r="C2460" s="302"/>
      <c r="D2460" s="302"/>
      <c r="E2460" s="302"/>
      <c r="F2460" s="302"/>
      <c r="G2460" s="302"/>
      <c r="H2460" s="302"/>
      <c r="I2460" s="302"/>
      <c r="J2460" s="302"/>
      <c r="K2460" s="302"/>
      <c r="L2460" s="302"/>
      <c r="M2460" s="302"/>
      <c r="N2460" s="302"/>
      <c r="O2460" s="698"/>
      <c r="P2460" s="729"/>
      <c r="Q2460" s="729"/>
      <c r="R2460" s="729"/>
      <c r="S2460" s="729"/>
      <c r="T2460" s="729"/>
      <c r="U2460" s="343"/>
      <c r="V2460" s="343"/>
    </row>
    <row r="2461" spans="1:22" s="364" customFormat="1" ht="13" x14ac:dyDescent="0.25">
      <c r="A2461" s="694"/>
      <c r="B2461" s="284"/>
      <c r="C2461" s="284"/>
      <c r="D2461" s="300" t="s">
        <v>46</v>
      </c>
      <c r="E2461" s="313" t="str">
        <f>Translations!$B$976</f>
        <v>Междуотраслов корекционен коефициент (CSCF) съгласно член 14, параграф 6 от ПБР:</v>
      </c>
      <c r="F2461" s="298"/>
      <c r="G2461" s="298"/>
      <c r="H2461" s="298"/>
      <c r="I2461" s="298"/>
      <c r="J2461" s="298"/>
      <c r="K2461" s="298"/>
      <c r="L2461" s="298"/>
      <c r="M2461" s="298"/>
      <c r="N2461" s="298"/>
      <c r="O2461" s="698"/>
      <c r="P2461" s="770"/>
      <c r="Q2461" s="729"/>
      <c r="R2461" s="729"/>
      <c r="S2461" s="729"/>
      <c r="T2461" s="729"/>
      <c r="U2461" s="343"/>
      <c r="V2461" s="343"/>
    </row>
    <row r="2462" spans="1:22" s="364" customFormat="1" ht="12.75" customHeight="1" x14ac:dyDescent="0.25">
      <c r="A2462" s="694"/>
      <c r="B2462" s="302"/>
      <c r="C2462" s="302"/>
      <c r="D2462" s="302"/>
      <c r="E2462" s="302"/>
      <c r="F2462" s="302"/>
      <c r="G2462" s="302"/>
      <c r="H2462" s="302"/>
      <c r="I2462" s="556"/>
      <c r="J2462" s="1887">
        <f>J$2505</f>
        <v>2026</v>
      </c>
      <c r="K2462" s="387">
        <f>K$2505</f>
        <v>2027</v>
      </c>
      <c r="L2462" s="387">
        <f>L$2505</f>
        <v>2028</v>
      </c>
      <c r="M2462" s="387">
        <f>M$2505</f>
        <v>2029</v>
      </c>
      <c r="N2462" s="387">
        <f>N$2505</f>
        <v>2030</v>
      </c>
      <c r="O2462" s="698"/>
      <c r="P2462" s="729"/>
      <c r="Q2462" s="729"/>
      <c r="R2462" s="729"/>
      <c r="S2462" s="729"/>
      <c r="T2462" s="729"/>
      <c r="U2462" s="343"/>
      <c r="V2462" s="343"/>
    </row>
    <row r="2463" spans="1:22" s="364" customFormat="1" x14ac:dyDescent="0.25">
      <c r="A2463" s="694"/>
      <c r="B2463" s="302"/>
      <c r="C2463" s="302"/>
      <c r="D2463" s="302"/>
      <c r="E2463" s="3046" t="str">
        <f>Translations!$B$977</f>
        <v>CSCF</v>
      </c>
      <c r="F2463" s="3046"/>
      <c r="G2463" s="3046"/>
      <c r="H2463" s="3046"/>
      <c r="I2463" s="3047"/>
      <c r="J2463" s="1889">
        <v>1</v>
      </c>
      <c r="K2463" s="1889">
        <v>1</v>
      </c>
      <c r="L2463" s="1889">
        <v>1</v>
      </c>
      <c r="M2463" s="1889">
        <v>1</v>
      </c>
      <c r="N2463" s="1889">
        <v>1</v>
      </c>
      <c r="O2463" s="698"/>
      <c r="P2463" s="729"/>
      <c r="Q2463" s="729"/>
      <c r="R2463" s="729"/>
      <c r="S2463" s="729"/>
      <c r="T2463" s="729"/>
      <c r="U2463" s="343"/>
      <c r="V2463" s="343"/>
    </row>
    <row r="2464" spans="1:22" s="364" customFormat="1" ht="5.15" customHeight="1" x14ac:dyDescent="0.25">
      <c r="A2464" s="694"/>
      <c r="B2464" s="302"/>
      <c r="C2464" s="302"/>
      <c r="D2464" s="302"/>
      <c r="E2464" s="302"/>
      <c r="F2464" s="302"/>
      <c r="G2464" s="302"/>
      <c r="H2464" s="302"/>
      <c r="I2464" s="302"/>
      <c r="J2464" s="302"/>
      <c r="K2464" s="302"/>
      <c r="L2464" s="302"/>
      <c r="M2464" s="302"/>
      <c r="N2464" s="302"/>
      <c r="O2464" s="698"/>
      <c r="P2464" s="729"/>
      <c r="Q2464" s="729"/>
      <c r="R2464" s="729"/>
      <c r="S2464" s="729"/>
      <c r="T2464" s="729"/>
      <c r="U2464" s="343"/>
      <c r="V2464" s="343"/>
    </row>
    <row r="2465" spans="1:22" s="364" customFormat="1" ht="13" x14ac:dyDescent="0.25">
      <c r="A2465" s="694"/>
      <c r="B2465" s="302"/>
      <c r="C2465" s="302"/>
      <c r="D2465" s="300" t="s">
        <v>906</v>
      </c>
      <c r="E2465" s="313" t="str">
        <f>Translations!$B$979</f>
        <v>Коефициент, който ще се използва при изчислението</v>
      </c>
      <c r="F2465" s="302"/>
      <c r="G2465" s="302"/>
      <c r="H2465" s="302"/>
      <c r="I2465" s="302"/>
      <c r="J2465" s="302"/>
      <c r="K2465" s="302"/>
      <c r="L2465" s="302"/>
      <c r="M2465" s="302"/>
      <c r="N2465" s="302"/>
      <c r="O2465" s="698"/>
      <c r="P2465" s="729"/>
      <c r="Q2465" s="729"/>
      <c r="R2465" s="729"/>
      <c r="S2465" s="729"/>
      <c r="T2465" s="729"/>
      <c r="U2465" s="343"/>
      <c r="V2465" s="343"/>
    </row>
    <row r="2466" spans="1:22" s="364" customFormat="1" ht="12.75" customHeight="1" x14ac:dyDescent="0.25">
      <c r="A2466" s="694"/>
      <c r="B2466" s="302"/>
      <c r="C2466" s="302"/>
      <c r="D2466" s="302"/>
      <c r="E2466" s="302"/>
      <c r="F2466" s="302"/>
      <c r="G2466" s="302"/>
      <c r="H2466" s="302"/>
      <c r="I2466" s="556"/>
      <c r="J2466" s="1887">
        <f>J$2505</f>
        <v>2026</v>
      </c>
      <c r="K2466" s="387">
        <f>K$2505</f>
        <v>2027</v>
      </c>
      <c r="L2466" s="387">
        <f>L$2505</f>
        <v>2028</v>
      </c>
      <c r="M2466" s="387">
        <f>M$2505</f>
        <v>2029</v>
      </c>
      <c r="N2466" s="387">
        <f>N$2505</f>
        <v>2030</v>
      </c>
      <c r="O2466" s="698"/>
      <c r="P2466" s="729"/>
      <c r="Q2466" s="729"/>
      <c r="R2466" s="729"/>
      <c r="S2466" s="729"/>
      <c r="T2466" s="729"/>
      <c r="U2466" s="343"/>
      <c r="V2466" s="343"/>
    </row>
    <row r="2467" spans="1:22" s="364" customFormat="1" x14ac:dyDescent="0.25">
      <c r="A2467" s="694"/>
      <c r="B2467" s="302"/>
      <c r="C2467" s="302"/>
      <c r="D2467" s="302"/>
      <c r="E2467" s="3046" t="str">
        <f>Translations!$B$978</f>
        <v>Стойност, използвана при изчислението</v>
      </c>
      <c r="F2467" s="3046"/>
      <c r="G2467" s="3046"/>
      <c r="H2467" s="3046"/>
      <c r="I2467" s="3048"/>
      <c r="J2467" s="685" t="str">
        <f>IF(CNTR_HasEntries_A_I,IF($H$18=FALSE,J2459,IF(J2455,1,J2463)),"")</f>
        <v/>
      </c>
      <c r="K2467" s="685" t="str">
        <f>IF(CNTR_HasEntries_A_I,IF($H$18=FALSE,K2459,IF(K2455,1,K2463)),"")</f>
        <v/>
      </c>
      <c r="L2467" s="685" t="str">
        <f>IF(CNTR_HasEntries_A_I,IF($H$18=FALSE,L2459,IF(L2455,1,L2463)),"")</f>
        <v/>
      </c>
      <c r="M2467" s="685" t="str">
        <f>IF(CNTR_HasEntries_A_I,IF($H$18=FALSE,M2459,IF(M2455,1,M2463)),"")</f>
        <v/>
      </c>
      <c r="N2467" s="685" t="str">
        <f>IF(CNTR_HasEntries_A_I,IF($H$18=FALSE,N2459,IF(N2455,1,N2463)),"")</f>
        <v/>
      </c>
      <c r="O2467" s="698"/>
      <c r="P2467" s="729"/>
      <c r="Q2467" s="729"/>
      <c r="R2467" s="729"/>
      <c r="S2467" s="729"/>
      <c r="T2467" s="729"/>
      <c r="U2467" s="343"/>
      <c r="V2467" s="343"/>
    </row>
    <row r="2468" spans="1:22" s="364" customFormat="1" ht="5.15" customHeight="1" x14ac:dyDescent="0.25">
      <c r="A2468" s="694"/>
      <c r="B2468" s="302"/>
      <c r="C2468" s="302"/>
      <c r="D2468" s="302"/>
      <c r="E2468" s="302"/>
      <c r="F2468" s="302"/>
      <c r="G2468" s="302"/>
      <c r="H2468" s="302"/>
      <c r="I2468" s="302"/>
      <c r="J2468" s="302"/>
      <c r="K2468" s="302"/>
      <c r="L2468" s="302"/>
      <c r="M2468" s="302"/>
      <c r="N2468" s="302"/>
      <c r="O2468" s="698"/>
      <c r="P2468" s="729"/>
      <c r="Q2468" s="729"/>
      <c r="R2468" s="729"/>
      <c r="S2468" s="729"/>
      <c r="T2468" s="729"/>
      <c r="U2468" s="343"/>
      <c r="V2468" s="343"/>
    </row>
    <row r="2469" spans="1:22" s="364" customFormat="1" ht="13" x14ac:dyDescent="0.25">
      <c r="A2469" s="694"/>
      <c r="B2469" s="284"/>
      <c r="C2469" s="647"/>
      <c r="D2469" s="300" t="s">
        <v>54</v>
      </c>
      <c r="E2469" s="313" t="str">
        <f>Translations!$B$1397</f>
        <v>Изчисление съгласно член 16, параграф 8 от правилата за безплатно разпределяне на квоти и членове 5 и 6 от ALC-R:</v>
      </c>
      <c r="F2469" s="313"/>
      <c r="G2469" s="313"/>
      <c r="H2469" s="298"/>
      <c r="I2469" s="556"/>
      <c r="J2469" s="556"/>
      <c r="K2469" s="329"/>
      <c r="L2469" s="302"/>
      <c r="M2469" s="302"/>
      <c r="N2469" s="302"/>
      <c r="O2469" s="698"/>
      <c r="P2469" s="729"/>
      <c r="Q2469" s="729"/>
      <c r="R2469" s="729"/>
      <c r="S2469" s="729"/>
      <c r="T2469" s="729"/>
      <c r="U2469" s="343"/>
      <c r="V2469" s="343"/>
    </row>
    <row r="2470" spans="1:22" s="364" customFormat="1" ht="25.5" customHeight="1" x14ac:dyDescent="0.25">
      <c r="A2470" s="694"/>
      <c r="B2470" s="284"/>
      <c r="C2470" s="284"/>
      <c r="D2470" s="302"/>
      <c r="E2470" s="2358" t="str">
        <f>Translations!$B$1398</f>
        <v>Показаните тук количества отразяват изчисленията на общото крайно количество квоти, които се разпределят безплатно съгласно член 16, параграф 8 от правилата за безплатно разпределяне на квоти и член 5 и член 6 от ALC-R, т.е. брой квоти за разпределение след прилагане на линейния коефициент или на междуотрасловия корекционен коефициент, според случая (т.е. резултата от буква в) по-горе).</v>
      </c>
      <c r="F2470" s="2249"/>
      <c r="G2470" s="2249"/>
      <c r="H2470" s="2249"/>
      <c r="I2470" s="2249"/>
      <c r="J2470" s="2249"/>
      <c r="K2470" s="2249"/>
      <c r="L2470" s="2249"/>
      <c r="M2470" s="2249"/>
      <c r="N2470" s="2249"/>
      <c r="O2470" s="698"/>
      <c r="P2470" s="770"/>
      <c r="Q2470" s="729"/>
      <c r="R2470" s="729"/>
      <c r="S2470" s="729"/>
      <c r="T2470" s="729"/>
      <c r="U2470" s="343"/>
      <c r="V2470" s="343"/>
    </row>
    <row r="2471" spans="1:22" s="364" customFormat="1" ht="5.15" customHeight="1" x14ac:dyDescent="0.25">
      <c r="A2471" s="694"/>
      <c r="B2471" s="302"/>
      <c r="C2471" s="302"/>
      <c r="D2471" s="302"/>
      <c r="E2471" s="302"/>
      <c r="F2471" s="302"/>
      <c r="G2471" s="302"/>
      <c r="H2471" s="302"/>
      <c r="I2471" s="302"/>
      <c r="J2471" s="302"/>
      <c r="K2471" s="302"/>
      <c r="L2471" s="302"/>
      <c r="M2471" s="302"/>
      <c r="N2471" s="302"/>
      <c r="O2471" s="698"/>
      <c r="P2471" s="729"/>
      <c r="Q2471" s="729"/>
      <c r="R2471" s="729"/>
      <c r="S2471" s="729"/>
      <c r="T2471" s="729"/>
      <c r="U2471" s="343"/>
      <c r="V2471" s="343"/>
    </row>
    <row r="2472" spans="1:22" s="364" customFormat="1" ht="12.75" customHeight="1" thickBot="1" x14ac:dyDescent="0.3">
      <c r="A2472" s="694"/>
      <c r="B2472" s="302"/>
      <c r="C2472" s="302"/>
      <c r="D2472" s="3051" t="str">
        <f>Translations!$B$425</f>
        <v>Подинсталация</v>
      </c>
      <c r="E2472" s="3052"/>
      <c r="F2472" s="3052"/>
      <c r="G2472" s="3052"/>
      <c r="H2472" s="3052"/>
      <c r="I2472" s="3053"/>
      <c r="J2472" s="391">
        <f>J$2505</f>
        <v>2026</v>
      </c>
      <c r="K2472" s="391">
        <f>K$2505</f>
        <v>2027</v>
      </c>
      <c r="L2472" s="391">
        <f>L$2505</f>
        <v>2028</v>
      </c>
      <c r="M2472" s="391">
        <f>M$2505</f>
        <v>2029</v>
      </c>
      <c r="N2472" s="391">
        <f>N$2505</f>
        <v>2030</v>
      </c>
      <c r="O2472" s="698"/>
      <c r="P2472" s="729"/>
      <c r="Q2472" s="729"/>
      <c r="R2472" s="729"/>
      <c r="S2472" s="729"/>
      <c r="T2472" s="729"/>
      <c r="U2472" s="343"/>
      <c r="V2472" s="343"/>
    </row>
    <row r="2473" spans="1:22" s="364" customFormat="1" x14ac:dyDescent="0.25">
      <c r="A2473" s="694"/>
      <c r="B2473" s="302"/>
      <c r="C2473" s="1884">
        <v>1</v>
      </c>
      <c r="D2473" s="3023" t="str">
        <f t="shared" ref="D2473:D2492" si="210">D2421</f>
        <v/>
      </c>
      <c r="E2473" s="3023"/>
      <c r="F2473" s="3023"/>
      <c r="G2473" s="3023"/>
      <c r="H2473" s="3023"/>
      <c r="I2473" s="3023"/>
      <c r="J2473" s="1885" t="str">
        <f>IF(ISNUMBER(J2421),ROUND(J2421*IF(OR(J$2449=TRUE,J$2451=TRUE),0.8,1)*J$2467,0),"")</f>
        <v/>
      </c>
      <c r="K2473" s="1885" t="str">
        <f t="shared" ref="K2473:N2473" si="211">IF(ISNUMBER(K2421),ROUND(K2421*IF(OR(K$2449=TRUE,K$2451=TRUE),0.8,1)*K$2467,0),"")</f>
        <v/>
      </c>
      <c r="L2473" s="1885" t="str">
        <f t="shared" si="211"/>
        <v/>
      </c>
      <c r="M2473" s="1885" t="str">
        <f t="shared" si="211"/>
        <v/>
      </c>
      <c r="N2473" s="1885" t="str">
        <f t="shared" si="211"/>
        <v/>
      </c>
      <c r="O2473" s="698"/>
      <c r="P2473" s="729"/>
      <c r="Q2473" s="729"/>
      <c r="R2473" s="729"/>
      <c r="S2473" s="729"/>
      <c r="T2473" s="729"/>
      <c r="U2473" s="343"/>
      <c r="V2473" s="343"/>
    </row>
    <row r="2474" spans="1:22" s="364" customFormat="1" x14ac:dyDescent="0.25">
      <c r="A2474" s="694"/>
      <c r="B2474" s="302"/>
      <c r="C2474" s="301">
        <f>C2473+1</f>
        <v>2</v>
      </c>
      <c r="D2474" s="3021" t="str">
        <f t="shared" si="210"/>
        <v/>
      </c>
      <c r="E2474" s="3022"/>
      <c r="F2474" s="3022"/>
      <c r="G2474" s="3022"/>
      <c r="H2474" s="3022"/>
      <c r="I2474" s="3022"/>
      <c r="J2474" s="659" t="str">
        <f t="shared" ref="J2474:N2474" si="212">IF(ISNUMBER(J2422),ROUND(J2422*IF(OR(J$2449=TRUE,J$2451=TRUE),0.8,1)*J$2467,0),"")</f>
        <v/>
      </c>
      <c r="K2474" s="659" t="str">
        <f t="shared" si="212"/>
        <v/>
      </c>
      <c r="L2474" s="659" t="str">
        <f t="shared" si="212"/>
        <v/>
      </c>
      <c r="M2474" s="659" t="str">
        <f t="shared" si="212"/>
        <v/>
      </c>
      <c r="N2474" s="659" t="str">
        <f t="shared" si="212"/>
        <v/>
      </c>
      <c r="O2474" s="698"/>
      <c r="P2474" s="729"/>
      <c r="Q2474" s="729"/>
      <c r="R2474" s="729"/>
      <c r="S2474" s="729"/>
      <c r="T2474" s="729"/>
      <c r="U2474" s="343"/>
      <c r="V2474" s="343"/>
    </row>
    <row r="2475" spans="1:22" s="364" customFormat="1" x14ac:dyDescent="0.25">
      <c r="A2475" s="694"/>
      <c r="B2475" s="302"/>
      <c r="C2475" s="301">
        <f t="shared" ref="C2475:C2492" si="213">C2474+1</f>
        <v>3</v>
      </c>
      <c r="D2475" s="3021" t="str">
        <f t="shared" si="210"/>
        <v/>
      </c>
      <c r="E2475" s="3022"/>
      <c r="F2475" s="3022"/>
      <c r="G2475" s="3022"/>
      <c r="H2475" s="3022"/>
      <c r="I2475" s="3022"/>
      <c r="J2475" s="659" t="str">
        <f t="shared" ref="J2475:N2475" si="214">IF(ISNUMBER(J2423),ROUND(J2423*IF(OR(J$2449=TRUE,J$2451=TRUE),0.8,1)*J$2467,0),"")</f>
        <v/>
      </c>
      <c r="K2475" s="659" t="str">
        <f t="shared" si="214"/>
        <v/>
      </c>
      <c r="L2475" s="659" t="str">
        <f t="shared" si="214"/>
        <v/>
      </c>
      <c r="M2475" s="659" t="str">
        <f t="shared" si="214"/>
        <v/>
      </c>
      <c r="N2475" s="659" t="str">
        <f t="shared" si="214"/>
        <v/>
      </c>
      <c r="O2475" s="698"/>
      <c r="P2475" s="729"/>
      <c r="Q2475" s="729"/>
      <c r="R2475" s="729"/>
      <c r="S2475" s="729"/>
      <c r="T2475" s="729"/>
      <c r="U2475" s="343"/>
      <c r="V2475" s="343"/>
    </row>
    <row r="2476" spans="1:22" s="364" customFormat="1" x14ac:dyDescent="0.25">
      <c r="A2476" s="694"/>
      <c r="B2476" s="302"/>
      <c r="C2476" s="301">
        <f t="shared" si="213"/>
        <v>4</v>
      </c>
      <c r="D2476" s="3021" t="str">
        <f t="shared" si="210"/>
        <v/>
      </c>
      <c r="E2476" s="3022"/>
      <c r="F2476" s="3022"/>
      <c r="G2476" s="3022"/>
      <c r="H2476" s="3022"/>
      <c r="I2476" s="3022"/>
      <c r="J2476" s="659" t="str">
        <f t="shared" ref="J2476:N2476" si="215">IF(ISNUMBER(J2424),ROUND(J2424*IF(OR(J$2449=TRUE,J$2451=TRUE),0.8,1)*J$2467,0),"")</f>
        <v/>
      </c>
      <c r="K2476" s="659" t="str">
        <f t="shared" si="215"/>
        <v/>
      </c>
      <c r="L2476" s="659" t="str">
        <f t="shared" si="215"/>
        <v/>
      </c>
      <c r="M2476" s="659" t="str">
        <f t="shared" si="215"/>
        <v/>
      </c>
      <c r="N2476" s="659" t="str">
        <f t="shared" si="215"/>
        <v/>
      </c>
      <c r="O2476" s="698"/>
      <c r="P2476" s="729"/>
      <c r="Q2476" s="729"/>
      <c r="R2476" s="729"/>
      <c r="S2476" s="729"/>
      <c r="T2476" s="729"/>
      <c r="U2476" s="343"/>
      <c r="V2476" s="343"/>
    </row>
    <row r="2477" spans="1:22" s="364" customFormat="1" x14ac:dyDescent="0.25">
      <c r="A2477" s="694"/>
      <c r="B2477" s="302"/>
      <c r="C2477" s="301">
        <f t="shared" si="213"/>
        <v>5</v>
      </c>
      <c r="D2477" s="3021" t="str">
        <f t="shared" si="210"/>
        <v/>
      </c>
      <c r="E2477" s="3022"/>
      <c r="F2477" s="3022"/>
      <c r="G2477" s="3022"/>
      <c r="H2477" s="3022"/>
      <c r="I2477" s="3022"/>
      <c r="J2477" s="659" t="str">
        <f t="shared" ref="J2477:N2477" si="216">IF(ISNUMBER(J2425),ROUND(J2425*IF(OR(J$2449=TRUE,J$2451=TRUE),0.8,1)*J$2467,0),"")</f>
        <v/>
      </c>
      <c r="K2477" s="659" t="str">
        <f t="shared" si="216"/>
        <v/>
      </c>
      <c r="L2477" s="659" t="str">
        <f t="shared" si="216"/>
        <v/>
      </c>
      <c r="M2477" s="659" t="str">
        <f t="shared" si="216"/>
        <v/>
      </c>
      <c r="N2477" s="659" t="str">
        <f t="shared" si="216"/>
        <v/>
      </c>
      <c r="O2477" s="698"/>
      <c r="P2477" s="729"/>
      <c r="Q2477" s="729"/>
      <c r="R2477" s="729"/>
      <c r="S2477" s="729"/>
      <c r="T2477" s="729"/>
      <c r="U2477" s="343"/>
      <c r="V2477" s="343"/>
    </row>
    <row r="2478" spans="1:22" s="364" customFormat="1" x14ac:dyDescent="0.25">
      <c r="A2478" s="694"/>
      <c r="B2478" s="302"/>
      <c r="C2478" s="301">
        <f t="shared" si="213"/>
        <v>6</v>
      </c>
      <c r="D2478" s="3021" t="str">
        <f t="shared" si="210"/>
        <v/>
      </c>
      <c r="E2478" s="3022"/>
      <c r="F2478" s="3022"/>
      <c r="G2478" s="3022"/>
      <c r="H2478" s="3022"/>
      <c r="I2478" s="3022"/>
      <c r="J2478" s="659" t="str">
        <f t="shared" ref="J2478:N2478" si="217">IF(ISNUMBER(J2426),ROUND(J2426*IF(OR(J$2449=TRUE,J$2451=TRUE),0.8,1)*J$2467,0),"")</f>
        <v/>
      </c>
      <c r="K2478" s="659" t="str">
        <f t="shared" si="217"/>
        <v/>
      </c>
      <c r="L2478" s="659" t="str">
        <f t="shared" si="217"/>
        <v/>
      </c>
      <c r="M2478" s="659" t="str">
        <f t="shared" si="217"/>
        <v/>
      </c>
      <c r="N2478" s="659" t="str">
        <f t="shared" si="217"/>
        <v/>
      </c>
      <c r="O2478" s="698"/>
      <c r="P2478" s="729"/>
      <c r="Q2478" s="729"/>
      <c r="R2478" s="729"/>
      <c r="S2478" s="729"/>
      <c r="T2478" s="729"/>
      <c r="U2478" s="343"/>
      <c r="V2478" s="343"/>
    </row>
    <row r="2479" spans="1:22" s="364" customFormat="1" x14ac:dyDescent="0.25">
      <c r="A2479" s="694"/>
      <c r="B2479" s="302"/>
      <c r="C2479" s="301">
        <f t="shared" si="213"/>
        <v>7</v>
      </c>
      <c r="D2479" s="3021" t="str">
        <f t="shared" si="210"/>
        <v/>
      </c>
      <c r="E2479" s="3022"/>
      <c r="F2479" s="3022"/>
      <c r="G2479" s="3022"/>
      <c r="H2479" s="3022"/>
      <c r="I2479" s="3022"/>
      <c r="J2479" s="659" t="str">
        <f t="shared" ref="J2479:N2479" si="218">IF(ISNUMBER(J2427),ROUND(J2427*IF(OR(J$2449=TRUE,J$2451=TRUE),0.8,1)*J$2467,0),"")</f>
        <v/>
      </c>
      <c r="K2479" s="659" t="str">
        <f t="shared" si="218"/>
        <v/>
      </c>
      <c r="L2479" s="659" t="str">
        <f t="shared" si="218"/>
        <v/>
      </c>
      <c r="M2479" s="659" t="str">
        <f t="shared" si="218"/>
        <v/>
      </c>
      <c r="N2479" s="659" t="str">
        <f t="shared" si="218"/>
        <v/>
      </c>
      <c r="O2479" s="698"/>
      <c r="P2479" s="729"/>
      <c r="Q2479" s="729"/>
      <c r="R2479" s="729"/>
      <c r="S2479" s="729"/>
      <c r="T2479" s="729"/>
      <c r="U2479" s="343"/>
      <c r="V2479" s="343"/>
    </row>
    <row r="2480" spans="1:22" s="364" customFormat="1" x14ac:dyDescent="0.25">
      <c r="A2480" s="694"/>
      <c r="B2480" s="302"/>
      <c r="C2480" s="301">
        <f t="shared" si="213"/>
        <v>8</v>
      </c>
      <c r="D2480" s="3021" t="str">
        <f t="shared" si="210"/>
        <v/>
      </c>
      <c r="E2480" s="3022"/>
      <c r="F2480" s="3022"/>
      <c r="G2480" s="3022"/>
      <c r="H2480" s="3022"/>
      <c r="I2480" s="3022"/>
      <c r="J2480" s="659" t="str">
        <f t="shared" ref="J2480:N2480" si="219">IF(ISNUMBER(J2428),ROUND(J2428*IF(OR(J$2449=TRUE,J$2451=TRUE),0.8,1)*J$2467,0),"")</f>
        <v/>
      </c>
      <c r="K2480" s="659" t="str">
        <f t="shared" si="219"/>
        <v/>
      </c>
      <c r="L2480" s="659" t="str">
        <f t="shared" si="219"/>
        <v/>
      </c>
      <c r="M2480" s="659" t="str">
        <f t="shared" si="219"/>
        <v/>
      </c>
      <c r="N2480" s="659" t="str">
        <f t="shared" si="219"/>
        <v/>
      </c>
      <c r="O2480" s="698"/>
      <c r="P2480" s="729"/>
      <c r="Q2480" s="729"/>
      <c r="R2480" s="729"/>
      <c r="S2480" s="729"/>
      <c r="T2480" s="729"/>
      <c r="U2480" s="343"/>
      <c r="V2480" s="343"/>
    </row>
    <row r="2481" spans="1:22" s="364" customFormat="1" x14ac:dyDescent="0.25">
      <c r="A2481" s="694"/>
      <c r="B2481" s="302"/>
      <c r="C2481" s="301">
        <f t="shared" si="213"/>
        <v>9</v>
      </c>
      <c r="D2481" s="3021" t="str">
        <f t="shared" si="210"/>
        <v/>
      </c>
      <c r="E2481" s="3022"/>
      <c r="F2481" s="3022"/>
      <c r="G2481" s="3022"/>
      <c r="H2481" s="3022"/>
      <c r="I2481" s="3022"/>
      <c r="J2481" s="659" t="str">
        <f t="shared" ref="J2481:N2481" si="220">IF(ISNUMBER(J2429),ROUND(J2429*IF(OR(J$2449=TRUE,J$2451=TRUE),0.8,1)*J$2467,0),"")</f>
        <v/>
      </c>
      <c r="K2481" s="659" t="str">
        <f t="shared" si="220"/>
        <v/>
      </c>
      <c r="L2481" s="659" t="str">
        <f t="shared" si="220"/>
        <v/>
      </c>
      <c r="M2481" s="659" t="str">
        <f t="shared" si="220"/>
        <v/>
      </c>
      <c r="N2481" s="659" t="str">
        <f t="shared" si="220"/>
        <v/>
      </c>
      <c r="O2481" s="698"/>
      <c r="P2481" s="729"/>
      <c r="Q2481" s="729"/>
      <c r="R2481" s="729"/>
      <c r="S2481" s="729"/>
      <c r="T2481" s="729"/>
      <c r="U2481" s="343"/>
      <c r="V2481" s="343"/>
    </row>
    <row r="2482" spans="1:22" s="364" customFormat="1" ht="13" thickBot="1" x14ac:dyDescent="0.3">
      <c r="A2482" s="694"/>
      <c r="B2482" s="302"/>
      <c r="C2482" s="673">
        <f t="shared" si="213"/>
        <v>10</v>
      </c>
      <c r="D2482" s="3024" t="str">
        <f t="shared" si="210"/>
        <v/>
      </c>
      <c r="E2482" s="3025"/>
      <c r="F2482" s="3025"/>
      <c r="G2482" s="3025"/>
      <c r="H2482" s="3025"/>
      <c r="I2482" s="3025"/>
      <c r="J2482" s="675" t="str">
        <f t="shared" ref="J2482:N2482" si="221">IF(ISNUMBER(J2430),ROUND(J2430*IF(OR(J$2449=TRUE,J$2451=TRUE),0.8,1)*J$2467,0),"")</f>
        <v/>
      </c>
      <c r="K2482" s="675" t="str">
        <f t="shared" si="221"/>
        <v/>
      </c>
      <c r="L2482" s="675" t="str">
        <f t="shared" si="221"/>
        <v/>
      </c>
      <c r="M2482" s="675" t="str">
        <f t="shared" si="221"/>
        <v/>
      </c>
      <c r="N2482" s="675" t="str">
        <f t="shared" si="221"/>
        <v/>
      </c>
      <c r="O2482" s="698"/>
      <c r="P2482" s="729"/>
      <c r="Q2482" s="729"/>
      <c r="R2482" s="729"/>
      <c r="S2482" s="729"/>
      <c r="T2482" s="729"/>
      <c r="U2482" s="343"/>
      <c r="V2482" s="343"/>
    </row>
    <row r="2483" spans="1:22" s="364" customFormat="1" x14ac:dyDescent="0.25">
      <c r="A2483" s="694"/>
      <c r="B2483" s="302"/>
      <c r="C2483" s="301">
        <f t="shared" si="213"/>
        <v>11</v>
      </c>
      <c r="D2483" s="3023" t="str">
        <f t="shared" si="210"/>
        <v>Подинсталация с топлинен показател (с риск от ИВЕ | извън МКВЕГ)</v>
      </c>
      <c r="E2483" s="3029"/>
      <c r="F2483" s="3029"/>
      <c r="G2483" s="3029"/>
      <c r="H2483" s="3029"/>
      <c r="I2483" s="3029"/>
      <c r="J2483" s="459" t="str">
        <f t="shared" ref="J2483:N2483" si="222">IF(ISNUMBER(J2431),ROUND(J2431*IF(OR(J$2449=TRUE,J$2451=TRUE),0.8,1)*J$2467,0),"")</f>
        <v/>
      </c>
      <c r="K2483" s="459" t="str">
        <f t="shared" si="222"/>
        <v/>
      </c>
      <c r="L2483" s="459" t="str">
        <f t="shared" si="222"/>
        <v/>
      </c>
      <c r="M2483" s="459" t="str">
        <f t="shared" si="222"/>
        <v/>
      </c>
      <c r="N2483" s="459" t="str">
        <f t="shared" si="222"/>
        <v/>
      </c>
      <c r="O2483" s="698"/>
      <c r="P2483" s="729"/>
      <c r="Q2483" s="729"/>
      <c r="R2483" s="729"/>
      <c r="S2483" s="729"/>
      <c r="T2483" s="729"/>
      <c r="U2483" s="343"/>
      <c r="V2483" s="343"/>
    </row>
    <row r="2484" spans="1:22" s="364" customFormat="1" x14ac:dyDescent="0.25">
      <c r="A2484" s="694"/>
      <c r="B2484" s="302"/>
      <c r="C2484" s="301">
        <f t="shared" si="213"/>
        <v>12</v>
      </c>
      <c r="D2484" s="3021" t="str">
        <f t="shared" si="210"/>
        <v>Подинсталация с топлинен показател (без риск от ИВЕ | извън МКВЕГ)</v>
      </c>
      <c r="E2484" s="3022"/>
      <c r="F2484" s="3022"/>
      <c r="G2484" s="3022"/>
      <c r="H2484" s="3022"/>
      <c r="I2484" s="3022"/>
      <c r="J2484" s="659" t="str">
        <f t="shared" ref="J2484:N2484" si="223">IF(ISNUMBER(J2432),ROUND(J2432*IF(OR(J$2449=TRUE,J$2451=TRUE),0.8,1)*J$2467,0),"")</f>
        <v/>
      </c>
      <c r="K2484" s="659" t="str">
        <f t="shared" si="223"/>
        <v/>
      </c>
      <c r="L2484" s="659" t="str">
        <f t="shared" si="223"/>
        <v/>
      </c>
      <c r="M2484" s="659" t="str">
        <f t="shared" si="223"/>
        <v/>
      </c>
      <c r="N2484" s="659" t="str">
        <f t="shared" si="223"/>
        <v/>
      </c>
      <c r="O2484" s="698"/>
      <c r="P2484" s="729"/>
      <c r="Q2484" s="729"/>
      <c r="R2484" s="729"/>
      <c r="S2484" s="729"/>
      <c r="T2484" s="729"/>
      <c r="U2484" s="343"/>
      <c r="V2484" s="343"/>
    </row>
    <row r="2485" spans="1:22" s="364" customFormat="1" x14ac:dyDescent="0.25">
      <c r="A2485" s="694"/>
      <c r="B2485" s="302"/>
      <c r="C2485" s="301">
        <f t="shared" si="213"/>
        <v>13</v>
      </c>
      <c r="D2485" s="3021" t="str">
        <f t="shared" si="210"/>
        <v>Подинсталация с топлинен показател (с риск от ИВЕ | в рамките на МКВЕГ)</v>
      </c>
      <c r="E2485" s="3022"/>
      <c r="F2485" s="3022"/>
      <c r="G2485" s="3022"/>
      <c r="H2485" s="3022"/>
      <c r="I2485" s="3022"/>
      <c r="J2485" s="659" t="str">
        <f t="shared" ref="J2485:N2485" si="224">IF(ISNUMBER(J2433),ROUND(J2433*IF(OR(J$2449=TRUE,J$2451=TRUE),0.8,1)*J$2467,0),"")</f>
        <v/>
      </c>
      <c r="K2485" s="659" t="str">
        <f t="shared" si="224"/>
        <v/>
      </c>
      <c r="L2485" s="659" t="str">
        <f t="shared" si="224"/>
        <v/>
      </c>
      <c r="M2485" s="659" t="str">
        <f t="shared" si="224"/>
        <v/>
      </c>
      <c r="N2485" s="659" t="str">
        <f t="shared" si="224"/>
        <v/>
      </c>
      <c r="O2485" s="698"/>
      <c r="P2485" s="729"/>
      <c r="Q2485" s="729"/>
      <c r="R2485" s="729"/>
      <c r="S2485" s="729"/>
      <c r="T2485" s="729"/>
      <c r="U2485" s="343"/>
      <c r="V2485" s="343"/>
    </row>
    <row r="2486" spans="1:22" s="364" customFormat="1" x14ac:dyDescent="0.25">
      <c r="A2486" s="694"/>
      <c r="B2486" s="302"/>
      <c r="C2486" s="301">
        <f t="shared" si="213"/>
        <v>14</v>
      </c>
      <c r="D2486" s="3021" t="str">
        <f t="shared" si="210"/>
        <v>Подинсталация на топлофикационна мрежа</v>
      </c>
      <c r="E2486" s="3022"/>
      <c r="F2486" s="3022"/>
      <c r="G2486" s="3022"/>
      <c r="H2486" s="3022"/>
      <c r="I2486" s="3022"/>
      <c r="J2486" s="659" t="str">
        <f t="shared" ref="J2486:N2487" si="225">IF(ISNUMBER(J2434),ROUND(J2434*IF(OR(J$2449=TRUE,J$2451=TRUE),0.8,1)*J$2467,0),"")</f>
        <v/>
      </c>
      <c r="K2486" s="659" t="str">
        <f t="shared" si="225"/>
        <v/>
      </c>
      <c r="L2486" s="659" t="str">
        <f t="shared" si="225"/>
        <v/>
      </c>
      <c r="M2486" s="659" t="str">
        <f t="shared" si="225"/>
        <v/>
      </c>
      <c r="N2486" s="659" t="str">
        <f t="shared" si="225"/>
        <v/>
      </c>
      <c r="O2486" s="698"/>
      <c r="P2486" s="729"/>
      <c r="Q2486" s="729"/>
      <c r="R2486" s="729"/>
      <c r="S2486" s="729"/>
      <c r="T2486" s="729"/>
      <c r="U2486" s="343"/>
      <c r="V2486" s="343"/>
    </row>
    <row r="2487" spans="1:22" s="364" customFormat="1" x14ac:dyDescent="0.25">
      <c r="A2487" s="694"/>
      <c r="B2487" s="302"/>
      <c r="C2487" s="301">
        <f t="shared" si="213"/>
        <v>15</v>
      </c>
      <c r="D2487" s="3021" t="str">
        <f t="shared" si="210"/>
        <v>Подинсталация с горивен показател (с риск от ИВЕ | извън МКВЕГ)</v>
      </c>
      <c r="E2487" s="3022"/>
      <c r="F2487" s="3022"/>
      <c r="G2487" s="3022"/>
      <c r="H2487" s="3022"/>
      <c r="I2487" s="3022"/>
      <c r="J2487" s="659" t="str">
        <f t="shared" si="225"/>
        <v/>
      </c>
      <c r="K2487" s="659" t="str">
        <f t="shared" si="225"/>
        <v/>
      </c>
      <c r="L2487" s="659" t="str">
        <f t="shared" si="225"/>
        <v/>
      </c>
      <c r="M2487" s="659" t="str">
        <f t="shared" si="225"/>
        <v/>
      </c>
      <c r="N2487" s="659" t="str">
        <f t="shared" si="225"/>
        <v/>
      </c>
      <c r="O2487" s="698"/>
      <c r="P2487" s="729"/>
      <c r="Q2487" s="729"/>
      <c r="R2487" s="729"/>
      <c r="S2487" s="729"/>
      <c r="T2487" s="729"/>
      <c r="U2487" s="343"/>
      <c r="V2487" s="343"/>
    </row>
    <row r="2488" spans="1:22" s="364" customFormat="1" x14ac:dyDescent="0.25">
      <c r="A2488" s="694"/>
      <c r="B2488" s="302"/>
      <c r="C2488" s="301">
        <f t="shared" si="213"/>
        <v>16</v>
      </c>
      <c r="D2488" s="3021" t="str">
        <f t="shared" si="210"/>
        <v>Подинсталация с горивен показател (без риск от ИВЕ | извън МКВЕГ)</v>
      </c>
      <c r="E2488" s="3022"/>
      <c r="F2488" s="3022"/>
      <c r="G2488" s="3022"/>
      <c r="H2488" s="3022"/>
      <c r="I2488" s="3022"/>
      <c r="J2488" s="659" t="str">
        <f t="shared" ref="J2488:N2488" si="226">IF(ISNUMBER(J2436),ROUND(J2436*IF(OR(J$2449=TRUE,J$2451=TRUE),0.8,1)*J$2467,0),"")</f>
        <v/>
      </c>
      <c r="K2488" s="659" t="str">
        <f t="shared" si="226"/>
        <v/>
      </c>
      <c r="L2488" s="659" t="str">
        <f t="shared" si="226"/>
        <v/>
      </c>
      <c r="M2488" s="659" t="str">
        <f t="shared" si="226"/>
        <v/>
      </c>
      <c r="N2488" s="659" t="str">
        <f t="shared" si="226"/>
        <v/>
      </c>
      <c r="O2488" s="698"/>
      <c r="P2488" s="729"/>
      <c r="Q2488" s="729"/>
      <c r="R2488" s="729"/>
      <c r="S2488" s="729"/>
      <c r="T2488" s="729"/>
      <c r="U2488" s="343"/>
      <c r="V2488" s="343"/>
    </row>
    <row r="2489" spans="1:22" s="364" customFormat="1" x14ac:dyDescent="0.25">
      <c r="A2489" s="694"/>
      <c r="B2489" s="302"/>
      <c r="C2489" s="301">
        <f t="shared" si="213"/>
        <v>17</v>
      </c>
      <c r="D2489" s="3021" t="str">
        <f t="shared" si="210"/>
        <v>Подинсталация с горивен показател (с риск от ИВЕ | в рамките на МКВЕГ)</v>
      </c>
      <c r="E2489" s="3022"/>
      <c r="F2489" s="3022"/>
      <c r="G2489" s="3022"/>
      <c r="H2489" s="3022"/>
      <c r="I2489" s="3022"/>
      <c r="J2489" s="659" t="str">
        <f t="shared" ref="J2489:N2489" si="227">IF(ISNUMBER(J2437),ROUND(J2437*IF(OR(J$2449=TRUE,J$2451=TRUE),0.8,1)*J$2467,0),"")</f>
        <v/>
      </c>
      <c r="K2489" s="659" t="str">
        <f t="shared" si="227"/>
        <v/>
      </c>
      <c r="L2489" s="659" t="str">
        <f t="shared" si="227"/>
        <v/>
      </c>
      <c r="M2489" s="659" t="str">
        <f t="shared" si="227"/>
        <v/>
      </c>
      <c r="N2489" s="659" t="str">
        <f t="shared" si="227"/>
        <v/>
      </c>
      <c r="O2489" s="698"/>
      <c r="P2489" s="729"/>
      <c r="Q2489" s="729"/>
      <c r="R2489" s="729"/>
      <c r="S2489" s="729"/>
      <c r="T2489" s="729"/>
      <c r="U2489" s="343"/>
      <c r="V2489" s="343"/>
    </row>
    <row r="2490" spans="1:22" s="364" customFormat="1" x14ac:dyDescent="0.25">
      <c r="A2490" s="694"/>
      <c r="B2490" s="302"/>
      <c r="C2490" s="301">
        <f t="shared" si="213"/>
        <v>18</v>
      </c>
      <c r="D2490" s="3021" t="str">
        <f t="shared" si="210"/>
        <v>Подинсталация с емисии от процеси (с риск от ИВЕ | извън МКВЕГ)</v>
      </c>
      <c r="E2490" s="3022"/>
      <c r="F2490" s="3022"/>
      <c r="G2490" s="3022"/>
      <c r="H2490" s="3022"/>
      <c r="I2490" s="3022"/>
      <c r="J2490" s="659" t="str">
        <f t="shared" ref="J2490:N2490" si="228">IF(ISNUMBER(J2438),ROUND(J2438*IF(OR(J$2449=TRUE,J$2451=TRUE),0.8,1)*J$2467,0),"")</f>
        <v/>
      </c>
      <c r="K2490" s="659" t="str">
        <f t="shared" si="228"/>
        <v/>
      </c>
      <c r="L2490" s="659" t="str">
        <f t="shared" si="228"/>
        <v/>
      </c>
      <c r="M2490" s="659" t="str">
        <f t="shared" si="228"/>
        <v/>
      </c>
      <c r="N2490" s="659" t="str">
        <f t="shared" si="228"/>
        <v/>
      </c>
      <c r="O2490" s="698"/>
      <c r="P2490" s="729"/>
      <c r="Q2490" s="729"/>
      <c r="R2490" s="729"/>
      <c r="S2490" s="729"/>
      <c r="T2490" s="729"/>
      <c r="U2490" s="343"/>
      <c r="V2490" s="343"/>
    </row>
    <row r="2491" spans="1:22" s="364" customFormat="1" x14ac:dyDescent="0.25">
      <c r="A2491" s="694"/>
      <c r="B2491" s="302"/>
      <c r="C2491" s="301">
        <f t="shared" si="213"/>
        <v>19</v>
      </c>
      <c r="D2491" s="3021" t="str">
        <f t="shared" si="210"/>
        <v>Подинсталация с емисии от процеси (без риск от ИВЕ | извън МКВЕГ)</v>
      </c>
      <c r="E2491" s="3022"/>
      <c r="F2491" s="3022"/>
      <c r="G2491" s="3022"/>
      <c r="H2491" s="3022"/>
      <c r="I2491" s="3022"/>
      <c r="J2491" s="677" t="str">
        <f t="shared" ref="J2491:N2491" si="229">IF(ISNUMBER(J2439),ROUND(J2439*IF(OR(J$2449=TRUE,J$2451=TRUE),0.8,1)*J$2467,0),"")</f>
        <v/>
      </c>
      <c r="K2491" s="677" t="str">
        <f t="shared" si="229"/>
        <v/>
      </c>
      <c r="L2491" s="677" t="str">
        <f t="shared" si="229"/>
        <v/>
      </c>
      <c r="M2491" s="677" t="str">
        <f t="shared" si="229"/>
        <v/>
      </c>
      <c r="N2491" s="677" t="str">
        <f t="shared" si="229"/>
        <v/>
      </c>
      <c r="O2491" s="698"/>
      <c r="P2491" s="729"/>
      <c r="Q2491" s="729"/>
      <c r="R2491" s="729"/>
      <c r="S2491" s="729"/>
      <c r="T2491" s="729"/>
      <c r="U2491" s="343"/>
      <c r="V2491" s="343"/>
    </row>
    <row r="2492" spans="1:22" s="364" customFormat="1" ht="13" thickBot="1" x14ac:dyDescent="0.3">
      <c r="A2492" s="694"/>
      <c r="B2492" s="302"/>
      <c r="C2492" s="678">
        <f t="shared" si="213"/>
        <v>20</v>
      </c>
      <c r="D2492" s="3049" t="str">
        <f t="shared" si="210"/>
        <v>Подинсталация с емисии от процеси (с риск от ИВЕ | в рамките на МКВЕГ)</v>
      </c>
      <c r="E2492" s="3050"/>
      <c r="F2492" s="3050"/>
      <c r="G2492" s="3050"/>
      <c r="H2492" s="3050"/>
      <c r="I2492" s="3050"/>
      <c r="J2492" s="675" t="str">
        <f t="shared" ref="J2492:N2492" si="230">IF(ISNUMBER(J2440),ROUND(J2440*IF(OR(J$2449=TRUE,J$2451=TRUE),0.8,1)*J$2467,0),"")</f>
        <v/>
      </c>
      <c r="K2492" s="675" t="str">
        <f t="shared" si="230"/>
        <v/>
      </c>
      <c r="L2492" s="675" t="str">
        <f t="shared" si="230"/>
        <v/>
      </c>
      <c r="M2492" s="675" t="str">
        <f t="shared" si="230"/>
        <v/>
      </c>
      <c r="N2492" s="675" t="str">
        <f t="shared" si="230"/>
        <v/>
      </c>
      <c r="O2492" s="698"/>
      <c r="P2492" s="729"/>
      <c r="Q2492" s="729"/>
      <c r="R2492" s="729"/>
      <c r="S2492" s="729"/>
      <c r="T2492" s="729"/>
      <c r="U2492" s="343"/>
      <c r="V2492" s="343"/>
    </row>
    <row r="2493" spans="1:22" s="364" customFormat="1" ht="13" x14ac:dyDescent="0.25">
      <c r="A2493" s="694"/>
      <c r="B2493" s="302"/>
      <c r="C2493" s="302"/>
      <c r="D2493" s="3054" t="str">
        <f>Translations!$B$1399</f>
        <v>Общо крайно безплатно разпределение</v>
      </c>
      <c r="E2493" s="3055"/>
      <c r="F2493" s="3055"/>
      <c r="G2493" s="3055"/>
      <c r="H2493" s="3055"/>
      <c r="I2493" s="3055"/>
      <c r="J2493" s="681" t="str">
        <f>IF(COUNT(J2473:J2492)&gt;0,IF(SUM(J2473:J2492)&gt;0,SUM(J2473:J2492),0),"")</f>
        <v/>
      </c>
      <c r="K2493" s="681" t="str">
        <f>IF(COUNT(K2473:K2492)&gt;0,IF(SUM(K2473:K2492)&gt;0,SUM(K2473:K2492),0),"")</f>
        <v/>
      </c>
      <c r="L2493" s="681" t="str">
        <f>IF(COUNT(L2473:L2492)&gt;0,IF(SUM(L2473:L2492)&gt;0,SUM(L2473:L2492),0),"")</f>
        <v/>
      </c>
      <c r="M2493" s="681" t="str">
        <f>IF(COUNT(M2473:M2492)&gt;0,IF(SUM(M2473:M2492)&gt;0,SUM(M2473:M2492),0),"")</f>
        <v/>
      </c>
      <c r="N2493" s="681" t="str">
        <f>IF(COUNT(N2473:N2492)&gt;0,IF(SUM(N2473:N2492)&gt;0,SUM(N2473:N2492),0),"")</f>
        <v/>
      </c>
      <c r="O2493" s="698"/>
      <c r="P2493" s="729"/>
      <c r="Q2493" s="729"/>
      <c r="R2493" s="729"/>
      <c r="S2493" s="729"/>
      <c r="T2493" s="729"/>
      <c r="U2493" s="343"/>
      <c r="V2493" s="343"/>
    </row>
    <row r="2494" spans="1:22" ht="13" thickBot="1" x14ac:dyDescent="0.3">
      <c r="A2494" s="694"/>
      <c r="B2494" s="698"/>
      <c r="C2494" s="698"/>
      <c r="D2494" s="698"/>
      <c r="E2494" s="698"/>
      <c r="F2494" s="698"/>
      <c r="G2494" s="698"/>
      <c r="H2494" s="698"/>
      <c r="I2494" s="698"/>
      <c r="J2494" s="698"/>
      <c r="K2494" s="698"/>
      <c r="L2494" s="698"/>
      <c r="M2494" s="698"/>
      <c r="N2494" s="698"/>
      <c r="O2494" s="698"/>
      <c r="P2494" s="694"/>
      <c r="Q2494" s="694"/>
      <c r="R2494" s="694"/>
      <c r="S2494" s="694"/>
      <c r="T2494" s="694"/>
      <c r="U2494" s="343"/>
      <c r="V2494" s="343"/>
    </row>
    <row r="2495" spans="1:22" s="1893" customFormat="1" ht="25.5" customHeight="1" thickBot="1" x14ac:dyDescent="0.3">
      <c r="A2495" s="1890"/>
      <c r="B2495" s="289"/>
      <c r="C2495" s="289"/>
      <c r="D2495" s="1891"/>
      <c r="E2495" s="3030" t="str">
        <f>Translations!$B$980</f>
        <v>Показаните тук резултати в никакъв случай не са правно задължителни. Моля, вижте текста за отказ от отговорност в началото на настоящия раздел.</v>
      </c>
      <c r="F2495" s="3031"/>
      <c r="G2495" s="3031"/>
      <c r="H2495" s="3031"/>
      <c r="I2495" s="3031"/>
      <c r="J2495" s="3031"/>
      <c r="K2495" s="3031"/>
      <c r="L2495" s="3031"/>
      <c r="M2495" s="3031"/>
      <c r="N2495" s="3032"/>
      <c r="O2495" s="698"/>
      <c r="P2495" s="1892"/>
      <c r="Q2495" s="1890"/>
      <c r="R2495" s="1890"/>
      <c r="S2495" s="1890"/>
      <c r="T2495" s="1890"/>
      <c r="U2495" s="343"/>
      <c r="V2495" s="343"/>
    </row>
    <row r="2496" spans="1:22" x14ac:dyDescent="0.25">
      <c r="A2496" s="694"/>
      <c r="B2496" s="698"/>
      <c r="C2496" s="698"/>
      <c r="D2496" s="698"/>
      <c r="E2496" s="698"/>
      <c r="F2496" s="698"/>
      <c r="G2496" s="698"/>
      <c r="H2496" s="698"/>
      <c r="I2496" s="698"/>
      <c r="J2496" s="698"/>
      <c r="K2496" s="698"/>
      <c r="L2496" s="698"/>
      <c r="M2496" s="698"/>
      <c r="N2496" s="698"/>
      <c r="O2496" s="698"/>
      <c r="P2496" s="694"/>
      <c r="Q2496" s="694"/>
      <c r="R2496" s="694"/>
      <c r="S2496" s="694"/>
      <c r="T2496" s="694"/>
      <c r="U2496" s="343"/>
      <c r="V2496" s="343"/>
    </row>
    <row r="2497" spans="1:22" ht="13" x14ac:dyDescent="0.3">
      <c r="A2497" s="694"/>
      <c r="B2497" s="698"/>
      <c r="C2497" s="698"/>
      <c r="D2497" s="1894" t="s">
        <v>620</v>
      </c>
      <c r="E2497" s="284"/>
      <c r="F2497" s="284"/>
      <c r="G2497" s="284"/>
      <c r="H2497" s="284"/>
      <c r="I2497" s="284"/>
      <c r="J2497" s="698"/>
      <c r="K2497" s="698"/>
      <c r="L2497" s="698"/>
      <c r="M2497" s="698"/>
      <c r="N2497" s="698"/>
      <c r="O2497" s="698"/>
      <c r="P2497" s="694"/>
      <c r="Q2497" s="694"/>
      <c r="R2497" s="694"/>
      <c r="S2497" s="694"/>
      <c r="T2497" s="694"/>
      <c r="U2497" s="343"/>
      <c r="V2497" s="343"/>
    </row>
    <row r="2498" spans="1:22" hidden="1" x14ac:dyDescent="0.25">
      <c r="A2498" s="694" t="str">
        <f>"ausblenden"</f>
        <v>ausblenden</v>
      </c>
      <c r="B2498" s="698"/>
      <c r="C2498" s="698"/>
      <c r="D2498" s="698"/>
      <c r="E2498" s="698"/>
      <c r="F2498" s="698"/>
      <c r="G2498" s="698"/>
      <c r="H2498" s="698"/>
      <c r="I2498" s="698"/>
      <c r="J2498" s="698"/>
      <c r="K2498" s="698"/>
      <c r="L2498" s="698"/>
      <c r="M2498" s="698"/>
      <c r="N2498" s="698"/>
      <c r="O2498" s="698"/>
      <c r="P2498" s="694"/>
      <c r="Q2498" s="694"/>
      <c r="R2498" s="694"/>
      <c r="S2498" s="694"/>
      <c r="T2498" s="694"/>
      <c r="U2498" s="343"/>
      <c r="V2498" s="343"/>
    </row>
    <row r="2499" spans="1:22" hidden="1" x14ac:dyDescent="0.25">
      <c r="A2499" s="694" t="s">
        <v>312</v>
      </c>
      <c r="B2499" s="698"/>
      <c r="C2499" s="698"/>
      <c r="D2499" s="698"/>
      <c r="E2499" s="698"/>
      <c r="F2499" s="698"/>
      <c r="G2499" s="698"/>
      <c r="H2499" s="698"/>
      <c r="I2499" s="698"/>
      <c r="J2499" s="698"/>
      <c r="K2499" s="698"/>
      <c r="L2499" s="698"/>
      <c r="M2499" s="698"/>
      <c r="N2499" s="698"/>
      <c r="O2499" s="698"/>
      <c r="P2499" s="694"/>
      <c r="Q2499" s="694"/>
      <c r="R2499" s="694"/>
      <c r="S2499" s="694"/>
      <c r="T2499" s="694"/>
      <c r="U2499" s="343"/>
      <c r="V2499" s="343"/>
    </row>
    <row r="2500" spans="1:22" hidden="1" x14ac:dyDescent="0.25">
      <c r="A2500" s="694" t="s">
        <v>312</v>
      </c>
      <c r="B2500" s="725"/>
      <c r="C2500" s="725"/>
      <c r="D2500" s="725"/>
      <c r="E2500" s="725"/>
      <c r="F2500" s="725"/>
      <c r="G2500" s="725"/>
      <c r="H2500" s="725"/>
      <c r="I2500" s="725"/>
      <c r="J2500" s="725"/>
      <c r="K2500" s="725"/>
      <c r="L2500" s="725"/>
      <c r="M2500" s="725"/>
      <c r="N2500" s="725"/>
      <c r="O2500" s="725"/>
      <c r="P2500" s="694"/>
      <c r="Q2500" s="694"/>
      <c r="R2500" s="694"/>
      <c r="S2500" s="694"/>
      <c r="T2500" s="694"/>
      <c r="U2500" s="343"/>
      <c r="V2500" s="343"/>
    </row>
    <row r="2501" spans="1:22" ht="13" hidden="1" thickBot="1" x14ac:dyDescent="0.3">
      <c r="A2501" s="694" t="s">
        <v>312</v>
      </c>
      <c r="B2501" s="725"/>
      <c r="C2501" s="725"/>
      <c r="D2501" s="725" t="s">
        <v>899</v>
      </c>
      <c r="E2501" s="725"/>
      <c r="F2501" s="725"/>
      <c r="G2501" s="725"/>
      <c r="H2501" s="725"/>
      <c r="I2501" s="725"/>
      <c r="J2501" s="725"/>
      <c r="K2501" s="725"/>
      <c r="L2501" s="725"/>
      <c r="M2501" s="725"/>
      <c r="N2501" s="725"/>
      <c r="O2501" s="725"/>
      <c r="P2501" s="694"/>
      <c r="Q2501" s="694"/>
      <c r="R2501" s="694"/>
      <c r="S2501" s="694"/>
      <c r="T2501" s="694"/>
      <c r="U2501" s="343"/>
      <c r="V2501" s="343"/>
    </row>
    <row r="2502" spans="1:22" ht="13" hidden="1" x14ac:dyDescent="0.25">
      <c r="A2502" s="694" t="s">
        <v>312</v>
      </c>
      <c r="B2502" s="725"/>
      <c r="C2502" s="725"/>
      <c r="D2502" s="725"/>
      <c r="E2502" s="784" t="s">
        <v>559</v>
      </c>
      <c r="F2502" s="785"/>
      <c r="G2502" s="785"/>
      <c r="H2502" s="785"/>
      <c r="I2502" s="785"/>
      <c r="J2502" s="785"/>
      <c r="K2502" s="785"/>
      <c r="L2502" s="785"/>
      <c r="M2502" s="785"/>
      <c r="N2502" s="786"/>
      <c r="O2502" s="725"/>
      <c r="P2502" s="694"/>
      <c r="Q2502" s="694"/>
      <c r="R2502" s="694"/>
      <c r="S2502" s="694"/>
      <c r="T2502" s="694"/>
      <c r="U2502" s="343"/>
      <c r="V2502" s="343"/>
    </row>
    <row r="2503" spans="1:22" hidden="1" x14ac:dyDescent="0.25">
      <c r="A2503" s="694" t="s">
        <v>312</v>
      </c>
      <c r="B2503" s="725"/>
      <c r="C2503" s="725"/>
      <c r="D2503" s="725"/>
      <c r="E2503" s="787" t="s">
        <v>902</v>
      </c>
      <c r="F2503" s="788"/>
      <c r="G2503" s="788"/>
      <c r="H2503" s="788"/>
      <c r="I2503" s="788"/>
      <c r="J2503" s="789">
        <v>1</v>
      </c>
      <c r="K2503" s="789">
        <v>2</v>
      </c>
      <c r="L2503" s="789">
        <v>3</v>
      </c>
      <c r="M2503" s="789">
        <v>4</v>
      </c>
      <c r="N2503" s="790">
        <v>5</v>
      </c>
      <c r="O2503" s="725"/>
      <c r="P2503" s="694"/>
      <c r="Q2503" s="694"/>
      <c r="R2503" s="694"/>
      <c r="S2503" s="694"/>
      <c r="T2503" s="694"/>
      <c r="U2503" s="343"/>
      <c r="V2503" s="343"/>
    </row>
    <row r="2504" spans="1:22" hidden="1" x14ac:dyDescent="0.25">
      <c r="A2504" s="694" t="s">
        <v>312</v>
      </c>
      <c r="B2504" s="725"/>
      <c r="C2504" s="725"/>
      <c r="D2504" s="725"/>
      <c r="E2504" s="791" t="s">
        <v>1163</v>
      </c>
      <c r="F2504" s="788"/>
      <c r="G2504" s="788"/>
      <c r="H2504" s="789">
        <f>A_InstallationData!H411</f>
        <v>2019</v>
      </c>
      <c r="I2504" s="789">
        <f>A_InstallationData!I411</f>
        <v>2020</v>
      </c>
      <c r="J2504" s="789">
        <f>A_InstallationData!J411</f>
        <v>2021</v>
      </c>
      <c r="K2504" s="789">
        <f>A_InstallationData!K411</f>
        <v>2022</v>
      </c>
      <c r="L2504" s="789">
        <f>A_InstallationData!L411</f>
        <v>2023</v>
      </c>
      <c r="M2504" s="789">
        <f>A_InstallationData!M411</f>
        <v>2024</v>
      </c>
      <c r="N2504" s="790">
        <f>A_InstallationData!N411</f>
        <v>2025</v>
      </c>
      <c r="O2504" s="725"/>
      <c r="P2504" s="694"/>
      <c r="Q2504" s="694"/>
      <c r="R2504" s="694"/>
      <c r="S2504" s="694"/>
      <c r="T2504" s="694"/>
      <c r="U2504" s="343"/>
      <c r="V2504" s="343"/>
    </row>
    <row r="2505" spans="1:22" hidden="1" x14ac:dyDescent="0.25">
      <c r="A2505" s="694" t="s">
        <v>312</v>
      </c>
      <c r="B2505" s="725"/>
      <c r="C2505" s="725"/>
      <c r="D2505" s="725"/>
      <c r="E2505" s="791" t="s">
        <v>1162</v>
      </c>
      <c r="F2505" s="792"/>
      <c r="G2505" s="792"/>
      <c r="H2505" s="793">
        <f>A_InstallationData!H412</f>
        <v>2024</v>
      </c>
      <c r="I2505" s="793">
        <f>A_InstallationData!I412</f>
        <v>2025</v>
      </c>
      <c r="J2505" s="793">
        <f>A_InstallationData!J412</f>
        <v>2026</v>
      </c>
      <c r="K2505" s="793">
        <f>A_InstallationData!K412</f>
        <v>2027</v>
      </c>
      <c r="L2505" s="793">
        <f>A_InstallationData!L412</f>
        <v>2028</v>
      </c>
      <c r="M2505" s="793">
        <f>A_InstallationData!M412</f>
        <v>2029</v>
      </c>
      <c r="N2505" s="794">
        <f>A_InstallationData!N412</f>
        <v>2030</v>
      </c>
      <c r="O2505" s="698"/>
      <c r="P2505" s="694"/>
      <c r="Q2505" s="694"/>
      <c r="R2505" s="694"/>
      <c r="S2505" s="694"/>
      <c r="T2505" s="694"/>
      <c r="U2505" s="343"/>
      <c r="V2505" s="343"/>
    </row>
    <row r="2506" spans="1:22" hidden="1" x14ac:dyDescent="0.25">
      <c r="A2506" s="694" t="s">
        <v>312</v>
      </c>
      <c r="B2506" s="725"/>
      <c r="C2506" s="725"/>
      <c r="D2506" s="725"/>
      <c r="E2506" s="791" t="s">
        <v>558</v>
      </c>
      <c r="F2506" s="792"/>
      <c r="G2506" s="792"/>
      <c r="H2506" s="792"/>
      <c r="I2506" s="792"/>
      <c r="J2506" s="793"/>
      <c r="K2506" s="793"/>
      <c r="L2506" s="793"/>
      <c r="M2506" s="793"/>
      <c r="N2506" s="794"/>
      <c r="O2506" s="725"/>
      <c r="P2506" s="694"/>
      <c r="Q2506" s="694"/>
      <c r="R2506" s="694"/>
      <c r="S2506" s="694"/>
      <c r="T2506" s="694"/>
      <c r="U2506" s="343"/>
      <c r="V2506" s="343"/>
    </row>
    <row r="2507" spans="1:22" hidden="1" x14ac:dyDescent="0.25">
      <c r="A2507" s="694" t="s">
        <v>312</v>
      </c>
      <c r="B2507" s="725"/>
      <c r="C2507" s="725"/>
      <c r="D2507" s="725"/>
      <c r="E2507" s="791" t="s">
        <v>556</v>
      </c>
      <c r="F2507" s="792"/>
      <c r="G2507" s="792"/>
      <c r="H2507" s="792"/>
      <c r="I2507" s="792"/>
      <c r="J2507" s="792"/>
      <c r="K2507" s="792"/>
      <c r="L2507" s="792"/>
      <c r="M2507" s="792"/>
      <c r="N2507" s="1042"/>
      <c r="O2507" s="725"/>
      <c r="P2507" s="694"/>
      <c r="Q2507" s="694"/>
      <c r="R2507" s="694"/>
      <c r="S2507" s="694"/>
      <c r="T2507" s="694"/>
      <c r="U2507" s="343"/>
      <c r="V2507" s="343"/>
    </row>
    <row r="2508" spans="1:22" ht="13" hidden="1" thickBot="1" x14ac:dyDescent="0.3">
      <c r="A2508" s="694" t="s">
        <v>312</v>
      </c>
      <c r="B2508" s="725"/>
      <c r="C2508" s="725"/>
      <c r="D2508" s="725"/>
      <c r="E2508" s="797" t="s">
        <v>557</v>
      </c>
      <c r="F2508" s="798"/>
      <c r="G2508" s="798"/>
      <c r="H2508" s="798"/>
      <c r="I2508" s="798"/>
      <c r="J2508" s="798"/>
      <c r="K2508" s="798"/>
      <c r="L2508" s="798"/>
      <c r="M2508" s="798"/>
      <c r="N2508" s="1043"/>
      <c r="O2508" s="725"/>
      <c r="P2508" s="694"/>
      <c r="Q2508" s="694"/>
      <c r="R2508" s="694"/>
      <c r="S2508" s="694"/>
      <c r="T2508" s="694"/>
      <c r="U2508" s="343"/>
      <c r="V2508" s="343"/>
    </row>
    <row r="2509" spans="1:22" hidden="1" x14ac:dyDescent="0.25">
      <c r="A2509" s="694" t="s">
        <v>312</v>
      </c>
      <c r="B2509" s="725"/>
      <c r="C2509" s="725"/>
      <c r="D2509" s="725"/>
      <c r="E2509" s="725"/>
      <c r="F2509" s="725"/>
      <c r="G2509" s="725"/>
      <c r="H2509" s="725"/>
      <c r="I2509" s="725"/>
      <c r="J2509" s="725"/>
      <c r="K2509" s="725"/>
      <c r="L2509" s="725"/>
      <c r="M2509" s="725"/>
      <c r="N2509" s="725"/>
      <c r="O2509" s="725"/>
      <c r="P2509" s="694"/>
      <c r="Q2509" s="694"/>
      <c r="R2509" s="694"/>
      <c r="S2509" s="694"/>
      <c r="T2509" s="694"/>
      <c r="U2509" s="343"/>
      <c r="V2509" s="343"/>
    </row>
    <row r="2510" spans="1:22" hidden="1" x14ac:dyDescent="0.25">
      <c r="A2510" s="694" t="s">
        <v>312</v>
      </c>
      <c r="B2510" s="725"/>
      <c r="C2510" s="725"/>
      <c r="D2510" s="725"/>
      <c r="E2510" s="725"/>
      <c r="F2510" s="725"/>
      <c r="G2510" s="725"/>
      <c r="H2510" s="725"/>
      <c r="I2510" s="1895" t="str">
        <f>"NIMs BM OK?"</f>
        <v>NIMs BM OK?</v>
      </c>
      <c r="J2510" s="818" t="str">
        <f>K2516</f>
        <v>Не е приложимо</v>
      </c>
      <c r="K2510" s="818"/>
      <c r="L2510" s="818"/>
      <c r="M2510" s="818"/>
      <c r="N2510" s="818"/>
      <c r="O2510" s="725"/>
      <c r="P2510" s="694"/>
      <c r="Q2510" s="694"/>
      <c r="R2510" s="694"/>
      <c r="S2510" s="694"/>
      <c r="T2510" s="694"/>
      <c r="U2510" s="343"/>
      <c r="V2510" s="343"/>
    </row>
    <row r="2511" spans="1:22" hidden="1" x14ac:dyDescent="0.25">
      <c r="A2511" s="694" t="s">
        <v>312</v>
      </c>
      <c r="B2511" s="725"/>
      <c r="C2511" s="725"/>
      <c r="D2511" s="725"/>
      <c r="E2511" s="725"/>
      <c r="F2511" s="725"/>
      <c r="G2511" s="725"/>
      <c r="H2511" s="725"/>
      <c r="I2511" s="1896" t="str">
        <f>"CTRL_InputMethodNIMsvalues"</f>
        <v>CTRL_InputMethodNIMsvalues</v>
      </c>
      <c r="J2511" s="818" t="str">
        <f>CTRL_InputMethodNIMsvalues</f>
        <v>Не е приложимо</v>
      </c>
      <c r="K2511" s="818"/>
      <c r="L2511" s="818"/>
      <c r="M2511" s="818"/>
      <c r="N2511" s="818"/>
      <c r="O2511" s="725"/>
      <c r="P2511" s="694"/>
      <c r="Q2511" s="694"/>
      <c r="R2511" s="694"/>
      <c r="S2511" s="694"/>
      <c r="T2511" s="694"/>
      <c r="U2511" s="343"/>
      <c r="V2511" s="343"/>
    </row>
    <row r="2512" spans="1:22" ht="13" thickBot="1" x14ac:dyDescent="0.3">
      <c r="A2512" s="694"/>
      <c r="P2512" s="694"/>
      <c r="Q2512" s="694"/>
      <c r="R2512" s="694"/>
      <c r="S2512" s="694"/>
      <c r="T2512" s="694"/>
      <c r="U2512" s="343"/>
      <c r="V2512" s="343"/>
    </row>
    <row r="2513" spans="1:22" ht="13" thickBot="1" x14ac:dyDescent="0.3">
      <c r="A2513" s="694"/>
      <c r="E2513" s="1897"/>
      <c r="F2513" s="1898"/>
      <c r="G2513" s="1898"/>
      <c r="H2513" s="1898"/>
      <c r="I2513" s="1898"/>
      <c r="J2513" s="1898"/>
      <c r="K2513" s="1898"/>
      <c r="L2513" s="1898"/>
      <c r="M2513" s="1898"/>
      <c r="N2513" s="1899"/>
      <c r="P2513" s="694"/>
      <c r="Q2513" s="694"/>
      <c r="R2513" s="694"/>
      <c r="S2513" s="694"/>
      <c r="T2513" s="694"/>
      <c r="U2513" s="343"/>
      <c r="V2513" s="343"/>
    </row>
    <row r="2514" spans="1:22" ht="13.5" customHeight="1" thickBot="1" x14ac:dyDescent="0.3">
      <c r="A2514" s="694"/>
      <c r="E2514" s="1900"/>
      <c r="F2514" s="1901"/>
      <c r="G2514" s="1902" t="str">
        <f>"Allocation level change in this reporting year:"</f>
        <v>Allocation level change in this reporting year:</v>
      </c>
      <c r="H2514" s="1901"/>
      <c r="I2514" s="1901"/>
      <c r="J2514" s="1901"/>
      <c r="K2514" s="1903" t="b">
        <f>OR(
CNTR_ReportingYear=2026,
COUNTIFS(H502:H2132,EUconst_EUA,U502:U2132,TRUE)&gt;0,
COUNTIFS(H502:H2132,EUconst_TJ,V502:V2132,TRUE)&gt;0)</f>
        <v>1</v>
      </c>
      <c r="L2514" s="1904"/>
      <c r="M2514" s="1901"/>
      <c r="N2514" s="1905"/>
      <c r="P2514" s="694"/>
      <c r="Q2514" s="694"/>
      <c r="R2514" s="694"/>
      <c r="S2514" s="694"/>
      <c r="T2514" s="694"/>
      <c r="U2514" s="343"/>
      <c r="V2514" s="343"/>
    </row>
    <row r="2515" spans="1:22" ht="13.5" thickBot="1" x14ac:dyDescent="0.3">
      <c r="A2515" s="694"/>
      <c r="E2515" s="1900"/>
      <c r="F2515" s="1901"/>
      <c r="G2515" s="1902"/>
      <c r="H2515" s="1901"/>
      <c r="I2515" s="1901"/>
      <c r="J2515" s="1901"/>
      <c r="K2515" s="1901"/>
      <c r="L2515" s="1901"/>
      <c r="M2515" s="1901"/>
      <c r="N2515" s="1905"/>
      <c r="P2515" s="694"/>
      <c r="Q2515" s="694"/>
      <c r="R2515" s="694"/>
      <c r="S2515" s="694"/>
      <c r="T2515" s="694"/>
      <c r="U2515" s="343"/>
      <c r="V2515" s="343"/>
    </row>
    <row r="2516" spans="1:22" ht="13.5" customHeight="1" thickBot="1" x14ac:dyDescent="0.3">
      <c r="A2516" s="694"/>
      <c r="E2516" s="1900"/>
      <c r="F2516" s="1901"/>
      <c r="G2516" s="1906" t="str">
        <f>"BM values in the linked NIMs file are correct:"</f>
        <v>BM values in the linked NIMs file are correct:</v>
      </c>
      <c r="H2516" s="1901"/>
      <c r="I2516" s="1901"/>
      <c r="J2516" s="1901"/>
      <c r="K2516" s="1903" t="str">
        <f>IF(CTRL_InputMethodNIMsvalues&lt;&gt;1,EUconst_NA,COUNTIF(c_NIMsSummary!P:P,TRUE)=0)</f>
        <v>Не е приложимо</v>
      </c>
      <c r="L2516" s="1901"/>
      <c r="M2516" s="1901"/>
      <c r="N2516" s="1905"/>
      <c r="P2516" s="694"/>
      <c r="Q2516" s="694"/>
      <c r="R2516" s="694"/>
      <c r="S2516" s="694"/>
      <c r="T2516" s="694"/>
      <c r="U2516" s="343"/>
      <c r="V2516" s="343"/>
    </row>
    <row r="2517" spans="1:22" ht="13" thickBot="1" x14ac:dyDescent="0.3">
      <c r="A2517" s="694"/>
      <c r="E2517" s="1907"/>
      <c r="F2517" s="1908"/>
      <c r="G2517" s="1908"/>
      <c r="H2517" s="1908"/>
      <c r="I2517" s="1908"/>
      <c r="J2517" s="1908"/>
      <c r="K2517" s="1908"/>
      <c r="L2517" s="1908"/>
      <c r="M2517" s="1908"/>
      <c r="N2517" s="1909"/>
      <c r="P2517" s="694"/>
      <c r="Q2517" s="694"/>
      <c r="R2517" s="694"/>
      <c r="S2517" s="694"/>
      <c r="T2517" s="694"/>
      <c r="U2517" s="343"/>
      <c r="V2517" s="343"/>
    </row>
    <row r="2518" spans="1:22" x14ac:dyDescent="0.25">
      <c r="A2518" s="694"/>
      <c r="P2518" s="694"/>
      <c r="Q2518" s="694"/>
      <c r="R2518" s="694"/>
      <c r="S2518" s="694"/>
      <c r="T2518" s="694"/>
      <c r="U2518" s="343"/>
      <c r="V2518" s="343"/>
    </row>
    <row r="2519" spans="1:22" hidden="1" x14ac:dyDescent="0.25">
      <c r="A2519" s="694" t="str">
        <f>"ausblenden"</f>
        <v>ausblenden</v>
      </c>
      <c r="B2519" s="725"/>
      <c r="C2519" s="725"/>
      <c r="D2519" s="725"/>
      <c r="E2519" s="725"/>
      <c r="F2519" s="725"/>
      <c r="G2519" s="725"/>
      <c r="H2519" s="725"/>
      <c r="I2519" s="725"/>
      <c r="J2519" s="725"/>
      <c r="K2519" s="725"/>
      <c r="L2519" s="725"/>
      <c r="M2519" s="725"/>
      <c r="N2519" s="725"/>
      <c r="O2519" s="725"/>
      <c r="P2519" s="694"/>
      <c r="Q2519" s="694"/>
      <c r="R2519" s="694"/>
      <c r="S2519" s="694"/>
      <c r="T2519" s="694"/>
      <c r="U2519" s="343"/>
      <c r="V2519" s="343"/>
    </row>
    <row r="2520" spans="1:22" hidden="1" x14ac:dyDescent="0.25">
      <c r="A2520" s="694" t="str">
        <f>"ausblenden"</f>
        <v>ausblenden</v>
      </c>
      <c r="B2520" s="725"/>
      <c r="C2520" s="725"/>
      <c r="D2520" s="725"/>
      <c r="E2520" s="725"/>
      <c r="F2520" s="725"/>
      <c r="G2520" s="725"/>
      <c r="H2520" s="725"/>
      <c r="I2520" s="725"/>
      <c r="J2520" s="725"/>
      <c r="K2520" s="725"/>
      <c r="L2520" s="725"/>
      <c r="M2520" s="725"/>
      <c r="N2520" s="725"/>
      <c r="O2520" s="725"/>
      <c r="P2520" s="694"/>
      <c r="Q2520" s="694"/>
      <c r="R2520" s="694"/>
      <c r="S2520" s="694"/>
      <c r="T2520" s="694"/>
      <c r="U2520" s="343"/>
      <c r="V2520" s="343"/>
    </row>
    <row r="2521" spans="1:22" hidden="1" x14ac:dyDescent="0.25">
      <c r="A2521" s="694" t="str">
        <f>"ausblenden"</f>
        <v>ausblenden</v>
      </c>
      <c r="B2521" s="725"/>
      <c r="C2521" s="725"/>
      <c r="D2521" s="725"/>
      <c r="E2521" s="725"/>
      <c r="F2521" s="725"/>
      <c r="G2521" s="725"/>
      <c r="H2521" s="725"/>
      <c r="I2521" s="725"/>
      <c r="J2521" s="725"/>
      <c r="K2521" s="725"/>
      <c r="L2521" s="725"/>
      <c r="M2521" s="725"/>
      <c r="N2521" s="725"/>
      <c r="O2521" s="725"/>
      <c r="P2521" s="694"/>
      <c r="Q2521" s="694"/>
      <c r="R2521" s="694"/>
      <c r="S2521" s="694"/>
      <c r="T2521" s="694"/>
      <c r="U2521" s="343"/>
      <c r="V2521" s="343"/>
    </row>
    <row r="2522" spans="1:22" hidden="1" x14ac:dyDescent="0.25">
      <c r="A2522" s="694" t="str">
        <f>"ausblenden"</f>
        <v>ausblenden</v>
      </c>
      <c r="B2522" s="694" t="s">
        <v>898</v>
      </c>
      <c r="C2522" s="694" t="s">
        <v>898</v>
      </c>
      <c r="D2522" s="694" t="s">
        <v>898</v>
      </c>
      <c r="E2522" s="694" t="s">
        <v>898</v>
      </c>
      <c r="F2522" s="694" t="s">
        <v>898</v>
      </c>
      <c r="G2522" s="694" t="s">
        <v>898</v>
      </c>
      <c r="H2522" s="694" t="s">
        <v>898</v>
      </c>
      <c r="I2522" s="694" t="s">
        <v>898</v>
      </c>
      <c r="J2522" s="694" t="s">
        <v>898</v>
      </c>
      <c r="K2522" s="694" t="s">
        <v>898</v>
      </c>
      <c r="L2522" s="694" t="s">
        <v>898</v>
      </c>
      <c r="M2522" s="694" t="s">
        <v>898</v>
      </c>
      <c r="N2522" s="694" t="s">
        <v>898</v>
      </c>
      <c r="O2522" s="694" t="s">
        <v>898</v>
      </c>
      <c r="P2522" s="694" t="s">
        <v>898</v>
      </c>
      <c r="Q2522" s="694" t="s">
        <v>898</v>
      </c>
      <c r="R2522" s="694" t="s">
        <v>898</v>
      </c>
      <c r="S2522" s="694" t="s">
        <v>898</v>
      </c>
      <c r="T2522" s="694" t="s">
        <v>898</v>
      </c>
      <c r="U2522" s="694" t="s">
        <v>898</v>
      </c>
      <c r="V2522" s="694" t="s">
        <v>898</v>
      </c>
    </row>
  </sheetData>
  <sheetProtection sheet="1" objects="1" scenarios="1" formatCells="0" formatColumns="0" formatRows="0"/>
  <dataConsolidate/>
  <mergeCells count="984">
    <mergeCell ref="E1826:F1826"/>
    <mergeCell ref="E1834:F1834"/>
    <mergeCell ref="E1835:F1835"/>
    <mergeCell ref="E1836:F1836"/>
    <mergeCell ref="E1837:F1837"/>
    <mergeCell ref="E1838:F1838"/>
    <mergeCell ref="E1768:M1768"/>
    <mergeCell ref="E1750:F1750"/>
    <mergeCell ref="E1751:F1751"/>
    <mergeCell ref="E1752:F1752"/>
    <mergeCell ref="E1753:F1753"/>
    <mergeCell ref="E1755:F1755"/>
    <mergeCell ref="E1756:F1756"/>
    <mergeCell ref="E1758:F1758"/>
    <mergeCell ref="E1761:F1761"/>
    <mergeCell ref="E1766:F1766"/>
    <mergeCell ref="E1765:F1765"/>
    <mergeCell ref="E1759:F1759"/>
    <mergeCell ref="E1762:F1762"/>
    <mergeCell ref="E1763:F1763"/>
    <mergeCell ref="M1784:N1784"/>
    <mergeCell ref="E1764:F1764"/>
    <mergeCell ref="E1638:F1638"/>
    <mergeCell ref="E1640:M1640"/>
    <mergeCell ref="D1652:H1652"/>
    <mergeCell ref="I1652:N1652"/>
    <mergeCell ref="M1654:N1654"/>
    <mergeCell ref="E1728:F1728"/>
    <mergeCell ref="E1730:F1730"/>
    <mergeCell ref="E1731:F1731"/>
    <mergeCell ref="E1733:F1733"/>
    <mergeCell ref="D1524:H1524"/>
    <mergeCell ref="I1524:N1524"/>
    <mergeCell ref="M1526:N1526"/>
    <mergeCell ref="E1602:F1602"/>
    <mergeCell ref="E1605:F1605"/>
    <mergeCell ref="E1608:F1608"/>
    <mergeCell ref="E1611:F1611"/>
    <mergeCell ref="E1619:F1619"/>
    <mergeCell ref="E1622:F1622"/>
    <mergeCell ref="E1610:F1610"/>
    <mergeCell ref="E1613:F1613"/>
    <mergeCell ref="E1614:F1614"/>
    <mergeCell ref="E1600:F1600"/>
    <mergeCell ref="E1603:F1603"/>
    <mergeCell ref="E1606:F1606"/>
    <mergeCell ref="E1607:F1607"/>
    <mergeCell ref="E1496:F1496"/>
    <mergeCell ref="E1497:F1497"/>
    <mergeCell ref="E1499:F1499"/>
    <mergeCell ref="E1500:F1500"/>
    <mergeCell ref="E1502:F1502"/>
    <mergeCell ref="E1478:F1478"/>
    <mergeCell ref="E1479:F1479"/>
    <mergeCell ref="E1480:F1480"/>
    <mergeCell ref="E1482:F1482"/>
    <mergeCell ref="E1483:F1483"/>
    <mergeCell ref="E1485:F1485"/>
    <mergeCell ref="E1486:F1486"/>
    <mergeCell ref="E1488:F1488"/>
    <mergeCell ref="E1489:F1489"/>
    <mergeCell ref="E1491:F1491"/>
    <mergeCell ref="E1492:F1492"/>
    <mergeCell ref="E1493:F1493"/>
    <mergeCell ref="D1396:H1396"/>
    <mergeCell ref="I1396:N1396"/>
    <mergeCell ref="M1398:N1398"/>
    <mergeCell ref="E1472:F1472"/>
    <mergeCell ref="E1474:F1474"/>
    <mergeCell ref="E1475:F1475"/>
    <mergeCell ref="E1477:F1477"/>
    <mergeCell ref="E1494:F1494"/>
    <mergeCell ref="E1495:F1495"/>
    <mergeCell ref="E1236:F1236"/>
    <mergeCell ref="E1237:F1237"/>
    <mergeCell ref="E1238:F1238"/>
    <mergeCell ref="E1239:F1239"/>
    <mergeCell ref="E1240:F1240"/>
    <mergeCell ref="E1241:F1241"/>
    <mergeCell ref="E1243:F1243"/>
    <mergeCell ref="E1216:F1216"/>
    <mergeCell ref="E1218:F1218"/>
    <mergeCell ref="E1219:F1219"/>
    <mergeCell ref="E1221:F1221"/>
    <mergeCell ref="E1222:F1222"/>
    <mergeCell ref="E1223:F1223"/>
    <mergeCell ref="E1224:F1224"/>
    <mergeCell ref="E1226:F1226"/>
    <mergeCell ref="E1227:F1227"/>
    <mergeCell ref="E1229:F1229"/>
    <mergeCell ref="E1230:F1230"/>
    <mergeCell ref="E1232:F1232"/>
    <mergeCell ref="E1233:F1233"/>
    <mergeCell ref="E1235:F1235"/>
    <mergeCell ref="E991:F991"/>
    <mergeCell ref="E993:F993"/>
    <mergeCell ref="E994:F994"/>
    <mergeCell ref="E995:F995"/>
    <mergeCell ref="I1012:N1012"/>
    <mergeCell ref="E1128:M1128"/>
    <mergeCell ref="D1140:H1140"/>
    <mergeCell ref="I1140:N1140"/>
    <mergeCell ref="E1088:F1088"/>
    <mergeCell ref="E1090:F1090"/>
    <mergeCell ref="E1091:F1091"/>
    <mergeCell ref="E1093:F1093"/>
    <mergeCell ref="E1094:F1094"/>
    <mergeCell ref="E1095:F1095"/>
    <mergeCell ref="E1096:F1096"/>
    <mergeCell ref="E1098:F1098"/>
    <mergeCell ref="E1099:F1099"/>
    <mergeCell ref="E1124:F1124"/>
    <mergeCell ref="E1101:F1101"/>
    <mergeCell ref="E1123:F1123"/>
    <mergeCell ref="E1122:F1122"/>
    <mergeCell ref="E1121:F1121"/>
    <mergeCell ref="E1112:F1112"/>
    <mergeCell ref="E1111:F1111"/>
    <mergeCell ref="M886:N886"/>
    <mergeCell ref="E963:F963"/>
    <mergeCell ref="E966:F966"/>
    <mergeCell ref="E971:F971"/>
    <mergeCell ref="E979:F979"/>
    <mergeCell ref="E980:F980"/>
    <mergeCell ref="E981:F981"/>
    <mergeCell ref="E982:F982"/>
    <mergeCell ref="E983:F983"/>
    <mergeCell ref="E960:F960"/>
    <mergeCell ref="E974:F974"/>
    <mergeCell ref="E973:F973"/>
    <mergeCell ref="E962:F962"/>
    <mergeCell ref="E965:F965"/>
    <mergeCell ref="E967:F967"/>
    <mergeCell ref="E968:F968"/>
    <mergeCell ref="E970:F970"/>
    <mergeCell ref="E977:F977"/>
    <mergeCell ref="E976:F976"/>
    <mergeCell ref="E865:F865"/>
    <mergeCell ref="E866:F866"/>
    <mergeCell ref="E867:F867"/>
    <mergeCell ref="E868:F868"/>
    <mergeCell ref="E869:F869"/>
    <mergeCell ref="E870:F870"/>
    <mergeCell ref="E872:M872"/>
    <mergeCell ref="D884:H884"/>
    <mergeCell ref="I884:N884"/>
    <mergeCell ref="E70:F70"/>
    <mergeCell ref="E71:F71"/>
    <mergeCell ref="E72:F72"/>
    <mergeCell ref="E74:F74"/>
    <mergeCell ref="E251:F251"/>
    <mergeCell ref="E859:F859"/>
    <mergeCell ref="E860:F860"/>
    <mergeCell ref="E862:F862"/>
    <mergeCell ref="E863:F863"/>
    <mergeCell ref="E131:F131"/>
    <mergeCell ref="E132:F132"/>
    <mergeCell ref="E133:F133"/>
    <mergeCell ref="E252:F252"/>
    <mergeCell ref="E721:F721"/>
    <mergeCell ref="E723:F723"/>
    <mergeCell ref="E724:F724"/>
    <mergeCell ref="E726:F726"/>
    <mergeCell ref="E727:F727"/>
    <mergeCell ref="E729:F729"/>
    <mergeCell ref="E732:F732"/>
    <mergeCell ref="D481:E481"/>
    <mergeCell ref="F481:N481"/>
    <mergeCell ref="D491:E491"/>
    <mergeCell ref="F491:N491"/>
    <mergeCell ref="D628:H628"/>
    <mergeCell ref="I628:N628"/>
    <mergeCell ref="M630:N630"/>
    <mergeCell ref="E711:F711"/>
    <mergeCell ref="E714:F714"/>
    <mergeCell ref="E717:F717"/>
    <mergeCell ref="E725:F725"/>
    <mergeCell ref="E728:F728"/>
    <mergeCell ref="E731:F731"/>
    <mergeCell ref="E856:F856"/>
    <mergeCell ref="E834:F834"/>
    <mergeCell ref="E837:F837"/>
    <mergeCell ref="E839:F839"/>
    <mergeCell ref="E840:F840"/>
    <mergeCell ref="E842:F842"/>
    <mergeCell ref="E843:F843"/>
    <mergeCell ref="E845:F845"/>
    <mergeCell ref="E846:F846"/>
    <mergeCell ref="E832:F832"/>
    <mergeCell ref="E738:F738"/>
    <mergeCell ref="E739:F739"/>
    <mergeCell ref="E740:F740"/>
    <mergeCell ref="E848:F848"/>
    <mergeCell ref="E849:F849"/>
    <mergeCell ref="E851:F851"/>
    <mergeCell ref="E853:F853"/>
    <mergeCell ref="E854:F854"/>
    <mergeCell ref="E455:F455"/>
    <mergeCell ref="E857:F857"/>
    <mergeCell ref="E855:F855"/>
    <mergeCell ref="E734:F734"/>
    <mergeCell ref="E735:F735"/>
    <mergeCell ref="E737:F737"/>
    <mergeCell ref="E704:F704"/>
    <mergeCell ref="E706:F706"/>
    <mergeCell ref="E707:F707"/>
    <mergeCell ref="E709:F709"/>
    <mergeCell ref="E710:F710"/>
    <mergeCell ref="E712:F712"/>
    <mergeCell ref="E715:F715"/>
    <mergeCell ref="E718:F718"/>
    <mergeCell ref="E720:F720"/>
    <mergeCell ref="E741:F741"/>
    <mergeCell ref="E742:F742"/>
    <mergeCell ref="E744:M744"/>
    <mergeCell ref="D756:H756"/>
    <mergeCell ref="I756:N756"/>
    <mergeCell ref="M758:N758"/>
    <mergeCell ref="E835:F835"/>
    <mergeCell ref="E838:F838"/>
    <mergeCell ref="E852:F852"/>
    <mergeCell ref="M1142:N1142"/>
    <mergeCell ref="E108:F108"/>
    <mergeCell ref="E109:F109"/>
    <mergeCell ref="E110:F110"/>
    <mergeCell ref="E371:F371"/>
    <mergeCell ref="L194:N194"/>
    <mergeCell ref="L206:N206"/>
    <mergeCell ref="H195:N195"/>
    <mergeCell ref="H207:N207"/>
    <mergeCell ref="E614:F614"/>
    <mergeCell ref="E613:F613"/>
    <mergeCell ref="E611:F611"/>
    <mergeCell ref="E610:F610"/>
    <mergeCell ref="E473:F473"/>
    <mergeCell ref="E465:L465"/>
    <mergeCell ref="E453:F453"/>
    <mergeCell ref="E454:F454"/>
    <mergeCell ref="E984:F984"/>
    <mergeCell ref="E985:F985"/>
    <mergeCell ref="E987:F987"/>
    <mergeCell ref="E988:F988"/>
    <mergeCell ref="E990:F990"/>
    <mergeCell ref="E616:M616"/>
    <mergeCell ref="E1115:F1115"/>
    <mergeCell ref="E1125:F1125"/>
    <mergeCell ref="E1118:F1118"/>
    <mergeCell ref="E1126:F1126"/>
    <mergeCell ref="E996:F996"/>
    <mergeCell ref="E997:F997"/>
    <mergeCell ref="E998:F998"/>
    <mergeCell ref="E1000:M1000"/>
    <mergeCell ref="D1012:H1012"/>
    <mergeCell ref="M1014:N1014"/>
    <mergeCell ref="E1109:F1109"/>
    <mergeCell ref="E1108:F1108"/>
    <mergeCell ref="E1107:F1107"/>
    <mergeCell ref="E1104:F1104"/>
    <mergeCell ref="E1102:F1102"/>
    <mergeCell ref="E1105:F1105"/>
    <mergeCell ref="E1110:F1110"/>
    <mergeCell ref="E1113:F1113"/>
    <mergeCell ref="E1116:F1116"/>
    <mergeCell ref="E1119:F1119"/>
    <mergeCell ref="E444:N444"/>
    <mergeCell ref="E445:F445"/>
    <mergeCell ref="E446:F446"/>
    <mergeCell ref="E447:F447"/>
    <mergeCell ref="E448:F448"/>
    <mergeCell ref="E449:F449"/>
    <mergeCell ref="E436:F436"/>
    <mergeCell ref="E437:F437"/>
    <mergeCell ref="E438:F438"/>
    <mergeCell ref="E439:F439"/>
    <mergeCell ref="E441:N441"/>
    <mergeCell ref="H12:I12"/>
    <mergeCell ref="E468:F468"/>
    <mergeCell ref="E469:F469"/>
    <mergeCell ref="E470:F470"/>
    <mergeCell ref="E471:F471"/>
    <mergeCell ref="E472:F472"/>
    <mergeCell ref="E456:F456"/>
    <mergeCell ref="E457:F457"/>
    <mergeCell ref="E459:N459"/>
    <mergeCell ref="E460:F460"/>
    <mergeCell ref="E461:F461"/>
    <mergeCell ref="D463:N463"/>
    <mergeCell ref="E450:F450"/>
    <mergeCell ref="E451:F451"/>
    <mergeCell ref="E452:F452"/>
    <mergeCell ref="E442:F442"/>
    <mergeCell ref="E429:F429"/>
    <mergeCell ref="E430:F430"/>
    <mergeCell ref="E432:N432"/>
    <mergeCell ref="E433:F433"/>
    <mergeCell ref="E434:F434"/>
    <mergeCell ref="E435:F435"/>
    <mergeCell ref="E423:F423"/>
    <mergeCell ref="E424:F424"/>
    <mergeCell ref="E425:F425"/>
    <mergeCell ref="E426:F426"/>
    <mergeCell ref="E427:F427"/>
    <mergeCell ref="E428:F428"/>
    <mergeCell ref="E416:F416"/>
    <mergeCell ref="E418:N418"/>
    <mergeCell ref="E419:F419"/>
    <mergeCell ref="E420:F420"/>
    <mergeCell ref="E421:F421"/>
    <mergeCell ref="E422:F422"/>
    <mergeCell ref="E411:F411"/>
    <mergeCell ref="E412:F412"/>
    <mergeCell ref="E413:F413"/>
    <mergeCell ref="E415:N415"/>
    <mergeCell ref="E402:F402"/>
    <mergeCell ref="E403:F403"/>
    <mergeCell ref="E404:F404"/>
    <mergeCell ref="E405:F405"/>
    <mergeCell ref="E406:F406"/>
    <mergeCell ref="E408:N408"/>
    <mergeCell ref="E401:N401"/>
    <mergeCell ref="E387:F387"/>
    <mergeCell ref="E388:F388"/>
    <mergeCell ref="E389:F389"/>
    <mergeCell ref="E390:F390"/>
    <mergeCell ref="E392:N392"/>
    <mergeCell ref="E393:F393"/>
    <mergeCell ref="E409:F409"/>
    <mergeCell ref="E410:F410"/>
    <mergeCell ref="E381:F381"/>
    <mergeCell ref="E394:F394"/>
    <mergeCell ref="E395:F395"/>
    <mergeCell ref="E396:F396"/>
    <mergeCell ref="E398:F398"/>
    <mergeCell ref="E399:F399"/>
    <mergeCell ref="E310:F310"/>
    <mergeCell ref="E325:F325"/>
    <mergeCell ref="E326:F326"/>
    <mergeCell ref="E327:F327"/>
    <mergeCell ref="E386:F386"/>
    <mergeCell ref="E382:F382"/>
    <mergeCell ref="E383:F383"/>
    <mergeCell ref="E384:F384"/>
    <mergeCell ref="E385:F385"/>
    <mergeCell ref="E343:N343"/>
    <mergeCell ref="E344:F344"/>
    <mergeCell ref="E346:N346"/>
    <mergeCell ref="E347:F347"/>
    <mergeCell ref="E348:F348"/>
    <mergeCell ref="E349:F349"/>
    <mergeCell ref="E365:F365"/>
    <mergeCell ref="D367:N367"/>
    <mergeCell ref="E369:F369"/>
    <mergeCell ref="E211:F211"/>
    <mergeCell ref="E212:F212"/>
    <mergeCell ref="E213:F213"/>
    <mergeCell ref="E214:F214"/>
    <mergeCell ref="E216:H216"/>
    <mergeCell ref="D376:N376"/>
    <mergeCell ref="E289:F289"/>
    <mergeCell ref="E292:F292"/>
    <mergeCell ref="E294:N294"/>
    <mergeCell ref="E296:F296"/>
    <mergeCell ref="E272:F272"/>
    <mergeCell ref="E271:N271"/>
    <mergeCell ref="E265:F265"/>
    <mergeCell ref="E273:F273"/>
    <mergeCell ref="E311:F311"/>
    <mergeCell ref="E312:F312"/>
    <mergeCell ref="E314:N314"/>
    <mergeCell ref="E315:F315"/>
    <mergeCell ref="E306:F306"/>
    <mergeCell ref="D257:N257"/>
    <mergeCell ref="E246:F246"/>
    <mergeCell ref="E247:F247"/>
    <mergeCell ref="E248:F248"/>
    <mergeCell ref="E233:F233"/>
    <mergeCell ref="E238:N238"/>
    <mergeCell ref="E239:F239"/>
    <mergeCell ref="E240:F240"/>
    <mergeCell ref="E300:N300"/>
    <mergeCell ref="E302:F302"/>
    <mergeCell ref="E303:F303"/>
    <mergeCell ref="E304:F304"/>
    <mergeCell ref="E305:F305"/>
    <mergeCell ref="E341:F341"/>
    <mergeCell ref="E328:F328"/>
    <mergeCell ref="E329:F329"/>
    <mergeCell ref="E330:F330"/>
    <mergeCell ref="E332:N332"/>
    <mergeCell ref="E335:F335"/>
    <mergeCell ref="E317:N317"/>
    <mergeCell ref="E318:F318"/>
    <mergeCell ref="E320:N320"/>
    <mergeCell ref="E321:F321"/>
    <mergeCell ref="E323:N323"/>
    <mergeCell ref="E324:F324"/>
    <mergeCell ref="E307:F307"/>
    <mergeCell ref="E308:F308"/>
    <mergeCell ref="E309:F309"/>
    <mergeCell ref="E337:F337"/>
    <mergeCell ref="E1735:F1735"/>
    <mergeCell ref="E1736:F1736"/>
    <mergeCell ref="E1738:F1738"/>
    <mergeCell ref="E1739:F1739"/>
    <mergeCell ref="E1741:F1741"/>
    <mergeCell ref="E1742:F1742"/>
    <mergeCell ref="E1744:F1744"/>
    <mergeCell ref="E1745:F1745"/>
    <mergeCell ref="E204:H204"/>
    <mergeCell ref="E206:K206"/>
    <mergeCell ref="E207:G207"/>
    <mergeCell ref="E209:F209"/>
    <mergeCell ref="E210:F210"/>
    <mergeCell ref="E286:F286"/>
    <mergeCell ref="E280:F280"/>
    <mergeCell ref="E297:F297"/>
    <mergeCell ref="E298:F298"/>
    <mergeCell ref="E244:F244"/>
    <mergeCell ref="E245:F245"/>
    <mergeCell ref="E255:F255"/>
    <mergeCell ref="E254:F254"/>
    <mergeCell ref="E253:F253"/>
    <mergeCell ref="E250:F250"/>
    <mergeCell ref="E249:F249"/>
    <mergeCell ref="E1360:F1360"/>
    <mergeCell ref="E1361:F1361"/>
    <mergeCell ref="E1363:F1363"/>
    <mergeCell ref="E1364:F1364"/>
    <mergeCell ref="E1747:F1747"/>
    <mergeCell ref="E1748:F1748"/>
    <mergeCell ref="E1749:F1749"/>
    <mergeCell ref="E1635:F1635"/>
    <mergeCell ref="E1636:F1636"/>
    <mergeCell ref="E1637:F1637"/>
    <mergeCell ref="E1616:F1616"/>
    <mergeCell ref="E1617:F1617"/>
    <mergeCell ref="E1620:F1620"/>
    <mergeCell ref="E1621:F1621"/>
    <mergeCell ref="E1623:F1623"/>
    <mergeCell ref="E1624:F1624"/>
    <mergeCell ref="E1625:F1625"/>
    <mergeCell ref="E1627:F1627"/>
    <mergeCell ref="E1634:F1634"/>
    <mergeCell ref="E1628:F1628"/>
    <mergeCell ref="E1631:F1631"/>
    <mergeCell ref="E1633:F1633"/>
    <mergeCell ref="E1630:F1630"/>
    <mergeCell ref="E1734:F1734"/>
    <mergeCell ref="E1355:F1355"/>
    <mergeCell ref="E1357:F1357"/>
    <mergeCell ref="E1346:F1346"/>
    <mergeCell ref="E1384:M1384"/>
    <mergeCell ref="E1508:F1508"/>
    <mergeCell ref="E1509:F1509"/>
    <mergeCell ref="E1510:F1510"/>
    <mergeCell ref="E1512:M1512"/>
    <mergeCell ref="E1358:F1358"/>
    <mergeCell ref="E1365:F1365"/>
    <mergeCell ref="E1366:F1366"/>
    <mergeCell ref="E1367:F1367"/>
    <mergeCell ref="E1368:F1368"/>
    <mergeCell ref="E1369:F1369"/>
    <mergeCell ref="E1371:F1371"/>
    <mergeCell ref="E1372:F1372"/>
    <mergeCell ref="E1374:F1374"/>
    <mergeCell ref="E1375:F1375"/>
    <mergeCell ref="E1377:F1377"/>
    <mergeCell ref="E1378:F1378"/>
    <mergeCell ref="E1379:F1379"/>
    <mergeCell ref="E1380:F1380"/>
    <mergeCell ref="E1381:F1381"/>
    <mergeCell ref="E1382:F1382"/>
    <mergeCell ref="I1268:N1268"/>
    <mergeCell ref="M1270:N1270"/>
    <mergeCell ref="E1344:F1344"/>
    <mergeCell ref="E1347:F1347"/>
    <mergeCell ref="E1349:F1349"/>
    <mergeCell ref="E1350:F1350"/>
    <mergeCell ref="E1351:F1351"/>
    <mergeCell ref="E1352:F1352"/>
    <mergeCell ref="E1354:F1354"/>
    <mergeCell ref="E609:F609"/>
    <mergeCell ref="E612:F612"/>
    <mergeCell ref="E597:F597"/>
    <mergeCell ref="E598:F598"/>
    <mergeCell ref="E599:F599"/>
    <mergeCell ref="E600:F600"/>
    <mergeCell ref="E601:F601"/>
    <mergeCell ref="E603:F603"/>
    <mergeCell ref="E1833:F1833"/>
    <mergeCell ref="E1244:F1244"/>
    <mergeCell ref="E1246:F1246"/>
    <mergeCell ref="E1247:F1247"/>
    <mergeCell ref="E1249:F1249"/>
    <mergeCell ref="E1250:F1250"/>
    <mergeCell ref="E1251:F1251"/>
    <mergeCell ref="E1252:F1252"/>
    <mergeCell ref="E1253:F1253"/>
    <mergeCell ref="E1254:F1254"/>
    <mergeCell ref="E1503:F1503"/>
    <mergeCell ref="E1505:F1505"/>
    <mergeCell ref="E1506:F1506"/>
    <mergeCell ref="E1507:F1507"/>
    <mergeCell ref="E1256:M1256"/>
    <mergeCell ref="D1268:H1268"/>
    <mergeCell ref="E186:F186"/>
    <mergeCell ref="E187:F187"/>
    <mergeCell ref="E189:F189"/>
    <mergeCell ref="E190:F190"/>
    <mergeCell ref="D192:N192"/>
    <mergeCell ref="F486:N486"/>
    <mergeCell ref="D484:E484"/>
    <mergeCell ref="F484:N484"/>
    <mergeCell ref="E231:N231"/>
    <mergeCell ref="E234:F234"/>
    <mergeCell ref="E235:F235"/>
    <mergeCell ref="E236:F236"/>
    <mergeCell ref="E276:F276"/>
    <mergeCell ref="F480:N480"/>
    <mergeCell ref="E378:N378"/>
    <mergeCell ref="E379:F379"/>
    <mergeCell ref="E380:F380"/>
    <mergeCell ref="D486:E486"/>
    <mergeCell ref="E197:F197"/>
    <mergeCell ref="E198:F198"/>
    <mergeCell ref="E199:F199"/>
    <mergeCell ref="E200:F200"/>
    <mergeCell ref="E201:F201"/>
    <mergeCell ref="E202:F202"/>
    <mergeCell ref="E179:F179"/>
    <mergeCell ref="E180:F180"/>
    <mergeCell ref="E181:F181"/>
    <mergeCell ref="E182:F182"/>
    <mergeCell ref="E183:F183"/>
    <mergeCell ref="E167:L167"/>
    <mergeCell ref="E169:F169"/>
    <mergeCell ref="E170:F170"/>
    <mergeCell ref="E185:F185"/>
    <mergeCell ref="E171:F171"/>
    <mergeCell ref="E172:F172"/>
    <mergeCell ref="E174:F174"/>
    <mergeCell ref="E175:F175"/>
    <mergeCell ref="E176:F176"/>
    <mergeCell ref="E177:F177"/>
    <mergeCell ref="E158:F158"/>
    <mergeCell ref="E160:F160"/>
    <mergeCell ref="E161:F161"/>
    <mergeCell ref="E162:F162"/>
    <mergeCell ref="E164:F164"/>
    <mergeCell ref="E165:F165"/>
    <mergeCell ref="E151:F151"/>
    <mergeCell ref="E152:F152"/>
    <mergeCell ref="E154:F154"/>
    <mergeCell ref="E155:F155"/>
    <mergeCell ref="E156:F156"/>
    <mergeCell ref="E157:F157"/>
    <mergeCell ref="E124:F124"/>
    <mergeCell ref="E125:F125"/>
    <mergeCell ref="E144:F144"/>
    <mergeCell ref="E145:F145"/>
    <mergeCell ref="E146:F146"/>
    <mergeCell ref="E147:F147"/>
    <mergeCell ref="E149:F149"/>
    <mergeCell ref="E150:F150"/>
    <mergeCell ref="E135:F135"/>
    <mergeCell ref="E136:F136"/>
    <mergeCell ref="E137:F137"/>
    <mergeCell ref="E138:F138"/>
    <mergeCell ref="E142:L142"/>
    <mergeCell ref="D140:N140"/>
    <mergeCell ref="D2438:I2438"/>
    <mergeCell ref="D2439:I2439"/>
    <mergeCell ref="D2493:I2493"/>
    <mergeCell ref="D2420:I2420"/>
    <mergeCell ref="D2422:I2422"/>
    <mergeCell ref="D2423:I2423"/>
    <mergeCell ref="D2424:I2424"/>
    <mergeCell ref="D2425:I2425"/>
    <mergeCell ref="D2426:I2426"/>
    <mergeCell ref="D2440:I2440"/>
    <mergeCell ref="D2489:I2489"/>
    <mergeCell ref="D2476:I2476"/>
    <mergeCell ref="D2477:I2477"/>
    <mergeCell ref="D2478:I2478"/>
    <mergeCell ref="D2482:I2482"/>
    <mergeCell ref="D2473:I2473"/>
    <mergeCell ref="D2488:I2488"/>
    <mergeCell ref="D2433:I2433"/>
    <mergeCell ref="D2434:I2434"/>
    <mergeCell ref="D2435:I2435"/>
    <mergeCell ref="D2485:I2485"/>
    <mergeCell ref="D2486:I2486"/>
    <mergeCell ref="D2484:I2484"/>
    <mergeCell ref="D2441:I2441"/>
    <mergeCell ref="E2463:I2463"/>
    <mergeCell ref="E2449:I2449"/>
    <mergeCell ref="D2492:I2492"/>
    <mergeCell ref="D2472:I2472"/>
    <mergeCell ref="D2479:I2479"/>
    <mergeCell ref="D2480:I2480"/>
    <mergeCell ref="D2481:I2481"/>
    <mergeCell ref="E2470:N2470"/>
    <mergeCell ref="D2490:I2490"/>
    <mergeCell ref="D2491:I2491"/>
    <mergeCell ref="D2474:I2474"/>
    <mergeCell ref="D2475:I2475"/>
    <mergeCell ref="E2467:I2467"/>
    <mergeCell ref="E2459:I2459"/>
    <mergeCell ref="D2487:I2487"/>
    <mergeCell ref="D2483:I2483"/>
    <mergeCell ref="E2451:I2451"/>
    <mergeCell ref="E2453:I2453"/>
    <mergeCell ref="E2455:I2455"/>
    <mergeCell ref="F81:N81"/>
    <mergeCell ref="F82:N82"/>
    <mergeCell ref="E89:N89"/>
    <mergeCell ref="E92:N92"/>
    <mergeCell ref="F84:N84"/>
    <mergeCell ref="F91:N91"/>
    <mergeCell ref="E93:N93"/>
    <mergeCell ref="F86:N86"/>
    <mergeCell ref="F88:N88"/>
    <mergeCell ref="E94:F94"/>
    <mergeCell ref="E95:F95"/>
    <mergeCell ref="E96:F96"/>
    <mergeCell ref="E194:K194"/>
    <mergeCell ref="E195:G195"/>
    <mergeCell ref="E97:F97"/>
    <mergeCell ref="E98:F98"/>
    <mergeCell ref="E99:F99"/>
    <mergeCell ref="E100:F100"/>
    <mergeCell ref="E114:F114"/>
    <mergeCell ref="E115:F115"/>
    <mergeCell ref="E117:F117"/>
    <mergeCell ref="E118:F118"/>
    <mergeCell ref="E119:F119"/>
    <mergeCell ref="E126:F126"/>
    <mergeCell ref="E127:F127"/>
    <mergeCell ref="E128:F128"/>
    <mergeCell ref="E129:F129"/>
    <mergeCell ref="E130:F130"/>
    <mergeCell ref="E134:F134"/>
    <mergeCell ref="E120:F120"/>
    <mergeCell ref="E121:F121"/>
    <mergeCell ref="E122:F122"/>
    <mergeCell ref="E123:F123"/>
    <mergeCell ref="D76:N76"/>
    <mergeCell ref="L41:N41"/>
    <mergeCell ref="E62:F62"/>
    <mergeCell ref="E42:H42"/>
    <mergeCell ref="E79:N79"/>
    <mergeCell ref="F80:N80"/>
    <mergeCell ref="D477:N477"/>
    <mergeCell ref="E43:H43"/>
    <mergeCell ref="I43:K43"/>
    <mergeCell ref="E78:N78"/>
    <mergeCell ref="F85:N85"/>
    <mergeCell ref="E61:F61"/>
    <mergeCell ref="D59:N59"/>
    <mergeCell ref="L43:N43"/>
    <mergeCell ref="F83:N83"/>
    <mergeCell ref="F90:N90"/>
    <mergeCell ref="E102:F102"/>
    <mergeCell ref="E103:F103"/>
    <mergeCell ref="E275:F275"/>
    <mergeCell ref="E274:F274"/>
    <mergeCell ref="E113:F113"/>
    <mergeCell ref="E278:N278"/>
    <mergeCell ref="E279:F279"/>
    <mergeCell ref="E283:F283"/>
    <mergeCell ref="L45:N45"/>
    <mergeCell ref="E68:F68"/>
    <mergeCell ref="E69:F69"/>
    <mergeCell ref="I45:K45"/>
    <mergeCell ref="E63:F63"/>
    <mergeCell ref="E64:F64"/>
    <mergeCell ref="E66:F66"/>
    <mergeCell ref="E67:F67"/>
    <mergeCell ref="I39:K39"/>
    <mergeCell ref="E45:H45"/>
    <mergeCell ref="L42:N42"/>
    <mergeCell ref="L39:N39"/>
    <mergeCell ref="E44:H44"/>
    <mergeCell ref="I44:K44"/>
    <mergeCell ref="I41:K41"/>
    <mergeCell ref="L44:N44"/>
    <mergeCell ref="G4:H4"/>
    <mergeCell ref="E38:H38"/>
    <mergeCell ref="I4:J4"/>
    <mergeCell ref="K4:L4"/>
    <mergeCell ref="I37:K37"/>
    <mergeCell ref="E41:H41"/>
    <mergeCell ref="D10:N10"/>
    <mergeCell ref="D34:N34"/>
    <mergeCell ref="E35:H35"/>
    <mergeCell ref="L40:N40"/>
    <mergeCell ref="E36:H36"/>
    <mergeCell ref="I38:K38"/>
    <mergeCell ref="H15:L15"/>
    <mergeCell ref="H16:L16"/>
    <mergeCell ref="H13:I13"/>
    <mergeCell ref="M13:N13"/>
    <mergeCell ref="H14:L14"/>
    <mergeCell ref="F22:N22"/>
    <mergeCell ref="L35:N35"/>
    <mergeCell ref="I35:K35"/>
    <mergeCell ref="L38:N38"/>
    <mergeCell ref="L36:N36"/>
    <mergeCell ref="E37:H37"/>
    <mergeCell ref="F24:N24"/>
    <mergeCell ref="E2495:N2495"/>
    <mergeCell ref="E52:M52"/>
    <mergeCell ref="E53:M53"/>
    <mergeCell ref="E55:L55"/>
    <mergeCell ref="L37:N37"/>
    <mergeCell ref="I36:K36"/>
    <mergeCell ref="K2:L2"/>
    <mergeCell ref="E4:F4"/>
    <mergeCell ref="B2:D4"/>
    <mergeCell ref="G2:H2"/>
    <mergeCell ref="I2:J2"/>
    <mergeCell ref="E39:H39"/>
    <mergeCell ref="E40:H40"/>
    <mergeCell ref="I40:K40"/>
    <mergeCell ref="M2:N2"/>
    <mergeCell ref="D482:E482"/>
    <mergeCell ref="D49:N49"/>
    <mergeCell ref="K3:L3"/>
    <mergeCell ref="D2406:N2406"/>
    <mergeCell ref="M1782:N1782"/>
    <mergeCell ref="I3:J3"/>
    <mergeCell ref="I42:K42"/>
    <mergeCell ref="G3:H3"/>
    <mergeCell ref="M4:N4"/>
    <mergeCell ref="D2436:I2436"/>
    <mergeCell ref="D2437:I2437"/>
    <mergeCell ref="D2428:I2428"/>
    <mergeCell ref="D2429:I2429"/>
    <mergeCell ref="D2427:I2427"/>
    <mergeCell ref="D2431:I2431"/>
    <mergeCell ref="E1830:F1830"/>
    <mergeCell ref="D1782:H1782"/>
    <mergeCell ref="I1782:L1782"/>
    <mergeCell ref="E1832:F1832"/>
    <mergeCell ref="F2400:N2400"/>
    <mergeCell ref="M2136:N2136"/>
    <mergeCell ref="E1842:F1842"/>
    <mergeCell ref="E1849:F1849"/>
    <mergeCell ref="E1850:F1850"/>
    <mergeCell ref="E1851:F1851"/>
    <mergeCell ref="E1843:F1843"/>
    <mergeCell ref="E1844:F1844"/>
    <mergeCell ref="E1845:F1845"/>
    <mergeCell ref="E1846:F1846"/>
    <mergeCell ref="E1831:F1831"/>
    <mergeCell ref="E1848:F1848"/>
    <mergeCell ref="M2256:N2256"/>
    <mergeCell ref="D2302:H2302"/>
    <mergeCell ref="F2402:N2402"/>
    <mergeCell ref="E2399:N2399"/>
    <mergeCell ref="F2401:N2401"/>
    <mergeCell ref="D2432:I2432"/>
    <mergeCell ref="E2407:N2407"/>
    <mergeCell ref="E2408:N2408"/>
    <mergeCell ref="E2414:N2414"/>
    <mergeCell ref="E2413:I2413"/>
    <mergeCell ref="D2421:I2421"/>
    <mergeCell ref="D2430:I2430"/>
    <mergeCell ref="E2412:I2412"/>
    <mergeCell ref="D2404:N2404"/>
    <mergeCell ref="E2415:I2415"/>
    <mergeCell ref="E2416:I2416"/>
    <mergeCell ref="E1847:F1847"/>
    <mergeCell ref="E1840:F1840"/>
    <mergeCell ref="E1825:F1825"/>
    <mergeCell ref="E1828:F1828"/>
    <mergeCell ref="F496:N496"/>
    <mergeCell ref="D496:E496"/>
    <mergeCell ref="E576:F576"/>
    <mergeCell ref="E578:F578"/>
    <mergeCell ref="E579:F579"/>
    <mergeCell ref="E589:F589"/>
    <mergeCell ref="E590:F590"/>
    <mergeCell ref="E592:F592"/>
    <mergeCell ref="E593:F593"/>
    <mergeCell ref="E595:F595"/>
    <mergeCell ref="E596:F596"/>
    <mergeCell ref="E581:F581"/>
    <mergeCell ref="E582:F582"/>
    <mergeCell ref="E583:F583"/>
    <mergeCell ref="E584:F584"/>
    <mergeCell ref="E586:F586"/>
    <mergeCell ref="E587:F587"/>
    <mergeCell ref="E604:F604"/>
    <mergeCell ref="E606:F606"/>
    <mergeCell ref="E607:F607"/>
    <mergeCell ref="D495:E495"/>
    <mergeCell ref="F495:N495"/>
    <mergeCell ref="D498:N498"/>
    <mergeCell ref="D480:E480"/>
    <mergeCell ref="D485:E485"/>
    <mergeCell ref="F485:N485"/>
    <mergeCell ref="D500:H500"/>
    <mergeCell ref="I500:N500"/>
    <mergeCell ref="M502:N502"/>
    <mergeCell ref="F482:N482"/>
    <mergeCell ref="D483:E483"/>
    <mergeCell ref="F483:N483"/>
    <mergeCell ref="D494:E494"/>
    <mergeCell ref="F494:N494"/>
    <mergeCell ref="D489:E489"/>
    <mergeCell ref="F489:N489"/>
    <mergeCell ref="D479:N479"/>
    <mergeCell ref="F490:N490"/>
    <mergeCell ref="D492:E492"/>
    <mergeCell ref="F492:N492"/>
    <mergeCell ref="D493:E493"/>
    <mergeCell ref="D487:E487"/>
    <mergeCell ref="D488:E488"/>
    <mergeCell ref="F488:N488"/>
    <mergeCell ref="F487:N487"/>
    <mergeCell ref="D490:E490"/>
    <mergeCell ref="F493:N493"/>
    <mergeCell ref="E370:F370"/>
    <mergeCell ref="E352:F352"/>
    <mergeCell ref="E353:F353"/>
    <mergeCell ref="E355:N355"/>
    <mergeCell ref="E357:F357"/>
    <mergeCell ref="E358:F358"/>
    <mergeCell ref="E360:N360"/>
    <mergeCell ref="E338:F338"/>
    <mergeCell ref="E340:N340"/>
    <mergeCell ref="E2:F2"/>
    <mergeCell ref="E220:F220"/>
    <mergeCell ref="D218:N218"/>
    <mergeCell ref="E229:F229"/>
    <mergeCell ref="E228:F228"/>
    <mergeCell ref="E226:F226"/>
    <mergeCell ref="E225:F225"/>
    <mergeCell ref="E222:F222"/>
    <mergeCell ref="E221:F221"/>
    <mergeCell ref="E65:F65"/>
    <mergeCell ref="F87:N87"/>
    <mergeCell ref="E105:F105"/>
    <mergeCell ref="E106:F106"/>
    <mergeCell ref="E107:F107"/>
    <mergeCell ref="E111:F111"/>
    <mergeCell ref="E112:F112"/>
    <mergeCell ref="E3:F3"/>
    <mergeCell ref="E101:F101"/>
    <mergeCell ref="E104:F104"/>
    <mergeCell ref="M3:N3"/>
    <mergeCell ref="F23:N23"/>
    <mergeCell ref="F25:N25"/>
    <mergeCell ref="F26:N26"/>
    <mergeCell ref="F27:N27"/>
    <mergeCell ref="D2443:I2443"/>
    <mergeCell ref="E223:F223"/>
    <mergeCell ref="E224:F224"/>
    <mergeCell ref="E261:F261"/>
    <mergeCell ref="E262:F262"/>
    <mergeCell ref="E263:F263"/>
    <mergeCell ref="E264:F264"/>
    <mergeCell ref="E267:N267"/>
    <mergeCell ref="E268:F268"/>
    <mergeCell ref="E269:F269"/>
    <mergeCell ref="E241:F241"/>
    <mergeCell ref="E242:F242"/>
    <mergeCell ref="E243:F243"/>
    <mergeCell ref="E372:F372"/>
    <mergeCell ref="E291:N291"/>
    <mergeCell ref="E288:N288"/>
    <mergeCell ref="E285:N285"/>
    <mergeCell ref="E282:F282"/>
    <mergeCell ref="E281:F281"/>
    <mergeCell ref="E361:F361"/>
    <mergeCell ref="E363:N363"/>
    <mergeCell ref="E259:N259"/>
    <mergeCell ref="E350:F350"/>
    <mergeCell ref="E351:F351"/>
    <mergeCell ref="D1855:H1855"/>
    <mergeCell ref="I1855:L1855"/>
    <mergeCell ref="M1855:N1855"/>
    <mergeCell ref="M1857:N1857"/>
    <mergeCell ref="E1898:F1898"/>
    <mergeCell ref="E1899:F1899"/>
    <mergeCell ref="E1901:F1901"/>
    <mergeCell ref="E1903:F1903"/>
    <mergeCell ref="E1904:F1904"/>
    <mergeCell ref="E1905:F1905"/>
    <mergeCell ref="E1906:F1906"/>
    <mergeCell ref="E1907:F1907"/>
    <mergeCell ref="E1908:F1908"/>
    <mergeCell ref="E1909:F1909"/>
    <mergeCell ref="E1910:F1910"/>
    <mergeCell ref="E1911:F1911"/>
    <mergeCell ref="E1913:F1913"/>
    <mergeCell ref="E1915:F1915"/>
    <mergeCell ref="E1916:F1916"/>
    <mergeCell ref="E1917:F1917"/>
    <mergeCell ref="E1918:F1918"/>
    <mergeCell ref="E1919:F1919"/>
    <mergeCell ref="E1920:F1920"/>
    <mergeCell ref="E1921:F1921"/>
    <mergeCell ref="E1922:F1922"/>
    <mergeCell ref="E1923:F1923"/>
    <mergeCell ref="E1924:F1924"/>
    <mergeCell ref="D1928:H1928"/>
    <mergeCell ref="I1928:L1928"/>
    <mergeCell ref="M1928:N1928"/>
    <mergeCell ref="M1930:N1930"/>
    <mergeCell ref="E1971:F1971"/>
    <mergeCell ref="E1972:F1972"/>
    <mergeCell ref="E1974:F1974"/>
    <mergeCell ref="E1976:F1976"/>
    <mergeCell ref="E1977:F1977"/>
    <mergeCell ref="E1978:F1978"/>
    <mergeCell ref="E1979:F1979"/>
    <mergeCell ref="E1980:F1980"/>
    <mergeCell ref="E1981:F1981"/>
    <mergeCell ref="E1982:F1982"/>
    <mergeCell ref="E1983:F1983"/>
    <mergeCell ref="E1984:F1984"/>
    <mergeCell ref="E1986:F1986"/>
    <mergeCell ref="E1988:F1988"/>
    <mergeCell ref="E1989:F1989"/>
    <mergeCell ref="E1990:F1990"/>
    <mergeCell ref="E1991:F1991"/>
    <mergeCell ref="E1992:F1992"/>
    <mergeCell ref="E1993:F1993"/>
    <mergeCell ref="E1994:F1994"/>
    <mergeCell ref="E1995:F1995"/>
    <mergeCell ref="E1996:F1996"/>
    <mergeCell ref="E1997:F1997"/>
    <mergeCell ref="D2001:H2001"/>
    <mergeCell ref="I2001:L2001"/>
    <mergeCell ref="M2001:N2001"/>
    <mergeCell ref="M2003:N2003"/>
    <mergeCell ref="E2044:F2044"/>
    <mergeCell ref="E2045:F2045"/>
    <mergeCell ref="E2047:F2047"/>
    <mergeCell ref="E2049:F2049"/>
    <mergeCell ref="E2050:F2050"/>
    <mergeCell ref="E2063:F2063"/>
    <mergeCell ref="E2064:F2064"/>
    <mergeCell ref="E2065:F2065"/>
    <mergeCell ref="E2066:F2066"/>
    <mergeCell ref="E2067:F2067"/>
    <mergeCell ref="E2068:F2068"/>
    <mergeCell ref="E2069:F2069"/>
    <mergeCell ref="E2070:F2070"/>
    <mergeCell ref="E2051:F2051"/>
    <mergeCell ref="E2052:F2052"/>
    <mergeCell ref="E2053:F2053"/>
    <mergeCell ref="E2054:F2054"/>
    <mergeCell ref="E2055:F2055"/>
    <mergeCell ref="E2056:F2056"/>
    <mergeCell ref="E2057:F2057"/>
    <mergeCell ref="E2059:F2059"/>
    <mergeCell ref="E2061:F2061"/>
    <mergeCell ref="E373:F373"/>
    <mergeCell ref="E374:F374"/>
    <mergeCell ref="D2350:H2350"/>
    <mergeCell ref="I2350:L2350"/>
    <mergeCell ref="M2350:N2350"/>
    <mergeCell ref="M2352:N2352"/>
    <mergeCell ref="D2134:H2134"/>
    <mergeCell ref="I2134:L2134"/>
    <mergeCell ref="M2134:N2134"/>
    <mergeCell ref="D2194:H2194"/>
    <mergeCell ref="I2194:L2194"/>
    <mergeCell ref="M2194:N2194"/>
    <mergeCell ref="M2196:N2196"/>
    <mergeCell ref="D2254:H2254"/>
    <mergeCell ref="I2254:L2254"/>
    <mergeCell ref="M2254:N2254"/>
    <mergeCell ref="I2302:L2302"/>
    <mergeCell ref="M2302:N2302"/>
    <mergeCell ref="M2304:N2304"/>
    <mergeCell ref="D2074:H2074"/>
    <mergeCell ref="I2074:L2074"/>
    <mergeCell ref="M2074:N2074"/>
    <mergeCell ref="M2076:N2076"/>
    <mergeCell ref="E2062:F2062"/>
  </mergeCells>
  <phoneticPr fontId="34" type="noConversion"/>
  <conditionalFormatting sqref="E52">
    <cfRule type="cellIs" dxfId="305" priority="1483" stopIfTrue="1" operator="equal">
      <formula>EUconst_ERR_Mandatory_ef</formula>
    </cfRule>
  </conditionalFormatting>
  <conditionalFormatting sqref="E53">
    <cfRule type="cellIs" dxfId="304" priority="1484" stopIfTrue="1" operator="equal">
      <formula>EUconst_ERR_Mandatory_g</formula>
    </cfRule>
  </conditionalFormatting>
  <conditionalFormatting sqref="H70:N71">
    <cfRule type="expression" dxfId="303" priority="575" stopIfTrue="1">
      <formula>$S70</formula>
    </cfRule>
  </conditionalFormatting>
  <conditionalFormatting sqref="H95:N115">
    <cfRule type="expression" dxfId="302" priority="596" stopIfTrue="1">
      <formula>H95=EUconst_NA</formula>
    </cfRule>
  </conditionalFormatting>
  <conditionalFormatting sqref="H118:N138">
    <cfRule type="expression" dxfId="301" priority="1474" stopIfTrue="1">
      <formula>H118=EUconst_NA</formula>
    </cfRule>
  </conditionalFormatting>
  <conditionalFormatting sqref="H239:N255">
    <cfRule type="expression" dxfId="300" priority="1401" stopIfTrue="1">
      <formula>H239=0</formula>
    </cfRule>
  </conditionalFormatting>
  <conditionalFormatting sqref="H576:N576">
    <cfRule type="expression" dxfId="299" priority="1058" stopIfTrue="1">
      <formula>H576=EUconst_NA</formula>
    </cfRule>
  </conditionalFormatting>
  <conditionalFormatting sqref="H576:N614">
    <cfRule type="expression" dxfId="298" priority="1059" stopIfTrue="1">
      <formula>H576=0</formula>
    </cfRule>
  </conditionalFormatting>
  <conditionalFormatting sqref="H606:N606">
    <cfRule type="expression" dxfId="297" priority="1057" stopIfTrue="1">
      <formula>H606=0</formula>
    </cfRule>
  </conditionalFormatting>
  <conditionalFormatting sqref="H617:N624">
    <cfRule type="expression" dxfId="296" priority="578" stopIfTrue="1">
      <formula>H617=0</formula>
    </cfRule>
  </conditionalFormatting>
  <conditionalFormatting sqref="H704:N704">
    <cfRule type="expression" dxfId="295" priority="569" stopIfTrue="1">
      <formula>H704=EUconst_NA</formula>
    </cfRule>
  </conditionalFormatting>
  <conditionalFormatting sqref="H704:N742">
    <cfRule type="expression" dxfId="294" priority="570" stopIfTrue="1">
      <formula>H704=0</formula>
    </cfRule>
  </conditionalFormatting>
  <conditionalFormatting sqref="H734:N734">
    <cfRule type="expression" dxfId="293" priority="568" stopIfTrue="1">
      <formula>H734=0</formula>
    </cfRule>
  </conditionalFormatting>
  <conditionalFormatting sqref="H745:N752">
    <cfRule type="expression" dxfId="292" priority="538" stopIfTrue="1">
      <formula>H745=0</formula>
    </cfRule>
  </conditionalFormatting>
  <conditionalFormatting sqref="H832:N832">
    <cfRule type="expression" dxfId="291" priority="531" stopIfTrue="1">
      <formula>H832=EUconst_NA</formula>
    </cfRule>
  </conditionalFormatting>
  <conditionalFormatting sqref="H832:N870">
    <cfRule type="expression" dxfId="290" priority="532" stopIfTrue="1">
      <formula>H832=0</formula>
    </cfRule>
  </conditionalFormatting>
  <conditionalFormatting sqref="H862:N862">
    <cfRule type="expression" dxfId="289" priority="530" stopIfTrue="1">
      <formula>H862=0</formula>
    </cfRule>
  </conditionalFormatting>
  <conditionalFormatting sqref="H873:N880">
    <cfRule type="expression" dxfId="288" priority="500" stopIfTrue="1">
      <formula>H873=0</formula>
    </cfRule>
  </conditionalFormatting>
  <conditionalFormatting sqref="H960:N960">
    <cfRule type="expression" dxfId="287" priority="493" stopIfTrue="1">
      <formula>H960=EUconst_NA</formula>
    </cfRule>
  </conditionalFormatting>
  <conditionalFormatting sqref="H960:N998">
    <cfRule type="expression" dxfId="286" priority="494" stopIfTrue="1">
      <formula>H960=0</formula>
    </cfRule>
  </conditionalFormatting>
  <conditionalFormatting sqref="H990:N990">
    <cfRule type="expression" dxfId="285" priority="492" stopIfTrue="1">
      <formula>H990=0</formula>
    </cfRule>
  </conditionalFormatting>
  <conditionalFormatting sqref="H1001:N1008">
    <cfRule type="expression" dxfId="284" priority="462" stopIfTrue="1">
      <formula>H1001=0</formula>
    </cfRule>
  </conditionalFormatting>
  <conditionalFormatting sqref="H1088:N1088">
    <cfRule type="expression" dxfId="283" priority="455" stopIfTrue="1">
      <formula>H1088=EUconst_NA</formula>
    </cfRule>
  </conditionalFormatting>
  <conditionalFormatting sqref="H1088:N1126">
    <cfRule type="expression" dxfId="282" priority="456" stopIfTrue="1">
      <formula>H1088=0</formula>
    </cfRule>
  </conditionalFormatting>
  <conditionalFormatting sqref="H1118:N1118">
    <cfRule type="expression" dxfId="281" priority="454" stopIfTrue="1">
      <formula>H1118=0</formula>
    </cfRule>
  </conditionalFormatting>
  <conditionalFormatting sqref="H1129:N1136">
    <cfRule type="expression" dxfId="280" priority="424" stopIfTrue="1">
      <formula>H1129=0</formula>
    </cfRule>
  </conditionalFormatting>
  <conditionalFormatting sqref="H1216:N1216">
    <cfRule type="expression" dxfId="279" priority="417" stopIfTrue="1">
      <formula>H1216=EUconst_NA</formula>
    </cfRule>
  </conditionalFormatting>
  <conditionalFormatting sqref="H1216:N1254">
    <cfRule type="expression" dxfId="278" priority="418" stopIfTrue="1">
      <formula>H1216=0</formula>
    </cfRule>
  </conditionalFormatting>
  <conditionalFormatting sqref="H1246:N1246">
    <cfRule type="expression" dxfId="277" priority="416" stopIfTrue="1">
      <formula>H1246=0</formula>
    </cfRule>
  </conditionalFormatting>
  <conditionalFormatting sqref="H1257:N1264">
    <cfRule type="expression" dxfId="276" priority="386" stopIfTrue="1">
      <formula>H1257=0</formula>
    </cfRule>
  </conditionalFormatting>
  <conditionalFormatting sqref="H1344:N1344">
    <cfRule type="expression" dxfId="275" priority="379" stopIfTrue="1">
      <formula>H1344=EUconst_NA</formula>
    </cfRule>
  </conditionalFormatting>
  <conditionalFormatting sqref="H1344:N1382">
    <cfRule type="expression" dxfId="274" priority="380" stopIfTrue="1">
      <formula>H1344=0</formula>
    </cfRule>
  </conditionalFormatting>
  <conditionalFormatting sqref="H1374:N1374">
    <cfRule type="expression" dxfId="273" priority="378" stopIfTrue="1">
      <formula>H1374=0</formula>
    </cfRule>
  </conditionalFormatting>
  <conditionalFormatting sqref="H1385:N1392">
    <cfRule type="expression" dxfId="272" priority="348" stopIfTrue="1">
      <formula>H1385=0</formula>
    </cfRule>
  </conditionalFormatting>
  <conditionalFormatting sqref="H1472:N1472">
    <cfRule type="expression" dxfId="271" priority="341" stopIfTrue="1">
      <formula>H1472=EUconst_NA</formula>
    </cfRule>
  </conditionalFormatting>
  <conditionalFormatting sqref="H1472:N1510">
    <cfRule type="expression" dxfId="270" priority="342" stopIfTrue="1">
      <formula>H1472=0</formula>
    </cfRule>
  </conditionalFormatting>
  <conditionalFormatting sqref="H1502:N1502">
    <cfRule type="expression" dxfId="269" priority="340" stopIfTrue="1">
      <formula>H1502=0</formula>
    </cfRule>
  </conditionalFormatting>
  <conditionalFormatting sqref="H1513:N1520">
    <cfRule type="expression" dxfId="268" priority="310" stopIfTrue="1">
      <formula>H1513=0</formula>
    </cfRule>
  </conditionalFormatting>
  <conditionalFormatting sqref="H1600:N1600">
    <cfRule type="expression" dxfId="267" priority="303" stopIfTrue="1">
      <formula>H1600=EUconst_NA</formula>
    </cfRule>
  </conditionalFormatting>
  <conditionalFormatting sqref="H1600:N1638">
    <cfRule type="expression" dxfId="266" priority="304" stopIfTrue="1">
      <formula>H1600=0</formula>
    </cfRule>
  </conditionalFormatting>
  <conditionalFormatting sqref="H1630:N1630">
    <cfRule type="expression" dxfId="265" priority="302" stopIfTrue="1">
      <formula>H1630=0</formula>
    </cfRule>
  </conditionalFormatting>
  <conditionalFormatting sqref="H1641:N1648">
    <cfRule type="expression" dxfId="264" priority="272" stopIfTrue="1">
      <formula>H1641=0</formula>
    </cfRule>
  </conditionalFormatting>
  <conditionalFormatting sqref="H1728:N1728">
    <cfRule type="expression" dxfId="263" priority="265" stopIfTrue="1">
      <formula>H1728=EUconst_NA</formula>
    </cfRule>
  </conditionalFormatting>
  <conditionalFormatting sqref="H1728:N1766">
    <cfRule type="expression" dxfId="262" priority="266" stopIfTrue="1">
      <formula>H1728=0</formula>
    </cfRule>
  </conditionalFormatting>
  <conditionalFormatting sqref="H1758:N1758">
    <cfRule type="expression" dxfId="261" priority="264" stopIfTrue="1">
      <formula>H1758=0</formula>
    </cfRule>
  </conditionalFormatting>
  <conditionalFormatting sqref="H1769:N1776">
    <cfRule type="expression" dxfId="260" priority="234" stopIfTrue="1">
      <formula>H1769=0</formula>
    </cfRule>
  </conditionalFormatting>
  <conditionalFormatting sqref="H1825:N1827">
    <cfRule type="expression" dxfId="259" priority="1406" stopIfTrue="1">
      <formula>H1825=0</formula>
    </cfRule>
  </conditionalFormatting>
  <conditionalFormatting sqref="H1828:N1828">
    <cfRule type="expression" dxfId="258" priority="1443" stopIfTrue="1">
      <formula>H1828=EUconst_NA</formula>
    </cfRule>
    <cfRule type="expression" dxfId="257" priority="1444" stopIfTrue="1">
      <formula>H1828=0</formula>
    </cfRule>
  </conditionalFormatting>
  <conditionalFormatting sqref="H1830:N1851">
    <cfRule type="expression" dxfId="256" priority="1441" stopIfTrue="1">
      <formula>H1830=0</formula>
    </cfRule>
  </conditionalFormatting>
  <conditionalFormatting sqref="H1898:N1900">
    <cfRule type="expression" dxfId="255" priority="133" stopIfTrue="1">
      <formula>H1898=0</formula>
    </cfRule>
  </conditionalFormatting>
  <conditionalFormatting sqref="H1901:N1901">
    <cfRule type="expression" dxfId="254" priority="226" stopIfTrue="1">
      <formula>H1901=EUconst_NA</formula>
    </cfRule>
    <cfRule type="expression" dxfId="253" priority="227" stopIfTrue="1">
      <formula>H1901=0</formula>
    </cfRule>
  </conditionalFormatting>
  <conditionalFormatting sqref="H1903:N1924">
    <cfRule type="expression" dxfId="252" priority="225" stopIfTrue="1">
      <formula>H1903=0</formula>
    </cfRule>
  </conditionalFormatting>
  <conditionalFormatting sqref="H1971:N1973">
    <cfRule type="expression" dxfId="251" priority="132" stopIfTrue="1">
      <formula>H1971=0</formula>
    </cfRule>
  </conditionalFormatting>
  <conditionalFormatting sqref="H1974:N1974">
    <cfRule type="expression" dxfId="250" priority="215" stopIfTrue="1">
      <formula>H1974=EUconst_NA</formula>
    </cfRule>
    <cfRule type="expression" dxfId="249" priority="216" stopIfTrue="1">
      <formula>H1974=0</formula>
    </cfRule>
  </conditionalFormatting>
  <conditionalFormatting sqref="H1976:N1997">
    <cfRule type="expression" dxfId="248" priority="214" stopIfTrue="1">
      <formula>H1976=0</formula>
    </cfRule>
  </conditionalFormatting>
  <conditionalFormatting sqref="H2044:N2046">
    <cfRule type="expression" dxfId="247" priority="131" stopIfTrue="1">
      <formula>H2044=0</formula>
    </cfRule>
  </conditionalFormatting>
  <conditionalFormatting sqref="H2047:N2047">
    <cfRule type="expression" dxfId="246" priority="205" stopIfTrue="1">
      <formula>H2047=0</formula>
    </cfRule>
    <cfRule type="expression" dxfId="245" priority="204" stopIfTrue="1">
      <formula>H2047=EUconst_NA</formula>
    </cfRule>
  </conditionalFormatting>
  <conditionalFormatting sqref="H2049:N2070">
    <cfRule type="expression" dxfId="244" priority="203" stopIfTrue="1">
      <formula>H2049=0</formula>
    </cfRule>
  </conditionalFormatting>
  <conditionalFormatting sqref="H2118:N2118">
    <cfRule type="expression" dxfId="243" priority="184" stopIfTrue="1">
      <formula>H2118=0</formula>
    </cfRule>
    <cfRule type="expression" dxfId="242" priority="183" stopIfTrue="1">
      <formula>H2118=EUconst_NA</formula>
    </cfRule>
  </conditionalFormatting>
  <conditionalFormatting sqref="H2120:N2130">
    <cfRule type="expression" dxfId="241" priority="182" stopIfTrue="1">
      <formula>H2120=0</formula>
    </cfRule>
  </conditionalFormatting>
  <conditionalFormatting sqref="H2178:N2178">
    <cfRule type="expression" dxfId="240" priority="173" stopIfTrue="1">
      <formula>H2178=EUconst_NA</formula>
    </cfRule>
    <cfRule type="expression" dxfId="239" priority="174" stopIfTrue="1">
      <formula>H2178=0</formula>
    </cfRule>
  </conditionalFormatting>
  <conditionalFormatting sqref="H2180:N2190">
    <cfRule type="expression" dxfId="238" priority="172" stopIfTrue="1">
      <formula>H2180=0</formula>
    </cfRule>
  </conditionalFormatting>
  <conditionalFormatting sqref="H2238:N2238">
    <cfRule type="expression" dxfId="237" priority="164" stopIfTrue="1">
      <formula>H2238=0</formula>
    </cfRule>
    <cfRule type="expression" dxfId="236" priority="163" stopIfTrue="1">
      <formula>H2238=EUconst_NA</formula>
    </cfRule>
  </conditionalFormatting>
  <conditionalFormatting sqref="H2240:N2250">
    <cfRule type="expression" dxfId="235" priority="162" stopIfTrue="1">
      <formula>H2240=0</formula>
    </cfRule>
  </conditionalFormatting>
  <conditionalFormatting sqref="H2298:N2298">
    <cfRule type="expression" dxfId="234" priority="153" stopIfTrue="1">
      <formula>H2298=EUconst_NA</formula>
    </cfRule>
    <cfRule type="expression" dxfId="233" priority="154" stopIfTrue="1">
      <formula>H2298=0</formula>
    </cfRule>
  </conditionalFormatting>
  <conditionalFormatting sqref="H2346:N2346">
    <cfRule type="expression" dxfId="232" priority="144" stopIfTrue="1">
      <formula>H2346=0</formula>
    </cfRule>
    <cfRule type="expression" dxfId="231" priority="143" stopIfTrue="1">
      <formula>H2346=EUconst_NA</formula>
    </cfRule>
  </conditionalFormatting>
  <conditionalFormatting sqref="H2394:N2394">
    <cfRule type="expression" dxfId="230" priority="135" stopIfTrue="1">
      <formula>H2394=0</formula>
    </cfRule>
    <cfRule type="expression" dxfId="229" priority="134" stopIfTrue="1">
      <formula>H2394=EUconst_NA</formula>
    </cfRule>
  </conditionalFormatting>
  <conditionalFormatting sqref="I615:M615">
    <cfRule type="expression" dxfId="228" priority="589" stopIfTrue="1">
      <formula>I615=0</formula>
    </cfRule>
  </conditionalFormatting>
  <conditionalFormatting sqref="I625:M625">
    <cfRule type="expression" dxfId="227" priority="588" stopIfTrue="1">
      <formula>I625=0</formula>
    </cfRule>
  </conditionalFormatting>
  <conditionalFormatting sqref="I743:M743">
    <cfRule type="expression" dxfId="226" priority="549" stopIfTrue="1">
      <formula>I743=0</formula>
    </cfRule>
  </conditionalFormatting>
  <conditionalFormatting sqref="I753:M753">
    <cfRule type="expression" dxfId="225" priority="548" stopIfTrue="1">
      <formula>I753=0</formula>
    </cfRule>
  </conditionalFormatting>
  <conditionalFormatting sqref="I871:M871">
    <cfRule type="expression" dxfId="224" priority="511" stopIfTrue="1">
      <formula>I871=0</formula>
    </cfRule>
  </conditionalFormatting>
  <conditionalFormatting sqref="I881:M881">
    <cfRule type="expression" dxfId="223" priority="510" stopIfTrue="1">
      <formula>I881=0</formula>
    </cfRule>
  </conditionalFormatting>
  <conditionalFormatting sqref="I999:M999">
    <cfRule type="expression" dxfId="222" priority="473" stopIfTrue="1">
      <formula>I999=0</formula>
    </cfRule>
  </conditionalFormatting>
  <conditionalFormatting sqref="I1009:M1009">
    <cfRule type="expression" dxfId="221" priority="472" stopIfTrue="1">
      <formula>I1009=0</formula>
    </cfRule>
  </conditionalFormatting>
  <conditionalFormatting sqref="I1127:M1127">
    <cfRule type="expression" dxfId="220" priority="435" stopIfTrue="1">
      <formula>I1127=0</formula>
    </cfRule>
  </conditionalFormatting>
  <conditionalFormatting sqref="I1137:M1137">
    <cfRule type="expression" dxfId="219" priority="434" stopIfTrue="1">
      <formula>I1137=0</formula>
    </cfRule>
  </conditionalFormatting>
  <conditionalFormatting sqref="I1255:M1255">
    <cfRule type="expression" dxfId="218" priority="397" stopIfTrue="1">
      <formula>I1255=0</formula>
    </cfRule>
  </conditionalFormatting>
  <conditionalFormatting sqref="I1265:M1265">
    <cfRule type="expression" dxfId="217" priority="396" stopIfTrue="1">
      <formula>I1265=0</formula>
    </cfRule>
  </conditionalFormatting>
  <conditionalFormatting sqref="I1383:M1383">
    <cfRule type="expression" dxfId="216" priority="359" stopIfTrue="1">
      <formula>I1383=0</formula>
    </cfRule>
  </conditionalFormatting>
  <conditionalFormatting sqref="I1393:M1393">
    <cfRule type="expression" dxfId="215" priority="358" stopIfTrue="1">
      <formula>I1393=0</formula>
    </cfRule>
  </conditionalFormatting>
  <conditionalFormatting sqref="I1511:M1511">
    <cfRule type="expression" dxfId="214" priority="321" stopIfTrue="1">
      <formula>I1511=0</formula>
    </cfRule>
  </conditionalFormatting>
  <conditionalFormatting sqref="I1521:M1521">
    <cfRule type="expression" dxfId="213" priority="320" stopIfTrue="1">
      <formula>I1521=0</formula>
    </cfRule>
  </conditionalFormatting>
  <conditionalFormatting sqref="I1639:M1639">
    <cfRule type="expression" dxfId="212" priority="283" stopIfTrue="1">
      <formula>I1639=0</formula>
    </cfRule>
  </conditionalFormatting>
  <conditionalFormatting sqref="I1649:M1649">
    <cfRule type="expression" dxfId="211" priority="282" stopIfTrue="1">
      <formula>I1649=0</formula>
    </cfRule>
  </conditionalFormatting>
  <conditionalFormatting sqref="I1767:M1767">
    <cfRule type="expression" dxfId="210" priority="245" stopIfTrue="1">
      <formula>I1767=0</formula>
    </cfRule>
  </conditionalFormatting>
  <conditionalFormatting sqref="I1777:M1777">
    <cfRule type="expression" dxfId="209" priority="244" stopIfTrue="1">
      <formula>I1777=0</formula>
    </cfRule>
  </conditionalFormatting>
  <conditionalFormatting sqref="J510:N511">
    <cfRule type="expression" dxfId="208" priority="1030" stopIfTrue="1">
      <formula>J510=TRUE</formula>
    </cfRule>
  </conditionalFormatting>
  <conditionalFormatting sqref="J523:N523">
    <cfRule type="expression" dxfId="207" priority="1045" stopIfTrue="1">
      <formula>J524=TRUE</formula>
    </cfRule>
  </conditionalFormatting>
  <conditionalFormatting sqref="J524:N524">
    <cfRule type="expression" dxfId="206" priority="1046" stopIfTrue="1">
      <formula>J524=TRUE</formula>
    </cfRule>
  </conditionalFormatting>
  <conditionalFormatting sqref="J529:N529">
    <cfRule type="expression" dxfId="205" priority="1040" stopIfTrue="1">
      <formula>J530=TRUE</formula>
    </cfRule>
  </conditionalFormatting>
  <conditionalFormatting sqref="J530:N530">
    <cfRule type="expression" dxfId="204" priority="1038" stopIfTrue="1">
      <formula>J530=TRUE</formula>
    </cfRule>
  </conditionalFormatting>
  <conditionalFormatting sqref="J535:N535">
    <cfRule type="expression" dxfId="203" priority="1043" stopIfTrue="1">
      <formula>J536=TRUE</formula>
    </cfRule>
  </conditionalFormatting>
  <conditionalFormatting sqref="J536:N536">
    <cfRule type="expression" dxfId="202" priority="1037" stopIfTrue="1">
      <formula>J536=TRUE</formula>
    </cfRule>
  </conditionalFormatting>
  <conditionalFormatting sqref="J541:N541">
    <cfRule type="expression" dxfId="201" priority="1042" stopIfTrue="1">
      <formula>J542=TRUE</formula>
    </cfRule>
  </conditionalFormatting>
  <conditionalFormatting sqref="J542:N542">
    <cfRule type="expression" dxfId="200" priority="1036" stopIfTrue="1">
      <formula>J542=TRUE</formula>
    </cfRule>
  </conditionalFormatting>
  <conditionalFormatting sqref="J547:N547">
    <cfRule type="expression" dxfId="199" priority="1041" stopIfTrue="1">
      <formula>J548=TRUE</formula>
    </cfRule>
  </conditionalFormatting>
  <conditionalFormatting sqref="J548:N548">
    <cfRule type="expression" dxfId="198" priority="1035" stopIfTrue="1">
      <formula>J548=TRUE</formula>
    </cfRule>
  </conditionalFormatting>
  <conditionalFormatting sqref="J561:N561">
    <cfRule type="expression" dxfId="197" priority="577" stopIfTrue="1">
      <formula>J561=TRUE</formula>
    </cfRule>
  </conditionalFormatting>
  <conditionalFormatting sqref="J566:N571">
    <cfRule type="expression" dxfId="196" priority="1031" stopIfTrue="1">
      <formula>J514&lt;&gt;J566</formula>
    </cfRule>
  </conditionalFormatting>
  <conditionalFormatting sqref="J638:N639">
    <cfRule type="expression" dxfId="195" priority="119" stopIfTrue="1">
      <formula>J638=TRUE</formula>
    </cfRule>
  </conditionalFormatting>
  <conditionalFormatting sqref="J651:N651">
    <cfRule type="expression" dxfId="194" priority="129" stopIfTrue="1">
      <formula>J652=TRUE</formula>
    </cfRule>
  </conditionalFormatting>
  <conditionalFormatting sqref="J652:N652">
    <cfRule type="expression" dxfId="193" priority="130" stopIfTrue="1">
      <formula>J652=TRUE</formula>
    </cfRule>
  </conditionalFormatting>
  <conditionalFormatting sqref="J657:N657">
    <cfRule type="expression" dxfId="192" priority="125" stopIfTrue="1">
      <formula>J658=TRUE</formula>
    </cfRule>
  </conditionalFormatting>
  <conditionalFormatting sqref="J658:N658">
    <cfRule type="expression" dxfId="191" priority="124" stopIfTrue="1">
      <formula>J658=TRUE</formula>
    </cfRule>
  </conditionalFormatting>
  <conditionalFormatting sqref="J663:N663">
    <cfRule type="expression" dxfId="190" priority="128" stopIfTrue="1">
      <formula>J664=TRUE</formula>
    </cfRule>
  </conditionalFormatting>
  <conditionalFormatting sqref="J664:N664">
    <cfRule type="expression" dxfId="189" priority="123" stopIfTrue="1">
      <formula>J664=TRUE</formula>
    </cfRule>
  </conditionalFormatting>
  <conditionalFormatting sqref="J669:N669">
    <cfRule type="expression" dxfId="188" priority="127" stopIfTrue="1">
      <formula>J670=TRUE</formula>
    </cfRule>
  </conditionalFormatting>
  <conditionalFormatting sqref="J670:N670">
    <cfRule type="expression" dxfId="187" priority="122" stopIfTrue="1">
      <formula>J670=TRUE</formula>
    </cfRule>
  </conditionalFormatting>
  <conditionalFormatting sqref="J675:N675">
    <cfRule type="expression" dxfId="186" priority="126" stopIfTrue="1">
      <formula>J676=TRUE</formula>
    </cfRule>
  </conditionalFormatting>
  <conditionalFormatting sqref="J676:N676">
    <cfRule type="expression" dxfId="185" priority="121" stopIfTrue="1">
      <formula>J676=TRUE</formula>
    </cfRule>
  </conditionalFormatting>
  <conditionalFormatting sqref="J689:N689">
    <cfRule type="expression" dxfId="184" priority="118" stopIfTrue="1">
      <formula>J689=TRUE</formula>
    </cfRule>
  </conditionalFormatting>
  <conditionalFormatting sqref="J694:N699">
    <cfRule type="expression" dxfId="183" priority="120" stopIfTrue="1">
      <formula>J642&lt;&gt;J694</formula>
    </cfRule>
  </conditionalFormatting>
  <conditionalFormatting sqref="J766:N767">
    <cfRule type="expression" dxfId="182" priority="80" stopIfTrue="1">
      <formula>J766=TRUE</formula>
    </cfRule>
  </conditionalFormatting>
  <conditionalFormatting sqref="J779:N779">
    <cfRule type="expression" dxfId="181" priority="90" stopIfTrue="1">
      <formula>J780=TRUE</formula>
    </cfRule>
  </conditionalFormatting>
  <conditionalFormatting sqref="J780:N780">
    <cfRule type="expression" dxfId="180" priority="91" stopIfTrue="1">
      <formula>J780=TRUE</formula>
    </cfRule>
  </conditionalFormatting>
  <conditionalFormatting sqref="J785:N785">
    <cfRule type="expression" dxfId="179" priority="86" stopIfTrue="1">
      <formula>J786=TRUE</formula>
    </cfRule>
  </conditionalFormatting>
  <conditionalFormatting sqref="J786:N786">
    <cfRule type="expression" dxfId="178" priority="85" stopIfTrue="1">
      <formula>J786=TRUE</formula>
    </cfRule>
  </conditionalFormatting>
  <conditionalFormatting sqref="J791:N791">
    <cfRule type="expression" dxfId="177" priority="89" stopIfTrue="1">
      <formula>J792=TRUE</formula>
    </cfRule>
  </conditionalFormatting>
  <conditionalFormatting sqref="J792:N792">
    <cfRule type="expression" dxfId="176" priority="84" stopIfTrue="1">
      <formula>J792=TRUE</formula>
    </cfRule>
  </conditionalFormatting>
  <conditionalFormatting sqref="J797:N797">
    <cfRule type="expression" dxfId="175" priority="88" stopIfTrue="1">
      <formula>J798=TRUE</formula>
    </cfRule>
  </conditionalFormatting>
  <conditionalFormatting sqref="J798:N798">
    <cfRule type="expression" dxfId="174" priority="83" stopIfTrue="1">
      <formula>J798=TRUE</formula>
    </cfRule>
  </conditionalFormatting>
  <conditionalFormatting sqref="J803:N803">
    <cfRule type="expression" dxfId="173" priority="87" stopIfTrue="1">
      <formula>J804=TRUE</formula>
    </cfRule>
  </conditionalFormatting>
  <conditionalFormatting sqref="J804:N804">
    <cfRule type="expression" dxfId="172" priority="82" stopIfTrue="1">
      <formula>J804=TRUE</formula>
    </cfRule>
  </conditionalFormatting>
  <conditionalFormatting sqref="J817:N817">
    <cfRule type="expression" dxfId="171" priority="79" stopIfTrue="1">
      <formula>J817=TRUE</formula>
    </cfRule>
  </conditionalFormatting>
  <conditionalFormatting sqref="J822:N827">
    <cfRule type="expression" dxfId="170" priority="81" stopIfTrue="1">
      <formula>J770&lt;&gt;J822</formula>
    </cfRule>
  </conditionalFormatting>
  <conditionalFormatting sqref="J894:N895">
    <cfRule type="expression" dxfId="169" priority="67" stopIfTrue="1">
      <formula>J894=TRUE</formula>
    </cfRule>
  </conditionalFormatting>
  <conditionalFormatting sqref="J907:N907">
    <cfRule type="expression" dxfId="168" priority="77" stopIfTrue="1">
      <formula>J908=TRUE</formula>
    </cfRule>
  </conditionalFormatting>
  <conditionalFormatting sqref="J908:N908">
    <cfRule type="expression" dxfId="167" priority="78" stopIfTrue="1">
      <formula>J908=TRUE</formula>
    </cfRule>
  </conditionalFormatting>
  <conditionalFormatting sqref="J913:N913">
    <cfRule type="expression" dxfId="166" priority="73" stopIfTrue="1">
      <formula>J914=TRUE</formula>
    </cfRule>
  </conditionalFormatting>
  <conditionalFormatting sqref="J914:N914">
    <cfRule type="expression" dxfId="165" priority="72" stopIfTrue="1">
      <formula>J914=TRUE</formula>
    </cfRule>
  </conditionalFormatting>
  <conditionalFormatting sqref="J919:N919">
    <cfRule type="expression" dxfId="164" priority="76" stopIfTrue="1">
      <formula>J920=TRUE</formula>
    </cfRule>
  </conditionalFormatting>
  <conditionalFormatting sqref="J920:N920">
    <cfRule type="expression" dxfId="163" priority="71" stopIfTrue="1">
      <formula>J920=TRUE</formula>
    </cfRule>
  </conditionalFormatting>
  <conditionalFormatting sqref="J925:N925">
    <cfRule type="expression" dxfId="162" priority="75" stopIfTrue="1">
      <formula>J926=TRUE</formula>
    </cfRule>
  </conditionalFormatting>
  <conditionalFormatting sqref="J926:N926">
    <cfRule type="expression" dxfId="161" priority="70" stopIfTrue="1">
      <formula>J926=TRUE</formula>
    </cfRule>
  </conditionalFormatting>
  <conditionalFormatting sqref="J931:N931">
    <cfRule type="expression" dxfId="160" priority="74" stopIfTrue="1">
      <formula>J932=TRUE</formula>
    </cfRule>
  </conditionalFormatting>
  <conditionalFormatting sqref="J932:N932">
    <cfRule type="expression" dxfId="159" priority="69" stopIfTrue="1">
      <formula>J932=TRUE</formula>
    </cfRule>
  </conditionalFormatting>
  <conditionalFormatting sqref="J945:N945">
    <cfRule type="expression" dxfId="158" priority="66" stopIfTrue="1">
      <formula>J945=TRUE</formula>
    </cfRule>
  </conditionalFormatting>
  <conditionalFormatting sqref="J950:N955">
    <cfRule type="expression" dxfId="157" priority="68" stopIfTrue="1">
      <formula>J898&lt;&gt;J950</formula>
    </cfRule>
  </conditionalFormatting>
  <conditionalFormatting sqref="J1022:N1023">
    <cfRule type="expression" dxfId="156" priority="93" stopIfTrue="1">
      <formula>J1022=TRUE</formula>
    </cfRule>
  </conditionalFormatting>
  <conditionalFormatting sqref="J1035:N1035">
    <cfRule type="expression" dxfId="155" priority="103" stopIfTrue="1">
      <formula>J1036=TRUE</formula>
    </cfRule>
  </conditionalFormatting>
  <conditionalFormatting sqref="J1036:N1036">
    <cfRule type="expression" dxfId="154" priority="104" stopIfTrue="1">
      <formula>J1036=TRUE</formula>
    </cfRule>
  </conditionalFormatting>
  <conditionalFormatting sqref="J1041:N1041">
    <cfRule type="expression" dxfId="153" priority="99" stopIfTrue="1">
      <formula>J1042=TRUE</formula>
    </cfRule>
  </conditionalFormatting>
  <conditionalFormatting sqref="J1042:N1042">
    <cfRule type="expression" dxfId="152" priority="98" stopIfTrue="1">
      <formula>J1042=TRUE</formula>
    </cfRule>
  </conditionalFormatting>
  <conditionalFormatting sqref="J1047:N1047">
    <cfRule type="expression" dxfId="151" priority="102" stopIfTrue="1">
      <formula>J1048=TRUE</formula>
    </cfRule>
  </conditionalFormatting>
  <conditionalFormatting sqref="J1048:N1048">
    <cfRule type="expression" dxfId="150" priority="97" stopIfTrue="1">
      <formula>J1048=TRUE</formula>
    </cfRule>
  </conditionalFormatting>
  <conditionalFormatting sqref="J1053:N1053">
    <cfRule type="expression" dxfId="149" priority="101" stopIfTrue="1">
      <formula>J1054=TRUE</formula>
    </cfRule>
  </conditionalFormatting>
  <conditionalFormatting sqref="J1054:N1054">
    <cfRule type="expression" dxfId="148" priority="96" stopIfTrue="1">
      <formula>J1054=TRUE</formula>
    </cfRule>
  </conditionalFormatting>
  <conditionalFormatting sqref="J1059:N1059">
    <cfRule type="expression" dxfId="147" priority="100" stopIfTrue="1">
      <formula>J1060=TRUE</formula>
    </cfRule>
  </conditionalFormatting>
  <conditionalFormatting sqref="J1060:N1060">
    <cfRule type="expression" dxfId="146" priority="95" stopIfTrue="1">
      <formula>J1060=TRUE</formula>
    </cfRule>
  </conditionalFormatting>
  <conditionalFormatting sqref="J1073:N1073">
    <cfRule type="expression" dxfId="145" priority="92" stopIfTrue="1">
      <formula>J1073=TRUE</formula>
    </cfRule>
  </conditionalFormatting>
  <conditionalFormatting sqref="J1078:N1083">
    <cfRule type="expression" dxfId="144" priority="94" stopIfTrue="1">
      <formula>J1026&lt;&gt;J1078</formula>
    </cfRule>
  </conditionalFormatting>
  <conditionalFormatting sqref="J1150:N1151">
    <cfRule type="expression" dxfId="143" priority="54" stopIfTrue="1">
      <formula>J1150=TRUE</formula>
    </cfRule>
  </conditionalFormatting>
  <conditionalFormatting sqref="J1163:N1163">
    <cfRule type="expression" dxfId="142" priority="64" stopIfTrue="1">
      <formula>J1164=TRUE</formula>
    </cfRule>
  </conditionalFormatting>
  <conditionalFormatting sqref="J1164:N1164">
    <cfRule type="expression" dxfId="141" priority="65" stopIfTrue="1">
      <formula>J1164=TRUE</formula>
    </cfRule>
  </conditionalFormatting>
  <conditionalFormatting sqref="J1169:N1169">
    <cfRule type="expression" dxfId="140" priority="60" stopIfTrue="1">
      <formula>J1170=TRUE</formula>
    </cfRule>
  </conditionalFormatting>
  <conditionalFormatting sqref="J1170:N1170">
    <cfRule type="expression" dxfId="139" priority="59" stopIfTrue="1">
      <formula>J1170=TRUE</formula>
    </cfRule>
  </conditionalFormatting>
  <conditionalFormatting sqref="J1175:N1175">
    <cfRule type="expression" dxfId="138" priority="63" stopIfTrue="1">
      <formula>J1176=TRUE</formula>
    </cfRule>
  </conditionalFormatting>
  <conditionalFormatting sqref="J1176:N1176">
    <cfRule type="expression" dxfId="137" priority="58" stopIfTrue="1">
      <formula>J1176=TRUE</formula>
    </cfRule>
  </conditionalFormatting>
  <conditionalFormatting sqref="J1181:N1181">
    <cfRule type="expression" dxfId="136" priority="62" stopIfTrue="1">
      <formula>J1182=TRUE</formula>
    </cfRule>
  </conditionalFormatting>
  <conditionalFormatting sqref="J1182:N1182">
    <cfRule type="expression" dxfId="135" priority="57" stopIfTrue="1">
      <formula>J1182=TRUE</formula>
    </cfRule>
  </conditionalFormatting>
  <conditionalFormatting sqref="J1187:N1187">
    <cfRule type="expression" dxfId="134" priority="61" stopIfTrue="1">
      <formula>J1188=TRUE</formula>
    </cfRule>
  </conditionalFormatting>
  <conditionalFormatting sqref="J1188:N1188">
    <cfRule type="expression" dxfId="133" priority="56" stopIfTrue="1">
      <formula>J1188=TRUE</formula>
    </cfRule>
  </conditionalFormatting>
  <conditionalFormatting sqref="J1201:N1201">
    <cfRule type="expression" dxfId="132" priority="53" stopIfTrue="1">
      <formula>J1201=TRUE</formula>
    </cfRule>
  </conditionalFormatting>
  <conditionalFormatting sqref="J1206:N1211">
    <cfRule type="expression" dxfId="131" priority="55" stopIfTrue="1">
      <formula>J1154&lt;&gt;J1206</formula>
    </cfRule>
  </conditionalFormatting>
  <conditionalFormatting sqref="J1278:N1279">
    <cfRule type="expression" dxfId="130" priority="41" stopIfTrue="1">
      <formula>J1278=TRUE</formula>
    </cfRule>
  </conditionalFormatting>
  <conditionalFormatting sqref="J1291:N1291">
    <cfRule type="expression" dxfId="129" priority="51" stopIfTrue="1">
      <formula>J1292=TRUE</formula>
    </cfRule>
  </conditionalFormatting>
  <conditionalFormatting sqref="J1292:N1292">
    <cfRule type="expression" dxfId="128" priority="52" stopIfTrue="1">
      <formula>J1292=TRUE</formula>
    </cfRule>
  </conditionalFormatting>
  <conditionalFormatting sqref="J1297:N1297">
    <cfRule type="expression" dxfId="127" priority="47" stopIfTrue="1">
      <formula>J1298=TRUE</formula>
    </cfRule>
  </conditionalFormatting>
  <conditionalFormatting sqref="J1298:N1298">
    <cfRule type="expression" dxfId="126" priority="46" stopIfTrue="1">
      <formula>J1298=TRUE</formula>
    </cfRule>
  </conditionalFormatting>
  <conditionalFormatting sqref="J1303:N1303">
    <cfRule type="expression" dxfId="125" priority="50" stopIfTrue="1">
      <formula>J1304=TRUE</formula>
    </cfRule>
  </conditionalFormatting>
  <conditionalFormatting sqref="J1304:N1304">
    <cfRule type="expression" dxfId="124" priority="45" stopIfTrue="1">
      <formula>J1304=TRUE</formula>
    </cfRule>
  </conditionalFormatting>
  <conditionalFormatting sqref="J1309:N1309">
    <cfRule type="expression" dxfId="123" priority="49" stopIfTrue="1">
      <formula>J1310=TRUE</formula>
    </cfRule>
  </conditionalFormatting>
  <conditionalFormatting sqref="J1310:N1310">
    <cfRule type="expression" dxfId="122" priority="44" stopIfTrue="1">
      <formula>J1310=TRUE</formula>
    </cfRule>
  </conditionalFormatting>
  <conditionalFormatting sqref="J1315:N1315">
    <cfRule type="expression" dxfId="121" priority="48" stopIfTrue="1">
      <formula>J1316=TRUE</formula>
    </cfRule>
  </conditionalFormatting>
  <conditionalFormatting sqref="J1316:N1316">
    <cfRule type="expression" dxfId="120" priority="43" stopIfTrue="1">
      <formula>J1316=TRUE</formula>
    </cfRule>
  </conditionalFormatting>
  <conditionalFormatting sqref="J1329:N1329">
    <cfRule type="expression" dxfId="119" priority="40" stopIfTrue="1">
      <formula>J1329=TRUE</formula>
    </cfRule>
  </conditionalFormatting>
  <conditionalFormatting sqref="J1334:N1339">
    <cfRule type="expression" dxfId="118" priority="42" stopIfTrue="1">
      <formula>J1282&lt;&gt;J1334</formula>
    </cfRule>
  </conditionalFormatting>
  <conditionalFormatting sqref="J1406:N1407">
    <cfRule type="expression" dxfId="117" priority="28" stopIfTrue="1">
      <formula>J1406=TRUE</formula>
    </cfRule>
  </conditionalFormatting>
  <conditionalFormatting sqref="J1419:N1419">
    <cfRule type="expression" dxfId="116" priority="38" stopIfTrue="1">
      <formula>J1420=TRUE</formula>
    </cfRule>
  </conditionalFormatting>
  <conditionalFormatting sqref="J1420:N1420">
    <cfRule type="expression" dxfId="115" priority="39" stopIfTrue="1">
      <formula>J1420=TRUE</formula>
    </cfRule>
  </conditionalFormatting>
  <conditionalFormatting sqref="J1425:N1425">
    <cfRule type="expression" dxfId="114" priority="34" stopIfTrue="1">
      <formula>J1426=TRUE</formula>
    </cfRule>
  </conditionalFormatting>
  <conditionalFormatting sqref="J1426:N1426">
    <cfRule type="expression" dxfId="113" priority="33" stopIfTrue="1">
      <formula>J1426=TRUE</formula>
    </cfRule>
  </conditionalFormatting>
  <conditionalFormatting sqref="J1431:N1431">
    <cfRule type="expression" dxfId="112" priority="37" stopIfTrue="1">
      <formula>J1432=TRUE</formula>
    </cfRule>
  </conditionalFormatting>
  <conditionalFormatting sqref="J1432:N1432">
    <cfRule type="expression" dxfId="111" priority="32" stopIfTrue="1">
      <formula>J1432=TRUE</formula>
    </cfRule>
  </conditionalFormatting>
  <conditionalFormatting sqref="J1437:N1437">
    <cfRule type="expression" dxfId="110" priority="36" stopIfTrue="1">
      <formula>J1438=TRUE</formula>
    </cfRule>
  </conditionalFormatting>
  <conditionalFormatting sqref="J1438:N1438">
    <cfRule type="expression" dxfId="109" priority="31" stopIfTrue="1">
      <formula>J1438=TRUE</formula>
    </cfRule>
  </conditionalFormatting>
  <conditionalFormatting sqref="J1443:N1443">
    <cfRule type="expression" dxfId="108" priority="35" stopIfTrue="1">
      <formula>J1444=TRUE</formula>
    </cfRule>
  </conditionalFormatting>
  <conditionalFormatting sqref="J1444:N1444">
    <cfRule type="expression" dxfId="107" priority="30" stopIfTrue="1">
      <formula>J1444=TRUE</formula>
    </cfRule>
  </conditionalFormatting>
  <conditionalFormatting sqref="J1457:N1457">
    <cfRule type="expression" dxfId="106" priority="27" stopIfTrue="1">
      <formula>J1457=TRUE</formula>
    </cfRule>
  </conditionalFormatting>
  <conditionalFormatting sqref="J1462:N1467">
    <cfRule type="expression" dxfId="105" priority="29" stopIfTrue="1">
      <formula>J1410&lt;&gt;J1462</formula>
    </cfRule>
  </conditionalFormatting>
  <conditionalFormatting sqref="J1534:N1535">
    <cfRule type="expression" dxfId="104" priority="15" stopIfTrue="1">
      <formula>J1534=TRUE</formula>
    </cfRule>
  </conditionalFormatting>
  <conditionalFormatting sqref="J1547:N1547">
    <cfRule type="expression" dxfId="103" priority="25" stopIfTrue="1">
      <formula>J1548=TRUE</formula>
    </cfRule>
  </conditionalFormatting>
  <conditionalFormatting sqref="J1548:N1548">
    <cfRule type="expression" dxfId="102" priority="26" stopIfTrue="1">
      <formula>J1548=TRUE</formula>
    </cfRule>
  </conditionalFormatting>
  <conditionalFormatting sqref="J1553:N1553">
    <cfRule type="expression" dxfId="101" priority="21" stopIfTrue="1">
      <formula>J1554=TRUE</formula>
    </cfRule>
  </conditionalFormatting>
  <conditionalFormatting sqref="J1554:N1554">
    <cfRule type="expression" dxfId="100" priority="20" stopIfTrue="1">
      <formula>J1554=TRUE</formula>
    </cfRule>
  </conditionalFormatting>
  <conditionalFormatting sqref="J1559:N1559">
    <cfRule type="expression" dxfId="99" priority="24" stopIfTrue="1">
      <formula>J1560=TRUE</formula>
    </cfRule>
  </conditionalFormatting>
  <conditionalFormatting sqref="J1560:N1560">
    <cfRule type="expression" dxfId="98" priority="19" stopIfTrue="1">
      <formula>J1560=TRUE</formula>
    </cfRule>
  </conditionalFormatting>
  <conditionalFormatting sqref="J1565:N1565">
    <cfRule type="expression" dxfId="97" priority="23" stopIfTrue="1">
      <formula>J1566=TRUE</formula>
    </cfRule>
  </conditionalFormatting>
  <conditionalFormatting sqref="J1566:N1566">
    <cfRule type="expression" dxfId="96" priority="18" stopIfTrue="1">
      <formula>J1566=TRUE</formula>
    </cfRule>
  </conditionalFormatting>
  <conditionalFormatting sqref="J1571:N1571">
    <cfRule type="expression" dxfId="95" priority="22" stopIfTrue="1">
      <formula>J1572=TRUE</formula>
    </cfRule>
  </conditionalFormatting>
  <conditionalFormatting sqref="J1572:N1572">
    <cfRule type="expression" dxfId="94" priority="17" stopIfTrue="1">
      <formula>J1572=TRUE</formula>
    </cfRule>
  </conditionalFormatting>
  <conditionalFormatting sqref="J1585:N1585">
    <cfRule type="expression" dxfId="93" priority="14" stopIfTrue="1">
      <formula>J1585=TRUE</formula>
    </cfRule>
  </conditionalFormatting>
  <conditionalFormatting sqref="J1590:N1595">
    <cfRule type="expression" dxfId="92" priority="16" stopIfTrue="1">
      <formula>J1538&lt;&gt;J1590</formula>
    </cfRule>
  </conditionalFormatting>
  <conditionalFormatting sqref="J1662:N1663">
    <cfRule type="expression" dxfId="91" priority="2" stopIfTrue="1">
      <formula>J1662=TRUE</formula>
    </cfRule>
  </conditionalFormatting>
  <conditionalFormatting sqref="J1675:N1675">
    <cfRule type="expression" dxfId="90" priority="12" stopIfTrue="1">
      <formula>J1676=TRUE</formula>
    </cfRule>
  </conditionalFormatting>
  <conditionalFormatting sqref="J1676:N1676">
    <cfRule type="expression" dxfId="89" priority="13" stopIfTrue="1">
      <formula>J1676=TRUE</formula>
    </cfRule>
  </conditionalFormatting>
  <conditionalFormatting sqref="J1681:N1681">
    <cfRule type="expression" dxfId="88" priority="8" stopIfTrue="1">
      <formula>J1682=TRUE</formula>
    </cfRule>
  </conditionalFormatting>
  <conditionalFormatting sqref="J1682:N1682">
    <cfRule type="expression" dxfId="87" priority="7" stopIfTrue="1">
      <formula>J1682=TRUE</formula>
    </cfRule>
  </conditionalFormatting>
  <conditionalFormatting sqref="J1687:N1687">
    <cfRule type="expression" dxfId="86" priority="11" stopIfTrue="1">
      <formula>J1688=TRUE</formula>
    </cfRule>
  </conditionalFormatting>
  <conditionalFormatting sqref="J1688:N1688">
    <cfRule type="expression" dxfId="85" priority="6" stopIfTrue="1">
      <formula>J1688=TRUE</formula>
    </cfRule>
  </conditionalFormatting>
  <conditionalFormatting sqref="J1693:N1693">
    <cfRule type="expression" dxfId="84" priority="10" stopIfTrue="1">
      <formula>J1694=TRUE</formula>
    </cfRule>
  </conditionalFormatting>
  <conditionalFormatting sqref="J1694:N1694">
    <cfRule type="expression" dxfId="83" priority="5" stopIfTrue="1">
      <formula>J1694=TRUE</formula>
    </cfRule>
  </conditionalFormatting>
  <conditionalFormatting sqref="J1699:N1699">
    <cfRule type="expression" dxfId="82" priority="9" stopIfTrue="1">
      <formula>J1700=TRUE</formula>
    </cfRule>
  </conditionalFormatting>
  <conditionalFormatting sqref="J1700:N1700">
    <cfRule type="expression" dxfId="81" priority="4" stopIfTrue="1">
      <formula>J1700=TRUE</formula>
    </cfRule>
  </conditionalFormatting>
  <conditionalFormatting sqref="J1713:N1713">
    <cfRule type="expression" dxfId="80" priority="1" stopIfTrue="1">
      <formula>J1713=TRUE</formula>
    </cfRule>
  </conditionalFormatting>
  <conditionalFormatting sqref="J1718:N1723">
    <cfRule type="expression" dxfId="79" priority="3" stopIfTrue="1">
      <formula>J1666&lt;&gt;J1718</formula>
    </cfRule>
  </conditionalFormatting>
  <conditionalFormatting sqref="J1792:N1794">
    <cfRule type="expression" dxfId="78" priority="1239" stopIfTrue="1">
      <formula>J1792=TRUE</formula>
    </cfRule>
  </conditionalFormatting>
  <conditionalFormatting sqref="J1801:N1801">
    <cfRule type="expression" dxfId="77" priority="1235" stopIfTrue="1">
      <formula>J1802=TRUE</formula>
    </cfRule>
  </conditionalFormatting>
  <conditionalFormatting sqref="J1802:N1802">
    <cfRule type="expression" dxfId="76" priority="1236" stopIfTrue="1">
      <formula>J1802=TRUE</formula>
    </cfRule>
  </conditionalFormatting>
  <conditionalFormatting sqref="J1804:N1804">
    <cfRule type="expression" dxfId="75" priority="2418" stopIfTrue="1">
      <formula>#REF!=TRUE</formula>
    </cfRule>
  </conditionalFormatting>
  <conditionalFormatting sqref="J1805:N1805">
    <cfRule type="expression" dxfId="74" priority="1237" stopIfTrue="1">
      <formula>J1805=TRUE</formula>
    </cfRule>
  </conditionalFormatting>
  <conditionalFormatting sqref="J1814:N1814">
    <cfRule type="expression" dxfId="73" priority="576" stopIfTrue="1">
      <formula>J1814=TRUE</formula>
    </cfRule>
  </conditionalFormatting>
  <conditionalFormatting sqref="J1819:N1820">
    <cfRule type="expression" dxfId="72" priority="1227" stopIfTrue="1">
      <formula>J1796&lt;&gt;J1819</formula>
    </cfRule>
  </conditionalFormatting>
  <conditionalFormatting sqref="J1865:N1867">
    <cfRule type="expression" dxfId="71" priority="223" stopIfTrue="1">
      <formula>J1865=TRUE</formula>
    </cfRule>
  </conditionalFormatting>
  <conditionalFormatting sqref="J1874:N1874">
    <cfRule type="expression" dxfId="70" priority="220" stopIfTrue="1">
      <formula>J1875=TRUE</formula>
    </cfRule>
  </conditionalFormatting>
  <conditionalFormatting sqref="J1875:N1875">
    <cfRule type="expression" dxfId="69" priority="221" stopIfTrue="1">
      <formula>J1875=TRUE</formula>
    </cfRule>
  </conditionalFormatting>
  <conditionalFormatting sqref="J1877:N1877">
    <cfRule type="expression" dxfId="68" priority="228" stopIfTrue="1">
      <formula>#REF!=TRUE</formula>
    </cfRule>
  </conditionalFormatting>
  <conditionalFormatting sqref="J1878:N1878">
    <cfRule type="expression" dxfId="67" priority="222" stopIfTrue="1">
      <formula>J1878=TRUE</formula>
    </cfRule>
  </conditionalFormatting>
  <conditionalFormatting sqref="J1887:N1887">
    <cfRule type="expression" dxfId="66" priority="218" stopIfTrue="1">
      <formula>J1887=TRUE</formula>
    </cfRule>
  </conditionalFormatting>
  <conditionalFormatting sqref="J1892:N1893">
    <cfRule type="expression" dxfId="65" priority="219" stopIfTrue="1">
      <formula>J1869&lt;&gt;J1892</formula>
    </cfRule>
  </conditionalFormatting>
  <conditionalFormatting sqref="J1938:N1940">
    <cfRule type="expression" dxfId="64" priority="212" stopIfTrue="1">
      <formula>J1938=TRUE</formula>
    </cfRule>
  </conditionalFormatting>
  <conditionalFormatting sqref="J1947:N1947">
    <cfRule type="expression" dxfId="63" priority="209" stopIfTrue="1">
      <formula>J1948=TRUE</formula>
    </cfRule>
  </conditionalFormatting>
  <conditionalFormatting sqref="J1948:N1948">
    <cfRule type="expression" dxfId="62" priority="210" stopIfTrue="1">
      <formula>J1948=TRUE</formula>
    </cfRule>
  </conditionalFormatting>
  <conditionalFormatting sqref="J1950:N1950">
    <cfRule type="expression" dxfId="61" priority="217" stopIfTrue="1">
      <formula>#REF!=TRUE</formula>
    </cfRule>
  </conditionalFormatting>
  <conditionalFormatting sqref="J1951:N1951">
    <cfRule type="expression" dxfId="60" priority="211" stopIfTrue="1">
      <formula>J1951=TRUE</formula>
    </cfRule>
  </conditionalFormatting>
  <conditionalFormatting sqref="J1960:N1960">
    <cfRule type="expression" dxfId="59" priority="207" stopIfTrue="1">
      <formula>J1960=TRUE</formula>
    </cfRule>
  </conditionalFormatting>
  <conditionalFormatting sqref="J1965:N1966">
    <cfRule type="expression" dxfId="58" priority="208" stopIfTrue="1">
      <formula>J1942&lt;&gt;J1965</formula>
    </cfRule>
  </conditionalFormatting>
  <conditionalFormatting sqref="J2011:N2013">
    <cfRule type="expression" dxfId="57" priority="201" stopIfTrue="1">
      <formula>J2011=TRUE</formula>
    </cfRule>
  </conditionalFormatting>
  <conditionalFormatting sqref="J2020:N2020">
    <cfRule type="expression" dxfId="56" priority="198" stopIfTrue="1">
      <formula>J2021=TRUE</formula>
    </cfRule>
  </conditionalFormatting>
  <conditionalFormatting sqref="J2021:N2021">
    <cfRule type="expression" dxfId="55" priority="199" stopIfTrue="1">
      <formula>J2021=TRUE</formula>
    </cfRule>
  </conditionalFormatting>
  <conditionalFormatting sqref="J2023:N2023">
    <cfRule type="expression" dxfId="54" priority="206" stopIfTrue="1">
      <formula>#REF!=TRUE</formula>
    </cfRule>
  </conditionalFormatting>
  <conditionalFormatting sqref="J2024:N2024">
    <cfRule type="expression" dxfId="53" priority="200" stopIfTrue="1">
      <formula>J2024=TRUE</formula>
    </cfRule>
  </conditionalFormatting>
  <conditionalFormatting sqref="J2033:N2033">
    <cfRule type="expression" dxfId="52" priority="196" stopIfTrue="1">
      <formula>J2033=TRUE</formula>
    </cfRule>
  </conditionalFormatting>
  <conditionalFormatting sqref="J2038:N2039">
    <cfRule type="expression" dxfId="51" priority="197" stopIfTrue="1">
      <formula>J2015&lt;&gt;J2038</formula>
    </cfRule>
  </conditionalFormatting>
  <conditionalFormatting sqref="J2084:N2086">
    <cfRule type="expression" dxfId="50" priority="190" stopIfTrue="1">
      <formula>J2084=TRUE</formula>
    </cfRule>
  </conditionalFormatting>
  <conditionalFormatting sqref="J2093:N2093">
    <cfRule type="expression" dxfId="49" priority="187" stopIfTrue="1">
      <formula>J2094=TRUE</formula>
    </cfRule>
  </conditionalFormatting>
  <conditionalFormatting sqref="J2094:N2094">
    <cfRule type="expression" dxfId="48" priority="188" stopIfTrue="1">
      <formula>J2094=TRUE</formula>
    </cfRule>
  </conditionalFormatting>
  <conditionalFormatting sqref="J2096:N2096">
    <cfRule type="expression" dxfId="47" priority="195" stopIfTrue="1">
      <formula>#REF!=TRUE</formula>
    </cfRule>
  </conditionalFormatting>
  <conditionalFormatting sqref="J2097:N2097">
    <cfRule type="expression" dxfId="46" priority="189" stopIfTrue="1">
      <formula>J2097=TRUE</formula>
    </cfRule>
  </conditionalFormatting>
  <conditionalFormatting sqref="J2106:N2106">
    <cfRule type="expression" dxfId="45" priority="185" stopIfTrue="1">
      <formula>J2106=TRUE</formula>
    </cfRule>
  </conditionalFormatting>
  <conditionalFormatting sqref="J2111:N2112">
    <cfRule type="expression" dxfId="44" priority="186" stopIfTrue="1">
      <formula>J2088&lt;&gt;J2111</formula>
    </cfRule>
  </conditionalFormatting>
  <conditionalFormatting sqref="J2144:N2146">
    <cfRule type="expression" dxfId="43" priority="180" stopIfTrue="1">
      <formula>J2144=TRUE</formula>
    </cfRule>
  </conditionalFormatting>
  <conditionalFormatting sqref="J2153:N2153">
    <cfRule type="expression" dxfId="42" priority="177" stopIfTrue="1">
      <formula>J2154=TRUE</formula>
    </cfRule>
  </conditionalFormatting>
  <conditionalFormatting sqref="J2154:N2154">
    <cfRule type="expression" dxfId="41" priority="178" stopIfTrue="1">
      <formula>J2154=TRUE</formula>
    </cfRule>
  </conditionalFormatting>
  <conditionalFormatting sqref="J2156:N2156">
    <cfRule type="expression" dxfId="40" priority="181" stopIfTrue="1">
      <formula>#REF!=TRUE</formula>
    </cfRule>
  </conditionalFormatting>
  <conditionalFormatting sqref="J2157:N2157">
    <cfRule type="expression" dxfId="39" priority="179" stopIfTrue="1">
      <formula>J2157=TRUE</formula>
    </cfRule>
  </conditionalFormatting>
  <conditionalFormatting sqref="J2166:N2166">
    <cfRule type="expression" dxfId="38" priority="175" stopIfTrue="1">
      <formula>J2166=TRUE</formula>
    </cfRule>
  </conditionalFormatting>
  <conditionalFormatting sqref="J2171:N2172">
    <cfRule type="expression" dxfId="37" priority="176" stopIfTrue="1">
      <formula>J2148&lt;&gt;J2171</formula>
    </cfRule>
  </conditionalFormatting>
  <conditionalFormatting sqref="J2204:N2206">
    <cfRule type="expression" dxfId="36" priority="170" stopIfTrue="1">
      <formula>J2204=TRUE</formula>
    </cfRule>
  </conditionalFormatting>
  <conditionalFormatting sqref="J2213:N2213">
    <cfRule type="expression" dxfId="35" priority="167" stopIfTrue="1">
      <formula>J2214=TRUE</formula>
    </cfRule>
  </conditionalFormatting>
  <conditionalFormatting sqref="J2214:N2214">
    <cfRule type="expression" dxfId="34" priority="168" stopIfTrue="1">
      <formula>J2214=TRUE</formula>
    </cfRule>
  </conditionalFormatting>
  <conditionalFormatting sqref="J2216:N2216">
    <cfRule type="expression" dxfId="33" priority="171" stopIfTrue="1">
      <formula>#REF!=TRUE</formula>
    </cfRule>
  </conditionalFormatting>
  <conditionalFormatting sqref="J2217:N2217">
    <cfRule type="expression" dxfId="32" priority="169" stopIfTrue="1">
      <formula>J2217=TRUE</formula>
    </cfRule>
  </conditionalFormatting>
  <conditionalFormatting sqref="J2226:N2226">
    <cfRule type="expression" dxfId="31" priority="165" stopIfTrue="1">
      <formula>J2226=TRUE</formula>
    </cfRule>
  </conditionalFormatting>
  <conditionalFormatting sqref="J2231:N2232">
    <cfRule type="expression" dxfId="30" priority="166" stopIfTrue="1">
      <formula>J2208&lt;&gt;J2231</formula>
    </cfRule>
  </conditionalFormatting>
  <conditionalFormatting sqref="J2264:N2266">
    <cfRule type="expression" dxfId="29" priority="160" stopIfTrue="1">
      <formula>J2264=TRUE</formula>
    </cfRule>
  </conditionalFormatting>
  <conditionalFormatting sqref="J2273:N2273">
    <cfRule type="expression" dxfId="28" priority="157" stopIfTrue="1">
      <formula>J2274=TRUE</formula>
    </cfRule>
  </conditionalFormatting>
  <conditionalFormatting sqref="J2274:N2274">
    <cfRule type="expression" dxfId="27" priority="158" stopIfTrue="1">
      <formula>J2274=TRUE</formula>
    </cfRule>
  </conditionalFormatting>
  <conditionalFormatting sqref="J2276:N2276">
    <cfRule type="expression" dxfId="26" priority="161" stopIfTrue="1">
      <formula>#REF!=TRUE</formula>
    </cfRule>
  </conditionalFormatting>
  <conditionalFormatting sqref="J2277:N2277">
    <cfRule type="expression" dxfId="25" priority="159" stopIfTrue="1">
      <formula>J2277=TRUE</formula>
    </cfRule>
  </conditionalFormatting>
  <conditionalFormatting sqref="J2286:N2286">
    <cfRule type="expression" dxfId="24" priority="155" stopIfTrue="1">
      <formula>J2286=TRUE</formula>
    </cfRule>
  </conditionalFormatting>
  <conditionalFormatting sqref="J2291:N2292">
    <cfRule type="expression" dxfId="23" priority="156" stopIfTrue="1">
      <formula>J2268&lt;&gt;J2291</formula>
    </cfRule>
  </conditionalFormatting>
  <conditionalFormatting sqref="J2312:N2314">
    <cfRule type="expression" dxfId="22" priority="150" stopIfTrue="1">
      <formula>J2312=TRUE</formula>
    </cfRule>
  </conditionalFormatting>
  <conditionalFormatting sqref="J2321:N2321">
    <cfRule type="expression" dxfId="21" priority="147" stopIfTrue="1">
      <formula>J2322=TRUE</formula>
    </cfRule>
  </conditionalFormatting>
  <conditionalFormatting sqref="J2322:N2322">
    <cfRule type="expression" dxfId="20" priority="148" stopIfTrue="1">
      <formula>J2322=TRUE</formula>
    </cfRule>
  </conditionalFormatting>
  <conditionalFormatting sqref="J2324:N2324">
    <cfRule type="expression" dxfId="19" priority="151" stopIfTrue="1">
      <formula>#REF!=TRUE</formula>
    </cfRule>
  </conditionalFormatting>
  <conditionalFormatting sqref="J2325:N2325">
    <cfRule type="expression" dxfId="18" priority="149" stopIfTrue="1">
      <formula>J2325=TRUE</formula>
    </cfRule>
  </conditionalFormatting>
  <conditionalFormatting sqref="J2334:N2334">
    <cfRule type="expression" dxfId="17" priority="145" stopIfTrue="1">
      <formula>J2334=TRUE</formula>
    </cfRule>
  </conditionalFormatting>
  <conditionalFormatting sqref="J2339:N2340">
    <cfRule type="expression" dxfId="16" priority="146" stopIfTrue="1">
      <formula>J2316&lt;&gt;J2339</formula>
    </cfRule>
  </conditionalFormatting>
  <conditionalFormatting sqref="J2360:N2362">
    <cfRule type="expression" dxfId="15" priority="141" stopIfTrue="1">
      <formula>J2360=TRUE</formula>
    </cfRule>
  </conditionalFormatting>
  <conditionalFormatting sqref="J2369:N2369">
    <cfRule type="expression" dxfId="14" priority="138" stopIfTrue="1">
      <formula>J2370=TRUE</formula>
    </cfRule>
  </conditionalFormatting>
  <conditionalFormatting sqref="J2370:N2370">
    <cfRule type="expression" dxfId="13" priority="139" stopIfTrue="1">
      <formula>J2370=TRUE</formula>
    </cfRule>
  </conditionalFormatting>
  <conditionalFormatting sqref="J2372:N2372">
    <cfRule type="expression" dxfId="12" priority="142" stopIfTrue="1">
      <formula>#REF!=TRUE</formula>
    </cfRule>
  </conditionalFormatting>
  <conditionalFormatting sqref="J2373:N2373">
    <cfRule type="expression" dxfId="11" priority="140" stopIfTrue="1">
      <formula>J2373=TRUE</formula>
    </cfRule>
  </conditionalFormatting>
  <conditionalFormatting sqref="J2382:N2382">
    <cfRule type="expression" dxfId="10" priority="136" stopIfTrue="1">
      <formula>J2382=TRUE</formula>
    </cfRule>
  </conditionalFormatting>
  <conditionalFormatting sqref="J2387:N2388">
    <cfRule type="expression" dxfId="9" priority="137" stopIfTrue="1">
      <formula>J2364&lt;&gt;J2387</formula>
    </cfRule>
  </conditionalFormatting>
  <conditionalFormatting sqref="J2449:N2449">
    <cfRule type="cellIs" dxfId="8" priority="232" operator="equal">
      <formula>TRUE</formula>
    </cfRule>
  </conditionalFormatting>
  <conditionalFormatting sqref="J2451:N2451">
    <cfRule type="cellIs" dxfId="7" priority="231" operator="equal">
      <formula>TRUE</formula>
    </cfRule>
  </conditionalFormatting>
  <conditionalFormatting sqref="J2453:N2453">
    <cfRule type="cellIs" dxfId="6" priority="230" operator="equal">
      <formula>TRUE</formula>
    </cfRule>
  </conditionalFormatting>
  <conditionalFormatting sqref="J2455:N2455">
    <cfRule type="cellIs" dxfId="5" priority="229" operator="equal">
      <formula>TRUE</formula>
    </cfRule>
  </conditionalFormatting>
  <hyperlinks>
    <hyperlink ref="G2:H2" location="JUMP_TOC_Home" display="Table of contents" xr:uid="{00000000-0004-0000-0C00-000000000000}"/>
    <hyperlink ref="I2:J2" location="JUMP_J_Top" display="Previous sheet" xr:uid="{00000000-0004-0000-0C00-000001000000}"/>
    <hyperlink ref="E4:F4" location="JUMP_K_Bottom" display="End of sheet" xr:uid="{00000000-0004-0000-0C00-000002000000}"/>
    <hyperlink ref="E3:F3" location="JUMP_K_Top" display="Top of sheet" xr:uid="{00000000-0004-0000-0C00-000003000000}"/>
    <hyperlink ref="E2495:N2495" location="JUMP_K_V_Disclaimer" display="The results displayed here are by no means legally binding. Please see disclaimer in the introduction of this section." xr:uid="{00000000-0004-0000-0C00-000004000000}"/>
    <hyperlink ref="G3:H3" location="JUMP_K_I" display="Installation data" xr:uid="{00000000-0004-0000-0C00-000005000000}"/>
    <hyperlink ref="I3:J3" location="JUMP_K_II" display="Baseline Period &amp; Eligibility" xr:uid="{00000000-0004-0000-0C00-000006000000}"/>
    <hyperlink ref="K3:L3" location="JUMP_K_III" display="Emissions &amp; Energy Flows" xr:uid="{00000000-0004-0000-0C00-000007000000}"/>
    <hyperlink ref="M3:N3" location="JUMP_K_IV" display="Sub-installation Data" xr:uid="{00000000-0004-0000-0C00-000008000000}"/>
    <hyperlink ref="G4:H4" location="JUMP_K_V" display="Preliminary allocation" xr:uid="{00000000-0004-0000-0C00-000009000000}"/>
  </hyperlinks>
  <pageMargins left="0.78740157480314965" right="0.78740157480314965" top="0.78740157480314965" bottom="0.78740157480314965" header="0.51181102362204722" footer="0.51181102362204722"/>
  <pageSetup paperSize="9" scale="56" fitToHeight="30" orientation="portrait" r:id="rId1"/>
  <headerFooter alignWithMargins="0">
    <oddHeader>&amp;L&amp;F; &amp;A&amp;R&amp;D; &amp;T</oddHeader>
    <oddFooter>&amp;C&amp;P / &amp;N</oddFooter>
  </headerFooter>
  <rowBreaks count="7" manualBreakCount="7">
    <brk id="74" min="2" max="13" man="1"/>
    <brk id="138" min="2" max="13" man="1"/>
    <brk id="216" min="2" max="13" man="1"/>
    <brk id="372" min="2" max="13" man="1"/>
    <brk id="473" min="2" max="13" man="1"/>
    <brk id="498" min="2" max="13" man="1"/>
    <brk id="562" min="2" max="13" man="1"/>
  </rowBreak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3">
    <tabColor indexed="12"/>
    <pageSetUpPr fitToPage="1"/>
  </sheetPr>
  <dimension ref="A1:AF328"/>
  <sheetViews>
    <sheetView zoomScale="85" zoomScaleNormal="85" workbookViewId="0">
      <selection sqref="A1:XFD1048576"/>
    </sheetView>
  </sheetViews>
  <sheetFormatPr defaultColWidth="11.453125" defaultRowHeight="12.5" x14ac:dyDescent="0.25"/>
  <cols>
    <col min="1" max="1" width="34.453125" customWidth="1"/>
    <col min="6" max="6" width="11.453125" customWidth="1"/>
  </cols>
  <sheetData>
    <row r="1" spans="1:12" ht="13" x14ac:dyDescent="0.3">
      <c r="A1" s="1910" t="str">
        <f>Translations!$B$193</f>
        <v>Наименование</v>
      </c>
      <c r="B1" s="1910" t="str">
        <f>Translations!$B$981</f>
        <v>Константа</v>
      </c>
      <c r="C1" s="1910" t="str">
        <f>Translations!$B$982</f>
        <v>Други константи</v>
      </c>
      <c r="D1" s="1911"/>
      <c r="E1" s="1911"/>
      <c r="F1" s="1911"/>
      <c r="G1" s="1911"/>
      <c r="H1" s="1911"/>
    </row>
    <row r="2" spans="1:12" x14ac:dyDescent="0.25">
      <c r="A2" s="1912" t="s">
        <v>1447</v>
      </c>
      <c r="B2" s="1913" t="b">
        <v>1</v>
      </c>
    </row>
    <row r="3" spans="1:12" x14ac:dyDescent="0.25">
      <c r="A3" t="s">
        <v>897</v>
      </c>
      <c r="B3" s="1914">
        <v>2021</v>
      </c>
      <c r="C3" s="770">
        <f>B3+1</f>
        <v>2022</v>
      </c>
      <c r="D3" s="770">
        <f>C3+1</f>
        <v>2023</v>
      </c>
      <c r="E3" s="770">
        <f>D3+1</f>
        <v>2024</v>
      </c>
      <c r="F3" s="770">
        <f>E3+1</f>
        <v>2025</v>
      </c>
    </row>
    <row r="4" spans="1:12" x14ac:dyDescent="0.25">
      <c r="A4" s="1143" t="s">
        <v>1754</v>
      </c>
      <c r="B4" s="1914">
        <f>B3+5</f>
        <v>2026</v>
      </c>
      <c r="C4" s="1914">
        <f>C3+5</f>
        <v>2027</v>
      </c>
      <c r="D4" s="1914">
        <f>D3+5</f>
        <v>2028</v>
      </c>
      <c r="E4" s="1914">
        <f>E3+5</f>
        <v>2029</v>
      </c>
      <c r="F4" s="1914">
        <f>F3+5</f>
        <v>2030</v>
      </c>
    </row>
    <row r="5" spans="1:12" x14ac:dyDescent="0.25">
      <c r="A5" s="1143" t="s">
        <v>1195</v>
      </c>
      <c r="B5" s="1914">
        <v>2021</v>
      </c>
      <c r="C5" s="770">
        <f t="shared" ref="C5:J5" si="0">B5+1</f>
        <v>2022</v>
      </c>
      <c r="D5" s="770">
        <f t="shared" si="0"/>
        <v>2023</v>
      </c>
      <c r="E5" s="770">
        <f t="shared" si="0"/>
        <v>2024</v>
      </c>
      <c r="F5" s="770">
        <f t="shared" si="0"/>
        <v>2025</v>
      </c>
      <c r="G5" s="770">
        <f t="shared" si="0"/>
        <v>2026</v>
      </c>
      <c r="H5" s="770">
        <f t="shared" si="0"/>
        <v>2027</v>
      </c>
      <c r="I5" s="770">
        <f t="shared" si="0"/>
        <v>2028</v>
      </c>
      <c r="J5" s="770">
        <f t="shared" si="0"/>
        <v>2029</v>
      </c>
      <c r="K5" s="770">
        <v>2030</v>
      </c>
      <c r="L5" s="770">
        <v>2031</v>
      </c>
    </row>
    <row r="6" spans="1:12" x14ac:dyDescent="0.25">
      <c r="A6" t="s">
        <v>937</v>
      </c>
      <c r="B6" s="770" t="s">
        <v>1752</v>
      </c>
      <c r="C6" s="770" t="s">
        <v>1753</v>
      </c>
      <c r="D6" s="284"/>
      <c r="E6" s="284"/>
      <c r="F6" s="284"/>
      <c r="G6" s="284"/>
    </row>
    <row r="7" spans="1:12" x14ac:dyDescent="0.25">
      <c r="A7" t="s">
        <v>1046</v>
      </c>
      <c r="B7" s="1914" t="b">
        <v>1</v>
      </c>
      <c r="C7" s="1914" t="b">
        <v>0</v>
      </c>
    </row>
    <row r="8" spans="1:12" x14ac:dyDescent="0.25">
      <c r="A8" t="s">
        <v>1047</v>
      </c>
      <c r="B8" s="1914" t="b">
        <v>1</v>
      </c>
      <c r="C8" s="1914" t="b">
        <v>0</v>
      </c>
      <c r="D8" s="1915" t="str">
        <f>EUconst_NA</f>
        <v>Не е приложимо</v>
      </c>
    </row>
    <row r="9" spans="1:12" x14ac:dyDescent="0.25">
      <c r="A9" t="s">
        <v>41</v>
      </c>
      <c r="B9" s="1914" t="str">
        <f>Translations!$B$983</f>
        <v>Абсолютни стойности</v>
      </c>
      <c r="C9" s="1914" t="str">
        <f>Translations!$B$984</f>
        <v>Процентни стойности</v>
      </c>
    </row>
    <row r="10" spans="1:12" x14ac:dyDescent="0.25">
      <c r="A10" s="1912" t="s">
        <v>1821</v>
      </c>
      <c r="B10" s="770" t="str">
        <f>Translations!$B$1192</f>
        <v>Електронна препратка към файл с националните мерки за изпълнение (НМИ)</v>
      </c>
      <c r="C10" s="770" t="str">
        <f>Translations!$B$1400</f>
        <v>Ръчно въвеждане</v>
      </c>
    </row>
    <row r="11" spans="1:12" x14ac:dyDescent="0.25">
      <c r="A11" t="s">
        <v>280</v>
      </c>
      <c r="B11" s="1914" t="str">
        <f>Translations!$B$985</f>
        <v>Не е приложимо</v>
      </c>
    </row>
    <row r="12" spans="1:12" x14ac:dyDescent="0.25">
      <c r="A12" t="s">
        <v>83</v>
      </c>
      <c r="B12" s="1914" t="str">
        <f>Translations!$B$986</f>
        <v>Квота за емисии</v>
      </c>
    </row>
    <row r="13" spans="1:12" x14ac:dyDescent="0.25">
      <c r="A13" t="s">
        <v>473</v>
      </c>
      <c r="B13" s="1914" t="str">
        <f>Translations!$B$934</f>
        <v>Единица мярка</v>
      </c>
    </row>
    <row r="14" spans="1:12" x14ac:dyDescent="0.25">
      <c r="A14" t="s">
        <v>455</v>
      </c>
      <c r="B14" s="1914" t="str">
        <f>Translations!$B$987</f>
        <v>Месец</v>
      </c>
    </row>
    <row r="15" spans="1:12" x14ac:dyDescent="0.25">
      <c r="A15" t="s">
        <v>925</v>
      </c>
      <c r="B15" s="1914" t="str">
        <f>Translations!$B$988</f>
        <v>Гориво</v>
      </c>
    </row>
    <row r="16" spans="1:12" x14ac:dyDescent="0.25">
      <c r="A16" t="s">
        <v>124</v>
      </c>
      <c r="B16" s="1914" t="str">
        <f>Translations!$B$989</f>
        <v>Показател</v>
      </c>
    </row>
    <row r="17" spans="1:2" x14ac:dyDescent="0.25">
      <c r="A17" t="s">
        <v>458</v>
      </c>
      <c r="B17" s="1914" t="str">
        <f>Translations!$B$990</f>
        <v>Подинсталация с продуктов показател</v>
      </c>
    </row>
    <row r="18" spans="1:2" x14ac:dyDescent="0.25">
      <c r="A18" t="s">
        <v>106</v>
      </c>
      <c r="B18" s="1914" t="str">
        <f>Translations!$B$991</f>
        <v>Алтернативна подинсталация („Fall-Back sub-installation“)</v>
      </c>
    </row>
    <row r="19" spans="1:2" x14ac:dyDescent="0.25">
      <c r="A19" t="s">
        <v>847</v>
      </c>
      <c r="B19" s="1914" t="str">
        <f>Translations!$B$992</f>
        <v>година</v>
      </c>
    </row>
    <row r="20" spans="1:2" x14ac:dyDescent="0.25">
      <c r="A20" t="s">
        <v>849</v>
      </c>
      <c r="B20" s="1914" t="str">
        <f>Translations!$B$993</f>
        <v>тона</v>
      </c>
    </row>
    <row r="21" spans="1:2" x14ac:dyDescent="0.25">
      <c r="A21" t="s">
        <v>287</v>
      </c>
      <c r="B21" s="1914" t="s">
        <v>285</v>
      </c>
    </row>
    <row r="22" spans="1:2" x14ac:dyDescent="0.25">
      <c r="A22" t="s">
        <v>474</v>
      </c>
      <c r="B22" s="1914" t="s">
        <v>475</v>
      </c>
    </row>
    <row r="23" spans="1:2" x14ac:dyDescent="0.25">
      <c r="A23" t="s">
        <v>288</v>
      </c>
      <c r="B23" s="1914" t="s">
        <v>286</v>
      </c>
    </row>
    <row r="24" spans="1:2" x14ac:dyDescent="0.25">
      <c r="A24" t="s">
        <v>480</v>
      </c>
      <c r="B24" s="1914" t="s">
        <v>481</v>
      </c>
    </row>
    <row r="25" spans="1:2" x14ac:dyDescent="0.25">
      <c r="A25" t="s">
        <v>482</v>
      </c>
      <c r="B25" s="1914" t="s">
        <v>483</v>
      </c>
    </row>
    <row r="26" spans="1:2" x14ac:dyDescent="0.25">
      <c r="A26" t="s">
        <v>140</v>
      </c>
      <c r="B26" s="1914" t="str">
        <f>EUconst_TJ&amp;" / "&amp;EUconst_Year</f>
        <v>TJ / година</v>
      </c>
    </row>
    <row r="27" spans="1:2" x14ac:dyDescent="0.25">
      <c r="A27" t="s">
        <v>476</v>
      </c>
      <c r="B27" s="1914" t="s">
        <v>477</v>
      </c>
    </row>
    <row r="28" spans="1:2" x14ac:dyDescent="0.25">
      <c r="A28" t="s">
        <v>134</v>
      </c>
      <c r="B28" s="1914" t="str">
        <f>EUconst_MWh&amp;" / "&amp;EUconst_Year</f>
        <v>MWh / година</v>
      </c>
    </row>
    <row r="29" spans="1:2" x14ac:dyDescent="0.25">
      <c r="A29" t="s">
        <v>478</v>
      </c>
      <c r="B29" s="1914" t="s">
        <v>479</v>
      </c>
    </row>
    <row r="30" spans="1:2" x14ac:dyDescent="0.25">
      <c r="A30" t="s">
        <v>135</v>
      </c>
      <c r="B30" s="1914" t="str">
        <f>EUconst_t&amp;" / "&amp;EUconst_Year</f>
        <v>t / година</v>
      </c>
    </row>
    <row r="31" spans="1:2" x14ac:dyDescent="0.25">
      <c r="A31" t="s">
        <v>85</v>
      </c>
      <c r="B31" s="1914" t="str">
        <f>EUconst_EUA&amp;" / "&amp;EUconst_Year</f>
        <v>Квота за емисии / година</v>
      </c>
    </row>
    <row r="32" spans="1:2" x14ac:dyDescent="0.25">
      <c r="A32" t="s">
        <v>86</v>
      </c>
      <c r="B32" s="1914" t="str">
        <f>EUconst_EUA&amp;" / "&amp;EUconst_t</f>
        <v>Квота за емисии / t</v>
      </c>
    </row>
    <row r="33" spans="1:6" x14ac:dyDescent="0.25">
      <c r="A33" t="s">
        <v>136</v>
      </c>
      <c r="B33" s="1914" t="str">
        <f>EUconst_GJ&amp;" / "&amp;EUconst_t</f>
        <v>GJ / t</v>
      </c>
    </row>
    <row r="34" spans="1:6" x14ac:dyDescent="0.25">
      <c r="A34" t="s">
        <v>928</v>
      </c>
      <c r="B34" s="1914" t="str">
        <f>EUconst_GJ&amp;" / "&amp;EUconst_Year</f>
        <v>GJ / година</v>
      </c>
    </row>
    <row r="35" spans="1:6" x14ac:dyDescent="0.25">
      <c r="A35" t="s">
        <v>137</v>
      </c>
      <c r="B35" s="1914" t="str">
        <f>EUconst_tCO2&amp;" / "&amp;EUconst_TJ</f>
        <v>t CO2 / TJ</v>
      </c>
    </row>
    <row r="36" spans="1:6" x14ac:dyDescent="0.25">
      <c r="A36" t="s">
        <v>138</v>
      </c>
      <c r="B36" s="1914" t="str">
        <f>EUconst_tCO2&amp;" / "&amp;EUconst_Year</f>
        <v>t CO2 / година</v>
      </c>
    </row>
    <row r="37" spans="1:6" x14ac:dyDescent="0.25">
      <c r="A37" t="s">
        <v>139</v>
      </c>
      <c r="B37" s="1914" t="str">
        <f>EUconst_tCO2&amp;" / "&amp;EUconst_t</f>
        <v>t CO2 / t</v>
      </c>
    </row>
    <row r="38" spans="1:6" x14ac:dyDescent="0.25">
      <c r="A38" t="s">
        <v>141</v>
      </c>
      <c r="B38" s="1914" t="str">
        <f>EUconst_tN2O&amp;" / "&amp;EUconst_Year</f>
        <v>t N2O / година</v>
      </c>
    </row>
    <row r="39" spans="1:6" x14ac:dyDescent="0.25">
      <c r="A39" t="s">
        <v>142</v>
      </c>
      <c r="B39" s="1914" t="s">
        <v>961</v>
      </c>
    </row>
    <row r="40" spans="1:6" x14ac:dyDescent="0.25">
      <c r="A40" t="s">
        <v>143</v>
      </c>
      <c r="B40" s="1914" t="str">
        <f>EUconst_tCO2e&amp;"/"&amp;EUconst_Year</f>
        <v>t CO2e/година</v>
      </c>
    </row>
    <row r="41" spans="1:6" x14ac:dyDescent="0.25">
      <c r="A41" t="s">
        <v>144</v>
      </c>
      <c r="B41" s="1914" t="str">
        <f>EUconst_tCO2e&amp;"/"&amp;EUconst_t</f>
        <v>t CO2e/t</v>
      </c>
    </row>
    <row r="42" spans="1:6" x14ac:dyDescent="0.25">
      <c r="A42" t="s">
        <v>484</v>
      </c>
      <c r="B42" s="1914" t="str">
        <f>Translations!$B$994</f>
        <v>или</v>
      </c>
    </row>
    <row r="43" spans="1:6" x14ac:dyDescent="0.25">
      <c r="A43" t="s">
        <v>145</v>
      </c>
      <c r="B43" s="1914" t="str">
        <f>"% "&amp;EUconst_Or&amp;" "&amp;EUconst_TJpa</f>
        <v>% или TJ / година</v>
      </c>
    </row>
    <row r="44" spans="1:6" x14ac:dyDescent="0.25">
      <c r="A44" t="s">
        <v>146</v>
      </c>
      <c r="B44" s="1914" t="str">
        <f>"% "&amp;EUconst_Or&amp;" "&amp;EUconst_MWhpa</f>
        <v>% или MWh / година</v>
      </c>
    </row>
    <row r="45" spans="1:6" x14ac:dyDescent="0.25">
      <c r="A45" t="s">
        <v>147</v>
      </c>
      <c r="B45" s="1914" t="str">
        <f>"% "&amp;EUconst_Or&amp;" "&amp;EUconst_tCO2pa</f>
        <v>% или t CO2 / година</v>
      </c>
    </row>
    <row r="46" spans="1:6" x14ac:dyDescent="0.25">
      <c r="A46" t="s">
        <v>546</v>
      </c>
      <c r="B46" s="1914" t="str">
        <f>Translations!$B$166</f>
        <v>Инсталация в обхвата на Схемата за търговия с емисии (ETS)</v>
      </c>
      <c r="C46" s="1914" t="str">
        <f>Translations!$B$1600</f>
        <v>Инсталация за изгаряне на битови отпадъци</v>
      </c>
      <c r="D46" s="1914" t="str">
        <f>Translations!$B$167</f>
        <v>Инсталация извън обхвата на Схемата за търговия с емисии (ETS)</v>
      </c>
      <c r="E46" s="1914" t="str">
        <f>Translations!$B$168</f>
        <v>Инсталация, произвеждаща азотна киселина</v>
      </c>
      <c r="F46" s="1914" t="str">
        <f>Translations!$B$169</f>
        <v>Топлопреносна мрежа</v>
      </c>
    </row>
    <row r="47" spans="1:6" x14ac:dyDescent="0.25">
      <c r="A47" t="s">
        <v>547</v>
      </c>
      <c r="B47" s="1914" t="str">
        <f>Translations!$B$175</f>
        <v>Измерима топлинна енергия</v>
      </c>
      <c r="C47" s="1914" t="str">
        <f>Translations!$B$176</f>
        <v>Отпаден газ</v>
      </c>
      <c r="D47" s="770" t="str">
        <f>Translations!$B$995</f>
        <v>прехвърлен CO2</v>
      </c>
      <c r="E47" s="770" t="str">
        <f>Translations!$B$996</f>
        <v>Междинни продукти</v>
      </c>
    </row>
    <row r="48" spans="1:6" x14ac:dyDescent="0.25">
      <c r="A48" t="s">
        <v>1103</v>
      </c>
      <c r="B48" s="1914" t="str">
        <f>Translations!$B$997</f>
        <v>Топлинна енергия</v>
      </c>
      <c r="C48" s="1914" t="str">
        <f>Translations!$B$176</f>
        <v>Отпаден газ</v>
      </c>
      <c r="D48" s="1914" t="s">
        <v>1105</v>
      </c>
      <c r="E48" s="770" t="str">
        <f>Translations!$B$1401</f>
        <v>Задължително трябва да отговорите на въпроса в буква д) или буква е)!</v>
      </c>
    </row>
    <row r="49" spans="1:10" x14ac:dyDescent="0.25">
      <c r="A49" t="s">
        <v>1100</v>
      </c>
      <c r="B49" s="694" t="str">
        <f>Translations!$B$998</f>
        <v>Получаване</v>
      </c>
      <c r="C49" s="694" t="str">
        <f>Translations!$B$999</f>
        <v>Подаване</v>
      </c>
    </row>
    <row r="50" spans="1:10" x14ac:dyDescent="0.25">
      <c r="A50" t="s">
        <v>497</v>
      </c>
      <c r="B50" s="1914" t="str">
        <f>Translations!$B$1000</f>
        <v>В рамките на инсталацията</v>
      </c>
    </row>
    <row r="51" spans="1:10" x14ac:dyDescent="0.25">
      <c r="A51" t="s">
        <v>500</v>
      </c>
      <c r="B51" s="1914" t="str">
        <f>Translations!$B$1001</f>
        <v>Производство на стоки</v>
      </c>
      <c r="C51" s="1914" t="str">
        <f>Translations!$B$1002</f>
        <v>механична енергия</v>
      </c>
      <c r="D51" s="1914" t="str">
        <f>Translations!$B$1003</f>
        <v>отопление</v>
      </c>
      <c r="E51" s="1914" t="str">
        <f>Translations!$B$1004</f>
        <v>охлаждане</v>
      </c>
      <c r="F51" s="1914" t="str">
        <f>Translations!$B$1005</f>
        <v>неизвестно</v>
      </c>
    </row>
    <row r="52" spans="1:10" x14ac:dyDescent="0.25">
      <c r="A52" t="s">
        <v>28</v>
      </c>
      <c r="B52" s="1914" t="str">
        <f>Translations!$B$1001</f>
        <v>Производство на стоки</v>
      </c>
      <c r="C52" s="1914" t="str">
        <f>Translations!$B$1002</f>
        <v>механична енергия</v>
      </c>
      <c r="D52" s="1914" t="str">
        <f>Translations!$B$1003</f>
        <v>отопление</v>
      </c>
      <c r="E52" s="1914" t="str">
        <f>Translations!$B$1004</f>
        <v>охлаждане</v>
      </c>
    </row>
    <row r="53" spans="1:10" x14ac:dyDescent="0.25">
      <c r="A53" t="s">
        <v>978</v>
      </c>
      <c r="B53" s="694" t="s">
        <v>979</v>
      </c>
      <c r="C53" s="694" t="str">
        <f>Translations!$B$1006</f>
        <v>перфлуоровъглеводороди (PFC)</v>
      </c>
      <c r="D53" s="770" t="str">
        <f>Translations!$B$1007</f>
        <v>CO2 (коригиран отпаден газ)</v>
      </c>
      <c r="E53" s="1914" t="str">
        <f>Translations!$B$1008</f>
        <v>редукция на метални съединения</v>
      </c>
      <c r="F53" s="1914" t="str">
        <f>Translations!$B$1009</f>
        <v>отстраняване на примеси</v>
      </c>
      <c r="G53" s="1914" t="str">
        <f>Translations!$B$1010</f>
        <v>разлагане на карбонати</v>
      </c>
      <c r="H53" s="1914" t="str">
        <f>Translations!$B$1011</f>
        <v>химичен синтез</v>
      </c>
      <c r="I53" s="1914" t="str">
        <f>Translations!$B$1012</f>
        <v>въглеродосъдържащи материали</v>
      </c>
      <c r="J53" s="1914" t="str">
        <f>Translations!$B$1013</f>
        <v>редукция на оксиди на металоидни и неметални оксиди</v>
      </c>
    </row>
    <row r="54" spans="1:10" x14ac:dyDescent="0.25">
      <c r="A54" t="s">
        <v>942</v>
      </c>
      <c r="B54" s="1916">
        <f>U318</f>
        <v>31.2</v>
      </c>
      <c r="C54" s="725"/>
    </row>
    <row r="55" spans="1:10" x14ac:dyDescent="0.25">
      <c r="A55" t="s">
        <v>943</v>
      </c>
      <c r="B55" s="694">
        <v>0.376</v>
      </c>
      <c r="C55" s="725"/>
    </row>
    <row r="56" spans="1:10" x14ac:dyDescent="0.25">
      <c r="A56" t="s">
        <v>968</v>
      </c>
      <c r="B56" s="1916">
        <f>U322</f>
        <v>28.1</v>
      </c>
      <c r="C56" s="725"/>
    </row>
    <row r="57" spans="1:10" x14ac:dyDescent="0.25">
      <c r="A57" t="s">
        <v>1436</v>
      </c>
      <c r="B57" s="1917">
        <v>2E-3</v>
      </c>
      <c r="C57" s="1917">
        <v>1.6E-2</v>
      </c>
    </row>
    <row r="58" spans="1:10" x14ac:dyDescent="0.25">
      <c r="A58" t="s">
        <v>669</v>
      </c>
      <c r="B58" s="694" t="str">
        <f>Translations!$B$1014</f>
        <v>от значение в разглеждания случай</v>
      </c>
      <c r="C58" s="725"/>
    </row>
    <row r="59" spans="1:10" x14ac:dyDescent="0.25">
      <c r="A59" t="s">
        <v>670</v>
      </c>
      <c r="B59" s="694" t="str">
        <f>Translations!$B$1015</f>
        <v>без значение в разглеждания случай</v>
      </c>
      <c r="C59" s="725"/>
    </row>
    <row r="60" spans="1:10" x14ac:dyDescent="0.25">
      <c r="A60" t="s">
        <v>1088</v>
      </c>
      <c r="B60" s="694" t="str">
        <f>EUconst_Relevant</f>
        <v>от значение в разглеждания случай</v>
      </c>
      <c r="C60" s="694" t="str">
        <f>EUconst_NotRelevant</f>
        <v>без значение в разглеждания случай</v>
      </c>
    </row>
    <row r="61" spans="1:10" x14ac:dyDescent="0.25">
      <c r="A61" t="s">
        <v>1091</v>
      </c>
      <c r="B61" s="694" t="str">
        <f>Translations!$B$1016</f>
        <v>Изместване на въглеродни емисии</v>
      </c>
      <c r="C61" s="694" t="str">
        <f>Translations!$B$1017</f>
        <v>не подлежи на риск от изместване на въглеродни емисии</v>
      </c>
    </row>
    <row r="62" spans="1:10" x14ac:dyDescent="0.25">
      <c r="A62" t="s">
        <v>677</v>
      </c>
      <c r="B62" s="694" t="str">
        <f>"1000Nm3/"&amp;EUconst_Year</f>
        <v>1000Nm3/година</v>
      </c>
      <c r="C62" s="725"/>
    </row>
    <row r="63" spans="1:10" x14ac:dyDescent="0.25">
      <c r="A63" t="s">
        <v>678</v>
      </c>
      <c r="B63" s="694" t="str">
        <f>EUconst_tpa</f>
        <v>t / година</v>
      </c>
      <c r="C63" s="694" t="str">
        <f>B62</f>
        <v>1000Nm3/година</v>
      </c>
    </row>
    <row r="64" spans="1:10" x14ac:dyDescent="0.25">
      <c r="A64" t="s">
        <v>681</v>
      </c>
      <c r="B64" s="694" t="str">
        <f>EUconst_GJpt</f>
        <v>GJ / t</v>
      </c>
      <c r="C64" s="694" t="str">
        <f>Translations!$B$1018</f>
        <v>GJ/1 000 Nm3</v>
      </c>
    </row>
    <row r="65" spans="1:4" x14ac:dyDescent="0.25">
      <c r="A65" t="s">
        <v>32</v>
      </c>
      <c r="B65" s="694" t="str">
        <f>EUconst_tCO2pTJ</f>
        <v>t CO2 / TJ</v>
      </c>
      <c r="C65" s="694" t="str">
        <f>B66</f>
        <v>t CO2/1000Nm3</v>
      </c>
      <c r="D65" s="1914" t="str">
        <f>EUconst_tCO2pt</f>
        <v>t CO2 / t</v>
      </c>
    </row>
    <row r="66" spans="1:4" x14ac:dyDescent="0.25">
      <c r="A66" t="s">
        <v>1016</v>
      </c>
      <c r="B66" s="694" t="str">
        <f>EUconst_tCO2 &amp; "/1000Nm3"</f>
        <v>t CO2/1000Nm3</v>
      </c>
      <c r="C66" s="694"/>
      <c r="D66" s="1914"/>
    </row>
    <row r="67" spans="1:4" x14ac:dyDescent="0.25">
      <c r="A67" t="s">
        <v>683</v>
      </c>
      <c r="B67" s="694" t="str">
        <f>EUconst_GJ&amp;" / "&amp;EUconst_Unit</f>
        <v>GJ / Единица мярка</v>
      </c>
      <c r="C67" s="725"/>
    </row>
    <row r="68" spans="1:4" x14ac:dyDescent="0.25">
      <c r="A68" t="s">
        <v>885</v>
      </c>
      <c r="B68" s="694" t="str">
        <f>"MNm3/"&amp;EUconst_Year</f>
        <v>MNm3/година</v>
      </c>
      <c r="C68" s="725"/>
    </row>
    <row r="69" spans="1:4" x14ac:dyDescent="0.25">
      <c r="A69" t="s">
        <v>432</v>
      </c>
      <c r="B69" s="694" t="str">
        <f>"CWT / "&amp;EUconst_Year</f>
        <v>CWT / година</v>
      </c>
      <c r="C69" s="725"/>
    </row>
    <row r="70" spans="1:4" x14ac:dyDescent="0.25">
      <c r="A70" t="s">
        <v>240</v>
      </c>
      <c r="B70" s="694" t="str">
        <f>Translations!$B$1019</f>
        <v>квоти за емисии</v>
      </c>
      <c r="C70" s="725"/>
    </row>
    <row r="71" spans="1:4" x14ac:dyDescent="0.25">
      <c r="A71" t="s">
        <v>1107</v>
      </c>
      <c r="B71" s="694" t="str">
        <f>Translations!$B$1020</f>
        <v>Операторът на инсталацията потвърждава, че инсталацията не отговаря на условията за безплатно разпределение на квоти за емисии по реда на член 10а от Директивата за Схемата за търговия с емисии на ЕС.</v>
      </c>
    </row>
    <row r="72" spans="1:4" x14ac:dyDescent="0.25">
      <c r="A72" t="s">
        <v>1108</v>
      </c>
      <c r="B72" s="694" t="str">
        <f>Translations!$B$1021</f>
        <v>Операторът на инсталацията потвърждава, че с настоящото се подава заявка за безплатни квоти за емисии по реда на член 10а от Директивата за Схемата за търговия с емисии на ЕС.</v>
      </c>
    </row>
    <row r="73" spans="1:4" x14ac:dyDescent="0.25">
      <c r="A73" t="s">
        <v>299</v>
      </c>
      <c r="B73" s="694" t="str">
        <f>Translations!$B$1022</f>
        <v>Операторът на инсталацията потвърждава, че настоящият доклад може да бъде използван от компетентните институции и от Европейската комисия.</v>
      </c>
    </row>
    <row r="74" spans="1:4" x14ac:dyDescent="0.25">
      <c r="A74" t="s">
        <v>391</v>
      </c>
      <c r="B74" s="694" t="s">
        <v>388</v>
      </c>
      <c r="C74" s="725"/>
    </row>
    <row r="75" spans="1:4" x14ac:dyDescent="0.25">
      <c r="A75" s="1143" t="s">
        <v>1322</v>
      </c>
      <c r="B75" s="729" t="s">
        <v>1323</v>
      </c>
      <c r="C75" s="725"/>
    </row>
    <row r="76" spans="1:4" x14ac:dyDescent="0.25">
      <c r="A76" t="s">
        <v>392</v>
      </c>
      <c r="B76" s="694" t="s">
        <v>389</v>
      </c>
      <c r="C76" s="725"/>
    </row>
    <row r="77" spans="1:4" x14ac:dyDescent="0.25">
      <c r="A77" t="s">
        <v>393</v>
      </c>
      <c r="B77" s="694" t="s">
        <v>390</v>
      </c>
      <c r="C77" s="725"/>
    </row>
    <row r="78" spans="1:4" x14ac:dyDescent="0.25">
      <c r="A78" t="s">
        <v>394</v>
      </c>
      <c r="B78" s="694" t="s">
        <v>396</v>
      </c>
      <c r="C78" s="725"/>
    </row>
    <row r="79" spans="1:4" x14ac:dyDescent="0.25">
      <c r="A79" t="s">
        <v>395</v>
      </c>
      <c r="B79" s="694" t="s">
        <v>397</v>
      </c>
      <c r="C79" s="725"/>
    </row>
    <row r="80" spans="1:4" x14ac:dyDescent="0.25">
      <c r="A80" s="1143" t="s">
        <v>1775</v>
      </c>
      <c r="B80" s="729" t="s">
        <v>1776</v>
      </c>
      <c r="C80" s="725"/>
    </row>
    <row r="81" spans="1:3" x14ac:dyDescent="0.25">
      <c r="A81" s="1918" t="s">
        <v>1783</v>
      </c>
      <c r="B81" s="729" t="s">
        <v>1784</v>
      </c>
      <c r="C81" s="725"/>
    </row>
    <row r="82" spans="1:3" x14ac:dyDescent="0.25">
      <c r="A82" t="s">
        <v>561</v>
      </c>
      <c r="B82" s="694" t="s">
        <v>562</v>
      </c>
      <c r="C82" s="725"/>
    </row>
    <row r="83" spans="1:3" x14ac:dyDescent="0.25">
      <c r="A83" s="1918" t="s">
        <v>1720</v>
      </c>
      <c r="B83" s="729" t="s">
        <v>1721</v>
      </c>
      <c r="C83" s="725"/>
    </row>
    <row r="84" spans="1:3" x14ac:dyDescent="0.25">
      <c r="A84" s="1912" t="s">
        <v>1722</v>
      </c>
      <c r="B84" s="729" t="s">
        <v>1723</v>
      </c>
      <c r="C84" s="725"/>
    </row>
    <row r="85" spans="1:3" x14ac:dyDescent="0.25">
      <c r="A85" t="s">
        <v>118</v>
      </c>
      <c r="B85" s="694" t="s">
        <v>117</v>
      </c>
      <c r="C85" s="725"/>
    </row>
    <row r="86" spans="1:3" x14ac:dyDescent="0.25">
      <c r="A86" s="1912" t="s">
        <v>1772</v>
      </c>
      <c r="B86" s="729" t="s">
        <v>1771</v>
      </c>
      <c r="C86" s="725"/>
    </row>
    <row r="87" spans="1:3" x14ac:dyDescent="0.25">
      <c r="A87" s="1912" t="s">
        <v>1789</v>
      </c>
      <c r="B87" s="729" t="s">
        <v>1790</v>
      </c>
      <c r="C87" s="725"/>
    </row>
    <row r="88" spans="1:3" x14ac:dyDescent="0.25">
      <c r="A88" t="s">
        <v>563</v>
      </c>
      <c r="B88" s="694" t="s">
        <v>564</v>
      </c>
      <c r="C88" s="725"/>
    </row>
    <row r="89" spans="1:3" x14ac:dyDescent="0.25">
      <c r="A89" s="1912" t="s">
        <v>1725</v>
      </c>
      <c r="B89" s="729" t="s">
        <v>1728</v>
      </c>
      <c r="C89" s="725"/>
    </row>
    <row r="90" spans="1:3" x14ac:dyDescent="0.25">
      <c r="A90" s="1912" t="s">
        <v>1726</v>
      </c>
      <c r="B90" s="729" t="s">
        <v>1727</v>
      </c>
      <c r="C90" s="725"/>
    </row>
    <row r="91" spans="1:3" x14ac:dyDescent="0.25">
      <c r="A91" s="1912" t="s">
        <v>1787</v>
      </c>
      <c r="B91" s="729" t="s">
        <v>1788</v>
      </c>
      <c r="C91" s="725"/>
    </row>
    <row r="92" spans="1:3" x14ac:dyDescent="0.25">
      <c r="A92" t="s">
        <v>208</v>
      </c>
      <c r="B92" s="694" t="s">
        <v>209</v>
      </c>
      <c r="C92" s="725"/>
    </row>
    <row r="93" spans="1:3" x14ac:dyDescent="0.25">
      <c r="A93" s="1912" t="s">
        <v>1738</v>
      </c>
      <c r="B93" s="729" t="s">
        <v>1740</v>
      </c>
      <c r="C93" s="725"/>
    </row>
    <row r="94" spans="1:3" x14ac:dyDescent="0.25">
      <c r="A94" s="1912" t="s">
        <v>1739</v>
      </c>
      <c r="B94" s="729" t="s">
        <v>1741</v>
      </c>
      <c r="C94" s="725"/>
    </row>
    <row r="95" spans="1:3" x14ac:dyDescent="0.25">
      <c r="A95" s="1143" t="s">
        <v>1794</v>
      </c>
      <c r="B95" s="729" t="s">
        <v>1793</v>
      </c>
      <c r="C95" s="725"/>
    </row>
    <row r="96" spans="1:3" x14ac:dyDescent="0.25">
      <c r="A96" t="s">
        <v>210</v>
      </c>
      <c r="B96" s="694" t="s">
        <v>211</v>
      </c>
      <c r="C96" s="725"/>
    </row>
    <row r="97" spans="1:3" x14ac:dyDescent="0.25">
      <c r="A97" s="1143" t="s">
        <v>1778</v>
      </c>
      <c r="B97" s="729" t="s">
        <v>1780</v>
      </c>
      <c r="C97" s="725"/>
    </row>
    <row r="98" spans="1:3" x14ac:dyDescent="0.25">
      <c r="A98" s="1143" t="s">
        <v>1779</v>
      </c>
      <c r="B98" s="729" t="s">
        <v>1781</v>
      </c>
      <c r="C98" s="725"/>
    </row>
    <row r="99" spans="1:3" x14ac:dyDescent="0.25">
      <c r="A99" s="1912" t="s">
        <v>1791</v>
      </c>
      <c r="B99" s="729" t="s">
        <v>1792</v>
      </c>
      <c r="C99" s="725"/>
    </row>
    <row r="100" spans="1:3" x14ac:dyDescent="0.25">
      <c r="A100" t="s">
        <v>214</v>
      </c>
      <c r="B100" s="694" t="s">
        <v>215</v>
      </c>
      <c r="C100" s="725"/>
    </row>
    <row r="101" spans="1:3" x14ac:dyDescent="0.25">
      <c r="A101" s="1912" t="s">
        <v>1743</v>
      </c>
      <c r="B101" s="729" t="s">
        <v>1745</v>
      </c>
      <c r="C101" s="725"/>
    </row>
    <row r="102" spans="1:3" x14ac:dyDescent="0.25">
      <c r="A102" s="1912" t="s">
        <v>1744</v>
      </c>
      <c r="B102" s="729" t="s">
        <v>1746</v>
      </c>
      <c r="C102" s="725"/>
    </row>
    <row r="103" spans="1:3" x14ac:dyDescent="0.25">
      <c r="A103" t="s">
        <v>88</v>
      </c>
      <c r="B103" s="694" t="s">
        <v>89</v>
      </c>
      <c r="C103" s="725"/>
    </row>
    <row r="104" spans="1:3" x14ac:dyDescent="0.25">
      <c r="A104" s="1912" t="s">
        <v>1840</v>
      </c>
      <c r="B104" s="729" t="s">
        <v>1841</v>
      </c>
      <c r="C104" s="725"/>
    </row>
    <row r="105" spans="1:3" x14ac:dyDescent="0.25">
      <c r="A105" s="1912" t="s">
        <v>1759</v>
      </c>
      <c r="B105" s="729" t="s">
        <v>1758</v>
      </c>
      <c r="C105" s="725"/>
    </row>
    <row r="106" spans="1:3" x14ac:dyDescent="0.25">
      <c r="A106" s="1912" t="s">
        <v>1760</v>
      </c>
      <c r="B106" s="729" t="s">
        <v>1761</v>
      </c>
      <c r="C106" s="725"/>
    </row>
    <row r="107" spans="1:3" x14ac:dyDescent="0.25">
      <c r="A107" t="s">
        <v>1071</v>
      </c>
      <c r="B107" s="694" t="s">
        <v>1072</v>
      </c>
      <c r="C107" s="725"/>
    </row>
    <row r="108" spans="1:3" x14ac:dyDescent="0.25">
      <c r="A108" s="1918" t="s">
        <v>1785</v>
      </c>
      <c r="B108" s="694" t="s">
        <v>1786</v>
      </c>
      <c r="C108" s="725"/>
    </row>
    <row r="109" spans="1:3" x14ac:dyDescent="0.25">
      <c r="A109" t="s">
        <v>1240</v>
      </c>
      <c r="B109" s="729" t="s">
        <v>1241</v>
      </c>
      <c r="C109" s="725"/>
    </row>
    <row r="110" spans="1:3" x14ac:dyDescent="0.25">
      <c r="A110" t="s">
        <v>709</v>
      </c>
      <c r="B110" s="694" t="str">
        <f>Translations!$B$1023</f>
        <v>непълно!</v>
      </c>
      <c r="C110" s="725"/>
    </row>
    <row r="111" spans="1:3" x14ac:dyDescent="0.25">
      <c r="A111" t="s">
        <v>386</v>
      </c>
      <c r="B111" s="694" t="str">
        <f>Translations!$B$1024</f>
        <v>отрицателна стойност!</v>
      </c>
      <c r="C111" s="725"/>
    </row>
    <row r="112" spans="1:3" x14ac:dyDescent="0.25">
      <c r="A112" t="s">
        <v>1014</v>
      </c>
      <c r="B112" s="694" t="str">
        <f>Translations!$B$1025</f>
        <v>несъответствие!</v>
      </c>
      <c r="C112" s="725"/>
    </row>
    <row r="113" spans="1:32" x14ac:dyDescent="0.25">
      <c r="A113" t="s">
        <v>738</v>
      </c>
      <c r="B113" s="1914" t="str">
        <f>Translations!$B$1026</f>
        <v>О.К.</v>
      </c>
    </row>
    <row r="114" spans="1:32" x14ac:dyDescent="0.25">
      <c r="A114" t="s">
        <v>463</v>
      </c>
      <c r="B114" s="1914" t="str">
        <f>Translations!$B$1027</f>
        <v>Липсват данни!</v>
      </c>
    </row>
    <row r="115" spans="1:32" x14ac:dyDescent="0.25">
      <c r="A115" t="s">
        <v>585</v>
      </c>
      <c r="B115" s="770" t="str">
        <f>Translations!$B$1407</f>
        <v>A.IV.1.f!</v>
      </c>
    </row>
    <row r="116" spans="1:32" x14ac:dyDescent="0.25">
      <c r="A116" t="s">
        <v>769</v>
      </c>
      <c r="B116" s="694" t="str">
        <f>Translations!$B$1028</f>
        <v>измерима топлинна енергия извън СТЕ</v>
      </c>
      <c r="C116" s="725"/>
    </row>
    <row r="117" spans="1:32" x14ac:dyDescent="0.25">
      <c r="A117" t="s">
        <v>804</v>
      </c>
      <c r="B117" s="694" t="str">
        <f>Translations!$B$1029</f>
        <v>Австрия</v>
      </c>
      <c r="C117" s="694" t="str">
        <f>Translations!$B$1030</f>
        <v>Белгия</v>
      </c>
      <c r="D117" s="1914" t="str">
        <f>Translations!$B$1031</f>
        <v>България</v>
      </c>
      <c r="E117" s="1914" t="str">
        <f>Translations!$B$1032</f>
        <v>Кипър</v>
      </c>
      <c r="F117" s="695" t="str">
        <f>Translations!$B$1033</f>
        <v>Хърватия</v>
      </c>
      <c r="G117" s="770" t="str">
        <f>Translations!$B$1601</f>
        <v>Чехия</v>
      </c>
      <c r="H117" s="1914" t="str">
        <f>Translations!$B$1034</f>
        <v>Дания</v>
      </c>
      <c r="I117" s="1914" t="str">
        <f>Translations!$B$1035</f>
        <v>Естония</v>
      </c>
      <c r="J117" s="1914" t="str">
        <f>Translations!$B$1036</f>
        <v>Финландия</v>
      </c>
      <c r="K117" s="1914" t="str">
        <f>Translations!$B$1037</f>
        <v>Франция</v>
      </c>
      <c r="L117" s="1914" t="str">
        <f>Translations!$B$1038</f>
        <v>Германия</v>
      </c>
      <c r="M117" s="1914" t="str">
        <f>Translations!$B$1039</f>
        <v>Гърция</v>
      </c>
      <c r="N117" s="1914" t="str">
        <f>Translations!$B$1040</f>
        <v>Унгария</v>
      </c>
      <c r="O117" s="1914" t="str">
        <f>Translations!$B$1041</f>
        <v>Исландия</v>
      </c>
      <c r="P117" s="1914" t="str">
        <f>Translations!$B$1042</f>
        <v>Ирландия</v>
      </c>
      <c r="Q117" s="1914" t="str">
        <f>Translations!$B$1043</f>
        <v>Италия</v>
      </c>
      <c r="R117" s="1914" t="str">
        <f>Translations!$B$1044</f>
        <v>Латвия</v>
      </c>
      <c r="S117" s="1914" t="str">
        <f>Translations!$B$1045</f>
        <v>Лихтенщайн</v>
      </c>
      <c r="T117" s="1914" t="str">
        <f>Translations!$B$1046</f>
        <v>Литва</v>
      </c>
      <c r="U117" s="1914" t="str">
        <f>Translations!$B$1047</f>
        <v>Люксембург</v>
      </c>
      <c r="V117" s="1914" t="str">
        <f>Translations!$B$1048</f>
        <v>Малта</v>
      </c>
      <c r="W117" s="1914" t="str">
        <f>Translations!$B$1049</f>
        <v>Нидерландия</v>
      </c>
      <c r="X117" s="1914" t="str">
        <f>Translations!$B$1050</f>
        <v>Норвегия</v>
      </c>
      <c r="Y117" s="1914" t="str">
        <f>Translations!$B$1051</f>
        <v>Полша</v>
      </c>
      <c r="Z117" s="1914" t="str">
        <f>Translations!$B$1052</f>
        <v>Португалия</v>
      </c>
      <c r="AA117" s="1914" t="str">
        <f>Translations!$B$1053</f>
        <v>Румъния</v>
      </c>
      <c r="AB117" s="1914" t="str">
        <f>Translations!$B$1054</f>
        <v>Словакия</v>
      </c>
      <c r="AC117" s="1914" t="str">
        <f>Translations!$B$1055</f>
        <v>Словения</v>
      </c>
      <c r="AD117" s="1914" t="str">
        <f>Translations!$B$1056</f>
        <v>Испания</v>
      </c>
      <c r="AE117" s="1914" t="str">
        <f>Translations!$B$1057</f>
        <v>Швеция</v>
      </c>
      <c r="AF117" s="1914" t="str">
        <f>Translations!$B$1058</f>
        <v>Обединеното кралство</v>
      </c>
    </row>
    <row r="118" spans="1:32" x14ac:dyDescent="0.25">
      <c r="A118" t="s">
        <v>805</v>
      </c>
      <c r="B118" s="694" t="s">
        <v>342</v>
      </c>
      <c r="C118" s="694" t="s">
        <v>343</v>
      </c>
      <c r="D118" s="1914" t="s">
        <v>344</v>
      </c>
      <c r="E118" s="1914" t="s">
        <v>345</v>
      </c>
      <c r="F118" s="695" t="s">
        <v>1165</v>
      </c>
      <c r="G118" s="1914" t="s">
        <v>346</v>
      </c>
      <c r="H118" s="1914" t="s">
        <v>347</v>
      </c>
      <c r="I118" s="1914" t="s">
        <v>348</v>
      </c>
      <c r="J118" s="1914" t="s">
        <v>349</v>
      </c>
      <c r="K118" s="1914" t="s">
        <v>350</v>
      </c>
      <c r="L118" s="1914" t="s">
        <v>351</v>
      </c>
      <c r="M118" s="1914" t="s">
        <v>352</v>
      </c>
      <c r="N118" s="1914" t="s">
        <v>353</v>
      </c>
      <c r="O118" s="1914" t="s">
        <v>888</v>
      </c>
      <c r="P118" s="1914" t="s">
        <v>354</v>
      </c>
      <c r="Q118" s="1914" t="s">
        <v>355</v>
      </c>
      <c r="R118" s="1914" t="s">
        <v>356</v>
      </c>
      <c r="S118" s="1914" t="s">
        <v>889</v>
      </c>
      <c r="T118" s="1914" t="s">
        <v>357</v>
      </c>
      <c r="U118" s="1914" t="s">
        <v>358</v>
      </c>
      <c r="V118" s="1914" t="s">
        <v>359</v>
      </c>
      <c r="W118" s="1914" t="s">
        <v>360</v>
      </c>
      <c r="X118" s="1914" t="s">
        <v>890</v>
      </c>
      <c r="Y118" s="1914" t="s">
        <v>361</v>
      </c>
      <c r="Z118" s="1914" t="s">
        <v>362</v>
      </c>
      <c r="AA118" s="1914" t="s">
        <v>363</v>
      </c>
      <c r="AB118" s="1914" t="s">
        <v>364</v>
      </c>
      <c r="AC118" s="1914" t="s">
        <v>365</v>
      </c>
      <c r="AD118" s="1914" t="s">
        <v>366</v>
      </c>
      <c r="AE118" s="1914" t="s">
        <v>367</v>
      </c>
      <c r="AF118" s="1914" t="s">
        <v>368</v>
      </c>
    </row>
    <row r="119" spans="1:32" x14ac:dyDescent="0.25">
      <c r="A119" s="1918" t="s">
        <v>1335</v>
      </c>
      <c r="B119" s="694" t="s">
        <v>342</v>
      </c>
      <c r="C119" s="694" t="s">
        <v>343</v>
      </c>
      <c r="D119" s="694" t="s">
        <v>344</v>
      </c>
      <c r="E119" s="694" t="s">
        <v>345</v>
      </c>
      <c r="F119" s="694" t="s">
        <v>1165</v>
      </c>
      <c r="G119" s="694" t="s">
        <v>346</v>
      </c>
      <c r="H119" s="694" t="s">
        <v>347</v>
      </c>
      <c r="I119" s="694" t="s">
        <v>348</v>
      </c>
      <c r="J119" s="694" t="s">
        <v>349</v>
      </c>
      <c r="K119" s="694" t="s">
        <v>350</v>
      </c>
      <c r="L119" s="694" t="s">
        <v>351</v>
      </c>
      <c r="M119" s="694" t="s">
        <v>1334</v>
      </c>
      <c r="N119" s="694" t="s">
        <v>353</v>
      </c>
      <c r="O119" s="694" t="s">
        <v>888</v>
      </c>
      <c r="P119" s="694" t="s">
        <v>354</v>
      </c>
      <c r="Q119" s="694" t="s">
        <v>355</v>
      </c>
      <c r="R119" s="694" t="s">
        <v>356</v>
      </c>
      <c r="S119" s="694" t="s">
        <v>889</v>
      </c>
      <c r="T119" s="694" t="s">
        <v>357</v>
      </c>
      <c r="U119" s="694" t="s">
        <v>358</v>
      </c>
      <c r="V119" s="694" t="s">
        <v>359</v>
      </c>
      <c r="W119" s="694" t="s">
        <v>360</v>
      </c>
      <c r="X119" s="694" t="s">
        <v>890</v>
      </c>
      <c r="Y119" s="694" t="s">
        <v>361</v>
      </c>
      <c r="Z119" s="694" t="s">
        <v>362</v>
      </c>
      <c r="AA119" s="694" t="s">
        <v>363</v>
      </c>
      <c r="AB119" s="694" t="s">
        <v>364</v>
      </c>
      <c r="AC119" s="694" t="s">
        <v>365</v>
      </c>
      <c r="AD119" s="694" t="s">
        <v>366</v>
      </c>
      <c r="AE119" s="694" t="s">
        <v>367</v>
      </c>
      <c r="AF119" s="694" t="s">
        <v>1333</v>
      </c>
    </row>
    <row r="120" spans="1:32" x14ac:dyDescent="0.25">
      <c r="A120" s="1143" t="s">
        <v>2191</v>
      </c>
      <c r="B120" s="729" t="str">
        <f>D117</f>
        <v>България</v>
      </c>
      <c r="C120" s="729" t="str">
        <f>G117</f>
        <v>Чехия</v>
      </c>
      <c r="D120" s="1914" t="str">
        <f>R117</f>
        <v>Латвия</v>
      </c>
      <c r="E120" s="1914" t="str">
        <f>Y117</f>
        <v>Полша</v>
      </c>
    </row>
    <row r="121" spans="1:32" x14ac:dyDescent="0.25">
      <c r="A121" t="s">
        <v>911</v>
      </c>
      <c r="B121" s="729" t="str">
        <f>Translations!$B$1059</f>
        <v>Задължително трябва да отговорите на въпроси a), b) и d)!</v>
      </c>
      <c r="C121" s="725"/>
    </row>
    <row r="122" spans="1:32" x14ac:dyDescent="0.25">
      <c r="A122" t="s">
        <v>718</v>
      </c>
      <c r="B122" s="729" t="str">
        <f>Translations!$B$1602</f>
        <v>Задължително трябва да отговорите на въпроса в A.IV.1.a!</v>
      </c>
      <c r="C122" s="725"/>
    </row>
    <row r="123" spans="1:32" x14ac:dyDescent="0.25">
      <c r="A123" t="s">
        <v>910</v>
      </c>
      <c r="B123" s="729" t="str">
        <f>Translations!$B$1402</f>
        <v>Задължително трябва да отговорите на въпроса в A.IV.1.g!</v>
      </c>
      <c r="C123" s="725"/>
    </row>
    <row r="124" spans="1:32" x14ac:dyDescent="0.25">
      <c r="A124" t="s">
        <v>913</v>
      </c>
      <c r="B124" s="694" t="str">
        <f>Translations!$B$1060</f>
        <v>Поне едно име на подинсталация е въведено повече от един път. Моля, поправете!</v>
      </c>
      <c r="C124" s="725"/>
    </row>
    <row r="125" spans="1:32" x14ac:dyDescent="0.25">
      <c r="A125" t="s">
        <v>914</v>
      </c>
      <c r="B125" s="729" t="str">
        <f>Translations!$B$1403</f>
        <v>Трябва да изберете поне една подинсталация!</v>
      </c>
      <c r="C125" s="725"/>
    </row>
    <row r="126" spans="1:32" x14ac:dyDescent="0.25">
      <c r="A126" t="s">
        <v>916</v>
      </c>
      <c r="B126" s="694" t="str">
        <f>Translations!$B$1061</f>
        <v>За всеки вид подинсталация, моля, въведете дали присъства в разглеждания случай или не!</v>
      </c>
      <c r="C126" s="725"/>
    </row>
    <row r="127" spans="1:32" x14ac:dyDescent="0.25">
      <c r="A127" t="s">
        <v>920</v>
      </c>
      <c r="B127" s="694" t="str">
        <f>Translations!$B$1062</f>
        <v>Моля, въведете информация по букви b) и с) по-горе!</v>
      </c>
      <c r="C127" s="725"/>
    </row>
    <row r="128" spans="1:32" x14ac:dyDescent="0.25">
      <c r="A128" t="s">
        <v>922</v>
      </c>
      <c r="B128" s="694" t="str">
        <f>Translations!$B$1063</f>
        <v>Моля въведете подробни данни за пораждащите емисии потоци, като започнете от раздел II по-долу!</v>
      </c>
      <c r="C128" s="725"/>
    </row>
    <row r="129" spans="1:3" x14ac:dyDescent="0.25">
      <c r="A129" s="1143" t="s">
        <v>924</v>
      </c>
      <c r="B129" s="694" t="str">
        <f>Translations!$B$1064</f>
        <v>Моля, продължете да въвеждате сумарните емисии в раздел D.I.2 в работен лист „D_Emissions“!</v>
      </c>
      <c r="C129" s="725"/>
    </row>
    <row r="130" spans="1:3" x14ac:dyDescent="0.25">
      <c r="A130" t="s">
        <v>441</v>
      </c>
      <c r="B130" s="694" t="str">
        <f>Translations!$B$1065</f>
        <v>Моля, въведете данни и в раздел E.II.4!</v>
      </c>
      <c r="C130" s="725"/>
    </row>
    <row r="131" spans="1:3" x14ac:dyDescent="0.25">
      <c r="A131" t="s">
        <v>440</v>
      </c>
      <c r="B131" s="694" t="str">
        <f>Translations!$B$1066</f>
        <v>Моля, въведете данни и в раздел D.II.3.a.!</v>
      </c>
      <c r="C131" s="725"/>
    </row>
    <row r="132" spans="1:3" x14ac:dyDescent="0.25">
      <c r="A132" s="1912" t="s">
        <v>1444</v>
      </c>
      <c r="B132" s="729" t="s">
        <v>1572</v>
      </c>
      <c r="C132" s="725"/>
    </row>
    <row r="133" spans="1:3" x14ac:dyDescent="0.25">
      <c r="A133" s="1912" t="s">
        <v>1948</v>
      </c>
      <c r="B133" s="729" t="s">
        <v>1947</v>
      </c>
      <c r="C133" s="725"/>
    </row>
    <row r="134" spans="1:3" x14ac:dyDescent="0.25">
      <c r="A134" s="1912" t="s">
        <v>2015</v>
      </c>
      <c r="B134" s="729" t="str">
        <f>Translations!$B$1404</f>
        <v>Преводът от файла с НМИ не е успешен. Моля, направете избора ръчно!</v>
      </c>
      <c r="C134" s="725"/>
    </row>
    <row r="135" spans="1:3" x14ac:dyDescent="0.25">
      <c r="A135" t="s">
        <v>999</v>
      </c>
      <c r="B135" s="694" t="str">
        <f>Translations!$B$1067</f>
        <v xml:space="preserve">Подробни указания за въвеждането на данни в този модул могат да бъдат намерени в началото на модула. </v>
      </c>
      <c r="C135" s="725"/>
    </row>
    <row r="136" spans="1:3" x14ac:dyDescent="0.25">
      <c r="A136" s="1912" t="s">
        <v>1453</v>
      </c>
      <c r="B136" s="729" t="str">
        <f>Translations!$B$1068</f>
        <v>Разпределението на емисии по подинсталации може да се намери в работния лист за обобщение.</v>
      </c>
      <c r="C136" s="725"/>
    </row>
    <row r="137" spans="1:3" x14ac:dyDescent="0.25">
      <c r="A137" t="s">
        <v>1001</v>
      </c>
      <c r="B137" s="694" t="str">
        <f>Translations!$B$1069</f>
        <v>Моля, преминете към работен лист „F_ProductBM“!</v>
      </c>
      <c r="C137" s="725"/>
    </row>
    <row r="138" spans="1:3" x14ac:dyDescent="0.25">
      <c r="A138" t="s">
        <v>1003</v>
      </c>
      <c r="B138" s="694" t="str">
        <f>Translations!$B$1070</f>
        <v>Моля, преминете към раздел E.II.2</v>
      </c>
      <c r="C138" s="725"/>
    </row>
    <row r="139" spans="1:3" x14ac:dyDescent="0.25">
      <c r="A139" t="s">
        <v>1004</v>
      </c>
      <c r="B139" s="694" t="str">
        <f>Translations!$B$1071</f>
        <v>Моля, продължете със следващите точки по-долу</v>
      </c>
      <c r="C139" s="725"/>
    </row>
    <row r="140" spans="1:3" x14ac:dyDescent="0.25">
      <c r="A140" t="s">
        <v>449</v>
      </c>
      <c r="B140" s="694" t="str">
        <f>Translations!$B$1072</f>
        <v>Моля, използвайте инструмента за заменяемост на електроенергия по-долу.</v>
      </c>
      <c r="C140" s="725"/>
    </row>
    <row r="141" spans="1:3" x14ac:dyDescent="0.25">
      <c r="A141" t="s">
        <v>452</v>
      </c>
      <c r="B141" s="694" t="str">
        <f>Translations!$B$1073</f>
        <v>Моля, преминете към буква d) по-долу.</v>
      </c>
      <c r="C141" s="725"/>
    </row>
    <row r="142" spans="1:3" x14ac:dyDescent="0.25">
      <c r="A142" t="s">
        <v>453</v>
      </c>
      <c r="B142" s="694" t="str">
        <f>Translations!$B$1074</f>
        <v>Ако посоченото тук не присъства във Вашата инсталация, преминете към следващите точки.</v>
      </c>
      <c r="C142" s="725"/>
    </row>
    <row r="143" spans="1:3" x14ac:dyDescent="0.25">
      <c r="A143" t="s">
        <v>460</v>
      </c>
      <c r="B143" s="694" t="str">
        <f>Translations!$B$1075</f>
        <v>Датите трябва да бъдат подредени във възходящ ред!</v>
      </c>
      <c r="C143" s="725"/>
    </row>
    <row r="144" spans="1:3" x14ac:dyDescent="0.25">
      <c r="A144" t="s">
        <v>789</v>
      </c>
      <c r="B144" s="694" t="str">
        <f>Translations!$B$1076</f>
        <v>Липсва вид дейност (A.I.4.a)!</v>
      </c>
      <c r="C144" s="725"/>
    </row>
    <row r="145" spans="1:16" x14ac:dyDescent="0.25">
      <c r="A145" s="1143" t="s">
        <v>107</v>
      </c>
      <c r="B145" s="694" t="str">
        <f>Translations!$B$1077</f>
        <v>Моля, въведете данни в този раздел!</v>
      </c>
      <c r="C145" s="725"/>
    </row>
    <row r="146" spans="1:16" x14ac:dyDescent="0.25">
      <c r="A146" t="s">
        <v>110</v>
      </c>
      <c r="B146" s="694" t="str">
        <f>Translations!$B$1078</f>
        <v>Моля, продължете със следващата подинсталация!</v>
      </c>
      <c r="C146" s="725"/>
    </row>
    <row r="147" spans="1:16" x14ac:dyDescent="0.25">
      <c r="A147" t="s">
        <v>115</v>
      </c>
      <c r="B147" s="694" t="str">
        <f>Translations!$B$1079</f>
        <v>Щракнете тук за връщане към работен лист „F_ProductBM“</v>
      </c>
      <c r="C147" s="725"/>
    </row>
    <row r="148" spans="1:16" x14ac:dyDescent="0.25">
      <c r="A148" t="s">
        <v>174</v>
      </c>
      <c r="B148" s="694" t="str">
        <f>Translations!$B$1080</f>
        <v>Моля, продължете с въвеждането на данните по букви с) и d)!</v>
      </c>
      <c r="C148" s="725"/>
    </row>
    <row r="149" spans="1:16" x14ac:dyDescent="0.25">
      <c r="A149" t="s">
        <v>175</v>
      </c>
      <c r="B149" s="694" t="str">
        <f>Translations!$B$1081</f>
        <v>Моля, продължете с буква e)!</v>
      </c>
      <c r="C149" s="725"/>
    </row>
    <row r="150" spans="1:16" x14ac:dyDescent="0.25">
      <c r="A150" s="1912" t="s">
        <v>1117</v>
      </c>
      <c r="B150" s="729" t="s">
        <v>1116</v>
      </c>
      <c r="C150" s="694"/>
      <c r="D150" s="694"/>
      <c r="E150" s="694"/>
      <c r="F150" s="694"/>
      <c r="G150" s="694"/>
      <c r="H150" s="694"/>
      <c r="I150" s="694"/>
      <c r="J150" s="694"/>
      <c r="K150" s="694"/>
      <c r="L150" s="694"/>
      <c r="M150" s="694"/>
      <c r="N150" s="694"/>
      <c r="O150" s="694"/>
      <c r="P150" s="694"/>
    </row>
    <row r="151" spans="1:16" x14ac:dyDescent="0.25">
      <c r="A151" s="1912" t="s">
        <v>1459</v>
      </c>
      <c r="B151" s="729" t="s">
        <v>1460</v>
      </c>
      <c r="C151" s="694"/>
      <c r="D151" s="694"/>
      <c r="E151" s="694"/>
      <c r="F151" s="694"/>
      <c r="G151" s="694"/>
      <c r="H151" s="694"/>
      <c r="I151" s="694"/>
      <c r="J151" s="694"/>
      <c r="K151" s="694"/>
      <c r="L151" s="694"/>
      <c r="M151" s="694"/>
      <c r="N151" s="694"/>
      <c r="O151" s="694"/>
      <c r="P151" s="694"/>
    </row>
    <row r="152" spans="1:16" x14ac:dyDescent="0.25">
      <c r="A152" s="1912" t="s">
        <v>2289</v>
      </c>
      <c r="B152" s="729" t="s">
        <v>2290</v>
      </c>
      <c r="C152" s="647"/>
      <c r="D152" s="647"/>
      <c r="E152" s="647"/>
      <c r="F152" s="647"/>
      <c r="G152" s="647"/>
      <c r="H152" s="647"/>
      <c r="I152" s="647"/>
      <c r="J152" s="647"/>
      <c r="K152" s="647"/>
      <c r="L152" s="647"/>
      <c r="M152" s="647"/>
      <c r="N152" s="647"/>
      <c r="O152" s="647"/>
      <c r="P152" s="647"/>
    </row>
    <row r="153" spans="1:16" x14ac:dyDescent="0.25">
      <c r="A153" s="1912" t="s">
        <v>2291</v>
      </c>
      <c r="B153" s="729" t="s">
        <v>2292</v>
      </c>
      <c r="C153" s="647"/>
      <c r="D153" s="647"/>
      <c r="E153" s="647"/>
      <c r="F153" s="647"/>
      <c r="G153" s="647"/>
      <c r="H153" s="647"/>
      <c r="I153" s="647"/>
      <c r="J153" s="647"/>
      <c r="K153" s="647"/>
      <c r="L153" s="647"/>
      <c r="M153" s="647"/>
      <c r="N153" s="647"/>
      <c r="O153" s="647"/>
      <c r="P153" s="647"/>
    </row>
    <row r="154" spans="1:16" x14ac:dyDescent="0.25">
      <c r="A154" s="1912" t="s">
        <v>2293</v>
      </c>
      <c r="B154" s="729" t="s">
        <v>2294</v>
      </c>
      <c r="C154" s="647"/>
      <c r="D154" s="647"/>
      <c r="E154" s="647"/>
      <c r="F154" s="647"/>
      <c r="G154" s="647"/>
      <c r="H154" s="647"/>
      <c r="I154" s="647"/>
      <c r="J154" s="647"/>
      <c r="K154" s="647"/>
      <c r="L154" s="647"/>
      <c r="M154" s="647"/>
      <c r="N154" s="647"/>
      <c r="O154" s="647"/>
      <c r="P154" s="647"/>
    </row>
    <row r="155" spans="1:16" x14ac:dyDescent="0.25">
      <c r="A155" s="1912" t="s">
        <v>2295</v>
      </c>
      <c r="B155" s="729" t="s">
        <v>2296</v>
      </c>
      <c r="C155" s="647"/>
      <c r="D155" s="647"/>
      <c r="E155" s="647"/>
      <c r="F155" s="647"/>
      <c r="G155" s="647"/>
      <c r="H155" s="647"/>
      <c r="I155" s="647"/>
      <c r="J155" s="647"/>
      <c r="K155" s="647"/>
      <c r="L155" s="647"/>
      <c r="M155" s="647"/>
      <c r="N155" s="647"/>
      <c r="O155" s="647"/>
      <c r="P155" s="647"/>
    </row>
    <row r="156" spans="1:16" x14ac:dyDescent="0.25">
      <c r="A156" s="1912" t="s">
        <v>2297</v>
      </c>
      <c r="B156" s="729" t="s">
        <v>2298</v>
      </c>
      <c r="C156" s="647"/>
      <c r="D156" s="647"/>
      <c r="E156" s="647"/>
      <c r="F156" s="647"/>
      <c r="G156" s="647"/>
      <c r="H156" s="647"/>
      <c r="I156" s="647"/>
      <c r="J156" s="647"/>
      <c r="K156" s="647"/>
      <c r="L156" s="647"/>
      <c r="M156" s="647"/>
      <c r="N156" s="647"/>
      <c r="O156" s="647"/>
      <c r="P156" s="647"/>
    </row>
    <row r="157" spans="1:16" x14ac:dyDescent="0.25">
      <c r="A157" s="1912" t="s">
        <v>1575</v>
      </c>
      <c r="B157" s="729" t="s">
        <v>1576</v>
      </c>
      <c r="C157" s="725"/>
    </row>
    <row r="158" spans="1:16" x14ac:dyDescent="0.25">
      <c r="A158" s="1912" t="s">
        <v>2299</v>
      </c>
      <c r="B158" s="729" t="s">
        <v>2300</v>
      </c>
      <c r="C158" s="647"/>
    </row>
    <row r="159" spans="1:16" x14ac:dyDescent="0.25">
      <c r="A159" s="1912" t="s">
        <v>1114</v>
      </c>
      <c r="B159" s="729" t="s">
        <v>1112</v>
      </c>
      <c r="C159" s="725"/>
    </row>
    <row r="160" spans="1:16" x14ac:dyDescent="0.25">
      <c r="A160" s="1912" t="s">
        <v>1122</v>
      </c>
      <c r="B160" s="729" t="s">
        <v>1121</v>
      </c>
      <c r="C160" s="725"/>
    </row>
    <row r="161" spans="1:3" x14ac:dyDescent="0.25">
      <c r="A161" s="1912" t="s">
        <v>1337</v>
      </c>
      <c r="B161" s="729" t="s">
        <v>1338</v>
      </c>
      <c r="C161" s="725"/>
    </row>
    <row r="162" spans="1:3" x14ac:dyDescent="0.25">
      <c r="A162" s="1912" t="s">
        <v>1462</v>
      </c>
      <c r="B162" s="729" t="s">
        <v>1463</v>
      </c>
      <c r="C162" s="725"/>
    </row>
    <row r="163" spans="1:3" x14ac:dyDescent="0.25">
      <c r="A163" s="1912" t="s">
        <v>1363</v>
      </c>
      <c r="B163" s="729" t="s">
        <v>1364</v>
      </c>
      <c r="C163" s="725"/>
    </row>
    <row r="164" spans="1:3" x14ac:dyDescent="0.25">
      <c r="A164" s="1912" t="s">
        <v>1464</v>
      </c>
      <c r="B164" s="729" t="s">
        <v>1465</v>
      </c>
      <c r="C164" s="725"/>
    </row>
    <row r="165" spans="1:3" x14ac:dyDescent="0.25">
      <c r="A165" s="1912" t="s">
        <v>1341</v>
      </c>
      <c r="B165" s="729" t="s">
        <v>1342</v>
      </c>
      <c r="C165" s="725"/>
    </row>
    <row r="166" spans="1:3" x14ac:dyDescent="0.25">
      <c r="A166" s="1912" t="s">
        <v>1466</v>
      </c>
      <c r="B166" s="729" t="s">
        <v>1467</v>
      </c>
      <c r="C166" s="725"/>
    </row>
    <row r="167" spans="1:3" x14ac:dyDescent="0.25">
      <c r="A167" s="1912" t="s">
        <v>1129</v>
      </c>
      <c r="B167" s="729" t="s">
        <v>1132</v>
      </c>
      <c r="C167" s="725"/>
    </row>
    <row r="168" spans="1:3" x14ac:dyDescent="0.25">
      <c r="A168" s="1912" t="s">
        <v>1130</v>
      </c>
      <c r="B168" s="729" t="s">
        <v>1131</v>
      </c>
      <c r="C168" s="725"/>
    </row>
    <row r="169" spans="1:3" x14ac:dyDescent="0.25">
      <c r="A169" s="1912" t="s">
        <v>1115</v>
      </c>
      <c r="B169" s="729" t="s">
        <v>1113</v>
      </c>
      <c r="C169" s="725"/>
    </row>
    <row r="170" spans="1:3" x14ac:dyDescent="0.25">
      <c r="A170" s="1912" t="s">
        <v>1119</v>
      </c>
      <c r="B170" s="729" t="s">
        <v>1120</v>
      </c>
      <c r="C170" s="725"/>
    </row>
    <row r="171" spans="1:3" x14ac:dyDescent="0.25">
      <c r="A171" s="1912" t="s">
        <v>1123</v>
      </c>
      <c r="B171" s="729" t="s">
        <v>1124</v>
      </c>
      <c r="C171" s="725"/>
    </row>
    <row r="172" spans="1:3" x14ac:dyDescent="0.25">
      <c r="A172" s="1912" t="s">
        <v>1125</v>
      </c>
      <c r="B172" s="729" t="s">
        <v>1126</v>
      </c>
      <c r="C172" s="725"/>
    </row>
    <row r="173" spans="1:3" x14ac:dyDescent="0.25">
      <c r="A173" s="1912" t="s">
        <v>1189</v>
      </c>
      <c r="B173" s="729" t="s">
        <v>1190</v>
      </c>
      <c r="C173" s="725"/>
    </row>
    <row r="174" spans="1:3" x14ac:dyDescent="0.25">
      <c r="A174" s="1912" t="s">
        <v>1191</v>
      </c>
      <c r="B174" s="729" t="s">
        <v>1192</v>
      </c>
      <c r="C174" s="725"/>
    </row>
    <row r="175" spans="1:3" x14ac:dyDescent="0.25">
      <c r="A175" s="1912" t="s">
        <v>1127</v>
      </c>
      <c r="B175" s="729" t="s">
        <v>1128</v>
      </c>
      <c r="C175" s="725"/>
    </row>
    <row r="176" spans="1:3" x14ac:dyDescent="0.25">
      <c r="A176" s="1912" t="s">
        <v>1406</v>
      </c>
      <c r="B176" s="729" t="s">
        <v>1407</v>
      </c>
      <c r="C176" s="725"/>
    </row>
    <row r="177" spans="1:3" x14ac:dyDescent="0.25">
      <c r="A177" s="1912" t="s">
        <v>1147</v>
      </c>
      <c r="B177" s="729" t="s">
        <v>1461</v>
      </c>
      <c r="C177" s="725"/>
    </row>
    <row r="178" spans="1:3" x14ac:dyDescent="0.25">
      <c r="A178" s="1912" t="s">
        <v>1545</v>
      </c>
      <c r="B178" s="729" t="s">
        <v>1548</v>
      </c>
      <c r="C178" s="725"/>
    </row>
    <row r="179" spans="1:3" x14ac:dyDescent="0.25">
      <c r="A179" s="1912" t="s">
        <v>1546</v>
      </c>
      <c r="B179" s="729" t="s">
        <v>1549</v>
      </c>
      <c r="C179" s="725"/>
    </row>
    <row r="180" spans="1:3" x14ac:dyDescent="0.25">
      <c r="A180" s="1912" t="s">
        <v>1547</v>
      </c>
      <c r="B180" s="729" t="s">
        <v>1550</v>
      </c>
      <c r="C180" s="725"/>
    </row>
    <row r="181" spans="1:3" x14ac:dyDescent="0.25">
      <c r="A181" s="1912" t="s">
        <v>1553</v>
      </c>
      <c r="B181" s="729" t="s">
        <v>1551</v>
      </c>
      <c r="C181" s="725"/>
    </row>
    <row r="182" spans="1:3" x14ac:dyDescent="0.25">
      <c r="A182" s="1912" t="s">
        <v>1554</v>
      </c>
      <c r="B182" s="729" t="s">
        <v>1552</v>
      </c>
      <c r="C182" s="725"/>
    </row>
    <row r="183" spans="1:3" x14ac:dyDescent="0.25">
      <c r="A183" s="1912" t="s">
        <v>1318</v>
      </c>
      <c r="B183" s="729" t="s">
        <v>1316</v>
      </c>
      <c r="C183" s="725"/>
    </row>
    <row r="184" spans="1:3" x14ac:dyDescent="0.25">
      <c r="A184" s="1912" t="s">
        <v>1319</v>
      </c>
      <c r="B184" s="729" t="s">
        <v>1317</v>
      </c>
      <c r="C184" s="725"/>
    </row>
    <row r="185" spans="1:3" x14ac:dyDescent="0.25">
      <c r="A185" s="1912" t="s">
        <v>1488</v>
      </c>
      <c r="B185" s="729" t="s">
        <v>1490</v>
      </c>
      <c r="C185" s="725"/>
    </row>
    <row r="186" spans="1:3" x14ac:dyDescent="0.25">
      <c r="A186" s="1912" t="s">
        <v>1489</v>
      </c>
      <c r="B186" s="729" t="s">
        <v>1491</v>
      </c>
      <c r="C186" s="725"/>
    </row>
    <row r="187" spans="1:3" x14ac:dyDescent="0.25">
      <c r="A187" s="1912" t="s">
        <v>1320</v>
      </c>
      <c r="B187" s="729" t="s">
        <v>1321</v>
      </c>
      <c r="C187" s="725"/>
    </row>
    <row r="188" spans="1:3" x14ac:dyDescent="0.25">
      <c r="A188" s="1912" t="s">
        <v>1413</v>
      </c>
      <c r="B188" s="729" t="s">
        <v>1414</v>
      </c>
      <c r="C188" s="725"/>
    </row>
    <row r="189" spans="1:3" x14ac:dyDescent="0.25">
      <c r="A189" s="1912" t="s">
        <v>2205</v>
      </c>
      <c r="B189" s="729" t="s">
        <v>2206</v>
      </c>
      <c r="C189" s="725"/>
    </row>
    <row r="190" spans="1:3" x14ac:dyDescent="0.25">
      <c r="A190" s="1912" t="s">
        <v>2207</v>
      </c>
      <c r="B190" s="729" t="s">
        <v>2208</v>
      </c>
      <c r="C190" s="725"/>
    </row>
    <row r="191" spans="1:3" x14ac:dyDescent="0.25">
      <c r="A191" s="1912" t="s">
        <v>1150</v>
      </c>
      <c r="B191" s="1914" t="str">
        <f>EUconst_tCO2&amp;" / "&amp;EUconst_MWh</f>
        <v>t CO2 / MWh</v>
      </c>
      <c r="C191" s="725"/>
    </row>
    <row r="192" spans="1:3" x14ac:dyDescent="0.25">
      <c r="A192" s="1912" t="s">
        <v>1155</v>
      </c>
      <c r="B192" s="694">
        <v>56.1</v>
      </c>
      <c r="C192" s="725"/>
    </row>
    <row r="193" spans="1:11" x14ac:dyDescent="0.25">
      <c r="A193" s="1912" t="s">
        <v>1403</v>
      </c>
      <c r="B193" s="694">
        <v>0.66700000000000004</v>
      </c>
      <c r="C193" s="725"/>
    </row>
    <row r="194" spans="1:11" x14ac:dyDescent="0.25">
      <c r="A194" s="1912" t="s">
        <v>1237</v>
      </c>
      <c r="B194" s="1919">
        <v>0.3</v>
      </c>
      <c r="C194" s="1919">
        <v>0.3</v>
      </c>
      <c r="D194" s="1919">
        <v>0.3</v>
      </c>
      <c r="E194" s="1919">
        <v>0.3</v>
      </c>
      <c r="F194" s="1919">
        <v>0.3</v>
      </c>
      <c r="G194" s="1919">
        <v>0.3</v>
      </c>
      <c r="H194" s="1919">
        <f>G194-25%*$G$195</f>
        <v>0.22499999999999998</v>
      </c>
      <c r="I194" s="1919">
        <f>H194-25%*$G$195</f>
        <v>0.14999999999999997</v>
      </c>
      <c r="J194" s="1919">
        <f>I194-25%*$G$195</f>
        <v>7.4999999999999969E-2</v>
      </c>
      <c r="K194" s="1919">
        <f>J194-25%*$G$195</f>
        <v>0</v>
      </c>
    </row>
    <row r="195" spans="1:11" x14ac:dyDescent="0.25">
      <c r="A195" s="1912" t="s">
        <v>1238</v>
      </c>
      <c r="B195" s="1919">
        <v>0.3</v>
      </c>
      <c r="C195" s="1919">
        <v>0.3</v>
      </c>
      <c r="D195" s="1919">
        <v>0.3</v>
      </c>
      <c r="E195" s="1919">
        <v>0.3</v>
      </c>
      <c r="F195" s="1919">
        <v>0.3</v>
      </c>
      <c r="G195" s="1919">
        <v>0.3</v>
      </c>
      <c r="H195" s="1919">
        <v>0.3</v>
      </c>
      <c r="I195" s="1919">
        <v>0.3</v>
      </c>
      <c r="J195" s="1919">
        <v>0.3</v>
      </c>
      <c r="K195" s="1919">
        <v>0.3</v>
      </c>
    </row>
    <row r="196" spans="1:11" x14ac:dyDescent="0.25">
      <c r="A196" s="1912" t="s">
        <v>2152</v>
      </c>
      <c r="B196" s="1919">
        <v>1</v>
      </c>
      <c r="C196" s="1919">
        <v>1</v>
      </c>
      <c r="D196" s="1919">
        <v>1</v>
      </c>
      <c r="E196" s="1919">
        <v>1</v>
      </c>
      <c r="F196" s="1919">
        <v>1</v>
      </c>
      <c r="G196" s="1919">
        <v>0.97499999999999998</v>
      </c>
      <c r="H196" s="1919">
        <v>0.95</v>
      </c>
      <c r="I196" s="1919">
        <v>0.9</v>
      </c>
      <c r="J196" s="1919">
        <v>0.77500000000000002</v>
      </c>
      <c r="K196" s="1919">
        <v>0.51500000000000001</v>
      </c>
    </row>
    <row r="197" spans="1:11" x14ac:dyDescent="0.25">
      <c r="A197" s="1912" t="s">
        <v>1590</v>
      </c>
      <c r="B197" s="770" t="str">
        <f>Translations!$B$1082</f>
        <v>Минимум</v>
      </c>
      <c r="C197" s="770" t="str">
        <f>Translations!$B$143</f>
        <v>Максимум</v>
      </c>
      <c r="D197" s="770" t="str">
        <f>Translations!$B$1083</f>
        <v>Действителни стойности</v>
      </c>
      <c r="E197" s="1919"/>
      <c r="F197" s="1919"/>
      <c r="G197" s="1919"/>
      <c r="H197" s="1919"/>
      <c r="I197" s="1919"/>
      <c r="J197" s="1919"/>
      <c r="K197" s="1919"/>
    </row>
    <row r="198" spans="1:11" x14ac:dyDescent="0.25">
      <c r="A198" s="1912" t="s">
        <v>1832</v>
      </c>
      <c r="B198" s="1920" t="s">
        <v>1833</v>
      </c>
      <c r="C198" s="1919"/>
      <c r="D198" s="1919"/>
      <c r="E198" s="1919"/>
      <c r="F198" s="1919"/>
      <c r="G198" s="1919"/>
      <c r="H198" s="1919"/>
      <c r="I198" s="1919"/>
      <c r="J198" s="1919"/>
      <c r="K198" s="1919"/>
    </row>
    <row r="199" spans="1:11" x14ac:dyDescent="0.25">
      <c r="A199" s="1912" t="s">
        <v>1796</v>
      </c>
      <c r="B199" s="1920" t="s">
        <v>1797</v>
      </c>
      <c r="C199" s="1919"/>
      <c r="D199" s="1919"/>
      <c r="E199" s="1919"/>
      <c r="F199" s="1919"/>
      <c r="G199" s="1919"/>
      <c r="H199" s="1919"/>
      <c r="I199" s="1919"/>
      <c r="J199" s="1919"/>
      <c r="K199" s="1919"/>
    </row>
    <row r="200" spans="1:11" x14ac:dyDescent="0.25">
      <c r="A200" s="1912" t="s">
        <v>1798</v>
      </c>
      <c r="B200" s="1920" t="s">
        <v>1799</v>
      </c>
      <c r="C200" s="1919"/>
      <c r="D200" s="1919"/>
      <c r="E200" s="1919"/>
      <c r="F200" s="1919"/>
      <c r="G200" s="1919"/>
      <c r="H200" s="1919"/>
      <c r="I200" s="1919"/>
      <c r="J200" s="1919"/>
      <c r="K200" s="1919"/>
    </row>
    <row r="201" spans="1:11" x14ac:dyDescent="0.25">
      <c r="A201" s="1912" t="s">
        <v>1800</v>
      </c>
      <c r="B201" s="1920" t="s">
        <v>1801</v>
      </c>
      <c r="C201" s="1919"/>
      <c r="D201" s="1919"/>
      <c r="E201" s="1919"/>
      <c r="F201" s="1919"/>
      <c r="G201" s="1919"/>
      <c r="H201" s="1919"/>
      <c r="I201" s="1919"/>
      <c r="J201" s="1919"/>
      <c r="K201" s="1919"/>
    </row>
    <row r="202" spans="1:11" x14ac:dyDescent="0.25">
      <c r="A202" s="1912" t="s">
        <v>1812</v>
      </c>
      <c r="B202" s="1920" t="s">
        <v>1813</v>
      </c>
      <c r="C202" s="1919"/>
      <c r="D202" s="1919"/>
      <c r="E202" s="1919"/>
      <c r="F202" s="1919"/>
      <c r="G202" s="1919"/>
      <c r="H202" s="1919"/>
      <c r="I202" s="1919"/>
      <c r="J202" s="1919"/>
      <c r="K202" s="1919"/>
    </row>
    <row r="203" spans="1:11" x14ac:dyDescent="0.25">
      <c r="A203" s="1912" t="s">
        <v>1802</v>
      </c>
      <c r="B203" s="1920" t="s">
        <v>1803</v>
      </c>
      <c r="C203" s="1919"/>
      <c r="D203" s="1919"/>
      <c r="E203" s="1919"/>
      <c r="F203" s="1919"/>
      <c r="G203" s="1919"/>
      <c r="H203" s="1919"/>
      <c r="I203" s="1919"/>
      <c r="J203" s="1919"/>
      <c r="K203" s="1919"/>
    </row>
    <row r="204" spans="1:11" x14ac:dyDescent="0.25">
      <c r="A204" s="1912" t="s">
        <v>1804</v>
      </c>
      <c r="B204" s="1920" t="s">
        <v>1805</v>
      </c>
      <c r="C204" s="1919"/>
      <c r="D204" s="1919"/>
      <c r="E204" s="1919"/>
      <c r="F204" s="1919"/>
      <c r="G204" s="1919"/>
      <c r="H204" s="1919"/>
      <c r="I204" s="1919"/>
      <c r="J204" s="1919"/>
      <c r="K204" s="1919"/>
    </row>
    <row r="205" spans="1:11" x14ac:dyDescent="0.25">
      <c r="A205" s="1912" t="s">
        <v>2115</v>
      </c>
      <c r="B205" s="1920" t="s">
        <v>2114</v>
      </c>
      <c r="C205" s="1919"/>
      <c r="D205" s="1919"/>
      <c r="E205" s="1919"/>
      <c r="F205" s="1919"/>
      <c r="G205" s="1919"/>
      <c r="H205" s="1919"/>
      <c r="I205" s="1919"/>
      <c r="J205" s="1919"/>
      <c r="K205" s="1919"/>
    </row>
    <row r="206" spans="1:11" x14ac:dyDescent="0.25">
      <c r="A206" s="1912" t="s">
        <v>2112</v>
      </c>
      <c r="B206" s="1920" t="s">
        <v>2111</v>
      </c>
      <c r="C206" s="1919"/>
      <c r="D206" s="1919"/>
      <c r="E206" s="1919"/>
      <c r="F206" s="1919"/>
      <c r="G206" s="1919"/>
      <c r="H206" s="1919"/>
      <c r="I206" s="1919"/>
      <c r="J206" s="1919"/>
      <c r="K206" s="1919"/>
    </row>
    <row r="207" spans="1:11" x14ac:dyDescent="0.25">
      <c r="A207" s="1912" t="s">
        <v>1817</v>
      </c>
      <c r="B207" s="729" t="s">
        <v>1818</v>
      </c>
      <c r="C207" s="725"/>
    </row>
    <row r="208" spans="1:11" x14ac:dyDescent="0.25">
      <c r="A208" s="1912" t="s">
        <v>1838</v>
      </c>
      <c r="B208" s="729" t="s">
        <v>1839</v>
      </c>
      <c r="C208" s="725"/>
    </row>
    <row r="209" spans="1:6" x14ac:dyDescent="0.25">
      <c r="A209" s="1912" t="s">
        <v>1852</v>
      </c>
      <c r="B209" s="729" t="str">
        <f>Translations!$B$1405</f>
        <v>а) Разрешителното за емисии на парникови газове е отнето</v>
      </c>
      <c r="C209" s="729" t="str">
        <f>Translations!$B$1406</f>
        <v>б) (под)инсталацията вече не е в експлоатация</v>
      </c>
      <c r="D209" s="729"/>
      <c r="E209" s="729"/>
      <c r="F209" s="729"/>
    </row>
    <row r="210" spans="1:6" x14ac:dyDescent="0.25">
      <c r="A210" s="1912" t="s">
        <v>2048</v>
      </c>
      <c r="B210" s="729" t="str">
        <f>Translations!$B$990</f>
        <v>Подинсталация с продуктов показател</v>
      </c>
    </row>
    <row r="211" spans="1:6" x14ac:dyDescent="0.25">
      <c r="A211" s="1912" t="s">
        <v>2049</v>
      </c>
      <c r="B211" s="729" t="str">
        <f>Translations!$B$991</f>
        <v>Алтернативна подинсталация („Fall-Back sub-installation“)</v>
      </c>
    </row>
    <row r="228" spans="1:13" s="1921" customFormat="1" ht="13" x14ac:dyDescent="0.3">
      <c r="A228" s="1921" t="str">
        <f>Translations!$B$1084</f>
        <v>Списък с дейности</v>
      </c>
      <c r="B228" s="1922" t="s">
        <v>1688</v>
      </c>
      <c r="C228" s="1922"/>
      <c r="D228" s="1922"/>
      <c r="E228" s="1922"/>
      <c r="F228" s="1922"/>
      <c r="G228" s="1922"/>
      <c r="H228" s="1922" t="s">
        <v>1689</v>
      </c>
    </row>
    <row r="229" spans="1:13" x14ac:dyDescent="0.25">
      <c r="A229" s="1914" t="str">
        <f>Translations!$B$1085</f>
        <v>№ на дейността</v>
      </c>
      <c r="B229" s="1914" t="str">
        <f>Translations!$B$1086</f>
        <v>Дейност (Приложение I към Директивата за СТЕ)</v>
      </c>
      <c r="C229" s="1914"/>
      <c r="D229" s="1914"/>
      <c r="E229" s="1914"/>
      <c r="F229" s="1914"/>
      <c r="G229" s="1914"/>
      <c r="H229" s="1914"/>
      <c r="I229" s="1914"/>
      <c r="J229" s="1914"/>
      <c r="K229" s="1914"/>
      <c r="L229" s="1914"/>
      <c r="M229" s="1914"/>
    </row>
    <row r="230" spans="1:13" x14ac:dyDescent="0.25">
      <c r="A230">
        <v>1</v>
      </c>
      <c r="B230" s="1914" t="str">
        <f>IF(LEN(H230)&gt;250,LEFT(H230,250),H230)</f>
        <v>Изгаряне на горива в инсталации с обща номинална входяща топлинна мощност над 20 MW (с изключение на инсталациите за изгаряне на опасни или твърди битови отпадъци)</v>
      </c>
      <c r="H230" s="1914" t="str">
        <f>Translations!$B$1087</f>
        <v>Изгаряне на горива в инсталации с обща номинална входяща топлинна мощност над 20 MW (с изключение на инсталациите за изгаряне на опасни или твърди битови отпадъци)</v>
      </c>
    </row>
    <row r="231" spans="1:13" x14ac:dyDescent="0.25">
      <c r="A231">
        <v>2</v>
      </c>
      <c r="B231" s="1914" t="str">
        <f>IF(LEN(H231)&gt;250,LEFT(H231,250),H231)</f>
        <v xml:space="preserve">Рафиниране на нефт </v>
      </c>
      <c r="H231" s="1923" t="str">
        <f>Translations!$B$1603</f>
        <v xml:space="preserve">Рафиниране на нефт </v>
      </c>
    </row>
    <row r="232" spans="1:13" x14ac:dyDescent="0.25">
      <c r="A232">
        <v>3</v>
      </c>
      <c r="B232" s="1914" t="str">
        <f t="shared" ref="B232:B257" si="1">IF(LEN(H232)&gt;250,LEFT(H232,250),H232)</f>
        <v xml:space="preserve">Производство на кокс </v>
      </c>
      <c r="H232" s="1923" t="str">
        <f>Translations!$B$1088</f>
        <v xml:space="preserve">Производство на кокс </v>
      </c>
    </row>
    <row r="233" spans="1:13" x14ac:dyDescent="0.25">
      <c r="A233">
        <v>4</v>
      </c>
      <c r="B233" s="1914" t="str">
        <f t="shared" si="1"/>
        <v xml:space="preserve">Пържене и агломерация, включително гранулиране, на метална руда (включително сулфидна руда) </v>
      </c>
      <c r="H233" s="1923" t="str">
        <f>Translations!$B$1089</f>
        <v xml:space="preserve">Пържене и агломерация, включително гранулиране, на метална руда (включително сулфидна руда) </v>
      </c>
    </row>
    <row r="234" spans="1:13" x14ac:dyDescent="0.25">
      <c r="A234">
        <v>5</v>
      </c>
      <c r="B234" s="1914" t="str">
        <f t="shared" si="1"/>
        <v xml:space="preserve">Производство на желязо или стомана (първично или вторично стапяне), включително непрекъснато леене, с капацитет над 2,5 тона на час </v>
      </c>
      <c r="H234" s="1923" t="str">
        <f>Translations!$B$1604</f>
        <v xml:space="preserve">Производство на желязо или стомана (първично или вторично стапяне), включително непрекъснато леене, с капацитет над 2,5 тона на час </v>
      </c>
    </row>
    <row r="235" spans="1:13" x14ac:dyDescent="0.25">
      <c r="A235">
        <v>6</v>
      </c>
      <c r="B235" s="1914" t="str">
        <f t="shared" si="1"/>
        <v xml:space="preserve">Производство или преработка на черни метали (включително феросплави) в случай на използване на горивни съоръжения с обща номинална входяща топлинна мощност над 20 MW. Преработката включва, inter alia, прокатни станове, междинни подгреватели, пещи за </v>
      </c>
      <c r="H235" s="1923" t="str">
        <f>Translations!$B$1090</f>
        <v>Производство или преработка на черни метали (включително феросплави) в случай на използване на горивни съоръжения с обща номинална входяща топлинна мощност над 20 MW. Преработката включва, inter alia, прокатни станове, междинни подгреватели, пещи за отвръщане, ковашки цехове, леярни, цехове за нанасяне на покритие и байцване</v>
      </c>
    </row>
    <row r="236" spans="1:13" x14ac:dyDescent="0.25">
      <c r="A236">
        <v>7</v>
      </c>
      <c r="B236" s="1914" t="str">
        <f t="shared" si="1"/>
        <v>Производство на първичен алуминий или диалуминиев триоксид</v>
      </c>
      <c r="H236" s="1923" t="str">
        <f>Translations!$B$1605</f>
        <v>Производство на първичен алуминий или диалуминиев триоксид</v>
      </c>
    </row>
    <row r="237" spans="1:13" x14ac:dyDescent="0.25">
      <c r="A237">
        <v>8</v>
      </c>
      <c r="B237" s="1914" t="str">
        <f t="shared" si="1"/>
        <v>Производство на вторичен алуминий, при което се експлоатират горивни инсталации с обща номинална входяща топлинна мощност над 20 MW</v>
      </c>
      <c r="H237" s="1923" t="str">
        <f>Translations!$B$1091</f>
        <v>Производство на вторичен алуминий, при което се експлоатират горивни инсталации с обща номинална входяща топлинна мощност над 20 MW</v>
      </c>
    </row>
    <row r="238" spans="1:13" x14ac:dyDescent="0.25">
      <c r="A238">
        <v>9</v>
      </c>
      <c r="B238" s="1914" t="str">
        <f t="shared" si="1"/>
        <v>Производство или преработка на цветни метали, включително производство на сплави, рафиниране, леене в леярни и др., при които се експлоатират горивни инсталации с обща номинална входяща топлинна мощност (включително горива, използвани като редуциращи</v>
      </c>
      <c r="H238" s="1923" t="str">
        <f>Translations!$B$1092</f>
        <v>Производство или преработка на цветни метали, включително производство на сплави, рафиниране, леене в леярни и др., при които се експлоатират горивни инсталации с обща номинална входяща топлинна мощност (включително горива, използвани като редуциращи агенти) над 20 MW</v>
      </c>
    </row>
    <row r="239" spans="1:13" x14ac:dyDescent="0.25">
      <c r="A239">
        <v>10</v>
      </c>
      <c r="B239" s="1914" t="str">
        <f t="shared" si="1"/>
        <v>Производство на циментов клинкер в ротационни пещи с производствен капацитет над 500 тона дневно или в други пещи с производствен капацитет над 50 тона дневно</v>
      </c>
      <c r="H239" s="1923" t="str">
        <f>Translations!$B$1093</f>
        <v>Производство на циментов клинкер в ротационни пещи с производствен капацитет над 500 тона дневно или в други пещи с производствен капацитет над 50 тона дневно</v>
      </c>
    </row>
    <row r="240" spans="1:13" x14ac:dyDescent="0.25">
      <c r="A240">
        <v>11</v>
      </c>
      <c r="B240" s="1914" t="str">
        <f t="shared" si="1"/>
        <v>Производство на вар или калциниране на доломит или магнезит в ротационни пещи или в други пещи с производствен капацитет над 50 тона дневно</v>
      </c>
      <c r="H240" s="1923" t="str">
        <f>Translations!$B$1094</f>
        <v>Производство на вар или калциниране на доломит или магнезит в ротационни пещи или в други пещи с производствен капацитет над 50 тона дневно</v>
      </c>
    </row>
    <row r="241" spans="1:8" x14ac:dyDescent="0.25">
      <c r="A241">
        <v>12</v>
      </c>
      <c r="B241" s="1914" t="str">
        <f t="shared" si="1"/>
        <v>Производство на стъкло, включително стъклени влакна, с капацитет на топене над 20 тона дневно</v>
      </c>
      <c r="H241" s="1923" t="str">
        <f>Translations!$B$1095</f>
        <v>Производство на стъкло, включително стъклени влакна, с капацитет на топене над 20 тона дневно</v>
      </c>
    </row>
    <row r="242" spans="1:8" x14ac:dyDescent="0.25">
      <c r="A242">
        <v>13</v>
      </c>
      <c r="B242" s="1914" t="str">
        <f t="shared" si="1"/>
        <v>Производство на керамични продукти чрез изпичане, по-специално покривни керемиди, тухли, огнеупорни тухли, керемиди, каменинови изделия или порцелан, с производствен капацитет над 75 тона дневно</v>
      </c>
      <c r="H242" s="1923" t="str">
        <f>Translations!$B$1096</f>
        <v>Производство на керамични продукти чрез изпичане, по-специално покривни керемиди, тухли, огнеупорни тухли, керемиди, каменинови изделия или порцелан, с производствен капацитет над 75 тона дневно</v>
      </c>
    </row>
    <row r="243" spans="1:8" x14ac:dyDescent="0.25">
      <c r="A243">
        <v>14</v>
      </c>
      <c r="B243" s="1914" t="str">
        <f t="shared" si="1"/>
        <v>Производство на изолационни материали от минерална вата, използващи стъкло, скала или шлака, с капацитет на топене над 20 тона дневно</v>
      </c>
      <c r="H243" s="1923" t="str">
        <f>Translations!$B$1097</f>
        <v>Производство на изолационни материали от минерална вата, използващи стъкло, скала или шлака, с капацитет на топене над 20 тона дневно</v>
      </c>
    </row>
    <row r="244" spans="1:8" x14ac:dyDescent="0.25">
      <c r="A244">
        <v>15</v>
      </c>
      <c r="B244" s="1914" t="str">
        <f t="shared" si="1"/>
        <v>Сушене или изпичане на гипс или производство на гипсови панели или други продукти от гипс с производствен капацитет за калциниран гипс или изсушен вторичен гипс, надвишаващ общо 20 тона на ден</v>
      </c>
      <c r="H244" s="1923" t="str">
        <f>Translations!$B$1606</f>
        <v>Сушене или изпичане на гипс или производство на гипсови панели или други продукти от гипс с производствен капацитет за калциниран гипс или изсушен вторичен гипс, надвишаващ общо 20 тона на ден</v>
      </c>
    </row>
    <row r="245" spans="1:8" x14ac:dyDescent="0.25">
      <c r="A245">
        <v>16</v>
      </c>
      <c r="B245" s="1914" t="str">
        <f t="shared" si="1"/>
        <v>Производство на целулоза от дървен материал или други влакнести материали</v>
      </c>
      <c r="H245" s="1923" t="str">
        <f>Translations!$B$1098</f>
        <v>Производство на целулоза от дървен материал или други влакнести материали</v>
      </c>
    </row>
    <row r="246" spans="1:8" x14ac:dyDescent="0.25">
      <c r="A246">
        <v>17</v>
      </c>
      <c r="B246" s="1914" t="str">
        <f t="shared" si="1"/>
        <v>Производство на хартия или картон с производствен капацитет над 20 тона дневно</v>
      </c>
      <c r="H246" s="1923" t="str">
        <f>Translations!$B$1099</f>
        <v>Производство на хартия или картон с производствен капацитет над 20 тона дневно</v>
      </c>
    </row>
    <row r="247" spans="1:8" x14ac:dyDescent="0.25">
      <c r="A247">
        <v>18</v>
      </c>
      <c r="B247" s="1914" t="str">
        <f t="shared" si="1"/>
        <v>Производство на сажди с карбонизиране на органични вещества като масла, катран, остатъци от крекинг и дестилация, с производствен капацитет над 50 тона на ден</v>
      </c>
      <c r="H247" s="1923" t="str">
        <f>Translations!$B$1607</f>
        <v>Производство на сажди с карбонизиране на органични вещества като масла, катран, остатъци от крекинг и дестилация, с производствен капацитет над 50 тона на ден</v>
      </c>
    </row>
    <row r="248" spans="1:8" x14ac:dyDescent="0.25">
      <c r="A248">
        <v>19</v>
      </c>
      <c r="B248" s="1914" t="str">
        <f t="shared" si="1"/>
        <v>Производство на азотна киселина</v>
      </c>
      <c r="H248" s="1923" t="str">
        <f>Translations!$B$1100</f>
        <v>Производство на азотна киселина</v>
      </c>
    </row>
    <row r="249" spans="1:8" x14ac:dyDescent="0.25">
      <c r="A249">
        <v>20</v>
      </c>
      <c r="B249" s="1914" t="str">
        <f t="shared" si="1"/>
        <v>Производство на адипинова киселина</v>
      </c>
      <c r="H249" s="1923" t="str">
        <f>Translations!$B$1101</f>
        <v>Производство на адипинова киселина</v>
      </c>
    </row>
    <row r="250" spans="1:8" x14ac:dyDescent="0.25">
      <c r="A250">
        <v>21</v>
      </c>
      <c r="B250" s="1914" t="str">
        <f t="shared" si="1"/>
        <v>Производство на глиоксалова и глиоксилова киселина</v>
      </c>
      <c r="H250" s="1923" t="str">
        <f>Translations!$B$1102</f>
        <v>Производство на глиоксалова и глиоксилова киселина</v>
      </c>
    </row>
    <row r="251" spans="1:8" x14ac:dyDescent="0.25">
      <c r="A251">
        <v>22</v>
      </c>
      <c r="B251" s="1914" t="str">
        <f t="shared" si="1"/>
        <v>Производство на амоняк</v>
      </c>
      <c r="H251" s="1923" t="str">
        <f>Translations!$B$1103</f>
        <v>Производство на амоняк</v>
      </c>
    </row>
    <row r="252" spans="1:8" x14ac:dyDescent="0.25">
      <c r="A252">
        <v>23</v>
      </c>
      <c r="B252" s="1914" t="str">
        <f t="shared" si="1"/>
        <v>Производство на органични химически вещества в насипно или наливно състояние чрез крекинг, реформинг, частично или пълно окисляване или чрез подобни процеси, с производствен капацитет над 100 тона дневно</v>
      </c>
      <c r="H252" s="1923" t="str">
        <f>Translations!$B$1104</f>
        <v>Производство на органични химически вещества в насипно или наливно състояние чрез крекинг, реформинг, частично или пълно окисляване или чрез подобни процеси, с производствен капацитет над 100 тона дневно</v>
      </c>
    </row>
    <row r="253" spans="1:8" x14ac:dyDescent="0.25">
      <c r="A253">
        <v>24</v>
      </c>
      <c r="B253" s="1914" t="str">
        <f t="shared" si="1"/>
        <v>Производство на водород (H2) и синтетичен газ с производствен капацитет над 5 тона на ден</v>
      </c>
      <c r="H253" s="1923" t="str">
        <f>Translations!$B$1608</f>
        <v>Производство на водород (H2) и синтетичен газ с производствен капацитет над 5 тона на ден</v>
      </c>
    </row>
    <row r="254" spans="1:8" x14ac:dyDescent="0.25">
      <c r="A254">
        <v>25</v>
      </c>
      <c r="B254" s="1914" t="str">
        <f t="shared" si="1"/>
        <v>Производство на калцинирана сода (Na2CO3) и натриев бикарбонат (NaHCO3)</v>
      </c>
      <c r="H254" s="1923" t="str">
        <f>Translations!$B$1105</f>
        <v>Производство на калцинирана сода (Na2CO3) и натриев бикарбонат (NaHCO3)</v>
      </c>
    </row>
    <row r="255" spans="1:8" x14ac:dyDescent="0.25">
      <c r="A255">
        <v>26</v>
      </c>
      <c r="B255" s="1914" t="str">
        <f t="shared" si="1"/>
        <v>Улавяне на парникови газове от инсталации, обхванати от настоящата директива, с цел транспортиране и съхранение в геоложки формации на място за съхранение, разрешено съгласно Директива 2009/31/ЕО</v>
      </c>
      <c r="H255" s="1923" t="str">
        <f>Translations!$B$1106</f>
        <v>Улавяне на парникови газове от инсталации, обхванати от настоящата директива, с цел транспортиране и съхранение в геоложки формации на място за съхранение, разрешено съгласно Директива 2009/31/ЕО</v>
      </c>
    </row>
    <row r="256" spans="1:8" x14ac:dyDescent="0.25">
      <c r="A256">
        <v>27</v>
      </c>
      <c r="B256" s="1914" t="str">
        <f t="shared" si="1"/>
        <v>Транспортиране на парникови газове за съхранение в геоложки формации в място за съхранение, получило разрешение съгласно Директива 2009/31/ЕО, с изключение на емисиите, обхванати от друга дейност съгласно съответната директива</v>
      </c>
      <c r="H256" s="1923" t="str">
        <f>Translations!$B$1609</f>
        <v>Транспортиране на парникови газове за съхранение в геоложки формации в място за съхранение, получило разрешение съгласно Директива 2009/31/ЕО, с изключение на емисиите, обхванати от друга дейност съгласно съответната директива</v>
      </c>
    </row>
    <row r="257" spans="1:21" x14ac:dyDescent="0.25">
      <c r="A257">
        <v>28</v>
      </c>
      <c r="B257" s="1914" t="str">
        <f t="shared" si="1"/>
        <v>Съхранение на парникови газове в геоложки обекти, разрешено съгласно Директива 2009/31/ЕО</v>
      </c>
      <c r="H257" s="1923" t="str">
        <f>Translations!$B$1107</f>
        <v>Съхранение на парникови газове в геоложки обекти, разрешено съгласно Директива 2009/31/ЕО</v>
      </c>
    </row>
    <row r="259" spans="1:21" s="1921" customFormat="1" ht="13" x14ac:dyDescent="0.3">
      <c r="A259" s="1921" t="str">
        <f>Translations!$B$1108</f>
        <v>Списък с референтни показатели</v>
      </c>
    </row>
    <row r="260" spans="1:21" s="1929" customFormat="1" ht="63" thickBot="1" x14ac:dyDescent="0.3">
      <c r="A260" s="1924" t="str">
        <f>Translations!$B$1086</f>
        <v>Дейност (Приложение I към Директивата за СТЕ)</v>
      </c>
      <c r="B260" s="1924" t="str">
        <f>Translations!$B$1085</f>
        <v>№ на дейността</v>
      </c>
      <c r="C260" s="1924" t="s">
        <v>2123</v>
      </c>
      <c r="D260" s="1924" t="str">
        <f>Translations!$B$944</f>
        <v>№ на п-л</v>
      </c>
      <c r="E260" s="1924" t="str">
        <f>Translations!$B$1109</f>
        <v>алтернативен БМ No.</v>
      </c>
      <c r="F260" s="1924" t="str">
        <f>Translations!$B$1110</f>
        <v>Продуктов показател</v>
      </c>
      <c r="G260" s="1924" t="str">
        <f>Translations!$B$934</f>
        <v>Единица мярка</v>
      </c>
      <c r="H260" s="1924" t="str">
        <f>Translations!$B$1111</f>
        <v>Изместване на въглеродни емисии?</v>
      </c>
      <c r="I260" s="1925" t="str">
        <f>Translations!$B$1463</f>
        <v>В рамките на МКВЕГ?</v>
      </c>
      <c r="J260" s="1924" t="str">
        <f>Translations!$B$1112</f>
        <v>Заменяемост на електроенергията</v>
      </c>
      <c r="K260" s="1924" t="str">
        <f>Translations!$B$1113</f>
        <v>Съобщение относно специалното докладване</v>
      </c>
      <c r="L260" s="1926" t="str">
        <f>Translations!$B$1114</f>
        <v>Индикатор за скок</v>
      </c>
      <c r="M260" s="1927" t="str">
        <f>Translations!$B$1115</f>
        <v>С изключение на CWT?</v>
      </c>
      <c r="N260" s="1927" t="str">
        <f>Translations!$B$1116</f>
        <v>Целулоза</v>
      </c>
      <c r="O260" s="1927" t="str">
        <f>Translations!$B$1117</f>
        <v>Стойност на BM (2013—2020 г.)</v>
      </c>
      <c r="P260" s="1927" t="s">
        <v>1437</v>
      </c>
      <c r="Q260" s="1927" t="s">
        <v>1438</v>
      </c>
      <c r="R260" s="1928" t="s">
        <v>1448</v>
      </c>
      <c r="S260" s="1925" t="str">
        <f>Translations!$B$1118</f>
        <v>Референтна стойност (EUA/t, max)</v>
      </c>
      <c r="T260" s="1925" t="str">
        <f>Translations!$B$1119</f>
        <v>Референтна стойност (EUA/t, min)</v>
      </c>
      <c r="U260" s="1925" t="str">
        <f>Translations!$B$1120</f>
        <v>Референтна стойност (EUA/t, действителна)</v>
      </c>
    </row>
    <row r="261" spans="1:21" ht="13" x14ac:dyDescent="0.3">
      <c r="A261" s="1930" t="str">
        <f>VLOOKUP(B261,$A$230:$B$257,2,0)</f>
        <v xml:space="preserve">Рафиниране на нефт </v>
      </c>
      <c r="B261" s="1931">
        <v>2</v>
      </c>
      <c r="C261" s="1931">
        <f>ROUNDDOWN(D261,0)</f>
        <v>1</v>
      </c>
      <c r="D261" s="1931">
        <v>1.1000000000000001</v>
      </c>
      <c r="E261" s="1441" t="str">
        <f>CONCATENATE(TEXT(B261,"00"),".",TEXT(D261,"00,0"))</f>
        <v>02.01,1</v>
      </c>
      <c r="F261" s="1931" t="str">
        <f>Translations!$B$1121</f>
        <v>Рафинерийни продукти</v>
      </c>
      <c r="G261" s="1931" t="str">
        <f>Translations!$B$1122</f>
        <v>CWT</v>
      </c>
      <c r="H261" s="1931" t="b">
        <v>1</v>
      </c>
      <c r="I261" s="1931" t="b">
        <v>0</v>
      </c>
      <c r="J261" s="1931" t="b">
        <v>1</v>
      </c>
      <c r="K261" s="1931" t="str">
        <f>Translations!$B$1123</f>
        <v>Моля, използвайте инструмента CWT в работен лист „SpecialBM“ за изчисляване на историческите равнища на активност.</v>
      </c>
      <c r="L261" s="1932" t="str">
        <f>"#JUMP_H_I"</f>
        <v>#JUMP_H_I</v>
      </c>
      <c r="M261" s="1931" t="b">
        <v>0</v>
      </c>
      <c r="N261" s="1931" t="b">
        <v>0</v>
      </c>
      <c r="O261" s="1933">
        <v>2.9499999999999998E-2</v>
      </c>
      <c r="P261" s="41">
        <f t="shared" ref="P261:P293" si="2">INDEX(EUconst_BM_ARR_Range,1)</f>
        <v>2E-3</v>
      </c>
      <c r="Q261" s="86">
        <f t="shared" ref="Q261:Q292" si="3">IF(AND(C261=4,CNTR_SubPeriod=1),INDEX(EUconst_BM_ARR_Range,1),INDEX(EUconst_BM_ARR_Range,2))</f>
        <v>1.6E-2</v>
      </c>
      <c r="R261" s="205">
        <v>1.511693494765688E-2</v>
      </c>
      <c r="S261" s="1934">
        <f t="shared" ref="S261:S293" si="4">$O261*(1-P261*(15+(IF(CNTR_SubPeriod=EUconst_NA,1,CNTR_SubPeriod)-1)*5))</f>
        <v>2.8319999999999998E-2</v>
      </c>
      <c r="T261" s="1935">
        <f t="shared" ref="T261:T293" si="5">$O261*(1-Q261*(15+(IF(CNTR_SubPeriod=EUconst_NA,1,CNTR_SubPeriod)-1)*5))</f>
        <v>2.0059999999999998E-2</v>
      </c>
      <c r="U261" s="1936">
        <f>0.0232</f>
        <v>2.3199999999999998E-2</v>
      </c>
    </row>
    <row r="262" spans="1:21" ht="13" x14ac:dyDescent="0.3">
      <c r="A262" s="1930" t="str">
        <f t="shared" ref="A262:A314" si="6">VLOOKUP(B262,$A$230:$B$257,2,0)</f>
        <v xml:space="preserve">Производство на кокс </v>
      </c>
      <c r="B262" s="1931">
        <v>3</v>
      </c>
      <c r="C262" s="1931">
        <f t="shared" ref="C262:C314" si="7">ROUNDDOWN(D262,0)</f>
        <v>2</v>
      </c>
      <c r="D262" s="1931">
        <v>2.1</v>
      </c>
      <c r="E262" s="1441" t="str">
        <f t="shared" ref="E262:E314" si="8">CONCATENATE(TEXT(B262,"00"),".",TEXT(D262,"00,0"))</f>
        <v>03.02,1</v>
      </c>
      <c r="F262" s="1931" t="str">
        <f>Translations!$B$1124</f>
        <v>Кока-кола</v>
      </c>
      <c r="G262" s="1931" t="str">
        <f t="shared" ref="G262:G287" si="9">EUconst_Tons</f>
        <v>тона</v>
      </c>
      <c r="H262" s="1931" t="b">
        <v>1</v>
      </c>
      <c r="I262" s="1931" t="b">
        <v>0</v>
      </c>
      <c r="J262" s="1931" t="b">
        <v>0</v>
      </c>
      <c r="K262" s="1931" t="str">
        <f>""</f>
        <v/>
      </c>
      <c r="L262" s="1932" t="str">
        <f>""</f>
        <v/>
      </c>
      <c r="M262" s="1931" t="b">
        <v>1</v>
      </c>
      <c r="N262" s="1931" t="b">
        <v>0</v>
      </c>
      <c r="O262" s="1933">
        <v>0.28599999999999998</v>
      </c>
      <c r="P262" s="41">
        <f t="shared" si="2"/>
        <v>2E-3</v>
      </c>
      <c r="Q262" s="86">
        <f t="shared" si="3"/>
        <v>1.6E-2</v>
      </c>
      <c r="R262" s="206">
        <v>1.6E-2</v>
      </c>
      <c r="S262" s="1934">
        <f t="shared" si="4"/>
        <v>0.27455999999999997</v>
      </c>
      <c r="T262" s="1935">
        <f t="shared" si="5"/>
        <v>0.19447999999999996</v>
      </c>
      <c r="U262" s="1936">
        <f>0.143</f>
        <v>0.14299999999999999</v>
      </c>
    </row>
    <row r="263" spans="1:21" ht="13" x14ac:dyDescent="0.3">
      <c r="A263" s="1930" t="str">
        <f t="shared" si="6"/>
        <v xml:space="preserve">Пържене и агломерация, включително гранулиране, на метална руда (включително сулфидна руда) </v>
      </c>
      <c r="B263" s="1931">
        <v>4</v>
      </c>
      <c r="C263" s="1931">
        <f t="shared" si="7"/>
        <v>3</v>
      </c>
      <c r="D263" s="1931">
        <v>3.2</v>
      </c>
      <c r="E263" s="1441" t="str">
        <f t="shared" si="8"/>
        <v>04.03,2</v>
      </c>
      <c r="F263" s="1931" t="str">
        <f>Translations!$B$1125</f>
        <v>Синтерована руда</v>
      </c>
      <c r="G263" s="1931" t="str">
        <f t="shared" si="9"/>
        <v>тона</v>
      </c>
      <c r="H263" s="1931" t="b">
        <v>1</v>
      </c>
      <c r="I263" s="1931" t="b">
        <v>1</v>
      </c>
      <c r="J263" s="1931" t="b">
        <v>0</v>
      </c>
      <c r="K263" s="1931" t="str">
        <f>""</f>
        <v/>
      </c>
      <c r="L263" s="1932" t="str">
        <f>""</f>
        <v/>
      </c>
      <c r="M263" s="1931" t="b">
        <v>1</v>
      </c>
      <c r="N263" s="1931" t="b">
        <v>0</v>
      </c>
      <c r="O263" s="1933">
        <v>0.17100000000000001</v>
      </c>
      <c r="P263" s="41">
        <f t="shared" si="2"/>
        <v>2E-3</v>
      </c>
      <c r="Q263" s="86">
        <f t="shared" si="3"/>
        <v>1.6E-2</v>
      </c>
      <c r="R263" s="206">
        <v>5.2786614463260868E-3</v>
      </c>
      <c r="S263" s="1934">
        <f t="shared" si="4"/>
        <v>0.16416</v>
      </c>
      <c r="T263" s="1935">
        <f t="shared" si="5"/>
        <v>0.11627999999999999</v>
      </c>
      <c r="U263" s="1936">
        <f>0.086</f>
        <v>8.5999999999999993E-2</v>
      </c>
    </row>
    <row r="264" spans="1:21" ht="13" x14ac:dyDescent="0.3">
      <c r="A264" s="1930" t="str">
        <f t="shared" si="6"/>
        <v xml:space="preserve">Производство на желязо или стомана (първично или вторично стапяне), включително непрекъснато леене, с капацитет над 2,5 тона на час </v>
      </c>
      <c r="B264" s="1931">
        <v>5</v>
      </c>
      <c r="C264" s="1931">
        <f t="shared" si="7"/>
        <v>4</v>
      </c>
      <c r="D264" s="1931">
        <v>4.2</v>
      </c>
      <c r="E264" s="1441" t="str">
        <f t="shared" si="8"/>
        <v>05.04,2</v>
      </c>
      <c r="F264" s="1931" t="str">
        <f>Translations!$B$1126</f>
        <v>Горещ метал</v>
      </c>
      <c r="G264" s="1931" t="str">
        <f t="shared" si="9"/>
        <v>тона</v>
      </c>
      <c r="H264" s="1931" t="b">
        <v>1</v>
      </c>
      <c r="I264" s="1931" t="b">
        <v>1</v>
      </c>
      <c r="J264" s="1931" t="b">
        <v>0</v>
      </c>
      <c r="K264" s="1931" t="str">
        <f>""</f>
        <v/>
      </c>
      <c r="L264" s="1932" t="str">
        <f>""</f>
        <v/>
      </c>
      <c r="M264" s="1931" t="b">
        <v>1</v>
      </c>
      <c r="N264" s="1931" t="b">
        <v>0</v>
      </c>
      <c r="O264" s="1933">
        <v>1.3280000000000001</v>
      </c>
      <c r="P264" s="41">
        <f t="shared" si="2"/>
        <v>2E-3</v>
      </c>
      <c r="Q264" s="86">
        <f t="shared" si="3"/>
        <v>1.6E-2</v>
      </c>
      <c r="R264" s="206">
        <v>2E-3</v>
      </c>
      <c r="S264" s="1934">
        <f t="shared" si="4"/>
        <v>1.27488</v>
      </c>
      <c r="T264" s="1935">
        <f t="shared" si="5"/>
        <v>0.90303999999999995</v>
      </c>
      <c r="U264" s="1936">
        <f>1.248</f>
        <v>1.248</v>
      </c>
    </row>
    <row r="265" spans="1:21" ht="13" x14ac:dyDescent="0.3">
      <c r="A265" s="1930" t="str">
        <f t="shared" si="6"/>
        <v xml:space="preserve">Производство на желязо или стомана (първично или вторично стапяне), включително непрекъснато леене, с капацитет над 2,5 тона на час </v>
      </c>
      <c r="B265" s="1931">
        <v>5</v>
      </c>
      <c r="C265" s="1931">
        <f t="shared" si="7"/>
        <v>5</v>
      </c>
      <c r="D265" s="1931">
        <v>5.2</v>
      </c>
      <c r="E265" s="1441" t="str">
        <f t="shared" si="8"/>
        <v>05.05,2</v>
      </c>
      <c r="F265" s="1931" t="str">
        <f>Translations!$B$1127</f>
        <v>Въглеродна стомана EAF</v>
      </c>
      <c r="G265" s="1931" t="str">
        <f t="shared" si="9"/>
        <v>тона</v>
      </c>
      <c r="H265" s="1931" t="b">
        <v>1</v>
      </c>
      <c r="I265" s="1931" t="b">
        <v>1</v>
      </c>
      <c r="J265" s="1931" t="b">
        <v>1</v>
      </c>
      <c r="K265" s="1931" t="str">
        <f>""</f>
        <v/>
      </c>
      <c r="L265" s="1932" t="str">
        <f>""</f>
        <v/>
      </c>
      <c r="M265" s="1931" t="b">
        <v>1</v>
      </c>
      <c r="N265" s="1931" t="b">
        <v>0</v>
      </c>
      <c r="O265" s="1933">
        <v>0.28299999999999997</v>
      </c>
      <c r="P265" s="41">
        <f t="shared" si="2"/>
        <v>2E-3</v>
      </c>
      <c r="Q265" s="86">
        <f t="shared" si="3"/>
        <v>1.6E-2</v>
      </c>
      <c r="R265" s="206">
        <v>1.6E-2</v>
      </c>
      <c r="S265" s="1934">
        <f t="shared" si="4"/>
        <v>0.27167999999999998</v>
      </c>
      <c r="T265" s="1935">
        <f t="shared" si="5"/>
        <v>0.19243999999999997</v>
      </c>
      <c r="U265" s="1936">
        <f>0.142</f>
        <v>0.14199999999999999</v>
      </c>
    </row>
    <row r="266" spans="1:21" ht="13" x14ac:dyDescent="0.3">
      <c r="A266" s="1930" t="str">
        <f t="shared" si="6"/>
        <v xml:space="preserve">Производство на желязо или стомана (първично или вторично стапяне), включително непрекъснато леене, с капацитет над 2,5 тона на час </v>
      </c>
      <c r="B266" s="1931">
        <v>5</v>
      </c>
      <c r="C266" s="1931">
        <f t="shared" si="7"/>
        <v>6</v>
      </c>
      <c r="D266" s="1931">
        <v>6.2</v>
      </c>
      <c r="E266" s="1441" t="str">
        <f t="shared" si="8"/>
        <v>05.06,2</v>
      </c>
      <c r="F266" s="1931" t="str">
        <f>Translations!$B$1128</f>
        <v>EAF високо легирана стомана</v>
      </c>
      <c r="G266" s="1931" t="str">
        <f t="shared" si="9"/>
        <v>тона</v>
      </c>
      <c r="H266" s="1931" t="b">
        <v>1</v>
      </c>
      <c r="I266" s="1931" t="b">
        <v>1</v>
      </c>
      <c r="J266" s="1931" t="b">
        <v>1</v>
      </c>
      <c r="K266" s="1931" t="str">
        <f>""</f>
        <v/>
      </c>
      <c r="L266" s="1932" t="str">
        <f>""</f>
        <v/>
      </c>
      <c r="M266" s="1931" t="b">
        <v>1</v>
      </c>
      <c r="N266" s="1931" t="b">
        <v>0</v>
      </c>
      <c r="O266" s="1933">
        <v>0.35199999999999998</v>
      </c>
      <c r="P266" s="41">
        <f t="shared" si="2"/>
        <v>2E-3</v>
      </c>
      <c r="Q266" s="86">
        <f t="shared" si="3"/>
        <v>1.6E-2</v>
      </c>
      <c r="R266" s="206">
        <v>1.6E-2</v>
      </c>
      <c r="S266" s="1934">
        <f t="shared" si="4"/>
        <v>0.33791999999999994</v>
      </c>
      <c r="T266" s="1935">
        <f t="shared" si="5"/>
        <v>0.23935999999999996</v>
      </c>
      <c r="U266" s="1936">
        <f>0.176</f>
        <v>0.17599999999999999</v>
      </c>
    </row>
    <row r="267" spans="1:21" ht="13" x14ac:dyDescent="0.3">
      <c r="A267" s="1930" t="str">
        <f t="shared" si="6"/>
        <v xml:space="preserve">Производство или преработка на черни метали (включително феросплави) в случай на използване на горивни съоръжения с обща номинална входяща топлинна мощност над 20 MW. Преработката включва, inter alia, прокатни станове, междинни подгреватели, пещи за </v>
      </c>
      <c r="B267" s="1931">
        <v>6</v>
      </c>
      <c r="C267" s="1931">
        <f t="shared" si="7"/>
        <v>7</v>
      </c>
      <c r="D267" s="1931">
        <v>7.2</v>
      </c>
      <c r="E267" s="1441" t="str">
        <f t="shared" si="8"/>
        <v>06.07,2</v>
      </c>
      <c r="F267" s="1931" t="str">
        <f>Translations!$B$1610</f>
        <v>Леене на чугун, в рамките на МКВЕГ</v>
      </c>
      <c r="G267" s="1931" t="str">
        <f t="shared" si="9"/>
        <v>тона</v>
      </c>
      <c r="H267" s="1931" t="b">
        <v>1</v>
      </c>
      <c r="I267" s="1931" t="b">
        <v>1</v>
      </c>
      <c r="J267" s="1931" t="b">
        <v>1</v>
      </c>
      <c r="K267" s="1931" t="str">
        <f>""</f>
        <v/>
      </c>
      <c r="L267" s="1932" t="str">
        <f>""</f>
        <v/>
      </c>
      <c r="M267" s="1931" t="b">
        <v>1</v>
      </c>
      <c r="N267" s="1931" t="b">
        <v>0</v>
      </c>
      <c r="O267" s="1933">
        <v>0.32500000000000001</v>
      </c>
      <c r="P267" s="41">
        <f t="shared" si="2"/>
        <v>2E-3</v>
      </c>
      <c r="Q267" s="86">
        <f t="shared" si="3"/>
        <v>1.6E-2</v>
      </c>
      <c r="R267" s="206">
        <v>8.903797357729195E-3</v>
      </c>
      <c r="S267" s="1934">
        <f t="shared" si="4"/>
        <v>0.312</v>
      </c>
      <c r="T267" s="1935">
        <f t="shared" si="5"/>
        <v>0.22099999999999997</v>
      </c>
      <c r="U267" s="1936">
        <f>0.163</f>
        <v>0.16300000000000001</v>
      </c>
    </row>
    <row r="268" spans="1:21" ht="13" x14ac:dyDescent="0.3">
      <c r="A268" s="1930" t="str">
        <f t="shared" si="6"/>
        <v xml:space="preserve">Производство или преработка на черни метали (включително феросплави) в случай на използване на горивни съоръжения с обща номинална входяща топлинна мощност над 20 MW. Преработката включва, inter alia, прокатни станове, междинни подгреватели, пещи за </v>
      </c>
      <c r="B268" s="1931">
        <v>6</v>
      </c>
      <c r="C268" s="1931">
        <f t="shared" si="7"/>
        <v>7</v>
      </c>
      <c r="D268" s="1931">
        <v>7.1</v>
      </c>
      <c r="E268" s="1441" t="str">
        <f t="shared" si="8"/>
        <v>06.07,1</v>
      </c>
      <c r="F268" s="1931" t="str">
        <f>Translations!$B$1611</f>
        <v>Леене на чугун, извън МКВЕГ</v>
      </c>
      <c r="G268" s="1931" t="str">
        <f t="shared" si="9"/>
        <v>тона</v>
      </c>
      <c r="H268" s="1931" t="b">
        <v>1</v>
      </c>
      <c r="I268" s="1931" t="b">
        <v>0</v>
      </c>
      <c r="J268" s="1931" t="b">
        <v>1</v>
      </c>
      <c r="K268" s="1931" t="str">
        <f>""</f>
        <v/>
      </c>
      <c r="L268" s="1932" t="str">
        <f>""</f>
        <v/>
      </c>
      <c r="M268" s="1931" t="b">
        <v>1</v>
      </c>
      <c r="N268" s="1931" t="b">
        <v>0</v>
      </c>
      <c r="O268" s="1933">
        <v>0.32500000000000001</v>
      </c>
      <c r="P268" s="41">
        <f t="shared" si="2"/>
        <v>2E-3</v>
      </c>
      <c r="Q268" s="86">
        <f t="shared" si="3"/>
        <v>1.6E-2</v>
      </c>
      <c r="R268" s="206">
        <v>8.903797357729195E-3</v>
      </c>
      <c r="S268" s="1934">
        <f t="shared" ref="S268" si="10">$O268*(1-P268*(15+(IF(CNTR_SubPeriod=EUconst_NA,1,CNTR_SubPeriod)-1)*5))</f>
        <v>0.312</v>
      </c>
      <c r="T268" s="1935">
        <f t="shared" ref="T268" si="11">$O268*(1-Q268*(15+(IF(CNTR_SubPeriod=EUconst_NA,1,CNTR_SubPeriod)-1)*5))</f>
        <v>0.22099999999999997</v>
      </c>
      <c r="U268" s="1936">
        <f>0.163</f>
        <v>0.16300000000000001</v>
      </c>
    </row>
    <row r="269" spans="1:21" ht="13" x14ac:dyDescent="0.3">
      <c r="A269" s="1930" t="str">
        <f t="shared" si="6"/>
        <v>Производство на първичен алуминий или диалуминиев триоксид</v>
      </c>
      <c r="B269" s="1931">
        <v>7</v>
      </c>
      <c r="C269" s="1931">
        <f t="shared" si="7"/>
        <v>8</v>
      </c>
      <c r="D269" s="1931">
        <v>8.1</v>
      </c>
      <c r="E269" s="1441" t="str">
        <f t="shared" si="8"/>
        <v>07.08,1</v>
      </c>
      <c r="F269" s="1931" t="str">
        <f>Translations!$B$1129</f>
        <v>Предварително печене на анод</v>
      </c>
      <c r="G269" s="1931" t="str">
        <f t="shared" si="9"/>
        <v>тона</v>
      </c>
      <c r="H269" s="1931" t="b">
        <v>1</v>
      </c>
      <c r="I269" s="1931" t="b">
        <v>0</v>
      </c>
      <c r="J269" s="1931" t="b">
        <v>0</v>
      </c>
      <c r="K269" s="1931" t="str">
        <f>""</f>
        <v/>
      </c>
      <c r="L269" s="1932" t="str">
        <f>""</f>
        <v/>
      </c>
      <c r="M269" s="1931" t="b">
        <v>1</v>
      </c>
      <c r="N269" s="1931" t="b">
        <v>0</v>
      </c>
      <c r="O269" s="1933">
        <v>0.32400000000000001</v>
      </c>
      <c r="P269" s="41">
        <f t="shared" si="2"/>
        <v>2E-3</v>
      </c>
      <c r="Q269" s="86">
        <f t="shared" si="3"/>
        <v>1.6E-2</v>
      </c>
      <c r="R269" s="206">
        <v>2.5579440618460994E-3</v>
      </c>
      <c r="S269" s="1934">
        <f t="shared" si="4"/>
        <v>0.31103999999999998</v>
      </c>
      <c r="T269" s="1935">
        <f t="shared" si="5"/>
        <v>0.22031999999999999</v>
      </c>
      <c r="U269" s="1936">
        <f>0.29</f>
        <v>0.28999999999999998</v>
      </c>
    </row>
    <row r="270" spans="1:21" ht="13" x14ac:dyDescent="0.3">
      <c r="A270" s="1930" t="str">
        <f t="shared" si="6"/>
        <v>Производство на първичен алуминий или диалуминиев триоксид</v>
      </c>
      <c r="B270" s="1931">
        <v>7</v>
      </c>
      <c r="C270" s="1931">
        <f t="shared" si="7"/>
        <v>9</v>
      </c>
      <c r="D270" s="1931">
        <v>9.1999999999999993</v>
      </c>
      <c r="E270" s="1441" t="str">
        <f t="shared" si="8"/>
        <v>07.09,2</v>
      </c>
      <c r="F270" s="1931" t="str">
        <f>Translations!$B$1130</f>
        <v>[Първичен] Алуминий</v>
      </c>
      <c r="G270" s="1931" t="str">
        <f t="shared" si="9"/>
        <v>тона</v>
      </c>
      <c r="H270" s="1931" t="b">
        <v>1</v>
      </c>
      <c r="I270" s="1931" t="b">
        <v>1</v>
      </c>
      <c r="J270" s="1931" t="b">
        <v>0</v>
      </c>
      <c r="K270" s="1931" t="str">
        <f>""</f>
        <v/>
      </c>
      <c r="L270" s="1932" t="str">
        <f>""</f>
        <v/>
      </c>
      <c r="M270" s="1931" t="b">
        <v>1</v>
      </c>
      <c r="N270" s="1931" t="b">
        <v>0</v>
      </c>
      <c r="O270" s="1933">
        <v>1.514</v>
      </c>
      <c r="P270" s="41">
        <f t="shared" si="2"/>
        <v>2E-3</v>
      </c>
      <c r="Q270" s="86">
        <f t="shared" si="3"/>
        <v>1.6E-2</v>
      </c>
      <c r="R270" s="206">
        <v>2.1897986454517187E-3</v>
      </c>
      <c r="S270" s="1934">
        <f t="shared" si="4"/>
        <v>1.4534400000000001</v>
      </c>
      <c r="T270" s="1935">
        <f t="shared" si="5"/>
        <v>1.02952</v>
      </c>
      <c r="U270" s="1936">
        <f>1.423</f>
        <v>1.423</v>
      </c>
    </row>
    <row r="271" spans="1:21" ht="13" x14ac:dyDescent="0.3">
      <c r="A271" s="1930" t="str">
        <f t="shared" si="6"/>
        <v>Производство на циментов клинкер в ротационни пещи с производствен капацитет над 500 тона дневно или в други пещи с производствен капацитет над 50 тона дневно</v>
      </c>
      <c r="B271" s="1931">
        <v>10</v>
      </c>
      <c r="C271" s="1931">
        <f t="shared" si="7"/>
        <v>10</v>
      </c>
      <c r="D271" s="1931">
        <v>10.199999999999999</v>
      </c>
      <c r="E271" s="1441" t="str">
        <f t="shared" si="8"/>
        <v>10.10,2</v>
      </c>
      <c r="F271" s="1931" t="str">
        <f>Translations!$B$1131</f>
        <v>Клинкер за сив цимент</v>
      </c>
      <c r="G271" s="1931" t="str">
        <f t="shared" si="9"/>
        <v>тона</v>
      </c>
      <c r="H271" s="1931" t="b">
        <v>1</v>
      </c>
      <c r="I271" s="1931" t="b">
        <v>1</v>
      </c>
      <c r="J271" s="1931" t="b">
        <v>0</v>
      </c>
      <c r="K271" s="1931" t="str">
        <f>""</f>
        <v/>
      </c>
      <c r="L271" s="1932" t="str">
        <f>""</f>
        <v/>
      </c>
      <c r="M271" s="1931" t="b">
        <v>1</v>
      </c>
      <c r="N271" s="1931" t="b">
        <v>0</v>
      </c>
      <c r="O271" s="1933">
        <v>0.76600000000000001</v>
      </c>
      <c r="P271" s="41">
        <f t="shared" si="2"/>
        <v>2E-3</v>
      </c>
      <c r="Q271" s="86">
        <f t="shared" si="3"/>
        <v>1.6E-2</v>
      </c>
      <c r="R271" s="206">
        <v>6.3297698343118452E-3</v>
      </c>
      <c r="S271" s="1934">
        <f t="shared" si="4"/>
        <v>0.73536000000000001</v>
      </c>
      <c r="T271" s="1935">
        <f t="shared" si="5"/>
        <v>0.52088000000000001</v>
      </c>
      <c r="U271" s="1936">
        <f>0.656</f>
        <v>0.65600000000000003</v>
      </c>
    </row>
    <row r="272" spans="1:21" ht="13" x14ac:dyDescent="0.3">
      <c r="A272" s="1930" t="str">
        <f t="shared" si="6"/>
        <v>Производство на циментов клинкер в ротационни пещи с производствен капацитет над 500 тона дневно или в други пещи с производствен капацитет над 50 тона дневно</v>
      </c>
      <c r="B272" s="1931">
        <v>10</v>
      </c>
      <c r="C272" s="1931">
        <f t="shared" si="7"/>
        <v>11</v>
      </c>
      <c r="D272" s="1931">
        <v>11.2</v>
      </c>
      <c r="E272" s="1441" t="str">
        <f t="shared" si="8"/>
        <v>10.11,2</v>
      </c>
      <c r="F272" s="1931" t="str">
        <f>Translations!$B$1132</f>
        <v>Клинкер за бял цимент</v>
      </c>
      <c r="G272" s="1931" t="str">
        <f t="shared" si="9"/>
        <v>тона</v>
      </c>
      <c r="H272" s="1931" t="b">
        <v>1</v>
      </c>
      <c r="I272" s="1931" t="b">
        <v>1</v>
      </c>
      <c r="J272" s="1931" t="b">
        <v>0</v>
      </c>
      <c r="K272" s="1931" t="str">
        <f>""</f>
        <v/>
      </c>
      <c r="L272" s="1932" t="str">
        <f>""</f>
        <v/>
      </c>
      <c r="M272" s="1931" t="b">
        <v>1</v>
      </c>
      <c r="N272" s="1931" t="b">
        <v>0</v>
      </c>
      <c r="O272" s="1933">
        <v>0.98699999999999999</v>
      </c>
      <c r="P272" s="41">
        <f t="shared" si="2"/>
        <v>2E-3</v>
      </c>
      <c r="Q272" s="86">
        <f t="shared" si="3"/>
        <v>1.6E-2</v>
      </c>
      <c r="R272" s="206">
        <v>2E-3</v>
      </c>
      <c r="S272" s="1934">
        <f t="shared" si="4"/>
        <v>0.94751999999999992</v>
      </c>
      <c r="T272" s="1935">
        <f t="shared" si="5"/>
        <v>0.67115999999999998</v>
      </c>
      <c r="U272" s="1936">
        <f>0.89</f>
        <v>0.89</v>
      </c>
    </row>
    <row r="273" spans="1:21" ht="13" x14ac:dyDescent="0.3">
      <c r="A273" s="1930" t="str">
        <f t="shared" si="6"/>
        <v>Производство на вар или калциниране на доломит или магнезит в ротационни пещи или в други пещи с производствен капацитет над 50 тона дневно</v>
      </c>
      <c r="B273" s="1931">
        <v>11</v>
      </c>
      <c r="C273" s="1931">
        <f t="shared" si="7"/>
        <v>12</v>
      </c>
      <c r="D273" s="1931">
        <v>12.1</v>
      </c>
      <c r="E273" s="1441" t="str">
        <f t="shared" si="8"/>
        <v>11.12,1</v>
      </c>
      <c r="F273" s="1931" t="str">
        <f>Translations!$B$750</f>
        <v>Вар</v>
      </c>
      <c r="G273" s="1931" t="str">
        <f t="shared" si="9"/>
        <v>тона</v>
      </c>
      <c r="H273" s="1931" t="b">
        <v>1</v>
      </c>
      <c r="I273" s="1931" t="b">
        <v>0</v>
      </c>
      <c r="J273" s="1931" t="b">
        <v>0</v>
      </c>
      <c r="K273" s="1931" t="str">
        <f>Translations!$B$1133</f>
        <v>Моля, използвайте инструмента за вар в лист „SpecialBM“ за изчисляване на историческите равнища на активност.</v>
      </c>
      <c r="L273" s="1932" t="str">
        <f>"#JUMP_H_II"</f>
        <v>#JUMP_H_II</v>
      </c>
      <c r="M273" s="1931" t="b">
        <v>1</v>
      </c>
      <c r="N273" s="1931" t="b">
        <v>0</v>
      </c>
      <c r="O273" s="1933">
        <v>0.95399999999999996</v>
      </c>
      <c r="P273" s="41">
        <f t="shared" si="2"/>
        <v>2E-3</v>
      </c>
      <c r="Q273" s="86">
        <f t="shared" si="3"/>
        <v>1.6E-2</v>
      </c>
      <c r="R273" s="206">
        <v>1.6E-2</v>
      </c>
      <c r="S273" s="1934">
        <f t="shared" si="4"/>
        <v>0.91583999999999988</v>
      </c>
      <c r="T273" s="1935">
        <f t="shared" si="5"/>
        <v>0.64871999999999996</v>
      </c>
      <c r="U273" s="1936">
        <f>0.693</f>
        <v>0.69299999999999995</v>
      </c>
    </row>
    <row r="274" spans="1:21" ht="13" x14ac:dyDescent="0.3">
      <c r="A274" s="1930" t="str">
        <f t="shared" si="6"/>
        <v>Производство на вар или калциниране на доломит или магнезит в ротационни пещи или в други пещи с производствен капацитет над 50 тона дневно</v>
      </c>
      <c r="B274" s="1931">
        <v>11</v>
      </c>
      <c r="C274" s="1931">
        <f t="shared" si="7"/>
        <v>13</v>
      </c>
      <c r="D274" s="1931">
        <v>13.1</v>
      </c>
      <c r="E274" s="1441" t="str">
        <f t="shared" si="8"/>
        <v>11.13,1</v>
      </c>
      <c r="F274" s="1931" t="str">
        <f>Translations!$B$765</f>
        <v>Доломитна вар</v>
      </c>
      <c r="G274" s="1931" t="str">
        <f t="shared" si="9"/>
        <v>тона</v>
      </c>
      <c r="H274" s="1931" t="b">
        <v>1</v>
      </c>
      <c r="I274" s="1931" t="b">
        <v>0</v>
      </c>
      <c r="J274" s="1931" t="b">
        <v>0</v>
      </c>
      <c r="K274" s="1931" t="str">
        <f>Translations!$B$1134</f>
        <v>Моля, използвайте инструмента за доломитна вар в работен лист „SpecialBM“ за изчисляване на историческите равнища на активност.</v>
      </c>
      <c r="L274" s="1932" t="str">
        <f>"#JUMP_H_III"</f>
        <v>#JUMP_H_III</v>
      </c>
      <c r="M274" s="1931" t="b">
        <v>1</v>
      </c>
      <c r="N274" s="1931" t="b">
        <v>0</v>
      </c>
      <c r="O274" s="1933">
        <v>1.0720000000000001</v>
      </c>
      <c r="P274" s="41">
        <f t="shared" si="2"/>
        <v>2E-3</v>
      </c>
      <c r="Q274" s="86">
        <f t="shared" si="3"/>
        <v>1.6E-2</v>
      </c>
      <c r="R274" s="206">
        <v>1.6E-2</v>
      </c>
      <c r="S274" s="1934">
        <f t="shared" si="4"/>
        <v>1.02912</v>
      </c>
      <c r="T274" s="1935">
        <f t="shared" si="5"/>
        <v>0.72895999999999994</v>
      </c>
      <c r="U274" s="1936">
        <f>0.792</f>
        <v>0.79200000000000004</v>
      </c>
    </row>
    <row r="275" spans="1:21" ht="13" x14ac:dyDescent="0.3">
      <c r="A275" s="1930" t="str">
        <f t="shared" si="6"/>
        <v>Производство на вар или калциниране на доломит или магнезит в ротационни пещи или в други пещи с производствен капацитет над 50 тона дневно</v>
      </c>
      <c r="B275" s="1931">
        <v>11</v>
      </c>
      <c r="C275" s="1931">
        <f t="shared" si="7"/>
        <v>14</v>
      </c>
      <c r="D275" s="1931">
        <v>14.1</v>
      </c>
      <c r="E275" s="1441" t="str">
        <f t="shared" si="8"/>
        <v>11.14,1</v>
      </c>
      <c r="F275" s="1931" t="str">
        <f>Translations!$B$1135</f>
        <v>Синтерована доломитна вар</v>
      </c>
      <c r="G275" s="1931" t="str">
        <f t="shared" si="9"/>
        <v>тона</v>
      </c>
      <c r="H275" s="1931" t="b">
        <v>1</v>
      </c>
      <c r="I275" s="1931" t="b">
        <v>0</v>
      </c>
      <c r="J275" s="1931" t="b">
        <v>0</v>
      </c>
      <c r="K275" s="1931" t="str">
        <f>""</f>
        <v/>
      </c>
      <c r="L275" s="1932" t="str">
        <f>""</f>
        <v/>
      </c>
      <c r="M275" s="1931" t="b">
        <v>1</v>
      </c>
      <c r="N275" s="1931" t="b">
        <v>0</v>
      </c>
      <c r="O275" s="1933">
        <v>1.4490000000000001</v>
      </c>
      <c r="P275" s="41">
        <f t="shared" si="2"/>
        <v>2E-3</v>
      </c>
      <c r="Q275" s="86">
        <f t="shared" si="3"/>
        <v>1.6E-2</v>
      </c>
      <c r="R275" s="206">
        <v>2E-3</v>
      </c>
      <c r="S275" s="1934">
        <f t="shared" si="4"/>
        <v>1.3910400000000001</v>
      </c>
      <c r="T275" s="1935">
        <f t="shared" si="5"/>
        <v>0.98531999999999997</v>
      </c>
      <c r="U275" s="1936">
        <f>1.162</f>
        <v>1.1619999999999999</v>
      </c>
    </row>
    <row r="276" spans="1:21" ht="13" x14ac:dyDescent="0.3">
      <c r="A276" s="1930" t="str">
        <f t="shared" si="6"/>
        <v>Производство на стъкло, включително стъклени влакна, с капацитет на топене над 20 тона дневно</v>
      </c>
      <c r="B276" s="1931">
        <v>12</v>
      </c>
      <c r="C276" s="1931">
        <f t="shared" si="7"/>
        <v>15</v>
      </c>
      <c r="D276" s="1931">
        <v>15.1</v>
      </c>
      <c r="E276" s="1441" t="str">
        <f t="shared" si="8"/>
        <v>12.15,1</v>
      </c>
      <c r="F276" s="1931" t="str">
        <f>Translations!$B$1136</f>
        <v>Флоат стъкло</v>
      </c>
      <c r="G276" s="1931" t="str">
        <f t="shared" si="9"/>
        <v>тона</v>
      </c>
      <c r="H276" s="1931" t="b">
        <v>1</v>
      </c>
      <c r="I276" s="1931" t="b">
        <v>0</v>
      </c>
      <c r="J276" s="1931" t="b">
        <v>0</v>
      </c>
      <c r="K276" s="1931" t="str">
        <f>""</f>
        <v/>
      </c>
      <c r="L276" s="1932" t="str">
        <f>""</f>
        <v/>
      </c>
      <c r="M276" s="1931" t="b">
        <v>1</v>
      </c>
      <c r="N276" s="1931" t="b">
        <v>0</v>
      </c>
      <c r="O276" s="1933">
        <v>0.45300000000000001</v>
      </c>
      <c r="P276" s="41">
        <f t="shared" si="2"/>
        <v>2E-3</v>
      </c>
      <c r="Q276" s="86">
        <f t="shared" si="3"/>
        <v>1.6E-2</v>
      </c>
      <c r="R276" s="206">
        <v>7.957760694729742E-3</v>
      </c>
      <c r="S276" s="1934">
        <f t="shared" si="4"/>
        <v>0.43487999999999999</v>
      </c>
      <c r="T276" s="1935">
        <f t="shared" si="5"/>
        <v>0.30803999999999998</v>
      </c>
      <c r="U276" s="1936">
        <f>0.394</f>
        <v>0.39400000000000002</v>
      </c>
    </row>
    <row r="277" spans="1:21" ht="13" x14ac:dyDescent="0.3">
      <c r="A277" s="1930" t="str">
        <f t="shared" si="6"/>
        <v>Производство на стъкло, включително стъклени влакна, с капацитет на топене над 20 тона дневно</v>
      </c>
      <c r="B277" s="1931">
        <v>12</v>
      </c>
      <c r="C277" s="1931">
        <f t="shared" si="7"/>
        <v>16</v>
      </c>
      <c r="D277" s="1931">
        <v>16.100000000000001</v>
      </c>
      <c r="E277" s="1441" t="str">
        <f t="shared" si="8"/>
        <v>12.16,1</v>
      </c>
      <c r="F277" s="1931" t="str">
        <f>Translations!$B$1137</f>
        <v>Бутилки и буркани от безцветно стъкло</v>
      </c>
      <c r="G277" s="1931" t="str">
        <f t="shared" si="9"/>
        <v>тона</v>
      </c>
      <c r="H277" s="1931" t="b">
        <v>1</v>
      </c>
      <c r="I277" s="1931" t="b">
        <v>0</v>
      </c>
      <c r="J277" s="1931" t="b">
        <v>0</v>
      </c>
      <c r="K277" s="1931" t="str">
        <f>""</f>
        <v/>
      </c>
      <c r="L277" s="1932" t="str">
        <f>""</f>
        <v/>
      </c>
      <c r="M277" s="1931" t="b">
        <v>1</v>
      </c>
      <c r="N277" s="1931" t="b">
        <v>0</v>
      </c>
      <c r="O277" s="1933">
        <v>0.38200000000000001</v>
      </c>
      <c r="P277" s="41">
        <f t="shared" si="2"/>
        <v>2E-3</v>
      </c>
      <c r="Q277" s="86">
        <f t="shared" si="3"/>
        <v>1.6E-2</v>
      </c>
      <c r="R277" s="206">
        <v>1.6E-2</v>
      </c>
      <c r="S277" s="1934">
        <f t="shared" si="4"/>
        <v>0.36671999999999999</v>
      </c>
      <c r="T277" s="1935">
        <f t="shared" si="5"/>
        <v>0.25975999999999999</v>
      </c>
      <c r="U277" s="1936">
        <f>0.242</f>
        <v>0.24199999999999999</v>
      </c>
    </row>
    <row r="278" spans="1:21" ht="13" x14ac:dyDescent="0.3">
      <c r="A278" s="1930" t="str">
        <f t="shared" si="6"/>
        <v>Производство на стъкло, включително стъклени влакна, с капацитет на топене над 20 тона дневно</v>
      </c>
      <c r="B278" s="1931">
        <v>12</v>
      </c>
      <c r="C278" s="1931">
        <f t="shared" si="7"/>
        <v>17</v>
      </c>
      <c r="D278" s="1931">
        <v>17.100000000000001</v>
      </c>
      <c r="E278" s="1441" t="str">
        <f t="shared" si="8"/>
        <v>12.17,1</v>
      </c>
      <c r="F278" s="1931" t="str">
        <f>Translations!$B$1138</f>
        <v>Бутилки и буркани от цветно стъкло</v>
      </c>
      <c r="G278" s="1931" t="str">
        <f t="shared" si="9"/>
        <v>тона</v>
      </c>
      <c r="H278" s="1931" t="b">
        <v>1</v>
      </c>
      <c r="I278" s="1931" t="b">
        <v>0</v>
      </c>
      <c r="J278" s="1931" t="b">
        <v>0</v>
      </c>
      <c r="K278" s="1931" t="str">
        <f>""</f>
        <v/>
      </c>
      <c r="L278" s="1932" t="str">
        <f>""</f>
        <v/>
      </c>
      <c r="M278" s="1931" t="b">
        <v>1</v>
      </c>
      <c r="N278" s="1931" t="b">
        <v>0</v>
      </c>
      <c r="O278" s="1933">
        <v>0.30599999999999999</v>
      </c>
      <c r="P278" s="41">
        <f t="shared" si="2"/>
        <v>2E-3</v>
      </c>
      <c r="Q278" s="86">
        <f t="shared" si="3"/>
        <v>1.6E-2</v>
      </c>
      <c r="R278" s="206">
        <v>1.4967985131793069E-2</v>
      </c>
      <c r="S278" s="1934">
        <f t="shared" si="4"/>
        <v>0.29375999999999997</v>
      </c>
      <c r="T278" s="1935">
        <f t="shared" si="5"/>
        <v>0.20807999999999999</v>
      </c>
      <c r="U278" s="1936">
        <f>0.233</f>
        <v>0.23300000000000001</v>
      </c>
    </row>
    <row r="279" spans="1:21" ht="13" x14ac:dyDescent="0.3">
      <c r="A279" s="1930" t="str">
        <f t="shared" si="6"/>
        <v>Производство на стъкло, включително стъклени влакна, с капацитет на топене над 20 тона дневно</v>
      </c>
      <c r="B279" s="1931">
        <v>12</v>
      </c>
      <c r="C279" s="1931">
        <f t="shared" si="7"/>
        <v>18</v>
      </c>
      <c r="D279" s="1931">
        <v>18.100000000000001</v>
      </c>
      <c r="E279" s="1441" t="str">
        <f t="shared" si="8"/>
        <v>12.18,1</v>
      </c>
      <c r="F279" s="1931" t="str">
        <f>Translations!$B$1139</f>
        <v>Продукти от стъклени влакна с непрекъсната нишка</v>
      </c>
      <c r="G279" s="1931" t="str">
        <f t="shared" si="9"/>
        <v>тона</v>
      </c>
      <c r="H279" s="1931" t="b">
        <v>1</v>
      </c>
      <c r="I279" s="1931" t="b">
        <v>0</v>
      </c>
      <c r="J279" s="1931" t="b">
        <v>0</v>
      </c>
      <c r="K279" s="1931" t="str">
        <f>""</f>
        <v/>
      </c>
      <c r="L279" s="1932" t="str">
        <f>""</f>
        <v/>
      </c>
      <c r="M279" s="1931" t="b">
        <v>1</v>
      </c>
      <c r="N279" s="1931" t="b">
        <v>0</v>
      </c>
      <c r="O279" s="1933">
        <v>0.40600000000000003</v>
      </c>
      <c r="P279" s="41">
        <f t="shared" si="2"/>
        <v>2E-3</v>
      </c>
      <c r="Q279" s="86">
        <f t="shared" si="3"/>
        <v>1.6E-2</v>
      </c>
      <c r="R279" s="206">
        <v>1.6E-2</v>
      </c>
      <c r="S279" s="1934">
        <f t="shared" si="4"/>
        <v>0.38976</v>
      </c>
      <c r="T279" s="1935">
        <f t="shared" si="5"/>
        <v>0.27607999999999999</v>
      </c>
      <c r="U279" s="1936">
        <f>0.232</f>
        <v>0.23200000000000001</v>
      </c>
    </row>
    <row r="280" spans="1:21" ht="13" x14ac:dyDescent="0.3">
      <c r="A280" s="1930" t="str">
        <f t="shared" si="6"/>
        <v>Производство на керамични продукти чрез изпичане, по-специално покривни керемиди, тухли, огнеупорни тухли, керемиди, каменинови изделия или порцелан, с производствен капацитет над 75 тона дневно</v>
      </c>
      <c r="B280" s="1931">
        <v>13</v>
      </c>
      <c r="C280" s="1931">
        <f t="shared" si="7"/>
        <v>19</v>
      </c>
      <c r="D280" s="1931">
        <v>19.100000000000001</v>
      </c>
      <c r="E280" s="1441" t="str">
        <f t="shared" si="8"/>
        <v>13.19,1</v>
      </c>
      <c r="F280" s="1931" t="str">
        <f>Translations!$B$1140</f>
        <v>Облицовъчни тухли</v>
      </c>
      <c r="G280" s="1931" t="str">
        <f t="shared" si="9"/>
        <v>тона</v>
      </c>
      <c r="H280" s="1931" t="b">
        <v>1</v>
      </c>
      <c r="I280" s="1931" t="b">
        <v>0</v>
      </c>
      <c r="J280" s="1931" t="b">
        <v>0</v>
      </c>
      <c r="K280" s="1931" t="str">
        <f>""</f>
        <v/>
      </c>
      <c r="L280" s="1932" t="str">
        <f>""</f>
        <v/>
      </c>
      <c r="M280" s="1931" t="b">
        <v>1</v>
      </c>
      <c r="N280" s="1931" t="b">
        <v>0</v>
      </c>
      <c r="O280" s="1933">
        <v>0.13900000000000001</v>
      </c>
      <c r="P280" s="41">
        <f t="shared" si="2"/>
        <v>2E-3</v>
      </c>
      <c r="Q280" s="86">
        <f t="shared" si="3"/>
        <v>1.6E-2</v>
      </c>
      <c r="R280" s="206">
        <v>1.6E-2</v>
      </c>
      <c r="S280" s="1934">
        <f t="shared" si="4"/>
        <v>0.13344</v>
      </c>
      <c r="T280" s="1935">
        <f t="shared" si="5"/>
        <v>9.4519999999999993E-2</v>
      </c>
      <c r="U280" s="1936">
        <f>0.083</f>
        <v>8.3000000000000004E-2</v>
      </c>
    </row>
    <row r="281" spans="1:21" ht="13" x14ac:dyDescent="0.3">
      <c r="A281" s="1930" t="str">
        <f t="shared" si="6"/>
        <v>Производство на керамични продукти чрез изпичане, по-специално покривни керемиди, тухли, огнеупорни тухли, керемиди, каменинови изделия или порцелан, с производствен капацитет над 75 тона дневно</v>
      </c>
      <c r="B281" s="1931">
        <v>13</v>
      </c>
      <c r="C281" s="1931">
        <f t="shared" si="7"/>
        <v>20</v>
      </c>
      <c r="D281" s="1931">
        <v>20.100000000000001</v>
      </c>
      <c r="E281" s="1441" t="str">
        <f t="shared" si="8"/>
        <v>13.20,1</v>
      </c>
      <c r="F281" s="1931" t="str">
        <f>Translations!$B$1141</f>
        <v>Павета</v>
      </c>
      <c r="G281" s="1931" t="str">
        <f t="shared" si="9"/>
        <v>тона</v>
      </c>
      <c r="H281" s="1931" t="b">
        <v>1</v>
      </c>
      <c r="I281" s="1931" t="b">
        <v>0</v>
      </c>
      <c r="J281" s="1931" t="b">
        <v>0</v>
      </c>
      <c r="K281" s="1931" t="str">
        <f>""</f>
        <v/>
      </c>
      <c r="L281" s="1932" t="str">
        <f>""</f>
        <v/>
      </c>
      <c r="M281" s="1931" t="b">
        <v>1</v>
      </c>
      <c r="N281" s="1931" t="b">
        <v>0</v>
      </c>
      <c r="O281" s="1933">
        <v>0.192</v>
      </c>
      <c r="P281" s="41">
        <f t="shared" si="2"/>
        <v>2E-3</v>
      </c>
      <c r="Q281" s="86">
        <f t="shared" si="3"/>
        <v>1.6E-2</v>
      </c>
      <c r="R281" s="206">
        <v>1.6E-2</v>
      </c>
      <c r="S281" s="1934">
        <f t="shared" si="4"/>
        <v>0.18431999999999998</v>
      </c>
      <c r="T281" s="1935">
        <f t="shared" si="5"/>
        <v>0.13055999999999998</v>
      </c>
      <c r="U281" s="1936">
        <f>0.108</f>
        <v>0.108</v>
      </c>
    </row>
    <row r="282" spans="1:21" ht="13" x14ac:dyDescent="0.3">
      <c r="A282" s="1930" t="str">
        <f t="shared" si="6"/>
        <v>Производство на керамични продукти чрез изпичане, по-специално покривни керемиди, тухли, огнеупорни тухли, керемиди, каменинови изделия или порцелан, с производствен капацитет над 75 тона дневно</v>
      </c>
      <c r="B282" s="1931">
        <v>13</v>
      </c>
      <c r="C282" s="1931">
        <f t="shared" si="7"/>
        <v>21</v>
      </c>
      <c r="D282" s="1931">
        <v>21.1</v>
      </c>
      <c r="E282" s="1441" t="str">
        <f t="shared" si="8"/>
        <v>13.21,1</v>
      </c>
      <c r="F282" s="1931" t="str">
        <f>Translations!$B$1142</f>
        <v>Покривни плочки</v>
      </c>
      <c r="G282" s="1931" t="str">
        <f t="shared" si="9"/>
        <v>тона</v>
      </c>
      <c r="H282" s="1931" t="b">
        <v>1</v>
      </c>
      <c r="I282" s="1931" t="b">
        <v>0</v>
      </c>
      <c r="J282" s="1931" t="b">
        <v>0</v>
      </c>
      <c r="K282" s="1931" t="str">
        <f>""</f>
        <v/>
      </c>
      <c r="L282" s="1932" t="str">
        <f>""</f>
        <v/>
      </c>
      <c r="M282" s="1931" t="b">
        <v>1</v>
      </c>
      <c r="N282" s="1931" t="b">
        <v>0</v>
      </c>
      <c r="O282" s="1933">
        <v>0.14399999999999999</v>
      </c>
      <c r="P282" s="41">
        <f t="shared" si="2"/>
        <v>2E-3</v>
      </c>
      <c r="Q282" s="86">
        <f t="shared" si="3"/>
        <v>1.6E-2</v>
      </c>
      <c r="R282" s="206">
        <v>1.1108539831847293E-2</v>
      </c>
      <c r="S282" s="1934">
        <f t="shared" si="4"/>
        <v>0.13823999999999997</v>
      </c>
      <c r="T282" s="1935">
        <f t="shared" si="5"/>
        <v>9.7919999999999979E-2</v>
      </c>
      <c r="U282" s="1936">
        <f>0.121</f>
        <v>0.121</v>
      </c>
    </row>
    <row r="283" spans="1:21" ht="13" x14ac:dyDescent="0.3">
      <c r="A283" s="1930" t="str">
        <f t="shared" si="6"/>
        <v>Производство на керамични продукти чрез изпичане, по-специално покривни керемиди, тухли, огнеупорни тухли, керемиди, каменинови изделия или порцелан, с производствен капацитет над 75 тона дневно</v>
      </c>
      <c r="B283" s="1931">
        <v>13</v>
      </c>
      <c r="C283" s="1931">
        <f t="shared" si="7"/>
        <v>22</v>
      </c>
      <c r="D283" s="1931">
        <v>22.1</v>
      </c>
      <c r="E283" s="1441" t="str">
        <f t="shared" si="8"/>
        <v>13.22,1</v>
      </c>
      <c r="F283" s="1931" t="str">
        <f>Translations!$B$1143</f>
        <v>Спрей сух прах</v>
      </c>
      <c r="G283" s="1931" t="str">
        <f t="shared" si="9"/>
        <v>тона</v>
      </c>
      <c r="H283" s="1931" t="b">
        <v>1</v>
      </c>
      <c r="I283" s="1931" t="b">
        <v>0</v>
      </c>
      <c r="J283" s="1931" t="b">
        <v>0</v>
      </c>
      <c r="K283" s="1931" t="str">
        <f>""</f>
        <v/>
      </c>
      <c r="L283" s="1932" t="str">
        <f>""</f>
        <v/>
      </c>
      <c r="M283" s="1931" t="b">
        <v>1</v>
      </c>
      <c r="N283" s="1931" t="b">
        <v>0</v>
      </c>
      <c r="O283" s="1933">
        <v>7.5999999999999998E-2</v>
      </c>
      <c r="P283" s="41">
        <f t="shared" si="2"/>
        <v>2E-3</v>
      </c>
      <c r="Q283" s="86">
        <f t="shared" si="3"/>
        <v>1.6E-2</v>
      </c>
      <c r="R283" s="206">
        <v>1.6E-2</v>
      </c>
      <c r="S283" s="1934">
        <f t="shared" si="4"/>
        <v>7.2959999999999997E-2</v>
      </c>
      <c r="T283" s="1935">
        <f t="shared" si="5"/>
        <v>5.1679999999999997E-2</v>
      </c>
      <c r="U283" s="1936">
        <f>0.046</f>
        <v>4.5999999999999999E-2</v>
      </c>
    </row>
    <row r="284" spans="1:21" ht="13" x14ac:dyDescent="0.3">
      <c r="A284" s="1930" t="str">
        <f t="shared" si="6"/>
        <v>Производство на изолационни материали от минерална вата, използващи стъкло, скала или шлака, с капацитет на топене над 20 тона дневно</v>
      </c>
      <c r="B284" s="1931">
        <v>14</v>
      </c>
      <c r="C284" s="1931">
        <f t="shared" si="7"/>
        <v>23</v>
      </c>
      <c r="D284" s="1931">
        <v>23.1</v>
      </c>
      <c r="E284" s="1441" t="str">
        <f t="shared" si="8"/>
        <v>14.23,1</v>
      </c>
      <c r="F284" s="1931" t="str">
        <f>Translations!$B$1144</f>
        <v>Минерална вата</v>
      </c>
      <c r="G284" s="1931" t="str">
        <f t="shared" si="9"/>
        <v>тона</v>
      </c>
      <c r="H284" s="1931" t="b">
        <v>1</v>
      </c>
      <c r="I284" s="1931" t="b">
        <v>0</v>
      </c>
      <c r="J284" s="1931" t="b">
        <v>1</v>
      </c>
      <c r="K284" s="1931" t="str">
        <f>""</f>
        <v/>
      </c>
      <c r="L284" s="1932" t="str">
        <f>""</f>
        <v/>
      </c>
      <c r="M284" s="1931" t="b">
        <v>1</v>
      </c>
      <c r="N284" s="1931" t="b">
        <v>0</v>
      </c>
      <c r="O284" s="1933">
        <v>0.68200000000000005</v>
      </c>
      <c r="P284" s="41">
        <f t="shared" si="2"/>
        <v>2E-3</v>
      </c>
      <c r="Q284" s="86">
        <f t="shared" si="3"/>
        <v>1.6E-2</v>
      </c>
      <c r="R284" s="206">
        <v>1.4249463393826021E-2</v>
      </c>
      <c r="S284" s="1934">
        <f t="shared" si="4"/>
        <v>0.65472000000000008</v>
      </c>
      <c r="T284" s="1935">
        <f t="shared" si="5"/>
        <v>0.46376000000000001</v>
      </c>
      <c r="U284" s="1936">
        <f>0.341</f>
        <v>0.34100000000000003</v>
      </c>
    </row>
    <row r="285" spans="1:21" ht="13" x14ac:dyDescent="0.3">
      <c r="A285" s="1930" t="str">
        <f t="shared" si="6"/>
        <v>Сушене или изпичане на гипс или производство на гипсови панели или други продукти от гипс с производствен капацитет за калциниран гипс или изсушен вторичен гипс, надвишаващ общо 20 тона на ден</v>
      </c>
      <c r="B285" s="1931">
        <v>15</v>
      </c>
      <c r="C285" s="1931">
        <f t="shared" si="7"/>
        <v>24</v>
      </c>
      <c r="D285" s="1931">
        <v>24.1</v>
      </c>
      <c r="E285" s="1441" t="str">
        <f t="shared" si="8"/>
        <v>15.24,1</v>
      </c>
      <c r="F285" s="1931" t="str">
        <f>Translations!$B$1145</f>
        <v>Гипс</v>
      </c>
      <c r="G285" s="1931" t="str">
        <f t="shared" si="9"/>
        <v>тона</v>
      </c>
      <c r="H285" s="1931" t="b">
        <v>1</v>
      </c>
      <c r="I285" s="1931" t="b">
        <v>0</v>
      </c>
      <c r="J285" s="1931" t="b">
        <v>0</v>
      </c>
      <c r="K285" s="1931" t="str">
        <f>""</f>
        <v/>
      </c>
      <c r="L285" s="1932" t="str">
        <f>""</f>
        <v/>
      </c>
      <c r="M285" s="1931" t="b">
        <v>1</v>
      </c>
      <c r="N285" s="1931" t="b">
        <v>0</v>
      </c>
      <c r="O285" s="1933">
        <v>4.8000000000000001E-2</v>
      </c>
      <c r="P285" s="41">
        <f t="shared" si="2"/>
        <v>2E-3</v>
      </c>
      <c r="Q285" s="86">
        <f t="shared" si="3"/>
        <v>1.6E-2</v>
      </c>
      <c r="R285" s="206">
        <v>2E-3</v>
      </c>
      <c r="S285" s="1934">
        <f t="shared" si="4"/>
        <v>4.6079999999999996E-2</v>
      </c>
      <c r="T285" s="1935">
        <f t="shared" si="5"/>
        <v>3.2639999999999995E-2</v>
      </c>
      <c r="U285" s="1936">
        <f>0.045</f>
        <v>4.4999999999999998E-2</v>
      </c>
    </row>
    <row r="286" spans="1:21" ht="13" x14ac:dyDescent="0.3">
      <c r="A286" s="1930" t="str">
        <f t="shared" si="6"/>
        <v>Сушене или изпичане на гипс или производство на гипсови панели или други продукти от гипс с производствен капацитет за калциниран гипс или изсушен вторичен гипс, надвишаващ общо 20 тона на ден</v>
      </c>
      <c r="B286" s="1931">
        <v>15</v>
      </c>
      <c r="C286" s="1931">
        <f t="shared" si="7"/>
        <v>25</v>
      </c>
      <c r="D286" s="1931">
        <v>25.1</v>
      </c>
      <c r="E286" s="1441" t="str">
        <f t="shared" si="8"/>
        <v>15.25,1</v>
      </c>
      <c r="F286" s="1931" t="str">
        <f>Translations!$B$1146</f>
        <v>Изсушен вторичен гипс</v>
      </c>
      <c r="G286" s="1931" t="str">
        <f t="shared" si="9"/>
        <v>тона</v>
      </c>
      <c r="H286" s="1931" t="b">
        <v>1</v>
      </c>
      <c r="I286" s="1931" t="b">
        <v>0</v>
      </c>
      <c r="J286" s="1931" t="b">
        <v>0</v>
      </c>
      <c r="K286" s="1931" t="str">
        <f>""</f>
        <v/>
      </c>
      <c r="L286" s="1932" t="str">
        <f>""</f>
        <v/>
      </c>
      <c r="M286" s="1931" t="b">
        <v>1</v>
      </c>
      <c r="N286" s="1931" t="b">
        <v>0</v>
      </c>
      <c r="O286" s="1933">
        <v>1.7000000000000001E-2</v>
      </c>
      <c r="P286" s="41">
        <f t="shared" si="2"/>
        <v>2E-3</v>
      </c>
      <c r="Q286" s="86">
        <f t="shared" si="3"/>
        <v>1.6E-2</v>
      </c>
      <c r="R286" s="206">
        <v>1.6E-2</v>
      </c>
      <c r="S286" s="1934">
        <f t="shared" si="4"/>
        <v>1.6320000000000001E-2</v>
      </c>
      <c r="T286" s="1935">
        <f t="shared" si="5"/>
        <v>1.1559999999999999E-2</v>
      </c>
      <c r="U286" s="1936">
        <f>0.009</f>
        <v>8.9999999999999993E-3</v>
      </c>
    </row>
    <row r="287" spans="1:21" ht="13" x14ac:dyDescent="0.3">
      <c r="A287" s="1930" t="str">
        <f t="shared" si="6"/>
        <v>Сушене или изпичане на гипс или производство на гипсови панели или други продукти от гипс с производствен капацитет за калциниран гипс или изсушен вторичен гипс, надвишаващ общо 20 тона на ден</v>
      </c>
      <c r="B287" s="1931">
        <v>15</v>
      </c>
      <c r="C287" s="1931">
        <f t="shared" si="7"/>
        <v>26</v>
      </c>
      <c r="D287" s="1931">
        <v>26.1</v>
      </c>
      <c r="E287" s="1441" t="str">
        <f t="shared" si="8"/>
        <v>15.26,1</v>
      </c>
      <c r="F287" s="1931" t="str">
        <f>Translations!$B$1147</f>
        <v>Гипсокартон</v>
      </c>
      <c r="G287" s="1931" t="str">
        <f t="shared" si="9"/>
        <v>тона</v>
      </c>
      <c r="H287" s="1931" t="b">
        <v>0</v>
      </c>
      <c r="I287" s="1931" t="b">
        <v>0</v>
      </c>
      <c r="J287" s="1931" t="b">
        <v>1</v>
      </c>
      <c r="K287" s="1931" t="str">
        <f>""</f>
        <v/>
      </c>
      <c r="L287" s="1932" t="str">
        <f>""</f>
        <v/>
      </c>
      <c r="M287" s="1931" t="b">
        <v>1</v>
      </c>
      <c r="N287" s="1931" t="b">
        <v>0</v>
      </c>
      <c r="O287" s="1933">
        <v>0.13100000000000001</v>
      </c>
      <c r="P287" s="41">
        <f t="shared" si="2"/>
        <v>2E-3</v>
      </c>
      <c r="Q287" s="86">
        <f t="shared" si="3"/>
        <v>1.6E-2</v>
      </c>
      <c r="R287" s="206">
        <v>1.0582385618580171E-2</v>
      </c>
      <c r="S287" s="1934">
        <f t="shared" si="4"/>
        <v>0.12576000000000001</v>
      </c>
      <c r="T287" s="1935">
        <f t="shared" si="5"/>
        <v>8.9079999999999993E-2</v>
      </c>
      <c r="U287" s="1936">
        <f>0.122</f>
        <v>0.122</v>
      </c>
    </row>
    <row r="288" spans="1:21" ht="13" x14ac:dyDescent="0.3">
      <c r="A288" s="1930" t="str">
        <f t="shared" si="6"/>
        <v>Производство на целулоза от дървен материал или други влакнести материали</v>
      </c>
      <c r="B288" s="1931">
        <v>16</v>
      </c>
      <c r="C288" s="1931">
        <f t="shared" si="7"/>
        <v>27</v>
      </c>
      <c r="D288" s="1931">
        <v>27.1</v>
      </c>
      <c r="E288" s="1441" t="str">
        <f t="shared" si="8"/>
        <v>16.27,1</v>
      </c>
      <c r="F288" s="1931" t="str">
        <f>Translations!$B$1148</f>
        <v>Крафт целулоза с къси влакна</v>
      </c>
      <c r="G288" s="1931" t="str">
        <f>Translations!$B$1149</f>
        <v>Адт</v>
      </c>
      <c r="H288" s="1931" t="b">
        <v>1</v>
      </c>
      <c r="I288" s="1931" t="b">
        <v>0</v>
      </c>
      <c r="J288" s="1931" t="b">
        <v>0</v>
      </c>
      <c r="K288" s="1937" t="str">
        <f>Translations!$B$1150</f>
        <v>Следва да се отбележи, че за интегрираното производство на целулоза и ампери се прилагат специални правила за разпределяне (член 16, параграф 6 от ПБР).</v>
      </c>
      <c r="L288" s="1932" t="str">
        <f>""</f>
        <v/>
      </c>
      <c r="M288" s="1931" t="b">
        <v>1</v>
      </c>
      <c r="N288" s="1931" t="b">
        <v>1</v>
      </c>
      <c r="O288" s="1933">
        <v>0.12</v>
      </c>
      <c r="P288" s="41">
        <f t="shared" si="2"/>
        <v>2E-3</v>
      </c>
      <c r="Q288" s="86">
        <f t="shared" si="3"/>
        <v>1.6E-2</v>
      </c>
      <c r="R288" s="206">
        <v>1.6E-2</v>
      </c>
      <c r="S288" s="1934">
        <f t="shared" si="4"/>
        <v>0.1152</v>
      </c>
      <c r="T288" s="1935">
        <f t="shared" si="5"/>
        <v>8.1599999999999992E-2</v>
      </c>
      <c r="U288" s="1936">
        <f>0.06</f>
        <v>0.06</v>
      </c>
    </row>
    <row r="289" spans="1:21" ht="13" x14ac:dyDescent="0.3">
      <c r="A289" s="1930" t="str">
        <f t="shared" si="6"/>
        <v>Производство на целулоза от дървен материал или други влакнести материали</v>
      </c>
      <c r="B289" s="1931">
        <v>16</v>
      </c>
      <c r="C289" s="1931">
        <f t="shared" si="7"/>
        <v>28</v>
      </c>
      <c r="D289" s="1931">
        <v>28.1</v>
      </c>
      <c r="E289" s="1441" t="str">
        <f t="shared" si="8"/>
        <v>16.28,1</v>
      </c>
      <c r="F289" s="1931" t="str">
        <f>Translations!$B$1151</f>
        <v>Дълговлакнеста крафт целулоза</v>
      </c>
      <c r="G289" s="1931" t="str">
        <f>Translations!$B$1149</f>
        <v>Адт</v>
      </c>
      <c r="H289" s="1931" t="b">
        <v>1</v>
      </c>
      <c r="I289" s="1931" t="b">
        <v>0</v>
      </c>
      <c r="J289" s="1931" t="b">
        <v>0</v>
      </c>
      <c r="K289" s="1937" t="str">
        <f>Translations!$B$1150</f>
        <v>Следва да се отбележи, че за интегрираното производство на целулоза и ампери се прилагат специални правила за разпределяне (член 16, параграф 6 от ПБР).</v>
      </c>
      <c r="L289" s="1932" t="str">
        <f>""</f>
        <v/>
      </c>
      <c r="M289" s="1931" t="b">
        <v>1</v>
      </c>
      <c r="N289" s="1931" t="b">
        <v>1</v>
      </c>
      <c r="O289" s="1933">
        <v>0.06</v>
      </c>
      <c r="P289" s="41">
        <f t="shared" si="2"/>
        <v>2E-3</v>
      </c>
      <c r="Q289" s="86">
        <f t="shared" si="3"/>
        <v>1.6E-2</v>
      </c>
      <c r="R289" s="206">
        <v>1.6E-2</v>
      </c>
      <c r="S289" s="1934">
        <f t="shared" si="4"/>
        <v>5.7599999999999998E-2</v>
      </c>
      <c r="T289" s="1935">
        <f t="shared" si="5"/>
        <v>4.0799999999999996E-2</v>
      </c>
      <c r="U289" s="1936">
        <f>0.04</f>
        <v>0.04</v>
      </c>
    </row>
    <row r="290" spans="1:21" ht="13" x14ac:dyDescent="0.3">
      <c r="A290" s="1930" t="str">
        <f t="shared" si="6"/>
        <v>Производство на целулоза от дървен материал или други влакнести материали</v>
      </c>
      <c r="B290" s="1931">
        <v>16</v>
      </c>
      <c r="C290" s="1931">
        <f t="shared" si="7"/>
        <v>29</v>
      </c>
      <c r="D290" s="1931">
        <v>29.1</v>
      </c>
      <c r="E290" s="1441" t="str">
        <f t="shared" si="8"/>
        <v>16.29,1</v>
      </c>
      <c r="F290" s="1931" t="str">
        <f>Translations!$B$1152</f>
        <v>Сулфитна целулоза, термомеханична и механична целулоза</v>
      </c>
      <c r="G290" s="1931" t="str">
        <f>Translations!$B$1149</f>
        <v>Адт</v>
      </c>
      <c r="H290" s="1931" t="b">
        <v>1</v>
      </c>
      <c r="I290" s="1931" t="b">
        <v>0</v>
      </c>
      <c r="J290" s="1931" t="b">
        <v>0</v>
      </c>
      <c r="K290" s="1937" t="str">
        <f>Translations!$B$1150</f>
        <v>Следва да се отбележи, че за интегрираното производство на целулоза и ампери се прилагат специални правила за разпределяне (член 16, параграф 6 от ПБР).</v>
      </c>
      <c r="L290" s="1932" t="str">
        <f>""</f>
        <v/>
      </c>
      <c r="M290" s="1931" t="b">
        <v>1</v>
      </c>
      <c r="N290" s="1931" t="b">
        <v>1</v>
      </c>
      <c r="O290" s="1933">
        <v>0.02</v>
      </c>
      <c r="P290" s="41">
        <f t="shared" si="2"/>
        <v>2E-3</v>
      </c>
      <c r="Q290" s="86">
        <f t="shared" si="3"/>
        <v>1.6E-2</v>
      </c>
      <c r="R290" s="206">
        <v>1.6E-2</v>
      </c>
      <c r="S290" s="1934">
        <f t="shared" si="4"/>
        <v>1.9199999999999998E-2</v>
      </c>
      <c r="T290" s="1935">
        <f t="shared" si="5"/>
        <v>1.3599999999999999E-2</v>
      </c>
      <c r="U290" s="1936">
        <f>0.01</f>
        <v>0.01</v>
      </c>
    </row>
    <row r="291" spans="1:21" ht="13" x14ac:dyDescent="0.3">
      <c r="A291" s="1930" t="str">
        <f t="shared" si="6"/>
        <v>Производство на целулоза от дървен материал или други влакнести материали</v>
      </c>
      <c r="B291" s="1931">
        <v>16</v>
      </c>
      <c r="C291" s="1931">
        <f t="shared" si="7"/>
        <v>30</v>
      </c>
      <c r="D291" s="1931">
        <v>30.1</v>
      </c>
      <c r="E291" s="1441" t="str">
        <f t="shared" si="8"/>
        <v>16.30,1</v>
      </c>
      <c r="F291" s="1931" t="str">
        <f>Translations!$B$1153</f>
        <v>Оползотворена хартиена маса</v>
      </c>
      <c r="G291" s="1931" t="str">
        <f>Translations!$B$1149</f>
        <v>Адт</v>
      </c>
      <c r="H291" s="1931" t="b">
        <v>1</v>
      </c>
      <c r="I291" s="1931" t="b">
        <v>0</v>
      </c>
      <c r="J291" s="1931" t="b">
        <v>0</v>
      </c>
      <c r="K291" s="1931" t="str">
        <f>""</f>
        <v/>
      </c>
      <c r="L291" s="1932" t="str">
        <f>""</f>
        <v/>
      </c>
      <c r="M291" s="1931" t="b">
        <v>1</v>
      </c>
      <c r="N291" s="1931" t="b">
        <v>0</v>
      </c>
      <c r="O291" s="1933">
        <v>3.9E-2</v>
      </c>
      <c r="P291" s="41">
        <f t="shared" si="2"/>
        <v>2E-3</v>
      </c>
      <c r="Q291" s="86">
        <f t="shared" si="3"/>
        <v>1.6E-2</v>
      </c>
      <c r="R291" s="206">
        <v>1.6E-2</v>
      </c>
      <c r="S291" s="1934">
        <f t="shared" si="4"/>
        <v>3.7440000000000001E-2</v>
      </c>
      <c r="T291" s="1935">
        <f t="shared" si="5"/>
        <v>2.6519999999999998E-2</v>
      </c>
      <c r="U291" s="1936">
        <f>0.02</f>
        <v>0.02</v>
      </c>
    </row>
    <row r="292" spans="1:21" ht="13" x14ac:dyDescent="0.3">
      <c r="A292" s="1930" t="str">
        <f t="shared" si="6"/>
        <v>Производство на хартия или картон с производствен капацитет над 20 тона дневно</v>
      </c>
      <c r="B292" s="1931">
        <v>17</v>
      </c>
      <c r="C292" s="1931">
        <f t="shared" si="7"/>
        <v>31</v>
      </c>
      <c r="D292" s="1931">
        <v>31.1</v>
      </c>
      <c r="E292" s="1441" t="str">
        <f t="shared" si="8"/>
        <v>17.31,1</v>
      </c>
      <c r="F292" s="1931" t="str">
        <f>Translations!$B$1154</f>
        <v>Вестникарска публикация</v>
      </c>
      <c r="G292" s="1931" t="str">
        <f>Translations!$B$1149</f>
        <v>Адт</v>
      </c>
      <c r="H292" s="1931" t="b">
        <v>1</v>
      </c>
      <c r="I292" s="1931" t="b">
        <v>0</v>
      </c>
      <c r="J292" s="1931" t="b">
        <v>0</v>
      </c>
      <c r="K292" s="1931" t="str">
        <f>""</f>
        <v/>
      </c>
      <c r="L292" s="1932" t="str">
        <f>""</f>
        <v/>
      </c>
      <c r="M292" s="1931" t="b">
        <v>1</v>
      </c>
      <c r="N292" s="1931" t="b">
        <v>0</v>
      </c>
      <c r="O292" s="1933">
        <v>0.29799999999999999</v>
      </c>
      <c r="P292" s="41">
        <f t="shared" si="2"/>
        <v>2E-3</v>
      </c>
      <c r="Q292" s="86">
        <f t="shared" si="3"/>
        <v>1.6E-2</v>
      </c>
      <c r="R292" s="206">
        <v>1.6E-2</v>
      </c>
      <c r="S292" s="1934">
        <f t="shared" si="4"/>
        <v>0.28608</v>
      </c>
      <c r="T292" s="1935">
        <f t="shared" si="5"/>
        <v>0.20263999999999996</v>
      </c>
      <c r="U292" s="1936">
        <f>0.149</f>
        <v>0.14899999999999999</v>
      </c>
    </row>
    <row r="293" spans="1:21" ht="13" x14ac:dyDescent="0.3">
      <c r="A293" s="1930" t="str">
        <f t="shared" si="6"/>
        <v>Производство на хартия или картон с производствен капацитет над 20 тона дневно</v>
      </c>
      <c r="B293" s="1931">
        <v>17</v>
      </c>
      <c r="C293" s="1931">
        <f t="shared" si="7"/>
        <v>32</v>
      </c>
      <c r="D293" s="1931">
        <v>32.1</v>
      </c>
      <c r="E293" s="1441" t="str">
        <f t="shared" si="8"/>
        <v>17.32,1</v>
      </c>
      <c r="F293" s="1931" t="str">
        <f>Translations!$B$1155</f>
        <v>Фина хартия без покритие</v>
      </c>
      <c r="G293" s="1931" t="str">
        <f>Translations!$B$1149</f>
        <v>Адт</v>
      </c>
      <c r="H293" s="1931" t="b">
        <v>1</v>
      </c>
      <c r="I293" s="1931" t="b">
        <v>0</v>
      </c>
      <c r="J293" s="1931" t="b">
        <v>0</v>
      </c>
      <c r="K293" s="1931" t="str">
        <f>""</f>
        <v/>
      </c>
      <c r="L293" s="1932" t="str">
        <f>""</f>
        <v/>
      </c>
      <c r="M293" s="1931" t="b">
        <v>1</v>
      </c>
      <c r="N293" s="1931" t="b">
        <v>0</v>
      </c>
      <c r="O293" s="1933">
        <v>0.318</v>
      </c>
      <c r="P293" s="41">
        <f t="shared" si="2"/>
        <v>2E-3</v>
      </c>
      <c r="Q293" s="86">
        <f t="shared" ref="Q293:Q314" si="12">IF(AND(C293=4,CNTR_SubPeriod=1),INDEX(EUconst_BM_ARR_Range,1),INDEX(EUconst_BM_ARR_Range,2))</f>
        <v>1.6E-2</v>
      </c>
      <c r="R293" s="206">
        <v>1.6E-2</v>
      </c>
      <c r="S293" s="1934">
        <f t="shared" si="4"/>
        <v>0.30528</v>
      </c>
      <c r="T293" s="1935">
        <f t="shared" si="5"/>
        <v>0.21623999999999999</v>
      </c>
      <c r="U293" s="1936">
        <f>0.159</f>
        <v>0.159</v>
      </c>
    </row>
    <row r="294" spans="1:21" ht="13" x14ac:dyDescent="0.3">
      <c r="A294" s="1930" t="str">
        <f t="shared" si="6"/>
        <v>Производство на хартия или картон с производствен капацитет над 20 тона дневно</v>
      </c>
      <c r="B294" s="1931">
        <v>17</v>
      </c>
      <c r="C294" s="1931">
        <f t="shared" si="7"/>
        <v>33</v>
      </c>
      <c r="D294" s="1931">
        <v>33.1</v>
      </c>
      <c r="E294" s="1441" t="str">
        <f t="shared" si="8"/>
        <v>17.33,1</v>
      </c>
      <c r="F294" s="1931" t="str">
        <f>Translations!$B$1156</f>
        <v>Фина хартия с покритие</v>
      </c>
      <c r="G294" s="1931" t="str">
        <f>Translations!$B$1149</f>
        <v>Адт</v>
      </c>
      <c r="H294" s="1931" t="b">
        <v>1</v>
      </c>
      <c r="I294" s="1931" t="b">
        <v>0</v>
      </c>
      <c r="J294" s="1931" t="b">
        <v>0</v>
      </c>
      <c r="K294" s="1931" t="str">
        <f>""</f>
        <v/>
      </c>
      <c r="L294" s="1932" t="str">
        <f>""</f>
        <v/>
      </c>
      <c r="M294" s="1931" t="b">
        <v>1</v>
      </c>
      <c r="N294" s="1931" t="b">
        <v>0</v>
      </c>
      <c r="O294" s="1933">
        <v>0.318</v>
      </c>
      <c r="P294" s="41">
        <f t="shared" ref="P294:P314" si="13">INDEX(EUconst_BM_ARR_Range,1)</f>
        <v>2E-3</v>
      </c>
      <c r="Q294" s="86">
        <f t="shared" si="12"/>
        <v>1.6E-2</v>
      </c>
      <c r="R294" s="206">
        <v>1.6E-2</v>
      </c>
      <c r="S294" s="1934">
        <f t="shared" ref="S294:S314" si="14">$O294*(1-P294*(15+(IF(CNTR_SubPeriod=EUconst_NA,1,CNTR_SubPeriod)-1)*5))</f>
        <v>0.30528</v>
      </c>
      <c r="T294" s="1935">
        <f t="shared" ref="T294:T314" si="15">$O294*(1-Q294*(15+(IF(CNTR_SubPeriod=EUconst_NA,1,CNTR_SubPeriod)-1)*5))</f>
        <v>0.21623999999999999</v>
      </c>
      <c r="U294" s="1936">
        <f>0.159</f>
        <v>0.159</v>
      </c>
    </row>
    <row r="295" spans="1:21" ht="13" x14ac:dyDescent="0.3">
      <c r="A295" s="1930" t="str">
        <f t="shared" si="6"/>
        <v>Производство на хартия или картон с производствен капацитет над 20 тона дневно</v>
      </c>
      <c r="B295" s="1931">
        <v>17</v>
      </c>
      <c r="C295" s="1931">
        <f t="shared" si="7"/>
        <v>34</v>
      </c>
      <c r="D295" s="1931">
        <v>34.1</v>
      </c>
      <c r="E295" s="1441" t="str">
        <f t="shared" si="8"/>
        <v>17.34,1</v>
      </c>
      <c r="F295" s="1931" t="str">
        <f>Translations!$B$1157</f>
        <v>Тъкан</v>
      </c>
      <c r="G295" s="1931" t="str">
        <f>EUconst_Tons</f>
        <v>тона</v>
      </c>
      <c r="H295" s="1931" t="b">
        <v>1</v>
      </c>
      <c r="I295" s="1931" t="b">
        <v>0</v>
      </c>
      <c r="J295" s="1931" t="b">
        <v>0</v>
      </c>
      <c r="K295" s="1931" t="str">
        <f>""</f>
        <v/>
      </c>
      <c r="L295" s="1932" t="str">
        <f>""</f>
        <v/>
      </c>
      <c r="M295" s="1931" t="b">
        <v>1</v>
      </c>
      <c r="N295" s="1931" t="b">
        <v>0</v>
      </c>
      <c r="O295" s="1933">
        <v>0.33400000000000002</v>
      </c>
      <c r="P295" s="41">
        <f t="shared" si="13"/>
        <v>2E-3</v>
      </c>
      <c r="Q295" s="86">
        <f t="shared" si="12"/>
        <v>1.6E-2</v>
      </c>
      <c r="R295" s="206">
        <v>1.6E-2</v>
      </c>
      <c r="S295" s="1934">
        <f t="shared" si="14"/>
        <v>0.32063999999999998</v>
      </c>
      <c r="T295" s="1935">
        <f t="shared" si="15"/>
        <v>0.22711999999999999</v>
      </c>
      <c r="U295" s="1936">
        <f>0.167</f>
        <v>0.16700000000000001</v>
      </c>
    </row>
    <row r="296" spans="1:21" ht="13" x14ac:dyDescent="0.3">
      <c r="A296" s="1930" t="str">
        <f t="shared" si="6"/>
        <v>Производство на хартия или картон с производствен капацитет над 20 тона дневно</v>
      </c>
      <c r="B296" s="1931">
        <v>17</v>
      </c>
      <c r="C296" s="1931">
        <f t="shared" si="7"/>
        <v>35</v>
      </c>
      <c r="D296" s="1931">
        <v>35.1</v>
      </c>
      <c r="E296" s="1441" t="str">
        <f t="shared" si="8"/>
        <v>17.35,1</v>
      </c>
      <c r="F296" s="1931" t="str">
        <f>Translations!$B$1158</f>
        <v>Тестлайнер и навълняване</v>
      </c>
      <c r="G296" s="1931" t="str">
        <f>Translations!$B$1149</f>
        <v>Адт</v>
      </c>
      <c r="H296" s="1931" t="b">
        <v>1</v>
      </c>
      <c r="I296" s="1931" t="b">
        <v>0</v>
      </c>
      <c r="J296" s="1931" t="b">
        <v>0</v>
      </c>
      <c r="K296" s="1931" t="str">
        <f>""</f>
        <v/>
      </c>
      <c r="L296" s="1932" t="str">
        <f>""</f>
        <v/>
      </c>
      <c r="M296" s="1931" t="b">
        <v>1</v>
      </c>
      <c r="N296" s="1931" t="b">
        <v>0</v>
      </c>
      <c r="O296" s="1933">
        <v>0.248</v>
      </c>
      <c r="P296" s="41">
        <f t="shared" si="13"/>
        <v>2E-3</v>
      </c>
      <c r="Q296" s="86">
        <f t="shared" si="12"/>
        <v>1.6E-2</v>
      </c>
      <c r="R296" s="206">
        <v>1.6E-2</v>
      </c>
      <c r="S296" s="1934">
        <f t="shared" si="14"/>
        <v>0.23807999999999999</v>
      </c>
      <c r="T296" s="1935">
        <f t="shared" si="15"/>
        <v>0.16863999999999998</v>
      </c>
      <c r="U296" s="1936">
        <f>0.124</f>
        <v>0.124</v>
      </c>
    </row>
    <row r="297" spans="1:21" ht="13" x14ac:dyDescent="0.3">
      <c r="A297" s="1930" t="str">
        <f t="shared" si="6"/>
        <v>Производство на хартия или картон с производствен капацитет над 20 тона дневно</v>
      </c>
      <c r="B297" s="1931">
        <v>17</v>
      </c>
      <c r="C297" s="1931">
        <f t="shared" si="7"/>
        <v>36</v>
      </c>
      <c r="D297" s="1931">
        <v>36.1</v>
      </c>
      <c r="E297" s="1441" t="str">
        <f t="shared" si="8"/>
        <v>17.36,1</v>
      </c>
      <c r="F297" s="1931" t="str">
        <f>Translations!$B$1159</f>
        <v>Картонена дъска без покритие</v>
      </c>
      <c r="G297" s="1931" t="str">
        <f>Translations!$B$1149</f>
        <v>Адт</v>
      </c>
      <c r="H297" s="1931" t="b">
        <v>1</v>
      </c>
      <c r="I297" s="1931" t="b">
        <v>0</v>
      </c>
      <c r="J297" s="1931" t="b">
        <v>0</v>
      </c>
      <c r="K297" s="1931" t="str">
        <f>""</f>
        <v/>
      </c>
      <c r="L297" s="1932" t="str">
        <f>""</f>
        <v/>
      </c>
      <c r="M297" s="1931" t="b">
        <v>1</v>
      </c>
      <c r="N297" s="1931" t="b">
        <v>0</v>
      </c>
      <c r="O297" s="1933">
        <v>0.23699999999999999</v>
      </c>
      <c r="P297" s="41">
        <f t="shared" si="13"/>
        <v>2E-3</v>
      </c>
      <c r="Q297" s="86">
        <f t="shared" si="12"/>
        <v>1.6E-2</v>
      </c>
      <c r="R297" s="206">
        <v>1.6E-2</v>
      </c>
      <c r="S297" s="1934">
        <f t="shared" si="14"/>
        <v>0.22751999999999997</v>
      </c>
      <c r="T297" s="1935">
        <f t="shared" si="15"/>
        <v>0.16115999999999997</v>
      </c>
      <c r="U297" s="1936">
        <f>0.119</f>
        <v>0.11899999999999999</v>
      </c>
    </row>
    <row r="298" spans="1:21" ht="13" x14ac:dyDescent="0.3">
      <c r="A298" s="1930" t="str">
        <f t="shared" si="6"/>
        <v>Производство на хартия или картон с производствен капацитет над 20 тона дневно</v>
      </c>
      <c r="B298" s="1931">
        <v>17</v>
      </c>
      <c r="C298" s="1931">
        <f t="shared" si="7"/>
        <v>37</v>
      </c>
      <c r="D298" s="1931">
        <v>37.1</v>
      </c>
      <c r="E298" s="1441" t="str">
        <f t="shared" si="8"/>
        <v>17.37,1</v>
      </c>
      <c r="F298" s="1931" t="str">
        <f>Translations!$B$1160</f>
        <v>Картонена дъска с покритие</v>
      </c>
      <c r="G298" s="1931" t="str">
        <f>Translations!$B$1149</f>
        <v>Адт</v>
      </c>
      <c r="H298" s="1931" t="b">
        <v>1</v>
      </c>
      <c r="I298" s="1931" t="b">
        <v>0</v>
      </c>
      <c r="J298" s="1931" t="b">
        <v>0</v>
      </c>
      <c r="K298" s="1931" t="str">
        <f>""</f>
        <v/>
      </c>
      <c r="L298" s="1932" t="str">
        <f>""</f>
        <v/>
      </c>
      <c r="M298" s="1931" t="b">
        <v>1</v>
      </c>
      <c r="N298" s="1931" t="b">
        <v>0</v>
      </c>
      <c r="O298" s="1933">
        <v>0.27300000000000002</v>
      </c>
      <c r="P298" s="41">
        <f t="shared" si="13"/>
        <v>2E-3</v>
      </c>
      <c r="Q298" s="86">
        <f t="shared" si="12"/>
        <v>1.6E-2</v>
      </c>
      <c r="R298" s="206">
        <v>1.6E-2</v>
      </c>
      <c r="S298" s="1934">
        <f t="shared" si="14"/>
        <v>0.26208000000000004</v>
      </c>
      <c r="T298" s="1935">
        <f t="shared" si="15"/>
        <v>0.18564</v>
      </c>
      <c r="U298" s="1936">
        <f>0.137</f>
        <v>0.13700000000000001</v>
      </c>
    </row>
    <row r="299" spans="1:21" ht="13" x14ac:dyDescent="0.3">
      <c r="A299" s="1930" t="str">
        <f t="shared" si="6"/>
        <v>Производство на сажди с карбонизиране на органични вещества като масла, катран, остатъци от крекинг и дестилация, с производствен капацитет над 50 тона на ден</v>
      </c>
      <c r="B299" s="1931">
        <v>18</v>
      </c>
      <c r="C299" s="1931">
        <f t="shared" si="7"/>
        <v>38</v>
      </c>
      <c r="D299" s="1931">
        <v>38.1</v>
      </c>
      <c r="E299" s="1441" t="str">
        <f t="shared" si="8"/>
        <v>18.38,1</v>
      </c>
      <c r="F299" s="1931" t="str">
        <f>Translations!$B$1161</f>
        <v>Въглероден сажд</v>
      </c>
      <c r="G299" s="1931" t="str">
        <f>EUconst_Tons</f>
        <v>тона</v>
      </c>
      <c r="H299" s="1931" t="b">
        <v>1</v>
      </c>
      <c r="I299" s="1931" t="b">
        <v>0</v>
      </c>
      <c r="J299" s="1931" t="b">
        <v>1</v>
      </c>
      <c r="K299" s="1931" t="str">
        <f>""</f>
        <v/>
      </c>
      <c r="L299" s="1932" t="str">
        <f>""</f>
        <v/>
      </c>
      <c r="M299" s="1931" t="b">
        <v>1</v>
      </c>
      <c r="N299" s="1931" t="b">
        <v>0</v>
      </c>
      <c r="O299" s="1933">
        <v>1.954</v>
      </c>
      <c r="P299" s="41">
        <f t="shared" si="13"/>
        <v>2E-3</v>
      </c>
      <c r="Q299" s="86">
        <f t="shared" si="12"/>
        <v>1.6E-2</v>
      </c>
      <c r="R299" s="206">
        <v>1.6E-2</v>
      </c>
      <c r="S299" s="1934">
        <f t="shared" si="14"/>
        <v>1.87584</v>
      </c>
      <c r="T299" s="1935">
        <f t="shared" si="15"/>
        <v>1.3287199999999999</v>
      </c>
      <c r="U299" s="1936">
        <f>1.048</f>
        <v>1.048</v>
      </c>
    </row>
    <row r="300" spans="1:21" ht="13" x14ac:dyDescent="0.3">
      <c r="A300" s="1930" t="str">
        <f t="shared" si="6"/>
        <v>Производство на азотна киселина</v>
      </c>
      <c r="B300" s="1931">
        <v>19</v>
      </c>
      <c r="C300" s="1931">
        <f t="shared" si="7"/>
        <v>39</v>
      </c>
      <c r="D300" s="1931">
        <v>39.200000000000003</v>
      </c>
      <c r="E300" s="1441" t="str">
        <f t="shared" si="8"/>
        <v>19.39,2</v>
      </c>
      <c r="F300" s="1931" t="str">
        <f>Translations!$B$1162</f>
        <v>Азотна киселина</v>
      </c>
      <c r="G300" s="1931" t="str">
        <f>EUconst_Tons</f>
        <v>тона</v>
      </c>
      <c r="H300" s="1931" t="b">
        <v>1</v>
      </c>
      <c r="I300" s="1931" t="b">
        <v>1</v>
      </c>
      <c r="J300" s="1931" t="b">
        <v>0</v>
      </c>
      <c r="K300" s="1937" t="str">
        <f>Translations!$B$1163</f>
        <v>Измеримата топлинна енергия, подавана към други подинсталации, трябва да се третира като топлинна енергия от източници извън СТЕ.</v>
      </c>
      <c r="L300" s="1932" t="str">
        <f>""</f>
        <v/>
      </c>
      <c r="M300" s="1931" t="b">
        <v>1</v>
      </c>
      <c r="N300" s="1931" t="b">
        <v>0</v>
      </c>
      <c r="O300" s="1933">
        <v>0.30199999999999999</v>
      </c>
      <c r="P300" s="41">
        <f t="shared" si="13"/>
        <v>2E-3</v>
      </c>
      <c r="Q300" s="86">
        <f t="shared" si="12"/>
        <v>1.6E-2</v>
      </c>
      <c r="R300" s="206">
        <v>1.6E-2</v>
      </c>
      <c r="S300" s="1934">
        <f t="shared" si="14"/>
        <v>0.28991999999999996</v>
      </c>
      <c r="T300" s="1935">
        <f t="shared" si="15"/>
        <v>0.20535999999999999</v>
      </c>
      <c r="U300" s="1936">
        <f>0.151</f>
        <v>0.151</v>
      </c>
    </row>
    <row r="301" spans="1:21" ht="13" x14ac:dyDescent="0.3">
      <c r="A301" s="1930" t="str">
        <f t="shared" si="6"/>
        <v>Производство на адипинова киселина</v>
      </c>
      <c r="B301" s="1931">
        <v>20</v>
      </c>
      <c r="C301" s="1931">
        <f t="shared" si="7"/>
        <v>40</v>
      </c>
      <c r="D301" s="1931">
        <v>40.1</v>
      </c>
      <c r="E301" s="1441" t="str">
        <f t="shared" si="8"/>
        <v>20.40,1</v>
      </c>
      <c r="F301" s="1931" t="str">
        <f>Translations!$B$1164</f>
        <v>Адипинова киселина</v>
      </c>
      <c r="G301" s="1931" t="str">
        <f>EUconst_Tons</f>
        <v>тона</v>
      </c>
      <c r="H301" s="1931" t="b">
        <v>1</v>
      </c>
      <c r="I301" s="1931" t="b">
        <v>0</v>
      </c>
      <c r="J301" s="1931" t="b">
        <v>0</v>
      </c>
      <c r="K301" s="1931" t="str">
        <f>""</f>
        <v/>
      </c>
      <c r="L301" s="1932" t="str">
        <f>""</f>
        <v/>
      </c>
      <c r="M301" s="1931" t="b">
        <v>1</v>
      </c>
      <c r="N301" s="1931" t="b">
        <v>0</v>
      </c>
      <c r="O301" s="1933">
        <v>2.79</v>
      </c>
      <c r="P301" s="41">
        <f t="shared" si="13"/>
        <v>2E-3</v>
      </c>
      <c r="Q301" s="86">
        <f t="shared" si="12"/>
        <v>1.6E-2</v>
      </c>
      <c r="R301" s="206">
        <v>1.6E-2</v>
      </c>
      <c r="S301" s="1934">
        <f t="shared" si="14"/>
        <v>2.6783999999999999</v>
      </c>
      <c r="T301" s="1935">
        <f t="shared" si="15"/>
        <v>1.8971999999999998</v>
      </c>
      <c r="U301" s="1936">
        <f>1.4</f>
        <v>1.4</v>
      </c>
    </row>
    <row r="302" spans="1:21" ht="13" x14ac:dyDescent="0.3">
      <c r="A302" s="1930" t="str">
        <f t="shared" si="6"/>
        <v>Производство на амоняк</v>
      </c>
      <c r="B302" s="1931">
        <v>22</v>
      </c>
      <c r="C302" s="1931">
        <f t="shared" si="7"/>
        <v>41</v>
      </c>
      <c r="D302" s="1931">
        <v>41.2</v>
      </c>
      <c r="E302" s="1441" t="str">
        <f t="shared" si="8"/>
        <v>22.41,2</v>
      </c>
      <c r="F302" s="1931" t="str">
        <f>Translations!$B$1165</f>
        <v>Амоняк</v>
      </c>
      <c r="G302" s="1931" t="str">
        <f>EUconst_Tons</f>
        <v>тона</v>
      </c>
      <c r="H302" s="1931" t="b">
        <v>1</v>
      </c>
      <c r="I302" s="1931" t="b">
        <v>1</v>
      </c>
      <c r="J302" s="1931" t="b">
        <v>1</v>
      </c>
      <c r="K302" s="1931" t="str">
        <f>""</f>
        <v/>
      </c>
      <c r="L302" s="1932" t="str">
        <f>""</f>
        <v/>
      </c>
      <c r="M302" s="1931" t="b">
        <v>1</v>
      </c>
      <c r="N302" s="1931" t="b">
        <v>0</v>
      </c>
      <c r="O302" s="1933">
        <v>1.619</v>
      </c>
      <c r="P302" s="41">
        <f t="shared" si="13"/>
        <v>2E-3</v>
      </c>
      <c r="Q302" s="86">
        <f t="shared" si="12"/>
        <v>1.6E-2</v>
      </c>
      <c r="R302" s="206">
        <v>2E-3</v>
      </c>
      <c r="S302" s="1934">
        <f t="shared" si="14"/>
        <v>1.5542399999999998</v>
      </c>
      <c r="T302" s="1935">
        <f t="shared" si="15"/>
        <v>1.1009199999999999</v>
      </c>
      <c r="U302" s="1936">
        <f>1.522</f>
        <v>1.522</v>
      </c>
    </row>
    <row r="303" spans="1:21" ht="13" x14ac:dyDescent="0.3">
      <c r="A303" s="1930" t="str">
        <f t="shared" si="6"/>
        <v>Производство на органични химически вещества в насипно или наливно състояние чрез крекинг, реформинг, частично или пълно окисляване или чрез подобни процеси, с производствен капацитет над 100 тона дневно</v>
      </c>
      <c r="B303" s="1931">
        <v>23</v>
      </c>
      <c r="C303" s="1931">
        <f t="shared" si="7"/>
        <v>42</v>
      </c>
      <c r="D303" s="1931">
        <v>42.1</v>
      </c>
      <c r="E303" s="1441" t="str">
        <f t="shared" si="8"/>
        <v>23.42,1</v>
      </c>
      <c r="F303" s="1931" t="str">
        <f>Translations!$B$777</f>
        <v>Крекинг с водна пара</v>
      </c>
      <c r="G303" s="1931" t="str">
        <f>EUconst_Tons</f>
        <v>тона</v>
      </c>
      <c r="H303" s="1931" t="b">
        <v>1</v>
      </c>
      <c r="I303" s="1931" t="b">
        <v>0</v>
      </c>
      <c r="J303" s="1931" t="b">
        <v>1</v>
      </c>
      <c r="K303" s="1931" t="str">
        <f>Translations!$B$1166</f>
        <v>Моля, използвайте инструмента за крекинг с водна пара в лист „SpecialBM“ за изчисляване на историческите равнища на активност и предварителното разпределение.</v>
      </c>
      <c r="L303" s="1932" t="str">
        <f>"#JUMP_H_IV"</f>
        <v>#JUMP_H_IV</v>
      </c>
      <c r="M303" s="1931" t="b">
        <v>1</v>
      </c>
      <c r="N303" s="1931" t="b">
        <v>0</v>
      </c>
      <c r="O303" s="1933">
        <v>0.70199999999999996</v>
      </c>
      <c r="P303" s="41">
        <f t="shared" si="13"/>
        <v>2E-3</v>
      </c>
      <c r="Q303" s="86">
        <f t="shared" si="12"/>
        <v>1.6E-2</v>
      </c>
      <c r="R303" s="206">
        <v>2E-3</v>
      </c>
      <c r="S303" s="1934">
        <f t="shared" si="14"/>
        <v>0.67391999999999996</v>
      </c>
      <c r="T303" s="1935">
        <f t="shared" si="15"/>
        <v>0.47735999999999995</v>
      </c>
      <c r="U303" s="1936">
        <f>0.638</f>
        <v>0.63800000000000001</v>
      </c>
    </row>
    <row r="304" spans="1:21" ht="13" x14ac:dyDescent="0.3">
      <c r="A304" s="1930" t="str">
        <f t="shared" si="6"/>
        <v>Производство на органични химически вещества в насипно или наливно състояние чрез крекинг, реформинг, частично или пълно окисляване или чрез подобни процеси, с производствен капацитет над 100 тона дневно</v>
      </c>
      <c r="B304" s="1931">
        <v>23</v>
      </c>
      <c r="C304" s="1931">
        <f t="shared" si="7"/>
        <v>43</v>
      </c>
      <c r="D304" s="1931">
        <v>43.1</v>
      </c>
      <c r="E304" s="1441" t="str">
        <f t="shared" si="8"/>
        <v>23.43,1</v>
      </c>
      <c r="F304" s="1931" t="str">
        <f>Translations!$B$1167</f>
        <v>Ароматни вещества</v>
      </c>
      <c r="G304" s="1931" t="str">
        <f>Translations!$B$1122</f>
        <v>CWT</v>
      </c>
      <c r="H304" s="1931" t="b">
        <v>1</v>
      </c>
      <c r="I304" s="1931" t="b">
        <v>0</v>
      </c>
      <c r="J304" s="1931" t="b">
        <v>1</v>
      </c>
      <c r="K304" s="1931" t="str">
        <f>Translations!$B$1123</f>
        <v>Моля, използвайте инструмента CWT в работен лист „SpecialBM“ за изчисляване на историческите равнища на активност.</v>
      </c>
      <c r="L304" s="1932" t="str">
        <f>"#JUMP_H_V"</f>
        <v>#JUMP_H_V</v>
      </c>
      <c r="M304" s="1931" t="b">
        <v>0</v>
      </c>
      <c r="N304" s="1931" t="b">
        <v>0</v>
      </c>
      <c r="O304" s="1933">
        <v>2.9499999999999998E-2</v>
      </c>
      <c r="P304" s="41">
        <f t="shared" si="13"/>
        <v>2E-3</v>
      </c>
      <c r="Q304" s="86">
        <f t="shared" si="12"/>
        <v>1.6E-2</v>
      </c>
      <c r="R304" s="206">
        <v>1.511693494765688E-2</v>
      </c>
      <c r="S304" s="1934">
        <f t="shared" si="14"/>
        <v>2.8319999999999998E-2</v>
      </c>
      <c r="T304" s="1935">
        <f t="shared" si="15"/>
        <v>2.0059999999999998E-2</v>
      </c>
      <c r="U304" s="1936">
        <f>0.0232</f>
        <v>2.3199999999999998E-2</v>
      </c>
    </row>
    <row r="305" spans="1:21" ht="13" x14ac:dyDescent="0.3">
      <c r="A305" s="1930" t="str">
        <f t="shared" si="6"/>
        <v>Производство на органични химически вещества в насипно или наливно състояние чрез крекинг, реформинг, частично или пълно окисляване или чрез подобни процеси, с производствен капацитет над 100 тона дневно</v>
      </c>
      <c r="B305" s="1931">
        <v>23</v>
      </c>
      <c r="C305" s="1931">
        <f t="shared" si="7"/>
        <v>44</v>
      </c>
      <c r="D305" s="1931">
        <v>44.1</v>
      </c>
      <c r="E305" s="1441" t="str">
        <f t="shared" si="8"/>
        <v>23.44,1</v>
      </c>
      <c r="F305" s="1931" t="str">
        <f>Translations!$B$1168</f>
        <v>Стирен</v>
      </c>
      <c r="G305" s="1931" t="str">
        <f t="shared" ref="G305:G314" si="16">EUconst_Tons</f>
        <v>тона</v>
      </c>
      <c r="H305" s="1931" t="b">
        <v>1</v>
      </c>
      <c r="I305" s="1931" t="b">
        <v>0</v>
      </c>
      <c r="J305" s="1931" t="b">
        <v>1</v>
      </c>
      <c r="K305" s="1931" t="str">
        <f>""</f>
        <v/>
      </c>
      <c r="L305" s="1932" t="str">
        <f>""</f>
        <v/>
      </c>
      <c r="M305" s="1931" t="b">
        <v>1</v>
      </c>
      <c r="N305" s="1931" t="b">
        <v>0</v>
      </c>
      <c r="O305" s="1933">
        <v>0.52700000000000002</v>
      </c>
      <c r="P305" s="41">
        <f t="shared" si="13"/>
        <v>2E-3</v>
      </c>
      <c r="Q305" s="86">
        <f t="shared" si="12"/>
        <v>1.6E-2</v>
      </c>
      <c r="R305" s="206">
        <v>1.6E-2</v>
      </c>
      <c r="S305" s="1934">
        <f t="shared" si="14"/>
        <v>0.50592000000000004</v>
      </c>
      <c r="T305" s="1935">
        <f t="shared" si="15"/>
        <v>0.35835999999999996</v>
      </c>
      <c r="U305" s="1936">
        <f>0.264</f>
        <v>0.26400000000000001</v>
      </c>
    </row>
    <row r="306" spans="1:21" ht="13" x14ac:dyDescent="0.3">
      <c r="A306" s="1930" t="str">
        <f t="shared" si="6"/>
        <v>Производство на органични химически вещества в насипно или наливно състояние чрез крекинг, реформинг, частично или пълно окисляване или чрез подобни процеси, с производствен капацитет над 100 тона дневно</v>
      </c>
      <c r="B306" s="1931">
        <v>23</v>
      </c>
      <c r="C306" s="1931">
        <f t="shared" si="7"/>
        <v>45</v>
      </c>
      <c r="D306" s="1931">
        <v>45.1</v>
      </c>
      <c r="E306" s="1441" t="str">
        <f t="shared" si="8"/>
        <v>23.45,1</v>
      </c>
      <c r="F306" s="1931" t="str">
        <f>Translations!$B$1169</f>
        <v>Фенол/ ацетон</v>
      </c>
      <c r="G306" s="1931" t="str">
        <f t="shared" si="16"/>
        <v>тона</v>
      </c>
      <c r="H306" s="1931" t="b">
        <v>1</v>
      </c>
      <c r="I306" s="1931" t="b">
        <v>0</v>
      </c>
      <c r="J306" s="1931" t="b">
        <v>0</v>
      </c>
      <c r="K306" s="1931" t="str">
        <f>""</f>
        <v/>
      </c>
      <c r="L306" s="1932" t="str">
        <f>""</f>
        <v/>
      </c>
      <c r="M306" s="1931" t="b">
        <v>1</v>
      </c>
      <c r="N306" s="1931" t="b">
        <v>0</v>
      </c>
      <c r="O306" s="1933">
        <v>0.26600000000000001</v>
      </c>
      <c r="P306" s="41">
        <f t="shared" si="13"/>
        <v>2E-3</v>
      </c>
      <c r="Q306" s="86">
        <f t="shared" si="12"/>
        <v>1.6E-2</v>
      </c>
      <c r="R306" s="206">
        <v>9.0133547706168458E-3</v>
      </c>
      <c r="S306" s="1934">
        <f t="shared" si="14"/>
        <v>0.25536000000000003</v>
      </c>
      <c r="T306" s="1935">
        <f t="shared" si="15"/>
        <v>0.18087999999999999</v>
      </c>
      <c r="U306" s="1936">
        <f>0.219</f>
        <v>0.219</v>
      </c>
    </row>
    <row r="307" spans="1:21" ht="13" x14ac:dyDescent="0.3">
      <c r="A307" s="1930" t="str">
        <f t="shared" si="6"/>
        <v>Производство на органични химически вещества в насипно или наливно състояние чрез крекинг, реформинг, частично или пълно окисляване или чрез подобни процеси, с производствен капацитет над 100 тона дневно</v>
      </c>
      <c r="B307" s="1931">
        <v>23</v>
      </c>
      <c r="C307" s="1931">
        <f t="shared" si="7"/>
        <v>46</v>
      </c>
      <c r="D307" s="1931">
        <v>46.1</v>
      </c>
      <c r="E307" s="1441" t="str">
        <f t="shared" si="8"/>
        <v>23.46,1</v>
      </c>
      <c r="F307" s="1931" t="str">
        <f>Translations!$B$1170</f>
        <v>Етиленов оксид/ етиленгликоли</v>
      </c>
      <c r="G307" s="1931" t="str">
        <f t="shared" si="16"/>
        <v>тона</v>
      </c>
      <c r="H307" s="1931" t="b">
        <v>1</v>
      </c>
      <c r="I307" s="1931" t="b">
        <v>0</v>
      </c>
      <c r="J307" s="1931" t="b">
        <v>1</v>
      </c>
      <c r="K307" s="1931" t="str">
        <f>Translations!$B$1171</f>
        <v>Моля, използвайте инструмента за етиленов оксид/гликоли в работен лист „SpecialBM“ за изчисляване на историческите равнища на активност.</v>
      </c>
      <c r="L307" s="1932" t="str">
        <f>"#JUMP_H_VIII"</f>
        <v>#JUMP_H_VIII</v>
      </c>
      <c r="M307" s="1931" t="b">
        <v>1</v>
      </c>
      <c r="N307" s="1931" t="b">
        <v>0</v>
      </c>
      <c r="O307" s="1933">
        <v>0.51200000000000001</v>
      </c>
      <c r="P307" s="41">
        <f t="shared" si="13"/>
        <v>2E-3</v>
      </c>
      <c r="Q307" s="86">
        <f t="shared" si="12"/>
        <v>1.6E-2</v>
      </c>
      <c r="R307" s="206">
        <v>1.6E-2</v>
      </c>
      <c r="S307" s="1934">
        <f t="shared" si="14"/>
        <v>0.49152000000000001</v>
      </c>
      <c r="T307" s="1935">
        <f t="shared" si="15"/>
        <v>0.34815999999999997</v>
      </c>
      <c r="U307" s="1936">
        <f>0.321</f>
        <v>0.32100000000000001</v>
      </c>
    </row>
    <row r="308" spans="1:21" ht="13" x14ac:dyDescent="0.3">
      <c r="A308" s="1930" t="str">
        <f t="shared" si="6"/>
        <v>Производство на органични химически вещества в насипно или наливно състояние чрез крекинг, реформинг, частично или пълно окисляване или чрез подобни процеси, с производствен капацитет над 100 тона дневно</v>
      </c>
      <c r="B308" s="1931">
        <v>23</v>
      </c>
      <c r="C308" s="1931">
        <f t="shared" si="7"/>
        <v>47</v>
      </c>
      <c r="D308" s="1931">
        <v>47.1</v>
      </c>
      <c r="E308" s="1441" t="str">
        <f t="shared" si="8"/>
        <v>23.47,1</v>
      </c>
      <c r="F308" s="1931" t="str">
        <f>Translations!$B$1172</f>
        <v>Винилхлориден мономер</v>
      </c>
      <c r="G308" s="1931" t="str">
        <f t="shared" si="16"/>
        <v>тона</v>
      </c>
      <c r="H308" s="1931" t="b">
        <v>1</v>
      </c>
      <c r="I308" s="1931" t="b">
        <v>0</v>
      </c>
      <c r="J308" s="1931" t="b">
        <v>0</v>
      </c>
      <c r="K308" s="1931" t="str">
        <f>Translations!$B$1173</f>
        <v>Моля, използвайте инструмента VCM в лист „SpecialBM“ за изчисляване на предварителното разпределение.</v>
      </c>
      <c r="L308" s="1932" t="str">
        <f>"#JUMP_H_IX"</f>
        <v>#JUMP_H_IX</v>
      </c>
      <c r="M308" s="1931" t="b">
        <v>1</v>
      </c>
      <c r="N308" s="1931" t="b">
        <v>0</v>
      </c>
      <c r="O308" s="1933">
        <v>0.20399999999999999</v>
      </c>
      <c r="P308" s="41">
        <f t="shared" si="13"/>
        <v>2E-3</v>
      </c>
      <c r="Q308" s="86">
        <f t="shared" si="12"/>
        <v>1.6E-2</v>
      </c>
      <c r="R308" s="206">
        <v>1.6E-2</v>
      </c>
      <c r="S308" s="1934">
        <f t="shared" si="14"/>
        <v>0.19583999999999999</v>
      </c>
      <c r="T308" s="1935">
        <f t="shared" si="15"/>
        <v>0.13871999999999998</v>
      </c>
      <c r="U308" s="1936">
        <f>0.191</f>
        <v>0.191</v>
      </c>
    </row>
    <row r="309" spans="1:21" ht="13" x14ac:dyDescent="0.3">
      <c r="A309" s="1930" t="str">
        <f t="shared" si="6"/>
        <v>Производство на органични химически вещества в насипно или наливно състояние чрез крекинг, реформинг, частично или пълно окисляване или чрез подобни процеси, с производствен капацитет над 100 тона дневно</v>
      </c>
      <c r="B309" s="1931">
        <v>23</v>
      </c>
      <c r="C309" s="1931">
        <f t="shared" si="7"/>
        <v>48</v>
      </c>
      <c r="D309" s="1931">
        <v>48.1</v>
      </c>
      <c r="E309" s="1441" t="str">
        <f t="shared" si="8"/>
        <v>23.48,1</v>
      </c>
      <c r="F309" s="1931" t="str">
        <f>Translations!$B$1174</f>
        <v>S-PVC</v>
      </c>
      <c r="G309" s="1931" t="str">
        <f t="shared" si="16"/>
        <v>тона</v>
      </c>
      <c r="H309" s="1931" t="b">
        <v>1</v>
      </c>
      <c r="I309" s="1931" t="b">
        <v>0</v>
      </c>
      <c r="J309" s="1931" t="b">
        <v>0</v>
      </c>
      <c r="K309" s="1931" t="str">
        <f>""</f>
        <v/>
      </c>
      <c r="L309" s="1932" t="str">
        <f>""</f>
        <v/>
      </c>
      <c r="M309" s="1931" t="b">
        <v>1</v>
      </c>
      <c r="N309" s="1931" t="b">
        <v>0</v>
      </c>
      <c r="O309" s="1933">
        <v>8.5000000000000006E-2</v>
      </c>
      <c r="P309" s="41">
        <f t="shared" si="13"/>
        <v>2E-3</v>
      </c>
      <c r="Q309" s="86">
        <f t="shared" si="12"/>
        <v>1.6E-2</v>
      </c>
      <c r="R309" s="206">
        <v>1.5118962598975692E-2</v>
      </c>
      <c r="S309" s="1934">
        <f t="shared" si="14"/>
        <v>8.1600000000000006E-2</v>
      </c>
      <c r="T309" s="1935">
        <f t="shared" si="15"/>
        <v>5.7799999999999997E-2</v>
      </c>
      <c r="U309" s="1936">
        <f>0.08</f>
        <v>0.08</v>
      </c>
    </row>
    <row r="310" spans="1:21" ht="13" x14ac:dyDescent="0.3">
      <c r="A310" s="1930" t="str">
        <f t="shared" si="6"/>
        <v>Производство на органични химически вещества в насипно или наливно състояние чрез крекинг, реформинг, частично или пълно окисляване или чрез подобни процеси, с производствен капацитет над 100 тона дневно</v>
      </c>
      <c r="B310" s="1931">
        <v>23</v>
      </c>
      <c r="C310" s="1931">
        <f t="shared" si="7"/>
        <v>49</v>
      </c>
      <c r="D310" s="1931">
        <v>49.1</v>
      </c>
      <c r="E310" s="1441" t="str">
        <f t="shared" si="8"/>
        <v>23.49,1</v>
      </c>
      <c r="F310" s="1931" t="str">
        <f>Translations!$B$1175</f>
        <v>E-PVC</v>
      </c>
      <c r="G310" s="1931" t="str">
        <f t="shared" si="16"/>
        <v>тона</v>
      </c>
      <c r="H310" s="1931" t="b">
        <v>1</v>
      </c>
      <c r="I310" s="1931" t="b">
        <v>0</v>
      </c>
      <c r="J310" s="1931" t="b">
        <v>0</v>
      </c>
      <c r="K310" s="1931" t="str">
        <f>""</f>
        <v/>
      </c>
      <c r="L310" s="1932" t="str">
        <f>""</f>
        <v/>
      </c>
      <c r="M310" s="1931" t="b">
        <v>1</v>
      </c>
      <c r="N310" s="1931" t="b">
        <v>0</v>
      </c>
      <c r="O310" s="1933">
        <v>0.23799999999999999</v>
      </c>
      <c r="P310" s="41">
        <f t="shared" si="13"/>
        <v>2E-3</v>
      </c>
      <c r="Q310" s="86">
        <f t="shared" si="12"/>
        <v>1.6E-2</v>
      </c>
      <c r="R310" s="206">
        <v>1.6E-2</v>
      </c>
      <c r="S310" s="1934">
        <f t="shared" si="14"/>
        <v>0.22847999999999999</v>
      </c>
      <c r="T310" s="1935">
        <f t="shared" si="15"/>
        <v>0.16183999999999998</v>
      </c>
      <c r="U310" s="1936">
        <f>0.161</f>
        <v>0.161</v>
      </c>
    </row>
    <row r="311" spans="1:21" ht="13" x14ac:dyDescent="0.3">
      <c r="A311" s="1930" t="str">
        <f t="shared" si="6"/>
        <v>Производство на водород (H2) и синтетичен газ с производствен капацитет над 5 тона на ден</v>
      </c>
      <c r="B311" s="1931">
        <v>24</v>
      </c>
      <c r="C311" s="1931">
        <f t="shared" si="7"/>
        <v>50</v>
      </c>
      <c r="D311" s="1931">
        <v>50.2</v>
      </c>
      <c r="E311" s="1441" t="str">
        <f t="shared" si="8"/>
        <v>24.50,2</v>
      </c>
      <c r="F311" s="1931" t="str">
        <f>Translations!$B$1574</f>
        <v>Водород, обхванат от МКВЕГ</v>
      </c>
      <c r="G311" s="1931" t="str">
        <f t="shared" si="16"/>
        <v>тона</v>
      </c>
      <c r="H311" s="1931" t="b">
        <v>1</v>
      </c>
      <c r="I311" s="1931" t="b">
        <v>1</v>
      </c>
      <c r="J311" s="1931" t="b">
        <v>1</v>
      </c>
      <c r="K311" s="1931" t="str">
        <f>Translations!$B$1176</f>
        <v>Моля, използвайте инструмента за водорода в работен лист „SpecialBM“ за изчисляване на историческите равнища на активност.</v>
      </c>
      <c r="L311" s="1932" t="str">
        <f>"#JUMP_H_VI"</f>
        <v>#JUMP_H_VI</v>
      </c>
      <c r="M311" s="1931" t="b">
        <v>1</v>
      </c>
      <c r="N311" s="1931" t="b">
        <v>0</v>
      </c>
      <c r="O311" s="1933">
        <v>8.85</v>
      </c>
      <c r="P311" s="41">
        <f t="shared" si="13"/>
        <v>2E-3</v>
      </c>
      <c r="Q311" s="86">
        <f t="shared" si="12"/>
        <v>1.6E-2</v>
      </c>
      <c r="R311" s="206">
        <v>1.511693494765688E-2</v>
      </c>
      <c r="S311" s="1934">
        <f t="shared" si="14"/>
        <v>8.4959999999999987</v>
      </c>
      <c r="T311" s="1935">
        <f t="shared" si="15"/>
        <v>6.0179999999999989</v>
      </c>
      <c r="U311" s="1936">
        <f>7.98</f>
        <v>7.98</v>
      </c>
    </row>
    <row r="312" spans="1:21" ht="13" x14ac:dyDescent="0.3">
      <c r="A312" s="1930" t="str">
        <f t="shared" si="6"/>
        <v>Производство на водород (H2) и синтетичен газ с производствен капацитет над 5 тона на ден</v>
      </c>
      <c r="B312" s="1931">
        <v>24</v>
      </c>
      <c r="C312" s="1931">
        <v>50</v>
      </c>
      <c r="D312" s="1931">
        <v>50.1</v>
      </c>
      <c r="E312" s="1441" t="str">
        <f t="shared" si="8"/>
        <v>24.50,1</v>
      </c>
      <c r="F312" s="1931" t="str">
        <f>Translations!$B$1571</f>
        <v>Водород, необхванат от МКВЕГ</v>
      </c>
      <c r="G312" s="1931" t="str">
        <f t="shared" si="16"/>
        <v>тона</v>
      </c>
      <c r="H312" s="1931" t="b">
        <v>1</v>
      </c>
      <c r="I312" s="1931" t="b">
        <v>0</v>
      </c>
      <c r="J312" s="1931" t="b">
        <v>1</v>
      </c>
      <c r="K312" s="1931" t="str">
        <f>Translations!$B$1176</f>
        <v>Моля, използвайте инструмента за водорода в работен лист „SpecialBM“ за изчисляване на историческите равнища на активност.</v>
      </c>
      <c r="L312" s="1932" t="str">
        <f>"#JUMP_H_VI"</f>
        <v>#JUMP_H_VI</v>
      </c>
      <c r="M312" s="1931" t="b">
        <v>1</v>
      </c>
      <c r="N312" s="1931" t="b">
        <v>0</v>
      </c>
      <c r="O312" s="1933">
        <v>8.85</v>
      </c>
      <c r="P312" s="41">
        <f t="shared" si="13"/>
        <v>2E-3</v>
      </c>
      <c r="Q312" s="86">
        <f t="shared" si="12"/>
        <v>1.6E-2</v>
      </c>
      <c r="R312" s="206">
        <v>1.511693494765688E-2</v>
      </c>
      <c r="S312" s="1934">
        <f t="shared" ref="S312" si="17">$O312*(1-P312*(15+(IF(CNTR_SubPeriod=EUconst_NA,1,CNTR_SubPeriod)-1)*5))</f>
        <v>8.4959999999999987</v>
      </c>
      <c r="T312" s="1935">
        <f t="shared" ref="T312" si="18">$O312*(1-Q312*(15+(IF(CNTR_SubPeriod=EUconst_NA,1,CNTR_SubPeriod)-1)*5))</f>
        <v>6.0179999999999989</v>
      </c>
      <c r="U312" s="1936">
        <f>7.98</f>
        <v>7.98</v>
      </c>
    </row>
    <row r="313" spans="1:21" ht="13" x14ac:dyDescent="0.3">
      <c r="A313" s="1930" t="str">
        <f t="shared" si="6"/>
        <v>Производство на водород (H2) и синтетичен газ с производствен капацитет над 5 тона на ден</v>
      </c>
      <c r="B313" s="1931">
        <v>24</v>
      </c>
      <c r="C313" s="1931">
        <f t="shared" si="7"/>
        <v>51</v>
      </c>
      <c r="D313" s="1931">
        <v>51.1</v>
      </c>
      <c r="E313" s="1441" t="str">
        <f t="shared" si="8"/>
        <v>24.51,1</v>
      </c>
      <c r="F313" s="1931" t="str">
        <f>Translations!$B$828</f>
        <v>Синтезен газ</v>
      </c>
      <c r="G313" s="1931" t="str">
        <f t="shared" si="16"/>
        <v>тона</v>
      </c>
      <c r="H313" s="1931" t="b">
        <v>1</v>
      </c>
      <c r="I313" s="1931" t="b">
        <v>0</v>
      </c>
      <c r="J313" s="1931" t="b">
        <v>1</v>
      </c>
      <c r="K313" s="1931" t="str">
        <f>Translations!$B$1177</f>
        <v>Моля, използвайте инструмента за синтетичен газ в работен лист „SpecialBM“ за изчисляване на историческите равнища на активност.</v>
      </c>
      <c r="L313" s="1932" t="str">
        <f>"#JUMP_H_VII"</f>
        <v>#JUMP_H_VII</v>
      </c>
      <c r="M313" s="1931" t="b">
        <v>1</v>
      </c>
      <c r="N313" s="1931" t="b">
        <v>0</v>
      </c>
      <c r="O313" s="1933">
        <v>0.24199999999999999</v>
      </c>
      <c r="P313" s="41">
        <f t="shared" si="13"/>
        <v>2E-3</v>
      </c>
      <c r="Q313" s="86">
        <f t="shared" si="12"/>
        <v>1.6E-2</v>
      </c>
      <c r="R313" s="206">
        <v>1.511693494765688E-2</v>
      </c>
      <c r="S313" s="1934">
        <f t="shared" si="14"/>
        <v>0.23231999999999997</v>
      </c>
      <c r="T313" s="1935">
        <f t="shared" si="15"/>
        <v>0.16455999999999998</v>
      </c>
      <c r="U313" s="1936">
        <f>0.19</f>
        <v>0.19</v>
      </c>
    </row>
    <row r="314" spans="1:21" ht="13.5" thickBot="1" x14ac:dyDescent="0.35">
      <c r="A314" s="1930" t="str">
        <f t="shared" si="6"/>
        <v>Производство на калцинирана сода (Na2CO3) и натриев бикарбонат (NaHCO3)</v>
      </c>
      <c r="B314" s="1931">
        <v>25</v>
      </c>
      <c r="C314" s="1931">
        <f t="shared" si="7"/>
        <v>52</v>
      </c>
      <c r="D314" s="1931">
        <v>52.1</v>
      </c>
      <c r="E314" s="1441" t="str">
        <f t="shared" si="8"/>
        <v>25.52,1</v>
      </c>
      <c r="F314" s="1931" t="str">
        <f>Translations!$B$1178</f>
        <v>Калцинирана сода</v>
      </c>
      <c r="G314" s="1931" t="str">
        <f t="shared" si="16"/>
        <v>тона</v>
      </c>
      <c r="H314" s="1931" t="b">
        <v>1</v>
      </c>
      <c r="I314" s="1931" t="b">
        <v>0</v>
      </c>
      <c r="J314" s="1931" t="b">
        <v>0</v>
      </c>
      <c r="K314" s="1931" t="str">
        <f>""</f>
        <v/>
      </c>
      <c r="L314" s="1932" t="str">
        <f>""</f>
        <v/>
      </c>
      <c r="M314" s="1931" t="b">
        <v>1</v>
      </c>
      <c r="N314" s="1931" t="b">
        <v>0</v>
      </c>
      <c r="O314" s="1933">
        <v>0.84299999999999997</v>
      </c>
      <c r="P314" s="41">
        <f t="shared" si="13"/>
        <v>2E-3</v>
      </c>
      <c r="Q314" s="86">
        <f t="shared" si="12"/>
        <v>1.6E-2</v>
      </c>
      <c r="R314" s="207">
        <v>7.1434460909982995E-3</v>
      </c>
      <c r="S314" s="1934">
        <f t="shared" si="14"/>
        <v>0.80927999999999989</v>
      </c>
      <c r="T314" s="1935">
        <f t="shared" si="15"/>
        <v>0.57323999999999997</v>
      </c>
      <c r="U314" s="1936">
        <f>1.122</f>
        <v>1.1220000000000001</v>
      </c>
    </row>
    <row r="315" spans="1:21" x14ac:dyDescent="0.25">
      <c r="A315" s="1938" t="s">
        <v>844</v>
      </c>
      <c r="B315" s="1939" t="s">
        <v>844</v>
      </c>
      <c r="C315" s="1939" t="s">
        <v>844</v>
      </c>
      <c r="D315" s="1939" t="s">
        <v>844</v>
      </c>
      <c r="E315" s="1939" t="s">
        <v>844</v>
      </c>
      <c r="F315" s="1939" t="s">
        <v>844</v>
      </c>
      <c r="G315" s="1939" t="s">
        <v>844</v>
      </c>
      <c r="H315" s="1939" t="s">
        <v>844</v>
      </c>
      <c r="I315" s="1939" t="s">
        <v>844</v>
      </c>
      <c r="J315" s="1939" t="s">
        <v>844</v>
      </c>
      <c r="K315" s="1939" t="s">
        <v>844</v>
      </c>
      <c r="L315" s="1939" t="s">
        <v>844</v>
      </c>
      <c r="M315" s="1939" t="s">
        <v>844</v>
      </c>
      <c r="N315" s="1939" t="s">
        <v>844</v>
      </c>
      <c r="O315" s="1939" t="s">
        <v>844</v>
      </c>
      <c r="P315" s="1939" t="s">
        <v>844</v>
      </c>
      <c r="Q315" s="1939" t="s">
        <v>844</v>
      </c>
      <c r="R315" s="1939" t="s">
        <v>844</v>
      </c>
      <c r="S315" s="1939" t="s">
        <v>844</v>
      </c>
      <c r="T315" s="1939" t="s">
        <v>844</v>
      </c>
      <c r="U315" s="1939" t="s">
        <v>844</v>
      </c>
    </row>
    <row r="316" spans="1:21" s="1921" customFormat="1" ht="13" x14ac:dyDescent="0.3">
      <c r="A316" s="1921" t="str">
        <f>Translations!$B$1179</f>
        <v>Списък на резервните подинсталации</v>
      </c>
    </row>
    <row r="317" spans="1:21" ht="50.5" thickBot="1" x14ac:dyDescent="0.3">
      <c r="B317" s="1931"/>
      <c r="C317" s="1924" t="s">
        <v>2123</v>
      </c>
      <c r="D317" s="1931" t="str">
        <f>Translations!$B$944</f>
        <v>№ на п-л</v>
      </c>
      <c r="E317" s="1931" t="str">
        <f>Translations!$B$1109</f>
        <v>алтернативен БМ No.</v>
      </c>
      <c r="F317" s="1931" t="str">
        <f>Translations!$B$1180</f>
        <v>Подинституция</v>
      </c>
      <c r="G317" s="1931" t="str">
        <f>Translations!$B$934</f>
        <v>Единица мярка</v>
      </c>
      <c r="H317" s="1931" t="str">
        <f>Translations!$B$1111</f>
        <v>Изместване на въглеродни емисии?</v>
      </c>
      <c r="I317" s="1931" t="str">
        <f>Translations!$B$1463</f>
        <v>В рамките на МКВЕГ?</v>
      </c>
      <c r="J317" s="1931" t="str">
        <f>Translations!$B$1112</f>
        <v>Заменяемост на електроенергията</v>
      </c>
      <c r="K317" s="1931" t="str">
        <f>Translations!$B$1181</f>
        <v>Съобщение за грешка</v>
      </c>
      <c r="O317" s="1927" t="str">
        <f>Translations!$B$1117</f>
        <v>Стойност на BM (2013—2020 г.)</v>
      </c>
      <c r="P317" s="1927" t="s">
        <v>1437</v>
      </c>
      <c r="Q317" s="1927" t="s">
        <v>1438</v>
      </c>
      <c r="R317" s="1940" t="s">
        <v>1160</v>
      </c>
      <c r="S317" s="1924" t="str">
        <f>Translations!$B$1119</f>
        <v>Референтна стойност (EUA/t, min)</v>
      </c>
      <c r="T317" s="1924" t="str">
        <f>Translations!$B$1118</f>
        <v>Референтна стойност (EUA/t, max)</v>
      </c>
      <c r="U317" s="1158" t="str">
        <f>Translations!$B$1120</f>
        <v>Референтна стойност (EUA/t, действителна)</v>
      </c>
    </row>
    <row r="318" spans="1:21" ht="13" x14ac:dyDescent="0.3">
      <c r="B318" s="1931">
        <v>90</v>
      </c>
      <c r="C318" s="1931">
        <f t="shared" ref="C318:C327" si="19">ROUNDDOWN(D318,0)</f>
        <v>91</v>
      </c>
      <c r="D318" s="1931">
        <v>91.1</v>
      </c>
      <c r="E318" s="1441" t="str">
        <f t="shared" ref="E318:E327" si="20">CONCATENATE(TEXT(B318,"00"),".",TEXT(D318,"00,0"))</f>
        <v>90.91,1</v>
      </c>
      <c r="F318" s="1941" t="str">
        <f>Translations!$B$1612</f>
        <v>Подинсталация с топлинен показател (с риск от ИВЕ | извън МКВЕГ)</v>
      </c>
      <c r="G318" s="716" t="str">
        <f t="shared" ref="G318:G324" si="21">EUconst_TJ</f>
        <v>TJ</v>
      </c>
      <c r="H318" s="875" t="b">
        <v>1</v>
      </c>
      <c r="I318" s="1931" t="b">
        <v>0</v>
      </c>
      <c r="J318" s="1931"/>
      <c r="K318" s="1158" t="s">
        <v>1390</v>
      </c>
      <c r="O318" s="1933">
        <v>62.3</v>
      </c>
      <c r="P318" s="41">
        <f t="shared" ref="P318:P324" si="22">INDEX(EUconst_BM_ARR_Range,1)</f>
        <v>2E-3</v>
      </c>
      <c r="Q318" s="86">
        <f t="shared" ref="Q318:Q324" si="23">IF(AND(C318=4,CNTR_SubPeriod=1),INDEX(EUconst_BM_ARR_Range,1),INDEX(EUconst_BM_ARR_Range,2))</f>
        <v>1.6E-2</v>
      </c>
      <c r="R318" s="205">
        <v>1.6E-2</v>
      </c>
      <c r="S318" s="1934">
        <f t="shared" ref="S318:T327" si="24">$O318*(1-P318*(15+(IF(CNTR_SubPeriod=EUconst_NA,1,CNTR_SubPeriod)-1)*5))</f>
        <v>59.807999999999993</v>
      </c>
      <c r="T318" s="1935">
        <f t="shared" si="24"/>
        <v>42.363999999999997</v>
      </c>
      <c r="U318" s="1942">
        <f>31.2</f>
        <v>31.2</v>
      </c>
    </row>
    <row r="319" spans="1:21" ht="13" x14ac:dyDescent="0.3">
      <c r="B319" s="1931">
        <v>90</v>
      </c>
      <c r="C319" s="1931">
        <f t="shared" si="19"/>
        <v>92</v>
      </c>
      <c r="D319" s="1931">
        <v>92.1</v>
      </c>
      <c r="E319" s="1441" t="str">
        <f t="shared" si="20"/>
        <v>90.92,1</v>
      </c>
      <c r="F319" s="1941" t="str">
        <f>Translations!$B$1613</f>
        <v>Подинсталация с топлинен показател (без риск от ИВЕ | извън МКВЕГ)</v>
      </c>
      <c r="G319" s="716" t="str">
        <f t="shared" si="21"/>
        <v>TJ</v>
      </c>
      <c r="H319" s="875" t="b">
        <v>0</v>
      </c>
      <c r="I319" s="1931" t="b">
        <v>0</v>
      </c>
      <c r="J319" s="1931"/>
      <c r="K319" s="1158" t="s">
        <v>1390</v>
      </c>
      <c r="O319" s="1933">
        <v>62.3</v>
      </c>
      <c r="P319" s="41">
        <f t="shared" si="22"/>
        <v>2E-3</v>
      </c>
      <c r="Q319" s="86">
        <f t="shared" si="23"/>
        <v>1.6E-2</v>
      </c>
      <c r="R319" s="206">
        <v>1.6E-2</v>
      </c>
      <c r="S319" s="1934">
        <f t="shared" si="24"/>
        <v>59.807999999999993</v>
      </c>
      <c r="T319" s="1935">
        <f t="shared" si="24"/>
        <v>42.363999999999997</v>
      </c>
      <c r="U319" s="1942">
        <f>31.2</f>
        <v>31.2</v>
      </c>
    </row>
    <row r="320" spans="1:21" ht="13" x14ac:dyDescent="0.3">
      <c r="B320" s="1931">
        <v>90</v>
      </c>
      <c r="C320" s="1931">
        <f t="shared" si="19"/>
        <v>91</v>
      </c>
      <c r="D320" s="1931">
        <v>91.2</v>
      </c>
      <c r="E320" s="1441" t="str">
        <f t="shared" si="20"/>
        <v>90.91,2</v>
      </c>
      <c r="F320" s="1941" t="str">
        <f>Translations!$B$1614</f>
        <v>Подинсталация с топлинен показател (с риск от ИВЕ | в рамките на МКВЕГ)</v>
      </c>
      <c r="G320" s="716" t="str">
        <f t="shared" si="21"/>
        <v>TJ</v>
      </c>
      <c r="H320" s="875" t="b">
        <v>1</v>
      </c>
      <c r="I320" s="986" t="b">
        <v>1</v>
      </c>
      <c r="J320" s="1931"/>
      <c r="K320" s="1158" t="s">
        <v>1390</v>
      </c>
      <c r="O320" s="1933">
        <v>62.3</v>
      </c>
      <c r="P320" s="41">
        <f t="shared" si="22"/>
        <v>2E-3</v>
      </c>
      <c r="Q320" s="86">
        <f t="shared" si="23"/>
        <v>1.6E-2</v>
      </c>
      <c r="R320" s="206">
        <v>1.6E-2</v>
      </c>
      <c r="S320" s="1934">
        <f t="shared" ref="S320" si="25">$O320*(1-P320*(15+(IF(CNTR_SubPeriod=EUconst_NA,1,CNTR_SubPeriod)-1)*5))</f>
        <v>59.807999999999993</v>
      </c>
      <c r="T320" s="1935">
        <f t="shared" ref="T320" si="26">$O320*(1-Q320*(15+(IF(CNTR_SubPeriod=EUconst_NA,1,CNTR_SubPeriod)-1)*5))</f>
        <v>42.363999999999997</v>
      </c>
      <c r="U320" s="1942">
        <f>31.2</f>
        <v>31.2</v>
      </c>
    </row>
    <row r="321" spans="1:21" ht="13" x14ac:dyDescent="0.3">
      <c r="B321" s="1931">
        <v>90</v>
      </c>
      <c r="C321" s="1931">
        <f t="shared" si="19"/>
        <v>93</v>
      </c>
      <c r="D321" s="1931">
        <v>93.1</v>
      </c>
      <c r="E321" s="1441" t="str">
        <f t="shared" si="20"/>
        <v>90.93,1</v>
      </c>
      <c r="F321" s="1943" t="str">
        <f>Translations!$B$1615</f>
        <v>Подинсталация на топлофикационна мрежа</v>
      </c>
      <c r="G321" s="716" t="str">
        <f t="shared" si="21"/>
        <v>TJ</v>
      </c>
      <c r="H321" s="875" t="b">
        <v>0</v>
      </c>
      <c r="I321" s="1931" t="b">
        <v>0</v>
      </c>
      <c r="J321" s="1931"/>
      <c r="K321" s="1158" t="s">
        <v>1390</v>
      </c>
      <c r="O321" s="1933">
        <v>62.3</v>
      </c>
      <c r="P321" s="41">
        <f t="shared" si="22"/>
        <v>2E-3</v>
      </c>
      <c r="Q321" s="86">
        <f t="shared" si="23"/>
        <v>1.6E-2</v>
      </c>
      <c r="R321" s="206">
        <v>1.6E-2</v>
      </c>
      <c r="S321" s="1934">
        <f t="shared" si="24"/>
        <v>59.807999999999993</v>
      </c>
      <c r="T321" s="1935">
        <f t="shared" si="24"/>
        <v>42.363999999999997</v>
      </c>
      <c r="U321" s="1942">
        <f>31.2</f>
        <v>31.2</v>
      </c>
    </row>
    <row r="322" spans="1:21" ht="13" x14ac:dyDescent="0.3">
      <c r="B322" s="1931">
        <v>90</v>
      </c>
      <c r="C322" s="1931">
        <f t="shared" si="19"/>
        <v>94</v>
      </c>
      <c r="D322" s="1931">
        <v>94.1</v>
      </c>
      <c r="E322" s="1441" t="str">
        <f t="shared" si="20"/>
        <v>90.94,1</v>
      </c>
      <c r="F322" s="1941" t="str">
        <f>Translations!$B$1616</f>
        <v>Подинсталация с горивен показател (с риск от ИВЕ | извън МКВЕГ)</v>
      </c>
      <c r="G322" s="716" t="str">
        <f t="shared" si="21"/>
        <v>TJ</v>
      </c>
      <c r="H322" s="875" t="b">
        <v>1</v>
      </c>
      <c r="I322" s="1931" t="b">
        <v>0</v>
      </c>
      <c r="J322" s="1931"/>
      <c r="K322" s="1158" t="s">
        <v>1402</v>
      </c>
      <c r="O322" s="1933">
        <v>56.1</v>
      </c>
      <c r="P322" s="41">
        <f t="shared" si="22"/>
        <v>2E-3</v>
      </c>
      <c r="Q322" s="86">
        <f t="shared" si="23"/>
        <v>1.6E-2</v>
      </c>
      <c r="R322" s="206">
        <v>1.6E-2</v>
      </c>
      <c r="S322" s="1934">
        <f t="shared" si="24"/>
        <v>53.856000000000002</v>
      </c>
      <c r="T322" s="1935">
        <f t="shared" si="24"/>
        <v>38.147999999999996</v>
      </c>
      <c r="U322" s="1942">
        <f>28.1</f>
        <v>28.1</v>
      </c>
    </row>
    <row r="323" spans="1:21" ht="13" x14ac:dyDescent="0.3">
      <c r="B323" s="1931">
        <v>90</v>
      </c>
      <c r="C323" s="1931">
        <f t="shared" si="19"/>
        <v>95</v>
      </c>
      <c r="D323" s="1931">
        <v>95.1</v>
      </c>
      <c r="E323" s="1441" t="str">
        <f t="shared" si="20"/>
        <v>90.95,1</v>
      </c>
      <c r="F323" s="1941" t="str">
        <f>Translations!$B$1617</f>
        <v>Подинсталация с горивен показател (без риск от ИВЕ | извън МКВЕГ)</v>
      </c>
      <c r="G323" s="716" t="str">
        <f t="shared" si="21"/>
        <v>TJ</v>
      </c>
      <c r="H323" s="875" t="b">
        <v>0</v>
      </c>
      <c r="I323" s="1931" t="b">
        <v>0</v>
      </c>
      <c r="J323" s="1931"/>
      <c r="K323" s="1158" t="s">
        <v>1402</v>
      </c>
      <c r="O323" s="1933">
        <v>56.1</v>
      </c>
      <c r="P323" s="41">
        <f t="shared" si="22"/>
        <v>2E-3</v>
      </c>
      <c r="Q323" s="86">
        <f t="shared" si="23"/>
        <v>1.6E-2</v>
      </c>
      <c r="R323" s="206">
        <v>1.6E-2</v>
      </c>
      <c r="S323" s="1934">
        <f t="shared" si="24"/>
        <v>53.856000000000002</v>
      </c>
      <c r="T323" s="1935">
        <f t="shared" si="24"/>
        <v>38.147999999999996</v>
      </c>
      <c r="U323" s="1942">
        <f>28.1</f>
        <v>28.1</v>
      </c>
    </row>
    <row r="324" spans="1:21" ht="13" x14ac:dyDescent="0.3">
      <c r="B324" s="1931">
        <v>90</v>
      </c>
      <c r="C324" s="1931">
        <f t="shared" si="19"/>
        <v>94</v>
      </c>
      <c r="D324" s="1931">
        <v>94.2</v>
      </c>
      <c r="E324" s="1441" t="str">
        <f t="shared" si="20"/>
        <v>90.94,2</v>
      </c>
      <c r="F324" s="1941" t="str">
        <f>Translations!$B$1618</f>
        <v>Подинсталация с горивен показател (с риск от ИВЕ | в рамките на МКВЕГ)</v>
      </c>
      <c r="G324" s="716" t="str">
        <f t="shared" si="21"/>
        <v>TJ</v>
      </c>
      <c r="H324" s="875" t="b">
        <v>1</v>
      </c>
      <c r="I324" s="986" t="b">
        <v>1</v>
      </c>
      <c r="J324" s="1931"/>
      <c r="K324" s="1158" t="s">
        <v>1402</v>
      </c>
      <c r="O324" s="1933">
        <v>56.1</v>
      </c>
      <c r="P324" s="41">
        <f t="shared" si="22"/>
        <v>2E-3</v>
      </c>
      <c r="Q324" s="86">
        <f t="shared" si="23"/>
        <v>1.6E-2</v>
      </c>
      <c r="R324" s="206">
        <v>1.6E-2</v>
      </c>
      <c r="S324" s="1934">
        <f t="shared" ref="S324" si="27">$O324*(1-P324*(15+(IF(CNTR_SubPeriod=EUconst_NA,1,CNTR_SubPeriod)-1)*5))</f>
        <v>53.856000000000002</v>
      </c>
      <c r="T324" s="1935">
        <f t="shared" ref="T324" si="28">$O324*(1-Q324*(15+(IF(CNTR_SubPeriod=EUconst_NA,1,CNTR_SubPeriod)-1)*5))</f>
        <v>38.147999999999996</v>
      </c>
      <c r="U324" s="1942">
        <f>28.1</f>
        <v>28.1</v>
      </c>
    </row>
    <row r="325" spans="1:21" x14ac:dyDescent="0.25">
      <c r="B325" s="1931">
        <v>90</v>
      </c>
      <c r="C325" s="1931">
        <f t="shared" si="19"/>
        <v>96</v>
      </c>
      <c r="D325" s="1931">
        <v>96.1</v>
      </c>
      <c r="E325" s="1441" t="str">
        <f t="shared" si="20"/>
        <v>90.96,1</v>
      </c>
      <c r="F325" s="1941" t="str">
        <f>Translations!$B$1619</f>
        <v>Подинсталация с емисии от процеси (с риск от ИВЕ | извън МКВЕГ)</v>
      </c>
      <c r="G325" s="716" t="str">
        <f>EUconst_tCO2e</f>
        <v>t CO2e</v>
      </c>
      <c r="H325" s="875" t="b">
        <v>1</v>
      </c>
      <c r="I325" s="1931" t="b">
        <v>0</v>
      </c>
      <c r="J325" s="1931"/>
      <c r="K325" s="1158" t="s">
        <v>1225</v>
      </c>
      <c r="O325" s="1933">
        <v>0.97</v>
      </c>
      <c r="P325" s="58">
        <v>0</v>
      </c>
      <c r="Q325" s="87">
        <v>0</v>
      </c>
      <c r="R325" s="88">
        <v>0</v>
      </c>
      <c r="S325" s="1934">
        <f t="shared" si="24"/>
        <v>0.97</v>
      </c>
      <c r="T325" s="1935">
        <f t="shared" si="24"/>
        <v>0.97</v>
      </c>
      <c r="U325" s="1935">
        <f>ROUND(O325*(1-R325*(15+(IF(CNTR_SubPeriod=EUconst_NA,1,CNTR_SubPeriod)-1)*5)),3)</f>
        <v>0.97</v>
      </c>
    </row>
    <row r="326" spans="1:21" ht="13" thickBot="1" x14ac:dyDescent="0.3">
      <c r="B326" s="1931">
        <v>90</v>
      </c>
      <c r="C326" s="1931">
        <f t="shared" si="19"/>
        <v>97</v>
      </c>
      <c r="D326" s="1931">
        <v>97.1</v>
      </c>
      <c r="E326" s="1441" t="str">
        <f t="shared" si="20"/>
        <v>90.97,1</v>
      </c>
      <c r="F326" s="1941" t="str">
        <f>Translations!$B$1620</f>
        <v>Подинсталация с емисии от процеси (без риск от ИВЕ | извън МКВЕГ)</v>
      </c>
      <c r="G326" s="716" t="str">
        <f>EUconst_tCO2e</f>
        <v>t CO2e</v>
      </c>
      <c r="H326" s="875" t="b">
        <v>0</v>
      </c>
      <c r="I326" s="1931" t="b">
        <v>0</v>
      </c>
      <c r="J326" s="1931"/>
      <c r="K326" s="1158" t="s">
        <v>1225</v>
      </c>
      <c r="O326" s="1933">
        <v>0.97</v>
      </c>
      <c r="P326" s="58">
        <v>0</v>
      </c>
      <c r="Q326" s="87">
        <v>0</v>
      </c>
      <c r="R326" s="89">
        <v>0</v>
      </c>
      <c r="S326" s="1934">
        <f t="shared" ref="S326" si="29">$O326*(1-P326*(15+(IF(CNTR_SubPeriod=EUconst_NA,1,CNTR_SubPeriod)-1)*5))</f>
        <v>0.97</v>
      </c>
      <c r="T326" s="1935">
        <f t="shared" ref="T326" si="30">$O326*(1-Q326*(15+(IF(CNTR_SubPeriod=EUconst_NA,1,CNTR_SubPeriod)-1)*5))</f>
        <v>0.97</v>
      </c>
      <c r="U326" s="1935">
        <f>ROUND(O326*(1-R326*(15+(IF(CNTR_SubPeriod=EUconst_NA,1,CNTR_SubPeriod)-1)*5)),3)</f>
        <v>0.97</v>
      </c>
    </row>
    <row r="327" spans="1:21" ht="13" thickBot="1" x14ac:dyDescent="0.3">
      <c r="B327" s="1931">
        <v>90</v>
      </c>
      <c r="C327" s="1931">
        <f t="shared" si="19"/>
        <v>96</v>
      </c>
      <c r="D327" s="1931">
        <v>96.2</v>
      </c>
      <c r="E327" s="1441" t="str">
        <f t="shared" si="20"/>
        <v>90.96,2</v>
      </c>
      <c r="F327" s="1941" t="str">
        <f>Translations!$B$1621</f>
        <v>Подинсталация с емисии от процеси (с риск от ИВЕ | в рамките на МКВЕГ)</v>
      </c>
      <c r="G327" s="716" t="str">
        <f>EUconst_tCO2e</f>
        <v>t CO2e</v>
      </c>
      <c r="H327" s="875" t="b">
        <v>1</v>
      </c>
      <c r="I327" s="986" t="b">
        <v>1</v>
      </c>
      <c r="J327" s="1931"/>
      <c r="K327" s="1158" t="s">
        <v>1225</v>
      </c>
      <c r="O327" s="1933">
        <v>0.97</v>
      </c>
      <c r="P327" s="58">
        <v>0</v>
      </c>
      <c r="Q327" s="87">
        <v>0</v>
      </c>
      <c r="R327" s="89">
        <v>0</v>
      </c>
      <c r="S327" s="1934">
        <f t="shared" si="24"/>
        <v>0.97</v>
      </c>
      <c r="T327" s="1935">
        <f t="shared" si="24"/>
        <v>0.97</v>
      </c>
      <c r="U327" s="1935">
        <f>ROUND(O327*(1-R327*(15+(IF(CNTR_SubPeriod=EUconst_NA,1,CNTR_SubPeriod)-1)*5)),3)</f>
        <v>0.97</v>
      </c>
    </row>
    <row r="328" spans="1:21" x14ac:dyDescent="0.25">
      <c r="A328" s="1938" t="s">
        <v>844</v>
      </c>
      <c r="B328" s="1939" t="s">
        <v>844</v>
      </c>
      <c r="C328" s="1939" t="s">
        <v>844</v>
      </c>
      <c r="D328" s="1939" t="s">
        <v>844</v>
      </c>
      <c r="E328" s="1939" t="s">
        <v>844</v>
      </c>
      <c r="F328" s="1939" t="s">
        <v>844</v>
      </c>
      <c r="G328" s="1939" t="s">
        <v>844</v>
      </c>
      <c r="H328" s="1939" t="s">
        <v>844</v>
      </c>
      <c r="I328" s="1939" t="s">
        <v>844</v>
      </c>
      <c r="J328" s="1939" t="s">
        <v>844</v>
      </c>
      <c r="K328" s="1939" t="s">
        <v>844</v>
      </c>
      <c r="L328" s="1939" t="s">
        <v>844</v>
      </c>
      <c r="M328" s="1939" t="s">
        <v>844</v>
      </c>
      <c r="N328" s="1939" t="s">
        <v>844</v>
      </c>
      <c r="O328" s="1939" t="s">
        <v>844</v>
      </c>
      <c r="P328" s="1939" t="s">
        <v>844</v>
      </c>
      <c r="Q328" s="1939" t="s">
        <v>844</v>
      </c>
      <c r="R328" s="1939" t="s">
        <v>844</v>
      </c>
      <c r="S328" s="1939" t="s">
        <v>844</v>
      </c>
      <c r="T328" s="1939" t="s">
        <v>844</v>
      </c>
      <c r="U328" s="1939" t="s">
        <v>844</v>
      </c>
    </row>
  </sheetData>
  <sheetProtection sheet="1" objects="1" scenarios="1" formatCells="0" formatColumns="0" formatRows="0"/>
  <phoneticPr fontId="34" type="noConversion"/>
  <dataValidations disablePrompts="1" count="1">
    <dataValidation type="list" allowBlank="1" showInputMessage="1" showErrorMessage="1" sqref="B2" xr:uid="{00000000-0002-0000-0D00-000000000000}">
      <formula1>Euconst_TrueFalse</formula1>
    </dataValidation>
  </dataValidations>
  <pageMargins left="0.78740157499999996" right="0.78740157499999996" top="0.984251969" bottom="0.984251969" header="0.4921259845" footer="0.4921259845"/>
  <pageSetup paperSize="9" scale="21" fitToHeight="4" orientation="portrait" r:id="rId1"/>
  <headerFooter alignWithMargins="0">
    <oddHeader>&amp;L&amp;F; &amp;A&amp;R&amp;D ;&amp;T</oddHeader>
    <oddFooter>&amp;C&amp;P / &amp;N</oddFooter>
  </headerFooter>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4">
    <tabColor indexed="12"/>
    <pageSetUpPr fitToPage="1"/>
  </sheetPr>
  <dimension ref="A1:E5"/>
  <sheetViews>
    <sheetView workbookViewId="0">
      <selection sqref="A1:XFD1048576"/>
    </sheetView>
  </sheetViews>
  <sheetFormatPr defaultColWidth="11.453125" defaultRowHeight="12.5" x14ac:dyDescent="0.25"/>
  <cols>
    <col min="1" max="1" width="50.81640625" customWidth="1"/>
  </cols>
  <sheetData>
    <row r="1" spans="1:5" ht="13" x14ac:dyDescent="0.3">
      <c r="A1" s="1910" t="s">
        <v>892</v>
      </c>
      <c r="B1" s="1910" t="str">
        <f>Translations!$B$981</f>
        <v>Константа</v>
      </c>
      <c r="C1" s="1910" t="str">
        <f>Translations!$B$982</f>
        <v>Други константи</v>
      </c>
      <c r="D1" s="1911"/>
      <c r="E1" s="1911" t="s">
        <v>87</v>
      </c>
    </row>
    <row r="2" spans="1:5" x14ac:dyDescent="0.25">
      <c r="A2" t="s">
        <v>1605</v>
      </c>
      <c r="B2" s="1944" t="b">
        <v>0</v>
      </c>
      <c r="E2" s="1944" t="b">
        <v>0</v>
      </c>
    </row>
    <row r="3" spans="1:5" x14ac:dyDescent="0.25">
      <c r="A3" s="1143" t="s">
        <v>1816</v>
      </c>
      <c r="B3" s="1944" t="b">
        <v>1</v>
      </c>
      <c r="E3" s="1944" t="b">
        <v>1</v>
      </c>
    </row>
    <row r="4" spans="1:5" x14ac:dyDescent="0.25">
      <c r="A4" s="1143" t="s">
        <v>1819</v>
      </c>
      <c r="B4" s="1944" t="b">
        <v>0</v>
      </c>
      <c r="E4" s="1944" t="b">
        <v>0</v>
      </c>
    </row>
    <row r="5" spans="1:5" x14ac:dyDescent="0.25">
      <c r="A5" s="1143" t="s">
        <v>2062</v>
      </c>
      <c r="B5" s="1944" t="b">
        <v>1</v>
      </c>
      <c r="E5" s="1944" t="b">
        <v>1</v>
      </c>
    </row>
  </sheetData>
  <sheetProtection sheet="1" objects="1" scenarios="1" formatCells="0" formatColumns="0" formatRows="0"/>
  <phoneticPr fontId="34" type="noConversion"/>
  <dataValidations count="1">
    <dataValidation type="list" allowBlank="1" showInputMessage="1" showErrorMessage="1" sqref="E2:E5 B2:B5" xr:uid="{00000000-0002-0000-0E00-000000000000}">
      <formula1>Euconst_TrueFalse</formula1>
    </dataValidation>
  </dataValidations>
  <pageMargins left="0.78740157499999996" right="0.78740157499999996" top="0.984251969" bottom="0.984251969" header="0.4921259845" footer="0.4921259845"/>
  <pageSetup paperSize="9" scale="72" fitToHeight="4" orientation="portrait" r:id="rId1"/>
  <headerFooter alignWithMargins="0">
    <oddHeader>&amp;L&amp;F; &amp;A&amp;R&amp;D; &amp;T</oddHeader>
    <oddFooter>&amp;C&amp;P /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5">
    <tabColor indexed="17"/>
    <pageSetUpPr fitToPage="1"/>
  </sheetPr>
  <dimension ref="A1:K1621"/>
  <sheetViews>
    <sheetView workbookViewId="0">
      <pane xSplit="1" ySplit="1" topLeftCell="B119" activePane="bottomRight" state="frozen"/>
      <selection pane="topRight" activeCell="B1" sqref="B1"/>
      <selection pane="bottomLeft" activeCell="A2" sqref="A2"/>
      <selection pane="bottomRight" activeCell="C13" sqref="C13"/>
    </sheetView>
  </sheetViews>
  <sheetFormatPr defaultColWidth="11.453125" defaultRowHeight="14.5" x14ac:dyDescent="0.35"/>
  <cols>
    <col min="1" max="1" width="9.453125" style="1947" customWidth="1"/>
    <col min="2" max="2" width="70.7265625" style="1947" customWidth="1"/>
    <col min="3" max="3" width="70.7265625" style="1948" customWidth="1"/>
    <col min="4" max="16384" width="11.453125" style="1948"/>
  </cols>
  <sheetData>
    <row r="1" spans="1:3" s="1946" customFormat="1" ht="15" thickBot="1" x14ac:dyDescent="0.4">
      <c r="A1" s="1945" t="s">
        <v>2050</v>
      </c>
      <c r="B1" s="2121" t="s">
        <v>893</v>
      </c>
      <c r="C1" s="1946" t="s">
        <v>894</v>
      </c>
    </row>
    <row r="2" spans="1:3" ht="15" thickBot="1" x14ac:dyDescent="0.4">
      <c r="A2" s="1947">
        <v>1</v>
      </c>
      <c r="B2" s="2202" t="s">
        <v>4125</v>
      </c>
      <c r="C2" s="2122" t="s">
        <v>589</v>
      </c>
    </row>
    <row r="3" spans="1:3" x14ac:dyDescent="0.35">
      <c r="A3" s="1947">
        <v>2</v>
      </c>
      <c r="B3" s="359" t="s">
        <v>4126</v>
      </c>
      <c r="C3" s="1039" t="s">
        <v>591</v>
      </c>
    </row>
    <row r="4" spans="1:3" x14ac:dyDescent="0.35">
      <c r="A4" s="1947">
        <v>3</v>
      </c>
      <c r="B4" s="359" t="s">
        <v>4127</v>
      </c>
      <c r="C4" s="1039" t="s">
        <v>592</v>
      </c>
    </row>
    <row r="5" spans="1:3" x14ac:dyDescent="0.35">
      <c r="A5" s="1947">
        <v>4</v>
      </c>
      <c r="B5" s="359" t="s">
        <v>4128</v>
      </c>
      <c r="C5" s="1039" t="s">
        <v>593</v>
      </c>
    </row>
    <row r="6" spans="1:3" x14ac:dyDescent="0.35">
      <c r="A6" s="1947">
        <v>5</v>
      </c>
      <c r="B6" s="359" t="s">
        <v>4129</v>
      </c>
      <c r="C6" s="1039" t="s">
        <v>594</v>
      </c>
    </row>
    <row r="7" spans="1:3" ht="18.5" thickBot="1" x14ac:dyDescent="0.4">
      <c r="A7" s="1947">
        <v>7</v>
      </c>
      <c r="B7" s="1949" t="s">
        <v>4130</v>
      </c>
      <c r="C7" s="1952" t="s">
        <v>409</v>
      </c>
    </row>
    <row r="8" spans="1:3" x14ac:dyDescent="0.35">
      <c r="A8" s="1947">
        <v>8</v>
      </c>
      <c r="B8" s="2203" t="s">
        <v>4131</v>
      </c>
      <c r="C8" s="2123" t="s">
        <v>369</v>
      </c>
    </row>
    <row r="9" spans="1:3" ht="15" thickBot="1" x14ac:dyDescent="0.4">
      <c r="A9" s="1947">
        <v>9</v>
      </c>
      <c r="B9" s="2204" t="s">
        <v>4132</v>
      </c>
      <c r="C9" s="2124" t="s">
        <v>0</v>
      </c>
    </row>
    <row r="10" spans="1:3" ht="15" thickBot="1" x14ac:dyDescent="0.4">
      <c r="A10" s="1947">
        <v>10</v>
      </c>
      <c r="B10" s="556" t="s">
        <v>4133</v>
      </c>
      <c r="C10" s="1950" t="s">
        <v>1</v>
      </c>
    </row>
    <row r="11" spans="1:3" x14ac:dyDescent="0.35">
      <c r="A11" s="1947">
        <v>11</v>
      </c>
      <c r="B11" s="2203" t="s">
        <v>4134</v>
      </c>
      <c r="C11" s="2123" t="s">
        <v>862</v>
      </c>
    </row>
    <row r="12" spans="1:3" x14ac:dyDescent="0.35">
      <c r="A12" s="1947">
        <v>12</v>
      </c>
      <c r="B12" s="2205" t="s">
        <v>4135</v>
      </c>
      <c r="C12" s="2125" t="s">
        <v>1030</v>
      </c>
    </row>
    <row r="13" spans="1:3" ht="149.25" customHeight="1" x14ac:dyDescent="0.35">
      <c r="A13" s="1947">
        <v>14</v>
      </c>
      <c r="B13" s="2201" t="s">
        <v>4124</v>
      </c>
      <c r="C13" s="1950" t="s">
        <v>90</v>
      </c>
    </row>
    <row r="14" spans="1:3" x14ac:dyDescent="0.35">
      <c r="A14" s="1947">
        <v>15</v>
      </c>
      <c r="B14" s="1951" t="s">
        <v>4136</v>
      </c>
      <c r="C14" s="1951" t="s">
        <v>406</v>
      </c>
    </row>
    <row r="15" spans="1:3" ht="25" x14ac:dyDescent="0.35">
      <c r="A15" s="1947">
        <v>16</v>
      </c>
      <c r="B15" s="2206" t="s">
        <v>4142</v>
      </c>
      <c r="C15" s="1951" t="s">
        <v>407</v>
      </c>
    </row>
    <row r="16" spans="1:3" x14ac:dyDescent="0.35">
      <c r="A16" s="1947">
        <v>17</v>
      </c>
      <c r="B16" s="359" t="s">
        <v>4137</v>
      </c>
      <c r="C16" s="1039" t="s">
        <v>590</v>
      </c>
    </row>
    <row r="17" spans="1:3" x14ac:dyDescent="0.35">
      <c r="A17" s="1947">
        <v>18</v>
      </c>
      <c r="B17" s="359" t="s">
        <v>4138</v>
      </c>
      <c r="C17" s="1039" t="s">
        <v>595</v>
      </c>
    </row>
    <row r="18" spans="1:3" ht="18" x14ac:dyDescent="0.35">
      <c r="A18" s="1947">
        <v>19</v>
      </c>
      <c r="B18" s="1952" t="s">
        <v>2561</v>
      </c>
      <c r="C18" s="1952" t="s">
        <v>410</v>
      </c>
    </row>
    <row r="19" spans="1:3" ht="15.5" x14ac:dyDescent="0.35">
      <c r="A19" s="1947">
        <v>20</v>
      </c>
      <c r="B19" s="1953" t="s">
        <v>2562</v>
      </c>
      <c r="C19" s="1953" t="s">
        <v>850</v>
      </c>
    </row>
    <row r="20" spans="1:3" ht="75" x14ac:dyDescent="0.35">
      <c r="A20" s="1947">
        <v>21</v>
      </c>
      <c r="B20" s="1954" t="s">
        <v>2558</v>
      </c>
      <c r="C20" s="1954" t="s">
        <v>1252</v>
      </c>
    </row>
    <row r="21" spans="1:3" ht="87.5" x14ac:dyDescent="0.35">
      <c r="A21" s="1947">
        <v>23</v>
      </c>
      <c r="B21" s="1954" t="s">
        <v>2559</v>
      </c>
      <c r="C21" s="1954" t="s">
        <v>1706</v>
      </c>
    </row>
    <row r="22" spans="1:3" ht="25" x14ac:dyDescent="0.35">
      <c r="A22" s="1947">
        <v>27</v>
      </c>
      <c r="B22" s="1954" t="s">
        <v>2560</v>
      </c>
      <c r="C22" s="1954" t="s">
        <v>1599</v>
      </c>
    </row>
    <row r="23" spans="1:3" ht="15.5" x14ac:dyDescent="0.35">
      <c r="A23" s="1947">
        <v>29</v>
      </c>
      <c r="B23" s="1953" t="s">
        <v>2563</v>
      </c>
      <c r="C23" s="1953" t="s">
        <v>487</v>
      </c>
    </row>
    <row r="24" spans="1:3" ht="25" x14ac:dyDescent="0.35">
      <c r="A24" s="1947">
        <v>30</v>
      </c>
      <c r="B24" s="1954" t="s">
        <v>2564</v>
      </c>
      <c r="C24" s="1954" t="s">
        <v>1382</v>
      </c>
    </row>
    <row r="25" spans="1:3" ht="75" x14ac:dyDescent="0.35">
      <c r="A25" s="1947">
        <v>33</v>
      </c>
      <c r="B25" s="1954" t="s">
        <v>2565</v>
      </c>
      <c r="C25" s="1954" t="s">
        <v>1600</v>
      </c>
    </row>
    <row r="26" spans="1:3" ht="75" x14ac:dyDescent="0.35">
      <c r="A26" s="1947">
        <v>34</v>
      </c>
      <c r="B26" s="1954" t="s">
        <v>2566</v>
      </c>
      <c r="C26" s="1954" t="s">
        <v>796</v>
      </c>
    </row>
    <row r="27" spans="1:3" ht="62.5" x14ac:dyDescent="0.35">
      <c r="A27" s="1947">
        <v>35</v>
      </c>
      <c r="B27" s="1954" t="s">
        <v>2567</v>
      </c>
      <c r="C27" s="1954" t="s">
        <v>649</v>
      </c>
    </row>
    <row r="28" spans="1:3" ht="25" x14ac:dyDescent="0.35">
      <c r="A28" s="1947">
        <v>36</v>
      </c>
      <c r="B28" s="1954" t="s">
        <v>2568</v>
      </c>
      <c r="C28" s="1954" t="s">
        <v>646</v>
      </c>
    </row>
    <row r="29" spans="1:3" ht="25" x14ac:dyDescent="0.35">
      <c r="A29" s="1947">
        <v>37</v>
      </c>
      <c r="B29" s="1954" t="s">
        <v>2569</v>
      </c>
      <c r="C29" s="1954" t="s">
        <v>647</v>
      </c>
    </row>
    <row r="30" spans="1:3" ht="25" x14ac:dyDescent="0.35">
      <c r="A30" s="1947">
        <v>38</v>
      </c>
      <c r="B30" s="1955" t="s">
        <v>2570</v>
      </c>
      <c r="C30" s="1955" t="s">
        <v>648</v>
      </c>
    </row>
    <row r="31" spans="1:3" ht="25" x14ac:dyDescent="0.35">
      <c r="A31" s="1947">
        <v>39</v>
      </c>
      <c r="B31" s="1955" t="s">
        <v>2571</v>
      </c>
      <c r="C31" s="1955" t="s">
        <v>927</v>
      </c>
    </row>
    <row r="32" spans="1:3" ht="25" x14ac:dyDescent="0.35">
      <c r="A32" s="1947">
        <v>40</v>
      </c>
      <c r="B32" s="1955" t="s">
        <v>2572</v>
      </c>
      <c r="C32" s="1955" t="s">
        <v>650</v>
      </c>
    </row>
    <row r="33" spans="1:3" ht="25" x14ac:dyDescent="0.35">
      <c r="A33" s="1947">
        <v>41</v>
      </c>
      <c r="B33" s="1955" t="s">
        <v>2573</v>
      </c>
      <c r="C33" s="1955" t="s">
        <v>651</v>
      </c>
    </row>
    <row r="34" spans="1:3" x14ac:dyDescent="0.35">
      <c r="A34" s="1947">
        <v>42</v>
      </c>
      <c r="B34" s="1956" t="s">
        <v>2574</v>
      </c>
      <c r="C34" s="1956" t="s">
        <v>797</v>
      </c>
    </row>
    <row r="35" spans="1:3" x14ac:dyDescent="0.35">
      <c r="A35" s="1947">
        <v>43</v>
      </c>
      <c r="B35" s="1950" t="s">
        <v>2575</v>
      </c>
      <c r="C35" s="1950" t="s">
        <v>186</v>
      </c>
    </row>
    <row r="36" spans="1:3" x14ac:dyDescent="0.35">
      <c r="A36" s="1947">
        <v>44</v>
      </c>
      <c r="B36" s="1957" t="s">
        <v>2576</v>
      </c>
      <c r="C36" s="1957" t="s">
        <v>798</v>
      </c>
    </row>
    <row r="37" spans="1:3" x14ac:dyDescent="0.35">
      <c r="A37" s="1947">
        <v>45</v>
      </c>
      <c r="B37" s="1958" t="s">
        <v>2577</v>
      </c>
      <c r="C37" s="1958" t="s">
        <v>187</v>
      </c>
    </row>
    <row r="38" spans="1:3" x14ac:dyDescent="0.35">
      <c r="A38" s="1947">
        <v>46</v>
      </c>
      <c r="B38" s="1957" t="s">
        <v>2578</v>
      </c>
      <c r="C38" s="1957" t="s">
        <v>652</v>
      </c>
    </row>
    <row r="39" spans="1:3" ht="37.5" x14ac:dyDescent="0.35">
      <c r="A39" s="1947">
        <v>47</v>
      </c>
      <c r="B39" s="1957" t="s">
        <v>2579</v>
      </c>
      <c r="C39" s="1957" t="s">
        <v>311</v>
      </c>
    </row>
    <row r="40" spans="1:3" ht="25" x14ac:dyDescent="0.35">
      <c r="A40" s="1947">
        <v>48</v>
      </c>
      <c r="B40" s="1959" t="s">
        <v>2580</v>
      </c>
      <c r="C40" s="1959" t="s">
        <v>993</v>
      </c>
    </row>
    <row r="41" spans="1:3" ht="37.5" x14ac:dyDescent="0.35">
      <c r="A41" s="1947">
        <v>49</v>
      </c>
      <c r="B41" s="1959" t="s">
        <v>2581</v>
      </c>
      <c r="C41" s="1959" t="s">
        <v>918</v>
      </c>
    </row>
    <row r="42" spans="1:3" ht="25" x14ac:dyDescent="0.35">
      <c r="A42" s="1947">
        <v>50</v>
      </c>
      <c r="B42" s="1957" t="s">
        <v>2582</v>
      </c>
      <c r="C42" s="1957" t="s">
        <v>188</v>
      </c>
    </row>
    <row r="43" spans="1:3" ht="25" x14ac:dyDescent="0.35">
      <c r="A43" s="1947">
        <v>51</v>
      </c>
      <c r="B43" s="1957" t="s">
        <v>2583</v>
      </c>
      <c r="C43" s="1957" t="s">
        <v>189</v>
      </c>
    </row>
    <row r="44" spans="1:3" x14ac:dyDescent="0.35">
      <c r="A44" s="1947">
        <v>52</v>
      </c>
      <c r="B44" s="1957" t="s">
        <v>2584</v>
      </c>
      <c r="C44" s="1957" t="s">
        <v>613</v>
      </c>
    </row>
    <row r="45" spans="1:3" ht="100" x14ac:dyDescent="0.35">
      <c r="A45" s="1947">
        <v>53</v>
      </c>
      <c r="B45" s="1954" t="s">
        <v>2585</v>
      </c>
      <c r="C45" s="1954" t="s">
        <v>998</v>
      </c>
    </row>
    <row r="46" spans="1:3" ht="87.5" x14ac:dyDescent="0.35">
      <c r="A46" s="1947">
        <v>54</v>
      </c>
      <c r="B46" s="1954" t="s">
        <v>2586</v>
      </c>
      <c r="C46" s="1954" t="s">
        <v>653</v>
      </c>
    </row>
    <row r="47" spans="1:3" ht="62.5" x14ac:dyDescent="0.35">
      <c r="A47" s="1947">
        <v>55</v>
      </c>
      <c r="B47" s="1960" t="s">
        <v>2587</v>
      </c>
      <c r="C47" s="1960" t="s">
        <v>1687</v>
      </c>
    </row>
    <row r="48" spans="1:3" ht="100.5" thickBot="1" x14ac:dyDescent="0.4">
      <c r="A48" s="1947">
        <v>56</v>
      </c>
      <c r="B48" s="1954" t="s">
        <v>2588</v>
      </c>
      <c r="C48" s="1954" t="s">
        <v>1691</v>
      </c>
    </row>
    <row r="49" spans="1:3" ht="130.5" thickBot="1" x14ac:dyDescent="0.4">
      <c r="A49" s="1947">
        <v>57</v>
      </c>
      <c r="B49" s="1961" t="s">
        <v>4139</v>
      </c>
      <c r="C49" s="1961" t="s">
        <v>1601</v>
      </c>
    </row>
    <row r="50" spans="1:3" ht="15.5" x14ac:dyDescent="0.35">
      <c r="A50" s="1947">
        <v>58</v>
      </c>
      <c r="B50" s="1953" t="s">
        <v>2589</v>
      </c>
      <c r="C50" s="1953" t="s">
        <v>866</v>
      </c>
    </row>
    <row r="51" spans="1:3" ht="25" x14ac:dyDescent="0.35">
      <c r="A51" s="1947">
        <v>59</v>
      </c>
      <c r="B51" s="1962" t="s">
        <v>2590</v>
      </c>
      <c r="C51" s="1962" t="s">
        <v>231</v>
      </c>
    </row>
    <row r="52" spans="1:3" x14ac:dyDescent="0.35">
      <c r="A52" s="1947">
        <v>60</v>
      </c>
      <c r="B52" s="1963" t="s">
        <v>2591</v>
      </c>
      <c r="C52" s="1963" t="s">
        <v>176</v>
      </c>
    </row>
    <row r="53" spans="1:3" ht="15.5" x14ac:dyDescent="0.35">
      <c r="A53" s="1947">
        <v>61</v>
      </c>
      <c r="B53" s="1964" t="s">
        <v>2592</v>
      </c>
      <c r="C53" s="1964" t="s">
        <v>177</v>
      </c>
    </row>
    <row r="54" spans="1:3" x14ac:dyDescent="0.35">
      <c r="A54" s="1947">
        <v>62</v>
      </c>
      <c r="B54" s="1950" t="s">
        <v>2593</v>
      </c>
      <c r="C54" s="1950" t="s">
        <v>178</v>
      </c>
    </row>
    <row r="55" spans="1:3" x14ac:dyDescent="0.35">
      <c r="A55" s="1947">
        <v>63</v>
      </c>
      <c r="B55" s="1962" t="s">
        <v>2594</v>
      </c>
      <c r="C55" s="1962" t="s">
        <v>180</v>
      </c>
    </row>
    <row r="56" spans="1:3" x14ac:dyDescent="0.35">
      <c r="A56" s="1947">
        <v>64</v>
      </c>
      <c r="B56" s="359" t="s">
        <v>179</v>
      </c>
      <c r="C56" s="1039" t="s">
        <v>179</v>
      </c>
    </row>
    <row r="57" spans="1:3" x14ac:dyDescent="0.35">
      <c r="A57" s="1947">
        <v>65</v>
      </c>
      <c r="B57" s="1962" t="s">
        <v>2595</v>
      </c>
      <c r="C57" s="1962" t="s">
        <v>181</v>
      </c>
    </row>
    <row r="58" spans="1:3" x14ac:dyDescent="0.35">
      <c r="A58" s="1947">
        <v>66</v>
      </c>
      <c r="B58" s="359" t="s">
        <v>488</v>
      </c>
      <c r="C58" s="1039" t="s">
        <v>488</v>
      </c>
    </row>
    <row r="59" spans="1:3" x14ac:dyDescent="0.35">
      <c r="A59" s="1947">
        <v>67</v>
      </c>
      <c r="B59" s="1950" t="s">
        <v>2596</v>
      </c>
      <c r="C59" s="1950" t="s">
        <v>182</v>
      </c>
    </row>
    <row r="60" spans="1:3" x14ac:dyDescent="0.35">
      <c r="A60" s="1947">
        <v>68</v>
      </c>
      <c r="B60" s="1965" t="s">
        <v>2597</v>
      </c>
      <c r="C60" s="1965" t="s">
        <v>183</v>
      </c>
    </row>
    <row r="61" spans="1:3" x14ac:dyDescent="0.35">
      <c r="A61" s="1947">
        <v>69</v>
      </c>
      <c r="B61" s="1962" t="s">
        <v>2598</v>
      </c>
      <c r="C61" s="1962" t="s">
        <v>184</v>
      </c>
    </row>
    <row r="62" spans="1:3" x14ac:dyDescent="0.35">
      <c r="A62" s="1947">
        <v>70</v>
      </c>
      <c r="B62" s="1965" t="s">
        <v>2599</v>
      </c>
      <c r="C62" s="1965" t="s">
        <v>185</v>
      </c>
    </row>
    <row r="63" spans="1:3" ht="15.5" x14ac:dyDescent="0.35">
      <c r="A63" s="1947">
        <v>71</v>
      </c>
      <c r="B63" s="1964" t="s">
        <v>2600</v>
      </c>
      <c r="C63" s="1964" t="s">
        <v>405</v>
      </c>
    </row>
    <row r="64" spans="1:3" ht="15" thickBot="1" x14ac:dyDescent="0.4">
      <c r="A64" s="1947">
        <v>72</v>
      </c>
      <c r="B64" s="359" t="s">
        <v>2601</v>
      </c>
      <c r="C64" s="1039" t="s">
        <v>1044</v>
      </c>
    </row>
    <row r="65" spans="1:3" ht="26" x14ac:dyDescent="0.35">
      <c r="A65" s="1947">
        <v>73</v>
      </c>
      <c r="B65" s="1966" t="s">
        <v>2602</v>
      </c>
      <c r="C65" s="1966" t="s">
        <v>597</v>
      </c>
    </row>
    <row r="66" spans="1:3" x14ac:dyDescent="0.35">
      <c r="A66" s="1947">
        <v>74</v>
      </c>
      <c r="B66" s="359" t="s">
        <v>2603</v>
      </c>
      <c r="C66" s="1039" t="s">
        <v>606</v>
      </c>
    </row>
    <row r="67" spans="1:3" x14ac:dyDescent="0.35">
      <c r="A67" s="1947">
        <v>75</v>
      </c>
      <c r="B67" s="359" t="s">
        <v>2604</v>
      </c>
      <c r="C67" s="1039" t="s">
        <v>607</v>
      </c>
    </row>
    <row r="68" spans="1:3" x14ac:dyDescent="0.35">
      <c r="A68" s="1947">
        <v>76</v>
      </c>
      <c r="B68" s="359" t="s">
        <v>2605</v>
      </c>
      <c r="C68" s="1039" t="s">
        <v>608</v>
      </c>
    </row>
    <row r="69" spans="1:3" x14ac:dyDescent="0.35">
      <c r="A69" s="1947">
        <v>77</v>
      </c>
      <c r="B69" s="359" t="s">
        <v>2606</v>
      </c>
      <c r="C69" s="1039" t="s">
        <v>610</v>
      </c>
    </row>
    <row r="70" spans="1:3" x14ac:dyDescent="0.35">
      <c r="A70" s="1947">
        <v>78</v>
      </c>
      <c r="B70" s="359" t="s">
        <v>2607</v>
      </c>
      <c r="C70" s="1039" t="s">
        <v>609</v>
      </c>
    </row>
    <row r="71" spans="1:3" x14ac:dyDescent="0.35">
      <c r="A71" s="1947">
        <v>80</v>
      </c>
      <c r="B71" s="359" t="s">
        <v>2608</v>
      </c>
      <c r="C71" s="1039" t="s">
        <v>611</v>
      </c>
    </row>
    <row r="72" spans="1:3" x14ac:dyDescent="0.35">
      <c r="A72" s="1947">
        <v>81</v>
      </c>
      <c r="B72" s="359" t="s">
        <v>2609</v>
      </c>
      <c r="C72" s="1039" t="s">
        <v>612</v>
      </c>
    </row>
    <row r="73" spans="1:3" ht="36" x14ac:dyDescent="0.35">
      <c r="A73" s="1947">
        <v>82</v>
      </c>
      <c r="B73" s="1952" t="s">
        <v>2610</v>
      </c>
      <c r="C73" s="1952" t="s">
        <v>693</v>
      </c>
    </row>
    <row r="74" spans="1:3" ht="15.5" x14ac:dyDescent="0.35">
      <c r="A74" s="1947">
        <v>83</v>
      </c>
      <c r="B74" s="1953" t="s">
        <v>2611</v>
      </c>
      <c r="C74" s="1953" t="s">
        <v>1031</v>
      </c>
    </row>
    <row r="75" spans="1:3" x14ac:dyDescent="0.35">
      <c r="A75" s="1947">
        <v>84</v>
      </c>
      <c r="B75" s="1624" t="s">
        <v>2612</v>
      </c>
      <c r="C75" s="1624" t="s">
        <v>268</v>
      </c>
    </row>
    <row r="76" spans="1:3" x14ac:dyDescent="0.35">
      <c r="A76" s="1947">
        <v>85</v>
      </c>
      <c r="B76" s="1950" t="s">
        <v>2613</v>
      </c>
      <c r="C76" s="1950" t="s">
        <v>867</v>
      </c>
    </row>
    <row r="77" spans="1:3" ht="20" x14ac:dyDescent="0.35">
      <c r="A77" s="1947">
        <v>86</v>
      </c>
      <c r="B77" s="769" t="s">
        <v>2614</v>
      </c>
      <c r="C77" s="769" t="s">
        <v>1032</v>
      </c>
    </row>
    <row r="78" spans="1:3" x14ac:dyDescent="0.35">
      <c r="A78" s="1947">
        <v>87</v>
      </c>
      <c r="B78" s="1950" t="s">
        <v>2615</v>
      </c>
      <c r="C78" s="1950" t="s">
        <v>803</v>
      </c>
    </row>
    <row r="79" spans="1:3" ht="20" x14ac:dyDescent="0.35">
      <c r="A79" s="1947">
        <v>88</v>
      </c>
      <c r="B79" s="769" t="s">
        <v>2616</v>
      </c>
      <c r="C79" s="769" t="s">
        <v>1253</v>
      </c>
    </row>
    <row r="80" spans="1:3" x14ac:dyDescent="0.35">
      <c r="A80" s="1947">
        <v>90</v>
      </c>
      <c r="B80" s="1950" t="s">
        <v>2617</v>
      </c>
      <c r="C80" s="1950" t="s">
        <v>1258</v>
      </c>
    </row>
    <row r="81" spans="1:3" ht="20" x14ac:dyDescent="0.35">
      <c r="A81" s="1947">
        <v>91</v>
      </c>
      <c r="B81" s="769" t="s">
        <v>2618</v>
      </c>
      <c r="C81" s="769" t="s">
        <v>1254</v>
      </c>
    </row>
    <row r="82" spans="1:3" ht="20" x14ac:dyDescent="0.35">
      <c r="A82" s="1947">
        <v>92</v>
      </c>
      <c r="B82" s="769" t="s">
        <v>2619</v>
      </c>
      <c r="C82" s="769" t="s">
        <v>1255</v>
      </c>
    </row>
    <row r="83" spans="1:3" ht="20" x14ac:dyDescent="0.35">
      <c r="A83" s="1947">
        <v>93</v>
      </c>
      <c r="B83" s="769" t="s">
        <v>2620</v>
      </c>
      <c r="C83" s="769" t="s">
        <v>300</v>
      </c>
    </row>
    <row r="84" spans="1:3" x14ac:dyDescent="0.35">
      <c r="A84" s="1947">
        <v>94</v>
      </c>
      <c r="B84" s="1950" t="s">
        <v>2621</v>
      </c>
      <c r="C84" s="1950" t="s">
        <v>1257</v>
      </c>
    </row>
    <row r="85" spans="1:3" x14ac:dyDescent="0.35">
      <c r="A85" s="1947">
        <v>97</v>
      </c>
      <c r="B85" s="1950" t="s">
        <v>2622</v>
      </c>
      <c r="C85" s="1950" t="s">
        <v>1587</v>
      </c>
    </row>
    <row r="86" spans="1:3" x14ac:dyDescent="0.35">
      <c r="A86" s="1947">
        <v>98</v>
      </c>
      <c r="B86" s="1950" t="s">
        <v>2623</v>
      </c>
      <c r="C86" s="1950" t="s">
        <v>1256</v>
      </c>
    </row>
    <row r="87" spans="1:3" ht="20" x14ac:dyDescent="0.35">
      <c r="A87" s="1947">
        <v>99</v>
      </c>
      <c r="B87" s="769" t="s">
        <v>2624</v>
      </c>
      <c r="C87" s="769" t="s">
        <v>984</v>
      </c>
    </row>
    <row r="88" spans="1:3" ht="20" x14ac:dyDescent="0.35">
      <c r="A88" s="1947">
        <v>100</v>
      </c>
      <c r="B88" s="769" t="s">
        <v>2625</v>
      </c>
      <c r="C88" s="769" t="s">
        <v>806</v>
      </c>
    </row>
    <row r="89" spans="1:3" x14ac:dyDescent="0.35">
      <c r="A89" s="1947">
        <v>101</v>
      </c>
      <c r="B89" s="1967" t="s">
        <v>2626</v>
      </c>
      <c r="C89" s="1967" t="s">
        <v>19</v>
      </c>
    </row>
    <row r="90" spans="1:3" ht="26" x14ac:dyDescent="0.35">
      <c r="A90" s="1947">
        <v>102</v>
      </c>
      <c r="B90" s="1980" t="s">
        <v>2627</v>
      </c>
      <c r="C90" s="1968" t="s">
        <v>16</v>
      </c>
    </row>
    <row r="91" spans="1:3" x14ac:dyDescent="0.35">
      <c r="A91" s="1947">
        <v>103</v>
      </c>
      <c r="B91" s="1969" t="s">
        <v>2628</v>
      </c>
      <c r="C91" s="1969" t="s">
        <v>551</v>
      </c>
    </row>
    <row r="92" spans="1:3" x14ac:dyDescent="0.35">
      <c r="A92" s="1947">
        <v>104</v>
      </c>
      <c r="B92" s="1970" t="s">
        <v>2629</v>
      </c>
      <c r="C92" s="1970" t="s">
        <v>550</v>
      </c>
    </row>
    <row r="93" spans="1:3" x14ac:dyDescent="0.35">
      <c r="A93" s="1947">
        <v>105</v>
      </c>
      <c r="B93" s="1980" t="s">
        <v>2630</v>
      </c>
      <c r="C93" s="1968" t="s">
        <v>552</v>
      </c>
    </row>
    <row r="94" spans="1:3" x14ac:dyDescent="0.35">
      <c r="A94" s="1947">
        <v>106</v>
      </c>
      <c r="B94" s="1950" t="s">
        <v>2631</v>
      </c>
      <c r="C94" s="1950" t="s">
        <v>1049</v>
      </c>
    </row>
    <row r="95" spans="1:3" x14ac:dyDescent="0.35">
      <c r="A95" s="1947">
        <v>108</v>
      </c>
      <c r="B95" s="1950" t="s">
        <v>2632</v>
      </c>
      <c r="C95" s="1950" t="s">
        <v>17</v>
      </c>
    </row>
    <row r="96" spans="1:3" ht="20" x14ac:dyDescent="0.35">
      <c r="A96" s="1947">
        <v>109</v>
      </c>
      <c r="B96" s="769" t="s">
        <v>2633</v>
      </c>
      <c r="C96" s="769" t="s">
        <v>1242</v>
      </c>
    </row>
    <row r="97" spans="1:3" x14ac:dyDescent="0.35">
      <c r="A97" s="1947">
        <v>110</v>
      </c>
      <c r="B97" s="769" t="s">
        <v>2634</v>
      </c>
      <c r="C97" s="769" t="s">
        <v>1243</v>
      </c>
    </row>
    <row r="98" spans="1:3" x14ac:dyDescent="0.35">
      <c r="A98" s="1947">
        <v>111</v>
      </c>
      <c r="B98" s="769" t="s">
        <v>2635</v>
      </c>
      <c r="C98" s="769" t="s">
        <v>1244</v>
      </c>
    </row>
    <row r="99" spans="1:3" ht="20" x14ac:dyDescent="0.35">
      <c r="A99" s="1947">
        <v>112</v>
      </c>
      <c r="B99" s="769" t="s">
        <v>2636</v>
      </c>
      <c r="C99" s="769" t="s">
        <v>985</v>
      </c>
    </row>
    <row r="100" spans="1:3" x14ac:dyDescent="0.35">
      <c r="A100" s="1947">
        <v>115</v>
      </c>
      <c r="B100" s="1950" t="s">
        <v>2637</v>
      </c>
      <c r="C100" s="1971" t="s">
        <v>868</v>
      </c>
    </row>
    <row r="101" spans="1:3" ht="40" x14ac:dyDescent="0.35">
      <c r="A101" s="1947">
        <v>116</v>
      </c>
      <c r="B101" s="769" t="s">
        <v>2638</v>
      </c>
      <c r="C101" s="769" t="s">
        <v>808</v>
      </c>
    </row>
    <row r="102" spans="1:3" x14ac:dyDescent="0.35">
      <c r="A102" s="1947">
        <v>117</v>
      </c>
      <c r="B102" s="1969" t="s">
        <v>2639</v>
      </c>
      <c r="C102" s="1969" t="s">
        <v>807</v>
      </c>
    </row>
    <row r="103" spans="1:3" x14ac:dyDescent="0.35">
      <c r="A103" s="1947">
        <v>118</v>
      </c>
      <c r="B103" s="1972" t="s">
        <v>2640</v>
      </c>
      <c r="C103" s="1972" t="s">
        <v>871</v>
      </c>
    </row>
    <row r="104" spans="1:3" x14ac:dyDescent="0.35">
      <c r="A104" s="1947">
        <v>119</v>
      </c>
      <c r="B104" s="1972" t="s">
        <v>2641</v>
      </c>
      <c r="C104" s="1972" t="s">
        <v>872</v>
      </c>
    </row>
    <row r="105" spans="1:3" x14ac:dyDescent="0.35">
      <c r="A105" s="1947">
        <v>120</v>
      </c>
      <c r="B105" s="1972" t="s">
        <v>2642</v>
      </c>
      <c r="C105" s="1972" t="s">
        <v>873</v>
      </c>
    </row>
    <row r="106" spans="1:3" x14ac:dyDescent="0.35">
      <c r="A106" s="1947">
        <v>121</v>
      </c>
      <c r="B106" s="1972" t="s">
        <v>2643</v>
      </c>
      <c r="C106" s="1972" t="s">
        <v>874</v>
      </c>
    </row>
    <row r="107" spans="1:3" x14ac:dyDescent="0.35">
      <c r="A107" s="1947">
        <v>122</v>
      </c>
      <c r="B107" s="1972" t="s">
        <v>2644</v>
      </c>
      <c r="C107" s="1972" t="s">
        <v>875</v>
      </c>
    </row>
    <row r="108" spans="1:3" x14ac:dyDescent="0.35">
      <c r="A108" s="1947">
        <v>123</v>
      </c>
      <c r="B108" s="1972" t="s">
        <v>2645</v>
      </c>
      <c r="C108" s="1972" t="s">
        <v>876</v>
      </c>
    </row>
    <row r="109" spans="1:3" x14ac:dyDescent="0.35">
      <c r="A109" s="1947">
        <v>124</v>
      </c>
      <c r="B109" s="1972" t="s">
        <v>2646</v>
      </c>
      <c r="C109" s="1972" t="s">
        <v>877</v>
      </c>
    </row>
    <row r="110" spans="1:3" x14ac:dyDescent="0.35">
      <c r="A110" s="1947">
        <v>125</v>
      </c>
      <c r="B110" s="1970" t="s">
        <v>2647</v>
      </c>
      <c r="C110" s="1970" t="s">
        <v>878</v>
      </c>
    </row>
    <row r="111" spans="1:3" x14ac:dyDescent="0.35">
      <c r="A111" s="1947">
        <v>126</v>
      </c>
      <c r="B111" s="1950" t="s">
        <v>2648</v>
      </c>
      <c r="C111" s="1971" t="s">
        <v>870</v>
      </c>
    </row>
    <row r="112" spans="1:3" x14ac:dyDescent="0.35">
      <c r="A112" s="1947">
        <v>127</v>
      </c>
      <c r="B112" s="1624" t="s">
        <v>2649</v>
      </c>
      <c r="C112" s="1624" t="s">
        <v>267</v>
      </c>
    </row>
    <row r="113" spans="1:3" ht="20" x14ac:dyDescent="0.35">
      <c r="A113" s="1947">
        <v>128</v>
      </c>
      <c r="B113" s="769" t="s">
        <v>2650</v>
      </c>
      <c r="C113" s="769" t="s">
        <v>553</v>
      </c>
    </row>
    <row r="114" spans="1:3" ht="26" x14ac:dyDescent="0.35">
      <c r="A114" s="1947">
        <v>129</v>
      </c>
      <c r="B114" s="1950" t="s">
        <v>2651</v>
      </c>
      <c r="C114" s="1950" t="s">
        <v>1260</v>
      </c>
    </row>
    <row r="115" spans="1:3" x14ac:dyDescent="0.35">
      <c r="A115" s="1947">
        <v>130</v>
      </c>
      <c r="B115" s="1969" t="s">
        <v>2652</v>
      </c>
      <c r="C115" s="1969" t="s">
        <v>869</v>
      </c>
    </row>
    <row r="116" spans="1:3" ht="26" x14ac:dyDescent="0.35">
      <c r="A116" s="1947">
        <v>131</v>
      </c>
      <c r="B116" s="1950" t="s">
        <v>2653</v>
      </c>
      <c r="C116" s="1950" t="s">
        <v>1259</v>
      </c>
    </row>
    <row r="117" spans="1:3" x14ac:dyDescent="0.35">
      <c r="A117" s="1947">
        <v>134</v>
      </c>
      <c r="B117" s="1969" t="s">
        <v>2654</v>
      </c>
      <c r="C117" s="1969" t="s">
        <v>879</v>
      </c>
    </row>
    <row r="118" spans="1:3" x14ac:dyDescent="0.35">
      <c r="A118" s="1947">
        <v>135</v>
      </c>
      <c r="B118" s="1972" t="s">
        <v>2641</v>
      </c>
      <c r="C118" s="1972" t="s">
        <v>261</v>
      </c>
    </row>
    <row r="119" spans="1:3" x14ac:dyDescent="0.35">
      <c r="A119" s="1947">
        <v>136</v>
      </c>
      <c r="B119" s="1950" t="s">
        <v>2655</v>
      </c>
      <c r="C119" s="1950" t="s">
        <v>1261</v>
      </c>
    </row>
    <row r="120" spans="1:3" ht="20" x14ac:dyDescent="0.35">
      <c r="A120" s="1947">
        <v>137</v>
      </c>
      <c r="B120" s="769" t="s">
        <v>2656</v>
      </c>
      <c r="C120" s="769" t="s">
        <v>554</v>
      </c>
    </row>
    <row r="121" spans="1:3" x14ac:dyDescent="0.35">
      <c r="A121" s="1947">
        <v>138</v>
      </c>
      <c r="B121" s="1972" t="s">
        <v>2657</v>
      </c>
      <c r="C121" s="1972" t="s">
        <v>262</v>
      </c>
    </row>
    <row r="122" spans="1:3" x14ac:dyDescent="0.35">
      <c r="A122" s="1947">
        <v>139</v>
      </c>
      <c r="B122" s="1972" t="s">
        <v>2658</v>
      </c>
      <c r="C122" s="1972" t="s">
        <v>263</v>
      </c>
    </row>
    <row r="123" spans="1:3" x14ac:dyDescent="0.35">
      <c r="A123" s="1947">
        <v>140</v>
      </c>
      <c r="B123" s="1950" t="s">
        <v>2659</v>
      </c>
      <c r="C123" s="1950" t="s">
        <v>1219</v>
      </c>
    </row>
    <row r="124" spans="1:3" x14ac:dyDescent="0.35">
      <c r="A124" s="1947">
        <v>141</v>
      </c>
      <c r="B124" s="1969" t="s">
        <v>2660</v>
      </c>
      <c r="C124" s="1969" t="s">
        <v>264</v>
      </c>
    </row>
    <row r="125" spans="1:3" x14ac:dyDescent="0.35">
      <c r="A125" s="1947">
        <v>142</v>
      </c>
      <c r="B125" s="1972" t="s">
        <v>2661</v>
      </c>
      <c r="C125" s="1972" t="s">
        <v>1220</v>
      </c>
    </row>
    <row r="126" spans="1:3" x14ac:dyDescent="0.35">
      <c r="A126" s="1947">
        <v>143</v>
      </c>
      <c r="B126" s="1970" t="s">
        <v>2662</v>
      </c>
      <c r="C126" s="1970" t="s">
        <v>265</v>
      </c>
    </row>
    <row r="127" spans="1:3" x14ac:dyDescent="0.35">
      <c r="A127" s="1947">
        <v>144</v>
      </c>
      <c r="B127" s="1624" t="s">
        <v>2663</v>
      </c>
      <c r="C127" s="1624" t="s">
        <v>555</v>
      </c>
    </row>
    <row r="128" spans="1:3" x14ac:dyDescent="0.35">
      <c r="A128" s="1947">
        <v>145</v>
      </c>
      <c r="B128" s="1950" t="s">
        <v>2664</v>
      </c>
      <c r="C128" s="1950" t="s">
        <v>269</v>
      </c>
    </row>
    <row r="129" spans="1:3" ht="20" x14ac:dyDescent="0.35">
      <c r="A129" s="1947">
        <v>146</v>
      </c>
      <c r="B129" s="769" t="s">
        <v>2665</v>
      </c>
      <c r="C129" s="769" t="s">
        <v>1262</v>
      </c>
    </row>
    <row r="130" spans="1:3" ht="20" x14ac:dyDescent="0.35">
      <c r="A130" s="1947">
        <v>147</v>
      </c>
      <c r="B130" s="769" t="s">
        <v>2666</v>
      </c>
      <c r="C130" s="769" t="s">
        <v>731</v>
      </c>
    </row>
    <row r="131" spans="1:3" x14ac:dyDescent="0.35">
      <c r="A131" s="1947">
        <v>148</v>
      </c>
      <c r="B131" s="1617" t="s">
        <v>2667</v>
      </c>
      <c r="C131" s="2126" t="s">
        <v>27</v>
      </c>
    </row>
    <row r="132" spans="1:3" x14ac:dyDescent="0.35">
      <c r="A132" s="1947">
        <v>149</v>
      </c>
      <c r="B132" s="461" t="s">
        <v>2668</v>
      </c>
      <c r="C132" s="1980" t="s">
        <v>732</v>
      </c>
    </row>
    <row r="133" spans="1:3" ht="39" x14ac:dyDescent="0.35">
      <c r="A133" s="1947">
        <v>150</v>
      </c>
      <c r="B133" s="1950" t="s">
        <v>2669</v>
      </c>
      <c r="C133" s="1950" t="s">
        <v>1033</v>
      </c>
    </row>
    <row r="134" spans="1:3" ht="20" x14ac:dyDescent="0.35">
      <c r="A134" s="1947">
        <v>151</v>
      </c>
      <c r="B134" s="769" t="s">
        <v>2670</v>
      </c>
      <c r="C134" s="769" t="s">
        <v>785</v>
      </c>
    </row>
    <row r="135" spans="1:3" x14ac:dyDescent="0.35">
      <c r="A135" s="1947">
        <v>152</v>
      </c>
      <c r="B135" s="769" t="s">
        <v>2671</v>
      </c>
      <c r="C135" s="769" t="s">
        <v>1034</v>
      </c>
    </row>
    <row r="136" spans="1:3" ht="25" x14ac:dyDescent="0.35">
      <c r="A136" s="1947">
        <v>153</v>
      </c>
      <c r="B136" s="1039" t="s">
        <v>565</v>
      </c>
      <c r="C136" s="1039" t="s">
        <v>565</v>
      </c>
    </row>
    <row r="137" spans="1:3" ht="20" x14ac:dyDescent="0.35">
      <c r="A137" s="1947">
        <v>154</v>
      </c>
      <c r="B137" s="921" t="s">
        <v>2672</v>
      </c>
      <c r="C137" s="921" t="s">
        <v>1697</v>
      </c>
    </row>
    <row r="138" spans="1:3" x14ac:dyDescent="0.35">
      <c r="A138" s="1947">
        <v>155</v>
      </c>
      <c r="B138" s="769" t="s">
        <v>2673</v>
      </c>
      <c r="C138" s="769" t="s">
        <v>973</v>
      </c>
    </row>
    <row r="139" spans="1:3" x14ac:dyDescent="0.35">
      <c r="A139" s="1947">
        <v>156</v>
      </c>
      <c r="B139" s="1967" t="s">
        <v>2674</v>
      </c>
      <c r="C139" s="1967" t="s">
        <v>1662</v>
      </c>
    </row>
    <row r="140" spans="1:3" ht="26" x14ac:dyDescent="0.35">
      <c r="A140" s="1947">
        <v>157</v>
      </c>
      <c r="B140" s="1950" t="s">
        <v>2675</v>
      </c>
      <c r="C140" s="1950" t="s">
        <v>987</v>
      </c>
    </row>
    <row r="141" spans="1:3" x14ac:dyDescent="0.35">
      <c r="A141" s="1947">
        <v>158</v>
      </c>
      <c r="B141" s="769" t="s">
        <v>2676</v>
      </c>
      <c r="C141" s="769" t="s">
        <v>986</v>
      </c>
    </row>
    <row r="142" spans="1:3" ht="20" x14ac:dyDescent="0.35">
      <c r="A142" s="1947">
        <v>159</v>
      </c>
      <c r="B142" s="769" t="s">
        <v>2677</v>
      </c>
      <c r="C142" s="769" t="s">
        <v>809</v>
      </c>
    </row>
    <row r="143" spans="1:3" x14ac:dyDescent="0.35">
      <c r="A143" s="1947">
        <v>177</v>
      </c>
      <c r="B143" s="556" t="s">
        <v>2678</v>
      </c>
      <c r="C143" s="1950" t="s">
        <v>1245</v>
      </c>
    </row>
    <row r="144" spans="1:3" x14ac:dyDescent="0.35">
      <c r="A144" s="1947">
        <v>199</v>
      </c>
      <c r="B144" s="1950" t="s">
        <v>2679</v>
      </c>
      <c r="C144" s="1950" t="s">
        <v>298</v>
      </c>
    </row>
    <row r="145" spans="1:4" ht="104" x14ac:dyDescent="0.35">
      <c r="A145" s="1947">
        <v>200</v>
      </c>
      <c r="B145" s="1973" t="s">
        <v>2680</v>
      </c>
      <c r="C145" s="1973" t="s">
        <v>1263</v>
      </c>
    </row>
    <row r="146" spans="1:4" ht="15.5" x14ac:dyDescent="0.35">
      <c r="A146" s="1947">
        <v>211</v>
      </c>
      <c r="B146" s="1953" t="s">
        <v>2681</v>
      </c>
      <c r="C146" s="1953" t="s">
        <v>148</v>
      </c>
    </row>
    <row r="147" spans="1:4" x14ac:dyDescent="0.35">
      <c r="A147" s="1947">
        <v>212</v>
      </c>
      <c r="B147" s="1624" t="s">
        <v>2682</v>
      </c>
      <c r="C147" s="1624" t="s">
        <v>150</v>
      </c>
    </row>
    <row r="148" spans="1:4" ht="26" x14ac:dyDescent="0.35">
      <c r="A148" s="1947">
        <v>213</v>
      </c>
      <c r="B148" s="1950" t="s">
        <v>2683</v>
      </c>
      <c r="C148" s="1950" t="s">
        <v>245</v>
      </c>
    </row>
    <row r="149" spans="1:4" ht="30" x14ac:dyDescent="0.35">
      <c r="A149" s="1947">
        <v>214</v>
      </c>
      <c r="B149" s="769" t="s">
        <v>2684</v>
      </c>
      <c r="C149" s="769" t="s">
        <v>1663</v>
      </c>
    </row>
    <row r="150" spans="1:4" ht="39" x14ac:dyDescent="0.35">
      <c r="A150" s="1947">
        <v>218</v>
      </c>
      <c r="B150" s="1973" t="s">
        <v>2685</v>
      </c>
      <c r="C150" s="1973" t="s">
        <v>246</v>
      </c>
    </row>
    <row r="151" spans="1:4" x14ac:dyDescent="0.35">
      <c r="A151" s="1947">
        <v>219</v>
      </c>
      <c r="B151" s="1974" t="s">
        <v>2686</v>
      </c>
      <c r="C151" s="1974" t="s">
        <v>533</v>
      </c>
    </row>
    <row r="152" spans="1:4" x14ac:dyDescent="0.35">
      <c r="A152" s="1947">
        <v>220</v>
      </c>
      <c r="B152" s="1975" t="s">
        <v>2692</v>
      </c>
      <c r="C152" s="1975" t="s">
        <v>845</v>
      </c>
    </row>
    <row r="153" spans="1:4" x14ac:dyDescent="0.35">
      <c r="A153" s="1947">
        <v>221</v>
      </c>
      <c r="B153" s="1976" t="s">
        <v>2687</v>
      </c>
      <c r="C153" s="1976" t="s">
        <v>1472</v>
      </c>
    </row>
    <row r="154" spans="1:4" x14ac:dyDescent="0.35">
      <c r="A154" s="1947">
        <v>222</v>
      </c>
      <c r="B154" s="1975" t="s">
        <v>2688</v>
      </c>
      <c r="C154" s="1975" t="s">
        <v>282</v>
      </c>
      <c r="D154" s="1948" t="s">
        <v>2365</v>
      </c>
    </row>
    <row r="155" spans="1:4" x14ac:dyDescent="0.35">
      <c r="A155" s="1947">
        <v>223</v>
      </c>
      <c r="B155" s="1624" t="s">
        <v>2689</v>
      </c>
      <c r="C155" s="1624" t="s">
        <v>247</v>
      </c>
    </row>
    <row r="156" spans="1:4" ht="26" x14ac:dyDescent="0.35">
      <c r="A156" s="1947">
        <v>224</v>
      </c>
      <c r="B156" s="1950" t="s">
        <v>2690</v>
      </c>
      <c r="C156" s="1950" t="s">
        <v>532</v>
      </c>
    </row>
    <row r="157" spans="1:4" ht="20" x14ac:dyDescent="0.35">
      <c r="A157" s="1947">
        <v>227</v>
      </c>
      <c r="B157" s="921" t="s">
        <v>2691</v>
      </c>
      <c r="C157" s="921" t="s">
        <v>645</v>
      </c>
    </row>
    <row r="158" spans="1:4" x14ac:dyDescent="0.35">
      <c r="A158" s="1947">
        <v>230</v>
      </c>
      <c r="B158" s="1975" t="s">
        <v>2693</v>
      </c>
      <c r="C158" s="1977" t="s">
        <v>281</v>
      </c>
      <c r="D158" s="1948" t="s">
        <v>2363</v>
      </c>
    </row>
    <row r="159" spans="1:4" ht="15.5" x14ac:dyDescent="0.35">
      <c r="A159" s="1947">
        <v>232</v>
      </c>
      <c r="B159" s="1953" t="s">
        <v>2694</v>
      </c>
      <c r="C159" s="1953" t="s">
        <v>149</v>
      </c>
    </row>
    <row r="160" spans="1:4" ht="26" x14ac:dyDescent="0.35">
      <c r="A160" s="1947">
        <v>233</v>
      </c>
      <c r="B160" s="1950" t="s">
        <v>2695</v>
      </c>
      <c r="C160" s="1950" t="s">
        <v>534</v>
      </c>
    </row>
    <row r="161" spans="1:3" ht="30" x14ac:dyDescent="0.35">
      <c r="A161" s="1947">
        <v>234</v>
      </c>
      <c r="B161" s="769" t="s">
        <v>2696</v>
      </c>
      <c r="C161" s="769" t="s">
        <v>535</v>
      </c>
    </row>
    <row r="162" spans="1:3" ht="30" x14ac:dyDescent="0.35">
      <c r="A162" s="1947">
        <v>235</v>
      </c>
      <c r="B162" s="769" t="s">
        <v>2697</v>
      </c>
      <c r="C162" s="769" t="s">
        <v>1264</v>
      </c>
    </row>
    <row r="163" spans="1:3" ht="20" x14ac:dyDescent="0.35">
      <c r="A163" s="1947">
        <v>236</v>
      </c>
      <c r="B163" s="769" t="s">
        <v>2698</v>
      </c>
      <c r="C163" s="769" t="s">
        <v>101</v>
      </c>
    </row>
    <row r="164" spans="1:3" ht="20" x14ac:dyDescent="0.35">
      <c r="A164" s="1947">
        <v>237</v>
      </c>
      <c r="B164" s="769" t="s">
        <v>2699</v>
      </c>
      <c r="C164" s="769" t="s">
        <v>102</v>
      </c>
    </row>
    <row r="165" spans="1:3" x14ac:dyDescent="0.35">
      <c r="A165" s="1947">
        <v>238</v>
      </c>
      <c r="B165" s="769" t="s">
        <v>2700</v>
      </c>
      <c r="C165" s="769" t="s">
        <v>1040</v>
      </c>
    </row>
    <row r="166" spans="1:3" x14ac:dyDescent="0.35">
      <c r="A166" s="1947">
        <v>239</v>
      </c>
      <c r="B166" s="769" t="s">
        <v>2701</v>
      </c>
      <c r="C166" s="769" t="s">
        <v>542</v>
      </c>
    </row>
    <row r="167" spans="1:3" x14ac:dyDescent="0.35">
      <c r="A167" s="1947">
        <v>240</v>
      </c>
      <c r="B167" s="769" t="s">
        <v>2702</v>
      </c>
      <c r="C167" s="769" t="s">
        <v>543</v>
      </c>
    </row>
    <row r="168" spans="1:3" x14ac:dyDescent="0.35">
      <c r="A168" s="1947">
        <v>241</v>
      </c>
      <c r="B168" s="769" t="s">
        <v>2703</v>
      </c>
      <c r="C168" s="769" t="s">
        <v>1039</v>
      </c>
    </row>
    <row r="169" spans="1:3" x14ac:dyDescent="0.35">
      <c r="A169" s="1947">
        <v>242</v>
      </c>
      <c r="B169" s="769" t="s">
        <v>2704</v>
      </c>
      <c r="C169" s="769" t="s">
        <v>544</v>
      </c>
    </row>
    <row r="170" spans="1:3" x14ac:dyDescent="0.35">
      <c r="A170" s="1947">
        <v>243</v>
      </c>
      <c r="B170" s="921" t="s">
        <v>2705</v>
      </c>
      <c r="C170" s="921" t="s">
        <v>1042</v>
      </c>
    </row>
    <row r="171" spans="1:3" ht="20" x14ac:dyDescent="0.35">
      <c r="A171" s="1947">
        <v>244</v>
      </c>
      <c r="B171" s="769" t="s">
        <v>2706</v>
      </c>
      <c r="C171" s="769" t="s">
        <v>586</v>
      </c>
    </row>
    <row r="172" spans="1:3" ht="30" x14ac:dyDescent="0.35">
      <c r="A172" s="1947">
        <v>245</v>
      </c>
      <c r="B172" s="769" t="s">
        <v>2707</v>
      </c>
      <c r="C172" s="769" t="s">
        <v>1041</v>
      </c>
    </row>
    <row r="173" spans="1:3" x14ac:dyDescent="0.35">
      <c r="A173" s="1947">
        <v>246</v>
      </c>
      <c r="B173" s="769" t="s">
        <v>2708</v>
      </c>
      <c r="C173" s="769" t="s">
        <v>587</v>
      </c>
    </row>
    <row r="174" spans="1:3" x14ac:dyDescent="0.35">
      <c r="A174" s="1947">
        <v>247</v>
      </c>
      <c r="B174" s="769" t="s">
        <v>2709</v>
      </c>
      <c r="C174" s="769" t="s">
        <v>800</v>
      </c>
    </row>
    <row r="175" spans="1:3" x14ac:dyDescent="0.35">
      <c r="A175" s="1947">
        <v>248</v>
      </c>
      <c r="B175" s="769" t="s">
        <v>2710</v>
      </c>
      <c r="C175" s="769" t="s">
        <v>47</v>
      </c>
    </row>
    <row r="176" spans="1:3" x14ac:dyDescent="0.35">
      <c r="A176" s="1947">
        <v>249</v>
      </c>
      <c r="B176" s="769" t="s">
        <v>2711</v>
      </c>
      <c r="C176" s="769" t="s">
        <v>545</v>
      </c>
    </row>
    <row r="177" spans="1:4" x14ac:dyDescent="0.35">
      <c r="A177" s="1947">
        <v>250</v>
      </c>
      <c r="B177" s="769" t="s">
        <v>2712</v>
      </c>
      <c r="C177" s="769" t="s">
        <v>1582</v>
      </c>
    </row>
    <row r="178" spans="1:4" ht="20" x14ac:dyDescent="0.35">
      <c r="A178" s="1947">
        <v>251</v>
      </c>
      <c r="B178" s="769" t="s">
        <v>2713</v>
      </c>
      <c r="C178" s="769" t="s">
        <v>1596</v>
      </c>
    </row>
    <row r="179" spans="1:4" x14ac:dyDescent="0.35">
      <c r="A179" s="1947">
        <v>252</v>
      </c>
      <c r="B179" s="769" t="s">
        <v>2714</v>
      </c>
      <c r="C179" s="769" t="s">
        <v>308</v>
      </c>
    </row>
    <row r="180" spans="1:4" x14ac:dyDescent="0.35">
      <c r="A180" s="1947">
        <v>253</v>
      </c>
      <c r="B180" s="769" t="s">
        <v>2715</v>
      </c>
      <c r="C180" s="769" t="s">
        <v>309</v>
      </c>
    </row>
    <row r="181" spans="1:4" x14ac:dyDescent="0.35">
      <c r="A181" s="1947">
        <v>254</v>
      </c>
      <c r="B181" s="769" t="s">
        <v>2716</v>
      </c>
      <c r="C181" s="769" t="s">
        <v>310</v>
      </c>
    </row>
    <row r="182" spans="1:4" x14ac:dyDescent="0.35">
      <c r="A182" s="1947">
        <v>255</v>
      </c>
      <c r="B182" s="1975" t="s">
        <v>2717</v>
      </c>
      <c r="C182" s="1975" t="s">
        <v>536</v>
      </c>
    </row>
    <row r="183" spans="1:4" x14ac:dyDescent="0.35">
      <c r="A183" s="1947">
        <v>256</v>
      </c>
      <c r="B183" s="1975" t="s">
        <v>2718</v>
      </c>
      <c r="C183" s="1975" t="s">
        <v>537</v>
      </c>
      <c r="D183" s="1948" t="s">
        <v>2350</v>
      </c>
    </row>
    <row r="184" spans="1:4" x14ac:dyDescent="0.35">
      <c r="A184" s="1947">
        <v>257</v>
      </c>
      <c r="B184" s="1975" t="s">
        <v>2719</v>
      </c>
      <c r="C184" s="1975" t="s">
        <v>538</v>
      </c>
    </row>
    <row r="185" spans="1:4" x14ac:dyDescent="0.35">
      <c r="A185" s="1947">
        <v>258</v>
      </c>
      <c r="B185" s="1975" t="s">
        <v>2720</v>
      </c>
      <c r="C185" s="1975" t="s">
        <v>539</v>
      </c>
    </row>
    <row r="186" spans="1:4" ht="26" x14ac:dyDescent="0.35">
      <c r="A186" s="1947">
        <v>259</v>
      </c>
      <c r="B186" s="1950" t="s">
        <v>2721</v>
      </c>
      <c r="C186" s="1950" t="s">
        <v>1102</v>
      </c>
    </row>
    <row r="187" spans="1:4" ht="30" x14ac:dyDescent="0.35">
      <c r="A187" s="1947">
        <v>260</v>
      </c>
      <c r="B187" s="769" t="s">
        <v>2722</v>
      </c>
      <c r="C187" s="769" t="s">
        <v>2554</v>
      </c>
    </row>
    <row r="188" spans="1:4" ht="20" x14ac:dyDescent="0.35">
      <c r="A188" s="1947">
        <v>261</v>
      </c>
      <c r="B188" s="769" t="s">
        <v>2723</v>
      </c>
      <c r="C188" s="769" t="s">
        <v>1514</v>
      </c>
    </row>
    <row r="189" spans="1:4" x14ac:dyDescent="0.35">
      <c r="A189" s="1947">
        <v>262</v>
      </c>
      <c r="B189" s="1975" t="s">
        <v>2724</v>
      </c>
      <c r="C189" s="1975" t="s">
        <v>1515</v>
      </c>
    </row>
    <row r="190" spans="1:4" x14ac:dyDescent="0.35">
      <c r="A190" s="1947">
        <v>263</v>
      </c>
      <c r="B190" s="1975" t="s">
        <v>2725</v>
      </c>
      <c r="C190" s="1975" t="s">
        <v>1101</v>
      </c>
    </row>
    <row r="191" spans="1:4" x14ac:dyDescent="0.35">
      <c r="A191" s="1947">
        <v>264</v>
      </c>
      <c r="B191" s="1978" t="s">
        <v>2726</v>
      </c>
      <c r="C191" s="1978" t="s">
        <v>541</v>
      </c>
    </row>
    <row r="192" spans="1:4" ht="15" thickBot="1" x14ac:dyDescent="0.4">
      <c r="A192" s="1947">
        <v>265</v>
      </c>
      <c r="B192" s="1975" t="s">
        <v>2727</v>
      </c>
      <c r="C192" s="1975" t="s">
        <v>540</v>
      </c>
    </row>
    <row r="193" spans="1:3" ht="15" thickBot="1" x14ac:dyDescent="0.4">
      <c r="A193" s="1947">
        <v>339</v>
      </c>
      <c r="B193" s="1979" t="s">
        <v>2728</v>
      </c>
      <c r="C193" s="2127" t="s">
        <v>892</v>
      </c>
    </row>
    <row r="194" spans="1:3" ht="26" x14ac:dyDescent="0.35">
      <c r="A194" s="1947">
        <v>350</v>
      </c>
      <c r="B194" s="1966" t="s">
        <v>694</v>
      </c>
      <c r="C194" s="1966" t="s">
        <v>596</v>
      </c>
    </row>
    <row r="195" spans="1:3" x14ac:dyDescent="0.35">
      <c r="A195" s="1947">
        <v>351</v>
      </c>
      <c r="B195" s="359" t="s">
        <v>2729</v>
      </c>
      <c r="C195" s="1039" t="s">
        <v>614</v>
      </c>
    </row>
    <row r="196" spans="1:3" x14ac:dyDescent="0.35">
      <c r="A196" s="1947">
        <v>352</v>
      </c>
      <c r="B196" s="359" t="s">
        <v>2730</v>
      </c>
      <c r="C196" s="1039" t="s">
        <v>615</v>
      </c>
    </row>
    <row r="197" spans="1:3" x14ac:dyDescent="0.35">
      <c r="A197" s="1947">
        <v>353</v>
      </c>
      <c r="B197" s="359" t="s">
        <v>2731</v>
      </c>
      <c r="C197" s="1039" t="s">
        <v>1410</v>
      </c>
    </row>
    <row r="198" spans="1:3" x14ac:dyDescent="0.35">
      <c r="A198" s="1947">
        <v>354</v>
      </c>
      <c r="B198" s="359" t="s">
        <v>2732</v>
      </c>
      <c r="C198" s="1039" t="s">
        <v>1411</v>
      </c>
    </row>
    <row r="199" spans="1:3" x14ac:dyDescent="0.35">
      <c r="A199" s="1947">
        <v>355</v>
      </c>
      <c r="B199" s="359" t="s">
        <v>2733</v>
      </c>
      <c r="C199" s="1039" t="s">
        <v>616</v>
      </c>
    </row>
    <row r="200" spans="1:3" x14ac:dyDescent="0.35">
      <c r="A200" s="1947">
        <v>356</v>
      </c>
      <c r="B200" s="359" t="s">
        <v>2734</v>
      </c>
      <c r="C200" s="1039" t="s">
        <v>617</v>
      </c>
    </row>
    <row r="201" spans="1:3" ht="36" x14ac:dyDescent="0.35">
      <c r="A201" s="1947">
        <v>357</v>
      </c>
      <c r="B201" s="1952" t="s">
        <v>2735</v>
      </c>
      <c r="C201" s="1952" t="s">
        <v>695</v>
      </c>
    </row>
    <row r="202" spans="1:3" ht="31" x14ac:dyDescent="0.35">
      <c r="A202" s="1947">
        <v>358</v>
      </c>
      <c r="B202" s="1953" t="s">
        <v>2736</v>
      </c>
      <c r="C202" s="1953" t="s">
        <v>957</v>
      </c>
    </row>
    <row r="203" spans="1:3" x14ac:dyDescent="0.35">
      <c r="A203" s="1947">
        <v>363</v>
      </c>
      <c r="B203" s="1980" t="s">
        <v>2737</v>
      </c>
      <c r="C203" s="1980" t="s">
        <v>962</v>
      </c>
    </row>
    <row r="204" spans="1:3" x14ac:dyDescent="0.35">
      <c r="A204" s="1947">
        <v>364</v>
      </c>
      <c r="B204" s="1969" t="s">
        <v>2738</v>
      </c>
      <c r="C204" s="1981" t="s">
        <v>960</v>
      </c>
    </row>
    <row r="205" spans="1:3" x14ac:dyDescent="0.35">
      <c r="A205" s="1947">
        <v>366</v>
      </c>
      <c r="B205" s="1972" t="s">
        <v>2739</v>
      </c>
      <c r="C205" s="1982" t="s">
        <v>958</v>
      </c>
    </row>
    <row r="206" spans="1:3" x14ac:dyDescent="0.35">
      <c r="A206" s="1947">
        <v>367</v>
      </c>
      <c r="B206" s="1970" t="s">
        <v>2740</v>
      </c>
      <c r="C206" s="1983" t="s">
        <v>959</v>
      </c>
    </row>
    <row r="207" spans="1:3" x14ac:dyDescent="0.35">
      <c r="A207" s="1947">
        <v>368</v>
      </c>
      <c r="B207" s="1984" t="s">
        <v>2741</v>
      </c>
      <c r="C207" s="1984" t="s">
        <v>1325</v>
      </c>
    </row>
    <row r="208" spans="1:3" ht="15" thickBot="1" x14ac:dyDescent="0.4">
      <c r="A208" s="1947">
        <v>369</v>
      </c>
      <c r="B208" s="1985" t="s">
        <v>2742</v>
      </c>
      <c r="C208" s="1985" t="s">
        <v>1324</v>
      </c>
    </row>
    <row r="209" spans="1:3" ht="15" thickBot="1" x14ac:dyDescent="0.4">
      <c r="A209" s="1947">
        <v>371</v>
      </c>
      <c r="B209" s="1986" t="s">
        <v>2743</v>
      </c>
      <c r="C209" s="1986" t="s">
        <v>963</v>
      </c>
    </row>
    <row r="210" spans="1:3" ht="20" x14ac:dyDescent="0.35">
      <c r="A210" s="1947">
        <v>375</v>
      </c>
      <c r="B210" s="769" t="s">
        <v>2748</v>
      </c>
      <c r="C210" s="769" t="s">
        <v>1518</v>
      </c>
    </row>
    <row r="211" spans="1:3" ht="30" x14ac:dyDescent="0.35">
      <c r="A211" s="1947">
        <v>376</v>
      </c>
      <c r="B211" s="769" t="s">
        <v>2749</v>
      </c>
      <c r="C211" s="769" t="s">
        <v>1519</v>
      </c>
    </row>
    <row r="212" spans="1:3" x14ac:dyDescent="0.35">
      <c r="A212" s="1947">
        <v>377</v>
      </c>
      <c r="B212" s="769" t="s">
        <v>2750</v>
      </c>
      <c r="C212" s="769" t="s">
        <v>1520</v>
      </c>
    </row>
    <row r="213" spans="1:3" x14ac:dyDescent="0.35">
      <c r="A213" s="1947">
        <v>378</v>
      </c>
      <c r="B213" s="769" t="s">
        <v>2751</v>
      </c>
      <c r="C213" s="769" t="s">
        <v>1521</v>
      </c>
    </row>
    <row r="214" spans="1:3" x14ac:dyDescent="0.35">
      <c r="A214" s="1947">
        <v>379</v>
      </c>
      <c r="B214" s="769" t="s">
        <v>2752</v>
      </c>
      <c r="C214" s="769" t="s">
        <v>1661</v>
      </c>
    </row>
    <row r="215" spans="1:3" x14ac:dyDescent="0.35">
      <c r="A215" s="1947">
        <v>380</v>
      </c>
      <c r="B215" s="769" t="s">
        <v>2753</v>
      </c>
      <c r="C215" s="769" t="s">
        <v>1570</v>
      </c>
    </row>
    <row r="216" spans="1:3" ht="15.5" x14ac:dyDescent="0.35">
      <c r="A216" s="1947">
        <v>385</v>
      </c>
      <c r="B216" s="1953" t="s">
        <v>2744</v>
      </c>
      <c r="C216" s="1953" t="s">
        <v>939</v>
      </c>
    </row>
    <row r="217" spans="1:3" x14ac:dyDescent="0.35">
      <c r="A217" s="1947">
        <v>387</v>
      </c>
      <c r="B217" s="1984" t="s">
        <v>2745</v>
      </c>
      <c r="C217" s="1984" t="s">
        <v>929</v>
      </c>
    </row>
    <row r="218" spans="1:3" x14ac:dyDescent="0.35">
      <c r="A218" s="1947">
        <v>388</v>
      </c>
      <c r="B218" s="1624" t="s">
        <v>2746</v>
      </c>
      <c r="C218" s="1624" t="s">
        <v>227</v>
      </c>
    </row>
    <row r="219" spans="1:3" ht="20" x14ac:dyDescent="0.35">
      <c r="A219" s="1947">
        <v>390</v>
      </c>
      <c r="B219" s="769" t="s">
        <v>2747</v>
      </c>
      <c r="C219" s="769" t="s">
        <v>1513</v>
      </c>
    </row>
    <row r="220" spans="1:3" ht="15.5" x14ac:dyDescent="0.35">
      <c r="A220" s="1947">
        <v>391</v>
      </c>
      <c r="B220" s="1953" t="s">
        <v>2754</v>
      </c>
      <c r="C220" s="1953" t="s">
        <v>1305</v>
      </c>
    </row>
    <row r="221" spans="1:3" ht="26" x14ac:dyDescent="0.35">
      <c r="A221" s="1947">
        <v>392</v>
      </c>
      <c r="B221" s="1950" t="s">
        <v>2755</v>
      </c>
      <c r="C221" s="1950" t="s">
        <v>1336</v>
      </c>
    </row>
    <row r="222" spans="1:3" ht="30" x14ac:dyDescent="0.35">
      <c r="A222" s="1947">
        <v>393</v>
      </c>
      <c r="B222" s="769" t="s">
        <v>2756</v>
      </c>
      <c r="C222" s="769" t="s">
        <v>1331</v>
      </c>
    </row>
    <row r="223" spans="1:3" ht="30" x14ac:dyDescent="0.35">
      <c r="A223" s="1947">
        <v>394</v>
      </c>
      <c r="B223" s="921" t="s">
        <v>2757</v>
      </c>
      <c r="C223" s="921" t="s">
        <v>1332</v>
      </c>
    </row>
    <row r="224" spans="1:3" ht="50" x14ac:dyDescent="0.35">
      <c r="A224" s="1947">
        <v>395</v>
      </c>
      <c r="B224" s="921" t="s">
        <v>2758</v>
      </c>
      <c r="C224" s="921" t="s">
        <v>1415</v>
      </c>
    </row>
    <row r="225" spans="1:3" ht="30" x14ac:dyDescent="0.35">
      <c r="A225" s="1947">
        <v>396</v>
      </c>
      <c r="B225" s="769" t="s">
        <v>2759</v>
      </c>
      <c r="C225" s="769" t="s">
        <v>1517</v>
      </c>
    </row>
    <row r="226" spans="1:3" ht="40" x14ac:dyDescent="0.35">
      <c r="A226" s="1947">
        <v>397</v>
      </c>
      <c r="B226" s="769" t="s">
        <v>2760</v>
      </c>
      <c r="C226" s="769" t="s">
        <v>1409</v>
      </c>
    </row>
    <row r="227" spans="1:3" ht="42" x14ac:dyDescent="0.35">
      <c r="A227" s="1947">
        <v>398</v>
      </c>
      <c r="B227" s="1624" t="s">
        <v>2761</v>
      </c>
      <c r="C227" s="1624" t="s">
        <v>1171</v>
      </c>
    </row>
    <row r="228" spans="1:3" x14ac:dyDescent="0.35">
      <c r="A228" s="1947">
        <v>399</v>
      </c>
      <c r="B228" s="1950" t="s">
        <v>2762</v>
      </c>
      <c r="C228" s="1950" t="s">
        <v>1159</v>
      </c>
    </row>
    <row r="229" spans="1:3" x14ac:dyDescent="0.35">
      <c r="A229" s="1947">
        <v>400</v>
      </c>
      <c r="B229" s="769" t="s">
        <v>2763</v>
      </c>
      <c r="C229" s="769" t="s">
        <v>1196</v>
      </c>
    </row>
    <row r="230" spans="1:3" x14ac:dyDescent="0.35">
      <c r="A230" s="1947">
        <v>401</v>
      </c>
      <c r="B230" s="1984" t="s">
        <v>2764</v>
      </c>
      <c r="C230" s="1984" t="s">
        <v>1152</v>
      </c>
    </row>
    <row r="231" spans="1:3" x14ac:dyDescent="0.35">
      <c r="A231" s="1947">
        <v>402</v>
      </c>
      <c r="B231" s="1950" t="s">
        <v>2765</v>
      </c>
      <c r="C231" s="1950" t="s">
        <v>1153</v>
      </c>
    </row>
    <row r="232" spans="1:3" x14ac:dyDescent="0.35">
      <c r="A232" s="1947">
        <v>404</v>
      </c>
      <c r="B232" s="1950" t="s">
        <v>2766</v>
      </c>
      <c r="C232" s="1950" t="s">
        <v>1154</v>
      </c>
    </row>
    <row r="233" spans="1:3" x14ac:dyDescent="0.35">
      <c r="A233" s="1947">
        <v>406</v>
      </c>
      <c r="B233" s="1984" t="s">
        <v>2766</v>
      </c>
      <c r="C233" s="1984" t="s">
        <v>1476</v>
      </c>
    </row>
    <row r="234" spans="1:3" x14ac:dyDescent="0.35">
      <c r="A234" s="1947">
        <v>407</v>
      </c>
      <c r="B234" s="1950" t="s">
        <v>2767</v>
      </c>
      <c r="C234" s="1950" t="s">
        <v>1277</v>
      </c>
    </row>
    <row r="235" spans="1:3" ht="20" x14ac:dyDescent="0.35">
      <c r="A235" s="1947">
        <v>408</v>
      </c>
      <c r="B235" s="769" t="s">
        <v>2768</v>
      </c>
      <c r="C235" s="769" t="s">
        <v>1349</v>
      </c>
    </row>
    <row r="236" spans="1:3" x14ac:dyDescent="0.35">
      <c r="A236" s="1947">
        <v>409</v>
      </c>
      <c r="B236" s="1984" t="s">
        <v>2769</v>
      </c>
      <c r="C236" s="1984" t="s">
        <v>1197</v>
      </c>
    </row>
    <row r="237" spans="1:3" x14ac:dyDescent="0.35">
      <c r="A237" s="1947">
        <v>410</v>
      </c>
      <c r="B237" s="1984" t="s">
        <v>2770</v>
      </c>
      <c r="C237" s="1984" t="s">
        <v>1198</v>
      </c>
    </row>
    <row r="238" spans="1:3" x14ac:dyDescent="0.35">
      <c r="A238" s="1947">
        <v>411</v>
      </c>
      <c r="B238" s="1984" t="s">
        <v>2771</v>
      </c>
      <c r="C238" s="1984" t="s">
        <v>206</v>
      </c>
    </row>
    <row r="239" spans="1:3" x14ac:dyDescent="0.35">
      <c r="A239" s="1947">
        <v>412</v>
      </c>
      <c r="B239" s="1950" t="s">
        <v>2772</v>
      </c>
      <c r="C239" s="1950" t="s">
        <v>1345</v>
      </c>
    </row>
    <row r="240" spans="1:3" x14ac:dyDescent="0.35">
      <c r="A240" s="1947">
        <v>413</v>
      </c>
      <c r="B240" s="2168" t="s">
        <v>2773</v>
      </c>
      <c r="C240" s="749" t="s">
        <v>1343</v>
      </c>
    </row>
    <row r="241" spans="1:3" x14ac:dyDescent="0.35">
      <c r="A241" s="1947">
        <v>414</v>
      </c>
      <c r="B241" s="2168" t="s">
        <v>2774</v>
      </c>
      <c r="C241" s="749" t="s">
        <v>1368</v>
      </c>
    </row>
    <row r="242" spans="1:3" x14ac:dyDescent="0.35">
      <c r="A242" s="1947">
        <v>415</v>
      </c>
      <c r="B242" s="1950" t="s">
        <v>2775</v>
      </c>
      <c r="C242" s="1950" t="s">
        <v>1347</v>
      </c>
    </row>
    <row r="243" spans="1:3" ht="20" x14ac:dyDescent="0.35">
      <c r="A243" s="1947">
        <v>416</v>
      </c>
      <c r="B243" s="769" t="s">
        <v>2776</v>
      </c>
      <c r="C243" s="769" t="s">
        <v>1346</v>
      </c>
    </row>
    <row r="244" spans="1:3" ht="60" x14ac:dyDescent="0.35">
      <c r="A244" s="1947">
        <v>417</v>
      </c>
      <c r="B244" s="769" t="s">
        <v>2777</v>
      </c>
      <c r="C244" s="769" t="s">
        <v>1348</v>
      </c>
    </row>
    <row r="245" spans="1:3" x14ac:dyDescent="0.35">
      <c r="A245" s="1947">
        <v>418</v>
      </c>
      <c r="B245" s="1984" t="s">
        <v>2778</v>
      </c>
      <c r="C245" s="1984" t="s">
        <v>1157</v>
      </c>
    </row>
    <row r="246" spans="1:3" x14ac:dyDescent="0.35">
      <c r="A246" s="1947">
        <v>419</v>
      </c>
      <c r="B246" s="1984" t="s">
        <v>2779</v>
      </c>
      <c r="C246" s="1984" t="s">
        <v>1158</v>
      </c>
    </row>
    <row r="247" spans="1:3" x14ac:dyDescent="0.35">
      <c r="A247" s="1947">
        <v>420</v>
      </c>
      <c r="B247" s="1950" t="s">
        <v>2780</v>
      </c>
      <c r="C247" s="1950" t="s">
        <v>1156</v>
      </c>
    </row>
    <row r="248" spans="1:3" ht="30" x14ac:dyDescent="0.35">
      <c r="A248" s="1947">
        <v>421</v>
      </c>
      <c r="B248" s="769" t="s">
        <v>2781</v>
      </c>
      <c r="C248" s="769" t="s">
        <v>1479</v>
      </c>
    </row>
    <row r="249" spans="1:3" ht="50" x14ac:dyDescent="0.35">
      <c r="A249" s="1947">
        <v>422</v>
      </c>
      <c r="B249" s="769" t="s">
        <v>2782</v>
      </c>
      <c r="C249" s="769" t="s">
        <v>1670</v>
      </c>
    </row>
    <row r="250" spans="1:3" x14ac:dyDescent="0.35">
      <c r="A250" s="1947">
        <v>423</v>
      </c>
      <c r="B250" s="1039" t="s">
        <v>1352</v>
      </c>
      <c r="C250" s="1039" t="s">
        <v>1352</v>
      </c>
    </row>
    <row r="251" spans="1:3" ht="20" x14ac:dyDescent="0.35">
      <c r="A251" s="1947">
        <v>424</v>
      </c>
      <c r="B251" s="769" t="s">
        <v>2783</v>
      </c>
      <c r="C251" s="769" t="s">
        <v>1516</v>
      </c>
    </row>
    <row r="252" spans="1:3" ht="26" x14ac:dyDescent="0.35">
      <c r="A252" s="1947">
        <v>425</v>
      </c>
      <c r="B252" s="1950" t="s">
        <v>2784</v>
      </c>
      <c r="C252" s="1950" t="s">
        <v>1278</v>
      </c>
    </row>
    <row r="253" spans="1:3" ht="30" x14ac:dyDescent="0.35">
      <c r="A253" s="1947">
        <v>426</v>
      </c>
      <c r="B253" s="769" t="s">
        <v>2785</v>
      </c>
      <c r="C253" s="769" t="s">
        <v>1350</v>
      </c>
    </row>
    <row r="254" spans="1:3" ht="30" x14ac:dyDescent="0.35">
      <c r="A254" s="1947">
        <v>427</v>
      </c>
      <c r="B254" s="769" t="s">
        <v>2786</v>
      </c>
      <c r="C254" s="769" t="s">
        <v>1351</v>
      </c>
    </row>
    <row r="255" spans="1:3" ht="20" x14ac:dyDescent="0.35">
      <c r="A255" s="1947">
        <v>428</v>
      </c>
      <c r="B255" s="769" t="s">
        <v>2787</v>
      </c>
      <c r="C255" s="769" t="s">
        <v>230</v>
      </c>
    </row>
    <row r="256" spans="1:3" x14ac:dyDescent="0.35">
      <c r="A256" s="1947">
        <v>429</v>
      </c>
      <c r="B256" s="1984" t="s">
        <v>2788</v>
      </c>
      <c r="C256" s="1984" t="s">
        <v>1151</v>
      </c>
    </row>
    <row r="257" spans="1:3" x14ac:dyDescent="0.35">
      <c r="A257" s="1947">
        <v>430</v>
      </c>
      <c r="B257" s="1984" t="s">
        <v>2789</v>
      </c>
      <c r="C257" s="1984" t="s">
        <v>1344</v>
      </c>
    </row>
    <row r="258" spans="1:3" ht="26" x14ac:dyDescent="0.35">
      <c r="A258" s="1947">
        <v>431</v>
      </c>
      <c r="B258" s="1950" t="s">
        <v>2790</v>
      </c>
      <c r="C258" s="1950" t="s">
        <v>1397</v>
      </c>
    </row>
    <row r="259" spans="1:3" ht="20" x14ac:dyDescent="0.35">
      <c r="A259" s="1947">
        <v>432</v>
      </c>
      <c r="B259" s="769" t="s">
        <v>2791</v>
      </c>
      <c r="C259" s="769" t="s">
        <v>1598</v>
      </c>
    </row>
    <row r="260" spans="1:3" x14ac:dyDescent="0.35">
      <c r="A260" s="1947">
        <v>433</v>
      </c>
      <c r="B260" s="1984" t="s">
        <v>2792</v>
      </c>
      <c r="C260" s="1984" t="s">
        <v>1398</v>
      </c>
    </row>
    <row r="261" spans="1:3" x14ac:dyDescent="0.35">
      <c r="A261" s="1947">
        <v>434</v>
      </c>
      <c r="B261" s="1984" t="s">
        <v>2793</v>
      </c>
      <c r="C261" s="1984" t="s">
        <v>1399</v>
      </c>
    </row>
    <row r="262" spans="1:3" ht="15.5" x14ac:dyDescent="0.35">
      <c r="A262" s="1947">
        <v>435</v>
      </c>
      <c r="B262" s="1953" t="s">
        <v>2794</v>
      </c>
      <c r="C262" s="1953" t="s">
        <v>1282</v>
      </c>
    </row>
    <row r="263" spans="1:3" ht="26" x14ac:dyDescent="0.35">
      <c r="A263" s="1947">
        <v>436</v>
      </c>
      <c r="B263" s="1950" t="s">
        <v>2795</v>
      </c>
      <c r="C263" s="1950" t="s">
        <v>1494</v>
      </c>
    </row>
    <row r="264" spans="1:3" ht="30" x14ac:dyDescent="0.35">
      <c r="A264" s="1947">
        <v>437</v>
      </c>
      <c r="B264" s="769" t="s">
        <v>2796</v>
      </c>
      <c r="C264" s="769" t="s">
        <v>1693</v>
      </c>
    </row>
    <row r="265" spans="1:3" ht="30" x14ac:dyDescent="0.35">
      <c r="A265" s="1947">
        <v>438</v>
      </c>
      <c r="B265" s="769" t="s">
        <v>2797</v>
      </c>
      <c r="C265" s="769" t="s">
        <v>1092</v>
      </c>
    </row>
    <row r="266" spans="1:3" ht="20" x14ac:dyDescent="0.35">
      <c r="A266" s="1947">
        <v>439</v>
      </c>
      <c r="B266" s="769" t="s">
        <v>2798</v>
      </c>
      <c r="C266" s="769" t="s">
        <v>1477</v>
      </c>
    </row>
    <row r="267" spans="1:3" ht="20" x14ac:dyDescent="0.35">
      <c r="A267" s="1947">
        <v>440</v>
      </c>
      <c r="B267" s="769" t="s">
        <v>2799</v>
      </c>
      <c r="C267" s="769" t="s">
        <v>1093</v>
      </c>
    </row>
    <row r="268" spans="1:3" ht="30" x14ac:dyDescent="0.35">
      <c r="A268" s="1947">
        <v>441</v>
      </c>
      <c r="B268" s="769" t="s">
        <v>2800</v>
      </c>
      <c r="C268" s="769" t="s">
        <v>379</v>
      </c>
    </row>
    <row r="269" spans="1:3" ht="20" x14ac:dyDescent="0.35">
      <c r="A269" s="1947">
        <v>442</v>
      </c>
      <c r="B269" s="769" t="s">
        <v>2801</v>
      </c>
      <c r="C269" s="769" t="s">
        <v>1098</v>
      </c>
    </row>
    <row r="270" spans="1:3" x14ac:dyDescent="0.35">
      <c r="A270" s="1947">
        <v>443</v>
      </c>
      <c r="B270" s="769" t="s">
        <v>2802</v>
      </c>
      <c r="C270" s="769" t="s">
        <v>1097</v>
      </c>
    </row>
    <row r="271" spans="1:3" ht="30" x14ac:dyDescent="0.35">
      <c r="A271" s="1947">
        <v>444</v>
      </c>
      <c r="B271" s="769" t="s">
        <v>2803</v>
      </c>
      <c r="C271" s="769" t="s">
        <v>1694</v>
      </c>
    </row>
    <row r="272" spans="1:3" x14ac:dyDescent="0.35">
      <c r="A272" s="1947">
        <v>445</v>
      </c>
      <c r="B272" s="769" t="s">
        <v>2804</v>
      </c>
      <c r="C272" s="769" t="s">
        <v>1096</v>
      </c>
    </row>
    <row r="273" spans="1:3" ht="30" x14ac:dyDescent="0.35">
      <c r="A273" s="1947">
        <v>446</v>
      </c>
      <c r="B273" s="769" t="s">
        <v>2805</v>
      </c>
      <c r="C273" s="769" t="s">
        <v>801</v>
      </c>
    </row>
    <row r="274" spans="1:3" ht="42" x14ac:dyDescent="0.35">
      <c r="A274" s="1947">
        <v>447</v>
      </c>
      <c r="B274" s="1624" t="s">
        <v>2806</v>
      </c>
      <c r="C274" s="1624" t="s">
        <v>1381</v>
      </c>
    </row>
    <row r="275" spans="1:3" ht="26" x14ac:dyDescent="0.35">
      <c r="A275" s="1947">
        <v>448</v>
      </c>
      <c r="B275" s="1950" t="s">
        <v>2807</v>
      </c>
      <c r="C275" s="1950" t="s">
        <v>1021</v>
      </c>
    </row>
    <row r="276" spans="1:3" ht="20" x14ac:dyDescent="0.35">
      <c r="A276" s="1947">
        <v>449</v>
      </c>
      <c r="B276" s="769" t="s">
        <v>2808</v>
      </c>
      <c r="C276" s="769" t="s">
        <v>802</v>
      </c>
    </row>
    <row r="277" spans="1:3" ht="20" x14ac:dyDescent="0.35">
      <c r="A277" s="1947">
        <v>450</v>
      </c>
      <c r="B277" s="769" t="s">
        <v>2809</v>
      </c>
      <c r="C277" s="769" t="s">
        <v>673</v>
      </c>
    </row>
    <row r="278" spans="1:3" ht="26" x14ac:dyDescent="0.35">
      <c r="A278" s="1947">
        <v>451</v>
      </c>
      <c r="B278" s="1950" t="s">
        <v>2810</v>
      </c>
      <c r="C278" s="1950" t="s">
        <v>1022</v>
      </c>
    </row>
    <row r="279" spans="1:3" x14ac:dyDescent="0.35">
      <c r="A279" s="1947">
        <v>452</v>
      </c>
      <c r="B279" s="1950" t="s">
        <v>2811</v>
      </c>
      <c r="C279" s="1950" t="s">
        <v>1094</v>
      </c>
    </row>
    <row r="280" spans="1:3" ht="20" x14ac:dyDescent="0.35">
      <c r="A280" s="1947">
        <v>453</v>
      </c>
      <c r="B280" s="769" t="s">
        <v>2812</v>
      </c>
      <c r="C280" s="769" t="s">
        <v>588</v>
      </c>
    </row>
    <row r="281" spans="1:3" ht="20" x14ac:dyDescent="0.35">
      <c r="A281" s="1947">
        <v>454</v>
      </c>
      <c r="B281" s="1958" t="s">
        <v>2813</v>
      </c>
      <c r="C281" s="1958" t="s">
        <v>1588</v>
      </c>
    </row>
    <row r="282" spans="1:3" ht="26" x14ac:dyDescent="0.35">
      <c r="A282" s="1947">
        <v>455</v>
      </c>
      <c r="B282" s="1950" t="s">
        <v>2814</v>
      </c>
      <c r="C282" s="1950" t="s">
        <v>228</v>
      </c>
    </row>
    <row r="283" spans="1:3" ht="20" x14ac:dyDescent="0.35">
      <c r="A283" s="1947">
        <v>456</v>
      </c>
      <c r="B283" s="769" t="s">
        <v>2815</v>
      </c>
      <c r="C283" s="769" t="s">
        <v>1562</v>
      </c>
    </row>
    <row r="284" spans="1:3" x14ac:dyDescent="0.35">
      <c r="A284" s="1947">
        <v>457</v>
      </c>
      <c r="B284" s="2093" t="s">
        <v>2816</v>
      </c>
      <c r="C284" s="1987" t="s">
        <v>378</v>
      </c>
    </row>
    <row r="285" spans="1:3" x14ac:dyDescent="0.35">
      <c r="A285" s="1947">
        <v>458</v>
      </c>
      <c r="B285" s="1950" t="s">
        <v>2817</v>
      </c>
      <c r="C285" s="1950" t="s">
        <v>674</v>
      </c>
    </row>
    <row r="286" spans="1:3" ht="30" x14ac:dyDescent="0.35">
      <c r="A286" s="1947">
        <v>459</v>
      </c>
      <c r="B286" s="769" t="s">
        <v>2818</v>
      </c>
      <c r="C286" s="769" t="s">
        <v>676</v>
      </c>
    </row>
    <row r="287" spans="1:3" ht="20" x14ac:dyDescent="0.35">
      <c r="A287" s="1947">
        <v>460</v>
      </c>
      <c r="B287" s="769" t="s">
        <v>2819</v>
      </c>
      <c r="C287" s="769" t="s">
        <v>783</v>
      </c>
    </row>
    <row r="288" spans="1:3" x14ac:dyDescent="0.35">
      <c r="A288" s="1947">
        <v>461</v>
      </c>
      <c r="B288" s="1980" t="s">
        <v>2820</v>
      </c>
      <c r="C288" s="1980" t="s">
        <v>675</v>
      </c>
    </row>
    <row r="289" spans="1:3" x14ac:dyDescent="0.35">
      <c r="A289" s="1947">
        <v>462</v>
      </c>
      <c r="B289" s="2093" t="s">
        <v>2821</v>
      </c>
      <c r="C289" s="1987" t="s">
        <v>380</v>
      </c>
    </row>
    <row r="290" spans="1:3" ht="26" x14ac:dyDescent="0.35">
      <c r="A290" s="1947">
        <v>463</v>
      </c>
      <c r="B290" s="1950" t="s">
        <v>2822</v>
      </c>
      <c r="C290" s="1950" t="s">
        <v>229</v>
      </c>
    </row>
    <row r="291" spans="1:3" ht="30" x14ac:dyDescent="0.35">
      <c r="A291" s="1947">
        <v>464</v>
      </c>
      <c r="B291" s="769" t="s">
        <v>2823</v>
      </c>
      <c r="C291" s="769" t="s">
        <v>784</v>
      </c>
    </row>
    <row r="292" spans="1:3" ht="30" x14ac:dyDescent="0.35">
      <c r="A292" s="1947">
        <v>465</v>
      </c>
      <c r="B292" s="769" t="s">
        <v>2824</v>
      </c>
      <c r="C292" s="769" t="s">
        <v>93</v>
      </c>
    </row>
    <row r="293" spans="1:3" x14ac:dyDescent="0.35">
      <c r="A293" s="1947">
        <v>466</v>
      </c>
      <c r="B293" s="1980" t="s">
        <v>2825</v>
      </c>
      <c r="C293" s="1980" t="s">
        <v>381</v>
      </c>
    </row>
    <row r="294" spans="1:3" x14ac:dyDescent="0.35">
      <c r="A294" s="1947">
        <v>467</v>
      </c>
      <c r="B294" s="1950" t="s">
        <v>2826</v>
      </c>
      <c r="C294" s="1950" t="s">
        <v>1095</v>
      </c>
    </row>
    <row r="295" spans="1:3" ht="20" x14ac:dyDescent="0.35">
      <c r="A295" s="1947">
        <v>468</v>
      </c>
      <c r="B295" s="769" t="s">
        <v>2827</v>
      </c>
      <c r="C295" s="769" t="s">
        <v>680</v>
      </c>
    </row>
    <row r="296" spans="1:3" x14ac:dyDescent="0.35">
      <c r="A296" s="1947">
        <v>469</v>
      </c>
      <c r="B296" s="2093" t="s">
        <v>2828</v>
      </c>
      <c r="C296" s="1987" t="s">
        <v>679</v>
      </c>
    </row>
    <row r="297" spans="1:3" x14ac:dyDescent="0.35">
      <c r="A297" s="1947">
        <v>470</v>
      </c>
      <c r="B297" s="1950" t="s">
        <v>2829</v>
      </c>
      <c r="C297" s="1950" t="s">
        <v>684</v>
      </c>
    </row>
    <row r="298" spans="1:3" x14ac:dyDescent="0.35">
      <c r="A298" s="1947">
        <v>471</v>
      </c>
      <c r="B298" s="2169" t="s">
        <v>2830</v>
      </c>
      <c r="C298" s="1988" t="s">
        <v>685</v>
      </c>
    </row>
    <row r="299" spans="1:3" x14ac:dyDescent="0.35">
      <c r="A299" s="1947">
        <v>472</v>
      </c>
      <c r="B299" s="2170" t="s">
        <v>2831</v>
      </c>
      <c r="C299" s="2013" t="s">
        <v>686</v>
      </c>
    </row>
    <row r="300" spans="1:3" x14ac:dyDescent="0.35">
      <c r="A300" s="1947">
        <v>473</v>
      </c>
      <c r="B300" s="2170" t="s">
        <v>2832</v>
      </c>
      <c r="C300" s="2013" t="s">
        <v>687</v>
      </c>
    </row>
    <row r="301" spans="1:3" x14ac:dyDescent="0.35">
      <c r="A301" s="1947">
        <v>474</v>
      </c>
      <c r="B301" s="1989" t="s">
        <v>2833</v>
      </c>
      <c r="C301" s="1989" t="s">
        <v>688</v>
      </c>
    </row>
    <row r="302" spans="1:3" ht="26" x14ac:dyDescent="0.35">
      <c r="A302" s="1947">
        <v>475</v>
      </c>
      <c r="B302" s="1950" t="s">
        <v>2834</v>
      </c>
      <c r="C302" s="1950" t="s">
        <v>689</v>
      </c>
    </row>
    <row r="303" spans="1:3" ht="20" x14ac:dyDescent="0.35">
      <c r="A303" s="1947">
        <v>476</v>
      </c>
      <c r="B303" s="769" t="s">
        <v>2835</v>
      </c>
      <c r="C303" s="769" t="s">
        <v>1563</v>
      </c>
    </row>
    <row r="304" spans="1:3" x14ac:dyDescent="0.35">
      <c r="A304" s="1947">
        <v>477</v>
      </c>
      <c r="B304" s="1980" t="s">
        <v>2836</v>
      </c>
      <c r="C304" s="1980" t="s">
        <v>382</v>
      </c>
    </row>
    <row r="305" spans="1:3" ht="26" x14ac:dyDescent="0.35">
      <c r="A305" s="1947">
        <v>478</v>
      </c>
      <c r="B305" s="1950" t="s">
        <v>2837</v>
      </c>
      <c r="C305" s="1950" t="s">
        <v>690</v>
      </c>
    </row>
    <row r="306" spans="1:3" ht="20" x14ac:dyDescent="0.35">
      <c r="A306" s="1947">
        <v>479</v>
      </c>
      <c r="B306" s="921" t="s">
        <v>2838</v>
      </c>
      <c r="C306" s="921" t="s">
        <v>1478</v>
      </c>
    </row>
    <row r="307" spans="1:3" x14ac:dyDescent="0.35">
      <c r="A307" s="1947">
        <v>480</v>
      </c>
      <c r="B307" s="769" t="s">
        <v>2839</v>
      </c>
      <c r="C307" s="769" t="s">
        <v>103</v>
      </c>
    </row>
    <row r="308" spans="1:3" ht="15" thickBot="1" x14ac:dyDescent="0.4">
      <c r="A308" s="1947">
        <v>481</v>
      </c>
      <c r="B308" s="2093" t="s">
        <v>2840</v>
      </c>
      <c r="C308" s="1987" t="s">
        <v>691</v>
      </c>
    </row>
    <row r="309" spans="1:3" ht="26" x14ac:dyDescent="0.35">
      <c r="A309" s="1947">
        <v>482</v>
      </c>
      <c r="B309" s="1966" t="s">
        <v>2841</v>
      </c>
      <c r="C309" s="1966" t="s">
        <v>599</v>
      </c>
    </row>
    <row r="310" spans="1:3" x14ac:dyDescent="0.35">
      <c r="A310" s="1947">
        <v>483</v>
      </c>
      <c r="B310" s="359" t="s">
        <v>2842</v>
      </c>
      <c r="C310" s="1039" t="s">
        <v>618</v>
      </c>
    </row>
    <row r="311" spans="1:3" x14ac:dyDescent="0.35">
      <c r="A311" s="1947">
        <v>484</v>
      </c>
      <c r="B311" s="359" t="s">
        <v>2843</v>
      </c>
      <c r="C311" s="1039" t="s">
        <v>619</v>
      </c>
    </row>
    <row r="312" spans="1:3" x14ac:dyDescent="0.35">
      <c r="A312" s="1947">
        <v>485</v>
      </c>
      <c r="B312" s="359" t="s">
        <v>2844</v>
      </c>
      <c r="C312" s="1039" t="s">
        <v>1087</v>
      </c>
    </row>
    <row r="313" spans="1:3" x14ac:dyDescent="0.35">
      <c r="A313" s="1947">
        <v>486</v>
      </c>
      <c r="B313" s="359" t="s">
        <v>2845</v>
      </c>
      <c r="C313" s="1039" t="s">
        <v>126</v>
      </c>
    </row>
    <row r="314" spans="1:3" ht="54" x14ac:dyDescent="0.35">
      <c r="A314" s="1947">
        <v>487</v>
      </c>
      <c r="B314" s="1952" t="s">
        <v>2853</v>
      </c>
      <c r="C314" s="1952" t="s">
        <v>697</v>
      </c>
    </row>
    <row r="315" spans="1:3" ht="15.5" x14ac:dyDescent="0.35">
      <c r="A315" s="1947">
        <v>488</v>
      </c>
      <c r="B315" s="1953" t="s">
        <v>2846</v>
      </c>
      <c r="C315" s="1953" t="s">
        <v>38</v>
      </c>
    </row>
    <row r="316" spans="1:3" x14ac:dyDescent="0.35">
      <c r="A316" s="1947">
        <v>489</v>
      </c>
      <c r="B316" s="1624" t="s">
        <v>2847</v>
      </c>
      <c r="C316" s="1624" t="s">
        <v>40</v>
      </c>
    </row>
    <row r="317" spans="1:3" ht="26" x14ac:dyDescent="0.35">
      <c r="A317" s="1947">
        <v>490</v>
      </c>
      <c r="B317" s="1950" t="s">
        <v>2848</v>
      </c>
      <c r="C317" s="1950" t="s">
        <v>486</v>
      </c>
    </row>
    <row r="318" spans="1:3" x14ac:dyDescent="0.35">
      <c r="A318" s="1947">
        <v>491</v>
      </c>
      <c r="B318" s="1950" t="s">
        <v>2849</v>
      </c>
      <c r="C318" s="1950" t="s">
        <v>44</v>
      </c>
    </row>
    <row r="319" spans="1:3" ht="30" x14ac:dyDescent="0.35">
      <c r="A319" s="1947">
        <v>492</v>
      </c>
      <c r="B319" s="769" t="s">
        <v>2850</v>
      </c>
      <c r="C319" s="769" t="s">
        <v>133</v>
      </c>
    </row>
    <row r="320" spans="1:3" ht="20" x14ac:dyDescent="0.35">
      <c r="A320" s="1947">
        <v>493</v>
      </c>
      <c r="B320" s="769" t="s">
        <v>2851</v>
      </c>
      <c r="C320" s="769" t="s">
        <v>45</v>
      </c>
    </row>
    <row r="321" spans="1:3" ht="20" x14ac:dyDescent="0.35">
      <c r="A321" s="1947">
        <v>495</v>
      </c>
      <c r="B321" s="769" t="s">
        <v>2852</v>
      </c>
      <c r="C321" s="769" t="s">
        <v>1695</v>
      </c>
    </row>
    <row r="322" spans="1:3" ht="25" x14ac:dyDescent="0.35">
      <c r="A322" s="1947">
        <v>500</v>
      </c>
      <c r="B322" s="359" t="s">
        <v>2854</v>
      </c>
      <c r="C322" s="1039" t="s">
        <v>1578</v>
      </c>
    </row>
    <row r="323" spans="1:3" ht="20" x14ac:dyDescent="0.35">
      <c r="A323" s="1947">
        <v>501</v>
      </c>
      <c r="B323" s="921" t="s">
        <v>2855</v>
      </c>
      <c r="C323" s="921" t="s">
        <v>314</v>
      </c>
    </row>
    <row r="324" spans="1:3" ht="30" x14ac:dyDescent="0.35">
      <c r="A324" s="1947">
        <v>502</v>
      </c>
      <c r="B324" s="769" t="s">
        <v>2856</v>
      </c>
      <c r="C324" s="769" t="s">
        <v>315</v>
      </c>
    </row>
    <row r="325" spans="1:3" ht="30" x14ac:dyDescent="0.35">
      <c r="A325" s="1947">
        <v>503</v>
      </c>
      <c r="B325" s="769" t="s">
        <v>2857</v>
      </c>
      <c r="C325" s="769" t="s">
        <v>316</v>
      </c>
    </row>
    <row r="326" spans="1:3" x14ac:dyDescent="0.35">
      <c r="A326" s="1947">
        <v>507</v>
      </c>
      <c r="B326" s="1990" t="s">
        <v>2858</v>
      </c>
      <c r="C326" s="1990" t="s">
        <v>1035</v>
      </c>
    </row>
    <row r="327" spans="1:3" x14ac:dyDescent="0.35">
      <c r="A327" s="1947">
        <v>508</v>
      </c>
      <c r="B327" s="769" t="s">
        <v>313</v>
      </c>
      <c r="C327" s="769" t="s">
        <v>313</v>
      </c>
    </row>
    <row r="328" spans="1:3" x14ac:dyDescent="0.35">
      <c r="A328" s="1947">
        <v>509</v>
      </c>
      <c r="B328" s="1624" t="s">
        <v>2877</v>
      </c>
      <c r="C328" s="1624" t="s">
        <v>1306</v>
      </c>
    </row>
    <row r="329" spans="1:3" ht="26" x14ac:dyDescent="0.35">
      <c r="A329" s="1947">
        <v>510</v>
      </c>
      <c r="B329" s="1950" t="s">
        <v>2859</v>
      </c>
      <c r="C329" s="1950" t="s">
        <v>1655</v>
      </c>
    </row>
    <row r="330" spans="1:3" ht="20" x14ac:dyDescent="0.35">
      <c r="A330" s="1947">
        <v>511</v>
      </c>
      <c r="B330" s="769" t="s">
        <v>2860</v>
      </c>
      <c r="C330" s="769" t="s">
        <v>219</v>
      </c>
    </row>
    <row r="331" spans="1:3" ht="30" x14ac:dyDescent="0.35">
      <c r="A331" s="1947">
        <v>512</v>
      </c>
      <c r="B331" s="769" t="s">
        <v>2861</v>
      </c>
      <c r="C331" s="769" t="s">
        <v>1656</v>
      </c>
    </row>
    <row r="332" spans="1:3" ht="26" x14ac:dyDescent="0.35">
      <c r="A332" s="1947">
        <v>513</v>
      </c>
      <c r="B332" s="1950" t="s">
        <v>2862</v>
      </c>
      <c r="C332" s="1950" t="s">
        <v>1530</v>
      </c>
    </row>
    <row r="333" spans="1:3" ht="30" x14ac:dyDescent="0.35">
      <c r="A333" s="1947">
        <v>514</v>
      </c>
      <c r="B333" s="921" t="s">
        <v>2863</v>
      </c>
      <c r="C333" s="921" t="s">
        <v>780</v>
      </c>
    </row>
    <row r="334" spans="1:3" x14ac:dyDescent="0.35">
      <c r="A334" s="1947">
        <v>515</v>
      </c>
      <c r="B334" s="921" t="s">
        <v>2864</v>
      </c>
      <c r="C334" s="921" t="s">
        <v>64</v>
      </c>
    </row>
    <row r="335" spans="1:3" ht="90" x14ac:dyDescent="0.35">
      <c r="A335" s="1947">
        <v>516</v>
      </c>
      <c r="B335" s="769" t="s">
        <v>2865</v>
      </c>
      <c r="C335" s="769" t="s">
        <v>470</v>
      </c>
    </row>
    <row r="336" spans="1:3" x14ac:dyDescent="0.35">
      <c r="A336" s="1947">
        <v>517</v>
      </c>
      <c r="B336" s="769" t="s">
        <v>2866</v>
      </c>
      <c r="C336" s="769" t="s">
        <v>471</v>
      </c>
    </row>
    <row r="337" spans="1:3" ht="50" x14ac:dyDescent="0.35">
      <c r="A337" s="1947">
        <v>518</v>
      </c>
      <c r="B337" s="769" t="s">
        <v>2867</v>
      </c>
      <c r="C337" s="769" t="s">
        <v>472</v>
      </c>
    </row>
    <row r="338" spans="1:3" ht="20" x14ac:dyDescent="0.35">
      <c r="A338" s="1947">
        <v>519</v>
      </c>
      <c r="B338" s="460" t="s">
        <v>2868</v>
      </c>
      <c r="C338" s="769" t="s">
        <v>779</v>
      </c>
    </row>
    <row r="339" spans="1:3" x14ac:dyDescent="0.35">
      <c r="A339" s="1947">
        <v>520</v>
      </c>
      <c r="B339" s="921" t="s">
        <v>2869</v>
      </c>
      <c r="C339" s="921" t="s">
        <v>965</v>
      </c>
    </row>
    <row r="340" spans="1:3" ht="20" x14ac:dyDescent="0.35">
      <c r="A340" s="1947">
        <v>521</v>
      </c>
      <c r="B340" s="769" t="s">
        <v>2870</v>
      </c>
      <c r="C340" s="769" t="s">
        <v>964</v>
      </c>
    </row>
    <row r="341" spans="1:3" ht="40" x14ac:dyDescent="0.35">
      <c r="A341" s="1947">
        <v>522</v>
      </c>
      <c r="B341" s="769" t="s">
        <v>2871</v>
      </c>
      <c r="C341" s="769" t="s">
        <v>1269</v>
      </c>
    </row>
    <row r="342" spans="1:3" ht="50" x14ac:dyDescent="0.35">
      <c r="A342" s="1947">
        <v>523</v>
      </c>
      <c r="B342" s="769" t="s">
        <v>2872</v>
      </c>
      <c r="C342" s="769" t="s">
        <v>1270</v>
      </c>
    </row>
    <row r="343" spans="1:3" ht="80" x14ac:dyDescent="0.35">
      <c r="A343" s="1947">
        <v>524</v>
      </c>
      <c r="B343" s="769" t="s">
        <v>2873</v>
      </c>
      <c r="C343" s="769" t="s">
        <v>1230</v>
      </c>
    </row>
    <row r="344" spans="1:3" ht="50" x14ac:dyDescent="0.35">
      <c r="A344" s="1947">
        <v>525</v>
      </c>
      <c r="B344" s="769" t="s">
        <v>2874</v>
      </c>
      <c r="C344" s="769" t="s">
        <v>190</v>
      </c>
    </row>
    <row r="345" spans="1:3" ht="20" x14ac:dyDescent="0.35">
      <c r="A345" s="1947">
        <v>526</v>
      </c>
      <c r="B345" s="769" t="s">
        <v>2875</v>
      </c>
      <c r="C345" s="769" t="s">
        <v>1229</v>
      </c>
    </row>
    <row r="346" spans="1:3" ht="45" customHeight="1" x14ac:dyDescent="0.35">
      <c r="A346" s="1947">
        <v>527</v>
      </c>
      <c r="B346" s="769" t="s">
        <v>2876</v>
      </c>
      <c r="C346" s="769" t="s">
        <v>1276</v>
      </c>
    </row>
    <row r="347" spans="1:3" x14ac:dyDescent="0.35">
      <c r="A347" s="1947">
        <v>528</v>
      </c>
      <c r="B347" s="1624" t="s">
        <v>2878</v>
      </c>
      <c r="C347" s="1624" t="s">
        <v>777</v>
      </c>
    </row>
    <row r="348" spans="1:3" ht="26" x14ac:dyDescent="0.35">
      <c r="A348" s="1947">
        <v>529</v>
      </c>
      <c r="B348" s="1950" t="s">
        <v>2879</v>
      </c>
      <c r="C348" s="1950" t="s">
        <v>48</v>
      </c>
    </row>
    <row r="349" spans="1:3" x14ac:dyDescent="0.35">
      <c r="A349" s="1947">
        <v>531</v>
      </c>
      <c r="B349" s="2093" t="s">
        <v>2880</v>
      </c>
      <c r="C349" s="1987" t="s">
        <v>49</v>
      </c>
    </row>
    <row r="350" spans="1:3" ht="26" x14ac:dyDescent="0.35">
      <c r="A350" s="1947">
        <v>532</v>
      </c>
      <c r="B350" s="1950" t="s">
        <v>2881</v>
      </c>
      <c r="C350" s="1950" t="s">
        <v>51</v>
      </c>
    </row>
    <row r="351" spans="1:3" ht="20" x14ac:dyDescent="0.35">
      <c r="A351" s="1947">
        <v>533</v>
      </c>
      <c r="B351" s="769" t="s">
        <v>2882</v>
      </c>
      <c r="C351" s="769" t="s">
        <v>433</v>
      </c>
    </row>
    <row r="352" spans="1:3" x14ac:dyDescent="0.35">
      <c r="A352" s="1947">
        <v>534</v>
      </c>
      <c r="B352" s="1980" t="s">
        <v>2883</v>
      </c>
      <c r="C352" s="1980" t="s">
        <v>52</v>
      </c>
    </row>
    <row r="353" spans="1:3" x14ac:dyDescent="0.35">
      <c r="A353" s="1947">
        <v>535</v>
      </c>
      <c r="B353" s="2093" t="s">
        <v>2884</v>
      </c>
      <c r="C353" s="1987" t="s">
        <v>644</v>
      </c>
    </row>
    <row r="354" spans="1:3" ht="26" x14ac:dyDescent="0.35">
      <c r="A354" s="1947">
        <v>536</v>
      </c>
      <c r="B354" s="1950" t="s">
        <v>2885</v>
      </c>
      <c r="C354" s="1950" t="s">
        <v>271</v>
      </c>
    </row>
    <row r="355" spans="1:3" ht="30" x14ac:dyDescent="0.35">
      <c r="A355" s="1947">
        <v>537</v>
      </c>
      <c r="B355" s="769" t="s">
        <v>2886</v>
      </c>
      <c r="C355" s="769" t="s">
        <v>434</v>
      </c>
    </row>
    <row r="356" spans="1:3" ht="30" x14ac:dyDescent="0.35">
      <c r="A356" s="1947">
        <v>538</v>
      </c>
      <c r="B356" s="769" t="s">
        <v>2887</v>
      </c>
      <c r="C356" s="769" t="s">
        <v>1483</v>
      </c>
    </row>
    <row r="357" spans="1:3" x14ac:dyDescent="0.35">
      <c r="A357" s="1947">
        <v>541</v>
      </c>
      <c r="B357" s="1984" t="s">
        <v>2888</v>
      </c>
      <c r="C357" s="1984" t="s">
        <v>1200</v>
      </c>
    </row>
    <row r="358" spans="1:3" x14ac:dyDescent="0.35">
      <c r="A358" s="1947">
        <v>543</v>
      </c>
      <c r="B358" s="2093" t="s">
        <v>2889</v>
      </c>
      <c r="C358" s="1987" t="s">
        <v>53</v>
      </c>
    </row>
    <row r="359" spans="1:3" ht="26" x14ac:dyDescent="0.35">
      <c r="A359" s="1947">
        <v>544</v>
      </c>
      <c r="B359" s="1950" t="s">
        <v>2890</v>
      </c>
      <c r="C359" s="1950" t="s">
        <v>778</v>
      </c>
    </row>
    <row r="360" spans="1:3" ht="28" x14ac:dyDescent="0.35">
      <c r="A360" s="1947">
        <v>548</v>
      </c>
      <c r="B360" s="1624" t="s">
        <v>2891</v>
      </c>
      <c r="C360" s="1624" t="s">
        <v>1664</v>
      </c>
    </row>
    <row r="361" spans="1:3" ht="30" x14ac:dyDescent="0.35">
      <c r="A361" s="1947">
        <v>549</v>
      </c>
      <c r="B361" s="769" t="s">
        <v>2892</v>
      </c>
      <c r="C361" s="769" t="s">
        <v>435</v>
      </c>
    </row>
    <row r="362" spans="1:3" ht="20" x14ac:dyDescent="0.35">
      <c r="A362" s="1947">
        <v>550</v>
      </c>
      <c r="B362" s="769" t="s">
        <v>2893</v>
      </c>
      <c r="C362" s="769" t="s">
        <v>781</v>
      </c>
    </row>
    <row r="363" spans="1:3" ht="20" x14ac:dyDescent="0.35">
      <c r="A363" s="1947">
        <v>551</v>
      </c>
      <c r="B363" s="769" t="s">
        <v>2894</v>
      </c>
      <c r="C363" s="769" t="s">
        <v>782</v>
      </c>
    </row>
    <row r="364" spans="1:3" ht="39" x14ac:dyDescent="0.35">
      <c r="A364" s="1947">
        <v>552</v>
      </c>
      <c r="B364" s="1950" t="s">
        <v>2895</v>
      </c>
      <c r="C364" s="1950" t="s">
        <v>65</v>
      </c>
    </row>
    <row r="365" spans="1:3" ht="40" x14ac:dyDescent="0.35">
      <c r="A365" s="1947">
        <v>553</v>
      </c>
      <c r="B365" s="769" t="s">
        <v>2896</v>
      </c>
      <c r="C365" s="769" t="s">
        <v>1231</v>
      </c>
    </row>
    <row r="366" spans="1:3" ht="50" x14ac:dyDescent="0.35">
      <c r="A366" s="1947">
        <v>554</v>
      </c>
      <c r="B366" s="769" t="s">
        <v>2897</v>
      </c>
      <c r="C366" s="769" t="s">
        <v>57</v>
      </c>
    </row>
    <row r="367" spans="1:3" x14ac:dyDescent="0.35">
      <c r="A367" s="1947">
        <v>555</v>
      </c>
      <c r="B367" s="2093" t="s">
        <v>2898</v>
      </c>
      <c r="C367" s="1987" t="s">
        <v>50</v>
      </c>
    </row>
    <row r="368" spans="1:3" x14ac:dyDescent="0.35">
      <c r="A368" s="1947">
        <v>556</v>
      </c>
      <c r="B368" s="2093" t="s">
        <v>2899</v>
      </c>
      <c r="C368" s="1987" t="s">
        <v>436</v>
      </c>
    </row>
    <row r="369" spans="1:3" x14ac:dyDescent="0.35">
      <c r="A369" s="1947">
        <v>557</v>
      </c>
      <c r="B369" s="2093" t="s">
        <v>2900</v>
      </c>
      <c r="C369" s="1987" t="s">
        <v>437</v>
      </c>
    </row>
    <row r="370" spans="1:3" ht="39" x14ac:dyDescent="0.35">
      <c r="A370" s="1947">
        <v>558</v>
      </c>
      <c r="B370" s="1950" t="s">
        <v>2901</v>
      </c>
      <c r="C370" s="1950" t="s">
        <v>665</v>
      </c>
    </row>
    <row r="371" spans="1:3" ht="40" x14ac:dyDescent="0.35">
      <c r="A371" s="1947">
        <v>559</v>
      </c>
      <c r="B371" s="769" t="s">
        <v>2902</v>
      </c>
      <c r="C371" s="769" t="s">
        <v>1484</v>
      </c>
    </row>
    <row r="372" spans="1:3" x14ac:dyDescent="0.35">
      <c r="A372" s="1947">
        <v>560</v>
      </c>
      <c r="B372" s="769" t="s">
        <v>2903</v>
      </c>
      <c r="C372" s="769" t="s">
        <v>5</v>
      </c>
    </row>
    <row r="373" spans="1:3" x14ac:dyDescent="0.35">
      <c r="A373" s="1947">
        <v>561</v>
      </c>
      <c r="B373" s="1980" t="s">
        <v>2904</v>
      </c>
      <c r="C373" s="1980" t="s">
        <v>579</v>
      </c>
    </row>
    <row r="374" spans="1:3" x14ac:dyDescent="0.35">
      <c r="A374" s="1947">
        <v>562</v>
      </c>
      <c r="B374" s="1950" t="s">
        <v>2905</v>
      </c>
      <c r="C374" s="1950" t="s">
        <v>9</v>
      </c>
    </row>
    <row r="375" spans="1:3" ht="20" x14ac:dyDescent="0.35">
      <c r="A375" s="1947">
        <v>563</v>
      </c>
      <c r="B375" s="921" t="s">
        <v>2906</v>
      </c>
      <c r="C375" s="921" t="s">
        <v>972</v>
      </c>
    </row>
    <row r="376" spans="1:3" ht="20" x14ac:dyDescent="0.35">
      <c r="A376" s="1947">
        <v>564</v>
      </c>
      <c r="B376" s="921" t="s">
        <v>2907</v>
      </c>
      <c r="C376" s="921" t="s">
        <v>1522</v>
      </c>
    </row>
    <row r="377" spans="1:3" ht="39" x14ac:dyDescent="0.35">
      <c r="A377" s="1947">
        <v>565</v>
      </c>
      <c r="B377" s="1980" t="s">
        <v>2908</v>
      </c>
      <c r="C377" s="1980" t="s">
        <v>194</v>
      </c>
    </row>
    <row r="378" spans="1:3" x14ac:dyDescent="0.35">
      <c r="A378" s="1947">
        <v>566</v>
      </c>
      <c r="B378" s="1984" t="s">
        <v>2909</v>
      </c>
      <c r="C378" s="1984" t="s">
        <v>1280</v>
      </c>
    </row>
    <row r="379" spans="1:3" ht="39" x14ac:dyDescent="0.35">
      <c r="A379" s="1947">
        <v>567</v>
      </c>
      <c r="B379" s="1980" t="s">
        <v>2910</v>
      </c>
      <c r="C379" s="1980" t="s">
        <v>193</v>
      </c>
    </row>
    <row r="380" spans="1:3" x14ac:dyDescent="0.35">
      <c r="A380" s="1947">
        <v>568</v>
      </c>
      <c r="B380" s="1984" t="s">
        <v>2911</v>
      </c>
      <c r="C380" s="1984" t="s">
        <v>1281</v>
      </c>
    </row>
    <row r="381" spans="1:3" ht="26" x14ac:dyDescent="0.35">
      <c r="A381" s="1947">
        <v>569</v>
      </c>
      <c r="B381" s="1950" t="s">
        <v>2912</v>
      </c>
      <c r="C381" s="1950" t="s">
        <v>270</v>
      </c>
    </row>
    <row r="382" spans="1:3" x14ac:dyDescent="0.35">
      <c r="A382" s="1947">
        <v>570</v>
      </c>
      <c r="B382" s="769" t="s">
        <v>2913</v>
      </c>
      <c r="C382" s="769" t="s">
        <v>799</v>
      </c>
    </row>
    <row r="383" spans="1:3" x14ac:dyDescent="0.35">
      <c r="A383" s="1947">
        <v>571</v>
      </c>
      <c r="B383" s="2093" t="s">
        <v>2914</v>
      </c>
      <c r="C383" s="1987" t="s">
        <v>56</v>
      </c>
    </row>
    <row r="384" spans="1:3" ht="28" x14ac:dyDescent="0.35">
      <c r="A384" s="1947">
        <v>572</v>
      </c>
      <c r="B384" s="1624" t="s">
        <v>2915</v>
      </c>
      <c r="C384" s="1624" t="s">
        <v>1384</v>
      </c>
    </row>
    <row r="385" spans="1:3" ht="26" x14ac:dyDescent="0.35">
      <c r="A385" s="1947">
        <v>573</v>
      </c>
      <c r="B385" s="1950" t="s">
        <v>2916</v>
      </c>
      <c r="C385" s="1950" t="s">
        <v>1385</v>
      </c>
    </row>
    <row r="386" spans="1:3" x14ac:dyDescent="0.35">
      <c r="A386" s="1947">
        <v>574</v>
      </c>
      <c r="B386" s="1984" t="s">
        <v>2917</v>
      </c>
      <c r="C386" s="1984" t="s">
        <v>272</v>
      </c>
    </row>
    <row r="387" spans="1:3" ht="20" x14ac:dyDescent="0.35">
      <c r="A387" s="1947">
        <v>575</v>
      </c>
      <c r="B387" s="769" t="s">
        <v>2918</v>
      </c>
      <c r="C387" s="769" t="s">
        <v>1485</v>
      </c>
    </row>
    <row r="388" spans="1:3" ht="30" x14ac:dyDescent="0.35">
      <c r="A388" s="1947">
        <v>576</v>
      </c>
      <c r="B388" s="1958" t="s">
        <v>2919</v>
      </c>
      <c r="C388" s="1958" t="s">
        <v>1232</v>
      </c>
    </row>
    <row r="389" spans="1:3" x14ac:dyDescent="0.35">
      <c r="A389" s="1947">
        <v>577</v>
      </c>
      <c r="B389" s="1969" t="s">
        <v>2920</v>
      </c>
      <c r="C389" s="1969" t="s">
        <v>191</v>
      </c>
    </row>
    <row r="390" spans="1:3" x14ac:dyDescent="0.35">
      <c r="A390" s="1947">
        <v>578</v>
      </c>
      <c r="B390" s="1970" t="s">
        <v>2921</v>
      </c>
      <c r="C390" s="1970" t="s">
        <v>192</v>
      </c>
    </row>
    <row r="391" spans="1:3" ht="26" x14ac:dyDescent="0.35">
      <c r="A391" s="1947">
        <v>579</v>
      </c>
      <c r="B391" s="1950" t="s">
        <v>2922</v>
      </c>
      <c r="C391" s="1950" t="s">
        <v>1271</v>
      </c>
    </row>
    <row r="392" spans="1:3" x14ac:dyDescent="0.35">
      <c r="A392" s="1947">
        <v>580</v>
      </c>
      <c r="B392" s="1991" t="s">
        <v>2923</v>
      </c>
      <c r="C392" s="1991" t="s">
        <v>1272</v>
      </c>
    </row>
    <row r="393" spans="1:3" ht="26" x14ac:dyDescent="0.35">
      <c r="A393" s="1947">
        <v>581</v>
      </c>
      <c r="B393" s="1950" t="s">
        <v>2924</v>
      </c>
      <c r="C393" s="1950" t="s">
        <v>643</v>
      </c>
    </row>
    <row r="394" spans="1:3" ht="20" x14ac:dyDescent="0.35">
      <c r="A394" s="1947">
        <v>582</v>
      </c>
      <c r="B394" s="1958" t="s">
        <v>2925</v>
      </c>
      <c r="C394" s="1958" t="s">
        <v>1233</v>
      </c>
    </row>
    <row r="395" spans="1:3" x14ac:dyDescent="0.35">
      <c r="A395" s="1947">
        <v>583</v>
      </c>
      <c r="B395" s="1984" t="s">
        <v>2926</v>
      </c>
      <c r="C395" s="1984" t="s">
        <v>217</v>
      </c>
    </row>
    <row r="396" spans="1:3" ht="26" x14ac:dyDescent="0.35">
      <c r="A396" s="1947">
        <v>584</v>
      </c>
      <c r="B396" s="1950" t="s">
        <v>2927</v>
      </c>
      <c r="C396" s="1950" t="s">
        <v>274</v>
      </c>
    </row>
    <row r="397" spans="1:3" x14ac:dyDescent="0.35">
      <c r="A397" s="1947">
        <v>585</v>
      </c>
      <c r="B397" s="1980" t="s">
        <v>2928</v>
      </c>
      <c r="C397" s="1980" t="s">
        <v>275</v>
      </c>
    </row>
    <row r="398" spans="1:3" x14ac:dyDescent="0.35">
      <c r="A398" s="1947">
        <v>586</v>
      </c>
      <c r="B398" s="2093" t="s">
        <v>2929</v>
      </c>
      <c r="C398" s="1987" t="s">
        <v>276</v>
      </c>
    </row>
    <row r="399" spans="1:3" x14ac:dyDescent="0.35">
      <c r="A399" s="1947">
        <v>587</v>
      </c>
      <c r="B399" s="1950" t="s">
        <v>2930</v>
      </c>
      <c r="C399" s="1950" t="s">
        <v>1273</v>
      </c>
    </row>
    <row r="400" spans="1:3" ht="30" x14ac:dyDescent="0.35">
      <c r="A400" s="1947">
        <v>588</v>
      </c>
      <c r="B400" s="769" t="s">
        <v>2931</v>
      </c>
      <c r="C400" s="769" t="s">
        <v>1234</v>
      </c>
    </row>
    <row r="401" spans="1:3" ht="30" x14ac:dyDescent="0.35">
      <c r="A401" s="1947">
        <v>589</v>
      </c>
      <c r="B401" s="769" t="s">
        <v>2932</v>
      </c>
      <c r="C401" s="769" t="s">
        <v>667</v>
      </c>
    </row>
    <row r="402" spans="1:3" x14ac:dyDescent="0.35">
      <c r="A402" s="1947">
        <v>590</v>
      </c>
      <c r="B402" s="1984" t="s">
        <v>2933</v>
      </c>
      <c r="C402" s="1984" t="s">
        <v>666</v>
      </c>
    </row>
    <row r="403" spans="1:3" x14ac:dyDescent="0.35">
      <c r="A403" s="1947">
        <v>591</v>
      </c>
      <c r="B403" s="1984" t="s">
        <v>2934</v>
      </c>
      <c r="C403" s="1984" t="s">
        <v>1274</v>
      </c>
    </row>
    <row r="404" spans="1:3" ht="39" x14ac:dyDescent="0.35">
      <c r="A404" s="1947">
        <v>592</v>
      </c>
      <c r="B404" s="1980" t="s">
        <v>2935</v>
      </c>
      <c r="C404" s="1980" t="s">
        <v>1386</v>
      </c>
    </row>
    <row r="405" spans="1:3" x14ac:dyDescent="0.35">
      <c r="A405" s="1947">
        <v>593</v>
      </c>
      <c r="B405" s="1984" t="s">
        <v>2936</v>
      </c>
      <c r="C405" s="1984" t="s">
        <v>278</v>
      </c>
    </row>
    <row r="406" spans="1:3" ht="39" x14ac:dyDescent="0.35">
      <c r="A406" s="1947">
        <v>594</v>
      </c>
      <c r="B406" s="1950" t="s">
        <v>2937</v>
      </c>
      <c r="C406" s="1950" t="s">
        <v>1387</v>
      </c>
    </row>
    <row r="407" spans="1:3" ht="20" x14ac:dyDescent="0.35">
      <c r="A407" s="1947">
        <v>595</v>
      </c>
      <c r="B407" s="921" t="s">
        <v>2938</v>
      </c>
      <c r="C407" s="921" t="s">
        <v>1235</v>
      </c>
    </row>
    <row r="408" spans="1:3" ht="20" x14ac:dyDescent="0.35">
      <c r="A408" s="1947">
        <v>596</v>
      </c>
      <c r="B408" s="921" t="s">
        <v>2939</v>
      </c>
      <c r="C408" s="921" t="s">
        <v>1495</v>
      </c>
    </row>
    <row r="409" spans="1:3" ht="25" x14ac:dyDescent="0.35">
      <c r="A409" s="1947">
        <v>597</v>
      </c>
      <c r="B409" s="1984" t="s">
        <v>2940</v>
      </c>
      <c r="C409" s="1984" t="s">
        <v>1311</v>
      </c>
    </row>
    <row r="410" spans="1:3" x14ac:dyDescent="0.35">
      <c r="A410" s="1947">
        <v>598</v>
      </c>
      <c r="B410" s="1950" t="s">
        <v>2941</v>
      </c>
      <c r="C410" s="1950" t="s">
        <v>494</v>
      </c>
    </row>
    <row r="411" spans="1:3" ht="30" x14ac:dyDescent="0.35">
      <c r="A411" s="1947">
        <v>599</v>
      </c>
      <c r="B411" s="769" t="s">
        <v>2942</v>
      </c>
      <c r="C411" s="769" t="s">
        <v>1496</v>
      </c>
    </row>
    <row r="412" spans="1:3" ht="26" x14ac:dyDescent="0.35">
      <c r="A412" s="1947">
        <v>600</v>
      </c>
      <c r="B412" s="1950" t="s">
        <v>2943</v>
      </c>
      <c r="C412" s="1950" t="s">
        <v>495</v>
      </c>
    </row>
    <row r="413" spans="1:3" ht="20" x14ac:dyDescent="0.35">
      <c r="A413" s="1947">
        <v>601</v>
      </c>
      <c r="B413" s="769" t="s">
        <v>2944</v>
      </c>
      <c r="C413" s="769" t="s">
        <v>1497</v>
      </c>
    </row>
    <row r="414" spans="1:3" ht="50" x14ac:dyDescent="0.35">
      <c r="A414" s="1947">
        <v>602</v>
      </c>
      <c r="B414" s="769" t="s">
        <v>2945</v>
      </c>
      <c r="C414" s="769" t="s">
        <v>1236</v>
      </c>
    </row>
    <row r="415" spans="1:3" ht="20.5" thickBot="1" x14ac:dyDescent="0.4">
      <c r="A415" s="1947">
        <v>603</v>
      </c>
      <c r="B415" s="921" t="s">
        <v>2946</v>
      </c>
      <c r="C415" s="921" t="s">
        <v>438</v>
      </c>
    </row>
    <row r="416" spans="1:3" x14ac:dyDescent="0.35">
      <c r="A416" s="1947">
        <v>604</v>
      </c>
      <c r="B416" s="1992" t="s">
        <v>2947</v>
      </c>
      <c r="C416" s="1992" t="s">
        <v>491</v>
      </c>
    </row>
    <row r="417" spans="1:3" ht="15.5" x14ac:dyDescent="0.35">
      <c r="A417" s="1947">
        <v>605</v>
      </c>
      <c r="B417" s="1953" t="s">
        <v>2948</v>
      </c>
      <c r="C417" s="1953" t="s">
        <v>1201</v>
      </c>
    </row>
    <row r="418" spans="1:3" x14ac:dyDescent="0.35">
      <c r="A418" s="1947">
        <v>606</v>
      </c>
      <c r="B418" s="1624" t="s">
        <v>2949</v>
      </c>
      <c r="C418" s="1624" t="s">
        <v>1216</v>
      </c>
    </row>
    <row r="419" spans="1:3" ht="30" x14ac:dyDescent="0.35">
      <c r="A419" s="1947">
        <v>607</v>
      </c>
      <c r="B419" s="921" t="s">
        <v>2950</v>
      </c>
      <c r="C419" s="921" t="s">
        <v>1589</v>
      </c>
    </row>
    <row r="420" spans="1:3" ht="20" x14ac:dyDescent="0.35">
      <c r="A420" s="1947">
        <v>608</v>
      </c>
      <c r="B420" s="921" t="s">
        <v>2951</v>
      </c>
      <c r="C420" s="921" t="s">
        <v>1667</v>
      </c>
    </row>
    <row r="421" spans="1:3" ht="26" x14ac:dyDescent="0.35">
      <c r="A421" s="1947">
        <v>609</v>
      </c>
      <c r="B421" s="1950" t="s">
        <v>2952</v>
      </c>
      <c r="C421" s="1950" t="s">
        <v>1531</v>
      </c>
    </row>
    <row r="422" spans="1:3" ht="20" x14ac:dyDescent="0.35">
      <c r="A422" s="1947">
        <v>610</v>
      </c>
      <c r="B422" s="769" t="s">
        <v>2953</v>
      </c>
      <c r="C422" s="769" t="s">
        <v>1569</v>
      </c>
    </row>
    <row r="423" spans="1:3" ht="26" x14ac:dyDescent="0.35">
      <c r="A423" s="1947">
        <v>611</v>
      </c>
      <c r="B423" s="1950" t="s">
        <v>2954</v>
      </c>
      <c r="C423" s="1950" t="s">
        <v>1222</v>
      </c>
    </row>
    <row r="424" spans="1:3" ht="20" x14ac:dyDescent="0.35">
      <c r="A424" s="1947">
        <v>612</v>
      </c>
      <c r="B424" s="769" t="s">
        <v>2955</v>
      </c>
      <c r="C424" s="769" t="s">
        <v>1524</v>
      </c>
    </row>
    <row r="425" spans="1:3" x14ac:dyDescent="0.35">
      <c r="A425" s="1947">
        <v>613</v>
      </c>
      <c r="B425" s="1980" t="s">
        <v>2956</v>
      </c>
      <c r="C425" s="1980" t="s">
        <v>851</v>
      </c>
    </row>
    <row r="426" spans="1:3" ht="26" x14ac:dyDescent="0.35">
      <c r="A426" s="1947">
        <v>614</v>
      </c>
      <c r="B426" s="1950" t="s">
        <v>2957</v>
      </c>
      <c r="C426" s="1950" t="s">
        <v>1223</v>
      </c>
    </row>
    <row r="427" spans="1:3" ht="25" x14ac:dyDescent="0.35">
      <c r="A427" s="1947">
        <v>615</v>
      </c>
      <c r="B427" s="359" t="s">
        <v>2958</v>
      </c>
      <c r="C427" s="1039" t="s">
        <v>1498</v>
      </c>
    </row>
    <row r="428" spans="1:3" ht="20" x14ac:dyDescent="0.35">
      <c r="A428" s="1947">
        <v>616</v>
      </c>
      <c r="B428" s="769" t="s">
        <v>2959</v>
      </c>
      <c r="C428" s="769" t="s">
        <v>1565</v>
      </c>
    </row>
    <row r="429" spans="1:3" x14ac:dyDescent="0.35">
      <c r="A429" s="1947">
        <v>617</v>
      </c>
      <c r="B429" s="1980" t="s">
        <v>2960</v>
      </c>
      <c r="C429" s="1980" t="s">
        <v>1373</v>
      </c>
    </row>
    <row r="430" spans="1:3" x14ac:dyDescent="0.35">
      <c r="A430" s="1947">
        <v>618</v>
      </c>
      <c r="B430" s="1993" t="s">
        <v>2961</v>
      </c>
      <c r="C430" s="1993" t="s">
        <v>1371</v>
      </c>
    </row>
    <row r="431" spans="1:3" x14ac:dyDescent="0.35">
      <c r="A431" s="1947">
        <v>619</v>
      </c>
      <c r="B431" s="1994" t="s">
        <v>2962</v>
      </c>
      <c r="C431" s="1994" t="s">
        <v>1372</v>
      </c>
    </row>
    <row r="432" spans="1:3" x14ac:dyDescent="0.35">
      <c r="A432" s="1947">
        <v>620</v>
      </c>
      <c r="B432" s="1950" t="s">
        <v>2963</v>
      </c>
      <c r="C432" s="1950" t="s">
        <v>1564</v>
      </c>
    </row>
    <row r="433" spans="1:3" x14ac:dyDescent="0.35">
      <c r="A433" s="1947">
        <v>621</v>
      </c>
      <c r="B433" s="1984" t="s">
        <v>2964</v>
      </c>
      <c r="C433" s="1984" t="s">
        <v>1221</v>
      </c>
    </row>
    <row r="434" spans="1:3" x14ac:dyDescent="0.35">
      <c r="A434" s="1947">
        <v>622</v>
      </c>
      <c r="B434" s="1950" t="s">
        <v>2965</v>
      </c>
      <c r="C434" s="1950" t="s">
        <v>1202</v>
      </c>
    </row>
    <row r="435" spans="1:3" ht="20" x14ac:dyDescent="0.35">
      <c r="A435" s="1947">
        <v>623</v>
      </c>
      <c r="B435" s="769" t="s">
        <v>2966</v>
      </c>
      <c r="C435" s="769" t="s">
        <v>1525</v>
      </c>
    </row>
    <row r="436" spans="1:3" x14ac:dyDescent="0.35">
      <c r="A436" s="1947">
        <v>624</v>
      </c>
      <c r="B436" s="1950" t="s">
        <v>2967</v>
      </c>
      <c r="C436" s="1950" t="s">
        <v>1203</v>
      </c>
    </row>
    <row r="437" spans="1:3" x14ac:dyDescent="0.35">
      <c r="A437" s="1947">
        <v>625</v>
      </c>
      <c r="B437" s="1950" t="s">
        <v>2968</v>
      </c>
      <c r="C437" s="1950" t="s">
        <v>1224</v>
      </c>
    </row>
    <row r="438" spans="1:3" x14ac:dyDescent="0.35">
      <c r="A438" s="1947">
        <v>626</v>
      </c>
      <c r="B438" s="1984" t="s">
        <v>2969</v>
      </c>
      <c r="C438" s="1984" t="s">
        <v>1204</v>
      </c>
    </row>
    <row r="439" spans="1:3" x14ac:dyDescent="0.35">
      <c r="A439" s="1947">
        <v>627</v>
      </c>
      <c r="B439" s="1950" t="s">
        <v>2970</v>
      </c>
      <c r="C439" s="1950" t="s">
        <v>1212</v>
      </c>
    </row>
    <row r="440" spans="1:3" ht="20" x14ac:dyDescent="0.35">
      <c r="A440" s="1947">
        <v>628</v>
      </c>
      <c r="B440" s="769" t="s">
        <v>2971</v>
      </c>
      <c r="C440" s="769" t="s">
        <v>1523</v>
      </c>
    </row>
    <row r="441" spans="1:3" x14ac:dyDescent="0.35">
      <c r="A441" s="1947">
        <v>629</v>
      </c>
      <c r="B441" s="1980" t="s">
        <v>2972</v>
      </c>
      <c r="C441" s="1980" t="s">
        <v>1213</v>
      </c>
    </row>
    <row r="442" spans="1:3" ht="26" x14ac:dyDescent="0.35">
      <c r="A442" s="1947">
        <v>630</v>
      </c>
      <c r="B442" s="1950" t="s">
        <v>2973</v>
      </c>
      <c r="C442" s="1950" t="s">
        <v>1205</v>
      </c>
    </row>
    <row r="443" spans="1:3" ht="20" x14ac:dyDescent="0.35">
      <c r="A443" s="1947">
        <v>631</v>
      </c>
      <c r="B443" s="769" t="s">
        <v>2974</v>
      </c>
      <c r="C443" s="769" t="s">
        <v>1536</v>
      </c>
    </row>
    <row r="444" spans="1:3" x14ac:dyDescent="0.35">
      <c r="A444" s="1947">
        <v>632</v>
      </c>
      <c r="B444" s="1950" t="s">
        <v>2975</v>
      </c>
      <c r="C444" s="1950" t="s">
        <v>1214</v>
      </c>
    </row>
    <row r="445" spans="1:3" ht="26" x14ac:dyDescent="0.35">
      <c r="A445" s="1947">
        <v>634</v>
      </c>
      <c r="B445" s="1950" t="s">
        <v>2976</v>
      </c>
      <c r="C445" s="1950" t="s">
        <v>1206</v>
      </c>
    </row>
    <row r="446" spans="1:3" x14ac:dyDescent="0.35">
      <c r="A446" s="1947">
        <v>635</v>
      </c>
      <c r="B446" s="1984" t="s">
        <v>2977</v>
      </c>
      <c r="C446" s="1984" t="s">
        <v>1207</v>
      </c>
    </row>
    <row r="447" spans="1:3" ht="26" x14ac:dyDescent="0.35">
      <c r="A447" s="1947">
        <v>636</v>
      </c>
      <c r="B447" s="1950" t="s">
        <v>2978</v>
      </c>
      <c r="C447" s="1950" t="s">
        <v>1210</v>
      </c>
    </row>
    <row r="448" spans="1:3" ht="20" x14ac:dyDescent="0.35">
      <c r="A448" s="1947">
        <v>637</v>
      </c>
      <c r="B448" s="769" t="s">
        <v>2979</v>
      </c>
      <c r="C448" s="769" t="s">
        <v>1567</v>
      </c>
    </row>
    <row r="449" spans="1:3" ht="30" x14ac:dyDescent="0.35">
      <c r="A449" s="1947">
        <v>638</v>
      </c>
      <c r="B449" s="769" t="s">
        <v>2980</v>
      </c>
      <c r="C449" s="769" t="s">
        <v>1568</v>
      </c>
    </row>
    <row r="450" spans="1:3" x14ac:dyDescent="0.35">
      <c r="A450" s="1947">
        <v>639</v>
      </c>
      <c r="B450" s="1990" t="s">
        <v>2981</v>
      </c>
      <c r="C450" s="1990" t="s">
        <v>1215</v>
      </c>
    </row>
    <row r="451" spans="1:3" x14ac:dyDescent="0.35">
      <c r="A451" s="1947">
        <v>640</v>
      </c>
      <c r="B451" s="1950" t="s">
        <v>2982</v>
      </c>
      <c r="C451" s="1950" t="s">
        <v>1208</v>
      </c>
    </row>
    <row r="452" spans="1:3" ht="30" x14ac:dyDescent="0.35">
      <c r="A452" s="1947">
        <v>641</v>
      </c>
      <c r="B452" s="769" t="s">
        <v>2983</v>
      </c>
      <c r="C452" s="769" t="s">
        <v>1566</v>
      </c>
    </row>
    <row r="453" spans="1:3" x14ac:dyDescent="0.35">
      <c r="A453" s="1947">
        <v>642</v>
      </c>
      <c r="B453" s="1984" t="s">
        <v>2984</v>
      </c>
      <c r="C453" s="1984" t="s">
        <v>1209</v>
      </c>
    </row>
    <row r="454" spans="1:3" x14ac:dyDescent="0.35">
      <c r="A454" s="1947">
        <v>643</v>
      </c>
      <c r="B454" s="1984" t="s">
        <v>2985</v>
      </c>
      <c r="C454" s="1984" t="s">
        <v>1388</v>
      </c>
    </row>
    <row r="455" spans="1:3" x14ac:dyDescent="0.35">
      <c r="A455" s="1947">
        <v>644</v>
      </c>
      <c r="B455" s="1624" t="s">
        <v>2986</v>
      </c>
      <c r="C455" s="1624" t="s">
        <v>443</v>
      </c>
    </row>
    <row r="456" spans="1:3" x14ac:dyDescent="0.35">
      <c r="A456" s="1947">
        <v>645</v>
      </c>
      <c r="B456" s="1950" t="s">
        <v>2987</v>
      </c>
      <c r="C456" s="1950" t="s">
        <v>1193</v>
      </c>
    </row>
    <row r="457" spans="1:3" x14ac:dyDescent="0.35">
      <c r="A457" s="1947">
        <v>647</v>
      </c>
      <c r="B457" s="1950" t="s">
        <v>2988</v>
      </c>
      <c r="C457" s="1950" t="s">
        <v>127</v>
      </c>
    </row>
    <row r="458" spans="1:3" ht="20" x14ac:dyDescent="0.35">
      <c r="A458" s="1947">
        <v>648</v>
      </c>
      <c r="B458" s="769" t="s">
        <v>2989</v>
      </c>
      <c r="C458" s="769" t="s">
        <v>444</v>
      </c>
    </row>
    <row r="459" spans="1:3" x14ac:dyDescent="0.35">
      <c r="A459" s="1947">
        <v>649</v>
      </c>
      <c r="B459" s="2093" t="s">
        <v>2990</v>
      </c>
      <c r="C459" s="1987" t="s">
        <v>11</v>
      </c>
    </row>
    <row r="460" spans="1:3" x14ac:dyDescent="0.35">
      <c r="A460" s="1947">
        <v>650</v>
      </c>
      <c r="B460" s="2093" t="s">
        <v>2991</v>
      </c>
      <c r="C460" s="1987" t="s">
        <v>131</v>
      </c>
    </row>
    <row r="461" spans="1:3" ht="26" x14ac:dyDescent="0.35">
      <c r="A461" s="1947">
        <v>651</v>
      </c>
      <c r="B461" s="1980" t="s">
        <v>2992</v>
      </c>
      <c r="C461" s="1980" t="s">
        <v>128</v>
      </c>
    </row>
    <row r="462" spans="1:3" x14ac:dyDescent="0.35">
      <c r="A462" s="1947">
        <v>652</v>
      </c>
      <c r="B462" s="2093" t="s">
        <v>2993</v>
      </c>
      <c r="C462" s="1987" t="s">
        <v>129</v>
      </c>
    </row>
    <row r="463" spans="1:3" ht="26" x14ac:dyDescent="0.35">
      <c r="A463" s="1947">
        <v>653</v>
      </c>
      <c r="B463" s="1980" t="s">
        <v>2994</v>
      </c>
      <c r="C463" s="1980" t="s">
        <v>130</v>
      </c>
    </row>
    <row r="464" spans="1:3" x14ac:dyDescent="0.35">
      <c r="A464" s="1947">
        <v>654</v>
      </c>
      <c r="B464" s="2093" t="s">
        <v>2995</v>
      </c>
      <c r="C464" s="1987" t="s">
        <v>1099</v>
      </c>
    </row>
    <row r="465" spans="1:3" x14ac:dyDescent="0.35">
      <c r="A465" s="1947">
        <v>655</v>
      </c>
      <c r="B465" s="1980" t="s">
        <v>2996</v>
      </c>
      <c r="C465" s="1980" t="s">
        <v>1310</v>
      </c>
    </row>
    <row r="466" spans="1:3" x14ac:dyDescent="0.35">
      <c r="A466" s="1947">
        <v>656</v>
      </c>
      <c r="B466" s="2093" t="s">
        <v>2997</v>
      </c>
      <c r="C466" s="1987" t="s">
        <v>132</v>
      </c>
    </row>
    <row r="467" spans="1:3" x14ac:dyDescent="0.35">
      <c r="A467" s="1947">
        <v>657</v>
      </c>
      <c r="B467" s="1980" t="s">
        <v>2998</v>
      </c>
      <c r="C467" s="1980" t="s">
        <v>445</v>
      </c>
    </row>
    <row r="468" spans="1:3" x14ac:dyDescent="0.35">
      <c r="A468" s="1947">
        <v>658</v>
      </c>
      <c r="B468" s="2093" t="s">
        <v>2999</v>
      </c>
      <c r="C468" s="1987" t="s">
        <v>446</v>
      </c>
    </row>
    <row r="469" spans="1:3" ht="15" thickBot="1" x14ac:dyDescent="0.4">
      <c r="A469" s="1947">
        <v>661</v>
      </c>
      <c r="B469" s="1984" t="s">
        <v>3000</v>
      </c>
      <c r="C469" s="1984" t="s">
        <v>1275</v>
      </c>
    </row>
    <row r="470" spans="1:3" ht="26" x14ac:dyDescent="0.35">
      <c r="A470" s="1947">
        <v>662</v>
      </c>
      <c r="B470" s="1966" t="s">
        <v>698</v>
      </c>
      <c r="C470" s="1966" t="s">
        <v>600</v>
      </c>
    </row>
    <row r="471" spans="1:3" ht="54" x14ac:dyDescent="0.35">
      <c r="A471" s="1947">
        <v>663</v>
      </c>
      <c r="B471" s="1952" t="s">
        <v>3001</v>
      </c>
      <c r="C471" s="1952" t="s">
        <v>699</v>
      </c>
    </row>
    <row r="472" spans="1:3" ht="26" x14ac:dyDescent="0.35">
      <c r="A472" s="1947">
        <v>664</v>
      </c>
      <c r="B472" s="1995" t="s">
        <v>3002</v>
      </c>
      <c r="C472" s="1995" t="s">
        <v>1573</v>
      </c>
    </row>
    <row r="473" spans="1:3" ht="31" x14ac:dyDescent="0.35">
      <c r="A473" s="1947">
        <v>665</v>
      </c>
      <c r="B473" s="1953" t="s">
        <v>3003</v>
      </c>
      <c r="C473" s="1953" t="s">
        <v>1025</v>
      </c>
    </row>
    <row r="474" spans="1:3" ht="20" x14ac:dyDescent="0.35">
      <c r="A474" s="1947">
        <v>670</v>
      </c>
      <c r="B474" s="769" t="s">
        <v>3004</v>
      </c>
      <c r="C474" s="769" t="s">
        <v>823</v>
      </c>
    </row>
    <row r="475" spans="1:3" ht="20" x14ac:dyDescent="0.35">
      <c r="A475" s="1947">
        <v>671</v>
      </c>
      <c r="B475" s="769" t="s">
        <v>3005</v>
      </c>
      <c r="C475" s="769" t="s">
        <v>1228</v>
      </c>
    </row>
    <row r="476" spans="1:3" ht="30" x14ac:dyDescent="0.35">
      <c r="A476" s="1947">
        <v>672</v>
      </c>
      <c r="B476" s="769" t="s">
        <v>3006</v>
      </c>
      <c r="C476" s="769" t="s">
        <v>122</v>
      </c>
    </row>
    <row r="477" spans="1:3" x14ac:dyDescent="0.35">
      <c r="A477" s="1947">
        <v>675</v>
      </c>
      <c r="B477" s="1980" t="s">
        <v>3007</v>
      </c>
      <c r="C477" s="1980" t="s">
        <v>1499</v>
      </c>
    </row>
    <row r="478" spans="1:3" x14ac:dyDescent="0.35">
      <c r="A478" s="1947">
        <v>676</v>
      </c>
      <c r="B478" s="2171" t="s">
        <v>3008</v>
      </c>
      <c r="C478" s="1996" t="s">
        <v>120</v>
      </c>
    </row>
    <row r="479" spans="1:3" x14ac:dyDescent="0.35">
      <c r="A479" s="1947">
        <v>677</v>
      </c>
      <c r="B479" s="2171" t="s">
        <v>3009</v>
      </c>
      <c r="C479" s="1996" t="s">
        <v>121</v>
      </c>
    </row>
    <row r="480" spans="1:3" x14ac:dyDescent="0.35">
      <c r="A480" s="1947">
        <v>678</v>
      </c>
      <c r="B480" s="1950" t="s">
        <v>3010</v>
      </c>
      <c r="C480" s="1950" t="s">
        <v>947</v>
      </c>
    </row>
    <row r="481" spans="1:3" ht="30" x14ac:dyDescent="0.35">
      <c r="A481" s="1947">
        <v>679</v>
      </c>
      <c r="B481" s="769" t="s">
        <v>3011</v>
      </c>
      <c r="C481" s="769" t="s">
        <v>948</v>
      </c>
    </row>
    <row r="482" spans="1:3" x14ac:dyDescent="0.35">
      <c r="A482" s="1947">
        <v>680</v>
      </c>
      <c r="B482" s="1624" t="s">
        <v>3012</v>
      </c>
      <c r="C482" s="1624" t="s">
        <v>1268</v>
      </c>
    </row>
    <row r="483" spans="1:3" x14ac:dyDescent="0.35">
      <c r="A483" s="1947">
        <v>685</v>
      </c>
      <c r="B483" s="1980" t="s">
        <v>3013</v>
      </c>
      <c r="C483" s="1980" t="s">
        <v>59</v>
      </c>
    </row>
    <row r="484" spans="1:3" x14ac:dyDescent="0.35">
      <c r="A484" s="1947">
        <v>686</v>
      </c>
      <c r="B484" s="1969" t="s">
        <v>3014</v>
      </c>
      <c r="C484" s="1969" t="s">
        <v>60</v>
      </c>
    </row>
    <row r="485" spans="1:3" x14ac:dyDescent="0.35">
      <c r="A485" s="1947">
        <v>688</v>
      </c>
      <c r="B485" s="1990" t="s">
        <v>3015</v>
      </c>
      <c r="C485" s="1990" t="s">
        <v>940</v>
      </c>
    </row>
    <row r="486" spans="1:3" x14ac:dyDescent="0.35">
      <c r="A486" s="1947">
        <v>689</v>
      </c>
      <c r="B486" s="1969" t="s">
        <v>2741</v>
      </c>
      <c r="C486" s="1969" t="s">
        <v>941</v>
      </c>
    </row>
    <row r="487" spans="1:3" x14ac:dyDescent="0.35">
      <c r="A487" s="1947">
        <v>691</v>
      </c>
      <c r="B487" s="1950" t="s">
        <v>3016</v>
      </c>
      <c r="C487" s="1950" t="s">
        <v>966</v>
      </c>
    </row>
    <row r="488" spans="1:3" ht="20" x14ac:dyDescent="0.35">
      <c r="A488" s="1947">
        <v>692</v>
      </c>
      <c r="B488" s="769" t="s">
        <v>3017</v>
      </c>
      <c r="C488" s="769" t="s">
        <v>1419</v>
      </c>
    </row>
    <row r="489" spans="1:3" ht="30" x14ac:dyDescent="0.35">
      <c r="A489" s="1947">
        <v>693</v>
      </c>
      <c r="B489" s="769" t="s">
        <v>3018</v>
      </c>
      <c r="C489" s="769" t="s">
        <v>1526</v>
      </c>
    </row>
    <row r="490" spans="1:3" ht="30" x14ac:dyDescent="0.35">
      <c r="A490" s="1947">
        <v>694</v>
      </c>
      <c r="B490" s="769" t="s">
        <v>3019</v>
      </c>
      <c r="C490" s="769" t="s">
        <v>1353</v>
      </c>
    </row>
    <row r="491" spans="1:3" ht="20" x14ac:dyDescent="0.35">
      <c r="A491" s="1947">
        <v>695</v>
      </c>
      <c r="B491" s="769" t="s">
        <v>3020</v>
      </c>
      <c r="C491" s="769" t="s">
        <v>1668</v>
      </c>
    </row>
    <row r="492" spans="1:3" x14ac:dyDescent="0.35">
      <c r="A492" s="1947">
        <v>696</v>
      </c>
      <c r="B492" s="2093" t="s">
        <v>3021</v>
      </c>
      <c r="C492" s="1987" t="s">
        <v>668</v>
      </c>
    </row>
    <row r="493" spans="1:3" ht="25" x14ac:dyDescent="0.35">
      <c r="A493" s="1947">
        <v>697</v>
      </c>
      <c r="B493" s="1969" t="s">
        <v>3022</v>
      </c>
      <c r="C493" s="1981" t="s">
        <v>104</v>
      </c>
    </row>
    <row r="494" spans="1:3" x14ac:dyDescent="0.35">
      <c r="A494" s="1947">
        <v>698</v>
      </c>
      <c r="B494" s="1970" t="s">
        <v>3023</v>
      </c>
      <c r="C494" s="1970" t="s">
        <v>1606</v>
      </c>
    </row>
    <row r="495" spans="1:3" x14ac:dyDescent="0.35">
      <c r="A495" s="1947">
        <v>699</v>
      </c>
      <c r="B495" s="1624" t="s">
        <v>3024</v>
      </c>
      <c r="C495" s="1624" t="s">
        <v>100</v>
      </c>
    </row>
    <row r="496" spans="1:3" ht="26" x14ac:dyDescent="0.35">
      <c r="A496" s="1947">
        <v>700</v>
      </c>
      <c r="B496" s="1950" t="s">
        <v>3025</v>
      </c>
      <c r="C496" s="1950" t="s">
        <v>105</v>
      </c>
    </row>
    <row r="497" spans="1:3" ht="40" x14ac:dyDescent="0.35">
      <c r="A497" s="1947">
        <v>702</v>
      </c>
      <c r="B497" s="769" t="s">
        <v>3026</v>
      </c>
      <c r="C497" s="769" t="s">
        <v>1696</v>
      </c>
    </row>
    <row r="498" spans="1:3" ht="50" x14ac:dyDescent="0.35">
      <c r="A498" s="1947">
        <v>703</v>
      </c>
      <c r="B498" s="769" t="s">
        <v>3027</v>
      </c>
      <c r="C498" s="769" t="s">
        <v>976</v>
      </c>
    </row>
    <row r="499" spans="1:3" ht="26" x14ac:dyDescent="0.35">
      <c r="A499" s="1947">
        <v>705</v>
      </c>
      <c r="B499" s="1950" t="s">
        <v>3028</v>
      </c>
      <c r="C499" s="1950" t="s">
        <v>1043</v>
      </c>
    </row>
    <row r="500" spans="1:3" x14ac:dyDescent="0.35">
      <c r="A500" s="1947">
        <v>706</v>
      </c>
      <c r="B500" s="1975" t="s">
        <v>3029</v>
      </c>
      <c r="C500" s="1975" t="s">
        <v>974</v>
      </c>
    </row>
    <row r="501" spans="1:3" x14ac:dyDescent="0.35">
      <c r="A501" s="1947">
        <v>707</v>
      </c>
      <c r="B501" s="734" t="s">
        <v>3030</v>
      </c>
      <c r="C501" s="1997" t="s">
        <v>946</v>
      </c>
    </row>
    <row r="502" spans="1:3" ht="42" x14ac:dyDescent="0.35">
      <c r="A502" s="1947">
        <v>708</v>
      </c>
      <c r="B502" s="1998" t="s">
        <v>3031</v>
      </c>
      <c r="C502" s="1998" t="s">
        <v>1626</v>
      </c>
    </row>
    <row r="503" spans="1:3" ht="52" x14ac:dyDescent="0.35">
      <c r="A503" s="1947">
        <v>709</v>
      </c>
      <c r="B503" s="1995" t="s">
        <v>3032</v>
      </c>
      <c r="C503" s="1995" t="s">
        <v>1579</v>
      </c>
    </row>
    <row r="504" spans="1:3" ht="52" x14ac:dyDescent="0.35">
      <c r="A504" s="1947">
        <v>710</v>
      </c>
      <c r="B504" s="1995" t="s">
        <v>3033</v>
      </c>
      <c r="C504" s="1995" t="s">
        <v>1608</v>
      </c>
    </row>
    <row r="505" spans="1:3" ht="26" x14ac:dyDescent="0.35">
      <c r="A505" s="1947">
        <v>711</v>
      </c>
      <c r="B505" s="1995" t="s">
        <v>3034</v>
      </c>
      <c r="C505" s="1995" t="s">
        <v>1607</v>
      </c>
    </row>
    <row r="506" spans="1:3" ht="25" x14ac:dyDescent="0.35">
      <c r="A506" s="1947">
        <v>713</v>
      </c>
      <c r="B506" s="359" t="s">
        <v>3035</v>
      </c>
      <c r="C506" s="1039" t="s">
        <v>1527</v>
      </c>
    </row>
    <row r="507" spans="1:3" ht="26" x14ac:dyDescent="0.35">
      <c r="A507" s="1947">
        <v>714</v>
      </c>
      <c r="B507" s="1999" t="s">
        <v>3036</v>
      </c>
      <c r="C507" s="1999" t="s">
        <v>1678</v>
      </c>
    </row>
    <row r="508" spans="1:3" ht="20" x14ac:dyDescent="0.35">
      <c r="A508" s="1947">
        <v>715</v>
      </c>
      <c r="B508" s="2000" t="s">
        <v>3037</v>
      </c>
      <c r="C508" s="2000" t="s">
        <v>1593</v>
      </c>
    </row>
    <row r="509" spans="1:3" ht="30" x14ac:dyDescent="0.35">
      <c r="A509" s="1947">
        <v>716</v>
      </c>
      <c r="B509" s="2001" t="s">
        <v>3038</v>
      </c>
      <c r="C509" s="2001" t="s">
        <v>1679</v>
      </c>
    </row>
    <row r="510" spans="1:3" ht="50" x14ac:dyDescent="0.35">
      <c r="A510" s="1947">
        <v>717</v>
      </c>
      <c r="B510" s="2002" t="s">
        <v>3039</v>
      </c>
      <c r="C510" s="2002" t="s">
        <v>1677</v>
      </c>
    </row>
    <row r="511" spans="1:3" ht="50" x14ac:dyDescent="0.35">
      <c r="A511" s="1947">
        <v>718</v>
      </c>
      <c r="B511" s="2002" t="s">
        <v>3040</v>
      </c>
      <c r="C511" s="2002" t="s">
        <v>1676</v>
      </c>
    </row>
    <row r="512" spans="1:3" ht="20" x14ac:dyDescent="0.35">
      <c r="A512" s="1947">
        <v>719</v>
      </c>
      <c r="B512" s="2002" t="s">
        <v>3041</v>
      </c>
      <c r="C512" s="2002" t="s">
        <v>1329</v>
      </c>
    </row>
    <row r="513" spans="1:4" ht="50" x14ac:dyDescent="0.35">
      <c r="A513" s="1947">
        <v>720</v>
      </c>
      <c r="B513" s="2002" t="s">
        <v>3042</v>
      </c>
      <c r="C513" s="2002" t="s">
        <v>1681</v>
      </c>
    </row>
    <row r="514" spans="1:4" ht="50" x14ac:dyDescent="0.35">
      <c r="A514" s="1947">
        <v>721</v>
      </c>
      <c r="B514" s="2002" t="s">
        <v>3043</v>
      </c>
      <c r="C514" s="2002" t="s">
        <v>1680</v>
      </c>
    </row>
    <row r="515" spans="1:4" ht="30" x14ac:dyDescent="0.35">
      <c r="A515" s="1947">
        <v>722</v>
      </c>
      <c r="B515" s="2002" t="s">
        <v>3044</v>
      </c>
      <c r="C515" s="2002" t="s">
        <v>1597</v>
      </c>
    </row>
    <row r="516" spans="1:4" ht="30" x14ac:dyDescent="0.35">
      <c r="A516" s="1947">
        <v>723</v>
      </c>
      <c r="B516" s="2002" t="s">
        <v>3045</v>
      </c>
      <c r="C516" s="2002" t="s">
        <v>1510</v>
      </c>
    </row>
    <row r="517" spans="1:4" x14ac:dyDescent="0.35">
      <c r="A517" s="1947">
        <v>724</v>
      </c>
      <c r="B517" s="2003" t="s">
        <v>3046</v>
      </c>
      <c r="C517" s="2003" t="s">
        <v>1673</v>
      </c>
    </row>
    <row r="518" spans="1:4" x14ac:dyDescent="0.35">
      <c r="A518" s="1947">
        <v>725</v>
      </c>
      <c r="B518" s="1999" t="s">
        <v>3047</v>
      </c>
      <c r="C518" s="1999" t="s">
        <v>1218</v>
      </c>
    </row>
    <row r="519" spans="1:4" ht="20" x14ac:dyDescent="0.35">
      <c r="A519" s="1947">
        <v>728</v>
      </c>
      <c r="B519" s="2002" t="s">
        <v>3048</v>
      </c>
      <c r="C519" s="2002" t="s">
        <v>1654</v>
      </c>
      <c r="D519" s="1948" t="s">
        <v>2410</v>
      </c>
    </row>
    <row r="520" spans="1:4" ht="30" x14ac:dyDescent="0.35">
      <c r="A520" s="1947">
        <v>729</v>
      </c>
      <c r="B520" s="2000" t="s">
        <v>3049</v>
      </c>
      <c r="C520" s="2000" t="s">
        <v>1615</v>
      </c>
    </row>
    <row r="521" spans="1:4" x14ac:dyDescent="0.35">
      <c r="A521" s="1947">
        <v>730</v>
      </c>
      <c r="B521" s="2004" t="s">
        <v>3050</v>
      </c>
      <c r="C521" s="2004" t="s">
        <v>1396</v>
      </c>
    </row>
    <row r="522" spans="1:4" x14ac:dyDescent="0.35">
      <c r="A522" s="1947">
        <v>731</v>
      </c>
      <c r="B522" s="2005" t="s">
        <v>3051</v>
      </c>
      <c r="C522" s="2005" t="s">
        <v>1211</v>
      </c>
      <c r="D522" s="1948" t="s">
        <v>2496</v>
      </c>
    </row>
    <row r="523" spans="1:4" ht="26" x14ac:dyDescent="0.35">
      <c r="A523" s="1947">
        <v>732</v>
      </c>
      <c r="B523" s="1999" t="s">
        <v>3052</v>
      </c>
      <c r="C523" s="1999" t="s">
        <v>1468</v>
      </c>
    </row>
    <row r="524" spans="1:4" ht="40" x14ac:dyDescent="0.35">
      <c r="A524" s="1947">
        <v>733</v>
      </c>
      <c r="B524" s="2000" t="s">
        <v>3053</v>
      </c>
      <c r="C524" s="2000" t="s">
        <v>1609</v>
      </c>
    </row>
    <row r="525" spans="1:4" ht="20" x14ac:dyDescent="0.35">
      <c r="A525" s="1947">
        <v>734</v>
      </c>
      <c r="B525" s="2002" t="s">
        <v>3054</v>
      </c>
      <c r="C525" s="2002" t="s">
        <v>1610</v>
      </c>
    </row>
    <row r="526" spans="1:4" ht="50" x14ac:dyDescent="0.35">
      <c r="A526" s="1947">
        <v>735</v>
      </c>
      <c r="B526" s="2002" t="s">
        <v>3055</v>
      </c>
      <c r="C526" s="2002" t="s">
        <v>1611</v>
      </c>
    </row>
    <row r="527" spans="1:4" ht="80" x14ac:dyDescent="0.35">
      <c r="A527" s="1947">
        <v>736</v>
      </c>
      <c r="B527" s="2002" t="s">
        <v>3056</v>
      </c>
      <c r="C527" s="2002" t="s">
        <v>1625</v>
      </c>
    </row>
    <row r="528" spans="1:4" ht="30" x14ac:dyDescent="0.35">
      <c r="A528" s="1947">
        <v>737</v>
      </c>
      <c r="B528" s="2002" t="s">
        <v>3057</v>
      </c>
      <c r="C528" s="2002" t="s">
        <v>1623</v>
      </c>
    </row>
    <row r="529" spans="1:3" ht="25" x14ac:dyDescent="0.35">
      <c r="A529" s="1947">
        <v>738</v>
      </c>
      <c r="B529" s="643" t="s">
        <v>3058</v>
      </c>
      <c r="C529" s="1321" t="s">
        <v>1508</v>
      </c>
    </row>
    <row r="530" spans="1:3" ht="20" x14ac:dyDescent="0.35">
      <c r="A530" s="1947">
        <v>739</v>
      </c>
      <c r="B530" s="2002" t="s">
        <v>3059</v>
      </c>
      <c r="C530" s="2002" t="s">
        <v>1248</v>
      </c>
    </row>
    <row r="531" spans="1:3" x14ac:dyDescent="0.35">
      <c r="A531" s="1947">
        <v>740</v>
      </c>
      <c r="B531" s="1999" t="s">
        <v>3060</v>
      </c>
      <c r="C531" s="1999" t="s">
        <v>1246</v>
      </c>
    </row>
    <row r="532" spans="1:3" x14ac:dyDescent="0.35">
      <c r="A532" s="1947">
        <v>741</v>
      </c>
      <c r="B532" s="2003" t="s">
        <v>3061</v>
      </c>
      <c r="C532" s="2003" t="s">
        <v>1185</v>
      </c>
    </row>
    <row r="533" spans="1:3" x14ac:dyDescent="0.35">
      <c r="A533" s="1947">
        <v>742</v>
      </c>
      <c r="B533" s="2006" t="s">
        <v>3062</v>
      </c>
      <c r="C533" s="2006" t="s">
        <v>1184</v>
      </c>
    </row>
    <row r="534" spans="1:3" x14ac:dyDescent="0.35">
      <c r="A534" s="1947">
        <v>743</v>
      </c>
      <c r="B534" s="2172" t="s">
        <v>3063</v>
      </c>
      <c r="C534" s="2007" t="s">
        <v>971</v>
      </c>
    </row>
    <row r="535" spans="1:3" x14ac:dyDescent="0.35">
      <c r="A535" s="1947">
        <v>744</v>
      </c>
      <c r="B535" s="2172" t="s">
        <v>3064</v>
      </c>
      <c r="C535" s="2007" t="s">
        <v>970</v>
      </c>
    </row>
    <row r="536" spans="1:3" x14ac:dyDescent="0.35">
      <c r="A536" s="1947">
        <v>745</v>
      </c>
      <c r="B536" s="2173" t="s">
        <v>3065</v>
      </c>
      <c r="C536" s="2008" t="s">
        <v>905</v>
      </c>
    </row>
    <row r="537" spans="1:3" x14ac:dyDescent="0.35">
      <c r="A537" s="1947">
        <v>746</v>
      </c>
      <c r="B537" s="2006" t="s">
        <v>3066</v>
      </c>
      <c r="C537" s="2009" t="s">
        <v>907</v>
      </c>
    </row>
    <row r="538" spans="1:3" x14ac:dyDescent="0.35">
      <c r="A538" s="1947">
        <v>747</v>
      </c>
      <c r="B538" s="2010" t="s">
        <v>3067</v>
      </c>
      <c r="C538" s="2010" t="s">
        <v>904</v>
      </c>
    </row>
    <row r="539" spans="1:3" x14ac:dyDescent="0.35">
      <c r="A539" s="1947">
        <v>748</v>
      </c>
      <c r="B539" s="2173" t="s">
        <v>3068</v>
      </c>
      <c r="C539" s="2008" t="s">
        <v>39</v>
      </c>
    </row>
    <row r="540" spans="1:3" x14ac:dyDescent="0.35">
      <c r="A540" s="1947">
        <v>749</v>
      </c>
      <c r="B540" s="2174" t="s">
        <v>3069</v>
      </c>
      <c r="C540" s="2011" t="s">
        <v>398</v>
      </c>
    </row>
    <row r="541" spans="1:3" x14ac:dyDescent="0.35">
      <c r="A541" s="1947">
        <v>750</v>
      </c>
      <c r="B541" s="1999" t="s">
        <v>3070</v>
      </c>
      <c r="C541" s="1999" t="s">
        <v>1247</v>
      </c>
    </row>
    <row r="542" spans="1:3" x14ac:dyDescent="0.35">
      <c r="A542" s="1947">
        <v>751</v>
      </c>
      <c r="B542" s="2003" t="s">
        <v>3071</v>
      </c>
      <c r="C542" s="2003" t="s">
        <v>1186</v>
      </c>
    </row>
    <row r="543" spans="1:3" ht="26" x14ac:dyDescent="0.35">
      <c r="A543" s="1947">
        <v>752</v>
      </c>
      <c r="B543" s="1999" t="s">
        <v>3072</v>
      </c>
      <c r="C543" s="1999" t="s">
        <v>1509</v>
      </c>
    </row>
    <row r="544" spans="1:3" ht="30" x14ac:dyDescent="0.35">
      <c r="A544" s="1947">
        <v>753</v>
      </c>
      <c r="B544" s="2002" t="s">
        <v>3073</v>
      </c>
      <c r="C544" s="2002" t="s">
        <v>1418</v>
      </c>
    </row>
    <row r="545" spans="1:3" ht="30" x14ac:dyDescent="0.35">
      <c r="A545" s="1947">
        <v>754</v>
      </c>
      <c r="B545" s="2002" t="s">
        <v>3074</v>
      </c>
      <c r="C545" s="2002" t="s">
        <v>1416</v>
      </c>
    </row>
    <row r="546" spans="1:3" x14ac:dyDescent="0.35">
      <c r="A546" s="1947">
        <v>755</v>
      </c>
      <c r="B546" s="2004" t="s">
        <v>3075</v>
      </c>
      <c r="C546" s="2004" t="s">
        <v>1187</v>
      </c>
    </row>
    <row r="547" spans="1:3" ht="26" x14ac:dyDescent="0.35">
      <c r="A547" s="1947">
        <v>756</v>
      </c>
      <c r="B547" s="1999" t="s">
        <v>3076</v>
      </c>
      <c r="C547" s="1999" t="s">
        <v>1149</v>
      </c>
    </row>
    <row r="548" spans="1:3" ht="20" x14ac:dyDescent="0.35">
      <c r="A548" s="1947">
        <v>757</v>
      </c>
      <c r="B548" s="2000" t="s">
        <v>3077</v>
      </c>
      <c r="C548" s="2000" t="s">
        <v>1594</v>
      </c>
    </row>
    <row r="549" spans="1:3" ht="50" x14ac:dyDescent="0.35">
      <c r="A549" s="1947">
        <v>758</v>
      </c>
      <c r="B549" s="2002" t="s">
        <v>3078</v>
      </c>
      <c r="C549" s="2002" t="s">
        <v>1674</v>
      </c>
    </row>
    <row r="550" spans="1:3" ht="50" x14ac:dyDescent="0.35">
      <c r="A550" s="1947">
        <v>759</v>
      </c>
      <c r="B550" s="2002" t="s">
        <v>3079</v>
      </c>
      <c r="C550" s="2002" t="s">
        <v>1675</v>
      </c>
    </row>
    <row r="551" spans="1:3" ht="30" x14ac:dyDescent="0.35">
      <c r="A551" s="1947">
        <v>760</v>
      </c>
      <c r="B551" s="2002" t="s">
        <v>3080</v>
      </c>
      <c r="C551" s="2002" t="s">
        <v>1653</v>
      </c>
    </row>
    <row r="552" spans="1:3" ht="25" x14ac:dyDescent="0.35">
      <c r="A552" s="1947">
        <v>761</v>
      </c>
      <c r="B552" s="359" t="s">
        <v>3081</v>
      </c>
      <c r="C552" s="1039" t="s">
        <v>1613</v>
      </c>
    </row>
    <row r="553" spans="1:3" x14ac:dyDescent="0.35">
      <c r="A553" s="1947">
        <v>762</v>
      </c>
      <c r="B553" s="2003" t="s">
        <v>3082</v>
      </c>
      <c r="C553" s="2003" t="s">
        <v>1182</v>
      </c>
    </row>
    <row r="554" spans="1:3" x14ac:dyDescent="0.35">
      <c r="A554" s="1947">
        <v>763</v>
      </c>
      <c r="B554" s="2004" t="s">
        <v>3083</v>
      </c>
      <c r="C554" s="2004" t="s">
        <v>1118</v>
      </c>
    </row>
    <row r="555" spans="1:3" x14ac:dyDescent="0.35">
      <c r="A555" s="1947">
        <v>764</v>
      </c>
      <c r="B555" s="2004" t="s">
        <v>3084</v>
      </c>
      <c r="C555" s="2004" t="s">
        <v>1134</v>
      </c>
    </row>
    <row r="556" spans="1:3" x14ac:dyDescent="0.35">
      <c r="A556" s="1947">
        <v>765</v>
      </c>
      <c r="B556" s="2003" t="s">
        <v>3085</v>
      </c>
      <c r="C556" s="2003" t="s">
        <v>1458</v>
      </c>
    </row>
    <row r="557" spans="1:3" x14ac:dyDescent="0.35">
      <c r="A557" s="1947">
        <v>766</v>
      </c>
      <c r="B557" s="2004" t="s">
        <v>3086</v>
      </c>
      <c r="C557" s="2004" t="s">
        <v>1614</v>
      </c>
    </row>
    <row r="558" spans="1:3" ht="25" x14ac:dyDescent="0.35">
      <c r="A558" s="1947">
        <v>767</v>
      </c>
      <c r="B558" s="2004" t="s">
        <v>3087</v>
      </c>
      <c r="C558" s="2004" t="s">
        <v>1180</v>
      </c>
    </row>
    <row r="559" spans="1:3" x14ac:dyDescent="0.35">
      <c r="A559" s="1947">
        <v>768</v>
      </c>
      <c r="B559" s="2003" t="s">
        <v>3088</v>
      </c>
      <c r="C559" s="2003" t="s">
        <v>1183</v>
      </c>
    </row>
    <row r="560" spans="1:3" x14ac:dyDescent="0.35">
      <c r="A560" s="1947">
        <v>769</v>
      </c>
      <c r="B560" s="2004" t="s">
        <v>3089</v>
      </c>
      <c r="C560" s="2004" t="s">
        <v>1110</v>
      </c>
    </row>
    <row r="561" spans="1:3" x14ac:dyDescent="0.35">
      <c r="A561" s="1947">
        <v>770</v>
      </c>
      <c r="B561" s="2004" t="s">
        <v>3090</v>
      </c>
      <c r="C561" s="2004" t="s">
        <v>1135</v>
      </c>
    </row>
    <row r="562" spans="1:3" x14ac:dyDescent="0.35">
      <c r="A562" s="1947">
        <v>771</v>
      </c>
      <c r="B562" s="1999" t="s">
        <v>3091</v>
      </c>
      <c r="C562" s="1999" t="s">
        <v>1365</v>
      </c>
    </row>
    <row r="563" spans="1:3" x14ac:dyDescent="0.35">
      <c r="A563" s="1947">
        <v>772</v>
      </c>
      <c r="B563" s="2012" t="s">
        <v>3092</v>
      </c>
      <c r="C563" s="1999" t="s">
        <v>1366</v>
      </c>
    </row>
    <row r="564" spans="1:3" ht="20" x14ac:dyDescent="0.35">
      <c r="A564" s="1947">
        <v>773</v>
      </c>
      <c r="B564" s="2002" t="s">
        <v>3093</v>
      </c>
      <c r="C564" s="2002" t="s">
        <v>1367</v>
      </c>
    </row>
    <row r="565" spans="1:3" x14ac:dyDescent="0.35">
      <c r="A565" s="1947">
        <v>774</v>
      </c>
      <c r="B565" s="1999" t="s">
        <v>3094</v>
      </c>
      <c r="C565" s="1999" t="s">
        <v>1251</v>
      </c>
    </row>
    <row r="566" spans="1:3" ht="30" x14ac:dyDescent="0.35">
      <c r="A566" s="1947">
        <v>775</v>
      </c>
      <c r="B566" s="2002" t="s">
        <v>3095</v>
      </c>
      <c r="C566" s="2002" t="s">
        <v>1369</v>
      </c>
    </row>
    <row r="567" spans="1:3" x14ac:dyDescent="0.35">
      <c r="A567" s="1947">
        <v>776</v>
      </c>
      <c r="B567" s="2006" t="s">
        <v>3096</v>
      </c>
      <c r="C567" s="2006" t="s">
        <v>1358</v>
      </c>
    </row>
    <row r="568" spans="1:3" x14ac:dyDescent="0.35">
      <c r="A568" s="1947">
        <v>777</v>
      </c>
      <c r="B568" s="2004" t="s">
        <v>3097</v>
      </c>
      <c r="C568" s="2004" t="s">
        <v>1172</v>
      </c>
    </row>
    <row r="569" spans="1:3" x14ac:dyDescent="0.35">
      <c r="A569" s="1947">
        <v>778</v>
      </c>
      <c r="B569" s="2004" t="s">
        <v>3098</v>
      </c>
      <c r="C569" s="2004" t="s">
        <v>1309</v>
      </c>
    </row>
    <row r="570" spans="1:3" x14ac:dyDescent="0.35">
      <c r="A570" s="1947">
        <v>779</v>
      </c>
      <c r="B570" s="1999" t="s">
        <v>3099</v>
      </c>
      <c r="C570" s="1999" t="s">
        <v>1354</v>
      </c>
    </row>
    <row r="571" spans="1:3" ht="60" x14ac:dyDescent="0.35">
      <c r="A571" s="1947">
        <v>780</v>
      </c>
      <c r="B571" s="2002" t="s">
        <v>3100</v>
      </c>
      <c r="C571" s="2002" t="s">
        <v>1666</v>
      </c>
    </row>
    <row r="572" spans="1:3" x14ac:dyDescent="0.35">
      <c r="A572" s="1947">
        <v>781</v>
      </c>
      <c r="B572" s="2006" t="s">
        <v>3101</v>
      </c>
      <c r="C572" s="2006" t="s">
        <v>1359</v>
      </c>
    </row>
    <row r="573" spans="1:3" x14ac:dyDescent="0.35">
      <c r="A573" s="1947">
        <v>782</v>
      </c>
      <c r="B573" s="2004" t="s">
        <v>3102</v>
      </c>
      <c r="C573" s="2004" t="s">
        <v>1362</v>
      </c>
    </row>
    <row r="574" spans="1:3" x14ac:dyDescent="0.35">
      <c r="A574" s="1947">
        <v>783</v>
      </c>
      <c r="B574" s="2004" t="s">
        <v>3103</v>
      </c>
      <c r="C574" s="2004" t="s">
        <v>1360</v>
      </c>
    </row>
    <row r="575" spans="1:3" x14ac:dyDescent="0.35">
      <c r="A575" s="1947">
        <v>784</v>
      </c>
      <c r="B575" s="1999" t="s">
        <v>3104</v>
      </c>
      <c r="C575" s="1999" t="s">
        <v>1339</v>
      </c>
    </row>
    <row r="576" spans="1:3" ht="30" x14ac:dyDescent="0.35">
      <c r="A576" s="1947">
        <v>785</v>
      </c>
      <c r="B576" s="2002" t="s">
        <v>3105</v>
      </c>
      <c r="C576" s="2002" t="s">
        <v>1528</v>
      </c>
    </row>
    <row r="577" spans="1:3" ht="20" x14ac:dyDescent="0.35">
      <c r="A577" s="1947">
        <v>786</v>
      </c>
      <c r="B577" s="2002" t="s">
        <v>3106</v>
      </c>
      <c r="C577" s="2002" t="s">
        <v>1616</v>
      </c>
    </row>
    <row r="578" spans="1:3" ht="30" x14ac:dyDescent="0.35">
      <c r="A578" s="1947">
        <v>787</v>
      </c>
      <c r="B578" s="2000" t="s">
        <v>3107</v>
      </c>
      <c r="C578" s="2000" t="s">
        <v>1617</v>
      </c>
    </row>
    <row r="579" spans="1:3" x14ac:dyDescent="0.35">
      <c r="A579" s="1947">
        <v>788</v>
      </c>
      <c r="B579" s="2006" t="s">
        <v>3108</v>
      </c>
      <c r="C579" s="2006" t="s">
        <v>1355</v>
      </c>
    </row>
    <row r="580" spans="1:3" x14ac:dyDescent="0.35">
      <c r="A580" s="1947">
        <v>789</v>
      </c>
      <c r="B580" s="2004" t="s">
        <v>3109</v>
      </c>
      <c r="C580" s="2004" t="s">
        <v>1340</v>
      </c>
    </row>
    <row r="581" spans="1:3" x14ac:dyDescent="0.35">
      <c r="A581" s="1947">
        <v>790</v>
      </c>
      <c r="B581" s="2004" t="s">
        <v>3110</v>
      </c>
      <c r="C581" s="2004" t="s">
        <v>1361</v>
      </c>
    </row>
    <row r="582" spans="1:3" x14ac:dyDescent="0.35">
      <c r="A582" s="1947">
        <v>791</v>
      </c>
      <c r="B582" s="1999" t="s">
        <v>3111</v>
      </c>
      <c r="C582" s="1999" t="s">
        <v>1250</v>
      </c>
    </row>
    <row r="583" spans="1:3" ht="20" x14ac:dyDescent="0.35">
      <c r="A583" s="1947">
        <v>792</v>
      </c>
      <c r="B583" s="2000" t="s">
        <v>3112</v>
      </c>
      <c r="C583" s="2000" t="s">
        <v>1583</v>
      </c>
    </row>
    <row r="584" spans="1:3" ht="40" x14ac:dyDescent="0.35">
      <c r="A584" s="1947">
        <v>793</v>
      </c>
      <c r="B584" s="2002" t="s">
        <v>3113</v>
      </c>
      <c r="C584" s="2002" t="s">
        <v>1618</v>
      </c>
    </row>
    <row r="585" spans="1:3" x14ac:dyDescent="0.35">
      <c r="A585" s="1947">
        <v>794</v>
      </c>
      <c r="B585" s="2006" t="s">
        <v>3114</v>
      </c>
      <c r="C585" s="2006" t="s">
        <v>1356</v>
      </c>
    </row>
    <row r="586" spans="1:3" x14ac:dyDescent="0.35">
      <c r="A586" s="1947">
        <v>795</v>
      </c>
      <c r="B586" s="2004" t="s">
        <v>3115</v>
      </c>
      <c r="C586" s="2004" t="s">
        <v>1133</v>
      </c>
    </row>
    <row r="587" spans="1:3" x14ac:dyDescent="0.35">
      <c r="A587" s="1947">
        <v>796</v>
      </c>
      <c r="B587" s="2004" t="s">
        <v>3116</v>
      </c>
      <c r="C587" s="2004" t="s">
        <v>1326</v>
      </c>
    </row>
    <row r="588" spans="1:3" x14ac:dyDescent="0.35">
      <c r="A588" s="1947">
        <v>797</v>
      </c>
      <c r="B588" s="1999" t="s">
        <v>3117</v>
      </c>
      <c r="C588" s="1999" t="s">
        <v>1249</v>
      </c>
    </row>
    <row r="589" spans="1:3" ht="30" x14ac:dyDescent="0.35">
      <c r="A589" s="1947">
        <v>798</v>
      </c>
      <c r="B589" s="2002" t="s">
        <v>3118</v>
      </c>
      <c r="C589" s="2002" t="s">
        <v>1370</v>
      </c>
    </row>
    <row r="590" spans="1:3" x14ac:dyDescent="0.35">
      <c r="A590" s="1947">
        <v>799</v>
      </c>
      <c r="B590" s="2006" t="s">
        <v>3119</v>
      </c>
      <c r="C590" s="2006" t="s">
        <v>1357</v>
      </c>
    </row>
    <row r="591" spans="1:3" x14ac:dyDescent="0.35">
      <c r="A591" s="1947">
        <v>800</v>
      </c>
      <c r="B591" s="2004" t="s">
        <v>3120</v>
      </c>
      <c r="C591" s="2004" t="s">
        <v>1111</v>
      </c>
    </row>
    <row r="592" spans="1:3" x14ac:dyDescent="0.35">
      <c r="A592" s="1947">
        <v>801</v>
      </c>
      <c r="B592" s="2004" t="s">
        <v>3121</v>
      </c>
      <c r="C592" s="2004" t="s">
        <v>1327</v>
      </c>
    </row>
    <row r="593" spans="1:4" ht="20" x14ac:dyDescent="0.35">
      <c r="A593" s="1947">
        <v>802</v>
      </c>
      <c r="B593" s="2000" t="s">
        <v>3122</v>
      </c>
      <c r="C593" s="2000" t="s">
        <v>1665</v>
      </c>
    </row>
    <row r="594" spans="1:4" ht="40" x14ac:dyDescent="0.35">
      <c r="A594" s="1947">
        <v>803</v>
      </c>
      <c r="B594" s="2002" t="s">
        <v>3123</v>
      </c>
      <c r="C594" s="2002" t="s">
        <v>1620</v>
      </c>
    </row>
    <row r="595" spans="1:4" x14ac:dyDescent="0.35">
      <c r="A595" s="1947">
        <v>804</v>
      </c>
      <c r="B595" s="2004" t="s">
        <v>3124</v>
      </c>
      <c r="C595" s="2004" t="s">
        <v>1405</v>
      </c>
    </row>
    <row r="596" spans="1:4" x14ac:dyDescent="0.35">
      <c r="A596" s="1947">
        <v>805</v>
      </c>
      <c r="B596" s="1999" t="s">
        <v>3125</v>
      </c>
      <c r="C596" s="1999" t="s">
        <v>1188</v>
      </c>
      <c r="D596" s="1948" t="s">
        <v>2487</v>
      </c>
    </row>
    <row r="597" spans="1:4" ht="30" x14ac:dyDescent="0.35">
      <c r="A597" s="1947">
        <v>806</v>
      </c>
      <c r="B597" s="2002" t="s">
        <v>3126</v>
      </c>
      <c r="C597" s="2002" t="s">
        <v>1315</v>
      </c>
    </row>
    <row r="598" spans="1:4" ht="20" x14ac:dyDescent="0.35">
      <c r="A598" s="1947">
        <v>807</v>
      </c>
      <c r="B598" s="2002" t="s">
        <v>3127</v>
      </c>
      <c r="C598" s="2002" t="s">
        <v>1621</v>
      </c>
    </row>
    <row r="599" spans="1:4" ht="20" x14ac:dyDescent="0.35">
      <c r="A599" s="1947">
        <v>808</v>
      </c>
      <c r="B599" s="2000" t="s">
        <v>3128</v>
      </c>
      <c r="C599" s="2000" t="s">
        <v>1658</v>
      </c>
    </row>
    <row r="600" spans="1:4" ht="26" x14ac:dyDescent="0.35">
      <c r="A600" s="1947">
        <v>809</v>
      </c>
      <c r="B600" s="1999" t="s">
        <v>3129</v>
      </c>
      <c r="C600" s="1999" t="s">
        <v>1173</v>
      </c>
    </row>
    <row r="601" spans="1:4" ht="40" x14ac:dyDescent="0.35">
      <c r="A601" s="1947">
        <v>810</v>
      </c>
      <c r="B601" s="2002" t="s">
        <v>3130</v>
      </c>
      <c r="C601" s="2002" t="s">
        <v>1417</v>
      </c>
    </row>
    <row r="602" spans="1:4" ht="20" x14ac:dyDescent="0.35">
      <c r="A602" s="1947">
        <v>811</v>
      </c>
      <c r="B602" s="2000" t="s">
        <v>3131</v>
      </c>
      <c r="C602" s="2000" t="s">
        <v>1671</v>
      </c>
    </row>
    <row r="603" spans="1:4" ht="25" x14ac:dyDescent="0.35">
      <c r="A603" s="1947">
        <v>812</v>
      </c>
      <c r="B603" s="643" t="s">
        <v>3132</v>
      </c>
      <c r="C603" s="1321" t="s">
        <v>1176</v>
      </c>
    </row>
    <row r="604" spans="1:4" x14ac:dyDescent="0.35">
      <c r="A604" s="1947">
        <v>813</v>
      </c>
      <c r="B604" s="2003" t="s">
        <v>3133</v>
      </c>
      <c r="C604" s="2003" t="s">
        <v>1175</v>
      </c>
    </row>
    <row r="605" spans="1:4" x14ac:dyDescent="0.35">
      <c r="A605" s="1947">
        <v>814</v>
      </c>
      <c r="B605" s="2003" t="s">
        <v>3134</v>
      </c>
      <c r="C605" s="2003" t="s">
        <v>1174</v>
      </c>
    </row>
    <row r="606" spans="1:4" x14ac:dyDescent="0.35">
      <c r="A606" s="1947">
        <v>815</v>
      </c>
      <c r="B606" s="643" t="s">
        <v>3135</v>
      </c>
      <c r="C606" s="1321" t="s">
        <v>1177</v>
      </c>
    </row>
    <row r="607" spans="1:4" ht="20" x14ac:dyDescent="0.35">
      <c r="A607" s="1947">
        <v>816</v>
      </c>
      <c r="B607" s="2002" t="s">
        <v>3136</v>
      </c>
      <c r="C607" s="2002" t="s">
        <v>1511</v>
      </c>
    </row>
    <row r="608" spans="1:4" ht="25" x14ac:dyDescent="0.35">
      <c r="A608" s="1947">
        <v>818</v>
      </c>
      <c r="B608" s="359" t="s">
        <v>3137</v>
      </c>
      <c r="C608" s="1039" t="s">
        <v>1561</v>
      </c>
    </row>
    <row r="609" spans="1:4" ht="15" thickBot="1" x14ac:dyDescent="0.4">
      <c r="A609" s="1947">
        <v>819</v>
      </c>
      <c r="B609" s="2004" t="s">
        <v>3138</v>
      </c>
      <c r="C609" s="2004" t="s">
        <v>1181</v>
      </c>
    </row>
    <row r="610" spans="1:4" ht="26" x14ac:dyDescent="0.35">
      <c r="A610" s="1947">
        <v>820</v>
      </c>
      <c r="B610" s="1966" t="s">
        <v>700</v>
      </c>
      <c r="C610" s="1966" t="s">
        <v>601</v>
      </c>
    </row>
    <row r="611" spans="1:4" ht="54" x14ac:dyDescent="0.35">
      <c r="A611" s="1947">
        <v>821</v>
      </c>
      <c r="B611" s="1952" t="s">
        <v>3139</v>
      </c>
      <c r="C611" s="1952" t="s">
        <v>701</v>
      </c>
    </row>
    <row r="612" spans="1:4" ht="26" x14ac:dyDescent="0.35">
      <c r="A612" s="1947">
        <v>822</v>
      </c>
      <c r="B612" s="1995" t="s">
        <v>3140</v>
      </c>
      <c r="C612" s="1995" t="s">
        <v>1500</v>
      </c>
    </row>
    <row r="613" spans="1:4" ht="20" x14ac:dyDescent="0.35">
      <c r="A613" s="1947">
        <v>823</v>
      </c>
      <c r="B613" s="769" t="s">
        <v>3141</v>
      </c>
      <c r="C613" s="769" t="s">
        <v>1226</v>
      </c>
    </row>
    <row r="614" spans="1:4" ht="25" x14ac:dyDescent="0.35">
      <c r="A614" s="1947">
        <v>826</v>
      </c>
      <c r="B614" s="359" t="s">
        <v>3142</v>
      </c>
      <c r="C614" s="1039" t="s">
        <v>1392</v>
      </c>
    </row>
    <row r="615" spans="1:4" x14ac:dyDescent="0.35">
      <c r="A615" s="1947">
        <v>828</v>
      </c>
      <c r="B615" s="1980" t="s">
        <v>3143</v>
      </c>
      <c r="C615" s="1980" t="s">
        <v>945</v>
      </c>
    </row>
    <row r="616" spans="1:4" ht="26" x14ac:dyDescent="0.35">
      <c r="A616" s="1947">
        <v>829</v>
      </c>
      <c r="B616" s="1950" t="s">
        <v>3144</v>
      </c>
      <c r="C616" s="1950" t="s">
        <v>301</v>
      </c>
    </row>
    <row r="617" spans="1:4" ht="20" x14ac:dyDescent="0.35">
      <c r="A617" s="1947">
        <v>830</v>
      </c>
      <c r="B617" s="769" t="s">
        <v>3145</v>
      </c>
      <c r="C617" s="769" t="s">
        <v>950</v>
      </c>
    </row>
    <row r="618" spans="1:4" ht="20" x14ac:dyDescent="0.35">
      <c r="A618" s="1947">
        <v>831</v>
      </c>
      <c r="B618" s="769" t="s">
        <v>3146</v>
      </c>
      <c r="C618" s="769" t="s">
        <v>952</v>
      </c>
    </row>
    <row r="619" spans="1:4" ht="20" x14ac:dyDescent="0.35">
      <c r="A619" s="1947">
        <v>832</v>
      </c>
      <c r="B619" s="769" t="s">
        <v>3147</v>
      </c>
      <c r="C619" s="769" t="s">
        <v>1036</v>
      </c>
    </row>
    <row r="620" spans="1:4" ht="30" x14ac:dyDescent="0.35">
      <c r="A620" s="1947">
        <v>833</v>
      </c>
      <c r="B620" s="769" t="s">
        <v>3148</v>
      </c>
      <c r="C620" s="769" t="s">
        <v>1267</v>
      </c>
    </row>
    <row r="621" spans="1:4" ht="20" x14ac:dyDescent="0.35">
      <c r="A621" s="1947">
        <v>834</v>
      </c>
      <c r="B621" s="769" t="s">
        <v>3149</v>
      </c>
      <c r="C621" s="769" t="s">
        <v>30</v>
      </c>
    </row>
    <row r="622" spans="1:4" x14ac:dyDescent="0.35">
      <c r="A622" s="1947">
        <v>836</v>
      </c>
      <c r="B622" s="1975" t="s">
        <v>3150</v>
      </c>
      <c r="C622" s="1975" t="s">
        <v>496</v>
      </c>
    </row>
    <row r="623" spans="1:4" x14ac:dyDescent="0.35">
      <c r="A623" s="1947">
        <v>837</v>
      </c>
      <c r="B623" s="1975" t="s">
        <v>3151</v>
      </c>
      <c r="C623" s="1975" t="s">
        <v>499</v>
      </c>
    </row>
    <row r="624" spans="1:4" x14ac:dyDescent="0.35">
      <c r="A624" s="1947">
        <v>838</v>
      </c>
      <c r="B624" s="1975" t="s">
        <v>3152</v>
      </c>
      <c r="C624" s="1975" t="s">
        <v>1266</v>
      </c>
      <c r="D624" s="1948" t="s">
        <v>2424</v>
      </c>
    </row>
    <row r="625" spans="1:3" x14ac:dyDescent="0.35">
      <c r="A625" s="1947">
        <v>839</v>
      </c>
      <c r="B625" s="1950" t="s">
        <v>3153</v>
      </c>
      <c r="C625" s="1950" t="s">
        <v>1529</v>
      </c>
    </row>
    <row r="626" spans="1:3" x14ac:dyDescent="0.35">
      <c r="A626" s="1947">
        <v>840</v>
      </c>
      <c r="B626" s="1999" t="s">
        <v>3154</v>
      </c>
      <c r="C626" s="1999" t="s">
        <v>1672</v>
      </c>
    </row>
    <row r="627" spans="1:3" x14ac:dyDescent="0.35">
      <c r="A627" s="1947">
        <v>841</v>
      </c>
      <c r="B627" s="2001" t="s">
        <v>3155</v>
      </c>
      <c r="C627" s="2001" t="s">
        <v>1312</v>
      </c>
    </row>
    <row r="628" spans="1:3" ht="50" x14ac:dyDescent="0.35">
      <c r="A628" s="1947">
        <v>842</v>
      </c>
      <c r="B628" s="2002" t="s">
        <v>3156</v>
      </c>
      <c r="C628" s="2002" t="s">
        <v>1313</v>
      </c>
    </row>
    <row r="629" spans="1:3" ht="40" x14ac:dyDescent="0.35">
      <c r="A629" s="1947">
        <v>843</v>
      </c>
      <c r="B629" s="2002" t="s">
        <v>3157</v>
      </c>
      <c r="C629" s="2002" t="s">
        <v>1624</v>
      </c>
    </row>
    <row r="630" spans="1:3" ht="20" x14ac:dyDescent="0.35">
      <c r="A630" s="1947">
        <v>844</v>
      </c>
      <c r="B630" s="2002" t="s">
        <v>3158</v>
      </c>
      <c r="C630" s="2002" t="s">
        <v>1537</v>
      </c>
    </row>
    <row r="631" spans="1:3" ht="50" x14ac:dyDescent="0.35">
      <c r="A631" s="1947">
        <v>845</v>
      </c>
      <c r="B631" s="2002" t="s">
        <v>3159</v>
      </c>
      <c r="C631" s="2002" t="s">
        <v>1627</v>
      </c>
    </row>
    <row r="632" spans="1:3" ht="30" x14ac:dyDescent="0.35">
      <c r="A632" s="1947">
        <v>846</v>
      </c>
      <c r="B632" s="2002" t="s">
        <v>3160</v>
      </c>
      <c r="C632" s="2002" t="s">
        <v>1628</v>
      </c>
    </row>
    <row r="633" spans="1:3" ht="40" x14ac:dyDescent="0.35">
      <c r="A633" s="1947">
        <v>848</v>
      </c>
      <c r="B633" s="2002" t="s">
        <v>3161</v>
      </c>
      <c r="C633" s="2002" t="s">
        <v>1539</v>
      </c>
    </row>
    <row r="634" spans="1:3" ht="20" x14ac:dyDescent="0.35">
      <c r="A634" s="1947">
        <v>849</v>
      </c>
      <c r="B634" s="2002" t="s">
        <v>3162</v>
      </c>
      <c r="C634" s="2002" t="s">
        <v>1538</v>
      </c>
    </row>
    <row r="635" spans="1:3" x14ac:dyDescent="0.35">
      <c r="A635" s="1947">
        <v>850</v>
      </c>
      <c r="B635" s="2002" t="s">
        <v>3163</v>
      </c>
      <c r="C635" s="2002" t="s">
        <v>1629</v>
      </c>
    </row>
    <row r="636" spans="1:3" x14ac:dyDescent="0.35">
      <c r="A636" s="1947">
        <v>851</v>
      </c>
      <c r="B636" s="2004" t="s">
        <v>3164</v>
      </c>
      <c r="C636" s="2004" t="s">
        <v>1535</v>
      </c>
    </row>
    <row r="637" spans="1:3" x14ac:dyDescent="0.35">
      <c r="A637" s="1947">
        <v>852</v>
      </c>
      <c r="B637" s="2004" t="s">
        <v>3165</v>
      </c>
      <c r="C637" s="2004" t="s">
        <v>1533</v>
      </c>
    </row>
    <row r="638" spans="1:3" x14ac:dyDescent="0.35">
      <c r="A638" s="1947">
        <v>853</v>
      </c>
      <c r="B638" s="2004" t="s">
        <v>3166</v>
      </c>
      <c r="C638" s="2004" t="s">
        <v>1534</v>
      </c>
    </row>
    <row r="639" spans="1:3" ht="20" x14ac:dyDescent="0.35">
      <c r="A639" s="1947">
        <v>854</v>
      </c>
      <c r="B639" s="2001" t="s">
        <v>3167</v>
      </c>
      <c r="C639" s="2001" t="s">
        <v>1577</v>
      </c>
    </row>
    <row r="640" spans="1:3" ht="50" x14ac:dyDescent="0.35">
      <c r="A640" s="1947">
        <v>855</v>
      </c>
      <c r="B640" s="2001" t="s">
        <v>3168</v>
      </c>
      <c r="C640" s="2001" t="s">
        <v>1630</v>
      </c>
    </row>
    <row r="641" spans="1:3" x14ac:dyDescent="0.35">
      <c r="A641" s="1947">
        <v>856</v>
      </c>
      <c r="B641" s="1999" t="s">
        <v>3169</v>
      </c>
      <c r="C641" s="1999" t="s">
        <v>571</v>
      </c>
    </row>
    <row r="642" spans="1:3" ht="20" x14ac:dyDescent="0.35">
      <c r="A642" s="1947">
        <v>857</v>
      </c>
      <c r="B642" s="2002" t="s">
        <v>3170</v>
      </c>
      <c r="C642" s="2002" t="s">
        <v>1375</v>
      </c>
    </row>
    <row r="643" spans="1:3" ht="70" x14ac:dyDescent="0.35">
      <c r="A643" s="1947">
        <v>858</v>
      </c>
      <c r="B643" s="2002" t="s">
        <v>3171</v>
      </c>
      <c r="C643" s="2002" t="s">
        <v>1631</v>
      </c>
    </row>
    <row r="644" spans="1:3" ht="30" x14ac:dyDescent="0.35">
      <c r="A644" s="1947">
        <v>859</v>
      </c>
      <c r="B644" s="2002" t="s">
        <v>3172</v>
      </c>
      <c r="C644" s="2002" t="s">
        <v>1632</v>
      </c>
    </row>
    <row r="645" spans="1:3" ht="20" x14ac:dyDescent="0.35">
      <c r="A645" s="1947">
        <v>860</v>
      </c>
      <c r="B645" s="2002" t="s">
        <v>3173</v>
      </c>
      <c r="C645" s="2002" t="s">
        <v>1532</v>
      </c>
    </row>
    <row r="646" spans="1:3" ht="20" x14ac:dyDescent="0.35">
      <c r="A646" s="1947">
        <v>861</v>
      </c>
      <c r="B646" s="2002" t="s">
        <v>3174</v>
      </c>
      <c r="C646" s="2002" t="s">
        <v>1391</v>
      </c>
    </row>
    <row r="647" spans="1:3" ht="20" x14ac:dyDescent="0.35">
      <c r="A647" s="1947">
        <v>862</v>
      </c>
      <c r="B647" s="2002" t="s">
        <v>3175</v>
      </c>
      <c r="C647" s="2002" t="s">
        <v>1374</v>
      </c>
    </row>
    <row r="648" spans="1:3" ht="30" x14ac:dyDescent="0.35">
      <c r="A648" s="1947">
        <v>863</v>
      </c>
      <c r="B648" s="2001" t="s">
        <v>3176</v>
      </c>
      <c r="C648" s="2001" t="s">
        <v>1698</v>
      </c>
    </row>
    <row r="649" spans="1:3" ht="30" x14ac:dyDescent="0.35">
      <c r="A649" s="1947">
        <v>864</v>
      </c>
      <c r="B649" s="2002" t="s">
        <v>3177</v>
      </c>
      <c r="C649" s="2002" t="s">
        <v>1612</v>
      </c>
    </row>
    <row r="650" spans="1:3" x14ac:dyDescent="0.35">
      <c r="A650" s="1947">
        <v>865</v>
      </c>
      <c r="B650" s="2003" t="s">
        <v>3178</v>
      </c>
      <c r="C650" s="2003" t="s">
        <v>1376</v>
      </c>
    </row>
    <row r="651" spans="1:3" x14ac:dyDescent="0.35">
      <c r="A651" s="1947">
        <v>866</v>
      </c>
      <c r="B651" s="2003" t="s">
        <v>3179</v>
      </c>
      <c r="C651" s="2003" t="s">
        <v>1377</v>
      </c>
    </row>
    <row r="652" spans="1:3" x14ac:dyDescent="0.35">
      <c r="A652" s="1947">
        <v>867</v>
      </c>
      <c r="B652" s="2004" t="s">
        <v>3180</v>
      </c>
      <c r="C652" s="2004" t="s">
        <v>1541</v>
      </c>
    </row>
    <row r="653" spans="1:3" x14ac:dyDescent="0.35">
      <c r="A653" s="1947">
        <v>868</v>
      </c>
      <c r="B653" s="2003" t="s">
        <v>3181</v>
      </c>
      <c r="C653" s="2003" t="s">
        <v>1378</v>
      </c>
    </row>
    <row r="654" spans="1:3" x14ac:dyDescent="0.35">
      <c r="A654" s="1947">
        <v>869</v>
      </c>
      <c r="B654" s="2004" t="s">
        <v>3182</v>
      </c>
      <c r="C654" s="2004" t="s">
        <v>1540</v>
      </c>
    </row>
    <row r="655" spans="1:3" x14ac:dyDescent="0.35">
      <c r="A655" s="1947">
        <v>870</v>
      </c>
      <c r="B655" s="2003" t="s">
        <v>3183</v>
      </c>
      <c r="C655" s="2003" t="s">
        <v>1379</v>
      </c>
    </row>
    <row r="656" spans="1:3" x14ac:dyDescent="0.35">
      <c r="A656" s="1947">
        <v>871</v>
      </c>
      <c r="B656" s="2004" t="s">
        <v>3184</v>
      </c>
      <c r="C656" s="2004" t="s">
        <v>1542</v>
      </c>
    </row>
    <row r="657" spans="1:3" x14ac:dyDescent="0.35">
      <c r="A657" s="1947">
        <v>872</v>
      </c>
      <c r="B657" s="2003" t="s">
        <v>3185</v>
      </c>
      <c r="C657" s="2003" t="s">
        <v>1380</v>
      </c>
    </row>
    <row r="658" spans="1:3" x14ac:dyDescent="0.35">
      <c r="A658" s="1947">
        <v>873</v>
      </c>
      <c r="B658" s="2004" t="s">
        <v>3186</v>
      </c>
      <c r="C658" s="2004" t="s">
        <v>1543</v>
      </c>
    </row>
    <row r="659" spans="1:3" x14ac:dyDescent="0.35">
      <c r="A659" s="1947">
        <v>874</v>
      </c>
      <c r="B659" s="2004" t="s">
        <v>3187</v>
      </c>
      <c r="C659" s="2004" t="s">
        <v>1199</v>
      </c>
    </row>
    <row r="660" spans="1:3" ht="50" x14ac:dyDescent="0.35">
      <c r="A660" s="1947">
        <v>886</v>
      </c>
      <c r="B660" s="2001" t="s">
        <v>3188</v>
      </c>
      <c r="C660" s="2001" t="s">
        <v>1394</v>
      </c>
    </row>
    <row r="661" spans="1:3" ht="20" x14ac:dyDescent="0.35">
      <c r="A661" s="1947">
        <v>887</v>
      </c>
      <c r="B661" s="2001" t="s">
        <v>3189</v>
      </c>
      <c r="C661" s="2001" t="s">
        <v>1633</v>
      </c>
    </row>
    <row r="662" spans="1:3" ht="20" x14ac:dyDescent="0.35">
      <c r="A662" s="1947">
        <v>888</v>
      </c>
      <c r="B662" s="2002" t="s">
        <v>3190</v>
      </c>
      <c r="C662" s="2002" t="s">
        <v>1634</v>
      </c>
    </row>
    <row r="663" spans="1:3" ht="20" x14ac:dyDescent="0.35">
      <c r="A663" s="1947">
        <v>889</v>
      </c>
      <c r="B663" s="2002" t="s">
        <v>3191</v>
      </c>
      <c r="C663" s="2002" t="s">
        <v>1544</v>
      </c>
    </row>
    <row r="664" spans="1:3" x14ac:dyDescent="0.35">
      <c r="A664" s="1947">
        <v>891</v>
      </c>
      <c r="B664" s="2005" t="s">
        <v>3192</v>
      </c>
      <c r="C664" s="2005" t="s">
        <v>1657</v>
      </c>
    </row>
    <row r="665" spans="1:3" x14ac:dyDescent="0.35">
      <c r="A665" s="1947">
        <v>892</v>
      </c>
      <c r="B665" s="2004" t="s">
        <v>3090</v>
      </c>
      <c r="C665" s="2004" t="s">
        <v>1595</v>
      </c>
    </row>
    <row r="666" spans="1:3" ht="20.5" thickBot="1" x14ac:dyDescent="0.4">
      <c r="A666" s="1947">
        <v>893</v>
      </c>
      <c r="B666" s="2002" t="s">
        <v>3193</v>
      </c>
      <c r="C666" s="2002" t="s">
        <v>1404</v>
      </c>
    </row>
    <row r="667" spans="1:3" ht="26" x14ac:dyDescent="0.35">
      <c r="A667" s="1947">
        <v>900</v>
      </c>
      <c r="B667" s="1966" t="s">
        <v>702</v>
      </c>
      <c r="C667" s="1966" t="s">
        <v>602</v>
      </c>
    </row>
    <row r="668" spans="1:3" ht="54" x14ac:dyDescent="0.35">
      <c r="A668" s="1947">
        <v>901</v>
      </c>
      <c r="B668" s="1952" t="s">
        <v>3194</v>
      </c>
      <c r="C668" s="1952" t="s">
        <v>703</v>
      </c>
    </row>
    <row r="669" spans="1:3" ht="31" x14ac:dyDescent="0.35">
      <c r="A669" s="1947">
        <v>902</v>
      </c>
      <c r="B669" s="1953" t="s">
        <v>3195</v>
      </c>
      <c r="C669" s="1953" t="s">
        <v>76</v>
      </c>
    </row>
    <row r="670" spans="1:3" ht="28" x14ac:dyDescent="0.35">
      <c r="A670" s="1947">
        <v>903</v>
      </c>
      <c r="B670" s="1624" t="s">
        <v>3196</v>
      </c>
      <c r="C670" s="1624" t="s">
        <v>77</v>
      </c>
    </row>
    <row r="671" spans="1:3" ht="20" x14ac:dyDescent="0.35">
      <c r="A671" s="1947">
        <v>904</v>
      </c>
      <c r="B671" s="769" t="s">
        <v>3197</v>
      </c>
      <c r="C671" s="769" t="s">
        <v>1284</v>
      </c>
    </row>
    <row r="672" spans="1:3" ht="30" x14ac:dyDescent="0.35">
      <c r="A672" s="1947">
        <v>905</v>
      </c>
      <c r="B672" s="769" t="s">
        <v>3198</v>
      </c>
      <c r="C672" s="769" t="s">
        <v>1106</v>
      </c>
    </row>
    <row r="673" spans="1:3" ht="20" x14ac:dyDescent="0.35">
      <c r="A673" s="1947">
        <v>906</v>
      </c>
      <c r="B673" s="769" t="s">
        <v>3199</v>
      </c>
      <c r="C673" s="769" t="s">
        <v>123</v>
      </c>
    </row>
    <row r="674" spans="1:3" x14ac:dyDescent="0.35">
      <c r="A674" s="1947">
        <v>907</v>
      </c>
      <c r="B674" s="1950" t="s">
        <v>3200</v>
      </c>
      <c r="C674" s="1950" t="s">
        <v>94</v>
      </c>
    </row>
    <row r="675" spans="1:3" ht="20" x14ac:dyDescent="0.35">
      <c r="A675" s="1947">
        <v>908</v>
      </c>
      <c r="B675" s="1958" t="s">
        <v>3201</v>
      </c>
      <c r="C675" s="1958" t="s">
        <v>303</v>
      </c>
    </row>
    <row r="676" spans="1:3" x14ac:dyDescent="0.35">
      <c r="A676" s="1947">
        <v>909</v>
      </c>
      <c r="B676" s="1950" t="s">
        <v>3202</v>
      </c>
      <c r="C676" s="1950" t="s">
        <v>1699</v>
      </c>
    </row>
    <row r="677" spans="1:3" ht="20" x14ac:dyDescent="0.35">
      <c r="A677" s="1947">
        <v>910</v>
      </c>
      <c r="B677" s="769" t="s">
        <v>3203</v>
      </c>
      <c r="C677" s="769" t="s">
        <v>78</v>
      </c>
    </row>
    <row r="678" spans="1:3" x14ac:dyDescent="0.35">
      <c r="A678" s="1947">
        <v>911</v>
      </c>
      <c r="B678" s="769" t="s">
        <v>3204</v>
      </c>
      <c r="C678" s="769" t="s">
        <v>1285</v>
      </c>
    </row>
    <row r="679" spans="1:3" x14ac:dyDescent="0.35">
      <c r="A679" s="1947">
        <v>912</v>
      </c>
      <c r="B679" s="769" t="s">
        <v>3205</v>
      </c>
      <c r="C679" s="769" t="s">
        <v>79</v>
      </c>
    </row>
    <row r="680" spans="1:3" x14ac:dyDescent="0.35">
      <c r="A680" s="1947">
        <v>913</v>
      </c>
      <c r="B680" s="769" t="s">
        <v>3206</v>
      </c>
      <c r="C680" s="769" t="s">
        <v>80</v>
      </c>
    </row>
    <row r="681" spans="1:3" x14ac:dyDescent="0.35">
      <c r="A681" s="1947">
        <v>914</v>
      </c>
      <c r="B681" s="769" t="s">
        <v>3207</v>
      </c>
      <c r="C681" s="769" t="s">
        <v>81</v>
      </c>
    </row>
    <row r="682" spans="1:3" x14ac:dyDescent="0.35">
      <c r="A682" s="1947">
        <v>915</v>
      </c>
      <c r="B682" s="769" t="s">
        <v>3208</v>
      </c>
      <c r="C682" s="769" t="s">
        <v>82</v>
      </c>
    </row>
    <row r="683" spans="1:3" x14ac:dyDescent="0.35">
      <c r="A683" s="1947">
        <v>916</v>
      </c>
      <c r="B683" s="769" t="s">
        <v>3209</v>
      </c>
      <c r="C683" s="769" t="s">
        <v>988</v>
      </c>
    </row>
    <row r="684" spans="1:3" ht="20" x14ac:dyDescent="0.35">
      <c r="A684" s="1947">
        <v>917</v>
      </c>
      <c r="B684" s="921" t="s">
        <v>3210</v>
      </c>
      <c r="C684" s="921" t="s">
        <v>1302</v>
      </c>
    </row>
    <row r="685" spans="1:3" x14ac:dyDescent="0.35">
      <c r="A685" s="1947">
        <v>918</v>
      </c>
      <c r="B685" s="461" t="s">
        <v>3211</v>
      </c>
      <c r="C685" s="1980" t="s">
        <v>290</v>
      </c>
    </row>
    <row r="686" spans="1:3" x14ac:dyDescent="0.35">
      <c r="A686" s="1947">
        <v>919</v>
      </c>
      <c r="B686" s="461" t="s">
        <v>3212</v>
      </c>
      <c r="C686" s="1980" t="s">
        <v>291</v>
      </c>
    </row>
    <row r="687" spans="1:3" x14ac:dyDescent="0.35">
      <c r="A687" s="1947">
        <v>920</v>
      </c>
      <c r="B687" s="461" t="s">
        <v>3213</v>
      </c>
      <c r="C687" s="1980" t="s">
        <v>292</v>
      </c>
    </row>
    <row r="688" spans="1:3" x14ac:dyDescent="0.35">
      <c r="A688" s="1947">
        <v>921</v>
      </c>
      <c r="B688" s="2093" t="s">
        <v>3214</v>
      </c>
      <c r="C688" s="1987" t="s">
        <v>293</v>
      </c>
    </row>
    <row r="689" spans="1:3" x14ac:dyDescent="0.35">
      <c r="A689" s="1947">
        <v>922</v>
      </c>
      <c r="B689" s="1989" t="s">
        <v>3215</v>
      </c>
      <c r="C689" s="2013" t="s">
        <v>523</v>
      </c>
    </row>
    <row r="690" spans="1:3" x14ac:dyDescent="0.35">
      <c r="A690" s="1947">
        <v>923</v>
      </c>
      <c r="B690" s="1972" t="s">
        <v>3216</v>
      </c>
      <c r="C690" s="1982" t="s">
        <v>524</v>
      </c>
    </row>
    <row r="691" spans="1:3" x14ac:dyDescent="0.35">
      <c r="A691" s="1947">
        <v>924</v>
      </c>
      <c r="B691" s="1972" t="s">
        <v>3217</v>
      </c>
      <c r="C691" s="1982" t="s">
        <v>525</v>
      </c>
    </row>
    <row r="692" spans="1:3" x14ac:dyDescent="0.35">
      <c r="A692" s="1947">
        <v>925</v>
      </c>
      <c r="B692" s="1972" t="s">
        <v>3218</v>
      </c>
      <c r="C692" s="1982" t="s">
        <v>371</v>
      </c>
    </row>
    <row r="693" spans="1:3" x14ac:dyDescent="0.35">
      <c r="A693" s="1947">
        <v>926</v>
      </c>
      <c r="B693" s="1972" t="s">
        <v>3219</v>
      </c>
      <c r="C693" s="1982" t="s">
        <v>526</v>
      </c>
    </row>
    <row r="694" spans="1:3" x14ac:dyDescent="0.35">
      <c r="A694" s="1947">
        <v>927</v>
      </c>
      <c r="B694" s="1972" t="s">
        <v>3220</v>
      </c>
      <c r="C694" s="1982" t="s">
        <v>527</v>
      </c>
    </row>
    <row r="695" spans="1:3" x14ac:dyDescent="0.35">
      <c r="A695" s="1947">
        <v>928</v>
      </c>
      <c r="B695" s="1972" t="s">
        <v>3221</v>
      </c>
      <c r="C695" s="1982" t="s">
        <v>528</v>
      </c>
    </row>
    <row r="696" spans="1:3" x14ac:dyDescent="0.35">
      <c r="A696" s="1947">
        <v>929</v>
      </c>
      <c r="B696" s="1972" t="s">
        <v>3222</v>
      </c>
      <c r="C696" s="1982" t="s">
        <v>529</v>
      </c>
    </row>
    <row r="697" spans="1:3" x14ac:dyDescent="0.35">
      <c r="A697" s="1947">
        <v>930</v>
      </c>
      <c r="B697" s="1972" t="s">
        <v>3223</v>
      </c>
      <c r="C697" s="1982" t="s">
        <v>373</v>
      </c>
    </row>
    <row r="698" spans="1:3" x14ac:dyDescent="0.35">
      <c r="A698" s="1947">
        <v>931</v>
      </c>
      <c r="B698" s="1972" t="s">
        <v>3224</v>
      </c>
      <c r="C698" s="1982" t="s">
        <v>530</v>
      </c>
    </row>
    <row r="699" spans="1:3" x14ac:dyDescent="0.35">
      <c r="A699" s="1947">
        <v>932</v>
      </c>
      <c r="B699" s="1972" t="s">
        <v>3225</v>
      </c>
      <c r="C699" s="1982" t="s">
        <v>250</v>
      </c>
    </row>
    <row r="700" spans="1:3" x14ac:dyDescent="0.35">
      <c r="A700" s="1947">
        <v>933</v>
      </c>
      <c r="B700" s="1972" t="s">
        <v>3226</v>
      </c>
      <c r="C700" s="1982" t="s">
        <v>66</v>
      </c>
    </row>
    <row r="701" spans="1:3" x14ac:dyDescent="0.35">
      <c r="A701" s="1947">
        <v>934</v>
      </c>
      <c r="B701" s="1972" t="s">
        <v>3227</v>
      </c>
      <c r="C701" s="1982" t="s">
        <v>374</v>
      </c>
    </row>
    <row r="702" spans="1:3" x14ac:dyDescent="0.35">
      <c r="A702" s="1947">
        <v>935</v>
      </c>
      <c r="B702" s="1972" t="s">
        <v>3228</v>
      </c>
      <c r="C702" s="1982" t="s">
        <v>67</v>
      </c>
    </row>
    <row r="703" spans="1:3" x14ac:dyDescent="0.35">
      <c r="A703" s="1947">
        <v>936</v>
      </c>
      <c r="B703" s="1972" t="s">
        <v>3229</v>
      </c>
      <c r="C703" s="1982" t="s">
        <v>68</v>
      </c>
    </row>
    <row r="704" spans="1:3" x14ac:dyDescent="0.35">
      <c r="A704" s="1947">
        <v>937</v>
      </c>
      <c r="B704" s="1972" t="s">
        <v>3230</v>
      </c>
      <c r="C704" s="1982" t="s">
        <v>375</v>
      </c>
    </row>
    <row r="705" spans="1:3" x14ac:dyDescent="0.35">
      <c r="A705" s="1947">
        <v>938</v>
      </c>
      <c r="B705" s="1972" t="s">
        <v>3231</v>
      </c>
      <c r="C705" s="1982" t="s">
        <v>69</v>
      </c>
    </row>
    <row r="706" spans="1:3" x14ac:dyDescent="0.35">
      <c r="A706" s="1947">
        <v>939</v>
      </c>
      <c r="B706" s="1972" t="s">
        <v>3232</v>
      </c>
      <c r="C706" s="1982" t="s">
        <v>376</v>
      </c>
    </row>
    <row r="707" spans="1:3" x14ac:dyDescent="0.35">
      <c r="A707" s="1947">
        <v>940</v>
      </c>
      <c r="B707" s="1972" t="s">
        <v>3233</v>
      </c>
      <c r="C707" s="1982" t="s">
        <v>70</v>
      </c>
    </row>
    <row r="708" spans="1:3" x14ac:dyDescent="0.35">
      <c r="A708" s="1947">
        <v>941</v>
      </c>
      <c r="B708" s="1972" t="s">
        <v>3234</v>
      </c>
      <c r="C708" s="1982" t="s">
        <v>377</v>
      </c>
    </row>
    <row r="709" spans="1:3" x14ac:dyDescent="0.35">
      <c r="A709" s="1947">
        <v>942</v>
      </c>
      <c r="B709" s="1972" t="s">
        <v>3235</v>
      </c>
      <c r="C709" s="1982" t="s">
        <v>1055</v>
      </c>
    </row>
    <row r="710" spans="1:3" x14ac:dyDescent="0.35">
      <c r="A710" s="1947">
        <v>943</v>
      </c>
      <c r="B710" s="1972" t="s">
        <v>3236</v>
      </c>
      <c r="C710" s="1982" t="s">
        <v>71</v>
      </c>
    </row>
    <row r="711" spans="1:3" x14ac:dyDescent="0.35">
      <c r="A711" s="1947">
        <v>944</v>
      </c>
      <c r="B711" s="1972" t="s">
        <v>3237</v>
      </c>
      <c r="C711" s="1982" t="s">
        <v>72</v>
      </c>
    </row>
    <row r="712" spans="1:3" x14ac:dyDescent="0.35">
      <c r="A712" s="1947">
        <v>945</v>
      </c>
      <c r="B712" s="1972" t="s">
        <v>3238</v>
      </c>
      <c r="C712" s="1982" t="s">
        <v>1056</v>
      </c>
    </row>
    <row r="713" spans="1:3" x14ac:dyDescent="0.35">
      <c r="A713" s="1947">
        <v>946</v>
      </c>
      <c r="B713" s="1972" t="s">
        <v>3239</v>
      </c>
      <c r="C713" s="1982" t="s">
        <v>1057</v>
      </c>
    </row>
    <row r="714" spans="1:3" x14ac:dyDescent="0.35">
      <c r="A714" s="1947">
        <v>947</v>
      </c>
      <c r="B714" s="1972" t="s">
        <v>3240</v>
      </c>
      <c r="C714" s="1982" t="s">
        <v>1058</v>
      </c>
    </row>
    <row r="715" spans="1:3" x14ac:dyDescent="0.35">
      <c r="A715" s="1947">
        <v>948</v>
      </c>
      <c r="B715" s="1972" t="s">
        <v>3241</v>
      </c>
      <c r="C715" s="1982" t="s">
        <v>1059</v>
      </c>
    </row>
    <row r="716" spans="1:3" x14ac:dyDescent="0.35">
      <c r="A716" s="1947">
        <v>949</v>
      </c>
      <c r="B716" s="1972" t="s">
        <v>3242</v>
      </c>
      <c r="C716" s="1982" t="s">
        <v>1060</v>
      </c>
    </row>
    <row r="717" spans="1:3" x14ac:dyDescent="0.35">
      <c r="A717" s="1947">
        <v>950</v>
      </c>
      <c r="B717" s="1972" t="s">
        <v>3243</v>
      </c>
      <c r="C717" s="1982" t="s">
        <v>1061</v>
      </c>
    </row>
    <row r="718" spans="1:3" x14ac:dyDescent="0.35">
      <c r="A718" s="1947">
        <v>951</v>
      </c>
      <c r="B718" s="1972" t="s">
        <v>3244</v>
      </c>
      <c r="C718" s="1982" t="s">
        <v>1062</v>
      </c>
    </row>
    <row r="719" spans="1:3" x14ac:dyDescent="0.35">
      <c r="A719" s="1947">
        <v>952</v>
      </c>
      <c r="B719" s="1972" t="s">
        <v>3245</v>
      </c>
      <c r="C719" s="1982" t="s">
        <v>1063</v>
      </c>
    </row>
    <row r="720" spans="1:3" x14ac:dyDescent="0.35">
      <c r="A720" s="1947">
        <v>953</v>
      </c>
      <c r="B720" s="1972" t="s">
        <v>3246</v>
      </c>
      <c r="C720" s="1982" t="s">
        <v>1064</v>
      </c>
    </row>
    <row r="721" spans="1:3" x14ac:dyDescent="0.35">
      <c r="A721" s="1947">
        <v>954</v>
      </c>
      <c r="B721" s="1972" t="s">
        <v>3247</v>
      </c>
      <c r="C721" s="1982" t="s">
        <v>1065</v>
      </c>
    </row>
    <row r="722" spans="1:3" x14ac:dyDescent="0.35">
      <c r="A722" s="1947">
        <v>955</v>
      </c>
      <c r="B722" s="1972" t="s">
        <v>3248</v>
      </c>
      <c r="C722" s="1972" t="s">
        <v>1700</v>
      </c>
    </row>
    <row r="723" spans="1:3" x14ac:dyDescent="0.35">
      <c r="A723" s="1947">
        <v>956</v>
      </c>
      <c r="B723" s="1972" t="s">
        <v>3249</v>
      </c>
      <c r="C723" s="1982" t="s">
        <v>1066</v>
      </c>
    </row>
    <row r="724" spans="1:3" x14ac:dyDescent="0.35">
      <c r="A724" s="1947">
        <v>957</v>
      </c>
      <c r="B724" s="1972" t="s">
        <v>3250</v>
      </c>
      <c r="C724" s="1982" t="s">
        <v>1067</v>
      </c>
    </row>
    <row r="725" spans="1:3" x14ac:dyDescent="0.35">
      <c r="A725" s="1947">
        <v>958</v>
      </c>
      <c r="B725" s="1972" t="s">
        <v>3251</v>
      </c>
      <c r="C725" s="1982" t="s">
        <v>1068</v>
      </c>
    </row>
    <row r="726" spans="1:3" x14ac:dyDescent="0.35">
      <c r="A726" s="1947">
        <v>959</v>
      </c>
      <c r="B726" s="1972" t="s">
        <v>3252</v>
      </c>
      <c r="C726" s="1982" t="s">
        <v>1069</v>
      </c>
    </row>
    <row r="727" spans="1:3" x14ac:dyDescent="0.35">
      <c r="A727" s="1947">
        <v>960</v>
      </c>
      <c r="B727" s="1972" t="s">
        <v>3253</v>
      </c>
      <c r="C727" s="1982" t="s">
        <v>505</v>
      </c>
    </row>
    <row r="728" spans="1:3" x14ac:dyDescent="0.35">
      <c r="A728" s="1947">
        <v>961</v>
      </c>
      <c r="B728" s="1972" t="s">
        <v>3254</v>
      </c>
      <c r="C728" s="1982" t="s">
        <v>506</v>
      </c>
    </row>
    <row r="729" spans="1:3" x14ac:dyDescent="0.35">
      <c r="A729" s="1947">
        <v>962</v>
      </c>
      <c r="B729" s="1972" t="s">
        <v>3255</v>
      </c>
      <c r="C729" s="1982" t="s">
        <v>507</v>
      </c>
    </row>
    <row r="730" spans="1:3" x14ac:dyDescent="0.35">
      <c r="A730" s="1947">
        <v>963</v>
      </c>
      <c r="B730" s="1972" t="s">
        <v>3256</v>
      </c>
      <c r="C730" s="1982" t="s">
        <v>73</v>
      </c>
    </row>
    <row r="731" spans="1:3" x14ac:dyDescent="0.35">
      <c r="A731" s="1947">
        <v>964</v>
      </c>
      <c r="B731" s="1972" t="s">
        <v>3257</v>
      </c>
      <c r="C731" s="1982" t="s">
        <v>74</v>
      </c>
    </row>
    <row r="732" spans="1:3" x14ac:dyDescent="0.35">
      <c r="A732" s="1947">
        <v>965</v>
      </c>
      <c r="B732" s="1972" t="s">
        <v>3258</v>
      </c>
      <c r="C732" s="1982" t="s">
        <v>75</v>
      </c>
    </row>
    <row r="733" spans="1:3" x14ac:dyDescent="0.35">
      <c r="A733" s="1947">
        <v>966</v>
      </c>
      <c r="B733" s="1972" t="s">
        <v>3259</v>
      </c>
      <c r="C733" s="1982" t="s">
        <v>508</v>
      </c>
    </row>
    <row r="734" spans="1:3" x14ac:dyDescent="0.35">
      <c r="A734" s="1947">
        <v>967</v>
      </c>
      <c r="B734" s="1972" t="s">
        <v>3260</v>
      </c>
      <c r="C734" s="1982" t="s">
        <v>509</v>
      </c>
    </row>
    <row r="735" spans="1:3" x14ac:dyDescent="0.35">
      <c r="A735" s="1947">
        <v>968</v>
      </c>
      <c r="B735" s="1972" t="s">
        <v>3261</v>
      </c>
      <c r="C735" s="1982" t="s">
        <v>510</v>
      </c>
    </row>
    <row r="736" spans="1:3" ht="25" x14ac:dyDescent="0.35">
      <c r="A736" s="1947">
        <v>969</v>
      </c>
      <c r="B736" s="1972" t="s">
        <v>3262</v>
      </c>
      <c r="C736" s="1982" t="s">
        <v>511</v>
      </c>
    </row>
    <row r="737" spans="1:3" ht="25" x14ac:dyDescent="0.35">
      <c r="A737" s="1947">
        <v>970</v>
      </c>
      <c r="B737" s="1972" t="s">
        <v>3263</v>
      </c>
      <c r="C737" s="1982" t="s">
        <v>513</v>
      </c>
    </row>
    <row r="738" spans="1:3" x14ac:dyDescent="0.35">
      <c r="A738" s="1947">
        <v>971</v>
      </c>
      <c r="B738" s="1972" t="s">
        <v>3264</v>
      </c>
      <c r="C738" s="1982" t="s">
        <v>514</v>
      </c>
    </row>
    <row r="739" spans="1:3" x14ac:dyDescent="0.35">
      <c r="A739" s="1947">
        <v>972</v>
      </c>
      <c r="B739" s="1972" t="s">
        <v>3265</v>
      </c>
      <c r="C739" s="1982" t="s">
        <v>515</v>
      </c>
    </row>
    <row r="740" spans="1:3" x14ac:dyDescent="0.35">
      <c r="A740" s="1947">
        <v>973</v>
      </c>
      <c r="B740" s="1972" t="s">
        <v>3266</v>
      </c>
      <c r="C740" s="1982" t="s">
        <v>517</v>
      </c>
    </row>
    <row r="741" spans="1:3" x14ac:dyDescent="0.35">
      <c r="A741" s="1947">
        <v>974</v>
      </c>
      <c r="B741" s="1972" t="s">
        <v>3267</v>
      </c>
      <c r="C741" s="1982" t="s">
        <v>518</v>
      </c>
    </row>
    <row r="742" spans="1:3" x14ac:dyDescent="0.35">
      <c r="A742" s="1947">
        <v>975</v>
      </c>
      <c r="B742" s="1972" t="s">
        <v>3268</v>
      </c>
      <c r="C742" s="1982" t="s">
        <v>520</v>
      </c>
    </row>
    <row r="743" spans="1:3" x14ac:dyDescent="0.35">
      <c r="A743" s="1947">
        <v>976</v>
      </c>
      <c r="B743" s="1970" t="s">
        <v>3269</v>
      </c>
      <c r="C743" s="1983" t="s">
        <v>522</v>
      </c>
    </row>
    <row r="744" spans="1:3" ht="26" x14ac:dyDescent="0.35">
      <c r="A744" s="1947">
        <v>977</v>
      </c>
      <c r="B744" s="1950" t="s">
        <v>3270</v>
      </c>
      <c r="C744" s="1950" t="s">
        <v>989</v>
      </c>
    </row>
    <row r="745" spans="1:3" ht="20" x14ac:dyDescent="0.35">
      <c r="A745" s="1947">
        <v>978</v>
      </c>
      <c r="B745" s="769" t="s">
        <v>3271</v>
      </c>
      <c r="C745" s="769" t="s">
        <v>1292</v>
      </c>
    </row>
    <row r="746" spans="1:3" ht="20" x14ac:dyDescent="0.35">
      <c r="A746" s="1947">
        <v>979</v>
      </c>
      <c r="B746" s="921" t="s">
        <v>3272</v>
      </c>
      <c r="C746" s="921" t="s">
        <v>1603</v>
      </c>
    </row>
    <row r="747" spans="1:3" ht="20" x14ac:dyDescent="0.35">
      <c r="A747" s="1947">
        <v>980</v>
      </c>
      <c r="B747" s="921" t="s">
        <v>3273</v>
      </c>
      <c r="C747" s="921" t="s">
        <v>1701</v>
      </c>
    </row>
    <row r="748" spans="1:3" ht="20" x14ac:dyDescent="0.35">
      <c r="A748" s="1947">
        <v>981</v>
      </c>
      <c r="B748" s="769" t="s">
        <v>3274</v>
      </c>
      <c r="C748" s="769" t="s">
        <v>1293</v>
      </c>
    </row>
    <row r="749" spans="1:3" x14ac:dyDescent="0.35">
      <c r="A749" s="1947">
        <v>982</v>
      </c>
      <c r="B749" s="1984" t="s">
        <v>3275</v>
      </c>
      <c r="C749" s="1984" t="s">
        <v>461</v>
      </c>
    </row>
    <row r="750" spans="1:3" ht="15.5" x14ac:dyDescent="0.35">
      <c r="A750" s="1947">
        <v>983</v>
      </c>
      <c r="B750" s="1953" t="s">
        <v>3276</v>
      </c>
      <c r="C750" s="1953" t="s">
        <v>656</v>
      </c>
    </row>
    <row r="751" spans="1:3" ht="28" x14ac:dyDescent="0.35">
      <c r="A751" s="1947">
        <v>984</v>
      </c>
      <c r="B751" s="1624" t="s">
        <v>3277</v>
      </c>
      <c r="C751" s="1624" t="s">
        <v>218</v>
      </c>
    </row>
    <row r="752" spans="1:3" ht="20" x14ac:dyDescent="0.35">
      <c r="A752" s="1947">
        <v>985</v>
      </c>
      <c r="B752" s="769" t="s">
        <v>3278</v>
      </c>
      <c r="C752" s="769" t="s">
        <v>1286</v>
      </c>
    </row>
    <row r="753" spans="1:3" x14ac:dyDescent="0.35">
      <c r="A753" s="1947">
        <v>986</v>
      </c>
      <c r="B753" s="1950" t="s">
        <v>3279</v>
      </c>
      <c r="C753" s="1950" t="s">
        <v>95</v>
      </c>
    </row>
    <row r="754" spans="1:3" ht="20" x14ac:dyDescent="0.35">
      <c r="A754" s="1947">
        <v>987</v>
      </c>
      <c r="B754" s="769" t="s">
        <v>3280</v>
      </c>
      <c r="C754" s="769" t="s">
        <v>991</v>
      </c>
    </row>
    <row r="755" spans="1:3" x14ac:dyDescent="0.35">
      <c r="A755" s="1947">
        <v>988</v>
      </c>
      <c r="B755" s="2093" t="s">
        <v>3281</v>
      </c>
      <c r="C755" s="1987" t="s">
        <v>96</v>
      </c>
    </row>
    <row r="756" spans="1:3" x14ac:dyDescent="0.35">
      <c r="A756" s="1947">
        <v>989</v>
      </c>
      <c r="B756" s="1950" t="s">
        <v>3282</v>
      </c>
      <c r="C756" s="1950" t="s">
        <v>97</v>
      </c>
    </row>
    <row r="757" spans="1:3" x14ac:dyDescent="0.35">
      <c r="A757" s="1947">
        <v>990</v>
      </c>
      <c r="B757" s="769" t="s">
        <v>3283</v>
      </c>
      <c r="C757" s="769" t="s">
        <v>1303</v>
      </c>
    </row>
    <row r="758" spans="1:3" ht="20" x14ac:dyDescent="0.35">
      <c r="A758" s="1947">
        <v>991</v>
      </c>
      <c r="B758" s="769" t="s">
        <v>3284</v>
      </c>
      <c r="C758" s="769" t="s">
        <v>1993</v>
      </c>
    </row>
    <row r="759" spans="1:3" ht="20" x14ac:dyDescent="0.35">
      <c r="A759" s="1947">
        <v>993</v>
      </c>
      <c r="B759" s="769" t="s">
        <v>3285</v>
      </c>
      <c r="C759" s="769" t="s">
        <v>1992</v>
      </c>
    </row>
    <row r="760" spans="1:3" x14ac:dyDescent="0.35">
      <c r="A760" s="1947">
        <v>995</v>
      </c>
      <c r="B760" s="1969" t="s">
        <v>3286</v>
      </c>
      <c r="C760" s="1981" t="s">
        <v>1018</v>
      </c>
    </row>
    <row r="761" spans="1:3" x14ac:dyDescent="0.35">
      <c r="A761" s="1947">
        <v>996</v>
      </c>
      <c r="B761" s="1970" t="s">
        <v>3287</v>
      </c>
      <c r="C761" s="1983" t="s">
        <v>1019</v>
      </c>
    </row>
    <row r="762" spans="1:3" x14ac:dyDescent="0.35">
      <c r="A762" s="1947">
        <v>997</v>
      </c>
      <c r="B762" s="1950" t="s">
        <v>3288</v>
      </c>
      <c r="C762" s="1950" t="s">
        <v>1020</v>
      </c>
    </row>
    <row r="763" spans="1:3" ht="20" x14ac:dyDescent="0.35">
      <c r="A763" s="1947">
        <v>998</v>
      </c>
      <c r="B763" s="769" t="s">
        <v>3289</v>
      </c>
      <c r="C763" s="769" t="s">
        <v>1294</v>
      </c>
    </row>
    <row r="764" spans="1:3" x14ac:dyDescent="0.35">
      <c r="A764" s="1947">
        <v>999</v>
      </c>
      <c r="B764" s="2093" t="s">
        <v>3290</v>
      </c>
      <c r="C764" s="1987" t="s">
        <v>370</v>
      </c>
    </row>
    <row r="765" spans="1:3" ht="15.5" x14ac:dyDescent="0.35">
      <c r="A765" s="1947">
        <v>1000</v>
      </c>
      <c r="B765" s="1953" t="s">
        <v>3291</v>
      </c>
      <c r="C765" s="1953" t="s">
        <v>657</v>
      </c>
    </row>
    <row r="766" spans="1:3" ht="28" x14ac:dyDescent="0.35">
      <c r="A766" s="1947">
        <v>1001</v>
      </c>
      <c r="B766" s="1624" t="s">
        <v>3292</v>
      </c>
      <c r="C766" s="1624" t="s">
        <v>992</v>
      </c>
    </row>
    <row r="767" spans="1:3" ht="30" x14ac:dyDescent="0.35">
      <c r="A767" s="1947">
        <v>1002</v>
      </c>
      <c r="B767" s="769" t="s">
        <v>3293</v>
      </c>
      <c r="C767" s="769" t="s">
        <v>1287</v>
      </c>
    </row>
    <row r="768" spans="1:3" x14ac:dyDescent="0.35">
      <c r="A768" s="1947">
        <v>1003</v>
      </c>
      <c r="B768" s="1950" t="s">
        <v>3294</v>
      </c>
      <c r="C768" s="1950" t="s">
        <v>990</v>
      </c>
    </row>
    <row r="769" spans="1:3" ht="20" x14ac:dyDescent="0.35">
      <c r="A769" s="1947">
        <v>1004</v>
      </c>
      <c r="B769" s="769" t="s">
        <v>3295</v>
      </c>
      <c r="C769" s="769" t="s">
        <v>243</v>
      </c>
    </row>
    <row r="770" spans="1:3" x14ac:dyDescent="0.35">
      <c r="A770" s="1947">
        <v>1005</v>
      </c>
      <c r="B770" s="2093" t="s">
        <v>3296</v>
      </c>
      <c r="C770" s="1987" t="s">
        <v>244</v>
      </c>
    </row>
    <row r="771" spans="1:3" x14ac:dyDescent="0.35">
      <c r="A771" s="1947">
        <v>1006</v>
      </c>
      <c r="B771" s="769" t="s">
        <v>3297</v>
      </c>
      <c r="C771" s="769" t="s">
        <v>1304</v>
      </c>
    </row>
    <row r="772" spans="1:3" ht="20" x14ac:dyDescent="0.35">
      <c r="A772" s="1947">
        <v>1007</v>
      </c>
      <c r="B772" s="769" t="s">
        <v>3298</v>
      </c>
      <c r="C772" s="769" t="s">
        <v>1995</v>
      </c>
    </row>
    <row r="773" spans="1:3" ht="20" x14ac:dyDescent="0.35">
      <c r="A773" s="1947">
        <v>1009</v>
      </c>
      <c r="B773" s="769" t="s">
        <v>3299</v>
      </c>
      <c r="C773" s="769" t="s">
        <v>1996</v>
      </c>
    </row>
    <row r="774" spans="1:3" ht="26" x14ac:dyDescent="0.35">
      <c r="A774" s="1947">
        <v>1011</v>
      </c>
      <c r="B774" s="1950" t="s">
        <v>3300</v>
      </c>
      <c r="C774" s="1950" t="s">
        <v>4</v>
      </c>
    </row>
    <row r="775" spans="1:3" ht="30" x14ac:dyDescent="0.35">
      <c r="A775" s="1947">
        <v>1012</v>
      </c>
      <c r="B775" s="769" t="s">
        <v>3301</v>
      </c>
      <c r="C775" s="769" t="s">
        <v>1295</v>
      </c>
    </row>
    <row r="776" spans="1:3" x14ac:dyDescent="0.35">
      <c r="A776" s="1947">
        <v>1013</v>
      </c>
      <c r="B776" s="2093" t="s">
        <v>3302</v>
      </c>
      <c r="C776" s="1987" t="s">
        <v>711</v>
      </c>
    </row>
    <row r="777" spans="1:3" ht="15.5" x14ac:dyDescent="0.35">
      <c r="A777" s="1947">
        <v>1014</v>
      </c>
      <c r="B777" s="1953" t="s">
        <v>3303</v>
      </c>
      <c r="C777" s="1953" t="s">
        <v>832</v>
      </c>
    </row>
    <row r="778" spans="1:3" ht="28" x14ac:dyDescent="0.35">
      <c r="A778" s="1947">
        <v>1015</v>
      </c>
      <c r="B778" s="1624" t="s">
        <v>3304</v>
      </c>
      <c r="C778" s="1624" t="s">
        <v>92</v>
      </c>
    </row>
    <row r="779" spans="1:3" ht="20" x14ac:dyDescent="0.35">
      <c r="A779" s="1947">
        <v>1016</v>
      </c>
      <c r="B779" s="769" t="s">
        <v>3305</v>
      </c>
      <c r="C779" s="769" t="s">
        <v>1298</v>
      </c>
    </row>
    <row r="780" spans="1:3" x14ac:dyDescent="0.35">
      <c r="A780" s="1947">
        <v>1017</v>
      </c>
      <c r="B780" s="1950" t="s">
        <v>3306</v>
      </c>
      <c r="C780" s="1950" t="s">
        <v>712</v>
      </c>
    </row>
    <row r="781" spans="1:3" x14ac:dyDescent="0.35">
      <c r="A781" s="1947">
        <v>1018</v>
      </c>
      <c r="B781" s="769" t="s">
        <v>3307</v>
      </c>
      <c r="C781" s="769" t="s">
        <v>713</v>
      </c>
    </row>
    <row r="782" spans="1:3" x14ac:dyDescent="0.35">
      <c r="A782" s="1947">
        <v>1019</v>
      </c>
      <c r="B782" s="2093" t="s">
        <v>3308</v>
      </c>
      <c r="C782" s="1987" t="s">
        <v>714</v>
      </c>
    </row>
    <row r="783" spans="1:3" x14ac:dyDescent="0.35">
      <c r="A783" s="1947">
        <v>1020</v>
      </c>
      <c r="B783" s="1950" t="s">
        <v>3309</v>
      </c>
      <c r="C783" s="1950" t="s">
        <v>715</v>
      </c>
    </row>
    <row r="784" spans="1:3" x14ac:dyDescent="0.35">
      <c r="A784" s="1947">
        <v>1021</v>
      </c>
      <c r="B784" s="769" t="s">
        <v>3310</v>
      </c>
      <c r="C784" s="769" t="s">
        <v>1299</v>
      </c>
    </row>
    <row r="785" spans="1:3" ht="20" x14ac:dyDescent="0.35">
      <c r="A785" s="1947">
        <v>1022</v>
      </c>
      <c r="B785" s="769" t="s">
        <v>3311</v>
      </c>
      <c r="C785" s="769" t="s">
        <v>1994</v>
      </c>
    </row>
    <row r="786" spans="1:3" ht="20" x14ac:dyDescent="0.35">
      <c r="A786" s="1947">
        <v>1023</v>
      </c>
      <c r="B786" s="769" t="s">
        <v>3312</v>
      </c>
      <c r="C786" s="769" t="s">
        <v>1997</v>
      </c>
    </row>
    <row r="787" spans="1:3" ht="20" x14ac:dyDescent="0.35">
      <c r="A787" s="1947">
        <v>1024</v>
      </c>
      <c r="B787" s="769" t="s">
        <v>3313</v>
      </c>
      <c r="C787" s="769" t="s">
        <v>1998</v>
      </c>
    </row>
    <row r="788" spans="1:3" x14ac:dyDescent="0.35">
      <c r="A788" s="1947">
        <v>1025</v>
      </c>
      <c r="B788" s="1980" t="s">
        <v>3314</v>
      </c>
      <c r="C788" s="1980" t="s">
        <v>716</v>
      </c>
    </row>
    <row r="789" spans="1:3" x14ac:dyDescent="0.35">
      <c r="A789" s="1947">
        <v>1026</v>
      </c>
      <c r="B789" s="1969" t="s">
        <v>3315</v>
      </c>
      <c r="C789" s="1981" t="s">
        <v>840</v>
      </c>
    </row>
    <row r="790" spans="1:3" x14ac:dyDescent="0.35">
      <c r="A790" s="1947">
        <v>1027</v>
      </c>
      <c r="B790" s="1972" t="s">
        <v>3316</v>
      </c>
      <c r="C790" s="1982" t="s">
        <v>717</v>
      </c>
    </row>
    <row r="791" spans="1:3" x14ac:dyDescent="0.35">
      <c r="A791" s="1947">
        <v>1028</v>
      </c>
      <c r="B791" s="1970" t="s">
        <v>3317</v>
      </c>
      <c r="C791" s="1983" t="s">
        <v>880</v>
      </c>
    </row>
    <row r="792" spans="1:3" x14ac:dyDescent="0.35">
      <c r="A792" s="1947">
        <v>1029</v>
      </c>
      <c r="B792" s="1950" t="s">
        <v>3318</v>
      </c>
      <c r="C792" s="1950" t="s">
        <v>881</v>
      </c>
    </row>
    <row r="793" spans="1:3" ht="30" x14ac:dyDescent="0.35">
      <c r="A793" s="1947">
        <v>1030</v>
      </c>
      <c r="B793" s="769" t="s">
        <v>3319</v>
      </c>
      <c r="C793" s="769" t="s">
        <v>1300</v>
      </c>
    </row>
    <row r="794" spans="1:3" x14ac:dyDescent="0.35">
      <c r="A794" s="1947">
        <v>1031</v>
      </c>
      <c r="B794" s="2093" t="s">
        <v>3320</v>
      </c>
      <c r="C794" s="1987" t="s">
        <v>882</v>
      </c>
    </row>
    <row r="795" spans="1:3" ht="28" x14ac:dyDescent="0.35">
      <c r="A795" s="1947">
        <v>1032</v>
      </c>
      <c r="B795" s="1624" t="s">
        <v>3321</v>
      </c>
      <c r="C795" s="1624" t="s">
        <v>1420</v>
      </c>
    </row>
    <row r="796" spans="1:3" ht="20" x14ac:dyDescent="0.35">
      <c r="A796" s="1947">
        <v>1033</v>
      </c>
      <c r="B796" s="769" t="s">
        <v>3322</v>
      </c>
      <c r="C796" s="769" t="s">
        <v>1421</v>
      </c>
    </row>
    <row r="797" spans="1:3" ht="20" x14ac:dyDescent="0.35">
      <c r="A797" s="1947">
        <v>1034</v>
      </c>
      <c r="B797" s="769" t="s">
        <v>3323</v>
      </c>
      <c r="C797" s="769" t="s">
        <v>212</v>
      </c>
    </row>
    <row r="798" spans="1:3" ht="20" x14ac:dyDescent="0.35">
      <c r="A798" s="1947">
        <v>1035</v>
      </c>
      <c r="B798" s="769" t="s">
        <v>3324</v>
      </c>
      <c r="C798" s="769" t="s">
        <v>1050</v>
      </c>
    </row>
    <row r="799" spans="1:3" x14ac:dyDescent="0.35">
      <c r="A799" s="1947">
        <v>1036</v>
      </c>
      <c r="B799" s="1950" t="s">
        <v>3325</v>
      </c>
      <c r="C799" s="1950" t="s">
        <v>234</v>
      </c>
    </row>
    <row r="800" spans="1:3" ht="20" x14ac:dyDescent="0.35">
      <c r="A800" s="1947">
        <v>1037</v>
      </c>
      <c r="B800" s="769" t="s">
        <v>3326</v>
      </c>
      <c r="C800" s="769" t="s">
        <v>1422</v>
      </c>
    </row>
    <row r="801" spans="1:3" x14ac:dyDescent="0.35">
      <c r="A801" s="1947">
        <v>1038</v>
      </c>
      <c r="B801" s="1980" t="s">
        <v>3327</v>
      </c>
      <c r="C801" s="1980" t="s">
        <v>235</v>
      </c>
    </row>
    <row r="802" spans="1:3" ht="26" x14ac:dyDescent="0.35">
      <c r="A802" s="1947">
        <v>1039</v>
      </c>
      <c r="B802" s="1980" t="s">
        <v>3328</v>
      </c>
      <c r="C802" s="2014" t="s">
        <v>236</v>
      </c>
    </row>
    <row r="803" spans="1:3" ht="39" x14ac:dyDescent="0.35">
      <c r="A803" s="1947">
        <v>1040</v>
      </c>
      <c r="B803" s="1950" t="s">
        <v>3329</v>
      </c>
      <c r="C803" s="1950" t="s">
        <v>213</v>
      </c>
    </row>
    <row r="804" spans="1:3" x14ac:dyDescent="0.35">
      <c r="A804" s="1947">
        <v>1041</v>
      </c>
      <c r="B804" s="769" t="s">
        <v>3330</v>
      </c>
      <c r="C804" s="769" t="s">
        <v>1423</v>
      </c>
    </row>
    <row r="805" spans="1:3" x14ac:dyDescent="0.35">
      <c r="A805" s="1947">
        <v>1042</v>
      </c>
      <c r="B805" s="2093" t="s">
        <v>3331</v>
      </c>
      <c r="C805" s="1987" t="s">
        <v>207</v>
      </c>
    </row>
    <row r="806" spans="1:3" ht="15.5" x14ac:dyDescent="0.35">
      <c r="A806" s="1947">
        <v>1043</v>
      </c>
      <c r="B806" s="1953" t="s">
        <v>3332</v>
      </c>
      <c r="C806" s="1953" t="s">
        <v>462</v>
      </c>
    </row>
    <row r="807" spans="1:3" ht="28" x14ac:dyDescent="0.35">
      <c r="A807" s="1947">
        <v>1044</v>
      </c>
      <c r="B807" s="1624" t="s">
        <v>3333</v>
      </c>
      <c r="C807" s="1624" t="s">
        <v>635</v>
      </c>
    </row>
    <row r="808" spans="1:3" ht="20" x14ac:dyDescent="0.35">
      <c r="A808" s="1947">
        <v>1045</v>
      </c>
      <c r="B808" s="769" t="s">
        <v>3334</v>
      </c>
      <c r="C808" s="769" t="s">
        <v>1288</v>
      </c>
    </row>
    <row r="809" spans="1:3" ht="20" x14ac:dyDescent="0.35">
      <c r="A809" s="1947">
        <v>1046</v>
      </c>
      <c r="B809" s="769" t="s">
        <v>3335</v>
      </c>
      <c r="C809" s="769" t="s">
        <v>1669</v>
      </c>
    </row>
    <row r="810" spans="1:3" x14ac:dyDescent="0.35">
      <c r="A810" s="1947">
        <v>1047</v>
      </c>
      <c r="B810" s="769" t="s">
        <v>3336</v>
      </c>
      <c r="C810" s="769" t="s">
        <v>1301</v>
      </c>
    </row>
    <row r="811" spans="1:3" x14ac:dyDescent="0.35">
      <c r="A811" s="1947">
        <v>1048</v>
      </c>
      <c r="B811" s="1972" t="s">
        <v>3227</v>
      </c>
      <c r="C811" s="1982" t="s">
        <v>863</v>
      </c>
    </row>
    <row r="812" spans="1:3" ht="26" x14ac:dyDescent="0.35">
      <c r="A812" s="1947">
        <v>1049</v>
      </c>
      <c r="B812" s="1950" t="s">
        <v>3337</v>
      </c>
      <c r="C812" s="1950" t="s">
        <v>864</v>
      </c>
    </row>
    <row r="813" spans="1:3" ht="20" x14ac:dyDescent="0.35">
      <c r="A813" s="1947">
        <v>1050</v>
      </c>
      <c r="B813" s="769" t="s">
        <v>3338</v>
      </c>
      <c r="C813" s="769" t="s">
        <v>1296</v>
      </c>
    </row>
    <row r="814" spans="1:3" ht="20" x14ac:dyDescent="0.35">
      <c r="A814" s="1947">
        <v>1051</v>
      </c>
      <c r="B814" s="921" t="s">
        <v>3339</v>
      </c>
      <c r="C814" s="921" t="s">
        <v>1085</v>
      </c>
    </row>
    <row r="815" spans="1:3" ht="20" x14ac:dyDescent="0.35">
      <c r="A815" s="1947">
        <v>1052</v>
      </c>
      <c r="B815" s="921" t="s">
        <v>3340</v>
      </c>
      <c r="C815" s="921" t="s">
        <v>1702</v>
      </c>
    </row>
    <row r="816" spans="1:3" x14ac:dyDescent="0.35">
      <c r="A816" s="1947">
        <v>1053</v>
      </c>
      <c r="B816" s="1984" t="s">
        <v>3341</v>
      </c>
      <c r="C816" s="1984" t="s">
        <v>865</v>
      </c>
    </row>
    <row r="817" spans="1:3" ht="28" x14ac:dyDescent="0.35">
      <c r="A817" s="1947">
        <v>1054</v>
      </c>
      <c r="B817" s="1624" t="s">
        <v>3342</v>
      </c>
      <c r="C817" s="1624" t="s">
        <v>883</v>
      </c>
    </row>
    <row r="818" spans="1:3" ht="20" x14ac:dyDescent="0.35">
      <c r="A818" s="1947">
        <v>1055</v>
      </c>
      <c r="B818" s="769" t="s">
        <v>3343</v>
      </c>
      <c r="C818" s="769" t="s">
        <v>1289</v>
      </c>
    </row>
    <row r="819" spans="1:3" ht="20" x14ac:dyDescent="0.35">
      <c r="A819" s="1947">
        <v>1056</v>
      </c>
      <c r="B819" s="921" t="s">
        <v>3344</v>
      </c>
      <c r="C819" s="921" t="s">
        <v>1703</v>
      </c>
    </row>
    <row r="820" spans="1:3" x14ac:dyDescent="0.35">
      <c r="A820" s="1947">
        <v>1057</v>
      </c>
      <c r="B820" s="1950" t="s">
        <v>3345</v>
      </c>
      <c r="C820" s="1950" t="s">
        <v>625</v>
      </c>
    </row>
    <row r="821" spans="1:3" ht="20" x14ac:dyDescent="0.35">
      <c r="A821" s="1947">
        <v>1059</v>
      </c>
      <c r="B821" s="921" t="s">
        <v>3346</v>
      </c>
      <c r="C821" s="921" t="s">
        <v>626</v>
      </c>
    </row>
    <row r="822" spans="1:3" x14ac:dyDescent="0.35">
      <c r="A822" s="1947">
        <v>1060</v>
      </c>
      <c r="B822" s="2093" t="s">
        <v>3347</v>
      </c>
      <c r="C822" s="1987" t="s">
        <v>884</v>
      </c>
    </row>
    <row r="823" spans="1:3" x14ac:dyDescent="0.35">
      <c r="A823" s="1947">
        <v>1061</v>
      </c>
      <c r="B823" s="1950" t="s">
        <v>3348</v>
      </c>
      <c r="C823" s="1950" t="s">
        <v>623</v>
      </c>
    </row>
    <row r="824" spans="1:3" x14ac:dyDescent="0.35">
      <c r="A824" s="1947">
        <v>1063</v>
      </c>
      <c r="B824" s="769" t="s">
        <v>3349</v>
      </c>
      <c r="C824" s="769" t="s">
        <v>621</v>
      </c>
    </row>
    <row r="825" spans="1:3" x14ac:dyDescent="0.35">
      <c r="A825" s="1947">
        <v>1064</v>
      </c>
      <c r="B825" s="2093" t="s">
        <v>3350</v>
      </c>
      <c r="C825" s="1987" t="s">
        <v>622</v>
      </c>
    </row>
    <row r="826" spans="1:3" x14ac:dyDescent="0.35">
      <c r="A826" s="1947">
        <v>1067</v>
      </c>
      <c r="B826" s="769" t="s">
        <v>3351</v>
      </c>
      <c r="C826" s="769" t="s">
        <v>216</v>
      </c>
    </row>
    <row r="827" spans="1:3" x14ac:dyDescent="0.35">
      <c r="A827" s="1947">
        <v>1068</v>
      </c>
      <c r="B827" s="2093" t="s">
        <v>3352</v>
      </c>
      <c r="C827" s="1987" t="s">
        <v>624</v>
      </c>
    </row>
    <row r="828" spans="1:3" ht="15.5" x14ac:dyDescent="0.35">
      <c r="A828" s="1947">
        <v>1069</v>
      </c>
      <c r="B828" s="1953" t="s">
        <v>3371</v>
      </c>
      <c r="C828" s="1953" t="s">
        <v>841</v>
      </c>
    </row>
    <row r="829" spans="1:3" ht="28" x14ac:dyDescent="0.35">
      <c r="A829" s="1947">
        <v>1070</v>
      </c>
      <c r="B829" s="1624" t="s">
        <v>3370</v>
      </c>
      <c r="C829" s="1624" t="s">
        <v>627</v>
      </c>
    </row>
    <row r="830" spans="1:3" ht="20" x14ac:dyDescent="0.35">
      <c r="A830" s="1947">
        <v>1071</v>
      </c>
      <c r="B830" s="769" t="s">
        <v>3372</v>
      </c>
      <c r="C830" s="769" t="s">
        <v>1290</v>
      </c>
    </row>
    <row r="831" spans="1:3" ht="20" x14ac:dyDescent="0.35">
      <c r="A831" s="1947">
        <v>1072</v>
      </c>
      <c r="B831" s="921" t="s">
        <v>3353</v>
      </c>
      <c r="C831" s="921" t="s">
        <v>1704</v>
      </c>
    </row>
    <row r="832" spans="1:3" x14ac:dyDescent="0.35">
      <c r="A832" s="1947">
        <v>1073</v>
      </c>
      <c r="B832" s="1950" t="s">
        <v>3373</v>
      </c>
      <c r="C832" s="1950" t="s">
        <v>628</v>
      </c>
    </row>
    <row r="833" spans="1:3" x14ac:dyDescent="0.35">
      <c r="A833" s="1947">
        <v>1075</v>
      </c>
      <c r="B833" s="2093" t="s">
        <v>3374</v>
      </c>
      <c r="C833" s="1987" t="s">
        <v>629</v>
      </c>
    </row>
    <row r="834" spans="1:3" x14ac:dyDescent="0.35">
      <c r="A834" s="1947">
        <v>1076</v>
      </c>
      <c r="B834" s="769" t="s">
        <v>3354</v>
      </c>
      <c r="C834" s="769" t="s">
        <v>630</v>
      </c>
    </row>
    <row r="835" spans="1:3" ht="26" x14ac:dyDescent="0.35">
      <c r="A835" s="1947">
        <v>1077</v>
      </c>
      <c r="B835" s="1950" t="s">
        <v>3355</v>
      </c>
      <c r="C835" s="1950" t="s">
        <v>631</v>
      </c>
    </row>
    <row r="836" spans="1:3" ht="20" x14ac:dyDescent="0.35">
      <c r="A836" s="1947">
        <v>1078</v>
      </c>
      <c r="B836" s="769" t="s">
        <v>3356</v>
      </c>
      <c r="C836" s="769" t="s">
        <v>1297</v>
      </c>
    </row>
    <row r="837" spans="1:3" x14ac:dyDescent="0.35">
      <c r="A837" s="1947">
        <v>1079</v>
      </c>
      <c r="B837" s="2093" t="s">
        <v>3375</v>
      </c>
      <c r="C837" s="1987" t="s">
        <v>632</v>
      </c>
    </row>
    <row r="838" spans="1:3" ht="15.5" x14ac:dyDescent="0.35">
      <c r="A838" s="1947">
        <v>1080</v>
      </c>
      <c r="B838" s="1953" t="s">
        <v>3357</v>
      </c>
      <c r="C838" s="1953" t="s">
        <v>633</v>
      </c>
    </row>
    <row r="839" spans="1:3" ht="28" x14ac:dyDescent="0.35">
      <c r="A839" s="1947">
        <v>1081</v>
      </c>
      <c r="B839" s="1624" t="s">
        <v>3358</v>
      </c>
      <c r="C839" s="1624" t="s">
        <v>634</v>
      </c>
    </row>
    <row r="840" spans="1:3" ht="20" x14ac:dyDescent="0.35">
      <c r="A840" s="1947">
        <v>1082</v>
      </c>
      <c r="B840" s="769" t="s">
        <v>3359</v>
      </c>
      <c r="C840" s="769" t="s">
        <v>1291</v>
      </c>
    </row>
    <row r="841" spans="1:3" x14ac:dyDescent="0.35">
      <c r="A841" s="1947">
        <v>1083</v>
      </c>
      <c r="B841" s="1950" t="s">
        <v>3360</v>
      </c>
      <c r="C841" s="1950" t="s">
        <v>226</v>
      </c>
    </row>
    <row r="842" spans="1:3" ht="20" x14ac:dyDescent="0.35">
      <c r="A842" s="1947">
        <v>1085</v>
      </c>
      <c r="B842" s="769" t="s">
        <v>3361</v>
      </c>
      <c r="C842" s="769" t="s">
        <v>302</v>
      </c>
    </row>
    <row r="843" spans="1:3" x14ac:dyDescent="0.35">
      <c r="A843" s="1947">
        <v>1086</v>
      </c>
      <c r="B843" s="1981" t="s">
        <v>3362</v>
      </c>
      <c r="C843" s="1981" t="s">
        <v>857</v>
      </c>
    </row>
    <row r="844" spans="1:3" x14ac:dyDescent="0.35">
      <c r="A844" s="1947">
        <v>1087</v>
      </c>
      <c r="B844" s="1982" t="s">
        <v>3363</v>
      </c>
      <c r="C844" s="1982" t="s">
        <v>858</v>
      </c>
    </row>
    <row r="845" spans="1:3" x14ac:dyDescent="0.35">
      <c r="A845" s="1947">
        <v>1088</v>
      </c>
      <c r="B845" s="1982" t="s">
        <v>3364</v>
      </c>
      <c r="C845" s="1982" t="s">
        <v>859</v>
      </c>
    </row>
    <row r="846" spans="1:3" x14ac:dyDescent="0.35">
      <c r="A846" s="1947">
        <v>1089</v>
      </c>
      <c r="B846" s="1983" t="s">
        <v>3365</v>
      </c>
      <c r="C846" s="1983" t="s">
        <v>860</v>
      </c>
    </row>
    <row r="847" spans="1:3" x14ac:dyDescent="0.35">
      <c r="A847" s="1947">
        <v>1090</v>
      </c>
      <c r="B847" s="1987" t="s">
        <v>3366</v>
      </c>
      <c r="C847" s="1987" t="s">
        <v>855</v>
      </c>
    </row>
    <row r="848" spans="1:3" ht="26" x14ac:dyDescent="0.35">
      <c r="A848" s="1947">
        <v>1091</v>
      </c>
      <c r="B848" s="1950" t="s">
        <v>3367</v>
      </c>
      <c r="C848" s="1950" t="s">
        <v>861</v>
      </c>
    </row>
    <row r="849" spans="1:3" ht="20" x14ac:dyDescent="0.35">
      <c r="A849" s="1947">
        <v>1092</v>
      </c>
      <c r="B849" s="769" t="s">
        <v>3368</v>
      </c>
      <c r="C849" s="769" t="s">
        <v>1283</v>
      </c>
    </row>
    <row r="850" spans="1:3" x14ac:dyDescent="0.35">
      <c r="A850" s="1947">
        <v>1093</v>
      </c>
      <c r="B850" s="1987" t="s">
        <v>3369</v>
      </c>
      <c r="C850" s="1987" t="s">
        <v>1038</v>
      </c>
    </row>
    <row r="851" spans="1:3" ht="15.5" x14ac:dyDescent="0.35">
      <c r="A851" s="1947">
        <v>1094</v>
      </c>
      <c r="B851" s="1953" t="s">
        <v>3376</v>
      </c>
      <c r="C851" s="1953" t="s">
        <v>567</v>
      </c>
    </row>
    <row r="852" spans="1:3" ht="28" x14ac:dyDescent="0.35">
      <c r="A852" s="1947">
        <v>1095</v>
      </c>
      <c r="B852" s="1624" t="s">
        <v>3377</v>
      </c>
      <c r="C852" s="1624" t="s">
        <v>1424</v>
      </c>
    </row>
    <row r="853" spans="1:3" ht="20" x14ac:dyDescent="0.35">
      <c r="A853" s="1947">
        <v>1096</v>
      </c>
      <c r="B853" s="769" t="s">
        <v>3378</v>
      </c>
      <c r="C853" s="769" t="s">
        <v>1425</v>
      </c>
    </row>
    <row r="854" spans="1:3" x14ac:dyDescent="0.35">
      <c r="A854" s="1947">
        <v>1097</v>
      </c>
      <c r="B854" s="769" t="s">
        <v>3379</v>
      </c>
      <c r="C854" s="769" t="s">
        <v>233</v>
      </c>
    </row>
    <row r="855" spans="1:3" ht="20" x14ac:dyDescent="0.35">
      <c r="A855" s="1947">
        <v>1098</v>
      </c>
      <c r="B855" s="769" t="s">
        <v>3380</v>
      </c>
      <c r="C855" s="769" t="s">
        <v>636</v>
      </c>
    </row>
    <row r="856" spans="1:3" x14ac:dyDescent="0.35">
      <c r="A856" s="1947">
        <v>1099</v>
      </c>
      <c r="B856" s="769" t="s">
        <v>3381</v>
      </c>
      <c r="C856" s="769" t="s">
        <v>566</v>
      </c>
    </row>
    <row r="857" spans="1:3" ht="20" x14ac:dyDescent="0.35">
      <c r="A857" s="1947">
        <v>1100</v>
      </c>
      <c r="B857" s="769" t="s">
        <v>3382</v>
      </c>
      <c r="C857" s="769" t="s">
        <v>242</v>
      </c>
    </row>
    <row r="858" spans="1:3" ht="20" x14ac:dyDescent="0.35">
      <c r="A858" s="1947">
        <v>1101</v>
      </c>
      <c r="B858" s="769" t="s">
        <v>3383</v>
      </c>
      <c r="C858" s="769" t="s">
        <v>1426</v>
      </c>
    </row>
    <row r="859" spans="1:3" x14ac:dyDescent="0.35">
      <c r="A859" s="1947">
        <v>1102</v>
      </c>
      <c r="B859" s="1950" t="s">
        <v>3384</v>
      </c>
      <c r="C859" s="1950" t="s">
        <v>969</v>
      </c>
    </row>
    <row r="860" spans="1:3" x14ac:dyDescent="0.35">
      <c r="A860" s="1947">
        <v>1103</v>
      </c>
      <c r="B860" s="769" t="s">
        <v>3385</v>
      </c>
      <c r="C860" s="769" t="s">
        <v>568</v>
      </c>
    </row>
    <row r="861" spans="1:3" x14ac:dyDescent="0.35">
      <c r="A861" s="1947">
        <v>1104</v>
      </c>
      <c r="B861" s="1972" t="s">
        <v>3386</v>
      </c>
      <c r="C861" s="1982" t="s">
        <v>570</v>
      </c>
    </row>
    <row r="862" spans="1:3" x14ac:dyDescent="0.35">
      <c r="A862" s="1947">
        <v>1105</v>
      </c>
      <c r="B862" s="1970" t="s">
        <v>3387</v>
      </c>
      <c r="C862" s="1983" t="s">
        <v>569</v>
      </c>
    </row>
    <row r="863" spans="1:3" ht="15" thickBot="1" x14ac:dyDescent="0.4">
      <c r="A863" s="1947">
        <v>1106</v>
      </c>
      <c r="B863" s="1970" t="s">
        <v>3388</v>
      </c>
      <c r="C863" s="1983" t="s">
        <v>967</v>
      </c>
    </row>
    <row r="864" spans="1:3" ht="26" x14ac:dyDescent="0.35">
      <c r="A864" s="1947">
        <v>1107</v>
      </c>
      <c r="B864" s="1966" t="s">
        <v>704</v>
      </c>
      <c r="C864" s="1966" t="s">
        <v>603</v>
      </c>
    </row>
    <row r="865" spans="1:3" ht="36" x14ac:dyDescent="0.35">
      <c r="A865" s="1947">
        <v>1108</v>
      </c>
      <c r="B865" s="1949" t="s">
        <v>3389</v>
      </c>
      <c r="C865" s="1952" t="s">
        <v>296</v>
      </c>
    </row>
    <row r="866" spans="1:3" ht="16" thickBot="1" x14ac:dyDescent="0.4">
      <c r="A866" s="1947">
        <v>1109</v>
      </c>
      <c r="B866" s="1168" t="s">
        <v>3390</v>
      </c>
      <c r="C866" s="1953" t="s">
        <v>297</v>
      </c>
    </row>
    <row r="867" spans="1:3" ht="26" x14ac:dyDescent="0.35">
      <c r="A867" s="1947">
        <v>1110</v>
      </c>
      <c r="B867" s="1966" t="s">
        <v>706</v>
      </c>
      <c r="C867" s="1966" t="s">
        <v>604</v>
      </c>
    </row>
    <row r="868" spans="1:3" ht="36" x14ac:dyDescent="0.35">
      <c r="A868" s="1947">
        <v>1111</v>
      </c>
      <c r="B868" s="1952" t="s">
        <v>3391</v>
      </c>
      <c r="C868" s="1952" t="s">
        <v>705</v>
      </c>
    </row>
    <row r="869" spans="1:3" ht="15.5" x14ac:dyDescent="0.35">
      <c r="A869" s="1947">
        <v>1112</v>
      </c>
      <c r="B869" s="1953" t="s">
        <v>3392</v>
      </c>
      <c r="C869" s="1953" t="s">
        <v>21</v>
      </c>
    </row>
    <row r="870" spans="1:3" ht="28" x14ac:dyDescent="0.35">
      <c r="A870" s="1947">
        <v>1113</v>
      </c>
      <c r="B870" s="1624" t="s">
        <v>3393</v>
      </c>
      <c r="C870" s="1624" t="s">
        <v>20</v>
      </c>
    </row>
    <row r="871" spans="1:3" ht="20" x14ac:dyDescent="0.35">
      <c r="A871" s="1947">
        <v>1114</v>
      </c>
      <c r="B871" s="769" t="s">
        <v>3394</v>
      </c>
      <c r="C871" s="769" t="s">
        <v>25</v>
      </c>
    </row>
    <row r="872" spans="1:3" x14ac:dyDescent="0.35">
      <c r="A872" s="1947">
        <v>1115</v>
      </c>
      <c r="B872" s="769" t="s">
        <v>3395</v>
      </c>
      <c r="C872" s="769" t="s">
        <v>26</v>
      </c>
    </row>
    <row r="873" spans="1:3" ht="20" x14ac:dyDescent="0.35">
      <c r="A873" s="1947">
        <v>1116</v>
      </c>
      <c r="B873" s="769" t="s">
        <v>3396</v>
      </c>
      <c r="C873" s="769" t="s">
        <v>708</v>
      </c>
    </row>
    <row r="874" spans="1:3" ht="20" x14ac:dyDescent="0.35">
      <c r="A874" s="1947">
        <v>1117</v>
      </c>
      <c r="B874" s="769" t="s">
        <v>3397</v>
      </c>
      <c r="C874" s="769" t="s">
        <v>707</v>
      </c>
    </row>
    <row r="875" spans="1:3" ht="20" x14ac:dyDescent="0.35">
      <c r="A875" s="1947">
        <v>1118</v>
      </c>
      <c r="B875" s="769" t="s">
        <v>3398</v>
      </c>
      <c r="C875" s="769" t="s">
        <v>637</v>
      </c>
    </row>
    <row r="876" spans="1:3" ht="20" x14ac:dyDescent="0.35">
      <c r="A876" s="1947">
        <v>1120</v>
      </c>
      <c r="B876" s="346" t="s">
        <v>3399</v>
      </c>
      <c r="C876" s="346" t="s">
        <v>22</v>
      </c>
    </row>
    <row r="877" spans="1:3" x14ac:dyDescent="0.35">
      <c r="A877" s="1947">
        <v>1121</v>
      </c>
      <c r="B877" s="1980" t="s">
        <v>3400</v>
      </c>
      <c r="C877" s="1980" t="s">
        <v>23</v>
      </c>
    </row>
    <row r="878" spans="1:3" x14ac:dyDescent="0.35">
      <c r="A878" s="1947">
        <v>1122</v>
      </c>
      <c r="B878" s="1975" t="s">
        <v>3401</v>
      </c>
      <c r="C878" s="1975" t="s">
        <v>24</v>
      </c>
    </row>
    <row r="879" spans="1:3" x14ac:dyDescent="0.35">
      <c r="A879" s="1947">
        <v>1124</v>
      </c>
      <c r="B879" s="1950" t="s">
        <v>3402</v>
      </c>
      <c r="C879" s="1950" t="s">
        <v>1685</v>
      </c>
    </row>
    <row r="880" spans="1:3" ht="20" x14ac:dyDescent="0.35">
      <c r="A880" s="1947">
        <v>1125</v>
      </c>
      <c r="B880" s="346" t="s">
        <v>3403</v>
      </c>
      <c r="C880" s="346" t="s">
        <v>1684</v>
      </c>
    </row>
    <row r="881" spans="1:3" ht="26" x14ac:dyDescent="0.35">
      <c r="A881" s="1947">
        <v>1126</v>
      </c>
      <c r="B881" s="2015" t="s">
        <v>3404</v>
      </c>
      <c r="C881" s="2015" t="s">
        <v>1686</v>
      </c>
    </row>
    <row r="882" spans="1:3" x14ac:dyDescent="0.35">
      <c r="A882" s="1947">
        <v>1127</v>
      </c>
      <c r="B882" s="2015" t="s">
        <v>3405</v>
      </c>
      <c r="C882" s="2015" t="s">
        <v>1682</v>
      </c>
    </row>
    <row r="883" spans="1:3" x14ac:dyDescent="0.35">
      <c r="A883" s="1947">
        <v>1128</v>
      </c>
      <c r="B883" s="2015" t="s">
        <v>3406</v>
      </c>
      <c r="C883" s="2015" t="s">
        <v>1683</v>
      </c>
    </row>
    <row r="884" spans="1:3" x14ac:dyDescent="0.35">
      <c r="A884" s="1947">
        <v>1129</v>
      </c>
      <c r="B884" s="1950" t="s">
        <v>3407</v>
      </c>
      <c r="C884" s="1950" t="s">
        <v>384</v>
      </c>
    </row>
    <row r="885" spans="1:3" ht="31" x14ac:dyDescent="0.35">
      <c r="A885" s="1947">
        <v>1130</v>
      </c>
      <c r="B885" s="1953" t="s">
        <v>3408</v>
      </c>
      <c r="C885" s="1953" t="s">
        <v>385</v>
      </c>
    </row>
    <row r="886" spans="1:3" ht="42.5" thickBot="1" x14ac:dyDescent="0.4">
      <c r="A886" s="1947">
        <v>1131</v>
      </c>
      <c r="B886" s="2016" t="s">
        <v>3409</v>
      </c>
      <c r="C886" s="2016" t="s">
        <v>266</v>
      </c>
    </row>
    <row r="887" spans="1:3" ht="26" x14ac:dyDescent="0.35">
      <c r="A887" s="1947">
        <v>1132</v>
      </c>
      <c r="B887" s="1966" t="s">
        <v>295</v>
      </c>
      <c r="C887" s="1966" t="s">
        <v>605</v>
      </c>
    </row>
    <row r="888" spans="1:3" x14ac:dyDescent="0.35">
      <c r="A888" s="1947">
        <v>1133</v>
      </c>
      <c r="B888" s="359" t="s">
        <v>3410</v>
      </c>
      <c r="C888" s="1039" t="s">
        <v>304</v>
      </c>
    </row>
    <row r="889" spans="1:3" x14ac:dyDescent="0.35">
      <c r="A889" s="1947">
        <v>1134</v>
      </c>
      <c r="B889" s="359" t="s">
        <v>3411</v>
      </c>
      <c r="C889" s="1039" t="s">
        <v>222</v>
      </c>
    </row>
    <row r="890" spans="1:3" x14ac:dyDescent="0.35">
      <c r="A890" s="1947">
        <v>1135</v>
      </c>
      <c r="B890" s="359" t="s">
        <v>3412</v>
      </c>
      <c r="C890" s="1039" t="s">
        <v>223</v>
      </c>
    </row>
    <row r="891" spans="1:3" x14ac:dyDescent="0.35">
      <c r="A891" s="1947">
        <v>1136</v>
      </c>
      <c r="B891" s="359" t="s">
        <v>3413</v>
      </c>
      <c r="C891" s="1039" t="s">
        <v>224</v>
      </c>
    </row>
    <row r="892" spans="1:3" x14ac:dyDescent="0.35">
      <c r="A892" s="1947">
        <v>1137</v>
      </c>
      <c r="B892" s="359" t="s">
        <v>3414</v>
      </c>
      <c r="C892" s="1039" t="s">
        <v>225</v>
      </c>
    </row>
    <row r="893" spans="1:3" ht="36" x14ac:dyDescent="0.35">
      <c r="A893" s="1947">
        <v>1138</v>
      </c>
      <c r="B893" s="1952" t="s">
        <v>3415</v>
      </c>
      <c r="C893" s="1952" t="s">
        <v>248</v>
      </c>
    </row>
    <row r="894" spans="1:3" x14ac:dyDescent="0.35">
      <c r="A894" s="1947">
        <v>1140</v>
      </c>
      <c r="B894" s="556" t="s">
        <v>3416</v>
      </c>
      <c r="C894" s="1950" t="s">
        <v>578</v>
      </c>
    </row>
    <row r="895" spans="1:3" x14ac:dyDescent="0.35">
      <c r="A895" s="1947">
        <v>1141</v>
      </c>
      <c r="B895" s="556" t="s">
        <v>3417</v>
      </c>
      <c r="C895" s="1950" t="s">
        <v>572</v>
      </c>
    </row>
    <row r="896" spans="1:3" x14ac:dyDescent="0.35">
      <c r="A896" s="1947">
        <v>1142</v>
      </c>
      <c r="B896" s="556" t="s">
        <v>3418</v>
      </c>
      <c r="C896" s="1950" t="s">
        <v>575</v>
      </c>
    </row>
    <row r="897" spans="1:4" x14ac:dyDescent="0.35">
      <c r="A897" s="1947">
        <v>1145</v>
      </c>
      <c r="B897" s="556" t="s">
        <v>3419</v>
      </c>
      <c r="C897" s="1950" t="s">
        <v>573</v>
      </c>
    </row>
    <row r="898" spans="1:4" x14ac:dyDescent="0.35">
      <c r="A898" s="1947">
        <v>1147</v>
      </c>
      <c r="B898" s="556" t="s">
        <v>3420</v>
      </c>
      <c r="C898" s="1950" t="s">
        <v>574</v>
      </c>
      <c r="D898" s="1948" t="s">
        <v>2466</v>
      </c>
    </row>
    <row r="899" spans="1:4" x14ac:dyDescent="0.35">
      <c r="A899" s="1947">
        <v>1150</v>
      </c>
      <c r="B899" s="556" t="s">
        <v>3421</v>
      </c>
      <c r="C899" s="1950" t="s">
        <v>577</v>
      </c>
    </row>
    <row r="900" spans="1:4" x14ac:dyDescent="0.35">
      <c r="A900" s="1947">
        <v>1151</v>
      </c>
      <c r="B900" s="556" t="s">
        <v>3422</v>
      </c>
      <c r="C900" s="1950" t="s">
        <v>576</v>
      </c>
    </row>
    <row r="901" spans="1:4" x14ac:dyDescent="0.35">
      <c r="A901" s="1947">
        <v>1153</v>
      </c>
      <c r="B901" s="2017" t="s">
        <v>3423</v>
      </c>
      <c r="C901" s="2017" t="s">
        <v>791</v>
      </c>
    </row>
    <row r="902" spans="1:4" x14ac:dyDescent="0.35">
      <c r="A902" s="1947">
        <v>1154</v>
      </c>
      <c r="B902" s="2017" t="s">
        <v>3424</v>
      </c>
      <c r="C902" s="2017" t="s">
        <v>1435</v>
      </c>
    </row>
    <row r="903" spans="1:4" x14ac:dyDescent="0.35">
      <c r="A903" s="1947">
        <v>1155</v>
      </c>
      <c r="B903" s="2017" t="s">
        <v>3425</v>
      </c>
      <c r="C903" s="2017" t="s">
        <v>792</v>
      </c>
    </row>
    <row r="904" spans="1:4" ht="26" x14ac:dyDescent="0.35">
      <c r="A904" s="1947">
        <v>1162</v>
      </c>
      <c r="B904" s="1950" t="s">
        <v>3426</v>
      </c>
      <c r="C904" s="1950" t="s">
        <v>664</v>
      </c>
    </row>
    <row r="905" spans="1:4" ht="15.5" x14ac:dyDescent="0.35">
      <c r="A905" s="1947">
        <v>1165</v>
      </c>
      <c r="B905" s="1168" t="s">
        <v>3412</v>
      </c>
      <c r="C905" s="1953" t="s">
        <v>307</v>
      </c>
    </row>
    <row r="906" spans="1:4" ht="42" x14ac:dyDescent="0.35">
      <c r="A906" s="1947">
        <v>1166</v>
      </c>
      <c r="B906" s="1624" t="s">
        <v>3427</v>
      </c>
      <c r="C906" s="1624" t="s">
        <v>1451</v>
      </c>
    </row>
    <row r="907" spans="1:4" x14ac:dyDescent="0.35">
      <c r="A907" s="1947">
        <v>1167</v>
      </c>
      <c r="B907" s="1624" t="s">
        <v>3428</v>
      </c>
      <c r="C907" s="1624" t="s">
        <v>793</v>
      </c>
    </row>
    <row r="908" spans="1:4" ht="20" x14ac:dyDescent="0.35">
      <c r="A908" s="1947">
        <v>1168</v>
      </c>
      <c r="B908" s="769" t="s">
        <v>3429</v>
      </c>
      <c r="C908" s="769" t="s">
        <v>1635</v>
      </c>
    </row>
    <row r="909" spans="1:4" x14ac:dyDescent="0.35">
      <c r="A909" s="1947">
        <v>1169</v>
      </c>
      <c r="B909" s="769" t="s">
        <v>3430</v>
      </c>
      <c r="C909" s="769" t="s">
        <v>1503</v>
      </c>
    </row>
    <row r="910" spans="1:4" x14ac:dyDescent="0.35">
      <c r="A910" s="1947">
        <v>1170</v>
      </c>
      <c r="B910" s="769" t="s">
        <v>3431</v>
      </c>
      <c r="C910" s="769" t="s">
        <v>1636</v>
      </c>
    </row>
    <row r="911" spans="1:4" x14ac:dyDescent="0.35">
      <c r="A911" s="1947">
        <v>1171</v>
      </c>
      <c r="B911" s="769" t="s">
        <v>3432</v>
      </c>
      <c r="C911" s="769" t="s">
        <v>1637</v>
      </c>
    </row>
    <row r="912" spans="1:4" ht="20" x14ac:dyDescent="0.35">
      <c r="A912" s="1947">
        <v>1172</v>
      </c>
      <c r="B912" s="769" t="s">
        <v>3433</v>
      </c>
      <c r="C912" s="769" t="s">
        <v>1638</v>
      </c>
    </row>
    <row r="913" spans="1:3" ht="20" x14ac:dyDescent="0.35">
      <c r="A913" s="1947">
        <v>1173</v>
      </c>
      <c r="B913" s="769" t="s">
        <v>3434</v>
      </c>
      <c r="C913" s="769" t="s">
        <v>1639</v>
      </c>
    </row>
    <row r="914" spans="1:3" x14ac:dyDescent="0.35">
      <c r="A914" s="1947">
        <v>1174</v>
      </c>
      <c r="B914" s="769" t="s">
        <v>3435</v>
      </c>
      <c r="C914" s="769" t="s">
        <v>1640</v>
      </c>
    </row>
    <row r="915" spans="1:3" ht="30" x14ac:dyDescent="0.35">
      <c r="A915" s="1947">
        <v>1175</v>
      </c>
      <c r="B915" s="769" t="s">
        <v>3436</v>
      </c>
      <c r="C915" s="769" t="s">
        <v>1652</v>
      </c>
    </row>
    <row r="916" spans="1:3" ht="20" x14ac:dyDescent="0.35">
      <c r="A916" s="1947">
        <v>1176</v>
      </c>
      <c r="B916" s="769" t="s">
        <v>3437</v>
      </c>
      <c r="C916" s="769" t="s">
        <v>1641</v>
      </c>
    </row>
    <row r="917" spans="1:3" ht="20" x14ac:dyDescent="0.35">
      <c r="A917" s="1947">
        <v>1177</v>
      </c>
      <c r="B917" s="769" t="s">
        <v>3438</v>
      </c>
      <c r="C917" s="769" t="s">
        <v>1642</v>
      </c>
    </row>
    <row r="918" spans="1:3" ht="40" x14ac:dyDescent="0.35">
      <c r="A918" s="1947">
        <v>1179</v>
      </c>
      <c r="B918" s="769" t="s">
        <v>3439</v>
      </c>
      <c r="C918" s="769" t="s">
        <v>1643</v>
      </c>
    </row>
    <row r="919" spans="1:3" ht="20" x14ac:dyDescent="0.35">
      <c r="A919" s="1947">
        <v>1180</v>
      </c>
      <c r="B919" s="769" t="s">
        <v>3440</v>
      </c>
      <c r="C919" s="769" t="s">
        <v>1644</v>
      </c>
    </row>
    <row r="920" spans="1:3" ht="40" x14ac:dyDescent="0.35">
      <c r="A920" s="1947">
        <v>1181</v>
      </c>
      <c r="B920" s="769" t="s">
        <v>3441</v>
      </c>
      <c r="C920" s="769" t="s">
        <v>1645</v>
      </c>
    </row>
    <row r="921" spans="1:3" ht="20" x14ac:dyDescent="0.35">
      <c r="A921" s="1947">
        <v>1182</v>
      </c>
      <c r="B921" s="769" t="s">
        <v>3442</v>
      </c>
      <c r="C921" s="769" t="s">
        <v>1646</v>
      </c>
    </row>
    <row r="922" spans="1:3" x14ac:dyDescent="0.35">
      <c r="A922" s="1947">
        <v>1183</v>
      </c>
      <c r="B922" s="1980" t="s">
        <v>3443</v>
      </c>
      <c r="C922" s="1980" t="s">
        <v>1328</v>
      </c>
    </row>
    <row r="923" spans="1:3" x14ac:dyDescent="0.35">
      <c r="A923" s="1947">
        <v>1184</v>
      </c>
      <c r="B923" s="1990" t="s">
        <v>3444</v>
      </c>
      <c r="C923" s="1990" t="s">
        <v>1314</v>
      </c>
    </row>
    <row r="924" spans="1:3" x14ac:dyDescent="0.35">
      <c r="A924" s="1947">
        <v>1185</v>
      </c>
      <c r="B924" s="1624" t="s">
        <v>3445</v>
      </c>
      <c r="C924" s="1624" t="s">
        <v>1469</v>
      </c>
    </row>
    <row r="925" spans="1:3" x14ac:dyDescent="0.35">
      <c r="A925" s="1947">
        <v>1186</v>
      </c>
      <c r="B925" s="1950" t="s">
        <v>3446</v>
      </c>
      <c r="C925" s="1950" t="s">
        <v>1456</v>
      </c>
    </row>
    <row r="926" spans="1:3" x14ac:dyDescent="0.35">
      <c r="A926" s="1947">
        <v>1187</v>
      </c>
      <c r="B926" s="1980" t="s">
        <v>3447</v>
      </c>
      <c r="C926" s="1980" t="s">
        <v>1454</v>
      </c>
    </row>
    <row r="927" spans="1:3" x14ac:dyDescent="0.35">
      <c r="A927" s="1947">
        <v>1188</v>
      </c>
      <c r="B927" s="1980" t="s">
        <v>3448</v>
      </c>
      <c r="C927" s="1980" t="s">
        <v>1086</v>
      </c>
    </row>
    <row r="928" spans="1:3" x14ac:dyDescent="0.35">
      <c r="A928" s="1947">
        <v>1189</v>
      </c>
      <c r="B928" s="1980" t="s">
        <v>3449</v>
      </c>
      <c r="C928" s="1980" t="s">
        <v>1455</v>
      </c>
    </row>
    <row r="929" spans="1:4" x14ac:dyDescent="0.35">
      <c r="A929" s="1947">
        <v>1190</v>
      </c>
      <c r="B929" s="1969" t="s">
        <v>3450</v>
      </c>
      <c r="C929" s="1969" t="s">
        <v>1506</v>
      </c>
    </row>
    <row r="930" spans="1:4" x14ac:dyDescent="0.35">
      <c r="A930" s="1947">
        <v>1191</v>
      </c>
      <c r="B930" s="1970" t="s">
        <v>3451</v>
      </c>
      <c r="C930" s="1970" t="s">
        <v>1505</v>
      </c>
    </row>
    <row r="931" spans="1:4" x14ac:dyDescent="0.35">
      <c r="A931" s="1947">
        <v>1192</v>
      </c>
      <c r="B931" s="1980" t="s">
        <v>3452</v>
      </c>
      <c r="C931" s="1980" t="s">
        <v>1471</v>
      </c>
    </row>
    <row r="932" spans="1:4" x14ac:dyDescent="0.35">
      <c r="A932" s="1947">
        <v>1193</v>
      </c>
      <c r="B932" s="1950" t="s">
        <v>3453</v>
      </c>
      <c r="C932" s="1950" t="s">
        <v>1457</v>
      </c>
    </row>
    <row r="933" spans="1:4" ht="28" x14ac:dyDescent="0.35">
      <c r="A933" s="1947">
        <v>1194</v>
      </c>
      <c r="B933" s="1624" t="s">
        <v>3454</v>
      </c>
      <c r="C933" s="1624" t="s">
        <v>1470</v>
      </c>
    </row>
    <row r="934" spans="1:4" x14ac:dyDescent="0.35">
      <c r="A934" s="1947">
        <v>1195</v>
      </c>
      <c r="B934" s="2175" t="s">
        <v>3455</v>
      </c>
      <c r="C934" s="1974" t="s">
        <v>909</v>
      </c>
      <c r="D934" s="1948" t="s">
        <v>2356</v>
      </c>
    </row>
    <row r="935" spans="1:4" ht="28" x14ac:dyDescent="0.35">
      <c r="A935" s="1947">
        <v>1196</v>
      </c>
      <c r="B935" s="1624" t="s">
        <v>3456</v>
      </c>
      <c r="C935" s="1624" t="s">
        <v>794</v>
      </c>
    </row>
    <row r="936" spans="1:4" x14ac:dyDescent="0.35">
      <c r="A936" s="1947">
        <v>1197</v>
      </c>
      <c r="B936" s="556" t="s">
        <v>3457</v>
      </c>
      <c r="C936" s="1950" t="s">
        <v>1647</v>
      </c>
    </row>
    <row r="937" spans="1:4" x14ac:dyDescent="0.35">
      <c r="A937" s="1947">
        <v>1198</v>
      </c>
      <c r="B937" s="1624" t="s">
        <v>3458</v>
      </c>
      <c r="C937" s="1624" t="s">
        <v>795</v>
      </c>
    </row>
    <row r="938" spans="1:4" ht="28" x14ac:dyDescent="0.35">
      <c r="A938" s="1947">
        <v>1199</v>
      </c>
      <c r="B938" s="1624" t="s">
        <v>3459</v>
      </c>
      <c r="C938" s="1624" t="s">
        <v>1480</v>
      </c>
    </row>
    <row r="939" spans="1:4" ht="31" x14ac:dyDescent="0.35">
      <c r="A939" s="1947">
        <v>1200</v>
      </c>
      <c r="B939" s="1168" t="s">
        <v>3460</v>
      </c>
      <c r="C939" s="1953" t="s">
        <v>1507</v>
      </c>
    </row>
    <row r="940" spans="1:4" x14ac:dyDescent="0.35">
      <c r="A940" s="1947">
        <v>1201</v>
      </c>
      <c r="B940" s="1624" t="s">
        <v>3461</v>
      </c>
      <c r="C940" s="1624" t="s">
        <v>1481</v>
      </c>
    </row>
    <row r="941" spans="1:4" x14ac:dyDescent="0.35">
      <c r="A941" s="1947">
        <v>1202</v>
      </c>
      <c r="B941" s="2018" t="s">
        <v>3462</v>
      </c>
      <c r="C941" s="2018" t="s">
        <v>466</v>
      </c>
    </row>
    <row r="942" spans="1:4" x14ac:dyDescent="0.35">
      <c r="A942" s="1947">
        <v>1203</v>
      </c>
      <c r="B942" s="2019" t="s">
        <v>3463</v>
      </c>
      <c r="C942" s="2020" t="s">
        <v>467</v>
      </c>
    </row>
    <row r="943" spans="1:4" ht="30" x14ac:dyDescent="0.35">
      <c r="A943" s="1947">
        <v>1204</v>
      </c>
      <c r="B943" s="2020" t="s">
        <v>3464</v>
      </c>
      <c r="C943" s="2020" t="s">
        <v>468</v>
      </c>
    </row>
    <row r="944" spans="1:4" x14ac:dyDescent="0.35">
      <c r="A944" s="1947">
        <v>1205</v>
      </c>
      <c r="B944" s="2019" t="s">
        <v>3465</v>
      </c>
      <c r="C944" s="2020" t="s">
        <v>153</v>
      </c>
    </row>
    <row r="945" spans="1:4" x14ac:dyDescent="0.35">
      <c r="A945" s="1947">
        <v>1206</v>
      </c>
      <c r="B945" s="2020" t="s">
        <v>3466</v>
      </c>
      <c r="C945" s="2020" t="s">
        <v>469</v>
      </c>
    </row>
    <row r="946" spans="1:4" x14ac:dyDescent="0.35">
      <c r="A946" s="1947">
        <v>1207</v>
      </c>
      <c r="B946" s="2019" t="s">
        <v>3467</v>
      </c>
      <c r="C946" s="2020" t="s">
        <v>1486</v>
      </c>
    </row>
    <row r="947" spans="1:4" x14ac:dyDescent="0.35">
      <c r="A947" s="1947">
        <v>1208</v>
      </c>
      <c r="B947" s="2020" t="s">
        <v>3468</v>
      </c>
      <c r="C947" s="2020" t="s">
        <v>1487</v>
      </c>
    </row>
    <row r="948" spans="1:4" x14ac:dyDescent="0.35">
      <c r="A948" s="1947">
        <v>1209</v>
      </c>
      <c r="B948" s="2019" t="s">
        <v>3469</v>
      </c>
      <c r="C948" s="2020" t="s">
        <v>305</v>
      </c>
    </row>
    <row r="949" spans="1:4" x14ac:dyDescent="0.35">
      <c r="A949" s="1947">
        <v>1217</v>
      </c>
      <c r="B949" s="2019" t="s">
        <v>3470</v>
      </c>
      <c r="C949" s="2020" t="s">
        <v>306</v>
      </c>
      <c r="D949" s="1948" t="s">
        <v>2484</v>
      </c>
    </row>
    <row r="950" spans="1:4" ht="20" x14ac:dyDescent="0.35">
      <c r="A950" s="1947">
        <v>1218</v>
      </c>
      <c r="B950" s="2020" t="s">
        <v>3471</v>
      </c>
      <c r="C950" s="2020" t="s">
        <v>1475</v>
      </c>
    </row>
    <row r="951" spans="1:4" x14ac:dyDescent="0.35">
      <c r="A951" s="1947">
        <v>1219</v>
      </c>
      <c r="B951" s="2019" t="s">
        <v>1474</v>
      </c>
      <c r="C951" s="2020" t="s">
        <v>1474</v>
      </c>
      <c r="D951" s="1948" t="s">
        <v>2485</v>
      </c>
    </row>
    <row r="952" spans="1:4" ht="30" x14ac:dyDescent="0.35">
      <c r="A952" s="1947">
        <v>1220</v>
      </c>
      <c r="B952" s="2020" t="s">
        <v>3472</v>
      </c>
      <c r="C952" s="2020" t="s">
        <v>1482</v>
      </c>
    </row>
    <row r="953" spans="1:4" ht="30" x14ac:dyDescent="0.35">
      <c r="A953" s="1947">
        <v>1221</v>
      </c>
      <c r="B953" s="2020" t="s">
        <v>3473</v>
      </c>
      <c r="C953" s="2020" t="s">
        <v>1450</v>
      </c>
    </row>
    <row r="954" spans="1:4" ht="20.5" thickBot="1" x14ac:dyDescent="0.4">
      <c r="A954" s="1947">
        <v>1222</v>
      </c>
      <c r="B954" s="2020" t="s">
        <v>3474</v>
      </c>
      <c r="C954" s="2020" t="s">
        <v>1449</v>
      </c>
    </row>
    <row r="955" spans="1:4" ht="130.5" thickBot="1" x14ac:dyDescent="0.4">
      <c r="A955" s="1947">
        <v>1232</v>
      </c>
      <c r="B955" s="2021" t="s">
        <v>3475</v>
      </c>
      <c r="C955" s="2021" t="s">
        <v>1648</v>
      </c>
    </row>
    <row r="956" spans="1:4" x14ac:dyDescent="0.35">
      <c r="A956" s="1947">
        <v>1237</v>
      </c>
      <c r="B956" s="2022" t="s">
        <v>3476</v>
      </c>
      <c r="C956" s="2022" t="s">
        <v>1555</v>
      </c>
    </row>
    <row r="957" spans="1:4" x14ac:dyDescent="0.35">
      <c r="A957" s="1947">
        <v>1238</v>
      </c>
      <c r="B957" s="643" t="s">
        <v>3477</v>
      </c>
      <c r="C957" s="1321" t="s">
        <v>1492</v>
      </c>
    </row>
    <row r="958" spans="1:4" x14ac:dyDescent="0.35">
      <c r="A958" s="1947">
        <v>1239</v>
      </c>
      <c r="B958" s="643" t="s">
        <v>3478</v>
      </c>
      <c r="C958" s="1321" t="s">
        <v>1493</v>
      </c>
    </row>
    <row r="959" spans="1:4" x14ac:dyDescent="0.35">
      <c r="A959" s="1947">
        <v>1240</v>
      </c>
      <c r="B959" s="2006" t="s">
        <v>3479</v>
      </c>
      <c r="C959" s="2006" t="s">
        <v>1556</v>
      </c>
    </row>
    <row r="960" spans="1:4" x14ac:dyDescent="0.35">
      <c r="A960" s="1947">
        <v>1241</v>
      </c>
      <c r="B960" s="2006" t="s">
        <v>3480</v>
      </c>
      <c r="C960" s="2006" t="s">
        <v>1557</v>
      </c>
    </row>
    <row r="961" spans="1:3" x14ac:dyDescent="0.35">
      <c r="A961" s="1947">
        <v>1242</v>
      </c>
      <c r="B961" s="2006" t="s">
        <v>3481</v>
      </c>
      <c r="C961" s="2006" t="s">
        <v>1558</v>
      </c>
    </row>
    <row r="962" spans="1:3" x14ac:dyDescent="0.35">
      <c r="A962" s="1947">
        <v>1243</v>
      </c>
      <c r="B962" s="2006" t="s">
        <v>3482</v>
      </c>
      <c r="C962" s="2006" t="s">
        <v>1559</v>
      </c>
    </row>
    <row r="963" spans="1:3" x14ac:dyDescent="0.35">
      <c r="A963" s="1947">
        <v>1244</v>
      </c>
      <c r="B963" s="2006" t="s">
        <v>3483</v>
      </c>
      <c r="C963" s="2006" t="s">
        <v>1560</v>
      </c>
    </row>
    <row r="964" spans="1:3" ht="31" x14ac:dyDescent="0.35">
      <c r="A964" s="1947">
        <v>1245</v>
      </c>
      <c r="B964" s="1168" t="s">
        <v>3484</v>
      </c>
      <c r="C964" s="1953" t="s">
        <v>13</v>
      </c>
    </row>
    <row r="965" spans="1:3" ht="50" x14ac:dyDescent="0.35">
      <c r="A965" s="1947">
        <v>1246</v>
      </c>
      <c r="B965" s="769" t="s">
        <v>3485</v>
      </c>
      <c r="C965" s="769" t="s">
        <v>1649</v>
      </c>
    </row>
    <row r="966" spans="1:3" x14ac:dyDescent="0.35">
      <c r="A966" s="1947">
        <v>1249</v>
      </c>
      <c r="B966" s="769" t="s">
        <v>3486</v>
      </c>
      <c r="C966" s="769" t="s">
        <v>14</v>
      </c>
    </row>
    <row r="967" spans="1:3" ht="28" x14ac:dyDescent="0.35">
      <c r="A967" s="1947">
        <v>1259</v>
      </c>
      <c r="B967" s="1624" t="s">
        <v>3487</v>
      </c>
      <c r="C967" s="1624" t="s">
        <v>15</v>
      </c>
    </row>
    <row r="968" spans="1:3" ht="50" x14ac:dyDescent="0.35">
      <c r="A968" s="1947">
        <v>1260</v>
      </c>
      <c r="B968" s="769" t="s">
        <v>3488</v>
      </c>
      <c r="C968" s="769" t="s">
        <v>1584</v>
      </c>
    </row>
    <row r="969" spans="1:3" ht="20" x14ac:dyDescent="0.35">
      <c r="A969" s="1947">
        <v>1261</v>
      </c>
      <c r="B969" s="921" t="s">
        <v>3489</v>
      </c>
      <c r="C969" s="921" t="s">
        <v>221</v>
      </c>
    </row>
    <row r="970" spans="1:3" x14ac:dyDescent="0.35">
      <c r="A970" s="1947">
        <v>1266</v>
      </c>
      <c r="B970" s="556" t="s">
        <v>3490</v>
      </c>
      <c r="C970" s="1950" t="s">
        <v>583</v>
      </c>
    </row>
    <row r="971" spans="1:3" x14ac:dyDescent="0.35">
      <c r="A971" s="1947">
        <v>1267</v>
      </c>
      <c r="B971" s="2176" t="s">
        <v>3491</v>
      </c>
      <c r="C971" s="734" t="s">
        <v>1705</v>
      </c>
    </row>
    <row r="972" spans="1:3" x14ac:dyDescent="0.35">
      <c r="A972" s="1947">
        <v>1268</v>
      </c>
      <c r="B972" s="2176" t="s">
        <v>3492</v>
      </c>
      <c r="C972" s="734" t="s">
        <v>1650</v>
      </c>
    </row>
    <row r="973" spans="1:3" ht="20" x14ac:dyDescent="0.35">
      <c r="A973" s="1947">
        <v>1269</v>
      </c>
      <c r="B973" s="769" t="s">
        <v>3493</v>
      </c>
      <c r="C973" s="769" t="s">
        <v>1651</v>
      </c>
    </row>
    <row r="974" spans="1:3" x14ac:dyDescent="0.35">
      <c r="A974" s="1947">
        <v>1271</v>
      </c>
      <c r="B974" s="2177" t="s">
        <v>3494</v>
      </c>
      <c r="C974" s="2128" t="s">
        <v>582</v>
      </c>
    </row>
    <row r="975" spans="1:3" x14ac:dyDescent="0.35">
      <c r="A975" s="1947">
        <v>1272</v>
      </c>
      <c r="B975" s="2178" t="s">
        <v>3495</v>
      </c>
      <c r="C975" s="1624" t="s">
        <v>12</v>
      </c>
    </row>
    <row r="976" spans="1:3" ht="26" x14ac:dyDescent="0.35">
      <c r="A976" s="1947">
        <v>1275</v>
      </c>
      <c r="B976" s="556" t="s">
        <v>3496</v>
      </c>
      <c r="C976" s="1950" t="s">
        <v>1586</v>
      </c>
    </row>
    <row r="977" spans="1:4" x14ac:dyDescent="0.35">
      <c r="A977" s="1947">
        <v>1278</v>
      </c>
      <c r="B977" s="734" t="s">
        <v>1585</v>
      </c>
      <c r="C977" s="734" t="s">
        <v>1585</v>
      </c>
    </row>
    <row r="978" spans="1:4" x14ac:dyDescent="0.35">
      <c r="A978" s="1947">
        <v>1279</v>
      </c>
      <c r="B978" s="2176" t="s">
        <v>3497</v>
      </c>
      <c r="C978" s="734" t="s">
        <v>584</v>
      </c>
    </row>
    <row r="979" spans="1:4" x14ac:dyDescent="0.35">
      <c r="A979" s="1947">
        <v>1280</v>
      </c>
      <c r="B979" s="556" t="s">
        <v>3498</v>
      </c>
      <c r="C979" s="1950" t="s">
        <v>1602</v>
      </c>
    </row>
    <row r="980" spans="1:4" ht="25" x14ac:dyDescent="0.35">
      <c r="A980" s="1947">
        <v>1285</v>
      </c>
      <c r="B980" s="1039" t="s">
        <v>3499</v>
      </c>
      <c r="C980" s="1039" t="s">
        <v>171</v>
      </c>
    </row>
    <row r="981" spans="1:4" x14ac:dyDescent="0.35">
      <c r="A981" s="1947">
        <v>1286</v>
      </c>
      <c r="B981" s="2023" t="s">
        <v>3500</v>
      </c>
      <c r="C981" s="2129" t="s">
        <v>895</v>
      </c>
      <c r="D981" s="1948" t="s">
        <v>2538</v>
      </c>
    </row>
    <row r="982" spans="1:4" x14ac:dyDescent="0.35">
      <c r="A982" s="1947">
        <v>1287</v>
      </c>
      <c r="B982" s="2023" t="s">
        <v>3501</v>
      </c>
      <c r="C982" s="2129" t="s">
        <v>896</v>
      </c>
      <c r="D982" s="1948" t="s">
        <v>2539</v>
      </c>
    </row>
    <row r="983" spans="1:4" x14ac:dyDescent="0.35">
      <c r="A983" s="1947">
        <v>1288</v>
      </c>
      <c r="B983" s="2024" t="s">
        <v>3502</v>
      </c>
      <c r="C983" s="2130" t="s">
        <v>42</v>
      </c>
    </row>
    <row r="984" spans="1:4" x14ac:dyDescent="0.35">
      <c r="A984" s="1947">
        <v>1289</v>
      </c>
      <c r="B984" s="2024" t="s">
        <v>3503</v>
      </c>
      <c r="C984" s="2130" t="s">
        <v>43</v>
      </c>
    </row>
    <row r="985" spans="1:4" x14ac:dyDescent="0.35">
      <c r="A985" s="1947">
        <v>1290</v>
      </c>
      <c r="B985" s="2024" t="s">
        <v>3504</v>
      </c>
      <c r="C985" s="2130" t="s">
        <v>1045</v>
      </c>
    </row>
    <row r="986" spans="1:4" x14ac:dyDescent="0.35">
      <c r="A986" s="1947">
        <v>1291</v>
      </c>
      <c r="B986" s="2024" t="s">
        <v>3505</v>
      </c>
      <c r="C986" s="2130" t="s">
        <v>84</v>
      </c>
    </row>
    <row r="987" spans="1:4" x14ac:dyDescent="0.35">
      <c r="A987" s="1947">
        <v>1292</v>
      </c>
      <c r="B987" s="2024" t="s">
        <v>3506</v>
      </c>
      <c r="C987" s="2130" t="s">
        <v>456</v>
      </c>
    </row>
    <row r="988" spans="1:4" x14ac:dyDescent="0.35">
      <c r="A988" s="1947">
        <v>1293</v>
      </c>
      <c r="B988" s="2024" t="s">
        <v>3507</v>
      </c>
      <c r="C988" s="2130" t="s">
        <v>926</v>
      </c>
    </row>
    <row r="989" spans="1:4" x14ac:dyDescent="0.35">
      <c r="A989" s="1947">
        <v>1294</v>
      </c>
      <c r="B989" s="2024" t="s">
        <v>3508</v>
      </c>
      <c r="C989" s="2130" t="s">
        <v>125</v>
      </c>
    </row>
    <row r="990" spans="1:4" x14ac:dyDescent="0.35">
      <c r="A990" s="1947">
        <v>1295</v>
      </c>
      <c r="B990" s="2024" t="s">
        <v>3509</v>
      </c>
      <c r="C990" s="2130" t="s">
        <v>457</v>
      </c>
    </row>
    <row r="991" spans="1:4" x14ac:dyDescent="0.35">
      <c r="A991" s="1947">
        <v>1296</v>
      </c>
      <c r="B991" s="2024" t="s">
        <v>3510</v>
      </c>
      <c r="C991" s="2130" t="s">
        <v>1580</v>
      </c>
    </row>
    <row r="992" spans="1:4" x14ac:dyDescent="0.35">
      <c r="A992" s="1947">
        <v>1297</v>
      </c>
      <c r="B992" s="2024" t="s">
        <v>3511</v>
      </c>
      <c r="C992" s="2130" t="s">
        <v>846</v>
      </c>
    </row>
    <row r="993" spans="1:3" x14ac:dyDescent="0.35">
      <c r="A993" s="1947">
        <v>1298</v>
      </c>
      <c r="B993" s="2024" t="s">
        <v>3512</v>
      </c>
      <c r="C993" s="2130" t="s">
        <v>1051</v>
      </c>
    </row>
    <row r="994" spans="1:3" x14ac:dyDescent="0.35">
      <c r="A994" s="1947">
        <v>1299</v>
      </c>
      <c r="B994" s="2024" t="s">
        <v>3513</v>
      </c>
      <c r="C994" s="2130" t="s">
        <v>485</v>
      </c>
    </row>
    <row r="995" spans="1:3" x14ac:dyDescent="0.35">
      <c r="A995" s="1947">
        <v>1300</v>
      </c>
      <c r="B995" s="2025" t="s">
        <v>3514</v>
      </c>
      <c r="C995" s="2131" t="s">
        <v>1265</v>
      </c>
    </row>
    <row r="996" spans="1:3" x14ac:dyDescent="0.35">
      <c r="A996" s="1947">
        <v>1301</v>
      </c>
      <c r="B996" s="2025" t="s">
        <v>3515</v>
      </c>
      <c r="C996" s="2131" t="s">
        <v>1581</v>
      </c>
    </row>
    <row r="997" spans="1:3" x14ac:dyDescent="0.35">
      <c r="A997" s="1947">
        <v>1302</v>
      </c>
      <c r="B997" s="2024" t="s">
        <v>3516</v>
      </c>
      <c r="C997" s="2130" t="s">
        <v>1104</v>
      </c>
    </row>
    <row r="998" spans="1:3" x14ac:dyDescent="0.35">
      <c r="A998" s="1947">
        <v>1303</v>
      </c>
      <c r="B998" s="2025" t="s">
        <v>3517</v>
      </c>
      <c r="C998" s="2132" t="s">
        <v>548</v>
      </c>
    </row>
    <row r="999" spans="1:3" x14ac:dyDescent="0.35">
      <c r="A999" s="1947">
        <v>1304</v>
      </c>
      <c r="B999" s="2025" t="s">
        <v>3518</v>
      </c>
      <c r="C999" s="2132" t="s">
        <v>549</v>
      </c>
    </row>
    <row r="1000" spans="1:3" x14ac:dyDescent="0.35">
      <c r="A1000" s="1947">
        <v>1305</v>
      </c>
      <c r="B1000" s="2024" t="s">
        <v>3519</v>
      </c>
      <c r="C1000" s="2130" t="s">
        <v>498</v>
      </c>
    </row>
    <row r="1001" spans="1:3" x14ac:dyDescent="0.35">
      <c r="A1001" s="1947">
        <v>1306</v>
      </c>
      <c r="B1001" s="2024" t="s">
        <v>3520</v>
      </c>
      <c r="C1001" s="2130" t="s">
        <v>501</v>
      </c>
    </row>
    <row r="1002" spans="1:3" x14ac:dyDescent="0.35">
      <c r="A1002" s="1947">
        <v>1307</v>
      </c>
      <c r="B1002" s="2024" t="s">
        <v>3521</v>
      </c>
      <c r="C1002" s="2130" t="s">
        <v>1037</v>
      </c>
    </row>
    <row r="1003" spans="1:3" x14ac:dyDescent="0.35">
      <c r="A1003" s="1947">
        <v>1308</v>
      </c>
      <c r="B1003" s="2024" t="s">
        <v>3522</v>
      </c>
      <c r="C1003" s="2130" t="s">
        <v>502</v>
      </c>
    </row>
    <row r="1004" spans="1:3" x14ac:dyDescent="0.35">
      <c r="A1004" s="1947">
        <v>1309</v>
      </c>
      <c r="B1004" s="2024" t="s">
        <v>3523</v>
      </c>
      <c r="C1004" s="2130" t="s">
        <v>503</v>
      </c>
    </row>
    <row r="1005" spans="1:3" x14ac:dyDescent="0.35">
      <c r="A1005" s="1947">
        <v>1310</v>
      </c>
      <c r="B1005" s="2024" t="s">
        <v>3524</v>
      </c>
      <c r="C1005" s="2130" t="s">
        <v>504</v>
      </c>
    </row>
    <row r="1006" spans="1:3" x14ac:dyDescent="0.35">
      <c r="A1006" s="1947">
        <v>1311</v>
      </c>
      <c r="B1006" s="2025" t="s">
        <v>3525</v>
      </c>
      <c r="C1006" s="2132" t="s">
        <v>980</v>
      </c>
    </row>
    <row r="1007" spans="1:3" x14ac:dyDescent="0.35">
      <c r="A1007" s="1947">
        <v>1312</v>
      </c>
      <c r="B1007" s="2025" t="s">
        <v>3526</v>
      </c>
      <c r="C1007" s="2131" t="s">
        <v>1393</v>
      </c>
    </row>
    <row r="1008" spans="1:3" x14ac:dyDescent="0.35">
      <c r="A1008" s="1947">
        <v>1313</v>
      </c>
      <c r="B1008" s="2024" t="s">
        <v>3527</v>
      </c>
      <c r="C1008" s="2130" t="s">
        <v>981</v>
      </c>
    </row>
    <row r="1009" spans="1:3" x14ac:dyDescent="0.35">
      <c r="A1009" s="1947">
        <v>1314</v>
      </c>
      <c r="B1009" s="2024" t="s">
        <v>3528</v>
      </c>
      <c r="C1009" s="2130" t="s">
        <v>982</v>
      </c>
    </row>
    <row r="1010" spans="1:3" x14ac:dyDescent="0.35">
      <c r="A1010" s="1947">
        <v>1315</v>
      </c>
      <c r="B1010" s="2024" t="s">
        <v>3529</v>
      </c>
      <c r="C1010" s="2130" t="s">
        <v>983</v>
      </c>
    </row>
    <row r="1011" spans="1:3" x14ac:dyDescent="0.35">
      <c r="A1011" s="1947">
        <v>1316</v>
      </c>
      <c r="B1011" s="2024" t="s">
        <v>3530</v>
      </c>
      <c r="C1011" s="2130" t="s">
        <v>1023</v>
      </c>
    </row>
    <row r="1012" spans="1:3" x14ac:dyDescent="0.35">
      <c r="A1012" s="1947">
        <v>1317</v>
      </c>
      <c r="B1012" s="2024" t="s">
        <v>3531</v>
      </c>
      <c r="C1012" s="2130" t="s">
        <v>1024</v>
      </c>
    </row>
    <row r="1013" spans="1:3" x14ac:dyDescent="0.35">
      <c r="A1013" s="1947">
        <v>1318</v>
      </c>
      <c r="B1013" s="2024" t="s">
        <v>3532</v>
      </c>
      <c r="C1013" s="2130" t="s">
        <v>662</v>
      </c>
    </row>
    <row r="1014" spans="1:3" x14ac:dyDescent="0.35">
      <c r="A1014" s="1947">
        <v>1319</v>
      </c>
      <c r="B1014" s="2025" t="s">
        <v>3533</v>
      </c>
      <c r="C1014" s="2132" t="s">
        <v>671</v>
      </c>
    </row>
    <row r="1015" spans="1:3" x14ac:dyDescent="0.35">
      <c r="A1015" s="1947">
        <v>1320</v>
      </c>
      <c r="B1015" s="2025" t="s">
        <v>3534</v>
      </c>
      <c r="C1015" s="2132" t="s">
        <v>672</v>
      </c>
    </row>
    <row r="1016" spans="1:3" x14ac:dyDescent="0.35">
      <c r="A1016" s="1947">
        <v>1321</v>
      </c>
      <c r="B1016" s="2025" t="s">
        <v>3535</v>
      </c>
      <c r="C1016" s="2132" t="s">
        <v>1089</v>
      </c>
    </row>
    <row r="1017" spans="1:3" x14ac:dyDescent="0.35">
      <c r="A1017" s="1947">
        <v>1322</v>
      </c>
      <c r="B1017" s="2025" t="s">
        <v>3536</v>
      </c>
      <c r="C1017" s="2132" t="s">
        <v>1090</v>
      </c>
    </row>
    <row r="1018" spans="1:3" x14ac:dyDescent="0.35">
      <c r="A1018" s="1947">
        <v>1323</v>
      </c>
      <c r="B1018" s="2025" t="s">
        <v>3537</v>
      </c>
      <c r="C1018" s="2132" t="s">
        <v>682</v>
      </c>
    </row>
    <row r="1019" spans="1:3" x14ac:dyDescent="0.35">
      <c r="A1019" s="1947">
        <v>1324</v>
      </c>
      <c r="B1019" s="2025" t="s">
        <v>3538</v>
      </c>
      <c r="C1019" s="2132" t="s">
        <v>239</v>
      </c>
    </row>
    <row r="1020" spans="1:3" ht="25" x14ac:dyDescent="0.35">
      <c r="A1020" s="1947">
        <v>1325</v>
      </c>
      <c r="B1020" s="2025" t="s">
        <v>3539</v>
      </c>
      <c r="C1020" s="2132" t="s">
        <v>1017</v>
      </c>
    </row>
    <row r="1021" spans="1:3" ht="25" x14ac:dyDescent="0.35">
      <c r="A1021" s="1947">
        <v>1326</v>
      </c>
      <c r="B1021" s="2025" t="s">
        <v>3540</v>
      </c>
      <c r="C1021" s="2132" t="s">
        <v>1109</v>
      </c>
    </row>
    <row r="1022" spans="1:3" ht="25" x14ac:dyDescent="0.35">
      <c r="A1022" s="1947">
        <v>1327</v>
      </c>
      <c r="B1022" s="2025" t="s">
        <v>3541</v>
      </c>
      <c r="C1022" s="2132" t="s">
        <v>1070</v>
      </c>
    </row>
    <row r="1023" spans="1:3" x14ac:dyDescent="0.35">
      <c r="A1023" s="1947">
        <v>1328</v>
      </c>
      <c r="B1023" s="2025" t="s">
        <v>3542</v>
      </c>
      <c r="C1023" s="2132" t="s">
        <v>710</v>
      </c>
    </row>
    <row r="1024" spans="1:3" x14ac:dyDescent="0.35">
      <c r="A1024" s="1947">
        <v>1329</v>
      </c>
      <c r="B1024" s="2025" t="s">
        <v>3543</v>
      </c>
      <c r="C1024" s="2132" t="s">
        <v>387</v>
      </c>
    </row>
    <row r="1025" spans="1:3" x14ac:dyDescent="0.35">
      <c r="A1025" s="1947">
        <v>1330</v>
      </c>
      <c r="B1025" s="2025" t="s">
        <v>3544</v>
      </c>
      <c r="C1025" s="2132" t="s">
        <v>1015</v>
      </c>
    </row>
    <row r="1026" spans="1:3" x14ac:dyDescent="0.35">
      <c r="A1026" s="1947">
        <v>1331</v>
      </c>
      <c r="B1026" s="2024" t="s">
        <v>3545</v>
      </c>
      <c r="C1026" s="2130" t="s">
        <v>739</v>
      </c>
    </row>
    <row r="1027" spans="1:3" x14ac:dyDescent="0.35">
      <c r="A1027" s="1947">
        <v>1332</v>
      </c>
      <c r="B1027" s="2179" t="s">
        <v>3627</v>
      </c>
      <c r="C1027" s="2130" t="s">
        <v>464</v>
      </c>
    </row>
    <row r="1028" spans="1:3" x14ac:dyDescent="0.35">
      <c r="A1028" s="1947">
        <v>1333</v>
      </c>
      <c r="B1028" s="2025" t="s">
        <v>3546</v>
      </c>
      <c r="C1028" s="2132" t="s">
        <v>770</v>
      </c>
    </row>
    <row r="1029" spans="1:3" x14ac:dyDescent="0.35">
      <c r="A1029" s="1947">
        <v>1334</v>
      </c>
      <c r="B1029" s="2025" t="s">
        <v>3547</v>
      </c>
      <c r="C1029" s="2132" t="s">
        <v>411</v>
      </c>
    </row>
    <row r="1030" spans="1:3" x14ac:dyDescent="0.35">
      <c r="A1030" s="1947">
        <v>1335</v>
      </c>
      <c r="B1030" s="2025" t="s">
        <v>3548</v>
      </c>
      <c r="C1030" s="2132" t="s">
        <v>412</v>
      </c>
    </row>
    <row r="1031" spans="1:3" x14ac:dyDescent="0.35">
      <c r="A1031" s="1947">
        <v>1336</v>
      </c>
      <c r="B1031" s="2024" t="s">
        <v>3549</v>
      </c>
      <c r="C1031" s="2130" t="s">
        <v>413</v>
      </c>
    </row>
    <row r="1032" spans="1:3" x14ac:dyDescent="0.35">
      <c r="A1032" s="1947">
        <v>1337</v>
      </c>
      <c r="B1032" s="2024" t="s">
        <v>3550</v>
      </c>
      <c r="C1032" s="2130" t="s">
        <v>414</v>
      </c>
    </row>
    <row r="1033" spans="1:3" x14ac:dyDescent="0.35">
      <c r="A1033" s="1947">
        <v>1338</v>
      </c>
      <c r="B1033" s="772" t="s">
        <v>3551</v>
      </c>
      <c r="C1033" s="2133" t="s">
        <v>1164</v>
      </c>
    </row>
    <row r="1034" spans="1:3" x14ac:dyDescent="0.35">
      <c r="A1034" s="1947">
        <v>1340</v>
      </c>
      <c r="B1034" s="2024" t="s">
        <v>3552</v>
      </c>
      <c r="C1034" s="2130" t="s">
        <v>416</v>
      </c>
    </row>
    <row r="1035" spans="1:3" x14ac:dyDescent="0.35">
      <c r="A1035" s="1947">
        <v>1341</v>
      </c>
      <c r="B1035" s="2024" t="s">
        <v>3553</v>
      </c>
      <c r="C1035" s="2130" t="s">
        <v>417</v>
      </c>
    </row>
    <row r="1036" spans="1:3" x14ac:dyDescent="0.35">
      <c r="A1036" s="1947">
        <v>1342</v>
      </c>
      <c r="B1036" s="2024" t="s">
        <v>3554</v>
      </c>
      <c r="C1036" s="2130" t="s">
        <v>418</v>
      </c>
    </row>
    <row r="1037" spans="1:3" x14ac:dyDescent="0.35">
      <c r="A1037" s="1947">
        <v>1343</v>
      </c>
      <c r="B1037" s="2024" t="s">
        <v>3555</v>
      </c>
      <c r="C1037" s="2130" t="s">
        <v>419</v>
      </c>
    </row>
    <row r="1038" spans="1:3" x14ac:dyDescent="0.35">
      <c r="A1038" s="1947">
        <v>1344</v>
      </c>
      <c r="B1038" s="2024" t="s">
        <v>3556</v>
      </c>
      <c r="C1038" s="2130" t="s">
        <v>420</v>
      </c>
    </row>
    <row r="1039" spans="1:3" x14ac:dyDescent="0.35">
      <c r="A1039" s="1947">
        <v>1345</v>
      </c>
      <c r="B1039" s="2024" t="s">
        <v>3557</v>
      </c>
      <c r="C1039" s="2130" t="s">
        <v>421</v>
      </c>
    </row>
    <row r="1040" spans="1:3" x14ac:dyDescent="0.35">
      <c r="A1040" s="1947">
        <v>1346</v>
      </c>
      <c r="B1040" s="2024" t="s">
        <v>3558</v>
      </c>
      <c r="C1040" s="2130" t="s">
        <v>422</v>
      </c>
    </row>
    <row r="1041" spans="1:3" x14ac:dyDescent="0.35">
      <c r="A1041" s="1947">
        <v>1347</v>
      </c>
      <c r="B1041" s="2024" t="s">
        <v>3559</v>
      </c>
      <c r="C1041" s="2130" t="s">
        <v>431</v>
      </c>
    </row>
    <row r="1042" spans="1:3" x14ac:dyDescent="0.35">
      <c r="A1042" s="1947">
        <v>1348</v>
      </c>
      <c r="B1042" s="2024" t="s">
        <v>3560</v>
      </c>
      <c r="C1042" s="2130" t="s">
        <v>423</v>
      </c>
    </row>
    <row r="1043" spans="1:3" x14ac:dyDescent="0.35">
      <c r="A1043" s="1947">
        <v>1349</v>
      </c>
      <c r="B1043" s="2024" t="s">
        <v>3561</v>
      </c>
      <c r="C1043" s="2130" t="s">
        <v>424</v>
      </c>
    </row>
    <row r="1044" spans="1:3" x14ac:dyDescent="0.35">
      <c r="A1044" s="1947">
        <v>1350</v>
      </c>
      <c r="B1044" s="2024" t="s">
        <v>3562</v>
      </c>
      <c r="C1044" s="2130" t="s">
        <v>425</v>
      </c>
    </row>
    <row r="1045" spans="1:3" x14ac:dyDescent="0.35">
      <c r="A1045" s="1947">
        <v>1351</v>
      </c>
      <c r="B1045" s="2024" t="s">
        <v>3563</v>
      </c>
      <c r="C1045" s="2130" t="s">
        <v>887</v>
      </c>
    </row>
    <row r="1046" spans="1:3" x14ac:dyDescent="0.35">
      <c r="A1046" s="1947">
        <v>1352</v>
      </c>
      <c r="B1046" s="2024" t="s">
        <v>3564</v>
      </c>
      <c r="C1046" s="2130" t="s">
        <v>426</v>
      </c>
    </row>
    <row r="1047" spans="1:3" x14ac:dyDescent="0.35">
      <c r="A1047" s="1947">
        <v>1353</v>
      </c>
      <c r="B1047" s="2024" t="s">
        <v>3565</v>
      </c>
      <c r="C1047" s="2130" t="s">
        <v>427</v>
      </c>
    </row>
    <row r="1048" spans="1:3" x14ac:dyDescent="0.35">
      <c r="A1048" s="1947">
        <v>1354</v>
      </c>
      <c r="B1048" s="2024" t="s">
        <v>3566</v>
      </c>
      <c r="C1048" s="2130" t="s">
        <v>428</v>
      </c>
    </row>
    <row r="1049" spans="1:3" x14ac:dyDescent="0.35">
      <c r="A1049" s="1947">
        <v>1355</v>
      </c>
      <c r="B1049" s="2024" t="s">
        <v>3567</v>
      </c>
      <c r="C1049" s="2130" t="s">
        <v>429</v>
      </c>
    </row>
    <row r="1050" spans="1:3" x14ac:dyDescent="0.35">
      <c r="A1050" s="1947">
        <v>1356</v>
      </c>
      <c r="B1050" s="2024" t="s">
        <v>3568</v>
      </c>
      <c r="C1050" s="2130" t="s">
        <v>886</v>
      </c>
    </row>
    <row r="1051" spans="1:3" x14ac:dyDescent="0.35">
      <c r="A1051" s="1947">
        <v>1357</v>
      </c>
      <c r="B1051" s="2024" t="s">
        <v>3569</v>
      </c>
      <c r="C1051" s="2130" t="s">
        <v>430</v>
      </c>
    </row>
    <row r="1052" spans="1:3" x14ac:dyDescent="0.35">
      <c r="A1052" s="1947">
        <v>1358</v>
      </c>
      <c r="B1052" s="2024" t="s">
        <v>3570</v>
      </c>
      <c r="C1052" s="2130" t="s">
        <v>1026</v>
      </c>
    </row>
    <row r="1053" spans="1:3" x14ac:dyDescent="0.35">
      <c r="A1053" s="1947">
        <v>1359</v>
      </c>
      <c r="B1053" s="2024" t="s">
        <v>3571</v>
      </c>
      <c r="C1053" s="2130" t="s">
        <v>1027</v>
      </c>
    </row>
    <row r="1054" spans="1:3" x14ac:dyDescent="0.35">
      <c r="A1054" s="1947">
        <v>1360</v>
      </c>
      <c r="B1054" s="2024" t="s">
        <v>3572</v>
      </c>
      <c r="C1054" s="2130" t="s">
        <v>1028</v>
      </c>
    </row>
    <row r="1055" spans="1:3" x14ac:dyDescent="0.35">
      <c r="A1055" s="1947">
        <v>1361</v>
      </c>
      <c r="B1055" s="2024" t="s">
        <v>3573</v>
      </c>
      <c r="C1055" s="2130" t="s">
        <v>1029</v>
      </c>
    </row>
    <row r="1056" spans="1:3" x14ac:dyDescent="0.35">
      <c r="A1056" s="1947">
        <v>1362</v>
      </c>
      <c r="B1056" s="2024" t="s">
        <v>3574</v>
      </c>
      <c r="C1056" s="2130" t="s">
        <v>995</v>
      </c>
    </row>
    <row r="1057" spans="1:3" x14ac:dyDescent="0.35">
      <c r="A1057" s="1947">
        <v>1363</v>
      </c>
      <c r="B1057" s="2024" t="s">
        <v>3575</v>
      </c>
      <c r="C1057" s="2130" t="s">
        <v>996</v>
      </c>
    </row>
    <row r="1058" spans="1:3" x14ac:dyDescent="0.35">
      <c r="A1058" s="1947">
        <v>1364</v>
      </c>
      <c r="B1058" s="2024" t="s">
        <v>3576</v>
      </c>
      <c r="C1058" s="2130" t="s">
        <v>997</v>
      </c>
    </row>
    <row r="1059" spans="1:3" x14ac:dyDescent="0.35">
      <c r="A1059" s="1947">
        <v>1398</v>
      </c>
      <c r="B1059" s="2025" t="s">
        <v>3577</v>
      </c>
      <c r="C1059" s="2131" t="s">
        <v>1692</v>
      </c>
    </row>
    <row r="1060" spans="1:3" x14ac:dyDescent="0.35">
      <c r="A1060" s="1947">
        <v>1401</v>
      </c>
      <c r="B1060" s="2025" t="s">
        <v>3578</v>
      </c>
      <c r="C1060" s="2132" t="s">
        <v>912</v>
      </c>
    </row>
    <row r="1061" spans="1:3" x14ac:dyDescent="0.35">
      <c r="A1061" s="1947">
        <v>1403</v>
      </c>
      <c r="B1061" s="2025" t="s">
        <v>3579</v>
      </c>
      <c r="C1061" s="2132" t="s">
        <v>915</v>
      </c>
    </row>
    <row r="1062" spans="1:3" x14ac:dyDescent="0.35">
      <c r="A1062" s="1947">
        <v>1404</v>
      </c>
      <c r="B1062" s="2025" t="s">
        <v>3580</v>
      </c>
      <c r="C1062" s="2132" t="s">
        <v>919</v>
      </c>
    </row>
    <row r="1063" spans="1:3" x14ac:dyDescent="0.35">
      <c r="A1063" s="1947">
        <v>1405</v>
      </c>
      <c r="B1063" s="2025" t="s">
        <v>3581</v>
      </c>
      <c r="C1063" s="2132" t="s">
        <v>921</v>
      </c>
    </row>
    <row r="1064" spans="1:3" x14ac:dyDescent="0.35">
      <c r="A1064" s="1947">
        <v>1406</v>
      </c>
      <c r="B1064" s="2025" t="s">
        <v>3582</v>
      </c>
      <c r="C1064" s="2132" t="s">
        <v>923</v>
      </c>
    </row>
    <row r="1065" spans="1:3" x14ac:dyDescent="0.35">
      <c r="A1065" s="1947">
        <v>1407</v>
      </c>
      <c r="B1065" s="2025" t="s">
        <v>3583</v>
      </c>
      <c r="C1065" s="2132" t="s">
        <v>442</v>
      </c>
    </row>
    <row r="1066" spans="1:3" x14ac:dyDescent="0.35">
      <c r="A1066" s="1947">
        <v>1408</v>
      </c>
      <c r="B1066" s="2025" t="s">
        <v>3584</v>
      </c>
      <c r="C1066" s="2132" t="s">
        <v>439</v>
      </c>
    </row>
    <row r="1067" spans="1:3" ht="25" x14ac:dyDescent="0.35">
      <c r="A1067" s="1947">
        <v>1410</v>
      </c>
      <c r="B1067" s="2025" t="s">
        <v>3585</v>
      </c>
      <c r="C1067" s="2132" t="s">
        <v>220</v>
      </c>
    </row>
    <row r="1068" spans="1:3" x14ac:dyDescent="0.35">
      <c r="A1068" s="1947">
        <v>1411</v>
      </c>
      <c r="B1068" s="2025" t="s">
        <v>3586</v>
      </c>
      <c r="C1068" s="2131" t="s">
        <v>1452</v>
      </c>
    </row>
    <row r="1069" spans="1:3" x14ac:dyDescent="0.35">
      <c r="A1069" s="1947">
        <v>1412</v>
      </c>
      <c r="B1069" s="2025" t="s">
        <v>3587</v>
      </c>
      <c r="C1069" s="2132" t="s">
        <v>1000</v>
      </c>
    </row>
    <row r="1070" spans="1:3" x14ac:dyDescent="0.35">
      <c r="A1070" s="1947">
        <v>1413</v>
      </c>
      <c r="B1070" s="2025" t="s">
        <v>3588</v>
      </c>
      <c r="C1070" s="2132" t="s">
        <v>1002</v>
      </c>
    </row>
    <row r="1071" spans="1:3" x14ac:dyDescent="0.35">
      <c r="A1071" s="1947">
        <v>1414</v>
      </c>
      <c r="B1071" s="2025" t="s">
        <v>3589</v>
      </c>
      <c r="C1071" s="2132" t="s">
        <v>1005</v>
      </c>
    </row>
    <row r="1072" spans="1:3" x14ac:dyDescent="0.35">
      <c r="A1072" s="1947">
        <v>1415</v>
      </c>
      <c r="B1072" s="2025" t="s">
        <v>3590</v>
      </c>
      <c r="C1072" s="2132" t="s">
        <v>448</v>
      </c>
    </row>
    <row r="1073" spans="1:3" x14ac:dyDescent="0.35">
      <c r="A1073" s="1947">
        <v>1416</v>
      </c>
      <c r="B1073" s="2025" t="s">
        <v>3591</v>
      </c>
      <c r="C1073" s="2132" t="s">
        <v>451</v>
      </c>
    </row>
    <row r="1074" spans="1:3" x14ac:dyDescent="0.35">
      <c r="A1074" s="1947">
        <v>1417</v>
      </c>
      <c r="B1074" s="2025" t="s">
        <v>3592</v>
      </c>
      <c r="C1074" s="2132" t="s">
        <v>454</v>
      </c>
    </row>
    <row r="1075" spans="1:3" x14ac:dyDescent="0.35">
      <c r="A1075" s="1947">
        <v>1418</v>
      </c>
      <c r="B1075" s="2025" t="s">
        <v>3593</v>
      </c>
      <c r="C1075" s="2132" t="s">
        <v>459</v>
      </c>
    </row>
    <row r="1076" spans="1:3" x14ac:dyDescent="0.35">
      <c r="A1076" s="1947">
        <v>1419</v>
      </c>
      <c r="B1076" s="2025" t="s">
        <v>3594</v>
      </c>
      <c r="C1076" s="2132" t="s">
        <v>788</v>
      </c>
    </row>
    <row r="1077" spans="1:3" x14ac:dyDescent="0.35">
      <c r="A1077" s="1947">
        <v>1420</v>
      </c>
      <c r="B1077" s="2025" t="s">
        <v>3595</v>
      </c>
      <c r="C1077" s="2132" t="s">
        <v>108</v>
      </c>
    </row>
    <row r="1078" spans="1:3" x14ac:dyDescent="0.35">
      <c r="A1078" s="1947">
        <v>1421</v>
      </c>
      <c r="B1078" s="2025" t="s">
        <v>3596</v>
      </c>
      <c r="C1078" s="2132" t="s">
        <v>109</v>
      </c>
    </row>
    <row r="1079" spans="1:3" x14ac:dyDescent="0.35">
      <c r="A1079" s="1947">
        <v>1422</v>
      </c>
      <c r="B1079" s="2025" t="s">
        <v>3597</v>
      </c>
      <c r="C1079" s="2132" t="s">
        <v>116</v>
      </c>
    </row>
    <row r="1080" spans="1:3" x14ac:dyDescent="0.35">
      <c r="A1080" s="1947">
        <v>1423</v>
      </c>
      <c r="B1080" s="2025" t="s">
        <v>3598</v>
      </c>
      <c r="C1080" s="2132" t="s">
        <v>173</v>
      </c>
    </row>
    <row r="1081" spans="1:3" x14ac:dyDescent="0.35">
      <c r="A1081" s="1947">
        <v>1424</v>
      </c>
      <c r="B1081" s="2025" t="s">
        <v>3599</v>
      </c>
      <c r="C1081" s="2132" t="s">
        <v>172</v>
      </c>
    </row>
    <row r="1082" spans="1:3" x14ac:dyDescent="0.35">
      <c r="A1082" s="1947">
        <v>1425</v>
      </c>
      <c r="B1082" s="2025" t="s">
        <v>3600</v>
      </c>
      <c r="C1082" s="2131" t="s">
        <v>1591</v>
      </c>
    </row>
    <row r="1083" spans="1:3" x14ac:dyDescent="0.35">
      <c r="A1083" s="1947">
        <v>1426</v>
      </c>
      <c r="B1083" s="2025" t="s">
        <v>3601</v>
      </c>
      <c r="C1083" s="2131" t="s">
        <v>1592</v>
      </c>
    </row>
    <row r="1084" spans="1:3" x14ac:dyDescent="0.35">
      <c r="A1084" s="1947">
        <v>1427</v>
      </c>
      <c r="B1084" s="2134" t="s">
        <v>3602</v>
      </c>
      <c r="C1084" s="2134" t="s">
        <v>733</v>
      </c>
    </row>
    <row r="1085" spans="1:3" x14ac:dyDescent="0.35">
      <c r="A1085" s="1947">
        <v>1428</v>
      </c>
      <c r="B1085" s="2130" t="s">
        <v>3603</v>
      </c>
      <c r="C1085" s="2130" t="s">
        <v>930</v>
      </c>
    </row>
    <row r="1086" spans="1:3" x14ac:dyDescent="0.35">
      <c r="A1086" s="1947">
        <v>1429</v>
      </c>
      <c r="B1086" s="2130" t="s">
        <v>3604</v>
      </c>
      <c r="C1086" s="2130" t="s">
        <v>152</v>
      </c>
    </row>
    <row r="1087" spans="1:3" ht="37.5" x14ac:dyDescent="0.35">
      <c r="A1087" s="1947">
        <v>1430</v>
      </c>
      <c r="B1087" s="2130" t="s">
        <v>3605</v>
      </c>
      <c r="C1087" s="2130" t="s">
        <v>734</v>
      </c>
    </row>
    <row r="1088" spans="1:3" x14ac:dyDescent="0.35">
      <c r="A1088" s="1947">
        <v>1432</v>
      </c>
      <c r="B1088" s="2026" t="s">
        <v>3606</v>
      </c>
      <c r="C1088" s="2135" t="s">
        <v>160</v>
      </c>
    </row>
    <row r="1089" spans="1:3" x14ac:dyDescent="0.35">
      <c r="A1089" s="1947">
        <v>1433</v>
      </c>
      <c r="B1089" s="2026" t="s">
        <v>3607</v>
      </c>
      <c r="C1089" s="2135" t="s">
        <v>162</v>
      </c>
    </row>
    <row r="1090" spans="1:3" ht="46" x14ac:dyDescent="0.35">
      <c r="A1090" s="1947">
        <v>1435</v>
      </c>
      <c r="B1090" s="2135" t="s">
        <v>3608</v>
      </c>
      <c r="C1090" s="2135" t="s">
        <v>1084</v>
      </c>
    </row>
    <row r="1091" spans="1:3" ht="23" x14ac:dyDescent="0.35">
      <c r="A1091" s="1947">
        <v>1437</v>
      </c>
      <c r="B1091" s="2135" t="s">
        <v>3628</v>
      </c>
      <c r="C1091" s="2135" t="s">
        <v>736</v>
      </c>
    </row>
    <row r="1092" spans="1:3" ht="46" x14ac:dyDescent="0.35">
      <c r="A1092" s="1947">
        <v>1438</v>
      </c>
      <c r="B1092" s="2135" t="s">
        <v>3629</v>
      </c>
      <c r="C1092" s="2135" t="s">
        <v>251</v>
      </c>
    </row>
    <row r="1093" spans="1:3" ht="23" x14ac:dyDescent="0.35">
      <c r="A1093" s="1947">
        <v>1439</v>
      </c>
      <c r="B1093" s="2135" t="s">
        <v>3630</v>
      </c>
      <c r="C1093" s="2135" t="s">
        <v>168</v>
      </c>
    </row>
    <row r="1094" spans="1:3" ht="23" x14ac:dyDescent="0.35">
      <c r="A1094" s="1947">
        <v>1440</v>
      </c>
      <c r="B1094" s="2135" t="s">
        <v>3631</v>
      </c>
      <c r="C1094" s="2135" t="s">
        <v>655</v>
      </c>
    </row>
    <row r="1095" spans="1:3" ht="23" x14ac:dyDescent="0.35">
      <c r="A1095" s="1947">
        <v>1441</v>
      </c>
      <c r="B1095" s="2135" t="s">
        <v>3632</v>
      </c>
      <c r="C1095" s="2135" t="s">
        <v>719</v>
      </c>
    </row>
    <row r="1096" spans="1:3" ht="34.5" x14ac:dyDescent="0.35">
      <c r="A1096" s="1947">
        <v>1442</v>
      </c>
      <c r="B1096" s="2135" t="s">
        <v>3633</v>
      </c>
      <c r="C1096" s="2135" t="s">
        <v>724</v>
      </c>
    </row>
    <row r="1097" spans="1:3" ht="23" x14ac:dyDescent="0.35">
      <c r="A1097" s="1947">
        <v>1443</v>
      </c>
      <c r="B1097" s="2135" t="s">
        <v>3634</v>
      </c>
      <c r="C1097" s="2135" t="s">
        <v>729</v>
      </c>
    </row>
    <row r="1098" spans="1:3" x14ac:dyDescent="0.35">
      <c r="A1098" s="1947">
        <v>1445</v>
      </c>
      <c r="B1098" s="2135" t="s">
        <v>3635</v>
      </c>
      <c r="C1098" s="2135" t="s">
        <v>1006</v>
      </c>
    </row>
    <row r="1099" spans="1:3" x14ac:dyDescent="0.35">
      <c r="A1099" s="1947">
        <v>1446</v>
      </c>
      <c r="B1099" s="2135" t="s">
        <v>3636</v>
      </c>
      <c r="C1099" s="2135" t="s">
        <v>1011</v>
      </c>
    </row>
    <row r="1100" spans="1:3" x14ac:dyDescent="0.35">
      <c r="A1100" s="1947">
        <v>1448</v>
      </c>
      <c r="B1100" s="2135" t="s">
        <v>3637</v>
      </c>
      <c r="C1100" s="2135" t="s">
        <v>825</v>
      </c>
    </row>
    <row r="1101" spans="1:3" x14ac:dyDescent="0.35">
      <c r="A1101" s="1947">
        <v>1449</v>
      </c>
      <c r="B1101" s="2135" t="s">
        <v>3638</v>
      </c>
      <c r="C1101" s="2135" t="s">
        <v>827</v>
      </c>
    </row>
    <row r="1102" spans="1:3" x14ac:dyDescent="0.35">
      <c r="A1102" s="1947">
        <v>1450</v>
      </c>
      <c r="B1102" s="2135" t="s">
        <v>3639</v>
      </c>
      <c r="C1102" s="2135" t="s">
        <v>735</v>
      </c>
    </row>
    <row r="1103" spans="1:3" x14ac:dyDescent="0.35">
      <c r="A1103" s="1947">
        <v>1451</v>
      </c>
      <c r="B1103" s="2135" t="s">
        <v>3640</v>
      </c>
      <c r="C1103" s="2135" t="s">
        <v>829</v>
      </c>
    </row>
    <row r="1104" spans="1:3" ht="34.5" x14ac:dyDescent="0.35">
      <c r="A1104" s="1947">
        <v>1452</v>
      </c>
      <c r="B1104" s="2135" t="s">
        <v>3641</v>
      </c>
      <c r="C1104" s="2135" t="s">
        <v>831</v>
      </c>
    </row>
    <row r="1105" spans="1:3" x14ac:dyDescent="0.35">
      <c r="A1105" s="1947">
        <v>1454</v>
      </c>
      <c r="B1105" s="2135" t="s">
        <v>3642</v>
      </c>
      <c r="C1105" s="2135" t="s">
        <v>842</v>
      </c>
    </row>
    <row r="1106" spans="1:3" ht="34.5" x14ac:dyDescent="0.35">
      <c r="A1106" s="1947">
        <v>1455</v>
      </c>
      <c r="B1106" s="2135" t="s">
        <v>3643</v>
      </c>
      <c r="C1106" s="2135" t="s">
        <v>252</v>
      </c>
    </row>
    <row r="1107" spans="1:3" ht="23" x14ac:dyDescent="0.35">
      <c r="A1107" s="1947">
        <v>1457</v>
      </c>
      <c r="B1107" s="2135" t="s">
        <v>3644</v>
      </c>
      <c r="C1107" s="2135" t="s">
        <v>253</v>
      </c>
    </row>
    <row r="1108" spans="1:3" x14ac:dyDescent="0.35">
      <c r="A1108" s="1947">
        <v>1458</v>
      </c>
      <c r="B1108" s="2134" t="s">
        <v>3645</v>
      </c>
      <c r="C1108" s="2134" t="s">
        <v>151</v>
      </c>
    </row>
    <row r="1109" spans="1:3" x14ac:dyDescent="0.35">
      <c r="A1109" s="1947">
        <v>1459</v>
      </c>
      <c r="B1109" s="2027" t="s">
        <v>3646</v>
      </c>
      <c r="C1109" s="2027" t="s">
        <v>154</v>
      </c>
    </row>
    <row r="1110" spans="1:3" x14ac:dyDescent="0.35">
      <c r="A1110" s="1947">
        <v>1460</v>
      </c>
      <c r="B1110" s="2027" t="s">
        <v>3609</v>
      </c>
      <c r="C1110" s="2027" t="s">
        <v>155</v>
      </c>
    </row>
    <row r="1111" spans="1:3" x14ac:dyDescent="0.35">
      <c r="A1111" s="1947">
        <v>1461</v>
      </c>
      <c r="B1111" s="2027" t="s">
        <v>3610</v>
      </c>
      <c r="C1111" s="2027" t="s">
        <v>156</v>
      </c>
    </row>
    <row r="1112" spans="1:3" x14ac:dyDescent="0.35">
      <c r="A1112" s="1947">
        <v>1462</v>
      </c>
      <c r="B1112" s="2180" t="s">
        <v>3698</v>
      </c>
      <c r="C1112" s="2027" t="s">
        <v>157</v>
      </c>
    </row>
    <row r="1113" spans="1:3" x14ac:dyDescent="0.35">
      <c r="A1113" s="1947">
        <v>1463</v>
      </c>
      <c r="B1113" s="2027" t="s">
        <v>3647</v>
      </c>
      <c r="C1113" s="2027" t="s">
        <v>949</v>
      </c>
    </row>
    <row r="1114" spans="1:3" x14ac:dyDescent="0.35">
      <c r="A1114" s="1947">
        <v>1464</v>
      </c>
      <c r="B1114" s="2028" t="s">
        <v>3648</v>
      </c>
      <c r="C1114" s="2028" t="s">
        <v>447</v>
      </c>
    </row>
    <row r="1115" spans="1:3" x14ac:dyDescent="0.35">
      <c r="A1115" s="1947">
        <v>1465</v>
      </c>
      <c r="B1115" s="2029" t="s">
        <v>3649</v>
      </c>
      <c r="C1115" s="2029" t="s">
        <v>1178</v>
      </c>
    </row>
    <row r="1116" spans="1:3" x14ac:dyDescent="0.35">
      <c r="A1116" s="1947">
        <v>1466</v>
      </c>
      <c r="B1116" s="2029" t="s">
        <v>3650</v>
      </c>
      <c r="C1116" s="2029" t="s">
        <v>1227</v>
      </c>
    </row>
    <row r="1117" spans="1:3" x14ac:dyDescent="0.35">
      <c r="A1117" s="1947">
        <v>1467</v>
      </c>
      <c r="B1117" s="2029" t="s">
        <v>3651</v>
      </c>
      <c r="C1117" s="2029" t="s">
        <v>1161</v>
      </c>
    </row>
    <row r="1118" spans="1:3" x14ac:dyDescent="0.35">
      <c r="A1118" s="1947">
        <v>1468</v>
      </c>
      <c r="B1118" s="2030" t="s">
        <v>3652</v>
      </c>
      <c r="C1118" s="2030" t="s">
        <v>1440</v>
      </c>
    </row>
    <row r="1119" spans="1:3" x14ac:dyDescent="0.35">
      <c r="A1119" s="1947">
        <v>1469</v>
      </c>
      <c r="B1119" s="2030" t="s">
        <v>3653</v>
      </c>
      <c r="C1119" s="2030" t="s">
        <v>1439</v>
      </c>
    </row>
    <row r="1120" spans="1:3" x14ac:dyDescent="0.35">
      <c r="A1120" s="1947">
        <v>1470</v>
      </c>
      <c r="B1120" s="2030" t="s">
        <v>3654</v>
      </c>
      <c r="C1120" s="2030" t="s">
        <v>1446</v>
      </c>
    </row>
    <row r="1121" spans="1:3" x14ac:dyDescent="0.35">
      <c r="A1121" s="1947">
        <v>1471</v>
      </c>
      <c r="B1121" s="2027" t="s">
        <v>3655</v>
      </c>
      <c r="C1121" s="2027" t="s">
        <v>158</v>
      </c>
    </row>
    <row r="1122" spans="1:3" x14ac:dyDescent="0.35">
      <c r="A1122" s="1947">
        <v>1472</v>
      </c>
      <c r="B1122" s="2027" t="s">
        <v>159</v>
      </c>
      <c r="C1122" s="2027" t="s">
        <v>159</v>
      </c>
    </row>
    <row r="1123" spans="1:3" ht="25" x14ac:dyDescent="0.35">
      <c r="A1123" s="1947">
        <v>1473</v>
      </c>
      <c r="B1123" s="2027" t="s">
        <v>3656</v>
      </c>
      <c r="C1123" s="2027" t="s">
        <v>931</v>
      </c>
    </row>
    <row r="1124" spans="1:3" x14ac:dyDescent="0.35">
      <c r="A1124" s="1947">
        <v>1474</v>
      </c>
      <c r="B1124" s="2027" t="s">
        <v>3657</v>
      </c>
      <c r="C1124" s="2027" t="s">
        <v>161</v>
      </c>
    </row>
    <row r="1125" spans="1:3" x14ac:dyDescent="0.35">
      <c r="A1125" s="1947">
        <v>1475</v>
      </c>
      <c r="B1125" s="2027" t="s">
        <v>3658</v>
      </c>
      <c r="C1125" s="2027" t="s">
        <v>163</v>
      </c>
    </row>
    <row r="1126" spans="1:3" x14ac:dyDescent="0.35">
      <c r="A1126" s="1947">
        <v>1476</v>
      </c>
      <c r="B1126" s="2027" t="s">
        <v>3659</v>
      </c>
      <c r="C1126" s="2027" t="s">
        <v>786</v>
      </c>
    </row>
    <row r="1127" spans="1:3" x14ac:dyDescent="0.35">
      <c r="A1127" s="1947">
        <v>1477</v>
      </c>
      <c r="B1127" s="2027" t="s">
        <v>3660</v>
      </c>
      <c r="C1127" s="2027" t="s">
        <v>164</v>
      </c>
    </row>
    <row r="1128" spans="1:3" x14ac:dyDescent="0.35">
      <c r="A1128" s="1947">
        <v>1478</v>
      </c>
      <c r="B1128" s="2027" t="s">
        <v>3661</v>
      </c>
      <c r="C1128" s="2027" t="s">
        <v>165</v>
      </c>
    </row>
    <row r="1129" spans="1:3" x14ac:dyDescent="0.35">
      <c r="A1129" s="1947">
        <v>1480</v>
      </c>
      <c r="B1129" s="2027" t="s">
        <v>3662</v>
      </c>
      <c r="C1129" s="2027" t="s">
        <v>166</v>
      </c>
    </row>
    <row r="1130" spans="1:3" x14ac:dyDescent="0.35">
      <c r="A1130" s="1947">
        <v>1481</v>
      </c>
      <c r="B1130" s="2027" t="s">
        <v>3663</v>
      </c>
      <c r="C1130" s="2027" t="s">
        <v>167</v>
      </c>
    </row>
    <row r="1131" spans="1:3" x14ac:dyDescent="0.35">
      <c r="A1131" s="1947">
        <v>1482</v>
      </c>
      <c r="B1131" s="2027" t="s">
        <v>3611</v>
      </c>
      <c r="C1131" s="2027" t="s">
        <v>169</v>
      </c>
    </row>
    <row r="1132" spans="1:3" x14ac:dyDescent="0.35">
      <c r="A1132" s="1947">
        <v>1483</v>
      </c>
      <c r="B1132" s="2027" t="s">
        <v>3612</v>
      </c>
      <c r="C1132" s="2027" t="s">
        <v>170</v>
      </c>
    </row>
    <row r="1133" spans="1:3" ht="25" x14ac:dyDescent="0.35">
      <c r="A1133" s="1947">
        <v>1484</v>
      </c>
      <c r="B1133" s="2027" t="s">
        <v>3664</v>
      </c>
      <c r="C1133" s="2027" t="s">
        <v>932</v>
      </c>
    </row>
    <row r="1134" spans="1:3" ht="25" x14ac:dyDescent="0.35">
      <c r="A1134" s="1947">
        <v>1485</v>
      </c>
      <c r="B1134" s="2027" t="s">
        <v>3665</v>
      </c>
      <c r="C1134" s="2027" t="s">
        <v>933</v>
      </c>
    </row>
    <row r="1135" spans="1:3" x14ac:dyDescent="0.35">
      <c r="A1135" s="1947">
        <v>1486</v>
      </c>
      <c r="B1135" s="2027" t="s">
        <v>3613</v>
      </c>
      <c r="C1135" s="2027" t="s">
        <v>658</v>
      </c>
    </row>
    <row r="1136" spans="1:3" x14ac:dyDescent="0.35">
      <c r="A1136" s="1947">
        <v>1487</v>
      </c>
      <c r="B1136" s="2027" t="s">
        <v>3666</v>
      </c>
      <c r="C1136" s="2027" t="s">
        <v>720</v>
      </c>
    </row>
    <row r="1137" spans="1:3" x14ac:dyDescent="0.35">
      <c r="A1137" s="1947">
        <v>1488</v>
      </c>
      <c r="B1137" s="2027" t="s">
        <v>3614</v>
      </c>
      <c r="C1137" s="2027" t="s">
        <v>721</v>
      </c>
    </row>
    <row r="1138" spans="1:3" x14ac:dyDescent="0.35">
      <c r="A1138" s="1947">
        <v>1489</v>
      </c>
      <c r="B1138" s="2027" t="s">
        <v>3615</v>
      </c>
      <c r="C1138" s="2027" t="s">
        <v>722</v>
      </c>
    </row>
    <row r="1139" spans="1:3" x14ac:dyDescent="0.35">
      <c r="A1139" s="1947">
        <v>1490</v>
      </c>
      <c r="B1139" s="2027" t="s">
        <v>3616</v>
      </c>
      <c r="C1139" s="2027" t="s">
        <v>723</v>
      </c>
    </row>
    <row r="1140" spans="1:3" x14ac:dyDescent="0.35">
      <c r="A1140" s="1947">
        <v>1491</v>
      </c>
      <c r="B1140" s="2027" t="s">
        <v>3667</v>
      </c>
      <c r="C1140" s="2027" t="s">
        <v>725</v>
      </c>
    </row>
    <row r="1141" spans="1:3" x14ac:dyDescent="0.35">
      <c r="A1141" s="1947">
        <v>1492</v>
      </c>
      <c r="B1141" s="2027" t="s">
        <v>3668</v>
      </c>
      <c r="C1141" s="2027" t="s">
        <v>726</v>
      </c>
    </row>
    <row r="1142" spans="1:3" x14ac:dyDescent="0.35">
      <c r="A1142" s="1947">
        <v>1493</v>
      </c>
      <c r="B1142" s="2027" t="s">
        <v>3669</v>
      </c>
      <c r="C1142" s="2027" t="s">
        <v>727</v>
      </c>
    </row>
    <row r="1143" spans="1:3" x14ac:dyDescent="0.35">
      <c r="A1143" s="1947">
        <v>1494</v>
      </c>
      <c r="B1143" s="2027" t="s">
        <v>3670</v>
      </c>
      <c r="C1143" s="2027" t="s">
        <v>728</v>
      </c>
    </row>
    <row r="1144" spans="1:3" x14ac:dyDescent="0.35">
      <c r="A1144" s="1947">
        <v>1495</v>
      </c>
      <c r="B1144" s="2027" t="s">
        <v>3671</v>
      </c>
      <c r="C1144" s="2027" t="s">
        <v>730</v>
      </c>
    </row>
    <row r="1145" spans="1:3" x14ac:dyDescent="0.35">
      <c r="A1145" s="1947">
        <v>1496</v>
      </c>
      <c r="B1145" s="2027" t="s">
        <v>3672</v>
      </c>
      <c r="C1145" s="2027" t="s">
        <v>659</v>
      </c>
    </row>
    <row r="1146" spans="1:3" x14ac:dyDescent="0.35">
      <c r="A1146" s="1947">
        <v>1497</v>
      </c>
      <c r="B1146" s="2027" t="s">
        <v>3617</v>
      </c>
      <c r="C1146" s="2027" t="s">
        <v>660</v>
      </c>
    </row>
    <row r="1147" spans="1:3" x14ac:dyDescent="0.35">
      <c r="A1147" s="1947">
        <v>1498</v>
      </c>
      <c r="B1147" s="2027" t="s">
        <v>3618</v>
      </c>
      <c r="C1147" s="2027" t="s">
        <v>661</v>
      </c>
    </row>
    <row r="1148" spans="1:3" x14ac:dyDescent="0.35">
      <c r="A1148" s="1947">
        <v>1499</v>
      </c>
      <c r="B1148" s="2027" t="s">
        <v>3673</v>
      </c>
      <c r="C1148" s="2027" t="s">
        <v>1007</v>
      </c>
    </row>
    <row r="1149" spans="1:3" x14ac:dyDescent="0.35">
      <c r="A1149" s="1947">
        <v>1500</v>
      </c>
      <c r="B1149" s="2027" t="s">
        <v>3674</v>
      </c>
      <c r="C1149" s="2027" t="s">
        <v>1008</v>
      </c>
    </row>
    <row r="1150" spans="1:3" ht="25" x14ac:dyDescent="0.35">
      <c r="A1150" s="1947">
        <v>1501</v>
      </c>
      <c r="B1150" s="2136" t="s">
        <v>3675</v>
      </c>
      <c r="C1150" s="2136" t="s">
        <v>1622</v>
      </c>
    </row>
    <row r="1151" spans="1:3" x14ac:dyDescent="0.35">
      <c r="A1151" s="1947">
        <v>1502</v>
      </c>
      <c r="B1151" s="2027" t="s">
        <v>3676</v>
      </c>
      <c r="C1151" s="2027" t="s">
        <v>1009</v>
      </c>
    </row>
    <row r="1152" spans="1:3" x14ac:dyDescent="0.35">
      <c r="A1152" s="1947">
        <v>1503</v>
      </c>
      <c r="B1152" s="2027" t="s">
        <v>3677</v>
      </c>
      <c r="C1152" s="2027" t="s">
        <v>1010</v>
      </c>
    </row>
    <row r="1153" spans="1:3" x14ac:dyDescent="0.35">
      <c r="A1153" s="1947">
        <v>1504</v>
      </c>
      <c r="B1153" s="2027" t="s">
        <v>3678</v>
      </c>
      <c r="C1153" s="2027" t="s">
        <v>663</v>
      </c>
    </row>
    <row r="1154" spans="1:3" x14ac:dyDescent="0.35">
      <c r="A1154" s="1947">
        <v>1505</v>
      </c>
      <c r="B1154" s="2027" t="s">
        <v>3679</v>
      </c>
      <c r="C1154" s="2027" t="s">
        <v>1012</v>
      </c>
    </row>
    <row r="1155" spans="1:3" x14ac:dyDescent="0.35">
      <c r="A1155" s="1947">
        <v>1506</v>
      </c>
      <c r="B1155" s="2027" t="s">
        <v>3680</v>
      </c>
      <c r="C1155" s="2027" t="s">
        <v>1013</v>
      </c>
    </row>
    <row r="1156" spans="1:3" x14ac:dyDescent="0.35">
      <c r="A1156" s="1947">
        <v>1507</v>
      </c>
      <c r="B1156" s="2027" t="s">
        <v>3681</v>
      </c>
      <c r="C1156" s="2027" t="s">
        <v>33</v>
      </c>
    </row>
    <row r="1157" spans="1:3" x14ac:dyDescent="0.35">
      <c r="A1157" s="1947">
        <v>1508</v>
      </c>
      <c r="B1157" s="2027" t="s">
        <v>3682</v>
      </c>
      <c r="C1157" s="2027" t="s">
        <v>34</v>
      </c>
    </row>
    <row r="1158" spans="1:3" x14ac:dyDescent="0.35">
      <c r="A1158" s="1947">
        <v>1509</v>
      </c>
      <c r="B1158" s="2027" t="s">
        <v>3683</v>
      </c>
      <c r="C1158" s="2027" t="s">
        <v>35</v>
      </c>
    </row>
    <row r="1159" spans="1:3" x14ac:dyDescent="0.35">
      <c r="A1159" s="1947">
        <v>1510</v>
      </c>
      <c r="B1159" s="2027" t="s">
        <v>3684</v>
      </c>
      <c r="C1159" s="2027" t="s">
        <v>36</v>
      </c>
    </row>
    <row r="1160" spans="1:3" x14ac:dyDescent="0.35">
      <c r="A1160" s="1947">
        <v>1511</v>
      </c>
      <c r="B1160" s="2027" t="s">
        <v>3685</v>
      </c>
      <c r="C1160" s="2027" t="s">
        <v>37</v>
      </c>
    </row>
    <row r="1161" spans="1:3" x14ac:dyDescent="0.35">
      <c r="A1161" s="1947">
        <v>1512</v>
      </c>
      <c r="B1161" s="2027" t="s">
        <v>3686</v>
      </c>
      <c r="C1161" s="2027" t="s">
        <v>824</v>
      </c>
    </row>
    <row r="1162" spans="1:3" x14ac:dyDescent="0.35">
      <c r="A1162" s="1947">
        <v>1513</v>
      </c>
      <c r="B1162" s="2027" t="s">
        <v>3619</v>
      </c>
      <c r="C1162" s="2027" t="s">
        <v>826</v>
      </c>
    </row>
    <row r="1163" spans="1:3" ht="25" x14ac:dyDescent="0.35">
      <c r="A1163" s="1947">
        <v>1514</v>
      </c>
      <c r="B1163" s="2136" t="s">
        <v>3687</v>
      </c>
      <c r="C1163" s="2136" t="s">
        <v>822</v>
      </c>
    </row>
    <row r="1164" spans="1:3" x14ac:dyDescent="0.35">
      <c r="A1164" s="1947">
        <v>1515</v>
      </c>
      <c r="B1164" s="2027" t="s">
        <v>3620</v>
      </c>
      <c r="C1164" s="2027" t="s">
        <v>828</v>
      </c>
    </row>
    <row r="1165" spans="1:3" x14ac:dyDescent="0.35">
      <c r="A1165" s="1947">
        <v>1516</v>
      </c>
      <c r="B1165" s="2027" t="s">
        <v>3621</v>
      </c>
      <c r="C1165" s="2027" t="s">
        <v>830</v>
      </c>
    </row>
    <row r="1166" spans="1:3" ht="37.5" x14ac:dyDescent="0.35">
      <c r="A1166" s="1947">
        <v>1517</v>
      </c>
      <c r="B1166" s="2027" t="s">
        <v>3688</v>
      </c>
      <c r="C1166" s="2027" t="s">
        <v>238</v>
      </c>
    </row>
    <row r="1167" spans="1:3" x14ac:dyDescent="0.35">
      <c r="A1167" s="1947">
        <v>1518</v>
      </c>
      <c r="B1167" s="2027" t="s">
        <v>3689</v>
      </c>
      <c r="C1167" s="2027" t="s">
        <v>833</v>
      </c>
    </row>
    <row r="1168" spans="1:3" x14ac:dyDescent="0.35">
      <c r="A1168" s="1947">
        <v>1519</v>
      </c>
      <c r="B1168" s="2027" t="s">
        <v>3622</v>
      </c>
      <c r="C1168" s="2027" t="s">
        <v>834</v>
      </c>
    </row>
    <row r="1169" spans="1:3" x14ac:dyDescent="0.35">
      <c r="A1169" s="1947">
        <v>1520</v>
      </c>
      <c r="B1169" s="2027" t="s">
        <v>3690</v>
      </c>
      <c r="C1169" s="2027" t="s">
        <v>835</v>
      </c>
    </row>
    <row r="1170" spans="1:3" x14ac:dyDescent="0.35">
      <c r="A1170" s="1947">
        <v>1521</v>
      </c>
      <c r="B1170" s="2027" t="s">
        <v>3623</v>
      </c>
      <c r="C1170" s="2027" t="s">
        <v>836</v>
      </c>
    </row>
    <row r="1171" spans="1:3" ht="25" x14ac:dyDescent="0.35">
      <c r="A1171" s="1947">
        <v>1522</v>
      </c>
      <c r="B1171" s="2027" t="s">
        <v>3691</v>
      </c>
      <c r="C1171" s="2027" t="s">
        <v>934</v>
      </c>
    </row>
    <row r="1172" spans="1:3" x14ac:dyDescent="0.35">
      <c r="A1172" s="1947">
        <v>1523</v>
      </c>
      <c r="B1172" s="2027" t="s">
        <v>3624</v>
      </c>
      <c r="C1172" s="2027" t="s">
        <v>837</v>
      </c>
    </row>
    <row r="1173" spans="1:3" ht="25" x14ac:dyDescent="0.35">
      <c r="A1173" s="1947">
        <v>1524</v>
      </c>
      <c r="B1173" s="2027" t="s">
        <v>3692</v>
      </c>
      <c r="C1173" s="2027" t="s">
        <v>237</v>
      </c>
    </row>
    <row r="1174" spans="1:3" x14ac:dyDescent="0.35">
      <c r="A1174" s="1947">
        <v>1525</v>
      </c>
      <c r="B1174" s="2027" t="s">
        <v>838</v>
      </c>
      <c r="C1174" s="2027" t="s">
        <v>838</v>
      </c>
    </row>
    <row r="1175" spans="1:3" x14ac:dyDescent="0.35">
      <c r="A1175" s="1947">
        <v>1526</v>
      </c>
      <c r="B1175" s="2027" t="s">
        <v>839</v>
      </c>
      <c r="C1175" s="2027" t="s">
        <v>839</v>
      </c>
    </row>
    <row r="1176" spans="1:3" ht="25" x14ac:dyDescent="0.35">
      <c r="A1176" s="1947">
        <v>1527</v>
      </c>
      <c r="B1176" s="2027" t="s">
        <v>3693</v>
      </c>
      <c r="C1176" s="2027" t="s">
        <v>935</v>
      </c>
    </row>
    <row r="1177" spans="1:3" ht="25" x14ac:dyDescent="0.35">
      <c r="A1177" s="1947">
        <v>1528</v>
      </c>
      <c r="B1177" s="2027" t="s">
        <v>3694</v>
      </c>
      <c r="C1177" s="2027" t="s">
        <v>936</v>
      </c>
    </row>
    <row r="1178" spans="1:3" x14ac:dyDescent="0.35">
      <c r="A1178" s="1947">
        <v>1529</v>
      </c>
      <c r="B1178" s="2027" t="s">
        <v>3625</v>
      </c>
      <c r="C1178" s="2027" t="s">
        <v>843</v>
      </c>
    </row>
    <row r="1179" spans="1:3" x14ac:dyDescent="0.35">
      <c r="A1179" s="1947">
        <v>1530</v>
      </c>
      <c r="B1179" s="2134" t="s">
        <v>3695</v>
      </c>
      <c r="C1179" s="2134" t="s">
        <v>283</v>
      </c>
    </row>
    <row r="1180" spans="1:3" x14ac:dyDescent="0.35">
      <c r="A1180" s="1947">
        <v>1531</v>
      </c>
      <c r="B1180" s="2027" t="s">
        <v>3696</v>
      </c>
      <c r="C1180" s="2027" t="s">
        <v>284</v>
      </c>
    </row>
    <row r="1181" spans="1:3" x14ac:dyDescent="0.35">
      <c r="A1181" s="1947">
        <v>1532</v>
      </c>
      <c r="B1181" s="2027" t="s">
        <v>3626</v>
      </c>
      <c r="C1181" s="2027" t="s">
        <v>465</v>
      </c>
    </row>
    <row r="1182" spans="1:3" x14ac:dyDescent="0.35">
      <c r="A1182" s="1947">
        <v>1540</v>
      </c>
      <c r="B1182" s="2031" t="s">
        <v>3697</v>
      </c>
      <c r="C1182" s="2031" t="s">
        <v>1690</v>
      </c>
    </row>
    <row r="1183" spans="1:3" ht="150" x14ac:dyDescent="0.35">
      <c r="A1183" s="1947">
        <v>2000</v>
      </c>
      <c r="B1183" s="2032" t="s">
        <v>3699</v>
      </c>
      <c r="C1183" s="2032" t="s">
        <v>1869</v>
      </c>
    </row>
    <row r="1184" spans="1:3" ht="23.5" thickBot="1" x14ac:dyDescent="0.4">
      <c r="A1184" s="1947">
        <v>2001</v>
      </c>
      <c r="B1184" s="2181" t="s">
        <v>3700</v>
      </c>
      <c r="C1184" s="2137" t="s">
        <v>1730</v>
      </c>
    </row>
    <row r="1185" spans="1:3" ht="15" thickBot="1" x14ac:dyDescent="0.4">
      <c r="A1185" s="1947">
        <v>2002</v>
      </c>
      <c r="B1185" s="2182" t="s">
        <v>3701</v>
      </c>
      <c r="C1185" s="2066" t="s">
        <v>1782</v>
      </c>
    </row>
    <row r="1186" spans="1:3" ht="100" x14ac:dyDescent="0.35">
      <c r="A1186" s="1947">
        <v>2003</v>
      </c>
      <c r="B1186" s="2033" t="s">
        <v>3702</v>
      </c>
      <c r="C1186" s="2033" t="s">
        <v>2065</v>
      </c>
    </row>
    <row r="1187" spans="1:3" ht="50" x14ac:dyDescent="0.35">
      <c r="A1187" s="1947">
        <v>2005</v>
      </c>
      <c r="B1187" s="2033" t="s">
        <v>3703</v>
      </c>
      <c r="C1187" s="2033" t="s">
        <v>2066</v>
      </c>
    </row>
    <row r="1188" spans="1:3" ht="62.5" x14ac:dyDescent="0.35">
      <c r="A1188" s="1947">
        <v>2006</v>
      </c>
      <c r="B1188" s="2033" t="s">
        <v>3704</v>
      </c>
      <c r="C1188" s="2033" t="s">
        <v>1881</v>
      </c>
    </row>
    <row r="1189" spans="1:3" ht="100.5" thickBot="1" x14ac:dyDescent="0.4">
      <c r="A1189" s="1947">
        <v>2008</v>
      </c>
      <c r="B1189" s="2033" t="s">
        <v>3705</v>
      </c>
      <c r="C1189" s="2033" t="s">
        <v>1916</v>
      </c>
    </row>
    <row r="1190" spans="1:3" ht="15" thickBot="1" x14ac:dyDescent="0.4">
      <c r="A1190" s="1947">
        <v>2009</v>
      </c>
      <c r="B1190" s="2034" t="s">
        <v>3706</v>
      </c>
      <c r="C1190" s="2034" t="s">
        <v>2051</v>
      </c>
    </row>
    <row r="1191" spans="1:3" ht="15" thickBot="1" x14ac:dyDescent="0.4">
      <c r="A1191" s="1947">
        <v>2010</v>
      </c>
      <c r="B1191" s="2035" t="s">
        <v>3707</v>
      </c>
      <c r="C1191" s="2035" t="s">
        <v>1926</v>
      </c>
    </row>
    <row r="1192" spans="1:3" ht="15" thickBot="1" x14ac:dyDescent="0.4">
      <c r="A1192" s="1947">
        <v>2011</v>
      </c>
      <c r="B1192" s="2036" t="s">
        <v>3708</v>
      </c>
      <c r="C1192" s="2036" t="s">
        <v>2067</v>
      </c>
    </row>
    <row r="1193" spans="1:3" ht="38" thickBot="1" x14ac:dyDescent="0.4">
      <c r="A1193" s="1947">
        <v>2012</v>
      </c>
      <c r="B1193" s="2037" t="s">
        <v>3709</v>
      </c>
      <c r="C1193" s="2037" t="s">
        <v>1925</v>
      </c>
    </row>
    <row r="1194" spans="1:3" x14ac:dyDescent="0.35">
      <c r="A1194" s="1947">
        <v>2014</v>
      </c>
      <c r="B1194" s="2038" t="s">
        <v>3710</v>
      </c>
      <c r="C1194" s="2038" t="s">
        <v>1922</v>
      </c>
    </row>
    <row r="1195" spans="1:3" ht="25" x14ac:dyDescent="0.35">
      <c r="A1195" s="1947">
        <v>2015</v>
      </c>
      <c r="B1195" s="2037" t="s">
        <v>3711</v>
      </c>
      <c r="C1195" s="2037" t="s">
        <v>1917</v>
      </c>
    </row>
    <row r="1196" spans="1:3" x14ac:dyDescent="0.35">
      <c r="A1196" s="1947">
        <v>2016</v>
      </c>
      <c r="B1196" s="2183" t="s">
        <v>3712</v>
      </c>
      <c r="C1196" s="2138" t="s">
        <v>1748</v>
      </c>
    </row>
    <row r="1197" spans="1:3" ht="25" x14ac:dyDescent="0.35">
      <c r="A1197" s="1947">
        <v>2017</v>
      </c>
      <c r="B1197" s="2037" t="s">
        <v>3713</v>
      </c>
      <c r="C1197" s="2037" t="s">
        <v>1918</v>
      </c>
    </row>
    <row r="1198" spans="1:3" x14ac:dyDescent="0.35">
      <c r="A1198" s="1947">
        <v>2018</v>
      </c>
      <c r="B1198" s="2039" t="s">
        <v>3714</v>
      </c>
      <c r="C1198" s="2039" t="s">
        <v>1923</v>
      </c>
    </row>
    <row r="1199" spans="1:3" x14ac:dyDescent="0.35">
      <c r="A1199" s="1947">
        <v>2019</v>
      </c>
      <c r="B1199" s="2040" t="s">
        <v>3715</v>
      </c>
      <c r="C1199" s="2040" t="s">
        <v>1924</v>
      </c>
    </row>
    <row r="1200" spans="1:3" ht="39" x14ac:dyDescent="0.35">
      <c r="A1200" s="1947">
        <v>2020</v>
      </c>
      <c r="B1200" s="2041" t="s">
        <v>3716</v>
      </c>
      <c r="C1200" s="2041" t="s">
        <v>1936</v>
      </c>
    </row>
    <row r="1201" spans="1:3" x14ac:dyDescent="0.35">
      <c r="A1201" s="1947">
        <v>2021</v>
      </c>
      <c r="B1201" s="2042" t="s">
        <v>3717</v>
      </c>
      <c r="C1201" s="2042" t="s">
        <v>1929</v>
      </c>
    </row>
    <row r="1202" spans="1:3" ht="30" x14ac:dyDescent="0.35">
      <c r="A1202" s="1947">
        <v>2022</v>
      </c>
      <c r="B1202" s="2043" t="s">
        <v>3718</v>
      </c>
      <c r="C1202" s="2043" t="s">
        <v>1931</v>
      </c>
    </row>
    <row r="1203" spans="1:3" x14ac:dyDescent="0.35">
      <c r="A1203" s="1947">
        <v>2023</v>
      </c>
      <c r="B1203" s="2042" t="s">
        <v>3719</v>
      </c>
      <c r="C1203" s="2042" t="s">
        <v>1930</v>
      </c>
    </row>
    <row r="1204" spans="1:3" ht="20" x14ac:dyDescent="0.35">
      <c r="A1204" s="1947">
        <v>2024</v>
      </c>
      <c r="B1204" s="2043" t="s">
        <v>3720</v>
      </c>
      <c r="C1204" s="2043" t="s">
        <v>1932</v>
      </c>
    </row>
    <row r="1205" spans="1:3" x14ac:dyDescent="0.35">
      <c r="A1205" s="1947">
        <v>2025</v>
      </c>
      <c r="B1205" s="2042" t="s">
        <v>3721</v>
      </c>
      <c r="C1205" s="2042" t="s">
        <v>1933</v>
      </c>
    </row>
    <row r="1206" spans="1:3" ht="20" x14ac:dyDescent="0.35">
      <c r="A1206" s="1947">
        <v>2026</v>
      </c>
      <c r="B1206" s="2043" t="s">
        <v>3722</v>
      </c>
      <c r="C1206" s="2043" t="s">
        <v>1937</v>
      </c>
    </row>
    <row r="1207" spans="1:3" ht="30" x14ac:dyDescent="0.35">
      <c r="A1207" s="1947">
        <v>2027</v>
      </c>
      <c r="B1207" s="2042" t="s">
        <v>3723</v>
      </c>
      <c r="C1207" s="2042" t="s">
        <v>1946</v>
      </c>
    </row>
    <row r="1208" spans="1:3" x14ac:dyDescent="0.35">
      <c r="A1208" s="1947">
        <v>2028</v>
      </c>
      <c r="B1208" s="2042" t="s">
        <v>3724</v>
      </c>
      <c r="C1208" s="2042" t="s">
        <v>1934</v>
      </c>
    </row>
    <row r="1209" spans="1:3" ht="30" x14ac:dyDescent="0.35">
      <c r="A1209" s="1947">
        <v>2029</v>
      </c>
      <c r="B1209" s="2043" t="s">
        <v>3725</v>
      </c>
      <c r="C1209" s="2043" t="s">
        <v>1983</v>
      </c>
    </row>
    <row r="1210" spans="1:3" x14ac:dyDescent="0.35">
      <c r="A1210" s="1947">
        <v>2030</v>
      </c>
      <c r="B1210" s="2042" t="s">
        <v>3726</v>
      </c>
      <c r="C1210" s="2042" t="s">
        <v>1984</v>
      </c>
    </row>
    <row r="1211" spans="1:3" ht="20" x14ac:dyDescent="0.35">
      <c r="A1211" s="1947">
        <v>2031</v>
      </c>
      <c r="B1211" s="2043" t="s">
        <v>3727</v>
      </c>
      <c r="C1211" s="2043" t="s">
        <v>1987</v>
      </c>
    </row>
    <row r="1212" spans="1:3" ht="20" x14ac:dyDescent="0.35">
      <c r="A1212" s="1947">
        <v>2032</v>
      </c>
      <c r="B1212" s="2043" t="s">
        <v>3728</v>
      </c>
      <c r="C1212" s="2043" t="s">
        <v>1988</v>
      </c>
    </row>
    <row r="1213" spans="1:3" x14ac:dyDescent="0.35">
      <c r="A1213" s="1947">
        <v>2033</v>
      </c>
      <c r="B1213" s="2042" t="s">
        <v>3729</v>
      </c>
      <c r="C1213" s="2042" t="s">
        <v>1986</v>
      </c>
    </row>
    <row r="1214" spans="1:3" x14ac:dyDescent="0.35">
      <c r="A1214" s="1947">
        <v>2034</v>
      </c>
      <c r="B1214" s="2043" t="s">
        <v>3730</v>
      </c>
      <c r="C1214" s="2043" t="s">
        <v>1985</v>
      </c>
    </row>
    <row r="1215" spans="1:3" ht="25" x14ac:dyDescent="0.35">
      <c r="A1215" s="1947">
        <v>2035</v>
      </c>
      <c r="B1215" s="201" t="s">
        <v>3731</v>
      </c>
      <c r="C1215" s="201" t="s">
        <v>1935</v>
      </c>
    </row>
    <row r="1216" spans="1:3" ht="26" x14ac:dyDescent="0.35">
      <c r="A1216" s="1947">
        <v>2036</v>
      </c>
      <c r="B1216" s="2139" t="s">
        <v>3732</v>
      </c>
      <c r="C1216" s="2139" t="s">
        <v>1945</v>
      </c>
    </row>
    <row r="1217" spans="1:3" ht="18.5" thickBot="1" x14ac:dyDescent="0.4">
      <c r="A1217" s="1947">
        <v>2037</v>
      </c>
      <c r="B1217" s="2044" t="s">
        <v>3733</v>
      </c>
      <c r="C1217" s="2044" t="s">
        <v>1991</v>
      </c>
    </row>
    <row r="1218" spans="1:3" ht="23.5" thickBot="1" x14ac:dyDescent="0.4">
      <c r="A1218" s="1947">
        <v>2038</v>
      </c>
      <c r="B1218" s="2045" t="s">
        <v>3734</v>
      </c>
      <c r="C1218" s="2045" t="s">
        <v>2076</v>
      </c>
    </row>
    <row r="1219" spans="1:3" ht="15" thickBot="1" x14ac:dyDescent="0.4">
      <c r="A1219" s="1947">
        <v>2039</v>
      </c>
      <c r="B1219" s="202" t="s">
        <v>3735</v>
      </c>
      <c r="C1219" s="202" t="s">
        <v>1968</v>
      </c>
    </row>
    <row r="1220" spans="1:3" ht="15" thickBot="1" x14ac:dyDescent="0.4">
      <c r="A1220" s="1947">
        <v>2040</v>
      </c>
      <c r="B1220" s="203" t="s">
        <v>3736</v>
      </c>
      <c r="C1220" s="203" t="s">
        <v>1956</v>
      </c>
    </row>
    <row r="1221" spans="1:3" x14ac:dyDescent="0.35">
      <c r="A1221" s="1947">
        <v>2041</v>
      </c>
      <c r="B1221" s="2046" t="s">
        <v>3737</v>
      </c>
      <c r="C1221" s="2046" t="s">
        <v>1847</v>
      </c>
    </row>
    <row r="1222" spans="1:3" ht="20" x14ac:dyDescent="0.35">
      <c r="A1222" s="1947">
        <v>2043</v>
      </c>
      <c r="B1222" s="2042" t="s">
        <v>1845</v>
      </c>
      <c r="C1222" s="2042" t="s">
        <v>1845</v>
      </c>
    </row>
    <row r="1223" spans="1:3" x14ac:dyDescent="0.35">
      <c r="A1223" s="1947">
        <v>2044</v>
      </c>
      <c r="B1223" s="2046" t="s">
        <v>3738</v>
      </c>
      <c r="C1223" s="2046" t="s">
        <v>1969</v>
      </c>
    </row>
    <row r="1224" spans="1:3" ht="40" x14ac:dyDescent="0.35">
      <c r="A1224" s="1947">
        <v>2045</v>
      </c>
      <c r="B1224" s="2043" t="s">
        <v>3739</v>
      </c>
      <c r="C1224" s="2043" t="s">
        <v>1975</v>
      </c>
    </row>
    <row r="1225" spans="1:3" ht="20" x14ac:dyDescent="0.35">
      <c r="A1225" s="1947">
        <v>2046</v>
      </c>
      <c r="B1225" s="2043" t="s">
        <v>3740</v>
      </c>
      <c r="C1225" s="2043" t="s">
        <v>2043</v>
      </c>
    </row>
    <row r="1226" spans="1:3" ht="15.5" x14ac:dyDescent="0.35">
      <c r="A1226" s="1947">
        <v>2047</v>
      </c>
      <c r="B1226" s="2047" t="s">
        <v>3741</v>
      </c>
      <c r="C1226" s="2047" t="s">
        <v>1919</v>
      </c>
    </row>
    <row r="1227" spans="1:3" ht="50" x14ac:dyDescent="0.35">
      <c r="A1227" s="1947">
        <v>2048</v>
      </c>
      <c r="B1227" s="2043" t="s">
        <v>3742</v>
      </c>
      <c r="C1227" s="2043" t="s">
        <v>2068</v>
      </c>
    </row>
    <row r="1228" spans="1:3" ht="20" x14ac:dyDescent="0.35">
      <c r="A1228" s="1947">
        <v>2049</v>
      </c>
      <c r="B1228" s="2043" t="s">
        <v>3743</v>
      </c>
      <c r="C1228" s="2043" t="s">
        <v>1880</v>
      </c>
    </row>
    <row r="1229" spans="1:3" ht="15" thickBot="1" x14ac:dyDescent="0.4">
      <c r="A1229" s="1947">
        <v>2050</v>
      </c>
      <c r="B1229" s="2046" t="s">
        <v>3744</v>
      </c>
      <c r="C1229" s="2046" t="s">
        <v>1939</v>
      </c>
    </row>
    <row r="1230" spans="1:3" ht="30" x14ac:dyDescent="0.35">
      <c r="A1230" s="1947">
        <v>2051</v>
      </c>
      <c r="B1230" s="2048" t="s">
        <v>3745</v>
      </c>
      <c r="C1230" s="2048" t="s">
        <v>1938</v>
      </c>
    </row>
    <row r="1231" spans="1:3" x14ac:dyDescent="0.35">
      <c r="A1231" s="1947">
        <v>2052</v>
      </c>
      <c r="B1231" s="2043" t="s">
        <v>3746</v>
      </c>
      <c r="C1231" s="2043" t="s">
        <v>1944</v>
      </c>
    </row>
    <row r="1232" spans="1:3" ht="25.5" thickBot="1" x14ac:dyDescent="0.4">
      <c r="A1232" s="1947">
        <v>2053</v>
      </c>
      <c r="B1232" s="201" t="s">
        <v>3747</v>
      </c>
      <c r="C1232" s="201" t="s">
        <v>1941</v>
      </c>
    </row>
    <row r="1233" spans="1:3" ht="20" x14ac:dyDescent="0.35">
      <c r="A1233" s="1947">
        <v>2054</v>
      </c>
      <c r="B1233" s="2048" t="s">
        <v>3748</v>
      </c>
      <c r="C1233" s="2048" t="s">
        <v>1942</v>
      </c>
    </row>
    <row r="1234" spans="1:3" ht="20.5" thickBot="1" x14ac:dyDescent="0.4">
      <c r="A1234" s="1947">
        <v>2055</v>
      </c>
      <c r="B1234" s="2043" t="s">
        <v>3749</v>
      </c>
      <c r="C1234" s="2043" t="s">
        <v>1943</v>
      </c>
    </row>
    <row r="1235" spans="1:3" ht="20" x14ac:dyDescent="0.35">
      <c r="A1235" s="1947">
        <v>2056</v>
      </c>
      <c r="B1235" s="2048" t="s">
        <v>3750</v>
      </c>
      <c r="C1235" s="2048" t="s">
        <v>2069</v>
      </c>
    </row>
    <row r="1236" spans="1:3" x14ac:dyDescent="0.35">
      <c r="A1236" s="1947">
        <v>2057</v>
      </c>
      <c r="B1236" s="2049" t="s">
        <v>3751</v>
      </c>
      <c r="C1236" s="2049" t="s">
        <v>1927</v>
      </c>
    </row>
    <row r="1237" spans="1:3" x14ac:dyDescent="0.35">
      <c r="A1237" s="1947">
        <v>2058</v>
      </c>
      <c r="B1237" s="2049" t="s">
        <v>3752</v>
      </c>
      <c r="C1237" s="2049" t="s">
        <v>1940</v>
      </c>
    </row>
    <row r="1238" spans="1:3" x14ac:dyDescent="0.35">
      <c r="A1238" s="1947">
        <v>2059</v>
      </c>
      <c r="B1238" s="2049" t="s">
        <v>3753</v>
      </c>
      <c r="C1238" s="2049" t="s">
        <v>1928</v>
      </c>
    </row>
    <row r="1239" spans="1:3" x14ac:dyDescent="0.35">
      <c r="A1239" s="1947">
        <v>2060</v>
      </c>
      <c r="B1239" s="2046" t="s">
        <v>3754</v>
      </c>
      <c r="C1239" s="2046" t="s">
        <v>1965</v>
      </c>
    </row>
    <row r="1240" spans="1:3" x14ac:dyDescent="0.35">
      <c r="A1240" s="1947">
        <v>2061</v>
      </c>
      <c r="B1240" s="2043" t="s">
        <v>3755</v>
      </c>
      <c r="C1240" s="2043" t="s">
        <v>1966</v>
      </c>
    </row>
    <row r="1241" spans="1:3" ht="70" x14ac:dyDescent="0.35">
      <c r="A1241" s="1947">
        <v>2062</v>
      </c>
      <c r="B1241" s="2043" t="s">
        <v>3756</v>
      </c>
      <c r="C1241" s="2043" t="s">
        <v>1967</v>
      </c>
    </row>
    <row r="1242" spans="1:3" x14ac:dyDescent="0.35">
      <c r="A1242" s="1947">
        <v>2063</v>
      </c>
      <c r="B1242" s="2043" t="s">
        <v>3757</v>
      </c>
      <c r="C1242" s="2043" t="s">
        <v>1868</v>
      </c>
    </row>
    <row r="1243" spans="1:3" x14ac:dyDescent="0.35">
      <c r="A1243" s="1947">
        <v>2064</v>
      </c>
      <c r="B1243" s="2046" t="s">
        <v>3758</v>
      </c>
      <c r="C1243" s="2046" t="s">
        <v>1843</v>
      </c>
    </row>
    <row r="1244" spans="1:3" ht="20" x14ac:dyDescent="0.35">
      <c r="A1244" s="1947">
        <v>2065</v>
      </c>
      <c r="B1244" s="2043" t="s">
        <v>3759</v>
      </c>
      <c r="C1244" s="2043" t="s">
        <v>1844</v>
      </c>
    </row>
    <row r="1245" spans="1:3" x14ac:dyDescent="0.35">
      <c r="A1245" s="1947">
        <v>2066</v>
      </c>
      <c r="B1245" s="2046" t="s">
        <v>3760</v>
      </c>
      <c r="C1245" s="2046" t="s">
        <v>1707</v>
      </c>
    </row>
    <row r="1246" spans="1:3" ht="20" x14ac:dyDescent="0.35">
      <c r="A1246" s="1947">
        <v>2067</v>
      </c>
      <c r="B1246" s="2043" t="s">
        <v>3761</v>
      </c>
      <c r="C1246" s="2043" t="s">
        <v>1857</v>
      </c>
    </row>
    <row r="1247" spans="1:3" ht="70" x14ac:dyDescent="0.35">
      <c r="A1247" s="1947">
        <v>2068</v>
      </c>
      <c r="B1247" s="2043" t="s">
        <v>3762</v>
      </c>
      <c r="C1247" s="2043" t="s">
        <v>1858</v>
      </c>
    </row>
    <row r="1248" spans="1:3" ht="15" thickBot="1" x14ac:dyDescent="0.4">
      <c r="A1248" s="1947">
        <v>2069</v>
      </c>
      <c r="B1248" s="204" t="s">
        <v>1859</v>
      </c>
      <c r="C1248" s="204" t="s">
        <v>1859</v>
      </c>
    </row>
    <row r="1249" spans="1:3" ht="15" thickBot="1" x14ac:dyDescent="0.4">
      <c r="A1249" s="1947">
        <v>2070</v>
      </c>
      <c r="B1249" s="2050" t="s">
        <v>3763</v>
      </c>
      <c r="C1249" s="2050" t="s">
        <v>1773</v>
      </c>
    </row>
    <row r="1250" spans="1:3" ht="25.5" thickBot="1" x14ac:dyDescent="0.4">
      <c r="A1250" s="1947">
        <v>2071</v>
      </c>
      <c r="B1250" s="2051" t="s">
        <v>3764</v>
      </c>
      <c r="C1250" s="2051" t="s">
        <v>1774</v>
      </c>
    </row>
    <row r="1251" spans="1:3" ht="25.5" thickBot="1" x14ac:dyDescent="0.4">
      <c r="A1251" s="1947">
        <v>2072</v>
      </c>
      <c r="B1251" s="2052" t="s">
        <v>3765</v>
      </c>
      <c r="C1251" s="2052" t="s">
        <v>2005</v>
      </c>
    </row>
    <row r="1252" spans="1:3" x14ac:dyDescent="0.35">
      <c r="A1252" s="1947">
        <v>2073</v>
      </c>
      <c r="B1252" s="2053" t="s">
        <v>3766</v>
      </c>
      <c r="C1252" s="2053" t="s">
        <v>1962</v>
      </c>
    </row>
    <row r="1253" spans="1:3" x14ac:dyDescent="0.35">
      <c r="A1253" s="1947">
        <v>2074</v>
      </c>
      <c r="B1253" s="2046" t="s">
        <v>3767</v>
      </c>
      <c r="C1253" s="2046" t="s">
        <v>1963</v>
      </c>
    </row>
    <row r="1254" spans="1:3" ht="15.5" x14ac:dyDescent="0.35">
      <c r="A1254" s="1947">
        <v>2075</v>
      </c>
      <c r="B1254" s="2047" t="s">
        <v>3768</v>
      </c>
      <c r="C1254" s="2047" t="s">
        <v>1959</v>
      </c>
    </row>
    <row r="1255" spans="1:3" x14ac:dyDescent="0.35">
      <c r="A1255" s="1947">
        <v>2076</v>
      </c>
      <c r="B1255" s="2046" t="s">
        <v>3769</v>
      </c>
      <c r="C1255" s="2046" t="s">
        <v>1958</v>
      </c>
    </row>
    <row r="1256" spans="1:3" ht="30" x14ac:dyDescent="0.35">
      <c r="A1256" s="1947">
        <v>2077</v>
      </c>
      <c r="B1256" s="2043" t="s">
        <v>3770</v>
      </c>
      <c r="C1256" s="2043" t="s">
        <v>1889</v>
      </c>
    </row>
    <row r="1257" spans="1:3" ht="30" x14ac:dyDescent="0.35">
      <c r="A1257" s="1947">
        <v>2078</v>
      </c>
      <c r="B1257" s="2042" t="s">
        <v>3771</v>
      </c>
      <c r="C1257" s="2042" t="s">
        <v>1951</v>
      </c>
    </row>
    <row r="1258" spans="1:3" ht="15" thickBot="1" x14ac:dyDescent="0.4">
      <c r="A1258" s="1947">
        <v>2079</v>
      </c>
      <c r="B1258" s="2046" t="s">
        <v>3772</v>
      </c>
      <c r="C1258" s="2046" t="s">
        <v>2070</v>
      </c>
    </row>
    <row r="1259" spans="1:3" ht="15" thickBot="1" x14ac:dyDescent="0.4">
      <c r="A1259" s="1947">
        <v>2080</v>
      </c>
      <c r="B1259" s="2054" t="s">
        <v>3773</v>
      </c>
      <c r="C1259" s="2054" t="s">
        <v>2071</v>
      </c>
    </row>
    <row r="1260" spans="1:3" ht="15" thickBot="1" x14ac:dyDescent="0.4">
      <c r="A1260" s="1947">
        <v>2081</v>
      </c>
      <c r="B1260" s="202" t="s">
        <v>3774</v>
      </c>
      <c r="C1260" s="202" t="s">
        <v>2024</v>
      </c>
    </row>
    <row r="1261" spans="1:3" ht="54" x14ac:dyDescent="0.35">
      <c r="A1261" s="1947">
        <v>2082</v>
      </c>
      <c r="B1261" s="2044" t="s">
        <v>3775</v>
      </c>
      <c r="C1261" s="2044" t="s">
        <v>2072</v>
      </c>
    </row>
    <row r="1262" spans="1:3" x14ac:dyDescent="0.35">
      <c r="A1262" s="1947">
        <v>2083</v>
      </c>
      <c r="B1262" s="2042" t="s">
        <v>3776</v>
      </c>
      <c r="C1262" s="2042" t="s">
        <v>1883</v>
      </c>
    </row>
    <row r="1263" spans="1:3" ht="15" thickBot="1" x14ac:dyDescent="0.4">
      <c r="A1263" s="1947">
        <v>2084</v>
      </c>
      <c r="B1263" s="2055" t="s">
        <v>3777</v>
      </c>
      <c r="C1263" s="2055" t="s">
        <v>1976</v>
      </c>
    </row>
    <row r="1264" spans="1:3" ht="30.5" thickBot="1" x14ac:dyDescent="0.4">
      <c r="A1264" s="1947">
        <v>2085</v>
      </c>
      <c r="B1264" s="2056" t="s">
        <v>3778</v>
      </c>
      <c r="C1264" s="2056" t="s">
        <v>1981</v>
      </c>
    </row>
    <row r="1265" spans="1:3" ht="15" thickBot="1" x14ac:dyDescent="0.4">
      <c r="A1265" s="1947">
        <v>2086</v>
      </c>
      <c r="B1265" s="2055" t="s">
        <v>3779</v>
      </c>
      <c r="C1265" s="2055" t="s">
        <v>1977</v>
      </c>
    </row>
    <row r="1266" spans="1:3" ht="15" thickBot="1" x14ac:dyDescent="0.4">
      <c r="A1266" s="1947">
        <v>2087</v>
      </c>
      <c r="B1266" s="2056" t="s">
        <v>3780</v>
      </c>
      <c r="C1266" s="2056" t="s">
        <v>1980</v>
      </c>
    </row>
    <row r="1267" spans="1:3" x14ac:dyDescent="0.35">
      <c r="A1267" s="1947">
        <v>2088</v>
      </c>
      <c r="B1267" s="2042" t="s">
        <v>3781</v>
      </c>
      <c r="C1267" s="2042" t="s">
        <v>1884</v>
      </c>
    </row>
    <row r="1268" spans="1:3" ht="15" thickBot="1" x14ac:dyDescent="0.4">
      <c r="A1268" s="1947">
        <v>2090</v>
      </c>
      <c r="B1268" s="2056" t="s">
        <v>3782</v>
      </c>
      <c r="C1268" s="2056" t="s">
        <v>1978</v>
      </c>
    </row>
    <row r="1269" spans="1:3" ht="15" thickBot="1" x14ac:dyDescent="0.4">
      <c r="A1269" s="1947">
        <v>2092</v>
      </c>
      <c r="B1269" s="2056" t="s">
        <v>3783</v>
      </c>
      <c r="C1269" s="2056" t="s">
        <v>1979</v>
      </c>
    </row>
    <row r="1270" spans="1:3" ht="15" thickBot="1" x14ac:dyDescent="0.4">
      <c r="A1270" s="1947">
        <v>2093</v>
      </c>
      <c r="B1270" s="2055" t="s">
        <v>3784</v>
      </c>
      <c r="C1270" s="2055" t="s">
        <v>1885</v>
      </c>
    </row>
    <row r="1271" spans="1:3" ht="20.5" thickBot="1" x14ac:dyDescent="0.4">
      <c r="A1271" s="1947">
        <v>2094</v>
      </c>
      <c r="B1271" s="2056" t="s">
        <v>3785</v>
      </c>
      <c r="C1271" s="2056" t="s">
        <v>1982</v>
      </c>
    </row>
    <row r="1272" spans="1:3" ht="15" thickBot="1" x14ac:dyDescent="0.4">
      <c r="A1272" s="1947">
        <v>2095</v>
      </c>
      <c r="B1272" s="2055" t="s">
        <v>3786</v>
      </c>
      <c r="C1272" s="2055" t="s">
        <v>1856</v>
      </c>
    </row>
    <row r="1273" spans="1:3" ht="15" thickBot="1" x14ac:dyDescent="0.4">
      <c r="A1273" s="1947">
        <v>2096</v>
      </c>
      <c r="B1273" s="2056" t="s">
        <v>3787</v>
      </c>
      <c r="C1273" s="2056" t="s">
        <v>1886</v>
      </c>
    </row>
    <row r="1274" spans="1:3" ht="15" thickBot="1" x14ac:dyDescent="0.4">
      <c r="A1274" s="1947">
        <v>2097</v>
      </c>
      <c r="B1274" s="2055" t="s">
        <v>3788</v>
      </c>
      <c r="C1274" s="2055" t="s">
        <v>1887</v>
      </c>
    </row>
    <row r="1275" spans="1:3" ht="20.5" thickBot="1" x14ac:dyDescent="0.4">
      <c r="A1275" s="1947">
        <v>2098</v>
      </c>
      <c r="B1275" s="2056" t="s">
        <v>3789</v>
      </c>
      <c r="C1275" s="2056" t="s">
        <v>1905</v>
      </c>
    </row>
    <row r="1276" spans="1:3" ht="15" thickBot="1" x14ac:dyDescent="0.4">
      <c r="A1276" s="1947">
        <v>2099</v>
      </c>
      <c r="B1276" s="2057" t="s">
        <v>3790</v>
      </c>
      <c r="C1276" s="2057" t="s">
        <v>1870</v>
      </c>
    </row>
    <row r="1277" spans="1:3" ht="15" thickBot="1" x14ac:dyDescent="0.4">
      <c r="A1277" s="1947">
        <v>2100</v>
      </c>
      <c r="B1277" s="2057" t="s">
        <v>3791</v>
      </c>
      <c r="C1277" s="2057" t="s">
        <v>1871</v>
      </c>
    </row>
    <row r="1278" spans="1:3" ht="15" thickBot="1" x14ac:dyDescent="0.4">
      <c r="A1278" s="1947">
        <v>2101</v>
      </c>
      <c r="B1278" s="2058" t="s">
        <v>3792</v>
      </c>
      <c r="C1278" s="2058" t="s">
        <v>1736</v>
      </c>
    </row>
    <row r="1279" spans="1:3" x14ac:dyDescent="0.35">
      <c r="A1279" s="1947">
        <v>2102</v>
      </c>
      <c r="B1279" s="2042" t="s">
        <v>3793</v>
      </c>
      <c r="C1279" s="2042" t="s">
        <v>2016</v>
      </c>
    </row>
    <row r="1280" spans="1:3" ht="15" thickBot="1" x14ac:dyDescent="0.4">
      <c r="A1280" s="1947">
        <v>2104</v>
      </c>
      <c r="B1280" s="2059" t="s">
        <v>3794</v>
      </c>
      <c r="C1280" s="2059" t="s">
        <v>1957</v>
      </c>
    </row>
    <row r="1281" spans="1:4" ht="15" thickBot="1" x14ac:dyDescent="0.4">
      <c r="A1281" s="1947">
        <v>2105</v>
      </c>
      <c r="B1281" s="2059" t="s">
        <v>3795</v>
      </c>
      <c r="C1281" s="2059" t="s">
        <v>2061</v>
      </c>
    </row>
    <row r="1282" spans="1:4" ht="15.5" x14ac:dyDescent="0.35">
      <c r="A1282" s="1947">
        <v>2106</v>
      </c>
      <c r="B1282" s="2047" t="s">
        <v>3796</v>
      </c>
      <c r="C1282" s="2047" t="s">
        <v>1820</v>
      </c>
    </row>
    <row r="1283" spans="1:4" x14ac:dyDescent="0.35">
      <c r="A1283" s="1947">
        <v>2107</v>
      </c>
      <c r="B1283" s="2046" t="s">
        <v>3797</v>
      </c>
      <c r="C1283" s="526" t="s">
        <v>1888</v>
      </c>
    </row>
    <row r="1284" spans="1:4" x14ac:dyDescent="0.35">
      <c r="A1284" s="1947">
        <v>2108</v>
      </c>
      <c r="B1284" s="2184" t="s">
        <v>1708</v>
      </c>
      <c r="C1284" s="2185" t="s">
        <v>1708</v>
      </c>
      <c r="D1284" s="1948" t="s">
        <v>2504</v>
      </c>
    </row>
    <row r="1285" spans="1:4" x14ac:dyDescent="0.35">
      <c r="A1285" s="1947">
        <v>2109</v>
      </c>
      <c r="B1285" s="2184" t="s">
        <v>3798</v>
      </c>
      <c r="C1285" s="2185" t="s">
        <v>1814</v>
      </c>
      <c r="D1285" s="1948" t="s">
        <v>2362</v>
      </c>
    </row>
    <row r="1286" spans="1:4" x14ac:dyDescent="0.35">
      <c r="A1286" s="1947">
        <v>2110</v>
      </c>
      <c r="B1286" s="2046" t="s">
        <v>3799</v>
      </c>
      <c r="C1286" s="526" t="s">
        <v>1890</v>
      </c>
    </row>
    <row r="1287" spans="1:4" ht="30.5" thickBot="1" x14ac:dyDescent="0.4">
      <c r="A1287" s="1947">
        <v>2111</v>
      </c>
      <c r="B1287" s="2043" t="s">
        <v>3800</v>
      </c>
      <c r="C1287" s="2186" t="s">
        <v>1952</v>
      </c>
    </row>
    <row r="1288" spans="1:4" ht="15" thickBot="1" x14ac:dyDescent="0.4">
      <c r="A1288" s="1947">
        <v>2112</v>
      </c>
      <c r="B1288" s="2060" t="s">
        <v>3801</v>
      </c>
      <c r="C1288" s="2187" t="s">
        <v>1891</v>
      </c>
    </row>
    <row r="1289" spans="1:4" ht="20" x14ac:dyDescent="0.35">
      <c r="A1289" s="1947">
        <v>2113</v>
      </c>
      <c r="B1289" s="2048" t="s">
        <v>3802</v>
      </c>
      <c r="C1289" s="2188" t="s">
        <v>1882</v>
      </c>
    </row>
    <row r="1290" spans="1:4" ht="20" x14ac:dyDescent="0.35">
      <c r="A1290" s="1947">
        <v>2114</v>
      </c>
      <c r="B1290" s="2043" t="s">
        <v>3803</v>
      </c>
      <c r="C1290" s="2186" t="s">
        <v>1893</v>
      </c>
    </row>
    <row r="1291" spans="1:4" ht="20" x14ac:dyDescent="0.35">
      <c r="A1291" s="1947">
        <v>2115</v>
      </c>
      <c r="B1291" s="2043" t="s">
        <v>3804</v>
      </c>
      <c r="C1291" s="2186" t="s">
        <v>1894</v>
      </c>
    </row>
    <row r="1292" spans="1:4" ht="20" x14ac:dyDescent="0.35">
      <c r="A1292" s="1947">
        <v>2116</v>
      </c>
      <c r="B1292" s="2043" t="s">
        <v>3805</v>
      </c>
      <c r="C1292" s="2186" t="s">
        <v>1895</v>
      </c>
    </row>
    <row r="1293" spans="1:4" ht="20" x14ac:dyDescent="0.35">
      <c r="A1293" s="1947">
        <v>2118</v>
      </c>
      <c r="B1293" s="2043" t="s">
        <v>3806</v>
      </c>
      <c r="C1293" s="2186" t="s">
        <v>1896</v>
      </c>
    </row>
    <row r="1294" spans="1:4" ht="20.5" thickBot="1" x14ac:dyDescent="0.4">
      <c r="A1294" s="1947">
        <v>2119</v>
      </c>
      <c r="B1294" s="2043" t="s">
        <v>3807</v>
      </c>
      <c r="C1294" s="2186" t="s">
        <v>1897</v>
      </c>
    </row>
    <row r="1295" spans="1:4" ht="70" x14ac:dyDescent="0.35">
      <c r="A1295" s="1947">
        <v>2120</v>
      </c>
      <c r="B1295" s="2060" t="s">
        <v>3808</v>
      </c>
      <c r="C1295" s="2060" t="s">
        <v>2040</v>
      </c>
    </row>
    <row r="1296" spans="1:4" x14ac:dyDescent="0.35">
      <c r="A1296" s="1947">
        <v>2121</v>
      </c>
      <c r="B1296" s="2046" t="s">
        <v>3809</v>
      </c>
      <c r="C1296" s="2046" t="s">
        <v>2046</v>
      </c>
    </row>
    <row r="1297" spans="1:3" ht="30" x14ac:dyDescent="0.35">
      <c r="A1297" s="1947">
        <v>2122</v>
      </c>
      <c r="B1297" s="2043" t="s">
        <v>3810</v>
      </c>
      <c r="C1297" s="2043" t="s">
        <v>2047</v>
      </c>
    </row>
    <row r="1298" spans="1:3" ht="26" x14ac:dyDescent="0.35">
      <c r="A1298" s="1947">
        <v>2123</v>
      </c>
      <c r="B1298" s="2046" t="s">
        <v>3811</v>
      </c>
      <c r="C1298" s="2046" t="s">
        <v>1899</v>
      </c>
    </row>
    <row r="1299" spans="1:3" ht="39" x14ac:dyDescent="0.35">
      <c r="A1299" s="1947">
        <v>2124</v>
      </c>
      <c r="B1299" s="2061" t="s">
        <v>3812</v>
      </c>
      <c r="C1299" s="2061" t="s">
        <v>1898</v>
      </c>
    </row>
    <row r="1300" spans="1:3" ht="26" x14ac:dyDescent="0.35">
      <c r="A1300" s="1947">
        <v>2125</v>
      </c>
      <c r="B1300" s="2061" t="s">
        <v>3813</v>
      </c>
      <c r="C1300" s="2061" t="s">
        <v>1908</v>
      </c>
    </row>
    <row r="1301" spans="1:3" x14ac:dyDescent="0.35">
      <c r="A1301" s="1947">
        <v>2126</v>
      </c>
      <c r="B1301" s="2053" t="s">
        <v>3814</v>
      </c>
      <c r="C1301" s="2053" t="s">
        <v>1900</v>
      </c>
    </row>
    <row r="1302" spans="1:3" ht="20" x14ac:dyDescent="0.35">
      <c r="A1302" s="1947">
        <v>2127</v>
      </c>
      <c r="B1302" s="2043" t="s">
        <v>3815</v>
      </c>
      <c r="C1302" s="2043" t="s">
        <v>1901</v>
      </c>
    </row>
    <row r="1303" spans="1:3" x14ac:dyDescent="0.35">
      <c r="A1303" s="1947">
        <v>2128</v>
      </c>
      <c r="B1303" s="2043" t="s">
        <v>3816</v>
      </c>
      <c r="C1303" s="2043" t="s">
        <v>1902</v>
      </c>
    </row>
    <row r="1304" spans="1:3" ht="20" x14ac:dyDescent="0.35">
      <c r="A1304" s="1947">
        <v>2129</v>
      </c>
      <c r="B1304" s="2043" t="s">
        <v>3817</v>
      </c>
      <c r="C1304" s="2043" t="s">
        <v>1903</v>
      </c>
    </row>
    <row r="1305" spans="1:3" ht="26" x14ac:dyDescent="0.35">
      <c r="A1305" s="1947">
        <v>2131</v>
      </c>
      <c r="B1305" s="2046" t="s">
        <v>3818</v>
      </c>
      <c r="C1305" s="2046" t="s">
        <v>1848</v>
      </c>
    </row>
    <row r="1306" spans="1:3" ht="50" x14ac:dyDescent="0.35">
      <c r="A1306" s="1947">
        <v>2132</v>
      </c>
      <c r="B1306" s="2043" t="s">
        <v>3819</v>
      </c>
      <c r="C1306" s="2043" t="s">
        <v>2041</v>
      </c>
    </row>
    <row r="1307" spans="1:3" ht="37.5" x14ac:dyDescent="0.35">
      <c r="A1307" s="1947">
        <v>2133</v>
      </c>
      <c r="B1307" s="201" t="s">
        <v>3820</v>
      </c>
      <c r="C1307" s="201" t="s">
        <v>2042</v>
      </c>
    </row>
    <row r="1308" spans="1:3" ht="15" thickBot="1" x14ac:dyDescent="0.4">
      <c r="A1308" s="1947">
        <v>2134</v>
      </c>
      <c r="B1308" s="2062" t="s">
        <v>3821</v>
      </c>
      <c r="C1308" s="2062" t="s">
        <v>2073</v>
      </c>
    </row>
    <row r="1309" spans="1:3" ht="15" thickBot="1" x14ac:dyDescent="0.4">
      <c r="A1309" s="1947">
        <v>2135</v>
      </c>
      <c r="B1309" s="2063" t="s">
        <v>3822</v>
      </c>
      <c r="C1309" s="2063" t="s">
        <v>1960</v>
      </c>
    </row>
    <row r="1310" spans="1:3" ht="15" thickBot="1" x14ac:dyDescent="0.4">
      <c r="A1310" s="1947">
        <v>2136</v>
      </c>
      <c r="B1310" s="2063" t="s">
        <v>3823</v>
      </c>
      <c r="C1310" s="2063" t="s">
        <v>1850</v>
      </c>
    </row>
    <row r="1311" spans="1:3" ht="15" thickBot="1" x14ac:dyDescent="0.4">
      <c r="A1311" s="1947">
        <v>2137</v>
      </c>
      <c r="B1311" s="2063" t="s">
        <v>3824</v>
      </c>
      <c r="C1311" s="2063" t="s">
        <v>1849</v>
      </c>
    </row>
    <row r="1312" spans="1:3" ht="20" x14ac:dyDescent="0.35">
      <c r="A1312" s="1947">
        <v>2138</v>
      </c>
      <c r="B1312" s="2043" t="s">
        <v>3825</v>
      </c>
      <c r="C1312" s="2043" t="s">
        <v>1954</v>
      </c>
    </row>
    <row r="1313" spans="1:4" ht="20.5" thickBot="1" x14ac:dyDescent="0.4">
      <c r="A1313" s="1947">
        <v>2140</v>
      </c>
      <c r="B1313" s="2043" t="s">
        <v>3826</v>
      </c>
      <c r="C1313" s="2043" t="s">
        <v>1953</v>
      </c>
    </row>
    <row r="1314" spans="1:4" ht="34.5" x14ac:dyDescent="0.35">
      <c r="A1314" s="1947">
        <v>2141</v>
      </c>
      <c r="B1314" s="2045" t="s">
        <v>3827</v>
      </c>
      <c r="C1314" s="2045" t="s">
        <v>2077</v>
      </c>
    </row>
    <row r="1315" spans="1:4" x14ac:dyDescent="0.35">
      <c r="A1315" s="1947">
        <v>2142</v>
      </c>
      <c r="B1315" s="2046" t="s">
        <v>3828</v>
      </c>
      <c r="C1315" s="2046" t="s">
        <v>2011</v>
      </c>
    </row>
    <row r="1316" spans="1:4" x14ac:dyDescent="0.35">
      <c r="A1316" s="1947">
        <v>2143</v>
      </c>
      <c r="B1316" s="2046" t="s">
        <v>3829</v>
      </c>
      <c r="C1316" s="2046" t="s">
        <v>1762</v>
      </c>
    </row>
    <row r="1317" spans="1:4" ht="30" x14ac:dyDescent="0.35">
      <c r="A1317" s="1947">
        <v>2144</v>
      </c>
      <c r="B1317" s="2043" t="s">
        <v>3830</v>
      </c>
      <c r="C1317" s="2043" t="s">
        <v>2044</v>
      </c>
    </row>
    <row r="1318" spans="1:4" ht="30" x14ac:dyDescent="0.35">
      <c r="A1318" s="1947">
        <v>2145</v>
      </c>
      <c r="B1318" s="2043" t="s">
        <v>3831</v>
      </c>
      <c r="C1318" s="2043" t="s">
        <v>1755</v>
      </c>
    </row>
    <row r="1319" spans="1:4" ht="20" x14ac:dyDescent="0.35">
      <c r="A1319" s="1947">
        <v>2146</v>
      </c>
      <c r="B1319" s="2043" t="s">
        <v>3832</v>
      </c>
      <c r="C1319" s="2043" t="s">
        <v>1749</v>
      </c>
    </row>
    <row r="1320" spans="1:4" ht="15" thickBot="1" x14ac:dyDescent="0.4">
      <c r="A1320" s="1947">
        <v>2148</v>
      </c>
      <c r="B1320" s="2189" t="s">
        <v>3833</v>
      </c>
      <c r="C1320" s="2140" t="s">
        <v>2007</v>
      </c>
    </row>
    <row r="1321" spans="1:4" ht="15" thickBot="1" x14ac:dyDescent="0.4">
      <c r="A1321" s="1947">
        <v>2149</v>
      </c>
      <c r="B1321" s="2190" t="s">
        <v>3834</v>
      </c>
      <c r="C1321" s="2141" t="s">
        <v>2063</v>
      </c>
    </row>
    <row r="1322" spans="1:4" ht="15" thickBot="1" x14ac:dyDescent="0.4">
      <c r="A1322" s="1947">
        <v>2150</v>
      </c>
      <c r="B1322" s="2190" t="s">
        <v>3835</v>
      </c>
      <c r="C1322" s="2141" t="s">
        <v>1714</v>
      </c>
    </row>
    <row r="1323" spans="1:4" ht="15" thickBot="1" x14ac:dyDescent="0.4">
      <c r="A1323" s="1947">
        <v>2151</v>
      </c>
      <c r="B1323" s="2191" t="s">
        <v>3836</v>
      </c>
      <c r="C1323" s="2065" t="s">
        <v>1713</v>
      </c>
    </row>
    <row r="1324" spans="1:4" ht="15" thickBot="1" x14ac:dyDescent="0.4">
      <c r="A1324" s="1947">
        <v>2153</v>
      </c>
      <c r="B1324" s="2190" t="s">
        <v>3837</v>
      </c>
      <c r="C1324" s="2141" t="s">
        <v>1717</v>
      </c>
    </row>
    <row r="1325" spans="1:4" ht="15" thickBot="1" x14ac:dyDescent="0.4">
      <c r="A1325" s="1947">
        <v>2154</v>
      </c>
      <c r="B1325" s="2190" t="s">
        <v>3838</v>
      </c>
      <c r="C1325" s="2141" t="s">
        <v>1719</v>
      </c>
      <c r="D1325" s="1948" t="s">
        <v>2471</v>
      </c>
    </row>
    <row r="1326" spans="1:4" ht="50" x14ac:dyDescent="0.35">
      <c r="A1326" s="1947">
        <v>2155</v>
      </c>
      <c r="B1326" s="2043" t="s">
        <v>3839</v>
      </c>
      <c r="C1326" s="2043" t="s">
        <v>1767</v>
      </c>
    </row>
    <row r="1327" spans="1:4" ht="15" thickBot="1" x14ac:dyDescent="0.4">
      <c r="A1327" s="1947">
        <v>2157</v>
      </c>
      <c r="B1327" s="2189" t="s">
        <v>3840</v>
      </c>
      <c r="C1327" s="2140" t="s">
        <v>2008</v>
      </c>
    </row>
    <row r="1328" spans="1:4" ht="15" thickBot="1" x14ac:dyDescent="0.4">
      <c r="A1328" s="1947">
        <v>2158</v>
      </c>
      <c r="B1328" s="2190" t="s">
        <v>3841</v>
      </c>
      <c r="C1328" s="2141" t="s">
        <v>1750</v>
      </c>
    </row>
    <row r="1329" spans="1:4" ht="15" thickBot="1" x14ac:dyDescent="0.4">
      <c r="A1329" s="1947">
        <v>2159</v>
      </c>
      <c r="B1329" s="2192" t="s">
        <v>3842</v>
      </c>
      <c r="C1329" s="2067" t="s">
        <v>1827</v>
      </c>
    </row>
    <row r="1330" spans="1:4" ht="15" thickBot="1" x14ac:dyDescent="0.4">
      <c r="A1330" s="1947">
        <v>2160</v>
      </c>
      <c r="B1330" s="2064" t="s">
        <v>3843</v>
      </c>
      <c r="C1330" s="2064" t="s">
        <v>1904</v>
      </c>
    </row>
    <row r="1331" spans="1:4" ht="15" thickBot="1" x14ac:dyDescent="0.4">
      <c r="A1331" s="1947">
        <v>2161</v>
      </c>
      <c r="B1331" s="2065" t="s">
        <v>3844</v>
      </c>
      <c r="C1331" s="2065" t="s">
        <v>1826</v>
      </c>
    </row>
    <row r="1332" spans="1:4" ht="30" x14ac:dyDescent="0.35">
      <c r="A1332" s="1947">
        <v>2162</v>
      </c>
      <c r="B1332" s="2043" t="s">
        <v>3845</v>
      </c>
      <c r="C1332" s="2043" t="s">
        <v>2045</v>
      </c>
    </row>
    <row r="1333" spans="1:4" ht="30" x14ac:dyDescent="0.35">
      <c r="A1333" s="1947">
        <v>2163</v>
      </c>
      <c r="B1333" s="2043" t="s">
        <v>3846</v>
      </c>
      <c r="C1333" s="2043" t="s">
        <v>1765</v>
      </c>
    </row>
    <row r="1334" spans="1:4" x14ac:dyDescent="0.35">
      <c r="A1334" s="1947">
        <v>2165</v>
      </c>
      <c r="B1334" s="2192" t="s">
        <v>3847</v>
      </c>
      <c r="C1334" s="2067" t="s">
        <v>1712</v>
      </c>
    </row>
    <row r="1335" spans="1:4" ht="20" x14ac:dyDescent="0.35">
      <c r="A1335" s="1947">
        <v>2167</v>
      </c>
      <c r="B1335" s="2043" t="s">
        <v>3848</v>
      </c>
      <c r="C1335" s="2043" t="s">
        <v>1989</v>
      </c>
    </row>
    <row r="1336" spans="1:4" x14ac:dyDescent="0.35">
      <c r="A1336" s="1947">
        <v>2171</v>
      </c>
      <c r="B1336" s="2193" t="s">
        <v>3849</v>
      </c>
      <c r="C1336" s="2142" t="s">
        <v>1763</v>
      </c>
      <c r="D1336" s="1948" t="s">
        <v>2456</v>
      </c>
    </row>
    <row r="1337" spans="1:4" ht="20.5" thickBot="1" x14ac:dyDescent="0.4">
      <c r="A1337" s="1947">
        <v>2173</v>
      </c>
      <c r="B1337" s="2043" t="s">
        <v>3850</v>
      </c>
      <c r="C1337" s="2043" t="s">
        <v>1955</v>
      </c>
    </row>
    <row r="1338" spans="1:4" ht="15" thickBot="1" x14ac:dyDescent="0.4">
      <c r="A1338" s="1947">
        <v>2181</v>
      </c>
      <c r="B1338" s="2066" t="s">
        <v>3851</v>
      </c>
      <c r="C1338" s="2066" t="s">
        <v>1766</v>
      </c>
    </row>
    <row r="1339" spans="1:4" ht="15" thickBot="1" x14ac:dyDescent="0.4">
      <c r="A1339" s="1947">
        <v>2182</v>
      </c>
      <c r="B1339" s="2063" t="s">
        <v>3852</v>
      </c>
      <c r="C1339" s="2063" t="s">
        <v>1777</v>
      </c>
    </row>
    <row r="1340" spans="1:4" ht="20" x14ac:dyDescent="0.35">
      <c r="A1340" s="1947">
        <v>2184</v>
      </c>
      <c r="B1340" s="2043" t="s">
        <v>3853</v>
      </c>
      <c r="C1340" s="2043" t="s">
        <v>2012</v>
      </c>
    </row>
    <row r="1341" spans="1:4" ht="15" thickBot="1" x14ac:dyDescent="0.4">
      <c r="A1341" s="1947">
        <v>2186</v>
      </c>
      <c r="B1341" s="2189" t="s">
        <v>3854</v>
      </c>
      <c r="C1341" s="2140" t="s">
        <v>1733</v>
      </c>
      <c r="D1341" s="1948" t="s">
        <v>2451</v>
      </c>
    </row>
    <row r="1342" spans="1:4" x14ac:dyDescent="0.35">
      <c r="A1342" s="1947">
        <v>2189</v>
      </c>
      <c r="B1342" s="2067" t="s">
        <v>3855</v>
      </c>
      <c r="C1342" s="2067" t="s">
        <v>2027</v>
      </c>
    </row>
    <row r="1343" spans="1:4" ht="15" thickBot="1" x14ac:dyDescent="0.4">
      <c r="A1343" s="1947">
        <v>2190</v>
      </c>
      <c r="B1343" s="2191" t="s">
        <v>3856</v>
      </c>
      <c r="C1343" s="2065" t="s">
        <v>2028</v>
      </c>
    </row>
    <row r="1344" spans="1:4" ht="20" x14ac:dyDescent="0.35">
      <c r="A1344" s="1947">
        <v>2205</v>
      </c>
      <c r="B1344" s="2043" t="s">
        <v>3857</v>
      </c>
      <c r="C1344" s="2043" t="s">
        <v>1999</v>
      </c>
    </row>
    <row r="1345" spans="1:3" ht="20" x14ac:dyDescent="0.35">
      <c r="A1345" s="1947">
        <v>2206</v>
      </c>
      <c r="B1345" s="2043" t="s">
        <v>3858</v>
      </c>
      <c r="C1345" s="2043" t="s">
        <v>2000</v>
      </c>
    </row>
    <row r="1346" spans="1:3" ht="20" x14ac:dyDescent="0.35">
      <c r="A1346" s="1947">
        <v>2207</v>
      </c>
      <c r="B1346" s="2043" t="s">
        <v>3859</v>
      </c>
      <c r="C1346" s="2043" t="s">
        <v>2001</v>
      </c>
    </row>
    <row r="1347" spans="1:3" ht="20" x14ac:dyDescent="0.35">
      <c r="A1347" s="1947">
        <v>2208</v>
      </c>
      <c r="B1347" s="2043" t="s">
        <v>3860</v>
      </c>
      <c r="C1347" s="2043" t="s">
        <v>2002</v>
      </c>
    </row>
    <row r="1348" spans="1:3" ht="26" x14ac:dyDescent="0.35">
      <c r="A1348" s="1947">
        <v>2209</v>
      </c>
      <c r="B1348" s="2046" t="s">
        <v>3861</v>
      </c>
      <c r="C1348" s="2046" t="s">
        <v>1829</v>
      </c>
    </row>
    <row r="1349" spans="1:3" x14ac:dyDescent="0.35">
      <c r="A1349" s="1947">
        <v>2210</v>
      </c>
      <c r="B1349" s="526" t="s">
        <v>3862</v>
      </c>
      <c r="C1349" s="2046" t="s">
        <v>1867</v>
      </c>
    </row>
    <row r="1350" spans="1:3" x14ac:dyDescent="0.35">
      <c r="A1350" s="1947">
        <v>2211</v>
      </c>
      <c r="B1350" s="2194" t="s">
        <v>3863</v>
      </c>
      <c r="C1350" s="2143" t="s">
        <v>1860</v>
      </c>
    </row>
    <row r="1351" spans="1:3" x14ac:dyDescent="0.35">
      <c r="A1351" s="1947">
        <v>2212</v>
      </c>
      <c r="B1351" s="2194" t="s">
        <v>3864</v>
      </c>
      <c r="C1351" s="2143" t="s">
        <v>1864</v>
      </c>
    </row>
    <row r="1352" spans="1:3" x14ac:dyDescent="0.35">
      <c r="A1352" s="1947">
        <v>2213</v>
      </c>
      <c r="B1352" s="2194" t="s">
        <v>3865</v>
      </c>
      <c r="C1352" s="2143" t="s">
        <v>1861</v>
      </c>
    </row>
    <row r="1353" spans="1:3" x14ac:dyDescent="0.35">
      <c r="A1353" s="1947">
        <v>2214</v>
      </c>
      <c r="B1353" s="2194" t="s">
        <v>3866</v>
      </c>
      <c r="C1353" s="2143" t="s">
        <v>1865</v>
      </c>
    </row>
    <row r="1354" spans="1:3" x14ac:dyDescent="0.35">
      <c r="A1354" s="1947">
        <v>2215</v>
      </c>
      <c r="B1354" s="2194" t="s">
        <v>3867</v>
      </c>
      <c r="C1354" s="2143" t="s">
        <v>1862</v>
      </c>
    </row>
    <row r="1355" spans="1:3" x14ac:dyDescent="0.35">
      <c r="A1355" s="1947">
        <v>2216</v>
      </c>
      <c r="B1355" s="2194" t="s">
        <v>3868</v>
      </c>
      <c r="C1355" s="2143" t="s">
        <v>1866</v>
      </c>
    </row>
    <row r="1356" spans="1:3" x14ac:dyDescent="0.35">
      <c r="A1356" s="1947">
        <v>2217</v>
      </c>
      <c r="B1356" s="2194" t="s">
        <v>3869</v>
      </c>
      <c r="C1356" s="2143" t="s">
        <v>1863</v>
      </c>
    </row>
    <row r="1357" spans="1:3" x14ac:dyDescent="0.35">
      <c r="A1357" s="1947">
        <v>2218</v>
      </c>
      <c r="B1357" s="2053" t="s">
        <v>3870</v>
      </c>
      <c r="C1357" s="2053" t="s">
        <v>2036</v>
      </c>
    </row>
    <row r="1358" spans="1:3" x14ac:dyDescent="0.35">
      <c r="A1358" s="1947">
        <v>2219</v>
      </c>
      <c r="B1358" s="2053" t="s">
        <v>3871</v>
      </c>
      <c r="C1358" s="2053" t="s">
        <v>2037</v>
      </c>
    </row>
    <row r="1359" spans="1:3" ht="50.5" thickBot="1" x14ac:dyDescent="0.4">
      <c r="A1359" s="1947">
        <v>2220</v>
      </c>
      <c r="B1359" s="2042" t="s">
        <v>3872</v>
      </c>
      <c r="C1359" s="2042" t="s">
        <v>2038</v>
      </c>
    </row>
    <row r="1360" spans="1:3" ht="15" thickBot="1" x14ac:dyDescent="0.4">
      <c r="A1360" s="1947">
        <v>2221</v>
      </c>
      <c r="B1360" s="2195" t="s">
        <v>3873</v>
      </c>
      <c r="C1360" s="2144" t="s">
        <v>1742</v>
      </c>
    </row>
    <row r="1361" spans="1:4" ht="15" thickBot="1" x14ac:dyDescent="0.4">
      <c r="A1361" s="1947">
        <v>2222</v>
      </c>
      <c r="B1361" s="2056" t="s">
        <v>3874</v>
      </c>
      <c r="C1361" s="2056" t="s">
        <v>1910</v>
      </c>
    </row>
    <row r="1362" spans="1:4" ht="15" thickBot="1" x14ac:dyDescent="0.4">
      <c r="A1362" s="1947">
        <v>2223</v>
      </c>
      <c r="B1362" s="2056" t="s">
        <v>3875</v>
      </c>
      <c r="C1362" s="2056" t="s">
        <v>2026</v>
      </c>
    </row>
    <row r="1363" spans="1:4" ht="20.5" thickBot="1" x14ac:dyDescent="0.4">
      <c r="A1363" s="1947">
        <v>2224</v>
      </c>
      <c r="B1363" s="2056" t="s">
        <v>3876</v>
      </c>
      <c r="C1363" s="2056" t="s">
        <v>2017</v>
      </c>
    </row>
    <row r="1364" spans="1:4" ht="15" thickBot="1" x14ac:dyDescent="0.4">
      <c r="A1364" s="1947">
        <v>2225</v>
      </c>
      <c r="B1364" s="2068" t="s">
        <v>3877</v>
      </c>
      <c r="C1364" s="2068" t="s">
        <v>1834</v>
      </c>
    </row>
    <row r="1365" spans="1:4" ht="20.5" thickBot="1" x14ac:dyDescent="0.4">
      <c r="A1365" s="1947">
        <v>2226</v>
      </c>
      <c r="B1365" s="2056" t="s">
        <v>3878</v>
      </c>
      <c r="C1365" s="2056" t="s">
        <v>2018</v>
      </c>
    </row>
    <row r="1366" spans="1:4" ht="15" thickBot="1" x14ac:dyDescent="0.4">
      <c r="A1366" s="1947">
        <v>2227</v>
      </c>
      <c r="B1366" s="2068" t="s">
        <v>3879</v>
      </c>
      <c r="C1366" s="2068" t="s">
        <v>1835</v>
      </c>
    </row>
    <row r="1367" spans="1:4" ht="20.5" thickBot="1" x14ac:dyDescent="0.4">
      <c r="A1367" s="1947">
        <v>2228</v>
      </c>
      <c r="B1367" s="2056" t="s">
        <v>3880</v>
      </c>
      <c r="C1367" s="2056" t="s">
        <v>2019</v>
      </c>
    </row>
    <row r="1368" spans="1:4" ht="15" thickBot="1" x14ac:dyDescent="0.4">
      <c r="A1368" s="1947">
        <v>2229</v>
      </c>
      <c r="B1368" s="2068" t="s">
        <v>3881</v>
      </c>
      <c r="C1368" s="2068" t="s">
        <v>1911</v>
      </c>
    </row>
    <row r="1369" spans="1:4" ht="20.5" thickBot="1" x14ac:dyDescent="0.4">
      <c r="A1369" s="1947">
        <v>2230</v>
      </c>
      <c r="B1369" s="2056" t="s">
        <v>3882</v>
      </c>
      <c r="C1369" s="2056" t="s">
        <v>2020</v>
      </c>
    </row>
    <row r="1370" spans="1:4" ht="50.5" thickBot="1" x14ac:dyDescent="0.4">
      <c r="A1370" s="1947">
        <v>2237</v>
      </c>
      <c r="B1370" s="2056" t="s">
        <v>3883</v>
      </c>
      <c r="C1370" s="2056" t="s">
        <v>2021</v>
      </c>
    </row>
    <row r="1371" spans="1:4" ht="15" thickBot="1" x14ac:dyDescent="0.4">
      <c r="A1371" s="1947">
        <v>2238</v>
      </c>
      <c r="B1371" s="2196" t="s">
        <v>3884</v>
      </c>
      <c r="C1371" s="2063" t="s">
        <v>1724</v>
      </c>
    </row>
    <row r="1372" spans="1:4" ht="15" thickBot="1" x14ac:dyDescent="0.4">
      <c r="A1372" s="1947">
        <v>2239</v>
      </c>
      <c r="B1372" s="2197" t="s">
        <v>3885</v>
      </c>
      <c r="C1372" s="2062" t="s">
        <v>1837</v>
      </c>
    </row>
    <row r="1373" spans="1:4" ht="15" thickBot="1" x14ac:dyDescent="0.4">
      <c r="A1373" s="1947">
        <v>2240</v>
      </c>
      <c r="B1373" s="526" t="s">
        <v>3886</v>
      </c>
      <c r="C1373" s="2046" t="s">
        <v>1815</v>
      </c>
    </row>
    <row r="1374" spans="1:4" ht="15" thickBot="1" x14ac:dyDescent="0.4">
      <c r="A1374" s="1947">
        <v>2241</v>
      </c>
      <c r="B1374" s="2198" t="s">
        <v>3887</v>
      </c>
      <c r="C1374" s="2145" t="s">
        <v>1729</v>
      </c>
    </row>
    <row r="1375" spans="1:4" ht="15" thickBot="1" x14ac:dyDescent="0.4">
      <c r="A1375" s="1947">
        <v>2242</v>
      </c>
      <c r="B1375" s="2197" t="s">
        <v>3888</v>
      </c>
      <c r="C1375" s="2062" t="s">
        <v>1806</v>
      </c>
    </row>
    <row r="1376" spans="1:4" ht="15" thickBot="1" x14ac:dyDescent="0.4">
      <c r="A1376" s="1947">
        <v>2243</v>
      </c>
      <c r="B1376" s="2196" t="s">
        <v>3889</v>
      </c>
      <c r="C1376" s="2063" t="s">
        <v>1709</v>
      </c>
      <c r="D1376" s="1948" t="s">
        <v>2459</v>
      </c>
    </row>
    <row r="1377" spans="1:4" ht="15" thickBot="1" x14ac:dyDescent="0.4">
      <c r="A1377" s="1947">
        <v>2244</v>
      </c>
      <c r="B1377" s="2196" t="s">
        <v>3890</v>
      </c>
      <c r="C1377" s="2063" t="s">
        <v>1747</v>
      </c>
      <c r="D1377" s="1948" t="s">
        <v>2469</v>
      </c>
    </row>
    <row r="1378" spans="1:4" ht="15" thickBot="1" x14ac:dyDescent="0.4">
      <c r="A1378" s="1947">
        <v>2247</v>
      </c>
      <c r="B1378" s="2196" t="s">
        <v>3891</v>
      </c>
      <c r="C1378" s="2063" t="s">
        <v>1828</v>
      </c>
      <c r="D1378" s="1948" t="s">
        <v>2468</v>
      </c>
    </row>
    <row r="1379" spans="1:4" ht="15" thickBot="1" x14ac:dyDescent="0.4">
      <c r="A1379" s="1947">
        <v>2248</v>
      </c>
      <c r="B1379" s="2199" t="s">
        <v>3892</v>
      </c>
      <c r="C1379" s="2146" t="s">
        <v>1912</v>
      </c>
      <c r="D1379" s="1948" t="s">
        <v>2499</v>
      </c>
    </row>
    <row r="1380" spans="1:4" ht="15" thickBot="1" x14ac:dyDescent="0.4">
      <c r="A1380" s="1947">
        <v>2250</v>
      </c>
      <c r="B1380" s="2197" t="s">
        <v>3893</v>
      </c>
      <c r="C1380" s="2062" t="s">
        <v>1807</v>
      </c>
    </row>
    <row r="1381" spans="1:4" ht="15" thickBot="1" x14ac:dyDescent="0.4">
      <c r="A1381" s="1947">
        <v>2251</v>
      </c>
      <c r="B1381" s="2199" t="s">
        <v>3894</v>
      </c>
      <c r="C1381" s="2146" t="s">
        <v>1913</v>
      </c>
    </row>
    <row r="1382" spans="1:4" ht="15" thickBot="1" x14ac:dyDescent="0.4">
      <c r="A1382" s="1947">
        <v>2253</v>
      </c>
      <c r="B1382" s="2197" t="s">
        <v>3895</v>
      </c>
      <c r="C1382" s="2062" t="s">
        <v>1808</v>
      </c>
    </row>
    <row r="1383" spans="1:4" ht="15" thickBot="1" x14ac:dyDescent="0.4">
      <c r="A1383" s="1947">
        <v>2254</v>
      </c>
      <c r="B1383" s="2199" t="s">
        <v>3896</v>
      </c>
      <c r="C1383" s="2146" t="s">
        <v>1914</v>
      </c>
    </row>
    <row r="1384" spans="1:4" ht="15" thickBot="1" x14ac:dyDescent="0.4">
      <c r="A1384" s="1947">
        <v>2256</v>
      </c>
      <c r="B1384" s="2197" t="s">
        <v>3897</v>
      </c>
      <c r="C1384" s="2062" t="s">
        <v>1809</v>
      </c>
    </row>
    <row r="1385" spans="1:4" ht="15" thickBot="1" x14ac:dyDescent="0.4">
      <c r="A1385" s="1947">
        <v>2257</v>
      </c>
      <c r="B1385" s="2199" t="s">
        <v>3898</v>
      </c>
      <c r="C1385" s="2146" t="s">
        <v>1915</v>
      </c>
    </row>
    <row r="1386" spans="1:4" ht="15" thickBot="1" x14ac:dyDescent="0.4">
      <c r="A1386" s="1947">
        <v>2259</v>
      </c>
      <c r="B1386" s="2197" t="s">
        <v>3899</v>
      </c>
      <c r="C1386" s="2062" t="s">
        <v>1810</v>
      </c>
    </row>
    <row r="1387" spans="1:4" ht="15" thickBot="1" x14ac:dyDescent="0.4">
      <c r="A1387" s="1947">
        <v>2262</v>
      </c>
      <c r="B1387" s="526" t="s">
        <v>3900</v>
      </c>
      <c r="C1387" s="2046" t="s">
        <v>1836</v>
      </c>
    </row>
    <row r="1388" spans="1:4" ht="15" thickBot="1" x14ac:dyDescent="0.4">
      <c r="A1388" s="1947">
        <v>2263</v>
      </c>
      <c r="B1388" s="2198" t="s">
        <v>3901</v>
      </c>
      <c r="C1388" s="2145" t="s">
        <v>1768</v>
      </c>
      <c r="D1388" s="1948" t="s">
        <v>2483</v>
      </c>
    </row>
    <row r="1389" spans="1:4" ht="15" thickBot="1" x14ac:dyDescent="0.4">
      <c r="A1389" s="1947">
        <v>2268</v>
      </c>
      <c r="B1389" s="2196" t="s">
        <v>3902</v>
      </c>
      <c r="C1389" s="2063" t="s">
        <v>1842</v>
      </c>
    </row>
    <row r="1390" spans="1:4" ht="15" thickBot="1" x14ac:dyDescent="0.4">
      <c r="A1390" s="1947">
        <v>2269</v>
      </c>
      <c r="B1390" s="2196" t="s">
        <v>3903</v>
      </c>
      <c r="C1390" s="2063" t="s">
        <v>1751</v>
      </c>
    </row>
    <row r="1391" spans="1:4" ht="20" x14ac:dyDescent="0.35">
      <c r="A1391" s="1947">
        <v>2270</v>
      </c>
      <c r="B1391" s="2043" t="s">
        <v>3904</v>
      </c>
      <c r="C1391" s="2043" t="s">
        <v>2031</v>
      </c>
    </row>
    <row r="1392" spans="1:4" ht="15" thickBot="1" x14ac:dyDescent="0.4">
      <c r="A1392" s="1947">
        <v>2271</v>
      </c>
      <c r="B1392" s="2043" t="s">
        <v>3905</v>
      </c>
      <c r="C1392" s="2043" t="s">
        <v>2032</v>
      </c>
    </row>
    <row r="1393" spans="1:11" ht="138.75" customHeight="1" thickBot="1" x14ac:dyDescent="0.4">
      <c r="A1393" s="1947">
        <v>2272</v>
      </c>
      <c r="B1393" s="2069" t="s">
        <v>3906</v>
      </c>
      <c r="C1393" s="2069" t="s">
        <v>2034</v>
      </c>
    </row>
    <row r="1394" spans="1:11" ht="26" x14ac:dyDescent="0.35">
      <c r="A1394" s="1947">
        <v>2273</v>
      </c>
      <c r="B1394" s="2046" t="s">
        <v>3907</v>
      </c>
      <c r="C1394" s="2046" t="s">
        <v>2029</v>
      </c>
    </row>
    <row r="1395" spans="1:11" x14ac:dyDescent="0.35">
      <c r="A1395" s="1947">
        <v>2275</v>
      </c>
      <c r="B1395" s="526" t="s">
        <v>3908</v>
      </c>
      <c r="C1395" s="2046" t="s">
        <v>1909</v>
      </c>
    </row>
    <row r="1396" spans="1:11" ht="15" thickBot="1" x14ac:dyDescent="0.4">
      <c r="A1396" s="1947">
        <v>2276</v>
      </c>
      <c r="B1396" s="2196" t="s">
        <v>3909</v>
      </c>
      <c r="C1396" s="2063" t="s">
        <v>1825</v>
      </c>
    </row>
    <row r="1397" spans="1:11" ht="26" x14ac:dyDescent="0.35">
      <c r="A1397" s="1947">
        <v>2277</v>
      </c>
      <c r="B1397" s="526" t="s">
        <v>3910</v>
      </c>
      <c r="C1397" s="2046" t="s">
        <v>2030</v>
      </c>
    </row>
    <row r="1398" spans="1:11" ht="50" x14ac:dyDescent="0.35">
      <c r="A1398" s="1947">
        <v>2278</v>
      </c>
      <c r="B1398" s="2043" t="s">
        <v>3911</v>
      </c>
      <c r="C1398" s="2043" t="s">
        <v>2035</v>
      </c>
    </row>
    <row r="1399" spans="1:11" ht="15" thickBot="1" x14ac:dyDescent="0.4">
      <c r="A1399" s="1947">
        <v>2279</v>
      </c>
      <c r="B1399" s="2200" t="s">
        <v>3912</v>
      </c>
      <c r="C1399" s="2052" t="s">
        <v>1824</v>
      </c>
    </row>
    <row r="1400" spans="1:11" x14ac:dyDescent="0.35">
      <c r="A1400" s="1947">
        <v>2280</v>
      </c>
      <c r="B1400" s="703" t="s">
        <v>3913</v>
      </c>
      <c r="C1400" s="2147" t="s">
        <v>1822</v>
      </c>
    </row>
    <row r="1401" spans="1:11" x14ac:dyDescent="0.35">
      <c r="A1401" s="1947">
        <v>2281</v>
      </c>
      <c r="B1401" s="703" t="s">
        <v>3914</v>
      </c>
      <c r="C1401" s="2147" t="s">
        <v>2074</v>
      </c>
    </row>
    <row r="1402" spans="1:11" x14ac:dyDescent="0.35">
      <c r="A1402" s="1947">
        <v>2283</v>
      </c>
      <c r="B1402" s="703" t="s">
        <v>3915</v>
      </c>
      <c r="C1402" s="2147" t="s">
        <v>2022</v>
      </c>
    </row>
    <row r="1403" spans="1:11" x14ac:dyDescent="0.35">
      <c r="A1403" s="1947">
        <v>2284</v>
      </c>
      <c r="B1403" s="703" t="s">
        <v>3916</v>
      </c>
      <c r="C1403" s="2147" t="s">
        <v>2023</v>
      </c>
    </row>
    <row r="1404" spans="1:11" x14ac:dyDescent="0.35">
      <c r="A1404" s="1947">
        <v>2285</v>
      </c>
      <c r="B1404" s="703" t="s">
        <v>3917</v>
      </c>
      <c r="C1404" s="2147" t="s">
        <v>2014</v>
      </c>
    </row>
    <row r="1405" spans="1:11" x14ac:dyDescent="0.35">
      <c r="A1405" s="1947">
        <v>2286</v>
      </c>
      <c r="B1405" s="703" t="s">
        <v>3918</v>
      </c>
      <c r="C1405" s="2147" t="s">
        <v>1853</v>
      </c>
    </row>
    <row r="1406" spans="1:11" x14ac:dyDescent="0.35">
      <c r="A1406" s="1947">
        <v>2287</v>
      </c>
      <c r="B1406" s="703" t="s">
        <v>3919</v>
      </c>
      <c r="C1406" s="2147" t="s">
        <v>1854</v>
      </c>
    </row>
    <row r="1407" spans="1:11" x14ac:dyDescent="0.35">
      <c r="A1407" s="1947">
        <v>2288</v>
      </c>
      <c r="B1407" s="703" t="s">
        <v>3920</v>
      </c>
      <c r="C1407" s="2147" t="s">
        <v>2075</v>
      </c>
    </row>
    <row r="1408" spans="1:11" ht="20" x14ac:dyDescent="0.35">
      <c r="A1408" s="1947">
        <v>2501</v>
      </c>
      <c r="B1408" s="2070" t="s">
        <v>3921</v>
      </c>
      <c r="C1408" s="2070" t="s">
        <v>2098</v>
      </c>
      <c r="D1408" s="1039"/>
      <c r="E1408" s="1039"/>
      <c r="F1408" s="1039"/>
      <c r="G1408" s="1039"/>
      <c r="H1408" s="1039"/>
      <c r="I1408" s="1039"/>
      <c r="J1408" s="1039"/>
      <c r="K1408" s="1039"/>
    </row>
    <row r="1409" spans="1:11" x14ac:dyDescent="0.35">
      <c r="A1409" s="1947">
        <v>2502</v>
      </c>
      <c r="B1409" s="1251" t="s">
        <v>3922</v>
      </c>
      <c r="C1409" s="1251" t="s">
        <v>2081</v>
      </c>
    </row>
    <row r="1410" spans="1:11" x14ac:dyDescent="0.35">
      <c r="A1410" s="1947">
        <v>2503</v>
      </c>
      <c r="B1410" s="1251" t="s">
        <v>3923</v>
      </c>
      <c r="C1410" s="1251" t="s">
        <v>2082</v>
      </c>
    </row>
    <row r="1411" spans="1:11" x14ac:dyDescent="0.35">
      <c r="A1411" s="1947">
        <v>2504</v>
      </c>
      <c r="B1411" s="726" t="s">
        <v>3924</v>
      </c>
      <c r="C1411" s="726" t="s">
        <v>2090</v>
      </c>
      <c r="D1411" s="1039"/>
      <c r="E1411" s="1039"/>
      <c r="F1411" s="1039"/>
      <c r="G1411" s="1039"/>
      <c r="H1411" s="1039"/>
      <c r="I1411" s="1039"/>
      <c r="J1411" s="1039"/>
      <c r="K1411" s="1039"/>
    </row>
    <row r="1412" spans="1:11" ht="70" x14ac:dyDescent="0.35">
      <c r="A1412" s="1947">
        <v>2505</v>
      </c>
      <c r="B1412" s="1881" t="s">
        <v>3925</v>
      </c>
      <c r="C1412" s="1881" t="s">
        <v>2091</v>
      </c>
      <c r="D1412" s="1039"/>
      <c r="E1412" s="1039"/>
      <c r="F1412" s="1039"/>
      <c r="G1412" s="1039"/>
      <c r="H1412" s="1039"/>
      <c r="I1412" s="1039"/>
      <c r="J1412" s="1039"/>
      <c r="K1412" s="1039"/>
    </row>
    <row r="1413" spans="1:11" ht="40" x14ac:dyDescent="0.35">
      <c r="A1413" s="1947">
        <v>2506</v>
      </c>
      <c r="B1413" s="1881" t="s">
        <v>3926</v>
      </c>
      <c r="C1413" s="1881" t="s">
        <v>2092</v>
      </c>
      <c r="D1413" s="1039"/>
      <c r="E1413" s="1039"/>
      <c r="F1413" s="1039"/>
      <c r="G1413" s="1039"/>
      <c r="H1413" s="1039"/>
      <c r="I1413" s="1039"/>
      <c r="J1413" s="1039"/>
      <c r="K1413" s="1039"/>
    </row>
    <row r="1414" spans="1:11" x14ac:dyDescent="0.35">
      <c r="A1414" s="1947">
        <v>2507</v>
      </c>
      <c r="B1414" s="1251" t="s">
        <v>3927</v>
      </c>
      <c r="C1414" s="1251" t="s">
        <v>2083</v>
      </c>
    </row>
    <row r="1415" spans="1:11" x14ac:dyDescent="0.35">
      <c r="A1415" s="1947">
        <v>2508</v>
      </c>
      <c r="B1415" s="1251" t="s">
        <v>3928</v>
      </c>
      <c r="C1415" s="1251" t="s">
        <v>2084</v>
      </c>
    </row>
    <row r="1416" spans="1:11" x14ac:dyDescent="0.35">
      <c r="A1416" s="1947">
        <v>2509</v>
      </c>
      <c r="B1416" s="1251" t="s">
        <v>3929</v>
      </c>
      <c r="C1416" s="1251" t="s">
        <v>2085</v>
      </c>
    </row>
    <row r="1417" spans="1:11" x14ac:dyDescent="0.35">
      <c r="A1417" s="1947">
        <v>2510</v>
      </c>
      <c r="B1417" s="1251" t="s">
        <v>3930</v>
      </c>
      <c r="C1417" s="1251" t="s">
        <v>2086</v>
      </c>
    </row>
    <row r="1418" spans="1:11" x14ac:dyDescent="0.35">
      <c r="A1418" s="1947">
        <v>2511</v>
      </c>
      <c r="B1418" s="1251" t="s">
        <v>3931</v>
      </c>
      <c r="C1418" s="1251" t="s">
        <v>2087</v>
      </c>
    </row>
    <row r="1419" spans="1:11" x14ac:dyDescent="0.35">
      <c r="A1419" s="1947">
        <v>2512</v>
      </c>
      <c r="B1419" s="1251" t="s">
        <v>3932</v>
      </c>
      <c r="C1419" s="1251" t="s">
        <v>2088</v>
      </c>
    </row>
    <row r="1420" spans="1:11" x14ac:dyDescent="0.35">
      <c r="A1420" s="1947">
        <v>2513</v>
      </c>
      <c r="B1420" s="1251" t="s">
        <v>3933</v>
      </c>
      <c r="C1420" s="1251" t="s">
        <v>2089</v>
      </c>
    </row>
    <row r="1421" spans="1:11" x14ac:dyDescent="0.35">
      <c r="A1421" s="1947">
        <v>2516</v>
      </c>
      <c r="B1421" s="1251" t="s">
        <v>3934</v>
      </c>
      <c r="C1421" s="1251" t="s">
        <v>2093</v>
      </c>
    </row>
    <row r="1422" spans="1:11" x14ac:dyDescent="0.35">
      <c r="A1422" s="1947">
        <v>2517</v>
      </c>
      <c r="B1422" s="1251" t="s">
        <v>2094</v>
      </c>
      <c r="C1422" s="1251" t="s">
        <v>2094</v>
      </c>
    </row>
    <row r="1423" spans="1:11" x14ac:dyDescent="0.35">
      <c r="A1423" s="1947">
        <v>2518</v>
      </c>
      <c r="B1423" s="1251" t="s">
        <v>3935</v>
      </c>
      <c r="C1423" s="1251" t="s">
        <v>2095</v>
      </c>
    </row>
    <row r="1424" spans="1:11" x14ac:dyDescent="0.35">
      <c r="A1424" s="1947">
        <v>2519</v>
      </c>
      <c r="B1424" s="1251" t="s">
        <v>3936</v>
      </c>
      <c r="C1424" s="1251" t="s">
        <v>2096</v>
      </c>
    </row>
    <row r="1425" spans="1:11" ht="26" x14ac:dyDescent="0.35">
      <c r="A1425" s="1947">
        <v>2521</v>
      </c>
      <c r="B1425" s="2071" t="s">
        <v>3937</v>
      </c>
      <c r="C1425" s="2071" t="s">
        <v>2099</v>
      </c>
      <c r="D1425" s="2071"/>
      <c r="E1425" s="2071"/>
      <c r="F1425" s="2071"/>
      <c r="G1425" s="2071"/>
      <c r="H1425" s="2071"/>
      <c r="I1425" s="2071"/>
      <c r="J1425" s="2071"/>
      <c r="K1425" s="2071"/>
    </row>
    <row r="1426" spans="1:11" ht="39" x14ac:dyDescent="0.35">
      <c r="A1426" s="1947">
        <v>2522</v>
      </c>
      <c r="B1426" s="2071" t="s">
        <v>3938</v>
      </c>
      <c r="C1426" s="2071" t="s">
        <v>2100</v>
      </c>
      <c r="D1426" s="2071"/>
      <c r="E1426" s="2071"/>
      <c r="F1426" s="2071"/>
      <c r="G1426" s="2071"/>
      <c r="H1426" s="2071"/>
      <c r="I1426" s="2071"/>
      <c r="J1426" s="2071"/>
      <c r="K1426" s="2071"/>
    </row>
    <row r="1427" spans="1:11" ht="27.75" customHeight="1" x14ac:dyDescent="0.35">
      <c r="A1427" s="1947">
        <v>2524</v>
      </c>
      <c r="B1427" s="726" t="s">
        <v>3939</v>
      </c>
      <c r="C1427" s="726" t="s">
        <v>2097</v>
      </c>
      <c r="D1427" s="1039"/>
      <c r="E1427" s="1039"/>
      <c r="F1427" s="1039"/>
      <c r="G1427" s="1039"/>
      <c r="H1427" s="1039"/>
      <c r="I1427" s="1039"/>
      <c r="J1427" s="1039"/>
      <c r="K1427" s="1039"/>
    </row>
    <row r="1428" spans="1:11" ht="18.5" x14ac:dyDescent="0.35">
      <c r="A1428" s="2072">
        <v>3000</v>
      </c>
      <c r="B1428" s="2148" t="s">
        <v>2323</v>
      </c>
      <c r="C1428" s="2148" t="s">
        <v>2323</v>
      </c>
    </row>
    <row r="1429" spans="1:11" x14ac:dyDescent="0.35">
      <c r="A1429" s="1947">
        <v>3001</v>
      </c>
      <c r="B1429" s="281" t="s">
        <v>2202</v>
      </c>
      <c r="C1429" s="281" t="s">
        <v>2202</v>
      </c>
      <c r="D1429" s="2073" t="s">
        <v>2324</v>
      </c>
    </row>
    <row r="1430" spans="1:11" x14ac:dyDescent="0.35">
      <c r="A1430" s="1947">
        <v>3002</v>
      </c>
      <c r="B1430" s="277" t="s">
        <v>2203</v>
      </c>
      <c r="C1430" s="277" t="s">
        <v>2203</v>
      </c>
      <c r="D1430" s="2073" t="s">
        <v>2325</v>
      </c>
    </row>
    <row r="1431" spans="1:11" x14ac:dyDescent="0.35">
      <c r="A1431" s="1947">
        <v>3003</v>
      </c>
      <c r="B1431" s="277" t="s">
        <v>2204</v>
      </c>
      <c r="C1431" s="277" t="s">
        <v>2204</v>
      </c>
      <c r="D1431" s="2073" t="s">
        <v>2326</v>
      </c>
    </row>
    <row r="1432" spans="1:11" ht="46.5" x14ac:dyDescent="0.35">
      <c r="A1432" s="1947">
        <v>3004</v>
      </c>
      <c r="B1432" s="2074" t="s">
        <v>3940</v>
      </c>
      <c r="C1432" s="2074" t="s">
        <v>2557</v>
      </c>
      <c r="D1432" s="2073" t="s">
        <v>2327</v>
      </c>
    </row>
    <row r="1433" spans="1:11" x14ac:dyDescent="0.35">
      <c r="A1433" s="1947">
        <v>3005</v>
      </c>
      <c r="B1433" s="278" t="s">
        <v>3941</v>
      </c>
      <c r="C1433" s="278" t="s">
        <v>2153</v>
      </c>
      <c r="D1433" s="2073" t="s">
        <v>2328</v>
      </c>
    </row>
    <row r="1434" spans="1:11" ht="20" x14ac:dyDescent="0.35">
      <c r="A1434" s="1947">
        <v>3006</v>
      </c>
      <c r="B1434" s="2075" t="s">
        <v>3942</v>
      </c>
      <c r="C1434" s="2075" t="s">
        <v>2232</v>
      </c>
      <c r="D1434" s="2073" t="s">
        <v>2329</v>
      </c>
    </row>
    <row r="1435" spans="1:11" x14ac:dyDescent="0.35">
      <c r="A1435" s="1947">
        <v>3007</v>
      </c>
      <c r="B1435" s="2076" t="s">
        <v>3943</v>
      </c>
      <c r="C1435" s="2076" t="s">
        <v>2188</v>
      </c>
      <c r="D1435" s="2073" t="s">
        <v>2330</v>
      </c>
    </row>
    <row r="1436" spans="1:11" ht="28" x14ac:dyDescent="0.35">
      <c r="A1436" s="1947">
        <v>3008</v>
      </c>
      <c r="B1436" s="2076" t="s">
        <v>3944</v>
      </c>
      <c r="C1436" s="2076" t="s">
        <v>2165</v>
      </c>
      <c r="D1436" s="2073" t="s">
        <v>2331</v>
      </c>
    </row>
    <row r="1437" spans="1:11" ht="40" x14ac:dyDescent="0.35">
      <c r="A1437" s="1947">
        <v>3009</v>
      </c>
      <c r="B1437" s="769" t="s">
        <v>3945</v>
      </c>
      <c r="C1437" s="769" t="s">
        <v>2154</v>
      </c>
      <c r="D1437" s="2073" t="s">
        <v>2332</v>
      </c>
    </row>
    <row r="1438" spans="1:11" x14ac:dyDescent="0.35">
      <c r="A1438" s="1947">
        <v>3010</v>
      </c>
      <c r="B1438" s="2149" t="s">
        <v>3946</v>
      </c>
      <c r="C1438" s="2149" t="s">
        <v>2155</v>
      </c>
      <c r="D1438" s="2073" t="s">
        <v>2337</v>
      </c>
    </row>
    <row r="1439" spans="1:11" ht="40" x14ac:dyDescent="0.35">
      <c r="A1439" s="1947">
        <v>3011</v>
      </c>
      <c r="B1439" s="346" t="s">
        <v>3947</v>
      </c>
      <c r="C1439" s="346" t="s">
        <v>2181</v>
      </c>
      <c r="D1439" s="2073" t="s">
        <v>2333</v>
      </c>
    </row>
    <row r="1440" spans="1:11" x14ac:dyDescent="0.35">
      <c r="A1440" s="1947">
        <v>3012</v>
      </c>
      <c r="B1440" s="2150" t="s">
        <v>3948</v>
      </c>
      <c r="C1440" s="2150" t="s">
        <v>2183</v>
      </c>
      <c r="D1440" s="2073" t="s">
        <v>2334</v>
      </c>
    </row>
    <row r="1441" spans="1:4" ht="60" x14ac:dyDescent="0.35">
      <c r="A1441" s="1947">
        <v>3013</v>
      </c>
      <c r="B1441" s="2077" t="s">
        <v>3949</v>
      </c>
      <c r="C1441" s="2077" t="s">
        <v>2186</v>
      </c>
      <c r="D1441" s="2073" t="s">
        <v>2335</v>
      </c>
    </row>
    <row r="1442" spans="1:4" ht="40" x14ac:dyDescent="0.35">
      <c r="A1442" s="1947">
        <v>3014</v>
      </c>
      <c r="B1442" s="719" t="s">
        <v>3950</v>
      </c>
      <c r="C1442" s="719" t="s">
        <v>2303</v>
      </c>
      <c r="D1442" s="2073" t="s">
        <v>2336</v>
      </c>
    </row>
    <row r="1443" spans="1:4" x14ac:dyDescent="0.35">
      <c r="A1443" s="1947">
        <v>3015</v>
      </c>
      <c r="B1443" s="890" t="s">
        <v>3951</v>
      </c>
      <c r="C1443" s="890" t="s">
        <v>2180</v>
      </c>
      <c r="D1443" s="2073" t="s">
        <v>2346</v>
      </c>
    </row>
    <row r="1444" spans="1:4" ht="28" x14ac:dyDescent="0.35">
      <c r="A1444" s="1947">
        <v>3016</v>
      </c>
      <c r="B1444" s="2076" t="s">
        <v>3952</v>
      </c>
      <c r="C1444" s="2076" t="s">
        <v>2166</v>
      </c>
      <c r="D1444" s="2073" t="s">
        <v>2338</v>
      </c>
    </row>
    <row r="1445" spans="1:4" ht="50" x14ac:dyDescent="0.35">
      <c r="A1445" s="1947">
        <v>3017</v>
      </c>
      <c r="B1445" s="769" t="s">
        <v>3953</v>
      </c>
      <c r="C1445" s="769" t="s">
        <v>2187</v>
      </c>
      <c r="D1445" s="2073" t="s">
        <v>2339</v>
      </c>
    </row>
    <row r="1446" spans="1:4" x14ac:dyDescent="0.35">
      <c r="A1446" s="1947">
        <v>3018</v>
      </c>
      <c r="B1446" s="2149" t="s">
        <v>3954</v>
      </c>
      <c r="C1446" s="2149" t="s">
        <v>2184</v>
      </c>
      <c r="D1446" s="2073" t="s">
        <v>2344</v>
      </c>
    </row>
    <row r="1447" spans="1:4" ht="40" x14ac:dyDescent="0.35">
      <c r="A1447" s="1947">
        <v>3019</v>
      </c>
      <c r="B1447" s="346" t="s">
        <v>3955</v>
      </c>
      <c r="C1447" s="346" t="s">
        <v>2543</v>
      </c>
      <c r="D1447" s="2073" t="s">
        <v>2340</v>
      </c>
    </row>
    <row r="1448" spans="1:4" x14ac:dyDescent="0.35">
      <c r="A1448" s="1947">
        <v>3020</v>
      </c>
      <c r="B1448" s="2150" t="s">
        <v>3956</v>
      </c>
      <c r="C1448" s="2150" t="s">
        <v>2185</v>
      </c>
      <c r="D1448" s="2073" t="s">
        <v>2345</v>
      </c>
    </row>
    <row r="1449" spans="1:4" ht="60" x14ac:dyDescent="0.35">
      <c r="A1449" s="1947">
        <v>3021</v>
      </c>
      <c r="B1449" s="2077" t="s">
        <v>3957</v>
      </c>
      <c r="C1449" s="2077" t="s">
        <v>2542</v>
      </c>
      <c r="D1449" s="2073" t="s">
        <v>2341</v>
      </c>
    </row>
    <row r="1450" spans="1:4" x14ac:dyDescent="0.35">
      <c r="A1450" s="1947">
        <v>3022</v>
      </c>
      <c r="B1450" s="2151" t="s">
        <v>3958</v>
      </c>
      <c r="C1450" s="2151" t="s">
        <v>2301</v>
      </c>
      <c r="D1450" s="2073" t="s">
        <v>2342</v>
      </c>
    </row>
    <row r="1451" spans="1:4" ht="90" x14ac:dyDescent="0.35">
      <c r="A1451" s="1947">
        <v>3023</v>
      </c>
      <c r="B1451" s="2078" t="s">
        <v>3959</v>
      </c>
      <c r="C1451" s="2078" t="s">
        <v>2302</v>
      </c>
      <c r="D1451" s="2073" t="s">
        <v>2343</v>
      </c>
    </row>
    <row r="1452" spans="1:4" x14ac:dyDescent="0.35">
      <c r="A1452" s="1947">
        <v>3024</v>
      </c>
      <c r="B1452" s="2076" t="s">
        <v>3960</v>
      </c>
      <c r="C1452" s="2076" t="s">
        <v>2167</v>
      </c>
      <c r="D1452" s="2073" t="s">
        <v>2357</v>
      </c>
    </row>
    <row r="1453" spans="1:4" ht="50" x14ac:dyDescent="0.35">
      <c r="A1453" s="1947">
        <v>3025</v>
      </c>
      <c r="B1453" s="769" t="s">
        <v>3961</v>
      </c>
      <c r="C1453" s="769" t="s">
        <v>2189</v>
      </c>
      <c r="D1453" s="2073" t="s">
        <v>2358</v>
      </c>
    </row>
    <row r="1454" spans="1:4" ht="40" x14ac:dyDescent="0.35">
      <c r="A1454" s="1947">
        <v>3026</v>
      </c>
      <c r="B1454" s="769" t="s">
        <v>3962</v>
      </c>
      <c r="C1454" s="769" t="s">
        <v>2287</v>
      </c>
      <c r="D1454" s="2073" t="s">
        <v>2347</v>
      </c>
    </row>
    <row r="1455" spans="1:4" ht="28" x14ac:dyDescent="0.35">
      <c r="A1455" s="1947">
        <v>3027</v>
      </c>
      <c r="B1455" s="2076" t="s">
        <v>3963</v>
      </c>
      <c r="C1455" s="2076" t="s">
        <v>2224</v>
      </c>
      <c r="D1455" s="2073" t="s">
        <v>2360</v>
      </c>
    </row>
    <row r="1456" spans="1:4" ht="30" x14ac:dyDescent="0.35">
      <c r="A1456" s="1947">
        <v>3028</v>
      </c>
      <c r="B1456" s="769" t="s">
        <v>3964</v>
      </c>
      <c r="C1456" s="769" t="s">
        <v>2288</v>
      </c>
      <c r="D1456" s="2073" t="s">
        <v>2348</v>
      </c>
    </row>
    <row r="1457" spans="1:4" ht="15" thickBot="1" x14ac:dyDescent="0.4">
      <c r="A1457" s="1947">
        <v>3029</v>
      </c>
      <c r="B1457" s="346" t="s">
        <v>3965</v>
      </c>
      <c r="C1457" s="346" t="s">
        <v>2233</v>
      </c>
      <c r="D1457" s="2073" t="s">
        <v>2349</v>
      </c>
    </row>
    <row r="1458" spans="1:4" x14ac:dyDescent="0.35">
      <c r="A1458" s="1947">
        <v>3030</v>
      </c>
      <c r="B1458" s="279" t="s">
        <v>3966</v>
      </c>
      <c r="C1458" s="279" t="s">
        <v>2164</v>
      </c>
      <c r="D1458" s="2073" t="s">
        <v>2351</v>
      </c>
    </row>
    <row r="1459" spans="1:4" ht="30" x14ac:dyDescent="0.35">
      <c r="A1459" s="1947">
        <v>3031</v>
      </c>
      <c r="B1459" s="2018" t="s">
        <v>3967</v>
      </c>
      <c r="C1459" s="2018" t="s">
        <v>2157</v>
      </c>
      <c r="D1459" s="2073" t="s">
        <v>2352</v>
      </c>
    </row>
    <row r="1460" spans="1:4" ht="30" x14ac:dyDescent="0.35">
      <c r="A1460" s="1947">
        <v>3032</v>
      </c>
      <c r="B1460" s="2018" t="s">
        <v>3968</v>
      </c>
      <c r="C1460" s="2018" t="s">
        <v>2158</v>
      </c>
      <c r="D1460" s="2073" t="s">
        <v>2353</v>
      </c>
    </row>
    <row r="1461" spans="1:4" x14ac:dyDescent="0.35">
      <c r="A1461" s="1947">
        <v>3033</v>
      </c>
      <c r="B1461" s="838" t="s">
        <v>3969</v>
      </c>
      <c r="C1461" s="838" t="s">
        <v>2159</v>
      </c>
      <c r="D1461" s="2073" t="s">
        <v>2354</v>
      </c>
    </row>
    <row r="1462" spans="1:4" ht="20.5" thickBot="1" x14ac:dyDescent="0.4">
      <c r="A1462" s="1947">
        <v>3034</v>
      </c>
      <c r="B1462" s="719" t="s">
        <v>3970</v>
      </c>
      <c r="C1462" s="719" t="s">
        <v>2160</v>
      </c>
      <c r="D1462" s="2073" t="s">
        <v>2355</v>
      </c>
    </row>
    <row r="1463" spans="1:4" ht="15" thickBot="1" x14ac:dyDescent="0.4">
      <c r="A1463" s="1947">
        <v>3035</v>
      </c>
      <c r="B1463" s="2079" t="s">
        <v>3971</v>
      </c>
      <c r="C1463" s="2079" t="s">
        <v>2128</v>
      </c>
      <c r="D1463" s="2073" t="s">
        <v>2527</v>
      </c>
    </row>
    <row r="1464" spans="1:4" ht="30" x14ac:dyDescent="0.35">
      <c r="A1464" s="1947">
        <v>3036</v>
      </c>
      <c r="B1464" s="769" t="s">
        <v>3972</v>
      </c>
      <c r="C1464" s="769" t="s">
        <v>2317</v>
      </c>
      <c r="D1464" s="2073" t="s">
        <v>2359</v>
      </c>
    </row>
    <row r="1465" spans="1:4" ht="60.5" thickBot="1" x14ac:dyDescent="0.4">
      <c r="A1465" s="1947">
        <v>3037</v>
      </c>
      <c r="B1465" s="769" t="s">
        <v>3973</v>
      </c>
      <c r="C1465" s="769" t="s">
        <v>2193</v>
      </c>
      <c r="D1465" s="2073" t="s">
        <v>2361</v>
      </c>
    </row>
    <row r="1466" spans="1:4" x14ac:dyDescent="0.35">
      <c r="A1466" s="1947">
        <v>3038</v>
      </c>
      <c r="B1466" s="2152" t="s">
        <v>3974</v>
      </c>
      <c r="C1466" s="2152" t="s">
        <v>1737</v>
      </c>
      <c r="D1466" s="2073" t="s">
        <v>2364</v>
      </c>
    </row>
    <row r="1467" spans="1:4" x14ac:dyDescent="0.35">
      <c r="A1467" s="1947">
        <v>3039</v>
      </c>
      <c r="B1467" s="2153" t="s">
        <v>3975</v>
      </c>
      <c r="C1467" s="2153" t="s">
        <v>1873</v>
      </c>
      <c r="D1467" s="2073" t="s">
        <v>2366</v>
      </c>
    </row>
    <row r="1468" spans="1:4" x14ac:dyDescent="0.35">
      <c r="A1468" s="1947">
        <v>3040</v>
      </c>
      <c r="B1468" s="2080" t="s">
        <v>3976</v>
      </c>
      <c r="C1468" s="2080" t="s">
        <v>2150</v>
      </c>
      <c r="D1468" s="2073" t="s">
        <v>2367</v>
      </c>
    </row>
    <row r="1469" spans="1:4" ht="20" x14ac:dyDescent="0.35">
      <c r="A1469" s="1947">
        <v>3041</v>
      </c>
      <c r="B1469" s="769" t="s">
        <v>3977</v>
      </c>
      <c r="C1469" s="769" t="s">
        <v>2227</v>
      </c>
      <c r="D1469" s="2073" t="s">
        <v>2368</v>
      </c>
    </row>
    <row r="1470" spans="1:4" ht="20" x14ac:dyDescent="0.35">
      <c r="A1470" s="1947">
        <v>3042</v>
      </c>
      <c r="B1470" s="769" t="s">
        <v>3978</v>
      </c>
      <c r="C1470" s="769" t="s">
        <v>2228</v>
      </c>
      <c r="D1470" s="2073" t="s">
        <v>2369</v>
      </c>
    </row>
    <row r="1471" spans="1:4" ht="60" x14ac:dyDescent="0.35">
      <c r="A1471" s="1947">
        <v>3043</v>
      </c>
      <c r="B1471" s="769" t="s">
        <v>3979</v>
      </c>
      <c r="C1471" s="769" t="s">
        <v>2229</v>
      </c>
      <c r="D1471" s="2073" t="s">
        <v>2370</v>
      </c>
    </row>
    <row r="1472" spans="1:4" ht="80" x14ac:dyDescent="0.35">
      <c r="A1472" s="1947">
        <v>3044</v>
      </c>
      <c r="B1472" s="769" t="s">
        <v>3980</v>
      </c>
      <c r="C1472" s="769" t="s">
        <v>2304</v>
      </c>
      <c r="D1472" s="2073" t="s">
        <v>2371</v>
      </c>
    </row>
    <row r="1473" spans="1:4" ht="30" x14ac:dyDescent="0.35">
      <c r="A1473" s="1947">
        <v>3045</v>
      </c>
      <c r="B1473" s="769" t="s">
        <v>3981</v>
      </c>
      <c r="C1473" s="769" t="s">
        <v>2230</v>
      </c>
      <c r="D1473" s="2073" t="s">
        <v>2372</v>
      </c>
    </row>
    <row r="1474" spans="1:4" x14ac:dyDescent="0.35">
      <c r="A1474" s="1947">
        <v>3046</v>
      </c>
      <c r="B1474" s="2081" t="s">
        <v>3982</v>
      </c>
      <c r="C1474" s="2081" t="s">
        <v>2197</v>
      </c>
      <c r="D1474" s="2073" t="s">
        <v>2373</v>
      </c>
    </row>
    <row r="1475" spans="1:4" x14ac:dyDescent="0.35">
      <c r="A1475" s="1947">
        <v>3047</v>
      </c>
      <c r="B1475" s="2081" t="s">
        <v>3983</v>
      </c>
      <c r="C1475" s="2081" t="s">
        <v>2198</v>
      </c>
      <c r="D1475" s="2073" t="s">
        <v>2495</v>
      </c>
    </row>
    <row r="1476" spans="1:4" x14ac:dyDescent="0.35">
      <c r="A1476" s="1947">
        <v>3048</v>
      </c>
      <c r="B1476" s="2081" t="s">
        <v>3984</v>
      </c>
      <c r="C1476" s="2081" t="s">
        <v>2199</v>
      </c>
      <c r="D1476" s="2073" t="s">
        <v>2493</v>
      </c>
    </row>
    <row r="1477" spans="1:4" x14ac:dyDescent="0.35">
      <c r="A1477" s="1947">
        <v>3049</v>
      </c>
      <c r="B1477" s="2081" t="s">
        <v>3985</v>
      </c>
      <c r="C1477" s="2081" t="s">
        <v>2200</v>
      </c>
      <c r="D1477" s="2073" t="s">
        <v>2472</v>
      </c>
    </row>
    <row r="1478" spans="1:4" x14ac:dyDescent="0.35">
      <c r="A1478" s="1947">
        <v>3050</v>
      </c>
      <c r="B1478" s="2082" t="s">
        <v>3986</v>
      </c>
      <c r="C1478" s="2082" t="s">
        <v>2239</v>
      </c>
      <c r="D1478" s="2073" t="s">
        <v>2374</v>
      </c>
    </row>
    <row r="1479" spans="1:4" ht="30" x14ac:dyDescent="0.35">
      <c r="A1479" s="1947">
        <v>3051</v>
      </c>
      <c r="B1479" s="346" t="s">
        <v>3987</v>
      </c>
      <c r="C1479" s="346" t="s">
        <v>2240</v>
      </c>
      <c r="D1479" s="2073" t="s">
        <v>2375</v>
      </c>
    </row>
    <row r="1480" spans="1:4" ht="20" x14ac:dyDescent="0.35">
      <c r="A1480" s="1947">
        <v>3052</v>
      </c>
      <c r="B1480" s="346" t="s">
        <v>3988</v>
      </c>
      <c r="C1480" s="346" t="s">
        <v>2235</v>
      </c>
      <c r="D1480" s="2073" t="s">
        <v>2376</v>
      </c>
    </row>
    <row r="1481" spans="1:4" ht="20" x14ac:dyDescent="0.35">
      <c r="A1481" s="1947">
        <v>3053</v>
      </c>
      <c r="B1481" s="346" t="s">
        <v>3989</v>
      </c>
      <c r="C1481" s="346" t="s">
        <v>2274</v>
      </c>
      <c r="D1481" s="2073" t="s">
        <v>2377</v>
      </c>
    </row>
    <row r="1482" spans="1:4" x14ac:dyDescent="0.35">
      <c r="A1482" s="1947">
        <v>3054</v>
      </c>
      <c r="B1482" s="346" t="s">
        <v>3990</v>
      </c>
      <c r="C1482" s="346" t="s">
        <v>2236</v>
      </c>
      <c r="D1482" s="2073" t="s">
        <v>2383</v>
      </c>
    </row>
    <row r="1483" spans="1:4" ht="20" x14ac:dyDescent="0.35">
      <c r="A1483" s="1947">
        <v>3055</v>
      </c>
      <c r="B1483" s="346" t="s">
        <v>3991</v>
      </c>
      <c r="C1483" s="346" t="s">
        <v>2273</v>
      </c>
      <c r="D1483" s="2073" t="s">
        <v>2378</v>
      </c>
    </row>
    <row r="1484" spans="1:4" ht="30" x14ac:dyDescent="0.35">
      <c r="A1484" s="1947">
        <v>3056</v>
      </c>
      <c r="B1484" s="346" t="s">
        <v>3992</v>
      </c>
      <c r="C1484" s="346" t="s">
        <v>2272</v>
      </c>
      <c r="D1484" s="2073" t="s">
        <v>2379</v>
      </c>
    </row>
    <row r="1485" spans="1:4" x14ac:dyDescent="0.35">
      <c r="A1485" s="1947">
        <v>3057</v>
      </c>
      <c r="B1485" s="2083" t="s">
        <v>3993</v>
      </c>
      <c r="C1485" s="2083" t="s">
        <v>2241</v>
      </c>
      <c r="D1485" s="2073" t="s">
        <v>2380</v>
      </c>
    </row>
    <row r="1486" spans="1:4" x14ac:dyDescent="0.35">
      <c r="A1486" s="1947">
        <v>3058</v>
      </c>
      <c r="B1486" s="2081" t="s">
        <v>3994</v>
      </c>
      <c r="C1486" s="2081" t="s">
        <v>2237</v>
      </c>
      <c r="D1486" s="2073" t="s">
        <v>2381</v>
      </c>
    </row>
    <row r="1487" spans="1:4" ht="15" thickBot="1" x14ac:dyDescent="0.4">
      <c r="A1487" s="1947">
        <v>3059</v>
      </c>
      <c r="B1487" s="2084" t="s">
        <v>3995</v>
      </c>
      <c r="C1487" s="2084" t="s">
        <v>2238</v>
      </c>
      <c r="D1487" s="2073" t="s">
        <v>2382</v>
      </c>
    </row>
    <row r="1488" spans="1:4" x14ac:dyDescent="0.35">
      <c r="A1488" s="1947">
        <v>3060</v>
      </c>
      <c r="B1488" s="2081" t="s">
        <v>3996</v>
      </c>
      <c r="C1488" s="2081" t="s">
        <v>2270</v>
      </c>
      <c r="D1488" s="2073" t="s">
        <v>2474</v>
      </c>
    </row>
    <row r="1489" spans="1:4" x14ac:dyDescent="0.35">
      <c r="A1489" s="1947">
        <v>3061</v>
      </c>
      <c r="B1489" s="2081" t="s">
        <v>3997</v>
      </c>
      <c r="C1489" s="2081" t="s">
        <v>2271</v>
      </c>
      <c r="D1489" s="2073" t="s">
        <v>2475</v>
      </c>
    </row>
    <row r="1490" spans="1:4" ht="20" x14ac:dyDescent="0.35">
      <c r="A1490" s="1947">
        <v>3062</v>
      </c>
      <c r="B1490" s="346" t="s">
        <v>3998</v>
      </c>
      <c r="C1490" s="346" t="s">
        <v>2305</v>
      </c>
      <c r="D1490" s="2073" t="s">
        <v>2384</v>
      </c>
    </row>
    <row r="1491" spans="1:4" ht="30" x14ac:dyDescent="0.35">
      <c r="A1491" s="1947">
        <v>3063</v>
      </c>
      <c r="B1491" s="921" t="s">
        <v>3999</v>
      </c>
      <c r="C1491" s="921" t="s">
        <v>2264</v>
      </c>
      <c r="D1491" s="2073" t="s">
        <v>2385</v>
      </c>
    </row>
    <row r="1492" spans="1:4" ht="60" x14ac:dyDescent="0.35">
      <c r="A1492" s="1947">
        <v>3064</v>
      </c>
      <c r="B1492" s="346" t="s">
        <v>4000</v>
      </c>
      <c r="C1492" s="346" t="s">
        <v>2321</v>
      </c>
      <c r="D1492" s="2073" t="s">
        <v>2386</v>
      </c>
    </row>
    <row r="1493" spans="1:4" ht="30" x14ac:dyDescent="0.35">
      <c r="A1493" s="1947">
        <v>3065</v>
      </c>
      <c r="B1493" s="346" t="s">
        <v>4001</v>
      </c>
      <c r="C1493" s="346" t="s">
        <v>2269</v>
      </c>
      <c r="D1493" s="2073" t="s">
        <v>2387</v>
      </c>
    </row>
    <row r="1494" spans="1:4" ht="20" x14ac:dyDescent="0.35">
      <c r="A1494" s="1947">
        <v>3066</v>
      </c>
      <c r="B1494" s="346" t="s">
        <v>4002</v>
      </c>
      <c r="C1494" s="346" t="s">
        <v>2265</v>
      </c>
      <c r="D1494" s="2073" t="s">
        <v>2388</v>
      </c>
    </row>
    <row r="1495" spans="1:4" ht="30" x14ac:dyDescent="0.35">
      <c r="A1495" s="1947">
        <v>3067</v>
      </c>
      <c r="B1495" s="769" t="s">
        <v>4003</v>
      </c>
      <c r="C1495" s="769" t="s">
        <v>2268</v>
      </c>
      <c r="D1495" s="2073" t="s">
        <v>2389</v>
      </c>
    </row>
    <row r="1496" spans="1:4" ht="20" x14ac:dyDescent="0.35">
      <c r="A1496" s="1947">
        <v>3068</v>
      </c>
      <c r="B1496" s="2085" t="s">
        <v>4004</v>
      </c>
      <c r="C1496" s="2085" t="s">
        <v>2262</v>
      </c>
      <c r="D1496" s="2073" t="s">
        <v>2390</v>
      </c>
    </row>
    <row r="1497" spans="1:4" x14ac:dyDescent="0.35">
      <c r="A1497" s="1947">
        <v>3069</v>
      </c>
      <c r="B1497" s="2086" t="s">
        <v>4005</v>
      </c>
      <c r="C1497" s="2086" t="s">
        <v>2263</v>
      </c>
      <c r="D1497" s="2073" t="s">
        <v>2476</v>
      </c>
    </row>
    <row r="1498" spans="1:4" x14ac:dyDescent="0.35">
      <c r="A1498" s="1947">
        <v>3070</v>
      </c>
      <c r="B1498" s="2087" t="s">
        <v>4006</v>
      </c>
      <c r="C1498" s="2087" t="s">
        <v>2266</v>
      </c>
      <c r="D1498" s="2073" t="s">
        <v>2477</v>
      </c>
    </row>
    <row r="1499" spans="1:4" x14ac:dyDescent="0.35">
      <c r="A1499" s="1947">
        <v>3071</v>
      </c>
      <c r="B1499" s="2088" t="s">
        <v>4007</v>
      </c>
      <c r="C1499" s="2088" t="s">
        <v>2267</v>
      </c>
      <c r="D1499" s="2073" t="s">
        <v>2478</v>
      </c>
    </row>
    <row r="1500" spans="1:4" ht="26" x14ac:dyDescent="0.35">
      <c r="A1500" s="1947">
        <v>3072</v>
      </c>
      <c r="B1500" s="2082" t="s">
        <v>4008</v>
      </c>
      <c r="C1500" s="2082" t="s">
        <v>2242</v>
      </c>
      <c r="D1500" s="2073" t="s">
        <v>2479</v>
      </c>
    </row>
    <row r="1501" spans="1:4" ht="30" x14ac:dyDescent="0.35">
      <c r="A1501" s="1947">
        <v>3073</v>
      </c>
      <c r="B1501" s="769" t="s">
        <v>4009</v>
      </c>
      <c r="C1501" s="769" t="s">
        <v>2306</v>
      </c>
      <c r="D1501" s="2073" t="s">
        <v>2391</v>
      </c>
    </row>
    <row r="1502" spans="1:4" x14ac:dyDescent="0.35">
      <c r="A1502" s="1947">
        <v>3074</v>
      </c>
      <c r="B1502" s="2083" t="s">
        <v>4010</v>
      </c>
      <c r="C1502" s="2083" t="s">
        <v>2244</v>
      </c>
      <c r="D1502" s="2073" t="s">
        <v>2392</v>
      </c>
    </row>
    <row r="1503" spans="1:4" ht="20" x14ac:dyDescent="0.35">
      <c r="A1503" s="1947">
        <v>3075</v>
      </c>
      <c r="B1503" s="2085" t="s">
        <v>4011</v>
      </c>
      <c r="C1503" s="2085" t="s">
        <v>2245</v>
      </c>
      <c r="D1503" s="2073" t="s">
        <v>2393</v>
      </c>
    </row>
    <row r="1504" spans="1:4" ht="20" x14ac:dyDescent="0.35">
      <c r="A1504" s="1947">
        <v>3076</v>
      </c>
      <c r="B1504" s="2085" t="s">
        <v>4012</v>
      </c>
      <c r="C1504" s="2085" t="s">
        <v>2246</v>
      </c>
      <c r="D1504" s="2073" t="s">
        <v>2394</v>
      </c>
    </row>
    <row r="1505" spans="1:4" x14ac:dyDescent="0.35">
      <c r="A1505" s="1947">
        <v>3077</v>
      </c>
      <c r="B1505" s="2081" t="s">
        <v>4013</v>
      </c>
      <c r="C1505" s="2081" t="s">
        <v>2247</v>
      </c>
      <c r="D1505" s="2073" t="s">
        <v>2395</v>
      </c>
    </row>
    <row r="1506" spans="1:4" x14ac:dyDescent="0.35">
      <c r="A1506" s="1947">
        <v>3078</v>
      </c>
      <c r="B1506" s="2081" t="s">
        <v>4014</v>
      </c>
      <c r="C1506" s="2081" t="s">
        <v>2248</v>
      </c>
      <c r="D1506" s="2073" t="s">
        <v>2396</v>
      </c>
    </row>
    <row r="1507" spans="1:4" ht="39" x14ac:dyDescent="0.35">
      <c r="A1507" s="1947">
        <v>3079</v>
      </c>
      <c r="B1507" s="2089" t="s">
        <v>4015</v>
      </c>
      <c r="C1507" s="2089" t="s">
        <v>2249</v>
      </c>
      <c r="D1507" s="2073" t="s">
        <v>2397</v>
      </c>
    </row>
    <row r="1508" spans="1:4" ht="40" x14ac:dyDescent="0.35">
      <c r="A1508" s="1947">
        <v>3080</v>
      </c>
      <c r="B1508" s="2085" t="s">
        <v>4016</v>
      </c>
      <c r="C1508" s="2085" t="s">
        <v>2250</v>
      </c>
      <c r="D1508" s="2073" t="s">
        <v>2398</v>
      </c>
    </row>
    <row r="1509" spans="1:4" ht="25" x14ac:dyDescent="0.35">
      <c r="A1509" s="1947">
        <v>3081</v>
      </c>
      <c r="B1509" s="2081" t="s">
        <v>4017</v>
      </c>
      <c r="C1509" s="2081" t="s">
        <v>2251</v>
      </c>
      <c r="D1509" s="2073" t="s">
        <v>2399</v>
      </c>
    </row>
    <row r="1510" spans="1:4" ht="30" x14ac:dyDescent="0.35">
      <c r="A1510" s="1947">
        <v>3082</v>
      </c>
      <c r="B1510" s="346" t="s">
        <v>4018</v>
      </c>
      <c r="C1510" s="346" t="s">
        <v>2253</v>
      </c>
      <c r="D1510" s="2073" t="s">
        <v>2400</v>
      </c>
    </row>
    <row r="1511" spans="1:4" ht="30" x14ac:dyDescent="0.35">
      <c r="A1511" s="1947">
        <v>3083</v>
      </c>
      <c r="B1511" s="2085" t="s">
        <v>4019</v>
      </c>
      <c r="C1511" s="2085" t="s">
        <v>2261</v>
      </c>
      <c r="D1511" s="2073" t="s">
        <v>2401</v>
      </c>
    </row>
    <row r="1512" spans="1:4" ht="39" x14ac:dyDescent="0.35">
      <c r="A1512" s="1947">
        <v>3084</v>
      </c>
      <c r="B1512" s="2083" t="s">
        <v>4020</v>
      </c>
      <c r="C1512" s="2083" t="s">
        <v>2307</v>
      </c>
      <c r="D1512" s="2073" t="s">
        <v>2402</v>
      </c>
    </row>
    <row r="1513" spans="1:4" x14ac:dyDescent="0.35">
      <c r="A1513" s="1947">
        <v>3085</v>
      </c>
      <c r="B1513" s="2081" t="s">
        <v>4021</v>
      </c>
      <c r="C1513" s="2081" t="s">
        <v>2252</v>
      </c>
      <c r="D1513" s="2073" t="s">
        <v>2403</v>
      </c>
    </row>
    <row r="1514" spans="1:4" ht="20" x14ac:dyDescent="0.35">
      <c r="A1514" s="1947">
        <v>3086</v>
      </c>
      <c r="B1514" s="346" t="s">
        <v>4022</v>
      </c>
      <c r="C1514" s="346" t="s">
        <v>2215</v>
      </c>
      <c r="D1514" s="2073" t="s">
        <v>2429</v>
      </c>
    </row>
    <row r="1515" spans="1:4" x14ac:dyDescent="0.35">
      <c r="A1515" s="1947">
        <v>3087</v>
      </c>
      <c r="B1515" s="1364" t="s">
        <v>4023</v>
      </c>
      <c r="C1515" s="1364" t="s">
        <v>2214</v>
      </c>
      <c r="D1515" s="2073" t="s">
        <v>2470</v>
      </c>
    </row>
    <row r="1516" spans="1:4" x14ac:dyDescent="0.35">
      <c r="A1516" s="1947">
        <v>3088</v>
      </c>
      <c r="B1516" s="1950" t="s">
        <v>4024</v>
      </c>
      <c r="C1516" s="1950" t="s">
        <v>2079</v>
      </c>
      <c r="D1516" s="2073" t="s">
        <v>2404</v>
      </c>
    </row>
    <row r="1517" spans="1:4" ht="40" x14ac:dyDescent="0.35">
      <c r="A1517" s="1947">
        <v>3089</v>
      </c>
      <c r="B1517" s="346" t="s">
        <v>4025</v>
      </c>
      <c r="C1517" s="346" t="s">
        <v>2080</v>
      </c>
      <c r="D1517" s="2073" t="s">
        <v>2405</v>
      </c>
    </row>
    <row r="1518" spans="1:4" x14ac:dyDescent="0.35">
      <c r="A1518" s="1947">
        <v>3090</v>
      </c>
      <c r="B1518" s="346" t="s">
        <v>2013</v>
      </c>
      <c r="C1518" s="346" t="s">
        <v>2013</v>
      </c>
      <c r="D1518" s="2073" t="s">
        <v>2406</v>
      </c>
    </row>
    <row r="1519" spans="1:4" x14ac:dyDescent="0.35">
      <c r="A1519" s="1947">
        <v>3091</v>
      </c>
      <c r="B1519" s="2154" t="s">
        <v>4026</v>
      </c>
      <c r="C1519" s="2154" t="s">
        <v>2308</v>
      </c>
      <c r="D1519" s="2073" t="s">
        <v>2407</v>
      </c>
    </row>
    <row r="1520" spans="1:4" ht="20" x14ac:dyDescent="0.35">
      <c r="A1520" s="1947">
        <v>3092</v>
      </c>
      <c r="B1520" s="346" t="s">
        <v>4027</v>
      </c>
      <c r="C1520" s="346" t="s">
        <v>2221</v>
      </c>
      <c r="D1520" s="2073" t="s">
        <v>2432</v>
      </c>
    </row>
    <row r="1521" spans="1:4" x14ac:dyDescent="0.35">
      <c r="A1521" s="1947">
        <v>3093</v>
      </c>
      <c r="B1521" s="2154" t="s">
        <v>2222</v>
      </c>
      <c r="C1521" s="2154" t="s">
        <v>2222</v>
      </c>
      <c r="D1521" s="2073" t="s">
        <v>2433</v>
      </c>
    </row>
    <row r="1522" spans="1:4" x14ac:dyDescent="0.35">
      <c r="A1522" s="1947">
        <v>3094</v>
      </c>
      <c r="B1522" s="2090" t="s">
        <v>4028</v>
      </c>
      <c r="C1522" s="2090" t="s">
        <v>975</v>
      </c>
      <c r="D1522" s="2073" t="s">
        <v>2436</v>
      </c>
    </row>
    <row r="1523" spans="1:4" x14ac:dyDescent="0.35">
      <c r="A1523" s="1947">
        <v>3095</v>
      </c>
      <c r="B1523" s="2090" t="s">
        <v>4029</v>
      </c>
      <c r="C1523" s="2090" t="s">
        <v>2146</v>
      </c>
      <c r="D1523" s="2073" t="s">
        <v>2437</v>
      </c>
    </row>
    <row r="1524" spans="1:4" x14ac:dyDescent="0.35">
      <c r="A1524" s="1947">
        <v>3096</v>
      </c>
      <c r="B1524" s="1999" t="s">
        <v>4030</v>
      </c>
      <c r="C1524" s="1999" t="s">
        <v>2255</v>
      </c>
      <c r="D1524" s="2073" t="s">
        <v>2415</v>
      </c>
    </row>
    <row r="1525" spans="1:4" ht="50" x14ac:dyDescent="0.35">
      <c r="A1525" s="1947">
        <v>3097</v>
      </c>
      <c r="B1525" s="2001" t="s">
        <v>4031</v>
      </c>
      <c r="C1525" s="2001" t="s">
        <v>2254</v>
      </c>
      <c r="D1525" s="2073" t="s">
        <v>2408</v>
      </c>
    </row>
    <row r="1526" spans="1:4" ht="40" x14ac:dyDescent="0.35">
      <c r="A1526" s="1947">
        <v>3098</v>
      </c>
      <c r="B1526" s="2001" t="s">
        <v>4032</v>
      </c>
      <c r="C1526" s="2001" t="s">
        <v>1408</v>
      </c>
      <c r="D1526" s="2073" t="s">
        <v>2409</v>
      </c>
    </row>
    <row r="1527" spans="1:4" x14ac:dyDescent="0.35">
      <c r="A1527" s="1947">
        <v>3099</v>
      </c>
      <c r="B1527" s="2004" t="s">
        <v>4033</v>
      </c>
      <c r="C1527" s="2004" t="s">
        <v>2256</v>
      </c>
      <c r="D1527" s="2073" t="s">
        <v>2411</v>
      </c>
    </row>
    <row r="1528" spans="1:4" ht="26.5" thickBot="1" x14ac:dyDescent="0.4">
      <c r="A1528" s="1947">
        <v>3100</v>
      </c>
      <c r="B1528" s="771" t="s">
        <v>4034</v>
      </c>
      <c r="C1528" s="771" t="s">
        <v>771</v>
      </c>
      <c r="D1528" s="2073" t="s">
        <v>2412</v>
      </c>
    </row>
    <row r="1529" spans="1:4" ht="15" thickBot="1" x14ac:dyDescent="0.4">
      <c r="A1529" s="1947">
        <v>3101</v>
      </c>
      <c r="B1529" s="2155" t="s">
        <v>4035</v>
      </c>
      <c r="C1529" s="2155" t="s">
        <v>775</v>
      </c>
      <c r="D1529" s="2073" t="s">
        <v>2413</v>
      </c>
    </row>
    <row r="1530" spans="1:4" x14ac:dyDescent="0.35">
      <c r="A1530" s="1947">
        <v>3103</v>
      </c>
      <c r="B1530" s="346" t="s">
        <v>4036</v>
      </c>
      <c r="C1530" s="346" t="s">
        <v>2217</v>
      </c>
      <c r="D1530" s="2073" t="s">
        <v>2427</v>
      </c>
    </row>
    <row r="1531" spans="1:4" ht="20" x14ac:dyDescent="0.35">
      <c r="A1531" s="1947">
        <v>3104</v>
      </c>
      <c r="B1531" s="346" t="s">
        <v>4037</v>
      </c>
      <c r="C1531" s="346" t="s">
        <v>2218</v>
      </c>
      <c r="D1531" s="2073" t="s">
        <v>2428</v>
      </c>
    </row>
    <row r="1532" spans="1:4" x14ac:dyDescent="0.35">
      <c r="A1532" s="1947">
        <v>3105</v>
      </c>
      <c r="B1532" s="2154" t="s">
        <v>2257</v>
      </c>
      <c r="C1532" s="2154" t="s">
        <v>2257</v>
      </c>
      <c r="D1532" s="2073" t="s">
        <v>2431</v>
      </c>
    </row>
    <row r="1533" spans="1:4" ht="50" x14ac:dyDescent="0.35">
      <c r="A1533" s="1947">
        <v>3106</v>
      </c>
      <c r="B1533" s="346" t="s">
        <v>4038</v>
      </c>
      <c r="C1533" s="346" t="s">
        <v>2309</v>
      </c>
      <c r="D1533" s="2073" t="s">
        <v>2438</v>
      </c>
    </row>
    <row r="1534" spans="1:4" ht="20" x14ac:dyDescent="0.35">
      <c r="A1534" s="1947">
        <v>3107</v>
      </c>
      <c r="B1534" s="346" t="s">
        <v>4039</v>
      </c>
      <c r="C1534" s="346" t="s">
        <v>2314</v>
      </c>
      <c r="D1534" s="2073" t="s">
        <v>2439</v>
      </c>
    </row>
    <row r="1535" spans="1:4" ht="26" x14ac:dyDescent="0.35">
      <c r="A1535" s="1947">
        <v>3108</v>
      </c>
      <c r="B1535" s="1950" t="s">
        <v>4040</v>
      </c>
      <c r="C1535" s="1950" t="s">
        <v>2173</v>
      </c>
      <c r="D1535" s="2073" t="s">
        <v>2418</v>
      </c>
    </row>
    <row r="1536" spans="1:4" ht="30" x14ac:dyDescent="0.35">
      <c r="A1536" s="1947">
        <v>3109</v>
      </c>
      <c r="B1536" s="921" t="s">
        <v>4041</v>
      </c>
      <c r="C1536" s="921" t="s">
        <v>2223</v>
      </c>
      <c r="D1536" s="2073" t="s">
        <v>2442</v>
      </c>
    </row>
    <row r="1537" spans="1:4" ht="20" x14ac:dyDescent="0.35">
      <c r="A1537" s="1947">
        <v>3110</v>
      </c>
      <c r="B1537" s="346" t="s">
        <v>4042</v>
      </c>
      <c r="C1537" s="346" t="s">
        <v>2315</v>
      </c>
      <c r="D1537" s="2073" t="s">
        <v>2419</v>
      </c>
    </row>
    <row r="1538" spans="1:4" ht="20" x14ac:dyDescent="0.35">
      <c r="A1538" s="1947">
        <v>3111</v>
      </c>
      <c r="B1538" s="346" t="s">
        <v>4043</v>
      </c>
      <c r="C1538" s="346" t="s">
        <v>2231</v>
      </c>
      <c r="D1538" s="2073" t="s">
        <v>2444</v>
      </c>
    </row>
    <row r="1539" spans="1:4" ht="47.5" x14ac:dyDescent="0.35">
      <c r="A1539" s="1947">
        <v>3112</v>
      </c>
      <c r="B1539" s="2156" t="s">
        <v>4044</v>
      </c>
      <c r="C1539" s="2156" t="s">
        <v>2139</v>
      </c>
      <c r="D1539" s="2073" t="s">
        <v>2420</v>
      </c>
    </row>
    <row r="1540" spans="1:4" ht="26" x14ac:dyDescent="0.35">
      <c r="A1540" s="1947">
        <v>3113</v>
      </c>
      <c r="B1540" s="1950" t="s">
        <v>4045</v>
      </c>
      <c r="C1540" s="1950" t="s">
        <v>2172</v>
      </c>
      <c r="D1540" s="2073" t="s">
        <v>2421</v>
      </c>
    </row>
    <row r="1541" spans="1:4" ht="40" x14ac:dyDescent="0.35">
      <c r="A1541" s="1947">
        <v>3114</v>
      </c>
      <c r="B1541" s="346" t="s">
        <v>4046</v>
      </c>
      <c r="C1541" s="346" t="s">
        <v>2225</v>
      </c>
      <c r="D1541" s="2073" t="s">
        <v>2422</v>
      </c>
    </row>
    <row r="1542" spans="1:4" ht="26" x14ac:dyDescent="0.35">
      <c r="A1542" s="1947">
        <v>3115</v>
      </c>
      <c r="B1542" s="1950" t="s">
        <v>4047</v>
      </c>
      <c r="C1542" s="1950" t="s">
        <v>2174</v>
      </c>
      <c r="D1542" s="2073" t="s">
        <v>2423</v>
      </c>
    </row>
    <row r="1543" spans="1:4" ht="20" x14ac:dyDescent="0.35">
      <c r="A1543" s="1947">
        <v>3116</v>
      </c>
      <c r="B1543" s="346" t="s">
        <v>4048</v>
      </c>
      <c r="C1543" s="346" t="s">
        <v>2275</v>
      </c>
      <c r="D1543" s="2073" t="s">
        <v>2450</v>
      </c>
    </row>
    <row r="1544" spans="1:4" ht="37" x14ac:dyDescent="0.35">
      <c r="A1544" s="1947">
        <v>3117</v>
      </c>
      <c r="B1544" s="2156" t="s">
        <v>4049</v>
      </c>
      <c r="C1544" s="2156" t="s">
        <v>2138</v>
      </c>
      <c r="D1544" s="2073" t="s">
        <v>2452</v>
      </c>
    </row>
    <row r="1545" spans="1:4" x14ac:dyDescent="0.35">
      <c r="A1545" s="1947">
        <v>3118</v>
      </c>
      <c r="B1545" s="1950" t="s">
        <v>4050</v>
      </c>
      <c r="C1545" s="1950" t="s">
        <v>2161</v>
      </c>
      <c r="D1545" s="2073" t="s">
        <v>2453</v>
      </c>
    </row>
    <row r="1546" spans="1:4" x14ac:dyDescent="0.35">
      <c r="A1546" s="1947">
        <v>3119</v>
      </c>
      <c r="B1546" s="2091" t="s">
        <v>4051</v>
      </c>
      <c r="C1546" s="2091" t="s">
        <v>2162</v>
      </c>
      <c r="D1546" s="2073" t="s">
        <v>2455</v>
      </c>
    </row>
    <row r="1547" spans="1:4" x14ac:dyDescent="0.35">
      <c r="A1547" s="1947">
        <v>3120</v>
      </c>
      <c r="B1547" s="1364" t="s">
        <v>4052</v>
      </c>
      <c r="C1547" s="1364" t="s">
        <v>2141</v>
      </c>
      <c r="D1547" s="2073" t="s">
        <v>2457</v>
      </c>
    </row>
    <row r="1548" spans="1:4" x14ac:dyDescent="0.35">
      <c r="A1548" s="1947">
        <v>3121</v>
      </c>
      <c r="B1548" s="1364" t="s">
        <v>4053</v>
      </c>
      <c r="C1548" s="1364" t="s">
        <v>2322</v>
      </c>
      <c r="D1548" s="2073" t="s">
        <v>2458</v>
      </c>
    </row>
    <row r="1549" spans="1:4" ht="26" x14ac:dyDescent="0.35">
      <c r="A1549" s="1947">
        <v>3122</v>
      </c>
      <c r="B1549" s="2091" t="s">
        <v>4054</v>
      </c>
      <c r="C1549" s="2091" t="s">
        <v>2179</v>
      </c>
      <c r="D1549" s="2073" t="s">
        <v>2460</v>
      </c>
    </row>
    <row r="1550" spans="1:4" ht="20" x14ac:dyDescent="0.35">
      <c r="A1550" s="1947">
        <v>3123</v>
      </c>
      <c r="B1550" s="2092" t="s">
        <v>4055</v>
      </c>
      <c r="C1550" s="2092" t="s">
        <v>2280</v>
      </c>
      <c r="D1550" s="2073" t="s">
        <v>2461</v>
      </c>
    </row>
    <row r="1551" spans="1:4" x14ac:dyDescent="0.35">
      <c r="A1551" s="1947">
        <v>3124</v>
      </c>
      <c r="B1551" s="1364" t="s">
        <v>4056</v>
      </c>
      <c r="C1551" s="1364" t="s">
        <v>2219</v>
      </c>
      <c r="D1551" s="2073" t="s">
        <v>2462</v>
      </c>
    </row>
    <row r="1552" spans="1:4" ht="50" x14ac:dyDescent="0.35">
      <c r="A1552" s="1947">
        <v>3125</v>
      </c>
      <c r="B1552" s="2002" t="s">
        <v>4057</v>
      </c>
      <c r="C1552" s="2002" t="s">
        <v>2258</v>
      </c>
      <c r="D1552" s="2073" t="s">
        <v>2416</v>
      </c>
    </row>
    <row r="1553" spans="1:4" x14ac:dyDescent="0.35">
      <c r="A1553" s="1947">
        <v>3126</v>
      </c>
      <c r="B1553" s="2004" t="s">
        <v>4058</v>
      </c>
      <c r="C1553" s="2004" t="s">
        <v>2260</v>
      </c>
      <c r="D1553" s="2073" t="s">
        <v>2494</v>
      </c>
    </row>
    <row r="1554" spans="1:4" x14ac:dyDescent="0.35">
      <c r="A1554" s="1947">
        <v>3127</v>
      </c>
      <c r="B1554" s="2004" t="s">
        <v>4059</v>
      </c>
      <c r="C1554" s="2004" t="s">
        <v>2312</v>
      </c>
      <c r="D1554" s="2073" t="s">
        <v>2417</v>
      </c>
    </row>
    <row r="1555" spans="1:4" x14ac:dyDescent="0.35">
      <c r="A1555" s="1947">
        <v>3128</v>
      </c>
      <c r="B1555" s="2004" t="s">
        <v>4060</v>
      </c>
      <c r="C1555" s="2004" t="s">
        <v>2259</v>
      </c>
      <c r="D1555" s="2073" t="s">
        <v>2492</v>
      </c>
    </row>
    <row r="1556" spans="1:4" ht="20" x14ac:dyDescent="0.35">
      <c r="A1556" s="1947">
        <v>3129</v>
      </c>
      <c r="B1556" s="346" t="s">
        <v>4061</v>
      </c>
      <c r="C1556" s="346" t="s">
        <v>2313</v>
      </c>
      <c r="D1556" s="2073" t="s">
        <v>2414</v>
      </c>
    </row>
    <row r="1557" spans="1:4" x14ac:dyDescent="0.35">
      <c r="A1557" s="1947">
        <v>3130</v>
      </c>
      <c r="B1557" s="2090" t="s">
        <v>4062</v>
      </c>
      <c r="C1557" s="2090" t="s">
        <v>29</v>
      </c>
      <c r="D1557" s="2073" t="s">
        <v>2435</v>
      </c>
    </row>
    <row r="1558" spans="1:4" ht="40" x14ac:dyDescent="0.35">
      <c r="A1558" s="1947">
        <v>3131</v>
      </c>
      <c r="B1558" s="2002" t="s">
        <v>4063</v>
      </c>
      <c r="C1558" s="2002" t="s">
        <v>2282</v>
      </c>
      <c r="D1558" s="2073" t="s">
        <v>2425</v>
      </c>
    </row>
    <row r="1559" spans="1:4" x14ac:dyDescent="0.35">
      <c r="A1559" s="1947">
        <v>3132</v>
      </c>
      <c r="B1559" s="2004" t="s">
        <v>4064</v>
      </c>
      <c r="C1559" s="2004" t="s">
        <v>2281</v>
      </c>
      <c r="D1559" s="2073" t="s">
        <v>2426</v>
      </c>
    </row>
    <row r="1560" spans="1:4" ht="20" x14ac:dyDescent="0.35">
      <c r="A1560" s="1947">
        <v>3133</v>
      </c>
      <c r="B1560" s="346" t="s">
        <v>4065</v>
      </c>
      <c r="C1560" s="346" t="s">
        <v>2285</v>
      </c>
      <c r="D1560" s="2073" t="s">
        <v>2430</v>
      </c>
    </row>
    <row r="1561" spans="1:4" x14ac:dyDescent="0.35">
      <c r="A1561" s="1947">
        <v>3134</v>
      </c>
      <c r="B1561" s="1975" t="s">
        <v>4066</v>
      </c>
      <c r="C1561" s="1975" t="s">
        <v>977</v>
      </c>
      <c r="D1561" s="2073" t="s">
        <v>2434</v>
      </c>
    </row>
    <row r="1562" spans="1:4" ht="26" x14ac:dyDescent="0.35">
      <c r="A1562" s="1947">
        <v>3135</v>
      </c>
      <c r="B1562" s="1950" t="s">
        <v>4067</v>
      </c>
      <c r="C1562" s="1950" t="s">
        <v>2276</v>
      </c>
      <c r="D1562" s="2073" t="s">
        <v>2440</v>
      </c>
    </row>
    <row r="1563" spans="1:4" ht="20" x14ac:dyDescent="0.35">
      <c r="A1563" s="1947">
        <v>3136</v>
      </c>
      <c r="B1563" s="346" t="s">
        <v>4068</v>
      </c>
      <c r="C1563" s="346" t="s">
        <v>2286</v>
      </c>
      <c r="D1563" s="2073" t="s">
        <v>2441</v>
      </c>
    </row>
    <row r="1564" spans="1:4" x14ac:dyDescent="0.35">
      <c r="A1564" s="1947">
        <v>3137</v>
      </c>
      <c r="B1564" s="346" t="s">
        <v>4069</v>
      </c>
      <c r="C1564" s="346" t="s">
        <v>2316</v>
      </c>
      <c r="D1564" s="2073" t="s">
        <v>2443</v>
      </c>
    </row>
    <row r="1565" spans="1:4" ht="38.5" x14ac:dyDescent="0.35">
      <c r="A1565" s="1947">
        <v>3138</v>
      </c>
      <c r="B1565" s="2156" t="s">
        <v>4070</v>
      </c>
      <c r="C1565" s="2156" t="s">
        <v>2278</v>
      </c>
      <c r="D1565" s="2073" t="s">
        <v>2445</v>
      </c>
    </row>
    <row r="1566" spans="1:4" ht="26" x14ac:dyDescent="0.35">
      <c r="A1566" s="1947">
        <v>3139</v>
      </c>
      <c r="B1566" s="1950" t="s">
        <v>4071</v>
      </c>
      <c r="C1566" s="1950" t="s">
        <v>2544</v>
      </c>
      <c r="D1566" s="2073" t="s">
        <v>2446</v>
      </c>
    </row>
    <row r="1567" spans="1:4" ht="40" x14ac:dyDescent="0.35">
      <c r="A1567" s="1947">
        <v>3140</v>
      </c>
      <c r="B1567" s="346" t="s">
        <v>4072</v>
      </c>
      <c r="C1567" s="346" t="s">
        <v>2283</v>
      </c>
      <c r="D1567" s="2073" t="s">
        <v>2447</v>
      </c>
    </row>
    <row r="1568" spans="1:4" ht="59" x14ac:dyDescent="0.35">
      <c r="A1568" s="1947">
        <v>3141</v>
      </c>
      <c r="B1568" s="2156" t="s">
        <v>4073</v>
      </c>
      <c r="C1568" s="2156" t="s">
        <v>2277</v>
      </c>
      <c r="D1568" s="2073" t="s">
        <v>2448</v>
      </c>
    </row>
    <row r="1569" spans="1:4" ht="26" x14ac:dyDescent="0.35">
      <c r="A1569" s="1947">
        <v>3142</v>
      </c>
      <c r="B1569" s="1950" t="s">
        <v>4074</v>
      </c>
      <c r="C1569" s="1950" t="s">
        <v>2284</v>
      </c>
      <c r="D1569" s="2073" t="s">
        <v>2449</v>
      </c>
    </row>
    <row r="1570" spans="1:4" ht="20" x14ac:dyDescent="0.35">
      <c r="A1570" s="1947">
        <v>3143</v>
      </c>
      <c r="B1570" s="346" t="s">
        <v>4075</v>
      </c>
      <c r="C1570" s="346" t="s">
        <v>2279</v>
      </c>
      <c r="D1570" s="2073" t="s">
        <v>2454</v>
      </c>
    </row>
    <row r="1571" spans="1:4" x14ac:dyDescent="0.35">
      <c r="A1571" s="1947">
        <v>3144</v>
      </c>
      <c r="B1571" s="278" t="s">
        <v>4076</v>
      </c>
      <c r="C1571" s="278" t="s">
        <v>2125</v>
      </c>
      <c r="D1571" s="2073" t="s">
        <v>2526</v>
      </c>
    </row>
    <row r="1572" spans="1:4" x14ac:dyDescent="0.35">
      <c r="A1572" s="1947">
        <v>3145</v>
      </c>
      <c r="B1572" s="769" t="s">
        <v>512</v>
      </c>
      <c r="C1572" s="769" t="s">
        <v>512</v>
      </c>
      <c r="D1572" s="2073" t="s">
        <v>2463</v>
      </c>
    </row>
    <row r="1573" spans="1:4" x14ac:dyDescent="0.35">
      <c r="A1573" s="1947">
        <v>3146</v>
      </c>
      <c r="B1573" s="1982" t="s">
        <v>521</v>
      </c>
      <c r="C1573" s="1982" t="s">
        <v>521</v>
      </c>
      <c r="D1573" s="2073" t="s">
        <v>2464</v>
      </c>
    </row>
    <row r="1574" spans="1:4" ht="15.5" x14ac:dyDescent="0.35">
      <c r="A1574" s="1947">
        <v>3147</v>
      </c>
      <c r="B1574" s="1953" t="s">
        <v>4077</v>
      </c>
      <c r="C1574" s="1953" t="s">
        <v>2124</v>
      </c>
      <c r="D1574" s="2073" t="s">
        <v>2525</v>
      </c>
    </row>
    <row r="1575" spans="1:4" ht="15.5" x14ac:dyDescent="0.35">
      <c r="A1575" s="1947">
        <v>3148</v>
      </c>
      <c r="B1575" s="2157" t="s">
        <v>2156</v>
      </c>
      <c r="C1575" s="2157" t="s">
        <v>2156</v>
      </c>
      <c r="D1575" s="2073" t="s">
        <v>2465</v>
      </c>
    </row>
    <row r="1576" spans="1:4" ht="50" x14ac:dyDescent="0.35">
      <c r="A1576" s="1947">
        <v>3149</v>
      </c>
      <c r="B1576" s="346" t="s">
        <v>4078</v>
      </c>
      <c r="C1576" s="346" t="s">
        <v>2216</v>
      </c>
      <c r="D1576" s="2073" t="s">
        <v>2467</v>
      </c>
    </row>
    <row r="1577" spans="1:4" x14ac:dyDescent="0.35">
      <c r="A1577" s="1947">
        <v>3150</v>
      </c>
      <c r="B1577" s="2093" t="s">
        <v>4079</v>
      </c>
      <c r="C1577" s="2093" t="s">
        <v>2201</v>
      </c>
      <c r="D1577" s="2073" t="s">
        <v>2473</v>
      </c>
    </row>
    <row r="1578" spans="1:4" x14ac:dyDescent="0.35">
      <c r="A1578" s="1947">
        <v>3151</v>
      </c>
      <c r="B1578" s="2020" t="s">
        <v>4080</v>
      </c>
      <c r="C1578" s="2020" t="s">
        <v>2176</v>
      </c>
      <c r="D1578" s="2073" t="s">
        <v>2480</v>
      </c>
    </row>
    <row r="1579" spans="1:4" x14ac:dyDescent="0.35">
      <c r="A1579" s="1947">
        <v>3152</v>
      </c>
      <c r="B1579" s="2020" t="s">
        <v>4081</v>
      </c>
      <c r="C1579" s="2020" t="s">
        <v>2140</v>
      </c>
      <c r="D1579" s="2073" t="s">
        <v>2501</v>
      </c>
    </row>
    <row r="1580" spans="1:4" ht="20" x14ac:dyDescent="0.35">
      <c r="A1580" s="1947">
        <v>3153</v>
      </c>
      <c r="B1580" s="2020" t="s">
        <v>4082</v>
      </c>
      <c r="C1580" s="2020" t="s">
        <v>2177</v>
      </c>
      <c r="D1580" s="2073" t="s">
        <v>2481</v>
      </c>
    </row>
    <row r="1581" spans="1:4" x14ac:dyDescent="0.35">
      <c r="A1581" s="1947">
        <v>3154</v>
      </c>
      <c r="B1581" s="2094" t="s">
        <v>4083</v>
      </c>
      <c r="C1581" s="2094" t="s">
        <v>2113</v>
      </c>
      <c r="D1581" s="2073" t="s">
        <v>2503</v>
      </c>
    </row>
    <row r="1582" spans="1:4" ht="20" x14ac:dyDescent="0.35">
      <c r="A1582" s="1947">
        <v>3155</v>
      </c>
      <c r="B1582" s="2020" t="s">
        <v>4084</v>
      </c>
      <c r="C1582" s="2020" t="s">
        <v>2178</v>
      </c>
      <c r="D1582" s="2073" t="s">
        <v>2482</v>
      </c>
    </row>
    <row r="1583" spans="1:4" x14ac:dyDescent="0.35">
      <c r="A1583" s="1947">
        <v>3156</v>
      </c>
      <c r="B1583" s="2158" t="s">
        <v>4085</v>
      </c>
      <c r="C1583" s="2158" t="s">
        <v>2142</v>
      </c>
      <c r="D1583" s="2073" t="s">
        <v>2500</v>
      </c>
    </row>
    <row r="1584" spans="1:4" x14ac:dyDescent="0.35">
      <c r="A1584" s="1947">
        <v>3157</v>
      </c>
      <c r="B1584" s="2093" t="s">
        <v>4086</v>
      </c>
      <c r="C1584" s="2093" t="s">
        <v>2149</v>
      </c>
      <c r="D1584" s="2073" t="s">
        <v>2502</v>
      </c>
    </row>
    <row r="1585" spans="1:4" ht="26" x14ac:dyDescent="0.35">
      <c r="A1585" s="1947">
        <v>3158</v>
      </c>
      <c r="B1585" s="2159" t="s">
        <v>4087</v>
      </c>
      <c r="C1585" s="2159" t="s">
        <v>2209</v>
      </c>
      <c r="D1585" s="2073" t="s">
        <v>2486</v>
      </c>
    </row>
    <row r="1586" spans="1:4" x14ac:dyDescent="0.35">
      <c r="A1586" s="1947">
        <v>3159</v>
      </c>
      <c r="B1586" s="2004" t="s">
        <v>4088</v>
      </c>
      <c r="C1586" s="2004" t="s">
        <v>2210</v>
      </c>
      <c r="D1586" s="2073" t="s">
        <v>2488</v>
      </c>
    </row>
    <row r="1587" spans="1:4" x14ac:dyDescent="0.35">
      <c r="A1587" s="1947">
        <v>3160</v>
      </c>
      <c r="B1587" s="2004" t="s">
        <v>4089</v>
      </c>
      <c r="C1587" s="2004" t="s">
        <v>2211</v>
      </c>
      <c r="D1587" s="2073" t="s">
        <v>2489</v>
      </c>
    </row>
    <row r="1588" spans="1:4" x14ac:dyDescent="0.35">
      <c r="A1588" s="1947">
        <v>3161</v>
      </c>
      <c r="B1588" s="2004" t="s">
        <v>4090</v>
      </c>
      <c r="C1588" s="2004" t="s">
        <v>2212</v>
      </c>
      <c r="D1588" s="2073" t="s">
        <v>2490</v>
      </c>
    </row>
    <row r="1589" spans="1:4" x14ac:dyDescent="0.35">
      <c r="A1589" s="1947">
        <v>3162</v>
      </c>
      <c r="B1589" s="2004" t="s">
        <v>4091</v>
      </c>
      <c r="C1589" s="2004" t="s">
        <v>2213</v>
      </c>
      <c r="D1589" s="2073" t="s">
        <v>2491</v>
      </c>
    </row>
    <row r="1590" spans="1:4" x14ac:dyDescent="0.35">
      <c r="A1590" s="1947">
        <v>3163</v>
      </c>
      <c r="B1590" s="2160" t="s">
        <v>4092</v>
      </c>
      <c r="C1590" s="2160" t="s">
        <v>2145</v>
      </c>
      <c r="D1590" s="2073" t="s">
        <v>2497</v>
      </c>
    </row>
    <row r="1591" spans="1:4" x14ac:dyDescent="0.35">
      <c r="A1591" s="1947">
        <v>3164</v>
      </c>
      <c r="B1591" s="1972" t="s">
        <v>4093</v>
      </c>
      <c r="C1591" s="1972" t="s">
        <v>2144</v>
      </c>
      <c r="D1591" s="2073" t="s">
        <v>2498</v>
      </c>
    </row>
    <row r="1592" spans="1:4" x14ac:dyDescent="0.35">
      <c r="A1592" s="1947">
        <v>3165</v>
      </c>
      <c r="B1592" s="734" t="s">
        <v>4094</v>
      </c>
      <c r="C1592" s="734" t="s">
        <v>2163</v>
      </c>
      <c r="D1592" s="2073" t="s">
        <v>2505</v>
      </c>
    </row>
    <row r="1593" spans="1:4" ht="25" x14ac:dyDescent="0.35">
      <c r="A1593" s="1947">
        <v>3166</v>
      </c>
      <c r="B1593" s="734" t="s">
        <v>4095</v>
      </c>
      <c r="C1593" s="734" t="s">
        <v>2311</v>
      </c>
      <c r="D1593" s="2073" t="s">
        <v>2506</v>
      </c>
    </row>
    <row r="1594" spans="1:4" x14ac:dyDescent="0.35">
      <c r="A1594" s="1947">
        <v>3167</v>
      </c>
      <c r="B1594" s="1950" t="s">
        <v>4096</v>
      </c>
      <c r="C1594" s="1950" t="s">
        <v>2171</v>
      </c>
      <c r="D1594" s="2073" t="s">
        <v>2507</v>
      </c>
    </row>
    <row r="1595" spans="1:4" x14ac:dyDescent="0.35">
      <c r="A1595" s="1947">
        <v>3168</v>
      </c>
      <c r="B1595" s="2161" t="s">
        <v>4097</v>
      </c>
      <c r="C1595" s="2161" t="s">
        <v>2168</v>
      </c>
      <c r="D1595" s="2073" t="s">
        <v>2508</v>
      </c>
    </row>
    <row r="1596" spans="1:4" x14ac:dyDescent="0.35">
      <c r="A1596" s="1947">
        <v>3169</v>
      </c>
      <c r="B1596" s="2161" t="s">
        <v>4098</v>
      </c>
      <c r="C1596" s="2161" t="s">
        <v>2169</v>
      </c>
      <c r="D1596" s="2073" t="s">
        <v>2509</v>
      </c>
    </row>
    <row r="1597" spans="1:4" x14ac:dyDescent="0.35">
      <c r="A1597" s="1947">
        <v>3170</v>
      </c>
      <c r="B1597" s="2161" t="s">
        <v>4099</v>
      </c>
      <c r="C1597" s="2161" t="s">
        <v>2170</v>
      </c>
      <c r="D1597" s="2073" t="s">
        <v>2510</v>
      </c>
    </row>
    <row r="1598" spans="1:4" x14ac:dyDescent="0.35">
      <c r="A1598" s="1947">
        <v>3171</v>
      </c>
      <c r="B1598" s="2161" t="s">
        <v>4100</v>
      </c>
      <c r="C1598" s="2161" t="s">
        <v>2196</v>
      </c>
      <c r="D1598" s="2073" t="s">
        <v>2511</v>
      </c>
    </row>
    <row r="1599" spans="1:4" ht="26" x14ac:dyDescent="0.35">
      <c r="A1599" s="1947">
        <v>3172</v>
      </c>
      <c r="B1599" s="2162" t="s">
        <v>4101</v>
      </c>
      <c r="C1599" s="2162" t="s">
        <v>2310</v>
      </c>
      <c r="D1599" s="2073" t="s">
        <v>2512</v>
      </c>
    </row>
    <row r="1600" spans="1:4" x14ac:dyDescent="0.35">
      <c r="A1600" s="1947">
        <v>3173</v>
      </c>
      <c r="B1600" s="2163" t="s">
        <v>4102</v>
      </c>
      <c r="C1600" s="2163" t="s">
        <v>2234</v>
      </c>
      <c r="D1600" s="2073" t="s">
        <v>2513</v>
      </c>
    </row>
    <row r="1601" spans="1:4" x14ac:dyDescent="0.35">
      <c r="A1601" s="1947">
        <v>3174</v>
      </c>
      <c r="B1601" s="2164" t="s">
        <v>4103</v>
      </c>
      <c r="C1601" s="2164" t="s">
        <v>2192</v>
      </c>
      <c r="D1601" s="2073" t="s">
        <v>2514</v>
      </c>
    </row>
    <row r="1602" spans="1:4" x14ac:dyDescent="0.35">
      <c r="A1602" s="1947">
        <v>3175</v>
      </c>
      <c r="B1602" s="2131" t="s">
        <v>4104</v>
      </c>
      <c r="C1602" s="2131" t="s">
        <v>2226</v>
      </c>
      <c r="D1602" s="2073" t="s">
        <v>2515</v>
      </c>
    </row>
    <row r="1603" spans="1:4" x14ac:dyDescent="0.35">
      <c r="A1603" s="1947">
        <v>3176</v>
      </c>
      <c r="B1603" s="2165" t="s">
        <v>4105</v>
      </c>
      <c r="C1603" s="2165" t="s">
        <v>2116</v>
      </c>
      <c r="D1603" s="2073" t="s">
        <v>2516</v>
      </c>
    </row>
    <row r="1604" spans="1:4" ht="24" x14ac:dyDescent="0.35">
      <c r="A1604" s="1947">
        <v>3177</v>
      </c>
      <c r="B1604" s="2165" t="s">
        <v>4106</v>
      </c>
      <c r="C1604" s="2165" t="s">
        <v>2117</v>
      </c>
      <c r="D1604" s="2073" t="s">
        <v>2517</v>
      </c>
    </row>
    <row r="1605" spans="1:4" x14ac:dyDescent="0.35">
      <c r="A1605" s="1947">
        <v>3178</v>
      </c>
      <c r="B1605" s="2165" t="s">
        <v>4107</v>
      </c>
      <c r="C1605" s="2165" t="s">
        <v>2118</v>
      </c>
      <c r="D1605" s="2073" t="s">
        <v>2518</v>
      </c>
    </row>
    <row r="1606" spans="1:4" ht="35.5" x14ac:dyDescent="0.35">
      <c r="A1606" s="1947">
        <v>3179</v>
      </c>
      <c r="B1606" s="2165" t="s">
        <v>4108</v>
      </c>
      <c r="C1606" s="2165" t="s">
        <v>2119</v>
      </c>
      <c r="D1606" s="2073" t="s">
        <v>2519</v>
      </c>
    </row>
    <row r="1607" spans="1:4" ht="24" x14ac:dyDescent="0.35">
      <c r="A1607" s="1947">
        <v>3180</v>
      </c>
      <c r="B1607" s="2165" t="s">
        <v>4109</v>
      </c>
      <c r="C1607" s="2165" t="s">
        <v>2120</v>
      </c>
      <c r="D1607" s="2073" t="s">
        <v>2520</v>
      </c>
    </row>
    <row r="1608" spans="1:4" ht="24" x14ac:dyDescent="0.35">
      <c r="A1608" s="1947">
        <v>3181</v>
      </c>
      <c r="B1608" s="2165" t="s">
        <v>4110</v>
      </c>
      <c r="C1608" s="2165" t="s">
        <v>2121</v>
      </c>
      <c r="D1608" s="2073" t="s">
        <v>2521</v>
      </c>
    </row>
    <row r="1609" spans="1:4" ht="35.5" x14ac:dyDescent="0.35">
      <c r="A1609" s="1947">
        <v>3182</v>
      </c>
      <c r="B1609" s="2165" t="s">
        <v>4111</v>
      </c>
      <c r="C1609" s="2165" t="s">
        <v>2122</v>
      </c>
      <c r="D1609" s="2073" t="s">
        <v>2522</v>
      </c>
    </row>
    <row r="1610" spans="1:4" x14ac:dyDescent="0.35">
      <c r="A1610" s="1947">
        <v>3183</v>
      </c>
      <c r="B1610" s="2166" t="s">
        <v>4112</v>
      </c>
      <c r="C1610" s="2166" t="s">
        <v>2126</v>
      </c>
      <c r="D1610" s="2073" t="s">
        <v>2523</v>
      </c>
    </row>
    <row r="1611" spans="1:4" x14ac:dyDescent="0.35">
      <c r="A1611" s="1947">
        <v>3184</v>
      </c>
      <c r="B1611" s="2166" t="s">
        <v>4113</v>
      </c>
      <c r="C1611" s="2166" t="s">
        <v>2127</v>
      </c>
      <c r="D1611" s="2073" t="s">
        <v>2524</v>
      </c>
    </row>
    <row r="1612" spans="1:4" x14ac:dyDescent="0.35">
      <c r="A1612" s="1947">
        <v>3185</v>
      </c>
      <c r="B1612" s="2167" t="s">
        <v>4114</v>
      </c>
      <c r="C1612" s="2167" t="s">
        <v>2129</v>
      </c>
      <c r="D1612" s="2073" t="s">
        <v>2528</v>
      </c>
    </row>
    <row r="1613" spans="1:4" x14ac:dyDescent="0.35">
      <c r="A1613" s="1947">
        <v>3186</v>
      </c>
      <c r="B1613" s="2167" t="s">
        <v>4115</v>
      </c>
      <c r="C1613" s="2167" t="s">
        <v>2130</v>
      </c>
      <c r="D1613" s="2073" t="s">
        <v>2529</v>
      </c>
    </row>
    <row r="1614" spans="1:4" x14ac:dyDescent="0.35">
      <c r="A1614" s="1947">
        <v>3187</v>
      </c>
      <c r="B1614" s="2167" t="s">
        <v>4116</v>
      </c>
      <c r="C1614" s="2167" t="s">
        <v>2131</v>
      </c>
      <c r="D1614" s="2073" t="s">
        <v>2530</v>
      </c>
    </row>
    <row r="1615" spans="1:4" x14ac:dyDescent="0.35">
      <c r="A1615" s="1947">
        <v>3188</v>
      </c>
      <c r="B1615" s="2030" t="s">
        <v>4117</v>
      </c>
      <c r="C1615" s="2030" t="s">
        <v>1239</v>
      </c>
      <c r="D1615" s="2073" t="s">
        <v>2531</v>
      </c>
    </row>
    <row r="1616" spans="1:4" x14ac:dyDescent="0.35">
      <c r="A1616" s="1947">
        <v>3189</v>
      </c>
      <c r="B1616" s="2167" t="s">
        <v>4118</v>
      </c>
      <c r="C1616" s="2167" t="s">
        <v>2132</v>
      </c>
      <c r="D1616" s="2073" t="s">
        <v>2532</v>
      </c>
    </row>
    <row r="1617" spans="1:4" x14ac:dyDescent="0.35">
      <c r="A1617" s="1947">
        <v>3190</v>
      </c>
      <c r="B1617" s="2167" t="s">
        <v>4119</v>
      </c>
      <c r="C1617" s="2167" t="s">
        <v>2133</v>
      </c>
      <c r="D1617" s="2073" t="s">
        <v>2533</v>
      </c>
    </row>
    <row r="1618" spans="1:4" x14ac:dyDescent="0.35">
      <c r="A1618" s="1947">
        <v>3191</v>
      </c>
      <c r="B1618" s="2167" t="s">
        <v>4120</v>
      </c>
      <c r="C1618" s="2167" t="s">
        <v>2134</v>
      </c>
      <c r="D1618" s="2073" t="s">
        <v>2534</v>
      </c>
    </row>
    <row r="1619" spans="1:4" x14ac:dyDescent="0.35">
      <c r="A1619" s="1947">
        <v>3192</v>
      </c>
      <c r="B1619" s="2167" t="s">
        <v>4121</v>
      </c>
      <c r="C1619" s="2167" t="s">
        <v>2135</v>
      </c>
      <c r="D1619" s="2073" t="s">
        <v>2535</v>
      </c>
    </row>
    <row r="1620" spans="1:4" x14ac:dyDescent="0.35">
      <c r="A1620" s="1947">
        <v>3193</v>
      </c>
      <c r="B1620" s="2167" t="s">
        <v>4122</v>
      </c>
      <c r="C1620" s="2167" t="s">
        <v>2136</v>
      </c>
      <c r="D1620" s="2073" t="s">
        <v>2536</v>
      </c>
    </row>
    <row r="1621" spans="1:4" x14ac:dyDescent="0.35">
      <c r="A1621" s="1947">
        <v>3194</v>
      </c>
      <c r="B1621" s="2167" t="s">
        <v>4123</v>
      </c>
      <c r="C1621" s="2167" t="s">
        <v>2137</v>
      </c>
      <c r="D1621" s="2073" t="s">
        <v>2537</v>
      </c>
    </row>
  </sheetData>
  <sheetProtection sheet="1" objects="1" scenarios="1" formatCells="0" formatColumns="0" formatRows="0"/>
  <autoFilter ref="A1:C1428" xr:uid="{00000000-0009-0000-0000-00000F000000}"/>
  <phoneticPr fontId="34" type="noConversion"/>
  <conditionalFormatting sqref="B1433:C1433">
    <cfRule type="expression" dxfId="4" priority="3" stopIfTrue="1">
      <formula>$G$439</formula>
    </cfRule>
  </conditionalFormatting>
  <conditionalFormatting sqref="B1514:C1517 B1520:C1523 B1526:C1527">
    <cfRule type="expression" dxfId="3" priority="2" stopIfTrue="1">
      <formula>INDEX($AL:$AL,MATCH(MAX(INDIRECT(ADDRESS(1,3)&amp;":"&amp;ADDRESS(ROW(C1512),3))),$C:$C,0))</formula>
    </cfRule>
  </conditionalFormatting>
  <conditionalFormatting sqref="B1518:C1518 B1524:C1524">
    <cfRule type="expression" dxfId="2" priority="4" stopIfTrue="1">
      <formula>INDEX($AL:$AL,MATCH(MAX(INDIRECT(ADDRESS(1,3)&amp;":"&amp;ADDRESS(ROW(C1517),3))),$C:$C,0))</formula>
    </cfRule>
  </conditionalFormatting>
  <conditionalFormatting sqref="B1519:C1519 B1525:C1525">
    <cfRule type="expression" dxfId="1" priority="5" stopIfTrue="1">
      <formula>INDEX($AL:$AL,MATCH(MAX(INDIRECT(ADDRESS(1,3)&amp;":"&amp;ADDRESS(ROW(#REF!),3))),$C:$C,0))</formula>
    </cfRule>
  </conditionalFormatting>
  <conditionalFormatting sqref="B1530:C1570">
    <cfRule type="expression" dxfId="0" priority="1" stopIfTrue="1">
      <formula>INDEX($AD:$AD,MATCH(MAX(INDIRECT(ADDRESS(1,3)&amp;":"&amp;ADDRESS(ROW(A1531),3))),$C:$C,0))</formula>
    </cfRule>
  </conditionalFormatting>
  <hyperlinks>
    <hyperlink ref="B1248" r:id="rId1" xr:uid="{00000000-0004-0000-0F00-000000000000}"/>
    <hyperlink ref="C1215" r:id="rId2" location="JUMP_A_II" display="../../../../heller/AppData/Local/Microsoft/Windows/INetCache/Content.MSO/B6D1B612.xls - JUMP_A_II" xr:uid="{00000000-0004-0000-0F00-000001000000}"/>
    <hyperlink ref="C1219" r:id="rId3" location="JUMP_A_II2" display="../../../../heller/AppData/Local/Microsoft/Windows/INetCache/Content.MSO/B6D1B612.xls - JUMP_A_II2" xr:uid="{00000000-0004-0000-0F00-000002000000}"/>
    <hyperlink ref="C1220" r:id="rId4" location="JUMP_A_II" display="../../../../heller/AppData/Local/Microsoft/Windows/INetCache/Content.MSO/B6D1B612.xls - JUMP_A_II" xr:uid="{00000000-0004-0000-0F00-000003000000}"/>
    <hyperlink ref="C1232" r:id="rId5" location="JUMP_NIMsSummary" display="../../../../heller/AppData/Local/Microsoft/Windows/INetCache/Content.MSO/B6D1B612.xls - JUMP_NIMsSummary" xr:uid="{00000000-0004-0000-0F00-000004000000}"/>
    <hyperlink ref="C1248" r:id="rId6" xr:uid="{00000000-0004-0000-0F00-000005000000}"/>
    <hyperlink ref="C1260" r:id="rId7" location="'B+C_SubInstallations'!JUMP_B_II" display="../../../../heller/AppData/Local/Microsoft/Windows/INetCache/Content.MSO/B6D1B612.xls - 'B+C_SubInstallations'!JUMP_B_II" xr:uid="{00000000-0004-0000-0F00-000006000000}"/>
    <hyperlink ref="C1307" r:id="rId8" location="JUMP_D_III" display="../../../../heller/AppData/Local/Microsoft/Windows/INetCache/Content.MSO/B6D1B612.xls - JUMP_D_III" xr:uid="{00000000-0004-0000-0F00-000007000000}"/>
    <hyperlink ref="C1429" r:id="rId9" display="http://ec.europa.eu/clima/documentation/ets/docs/decision_benchmarking_15_dec_en.pdf. " xr:uid="{00000000-0004-0000-0F00-000008000000}"/>
    <hyperlink ref="C1430" r:id="rId10" xr:uid="{00000000-0004-0000-0F00-000009000000}"/>
    <hyperlink ref="C1431" r:id="rId11" xr:uid="{00000000-0004-0000-0F00-00000A000000}"/>
    <hyperlink ref="C1433" location="JUMP_A_II1" display="Eligibility" xr:uid="{00000000-0004-0000-0F00-00000B000000}"/>
    <hyperlink ref="C1458" location="JUMP_B_I3" display="Conditionalities" xr:uid="{00000000-0004-0000-0F00-00000C000000}"/>
    <hyperlink ref="C1519" r:id="rId12" xr:uid="{00000000-0004-0000-0F00-00000D000000}"/>
    <hyperlink ref="C1521" r:id="rId13" xr:uid="{00000000-0004-0000-0F00-00000E000000}"/>
    <hyperlink ref="C1532" r:id="rId14" xr:uid="{00000000-0004-0000-0F00-00000F000000}"/>
    <hyperlink ref="C1571" location="JUMP_H_VI" display="JUMP_H_VI" xr:uid="{00000000-0004-0000-0F00-000010000000}"/>
    <hyperlink ref="B1215" r:id="rId15" location="JUMP_A_II" display="../../../../heller/AppData/Local/Microsoft/Windows/INetCache/Content.MSO/B6D1B612.xls - JUMP_A_II" xr:uid="{00000000-0004-0000-0F00-000011000000}"/>
    <hyperlink ref="B1219" r:id="rId16" location="JUMP_A_II2" display="../../../../heller/AppData/Local/Microsoft/Windows/INetCache/Content.MSO/B6D1B612.xls - JUMP_A_II2" xr:uid="{00000000-0004-0000-0F00-000012000000}"/>
    <hyperlink ref="B1220" r:id="rId17" location="JUMP_A_II" display="../../../../heller/AppData/Local/Microsoft/Windows/INetCache/Content.MSO/B6D1B612.xls - JUMP_A_II" xr:uid="{00000000-0004-0000-0F00-000013000000}"/>
    <hyperlink ref="B1232" r:id="rId18" location="JUMP_NIMsSummary" display="../../../../heller/AppData/Local/Microsoft/Windows/INetCache/Content.MSO/B6D1B612.xls - JUMP_NIMsSummary" xr:uid="{00000000-0004-0000-0F00-000014000000}"/>
    <hyperlink ref="B1260" r:id="rId19" location="'B+C_SubInstallations'!JUMP_B_II" display="../../../../heller/AppData/Local/Microsoft/Windows/INetCache/Content.MSO/B6D1B612.xls - 'B+C_SubInstallations'!JUMP_B_II" xr:uid="{00000000-0004-0000-0F00-000015000000}"/>
    <hyperlink ref="B1307" r:id="rId20" location="JUMP_D_III" display="../../../../heller/AppData/Local/Microsoft/Windows/INetCache/Content.MSO/B6D1B612.xls - JUMP_D_III" xr:uid="{00000000-0004-0000-0F00-000016000000}"/>
  </hyperlinks>
  <pageMargins left="0.7" right="0.7" top="0.78740157499999996" bottom="0.78740157499999996" header="0.3" footer="0.3"/>
  <pageSetup paperSize="9" scale="10" fitToHeight="4" orientation="portrait" r:id="rId21"/>
  <headerFooter>
    <oddHeader>&amp;L&amp;F; &amp;A&amp;R&amp;D; &amp;T</oddHeader>
    <oddFooter>&amp;C&amp;P /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6">
    <tabColor indexed="57"/>
    <pageSetUpPr fitToPage="1"/>
  </sheetPr>
  <dimension ref="A1:E90"/>
  <sheetViews>
    <sheetView workbookViewId="0">
      <selection activeCell="B5" sqref="B5"/>
    </sheetView>
  </sheetViews>
  <sheetFormatPr defaultColWidth="9.1796875" defaultRowHeight="12.5" x14ac:dyDescent="0.25"/>
  <cols>
    <col min="1" max="1" width="23.453125" customWidth="1"/>
    <col min="2" max="2" width="34.7265625" customWidth="1"/>
    <col min="3" max="3" width="39.81640625" customWidth="1"/>
  </cols>
  <sheetData>
    <row r="1" spans="1:3" ht="13.5" thickBot="1" x14ac:dyDescent="0.35">
      <c r="A1" s="2095" t="s">
        <v>742</v>
      </c>
    </row>
    <row r="2" spans="1:3" ht="13" thickBot="1" x14ac:dyDescent="0.3">
      <c r="A2" s="2096" t="s">
        <v>743</v>
      </c>
      <c r="B2" s="2097" t="s">
        <v>2110</v>
      </c>
    </row>
    <row r="3" spans="1:3" ht="13" thickBot="1" x14ac:dyDescent="0.3">
      <c r="A3" s="2098" t="s">
        <v>741</v>
      </c>
      <c r="B3" s="2099">
        <v>46048</v>
      </c>
      <c r="C3" s="2100" t="str">
        <f>IF(ISNUMBER(MATCH(B3,A14:A28,0)),VLOOKUP(B3,A14:B28,2,FALSE),"---")</f>
        <v>ALC P4-2_COM_bg_20260126.xlsx</v>
      </c>
    </row>
    <row r="4" spans="1:3" x14ac:dyDescent="0.25">
      <c r="A4" s="2101" t="s">
        <v>746</v>
      </c>
      <c r="B4" s="2102" t="s">
        <v>747</v>
      </c>
    </row>
    <row r="5" spans="1:3" ht="13" thickBot="1" x14ac:dyDescent="0.3">
      <c r="A5" s="2103" t="s">
        <v>745</v>
      </c>
      <c r="B5" s="2104" t="s">
        <v>748</v>
      </c>
    </row>
    <row r="7" spans="1:3" ht="13" x14ac:dyDescent="0.3">
      <c r="A7" s="2095" t="s">
        <v>744</v>
      </c>
    </row>
    <row r="8" spans="1:3" x14ac:dyDescent="0.25">
      <c r="A8" s="2105" t="s">
        <v>2103</v>
      </c>
      <c r="B8" s="2106"/>
      <c r="C8" s="2105" t="s">
        <v>2104</v>
      </c>
    </row>
    <row r="9" spans="1:3" x14ac:dyDescent="0.25">
      <c r="A9" s="2105" t="s">
        <v>2105</v>
      </c>
      <c r="B9" s="2106"/>
      <c r="C9" s="2105" t="s">
        <v>2106</v>
      </c>
    </row>
    <row r="10" spans="1:3" x14ac:dyDescent="0.25">
      <c r="A10" s="2105" t="s">
        <v>2107</v>
      </c>
      <c r="B10" s="2106"/>
      <c r="C10" s="2105" t="s">
        <v>2108</v>
      </c>
    </row>
    <row r="11" spans="1:3" x14ac:dyDescent="0.25">
      <c r="A11" s="2105" t="s">
        <v>2110</v>
      </c>
      <c r="B11" s="2106"/>
      <c r="C11" s="2105" t="s">
        <v>2109</v>
      </c>
    </row>
    <row r="13" spans="1:3" ht="13" x14ac:dyDescent="0.3">
      <c r="A13" s="2107" t="s">
        <v>2</v>
      </c>
      <c r="B13" s="2108" t="s">
        <v>340</v>
      </c>
      <c r="C13" s="2108" t="s">
        <v>91</v>
      </c>
    </row>
    <row r="14" spans="1:3" x14ac:dyDescent="0.25">
      <c r="A14" s="2109">
        <v>46030</v>
      </c>
      <c r="B14" s="2110" t="str">
        <f>IF(ISBLANK($A14),"---", VLOOKUP($B$2,$A$8:$C$11,3,0) &amp; "_" &amp; VLOOKUP($B$4,$A$31:$B$63,2,0)&amp;"_"&amp;VLOOKUP($B$5,$A$66:$B$90,2,0)&amp;"_"&amp; TEXT(YEAR($A14),"0###") &amp; TEXT(MONTH($A14),"0#") &amp; TEXT(DAY($A14),"0#")&amp;  ".xlsx")</f>
        <v>ALC P4-2_COM_bg_20260108.xlsx</v>
      </c>
      <c r="C14" s="2111" t="s">
        <v>2541</v>
      </c>
    </row>
    <row r="15" spans="1:3" x14ac:dyDescent="0.25">
      <c r="A15" s="2112">
        <v>46037</v>
      </c>
      <c r="B15" s="2113" t="str">
        <f t="shared" ref="B15:B28" si="0">IF(ISBLANK($A15),"---", VLOOKUP($B$2,$A$8:$C$11,3,0) &amp; "_" &amp; VLOOKUP($B$4,$A$31:$B$63,2,0)&amp;"_"&amp;VLOOKUP($B$5,$A$66:$B$90,2,0)&amp;"_"&amp; TEXT(YEAR($A15),"0###") &amp; TEXT(MONTH($A15),"0#") &amp; TEXT(DAY($A15),"0#")&amp;  ".xlsx")</f>
        <v>ALC P4-2_COM_bg_20260115.xlsx</v>
      </c>
      <c r="C15" s="2114" t="s">
        <v>2555</v>
      </c>
    </row>
    <row r="16" spans="1:3" x14ac:dyDescent="0.25">
      <c r="A16" s="2112">
        <v>46048</v>
      </c>
      <c r="B16" s="2113" t="str">
        <f t="shared" si="0"/>
        <v>ALC P4-2_COM_bg_20260126.xlsx</v>
      </c>
      <c r="C16" s="2114" t="s">
        <v>2556</v>
      </c>
    </row>
    <row r="17" spans="1:5" x14ac:dyDescent="0.25">
      <c r="A17" s="2112">
        <v>46178.588333333333</v>
      </c>
      <c r="B17" s="2113" t="str">
        <f t="shared" si="0"/>
        <v>ALC P4-2_COM_bg_20260605.xlsx</v>
      </c>
      <c r="C17" s="2114" t="s">
        <v>4140</v>
      </c>
      <c r="E17" t="s">
        <v>4141</v>
      </c>
    </row>
    <row r="18" spans="1:5" x14ac:dyDescent="0.25">
      <c r="A18" s="2112">
        <v>46241.523148148146</v>
      </c>
      <c r="B18" s="2113" t="str">
        <f t="shared" si="0"/>
        <v>ALC P4-2_COM_bg_20260807.xlsx</v>
      </c>
      <c r="C18" s="2114" t="s">
        <v>4144</v>
      </c>
      <c r="E18" t="s">
        <v>4145</v>
      </c>
    </row>
    <row r="19" spans="1:5" x14ac:dyDescent="0.25">
      <c r="A19" s="2112"/>
      <c r="B19" s="2113" t="str">
        <f t="shared" si="0"/>
        <v>---</v>
      </c>
      <c r="C19" s="2114"/>
    </row>
    <row r="20" spans="1:5" x14ac:dyDescent="0.25">
      <c r="A20" s="2112"/>
      <c r="B20" s="2113" t="str">
        <f t="shared" si="0"/>
        <v>---</v>
      </c>
      <c r="C20" s="2114"/>
    </row>
    <row r="21" spans="1:5" x14ac:dyDescent="0.25">
      <c r="A21" s="2112"/>
      <c r="B21" s="2113" t="str">
        <f t="shared" si="0"/>
        <v>---</v>
      </c>
      <c r="C21" s="2114"/>
    </row>
    <row r="22" spans="1:5" x14ac:dyDescent="0.25">
      <c r="A22" s="2112"/>
      <c r="B22" s="2113" t="str">
        <f t="shared" si="0"/>
        <v>---</v>
      </c>
      <c r="C22" s="2114"/>
    </row>
    <row r="23" spans="1:5" x14ac:dyDescent="0.25">
      <c r="A23" s="2112"/>
      <c r="B23" s="2113" t="str">
        <f t="shared" si="0"/>
        <v>---</v>
      </c>
      <c r="C23" s="2114"/>
    </row>
    <row r="24" spans="1:5" x14ac:dyDescent="0.25">
      <c r="A24" s="2112"/>
      <c r="B24" s="2113" t="str">
        <f t="shared" si="0"/>
        <v>---</v>
      </c>
      <c r="C24" s="2114"/>
    </row>
    <row r="25" spans="1:5" x14ac:dyDescent="0.25">
      <c r="A25" s="2112"/>
      <c r="B25" s="2113" t="str">
        <f t="shared" si="0"/>
        <v>---</v>
      </c>
      <c r="C25" s="2114"/>
    </row>
    <row r="26" spans="1:5" x14ac:dyDescent="0.25">
      <c r="A26" s="2112"/>
      <c r="B26" s="2113" t="str">
        <f t="shared" si="0"/>
        <v>---</v>
      </c>
      <c r="C26" s="2114"/>
    </row>
    <row r="27" spans="1:5" x14ac:dyDescent="0.25">
      <c r="A27" s="2112"/>
      <c r="B27" s="2113" t="str">
        <f t="shared" si="0"/>
        <v>---</v>
      </c>
      <c r="C27" s="2114"/>
    </row>
    <row r="28" spans="1:5" x14ac:dyDescent="0.25">
      <c r="A28" s="2115"/>
      <c r="B28" s="2116" t="str">
        <f t="shared" si="0"/>
        <v>---</v>
      </c>
      <c r="C28" s="2117"/>
    </row>
    <row r="30" spans="1:5" ht="13" x14ac:dyDescent="0.3">
      <c r="A30" s="2095" t="s">
        <v>746</v>
      </c>
    </row>
    <row r="31" spans="1:5" x14ac:dyDescent="0.25">
      <c r="A31" s="2118" t="s">
        <v>747</v>
      </c>
      <c r="B31" s="2118" t="s">
        <v>341</v>
      </c>
    </row>
    <row r="32" spans="1:5" x14ac:dyDescent="0.25">
      <c r="A32" s="2118" t="s">
        <v>994</v>
      </c>
      <c r="B32" s="2118" t="s">
        <v>891</v>
      </c>
    </row>
    <row r="33" spans="1:2" x14ac:dyDescent="0.25">
      <c r="A33" s="2118" t="s">
        <v>411</v>
      </c>
      <c r="B33" s="2118" t="s">
        <v>342</v>
      </c>
    </row>
    <row r="34" spans="1:2" x14ac:dyDescent="0.25">
      <c r="A34" s="2118" t="s">
        <v>412</v>
      </c>
      <c r="B34" s="2118" t="s">
        <v>343</v>
      </c>
    </row>
    <row r="35" spans="1:2" x14ac:dyDescent="0.25">
      <c r="A35" s="2118" t="s">
        <v>413</v>
      </c>
      <c r="B35" s="2118" t="s">
        <v>344</v>
      </c>
    </row>
    <row r="36" spans="1:2" x14ac:dyDescent="0.25">
      <c r="A36" s="2118" t="s">
        <v>1164</v>
      </c>
      <c r="B36" s="2118" t="s">
        <v>1165</v>
      </c>
    </row>
    <row r="37" spans="1:2" x14ac:dyDescent="0.25">
      <c r="A37" s="2118" t="s">
        <v>414</v>
      </c>
      <c r="B37" s="2118" t="s">
        <v>345</v>
      </c>
    </row>
    <row r="38" spans="1:2" x14ac:dyDescent="0.25">
      <c r="A38" s="2118" t="s">
        <v>415</v>
      </c>
      <c r="B38" s="2118" t="s">
        <v>346</v>
      </c>
    </row>
    <row r="39" spans="1:2" x14ac:dyDescent="0.25">
      <c r="A39" s="2118" t="s">
        <v>416</v>
      </c>
      <c r="B39" s="2118" t="s">
        <v>347</v>
      </c>
    </row>
    <row r="40" spans="1:2" x14ac:dyDescent="0.25">
      <c r="A40" s="2118" t="s">
        <v>417</v>
      </c>
      <c r="B40" s="2118" t="s">
        <v>348</v>
      </c>
    </row>
    <row r="41" spans="1:2" x14ac:dyDescent="0.25">
      <c r="A41" s="2118" t="s">
        <v>418</v>
      </c>
      <c r="B41" s="2118" t="s">
        <v>349</v>
      </c>
    </row>
    <row r="42" spans="1:2" x14ac:dyDescent="0.25">
      <c r="A42" s="2118" t="s">
        <v>419</v>
      </c>
      <c r="B42" s="2118" t="s">
        <v>350</v>
      </c>
    </row>
    <row r="43" spans="1:2" x14ac:dyDescent="0.25">
      <c r="A43" s="2118" t="s">
        <v>420</v>
      </c>
      <c r="B43" s="2118" t="s">
        <v>351</v>
      </c>
    </row>
    <row r="44" spans="1:2" x14ac:dyDescent="0.25">
      <c r="A44" s="2118" t="s">
        <v>421</v>
      </c>
      <c r="B44" s="2118" t="s">
        <v>352</v>
      </c>
    </row>
    <row r="45" spans="1:2" x14ac:dyDescent="0.25">
      <c r="A45" s="2118" t="s">
        <v>422</v>
      </c>
      <c r="B45" s="2118" t="s">
        <v>353</v>
      </c>
    </row>
    <row r="46" spans="1:2" x14ac:dyDescent="0.25">
      <c r="A46" s="2118" t="s">
        <v>431</v>
      </c>
      <c r="B46" s="2118" t="s">
        <v>1166</v>
      </c>
    </row>
    <row r="47" spans="1:2" x14ac:dyDescent="0.25">
      <c r="A47" s="2118" t="s">
        <v>423</v>
      </c>
      <c r="B47" s="2118" t="s">
        <v>354</v>
      </c>
    </row>
    <row r="48" spans="1:2" x14ac:dyDescent="0.25">
      <c r="A48" s="2118" t="s">
        <v>424</v>
      </c>
      <c r="B48" s="2118" t="s">
        <v>355</v>
      </c>
    </row>
    <row r="49" spans="1:2" x14ac:dyDescent="0.25">
      <c r="A49" s="2118" t="s">
        <v>425</v>
      </c>
      <c r="B49" s="2118" t="s">
        <v>356</v>
      </c>
    </row>
    <row r="50" spans="1:2" x14ac:dyDescent="0.25">
      <c r="A50" s="2118" t="s">
        <v>887</v>
      </c>
      <c r="B50" s="2118" t="s">
        <v>889</v>
      </c>
    </row>
    <row r="51" spans="1:2" x14ac:dyDescent="0.25">
      <c r="A51" s="2118" t="s">
        <v>426</v>
      </c>
      <c r="B51" s="2118" t="s">
        <v>357</v>
      </c>
    </row>
    <row r="52" spans="1:2" x14ac:dyDescent="0.25">
      <c r="A52" s="2118" t="s">
        <v>427</v>
      </c>
      <c r="B52" s="2118" t="s">
        <v>358</v>
      </c>
    </row>
    <row r="53" spans="1:2" x14ac:dyDescent="0.25">
      <c r="A53" s="2118" t="s">
        <v>428</v>
      </c>
      <c r="B53" s="2118" t="s">
        <v>359</v>
      </c>
    </row>
    <row r="54" spans="1:2" x14ac:dyDescent="0.25">
      <c r="A54" s="2118" t="s">
        <v>429</v>
      </c>
      <c r="B54" s="2118" t="s">
        <v>360</v>
      </c>
    </row>
    <row r="55" spans="1:2" x14ac:dyDescent="0.25">
      <c r="A55" s="2118" t="s">
        <v>886</v>
      </c>
      <c r="B55" s="2118" t="s">
        <v>890</v>
      </c>
    </row>
    <row r="56" spans="1:2" x14ac:dyDescent="0.25">
      <c r="A56" s="2118" t="s">
        <v>430</v>
      </c>
      <c r="B56" s="2118" t="s">
        <v>361</v>
      </c>
    </row>
    <row r="57" spans="1:2" x14ac:dyDescent="0.25">
      <c r="A57" s="2118" t="s">
        <v>1026</v>
      </c>
      <c r="B57" s="2118" t="s">
        <v>362</v>
      </c>
    </row>
    <row r="58" spans="1:2" x14ac:dyDescent="0.25">
      <c r="A58" s="2118" t="s">
        <v>1027</v>
      </c>
      <c r="B58" s="2118" t="s">
        <v>363</v>
      </c>
    </row>
    <row r="59" spans="1:2" x14ac:dyDescent="0.25">
      <c r="A59" s="2118" t="s">
        <v>1028</v>
      </c>
      <c r="B59" s="2118" t="s">
        <v>364</v>
      </c>
    </row>
    <row r="60" spans="1:2" x14ac:dyDescent="0.25">
      <c r="A60" s="2118" t="s">
        <v>1029</v>
      </c>
      <c r="B60" s="2118" t="s">
        <v>365</v>
      </c>
    </row>
    <row r="61" spans="1:2" x14ac:dyDescent="0.25">
      <c r="A61" s="2118" t="s">
        <v>995</v>
      </c>
      <c r="B61" s="2118" t="s">
        <v>366</v>
      </c>
    </row>
    <row r="62" spans="1:2" x14ac:dyDescent="0.25">
      <c r="A62" s="2118" t="s">
        <v>996</v>
      </c>
      <c r="B62" s="2118" t="s">
        <v>367</v>
      </c>
    </row>
    <row r="63" spans="1:2" x14ac:dyDescent="0.25">
      <c r="A63" s="2118" t="s">
        <v>997</v>
      </c>
      <c r="B63" s="2118" t="s">
        <v>368</v>
      </c>
    </row>
    <row r="65" spans="1:2" ht="13" x14ac:dyDescent="0.3">
      <c r="A65" s="2095" t="s">
        <v>3</v>
      </c>
    </row>
    <row r="66" spans="1:2" x14ac:dyDescent="0.25">
      <c r="A66" s="2119" t="s">
        <v>748</v>
      </c>
      <c r="B66" s="2119" t="s">
        <v>749</v>
      </c>
    </row>
    <row r="67" spans="1:2" x14ac:dyDescent="0.25">
      <c r="A67" s="2119" t="s">
        <v>750</v>
      </c>
      <c r="B67" s="2119" t="s">
        <v>751</v>
      </c>
    </row>
    <row r="68" spans="1:2" x14ac:dyDescent="0.25">
      <c r="A68" s="2119" t="s">
        <v>1167</v>
      </c>
      <c r="B68" s="2119" t="s">
        <v>1168</v>
      </c>
    </row>
    <row r="69" spans="1:2" x14ac:dyDescent="0.25">
      <c r="A69" s="2119" t="s">
        <v>752</v>
      </c>
      <c r="B69" s="2119" t="s">
        <v>753</v>
      </c>
    </row>
    <row r="70" spans="1:2" x14ac:dyDescent="0.25">
      <c r="A70" s="2119" t="s">
        <v>754</v>
      </c>
      <c r="B70" s="2119" t="s">
        <v>755</v>
      </c>
    </row>
    <row r="71" spans="1:2" x14ac:dyDescent="0.25">
      <c r="A71" s="2119" t="s">
        <v>756</v>
      </c>
      <c r="B71" s="2119" t="s">
        <v>757</v>
      </c>
    </row>
    <row r="72" spans="1:2" x14ac:dyDescent="0.25">
      <c r="A72" s="2119" t="s">
        <v>758</v>
      </c>
      <c r="B72" s="2119" t="s">
        <v>759</v>
      </c>
    </row>
    <row r="73" spans="1:2" x14ac:dyDescent="0.25">
      <c r="A73" s="2119" t="s">
        <v>760</v>
      </c>
      <c r="B73" s="2119" t="s">
        <v>761</v>
      </c>
    </row>
    <row r="74" spans="1:2" x14ac:dyDescent="0.25">
      <c r="A74" s="2119" t="s">
        <v>762</v>
      </c>
      <c r="B74" s="2119" t="s">
        <v>763</v>
      </c>
    </row>
    <row r="75" spans="1:2" x14ac:dyDescent="0.25">
      <c r="A75" s="2119" t="s">
        <v>764</v>
      </c>
      <c r="B75" s="2119" t="s">
        <v>765</v>
      </c>
    </row>
    <row r="76" spans="1:2" x14ac:dyDescent="0.25">
      <c r="A76" s="2119" t="s">
        <v>1169</v>
      </c>
      <c r="B76" s="2119" t="s">
        <v>1170</v>
      </c>
    </row>
    <row r="77" spans="1:2" x14ac:dyDescent="0.25">
      <c r="A77" s="2119" t="s">
        <v>766</v>
      </c>
      <c r="B77" s="2119" t="s">
        <v>767</v>
      </c>
    </row>
    <row r="78" spans="1:2" x14ac:dyDescent="0.25">
      <c r="A78" s="2119" t="s">
        <v>768</v>
      </c>
      <c r="B78" s="2119" t="s">
        <v>317</v>
      </c>
    </row>
    <row r="79" spans="1:2" x14ac:dyDescent="0.25">
      <c r="A79" s="2119" t="s">
        <v>318</v>
      </c>
      <c r="B79" s="2119" t="s">
        <v>319</v>
      </c>
    </row>
    <row r="80" spans="1:2" x14ac:dyDescent="0.25">
      <c r="A80" s="2119" t="s">
        <v>320</v>
      </c>
      <c r="B80" s="2119" t="s">
        <v>321</v>
      </c>
    </row>
    <row r="81" spans="1:2" x14ac:dyDescent="0.25">
      <c r="A81" s="2119" t="s">
        <v>322</v>
      </c>
      <c r="B81" s="2119" t="s">
        <v>323</v>
      </c>
    </row>
    <row r="82" spans="1:2" x14ac:dyDescent="0.25">
      <c r="A82" s="2119" t="s">
        <v>953</v>
      </c>
      <c r="B82" s="2119" t="s">
        <v>954</v>
      </c>
    </row>
    <row r="83" spans="1:2" x14ac:dyDescent="0.25">
      <c r="A83" s="2119" t="s">
        <v>324</v>
      </c>
      <c r="B83" s="2119" t="s">
        <v>325</v>
      </c>
    </row>
    <row r="84" spans="1:2" x14ac:dyDescent="0.25">
      <c r="A84" s="2119" t="s">
        <v>326</v>
      </c>
      <c r="B84" s="2119" t="s">
        <v>327</v>
      </c>
    </row>
    <row r="85" spans="1:2" x14ac:dyDescent="0.25">
      <c r="A85" s="2119" t="s">
        <v>328</v>
      </c>
      <c r="B85" s="2119" t="s">
        <v>329</v>
      </c>
    </row>
    <row r="86" spans="1:2" x14ac:dyDescent="0.25">
      <c r="A86" s="2119" t="s">
        <v>330</v>
      </c>
      <c r="B86" s="2119" t="s">
        <v>331</v>
      </c>
    </row>
    <row r="87" spans="1:2" x14ac:dyDescent="0.25">
      <c r="A87" s="2119" t="s">
        <v>332</v>
      </c>
      <c r="B87" s="2119" t="s">
        <v>333</v>
      </c>
    </row>
    <row r="88" spans="1:2" x14ac:dyDescent="0.25">
      <c r="A88" s="2119" t="s">
        <v>334</v>
      </c>
      <c r="B88" s="2119" t="s">
        <v>335</v>
      </c>
    </row>
    <row r="89" spans="1:2" x14ac:dyDescent="0.25">
      <c r="A89" s="2119" t="s">
        <v>336</v>
      </c>
      <c r="B89" s="2119" t="s">
        <v>337</v>
      </c>
    </row>
    <row r="90" spans="1:2" x14ac:dyDescent="0.25">
      <c r="A90" s="2119" t="s">
        <v>338</v>
      </c>
      <c r="B90" s="2119" t="s">
        <v>339</v>
      </c>
    </row>
  </sheetData>
  <sheetProtection sheet="1" objects="1" scenarios="1" formatCells="0" formatColumns="0" formatRows="0"/>
  <phoneticPr fontId="7" type="noConversion"/>
  <dataValidations count="4">
    <dataValidation type="list" allowBlank="1" showInputMessage="1" showErrorMessage="1" sqref="B5" xr:uid="{00000000-0002-0000-1000-000000000000}">
      <formula1>$A$66:$A$90</formula1>
    </dataValidation>
    <dataValidation type="list" allowBlank="1" showInputMessage="1" showErrorMessage="1" sqref="B4" xr:uid="{00000000-0002-0000-1000-000001000000}">
      <formula1>$A$31:$A$63</formula1>
    </dataValidation>
    <dataValidation type="list" allowBlank="1" showInputMessage="1" showErrorMessage="1" sqref="B2" xr:uid="{00000000-0002-0000-1000-000002000000}">
      <formula1>$A$8:$A$11</formula1>
    </dataValidation>
    <dataValidation type="list" allowBlank="1" showInputMessage="1" showErrorMessage="1" sqref="B3" xr:uid="{00000000-0002-0000-1000-000003000000}">
      <formula1>$A$14:$A$26</formula1>
    </dataValidation>
  </dataValidations>
  <pageMargins left="0.78740157499999996" right="0.78740157499999996" top="0.984251969" bottom="0.984251969" header="0.5" footer="0.5"/>
  <pageSetup paperSize="9" scale="64" orientation="portrait" r:id="rId1"/>
  <headerFooter alignWithMargins="0">
    <oddHeader>&amp;L&amp;F; &amp;A&amp;R&amp;D ;&amp;T</oddHeader>
    <oddFooter>&amp;C&amp;P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J96"/>
  <sheetViews>
    <sheetView zoomScaleNormal="100" workbookViewId="0">
      <pane ySplit="3" topLeftCell="A4" activePane="bottomLeft" state="frozen"/>
      <selection pane="bottomLeft" sqref="A1:A3"/>
    </sheetView>
  </sheetViews>
  <sheetFormatPr defaultColWidth="9.1796875" defaultRowHeight="12.5" x14ac:dyDescent="0.25"/>
  <cols>
    <col min="1" max="1" width="4.7265625" style="326" customWidth="1"/>
    <col min="2" max="2" width="12.7265625" style="326" customWidth="1"/>
    <col min="3" max="3" width="15.7265625" style="326" customWidth="1"/>
    <col min="4" max="10" width="12.7265625" style="326" customWidth="1"/>
    <col min="11" max="16384" width="9.1796875" style="326"/>
  </cols>
  <sheetData>
    <row r="1" spans="1:10" ht="13.5" customHeight="1" thickBot="1" x14ac:dyDescent="0.35">
      <c r="A1" s="2230" t="s">
        <v>598</v>
      </c>
      <c r="B1" s="282" t="str">
        <f>Translations!$B$2</f>
        <v>Навигационно меню:</v>
      </c>
      <c r="C1" s="283"/>
      <c r="D1" s="2233" t="str">
        <f>Translations!$B$16</f>
        <v>Съдържание</v>
      </c>
      <c r="E1" s="2233"/>
      <c r="F1" s="2233" t="str">
        <f>Translations!$B$17</f>
        <v>Предходен лист</v>
      </c>
      <c r="G1" s="2233"/>
      <c r="H1" s="2233" t="str">
        <f>Translations!$B$3</f>
        <v>Следващ лист</v>
      </c>
      <c r="I1" s="2233"/>
      <c r="J1" s="219" t="str">
        <f>Translations!$B$4</f>
        <v>Обобщение</v>
      </c>
    </row>
    <row r="2" spans="1:10" ht="13.5" thickBot="1" x14ac:dyDescent="0.3">
      <c r="A2" s="2231"/>
      <c r="B2" s="2233" t="str">
        <f>Translations!$B$5</f>
        <v>Начало на листа</v>
      </c>
      <c r="C2" s="2233"/>
      <c r="D2" s="2219"/>
      <c r="E2" s="2220"/>
      <c r="F2" s="2220"/>
      <c r="G2" s="2220"/>
      <c r="H2" s="2220"/>
      <c r="I2" s="2220"/>
      <c r="J2" s="285"/>
    </row>
    <row r="3" spans="1:10" ht="13.5" thickBot="1" x14ac:dyDescent="0.3">
      <c r="A3" s="2232"/>
      <c r="B3" s="2233" t="str">
        <f>Translations!$B$6</f>
        <v>Край на листа</v>
      </c>
      <c r="C3" s="2233"/>
      <c r="D3" s="2234"/>
      <c r="E3" s="2235"/>
      <c r="F3" s="2235"/>
      <c r="G3" s="2235"/>
      <c r="H3" s="2235"/>
      <c r="I3" s="2235"/>
      <c r="J3" s="286"/>
    </row>
    <row r="4" spans="1:10" x14ac:dyDescent="0.25">
      <c r="A4" s="284"/>
      <c r="B4" s="284"/>
      <c r="C4" s="284"/>
      <c r="D4" s="284"/>
      <c r="E4" s="284"/>
      <c r="F4" s="284"/>
      <c r="G4" s="284"/>
      <c r="H4" s="284"/>
      <c r="I4" s="284"/>
      <c r="J4" s="284"/>
    </row>
    <row r="5" spans="1:10" ht="18" x14ac:dyDescent="0.25">
      <c r="A5" s="300"/>
      <c r="B5" s="2259" t="str">
        <f>Translations!$B$18</f>
        <v>УКАЗАНИЯ И УСЛОВИЯ</v>
      </c>
      <c r="C5" s="2259"/>
      <c r="D5" s="2259"/>
      <c r="E5" s="2259"/>
      <c r="F5" s="2259"/>
      <c r="G5" s="2259"/>
      <c r="H5" s="2259"/>
      <c r="I5" s="2259"/>
      <c r="J5" s="2259"/>
    </row>
    <row r="6" spans="1:10" ht="13" x14ac:dyDescent="0.25">
      <c r="A6" s="300"/>
      <c r="B6" s="2260"/>
      <c r="C6" s="2260"/>
      <c r="D6" s="2260"/>
      <c r="E6" s="2260"/>
      <c r="F6" s="2260"/>
      <c r="G6" s="2260"/>
      <c r="H6" s="2260"/>
      <c r="I6" s="2260"/>
      <c r="J6" s="2260"/>
    </row>
    <row r="7" spans="1:10" ht="15.5" x14ac:dyDescent="0.35">
      <c r="A7" s="327"/>
      <c r="B7" s="2245" t="str">
        <f>Translations!$B$19</f>
        <v>Обща информация за настоящия образец</v>
      </c>
      <c r="C7" s="2245"/>
      <c r="D7" s="2245"/>
      <c r="E7" s="2245"/>
      <c r="F7" s="2245"/>
      <c r="G7" s="2245"/>
      <c r="H7" s="2245"/>
      <c r="I7" s="2245"/>
      <c r="J7" s="2245"/>
    </row>
    <row r="8" spans="1:10" x14ac:dyDescent="0.25">
      <c r="A8" s="328"/>
      <c r="B8" s="328"/>
      <c r="C8" s="328"/>
      <c r="D8" s="328"/>
      <c r="E8" s="328"/>
      <c r="F8" s="328"/>
      <c r="G8" s="328"/>
      <c r="H8" s="328"/>
      <c r="I8" s="328"/>
      <c r="J8" s="329"/>
    </row>
    <row r="9" spans="1:10" ht="38.25" customHeight="1" x14ac:dyDescent="0.25">
      <c r="A9" s="330">
        <v>1</v>
      </c>
      <c r="B9" s="2239" t="str">
        <f>Translations!$B$20</f>
        <v>Съгласно Директива 2003/87/ЕО, последно изменена с Директива 2018/410/ЕС (наричана по-нататък „Директива за СТЕ на ЕС“), държавите членки са длъжни да разпределят безплатно квоти за инсталации въз основа на напълно хармонизирани правила, валидни за цялата Общност (член 10a, параграф 1). Директивата може да бъде изтеглен чрез следния линк:https://eur-lex.europa.eu/eli/dir/2003/87/2018-04-08</v>
      </c>
      <c r="C9" s="2240"/>
      <c r="D9" s="2240"/>
      <c r="E9" s="2240"/>
      <c r="F9" s="2240"/>
      <c r="G9" s="2240"/>
      <c r="H9" s="2240"/>
      <c r="I9" s="2240"/>
      <c r="J9" s="2240"/>
    </row>
    <row r="10" spans="1:10" x14ac:dyDescent="0.25">
      <c r="A10" s="328"/>
      <c r="B10" s="2243" t="str">
        <f>Translations!$B$1429</f>
        <v>https://eur-lex.europa.eu/eli/dir/2003/87/2024-03-01</v>
      </c>
      <c r="C10" s="2244"/>
      <c r="D10" s="2244"/>
      <c r="E10" s="2244"/>
      <c r="F10" s="2244"/>
      <c r="G10" s="2244"/>
      <c r="H10" s="2244"/>
      <c r="I10" s="2244"/>
      <c r="J10" s="2244"/>
    </row>
    <row r="11" spans="1:10" ht="38.25" customHeight="1" x14ac:dyDescent="0.25">
      <c r="A11" s="330">
        <f>A9+1</f>
        <v>2</v>
      </c>
      <c r="B11" s="2239" t="str">
        <f>Translations!$B$21</f>
        <v>Тези правила за безплатно разпределение (наричани по-нататък „ПБР“) се съдържат в Делегиран регламент (ЕС) 2019/331 на Комисията от 19 декември 2018 г. за определяне на валидни за целия Съюз преходни правила за хармонизирано безплатно разпределяне на квоти за емисии в съответствие с член 10а от Директива 2003/87/ЕО на Европейския парламент и на Съвета. Те могат да бъде изтеглени чрез следния линк: https://eur-lex.europa.eu/eli/reg_del/2019/331/oj?locale=bg</v>
      </c>
      <c r="C11" s="2240"/>
      <c r="D11" s="2240"/>
      <c r="E11" s="2240"/>
      <c r="F11" s="2240"/>
      <c r="G11" s="2240"/>
      <c r="H11" s="2240"/>
      <c r="I11" s="2240"/>
      <c r="J11" s="2240"/>
    </row>
    <row r="12" spans="1:10" x14ac:dyDescent="0.25">
      <c r="A12" s="328"/>
      <c r="B12" s="2241" t="str">
        <f>Translations!$B$1430</f>
        <v>https://eur-lex.europa.eu/eli/reg_del/2019/331/2024-01-01</v>
      </c>
      <c r="C12" s="2242"/>
      <c r="D12" s="2242"/>
      <c r="E12" s="2242"/>
      <c r="F12" s="2242"/>
      <c r="G12" s="2242"/>
      <c r="H12" s="2242"/>
      <c r="I12" s="2242"/>
      <c r="J12" s="2242"/>
    </row>
    <row r="13" spans="1:10" ht="38.25" customHeight="1" x14ac:dyDescent="0.25">
      <c r="A13" s="330">
        <f>A11+1</f>
        <v>3</v>
      </c>
      <c r="B13" s="2239" t="str">
        <f>Translations!$B$1186</f>
        <v>Правилата за ежегодни корекции на разпределението на квотите за емисии се съдържат в Регламент за изпълнение (ЕС) 2019/1842 на Комисията от 31 октомври 2019 година за определяне на правила за прилагането на Директива 2003/87/ЕО на Европейския парламент и на Съвета по отношение на допълнителните условия за коригиране на безплатното разпределение на квоти за емисии поради промени в равнището на дейност (наричан по-нататък „ALC-R“). Те могат да бъдат изтеглени чрез следния линк: https://eur-lex.europa.eu/eli/reg_impl/2019/1842/oj?locale=bg</v>
      </c>
      <c r="C13" s="2240"/>
      <c r="D13" s="2240"/>
      <c r="E13" s="2240"/>
      <c r="F13" s="2240"/>
      <c r="G13" s="2240"/>
      <c r="H13" s="2240"/>
      <c r="I13" s="2240"/>
      <c r="J13" s="2240"/>
    </row>
    <row r="14" spans="1:10" x14ac:dyDescent="0.25">
      <c r="A14" s="328"/>
      <c r="B14" s="2241" t="s">
        <v>2553</v>
      </c>
      <c r="C14" s="2242"/>
      <c r="D14" s="2242"/>
      <c r="E14" s="2242"/>
      <c r="F14" s="2242"/>
      <c r="G14" s="2242"/>
      <c r="H14" s="2242"/>
      <c r="I14" s="2242"/>
      <c r="J14" s="2242"/>
    </row>
    <row r="15" spans="1:10" ht="25.5" customHeight="1" x14ac:dyDescent="0.25">
      <c r="A15" s="330">
        <f>A13+1</f>
        <v>4</v>
      </c>
      <c r="B15" s="2239" t="str">
        <f>Translations!$B$1187</f>
        <v>Съществен елемент на ALC-R е годишното докладване за данни с цел събиране на цялата относима информация от операторите на инсталации, необходима на държавите членки за определяне на евентуалните корекции на разпределените квоти за емисии.</v>
      </c>
      <c r="C15" s="2240"/>
      <c r="D15" s="2240"/>
      <c r="E15" s="2240"/>
      <c r="F15" s="2240"/>
      <c r="G15" s="2240"/>
      <c r="H15" s="2240"/>
      <c r="I15" s="2240"/>
      <c r="J15" s="2240"/>
    </row>
    <row r="16" spans="1:10" ht="25.5" customHeight="1" x14ac:dyDescent="0.25">
      <c r="A16" s="330">
        <f>A15+1</f>
        <v>5</v>
      </c>
      <c r="B16" s="2239" t="str">
        <f>Translations!$B$1188</f>
        <v>Настоящият образец за събиране на данни е разработен за Комисията от нейните консултанти (Umweltbundesamt GmbH Австрия и SQ Consult) и обхваща промените в равнището на разпределяне на квоти на нови участници, случаите на спиране на експлоатацията на (под)инсталации и промените в равнището на дейност.</v>
      </c>
      <c r="C16" s="2240"/>
      <c r="D16" s="2240"/>
      <c r="E16" s="2240"/>
      <c r="F16" s="2240"/>
      <c r="G16" s="2240"/>
      <c r="H16" s="2240"/>
      <c r="I16" s="2240"/>
      <c r="J16" s="2240"/>
    </row>
    <row r="17" spans="1:10" ht="12.75" customHeight="1" x14ac:dyDescent="0.25">
      <c r="A17" s="330"/>
      <c r="B17" s="2239" t="str">
        <f>Translations!$B$22</f>
        <v xml:space="preserve">Изразените в настоящия файл гледища представляват гледища на неговите автори и не отразяват задължително гледищата на Европейската комисия. </v>
      </c>
      <c r="C17" s="2240"/>
      <c r="D17" s="2240"/>
      <c r="E17" s="2240"/>
      <c r="F17" s="2240"/>
      <c r="G17" s="2240"/>
      <c r="H17" s="2240"/>
      <c r="I17" s="2240"/>
      <c r="J17" s="2240"/>
    </row>
    <row r="18" spans="1:10" ht="38.9" customHeight="1" x14ac:dyDescent="0.25">
      <c r="A18" s="330">
        <f>A16+1</f>
        <v>6</v>
      </c>
      <c r="B18" s="2262" t="str">
        <f>Translations!$B$1432</f>
        <v>Това е образецът за промени в равнището на разпределяне за фаза 4.2 (2026—2030 г.) на СТЕ на ЕС. Окончателна версия от 8 януари 2026 г.</v>
      </c>
      <c r="C18" s="2262"/>
      <c r="D18" s="2262"/>
      <c r="E18" s="2262"/>
      <c r="F18" s="2262"/>
      <c r="G18" s="2262"/>
      <c r="H18" s="2262"/>
      <c r="I18" s="2262"/>
      <c r="J18" s="2262"/>
    </row>
    <row r="19" spans="1:10" x14ac:dyDescent="0.25">
      <c r="A19" s="328"/>
      <c r="B19" s="328"/>
      <c r="C19" s="328"/>
      <c r="D19" s="328"/>
      <c r="E19" s="328"/>
      <c r="F19" s="328"/>
      <c r="G19" s="328"/>
      <c r="H19" s="328"/>
      <c r="I19" s="328"/>
      <c r="J19" s="329"/>
    </row>
    <row r="20" spans="1:10" ht="15.5" x14ac:dyDescent="0.35">
      <c r="A20" s="327"/>
      <c r="B20" s="2245" t="str">
        <f>Translations!$B$23</f>
        <v>Как да се използва настоящият файл:</v>
      </c>
      <c r="C20" s="2245"/>
      <c r="D20" s="2245"/>
      <c r="E20" s="2245"/>
      <c r="F20" s="2245"/>
      <c r="G20" s="2245"/>
      <c r="H20" s="2245"/>
      <c r="I20" s="2245"/>
      <c r="J20" s="2245"/>
    </row>
    <row r="21" spans="1:10" x14ac:dyDescent="0.25">
      <c r="A21" s="328"/>
      <c r="B21" s="328"/>
      <c r="C21" s="328"/>
      <c r="D21" s="328"/>
      <c r="E21" s="328"/>
      <c r="F21" s="328"/>
      <c r="G21" s="328"/>
      <c r="H21" s="328"/>
      <c r="I21" s="328"/>
      <c r="J21" s="329"/>
    </row>
    <row r="22" spans="1:10" ht="13" x14ac:dyDescent="0.25">
      <c r="A22" s="330">
        <f>A18+1</f>
        <v>7</v>
      </c>
      <c r="B22" s="2239" t="str">
        <f>Translations!$B$24</f>
        <v>Трябва да бъде включена функцията „Автоматично изчисление“ (намира се в менюто Формула/Варианти за изчисление).</v>
      </c>
      <c r="C22" s="2240"/>
      <c r="D22" s="2240"/>
      <c r="E22" s="2240"/>
      <c r="F22" s="2240"/>
      <c r="G22" s="2240"/>
      <c r="H22" s="2240"/>
      <c r="I22" s="2240"/>
      <c r="J22" s="2240"/>
    </row>
    <row r="23" spans="1:10" ht="38.25" customHeight="1" x14ac:dyDescent="0.25">
      <c r="A23"/>
      <c r="B23" s="2239" t="str">
        <f>Translations!$B$1189</f>
        <v>Препоръчително е при попълване да се движите последователно от началото до края. Има няколко функции, които да Ви насочват във формуляра в зависимост от вече попълнените данни, като например промяна на цвета на клетките, ако в тях не е необходимо въвеждане на данни (вж. цветовите кодове по-долу). Понякога обаче може да е необходимо първо да преминете към въвеждането на данни в друг лист, преди да продължите (напр. „H_specialBM“ („H_Специфичен показател“) трябва да се попълни, преди да може да се завърши „F_ProductBM“ („H_Продуктов показател“), в случаите, в които важи приложение III от ПБР).</v>
      </c>
      <c r="C23" s="2240"/>
      <c r="D23" s="2240"/>
      <c r="E23" s="2240"/>
      <c r="F23" s="2240"/>
      <c r="G23" s="2240"/>
      <c r="H23" s="2240"/>
      <c r="I23" s="2240"/>
      <c r="J23" s="2240"/>
    </row>
    <row r="24" spans="1:10" ht="40" customHeight="1" x14ac:dyDescent="0.25">
      <c r="A24" s="330">
        <f>A22+1</f>
        <v>8</v>
      </c>
      <c r="B24" s="2239" t="str">
        <f>Translations!$B$25</f>
        <v>Когато трябва да се посочи нулева стойност, тя трябва да се въведе и клетката да не се оставя празна. Ако дадена клетка не се попълни, компетентният орган (КО) няма да знае дали стойността не е посочена, неприложима е или е неизвестна. Винаги въвеждайте необходимите за изчисленията данни (особено ако са нулеви, тъй като някои формули не извеждат резултати, ако някои от задължителните клетки не са попълнени).</v>
      </c>
      <c r="C24" s="2240"/>
      <c r="D24" s="2240"/>
      <c r="E24" s="2240"/>
      <c r="F24" s="2240"/>
      <c r="G24" s="2240"/>
      <c r="H24" s="2240"/>
      <c r="I24" s="2240"/>
      <c r="J24" s="2240"/>
    </row>
    <row r="25" spans="1:10" ht="40" customHeight="1" x14ac:dyDescent="0.25">
      <c r="A25" s="330">
        <f>A24+1</f>
        <v>9</v>
      </c>
      <c r="B25" s="2239" t="str">
        <f>Translations!$B$26</f>
        <v>В редица полета можете да избирате между предварително формулирани входни данни. За да избирате от такъв „падащ списък“, или щракнете с мишката върху малката стрелка, която се появява при дясната граница на клетката, или, когато сте избрали клетката, натиснете „Alt-стрелка надолу“. Някои полета Ви дават възможност да въвеждате Ваш собствен текст, дори и ако имат такъв падащ списък. В този случай падащите списъци съдържат в себе си празни позиции.</v>
      </c>
      <c r="C25" s="2240"/>
      <c r="D25" s="2240"/>
      <c r="E25" s="2240"/>
      <c r="F25" s="2240"/>
      <c r="G25" s="2240"/>
      <c r="H25" s="2240"/>
      <c r="I25" s="2240"/>
      <c r="J25" s="2240"/>
    </row>
    <row r="26" spans="1:10" ht="25.5" customHeight="1" x14ac:dyDescent="0.25">
      <c r="A26" s="330">
        <f>A25+1</f>
        <v>10</v>
      </c>
      <c r="B26" s="2239" t="str">
        <f>Translations!$B$27</f>
        <v>При непълни въведени данни понякога се появяват съобщения за грешка. Липсата на такова съобщение, обаче, не представлява гаранция за правилност на изчисленията, тъй като не винаги е възможно да се провери пълнотата на въведените данни. Ако в зеленото поле не се появи резултат, може да се предположи, че някои данни все още липсват.</v>
      </c>
      <c r="C26" s="2240"/>
      <c r="D26" s="2240"/>
      <c r="E26" s="2240"/>
      <c r="F26" s="2240"/>
      <c r="G26" s="2240"/>
      <c r="H26" s="2240"/>
      <c r="I26" s="2240"/>
      <c r="J26" s="2240"/>
    </row>
    <row r="27" spans="1:10" ht="12.75" customHeight="1" x14ac:dyDescent="0.25">
      <c r="A27" s="330"/>
      <c r="B27" s="2239" t="str">
        <f>Translations!$B$28</f>
        <v>Обръщайте специално внимание на съответствието на данните с означените единици-мерки.</v>
      </c>
      <c r="C27" s="2240"/>
      <c r="D27" s="2240"/>
      <c r="E27" s="2240"/>
      <c r="F27" s="2240"/>
      <c r="G27" s="2240"/>
      <c r="H27" s="2240"/>
      <c r="I27" s="2240"/>
      <c r="J27" s="2240"/>
    </row>
    <row r="28" spans="1:10" ht="12.75" customHeight="1" x14ac:dyDescent="0.25">
      <c r="A28" s="330"/>
      <c r="B28" s="328" t="str">
        <f>Translations!$B$29</f>
        <v>Съобщенията за грешки са често много кратки — поради ограниченото място. Най-важните от тях са:</v>
      </c>
      <c r="C28" s="329"/>
      <c r="D28" s="329"/>
      <c r="E28" s="329"/>
      <c r="F28" s="329"/>
      <c r="G28" s="329"/>
      <c r="H28" s="329"/>
      <c r="I28" s="329"/>
      <c r="J28" s="329"/>
    </row>
    <row r="29" spans="1:10" ht="12.75" customHeight="1" x14ac:dyDescent="0.25">
      <c r="A29" s="330"/>
      <c r="B29" s="328"/>
      <c r="C29" s="331" t="str">
        <f>EUconst_Incomplete</f>
        <v>непълно!</v>
      </c>
      <c r="D29" s="2257" t="str">
        <f>Translations!$B$30</f>
        <v>Означава, че данните не са достатъчни за изчисленията (напр. в една година липсва емисионен фактор)</v>
      </c>
      <c r="E29" s="2258"/>
      <c r="F29" s="2258"/>
      <c r="G29" s="2258"/>
      <c r="H29" s="2258"/>
      <c r="I29" s="2258"/>
      <c r="J29" s="2258"/>
    </row>
    <row r="30" spans="1:10" ht="12.75" customHeight="1" x14ac:dyDescent="0.25">
      <c r="A30" s="330"/>
      <c r="B30" s="328"/>
      <c r="C30" s="331" t="str">
        <f>EUconst_Inconsistent</f>
        <v>несъответствие!</v>
      </c>
      <c r="D30" s="2257" t="str">
        <f>Translations!$B$31</f>
        <v>Избраните единици мерки са несъответстващи и изчисленията на база съответните входни данни ще дадат неверни резултати.</v>
      </c>
      <c r="E30" s="2258"/>
      <c r="F30" s="2258"/>
      <c r="G30" s="2258"/>
      <c r="H30" s="2258"/>
      <c r="I30" s="2258"/>
      <c r="J30" s="2258"/>
    </row>
    <row r="31" spans="1:10" ht="12.75" customHeight="1" x14ac:dyDescent="0.25">
      <c r="A31" s="330"/>
      <c r="B31" s="328"/>
      <c r="C31" s="331" t="str">
        <f>EUconst_Negative</f>
        <v>отрицателна стойност!</v>
      </c>
      <c r="D31" s="2257" t="str">
        <f>Translations!$B$32</f>
        <v>При съответното изчисление не се допуска използването на отрицателни стойности.</v>
      </c>
      <c r="E31" s="2258"/>
      <c r="F31" s="2258"/>
      <c r="G31" s="2258"/>
      <c r="H31" s="2258"/>
      <c r="I31" s="2258"/>
      <c r="J31" s="2258"/>
    </row>
    <row r="32" spans="1:10" ht="12.75" customHeight="1" x14ac:dyDescent="0.25">
      <c r="A32" s="330"/>
      <c r="B32" s="328"/>
      <c r="C32" s="331" t="str">
        <f>EUconst_NotEligible</f>
        <v>A.IV.1.f!</v>
      </c>
      <c r="D32" s="2257" t="str">
        <f>Translations!$B$33</f>
        <v>Това са препратки към раздели от документа. Съобщението означава, че в посочените раздели липсват данни.</v>
      </c>
      <c r="E32" s="2258"/>
      <c r="F32" s="2258"/>
      <c r="G32" s="2258"/>
      <c r="H32" s="2258"/>
      <c r="I32" s="2258"/>
      <c r="J32" s="2258"/>
    </row>
    <row r="33" spans="1:10" ht="12.75" customHeight="1" x14ac:dyDescent="0.25">
      <c r="A33" s="330"/>
      <c r="B33" s="328"/>
      <c r="C33" s="328"/>
      <c r="D33" s="328"/>
      <c r="E33" s="328"/>
      <c r="F33" s="328"/>
      <c r="G33" s="328"/>
      <c r="H33" s="328"/>
      <c r="I33" s="328"/>
      <c r="J33" s="328"/>
    </row>
    <row r="34" spans="1:10" s="332" customFormat="1" ht="12.75" customHeight="1" x14ac:dyDescent="0.25">
      <c r="A34" s="330">
        <f>A26+1</f>
        <v>11</v>
      </c>
      <c r="B34" s="2248" t="str">
        <f>Translations!$B$34</f>
        <v>Цветови кодове и шрифтове:</v>
      </c>
      <c r="C34" s="2249"/>
      <c r="D34" s="2249"/>
      <c r="E34" s="2249"/>
      <c r="F34" s="2249"/>
      <c r="G34" s="2249"/>
      <c r="H34" s="2249"/>
      <c r="I34" s="2249"/>
      <c r="J34" s="2249"/>
    </row>
    <row r="35" spans="1:10" s="332" customFormat="1" ht="12.75" customHeight="1" x14ac:dyDescent="0.25">
      <c r="A35" s="298"/>
      <c r="B35" s="2226" t="str">
        <f>Translations!$B$35</f>
        <v>Черен удебелен текст:</v>
      </c>
      <c r="C35" s="2249"/>
      <c r="D35" s="2261" t="str">
        <f>Translations!$B$36</f>
        <v>Това е текст, описващ необходимото въвеждане на входни данни.</v>
      </c>
      <c r="E35" s="2261"/>
      <c r="F35" s="2261"/>
      <c r="G35" s="2261"/>
      <c r="H35" s="2261"/>
      <c r="I35" s="2261"/>
      <c r="J35" s="2261"/>
    </row>
    <row r="36" spans="1:10" s="332" customFormat="1" x14ac:dyDescent="0.25">
      <c r="A36" s="298"/>
      <c r="B36" s="2255" t="str">
        <f>Translations!$B$37</f>
        <v>Дребен текст в курсив:</v>
      </c>
      <c r="C36" s="2256"/>
      <c r="D36" s="2261" t="str">
        <f>Translations!$B$38</f>
        <v xml:space="preserve">С такъв вид текст са дадени допълнителни пояснения. </v>
      </c>
      <c r="E36" s="2261"/>
      <c r="F36" s="2261"/>
      <c r="G36" s="2261"/>
      <c r="H36" s="2261"/>
      <c r="I36" s="2261"/>
      <c r="J36" s="2261"/>
    </row>
    <row r="37" spans="1:10" s="332" customFormat="1" ht="12.75" customHeight="1" x14ac:dyDescent="0.25">
      <c r="A37" s="298"/>
      <c r="B37" s="2252" t="s">
        <v>1920</v>
      </c>
      <c r="C37" s="2253"/>
      <c r="D37" s="2261" t="str">
        <f>Translations!$B$39</f>
        <v>Жълтите полета означават, че въвеждането на съответните данни е задължително. Но в случай че съответният въпрос няма отношение към инсталацията, не се изисква въвеждане на входни данни.</v>
      </c>
      <c r="E37" s="2261"/>
      <c r="F37" s="2261"/>
      <c r="G37" s="2261"/>
      <c r="H37" s="2261"/>
      <c r="I37" s="2261"/>
      <c r="J37" s="2261"/>
    </row>
    <row r="38" spans="1:10" s="332" customFormat="1" x14ac:dyDescent="0.25">
      <c r="A38" s="298"/>
      <c r="B38" s="2254" t="s">
        <v>1921</v>
      </c>
      <c r="C38" s="2253"/>
      <c r="D38" s="2279" t="str">
        <f>Translations!$B$40</f>
        <v>Светложълтите полета означават, че въвеждането на входни данни е незадължително.</v>
      </c>
      <c r="E38" s="2249"/>
      <c r="F38" s="2249"/>
      <c r="G38" s="2249"/>
      <c r="H38" s="2249"/>
      <c r="I38" s="2249"/>
      <c r="J38" s="2249"/>
    </row>
    <row r="39" spans="1:10" s="332" customFormat="1" x14ac:dyDescent="0.25">
      <c r="A39" s="298"/>
      <c r="B39" s="2270" t="str">
        <f>Translations!$B$1190</f>
        <v>Автоматично</v>
      </c>
      <c r="C39" s="2251"/>
      <c r="D39" s="2279" t="str">
        <f>Translations!$B$41</f>
        <v>Зеленият цвят на полетата показва, че в тях има автоматично изчислени резултати. Червеният текст е използван за съобщения за грешка (липсващи данни и др.).</v>
      </c>
      <c r="E39" s="2249"/>
      <c r="F39" s="2249"/>
      <c r="G39" s="2249"/>
      <c r="H39" s="2249"/>
      <c r="I39" s="2249"/>
      <c r="J39" s="2249"/>
    </row>
    <row r="40" spans="1:10" s="332" customFormat="1" ht="12.75" customHeight="1" x14ac:dyDescent="0.25">
      <c r="A40" s="298"/>
      <c r="B40" s="2250" t="str">
        <f>Translations!$B$1191</f>
        <v>Неотносимо</v>
      </c>
      <c r="C40" s="2251"/>
      <c r="D40" s="2261" t="str">
        <f>Translations!$B$42</f>
        <v>Затъмняването на полета показва, че в тях не следва да се въвеждат данни — поради наличието на въведени данни в друго поле.</v>
      </c>
      <c r="E40" s="2261"/>
      <c r="F40" s="2261"/>
      <c r="G40" s="2261"/>
      <c r="H40" s="2261"/>
      <c r="I40" s="2261"/>
      <c r="J40" s="2261"/>
    </row>
    <row r="41" spans="1:10" s="332" customFormat="1" ht="12.75" customHeight="1" x14ac:dyDescent="0.25">
      <c r="A41" s="298"/>
      <c r="B41" s="2277" t="str">
        <f>Translations!$B$1192</f>
        <v>Електронна препратка към файл с националните мерки за изпълнение (НМИ)</v>
      </c>
      <c r="C41" s="2278"/>
      <c r="D41" s="2261" t="str">
        <f>Translations!$B$1193</f>
        <v>Маслиненозелените полета показват, че входните данни се основават на електронни препратки към външни файлове във формат Excel, по-специално на доклада с базови данни за НМИ.</v>
      </c>
      <c r="E41" s="2261"/>
      <c r="F41" s="2261"/>
      <c r="G41" s="2261"/>
      <c r="H41" s="2261"/>
      <c r="I41" s="2261"/>
      <c r="J41" s="2261"/>
    </row>
    <row r="42" spans="1:10" s="332" customFormat="1" ht="12.75" customHeight="1" x14ac:dyDescent="0.25">
      <c r="A42" s="298"/>
      <c r="B42" s="2266" t="str">
        <f>Translations!$B$1194</f>
        <v>Задаване на емисии</v>
      </c>
      <c r="C42" s="2267"/>
      <c r="D42" s="2261" t="str">
        <f>Translations!$B$1195</f>
        <v>Светлосините области са предвидени за данни, които имат главно значение за задаването на емисии към подинсталации.</v>
      </c>
      <c r="E42" s="2249"/>
      <c r="F42" s="2249"/>
      <c r="G42" s="2249"/>
      <c r="H42" s="2249"/>
      <c r="I42" s="2249"/>
      <c r="J42" s="2249"/>
    </row>
    <row r="43" spans="1:10" s="332" customFormat="1" ht="12.75" customHeight="1" x14ac:dyDescent="0.25">
      <c r="A43" s="298"/>
      <c r="B43" s="2268" t="str">
        <f>Translations!$B$1196</f>
        <v>Корекции</v>
      </c>
      <c r="C43" s="2269"/>
      <c r="D43" s="2261" t="str">
        <f>Translations!$B$1197</f>
        <v>Светлооранжевите области са предвидени за раздели, в които се определят евентуалните корекции на разпределянето.</v>
      </c>
      <c r="E43" s="2249"/>
      <c r="F43" s="2249"/>
      <c r="G43" s="2249"/>
      <c r="H43" s="2249"/>
      <c r="I43" s="2249"/>
      <c r="J43" s="2249"/>
    </row>
    <row r="44" spans="1:10" s="332" customFormat="1" x14ac:dyDescent="0.25">
      <c r="A44" s="298"/>
      <c r="B44" s="2246" t="str">
        <f>Translations!$B$1198</f>
        <v>Адаптирано за ДЧ</v>
      </c>
      <c r="C44" s="2246"/>
      <c r="D44" s="2261" t="str">
        <f>Translations!$B$43</f>
        <v>Засивените зони следва да бъдат попълнени от държавите-членки, преди да публикуват специфична за тях версия на формуляра.</v>
      </c>
      <c r="E44" s="2249"/>
      <c r="F44" s="2249"/>
      <c r="G44" s="2249"/>
      <c r="H44" s="2249"/>
      <c r="I44" s="2249"/>
      <c r="J44" s="2249"/>
    </row>
    <row r="45" spans="1:10" s="332" customFormat="1" x14ac:dyDescent="0.25">
      <c r="A45" s="298"/>
      <c r="B45" s="2247" t="str">
        <f>Translations!$B$1199</f>
        <v>Навигация</v>
      </c>
      <c r="C45" s="2247"/>
      <c r="D45" s="2261" t="str">
        <f>Translations!$B$44</f>
        <v>Светло сивите зони са предназначени за придвижване и хипервръзки.</v>
      </c>
      <c r="E45" s="2249"/>
      <c r="F45" s="2249"/>
      <c r="G45" s="2249"/>
      <c r="H45" s="2249"/>
      <c r="I45" s="2249"/>
      <c r="J45" s="2249"/>
    </row>
    <row r="46" spans="1:10" s="332" customFormat="1" x14ac:dyDescent="0.25">
      <c r="A46" s="298"/>
      <c r="B46" s="333"/>
      <c r="C46" s="298"/>
      <c r="D46" s="298"/>
      <c r="E46" s="298"/>
      <c r="F46" s="298"/>
      <c r="G46" s="298"/>
      <c r="H46" s="298"/>
      <c r="I46" s="298"/>
      <c r="J46" s="298"/>
    </row>
    <row r="47" spans="1:10" ht="40" customHeight="1" x14ac:dyDescent="0.25">
      <c r="A47" s="330">
        <f>A34+1</f>
        <v>12</v>
      </c>
      <c r="B47" s="2239" t="str">
        <f>Translations!$B$45</f>
        <v>В зоните с команди за придвижване, намиращи се най-отгоре на всеки работен лист има хиперлинкове, даващи възможност за бързо прескачане в конкретни раздели за въвеждане на данни. Първият ред в тях („Съдържание“, „Предишен работен лист“, „следващ работен лист“, „Обобщение“), както и точките „Начало на работния лист“ и „Край на работния лист“ са едни и същи във всички работни листове. В зависимост от конкретния работен лист, добавени са и допълнителни функции. Ако цветът на фона на някоя от зоните за хиперлинк почервенее, това показва че липсват данни в съответния раздел.</v>
      </c>
      <c r="C47" s="2240"/>
      <c r="D47" s="2240"/>
      <c r="E47" s="2240"/>
      <c r="F47" s="2240"/>
      <c r="G47" s="2240"/>
      <c r="H47" s="2240"/>
      <c r="I47" s="2240"/>
      <c r="J47" s="2240"/>
    </row>
    <row r="48" spans="1:10" ht="40" customHeight="1" x14ac:dyDescent="0.25">
      <c r="A48" s="330">
        <f>A47+1</f>
        <v>13</v>
      </c>
      <c r="B48" s="2239" t="str">
        <f>Translations!$B$46</f>
        <v>Настоящият образец е заключен за въвеждане на данни на други места освен в жълтите полета. Но в интерес на прозрачността не е зададена парола. Това дава възможност да се видят всички формули. Препоръчително е при въвеждането на данни в настоящия файл защитата да остава включена. Снемане на защитата от работните листове би могло да се прави само при проверка на валидността на формулите. Препоръчително е това да се прави с отделен файл.</v>
      </c>
      <c r="C48" s="2240"/>
      <c r="D48" s="2240"/>
      <c r="E48" s="2240"/>
      <c r="F48" s="2240"/>
      <c r="G48" s="2240"/>
      <c r="H48" s="2240"/>
      <c r="I48" s="2240"/>
      <c r="J48" s="2240"/>
    </row>
    <row r="49" spans="1:10" ht="40" customHeight="1" x14ac:dyDescent="0.25">
      <c r="A49" s="330">
        <f>A48+1</f>
        <v>14</v>
      </c>
      <c r="B49" s="2275" t="str">
        <f>Translations!$B$47</f>
        <v>За да се предпазят формулите от непредвидени изменения, които обикновено водят до погрешни и подвеждащи резултати,
Изключително важно е да НЕ използвате функцията CUT &amp; PASTE.  
Ако искате да преместите данни, първо ги копирайте и поставете, а след това изтрийте нежеланите данни на старото (погрешно) място.</v>
      </c>
      <c r="C49" s="2276"/>
      <c r="D49" s="2276"/>
      <c r="E49" s="2276"/>
      <c r="F49" s="2276"/>
      <c r="G49" s="2276"/>
      <c r="H49" s="2276"/>
      <c r="I49" s="2276"/>
      <c r="J49" s="2276"/>
    </row>
    <row r="50" spans="1:10" ht="51" customHeight="1" x14ac:dyDescent="0.25">
      <c r="A50" s="330">
        <f>A49+1</f>
        <v>15</v>
      </c>
      <c r="B50" s="2239" t="str">
        <f>Translations!$B$48</f>
        <v>Полета за данни не са оптимизирани за числени и други формати. Но от друга страна, защитата на работните листове е ограничена, така че да имате възможност да използвате свои собствени формати. По-специално, може да изберете броя на показваните знаци след десетичната точка. По принцип броят на тези знаци е независим от точността на изчислението. По принцип следва да бъде деактивирана опцията на Майкрософт Ексел „Точност съгласно показваното“. За по-подробна информация вижте съответната точка от функцията „Помощ“ („Help“) на Майкрософт Ексел.</v>
      </c>
      <c r="C50" s="2240"/>
      <c r="D50" s="2240"/>
      <c r="E50" s="2240"/>
      <c r="F50" s="2240"/>
      <c r="G50" s="2240"/>
      <c r="H50" s="2240"/>
      <c r="I50" s="2240"/>
      <c r="J50" s="2240"/>
    </row>
    <row r="51" spans="1:10" ht="12.75" customHeight="1" thickBot="1" x14ac:dyDescent="0.3">
      <c r="A51"/>
      <c r="B51" s="2239"/>
      <c r="C51" s="2240"/>
      <c r="D51" s="2240"/>
      <c r="E51" s="2240"/>
      <c r="F51" s="2240"/>
      <c r="G51" s="2240"/>
      <c r="H51" s="2240"/>
      <c r="I51" s="2240"/>
      <c r="J51" s="2240"/>
    </row>
    <row r="52" spans="1:10" ht="91.9" customHeight="1" thickBot="1" x14ac:dyDescent="0.3">
      <c r="A52" s="330">
        <f>A50+1</f>
        <v>16</v>
      </c>
      <c r="B52" s="2271" t="str">
        <f>Translations!$B$49</f>
        <v>ОТКАЗ ОТ ОТГОВОРНОСТ: Всички формули са разработени внимателно и задълбочено. Грешки обаче не могат да бъдат напълно изключени. 
Както е описано по-горе, гарантира се пълна прозрачност за проверка на валидността на изчисленията. Нито авторите на това досие, нито Европейската комисия могат да бъдат подведени под отговорност за евентуални вреди, произтичащи от погрешни или подвеждащи резултати от предоставените изчисления.  
Потребителят на този файл (т.е. операторът на инсталация по СТЕ на ЕС) носи пълната отговорност да гарантира, че на компетентния орган се докладват точни данни.</v>
      </c>
      <c r="C52" s="2272"/>
      <c r="D52" s="2272"/>
      <c r="E52" s="2272"/>
      <c r="F52" s="2272"/>
      <c r="G52" s="2272"/>
      <c r="H52" s="2272"/>
      <c r="I52" s="2272"/>
      <c r="J52" s="2272"/>
    </row>
    <row r="53" spans="1:10" x14ac:dyDescent="0.25">
      <c r="A53" s="284"/>
      <c r="B53" s="284"/>
      <c r="C53" s="284"/>
      <c r="D53" s="284"/>
      <c r="E53" s="284"/>
      <c r="F53" s="284"/>
      <c r="G53" s="284"/>
      <c r="H53" s="284"/>
      <c r="I53" s="284"/>
      <c r="J53" s="284"/>
    </row>
    <row r="54" spans="1:10" x14ac:dyDescent="0.25">
      <c r="A54" s="284"/>
      <c r="B54" s="284"/>
      <c r="C54" s="284"/>
      <c r="D54" s="284"/>
      <c r="E54" s="284"/>
      <c r="F54" s="284"/>
      <c r="G54" s="284"/>
      <c r="H54" s="284"/>
      <c r="I54" s="284"/>
      <c r="J54" s="284"/>
    </row>
    <row r="55" spans="1:10" ht="15.5" x14ac:dyDescent="0.35">
      <c r="A55" s="327"/>
      <c r="B55" s="2245" t="str">
        <f>Translations!$B$50</f>
        <v>Специфична информация за съответната държава членка</v>
      </c>
      <c r="C55" s="2245"/>
      <c r="D55" s="2245"/>
      <c r="E55" s="2245"/>
      <c r="F55" s="2245"/>
      <c r="G55" s="2245"/>
      <c r="H55" s="2245"/>
      <c r="I55" s="2245"/>
      <c r="J55" s="2245"/>
    </row>
    <row r="56" spans="1:10" x14ac:dyDescent="0.25">
      <c r="A56" s="328"/>
      <c r="B56" s="328"/>
      <c r="C56" s="328"/>
      <c r="D56" s="328"/>
      <c r="E56" s="328"/>
      <c r="F56" s="328"/>
      <c r="G56" s="328"/>
      <c r="H56" s="328"/>
      <c r="I56" s="328"/>
      <c r="J56" s="329"/>
    </row>
    <row r="57" spans="1:10" ht="15" customHeight="1" x14ac:dyDescent="0.25">
      <c r="A57" s="329"/>
      <c r="B57" s="2264" t="str">
        <f>Translations!$B$51</f>
        <v>Настоящият доклад трябва да бъде представен на съответния компетентен орган на следния адрес:</v>
      </c>
      <c r="C57" s="2264"/>
      <c r="D57" s="2264"/>
      <c r="E57" s="2264"/>
      <c r="F57" s="2264"/>
      <c r="G57" s="2264"/>
      <c r="H57" s="2264"/>
      <c r="I57" s="2264"/>
      <c r="J57" s="2264"/>
    </row>
    <row r="58" spans="1:10" x14ac:dyDescent="0.25">
      <c r="A58" s="298"/>
      <c r="B58" s="298"/>
      <c r="C58" s="298"/>
      <c r="D58" s="298"/>
      <c r="E58" s="298"/>
      <c r="F58" s="298"/>
      <c r="G58" s="298"/>
      <c r="H58" s="298"/>
      <c r="I58" s="298"/>
      <c r="J58" s="298"/>
    </row>
    <row r="59" spans="1:10" x14ac:dyDescent="0.25">
      <c r="A59" s="298"/>
      <c r="B59" s="298"/>
      <c r="C59" s="298"/>
      <c r="D59" s="2281" t="str">
        <f>Translations!$B$52</f>
        <v>1000, гр. София, бул. „Княгиня Мария Луиза“ 22</v>
      </c>
      <c r="E59" s="2282"/>
      <c r="F59" s="2282"/>
      <c r="G59" s="2283"/>
      <c r="H59" s="298"/>
      <c r="I59" s="298"/>
      <c r="J59" s="298"/>
    </row>
    <row r="60" spans="1:10" x14ac:dyDescent="0.25">
      <c r="A60" s="298"/>
      <c r="B60" s="298"/>
      <c r="C60" s="298"/>
      <c r="D60" s="2284"/>
      <c r="E60" s="2285"/>
      <c r="F60" s="2285"/>
      <c r="G60" s="2286"/>
      <c r="H60" s="298"/>
      <c r="I60" s="298"/>
      <c r="J60" s="298"/>
    </row>
    <row r="61" spans="1:10" x14ac:dyDescent="0.25">
      <c r="A61" s="298"/>
      <c r="B61" s="298"/>
      <c r="C61" s="298"/>
      <c r="D61" s="2284"/>
      <c r="E61" s="2285"/>
      <c r="F61" s="2285"/>
      <c r="G61" s="2286"/>
      <c r="H61" s="298"/>
      <c r="I61" s="298"/>
      <c r="J61" s="298"/>
    </row>
    <row r="62" spans="1:10" x14ac:dyDescent="0.25">
      <c r="A62" s="298"/>
      <c r="B62" s="284"/>
      <c r="C62" s="298"/>
      <c r="D62" s="2284"/>
      <c r="E62" s="2285"/>
      <c r="F62" s="2285"/>
      <c r="G62" s="2286"/>
      <c r="H62" s="298"/>
      <c r="I62" s="298"/>
      <c r="J62" s="298"/>
    </row>
    <row r="63" spans="1:10" x14ac:dyDescent="0.25">
      <c r="A63" s="298"/>
      <c r="B63" s="298"/>
      <c r="C63" s="298"/>
      <c r="D63" s="2284"/>
      <c r="E63" s="2285"/>
      <c r="F63" s="2285"/>
      <c r="G63" s="2286"/>
      <c r="H63" s="298"/>
      <c r="I63" s="298"/>
      <c r="J63" s="298"/>
    </row>
    <row r="64" spans="1:10" x14ac:dyDescent="0.25">
      <c r="A64" s="298"/>
      <c r="B64" s="298"/>
      <c r="C64" s="298"/>
      <c r="D64" s="2284"/>
      <c r="E64" s="2285"/>
      <c r="F64" s="2285"/>
      <c r="G64" s="2286"/>
      <c r="H64" s="298"/>
      <c r="I64" s="298"/>
      <c r="J64" s="298"/>
    </row>
    <row r="65" spans="1:10" x14ac:dyDescent="0.25">
      <c r="A65" s="298"/>
      <c r="B65" s="298"/>
      <c r="C65" s="298"/>
      <c r="D65" s="2284"/>
      <c r="E65" s="2285"/>
      <c r="F65" s="2285"/>
      <c r="G65" s="2286"/>
      <c r="H65" s="298"/>
      <c r="I65" s="298"/>
      <c r="J65" s="298"/>
    </row>
    <row r="66" spans="1:10" x14ac:dyDescent="0.25">
      <c r="A66" s="298"/>
      <c r="B66" s="298"/>
      <c r="C66" s="298"/>
      <c r="D66" s="2287"/>
      <c r="E66" s="2288"/>
      <c r="F66" s="2288"/>
      <c r="G66" s="2289"/>
      <c r="H66" s="298"/>
      <c r="I66" s="298"/>
      <c r="J66" s="298"/>
    </row>
    <row r="67" spans="1:10" x14ac:dyDescent="0.25">
      <c r="A67" s="298"/>
      <c r="B67" s="298"/>
      <c r="C67" s="298"/>
      <c r="D67" s="298"/>
      <c r="E67" s="298"/>
      <c r="F67" s="298"/>
      <c r="G67" s="298"/>
      <c r="H67" s="298"/>
      <c r="I67" s="298"/>
      <c r="J67" s="298"/>
    </row>
    <row r="68" spans="1:10" x14ac:dyDescent="0.25">
      <c r="A68" s="284"/>
      <c r="B68" s="284"/>
      <c r="C68" s="284"/>
      <c r="D68" s="284"/>
      <c r="E68" s="284"/>
      <c r="F68" s="284"/>
      <c r="G68" s="284"/>
      <c r="H68" s="284"/>
      <c r="I68" s="284"/>
      <c r="J68" s="284"/>
    </row>
    <row r="69" spans="1:10" ht="15.5" x14ac:dyDescent="0.25">
      <c r="A69" s="284"/>
      <c r="B69" s="2280" t="str">
        <f>Translations!$B$53</f>
        <v>Източници на информация:</v>
      </c>
      <c r="C69" s="2280"/>
      <c r="D69" s="2280"/>
      <c r="E69" s="2280"/>
      <c r="F69" s="2280"/>
      <c r="G69" s="2280"/>
      <c r="H69" s="2280"/>
      <c r="I69" s="2280"/>
      <c r="J69" s="2280"/>
    </row>
    <row r="70" spans="1:10" x14ac:dyDescent="0.25">
      <c r="A70" s="284"/>
      <c r="B70" s="2226" t="str">
        <f>Translations!$B$54</f>
        <v>Уебсайтове на ЕС:</v>
      </c>
      <c r="C70" s="2249"/>
      <c r="D70" s="2249"/>
      <c r="E70" s="2249"/>
      <c r="F70" s="2249"/>
      <c r="G70" s="2249"/>
      <c r="H70" s="2249"/>
      <c r="I70" s="2249"/>
      <c r="J70" s="2249"/>
    </row>
    <row r="71" spans="1:10" x14ac:dyDescent="0.25">
      <c r="A71" s="284"/>
      <c r="B71" s="2264" t="str">
        <f>Translations!$B$55</f>
        <v>Законодателство на ЕС:</v>
      </c>
      <c r="C71" s="2264"/>
      <c r="D71" s="2265" t="str">
        <f>Translations!$B$56</f>
        <v xml:space="preserve">http://eur-lex.europa.eu/en/index.htm </v>
      </c>
      <c r="E71" s="2249"/>
      <c r="F71" s="2249"/>
      <c r="G71" s="2249"/>
      <c r="H71" s="2249"/>
      <c r="I71" s="2249"/>
      <c r="J71" s="2249"/>
    </row>
    <row r="72" spans="1:10" x14ac:dyDescent="0.25">
      <c r="A72" s="284"/>
      <c r="B72" s="2264" t="str">
        <f>Translations!$B$57</f>
        <v>Европейска схема за търговия с емисии – обща информация:</v>
      </c>
      <c r="C72" s="2264"/>
      <c r="D72" s="2265" t="str">
        <f>Translations!$B$58</f>
        <v>http://ec.europa.eu/clima/policies/ets/index_en.htm</v>
      </c>
      <c r="E72" s="2249"/>
      <c r="F72" s="2249"/>
      <c r="G72" s="2249"/>
      <c r="H72" s="2249"/>
      <c r="I72" s="2249"/>
      <c r="J72" s="2249"/>
    </row>
    <row r="73" spans="1:10" x14ac:dyDescent="0.25">
      <c r="A73" s="284"/>
      <c r="B73" s="284"/>
      <c r="C73" s="3"/>
      <c r="D73" s="284"/>
      <c r="E73" s="284"/>
      <c r="F73" s="284"/>
      <c r="G73" s="284"/>
      <c r="H73" s="284"/>
      <c r="I73" s="284"/>
      <c r="J73" s="284"/>
    </row>
    <row r="74" spans="1:10" x14ac:dyDescent="0.25">
      <c r="A74" s="284"/>
      <c r="B74" s="2226" t="str">
        <f>Translations!$B$59</f>
        <v>Други уебсайтове:</v>
      </c>
      <c r="C74" s="2249"/>
      <c r="D74" s="2249"/>
      <c r="E74" s="2249"/>
      <c r="F74" s="2249"/>
      <c r="G74" s="2249"/>
      <c r="H74" s="2249"/>
      <c r="I74" s="2249"/>
      <c r="J74" s="2249"/>
    </row>
    <row r="75" spans="1:10" x14ac:dyDescent="0.25">
      <c r="A75" s="284"/>
      <c r="B75" s="2274" t="str">
        <f>Translations!$B$60</f>
        <v>&lt;трябва да бъдат предоставени от държавата членка&gt;</v>
      </c>
      <c r="C75" s="2274"/>
      <c r="D75" s="2274"/>
      <c r="E75" s="2274"/>
      <c r="F75" s="2274"/>
      <c r="G75" s="2274"/>
      <c r="H75" s="2274"/>
      <c r="I75" s="2274"/>
      <c r="J75" s="2274"/>
    </row>
    <row r="76" spans="1:10" x14ac:dyDescent="0.25">
      <c r="A76" s="284"/>
      <c r="B76" s="2274"/>
      <c r="C76" s="2274"/>
      <c r="D76" s="2274"/>
      <c r="E76" s="2274"/>
      <c r="F76" s="2274"/>
      <c r="G76" s="2274"/>
      <c r="H76" s="2274"/>
      <c r="I76" s="2274"/>
      <c r="J76" s="2274"/>
    </row>
    <row r="77" spans="1:10" x14ac:dyDescent="0.25">
      <c r="A77" s="284"/>
      <c r="B77" s="2264" t="str">
        <f>Translations!$B$61</f>
        <v>Център за поддръжка:</v>
      </c>
      <c r="C77" s="2264"/>
      <c r="D77" s="2264"/>
      <c r="E77" s="2264"/>
      <c r="F77" s="2264"/>
      <c r="G77" s="2264"/>
      <c r="H77" s="2264"/>
      <c r="I77" s="2264"/>
      <c r="J77" s="2264"/>
    </row>
    <row r="78" spans="1:10" x14ac:dyDescent="0.25">
      <c r="A78" s="284"/>
      <c r="B78" s="2274" t="str">
        <f>Translations!$B$62</f>
        <v>&lt;трябва да бъдат предоставени от държавата членка, ако е приложимо&gt;</v>
      </c>
      <c r="C78" s="2274"/>
      <c r="D78" s="2274"/>
      <c r="E78" s="2274"/>
      <c r="F78" s="2274"/>
      <c r="G78" s="2274"/>
      <c r="H78" s="2274"/>
      <c r="I78" s="2274"/>
      <c r="J78" s="2274"/>
    </row>
    <row r="79" spans="1:10" x14ac:dyDescent="0.25">
      <c r="A79" s="284"/>
      <c r="B79" s="2274"/>
      <c r="C79" s="2274"/>
      <c r="D79" s="2274"/>
      <c r="E79" s="2274"/>
      <c r="F79" s="2274"/>
      <c r="G79" s="2274"/>
      <c r="H79" s="2274"/>
      <c r="I79" s="2274"/>
      <c r="J79" s="2274"/>
    </row>
    <row r="80" spans="1:10" x14ac:dyDescent="0.25">
      <c r="A80" s="284"/>
      <c r="B80" s="284"/>
      <c r="C80" s="284"/>
      <c r="D80" s="284"/>
      <c r="E80" s="284"/>
      <c r="F80" s="284"/>
      <c r="G80" s="284"/>
      <c r="H80" s="284"/>
      <c r="I80" s="284"/>
      <c r="J80" s="284"/>
    </row>
    <row r="81" spans="1:10" s="332" customFormat="1" x14ac:dyDescent="0.25">
      <c r="A81" s="298"/>
      <c r="B81" s="298"/>
      <c r="C81" s="298"/>
      <c r="D81" s="298"/>
      <c r="E81" s="298"/>
      <c r="F81" s="298"/>
      <c r="G81" s="298"/>
      <c r="H81" s="298"/>
      <c r="I81" s="298"/>
      <c r="J81" s="298"/>
    </row>
    <row r="82" spans="1:10" ht="15.5" x14ac:dyDescent="0.25">
      <c r="A82" s="284"/>
      <c r="B82" s="2273" t="str">
        <f>Translations!$B$63</f>
        <v>Допълнителни указания, дадени от държавата-членка:</v>
      </c>
      <c r="C82" s="2273"/>
      <c r="D82" s="2273"/>
      <c r="E82" s="2273"/>
      <c r="F82" s="2273"/>
      <c r="G82" s="2273"/>
      <c r="H82" s="2273"/>
      <c r="I82" s="2273"/>
      <c r="J82" s="2273"/>
    </row>
    <row r="83" spans="1:10" x14ac:dyDescent="0.25">
      <c r="A83" s="284"/>
      <c r="B83" s="2274"/>
      <c r="C83" s="2274"/>
      <c r="D83" s="2274"/>
      <c r="E83" s="2274"/>
      <c r="F83" s="2274"/>
      <c r="G83" s="2274"/>
      <c r="H83" s="2274"/>
      <c r="I83" s="2274"/>
      <c r="J83" s="2274"/>
    </row>
    <row r="84" spans="1:10" x14ac:dyDescent="0.25">
      <c r="A84" s="284"/>
      <c r="B84" s="2274"/>
      <c r="C84" s="2274"/>
      <c r="D84" s="2274"/>
      <c r="E84" s="2274"/>
      <c r="F84" s="2274"/>
      <c r="G84" s="2274"/>
      <c r="H84" s="2274"/>
      <c r="I84" s="2274"/>
      <c r="J84" s="2274"/>
    </row>
    <row r="85" spans="1:10" x14ac:dyDescent="0.25">
      <c r="A85" s="284"/>
      <c r="B85" s="2274"/>
      <c r="C85" s="2274"/>
      <c r="D85" s="2274"/>
      <c r="E85" s="2274"/>
      <c r="F85" s="2274"/>
      <c r="G85" s="2274"/>
      <c r="H85" s="2274"/>
      <c r="I85" s="2274"/>
      <c r="J85" s="2274"/>
    </row>
    <row r="86" spans="1:10" x14ac:dyDescent="0.25">
      <c r="A86" s="284"/>
      <c r="B86" s="2274"/>
      <c r="C86" s="2274"/>
      <c r="D86" s="2274"/>
      <c r="E86" s="2274"/>
      <c r="F86" s="2274"/>
      <c r="G86" s="2274"/>
      <c r="H86" s="2274"/>
      <c r="I86" s="2274"/>
      <c r="J86" s="2274"/>
    </row>
    <row r="87" spans="1:10" x14ac:dyDescent="0.25">
      <c r="A87" s="284"/>
      <c r="B87" s="2274"/>
      <c r="C87" s="2274"/>
      <c r="D87" s="2274"/>
      <c r="E87" s="2274"/>
      <c r="F87" s="2274"/>
      <c r="G87" s="2274"/>
      <c r="H87" s="2274"/>
      <c r="I87" s="2274"/>
      <c r="J87" s="2274"/>
    </row>
    <row r="88" spans="1:10" x14ac:dyDescent="0.25">
      <c r="A88" s="284"/>
      <c r="B88" s="2274"/>
      <c r="C88" s="2274"/>
      <c r="D88" s="2274"/>
      <c r="E88" s="2274"/>
      <c r="F88" s="2274"/>
      <c r="G88" s="2274"/>
      <c r="H88" s="2274"/>
      <c r="I88" s="2274"/>
      <c r="J88" s="2274"/>
    </row>
    <row r="89" spans="1:10" x14ac:dyDescent="0.25">
      <c r="A89" s="284"/>
      <c r="B89" s="2274"/>
      <c r="C89" s="2274"/>
      <c r="D89" s="2274"/>
      <c r="E89" s="2274"/>
      <c r="F89" s="2274"/>
      <c r="G89" s="2274"/>
      <c r="H89" s="2274"/>
      <c r="I89" s="2274"/>
      <c r="J89" s="2274"/>
    </row>
    <row r="90" spans="1:10" x14ac:dyDescent="0.25">
      <c r="A90" s="284"/>
      <c r="B90" s="2274"/>
      <c r="C90" s="2274"/>
      <c r="D90" s="2274"/>
      <c r="E90" s="2274"/>
      <c r="F90" s="2274"/>
      <c r="G90" s="2274"/>
      <c r="H90" s="2274"/>
      <c r="I90" s="2274"/>
      <c r="J90" s="2274"/>
    </row>
    <row r="91" spans="1:10" x14ac:dyDescent="0.25">
      <c r="A91" s="284"/>
      <c r="B91" s="2274"/>
      <c r="C91" s="2274"/>
      <c r="D91" s="2274"/>
      <c r="E91" s="2274"/>
      <c r="F91" s="2274"/>
      <c r="G91" s="2274"/>
      <c r="H91" s="2274"/>
      <c r="I91" s="2274"/>
      <c r="J91" s="2274"/>
    </row>
    <row r="92" spans="1:10" x14ac:dyDescent="0.25">
      <c r="A92" s="284"/>
      <c r="B92" s="2274"/>
      <c r="C92" s="2274"/>
      <c r="D92" s="2274"/>
      <c r="E92" s="2274"/>
      <c r="F92" s="2274"/>
      <c r="G92" s="2274"/>
      <c r="H92" s="2274"/>
      <c r="I92" s="2274"/>
      <c r="J92" s="2274"/>
    </row>
    <row r="93" spans="1:10" x14ac:dyDescent="0.25">
      <c r="A93" s="284"/>
      <c r="B93" s="2274"/>
      <c r="C93" s="2274"/>
      <c r="D93" s="2274"/>
      <c r="E93" s="2274"/>
      <c r="F93" s="2274"/>
      <c r="G93" s="2274"/>
      <c r="H93" s="2274"/>
      <c r="I93" s="2274"/>
      <c r="J93" s="2274"/>
    </row>
    <row r="94" spans="1:10" x14ac:dyDescent="0.25">
      <c r="A94" s="284"/>
      <c r="B94" s="2274"/>
      <c r="C94" s="2274"/>
      <c r="D94" s="2274"/>
      <c r="E94" s="2274"/>
      <c r="F94" s="2274"/>
      <c r="G94" s="2274"/>
      <c r="H94" s="2274"/>
      <c r="I94" s="2274"/>
      <c r="J94" s="2274"/>
    </row>
    <row r="95" spans="1:10" x14ac:dyDescent="0.25">
      <c r="A95" s="284"/>
      <c r="B95" s="284"/>
      <c r="C95" s="284"/>
      <c r="D95" s="284"/>
      <c r="E95" s="284"/>
      <c r="F95" s="284"/>
      <c r="G95" s="284"/>
      <c r="H95" s="284"/>
      <c r="I95" s="284"/>
      <c r="J95" s="284"/>
    </row>
    <row r="96" spans="1:10" x14ac:dyDescent="0.25">
      <c r="A96" s="284"/>
      <c r="B96" s="2263" t="str">
        <f>Translations!$B$64</f>
        <v xml:space="preserve">&lt;&lt;&lt; Щракнете тук за да продължите към следващия лист &gt;&gt;&gt; </v>
      </c>
      <c r="C96" s="2263"/>
      <c r="D96" s="2263"/>
      <c r="E96" s="2263"/>
      <c r="F96" s="2263"/>
      <c r="G96" s="2263"/>
      <c r="H96" s="2263"/>
      <c r="I96" s="2263"/>
      <c r="J96" s="2263"/>
    </row>
  </sheetData>
  <sheetProtection sheet="1" objects="1" scenarios="1" formatCells="0" formatColumns="0" formatRows="0"/>
  <mergeCells count="94">
    <mergeCell ref="B51:J51"/>
    <mergeCell ref="D38:J38"/>
    <mergeCell ref="D39:J39"/>
    <mergeCell ref="D44:J44"/>
    <mergeCell ref="B70:J70"/>
    <mergeCell ref="B57:J57"/>
    <mergeCell ref="B69:J69"/>
    <mergeCell ref="D59:G66"/>
    <mergeCell ref="B55:J55"/>
    <mergeCell ref="B50:J50"/>
    <mergeCell ref="D37:J37"/>
    <mergeCell ref="D36:J36"/>
    <mergeCell ref="B48:J48"/>
    <mergeCell ref="B49:J49"/>
    <mergeCell ref="D45:J45"/>
    <mergeCell ref="B41:C41"/>
    <mergeCell ref="D41:J41"/>
    <mergeCell ref="B93:J93"/>
    <mergeCell ref="B94:J94"/>
    <mergeCell ref="B87:J87"/>
    <mergeCell ref="B88:J88"/>
    <mergeCell ref="B89:J89"/>
    <mergeCell ref="B90:J90"/>
    <mergeCell ref="B82:J82"/>
    <mergeCell ref="B75:J75"/>
    <mergeCell ref="B76:J76"/>
    <mergeCell ref="B91:J91"/>
    <mergeCell ref="B92:J92"/>
    <mergeCell ref="B83:J83"/>
    <mergeCell ref="B84:J84"/>
    <mergeCell ref="B85:J85"/>
    <mergeCell ref="B86:J86"/>
    <mergeCell ref="B79:J79"/>
    <mergeCell ref="B78:J78"/>
    <mergeCell ref="B74:J74"/>
    <mergeCell ref="B77:J77"/>
    <mergeCell ref="B71:C71"/>
    <mergeCell ref="D29:J29"/>
    <mergeCell ref="D30:J30"/>
    <mergeCell ref="D31:J31"/>
    <mergeCell ref="B72:C72"/>
    <mergeCell ref="D71:J71"/>
    <mergeCell ref="D72:J72"/>
    <mergeCell ref="D35:J35"/>
    <mergeCell ref="B42:C42"/>
    <mergeCell ref="B43:C43"/>
    <mergeCell ref="D42:J42"/>
    <mergeCell ref="D43:J43"/>
    <mergeCell ref="B39:C39"/>
    <mergeCell ref="B52:J52"/>
    <mergeCell ref="B96:J96"/>
    <mergeCell ref="A1:A3"/>
    <mergeCell ref="H2:I2"/>
    <mergeCell ref="D3:E3"/>
    <mergeCell ref="F3:G3"/>
    <mergeCell ref="H3:I3"/>
    <mergeCell ref="B2:C2"/>
    <mergeCell ref="D2:E2"/>
    <mergeCell ref="B3:C3"/>
    <mergeCell ref="D1:E1"/>
    <mergeCell ref="F1:G1"/>
    <mergeCell ref="H1:I1"/>
    <mergeCell ref="B35:C35"/>
    <mergeCell ref="B24:J24"/>
    <mergeCell ref="B9:J9"/>
    <mergeCell ref="B7:J7"/>
    <mergeCell ref="F2:G2"/>
    <mergeCell ref="B44:C44"/>
    <mergeCell ref="B45:C45"/>
    <mergeCell ref="B47:J47"/>
    <mergeCell ref="B34:J34"/>
    <mergeCell ref="B40:C40"/>
    <mergeCell ref="B37:C37"/>
    <mergeCell ref="B38:C38"/>
    <mergeCell ref="B36:C36"/>
    <mergeCell ref="D32:J32"/>
    <mergeCell ref="B5:J5"/>
    <mergeCell ref="B6:J6"/>
    <mergeCell ref="D40:J40"/>
    <mergeCell ref="B25:J25"/>
    <mergeCell ref="B18:J18"/>
    <mergeCell ref="B12:J12"/>
    <mergeCell ref="B11:J11"/>
    <mergeCell ref="B14:J14"/>
    <mergeCell ref="B26:J26"/>
    <mergeCell ref="B27:J27"/>
    <mergeCell ref="B10:J10"/>
    <mergeCell ref="B15:J15"/>
    <mergeCell ref="B17:J17"/>
    <mergeCell ref="B13:J13"/>
    <mergeCell ref="B20:J20"/>
    <mergeCell ref="B22:J22"/>
    <mergeCell ref="B16:J16"/>
    <mergeCell ref="B23:J23"/>
  </mergeCells>
  <phoneticPr fontId="7" type="noConversion"/>
  <hyperlinks>
    <hyperlink ref="D71" r:id="rId1" display="http://eur-lex.europa.eu/en/index.htm " xr:uid="{00000000-0004-0000-0100-000000000000}"/>
    <hyperlink ref="D72" r:id="rId2" display="http://ec.europa.eu/clima/policies/ets/index_en.htm" xr:uid="{00000000-0004-0000-0100-000001000000}"/>
    <hyperlink ref="B10:J10" r:id="rId3" display="http://ec.europa.eu/clima/documentation/ets/docs/decision_benchmarking_15_dec_en.pdf. " xr:uid="{00000000-0004-0000-0100-000002000000}"/>
    <hyperlink ref="B10" r:id="rId4" display="https://eur-lex.europa.eu/eli/dir/2003/87/2024-03-01" xr:uid="{00000000-0004-0000-0100-000003000000}"/>
    <hyperlink ref="D1:E1" location="JUMP_TOC_Home" display="Table of contents" xr:uid="{00000000-0004-0000-0100-000004000000}"/>
    <hyperlink ref="J1" location="JUMP_K_I" display="Summary" xr:uid="{00000000-0004-0000-0100-000005000000}"/>
    <hyperlink ref="B96:J96" location="JUMP_A_I" display="&lt;&lt;&lt; Click here to proceed to next sheet &gt;&gt;&gt; " xr:uid="{00000000-0004-0000-0100-000006000000}"/>
    <hyperlink ref="B2:C2" location="JUMP_Guidelines_Home" display="Top of sheet" xr:uid="{00000000-0004-0000-0100-000007000000}"/>
    <hyperlink ref="B3:C3" location="JUMP_Guidelines_Bottom" display="End of sheet" xr:uid="{00000000-0004-0000-0100-000008000000}"/>
    <hyperlink ref="F1:G1" location="JUMP_TOC_Home" display="Previous sheet" xr:uid="{00000000-0004-0000-0100-000009000000}"/>
    <hyperlink ref="H1:I1" location="JUMP_A_I" display="Next sheet" xr:uid="{00000000-0004-0000-0100-00000A000000}"/>
    <hyperlink ref="B12" r:id="rId5" display="https://eur-lex.europa.eu/eli/reg_del/2019/331/2024-01-01" xr:uid="{00000000-0004-0000-0100-00000B000000}"/>
    <hyperlink ref="B12:J12" r:id="rId6" display="http://data.europa.eu/eli/reg_del/2019/331/oj" xr:uid="{00000000-0004-0000-0100-00000C000000}"/>
    <hyperlink ref="B14" r:id="rId7" xr:uid="{00000000-0004-0000-0100-00000D000000}"/>
    <hyperlink ref="B14:J14" r:id="rId8" display="https://eur-lex.europa.eu/eli/reg_impl/2019/1842/oj" xr:uid="{00000000-0004-0000-0100-00000E000000}"/>
  </hyperlinks>
  <pageMargins left="0.78740157480314965" right="0.78740157480314965" top="0.78740157480314965" bottom="0.78740157480314965" header="0.39370078740157483" footer="0.39370078740157483"/>
  <pageSetup paperSize="9" scale="64" fitToHeight="2" orientation="portrait" r:id="rId9"/>
  <headerFooter alignWithMargins="0">
    <oddHeader>&amp;L&amp;F; &amp;A&amp;R&amp;D; &amp;T</oddHeader>
    <oddFooter>&amp;C&amp;P / &amp;N</oddFooter>
  </headerFooter>
  <rowBreaks count="1" manualBreakCount="1">
    <brk id="68"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dimension ref="A1:S1713"/>
  <sheetViews>
    <sheetView zoomScaleNormal="100" zoomScaleSheetLayoutView="115" workbookViewId="0">
      <pane ySplit="1" topLeftCell="A401" activePane="bottomLeft" state="frozen"/>
      <selection activeCell="B2" sqref="B2"/>
      <selection pane="bottomLeft" activeCell="L22" sqref="L22"/>
    </sheetView>
  </sheetViews>
  <sheetFormatPr defaultColWidth="11.453125" defaultRowHeight="12.5" x14ac:dyDescent="0.25"/>
  <cols>
    <col min="1" max="1" width="1.7265625" style="334" hidden="1" customWidth="1"/>
    <col min="2" max="2" width="2.7265625" style="337" customWidth="1"/>
    <col min="3" max="4" width="4.7265625" style="337" customWidth="1"/>
    <col min="5" max="14" width="12.7265625" style="337" customWidth="1"/>
    <col min="15" max="15" width="4.7265625" style="337" customWidth="1"/>
    <col min="16" max="19" width="11.453125" style="334" hidden="1" customWidth="1"/>
    <col min="20" max="16384" width="11.453125" style="337"/>
  </cols>
  <sheetData>
    <row r="1" spans="1:19" s="334" customFormat="1" hidden="1" x14ac:dyDescent="0.25">
      <c r="A1" s="334" t="s">
        <v>312</v>
      </c>
      <c r="P1" s="334" t="str">
        <f>"ausblenden"</f>
        <v>ausblenden</v>
      </c>
      <c r="Q1" s="334" t="str">
        <f t="shared" ref="Q1:S1" si="0">"ausblenden"</f>
        <v>ausblenden</v>
      </c>
      <c r="R1" s="334" t="str">
        <f t="shared" si="0"/>
        <v>ausblenden</v>
      </c>
      <c r="S1" s="334" t="str">
        <f t="shared" si="0"/>
        <v>ausblenden</v>
      </c>
    </row>
    <row r="2" spans="1:19" ht="13" thickBot="1" x14ac:dyDescent="0.3">
      <c r="B2" s="284"/>
      <c r="C2" s="335"/>
      <c r="D2" s="284"/>
      <c r="E2" s="284"/>
      <c r="F2" s="287"/>
      <c r="G2" s="287"/>
      <c r="H2" s="287"/>
      <c r="I2" s="284"/>
      <c r="J2" s="284"/>
      <c r="K2" s="284"/>
      <c r="L2" s="284"/>
      <c r="M2" s="336"/>
      <c r="N2" s="336"/>
    </row>
    <row r="3" spans="1:19" ht="5.15" customHeight="1" x14ac:dyDescent="0.25">
      <c r="B3" s="284"/>
      <c r="C3" s="284"/>
      <c r="D3" s="338"/>
      <c r="E3" s="339"/>
      <c r="F3" s="339"/>
      <c r="G3" s="339"/>
      <c r="H3" s="339"/>
      <c r="I3" s="339"/>
      <c r="J3" s="339"/>
      <c r="K3" s="339"/>
      <c r="L3" s="339"/>
      <c r="M3" s="340"/>
      <c r="N3" s="341"/>
    </row>
    <row r="4" spans="1:19" ht="12.75" customHeight="1" x14ac:dyDescent="0.25">
      <c r="B4" s="284"/>
      <c r="C4" s="284"/>
      <c r="D4" s="342"/>
      <c r="E4" s="2290" t="str">
        <f>Translations!$B$1200</f>
        <v>Този лист има същата структура като обобщаващия лист от образеца „NIMs baseline data report“ („Доклад с базови данни за НМИ“) и съдържа електронни препратки към непопълнен образец.</v>
      </c>
      <c r="F4" s="2290"/>
      <c r="G4" s="2290"/>
      <c r="H4" s="2290"/>
      <c r="I4" s="2290"/>
      <c r="J4" s="2290"/>
      <c r="K4" s="2290"/>
      <c r="L4" s="2290"/>
      <c r="M4" s="2290"/>
      <c r="N4" s="2291"/>
    </row>
    <row r="5" spans="1:19" s="349" customFormat="1" ht="84" customHeight="1" x14ac:dyDescent="0.25">
      <c r="A5" s="343"/>
      <c r="B5" s="284"/>
      <c r="C5" s="284"/>
      <c r="D5" s="344"/>
      <c r="E5" s="345"/>
      <c r="F5" s="346"/>
      <c r="G5" s="346"/>
      <c r="H5" s="2292"/>
      <c r="I5" s="2292"/>
      <c r="J5" s="2292"/>
      <c r="K5" s="2292"/>
      <c r="L5" s="346"/>
      <c r="M5" s="346"/>
      <c r="N5" s="347"/>
      <c r="O5" s="348"/>
      <c r="P5" s="343"/>
      <c r="Q5" s="343"/>
      <c r="R5" s="343"/>
      <c r="S5" s="343"/>
    </row>
    <row r="6" spans="1:19" s="349" customFormat="1" ht="25.5" customHeight="1" x14ac:dyDescent="0.25">
      <c r="A6" s="343"/>
      <c r="B6" s="284"/>
      <c r="C6" s="284"/>
      <c r="D6" s="344"/>
      <c r="E6" s="345" t="str">
        <f>Translations!$B$1201</f>
        <v>Стъпка 1</v>
      </c>
      <c r="F6" s="2293" t="str">
        <f>Translations!$B$1202</f>
        <v>За да съберете данните от Вашия конкретен файл, в който се съдържат всички Ваши данни за НМИ, моля, сменете препратката към файла посредством функционалността „Редактиране на връзки“ в раздел „Данни“ на лентата с инструменти на Excel.</v>
      </c>
      <c r="G6" s="2293"/>
      <c r="H6" s="2293"/>
      <c r="I6" s="2293"/>
      <c r="J6" s="2293"/>
      <c r="K6" s="2293"/>
      <c r="L6" s="2293"/>
      <c r="M6" s="2293"/>
      <c r="N6" s="2294"/>
      <c r="O6" s="348"/>
      <c r="P6" s="343"/>
      <c r="Q6" s="343"/>
      <c r="R6" s="343"/>
      <c r="S6" s="343"/>
    </row>
    <row r="7" spans="1:19" x14ac:dyDescent="0.25">
      <c r="B7" s="284"/>
      <c r="C7" s="284"/>
      <c r="D7" s="342"/>
      <c r="E7" s="345" t="str">
        <f>Translations!$B$1203</f>
        <v>Стъпка 2</v>
      </c>
      <c r="F7" s="2293" t="str">
        <f>Translations!$B$1204</f>
        <v>Изберете „Редактиране на връзки“ от групата „Връзки“ или групата „Заявки и връзки“ в зависимост от версията на Excel, която ползвате.</v>
      </c>
      <c r="G7" s="2293"/>
      <c r="H7" s="2293"/>
      <c r="I7" s="2293"/>
      <c r="J7" s="2293"/>
      <c r="K7" s="2293"/>
      <c r="L7" s="2293"/>
      <c r="M7" s="2293"/>
      <c r="N7" s="2294"/>
    </row>
    <row r="8" spans="1:19" x14ac:dyDescent="0.25">
      <c r="B8" s="284"/>
      <c r="C8" s="284"/>
      <c r="D8" s="342"/>
      <c r="E8" s="345" t="str">
        <f>Translations!$B$1205</f>
        <v>Стъпка 3</v>
      </c>
      <c r="F8" s="2293" t="str">
        <f>Translations!$B$1206</f>
        <v>В отворилия се диалогов прозорец изберете електронната препратка към непопълнения образец, след което щракнете върху „Промяна на източника“</v>
      </c>
      <c r="G8" s="2293"/>
      <c r="H8" s="2293"/>
      <c r="I8" s="2293"/>
      <c r="J8" s="2293"/>
      <c r="K8" s="2293"/>
      <c r="L8" s="2293"/>
      <c r="M8" s="2293"/>
      <c r="N8" s="2294"/>
    </row>
    <row r="9" spans="1:19" s="349" customFormat="1" ht="12.75" customHeight="1" x14ac:dyDescent="0.25">
      <c r="A9" s="343"/>
      <c r="B9" s="284"/>
      <c r="C9" s="284"/>
      <c r="D9" s="344"/>
      <c r="E9" s="345"/>
      <c r="F9" s="2300" t="str">
        <f>Translations!$B$1207</f>
        <v>Моля, имайте предвид, че това работи само когато настоящият лист е активен. Бутонът „Промяна на източника“ ще бъде неактивен, ако се опитате да изпълните това от който и да било друг лист.</v>
      </c>
      <c r="G9" s="2300"/>
      <c r="H9" s="2300"/>
      <c r="I9" s="2300"/>
      <c r="J9" s="2300"/>
      <c r="K9" s="2300"/>
      <c r="L9" s="2300"/>
      <c r="M9" s="2300"/>
      <c r="N9" s="2301"/>
      <c r="O9" s="348"/>
      <c r="P9" s="343"/>
      <c r="Q9" s="343"/>
      <c r="R9" s="343"/>
      <c r="S9" s="343"/>
    </row>
    <row r="10" spans="1:19" x14ac:dyDescent="0.25">
      <c r="B10" s="284"/>
      <c r="C10" s="284"/>
      <c r="D10" s="342"/>
      <c r="E10" s="345" t="str">
        <f>Translations!$B$1208</f>
        <v>Стъпка 4</v>
      </c>
      <c r="F10" s="2293" t="str">
        <f>Translations!$B$1209</f>
        <v>Изберете файла с доклада с базови данни за НМИ в диалоговия прозорец и щракнете върху „ОК“. Моля, имайте предвид, че актуализирането на всички свързани клетки може да отнеме няколко секунди.</v>
      </c>
      <c r="G10" s="2293"/>
      <c r="H10" s="2293"/>
      <c r="I10" s="2293"/>
      <c r="J10" s="2293"/>
      <c r="K10" s="2293"/>
      <c r="L10" s="2293"/>
      <c r="M10" s="2293"/>
      <c r="N10" s="2294"/>
    </row>
    <row r="11" spans="1:19" s="349" customFormat="1" ht="12.75" customHeight="1" x14ac:dyDescent="0.25">
      <c r="A11" s="343"/>
      <c r="B11" s="284"/>
      <c r="C11" s="284"/>
      <c r="D11" s="344"/>
      <c r="E11" s="345" t="str">
        <f>Translations!$B$1210</f>
        <v>Стъпка 5</v>
      </c>
      <c r="F11" s="2293" t="str">
        <f>Translations!$B$1211</f>
        <v>(незадължително) Сега можете да щракнете върху „Прекъсни връзките“ в диалоговия прозорец. Това ще премахне всички външни файлове и ще ги замени със стойности.</v>
      </c>
      <c r="G11" s="2293"/>
      <c r="H11" s="2293"/>
      <c r="I11" s="2293"/>
      <c r="J11" s="2293"/>
      <c r="K11" s="2293"/>
      <c r="L11" s="2293"/>
      <c r="M11" s="2293"/>
      <c r="N11" s="2294"/>
      <c r="O11" s="348"/>
      <c r="P11" s="343"/>
      <c r="Q11" s="343"/>
      <c r="R11" s="343"/>
      <c r="S11" s="343"/>
    </row>
    <row r="12" spans="1:19" s="349" customFormat="1" ht="12.75" customHeight="1" x14ac:dyDescent="0.25">
      <c r="A12" s="343"/>
      <c r="B12" s="284"/>
      <c r="C12" s="284"/>
      <c r="D12" s="344"/>
      <c r="E12" s="345"/>
      <c r="F12" s="2293" t="str">
        <f>Translations!$B$1212</f>
        <v>Моля, имайте предвид, че ако направите това, всички предходни стъпки вече няма да могат да бъдат изпълнени повторно.</v>
      </c>
      <c r="G12" s="2293"/>
      <c r="H12" s="2293"/>
      <c r="I12" s="2293"/>
      <c r="J12" s="2293"/>
      <c r="K12" s="2293"/>
      <c r="L12" s="2293"/>
      <c r="M12" s="2293"/>
      <c r="N12" s="2294"/>
      <c r="O12" s="348"/>
      <c r="P12" s="343"/>
      <c r="Q12" s="343"/>
      <c r="R12" s="343"/>
      <c r="S12" s="343"/>
    </row>
    <row r="13" spans="1:19" s="349" customFormat="1" ht="12.75" customHeight="1" x14ac:dyDescent="0.25">
      <c r="A13" s="343"/>
      <c r="B13" s="284"/>
      <c r="C13" s="284"/>
      <c r="D13" s="344"/>
      <c r="E13" s="345" t="str">
        <f>Translations!$B$1213</f>
        <v>Стъпка 6</v>
      </c>
      <c r="F13" s="2293" t="str">
        <f>Translations!$B$1214</f>
        <v>Затворете диалоговия прозорец „Редактиране на връзки“.</v>
      </c>
      <c r="G13" s="2293"/>
      <c r="H13" s="2293"/>
      <c r="I13" s="2293"/>
      <c r="J13" s="2293"/>
      <c r="K13" s="2293"/>
      <c r="L13" s="2293"/>
      <c r="M13" s="2293"/>
      <c r="N13" s="2294"/>
      <c r="O13" s="348"/>
      <c r="P13" s="343"/>
      <c r="Q13" s="343"/>
      <c r="R13" s="343"/>
      <c r="S13" s="343"/>
    </row>
    <row r="14" spans="1:19" ht="12.75" customHeight="1" x14ac:dyDescent="0.25">
      <c r="B14" s="284"/>
      <c r="C14" s="284"/>
      <c r="D14" s="342"/>
      <c r="E14" s="345"/>
      <c r="F14" s="2302" t="str">
        <f>Translations!$B$1215</f>
        <v>Вече би следвало да виждате всички данни за НМИ по-долу в този лист и можете да се върнете в раздел А.II и да продължите.</v>
      </c>
      <c r="G14" s="2302"/>
      <c r="H14" s="2302"/>
      <c r="I14" s="2302"/>
      <c r="J14" s="2302"/>
      <c r="K14" s="2302"/>
      <c r="L14" s="2302"/>
      <c r="M14" s="2302"/>
      <c r="N14" s="2303"/>
    </row>
    <row r="15" spans="1:19" ht="13" x14ac:dyDescent="0.3">
      <c r="B15" s="284"/>
      <c r="C15" s="284"/>
      <c r="D15" s="342"/>
      <c r="E15" s="350"/>
      <c r="F15" s="2299" t="str">
        <f>Translations!$B$1216</f>
        <v>ВАЖНО! Моля, НЕ правете ръчно промени в която и да било клетка по-долу в този лист.</v>
      </c>
      <c r="G15" s="2299"/>
      <c r="H15" s="2299"/>
      <c r="I15" s="2299"/>
      <c r="J15" s="2299"/>
      <c r="K15" s="2299"/>
      <c r="L15" s="2299"/>
      <c r="M15" s="2299"/>
      <c r="N15" s="351"/>
    </row>
    <row r="16" spans="1:19" ht="5.15" customHeight="1" thickBot="1" x14ac:dyDescent="0.3">
      <c r="B16" s="284"/>
      <c r="C16" s="284"/>
      <c r="D16" s="352"/>
      <c r="E16" s="353"/>
      <c r="F16" s="353"/>
      <c r="G16" s="353"/>
      <c r="H16" s="353"/>
      <c r="I16" s="353"/>
      <c r="J16" s="353"/>
      <c r="K16" s="353"/>
      <c r="L16" s="353"/>
      <c r="M16" s="354"/>
      <c r="N16" s="355"/>
    </row>
    <row r="17" spans="2:14" x14ac:dyDescent="0.25">
      <c r="B17" s="284"/>
      <c r="C17" s="284"/>
      <c r="D17" s="284"/>
      <c r="E17" s="284"/>
      <c r="F17" s="284"/>
      <c r="G17" s="284"/>
      <c r="H17" s="284"/>
      <c r="I17" s="284"/>
      <c r="J17" s="284"/>
      <c r="K17" s="284"/>
      <c r="L17" s="284"/>
      <c r="M17" s="336"/>
      <c r="N17" s="336"/>
    </row>
    <row r="18" spans="2:14" ht="15.5" x14ac:dyDescent="0.35">
      <c r="B18" s="284"/>
      <c r="C18" s="327" t="str">
        <f>[1]K_Summary!C8</f>
        <v>I</v>
      </c>
      <c r="D18" s="356" t="str">
        <f>[1]K_Summary!D8</f>
        <v>Данни за инсталацията</v>
      </c>
      <c r="E18" s="356"/>
      <c r="F18" s="356"/>
      <c r="G18" s="356"/>
      <c r="H18" s="356"/>
      <c r="I18" s="356"/>
      <c r="J18" s="356"/>
      <c r="K18" s="356"/>
      <c r="L18" s="356"/>
      <c r="M18" s="356"/>
      <c r="N18" s="356"/>
    </row>
    <row r="19" spans="2:14" ht="5.15" customHeight="1" x14ac:dyDescent="0.25">
      <c r="B19" s="284"/>
      <c r="C19" s="284"/>
      <c r="D19" s="284"/>
      <c r="E19" s="284"/>
      <c r="F19" s="284"/>
      <c r="G19" s="284"/>
      <c r="H19" s="284"/>
      <c r="I19" s="284"/>
      <c r="J19" s="284"/>
      <c r="K19" s="284"/>
      <c r="L19" s="284"/>
      <c r="M19" s="336"/>
      <c r="N19" s="336"/>
    </row>
    <row r="20" spans="2:14" ht="12.75" customHeight="1" x14ac:dyDescent="0.3">
      <c r="B20" s="284"/>
      <c r="C20" s="357">
        <f>[1]K_Summary!C10</f>
        <v>1</v>
      </c>
      <c r="D20" s="358" t="str">
        <f>[1]K_Summary!D10</f>
        <v>Обща информация (раздел A.I):</v>
      </c>
      <c r="E20" s="359"/>
      <c r="F20" s="359"/>
      <c r="G20" s="359"/>
      <c r="H20" s="359"/>
      <c r="I20" s="359"/>
      <c r="J20" s="359"/>
      <c r="K20" s="359"/>
      <c r="L20" s="359"/>
      <c r="M20" s="359"/>
      <c r="N20" s="359"/>
    </row>
    <row r="21" spans="2:14" ht="12.75" customHeight="1" x14ac:dyDescent="0.25">
      <c r="B21" s="284"/>
      <c r="C21" s="302"/>
      <c r="D21" s="302"/>
      <c r="E21" s="360"/>
      <c r="F21" s="360"/>
      <c r="G21" s="360"/>
      <c r="H21" s="360"/>
      <c r="I21" s="360"/>
      <c r="J21" s="360"/>
      <c r="K21" s="360"/>
      <c r="L21" s="360"/>
      <c r="M21" s="360"/>
      <c r="N21" s="302"/>
    </row>
    <row r="22" spans="2:14" ht="12.75" customHeight="1" x14ac:dyDescent="0.25">
      <c r="B22" s="284"/>
      <c r="C22" s="302"/>
      <c r="D22" s="302"/>
      <c r="E22" s="313" t="str">
        <f>[1]K_Summary!E12</f>
        <v>Идентификационен номер на инсталацията:</v>
      </c>
      <c r="F22" s="360"/>
      <c r="G22" s="360"/>
      <c r="H22" s="361" t="str">
        <f>[1]K_Summary!H12</f>
        <v/>
      </c>
      <c r="I22" s="362"/>
      <c r="J22" s="360"/>
      <c r="K22" s="363" t="str">
        <f>[1]K_Summary!K12</f>
        <v>Държава членка:</v>
      </c>
      <c r="L22" s="364"/>
      <c r="M22" s="365" t="str">
        <f>[1]K_Summary!M12</f>
        <v/>
      </c>
      <c r="N22" s="366"/>
    </row>
    <row r="23" spans="2:14" ht="12.75" customHeight="1" x14ac:dyDescent="0.25">
      <c r="B23" s="284"/>
      <c r="C23" s="302"/>
      <c r="D23" s="302"/>
      <c r="E23" s="313" t="str">
        <f>[1]K_Summary!E13</f>
        <v>Наименование на инсталацията:</v>
      </c>
      <c r="F23" s="360"/>
      <c r="G23" s="360"/>
      <c r="H23" s="365" t="str">
        <f>[1]K_Summary!H13</f>
        <v/>
      </c>
      <c r="I23" s="367"/>
      <c r="J23" s="367"/>
      <c r="K23" s="367"/>
      <c r="L23" s="366"/>
      <c r="M23" s="360"/>
      <c r="N23" s="302"/>
    </row>
    <row r="24" spans="2:14" ht="12.75" customHeight="1" x14ac:dyDescent="0.25">
      <c r="B24" s="284"/>
      <c r="C24" s="302"/>
      <c r="D24" s="302"/>
      <c r="E24" s="313" t="str">
        <f>[1]K_Summary!E14</f>
        <v>Име на оператора:</v>
      </c>
      <c r="F24" s="360"/>
      <c r="G24" s="360"/>
      <c r="H24" s="365" t="str">
        <f>[1]K_Summary!H14</f>
        <v/>
      </c>
      <c r="I24" s="367"/>
      <c r="J24" s="367"/>
      <c r="K24" s="367"/>
      <c r="L24" s="366"/>
      <c r="M24" s="360"/>
      <c r="N24" s="302"/>
    </row>
    <row r="25" spans="2:14" ht="12.75" customHeight="1" x14ac:dyDescent="0.25">
      <c r="B25" s="284"/>
      <c r="C25" s="302"/>
      <c r="D25" s="302"/>
      <c r="E25" s="313" t="str">
        <f>[1]K_Summary!E15</f>
        <v>Верификатор (дружество):</v>
      </c>
      <c r="F25" s="360"/>
      <c r="G25" s="360"/>
      <c r="H25" s="365" t="str">
        <f>[1]K_Summary!H15</f>
        <v/>
      </c>
      <c r="I25" s="367"/>
      <c r="J25" s="367"/>
      <c r="K25" s="367"/>
      <c r="L25" s="366"/>
      <c r="M25" s="360"/>
      <c r="N25" s="302"/>
    </row>
    <row r="26" spans="2:14" ht="12.75" customHeight="1" x14ac:dyDescent="0.25">
      <c r="B26" s="284"/>
      <c r="C26" s="302"/>
      <c r="D26" s="302"/>
      <c r="E26" s="313"/>
      <c r="F26" s="360"/>
      <c r="G26" s="360"/>
      <c r="H26" s="368"/>
      <c r="I26" s="360"/>
      <c r="J26" s="360"/>
      <c r="K26" s="360"/>
      <c r="L26" s="360"/>
      <c r="M26" s="360"/>
      <c r="N26" s="302"/>
    </row>
    <row r="27" spans="2:14" ht="12.75" customHeight="1" x14ac:dyDescent="0.25">
      <c r="B27" s="284"/>
      <c r="C27" s="302"/>
      <c r="D27" s="302"/>
      <c r="E27" s="313" t="str">
        <f>[1]K_Summary!E17</f>
        <v>Участвала в СТЕ преди:</v>
      </c>
      <c r="F27" s="360"/>
      <c r="G27" s="360"/>
      <c r="H27" s="369" t="str">
        <f>[1]K_Summary!H17</f>
        <v/>
      </c>
      <c r="I27" s="360"/>
      <c r="J27" s="360"/>
      <c r="K27" s="363" t="str">
        <f>[1]K_Summary!K17</f>
        <v>Малък емитер (член 27):</v>
      </c>
      <c r="L27" s="360"/>
      <c r="M27" s="370" t="str">
        <f>[1]K_Summary!M17</f>
        <v/>
      </c>
      <c r="N27" s="302"/>
    </row>
    <row r="28" spans="2:14" ht="12.75" customHeight="1" x14ac:dyDescent="0.25">
      <c r="B28" s="284"/>
      <c r="C28" s="302"/>
      <c r="D28" s="302"/>
      <c r="E28" s="313" t="str">
        <f>[1]K_Summary!E18</f>
        <v>Работеща инсталация:</v>
      </c>
      <c r="F28" s="360"/>
      <c r="G28" s="360"/>
      <c r="H28" s="369" t="str">
        <f>[1]K_Summary!H18</f>
        <v/>
      </c>
      <c r="I28" s="360"/>
      <c r="J28" s="360"/>
      <c r="K28" s="363" t="str">
        <f>[1]K_Summary!K18</f>
        <v>Болница:</v>
      </c>
      <c r="L28" s="360"/>
      <c r="M28" s="370" t="str">
        <f>[1]K_Summary!M18</f>
        <v/>
      </c>
      <c r="N28" s="302"/>
    </row>
    <row r="29" spans="2:14" ht="12.75" customHeight="1" x14ac:dyDescent="0.25">
      <c r="B29" s="284"/>
      <c r="C29" s="302"/>
      <c r="D29" s="302"/>
      <c r="E29" s="313" t="str">
        <f>[1]K_Summary!E19</f>
        <v>Дата на въвеждане в експлоатация:</v>
      </c>
      <c r="F29" s="360"/>
      <c r="G29" s="360"/>
      <c r="H29" s="369" t="str">
        <f>[1]K_Summary!H19</f>
        <v/>
      </c>
      <c r="I29" s="360"/>
      <c r="J29" s="360"/>
      <c r="K29" s="363" t="str">
        <f>[1]K_Summary!K19</f>
        <v>Малък емитер (член 27а):</v>
      </c>
      <c r="L29" s="360"/>
      <c r="M29" s="370" t="str">
        <f>[1]K_Summary!M19</f>
        <v/>
      </c>
      <c r="N29" s="302"/>
    </row>
    <row r="30" spans="2:14" ht="12.75" customHeight="1" x14ac:dyDescent="0.25">
      <c r="B30" s="284"/>
      <c r="C30" s="302"/>
      <c r="D30" s="302"/>
      <c r="E30" s="313"/>
      <c r="F30" s="360"/>
      <c r="G30" s="360"/>
      <c r="H30" s="368"/>
      <c r="I30" s="360"/>
      <c r="J30" s="360"/>
      <c r="K30" s="363" t="str">
        <f>[1]K_Summary!K20</f>
        <v>Единици &lt; 300 ч:</v>
      </c>
      <c r="L30" s="360"/>
      <c r="M30" s="370" t="str">
        <f>[1]K_Summary!M20</f>
        <v/>
      </c>
      <c r="N30" s="302"/>
    </row>
    <row r="31" spans="2:14" ht="12.75" customHeight="1" x14ac:dyDescent="0.25">
      <c r="B31" s="284"/>
      <c r="C31" s="302"/>
      <c r="D31" s="302"/>
      <c r="E31" s="313" t="str">
        <f>[1]K_Summary!E21</f>
        <v>Код по NACE през 2010 г. (NACE rev 2):</v>
      </c>
      <c r="F31" s="360"/>
      <c r="G31" s="360"/>
      <c r="H31" s="369" t="str">
        <f>[1]K_Summary!H21</f>
        <v/>
      </c>
      <c r="I31" s="360"/>
      <c r="J31" s="360"/>
      <c r="K31" s="363" t="str">
        <f>[1]K_Summary!K21</f>
        <v>Идентификация по ЕРИПЗ:</v>
      </c>
      <c r="L31" s="360"/>
      <c r="M31" s="370" t="str">
        <f>[1]K_Summary!M21</f>
        <v/>
      </c>
      <c r="N31" s="302"/>
    </row>
    <row r="32" spans="2:14" ht="12.75" customHeight="1" x14ac:dyDescent="0.25">
      <c r="B32" s="284"/>
      <c r="C32" s="302"/>
      <c r="D32" s="302"/>
      <c r="E32" s="364"/>
      <c r="F32" s="364"/>
      <c r="G32" s="364"/>
      <c r="H32" s="364"/>
      <c r="I32" s="360"/>
      <c r="J32" s="360"/>
      <c r="K32" s="360"/>
      <c r="L32" s="360"/>
      <c r="M32" s="360"/>
      <c r="N32" s="302"/>
    </row>
    <row r="33" spans="2:14" ht="12.75" customHeight="1" x14ac:dyDescent="0.25">
      <c r="B33" s="284"/>
      <c r="C33" s="302"/>
      <c r="D33" s="300"/>
      <c r="E33" s="313" t="str">
        <f>[1]K_Summary!E23</f>
        <v>Дейности в съответствие с Приложение I към Директивата за СТЕ на ЕС:</v>
      </c>
      <c r="F33" s="302"/>
      <c r="G33" s="302"/>
      <c r="H33" s="298"/>
      <c r="I33" s="298"/>
      <c r="J33" s="298"/>
      <c r="K33" s="298"/>
      <c r="L33" s="302"/>
      <c r="M33" s="371" t="str">
        <f>[1]K_Summary!M23</f>
        <v>Номинална входяща топлинна мощност (MW)</v>
      </c>
      <c r="N33" s="372"/>
    </row>
    <row r="34" spans="2:14" ht="12.75" customHeight="1" x14ac:dyDescent="0.25">
      <c r="B34" s="284"/>
      <c r="C34" s="302"/>
      <c r="D34" s="313"/>
      <c r="E34" s="360" t="str">
        <f>[1]K_Summary!E24</f>
        <v>1.</v>
      </c>
      <c r="F34" s="361" t="str">
        <f>[1]K_Summary!F24</f>
        <v/>
      </c>
      <c r="G34" s="373"/>
      <c r="H34" s="373"/>
      <c r="I34" s="373"/>
      <c r="J34" s="373"/>
      <c r="K34" s="373"/>
      <c r="L34" s="373"/>
      <c r="M34" s="374" t="str">
        <f>[1]K_Summary!M24</f>
        <v/>
      </c>
      <c r="N34" s="375"/>
    </row>
    <row r="35" spans="2:14" ht="12.75" customHeight="1" x14ac:dyDescent="0.25">
      <c r="B35" s="284"/>
      <c r="C35" s="302"/>
      <c r="D35" s="300"/>
      <c r="E35" s="360" t="str">
        <f>[1]K_Summary!E25</f>
        <v>2.</v>
      </c>
      <c r="F35" s="365" t="str">
        <f>[1]K_Summary!F25</f>
        <v/>
      </c>
      <c r="G35" s="376"/>
      <c r="H35" s="376"/>
      <c r="I35" s="376"/>
      <c r="J35" s="376"/>
      <c r="K35" s="376"/>
      <c r="L35" s="376"/>
      <c r="M35" s="374" t="str">
        <f>[1]K_Summary!M25</f>
        <v/>
      </c>
      <c r="N35" s="375"/>
    </row>
    <row r="36" spans="2:14" ht="12.75" customHeight="1" x14ac:dyDescent="0.25">
      <c r="B36" s="284"/>
      <c r="C36" s="302"/>
      <c r="D36" s="377"/>
      <c r="E36" s="360" t="str">
        <f>[1]K_Summary!E26</f>
        <v>3.</v>
      </c>
      <c r="F36" s="365" t="str">
        <f>[1]K_Summary!F26</f>
        <v/>
      </c>
      <c r="G36" s="376"/>
      <c r="H36" s="376"/>
      <c r="I36" s="376"/>
      <c r="J36" s="376"/>
      <c r="K36" s="376"/>
      <c r="L36" s="376"/>
      <c r="M36" s="374" t="str">
        <f>[1]K_Summary!M26</f>
        <v/>
      </c>
      <c r="N36" s="375"/>
    </row>
    <row r="37" spans="2:14" ht="12.75" customHeight="1" x14ac:dyDescent="0.25">
      <c r="B37" s="284"/>
      <c r="C37" s="302"/>
      <c r="D37" s="377"/>
      <c r="E37" s="360" t="str">
        <f>[1]K_Summary!E27</f>
        <v>4.</v>
      </c>
      <c r="F37" s="365" t="str">
        <f>[1]K_Summary!F27</f>
        <v/>
      </c>
      <c r="G37" s="376"/>
      <c r="H37" s="376"/>
      <c r="I37" s="376"/>
      <c r="J37" s="376"/>
      <c r="K37" s="376"/>
      <c r="L37" s="376"/>
      <c r="M37" s="374" t="str">
        <f>[1]K_Summary!M27</f>
        <v/>
      </c>
      <c r="N37" s="375"/>
    </row>
    <row r="38" spans="2:14" ht="12.75" customHeight="1" x14ac:dyDescent="0.25">
      <c r="B38" s="284"/>
      <c r="C38" s="302"/>
      <c r="D38" s="377"/>
      <c r="E38" s="360" t="str">
        <f>[1]K_Summary!E28</f>
        <v>5.</v>
      </c>
      <c r="F38" s="365" t="str">
        <f>[1]K_Summary!F28</f>
        <v/>
      </c>
      <c r="G38" s="376"/>
      <c r="H38" s="376"/>
      <c r="I38" s="376"/>
      <c r="J38" s="376"/>
      <c r="K38" s="376"/>
      <c r="L38" s="376"/>
      <c r="M38" s="374" t="str">
        <f>[1]K_Summary!M28</f>
        <v/>
      </c>
      <c r="N38" s="375"/>
    </row>
    <row r="39" spans="2:14" ht="12.75" customHeight="1" x14ac:dyDescent="0.25">
      <c r="B39" s="284"/>
      <c r="C39" s="302"/>
      <c r="D39" s="302"/>
      <c r="E39" s="360" t="str">
        <f>[1]K_Summary!E29</f>
        <v>6.</v>
      </c>
      <c r="F39" s="365" t="str">
        <f>[1]K_Summary!F29</f>
        <v/>
      </c>
      <c r="G39" s="376"/>
      <c r="H39" s="376"/>
      <c r="I39" s="376"/>
      <c r="J39" s="376"/>
      <c r="K39" s="376"/>
      <c r="L39" s="376"/>
      <c r="M39" s="374" t="str">
        <f>[1]K_Summary!M29</f>
        <v/>
      </c>
      <c r="N39" s="375"/>
    </row>
    <row r="40" spans="2:14" ht="12.75" customHeight="1" x14ac:dyDescent="0.25">
      <c r="B40" s="284"/>
      <c r="C40" s="302"/>
      <c r="D40" s="302"/>
      <c r="E40" s="360"/>
      <c r="F40" s="360"/>
      <c r="G40" s="360"/>
      <c r="H40" s="360"/>
      <c r="I40" s="360"/>
      <c r="J40" s="360"/>
      <c r="K40" s="360"/>
      <c r="L40" s="360"/>
      <c r="M40" s="360"/>
      <c r="N40" s="302"/>
    </row>
    <row r="41" spans="2:14" ht="12.75" customHeight="1" x14ac:dyDescent="0.3">
      <c r="B41" s="284"/>
      <c r="C41" s="357">
        <f>[1]K_Summary!C31</f>
        <v>2</v>
      </c>
      <c r="D41" s="358" t="str">
        <f>[1]K_Summary!D31</f>
        <v>Технически връзки (раздел A.IV):</v>
      </c>
      <c r="E41" s="359"/>
      <c r="F41" s="359"/>
      <c r="G41" s="359"/>
      <c r="H41" s="359"/>
      <c r="I41" s="359"/>
      <c r="J41" s="359"/>
      <c r="K41" s="359"/>
      <c r="L41" s="359"/>
      <c r="M41" s="359"/>
      <c r="N41" s="359"/>
    </row>
    <row r="42" spans="2:14" ht="12.75" customHeight="1" x14ac:dyDescent="0.25">
      <c r="B42" s="284"/>
      <c r="C42" s="302"/>
      <c r="D42" s="302"/>
      <c r="E42" s="378" t="str">
        <f>[1]K_Summary!E32</f>
        <v>Име на връзката</v>
      </c>
      <c r="F42" s="379"/>
      <c r="G42" s="379"/>
      <c r="H42" s="380"/>
      <c r="I42" s="378" t="str">
        <f>[1]K_Summary!I32</f>
        <v>Идентификатор EUTL, ако е приложимо</v>
      </c>
      <c r="J42" s="379"/>
      <c r="K42" s="380"/>
      <c r="L42" s="378" t="str">
        <f>[1]K_Summary!L32</f>
        <v>Вид обект</v>
      </c>
      <c r="M42" s="379"/>
      <c r="N42" s="379"/>
    </row>
    <row r="43" spans="2:14" ht="12.75" customHeight="1" x14ac:dyDescent="0.25">
      <c r="B43" s="284"/>
      <c r="C43" s="302"/>
      <c r="D43" s="302">
        <f>[1]K_Summary!D33</f>
        <v>1</v>
      </c>
      <c r="E43" s="365" t="str">
        <f>[1]K_Summary!E33</f>
        <v/>
      </c>
      <c r="F43" s="376"/>
      <c r="G43" s="376"/>
      <c r="H43" s="375"/>
      <c r="I43" s="365" t="str">
        <f>[1]K_Summary!I33</f>
        <v/>
      </c>
      <c r="J43" s="376"/>
      <c r="K43" s="375"/>
      <c r="L43" s="365" t="str">
        <f>[1]K_Summary!L33</f>
        <v/>
      </c>
      <c r="M43" s="381"/>
      <c r="N43" s="382"/>
    </row>
    <row r="44" spans="2:14" ht="12.75" customHeight="1" x14ac:dyDescent="0.25">
      <c r="B44" s="284"/>
      <c r="C44" s="302"/>
      <c r="D44" s="302">
        <f>[1]K_Summary!D34</f>
        <v>2</v>
      </c>
      <c r="E44" s="365" t="str">
        <f>[1]K_Summary!E34</f>
        <v/>
      </c>
      <c r="F44" s="376"/>
      <c r="G44" s="376"/>
      <c r="H44" s="375"/>
      <c r="I44" s="365" t="str">
        <f>[1]K_Summary!I34</f>
        <v/>
      </c>
      <c r="J44" s="376"/>
      <c r="K44" s="375"/>
      <c r="L44" s="365" t="str">
        <f>[1]K_Summary!L34</f>
        <v/>
      </c>
      <c r="M44" s="381"/>
      <c r="N44" s="382"/>
    </row>
    <row r="45" spans="2:14" ht="12.75" customHeight="1" x14ac:dyDescent="0.25">
      <c r="B45" s="284"/>
      <c r="C45" s="302"/>
      <c r="D45" s="302">
        <f>[1]K_Summary!D35</f>
        <v>3</v>
      </c>
      <c r="E45" s="365" t="str">
        <f>[1]K_Summary!E35</f>
        <v/>
      </c>
      <c r="F45" s="376"/>
      <c r="G45" s="376"/>
      <c r="H45" s="375"/>
      <c r="I45" s="365" t="str">
        <f>[1]K_Summary!I35</f>
        <v/>
      </c>
      <c r="J45" s="376"/>
      <c r="K45" s="375"/>
      <c r="L45" s="365" t="str">
        <f>[1]K_Summary!L35</f>
        <v/>
      </c>
      <c r="M45" s="381"/>
      <c r="N45" s="382"/>
    </row>
    <row r="46" spans="2:14" ht="12.75" customHeight="1" x14ac:dyDescent="0.25">
      <c r="B46" s="284"/>
      <c r="C46" s="302"/>
      <c r="D46" s="302">
        <f>[1]K_Summary!D36</f>
        <v>4</v>
      </c>
      <c r="E46" s="365" t="str">
        <f>[1]K_Summary!E36</f>
        <v/>
      </c>
      <c r="F46" s="376"/>
      <c r="G46" s="376"/>
      <c r="H46" s="375"/>
      <c r="I46" s="365" t="str">
        <f>[1]K_Summary!I36</f>
        <v/>
      </c>
      <c r="J46" s="376"/>
      <c r="K46" s="375"/>
      <c r="L46" s="365" t="str">
        <f>[1]K_Summary!L36</f>
        <v/>
      </c>
      <c r="M46" s="381"/>
      <c r="N46" s="382"/>
    </row>
    <row r="47" spans="2:14" ht="12.75" customHeight="1" x14ac:dyDescent="0.25">
      <c r="B47" s="284"/>
      <c r="C47" s="302"/>
      <c r="D47" s="302">
        <f>[1]K_Summary!D37</f>
        <v>5</v>
      </c>
      <c r="E47" s="365" t="str">
        <f>[1]K_Summary!E37</f>
        <v/>
      </c>
      <c r="F47" s="376"/>
      <c r="G47" s="376"/>
      <c r="H47" s="375"/>
      <c r="I47" s="365" t="str">
        <f>[1]K_Summary!I37</f>
        <v/>
      </c>
      <c r="J47" s="376"/>
      <c r="K47" s="375"/>
      <c r="L47" s="365" t="str">
        <f>[1]K_Summary!L37</f>
        <v/>
      </c>
      <c r="M47" s="381"/>
      <c r="N47" s="382"/>
    </row>
    <row r="48" spans="2:14" ht="12.75" customHeight="1" x14ac:dyDescent="0.25">
      <c r="B48" s="284"/>
      <c r="C48" s="302"/>
      <c r="D48" s="302">
        <f>[1]K_Summary!D38</f>
        <v>6</v>
      </c>
      <c r="E48" s="365" t="str">
        <f>[1]K_Summary!E38</f>
        <v/>
      </c>
      <c r="F48" s="376"/>
      <c r="G48" s="376"/>
      <c r="H48" s="375"/>
      <c r="I48" s="365" t="str">
        <f>[1]K_Summary!I38</f>
        <v/>
      </c>
      <c r="J48" s="376"/>
      <c r="K48" s="375"/>
      <c r="L48" s="365" t="str">
        <f>[1]K_Summary!L38</f>
        <v/>
      </c>
      <c r="M48" s="381"/>
      <c r="N48" s="382"/>
    </row>
    <row r="49" spans="2:14" ht="12.75" customHeight="1" x14ac:dyDescent="0.25">
      <c r="B49" s="284"/>
      <c r="C49" s="302"/>
      <c r="D49" s="302">
        <f>[1]K_Summary!D39</f>
        <v>7</v>
      </c>
      <c r="E49" s="365" t="str">
        <f>[1]K_Summary!E39</f>
        <v/>
      </c>
      <c r="F49" s="376"/>
      <c r="G49" s="376"/>
      <c r="H49" s="375"/>
      <c r="I49" s="365" t="str">
        <f>[1]K_Summary!I39</f>
        <v/>
      </c>
      <c r="J49" s="376"/>
      <c r="K49" s="375"/>
      <c r="L49" s="365" t="str">
        <f>[1]K_Summary!L39</f>
        <v/>
      </c>
      <c r="M49" s="381"/>
      <c r="N49" s="382"/>
    </row>
    <row r="50" spans="2:14" ht="12.75" customHeight="1" x14ac:dyDescent="0.25">
      <c r="B50" s="284"/>
      <c r="C50" s="302"/>
      <c r="D50" s="302">
        <f>[1]K_Summary!D40</f>
        <v>8</v>
      </c>
      <c r="E50" s="365" t="str">
        <f>[1]K_Summary!E40</f>
        <v/>
      </c>
      <c r="F50" s="376"/>
      <c r="G50" s="376"/>
      <c r="H50" s="375"/>
      <c r="I50" s="365" t="str">
        <f>[1]K_Summary!I40</f>
        <v/>
      </c>
      <c r="J50" s="376"/>
      <c r="K50" s="375"/>
      <c r="L50" s="365" t="str">
        <f>[1]K_Summary!L40</f>
        <v/>
      </c>
      <c r="M50" s="381"/>
      <c r="N50" s="382"/>
    </row>
    <row r="51" spans="2:14" ht="12.75" customHeight="1" x14ac:dyDescent="0.25">
      <c r="B51" s="284"/>
      <c r="C51" s="302"/>
      <c r="D51" s="302">
        <f>[1]K_Summary!D41</f>
        <v>9</v>
      </c>
      <c r="E51" s="365" t="str">
        <f>[1]K_Summary!E41</f>
        <v/>
      </c>
      <c r="F51" s="376"/>
      <c r="G51" s="376"/>
      <c r="H51" s="375"/>
      <c r="I51" s="365" t="str">
        <f>[1]K_Summary!I41</f>
        <v/>
      </c>
      <c r="J51" s="376"/>
      <c r="K51" s="375"/>
      <c r="L51" s="365" t="str">
        <f>[1]K_Summary!L41</f>
        <v/>
      </c>
      <c r="M51" s="381"/>
      <c r="N51" s="382"/>
    </row>
    <row r="52" spans="2:14" ht="12.75" customHeight="1" x14ac:dyDescent="0.25">
      <c r="B52" s="284"/>
      <c r="C52" s="302"/>
      <c r="D52" s="302">
        <f>[1]K_Summary!D42</f>
        <v>10</v>
      </c>
      <c r="E52" s="365" t="str">
        <f>[1]K_Summary!E42</f>
        <v/>
      </c>
      <c r="F52" s="376"/>
      <c r="G52" s="376"/>
      <c r="H52" s="375"/>
      <c r="I52" s="365" t="str">
        <f>[1]K_Summary!I42</f>
        <v/>
      </c>
      <c r="J52" s="376"/>
      <c r="K52" s="375"/>
      <c r="L52" s="365" t="str">
        <f>[1]K_Summary!L42</f>
        <v/>
      </c>
      <c r="M52" s="381"/>
      <c r="N52" s="382"/>
    </row>
    <row r="53" spans="2:14" ht="12.75" customHeight="1" x14ac:dyDescent="0.25">
      <c r="B53" s="284"/>
      <c r="C53" s="302"/>
      <c r="D53" s="302"/>
      <c r="E53" s="302"/>
      <c r="F53" s="302"/>
      <c r="G53" s="302"/>
      <c r="H53" s="302"/>
      <c r="I53" s="302"/>
      <c r="J53" s="302"/>
      <c r="K53" s="302"/>
      <c r="L53" s="302"/>
      <c r="M53" s="302"/>
      <c r="N53" s="302"/>
    </row>
    <row r="54" spans="2:14" ht="12.75" customHeight="1" x14ac:dyDescent="0.35">
      <c r="B54" s="284"/>
      <c r="C54" s="327" t="str">
        <f>[1]K_Summary!C44</f>
        <v>II</v>
      </c>
      <c r="D54" s="356" t="str">
        <f>[1]K_Summary!D44</f>
        <v>Базов период и условия за допустимост</v>
      </c>
      <c r="E54" s="356"/>
      <c r="F54" s="356"/>
      <c r="G54" s="356"/>
      <c r="H54" s="356"/>
      <c r="I54" s="356"/>
      <c r="J54" s="356"/>
      <c r="K54" s="356"/>
      <c r="L54" s="356"/>
      <c r="M54" s="356"/>
      <c r="N54" s="356"/>
    </row>
    <row r="55" spans="2:14" ht="12.75" customHeight="1" x14ac:dyDescent="0.25">
      <c r="B55" s="284"/>
      <c r="C55" s="302"/>
      <c r="D55" s="302"/>
      <c r="E55" s="302"/>
      <c r="F55" s="302"/>
      <c r="G55" s="302"/>
      <c r="H55" s="302"/>
      <c r="I55" s="302"/>
      <c r="J55" s="302"/>
      <c r="K55" s="302"/>
      <c r="L55" s="302"/>
      <c r="M55" s="302"/>
      <c r="N55" s="302"/>
    </row>
    <row r="56" spans="2:14" ht="12.75" customHeight="1" x14ac:dyDescent="0.3">
      <c r="B56" s="284"/>
      <c r="C56" s="357">
        <f>[1]K_Summary!C46</f>
        <v>1</v>
      </c>
      <c r="D56" s="358" t="str">
        <f>[1]K_Summary!D46</f>
        <v>Условия за допустимост за безплатно разпределяне на квоти (раздел A.II.1):</v>
      </c>
      <c r="E56" s="358"/>
      <c r="F56" s="358"/>
      <c r="G56" s="358"/>
      <c r="H56" s="358"/>
      <c r="I56" s="358"/>
      <c r="J56" s="358"/>
      <c r="K56" s="358"/>
      <c r="L56" s="358"/>
      <c r="M56" s="358"/>
      <c r="N56" s="358"/>
    </row>
    <row r="57" spans="2:14" ht="12.75" customHeight="1" x14ac:dyDescent="0.25">
      <c r="B57" s="284"/>
      <c r="C57" s="284"/>
      <c r="D57" s="284"/>
      <c r="E57" s="284"/>
      <c r="F57" s="284"/>
      <c r="G57" s="284"/>
      <c r="H57" s="284"/>
      <c r="I57" s="284"/>
      <c r="J57" s="284"/>
      <c r="K57" s="284"/>
      <c r="L57" s="284"/>
      <c r="M57" s="336"/>
      <c r="N57" s="336"/>
    </row>
    <row r="58" spans="2:14" ht="12.75" customHeight="1" x14ac:dyDescent="0.25">
      <c r="B58" s="284"/>
      <c r="C58" s="302"/>
      <c r="D58" s="302"/>
      <c r="E58" s="361" t="str">
        <f>[1]K_Summary!E48</f>
        <v>Задължително е данните в A.II.1 да бъдат потвърдени!</v>
      </c>
      <c r="F58" s="373"/>
      <c r="G58" s="373"/>
      <c r="H58" s="373"/>
      <c r="I58" s="373"/>
      <c r="J58" s="373"/>
      <c r="K58" s="373"/>
      <c r="L58" s="373"/>
      <c r="M58" s="373"/>
      <c r="N58" s="362"/>
    </row>
    <row r="59" spans="2:14" ht="12.75" customHeight="1" x14ac:dyDescent="0.25">
      <c r="B59" s="284"/>
      <c r="C59" s="302"/>
      <c r="D59" s="302"/>
      <c r="E59" s="361" t="str">
        <f>[1]K_Summary!E49</f>
        <v/>
      </c>
      <c r="F59" s="373"/>
      <c r="G59" s="373"/>
      <c r="H59" s="373"/>
      <c r="I59" s="373"/>
      <c r="J59" s="373"/>
      <c r="K59" s="373"/>
      <c r="L59" s="373"/>
      <c r="M59" s="373"/>
      <c r="N59" s="362"/>
    </row>
    <row r="60" spans="2:14" ht="12.75" customHeight="1" x14ac:dyDescent="0.25">
      <c r="B60" s="284"/>
      <c r="C60" s="284"/>
      <c r="D60" s="284"/>
      <c r="E60" s="336"/>
      <c r="F60" s="336"/>
      <c r="G60" s="336"/>
      <c r="H60" s="336"/>
      <c r="I60" s="336"/>
      <c r="J60" s="336"/>
      <c r="K60" s="336"/>
      <c r="L60" s="336"/>
      <c r="M60" s="336"/>
      <c r="N60" s="336"/>
    </row>
    <row r="61" spans="2:14" ht="12.75" customHeight="1" x14ac:dyDescent="0.3">
      <c r="B61" s="284"/>
      <c r="C61" s="357">
        <f>[1]K_Summary!C51</f>
        <v>2</v>
      </c>
      <c r="D61" s="358" t="str">
        <f>[1]K_Summary!D51</f>
        <v>Обвързаност с условия (раздели A.II.2—A.III.4)</v>
      </c>
      <c r="E61" s="358"/>
      <c r="F61" s="358"/>
      <c r="G61" s="358"/>
      <c r="H61" s="358"/>
      <c r="I61" s="358"/>
      <c r="J61" s="358"/>
      <c r="K61" s="358"/>
      <c r="L61" s="358"/>
      <c r="M61" s="358"/>
      <c r="N61" s="358"/>
    </row>
    <row r="62" spans="2:14" ht="12.75" customHeight="1" x14ac:dyDescent="0.25">
      <c r="B62" s="284"/>
      <c r="C62" s="302"/>
      <c r="D62" s="302"/>
      <c r="E62" s="302"/>
      <c r="F62" s="302"/>
      <c r="G62" s="302"/>
      <c r="H62" s="302"/>
      <c r="I62" s="302"/>
      <c r="J62" s="302"/>
      <c r="K62" s="302"/>
      <c r="L62" s="302"/>
      <c r="M62" s="302"/>
      <c r="N62" s="302"/>
    </row>
    <row r="63" spans="2:14" ht="12.75" customHeight="1" x14ac:dyDescent="0.25">
      <c r="B63" s="284"/>
      <c r="C63" s="284"/>
      <c r="D63" s="300" t="str">
        <f>[1]K_Summary!D53</f>
        <v>(a)</v>
      </c>
      <c r="E63" s="313" t="str">
        <f>[1]K_Summary!E53</f>
        <v>Резултат от обвързаност с условия 1 и 2 (намаление с 20 % на безплатното разпределяне на квоти)</v>
      </c>
      <c r="F63" s="313"/>
      <c r="G63" s="313"/>
      <c r="H63" s="313"/>
      <c r="I63" s="313"/>
      <c r="J63" s="313"/>
      <c r="K63" s="313"/>
      <c r="L63" s="313"/>
      <c r="M63" s="313"/>
      <c r="N63" s="313"/>
    </row>
    <row r="64" spans="2:14" ht="12.75" customHeight="1" x14ac:dyDescent="0.25">
      <c r="B64" s="284"/>
      <c r="C64" s="302"/>
      <c r="D64" s="302"/>
      <c r="E64" s="302"/>
      <c r="F64" s="302"/>
      <c r="G64" s="302"/>
      <c r="H64" s="302"/>
      <c r="I64" s="302"/>
      <c r="J64" s="302"/>
      <c r="K64" s="302"/>
      <c r="L64" s="302"/>
      <c r="M64" s="302"/>
      <c r="N64" s="302"/>
    </row>
    <row r="65" spans="2:14" ht="12.75" customHeight="1" thickBot="1" x14ac:dyDescent="0.3">
      <c r="B65" s="284"/>
      <c r="C65" s="302"/>
      <c r="D65" s="302"/>
      <c r="E65" s="302" t="str">
        <f>[1]K_Summary!E55</f>
        <v>Обвързаност с условия по член 22а (EnEff) (енергийна ефективност)</v>
      </c>
      <c r="F65" s="302"/>
      <c r="G65" s="302"/>
      <c r="H65" s="302"/>
      <c r="I65" s="383" t="b">
        <f>[1]K_Summary!I55</f>
        <v>0</v>
      </c>
      <c r="J65" s="302"/>
      <c r="K65" s="302"/>
      <c r="L65" s="302"/>
      <c r="M65" s="364"/>
      <c r="N65" s="302"/>
    </row>
    <row r="66" spans="2:14" ht="12.75" customHeight="1" thickBot="1" x14ac:dyDescent="0.3">
      <c r="B66" s="284"/>
      <c r="C66" s="302"/>
      <c r="D66" s="302"/>
      <c r="E66" s="302" t="str">
        <f>[1]K_Summary!E56</f>
        <v>Обвързаност с условия по член 22б, параграф 1 (80-и процентил)</v>
      </c>
      <c r="F66" s="302"/>
      <c r="G66" s="302"/>
      <c r="H66" s="302"/>
      <c r="I66" s="383" t="b">
        <f>[1]K_Summary!I56</f>
        <v>0</v>
      </c>
      <c r="J66" s="364"/>
      <c r="K66" s="302"/>
      <c r="L66" s="363" t="str">
        <f>[1]K_Summary!L56</f>
        <v>Резултат: прилага се правилото за 20 % съгласно обвързаността с условия:</v>
      </c>
      <c r="M66" s="384" t="b">
        <f>[1]K_Summary!M56</f>
        <v>0</v>
      </c>
      <c r="N66" s="364"/>
    </row>
    <row r="67" spans="2:14" ht="12.75" customHeight="1" x14ac:dyDescent="0.25">
      <c r="B67" s="284"/>
      <c r="C67" s="302"/>
      <c r="D67" s="302"/>
      <c r="E67" s="302"/>
      <c r="F67" s="302"/>
      <c r="G67" s="302"/>
      <c r="H67" s="302"/>
      <c r="I67" s="302"/>
      <c r="J67" s="302"/>
      <c r="K67" s="302"/>
      <c r="L67" s="302"/>
      <c r="M67" s="302"/>
      <c r="N67" s="302"/>
    </row>
    <row r="68" spans="2:14" ht="12.75" customHeight="1" x14ac:dyDescent="0.25">
      <c r="B68" s="284"/>
      <c r="C68" s="284"/>
      <c r="D68" s="300" t="str">
        <f>[1]K_Summary!D58</f>
        <v>(b)</v>
      </c>
      <c r="E68" s="313" t="str">
        <f>[1]K_Summary!E58</f>
        <v>Обвързаност с условия 1: Неизпълнени препоръки във връзка с мерки за подобряване на енергийната ефективност</v>
      </c>
      <c r="F68" s="313"/>
      <c r="G68" s="313"/>
      <c r="H68" s="313"/>
      <c r="I68" s="313"/>
      <c r="J68" s="313"/>
      <c r="K68" s="313"/>
      <c r="L68" s="313"/>
      <c r="M68" s="313"/>
      <c r="N68" s="313"/>
    </row>
    <row r="69" spans="2:14" ht="12.75" customHeight="1" x14ac:dyDescent="0.25">
      <c r="B69" s="284"/>
      <c r="C69" s="302"/>
      <c r="D69" s="302"/>
      <c r="E69" s="302" t="str">
        <f>[1]K_Summary!E59</f>
        <v>Относими ли са препоръките във връзка с мерки за енергийна ефективност за тази инсталация?</v>
      </c>
      <c r="F69" s="302"/>
      <c r="G69" s="302"/>
      <c r="H69" s="302"/>
      <c r="I69" s="302"/>
      <c r="J69" s="302"/>
      <c r="K69" s="302"/>
      <c r="L69" s="302"/>
      <c r="M69" s="385" t="str">
        <f>[1]K_Summary!M59</f>
        <v/>
      </c>
      <c r="N69" s="302"/>
    </row>
    <row r="70" spans="2:14" ht="12.75" customHeight="1" x14ac:dyDescent="0.25">
      <c r="B70" s="284"/>
      <c r="C70" s="302"/>
      <c r="D70" s="302"/>
      <c r="E70" s="302" t="str">
        <f>[1]K_Summary!E60</f>
        <v>Има ли неизпълнени препоръки за периода 2019—2022 г., които все още не са приложени?</v>
      </c>
      <c r="F70" s="302"/>
      <c r="G70" s="302"/>
      <c r="H70" s="302"/>
      <c r="I70" s="302"/>
      <c r="J70" s="302"/>
      <c r="K70" s="302"/>
      <c r="L70" s="302"/>
      <c r="M70" s="385" t="str">
        <f>[1]K_Summary!M60</f>
        <v/>
      </c>
      <c r="N70" s="302"/>
    </row>
    <row r="71" spans="2:14" ht="12.75" customHeight="1" x14ac:dyDescent="0.25">
      <c r="B71" s="284"/>
      <c r="C71" s="302"/>
      <c r="D71" s="302"/>
      <c r="E71" s="302"/>
      <c r="F71" s="302"/>
      <c r="G71" s="302"/>
      <c r="H71" s="302"/>
      <c r="I71" s="302"/>
      <c r="J71" s="302"/>
      <c r="K71" s="302"/>
      <c r="L71" s="302"/>
      <c r="M71" s="302"/>
      <c r="N71" s="302"/>
    </row>
    <row r="72" spans="2:14" ht="12.75" customHeight="1" x14ac:dyDescent="0.25">
      <c r="B72" s="284"/>
      <c r="C72" s="302"/>
      <c r="D72" s="302"/>
      <c r="E72" s="336" t="str">
        <f>[1]K_Summary!E62</f>
        <v>Няма връзка с промишлен процес?</v>
      </c>
      <c r="F72" s="336"/>
      <c r="G72" s="336" t="str">
        <f>[1]K_Summary!G62</f>
        <v>Срок на възвръщаемост &gt; 3 години?</v>
      </c>
      <c r="H72" s="336"/>
      <c r="I72" s="336" t="str">
        <f>[1]K_Summary!I62</f>
        <v>Инвестиционни разходи &gt; 5 % от оборота или &gt; 25 % от печалбата?</v>
      </c>
      <c r="J72" s="336"/>
      <c r="K72" s="336" t="str">
        <f>[1]K_Summary!K62</f>
        <v>Инвестиционни разходи &gt; 50 % от еквивалента на разпределяне?</v>
      </c>
      <c r="L72" s="336"/>
      <c r="M72" s="336" t="str">
        <f>[1]K_Summary!M62</f>
        <v>Условията все още не са настъпили?</v>
      </c>
      <c r="N72" s="336"/>
    </row>
    <row r="73" spans="2:14" ht="12.75" customHeight="1" x14ac:dyDescent="0.25">
      <c r="B73" s="284"/>
      <c r="C73" s="302"/>
      <c r="D73" s="302"/>
      <c r="E73" s="365" t="str">
        <f>[1]K_Summary!E63</f>
        <v/>
      </c>
      <c r="F73" s="382"/>
      <c r="G73" s="365" t="str">
        <f>[1]K_Summary!G63</f>
        <v/>
      </c>
      <c r="H73" s="382"/>
      <c r="I73" s="365" t="str">
        <f>[1]K_Summary!I63</f>
        <v/>
      </c>
      <c r="J73" s="382"/>
      <c r="K73" s="365" t="str">
        <f>[1]K_Summary!K63</f>
        <v/>
      </c>
      <c r="L73" s="382"/>
      <c r="M73" s="365" t="str">
        <f>[1]K_Summary!M63</f>
        <v/>
      </c>
      <c r="N73" s="382"/>
    </row>
    <row r="74" spans="2:14" ht="12.75" customHeight="1" x14ac:dyDescent="0.25">
      <c r="B74" s="284"/>
      <c r="C74" s="302"/>
      <c r="D74" s="302"/>
      <c r="E74" s="302"/>
      <c r="F74" s="302"/>
      <c r="G74" s="302"/>
      <c r="H74" s="302"/>
      <c r="I74" s="302"/>
      <c r="J74" s="302"/>
      <c r="K74" s="302"/>
      <c r="L74" s="302"/>
      <c r="M74" s="302"/>
      <c r="N74" s="302"/>
    </row>
    <row r="75" spans="2:14" ht="12.75" customHeight="1" x14ac:dyDescent="0.25">
      <c r="B75" s="284"/>
      <c r="C75" s="302"/>
      <c r="D75" s="302"/>
      <c r="E75" s="302" t="str">
        <f>[1]K_Summary!E65</f>
        <v>Има ли оставащи препоръки след буква в)?</v>
      </c>
      <c r="F75" s="302"/>
      <c r="G75" s="302"/>
      <c r="H75" s="302"/>
      <c r="I75" s="302"/>
      <c r="J75" s="302"/>
      <c r="K75" s="302"/>
      <c r="L75" s="302"/>
      <c r="M75" s="385" t="str">
        <f>[1]K_Summary!M65</f>
        <v/>
      </c>
      <c r="N75" s="302"/>
    </row>
    <row r="76" spans="2:14" ht="12.75" customHeight="1" x14ac:dyDescent="0.25">
      <c r="B76" s="284"/>
      <c r="C76" s="302"/>
      <c r="D76" s="302"/>
      <c r="E76" s="302" t="str">
        <f>[1]K_Summary!E66</f>
        <v>Ако след буква г) има оставащи мерки, приложили ли сте еквивалентни мерки за ВСИЧКИ тях?</v>
      </c>
      <c r="F76" s="302"/>
      <c r="G76" s="302"/>
      <c r="H76" s="302"/>
      <c r="I76" s="302"/>
      <c r="J76" s="302"/>
      <c r="K76" s="302"/>
      <c r="L76" s="302"/>
      <c r="M76" s="385" t="str">
        <f>[1]K_Summary!M66</f>
        <v/>
      </c>
      <c r="N76" s="302"/>
    </row>
    <row r="77" spans="2:14" ht="12.75" customHeight="1" x14ac:dyDescent="0.25">
      <c r="B77" s="284"/>
      <c r="C77" s="302"/>
      <c r="D77" s="302"/>
      <c r="E77" s="302"/>
      <c r="F77" s="302"/>
      <c r="G77" s="302"/>
      <c r="H77" s="302"/>
      <c r="I77" s="302"/>
      <c r="J77" s="302"/>
      <c r="K77" s="302"/>
      <c r="L77" s="302"/>
      <c r="M77" s="302"/>
      <c r="N77" s="302"/>
    </row>
    <row r="78" spans="2:14" ht="12.75" customHeight="1" x14ac:dyDescent="0.25">
      <c r="B78" s="284"/>
      <c r="C78" s="284"/>
      <c r="D78" s="300" t="str">
        <f>[1]K_Summary!D68</f>
        <v>(c)</v>
      </c>
      <c r="E78" s="313" t="str">
        <f>[1]K_Summary!E68</f>
        <v>Обвързаност с условия 2: оператори с резултат, &gt; от 80-ия процентил</v>
      </c>
      <c r="F78" s="313"/>
      <c r="G78" s="313"/>
      <c r="H78" s="313"/>
      <c r="I78" s="313"/>
      <c r="J78" s="313"/>
      <c r="K78" s="313"/>
      <c r="L78" s="313"/>
      <c r="M78" s="313"/>
      <c r="N78" s="313"/>
    </row>
    <row r="79" spans="2:14" ht="12.75" customHeight="1" x14ac:dyDescent="0.25">
      <c r="B79" s="284"/>
      <c r="C79" s="302"/>
      <c r="D79" s="302"/>
      <c r="E79" s="302" t="str">
        <f>[1]K_Summary!E69</f>
        <v>Интензитетът на емисиите на парникови газове на някоя от подинсталациите с продуктов показател надвишава ли 80-ия процентил?</v>
      </c>
      <c r="F79" s="302"/>
      <c r="G79" s="302"/>
      <c r="H79" s="302"/>
      <c r="I79" s="302"/>
      <c r="J79" s="302"/>
      <c r="K79" s="302"/>
      <c r="L79" s="302"/>
      <c r="M79" s="385" t="str">
        <f>[1]K_Summary!M69</f>
        <v/>
      </c>
      <c r="N79" s="302"/>
    </row>
    <row r="80" spans="2:14" ht="12.75" customHeight="1" x14ac:dyDescent="0.25">
      <c r="B80" s="284"/>
      <c r="C80" s="302"/>
      <c r="D80" s="302"/>
      <c r="E80" s="302" t="str">
        <f>[1]K_Summary!E70</f>
        <v>Ако буква а) е относима, представяте ли план за неутралност по отношение на климата като част от настоящото заявление?</v>
      </c>
      <c r="F80" s="302"/>
      <c r="G80" s="302"/>
      <c r="H80" s="302"/>
      <c r="I80" s="302"/>
      <c r="J80" s="302"/>
      <c r="K80" s="302"/>
      <c r="L80" s="302"/>
      <c r="M80" s="385" t="str">
        <f>[1]K_Summary!M70</f>
        <v/>
      </c>
      <c r="N80" s="302"/>
    </row>
    <row r="81" spans="2:14" ht="12.75" customHeight="1" x14ac:dyDescent="0.25">
      <c r="B81" s="284"/>
      <c r="C81" s="302"/>
      <c r="D81" s="302"/>
      <c r="E81" s="302" t="str">
        <f>[1]K_Summary!E71</f>
        <v>КО потвърждава ли пълнотата на плана за неутралност по отношение на климата?</v>
      </c>
      <c r="F81" s="302"/>
      <c r="G81" s="302"/>
      <c r="H81" s="302"/>
      <c r="I81" s="302"/>
      <c r="J81" s="302"/>
      <c r="K81" s="302"/>
      <c r="L81" s="302"/>
      <c r="M81" s="385" t="str">
        <f>[1]K_Summary!M71</f>
        <v/>
      </c>
      <c r="N81" s="302"/>
    </row>
    <row r="82" spans="2:14" ht="12.75" customHeight="1" x14ac:dyDescent="0.25">
      <c r="B82" s="284"/>
      <c r="C82" s="302"/>
      <c r="D82" s="302"/>
      <c r="E82" s="302"/>
      <c r="F82" s="302"/>
      <c r="G82" s="302"/>
      <c r="H82" s="302"/>
      <c r="I82" s="302"/>
      <c r="J82" s="302"/>
      <c r="K82" s="302"/>
      <c r="L82" s="302"/>
      <c r="M82" s="302"/>
      <c r="N82" s="302"/>
    </row>
    <row r="83" spans="2:14" ht="12.75" customHeight="1" x14ac:dyDescent="0.25">
      <c r="B83" s="284"/>
      <c r="C83" s="302"/>
      <c r="D83" s="300" t="str">
        <f>[1]K_Summary!D73</f>
        <v>(d)</v>
      </c>
      <c r="E83" s="313" t="str">
        <f>[1]K_Summary!E73</f>
        <v>Обвързаност с условия по член 22б, параграф 2 (топлофикационна мрежа)</v>
      </c>
      <c r="F83" s="313"/>
      <c r="G83" s="313"/>
      <c r="H83" s="313"/>
      <c r="I83" s="313"/>
      <c r="J83" s="313"/>
      <c r="K83" s="313"/>
      <c r="L83" s="386"/>
      <c r="M83" s="385" t="str">
        <f>[1]K_Summary!M73</f>
        <v/>
      </c>
      <c r="N83" s="302"/>
    </row>
    <row r="84" spans="2:14" ht="12.75" customHeight="1" x14ac:dyDescent="0.25">
      <c r="B84" s="284"/>
      <c r="C84" s="302"/>
      <c r="D84" s="302"/>
      <c r="E84" s="302"/>
      <c r="F84" s="302"/>
      <c r="G84" s="302"/>
      <c r="H84" s="302"/>
      <c r="I84" s="302"/>
      <c r="J84" s="302"/>
      <c r="K84" s="302"/>
      <c r="L84" s="302"/>
      <c r="M84" s="302"/>
      <c r="N84" s="302"/>
    </row>
    <row r="85" spans="2:14" ht="12.75" customHeight="1" x14ac:dyDescent="0.3">
      <c r="B85" s="284"/>
      <c r="C85" s="357">
        <f>[1]K_Summary!C75</f>
        <v>3</v>
      </c>
      <c r="D85" s="358" t="str">
        <f>[1]K_Summary!D75</f>
        <v>Базови години (раздел A.II.5)</v>
      </c>
      <c r="E85" s="302"/>
      <c r="F85" s="302"/>
      <c r="G85" s="302"/>
      <c r="H85" s="302"/>
      <c r="I85" s="302"/>
      <c r="J85" s="302"/>
      <c r="K85" s="302"/>
      <c r="L85" s="302"/>
      <c r="M85" s="302"/>
      <c r="N85" s="302"/>
    </row>
    <row r="86" spans="2:14" ht="12.75" customHeight="1" x14ac:dyDescent="0.25">
      <c r="B86" s="284"/>
      <c r="C86" s="302"/>
      <c r="D86" s="302"/>
      <c r="E86" s="313"/>
      <c r="F86" s="302"/>
      <c r="G86" s="302"/>
      <c r="H86" s="302"/>
      <c r="I86" s="387">
        <f>[1]K_Summary!I76</f>
        <v>2019</v>
      </c>
      <c r="J86" s="387">
        <f>[1]K_Summary!J76</f>
        <v>2020</v>
      </c>
      <c r="K86" s="387">
        <f>[1]K_Summary!K76</f>
        <v>2021</v>
      </c>
      <c r="L86" s="387">
        <f>[1]K_Summary!L76</f>
        <v>2022</v>
      </c>
      <c r="M86" s="387">
        <f>[1]K_Summary!M76</f>
        <v>2023</v>
      </c>
      <c r="N86" s="302"/>
    </row>
    <row r="87" spans="2:14" ht="12.75" customHeight="1" x14ac:dyDescent="0.25">
      <c r="B87" s="284"/>
      <c r="C87" s="302"/>
      <c r="D87" s="302"/>
      <c r="E87" s="388" t="str">
        <f>[1]K_Summary!E77</f>
        <v>Година, която се взема предвид:</v>
      </c>
      <c r="F87" s="388"/>
      <c r="G87" s="388"/>
      <c r="H87" s="388"/>
      <c r="I87" s="383" t="b">
        <f>[1]K_Summary!I77</f>
        <v>0</v>
      </c>
      <c r="J87" s="383" t="b">
        <f>[1]K_Summary!J77</f>
        <v>0</v>
      </c>
      <c r="K87" s="383" t="b">
        <f>[1]K_Summary!K77</f>
        <v>0</v>
      </c>
      <c r="L87" s="383" t="b">
        <f>[1]K_Summary!L77</f>
        <v>0</v>
      </c>
      <c r="M87" s="383" t="b">
        <f>[1]K_Summary!M77</f>
        <v>0</v>
      </c>
      <c r="N87" s="302"/>
    </row>
    <row r="88" spans="2:14" ht="12.75" customHeight="1" x14ac:dyDescent="0.25">
      <c r="B88" s="284"/>
      <c r="C88" s="302"/>
      <c r="D88" s="302"/>
      <c r="E88" s="302"/>
      <c r="F88" s="302"/>
      <c r="G88" s="302"/>
      <c r="H88" s="302"/>
      <c r="I88" s="302"/>
      <c r="J88" s="302"/>
      <c r="K88" s="302"/>
      <c r="L88" s="302"/>
      <c r="M88" s="302"/>
      <c r="N88" s="302"/>
    </row>
    <row r="89" spans="2:14" ht="12.75" customHeight="1" x14ac:dyDescent="0.35">
      <c r="B89" s="284"/>
      <c r="C89" s="327" t="str">
        <f>[1]K_Summary!C79</f>
        <v>III</v>
      </c>
      <c r="D89" s="356" t="str">
        <f>[1]K_Summary!D79</f>
        <v>Емисии и енергийни потоци</v>
      </c>
      <c r="E89" s="356"/>
      <c r="F89" s="356"/>
      <c r="G89" s="356"/>
      <c r="H89" s="356"/>
      <c r="I89" s="356"/>
      <c r="J89" s="356"/>
      <c r="K89" s="356"/>
      <c r="L89" s="356"/>
      <c r="M89" s="356"/>
      <c r="N89" s="356"/>
    </row>
    <row r="90" spans="2:14" ht="12.75" customHeight="1" x14ac:dyDescent="0.25">
      <c r="B90" s="284"/>
      <c r="C90" s="302"/>
      <c r="D90" s="302"/>
      <c r="E90" s="302"/>
      <c r="F90" s="302"/>
      <c r="G90" s="302"/>
      <c r="H90" s="302"/>
      <c r="I90" s="302"/>
      <c r="J90" s="302"/>
      <c r="K90" s="302"/>
      <c r="L90" s="302"/>
      <c r="M90" s="302"/>
      <c r="N90" s="302"/>
    </row>
    <row r="91" spans="2:14" ht="12.75" customHeight="1" x14ac:dyDescent="0.3">
      <c r="B91" s="284"/>
      <c r="C91" s="357">
        <f>[1]K_Summary!C81</f>
        <v>1</v>
      </c>
      <c r="D91" s="358" t="str">
        <f>[1]K_Summary!D81</f>
        <v>Данни в резултат от въвеждането в „Source streams“ („Потоци горива и материали пораждащи емисии“) (работни листове B и C) или от Обобщението за емисиите (раздел D.I)</v>
      </c>
      <c r="E91" s="359"/>
      <c r="F91" s="359"/>
      <c r="G91" s="359"/>
      <c r="H91" s="359"/>
      <c r="I91" s="359"/>
      <c r="J91" s="359"/>
      <c r="K91" s="359"/>
      <c r="L91" s="359"/>
      <c r="M91" s="359"/>
      <c r="N91" s="359"/>
    </row>
    <row r="92" spans="2:14" ht="12.75" customHeight="1" x14ac:dyDescent="0.25">
      <c r="B92" s="284"/>
      <c r="C92" s="302"/>
      <c r="D92" s="302"/>
      <c r="E92" s="302"/>
      <c r="F92" s="302"/>
      <c r="G92" s="302"/>
      <c r="H92" s="302"/>
      <c r="I92" s="302"/>
      <c r="J92" s="302"/>
      <c r="K92" s="302"/>
      <c r="L92" s="302"/>
      <c r="M92" s="302"/>
      <c r="N92" s="302"/>
    </row>
    <row r="93" spans="2:14" ht="12.75" customHeight="1" x14ac:dyDescent="0.25">
      <c r="B93" s="284"/>
      <c r="C93" s="302"/>
      <c r="D93" s="302"/>
      <c r="E93" s="389" t="str">
        <f>[1]K_Summary!E83</f>
        <v>Данни за цялата инсталация:</v>
      </c>
      <c r="F93" s="389"/>
      <c r="G93" s="389"/>
      <c r="H93" s="390" t="str">
        <f>[1]K_Summary!H83</f>
        <v>Единица мярка</v>
      </c>
      <c r="I93" s="391">
        <f>[1]K_Summary!I83</f>
        <v>2019</v>
      </c>
      <c r="J93" s="391">
        <f>[1]K_Summary!J83</f>
        <v>2020</v>
      </c>
      <c r="K93" s="391">
        <f>[1]K_Summary!K83</f>
        <v>2021</v>
      </c>
      <c r="L93" s="391">
        <f>[1]K_Summary!L83</f>
        <v>2022</v>
      </c>
      <c r="M93" s="391">
        <f>[1]K_Summary!M83</f>
        <v>2023</v>
      </c>
      <c r="N93" s="302"/>
    </row>
    <row r="94" spans="2:14" ht="12.75" customHeight="1" x14ac:dyDescent="0.25">
      <c r="B94" s="284"/>
      <c r="C94" s="302"/>
      <c r="D94" s="302"/>
      <c r="E94" s="392" t="str">
        <f>[1]K_Summary!E84</f>
        <v>Общо емисии на CO2</v>
      </c>
      <c r="F94" s="392"/>
      <c r="G94" s="392"/>
      <c r="H94" s="393" t="str">
        <f>[1]K_Summary!H84</f>
        <v>t CO2 / година</v>
      </c>
      <c r="I94" s="394" t="str">
        <f>[1]K_Summary!I84</f>
        <v/>
      </c>
      <c r="J94" s="394" t="str">
        <f>[1]K_Summary!J84</f>
        <v/>
      </c>
      <c r="K94" s="394" t="str">
        <f>[1]K_Summary!K84</f>
        <v/>
      </c>
      <c r="L94" s="394" t="str">
        <f>[1]K_Summary!L84</f>
        <v/>
      </c>
      <c r="M94" s="394" t="str">
        <f>[1]K_Summary!M84</f>
        <v/>
      </c>
      <c r="N94" s="302"/>
    </row>
    <row r="95" spans="2:14" ht="12.75" customHeight="1" x14ac:dyDescent="0.25">
      <c r="B95" s="284"/>
      <c r="C95" s="302"/>
      <c r="D95" s="302"/>
      <c r="E95" s="395" t="str">
        <f>[1]K_Summary!E85</f>
        <v>Емисии от биомаса с нулев емисионен фактор</v>
      </c>
      <c r="F95" s="395"/>
      <c r="G95" s="395"/>
      <c r="H95" s="396" t="str">
        <f>[1]K_Summary!H85</f>
        <v>t CO2 / година</v>
      </c>
      <c r="I95" s="397" t="str">
        <f>[1]K_Summary!I85</f>
        <v/>
      </c>
      <c r="J95" s="397" t="str">
        <f>[1]K_Summary!J85</f>
        <v/>
      </c>
      <c r="K95" s="397" t="str">
        <f>[1]K_Summary!K85</f>
        <v/>
      </c>
      <c r="L95" s="397" t="str">
        <f>[1]K_Summary!L85</f>
        <v/>
      </c>
      <c r="M95" s="397" t="str">
        <f>[1]K_Summary!M85</f>
        <v/>
      </c>
      <c r="N95" s="302"/>
    </row>
    <row r="96" spans="2:14" ht="12.75" customHeight="1" x14ac:dyDescent="0.25">
      <c r="B96" s="284"/>
      <c r="C96" s="302"/>
      <c r="D96" s="302"/>
      <c r="E96" s="398" t="str">
        <f>[1]K_Summary!E86</f>
        <v>Общо емисии на N2O</v>
      </c>
      <c r="F96" s="398"/>
      <c r="G96" s="398"/>
      <c r="H96" s="399" t="str">
        <f>[1]K_Summary!H86</f>
        <v>t CO2e/година</v>
      </c>
      <c r="I96" s="400" t="str">
        <f>[1]K_Summary!I86</f>
        <v/>
      </c>
      <c r="J96" s="400" t="str">
        <f>[1]K_Summary!J86</f>
        <v/>
      </c>
      <c r="K96" s="400" t="str">
        <f>[1]K_Summary!K86</f>
        <v/>
      </c>
      <c r="L96" s="400" t="str">
        <f>[1]K_Summary!L86</f>
        <v/>
      </c>
      <c r="M96" s="400" t="str">
        <f>[1]K_Summary!M86</f>
        <v/>
      </c>
      <c r="N96" s="302"/>
    </row>
    <row r="97" spans="2:14" ht="12.75" customHeight="1" x14ac:dyDescent="0.25">
      <c r="B97" s="284"/>
      <c r="C97" s="302"/>
      <c r="D97" s="302"/>
      <c r="E97" s="401" t="str">
        <f>[1]K_Summary!E87</f>
        <v>Емисии на PFC</v>
      </c>
      <c r="F97" s="401"/>
      <c r="G97" s="401"/>
      <c r="H97" s="402" t="str">
        <f>[1]K_Summary!H87</f>
        <v>t CO2e/година</v>
      </c>
      <c r="I97" s="403" t="str">
        <f>[1]K_Summary!I87</f>
        <v/>
      </c>
      <c r="J97" s="403" t="str">
        <f>[1]K_Summary!J87</f>
        <v/>
      </c>
      <c r="K97" s="403" t="str">
        <f>[1]K_Summary!K87</f>
        <v/>
      </c>
      <c r="L97" s="403" t="str">
        <f>[1]K_Summary!L87</f>
        <v/>
      </c>
      <c r="M97" s="403" t="str">
        <f>[1]K_Summary!M87</f>
        <v/>
      </c>
      <c r="N97" s="302"/>
    </row>
    <row r="98" spans="2:14" ht="12.75" customHeight="1" x14ac:dyDescent="0.25">
      <c r="B98" s="284"/>
      <c r="C98" s="302"/>
      <c r="D98" s="302"/>
      <c r="E98" s="388" t="str">
        <f>[1]K_Summary!E88</f>
        <v>Общо преки емисии</v>
      </c>
      <c r="F98" s="388"/>
      <c r="G98" s="388"/>
      <c r="H98" s="404" t="str">
        <f>[1]K_Summary!H88</f>
        <v>t CO2e/година</v>
      </c>
      <c r="I98" s="405" t="str">
        <f>[1]K_Summary!I88</f>
        <v/>
      </c>
      <c r="J98" s="406" t="str">
        <f>[1]K_Summary!J88</f>
        <v/>
      </c>
      <c r="K98" s="406" t="str">
        <f>[1]K_Summary!K88</f>
        <v/>
      </c>
      <c r="L98" s="406" t="str">
        <f>[1]K_Summary!L88</f>
        <v/>
      </c>
      <c r="M98" s="406" t="str">
        <f>[1]K_Summary!M88</f>
        <v/>
      </c>
      <c r="N98" s="302"/>
    </row>
    <row r="99" spans="2:14" ht="12.75" customHeight="1" thickBot="1" x14ac:dyDescent="0.3">
      <c r="B99" s="284"/>
      <c r="C99" s="302"/>
      <c r="D99" s="302"/>
      <c r="E99" s="407" t="str">
        <f>[1]K_Summary!E89</f>
        <v>Прехвърлен CO2, изходящ поток</v>
      </c>
      <c r="F99" s="407"/>
      <c r="G99" s="407"/>
      <c r="H99" s="408" t="str">
        <f>[1]K_Summary!H89</f>
        <v>t CO2 / година</v>
      </c>
      <c r="I99" s="409" t="str">
        <f>[1]K_Summary!I89</f>
        <v/>
      </c>
      <c r="J99" s="410" t="str">
        <f>[1]K_Summary!J89</f>
        <v/>
      </c>
      <c r="K99" s="410" t="str">
        <f>[1]K_Summary!K89</f>
        <v/>
      </c>
      <c r="L99" s="410" t="str">
        <f>[1]K_Summary!L89</f>
        <v/>
      </c>
      <c r="M99" s="410" t="str">
        <f>[1]K_Summary!M89</f>
        <v/>
      </c>
      <c r="N99" s="302"/>
    </row>
    <row r="100" spans="2:14" ht="12.75" customHeight="1" thickBot="1" x14ac:dyDescent="0.3">
      <c r="B100" s="284"/>
      <c r="C100" s="302"/>
      <c r="D100" s="302"/>
      <c r="E100" s="411" t="str">
        <f>[1]K_Summary!E90</f>
        <v>Общи преки емисии на инсталацията</v>
      </c>
      <c r="F100" s="412"/>
      <c r="G100" s="412"/>
      <c r="H100" s="413" t="str">
        <f>[1]K_Summary!H90</f>
        <v>t CO2e/година</v>
      </c>
      <c r="I100" s="414" t="str">
        <f>[1]K_Summary!I90</f>
        <v/>
      </c>
      <c r="J100" s="414" t="str">
        <f>[1]K_Summary!J90</f>
        <v/>
      </c>
      <c r="K100" s="414" t="str">
        <f>[1]K_Summary!K90</f>
        <v/>
      </c>
      <c r="L100" s="414" t="str">
        <f>[1]K_Summary!L90</f>
        <v/>
      </c>
      <c r="M100" s="415" t="str">
        <f>[1]K_Summary!M90</f>
        <v/>
      </c>
      <c r="N100" s="302"/>
    </row>
    <row r="101" spans="2:14" ht="12.75" customHeight="1" thickBot="1" x14ac:dyDescent="0.3">
      <c r="B101" s="284"/>
      <c r="C101" s="302"/>
      <c r="D101" s="302"/>
      <c r="E101" s="411" t="str">
        <f>[1]K_Summary!E91</f>
        <v>Вложена енергия от горива (от D.I)</v>
      </c>
      <c r="F101" s="412"/>
      <c r="G101" s="412"/>
      <c r="H101" s="413" t="str">
        <f>[1]K_Summary!H91</f>
        <v>TJ / година</v>
      </c>
      <c r="I101" s="416" t="str">
        <f>[1]K_Summary!I91</f>
        <v/>
      </c>
      <c r="J101" s="416" t="str">
        <f>[1]K_Summary!J91</f>
        <v/>
      </c>
      <c r="K101" s="416" t="str">
        <f>[1]K_Summary!K91</f>
        <v/>
      </c>
      <c r="L101" s="416" t="str">
        <f>[1]K_Summary!L91</f>
        <v/>
      </c>
      <c r="M101" s="417" t="str">
        <f>[1]K_Summary!M91</f>
        <v/>
      </c>
      <c r="N101" s="302"/>
    </row>
    <row r="102" spans="2:14" ht="12.75" customHeight="1" x14ac:dyDescent="0.25">
      <c r="B102" s="284"/>
      <c r="C102" s="302"/>
      <c r="D102" s="302"/>
      <c r="E102" s="418" t="str">
        <f>[1]K_Summary!E92</f>
        <v>Вложена електроенергия за производството на топлинна енергия</v>
      </c>
      <c r="F102" s="418"/>
      <c r="G102" s="418"/>
      <c r="H102" s="419" t="str">
        <f>[1]K_Summary!H92</f>
        <v>TJ / година</v>
      </c>
      <c r="I102" s="420" t="str">
        <f>[1]K_Summary!I92</f>
        <v/>
      </c>
      <c r="J102" s="420" t="str">
        <f>[1]K_Summary!J92</f>
        <v/>
      </c>
      <c r="K102" s="420" t="str">
        <f>[1]K_Summary!K92</f>
        <v/>
      </c>
      <c r="L102" s="420" t="str">
        <f>[1]K_Summary!L92</f>
        <v/>
      </c>
      <c r="M102" s="420" t="str">
        <f>[1]K_Summary!M92</f>
        <v/>
      </c>
      <c r="N102" s="302"/>
    </row>
    <row r="103" spans="2:14" ht="12.75" customHeight="1" x14ac:dyDescent="0.25">
      <c r="B103" s="284"/>
      <c r="C103" s="302"/>
      <c r="D103" s="302"/>
      <c r="E103" s="388" t="str">
        <f>[1]K_Summary!E93</f>
        <v>Друга вложена енергия (например екзотермична топлина)</v>
      </c>
      <c r="F103" s="388"/>
      <c r="G103" s="388"/>
      <c r="H103" s="421" t="str">
        <f>[1]K_Summary!H93</f>
        <v>TJ / година</v>
      </c>
      <c r="I103" s="422" t="str">
        <f>[1]K_Summary!I93</f>
        <v/>
      </c>
      <c r="J103" s="422" t="str">
        <f>[1]K_Summary!J93</f>
        <v/>
      </c>
      <c r="K103" s="422" t="str">
        <f>[1]K_Summary!K93</f>
        <v/>
      </c>
      <c r="L103" s="422" t="str">
        <f>[1]K_Summary!L93</f>
        <v/>
      </c>
      <c r="M103" s="422" t="str">
        <f>[1]K_Summary!M93</f>
        <v/>
      </c>
      <c r="N103" s="302"/>
    </row>
    <row r="104" spans="2:14" ht="12.75" customHeight="1" x14ac:dyDescent="0.25">
      <c r="B104" s="284"/>
      <c r="C104" s="302"/>
      <c r="D104" s="302"/>
      <c r="E104" s="388" t="str">
        <f>[1]K_Summary!E94</f>
        <v>Обща вложена енергия (сбор от посочените по-горе)</v>
      </c>
      <c r="F104" s="388"/>
      <c r="G104" s="388"/>
      <c r="H104" s="421" t="str">
        <f>[1]K_Summary!H94</f>
        <v>TJ / година</v>
      </c>
      <c r="I104" s="423" t="str">
        <f>[1]K_Summary!I94</f>
        <v/>
      </c>
      <c r="J104" s="423" t="str">
        <f>[1]K_Summary!J94</f>
        <v/>
      </c>
      <c r="K104" s="423" t="str">
        <f>[1]K_Summary!K94</f>
        <v/>
      </c>
      <c r="L104" s="423" t="str">
        <f>[1]K_Summary!L94</f>
        <v/>
      </c>
      <c r="M104" s="423" t="str">
        <f>[1]K_Summary!M94</f>
        <v/>
      </c>
      <c r="N104" s="302"/>
    </row>
    <row r="105" spans="2:14" ht="12.75" customHeight="1" x14ac:dyDescent="0.25">
      <c r="B105" s="284"/>
      <c r="C105" s="302"/>
      <c r="D105" s="302"/>
      <c r="E105" s="302"/>
      <c r="F105" s="302"/>
      <c r="G105" s="302"/>
      <c r="H105" s="302"/>
      <c r="I105" s="302"/>
      <c r="J105" s="302"/>
      <c r="K105" s="302"/>
      <c r="L105" s="302"/>
      <c r="M105" s="302"/>
      <c r="N105" s="302"/>
    </row>
    <row r="106" spans="2:14" ht="12.75" customHeight="1" x14ac:dyDescent="0.25">
      <c r="B106" s="284"/>
      <c r="C106" s="302"/>
      <c r="D106" s="302"/>
      <c r="E106" s="388" t="str">
        <f>[1]K_Summary!E96</f>
        <v>Дял на биомасата с нулев емисионен фактор</v>
      </c>
      <c r="F106" s="388"/>
      <c r="G106" s="388"/>
      <c r="H106" s="424" t="str">
        <f>[1]K_Summary!H96</f>
        <v>-</v>
      </c>
      <c r="I106" s="267" t="str">
        <f>[1]K_Summary!I96</f>
        <v/>
      </c>
      <c r="J106" s="267" t="str">
        <f>[1]K_Summary!J96</f>
        <v/>
      </c>
      <c r="K106" s="267" t="str">
        <f>[1]K_Summary!K96</f>
        <v/>
      </c>
      <c r="L106" s="267" t="str">
        <f>[1]K_Summary!L96</f>
        <v/>
      </c>
      <c r="M106" s="267" t="str">
        <f>[1]K_Summary!M96</f>
        <v/>
      </c>
      <c r="N106" s="302"/>
    </row>
    <row r="107" spans="2:14" ht="12.75" customHeight="1" x14ac:dyDescent="0.25">
      <c r="B107" s="284"/>
      <c r="C107" s="302"/>
      <c r="D107" s="302"/>
      <c r="E107" s="302"/>
      <c r="F107" s="302"/>
      <c r="G107" s="302"/>
      <c r="H107" s="302"/>
      <c r="I107" s="302"/>
      <c r="J107" s="302"/>
      <c r="K107" s="302"/>
      <c r="L107" s="302"/>
      <c r="M107" s="302"/>
      <c r="N107" s="302"/>
    </row>
    <row r="108" spans="2:14" ht="12.75" customHeight="1" x14ac:dyDescent="0.3">
      <c r="B108" s="284"/>
      <c r="C108" s="357">
        <f>[1]K_Summary!C98</f>
        <v>2</v>
      </c>
      <c r="D108" s="358" t="str">
        <f>[1]K_Summary!D98</f>
        <v>Разпределяне на емисиите по подинсталации (раздел D.II)</v>
      </c>
      <c r="E108" s="359"/>
      <c r="F108" s="359"/>
      <c r="G108" s="359"/>
      <c r="H108" s="359"/>
      <c r="I108" s="359"/>
      <c r="J108" s="359"/>
      <c r="K108" s="359"/>
      <c r="L108" s="359"/>
      <c r="M108" s="359"/>
      <c r="N108" s="359"/>
    </row>
    <row r="109" spans="2:14" ht="12.75" customHeight="1" x14ac:dyDescent="0.25">
      <c r="B109" s="284"/>
      <c r="C109" s="284"/>
      <c r="D109" s="284"/>
      <c r="E109" s="284"/>
      <c r="F109" s="284"/>
      <c r="G109" s="284"/>
      <c r="H109" s="284"/>
      <c r="I109" s="284"/>
      <c r="J109" s="284"/>
      <c r="K109" s="284"/>
      <c r="L109" s="284"/>
      <c r="M109" s="336"/>
      <c r="N109" s="336"/>
    </row>
    <row r="110" spans="2:14" ht="12.75" customHeight="1" x14ac:dyDescent="0.25">
      <c r="B110" s="284"/>
      <c r="C110" s="284"/>
      <c r="D110" s="302"/>
      <c r="E110" s="425" t="str">
        <f>[1]K_Summary!E100</f>
        <v>Данните се вземат автоматично от съответните светлосини полета под всяка подинсталация в раздели F и G.</v>
      </c>
      <c r="F110" s="359"/>
      <c r="G110" s="359"/>
      <c r="H110" s="359"/>
      <c r="I110" s="359"/>
      <c r="J110" s="359"/>
      <c r="K110" s="359"/>
      <c r="L110" s="359"/>
      <c r="M110" s="359"/>
      <c r="N110" s="359"/>
    </row>
    <row r="111" spans="2:14" ht="12.75" customHeight="1" x14ac:dyDescent="0.25">
      <c r="B111" s="284"/>
      <c r="C111" s="284"/>
      <c r="D111" s="302"/>
      <c r="E111" s="425" t="str">
        <f>[1]K_Summary!E101</f>
        <v>Емисиите, които могат да се зададат, се определят, както следва:</v>
      </c>
      <c r="F111" s="359"/>
      <c r="G111" s="359"/>
      <c r="H111" s="359"/>
      <c r="I111" s="359"/>
      <c r="J111" s="359"/>
      <c r="K111" s="359"/>
      <c r="L111" s="359"/>
      <c r="M111" s="359"/>
      <c r="N111" s="359"/>
    </row>
    <row r="112" spans="2:14" ht="12.75" customHeight="1" x14ac:dyDescent="0.25">
      <c r="B112" s="284"/>
      <c r="C112" s="284"/>
      <c r="D112" s="302"/>
      <c r="E112" s="426" t="str">
        <f>[1]K_Summary!E102</f>
        <v>=</v>
      </c>
      <c r="F112" s="425" t="str">
        <f>[1]K_Summary!F102</f>
        <v>За преките емисии се извършва мониторинг в съответствие с плана за мониторинг, одобрен съгласно Регламента относно мониторинга и докладването (РМД), т.е. като се отчитат емисиите, получени по методики, основани на изчисления (като се използват потоците горива и материали пораждащи емисии), по базиращи се на измервания методики (БИМ), както и по подходи без подреждане („fall-backs“).</v>
      </c>
      <c r="G112" s="425"/>
      <c r="H112" s="425"/>
      <c r="I112" s="425"/>
      <c r="J112" s="425"/>
      <c r="K112" s="425"/>
      <c r="L112" s="425"/>
      <c r="M112" s="425"/>
      <c r="N112" s="425"/>
    </row>
    <row r="113" spans="2:14" ht="12.75" customHeight="1" x14ac:dyDescent="0.25">
      <c r="B113" s="284"/>
      <c r="C113" s="284"/>
      <c r="D113" s="302"/>
      <c r="E113" s="427" t="str">
        <f>[1]K_Summary!E103</f>
        <v>+/-</v>
      </c>
      <c r="F113" s="425" t="str">
        <f>[1]K_Summary!F103</f>
        <v>Емисии, свързани с други вътрешни потоци горива и материали пораждащи емисии</v>
      </c>
      <c r="G113" s="425"/>
      <c r="H113" s="425"/>
      <c r="I113" s="425"/>
      <c r="J113" s="425"/>
      <c r="K113" s="425"/>
      <c r="L113" s="425"/>
      <c r="M113" s="425"/>
      <c r="N113" s="425"/>
    </row>
    <row r="114" spans="2:14" ht="12.75" customHeight="1" x14ac:dyDescent="0.25">
      <c r="B114" s="284"/>
      <c r="C114" s="284"/>
      <c r="D114" s="302"/>
      <c r="E114" s="427" t="str">
        <f>[1]K_Summary!E104</f>
        <v>+/-</v>
      </c>
      <c r="F114" s="425" t="str">
        <f>[1]K_Summary!F104</f>
        <v>Количество на парникови газове, получени и подадени като суровини.</v>
      </c>
      <c r="G114" s="425"/>
      <c r="H114" s="425"/>
      <c r="I114" s="425"/>
      <c r="J114" s="425"/>
      <c r="K114" s="425"/>
      <c r="L114" s="425"/>
      <c r="M114" s="425"/>
      <c r="N114" s="425"/>
    </row>
    <row r="115" spans="2:14" ht="12.75" customHeight="1" x14ac:dyDescent="0.25">
      <c r="B115" s="284"/>
      <c r="C115" s="284"/>
      <c r="D115" s="302"/>
      <c r="E115" s="427" t="str">
        <f>[1]K_Summary!E105</f>
        <v>+</v>
      </c>
      <c r="F115" s="425" t="str">
        <f>[1]K_Summary!F105</f>
        <v>Емисии, свързани с получена топлинна енергия съгласно раздел 10.1.2 и 10.1.3 от приложение VII към ПБР.</v>
      </c>
      <c r="G115" s="425"/>
      <c r="H115" s="425"/>
      <c r="I115" s="425"/>
      <c r="J115" s="425"/>
      <c r="K115" s="425"/>
      <c r="L115" s="425"/>
      <c r="M115" s="425"/>
      <c r="N115" s="425"/>
    </row>
    <row r="116" spans="2:14" ht="12.75" customHeight="1" x14ac:dyDescent="0.25">
      <c r="B116" s="284"/>
      <c r="C116" s="284"/>
      <c r="D116" s="302"/>
      <c r="E116" s="427" t="str">
        <f>[1]K_Summary!E106</f>
        <v>-</v>
      </c>
      <c r="F116" s="425" t="str">
        <f>[1]K_Summary!F106</f>
        <v>Емисии, свързани с подадена топлинна енергия съгласно раздел 10.1.2 и 10.1.3 от приложение VII към ПБР.</v>
      </c>
      <c r="G116" s="425"/>
      <c r="H116" s="425"/>
      <c r="I116" s="425"/>
      <c r="J116" s="425"/>
      <c r="K116" s="425"/>
      <c r="L116" s="425"/>
      <c r="M116" s="425"/>
      <c r="N116" s="425"/>
    </row>
    <row r="117" spans="2:14" ht="12.75" customHeight="1" x14ac:dyDescent="0.25">
      <c r="B117" s="284"/>
      <c r="C117" s="284"/>
      <c r="D117" s="302"/>
      <c r="E117" s="427" t="str">
        <f>[1]K_Summary!E107</f>
        <v>+</v>
      </c>
      <c r="F117" s="425" t="str">
        <f>[1]K_Summary!F107</f>
        <v>Емисии, свързани с получени отпадъчни газове съгласно раздел 10.1.5 от приложение VII към ПБР.</v>
      </c>
      <c r="G117" s="425"/>
      <c r="H117" s="425"/>
      <c r="I117" s="425"/>
      <c r="J117" s="425"/>
      <c r="K117" s="425"/>
      <c r="L117" s="425"/>
      <c r="M117" s="425"/>
      <c r="N117" s="425"/>
    </row>
    <row r="118" spans="2:14" ht="12.75" customHeight="1" x14ac:dyDescent="0.25">
      <c r="B118" s="284"/>
      <c r="C118" s="284"/>
      <c r="D118" s="302"/>
      <c r="E118" s="427" t="str">
        <f>[1]K_Summary!E108</f>
        <v>-</v>
      </c>
      <c r="F118" s="425" t="str">
        <f>[1]K_Summary!F108</f>
        <v>Емисии, свързани с подадени отпадъчни газове съгласно раздел 10.1.5 от приложение VII към ПБР, които са изчислени, като е приспаднато енергийното съдържание, умножено по емисионния фактор за природен газ и възприетата стойност на корекционния коефициент от 0,667.</v>
      </c>
      <c r="G118" s="425"/>
      <c r="H118" s="425"/>
      <c r="I118" s="425"/>
      <c r="J118" s="425"/>
      <c r="K118" s="425"/>
      <c r="L118" s="425"/>
      <c r="M118" s="425"/>
      <c r="N118" s="425"/>
    </row>
    <row r="119" spans="2:14" ht="12.75" customHeight="1" x14ac:dyDescent="0.25">
      <c r="B119" s="284"/>
      <c r="C119" s="284"/>
      <c r="D119" s="302"/>
      <c r="E119" s="427" t="str">
        <f>[1]K_Summary!E109</f>
        <v>-</v>
      </c>
      <c r="F119" s="425" t="str">
        <f>[1]K_Summary!F109</f>
        <v>Емисии, свързани с производството на електроенергия, различно от производството чрез измерима топлинна енергия.</v>
      </c>
      <c r="G119" s="425"/>
      <c r="H119" s="425"/>
      <c r="I119" s="425"/>
      <c r="J119" s="425"/>
      <c r="K119" s="425"/>
      <c r="L119" s="425"/>
      <c r="M119" s="425"/>
      <c r="N119" s="425"/>
    </row>
    <row r="120" spans="2:14" ht="12.75" customHeight="1" x14ac:dyDescent="0.25">
      <c r="B120" s="284"/>
      <c r="C120" s="284"/>
      <c r="D120" s="302"/>
      <c r="E120" s="425" t="str">
        <f>[1]K_Summary!E110</f>
        <v>Стойността „общи преки емисии“ и стойността „други емисии“ се показват с цел извършване на проверка. В последната се включват емисиите, свързани с производството на електроенергия, изгаряне във факел, различно от необходимото за безопасността изгаряне във факел, и други емисии, които не водят до безплатно разпределяне на квоти. В някои случаи сборът от зададените емисии може да не се прибави към общите емисии на инсталацията, например когато се отнася до получаване или подаване на топлинна енергия или отпадни газове.</v>
      </c>
      <c r="F120" s="359"/>
      <c r="G120" s="359"/>
      <c r="H120" s="359"/>
      <c r="I120" s="359"/>
      <c r="J120" s="359"/>
      <c r="K120" s="359"/>
      <c r="L120" s="359"/>
      <c r="M120" s="359"/>
      <c r="N120" s="359"/>
    </row>
    <row r="121" spans="2:14" ht="12.75" customHeight="1" thickBot="1" x14ac:dyDescent="0.3">
      <c r="B121" s="284"/>
      <c r="C121" s="284"/>
      <c r="D121" s="302"/>
      <c r="E121" s="360"/>
      <c r="F121" s="360"/>
      <c r="G121" s="360"/>
      <c r="H121" s="390" t="str">
        <f>[1]K_Summary!H111</f>
        <v>Единица мярка</v>
      </c>
      <c r="I121" s="391">
        <f>[1]K_Summary!I111</f>
        <v>2019</v>
      </c>
      <c r="J121" s="391">
        <f>[1]K_Summary!J111</f>
        <v>2020</v>
      </c>
      <c r="K121" s="391">
        <f>[1]K_Summary!K111</f>
        <v>2021</v>
      </c>
      <c r="L121" s="391">
        <f>[1]K_Summary!L111</f>
        <v>2022</v>
      </c>
      <c r="M121" s="391">
        <f>[1]K_Summary!M111</f>
        <v>2023</v>
      </c>
      <c r="N121" s="360"/>
    </row>
    <row r="122" spans="2:14" ht="12.75" customHeight="1" thickBot="1" x14ac:dyDescent="0.3">
      <c r="B122" s="284"/>
      <c r="C122" s="284"/>
      <c r="D122" s="302"/>
      <c r="E122" s="411" t="str">
        <f>[1]K_Summary!E112</f>
        <v>Общи преки емисии на инсталацията</v>
      </c>
      <c r="F122" s="412"/>
      <c r="G122" s="412"/>
      <c r="H122" s="413" t="str">
        <f>[1]K_Summary!H112</f>
        <v>t CO2e/година</v>
      </c>
      <c r="I122" s="414" t="str">
        <f>[1]K_Summary!I112</f>
        <v/>
      </c>
      <c r="J122" s="414" t="str">
        <f>[1]K_Summary!J112</f>
        <v/>
      </c>
      <c r="K122" s="414" t="str">
        <f>[1]K_Summary!K112</f>
        <v/>
      </c>
      <c r="L122" s="414" t="str">
        <f>[1]K_Summary!L112</f>
        <v/>
      </c>
      <c r="M122" s="415" t="str">
        <f>[1]K_Summary!M112</f>
        <v/>
      </c>
      <c r="N122" s="360"/>
    </row>
    <row r="123" spans="2:14" ht="12.75" customHeight="1" x14ac:dyDescent="0.25">
      <c r="B123" s="284"/>
      <c r="C123" s="284"/>
      <c r="D123" s="302"/>
      <c r="E123" s="360"/>
      <c r="F123" s="360"/>
      <c r="G123" s="360"/>
      <c r="H123" s="360"/>
      <c r="I123" s="360"/>
      <c r="J123" s="360"/>
      <c r="K123" s="360"/>
      <c r="L123" s="360"/>
      <c r="M123" s="360"/>
      <c r="N123" s="360"/>
    </row>
    <row r="124" spans="2:14" ht="12.75" customHeight="1" x14ac:dyDescent="0.25">
      <c r="B124" s="284"/>
      <c r="C124" s="284"/>
      <c r="D124" s="300"/>
      <c r="E124" s="389" t="str">
        <f>[1]K_Summary!E114</f>
        <v>Данни на равнище подинсталация:</v>
      </c>
      <c r="F124" s="389"/>
      <c r="G124" s="389"/>
      <c r="H124" s="390" t="str">
        <f>[1]K_Summary!H114</f>
        <v>Единица мярка</v>
      </c>
      <c r="I124" s="391">
        <f>[1]K_Summary!I114</f>
        <v>2019</v>
      </c>
      <c r="J124" s="391">
        <f>[1]K_Summary!J114</f>
        <v>2020</v>
      </c>
      <c r="K124" s="391">
        <f>[1]K_Summary!K114</f>
        <v>2021</v>
      </c>
      <c r="L124" s="391">
        <f>[1]K_Summary!L114</f>
        <v>2022</v>
      </c>
      <c r="M124" s="391">
        <f>[1]K_Summary!M114</f>
        <v>2023</v>
      </c>
      <c r="N124" s="336"/>
    </row>
    <row r="125" spans="2:14" ht="12.75" customHeight="1" x14ac:dyDescent="0.25">
      <c r="B125" s="284"/>
      <c r="C125" s="302"/>
      <c r="D125" s="360"/>
      <c r="E125" s="428" t="str">
        <f>[1]K_Summary!E115</f>
        <v/>
      </c>
      <c r="F125" s="428"/>
      <c r="G125" s="428"/>
      <c r="H125" s="429" t="str">
        <f>[1]K_Summary!H115</f>
        <v>t CO2e/година</v>
      </c>
      <c r="I125" s="430" t="str">
        <f>[1]K_Summary!I115</f>
        <v/>
      </c>
      <c r="J125" s="430" t="str">
        <f>[1]K_Summary!J115</f>
        <v/>
      </c>
      <c r="K125" s="430" t="str">
        <f>[1]K_Summary!K115</f>
        <v/>
      </c>
      <c r="L125" s="430" t="str">
        <f>[1]K_Summary!L115</f>
        <v/>
      </c>
      <c r="M125" s="430" t="str">
        <f>[1]K_Summary!M115</f>
        <v/>
      </c>
      <c r="N125" s="336"/>
    </row>
    <row r="126" spans="2:14" ht="12.75" customHeight="1" x14ac:dyDescent="0.25">
      <c r="B126" s="284"/>
      <c r="C126" s="302"/>
      <c r="D126" s="360"/>
      <c r="E126" s="431" t="str">
        <f>[1]K_Summary!E116</f>
        <v/>
      </c>
      <c r="F126" s="431"/>
      <c r="G126" s="431"/>
      <c r="H126" s="432" t="str">
        <f>[1]K_Summary!H116</f>
        <v>t CO2e/година</v>
      </c>
      <c r="I126" s="433" t="str">
        <f>[1]K_Summary!I116</f>
        <v/>
      </c>
      <c r="J126" s="433" t="str">
        <f>[1]K_Summary!J116</f>
        <v/>
      </c>
      <c r="K126" s="433" t="str">
        <f>[1]K_Summary!K116</f>
        <v/>
      </c>
      <c r="L126" s="433" t="str">
        <f>[1]K_Summary!L116</f>
        <v/>
      </c>
      <c r="M126" s="433" t="str">
        <f>[1]K_Summary!M116</f>
        <v/>
      </c>
      <c r="N126" s="336"/>
    </row>
    <row r="127" spans="2:14" ht="12.75" customHeight="1" x14ac:dyDescent="0.25">
      <c r="B127" s="284"/>
      <c r="C127" s="302"/>
      <c r="D127" s="360"/>
      <c r="E127" s="431" t="str">
        <f>[1]K_Summary!E117</f>
        <v/>
      </c>
      <c r="F127" s="431"/>
      <c r="G127" s="431"/>
      <c r="H127" s="432" t="str">
        <f>[1]K_Summary!H117</f>
        <v>t CO2e/година</v>
      </c>
      <c r="I127" s="433" t="str">
        <f>[1]K_Summary!I117</f>
        <v/>
      </c>
      <c r="J127" s="433" t="str">
        <f>[1]K_Summary!J117</f>
        <v/>
      </c>
      <c r="K127" s="433" t="str">
        <f>[1]K_Summary!K117</f>
        <v/>
      </c>
      <c r="L127" s="433" t="str">
        <f>[1]K_Summary!L117</f>
        <v/>
      </c>
      <c r="M127" s="433" t="str">
        <f>[1]K_Summary!M117</f>
        <v/>
      </c>
      <c r="N127" s="336"/>
    </row>
    <row r="128" spans="2:14" ht="12.75" customHeight="1" x14ac:dyDescent="0.25">
      <c r="B128" s="284"/>
      <c r="C128" s="302"/>
      <c r="D128" s="360"/>
      <c r="E128" s="431" t="str">
        <f>[1]K_Summary!E118</f>
        <v/>
      </c>
      <c r="F128" s="431"/>
      <c r="G128" s="431"/>
      <c r="H128" s="432" t="str">
        <f>[1]K_Summary!H118</f>
        <v>t CO2e/година</v>
      </c>
      <c r="I128" s="433" t="str">
        <f>[1]K_Summary!I118</f>
        <v/>
      </c>
      <c r="J128" s="433" t="str">
        <f>[1]K_Summary!J118</f>
        <v/>
      </c>
      <c r="K128" s="433" t="str">
        <f>[1]K_Summary!K118</f>
        <v/>
      </c>
      <c r="L128" s="433" t="str">
        <f>[1]K_Summary!L118</f>
        <v/>
      </c>
      <c r="M128" s="433" t="str">
        <f>[1]K_Summary!M118</f>
        <v/>
      </c>
      <c r="N128" s="336"/>
    </row>
    <row r="129" spans="2:14" ht="12.75" customHeight="1" x14ac:dyDescent="0.25">
      <c r="B129" s="284"/>
      <c r="C129" s="302"/>
      <c r="D129" s="360"/>
      <c r="E129" s="431" t="str">
        <f>[1]K_Summary!E119</f>
        <v/>
      </c>
      <c r="F129" s="431"/>
      <c r="G129" s="431"/>
      <c r="H129" s="432" t="str">
        <f>[1]K_Summary!H119</f>
        <v>t CO2e/година</v>
      </c>
      <c r="I129" s="433" t="str">
        <f>[1]K_Summary!I119</f>
        <v/>
      </c>
      <c r="J129" s="433" t="str">
        <f>[1]K_Summary!J119</f>
        <v/>
      </c>
      <c r="K129" s="433" t="str">
        <f>[1]K_Summary!K119</f>
        <v/>
      </c>
      <c r="L129" s="433" t="str">
        <f>[1]K_Summary!L119</f>
        <v/>
      </c>
      <c r="M129" s="433" t="str">
        <f>[1]K_Summary!M119</f>
        <v/>
      </c>
      <c r="N129" s="336"/>
    </row>
    <row r="130" spans="2:14" ht="12.75" customHeight="1" x14ac:dyDescent="0.25">
      <c r="B130" s="284"/>
      <c r="C130" s="302"/>
      <c r="D130" s="360"/>
      <c r="E130" s="431" t="str">
        <f>[1]K_Summary!E120</f>
        <v/>
      </c>
      <c r="F130" s="431"/>
      <c r="G130" s="431"/>
      <c r="H130" s="432" t="str">
        <f>[1]K_Summary!H120</f>
        <v>t CO2e/година</v>
      </c>
      <c r="I130" s="433" t="str">
        <f>[1]K_Summary!I120</f>
        <v/>
      </c>
      <c r="J130" s="433" t="str">
        <f>[1]K_Summary!J120</f>
        <v/>
      </c>
      <c r="K130" s="433" t="str">
        <f>[1]K_Summary!K120</f>
        <v/>
      </c>
      <c r="L130" s="433" t="str">
        <f>[1]K_Summary!L120</f>
        <v/>
      </c>
      <c r="M130" s="433" t="str">
        <f>[1]K_Summary!M120</f>
        <v/>
      </c>
      <c r="N130" s="336"/>
    </row>
    <row r="131" spans="2:14" ht="12.75" customHeight="1" x14ac:dyDescent="0.25">
      <c r="B131" s="284"/>
      <c r="C131" s="302"/>
      <c r="D131" s="360"/>
      <c r="E131" s="431" t="str">
        <f>[1]K_Summary!E121</f>
        <v/>
      </c>
      <c r="F131" s="431"/>
      <c r="G131" s="431"/>
      <c r="H131" s="432" t="str">
        <f>[1]K_Summary!H121</f>
        <v>t CO2e/година</v>
      </c>
      <c r="I131" s="433" t="str">
        <f>[1]K_Summary!I121</f>
        <v/>
      </c>
      <c r="J131" s="433" t="str">
        <f>[1]K_Summary!J121</f>
        <v/>
      </c>
      <c r="K131" s="433" t="str">
        <f>[1]K_Summary!K121</f>
        <v/>
      </c>
      <c r="L131" s="433" t="str">
        <f>[1]K_Summary!L121</f>
        <v/>
      </c>
      <c r="M131" s="433" t="str">
        <f>[1]K_Summary!M121</f>
        <v/>
      </c>
      <c r="N131" s="336"/>
    </row>
    <row r="132" spans="2:14" ht="12.75" customHeight="1" x14ac:dyDescent="0.25">
      <c r="B132" s="284"/>
      <c r="C132" s="302"/>
      <c r="D132" s="360"/>
      <c r="E132" s="431" t="str">
        <f>[1]K_Summary!E122</f>
        <v/>
      </c>
      <c r="F132" s="431"/>
      <c r="G132" s="431"/>
      <c r="H132" s="432" t="str">
        <f>[1]K_Summary!H122</f>
        <v>t CO2e/година</v>
      </c>
      <c r="I132" s="433" t="str">
        <f>[1]K_Summary!I122</f>
        <v/>
      </c>
      <c r="J132" s="433" t="str">
        <f>[1]K_Summary!J122</f>
        <v/>
      </c>
      <c r="K132" s="433" t="str">
        <f>[1]K_Summary!K122</f>
        <v/>
      </c>
      <c r="L132" s="433" t="str">
        <f>[1]K_Summary!L122</f>
        <v/>
      </c>
      <c r="M132" s="433" t="str">
        <f>[1]K_Summary!M122</f>
        <v/>
      </c>
      <c r="N132" s="336"/>
    </row>
    <row r="133" spans="2:14" ht="12.75" customHeight="1" x14ac:dyDescent="0.25">
      <c r="B133" s="284"/>
      <c r="C133" s="302"/>
      <c r="D133" s="360"/>
      <c r="E133" s="431" t="str">
        <f>[1]K_Summary!E123</f>
        <v/>
      </c>
      <c r="F133" s="431"/>
      <c r="G133" s="431"/>
      <c r="H133" s="432" t="str">
        <f>[1]K_Summary!H123</f>
        <v>t CO2e/година</v>
      </c>
      <c r="I133" s="433" t="str">
        <f>[1]K_Summary!I123</f>
        <v/>
      </c>
      <c r="J133" s="433" t="str">
        <f>[1]K_Summary!J123</f>
        <v/>
      </c>
      <c r="K133" s="433" t="str">
        <f>[1]K_Summary!K123</f>
        <v/>
      </c>
      <c r="L133" s="433" t="str">
        <f>[1]K_Summary!L123</f>
        <v/>
      </c>
      <c r="M133" s="433" t="str">
        <f>[1]K_Summary!M123</f>
        <v/>
      </c>
      <c r="N133" s="336"/>
    </row>
    <row r="134" spans="2:14" ht="12.75" customHeight="1" x14ac:dyDescent="0.25">
      <c r="B134" s="284"/>
      <c r="C134" s="302"/>
      <c r="D134" s="360"/>
      <c r="E134" s="434" t="str">
        <f>[1]K_Summary!E124</f>
        <v/>
      </c>
      <c r="F134" s="434"/>
      <c r="G134" s="434"/>
      <c r="H134" s="435" t="str">
        <f>[1]K_Summary!H124</f>
        <v>t CO2e/година</v>
      </c>
      <c r="I134" s="436" t="str">
        <f>[1]K_Summary!I124</f>
        <v/>
      </c>
      <c r="J134" s="436" t="str">
        <f>[1]K_Summary!J124</f>
        <v/>
      </c>
      <c r="K134" s="436" t="str">
        <f>[1]K_Summary!K124</f>
        <v/>
      </c>
      <c r="L134" s="436" t="str">
        <f>[1]K_Summary!L124</f>
        <v/>
      </c>
      <c r="M134" s="436" t="str">
        <f>[1]K_Summary!M124</f>
        <v/>
      </c>
      <c r="N134" s="336"/>
    </row>
    <row r="135" spans="2:14" ht="12.75" customHeight="1" x14ac:dyDescent="0.25">
      <c r="B135" s="284"/>
      <c r="C135" s="302"/>
      <c r="D135" s="360"/>
      <c r="E135" s="437" t="str">
        <f>[1]K_Summary!E125</f>
        <v>Подинсталация с топлинен показател (с риск от ИВЕ | извън МКВЕГ)</v>
      </c>
      <c r="F135" s="437"/>
      <c r="G135" s="437"/>
      <c r="H135" s="432" t="str">
        <f>[1]K_Summary!H125</f>
        <v>t CO2e/година</v>
      </c>
      <c r="I135" s="433" t="str">
        <f>[1]K_Summary!I125</f>
        <v/>
      </c>
      <c r="J135" s="433" t="str">
        <f>[1]K_Summary!J125</f>
        <v/>
      </c>
      <c r="K135" s="433" t="str">
        <f>[1]K_Summary!K125</f>
        <v/>
      </c>
      <c r="L135" s="433" t="str">
        <f>[1]K_Summary!L125</f>
        <v/>
      </c>
      <c r="M135" s="433" t="str">
        <f>[1]K_Summary!M125</f>
        <v/>
      </c>
      <c r="N135" s="336"/>
    </row>
    <row r="136" spans="2:14" ht="12.75" customHeight="1" x14ac:dyDescent="0.25">
      <c r="B136" s="284"/>
      <c r="C136" s="302"/>
      <c r="D136" s="360"/>
      <c r="E136" s="438" t="str">
        <f>[1]K_Summary!E126</f>
        <v>Подинсталация с топлинен показател (без риск от ИВЕ | извън МКВЕГ)</v>
      </c>
      <c r="F136" s="438"/>
      <c r="G136" s="438"/>
      <c r="H136" s="439" t="str">
        <f>[1]K_Summary!H126</f>
        <v>t CO2e/година</v>
      </c>
      <c r="I136" s="440" t="str">
        <f>[1]K_Summary!I126</f>
        <v/>
      </c>
      <c r="J136" s="440" t="str">
        <f>[1]K_Summary!J126</f>
        <v/>
      </c>
      <c r="K136" s="440" t="str">
        <f>[1]K_Summary!K126</f>
        <v/>
      </c>
      <c r="L136" s="440" t="str">
        <f>[1]K_Summary!L126</f>
        <v/>
      </c>
      <c r="M136" s="440" t="str">
        <f>[1]K_Summary!M126</f>
        <v/>
      </c>
      <c r="N136" s="336"/>
    </row>
    <row r="137" spans="2:14" ht="12.75" customHeight="1" x14ac:dyDescent="0.25">
      <c r="B137" s="284"/>
      <c r="C137" s="302"/>
      <c r="D137" s="360"/>
      <c r="E137" s="438" t="str">
        <f>[1]K_Summary!E127</f>
        <v>Подинсталация с топлинен показател (с риск от ИВЕ | в рамките на МКВЕГ)</v>
      </c>
      <c r="F137" s="438"/>
      <c r="G137" s="438"/>
      <c r="H137" s="441" t="str">
        <f>[1]K_Summary!H127</f>
        <v>t CO2e/година</v>
      </c>
      <c r="I137" s="440" t="str">
        <f>[1]K_Summary!I127</f>
        <v/>
      </c>
      <c r="J137" s="440" t="str">
        <f>[1]K_Summary!J127</f>
        <v/>
      </c>
      <c r="K137" s="440" t="str">
        <f>[1]K_Summary!K127</f>
        <v/>
      </c>
      <c r="L137" s="440" t="str">
        <f>[1]K_Summary!L127</f>
        <v/>
      </c>
      <c r="M137" s="440" t="str">
        <f>[1]K_Summary!M127</f>
        <v/>
      </c>
      <c r="N137" s="336"/>
    </row>
    <row r="138" spans="2:14" ht="12.75" customHeight="1" x14ac:dyDescent="0.25">
      <c r="B138" s="284"/>
      <c r="C138" s="302"/>
      <c r="D138" s="360"/>
      <c r="E138" s="438" t="str">
        <f>[1]K_Summary!E128</f>
        <v>Подинсталация на топлофикационна мрежа</v>
      </c>
      <c r="F138" s="438"/>
      <c r="G138" s="438"/>
      <c r="H138" s="439" t="str">
        <f>[1]K_Summary!H128</f>
        <v>t CO2e/година</v>
      </c>
      <c r="I138" s="442" t="str">
        <f>[1]K_Summary!I128</f>
        <v/>
      </c>
      <c r="J138" s="442" t="str">
        <f>[1]K_Summary!J128</f>
        <v/>
      </c>
      <c r="K138" s="442" t="str">
        <f>[1]K_Summary!K128</f>
        <v/>
      </c>
      <c r="L138" s="442" t="str">
        <f>[1]K_Summary!L128</f>
        <v/>
      </c>
      <c r="M138" s="442" t="str">
        <f>[1]K_Summary!M128</f>
        <v/>
      </c>
      <c r="N138" s="336"/>
    </row>
    <row r="139" spans="2:14" ht="12.75" customHeight="1" x14ac:dyDescent="0.25">
      <c r="B139" s="284"/>
      <c r="C139" s="302"/>
      <c r="D139" s="360"/>
      <c r="E139" s="438" t="str">
        <f>[1]K_Summary!E129</f>
        <v>Подинсталация с горивен показател (с риск от ИВЕ | извън МКВЕГ)</v>
      </c>
      <c r="F139" s="438"/>
      <c r="G139" s="438"/>
      <c r="H139" s="439" t="str">
        <f>[1]K_Summary!H129</f>
        <v>t CO2e/година</v>
      </c>
      <c r="I139" s="440" t="str">
        <f>[1]K_Summary!I129</f>
        <v/>
      </c>
      <c r="J139" s="440" t="str">
        <f>[1]K_Summary!J129</f>
        <v/>
      </c>
      <c r="K139" s="440" t="str">
        <f>[1]K_Summary!K129</f>
        <v/>
      </c>
      <c r="L139" s="440" t="str">
        <f>[1]K_Summary!L129</f>
        <v/>
      </c>
      <c r="M139" s="440" t="str">
        <f>[1]K_Summary!M129</f>
        <v/>
      </c>
      <c r="N139" s="336"/>
    </row>
    <row r="140" spans="2:14" ht="12.75" customHeight="1" x14ac:dyDescent="0.25">
      <c r="B140" s="284"/>
      <c r="C140" s="302"/>
      <c r="D140" s="360"/>
      <c r="E140" s="438" t="str">
        <f>[1]K_Summary!E130</f>
        <v>Подинсталация с горивен показател (без риск от ИВЕ | извън МКВЕГ)</v>
      </c>
      <c r="F140" s="438"/>
      <c r="G140" s="438"/>
      <c r="H140" s="439" t="str">
        <f>[1]K_Summary!H130</f>
        <v>t CO2e/година</v>
      </c>
      <c r="I140" s="440" t="str">
        <f>[1]K_Summary!I130</f>
        <v/>
      </c>
      <c r="J140" s="440" t="str">
        <f>[1]K_Summary!J130</f>
        <v/>
      </c>
      <c r="K140" s="440" t="str">
        <f>[1]K_Summary!K130</f>
        <v/>
      </c>
      <c r="L140" s="440" t="str">
        <f>[1]K_Summary!L130</f>
        <v/>
      </c>
      <c r="M140" s="440" t="str">
        <f>[1]K_Summary!M130</f>
        <v/>
      </c>
      <c r="N140" s="336"/>
    </row>
    <row r="141" spans="2:14" ht="12.75" customHeight="1" thickBot="1" x14ac:dyDescent="0.3">
      <c r="B141" s="284"/>
      <c r="C141" s="302"/>
      <c r="D141" s="360"/>
      <c r="E141" s="443" t="str">
        <f>[1]K_Summary!E131</f>
        <v>Подинсталация с горивен показател (с риск от ИВЕ | в рамките на МКВЕГ)</v>
      </c>
      <c r="F141" s="443"/>
      <c r="G141" s="443"/>
      <c r="H141" s="439" t="str">
        <f>[1]K_Summary!H131</f>
        <v>t CO2e/година</v>
      </c>
      <c r="I141" s="440" t="str">
        <f>[1]K_Summary!I131</f>
        <v/>
      </c>
      <c r="J141" s="440" t="str">
        <f>[1]K_Summary!J131</f>
        <v/>
      </c>
      <c r="K141" s="440" t="str">
        <f>[1]K_Summary!K131</f>
        <v/>
      </c>
      <c r="L141" s="440" t="str">
        <f>[1]K_Summary!L131</f>
        <v/>
      </c>
      <c r="M141" s="440" t="str">
        <f>[1]K_Summary!M131</f>
        <v/>
      </c>
      <c r="N141" s="336"/>
    </row>
    <row r="142" spans="2:14" ht="12.75" customHeight="1" x14ac:dyDescent="0.25">
      <c r="B142" s="284"/>
      <c r="C142" s="302"/>
      <c r="D142" s="360"/>
      <c r="E142" s="444" t="str">
        <f>[1]K_Summary!E132</f>
        <v>Подинсталация с емисии от процеси (с риск от ИВЕ | извън МКВЕГ)</v>
      </c>
      <c r="F142" s="445"/>
      <c r="G142" s="445"/>
      <c r="H142" s="446" t="str">
        <f>[1]K_Summary!H132</f>
        <v>t CO2e/година</v>
      </c>
      <c r="I142" s="447" t="str">
        <f>[1]K_Summary!I132</f>
        <v/>
      </c>
      <c r="J142" s="447" t="str">
        <f>[1]K_Summary!J132</f>
        <v/>
      </c>
      <c r="K142" s="447" t="str">
        <f>[1]K_Summary!K132</f>
        <v/>
      </c>
      <c r="L142" s="447" t="str">
        <f>[1]K_Summary!L132</f>
        <v/>
      </c>
      <c r="M142" s="448" t="str">
        <f>[1]K_Summary!M132</f>
        <v/>
      </c>
      <c r="N142" s="336"/>
    </row>
    <row r="143" spans="2:14" ht="12.75" customHeight="1" x14ac:dyDescent="0.25">
      <c r="B143" s="284"/>
      <c r="C143" s="302"/>
      <c r="D143" s="360"/>
      <c r="E143" s="449" t="str">
        <f>[1]K_Summary!E133</f>
        <v>Подинсталация с емисии от процеси (без риск от ИВЕ | извън МКВЕГ)</v>
      </c>
      <c r="F143" s="450"/>
      <c r="G143" s="450"/>
      <c r="H143" s="451" t="str">
        <f>[1]K_Summary!H133</f>
        <v>t CO2e/година</v>
      </c>
      <c r="I143" s="452" t="str">
        <f>[1]K_Summary!I133</f>
        <v/>
      </c>
      <c r="J143" s="452" t="str">
        <f>[1]K_Summary!J133</f>
        <v/>
      </c>
      <c r="K143" s="452" t="str">
        <f>[1]K_Summary!K133</f>
        <v/>
      </c>
      <c r="L143" s="452" t="str">
        <f>[1]K_Summary!L133</f>
        <v/>
      </c>
      <c r="M143" s="453" t="str">
        <f>[1]K_Summary!M133</f>
        <v/>
      </c>
      <c r="N143" s="336"/>
    </row>
    <row r="144" spans="2:14" ht="12.75" customHeight="1" thickBot="1" x14ac:dyDescent="0.3">
      <c r="B144" s="284"/>
      <c r="C144" s="302"/>
      <c r="D144" s="360"/>
      <c r="E144" s="454" t="str">
        <f>[1]K_Summary!E134</f>
        <v>Подинсталация с емисии от процеси (с риск от ИВЕ | в рамките на МКВЕГ)</v>
      </c>
      <c r="F144" s="455"/>
      <c r="G144" s="455"/>
      <c r="H144" s="456" t="str">
        <f>[1]K_Summary!H134</f>
        <v>t CO2e/година</v>
      </c>
      <c r="I144" s="457" t="str">
        <f>[1]K_Summary!I134</f>
        <v/>
      </c>
      <c r="J144" s="457" t="str">
        <f>[1]K_Summary!J134</f>
        <v/>
      </c>
      <c r="K144" s="457" t="str">
        <f>[1]K_Summary!K134</f>
        <v/>
      </c>
      <c r="L144" s="457" t="str">
        <f>[1]K_Summary!L134</f>
        <v/>
      </c>
      <c r="M144" s="458" t="str">
        <f>[1]K_Summary!M134</f>
        <v/>
      </c>
      <c r="N144" s="336"/>
    </row>
    <row r="145" spans="2:14" ht="12.75" customHeight="1" x14ac:dyDescent="0.25">
      <c r="B145" s="284"/>
      <c r="C145" s="302"/>
      <c r="D145" s="360"/>
      <c r="E145" s="379" t="str">
        <f>[1]K_Summary!E135</f>
        <v>Проверка: Други емисии</v>
      </c>
      <c r="F145" s="379"/>
      <c r="G145" s="379"/>
      <c r="H145" s="435" t="str">
        <f>[1]K_Summary!H135</f>
        <v>t CO2e/година</v>
      </c>
      <c r="I145" s="459" t="str">
        <f>[1]K_Summary!I135</f>
        <v/>
      </c>
      <c r="J145" s="459" t="str">
        <f>[1]K_Summary!J135</f>
        <v/>
      </c>
      <c r="K145" s="459" t="str">
        <f>[1]K_Summary!K135</f>
        <v/>
      </c>
      <c r="L145" s="459" t="str">
        <f>[1]K_Summary!L135</f>
        <v/>
      </c>
      <c r="M145" s="459" t="str">
        <f>[1]K_Summary!M135</f>
        <v/>
      </c>
      <c r="N145" s="336"/>
    </row>
    <row r="146" spans="2:14" ht="12.75" customHeight="1" x14ac:dyDescent="0.25">
      <c r="B146" s="284"/>
      <c r="C146" s="284"/>
      <c r="D146" s="302"/>
      <c r="E146" s="460"/>
      <c r="F146" s="460"/>
      <c r="G146" s="460"/>
      <c r="H146" s="460"/>
      <c r="I146" s="460"/>
      <c r="J146" s="329"/>
      <c r="K146" s="329"/>
      <c r="L146" s="329"/>
      <c r="M146" s="336"/>
      <c r="N146" s="336"/>
    </row>
    <row r="147" spans="2:14" ht="12.75" customHeight="1" x14ac:dyDescent="0.25">
      <c r="B147" s="284"/>
      <c r="C147" s="302"/>
      <c r="D147" s="302"/>
      <c r="E147" s="461" t="str">
        <f>[1]K_Summary!E137</f>
        <v>Данни на равнище подинсталация:</v>
      </c>
      <c r="F147" s="461"/>
      <c r="G147" s="461"/>
      <c r="H147" s="390" t="str">
        <f>[1]K_Summary!H137</f>
        <v>Единица мярка</v>
      </c>
      <c r="I147" s="391">
        <f>[1]K_Summary!I137</f>
        <v>2019</v>
      </c>
      <c r="J147" s="391">
        <f>[1]K_Summary!J137</f>
        <v>2020</v>
      </c>
      <c r="K147" s="391">
        <f>[1]K_Summary!K137</f>
        <v>2021</v>
      </c>
      <c r="L147" s="391">
        <f>[1]K_Summary!L137</f>
        <v>2022</v>
      </c>
      <c r="M147" s="391">
        <f>[1]K_Summary!M137</f>
        <v>2023</v>
      </c>
      <c r="N147" s="336"/>
    </row>
    <row r="148" spans="2:14" ht="12.75" customHeight="1" x14ac:dyDescent="0.25">
      <c r="B148" s="284"/>
      <c r="C148" s="302"/>
      <c r="D148" s="360"/>
      <c r="E148" s="428" t="str">
        <f>[1]K_Summary!E138</f>
        <v/>
      </c>
      <c r="F148" s="428"/>
      <c r="G148" s="428"/>
      <c r="H148" s="429" t="str">
        <f>[1]K_Summary!H138</f>
        <v>%</v>
      </c>
      <c r="I148" s="462" t="str">
        <f>[1]K_Summary!I138</f>
        <v/>
      </c>
      <c r="J148" s="462" t="str">
        <f>[1]K_Summary!J138</f>
        <v/>
      </c>
      <c r="K148" s="462" t="str">
        <f>[1]K_Summary!K138</f>
        <v/>
      </c>
      <c r="L148" s="462" t="str">
        <f>[1]K_Summary!L138</f>
        <v/>
      </c>
      <c r="M148" s="462" t="str">
        <f>[1]K_Summary!M138</f>
        <v/>
      </c>
      <c r="N148" s="336"/>
    </row>
    <row r="149" spans="2:14" ht="12.75" customHeight="1" x14ac:dyDescent="0.25">
      <c r="B149" s="284"/>
      <c r="C149" s="302"/>
      <c r="D149" s="360"/>
      <c r="E149" s="431" t="str">
        <f>[1]K_Summary!E139</f>
        <v/>
      </c>
      <c r="F149" s="431"/>
      <c r="G149" s="431"/>
      <c r="H149" s="432" t="str">
        <f>[1]K_Summary!H139</f>
        <v>%</v>
      </c>
      <c r="I149" s="463" t="str">
        <f>[1]K_Summary!I139</f>
        <v/>
      </c>
      <c r="J149" s="463" t="str">
        <f>[1]K_Summary!J139</f>
        <v/>
      </c>
      <c r="K149" s="463" t="str">
        <f>[1]K_Summary!K139</f>
        <v/>
      </c>
      <c r="L149" s="463" t="str">
        <f>[1]K_Summary!L139</f>
        <v/>
      </c>
      <c r="M149" s="463" t="str">
        <f>[1]K_Summary!M139</f>
        <v/>
      </c>
      <c r="N149" s="336"/>
    </row>
    <row r="150" spans="2:14" ht="12.75" customHeight="1" x14ac:dyDescent="0.25">
      <c r="B150" s="284"/>
      <c r="C150" s="302"/>
      <c r="D150" s="360"/>
      <c r="E150" s="431" t="str">
        <f>[1]K_Summary!E140</f>
        <v/>
      </c>
      <c r="F150" s="431"/>
      <c r="G150" s="431"/>
      <c r="H150" s="432" t="str">
        <f>[1]K_Summary!H140</f>
        <v>%</v>
      </c>
      <c r="I150" s="463" t="str">
        <f>[1]K_Summary!I140</f>
        <v/>
      </c>
      <c r="J150" s="463" t="str">
        <f>[1]K_Summary!J140</f>
        <v/>
      </c>
      <c r="K150" s="463" t="str">
        <f>[1]K_Summary!K140</f>
        <v/>
      </c>
      <c r="L150" s="463" t="str">
        <f>[1]K_Summary!L140</f>
        <v/>
      </c>
      <c r="M150" s="463" t="str">
        <f>[1]K_Summary!M140</f>
        <v/>
      </c>
      <c r="N150" s="336"/>
    </row>
    <row r="151" spans="2:14" ht="12.75" customHeight="1" x14ac:dyDescent="0.25">
      <c r="B151" s="284"/>
      <c r="C151" s="302"/>
      <c r="D151" s="360"/>
      <c r="E151" s="431" t="str">
        <f>[1]K_Summary!E141</f>
        <v/>
      </c>
      <c r="F151" s="431"/>
      <c r="G151" s="431"/>
      <c r="H151" s="432" t="str">
        <f>[1]K_Summary!H141</f>
        <v>%</v>
      </c>
      <c r="I151" s="463" t="str">
        <f>[1]K_Summary!I141</f>
        <v/>
      </c>
      <c r="J151" s="463" t="str">
        <f>[1]K_Summary!J141</f>
        <v/>
      </c>
      <c r="K151" s="463" t="str">
        <f>[1]K_Summary!K141</f>
        <v/>
      </c>
      <c r="L151" s="463" t="str">
        <f>[1]K_Summary!L141</f>
        <v/>
      </c>
      <c r="M151" s="463" t="str">
        <f>[1]K_Summary!M141</f>
        <v/>
      </c>
      <c r="N151" s="336"/>
    </row>
    <row r="152" spans="2:14" ht="12.75" customHeight="1" x14ac:dyDescent="0.25">
      <c r="B152" s="284"/>
      <c r="C152" s="302"/>
      <c r="D152" s="360"/>
      <c r="E152" s="431" t="str">
        <f>[1]K_Summary!E142</f>
        <v/>
      </c>
      <c r="F152" s="431"/>
      <c r="G152" s="431"/>
      <c r="H152" s="432" t="str">
        <f>[1]K_Summary!H142</f>
        <v>%</v>
      </c>
      <c r="I152" s="463" t="str">
        <f>[1]K_Summary!I142</f>
        <v/>
      </c>
      <c r="J152" s="463" t="str">
        <f>[1]K_Summary!J142</f>
        <v/>
      </c>
      <c r="K152" s="463" t="str">
        <f>[1]K_Summary!K142</f>
        <v/>
      </c>
      <c r="L152" s="463" t="str">
        <f>[1]K_Summary!L142</f>
        <v/>
      </c>
      <c r="M152" s="463" t="str">
        <f>[1]K_Summary!M142</f>
        <v/>
      </c>
      <c r="N152" s="336"/>
    </row>
    <row r="153" spans="2:14" ht="12.75" customHeight="1" x14ac:dyDescent="0.25">
      <c r="B153" s="284"/>
      <c r="C153" s="302"/>
      <c r="D153" s="360"/>
      <c r="E153" s="431" t="str">
        <f>[1]K_Summary!E143</f>
        <v/>
      </c>
      <c r="F153" s="431"/>
      <c r="G153" s="431"/>
      <c r="H153" s="432" t="str">
        <f>[1]K_Summary!H143</f>
        <v>%</v>
      </c>
      <c r="I153" s="463" t="str">
        <f>[1]K_Summary!I143</f>
        <v/>
      </c>
      <c r="J153" s="463" t="str">
        <f>[1]K_Summary!J143</f>
        <v/>
      </c>
      <c r="K153" s="463" t="str">
        <f>[1]K_Summary!K143</f>
        <v/>
      </c>
      <c r="L153" s="463" t="str">
        <f>[1]K_Summary!L143</f>
        <v/>
      </c>
      <c r="M153" s="463" t="str">
        <f>[1]K_Summary!M143</f>
        <v/>
      </c>
      <c r="N153" s="336"/>
    </row>
    <row r="154" spans="2:14" ht="12.75" customHeight="1" x14ac:dyDescent="0.25">
      <c r="B154" s="284"/>
      <c r="C154" s="302"/>
      <c r="D154" s="360"/>
      <c r="E154" s="431" t="str">
        <f>[1]K_Summary!E144</f>
        <v/>
      </c>
      <c r="F154" s="431"/>
      <c r="G154" s="431"/>
      <c r="H154" s="432" t="str">
        <f>[1]K_Summary!H144</f>
        <v>%</v>
      </c>
      <c r="I154" s="463" t="str">
        <f>[1]K_Summary!I144</f>
        <v/>
      </c>
      <c r="J154" s="463" t="str">
        <f>[1]K_Summary!J144</f>
        <v/>
      </c>
      <c r="K154" s="463" t="str">
        <f>[1]K_Summary!K144</f>
        <v/>
      </c>
      <c r="L154" s="463" t="str">
        <f>[1]K_Summary!L144</f>
        <v/>
      </c>
      <c r="M154" s="463" t="str">
        <f>[1]K_Summary!M144</f>
        <v/>
      </c>
      <c r="N154" s="336"/>
    </row>
    <row r="155" spans="2:14" ht="12.75" customHeight="1" x14ac:dyDescent="0.25">
      <c r="B155" s="284"/>
      <c r="C155" s="302"/>
      <c r="D155" s="360"/>
      <c r="E155" s="431" t="str">
        <f>[1]K_Summary!E145</f>
        <v/>
      </c>
      <c r="F155" s="431"/>
      <c r="G155" s="431"/>
      <c r="H155" s="432" t="str">
        <f>[1]K_Summary!H145</f>
        <v>%</v>
      </c>
      <c r="I155" s="463" t="str">
        <f>[1]K_Summary!I145</f>
        <v/>
      </c>
      <c r="J155" s="463" t="str">
        <f>[1]K_Summary!J145</f>
        <v/>
      </c>
      <c r="K155" s="463" t="str">
        <f>[1]K_Summary!K145</f>
        <v/>
      </c>
      <c r="L155" s="463" t="str">
        <f>[1]K_Summary!L145</f>
        <v/>
      </c>
      <c r="M155" s="463" t="str">
        <f>[1]K_Summary!M145</f>
        <v/>
      </c>
      <c r="N155" s="336"/>
    </row>
    <row r="156" spans="2:14" ht="12.75" customHeight="1" x14ac:dyDescent="0.25">
      <c r="B156" s="284"/>
      <c r="C156" s="302"/>
      <c r="D156" s="360"/>
      <c r="E156" s="431" t="str">
        <f>[1]K_Summary!E146</f>
        <v/>
      </c>
      <c r="F156" s="431"/>
      <c r="G156" s="431"/>
      <c r="H156" s="432" t="str">
        <f>[1]K_Summary!H146</f>
        <v>%</v>
      </c>
      <c r="I156" s="463" t="str">
        <f>[1]K_Summary!I146</f>
        <v/>
      </c>
      <c r="J156" s="463" t="str">
        <f>[1]K_Summary!J146</f>
        <v/>
      </c>
      <c r="K156" s="463" t="str">
        <f>[1]K_Summary!K146</f>
        <v/>
      </c>
      <c r="L156" s="463" t="str">
        <f>[1]K_Summary!L146</f>
        <v/>
      </c>
      <c r="M156" s="463" t="str">
        <f>[1]K_Summary!M146</f>
        <v/>
      </c>
      <c r="N156" s="336"/>
    </row>
    <row r="157" spans="2:14" ht="12.75" customHeight="1" x14ac:dyDescent="0.25">
      <c r="B157" s="284"/>
      <c r="C157" s="302"/>
      <c r="D157" s="360"/>
      <c r="E157" s="434" t="str">
        <f>[1]K_Summary!E147</f>
        <v/>
      </c>
      <c r="F157" s="434"/>
      <c r="G157" s="434"/>
      <c r="H157" s="464" t="str">
        <f>[1]K_Summary!H147</f>
        <v>%</v>
      </c>
      <c r="I157" s="465" t="str">
        <f>[1]K_Summary!I147</f>
        <v/>
      </c>
      <c r="J157" s="465" t="str">
        <f>[1]K_Summary!J147</f>
        <v/>
      </c>
      <c r="K157" s="465" t="str">
        <f>[1]K_Summary!K147</f>
        <v/>
      </c>
      <c r="L157" s="465" t="str">
        <f>[1]K_Summary!L147</f>
        <v/>
      </c>
      <c r="M157" s="465" t="str">
        <f>[1]K_Summary!M147</f>
        <v/>
      </c>
      <c r="N157" s="336"/>
    </row>
    <row r="158" spans="2:14" ht="12.75" customHeight="1" x14ac:dyDescent="0.25">
      <c r="B158" s="284"/>
      <c r="C158" s="302"/>
      <c r="D158" s="360"/>
      <c r="E158" s="466" t="str">
        <f>[1]K_Summary!E148</f>
        <v>Подинсталация с топлинен показател (с риск от ИВЕ | извън МКВЕГ)</v>
      </c>
      <c r="F158" s="466"/>
      <c r="G158" s="466"/>
      <c r="H158" s="432" t="str">
        <f>[1]K_Summary!H148</f>
        <v>%</v>
      </c>
      <c r="I158" s="463" t="str">
        <f>[1]K_Summary!I148</f>
        <v/>
      </c>
      <c r="J158" s="463" t="str">
        <f>[1]K_Summary!J148</f>
        <v/>
      </c>
      <c r="K158" s="463" t="str">
        <f>[1]K_Summary!K148</f>
        <v/>
      </c>
      <c r="L158" s="463" t="str">
        <f>[1]K_Summary!L148</f>
        <v/>
      </c>
      <c r="M158" s="463" t="str">
        <f>[1]K_Summary!M148</f>
        <v/>
      </c>
      <c r="N158" s="336"/>
    </row>
    <row r="159" spans="2:14" ht="12.75" customHeight="1" x14ac:dyDescent="0.25">
      <c r="B159" s="284"/>
      <c r="C159" s="302"/>
      <c r="D159" s="360"/>
      <c r="E159" s="438" t="str">
        <f>[1]K_Summary!E149</f>
        <v>Подинсталация с топлинен показател (без риск от ИВЕ | извън МКВЕГ)</v>
      </c>
      <c r="F159" s="438"/>
      <c r="G159" s="438"/>
      <c r="H159" s="441" t="str">
        <f>[1]K_Summary!H149</f>
        <v>%</v>
      </c>
      <c r="I159" s="467" t="str">
        <f>[1]K_Summary!I149</f>
        <v/>
      </c>
      <c r="J159" s="467" t="str">
        <f>[1]K_Summary!J149</f>
        <v/>
      </c>
      <c r="K159" s="467" t="str">
        <f>[1]K_Summary!K149</f>
        <v/>
      </c>
      <c r="L159" s="467" t="str">
        <f>[1]K_Summary!L149</f>
        <v/>
      </c>
      <c r="M159" s="467" t="str">
        <f>[1]K_Summary!M149</f>
        <v/>
      </c>
      <c r="N159" s="336"/>
    </row>
    <row r="160" spans="2:14" ht="12.75" customHeight="1" x14ac:dyDescent="0.25">
      <c r="B160" s="284"/>
      <c r="C160" s="302"/>
      <c r="D160" s="360"/>
      <c r="E160" s="438" t="str">
        <f>[1]K_Summary!E150</f>
        <v>Подинсталация с топлинен показател (с риск от ИВЕ | в рамките на МКВЕГ)</v>
      </c>
      <c r="F160" s="438"/>
      <c r="G160" s="438"/>
      <c r="H160" s="441" t="str">
        <f>[1]K_Summary!H150</f>
        <v>%</v>
      </c>
      <c r="I160" s="467" t="str">
        <f>[1]K_Summary!I150</f>
        <v/>
      </c>
      <c r="J160" s="467" t="str">
        <f>[1]K_Summary!J150</f>
        <v/>
      </c>
      <c r="K160" s="467" t="str">
        <f>[1]K_Summary!K150</f>
        <v/>
      </c>
      <c r="L160" s="467" t="str">
        <f>[1]K_Summary!L150</f>
        <v/>
      </c>
      <c r="M160" s="467" t="str">
        <f>[1]K_Summary!M150</f>
        <v/>
      </c>
      <c r="N160" s="336"/>
    </row>
    <row r="161" spans="2:14" ht="12.75" customHeight="1" x14ac:dyDescent="0.25">
      <c r="B161" s="284"/>
      <c r="C161" s="302"/>
      <c r="D161" s="360"/>
      <c r="E161" s="438" t="str">
        <f>[1]K_Summary!E151</f>
        <v>Подинсталация на топлофикационна мрежа</v>
      </c>
      <c r="F161" s="438"/>
      <c r="G161" s="438"/>
      <c r="H161" s="441" t="str">
        <f>[1]K_Summary!H151</f>
        <v>%</v>
      </c>
      <c r="I161" s="467" t="str">
        <f>[1]K_Summary!I151</f>
        <v/>
      </c>
      <c r="J161" s="467" t="str">
        <f>[1]K_Summary!J151</f>
        <v/>
      </c>
      <c r="K161" s="467" t="str">
        <f>[1]K_Summary!K151</f>
        <v/>
      </c>
      <c r="L161" s="467" t="str">
        <f>[1]K_Summary!L151</f>
        <v/>
      </c>
      <c r="M161" s="467" t="str">
        <f>[1]K_Summary!M151</f>
        <v/>
      </c>
      <c r="N161" s="336"/>
    </row>
    <row r="162" spans="2:14" ht="12.75" customHeight="1" x14ac:dyDescent="0.25">
      <c r="B162" s="284"/>
      <c r="C162" s="302"/>
      <c r="D162" s="360"/>
      <c r="E162" s="438" t="str">
        <f>[1]K_Summary!E152</f>
        <v>Подинсталация с горивен показател (с риск от ИВЕ | извън МКВЕГ)</v>
      </c>
      <c r="F162" s="468"/>
      <c r="G162" s="468"/>
      <c r="H162" s="441" t="str">
        <f>[1]K_Summary!H152</f>
        <v>%</v>
      </c>
      <c r="I162" s="467" t="str">
        <f>[1]K_Summary!I152</f>
        <v/>
      </c>
      <c r="J162" s="467" t="str">
        <f>[1]K_Summary!J152</f>
        <v/>
      </c>
      <c r="K162" s="467" t="str">
        <f>[1]K_Summary!K152</f>
        <v/>
      </c>
      <c r="L162" s="467" t="str">
        <f>[1]K_Summary!L152</f>
        <v/>
      </c>
      <c r="M162" s="467" t="str">
        <f>[1]K_Summary!M152</f>
        <v/>
      </c>
      <c r="N162" s="336"/>
    </row>
    <row r="163" spans="2:14" ht="12.75" customHeight="1" x14ac:dyDescent="0.25">
      <c r="B163" s="284"/>
      <c r="C163" s="302"/>
      <c r="D163" s="360"/>
      <c r="E163" s="438" t="str">
        <f>[1]K_Summary!E153</f>
        <v>Подинсталация с горивен показател (без риск от ИВЕ | извън МКВЕГ)</v>
      </c>
      <c r="F163" s="468"/>
      <c r="G163" s="468"/>
      <c r="H163" s="441" t="str">
        <f>[1]K_Summary!H153</f>
        <v>%</v>
      </c>
      <c r="I163" s="467" t="str">
        <f>[1]K_Summary!I153</f>
        <v/>
      </c>
      <c r="J163" s="467" t="str">
        <f>[1]K_Summary!J153</f>
        <v/>
      </c>
      <c r="K163" s="467" t="str">
        <f>[1]K_Summary!K153</f>
        <v/>
      </c>
      <c r="L163" s="467" t="str">
        <f>[1]K_Summary!L153</f>
        <v/>
      </c>
      <c r="M163" s="467" t="str">
        <f>[1]K_Summary!M153</f>
        <v/>
      </c>
      <c r="N163" s="336"/>
    </row>
    <row r="164" spans="2:14" ht="12.75" customHeight="1" thickBot="1" x14ac:dyDescent="0.3">
      <c r="B164" s="284"/>
      <c r="C164" s="302"/>
      <c r="D164" s="360"/>
      <c r="E164" s="443" t="str">
        <f>[1]K_Summary!E154</f>
        <v>Подинсталация с горивен показател (с риск от ИВЕ | в рамките на МКВЕГ)</v>
      </c>
      <c r="F164" s="443"/>
      <c r="G164" s="443"/>
      <c r="H164" s="439" t="str">
        <f>[1]K_Summary!H154</f>
        <v>%</v>
      </c>
      <c r="I164" s="467" t="str">
        <f>[1]K_Summary!I154</f>
        <v/>
      </c>
      <c r="J164" s="467" t="str">
        <f>[1]K_Summary!J154</f>
        <v/>
      </c>
      <c r="K164" s="467" t="str">
        <f>[1]K_Summary!K154</f>
        <v/>
      </c>
      <c r="L164" s="467" t="str">
        <f>[1]K_Summary!L154</f>
        <v/>
      </c>
      <c r="M164" s="467" t="str">
        <f>[1]K_Summary!M154</f>
        <v/>
      </c>
      <c r="N164" s="336"/>
    </row>
    <row r="165" spans="2:14" ht="12.75" customHeight="1" x14ac:dyDescent="0.25">
      <c r="B165" s="284"/>
      <c r="C165" s="302"/>
      <c r="D165" s="360"/>
      <c r="E165" s="444" t="str">
        <f>[1]K_Summary!E155</f>
        <v>Подинсталация с емисии от процеси (с риск от ИВЕ | извън МКВЕГ)</v>
      </c>
      <c r="F165" s="445"/>
      <c r="G165" s="445"/>
      <c r="H165" s="446" t="str">
        <f>[1]K_Summary!H155</f>
        <v>%</v>
      </c>
      <c r="I165" s="469" t="str">
        <f>[1]K_Summary!I155</f>
        <v/>
      </c>
      <c r="J165" s="469" t="str">
        <f>[1]K_Summary!J155</f>
        <v/>
      </c>
      <c r="K165" s="469" t="str">
        <f>[1]K_Summary!K155</f>
        <v/>
      </c>
      <c r="L165" s="469" t="str">
        <f>[1]K_Summary!L155</f>
        <v/>
      </c>
      <c r="M165" s="470" t="str">
        <f>[1]K_Summary!M155</f>
        <v/>
      </c>
      <c r="N165" s="336"/>
    </row>
    <row r="166" spans="2:14" ht="12.75" customHeight="1" x14ac:dyDescent="0.25">
      <c r="B166" s="284"/>
      <c r="C166" s="302"/>
      <c r="D166" s="360"/>
      <c r="E166" s="449" t="str">
        <f>[1]K_Summary!E156</f>
        <v>Подинсталация с емисии от процеси (без риск от ИВЕ | извън МКВЕГ)</v>
      </c>
      <c r="F166" s="471"/>
      <c r="G166" s="471"/>
      <c r="H166" s="451" t="str">
        <f>[1]K_Summary!H156</f>
        <v>%</v>
      </c>
      <c r="I166" s="472" t="str">
        <f>[1]K_Summary!I156</f>
        <v/>
      </c>
      <c r="J166" s="472" t="str">
        <f>[1]K_Summary!J156</f>
        <v/>
      </c>
      <c r="K166" s="472" t="str">
        <f>[1]K_Summary!K156</f>
        <v/>
      </c>
      <c r="L166" s="472" t="str">
        <f>[1]K_Summary!L156</f>
        <v/>
      </c>
      <c r="M166" s="473" t="str">
        <f>[1]K_Summary!M156</f>
        <v/>
      </c>
      <c r="N166" s="336"/>
    </row>
    <row r="167" spans="2:14" ht="12.75" customHeight="1" thickBot="1" x14ac:dyDescent="0.3">
      <c r="B167" s="284"/>
      <c r="C167" s="302"/>
      <c r="D167" s="360"/>
      <c r="E167" s="454" t="str">
        <f>[1]K_Summary!E157</f>
        <v>Подинсталация с емисии от процеси (с риск от ИВЕ | в рамките на МКВЕГ)</v>
      </c>
      <c r="F167" s="474"/>
      <c r="G167" s="474"/>
      <c r="H167" s="456" t="str">
        <f>[1]K_Summary!H157</f>
        <v>%</v>
      </c>
      <c r="I167" s="475" t="str">
        <f>[1]K_Summary!I157</f>
        <v/>
      </c>
      <c r="J167" s="475" t="str">
        <f>[1]K_Summary!J157</f>
        <v/>
      </c>
      <c r="K167" s="475" t="str">
        <f>[1]K_Summary!K157</f>
        <v/>
      </c>
      <c r="L167" s="475" t="str">
        <f>[1]K_Summary!L157</f>
        <v/>
      </c>
      <c r="M167" s="476" t="str">
        <f>[1]K_Summary!M157</f>
        <v/>
      </c>
      <c r="N167" s="336"/>
    </row>
    <row r="168" spans="2:14" ht="12.75" customHeight="1" x14ac:dyDescent="0.25">
      <c r="B168" s="284"/>
      <c r="C168" s="302"/>
      <c r="D168" s="360"/>
      <c r="E168" s="379" t="str">
        <f>[1]K_Summary!E158</f>
        <v>Проверка: Други емисии</v>
      </c>
      <c r="F168" s="379"/>
      <c r="G168" s="379"/>
      <c r="H168" s="435" t="str">
        <f>[1]K_Summary!H158</f>
        <v>%</v>
      </c>
      <c r="I168" s="477" t="str">
        <f>[1]K_Summary!I158</f>
        <v/>
      </c>
      <c r="J168" s="477" t="str">
        <f>[1]K_Summary!J158</f>
        <v/>
      </c>
      <c r="K168" s="477" t="str">
        <f>[1]K_Summary!K158</f>
        <v/>
      </c>
      <c r="L168" s="477" t="str">
        <f>[1]K_Summary!L158</f>
        <v/>
      </c>
      <c r="M168" s="477" t="str">
        <f>[1]K_Summary!M158</f>
        <v/>
      </c>
      <c r="N168" s="336"/>
    </row>
    <row r="169" spans="2:14" ht="12.75" customHeight="1" x14ac:dyDescent="0.25">
      <c r="B169" s="284"/>
      <c r="C169" s="302"/>
      <c r="D169" s="302"/>
      <c r="E169" s="302"/>
      <c r="F169" s="302"/>
      <c r="G169" s="302"/>
      <c r="H169" s="302"/>
      <c r="I169" s="302"/>
      <c r="J169" s="302"/>
      <c r="K169" s="302"/>
      <c r="L169" s="302"/>
      <c r="M169" s="302"/>
      <c r="N169" s="302"/>
    </row>
    <row r="170" spans="2:14" ht="12.75" customHeight="1" x14ac:dyDescent="0.3">
      <c r="B170" s="284"/>
      <c r="C170" s="357">
        <f>[1]K_Summary!C160</f>
        <v>3</v>
      </c>
      <c r="D170" s="358" t="str">
        <f>[1]K_Summary!D160</f>
        <v>Инструмент за комбинирано производство — раздел D.III</v>
      </c>
      <c r="E170" s="359"/>
      <c r="F170" s="359"/>
      <c r="G170" s="359"/>
      <c r="H170" s="359"/>
      <c r="I170" s="359"/>
      <c r="J170" s="359"/>
      <c r="K170" s="359"/>
      <c r="L170" s="359"/>
      <c r="M170" s="359"/>
      <c r="N170" s="359"/>
    </row>
    <row r="171" spans="2:14" ht="12.75" customHeight="1" x14ac:dyDescent="0.25">
      <c r="B171" s="284"/>
      <c r="C171" s="284"/>
      <c r="D171" s="284"/>
      <c r="E171" s="284"/>
      <c r="F171" s="284"/>
      <c r="G171" s="284"/>
      <c r="H171" s="284"/>
      <c r="I171" s="284"/>
      <c r="J171" s="284"/>
      <c r="K171" s="284"/>
      <c r="L171" s="284"/>
      <c r="M171" s="336"/>
      <c r="N171" s="336"/>
    </row>
    <row r="172" spans="2:14" ht="12.75" customHeight="1" x14ac:dyDescent="0.25">
      <c r="B172" s="284"/>
      <c r="C172" s="284"/>
      <c r="D172" s="300" t="str">
        <f>[1]K_Summary!D162</f>
        <v>(a)</v>
      </c>
      <c r="E172" s="313" t="str">
        <f>[1]K_Summary!E162</f>
        <v>Инструмент за комбинирано производство 1</v>
      </c>
      <c r="F172" s="313"/>
      <c r="G172" s="313"/>
      <c r="H172" s="313"/>
      <c r="I172" s="313"/>
      <c r="J172" s="313"/>
      <c r="K172" s="313"/>
      <c r="L172" s="386"/>
      <c r="M172" s="478" t="str">
        <f>[1]K_Summary!M162</f>
        <v/>
      </c>
      <c r="N172" s="359"/>
    </row>
    <row r="173" spans="2:14" ht="12.75" customHeight="1" x14ac:dyDescent="0.25">
      <c r="B173" s="284"/>
      <c r="C173" s="302"/>
      <c r="D173" s="302"/>
      <c r="E173" s="302"/>
      <c r="F173" s="302"/>
      <c r="G173" s="302"/>
      <c r="H173" s="302"/>
      <c r="I173" s="302"/>
      <c r="J173" s="302"/>
      <c r="K173" s="302"/>
      <c r="L173" s="302"/>
      <c r="M173" s="302"/>
      <c r="N173" s="302"/>
    </row>
    <row r="174" spans="2:14" ht="12.75" customHeight="1" x14ac:dyDescent="0.25">
      <c r="B174" s="284"/>
      <c r="C174" s="302"/>
      <c r="D174" s="302"/>
      <c r="E174" s="389" t="str">
        <f>[1]K_Summary!E164</f>
        <v>Енергиен баланс</v>
      </c>
      <c r="F174" s="479"/>
      <c r="G174" s="479"/>
      <c r="H174" s="390" t="str">
        <f>[1]K_Summary!H164</f>
        <v>Единица мярка</v>
      </c>
      <c r="I174" s="391">
        <f>[1]K_Summary!I164</f>
        <v>2019</v>
      </c>
      <c r="J174" s="391">
        <f>[1]K_Summary!J164</f>
        <v>2020</v>
      </c>
      <c r="K174" s="391">
        <f>[1]K_Summary!K164</f>
        <v>2021</v>
      </c>
      <c r="L174" s="391">
        <f>[1]K_Summary!L164</f>
        <v>2022</v>
      </c>
      <c r="M174" s="391">
        <f>[1]K_Summary!M164</f>
        <v>2023</v>
      </c>
      <c r="N174" s="302"/>
    </row>
    <row r="175" spans="2:14" ht="12.75" customHeight="1" x14ac:dyDescent="0.25">
      <c r="B175" s="284"/>
      <c r="C175" s="302"/>
      <c r="D175" s="302"/>
      <c r="E175" s="388" t="str">
        <f>[1]K_Summary!E165</f>
        <v>Гориво, вложено в КПТЕ</v>
      </c>
      <c r="F175" s="388"/>
      <c r="G175" s="388"/>
      <c r="H175" s="421" t="str">
        <f>[1]K_Summary!H165</f>
        <v>TJ / година</v>
      </c>
      <c r="I175" s="480" t="str">
        <f>[1]K_Summary!I165</f>
        <v/>
      </c>
      <c r="J175" s="480" t="str">
        <f>[1]K_Summary!J165</f>
        <v/>
      </c>
      <c r="K175" s="480" t="str">
        <f>[1]K_Summary!K165</f>
        <v/>
      </c>
      <c r="L175" s="480" t="str">
        <f>[1]K_Summary!L165</f>
        <v/>
      </c>
      <c r="M175" s="480" t="str">
        <f>[1]K_Summary!M165</f>
        <v/>
      </c>
      <c r="N175" s="302"/>
    </row>
    <row r="176" spans="2:14" ht="12.75" customHeight="1" x14ac:dyDescent="0.25">
      <c r="B176" s="284"/>
      <c r="C176" s="302"/>
      <c r="D176" s="302"/>
      <c r="E176" s="392" t="str">
        <f>[1]K_Summary!E166</f>
        <v>Изходяща топлинна енергия от КПТЕ</v>
      </c>
      <c r="F176" s="392"/>
      <c r="G176" s="392"/>
      <c r="H176" s="481" t="str">
        <f>[1]K_Summary!H166</f>
        <v>TJ / година</v>
      </c>
      <c r="I176" s="482" t="str">
        <f>[1]K_Summary!I166</f>
        <v/>
      </c>
      <c r="J176" s="482" t="str">
        <f>[1]K_Summary!J166</f>
        <v/>
      </c>
      <c r="K176" s="482" t="str">
        <f>[1]K_Summary!K166</f>
        <v/>
      </c>
      <c r="L176" s="482" t="str">
        <f>[1]K_Summary!L166</f>
        <v/>
      </c>
      <c r="M176" s="482" t="str">
        <f>[1]K_Summary!M166</f>
        <v/>
      </c>
      <c r="N176" s="302"/>
    </row>
    <row r="177" spans="2:14" ht="12.75" customHeight="1" x14ac:dyDescent="0.25">
      <c r="B177" s="284"/>
      <c r="C177" s="302"/>
      <c r="D177" s="302"/>
      <c r="E177" s="401" t="str">
        <f>[1]K_Summary!E167</f>
        <v>Изходяща електроенергия от КПТЕ</v>
      </c>
      <c r="F177" s="401"/>
      <c r="G177" s="401"/>
      <c r="H177" s="483" t="str">
        <f>[1]K_Summary!H167</f>
        <v>TJ / година</v>
      </c>
      <c r="I177" s="484" t="str">
        <f>[1]K_Summary!I167</f>
        <v/>
      </c>
      <c r="J177" s="484" t="str">
        <f>[1]K_Summary!J167</f>
        <v/>
      </c>
      <c r="K177" s="484" t="str">
        <f>[1]K_Summary!K167</f>
        <v/>
      </c>
      <c r="L177" s="484" t="str">
        <f>[1]K_Summary!L167</f>
        <v/>
      </c>
      <c r="M177" s="484" t="str">
        <f>[1]K_Summary!M167</f>
        <v/>
      </c>
      <c r="N177" s="302"/>
    </row>
    <row r="178" spans="2:14" ht="12.75" customHeight="1" x14ac:dyDescent="0.25">
      <c r="B178" s="284"/>
      <c r="C178" s="302"/>
      <c r="D178" s="302"/>
      <c r="E178" s="302"/>
      <c r="F178" s="302"/>
      <c r="G178" s="302"/>
      <c r="H178" s="302"/>
      <c r="I178" s="302"/>
      <c r="J178" s="302"/>
      <c r="K178" s="302"/>
      <c r="L178" s="302"/>
      <c r="M178" s="302"/>
      <c r="N178" s="302"/>
    </row>
    <row r="179" spans="2:14" ht="12.75" customHeight="1" x14ac:dyDescent="0.25">
      <c r="B179" s="284"/>
      <c r="C179" s="302"/>
      <c r="D179" s="302"/>
      <c r="E179" s="389" t="str">
        <f>[1]K_Summary!E169</f>
        <v>Емисии</v>
      </c>
      <c r="F179" s="479"/>
      <c r="G179" s="479"/>
      <c r="H179" s="390" t="str">
        <f>[1]K_Summary!H169</f>
        <v>Единица мярка</v>
      </c>
      <c r="I179" s="391">
        <f>[1]K_Summary!I169</f>
        <v>2019</v>
      </c>
      <c r="J179" s="391">
        <f>[1]K_Summary!J169</f>
        <v>2020</v>
      </c>
      <c r="K179" s="391">
        <f>[1]K_Summary!K169</f>
        <v>2021</v>
      </c>
      <c r="L179" s="391">
        <f>[1]K_Summary!L169</f>
        <v>2022</v>
      </c>
      <c r="M179" s="391">
        <f>[1]K_Summary!M169</f>
        <v>2023</v>
      </c>
      <c r="N179" s="302"/>
    </row>
    <row r="180" spans="2:14" ht="12.75" customHeight="1" x14ac:dyDescent="0.25">
      <c r="B180" s="284"/>
      <c r="C180" s="302"/>
      <c r="D180" s="302"/>
      <c r="E180" s="392" t="str">
        <f>[1]K_Summary!E170</f>
        <v>От горива, вложени в КПТЕ</v>
      </c>
      <c r="F180" s="392"/>
      <c r="G180" s="392"/>
      <c r="H180" s="481" t="str">
        <f>[1]K_Summary!H170</f>
        <v>t CO2 / година</v>
      </c>
      <c r="I180" s="482" t="str">
        <f>[1]K_Summary!I170</f>
        <v/>
      </c>
      <c r="J180" s="482" t="str">
        <f>[1]K_Summary!J170</f>
        <v/>
      </c>
      <c r="K180" s="482" t="str">
        <f>[1]K_Summary!K170</f>
        <v/>
      </c>
      <c r="L180" s="482" t="str">
        <f>[1]K_Summary!L170</f>
        <v/>
      </c>
      <c r="M180" s="482" t="str">
        <f>[1]K_Summary!M170</f>
        <v/>
      </c>
      <c r="N180" s="302"/>
    </row>
    <row r="181" spans="2:14" ht="12.75" customHeight="1" x14ac:dyDescent="0.25">
      <c r="B181" s="284"/>
      <c r="C181" s="302"/>
      <c r="D181" s="302"/>
      <c r="E181" s="401" t="str">
        <f>[1]K_Summary!E171</f>
        <v>От очистване на димни газове</v>
      </c>
      <c r="F181" s="401"/>
      <c r="G181" s="401"/>
      <c r="H181" s="483" t="str">
        <f>[1]K_Summary!H171</f>
        <v>t CO2 / година</v>
      </c>
      <c r="I181" s="484" t="str">
        <f>[1]K_Summary!I171</f>
        <v/>
      </c>
      <c r="J181" s="484" t="str">
        <f>[1]K_Summary!J171</f>
        <v/>
      </c>
      <c r="K181" s="484" t="str">
        <f>[1]K_Summary!K171</f>
        <v/>
      </c>
      <c r="L181" s="484" t="str">
        <f>[1]K_Summary!L171</f>
        <v/>
      </c>
      <c r="M181" s="484" t="str">
        <f>[1]K_Summary!M171</f>
        <v/>
      </c>
      <c r="N181" s="302"/>
    </row>
    <row r="182" spans="2:14" ht="12.75" customHeight="1" x14ac:dyDescent="0.25">
      <c r="B182" s="284"/>
      <c r="C182" s="302"/>
      <c r="D182" s="302"/>
      <c r="E182" s="388" t="str">
        <f>[1]K_Summary!E172</f>
        <v>Общо емисии</v>
      </c>
      <c r="F182" s="388"/>
      <c r="G182" s="388"/>
      <c r="H182" s="421" t="str">
        <f>[1]K_Summary!H172</f>
        <v>t CO2 / година</v>
      </c>
      <c r="I182" s="480" t="str">
        <f>[1]K_Summary!I172</f>
        <v/>
      </c>
      <c r="J182" s="480" t="str">
        <f>[1]K_Summary!J172</f>
        <v/>
      </c>
      <c r="K182" s="480" t="str">
        <f>[1]K_Summary!K172</f>
        <v/>
      </c>
      <c r="L182" s="480" t="str">
        <f>[1]K_Summary!L172</f>
        <v/>
      </c>
      <c r="M182" s="480" t="str">
        <f>[1]K_Summary!M172</f>
        <v/>
      </c>
      <c r="N182" s="302"/>
    </row>
    <row r="183" spans="2:14" ht="12.75" customHeight="1" x14ac:dyDescent="0.25">
      <c r="B183" s="284"/>
      <c r="C183" s="302"/>
      <c r="D183" s="302"/>
      <c r="E183" s="364"/>
      <c r="F183" s="364"/>
      <c r="G183" s="364"/>
      <c r="H183" s="364"/>
      <c r="I183" s="364"/>
      <c r="J183" s="364"/>
      <c r="K183" s="364"/>
      <c r="L183" s="364"/>
      <c r="M183" s="364"/>
      <c r="N183" s="302"/>
    </row>
    <row r="184" spans="2:14" ht="12.75" customHeight="1" x14ac:dyDescent="0.25">
      <c r="B184" s="284"/>
      <c r="C184" s="302"/>
      <c r="D184" s="302"/>
      <c r="E184" s="389" t="str">
        <f>[1]K_Summary!E174</f>
        <v>Стойности на к.п.д.</v>
      </c>
      <c r="F184" s="479"/>
      <c r="G184" s="479"/>
      <c r="H184" s="390" t="str">
        <f>[1]K_Summary!H174</f>
        <v>Единица мярка</v>
      </c>
      <c r="I184" s="391">
        <f>[1]K_Summary!I174</f>
        <v>2019</v>
      </c>
      <c r="J184" s="391">
        <f>[1]K_Summary!J174</f>
        <v>2020</v>
      </c>
      <c r="K184" s="391">
        <f>[1]K_Summary!K174</f>
        <v>2021</v>
      </c>
      <c r="L184" s="391">
        <f>[1]K_Summary!L174</f>
        <v>2022</v>
      </c>
      <c r="M184" s="391">
        <f>[1]K_Summary!M174</f>
        <v>2023</v>
      </c>
      <c r="N184" s="302"/>
    </row>
    <row r="185" spans="2:14" ht="12.75" customHeight="1" x14ac:dyDescent="0.25">
      <c r="B185" s="284"/>
      <c r="C185" s="302"/>
      <c r="D185" s="302"/>
      <c r="E185" s="392" t="str">
        <f>[1]K_Summary!E175</f>
        <v>Производство на топлинна енергия</v>
      </c>
      <c r="F185" s="392"/>
      <c r="G185" s="392"/>
      <c r="H185" s="485" t="str">
        <f>[1]K_Summary!H175</f>
        <v>-</v>
      </c>
      <c r="I185" s="486" t="str">
        <f>[1]K_Summary!I175</f>
        <v/>
      </c>
      <c r="J185" s="486" t="str">
        <f>[1]K_Summary!J175</f>
        <v/>
      </c>
      <c r="K185" s="486" t="str">
        <f>[1]K_Summary!K175</f>
        <v/>
      </c>
      <c r="L185" s="486" t="str">
        <f>[1]K_Summary!L175</f>
        <v/>
      </c>
      <c r="M185" s="486" t="str">
        <f>[1]K_Summary!M175</f>
        <v/>
      </c>
      <c r="N185" s="302"/>
    </row>
    <row r="186" spans="2:14" ht="12.75" customHeight="1" x14ac:dyDescent="0.25">
      <c r="B186" s="284"/>
      <c r="C186" s="302"/>
      <c r="D186" s="302"/>
      <c r="E186" s="401" t="str">
        <f>[1]K_Summary!E176</f>
        <v>Производство на електроенергия</v>
      </c>
      <c r="F186" s="401"/>
      <c r="G186" s="401"/>
      <c r="H186" s="487" t="str">
        <f>[1]K_Summary!H176</f>
        <v>-</v>
      </c>
      <c r="I186" s="488" t="str">
        <f>[1]K_Summary!I176</f>
        <v/>
      </c>
      <c r="J186" s="488" t="str">
        <f>[1]K_Summary!J176</f>
        <v/>
      </c>
      <c r="K186" s="488" t="str">
        <f>[1]K_Summary!K176</f>
        <v/>
      </c>
      <c r="L186" s="488" t="str">
        <f>[1]K_Summary!L176</f>
        <v/>
      </c>
      <c r="M186" s="488" t="str">
        <f>[1]K_Summary!M176</f>
        <v/>
      </c>
      <c r="N186" s="302"/>
    </row>
    <row r="187" spans="2:14" ht="12.75" customHeight="1" x14ac:dyDescent="0.25">
      <c r="B187" s="284"/>
      <c r="C187" s="302"/>
      <c r="D187" s="302"/>
      <c r="E187" s="392" t="str">
        <f>[1]K_Summary!E177</f>
        <v>Производство на топлинна енергия (референтно)</v>
      </c>
      <c r="F187" s="392"/>
      <c r="G187" s="392"/>
      <c r="H187" s="485" t="str">
        <f>[1]K_Summary!H177</f>
        <v>-</v>
      </c>
      <c r="I187" s="489" t="str">
        <f>[1]K_Summary!I177</f>
        <v/>
      </c>
      <c r="J187" s="489" t="str">
        <f>[1]K_Summary!J177</f>
        <v/>
      </c>
      <c r="K187" s="489" t="str">
        <f>[1]K_Summary!K177</f>
        <v/>
      </c>
      <c r="L187" s="489" t="str">
        <f>[1]K_Summary!L177</f>
        <v/>
      </c>
      <c r="M187" s="489" t="str">
        <f>[1]K_Summary!M177</f>
        <v/>
      </c>
      <c r="N187" s="302"/>
    </row>
    <row r="188" spans="2:14" ht="12.75" customHeight="1" x14ac:dyDescent="0.25">
      <c r="B188" s="284"/>
      <c r="C188" s="302"/>
      <c r="D188" s="302"/>
      <c r="E188" s="401" t="str">
        <f>[1]K_Summary!E178</f>
        <v>Производство на електроенергия (референтно)</v>
      </c>
      <c r="F188" s="401"/>
      <c r="G188" s="401"/>
      <c r="H188" s="487" t="str">
        <f>[1]K_Summary!H178</f>
        <v>-</v>
      </c>
      <c r="I188" s="490" t="str">
        <f>[1]K_Summary!I178</f>
        <v/>
      </c>
      <c r="J188" s="490" t="str">
        <f>[1]K_Summary!J178</f>
        <v/>
      </c>
      <c r="K188" s="490" t="str">
        <f>[1]K_Summary!K178</f>
        <v/>
      </c>
      <c r="L188" s="490" t="str">
        <f>[1]K_Summary!L178</f>
        <v/>
      </c>
      <c r="M188" s="490" t="str">
        <f>[1]K_Summary!M178</f>
        <v/>
      </c>
      <c r="N188" s="302"/>
    </row>
    <row r="189" spans="2:14" ht="12.75" customHeight="1" x14ac:dyDescent="0.25">
      <c r="B189" s="284"/>
      <c r="C189" s="302"/>
      <c r="D189" s="302"/>
      <c r="E189" s="302"/>
      <c r="F189" s="302"/>
      <c r="G189" s="302"/>
      <c r="H189" s="302"/>
      <c r="I189" s="302"/>
      <c r="J189" s="302"/>
      <c r="K189" s="302"/>
      <c r="L189" s="302"/>
      <c r="M189" s="302"/>
      <c r="N189" s="302"/>
    </row>
    <row r="190" spans="2:14" ht="12.75" customHeight="1" x14ac:dyDescent="0.25">
      <c r="B190" s="284"/>
      <c r="C190" s="302"/>
      <c r="D190" s="302"/>
      <c r="E190" s="389" t="str">
        <f>[1]K_Summary!E180</f>
        <v>Резултати</v>
      </c>
      <c r="F190" s="479"/>
      <c r="G190" s="479"/>
      <c r="H190" s="390" t="str">
        <f>[1]K_Summary!H180</f>
        <v>Единица мярка</v>
      </c>
      <c r="I190" s="391">
        <f>[1]K_Summary!I180</f>
        <v>2019</v>
      </c>
      <c r="J190" s="391">
        <f>[1]K_Summary!J180</f>
        <v>2020</v>
      </c>
      <c r="K190" s="391">
        <f>[1]K_Summary!K180</f>
        <v>2021</v>
      </c>
      <c r="L190" s="391">
        <f>[1]K_Summary!L180</f>
        <v>2022</v>
      </c>
      <c r="M190" s="391">
        <f>[1]K_Summary!M180</f>
        <v>2023</v>
      </c>
      <c r="N190" s="302"/>
    </row>
    <row r="191" spans="2:14" ht="12.75" customHeight="1" x14ac:dyDescent="0.25">
      <c r="B191" s="284"/>
      <c r="C191" s="302"/>
      <c r="D191" s="302"/>
      <c r="E191" s="491" t="str">
        <f>[1]K_Summary!E181</f>
        <v>Емисии, свързани с производство на топлинна енергия</v>
      </c>
      <c r="F191" s="491"/>
      <c r="G191" s="491"/>
      <c r="H191" s="492" t="str">
        <f>[1]K_Summary!H181</f>
        <v>t CO2 / година</v>
      </c>
      <c r="I191" s="493" t="str">
        <f>[1]K_Summary!I181</f>
        <v/>
      </c>
      <c r="J191" s="493" t="str">
        <f>[1]K_Summary!J181</f>
        <v/>
      </c>
      <c r="K191" s="493" t="str">
        <f>[1]K_Summary!K181</f>
        <v/>
      </c>
      <c r="L191" s="493" t="str">
        <f>[1]K_Summary!L181</f>
        <v/>
      </c>
      <c r="M191" s="493" t="str">
        <f>[1]K_Summary!M181</f>
        <v/>
      </c>
      <c r="N191" s="302"/>
    </row>
    <row r="192" spans="2:14" ht="12.75" customHeight="1" x14ac:dyDescent="0.25">
      <c r="B192" s="284"/>
      <c r="C192" s="302"/>
      <c r="D192" s="302"/>
      <c r="E192" s="388" t="str">
        <f>[1]K_Summary!E182</f>
        <v>Емисионен фактор, топлинна енергия:</v>
      </c>
      <c r="F192" s="388"/>
      <c r="G192" s="388"/>
      <c r="H192" s="421" t="str">
        <f>[1]K_Summary!H182</f>
        <v>t CO2 / TJ</v>
      </c>
      <c r="I192" s="480" t="str">
        <f>[1]K_Summary!I182</f>
        <v/>
      </c>
      <c r="J192" s="480" t="str">
        <f>[1]K_Summary!J182</f>
        <v/>
      </c>
      <c r="K192" s="480" t="str">
        <f>[1]K_Summary!K182</f>
        <v/>
      </c>
      <c r="L192" s="480" t="str">
        <f>[1]K_Summary!L182</f>
        <v/>
      </c>
      <c r="M192" s="480" t="str">
        <f>[1]K_Summary!M182</f>
        <v/>
      </c>
      <c r="N192" s="302"/>
    </row>
    <row r="193" spans="2:14" ht="12.75" customHeight="1" x14ac:dyDescent="0.25">
      <c r="B193" s="284"/>
      <c r="C193" s="302"/>
      <c r="D193" s="302"/>
      <c r="E193" s="302"/>
      <c r="F193" s="302"/>
      <c r="G193" s="302"/>
      <c r="H193" s="302"/>
      <c r="I193" s="302"/>
      <c r="J193" s="302"/>
      <c r="K193" s="302"/>
      <c r="L193" s="302"/>
      <c r="M193" s="302"/>
      <c r="N193" s="302"/>
    </row>
    <row r="194" spans="2:14" ht="12.75" customHeight="1" x14ac:dyDescent="0.25">
      <c r="B194" s="284"/>
      <c r="C194" s="302"/>
      <c r="D194" s="302"/>
      <c r="E194" s="392" t="str">
        <f>[1]K_Summary!E184</f>
        <v>Вложени горива за топлинна енергия</v>
      </c>
      <c r="F194" s="392"/>
      <c r="G194" s="392"/>
      <c r="H194" s="481" t="str">
        <f>[1]K_Summary!H184</f>
        <v>TJ / година</v>
      </c>
      <c r="I194" s="482" t="str">
        <f>[1]K_Summary!I184</f>
        <v/>
      </c>
      <c r="J194" s="482" t="str">
        <f>[1]K_Summary!J184</f>
        <v/>
      </c>
      <c r="K194" s="482" t="str">
        <f>[1]K_Summary!K184</f>
        <v/>
      </c>
      <c r="L194" s="482" t="str">
        <f>[1]K_Summary!L184</f>
        <v/>
      </c>
      <c r="M194" s="482" t="str">
        <f>[1]K_Summary!M184</f>
        <v/>
      </c>
      <c r="N194" s="302"/>
    </row>
    <row r="195" spans="2:14" ht="12.75" customHeight="1" x14ac:dyDescent="0.25">
      <c r="B195" s="284"/>
      <c r="C195" s="302"/>
      <c r="D195" s="302"/>
      <c r="E195" s="401" t="str">
        <f>[1]K_Summary!E185</f>
        <v>Вложени горива за електроенергия</v>
      </c>
      <c r="F195" s="401"/>
      <c r="G195" s="401"/>
      <c r="H195" s="483" t="str">
        <f>[1]K_Summary!H185</f>
        <v>TJ / година</v>
      </c>
      <c r="I195" s="484" t="str">
        <f>[1]K_Summary!I185</f>
        <v/>
      </c>
      <c r="J195" s="484" t="str">
        <f>[1]K_Summary!J185</f>
        <v/>
      </c>
      <c r="K195" s="484" t="str">
        <f>[1]K_Summary!K185</f>
        <v/>
      </c>
      <c r="L195" s="484" t="str">
        <f>[1]K_Summary!L185</f>
        <v/>
      </c>
      <c r="M195" s="484" t="str">
        <f>[1]K_Summary!M185</f>
        <v/>
      </c>
      <c r="N195" s="302"/>
    </row>
    <row r="196" spans="2:14" ht="12.75" customHeight="1" x14ac:dyDescent="0.25">
      <c r="B196" s="284"/>
      <c r="C196" s="284"/>
      <c r="D196" s="284"/>
      <c r="E196" s="284"/>
      <c r="F196" s="284"/>
      <c r="G196" s="284"/>
      <c r="H196" s="284"/>
      <c r="I196" s="284"/>
      <c r="J196" s="284"/>
      <c r="K196" s="284"/>
      <c r="L196" s="284"/>
      <c r="M196" s="336"/>
      <c r="N196" s="336"/>
    </row>
    <row r="197" spans="2:14" ht="12.75" customHeight="1" x14ac:dyDescent="0.25">
      <c r="B197" s="284"/>
      <c r="C197" s="284"/>
      <c r="D197" s="300" t="str">
        <f>[1]K_Summary!D187</f>
        <v>(b)</v>
      </c>
      <c r="E197" s="313" t="str">
        <f>[1]K_Summary!E187</f>
        <v>Инструмент за комбинирано производство 2</v>
      </c>
      <c r="F197" s="313"/>
      <c r="G197" s="313"/>
      <c r="H197" s="313"/>
      <c r="I197" s="313"/>
      <c r="J197" s="313"/>
      <c r="K197" s="313"/>
      <c r="L197" s="386"/>
      <c r="M197" s="478" t="str">
        <f>[1]K_Summary!M187</f>
        <v/>
      </c>
      <c r="N197" s="359"/>
    </row>
    <row r="198" spans="2:14" ht="12.75" customHeight="1" x14ac:dyDescent="0.25">
      <c r="B198" s="284"/>
      <c r="C198" s="302"/>
      <c r="D198" s="302"/>
      <c r="E198" s="302"/>
      <c r="F198" s="302"/>
      <c r="G198" s="302"/>
      <c r="H198" s="302"/>
      <c r="I198" s="302"/>
      <c r="J198" s="302"/>
      <c r="K198" s="302"/>
      <c r="L198" s="302"/>
      <c r="M198" s="302"/>
      <c r="N198" s="302"/>
    </row>
    <row r="199" spans="2:14" ht="12.75" customHeight="1" x14ac:dyDescent="0.25">
      <c r="B199" s="284"/>
      <c r="C199" s="302"/>
      <c r="D199" s="302"/>
      <c r="E199" s="389" t="str">
        <f>[1]K_Summary!E189</f>
        <v>Енергиен баланс</v>
      </c>
      <c r="F199" s="479"/>
      <c r="G199" s="479"/>
      <c r="H199" s="390" t="str">
        <f>[1]K_Summary!H189</f>
        <v>Единица мярка</v>
      </c>
      <c r="I199" s="391">
        <f>[1]K_Summary!I189</f>
        <v>2019</v>
      </c>
      <c r="J199" s="391">
        <f>[1]K_Summary!J189</f>
        <v>2020</v>
      </c>
      <c r="K199" s="391">
        <f>[1]K_Summary!K189</f>
        <v>2021</v>
      </c>
      <c r="L199" s="391">
        <f>[1]K_Summary!L189</f>
        <v>2022</v>
      </c>
      <c r="M199" s="391">
        <f>[1]K_Summary!M189</f>
        <v>2023</v>
      </c>
      <c r="N199" s="302"/>
    </row>
    <row r="200" spans="2:14" ht="12.75" customHeight="1" x14ac:dyDescent="0.25">
      <c r="B200" s="284"/>
      <c r="C200" s="302"/>
      <c r="D200" s="302"/>
      <c r="E200" s="388" t="str">
        <f>[1]K_Summary!E190</f>
        <v>Гориво, вложено в КПТЕ</v>
      </c>
      <c r="F200" s="388"/>
      <c r="G200" s="388"/>
      <c r="H200" s="421" t="str">
        <f>[1]K_Summary!H190</f>
        <v>TJ / година</v>
      </c>
      <c r="I200" s="480" t="str">
        <f>[1]K_Summary!I190</f>
        <v/>
      </c>
      <c r="J200" s="480" t="str">
        <f>[1]K_Summary!J190</f>
        <v/>
      </c>
      <c r="K200" s="480" t="str">
        <f>[1]K_Summary!K190</f>
        <v/>
      </c>
      <c r="L200" s="480" t="str">
        <f>[1]K_Summary!L190</f>
        <v/>
      </c>
      <c r="M200" s="480" t="str">
        <f>[1]K_Summary!M190</f>
        <v/>
      </c>
      <c r="N200" s="302"/>
    </row>
    <row r="201" spans="2:14" ht="12.75" customHeight="1" x14ac:dyDescent="0.25">
      <c r="B201" s="284"/>
      <c r="C201" s="302"/>
      <c r="D201" s="302"/>
      <c r="E201" s="392" t="str">
        <f>[1]K_Summary!E191</f>
        <v>Изходяща топлинна енергия от КПТЕ</v>
      </c>
      <c r="F201" s="392"/>
      <c r="G201" s="392"/>
      <c r="H201" s="481" t="str">
        <f>[1]K_Summary!H191</f>
        <v>TJ / година</v>
      </c>
      <c r="I201" s="482" t="str">
        <f>[1]K_Summary!I191</f>
        <v/>
      </c>
      <c r="J201" s="482" t="str">
        <f>[1]K_Summary!J191</f>
        <v/>
      </c>
      <c r="K201" s="482" t="str">
        <f>[1]K_Summary!K191</f>
        <v/>
      </c>
      <c r="L201" s="482" t="str">
        <f>[1]K_Summary!L191</f>
        <v/>
      </c>
      <c r="M201" s="482" t="str">
        <f>[1]K_Summary!M191</f>
        <v/>
      </c>
      <c r="N201" s="302"/>
    </row>
    <row r="202" spans="2:14" ht="12.75" customHeight="1" x14ac:dyDescent="0.25">
      <c r="B202" s="284"/>
      <c r="C202" s="302"/>
      <c r="D202" s="302"/>
      <c r="E202" s="401" t="str">
        <f>[1]K_Summary!E192</f>
        <v>Изходяща електроенергия от КПТЕ</v>
      </c>
      <c r="F202" s="401"/>
      <c r="G202" s="401"/>
      <c r="H202" s="483" t="str">
        <f>[1]K_Summary!H192</f>
        <v>TJ / година</v>
      </c>
      <c r="I202" s="484" t="str">
        <f>[1]K_Summary!I192</f>
        <v/>
      </c>
      <c r="J202" s="484" t="str">
        <f>[1]K_Summary!J192</f>
        <v/>
      </c>
      <c r="K202" s="484" t="str">
        <f>[1]K_Summary!K192</f>
        <v/>
      </c>
      <c r="L202" s="484" t="str">
        <f>[1]K_Summary!L192</f>
        <v/>
      </c>
      <c r="M202" s="484" t="str">
        <f>[1]K_Summary!M192</f>
        <v/>
      </c>
      <c r="N202" s="302"/>
    </row>
    <row r="203" spans="2:14" ht="12.75" customHeight="1" x14ac:dyDescent="0.25">
      <c r="B203" s="284"/>
      <c r="C203" s="302"/>
      <c r="D203" s="302"/>
      <c r="E203" s="302"/>
      <c r="F203" s="302"/>
      <c r="G203" s="302"/>
      <c r="H203" s="302"/>
      <c r="I203" s="302"/>
      <c r="J203" s="302"/>
      <c r="K203" s="302"/>
      <c r="L203" s="302"/>
      <c r="M203" s="302"/>
      <c r="N203" s="302"/>
    </row>
    <row r="204" spans="2:14" ht="12.75" customHeight="1" x14ac:dyDescent="0.25">
      <c r="B204" s="284"/>
      <c r="C204" s="284"/>
      <c r="D204" s="302"/>
      <c r="E204" s="389" t="str">
        <f>[1]K_Summary!E194</f>
        <v>Емисии</v>
      </c>
      <c r="F204" s="479"/>
      <c r="G204" s="479"/>
      <c r="H204" s="390" t="str">
        <f>[1]K_Summary!H194</f>
        <v>Единица мярка</v>
      </c>
      <c r="I204" s="391">
        <f>[1]K_Summary!I194</f>
        <v>2019</v>
      </c>
      <c r="J204" s="391">
        <f>[1]K_Summary!J194</f>
        <v>2020</v>
      </c>
      <c r="K204" s="391">
        <f>[1]K_Summary!K194</f>
        <v>2021</v>
      </c>
      <c r="L204" s="391">
        <f>[1]K_Summary!L194</f>
        <v>2022</v>
      </c>
      <c r="M204" s="391">
        <f>[1]K_Summary!M194</f>
        <v>2023</v>
      </c>
      <c r="N204" s="359"/>
    </row>
    <row r="205" spans="2:14" ht="12.75" customHeight="1" x14ac:dyDescent="0.25">
      <c r="B205" s="284"/>
      <c r="C205" s="302"/>
      <c r="D205" s="302"/>
      <c r="E205" s="392" t="str">
        <f>[1]K_Summary!E195</f>
        <v>От горива, вложени в КПТЕ</v>
      </c>
      <c r="F205" s="392"/>
      <c r="G205" s="392"/>
      <c r="H205" s="481" t="str">
        <f>[1]K_Summary!H195</f>
        <v>t CO2 / година</v>
      </c>
      <c r="I205" s="482" t="str">
        <f>[1]K_Summary!I195</f>
        <v/>
      </c>
      <c r="J205" s="482" t="str">
        <f>[1]K_Summary!J195</f>
        <v/>
      </c>
      <c r="K205" s="482" t="str">
        <f>[1]K_Summary!K195</f>
        <v/>
      </c>
      <c r="L205" s="482" t="str">
        <f>[1]K_Summary!L195</f>
        <v/>
      </c>
      <c r="M205" s="482" t="str">
        <f>[1]K_Summary!M195</f>
        <v/>
      </c>
      <c r="N205" s="302"/>
    </row>
    <row r="206" spans="2:14" ht="12.75" customHeight="1" x14ac:dyDescent="0.25">
      <c r="B206" s="284"/>
      <c r="C206" s="302"/>
      <c r="D206" s="302"/>
      <c r="E206" s="401" t="str">
        <f>[1]K_Summary!E196</f>
        <v>От очистване на димни газове</v>
      </c>
      <c r="F206" s="401"/>
      <c r="G206" s="401"/>
      <c r="H206" s="483" t="str">
        <f>[1]K_Summary!H196</f>
        <v>t CO2 / година</v>
      </c>
      <c r="I206" s="484" t="str">
        <f>[1]K_Summary!I196</f>
        <v/>
      </c>
      <c r="J206" s="484" t="str">
        <f>[1]K_Summary!J196</f>
        <v/>
      </c>
      <c r="K206" s="484" t="str">
        <f>[1]K_Summary!K196</f>
        <v/>
      </c>
      <c r="L206" s="484" t="str">
        <f>[1]K_Summary!L196</f>
        <v/>
      </c>
      <c r="M206" s="484" t="str">
        <f>[1]K_Summary!M196</f>
        <v/>
      </c>
      <c r="N206" s="302"/>
    </row>
    <row r="207" spans="2:14" ht="12.75" customHeight="1" x14ac:dyDescent="0.25">
      <c r="B207" s="284"/>
      <c r="C207" s="302"/>
      <c r="D207" s="302"/>
      <c r="E207" s="388" t="str">
        <f>[1]K_Summary!E197</f>
        <v>Общо емисии</v>
      </c>
      <c r="F207" s="388"/>
      <c r="G207" s="388"/>
      <c r="H207" s="421" t="str">
        <f>[1]K_Summary!H197</f>
        <v>t CO2 / година</v>
      </c>
      <c r="I207" s="480" t="str">
        <f>[1]K_Summary!I197</f>
        <v/>
      </c>
      <c r="J207" s="480" t="str">
        <f>[1]K_Summary!J197</f>
        <v/>
      </c>
      <c r="K207" s="480" t="str">
        <f>[1]K_Summary!K197</f>
        <v/>
      </c>
      <c r="L207" s="480" t="str">
        <f>[1]K_Summary!L197</f>
        <v/>
      </c>
      <c r="M207" s="480" t="str">
        <f>[1]K_Summary!M197</f>
        <v/>
      </c>
      <c r="N207" s="302"/>
    </row>
    <row r="208" spans="2:14" ht="12.75" customHeight="1" x14ac:dyDescent="0.25">
      <c r="B208" s="284"/>
      <c r="C208" s="302"/>
      <c r="D208" s="302"/>
      <c r="E208" s="364"/>
      <c r="F208" s="364"/>
      <c r="G208" s="364"/>
      <c r="H208" s="364"/>
      <c r="I208" s="364"/>
      <c r="J208" s="364"/>
      <c r="K208" s="364"/>
      <c r="L208" s="364"/>
      <c r="M208" s="364"/>
      <c r="N208" s="302"/>
    </row>
    <row r="209" spans="2:14" ht="12.75" customHeight="1" x14ac:dyDescent="0.25">
      <c r="B209" s="284"/>
      <c r="C209" s="302"/>
      <c r="D209" s="302"/>
      <c r="E209" s="389" t="str">
        <f>[1]K_Summary!E199</f>
        <v>Стойности на к.п.д.</v>
      </c>
      <c r="F209" s="479"/>
      <c r="G209" s="479"/>
      <c r="H209" s="390" t="str">
        <f>[1]K_Summary!H199</f>
        <v>Единица мярка</v>
      </c>
      <c r="I209" s="391">
        <f>[1]K_Summary!I199</f>
        <v>2019</v>
      </c>
      <c r="J209" s="391">
        <f>[1]K_Summary!J199</f>
        <v>2020</v>
      </c>
      <c r="K209" s="391">
        <f>[1]K_Summary!K199</f>
        <v>2021</v>
      </c>
      <c r="L209" s="391">
        <f>[1]K_Summary!L199</f>
        <v>2022</v>
      </c>
      <c r="M209" s="391">
        <f>[1]K_Summary!M199</f>
        <v>2023</v>
      </c>
      <c r="N209" s="302"/>
    </row>
    <row r="210" spans="2:14" ht="12.75" customHeight="1" x14ac:dyDescent="0.25">
      <c r="B210" s="284"/>
      <c r="C210" s="302"/>
      <c r="D210" s="302"/>
      <c r="E210" s="392" t="str">
        <f>[1]K_Summary!E200</f>
        <v>Производство на топлинна енергия</v>
      </c>
      <c r="F210" s="392"/>
      <c r="G210" s="392"/>
      <c r="H210" s="485" t="str">
        <f>[1]K_Summary!H200</f>
        <v>-</v>
      </c>
      <c r="I210" s="486" t="str">
        <f>[1]K_Summary!I200</f>
        <v/>
      </c>
      <c r="J210" s="486" t="str">
        <f>[1]K_Summary!J200</f>
        <v/>
      </c>
      <c r="K210" s="486" t="str">
        <f>[1]K_Summary!K200</f>
        <v/>
      </c>
      <c r="L210" s="486" t="str">
        <f>[1]K_Summary!L200</f>
        <v/>
      </c>
      <c r="M210" s="486" t="str">
        <f>[1]K_Summary!M200</f>
        <v/>
      </c>
      <c r="N210" s="302"/>
    </row>
    <row r="211" spans="2:14" ht="12.75" customHeight="1" x14ac:dyDescent="0.25">
      <c r="B211" s="284"/>
      <c r="C211" s="302"/>
      <c r="D211" s="302"/>
      <c r="E211" s="401" t="str">
        <f>[1]K_Summary!E201</f>
        <v>Производство на електроенергия</v>
      </c>
      <c r="F211" s="401"/>
      <c r="G211" s="401"/>
      <c r="H211" s="487" t="str">
        <f>[1]K_Summary!H201</f>
        <v>-</v>
      </c>
      <c r="I211" s="488" t="str">
        <f>[1]K_Summary!I201</f>
        <v/>
      </c>
      <c r="J211" s="488" t="str">
        <f>[1]K_Summary!J201</f>
        <v/>
      </c>
      <c r="K211" s="488" t="str">
        <f>[1]K_Summary!K201</f>
        <v/>
      </c>
      <c r="L211" s="488" t="str">
        <f>[1]K_Summary!L201</f>
        <v/>
      </c>
      <c r="M211" s="488" t="str">
        <f>[1]K_Summary!M201</f>
        <v/>
      </c>
      <c r="N211" s="302"/>
    </row>
    <row r="212" spans="2:14" ht="12.75" customHeight="1" x14ac:dyDescent="0.25">
      <c r="B212" s="284"/>
      <c r="C212" s="302"/>
      <c r="D212" s="302"/>
      <c r="E212" s="392" t="str">
        <f>[1]K_Summary!E202</f>
        <v>Производство на топлинна енергия (референтно)</v>
      </c>
      <c r="F212" s="392"/>
      <c r="G212" s="392"/>
      <c r="H212" s="485" t="str">
        <f>[1]K_Summary!H202</f>
        <v>-</v>
      </c>
      <c r="I212" s="489" t="str">
        <f>[1]K_Summary!I202</f>
        <v/>
      </c>
      <c r="J212" s="489" t="str">
        <f>[1]K_Summary!J202</f>
        <v/>
      </c>
      <c r="K212" s="489" t="str">
        <f>[1]K_Summary!K202</f>
        <v/>
      </c>
      <c r="L212" s="489" t="str">
        <f>[1]K_Summary!L202</f>
        <v/>
      </c>
      <c r="M212" s="489" t="str">
        <f>[1]K_Summary!M202</f>
        <v/>
      </c>
      <c r="N212" s="302"/>
    </row>
    <row r="213" spans="2:14" ht="12.75" customHeight="1" x14ac:dyDescent="0.25">
      <c r="B213" s="284"/>
      <c r="C213" s="302"/>
      <c r="D213" s="302"/>
      <c r="E213" s="401" t="str">
        <f>[1]K_Summary!E203</f>
        <v>Производство на електроенергия (референтно)</v>
      </c>
      <c r="F213" s="401"/>
      <c r="G213" s="401"/>
      <c r="H213" s="487" t="str">
        <f>[1]K_Summary!H203</f>
        <v>-</v>
      </c>
      <c r="I213" s="490" t="str">
        <f>[1]K_Summary!I203</f>
        <v/>
      </c>
      <c r="J213" s="490" t="str">
        <f>[1]K_Summary!J203</f>
        <v/>
      </c>
      <c r="K213" s="490" t="str">
        <f>[1]K_Summary!K203</f>
        <v/>
      </c>
      <c r="L213" s="490" t="str">
        <f>[1]K_Summary!L203</f>
        <v/>
      </c>
      <c r="M213" s="490" t="str">
        <f>[1]K_Summary!M203</f>
        <v/>
      </c>
      <c r="N213" s="302"/>
    </row>
    <row r="214" spans="2:14" ht="12.75" customHeight="1" x14ac:dyDescent="0.25">
      <c r="B214" s="284"/>
      <c r="C214" s="302"/>
      <c r="D214" s="302"/>
      <c r="E214" s="302"/>
      <c r="F214" s="302"/>
      <c r="G214" s="302"/>
      <c r="H214" s="302"/>
      <c r="I214" s="302"/>
      <c r="J214" s="302"/>
      <c r="K214" s="302"/>
      <c r="L214" s="302"/>
      <c r="M214" s="302"/>
      <c r="N214" s="302"/>
    </row>
    <row r="215" spans="2:14" ht="12.75" customHeight="1" x14ac:dyDescent="0.25">
      <c r="B215" s="284"/>
      <c r="C215" s="302"/>
      <c r="D215" s="302"/>
      <c r="E215" s="389" t="str">
        <f>[1]K_Summary!E205</f>
        <v>Резултати</v>
      </c>
      <c r="F215" s="479"/>
      <c r="G215" s="479"/>
      <c r="H215" s="390" t="str">
        <f>[1]K_Summary!H205</f>
        <v>Единица мярка</v>
      </c>
      <c r="I215" s="391">
        <f>[1]K_Summary!I205</f>
        <v>2019</v>
      </c>
      <c r="J215" s="391">
        <f>[1]K_Summary!J205</f>
        <v>2020</v>
      </c>
      <c r="K215" s="391">
        <f>[1]K_Summary!K205</f>
        <v>2021</v>
      </c>
      <c r="L215" s="391">
        <f>[1]K_Summary!L205</f>
        <v>2022</v>
      </c>
      <c r="M215" s="391">
        <f>[1]K_Summary!M205</f>
        <v>2023</v>
      </c>
      <c r="N215" s="302"/>
    </row>
    <row r="216" spans="2:14" ht="12.75" customHeight="1" x14ac:dyDescent="0.25">
      <c r="B216" s="284"/>
      <c r="C216" s="302"/>
      <c r="D216" s="302"/>
      <c r="E216" s="491" t="str">
        <f>[1]K_Summary!E206</f>
        <v>Емисии, свързани с производство на топлинна енергия</v>
      </c>
      <c r="F216" s="491"/>
      <c r="G216" s="491"/>
      <c r="H216" s="492" t="str">
        <f>[1]K_Summary!H206</f>
        <v>t CO2 / година</v>
      </c>
      <c r="I216" s="493" t="str">
        <f>[1]K_Summary!I206</f>
        <v/>
      </c>
      <c r="J216" s="493" t="str">
        <f>[1]K_Summary!J206</f>
        <v/>
      </c>
      <c r="K216" s="493" t="str">
        <f>[1]K_Summary!K206</f>
        <v/>
      </c>
      <c r="L216" s="493" t="str">
        <f>[1]K_Summary!L206</f>
        <v/>
      </c>
      <c r="M216" s="493" t="str">
        <f>[1]K_Summary!M206</f>
        <v/>
      </c>
      <c r="N216" s="302"/>
    </row>
    <row r="217" spans="2:14" ht="12.75" customHeight="1" x14ac:dyDescent="0.25">
      <c r="B217" s="284"/>
      <c r="C217" s="302"/>
      <c r="D217" s="302"/>
      <c r="E217" s="388" t="str">
        <f>[1]K_Summary!E207</f>
        <v>Емисионен фактор, топлинна енергия:</v>
      </c>
      <c r="F217" s="388"/>
      <c r="G217" s="388"/>
      <c r="H217" s="421" t="str">
        <f>[1]K_Summary!H207</f>
        <v>t CO2 / TJ</v>
      </c>
      <c r="I217" s="480" t="str">
        <f>[1]K_Summary!I207</f>
        <v/>
      </c>
      <c r="J217" s="480" t="str">
        <f>[1]K_Summary!J207</f>
        <v/>
      </c>
      <c r="K217" s="480" t="str">
        <f>[1]K_Summary!K207</f>
        <v/>
      </c>
      <c r="L217" s="480" t="str">
        <f>[1]K_Summary!L207</f>
        <v/>
      </c>
      <c r="M217" s="480" t="str">
        <f>[1]K_Summary!M207</f>
        <v/>
      </c>
      <c r="N217" s="302"/>
    </row>
    <row r="218" spans="2:14" ht="12.75" customHeight="1" x14ac:dyDescent="0.25">
      <c r="B218" s="284"/>
      <c r="C218" s="302"/>
      <c r="D218" s="302"/>
      <c r="E218" s="302"/>
      <c r="F218" s="302"/>
      <c r="G218" s="302"/>
      <c r="H218" s="302"/>
      <c r="I218" s="302"/>
      <c r="J218" s="302"/>
      <c r="K218" s="302"/>
      <c r="L218" s="302"/>
      <c r="M218" s="302"/>
      <c r="N218" s="302"/>
    </row>
    <row r="219" spans="2:14" ht="12.75" customHeight="1" x14ac:dyDescent="0.25">
      <c r="B219" s="284"/>
      <c r="C219" s="302"/>
      <c r="D219" s="302"/>
      <c r="E219" s="392" t="str">
        <f>[1]K_Summary!E209</f>
        <v>Вложени горива за топлинна енергия</v>
      </c>
      <c r="F219" s="392"/>
      <c r="G219" s="392"/>
      <c r="H219" s="481" t="str">
        <f>[1]K_Summary!H209</f>
        <v>TJ / година</v>
      </c>
      <c r="I219" s="482" t="str">
        <f>[1]K_Summary!I209</f>
        <v/>
      </c>
      <c r="J219" s="482" t="str">
        <f>[1]K_Summary!J209</f>
        <v/>
      </c>
      <c r="K219" s="482" t="str">
        <f>[1]K_Summary!K209</f>
        <v/>
      </c>
      <c r="L219" s="482" t="str">
        <f>[1]K_Summary!L209</f>
        <v/>
      </c>
      <c r="M219" s="482" t="str">
        <f>[1]K_Summary!M209</f>
        <v/>
      </c>
      <c r="N219" s="302"/>
    </row>
    <row r="220" spans="2:14" ht="12.75" customHeight="1" x14ac:dyDescent="0.25">
      <c r="B220" s="284"/>
      <c r="C220" s="302"/>
      <c r="D220" s="302"/>
      <c r="E220" s="401" t="str">
        <f>[1]K_Summary!E210</f>
        <v>Вложени горива за електроенергия</v>
      </c>
      <c r="F220" s="401"/>
      <c r="G220" s="401"/>
      <c r="H220" s="483" t="str">
        <f>[1]K_Summary!H210</f>
        <v>TJ / година</v>
      </c>
      <c r="I220" s="484" t="str">
        <f>[1]K_Summary!I210</f>
        <v/>
      </c>
      <c r="J220" s="484" t="str">
        <f>[1]K_Summary!J210</f>
        <v/>
      </c>
      <c r="K220" s="484" t="str">
        <f>[1]K_Summary!K210</f>
        <v/>
      </c>
      <c r="L220" s="484" t="str">
        <f>[1]K_Summary!L210</f>
        <v/>
      </c>
      <c r="M220" s="484" t="str">
        <f>[1]K_Summary!M210</f>
        <v/>
      </c>
      <c r="N220" s="302"/>
    </row>
    <row r="221" spans="2:14" ht="12.75" customHeight="1" x14ac:dyDescent="0.25">
      <c r="B221" s="284"/>
      <c r="C221" s="302"/>
      <c r="D221" s="302"/>
      <c r="E221" s="302"/>
      <c r="F221" s="302"/>
      <c r="G221" s="302"/>
      <c r="H221" s="302"/>
      <c r="I221" s="302"/>
      <c r="J221" s="302"/>
      <c r="K221" s="302"/>
      <c r="L221" s="302"/>
      <c r="M221" s="302"/>
      <c r="N221" s="302"/>
    </row>
    <row r="222" spans="2:14" ht="12.75" customHeight="1" x14ac:dyDescent="0.3">
      <c r="B222" s="284"/>
      <c r="C222" s="357">
        <f>[1]K_Summary!C212</f>
        <v>4</v>
      </c>
      <c r="D222" s="358" t="str">
        <f>[1]K_Summary!D212</f>
        <v>Инструмент за отпадъчни газове (отпадъчни газове, необхванати от продуктови показатели) — раздел D.IV</v>
      </c>
      <c r="E222" s="359"/>
      <c r="F222" s="359"/>
      <c r="G222" s="359"/>
      <c r="H222" s="359"/>
      <c r="I222" s="359"/>
      <c r="J222" s="359"/>
      <c r="K222" s="359"/>
      <c r="L222" s="359"/>
      <c r="M222" s="359"/>
      <c r="N222" s="359"/>
    </row>
    <row r="223" spans="2:14" ht="12.75" customHeight="1" x14ac:dyDescent="0.25">
      <c r="B223" s="284"/>
      <c r="C223" s="284"/>
      <c r="D223" s="284"/>
      <c r="E223" s="284"/>
      <c r="F223" s="284"/>
      <c r="G223" s="284"/>
      <c r="H223" s="284"/>
      <c r="I223" s="284"/>
      <c r="J223" s="284"/>
      <c r="K223" s="284"/>
      <c r="L223" s="284"/>
      <c r="M223" s="336"/>
      <c r="N223" s="336"/>
    </row>
    <row r="224" spans="2:14" ht="12.75" customHeight="1" x14ac:dyDescent="0.25">
      <c r="B224" s="284"/>
      <c r="C224" s="284"/>
      <c r="D224" s="300" t="str">
        <f>[1]K_Summary!D214</f>
        <v>(a)</v>
      </c>
      <c r="E224" s="313" t="str">
        <f>[1]K_Summary!E214</f>
        <v>Този раздел се отнася до подинсталациите за технологични емисии от този вид:</v>
      </c>
      <c r="F224" s="313"/>
      <c r="G224" s="313"/>
      <c r="H224" s="313"/>
      <c r="I224" s="313"/>
      <c r="J224" s="313"/>
      <c r="K224" s="386"/>
      <c r="L224" s="494" t="str">
        <f>[1]K_Summary!L214</f>
        <v/>
      </c>
      <c r="M224" s="495"/>
      <c r="N224" s="496"/>
    </row>
    <row r="225" spans="2:14" ht="12.75" customHeight="1" x14ac:dyDescent="0.25">
      <c r="B225" s="284"/>
      <c r="C225" s="284"/>
      <c r="D225" s="300"/>
      <c r="E225" s="313" t="str">
        <f>[1]K_Summary!E215</f>
        <v>Вид отпадъчен газ:</v>
      </c>
      <c r="F225" s="359"/>
      <c r="G225" s="497"/>
      <c r="H225" s="365" t="str">
        <f>[1]K_Summary!H215</f>
        <v/>
      </c>
      <c r="I225" s="381"/>
      <c r="J225" s="381"/>
      <c r="K225" s="381"/>
      <c r="L225" s="381"/>
      <c r="M225" s="381"/>
      <c r="N225" s="382"/>
    </row>
    <row r="226" spans="2:14" ht="12.75" customHeight="1" x14ac:dyDescent="0.25">
      <c r="B226" s="284"/>
      <c r="C226" s="302"/>
      <c r="D226" s="302"/>
      <c r="E226" s="461"/>
      <c r="F226" s="498"/>
      <c r="G226" s="498"/>
      <c r="H226" s="390" t="str">
        <f>[1]K_Summary!H216</f>
        <v>Единица мярка</v>
      </c>
      <c r="I226" s="391">
        <f>[1]K_Summary!I216</f>
        <v>2014</v>
      </c>
      <c r="J226" s="391">
        <f>[1]K_Summary!J216</f>
        <v>2015</v>
      </c>
      <c r="K226" s="391">
        <f>[1]K_Summary!K216</f>
        <v>2016</v>
      </c>
      <c r="L226" s="391">
        <f>[1]K_Summary!L216</f>
        <v>2017</v>
      </c>
      <c r="M226" s="391">
        <f>[1]K_Summary!M216</f>
        <v>2018</v>
      </c>
      <c r="N226" s="336"/>
    </row>
    <row r="227" spans="2:14" ht="12.75" customHeight="1" x14ac:dyDescent="0.25">
      <c r="B227" s="284"/>
      <c r="C227" s="302"/>
      <c r="D227" s="302"/>
      <c r="E227" s="388" t="str">
        <f>[1]K_Summary!E217</f>
        <v>Некоригирани технологични емисии</v>
      </c>
      <c r="F227" s="388"/>
      <c r="G227" s="388"/>
      <c r="H227" s="421" t="str">
        <f>[1]K_Summary!H217</f>
        <v>t CO2e/година</v>
      </c>
      <c r="I227" s="499" t="str">
        <f>[1]K_Summary!I217</f>
        <v/>
      </c>
      <c r="J227" s="499" t="str">
        <f>[1]K_Summary!J217</f>
        <v/>
      </c>
      <c r="K227" s="499" t="str">
        <f>[1]K_Summary!K217</f>
        <v/>
      </c>
      <c r="L227" s="499" t="str">
        <f>[1]K_Summary!L217</f>
        <v/>
      </c>
      <c r="M227" s="499" t="str">
        <f>[1]K_Summary!M217</f>
        <v/>
      </c>
      <c r="N227" s="336"/>
    </row>
    <row r="228" spans="2:14" ht="12.75" customHeight="1" x14ac:dyDescent="0.25">
      <c r="B228" s="284"/>
      <c r="C228" s="302"/>
      <c r="D228" s="302"/>
      <c r="E228" s="388" t="str">
        <f>[1]K_Summary!E218</f>
        <v>Емисии от отпадъчни газове</v>
      </c>
      <c r="F228" s="388"/>
      <c r="G228" s="388"/>
      <c r="H228" s="421" t="str">
        <f>[1]K_Summary!H218</f>
        <v>t CO2e/година</v>
      </c>
      <c r="I228" s="499" t="str">
        <f>[1]K_Summary!I218</f>
        <v/>
      </c>
      <c r="J228" s="499" t="str">
        <f>[1]K_Summary!J218</f>
        <v/>
      </c>
      <c r="K228" s="499" t="str">
        <f>[1]K_Summary!K218</f>
        <v/>
      </c>
      <c r="L228" s="499" t="str">
        <f>[1]K_Summary!L218</f>
        <v/>
      </c>
      <c r="M228" s="499" t="str">
        <f>[1]K_Summary!M218</f>
        <v/>
      </c>
      <c r="N228" s="336"/>
    </row>
    <row r="229" spans="2:14" ht="12.75" customHeight="1" x14ac:dyDescent="0.25">
      <c r="B229" s="284"/>
      <c r="C229" s="302"/>
      <c r="D229" s="302"/>
      <c r="E229" s="388" t="str">
        <f>[1]K_Summary!E219</f>
        <v>Годишно количество отпадъчни газове</v>
      </c>
      <c r="F229" s="388"/>
      <c r="G229" s="388"/>
      <c r="H229" s="500" t="str">
        <f>[1]K_Summary!H219</f>
        <v/>
      </c>
      <c r="I229" s="499" t="str">
        <f>[1]K_Summary!I219</f>
        <v/>
      </c>
      <c r="J229" s="499" t="str">
        <f>[1]K_Summary!J219</f>
        <v/>
      </c>
      <c r="K229" s="499" t="str">
        <f>[1]K_Summary!K219</f>
        <v/>
      </c>
      <c r="L229" s="499" t="str">
        <f>[1]K_Summary!L219</f>
        <v/>
      </c>
      <c r="M229" s="499" t="str">
        <f>[1]K_Summary!M219</f>
        <v/>
      </c>
      <c r="N229" s="302"/>
    </row>
    <row r="230" spans="2:14" ht="12.75" customHeight="1" x14ac:dyDescent="0.25">
      <c r="B230" s="284"/>
      <c r="C230" s="302"/>
      <c r="D230" s="302"/>
      <c r="E230" s="388" t="str">
        <f>[1]K_Summary!E220</f>
        <v>Долна топлина на изгаряне</v>
      </c>
      <c r="F230" s="388"/>
      <c r="G230" s="388"/>
      <c r="H230" s="500" t="str">
        <f>[1]K_Summary!H220</f>
        <v>GJ / Единица мярка</v>
      </c>
      <c r="I230" s="385" t="str">
        <f>[1]K_Summary!I220</f>
        <v/>
      </c>
      <c r="J230" s="385" t="str">
        <f>[1]K_Summary!J220</f>
        <v/>
      </c>
      <c r="K230" s="385" t="str">
        <f>[1]K_Summary!K220</f>
        <v/>
      </c>
      <c r="L230" s="385" t="str">
        <f>[1]K_Summary!L220</f>
        <v/>
      </c>
      <c r="M230" s="385" t="str">
        <f>[1]K_Summary!M220</f>
        <v/>
      </c>
      <c r="N230" s="302"/>
    </row>
    <row r="231" spans="2:14" ht="12.75" customHeight="1" x14ac:dyDescent="0.25">
      <c r="B231" s="284"/>
      <c r="C231" s="302"/>
      <c r="D231" s="302"/>
      <c r="E231" s="491" t="str">
        <f>[1]K_Summary!E221</f>
        <v>Приспадане за отпадъчни газове</v>
      </c>
      <c r="F231" s="491"/>
      <c r="G231" s="491"/>
      <c r="H231" s="492" t="str">
        <f>[1]K_Summary!H221</f>
        <v>t CO2 / година</v>
      </c>
      <c r="I231" s="501" t="str">
        <f>[1]K_Summary!I221</f>
        <v/>
      </c>
      <c r="J231" s="501" t="str">
        <f>[1]K_Summary!J221</f>
        <v/>
      </c>
      <c r="K231" s="501" t="str">
        <f>[1]K_Summary!K221</f>
        <v/>
      </c>
      <c r="L231" s="501" t="str">
        <f>[1]K_Summary!L221</f>
        <v/>
      </c>
      <c r="M231" s="501" t="str">
        <f>[1]K_Summary!M221</f>
        <v/>
      </c>
      <c r="N231" s="302"/>
    </row>
    <row r="232" spans="2:14" ht="12.75" customHeight="1" x14ac:dyDescent="0.25">
      <c r="B232" s="284"/>
      <c r="C232" s="302"/>
      <c r="D232" s="302"/>
      <c r="E232" s="491" t="str">
        <f>[1]K_Summary!E222</f>
        <v>Резултат от инструмента за отпадъчни газове:</v>
      </c>
      <c r="F232" s="491"/>
      <c r="G232" s="491"/>
      <c r="H232" s="502" t="str">
        <f>[1]K_Summary!H222</f>
        <v>t CO2 / година</v>
      </c>
      <c r="I232" s="501" t="str">
        <f>[1]K_Summary!I222</f>
        <v/>
      </c>
      <c r="J232" s="501" t="str">
        <f>[1]K_Summary!J222</f>
        <v/>
      </c>
      <c r="K232" s="501" t="str">
        <f>[1]K_Summary!K222</f>
        <v/>
      </c>
      <c r="L232" s="501" t="str">
        <f>[1]K_Summary!L222</f>
        <v/>
      </c>
      <c r="M232" s="501" t="str">
        <f>[1]K_Summary!M222</f>
        <v/>
      </c>
      <c r="N232" s="302"/>
    </row>
    <row r="233" spans="2:14" ht="12.75" customHeight="1" x14ac:dyDescent="0.25">
      <c r="B233" s="284"/>
      <c r="C233" s="302"/>
      <c r="D233" s="302"/>
      <c r="E233" s="302"/>
      <c r="F233" s="302"/>
      <c r="G233" s="302"/>
      <c r="H233" s="302"/>
      <c r="I233" s="302"/>
      <c r="J233" s="302"/>
      <c r="K233" s="302"/>
      <c r="L233" s="302"/>
      <c r="M233" s="302"/>
      <c r="N233" s="302"/>
    </row>
    <row r="234" spans="2:14" ht="12.75" customHeight="1" x14ac:dyDescent="0.25">
      <c r="B234" s="284"/>
      <c r="C234" s="302"/>
      <c r="D234" s="302"/>
      <c r="E234" s="503" t="str">
        <f>[1]K_Summary!E224</f>
        <v>Референтна стойност на к.п.д. при производството на електроенергия:</v>
      </c>
      <c r="F234" s="503"/>
      <c r="G234" s="503"/>
      <c r="H234" s="503"/>
      <c r="I234" s="504"/>
      <c r="J234" s="504" t="str">
        <f>[1]K_Summary!J224</f>
        <v>при използване на природен газ:</v>
      </c>
      <c r="K234" s="505">
        <f>[1]K_Summary!K224</f>
        <v>0.52500000000000002</v>
      </c>
      <c r="L234" s="503"/>
      <c r="M234" s="504" t="str">
        <f>[1]K_Summary!M224</f>
        <v>при използване на отпадъчен газ:</v>
      </c>
      <c r="N234" s="505">
        <f>[1]K_Summary!N224</f>
        <v>0.35</v>
      </c>
    </row>
    <row r="235" spans="2:14" ht="12.75" customHeight="1" x14ac:dyDescent="0.25">
      <c r="B235" s="284"/>
      <c r="C235" s="284"/>
      <c r="D235" s="284"/>
      <c r="E235" s="284"/>
      <c r="F235" s="284"/>
      <c r="G235" s="284"/>
      <c r="H235" s="284"/>
      <c r="I235" s="284"/>
      <c r="J235" s="284"/>
      <c r="K235" s="284"/>
      <c r="L235" s="284"/>
      <c r="M235" s="336"/>
      <c r="N235" s="336"/>
    </row>
    <row r="236" spans="2:14" ht="12.75" customHeight="1" x14ac:dyDescent="0.25">
      <c r="B236" s="284"/>
      <c r="C236" s="284"/>
      <c r="D236" s="300" t="str">
        <f>[1]K_Summary!D226</f>
        <v>(b)</v>
      </c>
      <c r="E236" s="313" t="str">
        <f>[1]K_Summary!E226</f>
        <v>Този раздел се отнася до подинсталациите за технологични емисии от този вид:</v>
      </c>
      <c r="F236" s="313"/>
      <c r="G236" s="313"/>
      <c r="H236" s="313"/>
      <c r="I236" s="313"/>
      <c r="J236" s="313"/>
      <c r="K236" s="386"/>
      <c r="L236" s="494" t="str">
        <f>[1]K_Summary!L226</f>
        <v/>
      </c>
      <c r="M236" s="495"/>
      <c r="N236" s="496"/>
    </row>
    <row r="237" spans="2:14" ht="12.75" customHeight="1" x14ac:dyDescent="0.25">
      <c r="B237" s="284"/>
      <c r="C237" s="284"/>
      <c r="D237" s="300"/>
      <c r="E237" s="313" t="str">
        <f>[1]K_Summary!E227</f>
        <v>Вид отпадъчен газ:</v>
      </c>
      <c r="F237" s="359"/>
      <c r="G237" s="497"/>
      <c r="H237" s="365" t="str">
        <f>[1]K_Summary!H227</f>
        <v/>
      </c>
      <c r="I237" s="381"/>
      <c r="J237" s="381"/>
      <c r="K237" s="381"/>
      <c r="L237" s="381"/>
      <c r="M237" s="381"/>
      <c r="N237" s="382"/>
    </row>
    <row r="238" spans="2:14" ht="12.75" customHeight="1" x14ac:dyDescent="0.25">
      <c r="B238" s="284"/>
      <c r="C238" s="302"/>
      <c r="D238" s="300"/>
      <c r="E238" s="461"/>
      <c r="F238" s="498"/>
      <c r="G238" s="498"/>
      <c r="H238" s="390" t="str">
        <f>[1]K_Summary!H228</f>
        <v>Единица мярка</v>
      </c>
      <c r="I238" s="391">
        <f>[1]K_Summary!I228</f>
        <v>2019</v>
      </c>
      <c r="J238" s="391">
        <f>[1]K_Summary!J228</f>
        <v>2020</v>
      </c>
      <c r="K238" s="391">
        <f>[1]K_Summary!K228</f>
        <v>2021</v>
      </c>
      <c r="L238" s="391">
        <f>[1]K_Summary!L228</f>
        <v>2022</v>
      </c>
      <c r="M238" s="391">
        <f>[1]K_Summary!M228</f>
        <v>2023</v>
      </c>
      <c r="N238" s="336"/>
    </row>
    <row r="239" spans="2:14" ht="12.75" customHeight="1" x14ac:dyDescent="0.25">
      <c r="B239" s="284"/>
      <c r="C239" s="302"/>
      <c r="D239" s="302"/>
      <c r="E239" s="388" t="str">
        <f>[1]K_Summary!E229</f>
        <v>Некоригирани технологични емисии</v>
      </c>
      <c r="F239" s="388"/>
      <c r="G239" s="388"/>
      <c r="H239" s="421" t="str">
        <f>[1]K_Summary!H229</f>
        <v>t CO2e/година</v>
      </c>
      <c r="I239" s="499" t="str">
        <f>[1]K_Summary!I229</f>
        <v/>
      </c>
      <c r="J239" s="499" t="str">
        <f>[1]K_Summary!J229</f>
        <v/>
      </c>
      <c r="K239" s="499" t="str">
        <f>[1]K_Summary!K229</f>
        <v/>
      </c>
      <c r="L239" s="499" t="str">
        <f>[1]K_Summary!L229</f>
        <v/>
      </c>
      <c r="M239" s="499" t="str">
        <f>[1]K_Summary!M229</f>
        <v/>
      </c>
      <c r="N239" s="336"/>
    </row>
    <row r="240" spans="2:14" ht="12.75" customHeight="1" x14ac:dyDescent="0.25">
      <c r="B240" s="284"/>
      <c r="C240" s="302"/>
      <c r="D240" s="302"/>
      <c r="E240" s="388" t="str">
        <f>[1]K_Summary!E230</f>
        <v>Емисии от отпадъчни газове</v>
      </c>
      <c r="F240" s="388"/>
      <c r="G240" s="388"/>
      <c r="H240" s="421" t="str">
        <f>[1]K_Summary!H230</f>
        <v>t CO2e/година</v>
      </c>
      <c r="I240" s="499" t="str">
        <f>[1]K_Summary!I230</f>
        <v/>
      </c>
      <c r="J240" s="499" t="str">
        <f>[1]K_Summary!J230</f>
        <v/>
      </c>
      <c r="K240" s="499" t="str">
        <f>[1]K_Summary!K230</f>
        <v/>
      </c>
      <c r="L240" s="499" t="str">
        <f>[1]K_Summary!L230</f>
        <v/>
      </c>
      <c r="M240" s="499" t="str">
        <f>[1]K_Summary!M230</f>
        <v/>
      </c>
      <c r="N240" s="336"/>
    </row>
    <row r="241" spans="2:14" ht="12.75" customHeight="1" x14ac:dyDescent="0.25">
      <c r="B241" s="284"/>
      <c r="C241" s="302"/>
      <c r="D241" s="302"/>
      <c r="E241" s="388" t="str">
        <f>[1]K_Summary!E231</f>
        <v>Годишно количество отпадъчни газове</v>
      </c>
      <c r="F241" s="388"/>
      <c r="G241" s="388"/>
      <c r="H241" s="500" t="str">
        <f>[1]K_Summary!H231</f>
        <v/>
      </c>
      <c r="I241" s="499" t="str">
        <f>[1]K_Summary!I231</f>
        <v/>
      </c>
      <c r="J241" s="499" t="str">
        <f>[1]K_Summary!J231</f>
        <v/>
      </c>
      <c r="K241" s="499" t="str">
        <f>[1]K_Summary!K231</f>
        <v/>
      </c>
      <c r="L241" s="499" t="str">
        <f>[1]K_Summary!L231</f>
        <v/>
      </c>
      <c r="M241" s="499" t="str">
        <f>[1]K_Summary!M231</f>
        <v/>
      </c>
      <c r="N241" s="336"/>
    </row>
    <row r="242" spans="2:14" ht="12.75" customHeight="1" x14ac:dyDescent="0.25">
      <c r="B242" s="284"/>
      <c r="C242" s="302"/>
      <c r="D242" s="302"/>
      <c r="E242" s="388" t="str">
        <f>[1]K_Summary!E232</f>
        <v>Долна топлина на изгаряне</v>
      </c>
      <c r="F242" s="388"/>
      <c r="G242" s="388"/>
      <c r="H242" s="500" t="str">
        <f>[1]K_Summary!H232</f>
        <v>GJ / Единица мярка</v>
      </c>
      <c r="I242" s="385" t="str">
        <f>[1]K_Summary!I232</f>
        <v/>
      </c>
      <c r="J242" s="385" t="str">
        <f>[1]K_Summary!J232</f>
        <v/>
      </c>
      <c r="K242" s="385" t="str">
        <f>[1]K_Summary!K232</f>
        <v/>
      </c>
      <c r="L242" s="385" t="str">
        <f>[1]K_Summary!L232</f>
        <v/>
      </c>
      <c r="M242" s="385" t="str">
        <f>[1]K_Summary!M232</f>
        <v/>
      </c>
      <c r="N242" s="336"/>
    </row>
    <row r="243" spans="2:14" ht="12.75" customHeight="1" x14ac:dyDescent="0.25">
      <c r="B243" s="284"/>
      <c r="C243" s="302"/>
      <c r="D243" s="302"/>
      <c r="E243" s="491" t="str">
        <f>[1]K_Summary!E233</f>
        <v>Приспадане за отпадъчни газове</v>
      </c>
      <c r="F243" s="491"/>
      <c r="G243" s="491"/>
      <c r="H243" s="492" t="str">
        <f>[1]K_Summary!H233</f>
        <v>t CO2 / година</v>
      </c>
      <c r="I243" s="501" t="str">
        <f>[1]K_Summary!I233</f>
        <v/>
      </c>
      <c r="J243" s="501" t="str">
        <f>[1]K_Summary!J233</f>
        <v/>
      </c>
      <c r="K243" s="501" t="str">
        <f>[1]K_Summary!K233</f>
        <v/>
      </c>
      <c r="L243" s="501" t="str">
        <f>[1]K_Summary!L233</f>
        <v/>
      </c>
      <c r="M243" s="501" t="str">
        <f>[1]K_Summary!M233</f>
        <v/>
      </c>
      <c r="N243" s="336"/>
    </row>
    <row r="244" spans="2:14" ht="12.75" customHeight="1" x14ac:dyDescent="0.25">
      <c r="B244" s="284"/>
      <c r="C244" s="302"/>
      <c r="D244" s="302"/>
      <c r="E244" s="491" t="str">
        <f>[1]K_Summary!E234</f>
        <v>Резултат от инструмента за отпадъчни газове:</v>
      </c>
      <c r="F244" s="491"/>
      <c r="G244" s="491"/>
      <c r="H244" s="502" t="str">
        <f>[1]K_Summary!H234</f>
        <v>t CO2 / година</v>
      </c>
      <c r="I244" s="501" t="str">
        <f>[1]K_Summary!I234</f>
        <v/>
      </c>
      <c r="J244" s="501" t="str">
        <f>[1]K_Summary!J234</f>
        <v/>
      </c>
      <c r="K244" s="501" t="str">
        <f>[1]K_Summary!K234</f>
        <v/>
      </c>
      <c r="L244" s="501" t="str">
        <f>[1]K_Summary!L234</f>
        <v/>
      </c>
      <c r="M244" s="501" t="str">
        <f>[1]K_Summary!M234</f>
        <v/>
      </c>
      <c r="N244" s="336"/>
    </row>
    <row r="245" spans="2:14" ht="12.75" customHeight="1" x14ac:dyDescent="0.25">
      <c r="B245" s="284"/>
      <c r="C245" s="284"/>
      <c r="D245" s="284"/>
      <c r="E245" s="284"/>
      <c r="F245" s="284"/>
      <c r="G245" s="284"/>
      <c r="H245" s="284"/>
      <c r="I245" s="284"/>
      <c r="J245" s="284"/>
      <c r="K245" s="284"/>
      <c r="L245" s="284"/>
      <c r="M245" s="336"/>
      <c r="N245" s="336"/>
    </row>
    <row r="246" spans="2:14" ht="12.75" customHeight="1" x14ac:dyDescent="0.25">
      <c r="B246" s="284"/>
      <c r="C246" s="302"/>
      <c r="D246" s="302"/>
      <c r="E246" s="503" t="str">
        <f>[1]K_Summary!E236</f>
        <v>Референтна стойност на к.п.д. при производството на електроенергия:</v>
      </c>
      <c r="F246" s="503"/>
      <c r="G246" s="503"/>
      <c r="H246" s="503"/>
      <c r="I246" s="504"/>
      <c r="J246" s="504" t="str">
        <f>[1]K_Summary!J236</f>
        <v>при използване на природен газ:</v>
      </c>
      <c r="K246" s="505">
        <f>[1]K_Summary!K236</f>
        <v>0.52500000000000002</v>
      </c>
      <c r="L246" s="503"/>
      <c r="M246" s="504" t="str">
        <f>[1]K_Summary!M236</f>
        <v>при използване на отпадъчен газ:</v>
      </c>
      <c r="N246" s="505">
        <f>[1]K_Summary!N236</f>
        <v>0.35</v>
      </c>
    </row>
    <row r="247" spans="2:14" ht="12.75" customHeight="1" x14ac:dyDescent="0.25">
      <c r="B247" s="284"/>
      <c r="C247" s="302"/>
      <c r="D247" s="302"/>
      <c r="E247" s="302"/>
      <c r="F247" s="302"/>
      <c r="G247" s="302"/>
      <c r="H247" s="302"/>
      <c r="I247" s="302"/>
      <c r="J247" s="302"/>
      <c r="K247" s="302"/>
      <c r="L247" s="302"/>
      <c r="M247" s="302"/>
      <c r="N247" s="302"/>
    </row>
    <row r="248" spans="2:14" ht="12.75" customHeight="1" x14ac:dyDescent="0.3">
      <c r="B248" s="284"/>
      <c r="C248" s="357">
        <f>[1]K_Summary!C238</f>
        <v>5</v>
      </c>
      <c r="D248" s="358" t="str">
        <f>[1]K_Summary!D238</f>
        <v>Вложена енергия — разделена по категории на употреба (раздел E.I)</v>
      </c>
      <c r="E248" s="359"/>
      <c r="F248" s="359"/>
      <c r="G248" s="359"/>
      <c r="H248" s="359"/>
      <c r="I248" s="359"/>
      <c r="J248" s="359"/>
      <c r="K248" s="359"/>
      <c r="L248" s="359"/>
      <c r="M248" s="359"/>
      <c r="N248" s="359"/>
    </row>
    <row r="249" spans="2:14" ht="12.75" customHeight="1" x14ac:dyDescent="0.25">
      <c r="B249" s="284"/>
      <c r="C249" s="284"/>
      <c r="D249" s="284"/>
      <c r="E249" s="284"/>
      <c r="F249" s="284"/>
      <c r="G249" s="284"/>
      <c r="H249" s="284"/>
      <c r="I249" s="284"/>
      <c r="J249" s="284"/>
      <c r="K249" s="284"/>
      <c r="L249" s="284"/>
      <c r="M249" s="336"/>
      <c r="N249" s="336"/>
    </row>
    <row r="250" spans="2:14" ht="12.75" customHeight="1" x14ac:dyDescent="0.25">
      <c r="B250" s="284"/>
      <c r="C250" s="302"/>
      <c r="D250" s="302"/>
      <c r="E250" s="506" t="str">
        <f>[1]K_Summary!E240</f>
        <v>Вид употреба на вложените горива</v>
      </c>
      <c r="F250" s="507"/>
      <c r="G250" s="507"/>
      <c r="H250" s="300" t="str">
        <f>[1]K_Summary!H240</f>
        <v>Единица мярка</v>
      </c>
      <c r="I250" s="391">
        <f>[1]K_Summary!I240</f>
        <v>2019</v>
      </c>
      <c r="J250" s="391">
        <f>[1]K_Summary!J240</f>
        <v>2020</v>
      </c>
      <c r="K250" s="391">
        <f>[1]K_Summary!K240</f>
        <v>2021</v>
      </c>
      <c r="L250" s="391">
        <f>[1]K_Summary!L240</f>
        <v>2022</v>
      </c>
      <c r="M250" s="391">
        <f>[1]K_Summary!M240</f>
        <v>2023</v>
      </c>
      <c r="N250" s="302"/>
    </row>
    <row r="251" spans="2:14" ht="12.75" customHeight="1" x14ac:dyDescent="0.25">
      <c r="B251" s="284"/>
      <c r="C251" s="302"/>
      <c r="D251" s="360"/>
      <c r="E251" s="508" t="str">
        <f>[1]K_Summary!E241</f>
        <v>Вложена енергия за производство на измерима топлинна енергия</v>
      </c>
      <c r="F251" s="508"/>
      <c r="G251" s="508"/>
      <c r="H251" s="421" t="str">
        <f>[1]K_Summary!H241</f>
        <v>TJ / година</v>
      </c>
      <c r="I251" s="422" t="str">
        <f>[1]K_Summary!I241</f>
        <v/>
      </c>
      <c r="J251" s="422" t="str">
        <f>[1]K_Summary!J241</f>
        <v/>
      </c>
      <c r="K251" s="422" t="str">
        <f>[1]K_Summary!K241</f>
        <v/>
      </c>
      <c r="L251" s="422" t="str">
        <f>[1]K_Summary!L241</f>
        <v/>
      </c>
      <c r="M251" s="422" t="str">
        <f>[1]K_Summary!M241</f>
        <v/>
      </c>
      <c r="N251" s="302"/>
    </row>
    <row r="252" spans="2:14" ht="12.75" customHeight="1" x14ac:dyDescent="0.25">
      <c r="B252" s="284"/>
      <c r="C252" s="302"/>
      <c r="D252" s="360"/>
      <c r="E252" s="379" t="str">
        <f>[1]K_Summary!E242</f>
        <v>Вложена енергия за производството на електроенергия</v>
      </c>
      <c r="F252" s="379"/>
      <c r="G252" s="379"/>
      <c r="H252" s="421" t="str">
        <f>[1]K_Summary!H242</f>
        <v>TJ / година</v>
      </c>
      <c r="I252" s="477" t="str">
        <f>[1]K_Summary!I242</f>
        <v/>
      </c>
      <c r="J252" s="477" t="str">
        <f>[1]K_Summary!J242</f>
        <v/>
      </c>
      <c r="K252" s="477" t="str">
        <f>[1]K_Summary!K242</f>
        <v/>
      </c>
      <c r="L252" s="477" t="str">
        <f>[1]K_Summary!L242</f>
        <v/>
      </c>
      <c r="M252" s="477" t="str">
        <f>[1]K_Summary!M242</f>
        <v/>
      </c>
      <c r="N252" s="302"/>
    </row>
    <row r="253" spans="2:14" ht="12.75" customHeight="1" thickBot="1" x14ac:dyDescent="0.3">
      <c r="B253" s="284"/>
      <c r="C253" s="302"/>
      <c r="D253" s="360"/>
      <c r="E253" s="364" t="str">
        <f>[1]K_Summary!E243</f>
        <v>Вложена енергия в подинсталации с продуктов показател</v>
      </c>
      <c r="F253" s="364"/>
      <c r="G253" s="364"/>
      <c r="H253" s="509" t="str">
        <f>[1]K_Summary!H243</f>
        <v>TJ / година</v>
      </c>
      <c r="I253" s="510" t="str">
        <f>[1]K_Summary!I243</f>
        <v/>
      </c>
      <c r="J253" s="510" t="str">
        <f>[1]K_Summary!J243</f>
        <v/>
      </c>
      <c r="K253" s="510" t="str">
        <f>[1]K_Summary!K243</f>
        <v/>
      </c>
      <c r="L253" s="510" t="str">
        <f>[1]K_Summary!L243</f>
        <v/>
      </c>
      <c r="M253" s="510" t="str">
        <f>[1]K_Summary!M243</f>
        <v/>
      </c>
      <c r="N253" s="302"/>
    </row>
    <row r="254" spans="2:14" ht="12.75" customHeight="1" x14ac:dyDescent="0.25">
      <c r="B254" s="284"/>
      <c r="C254" s="302"/>
      <c r="D254" s="360"/>
      <c r="E254" s="511" t="str">
        <f>[1]K_Summary!E244</f>
        <v>Подинсталация с горивен показател (с риск от ИВЕ | извън МКВЕГ)</v>
      </c>
      <c r="F254" s="512"/>
      <c r="G254" s="512"/>
      <c r="H254" s="513" t="str">
        <f>[1]K_Summary!H244</f>
        <v>TJ / година</v>
      </c>
      <c r="I254" s="469" t="str">
        <f>[1]K_Summary!I244</f>
        <v/>
      </c>
      <c r="J254" s="469" t="str">
        <f>[1]K_Summary!J244</f>
        <v/>
      </c>
      <c r="K254" s="469" t="str">
        <f>[1]K_Summary!K244</f>
        <v/>
      </c>
      <c r="L254" s="469" t="str">
        <f>[1]K_Summary!L244</f>
        <v/>
      </c>
      <c r="M254" s="470" t="str">
        <f>[1]K_Summary!M244</f>
        <v/>
      </c>
      <c r="N254" s="302"/>
    </row>
    <row r="255" spans="2:14" ht="12.75" customHeight="1" x14ac:dyDescent="0.25">
      <c r="B255" s="284"/>
      <c r="C255" s="302"/>
      <c r="D255" s="360"/>
      <c r="E255" s="514" t="str">
        <f>[1]K_Summary!E245</f>
        <v>Подинсталация с горивен показател (без риск от ИВЕ | извън МКВЕГ)</v>
      </c>
      <c r="F255" s="515"/>
      <c r="G255" s="515"/>
      <c r="H255" s="516" t="str">
        <f>[1]K_Summary!H245</f>
        <v>TJ / година</v>
      </c>
      <c r="I255" s="472" t="str">
        <f>[1]K_Summary!I245</f>
        <v/>
      </c>
      <c r="J255" s="472" t="str">
        <f>[1]K_Summary!J245</f>
        <v/>
      </c>
      <c r="K255" s="472" t="str">
        <f>[1]K_Summary!K245</f>
        <v/>
      </c>
      <c r="L255" s="472" t="str">
        <f>[1]K_Summary!L245</f>
        <v/>
      </c>
      <c r="M255" s="473" t="str">
        <f>[1]K_Summary!M245</f>
        <v/>
      </c>
      <c r="N255" s="302"/>
    </row>
    <row r="256" spans="2:14" ht="12.75" customHeight="1" thickBot="1" x14ac:dyDescent="0.3">
      <c r="B256" s="284"/>
      <c r="C256" s="302"/>
      <c r="D256" s="360"/>
      <c r="E256" s="517" t="str">
        <f>[1]K_Summary!E246</f>
        <v>Подинсталация с горивен показател (с риск от ИВЕ | в рамките на МКВЕГ)</v>
      </c>
      <c r="F256" s="518"/>
      <c r="G256" s="518"/>
      <c r="H256" s="519" t="str">
        <f>[1]K_Summary!H246</f>
        <v>TJ / година</v>
      </c>
      <c r="I256" s="475" t="str">
        <f>[1]K_Summary!I246</f>
        <v/>
      </c>
      <c r="J256" s="475" t="str">
        <f>[1]K_Summary!J246</f>
        <v/>
      </c>
      <c r="K256" s="475" t="str">
        <f>[1]K_Summary!K246</f>
        <v/>
      </c>
      <c r="L256" s="475" t="str">
        <f>[1]K_Summary!L246</f>
        <v/>
      </c>
      <c r="M256" s="476" t="str">
        <f>[1]K_Summary!M246</f>
        <v/>
      </c>
      <c r="N256" s="302"/>
    </row>
    <row r="257" spans="2:14" ht="12.75" customHeight="1" x14ac:dyDescent="0.25">
      <c r="B257" s="284"/>
      <c r="C257" s="302"/>
      <c r="D257" s="360"/>
      <c r="E257" s="520" t="str">
        <f>[1]K_Summary!E247</f>
        <v>Други</v>
      </c>
      <c r="F257" s="520"/>
      <c r="G257" s="520"/>
      <c r="H257" s="521" t="str">
        <f>[1]K_Summary!H247</f>
        <v>TJ / година</v>
      </c>
      <c r="I257" s="477" t="str">
        <f>[1]K_Summary!I247</f>
        <v/>
      </c>
      <c r="J257" s="477" t="str">
        <f>[1]K_Summary!J247</f>
        <v/>
      </c>
      <c r="K257" s="477" t="str">
        <f>[1]K_Summary!K247</f>
        <v/>
      </c>
      <c r="L257" s="477" t="str">
        <f>[1]K_Summary!L247</f>
        <v/>
      </c>
      <c r="M257" s="477" t="str">
        <f>[1]K_Summary!M247</f>
        <v/>
      </c>
      <c r="N257" s="302"/>
    </row>
    <row r="258" spans="2:14" ht="12.75" customHeight="1" x14ac:dyDescent="0.25">
      <c r="B258" s="284"/>
      <c r="C258" s="302"/>
      <c r="D258" s="360"/>
      <c r="E258" s="360"/>
      <c r="F258" s="360"/>
      <c r="G258" s="360"/>
      <c r="H258" s="360"/>
      <c r="I258" s="360"/>
      <c r="J258" s="360"/>
      <c r="K258" s="360"/>
      <c r="L258" s="360"/>
      <c r="M258" s="360"/>
      <c r="N258" s="302"/>
    </row>
    <row r="259" spans="2:14" ht="12.75" customHeight="1" x14ac:dyDescent="0.25">
      <c r="B259" s="284"/>
      <c r="C259" s="302"/>
      <c r="D259" s="302"/>
      <c r="E259" s="313" t="str">
        <f>[1]K_Summary!E249</f>
        <v>Вложена енергия във всяка подинсталация от работни листове F и G:</v>
      </c>
      <c r="F259" s="302"/>
      <c r="G259" s="302"/>
      <c r="H259" s="302"/>
      <c r="I259" s="302"/>
      <c r="J259" s="302"/>
      <c r="K259" s="302"/>
      <c r="L259" s="302"/>
      <c r="M259" s="302"/>
      <c r="N259" s="302"/>
    </row>
    <row r="260" spans="2:14" ht="12.75" customHeight="1" x14ac:dyDescent="0.25">
      <c r="B260" s="284"/>
      <c r="C260" s="302"/>
      <c r="D260" s="302"/>
      <c r="E260" s="522" t="str">
        <f>[1]K_Summary!E250</f>
        <v/>
      </c>
      <c r="F260" s="522"/>
      <c r="G260" s="522"/>
      <c r="H260" s="481" t="str">
        <f>[1]K_Summary!H250</f>
        <v>TJ / година</v>
      </c>
      <c r="I260" s="482" t="str">
        <f>[1]K_Summary!I250</f>
        <v/>
      </c>
      <c r="J260" s="482" t="str">
        <f>[1]K_Summary!J250</f>
        <v/>
      </c>
      <c r="K260" s="482" t="str">
        <f>[1]K_Summary!K250</f>
        <v/>
      </c>
      <c r="L260" s="482" t="str">
        <f>[1]K_Summary!L250</f>
        <v/>
      </c>
      <c r="M260" s="482" t="str">
        <f>[1]K_Summary!M250</f>
        <v/>
      </c>
      <c r="N260" s="302"/>
    </row>
    <row r="261" spans="2:14" ht="12.75" customHeight="1" x14ac:dyDescent="0.25">
      <c r="B261" s="284"/>
      <c r="C261" s="302"/>
      <c r="D261" s="302"/>
      <c r="E261" s="523" t="str">
        <f>[1]K_Summary!E251</f>
        <v/>
      </c>
      <c r="F261" s="523"/>
      <c r="G261" s="523"/>
      <c r="H261" s="516" t="str">
        <f>[1]K_Summary!H251</f>
        <v>TJ / година</v>
      </c>
      <c r="I261" s="524" t="str">
        <f>[1]K_Summary!I251</f>
        <v/>
      </c>
      <c r="J261" s="524" t="str">
        <f>[1]K_Summary!J251</f>
        <v/>
      </c>
      <c r="K261" s="524" t="str">
        <f>[1]K_Summary!K251</f>
        <v/>
      </c>
      <c r="L261" s="524" t="str">
        <f>[1]K_Summary!L251</f>
        <v/>
      </c>
      <c r="M261" s="524" t="str">
        <f>[1]K_Summary!M251</f>
        <v/>
      </c>
      <c r="N261" s="302"/>
    </row>
    <row r="262" spans="2:14" ht="12.75" customHeight="1" x14ac:dyDescent="0.25">
      <c r="B262" s="284"/>
      <c r="C262" s="302"/>
      <c r="D262" s="302"/>
      <c r="E262" s="523" t="str">
        <f>[1]K_Summary!E252</f>
        <v/>
      </c>
      <c r="F262" s="523"/>
      <c r="G262" s="523"/>
      <c r="H262" s="516" t="str">
        <f>[1]K_Summary!H252</f>
        <v>TJ / година</v>
      </c>
      <c r="I262" s="524" t="str">
        <f>[1]K_Summary!I252</f>
        <v/>
      </c>
      <c r="J262" s="524" t="str">
        <f>[1]K_Summary!J252</f>
        <v/>
      </c>
      <c r="K262" s="524" t="str">
        <f>[1]K_Summary!K252</f>
        <v/>
      </c>
      <c r="L262" s="524" t="str">
        <f>[1]K_Summary!L252</f>
        <v/>
      </c>
      <c r="M262" s="524" t="str">
        <f>[1]K_Summary!M252</f>
        <v/>
      </c>
      <c r="N262" s="302"/>
    </row>
    <row r="263" spans="2:14" ht="12.75" customHeight="1" x14ac:dyDescent="0.25">
      <c r="B263" s="284"/>
      <c r="C263" s="302"/>
      <c r="D263" s="302"/>
      <c r="E263" s="523" t="str">
        <f>[1]K_Summary!E253</f>
        <v/>
      </c>
      <c r="F263" s="523"/>
      <c r="G263" s="523"/>
      <c r="H263" s="516" t="str">
        <f>[1]K_Summary!H253</f>
        <v>TJ / година</v>
      </c>
      <c r="I263" s="524" t="str">
        <f>[1]K_Summary!I253</f>
        <v/>
      </c>
      <c r="J263" s="524" t="str">
        <f>[1]K_Summary!J253</f>
        <v/>
      </c>
      <c r="K263" s="524" t="str">
        <f>[1]K_Summary!K253</f>
        <v/>
      </c>
      <c r="L263" s="524" t="str">
        <f>[1]K_Summary!L253</f>
        <v/>
      </c>
      <c r="M263" s="524" t="str">
        <f>[1]K_Summary!M253</f>
        <v/>
      </c>
      <c r="N263" s="302"/>
    </row>
    <row r="264" spans="2:14" ht="12.75" customHeight="1" x14ac:dyDescent="0.25">
      <c r="B264" s="284"/>
      <c r="C264" s="302"/>
      <c r="D264" s="302"/>
      <c r="E264" s="523" t="str">
        <f>[1]K_Summary!E254</f>
        <v/>
      </c>
      <c r="F264" s="523"/>
      <c r="G264" s="523"/>
      <c r="H264" s="516" t="str">
        <f>[1]K_Summary!H254</f>
        <v>TJ / година</v>
      </c>
      <c r="I264" s="524" t="str">
        <f>[1]K_Summary!I254</f>
        <v/>
      </c>
      <c r="J264" s="524" t="str">
        <f>[1]K_Summary!J254</f>
        <v/>
      </c>
      <c r="K264" s="524" t="str">
        <f>[1]K_Summary!K254</f>
        <v/>
      </c>
      <c r="L264" s="524" t="str">
        <f>[1]K_Summary!L254</f>
        <v/>
      </c>
      <c r="M264" s="524" t="str">
        <f>[1]K_Summary!M254</f>
        <v/>
      </c>
      <c r="N264" s="302"/>
    </row>
    <row r="265" spans="2:14" ht="12.75" customHeight="1" x14ac:dyDescent="0.25">
      <c r="B265" s="284"/>
      <c r="C265" s="302"/>
      <c r="D265" s="302"/>
      <c r="E265" s="523" t="str">
        <f>[1]K_Summary!E255</f>
        <v/>
      </c>
      <c r="F265" s="523"/>
      <c r="G265" s="523"/>
      <c r="H265" s="516" t="str">
        <f>[1]K_Summary!H255</f>
        <v>TJ / година</v>
      </c>
      <c r="I265" s="524" t="str">
        <f>[1]K_Summary!I255</f>
        <v/>
      </c>
      <c r="J265" s="524" t="str">
        <f>[1]K_Summary!J255</f>
        <v/>
      </c>
      <c r="K265" s="524" t="str">
        <f>[1]K_Summary!K255</f>
        <v/>
      </c>
      <c r="L265" s="524" t="str">
        <f>[1]K_Summary!L255</f>
        <v/>
      </c>
      <c r="M265" s="524" t="str">
        <f>[1]K_Summary!M255</f>
        <v/>
      </c>
      <c r="N265" s="302"/>
    </row>
    <row r="266" spans="2:14" ht="12.75" customHeight="1" x14ac:dyDescent="0.25">
      <c r="B266" s="284"/>
      <c r="C266" s="302"/>
      <c r="D266" s="302"/>
      <c r="E266" s="523" t="str">
        <f>[1]K_Summary!E256</f>
        <v/>
      </c>
      <c r="F266" s="523"/>
      <c r="G266" s="523"/>
      <c r="H266" s="516" t="str">
        <f>[1]K_Summary!H256</f>
        <v>TJ / година</v>
      </c>
      <c r="I266" s="524" t="str">
        <f>[1]K_Summary!I256</f>
        <v/>
      </c>
      <c r="J266" s="524" t="str">
        <f>[1]K_Summary!J256</f>
        <v/>
      </c>
      <c r="K266" s="524" t="str">
        <f>[1]K_Summary!K256</f>
        <v/>
      </c>
      <c r="L266" s="524" t="str">
        <f>[1]K_Summary!L256</f>
        <v/>
      </c>
      <c r="M266" s="524" t="str">
        <f>[1]K_Summary!M256</f>
        <v/>
      </c>
      <c r="N266" s="302"/>
    </row>
    <row r="267" spans="2:14" ht="12.75" customHeight="1" x14ac:dyDescent="0.25">
      <c r="B267" s="284"/>
      <c r="C267" s="302"/>
      <c r="D267" s="302"/>
      <c r="E267" s="523" t="str">
        <f>[1]K_Summary!E257</f>
        <v/>
      </c>
      <c r="F267" s="523"/>
      <c r="G267" s="523"/>
      <c r="H267" s="516" t="str">
        <f>[1]K_Summary!H257</f>
        <v>TJ / година</v>
      </c>
      <c r="I267" s="524" t="str">
        <f>[1]K_Summary!I257</f>
        <v/>
      </c>
      <c r="J267" s="524" t="str">
        <f>[1]K_Summary!J257</f>
        <v/>
      </c>
      <c r="K267" s="524" t="str">
        <f>[1]K_Summary!K257</f>
        <v/>
      </c>
      <c r="L267" s="524" t="str">
        <f>[1]K_Summary!L257</f>
        <v/>
      </c>
      <c r="M267" s="524" t="str">
        <f>[1]K_Summary!M257</f>
        <v/>
      </c>
      <c r="N267" s="302"/>
    </row>
    <row r="268" spans="2:14" ht="12.75" customHeight="1" x14ac:dyDescent="0.25">
      <c r="B268" s="284"/>
      <c r="C268" s="302"/>
      <c r="D268" s="302"/>
      <c r="E268" s="523" t="str">
        <f>[1]K_Summary!E258</f>
        <v/>
      </c>
      <c r="F268" s="523"/>
      <c r="G268" s="523"/>
      <c r="H268" s="516" t="str">
        <f>[1]K_Summary!H258</f>
        <v>TJ / година</v>
      </c>
      <c r="I268" s="524" t="str">
        <f>[1]K_Summary!I258</f>
        <v/>
      </c>
      <c r="J268" s="524" t="str">
        <f>[1]K_Summary!J258</f>
        <v/>
      </c>
      <c r="K268" s="524" t="str">
        <f>[1]K_Summary!K258</f>
        <v/>
      </c>
      <c r="L268" s="524" t="str">
        <f>[1]K_Summary!L258</f>
        <v/>
      </c>
      <c r="M268" s="524" t="str">
        <f>[1]K_Summary!M258</f>
        <v/>
      </c>
      <c r="N268" s="302"/>
    </row>
    <row r="269" spans="2:14" ht="12.75" customHeight="1" x14ac:dyDescent="0.25">
      <c r="B269" s="284"/>
      <c r="C269" s="302"/>
      <c r="D269" s="302"/>
      <c r="E269" s="525" t="str">
        <f>[1]K_Summary!E259</f>
        <v/>
      </c>
      <c r="F269" s="525"/>
      <c r="G269" s="525"/>
      <c r="H269" s="483" t="str">
        <f>[1]K_Summary!H259</f>
        <v>TJ / година</v>
      </c>
      <c r="I269" s="484" t="str">
        <f>[1]K_Summary!I259</f>
        <v/>
      </c>
      <c r="J269" s="484" t="str">
        <f>[1]K_Summary!J259</f>
        <v/>
      </c>
      <c r="K269" s="484" t="str">
        <f>[1]K_Summary!K259</f>
        <v/>
      </c>
      <c r="L269" s="484" t="str">
        <f>[1]K_Summary!L259</f>
        <v/>
      </c>
      <c r="M269" s="484" t="str">
        <f>[1]K_Summary!M259</f>
        <v/>
      </c>
      <c r="N269" s="302"/>
    </row>
    <row r="270" spans="2:14" ht="12.75" customHeight="1" x14ac:dyDescent="0.25">
      <c r="B270" s="284"/>
      <c r="C270" s="302"/>
      <c r="D270" s="302"/>
      <c r="E270" s="392" t="str">
        <f>[1]K_Summary!E260</f>
        <v>Подинсталация с топлинен показател (с риск от ИВЕ | извън МКВЕГ)</v>
      </c>
      <c r="F270" s="392"/>
      <c r="G270" s="392"/>
      <c r="H270" s="429" t="str">
        <f>[1]K_Summary!H260</f>
        <v>TJ / година</v>
      </c>
      <c r="I270" s="482" t="str">
        <f>[1]K_Summary!I260</f>
        <v/>
      </c>
      <c r="J270" s="482" t="str">
        <f>[1]K_Summary!J260</f>
        <v/>
      </c>
      <c r="K270" s="482" t="str">
        <f>[1]K_Summary!K260</f>
        <v/>
      </c>
      <c r="L270" s="482" t="str">
        <f>[1]K_Summary!L260</f>
        <v/>
      </c>
      <c r="M270" s="482" t="str">
        <f>[1]K_Summary!M260</f>
        <v/>
      </c>
      <c r="N270" s="302"/>
    </row>
    <row r="271" spans="2:14" ht="12.75" customHeight="1" x14ac:dyDescent="0.25">
      <c r="B271" s="284"/>
      <c r="C271" s="302"/>
      <c r="D271" s="302"/>
      <c r="E271" s="398" t="str">
        <f>[1]K_Summary!E261</f>
        <v>Подинсталация с топлинен показател (без риск от ИВЕ | извън МКВЕГ)</v>
      </c>
      <c r="F271" s="398"/>
      <c r="G271" s="398"/>
      <c r="H271" s="441" t="str">
        <f>[1]K_Summary!H261</f>
        <v>TJ / година</v>
      </c>
      <c r="I271" s="524" t="str">
        <f>[1]K_Summary!I261</f>
        <v/>
      </c>
      <c r="J271" s="524" t="str">
        <f>[1]K_Summary!J261</f>
        <v/>
      </c>
      <c r="K271" s="524" t="str">
        <f>[1]K_Summary!K261</f>
        <v/>
      </c>
      <c r="L271" s="524" t="str">
        <f>[1]K_Summary!L261</f>
        <v/>
      </c>
      <c r="M271" s="524" t="str">
        <f>[1]K_Summary!M261</f>
        <v/>
      </c>
      <c r="N271" s="302"/>
    </row>
    <row r="272" spans="2:14" ht="12.75" customHeight="1" x14ac:dyDescent="0.25">
      <c r="B272" s="284"/>
      <c r="C272" s="302"/>
      <c r="D272" s="302"/>
      <c r="E272" s="398" t="str">
        <f>[1]K_Summary!E262</f>
        <v>Подинсталация с топлинен показател (с риск от ИВЕ | в рамките на МКВЕГ)</v>
      </c>
      <c r="F272" s="398"/>
      <c r="G272" s="398"/>
      <c r="H272" s="441" t="str">
        <f>[1]K_Summary!H262</f>
        <v>TJ / година</v>
      </c>
      <c r="I272" s="524" t="str">
        <f>[1]K_Summary!I262</f>
        <v/>
      </c>
      <c r="J272" s="524" t="str">
        <f>[1]K_Summary!J262</f>
        <v/>
      </c>
      <c r="K272" s="524" t="str">
        <f>[1]K_Summary!K262</f>
        <v/>
      </c>
      <c r="L272" s="524" t="str">
        <f>[1]K_Summary!L262</f>
        <v/>
      </c>
      <c r="M272" s="524" t="str">
        <f>[1]K_Summary!M262</f>
        <v/>
      </c>
      <c r="N272" s="302"/>
    </row>
    <row r="273" spans="2:14" ht="12.75" customHeight="1" x14ac:dyDescent="0.25">
      <c r="B273" s="284"/>
      <c r="C273" s="302"/>
      <c r="D273" s="302"/>
      <c r="E273" s="398" t="str">
        <f>[1]K_Summary!E263</f>
        <v>Подинсталация на топлофикационна мрежа</v>
      </c>
      <c r="F273" s="398"/>
      <c r="G273" s="398"/>
      <c r="H273" s="441" t="str">
        <f>[1]K_Summary!H263</f>
        <v>TJ / година</v>
      </c>
      <c r="I273" s="524" t="str">
        <f>[1]K_Summary!I263</f>
        <v/>
      </c>
      <c r="J273" s="524" t="str">
        <f>[1]K_Summary!J263</f>
        <v/>
      </c>
      <c r="K273" s="524" t="str">
        <f>[1]K_Summary!K263</f>
        <v/>
      </c>
      <c r="L273" s="524" t="str">
        <f>[1]K_Summary!L263</f>
        <v/>
      </c>
      <c r="M273" s="524" t="str">
        <f>[1]K_Summary!M263</f>
        <v/>
      </c>
      <c r="N273" s="302"/>
    </row>
    <row r="274" spans="2:14" ht="12.75" customHeight="1" x14ac:dyDescent="0.25">
      <c r="B274" s="284"/>
      <c r="C274" s="302"/>
      <c r="D274" s="302"/>
      <c r="E274" s="398" t="str">
        <f>[1]K_Summary!E264</f>
        <v>Подинсталация с горивен показател (с риск от ИВЕ | извън МКВЕГ)</v>
      </c>
      <c r="F274" s="398"/>
      <c r="G274" s="398"/>
      <c r="H274" s="441" t="str">
        <f>[1]K_Summary!H264</f>
        <v>TJ / година</v>
      </c>
      <c r="I274" s="524" t="str">
        <f>[1]K_Summary!I264</f>
        <v/>
      </c>
      <c r="J274" s="524" t="str">
        <f>[1]K_Summary!J264</f>
        <v/>
      </c>
      <c r="K274" s="524" t="str">
        <f>[1]K_Summary!K264</f>
        <v/>
      </c>
      <c r="L274" s="524" t="str">
        <f>[1]K_Summary!L264</f>
        <v/>
      </c>
      <c r="M274" s="524" t="str">
        <f>[1]K_Summary!M264</f>
        <v/>
      </c>
      <c r="N274" s="302"/>
    </row>
    <row r="275" spans="2:14" ht="12.75" customHeight="1" x14ac:dyDescent="0.25">
      <c r="B275" s="284"/>
      <c r="C275" s="302"/>
      <c r="D275" s="302"/>
      <c r="E275" s="398" t="str">
        <f>[1]K_Summary!E265</f>
        <v>Подинсталация с горивен показател (без риск от ИВЕ | извън МКВЕГ)</v>
      </c>
      <c r="F275" s="398"/>
      <c r="G275" s="398"/>
      <c r="H275" s="441" t="str">
        <f>[1]K_Summary!H265</f>
        <v>TJ / година</v>
      </c>
      <c r="I275" s="524" t="str">
        <f>[1]K_Summary!I265</f>
        <v/>
      </c>
      <c r="J275" s="524" t="str">
        <f>[1]K_Summary!J265</f>
        <v/>
      </c>
      <c r="K275" s="524" t="str">
        <f>[1]K_Summary!K265</f>
        <v/>
      </c>
      <c r="L275" s="524" t="str">
        <f>[1]K_Summary!L265</f>
        <v/>
      </c>
      <c r="M275" s="524" t="str">
        <f>[1]K_Summary!M265</f>
        <v/>
      </c>
      <c r="N275" s="302"/>
    </row>
    <row r="276" spans="2:14" ht="12.75" customHeight="1" x14ac:dyDescent="0.25">
      <c r="B276" s="284"/>
      <c r="C276" s="302"/>
      <c r="D276" s="302"/>
      <c r="E276" s="401" t="str">
        <f>[1]K_Summary!E266</f>
        <v>Подинсталация с горивен показател (с риск от ИВЕ | в рамките на МКВЕГ)</v>
      </c>
      <c r="F276" s="401"/>
      <c r="G276" s="401"/>
      <c r="H276" s="464" t="str">
        <f>[1]K_Summary!H266</f>
        <v>TJ / година</v>
      </c>
      <c r="I276" s="484" t="str">
        <f>[1]K_Summary!I266</f>
        <v/>
      </c>
      <c r="J276" s="484" t="str">
        <f>[1]K_Summary!J266</f>
        <v/>
      </c>
      <c r="K276" s="484" t="str">
        <f>[1]K_Summary!K266</f>
        <v/>
      </c>
      <c r="L276" s="484" t="str">
        <f>[1]K_Summary!L266</f>
        <v/>
      </c>
      <c r="M276" s="484" t="str">
        <f>[1]K_Summary!M266</f>
        <v/>
      </c>
      <c r="N276" s="302"/>
    </row>
    <row r="277" spans="2:14" ht="12.75" customHeight="1" x14ac:dyDescent="0.25">
      <c r="B277" s="284"/>
      <c r="C277" s="302"/>
      <c r="D277" s="302"/>
      <c r="E277" s="302"/>
      <c r="F277" s="302"/>
      <c r="G277" s="302"/>
      <c r="H277" s="302"/>
      <c r="I277" s="302"/>
      <c r="J277" s="302"/>
      <c r="K277" s="302"/>
      <c r="L277" s="302"/>
      <c r="M277" s="302"/>
      <c r="N277" s="302"/>
    </row>
    <row r="278" spans="2:14" ht="12.75" customHeight="1" x14ac:dyDescent="0.3">
      <c r="B278" s="284"/>
      <c r="C278" s="357">
        <f>[1]K_Summary!C268</f>
        <v>6</v>
      </c>
      <c r="D278" s="358" t="str">
        <f>[1]K_Summary!D268</f>
        <v>Изчисление на измеримата топлинна енергия (раздел E.II)</v>
      </c>
      <c r="E278" s="359"/>
      <c r="F278" s="359"/>
      <c r="G278" s="359"/>
      <c r="H278" s="359"/>
      <c r="I278" s="359"/>
      <c r="J278" s="359"/>
      <c r="K278" s="359"/>
      <c r="L278" s="359"/>
      <c r="M278" s="359"/>
      <c r="N278" s="359"/>
    </row>
    <row r="279" spans="2:14" ht="12.75" customHeight="1" x14ac:dyDescent="0.25">
      <c r="B279" s="284"/>
      <c r="C279" s="284"/>
      <c r="D279" s="284"/>
      <c r="E279" s="284"/>
      <c r="F279" s="284"/>
      <c r="G279" s="284"/>
      <c r="H279" s="284"/>
      <c r="I279" s="284"/>
      <c r="J279" s="284"/>
      <c r="K279" s="284"/>
      <c r="L279" s="284"/>
      <c r="M279" s="336"/>
      <c r="N279" s="336"/>
    </row>
    <row r="280" spans="2:14" ht="12.75" customHeight="1" x14ac:dyDescent="0.25">
      <c r="B280" s="284"/>
      <c r="C280" s="300"/>
      <c r="D280" s="300" t="str">
        <f>[1]K_Summary!D270</f>
        <v>(a)</v>
      </c>
      <c r="E280" s="526" t="str">
        <f>[1]K_Summary!E270</f>
        <v>Общо нетно количество измерима топлинна енергия, произведена в инсталацията:</v>
      </c>
      <c r="F280" s="507"/>
      <c r="G280" s="507"/>
      <c r="H280" s="507"/>
      <c r="I280" s="507"/>
      <c r="J280" s="507"/>
      <c r="K280" s="507"/>
      <c r="L280" s="507"/>
      <c r="M280" s="507"/>
      <c r="N280" s="507"/>
    </row>
    <row r="281" spans="2:14" ht="12.75" customHeight="1" x14ac:dyDescent="0.25">
      <c r="B281" s="284"/>
      <c r="C281" s="302"/>
      <c r="D281" s="302"/>
      <c r="E281" s="461"/>
      <c r="F281" s="498"/>
      <c r="G281" s="498"/>
      <c r="H281" s="527" t="str">
        <f>[1]K_Summary!H271</f>
        <v>Единица мярка</v>
      </c>
      <c r="I281" s="391">
        <f>[1]K_Summary!I271</f>
        <v>2019</v>
      </c>
      <c r="J281" s="391">
        <f>[1]K_Summary!J271</f>
        <v>2020</v>
      </c>
      <c r="K281" s="391">
        <f>[1]K_Summary!K271</f>
        <v>2021</v>
      </c>
      <c r="L281" s="391">
        <f>[1]K_Summary!L271</f>
        <v>2022</v>
      </c>
      <c r="M281" s="391">
        <f>[1]K_Summary!M271</f>
        <v>2023</v>
      </c>
      <c r="N281" s="336"/>
    </row>
    <row r="282" spans="2:14" ht="12.75" customHeight="1" x14ac:dyDescent="0.25">
      <c r="B282" s="284"/>
      <c r="C282" s="302"/>
      <c r="D282" s="302"/>
      <c r="E282" s="528" t="str">
        <f>[1]K_Summary!E272</f>
        <v>Произведена измерима топлинна енергия</v>
      </c>
      <c r="F282" s="528"/>
      <c r="G282" s="528"/>
      <c r="H282" s="421" t="str">
        <f>[1]K_Summary!H272</f>
        <v>TJ / година</v>
      </c>
      <c r="I282" s="480" t="str">
        <f>[1]K_Summary!I272</f>
        <v/>
      </c>
      <c r="J282" s="422" t="str">
        <f>[1]K_Summary!J272</f>
        <v/>
      </c>
      <c r="K282" s="422" t="str">
        <f>[1]K_Summary!K272</f>
        <v/>
      </c>
      <c r="L282" s="422" t="str">
        <f>[1]K_Summary!L272</f>
        <v/>
      </c>
      <c r="M282" s="422" t="str">
        <f>[1]K_Summary!M272</f>
        <v/>
      </c>
      <c r="N282" s="336"/>
    </row>
    <row r="283" spans="2:14" ht="12.75" customHeight="1" x14ac:dyDescent="0.25">
      <c r="B283" s="284"/>
      <c r="C283" s="302"/>
      <c r="D283" s="360"/>
      <c r="E283" s="529" t="str">
        <f>[1]K_Summary!E273</f>
        <v>Допълнителна информация за справка: топлинна енергия, подадена от подинсталации с горивен показател</v>
      </c>
      <c r="F283" s="529"/>
      <c r="G283" s="529"/>
      <c r="H283" s="521" t="str">
        <f>[1]K_Summary!H273</f>
        <v>TJ / година</v>
      </c>
      <c r="I283" s="477" t="str">
        <f>[1]K_Summary!I273</f>
        <v/>
      </c>
      <c r="J283" s="477" t="str">
        <f>[1]K_Summary!J273</f>
        <v/>
      </c>
      <c r="K283" s="477" t="str">
        <f>[1]K_Summary!K273</f>
        <v/>
      </c>
      <c r="L283" s="477" t="str">
        <f>[1]K_Summary!L273</f>
        <v/>
      </c>
      <c r="M283" s="477" t="str">
        <f>[1]K_Summary!M273</f>
        <v/>
      </c>
      <c r="N283" s="302"/>
    </row>
    <row r="284" spans="2:14" ht="12.75" customHeight="1" x14ac:dyDescent="0.25">
      <c r="B284" s="284"/>
      <c r="C284" s="284"/>
      <c r="D284" s="284"/>
      <c r="E284" s="284"/>
      <c r="F284" s="284"/>
      <c r="G284" s="284"/>
      <c r="H284" s="284"/>
      <c r="I284" s="284"/>
      <c r="J284" s="284"/>
      <c r="K284" s="284"/>
      <c r="L284" s="284"/>
      <c r="M284" s="284"/>
      <c r="N284" s="284"/>
    </row>
    <row r="285" spans="2:14" ht="12.75" customHeight="1" x14ac:dyDescent="0.25">
      <c r="B285" s="284"/>
      <c r="C285" s="300"/>
      <c r="D285" s="300" t="str">
        <f>[1]K_Summary!D275</f>
        <v>(b)</v>
      </c>
      <c r="E285" s="526" t="str">
        <f>[1]K_Summary!E275</f>
        <v>Измерима топлинна енергия, произведена от електроенергия</v>
      </c>
      <c r="F285" s="507"/>
      <c r="G285" s="507"/>
      <c r="H285" s="507"/>
      <c r="I285" s="507"/>
      <c r="J285" s="507"/>
      <c r="K285" s="507"/>
      <c r="L285" s="507"/>
      <c r="M285" s="507"/>
      <c r="N285" s="507"/>
    </row>
    <row r="286" spans="2:14" ht="12.75" customHeight="1" x14ac:dyDescent="0.25">
      <c r="B286" s="284"/>
      <c r="C286" s="302"/>
      <c r="D286" s="302"/>
      <c r="E286" s="528" t="str">
        <f>[1]K_Summary!E276</f>
        <v>Топлинна енергия от ел. енергия</v>
      </c>
      <c r="F286" s="528"/>
      <c r="G286" s="528"/>
      <c r="H286" s="421" t="str">
        <f>[1]K_Summary!H276</f>
        <v>TJ / година</v>
      </c>
      <c r="I286" s="480" t="str">
        <f>[1]K_Summary!I276</f>
        <v/>
      </c>
      <c r="J286" s="422" t="str">
        <f>[1]K_Summary!J276</f>
        <v/>
      </c>
      <c r="K286" s="422" t="str">
        <f>[1]K_Summary!K276</f>
        <v/>
      </c>
      <c r="L286" s="422" t="str">
        <f>[1]K_Summary!L276</f>
        <v/>
      </c>
      <c r="M286" s="422" t="str">
        <f>[1]K_Summary!M276</f>
        <v/>
      </c>
      <c r="N286" s="336"/>
    </row>
    <row r="287" spans="2:14" ht="12.75" customHeight="1" x14ac:dyDescent="0.25">
      <c r="B287" s="284"/>
      <c r="C287" s="284"/>
      <c r="D287" s="284"/>
      <c r="E287" s="284"/>
      <c r="F287" s="284"/>
      <c r="G287" s="284"/>
      <c r="H287" s="284"/>
      <c r="I287" s="284"/>
      <c r="J287" s="284"/>
      <c r="K287" s="284"/>
      <c r="L287" s="284"/>
      <c r="M287" s="284"/>
      <c r="N287" s="284"/>
    </row>
    <row r="288" spans="2:14" ht="12.75" customHeight="1" x14ac:dyDescent="0.25">
      <c r="B288" s="284"/>
      <c r="C288" s="300"/>
      <c r="D288" s="300" t="str">
        <f>[1]K_Summary!D278</f>
        <v>(c)</v>
      </c>
      <c r="E288" s="526" t="str">
        <f>[1]K_Summary!E278</f>
        <v>Измерима топлинна енергия, внесена от инсталации, обхванати от СТЕ на ЕС:</v>
      </c>
      <c r="F288" s="507"/>
      <c r="G288" s="507"/>
      <c r="H288" s="507"/>
      <c r="I288" s="507"/>
      <c r="J288" s="507"/>
      <c r="K288" s="507"/>
      <c r="L288" s="507"/>
      <c r="M288" s="507"/>
      <c r="N288" s="507"/>
    </row>
    <row r="289" spans="2:14" ht="12.75" customHeight="1" x14ac:dyDescent="0.25">
      <c r="B289" s="284"/>
      <c r="C289" s="302"/>
      <c r="D289" s="302"/>
      <c r="E289" s="530" t="str">
        <f>[1]K_Summary!E279</f>
        <v>Наименование на инсталацията</v>
      </c>
      <c r="F289" s="531"/>
      <c r="G289" s="531"/>
      <c r="H289" s="527" t="str">
        <f>[1]K_Summary!H279</f>
        <v>Единица мярка</v>
      </c>
      <c r="I289" s="391">
        <f>[1]K_Summary!I279</f>
        <v>2019</v>
      </c>
      <c r="J289" s="391">
        <f>[1]K_Summary!J279</f>
        <v>2020</v>
      </c>
      <c r="K289" s="391">
        <f>[1]K_Summary!K279</f>
        <v>2021</v>
      </c>
      <c r="L289" s="391">
        <f>[1]K_Summary!L279</f>
        <v>2022</v>
      </c>
      <c r="M289" s="391">
        <f>[1]K_Summary!M279</f>
        <v>2023</v>
      </c>
      <c r="N289" s="336"/>
    </row>
    <row r="290" spans="2:14" ht="12.75" customHeight="1" x14ac:dyDescent="0.25">
      <c r="B290" s="284"/>
      <c r="C290" s="360"/>
      <c r="D290" s="360"/>
      <c r="E290" s="522" t="str">
        <f>[1]K_Summary!E280</f>
        <v/>
      </c>
      <c r="F290" s="522"/>
      <c r="G290" s="522"/>
      <c r="H290" s="393" t="str">
        <f>[1]K_Summary!H280</f>
        <v>TJ / година</v>
      </c>
      <c r="I290" s="482" t="str">
        <f>[1]K_Summary!I280</f>
        <v/>
      </c>
      <c r="J290" s="532" t="str">
        <f>[1]K_Summary!J280</f>
        <v/>
      </c>
      <c r="K290" s="532" t="str">
        <f>[1]K_Summary!K280</f>
        <v/>
      </c>
      <c r="L290" s="532" t="str">
        <f>[1]K_Summary!L280</f>
        <v/>
      </c>
      <c r="M290" s="532" t="str">
        <f>[1]K_Summary!M280</f>
        <v/>
      </c>
      <c r="N290" s="336"/>
    </row>
    <row r="291" spans="2:14" ht="12.75" customHeight="1" x14ac:dyDescent="0.25">
      <c r="B291" s="284"/>
      <c r="C291" s="360"/>
      <c r="D291" s="360"/>
      <c r="E291" s="523" t="str">
        <f>[1]K_Summary!E281</f>
        <v/>
      </c>
      <c r="F291" s="523"/>
      <c r="G291" s="523"/>
      <c r="H291" s="399" t="str">
        <f>[1]K_Summary!H281</f>
        <v>TJ / година</v>
      </c>
      <c r="I291" s="524" t="str">
        <f>[1]K_Summary!I281</f>
        <v/>
      </c>
      <c r="J291" s="533" t="str">
        <f>[1]K_Summary!J281</f>
        <v/>
      </c>
      <c r="K291" s="533" t="str">
        <f>[1]K_Summary!K281</f>
        <v/>
      </c>
      <c r="L291" s="533" t="str">
        <f>[1]K_Summary!L281</f>
        <v/>
      </c>
      <c r="M291" s="533" t="str">
        <f>[1]K_Summary!M281</f>
        <v/>
      </c>
      <c r="N291" s="336"/>
    </row>
    <row r="292" spans="2:14" ht="12.75" customHeight="1" x14ac:dyDescent="0.25">
      <c r="B292" s="284"/>
      <c r="C292" s="360"/>
      <c r="D292" s="360"/>
      <c r="E292" s="525" t="str">
        <f>[1]K_Summary!E282</f>
        <v/>
      </c>
      <c r="F292" s="525"/>
      <c r="G292" s="525"/>
      <c r="H292" s="402" t="str">
        <f>[1]K_Summary!H282</f>
        <v>TJ / година</v>
      </c>
      <c r="I292" s="484" t="str">
        <f>[1]K_Summary!I282</f>
        <v/>
      </c>
      <c r="J292" s="534" t="str">
        <f>[1]K_Summary!J282</f>
        <v/>
      </c>
      <c r="K292" s="534" t="str">
        <f>[1]K_Summary!K282</f>
        <v/>
      </c>
      <c r="L292" s="534" t="str">
        <f>[1]K_Summary!L282</f>
        <v/>
      </c>
      <c r="M292" s="534" t="str">
        <f>[1]K_Summary!M282</f>
        <v/>
      </c>
      <c r="N292" s="336"/>
    </row>
    <row r="293" spans="2:14" ht="12.75" customHeight="1" x14ac:dyDescent="0.25">
      <c r="B293" s="284"/>
      <c r="C293" s="360"/>
      <c r="D293" s="360"/>
      <c r="E293" s="528" t="str">
        <f>[1]K_Summary!E283</f>
        <v>Междинен сбор</v>
      </c>
      <c r="F293" s="528"/>
      <c r="G293" s="528"/>
      <c r="H293" s="535" t="str">
        <f>[1]K_Summary!H283</f>
        <v>TJ / година</v>
      </c>
      <c r="I293" s="480" t="str">
        <f>[1]K_Summary!I283</f>
        <v/>
      </c>
      <c r="J293" s="423" t="str">
        <f>[1]K_Summary!J283</f>
        <v/>
      </c>
      <c r="K293" s="423" t="str">
        <f>[1]K_Summary!K283</f>
        <v/>
      </c>
      <c r="L293" s="423" t="str">
        <f>[1]K_Summary!L283</f>
        <v/>
      </c>
      <c r="M293" s="423" t="str">
        <f>[1]K_Summary!M283</f>
        <v/>
      </c>
      <c r="N293" s="336"/>
    </row>
    <row r="294" spans="2:14" ht="12.75" customHeight="1" x14ac:dyDescent="0.25">
      <c r="B294" s="284"/>
      <c r="C294" s="284"/>
      <c r="D294" s="284"/>
      <c r="E294" s="284"/>
      <c r="F294" s="284"/>
      <c r="G294" s="284"/>
      <c r="H294" s="284"/>
      <c r="I294" s="284"/>
      <c r="J294" s="284"/>
      <c r="K294" s="284"/>
      <c r="L294" s="284"/>
      <c r="M294" s="284"/>
      <c r="N294" s="284"/>
    </row>
    <row r="295" spans="2:14" ht="12.75" customHeight="1" x14ac:dyDescent="0.25">
      <c r="B295" s="284"/>
      <c r="C295" s="300"/>
      <c r="D295" s="300" t="str">
        <f>[1]K_Summary!D285</f>
        <v>(d)</v>
      </c>
      <c r="E295" s="526" t="str">
        <f>[1]K_Summary!E285</f>
        <v>Измерима топлинна енергия, внесена от инсталации и обекти, необхванати от СТЕ на ЕС (не отговаря на условията за топлинен показател):</v>
      </c>
      <c r="F295" s="507"/>
      <c r="G295" s="507"/>
      <c r="H295" s="507"/>
      <c r="I295" s="507"/>
      <c r="J295" s="507"/>
      <c r="K295" s="507"/>
      <c r="L295" s="507"/>
      <c r="M295" s="507"/>
      <c r="N295" s="507"/>
    </row>
    <row r="296" spans="2:14" ht="12.75" customHeight="1" x14ac:dyDescent="0.25">
      <c r="B296" s="284"/>
      <c r="C296" s="302"/>
      <c r="D296" s="302"/>
      <c r="E296" s="530" t="str">
        <f>[1]K_Summary!E286</f>
        <v>Наименование на инсталацията или обекта</v>
      </c>
      <c r="F296" s="531"/>
      <c r="G296" s="531"/>
      <c r="H296" s="527" t="str">
        <f>[1]K_Summary!H286</f>
        <v>Единица мярка</v>
      </c>
      <c r="I296" s="391">
        <f>[1]K_Summary!I286</f>
        <v>2019</v>
      </c>
      <c r="J296" s="391">
        <f>[1]K_Summary!J286</f>
        <v>2020</v>
      </c>
      <c r="K296" s="391">
        <f>[1]K_Summary!K286</f>
        <v>2021</v>
      </c>
      <c r="L296" s="391">
        <f>[1]K_Summary!L286</f>
        <v>2022</v>
      </c>
      <c r="M296" s="391">
        <f>[1]K_Summary!M286</f>
        <v>2023</v>
      </c>
      <c r="N296" s="336"/>
    </row>
    <row r="297" spans="2:14" ht="12.75" customHeight="1" x14ac:dyDescent="0.25">
      <c r="B297" s="284"/>
      <c r="C297" s="360"/>
      <c r="D297" s="360"/>
      <c r="E297" s="522" t="str">
        <f>[1]K_Summary!E287</f>
        <v/>
      </c>
      <c r="F297" s="522"/>
      <c r="G297" s="522"/>
      <c r="H297" s="393" t="str">
        <f>[1]K_Summary!H287</f>
        <v>TJ / година</v>
      </c>
      <c r="I297" s="482" t="str">
        <f>[1]K_Summary!I287</f>
        <v/>
      </c>
      <c r="J297" s="532" t="str">
        <f>[1]K_Summary!J287</f>
        <v/>
      </c>
      <c r="K297" s="532" t="str">
        <f>[1]K_Summary!K287</f>
        <v/>
      </c>
      <c r="L297" s="532" t="str">
        <f>[1]K_Summary!L287</f>
        <v/>
      </c>
      <c r="M297" s="536" t="str">
        <f>[1]K_Summary!M287</f>
        <v/>
      </c>
      <c r="N297" s="336"/>
    </row>
    <row r="298" spans="2:14" ht="12.75" customHeight="1" x14ac:dyDescent="0.25">
      <c r="B298" s="284"/>
      <c r="C298" s="360"/>
      <c r="D298" s="360"/>
      <c r="E298" s="523" t="str">
        <f>[1]K_Summary!E288</f>
        <v/>
      </c>
      <c r="F298" s="523"/>
      <c r="G298" s="523"/>
      <c r="H298" s="399" t="str">
        <f>[1]K_Summary!H288</f>
        <v>TJ / година</v>
      </c>
      <c r="I298" s="524" t="str">
        <f>[1]K_Summary!I288</f>
        <v/>
      </c>
      <c r="J298" s="533" t="str">
        <f>[1]K_Summary!J288</f>
        <v/>
      </c>
      <c r="K298" s="533" t="str">
        <f>[1]K_Summary!K288</f>
        <v/>
      </c>
      <c r="L298" s="533" t="str">
        <f>[1]K_Summary!L288</f>
        <v/>
      </c>
      <c r="M298" s="537" t="str">
        <f>[1]K_Summary!M288</f>
        <v/>
      </c>
      <c r="N298" s="336"/>
    </row>
    <row r="299" spans="2:14" ht="12.75" customHeight="1" x14ac:dyDescent="0.25">
      <c r="B299" s="284"/>
      <c r="C299" s="360"/>
      <c r="D299" s="360"/>
      <c r="E299" s="525" t="str">
        <f>[1]K_Summary!E289</f>
        <v/>
      </c>
      <c r="F299" s="525"/>
      <c r="G299" s="525"/>
      <c r="H299" s="402" t="str">
        <f>[1]K_Summary!H289</f>
        <v>TJ / година</v>
      </c>
      <c r="I299" s="484" t="str">
        <f>[1]K_Summary!I289</f>
        <v/>
      </c>
      <c r="J299" s="534" t="str">
        <f>[1]K_Summary!J289</f>
        <v/>
      </c>
      <c r="K299" s="534" t="str">
        <f>[1]K_Summary!K289</f>
        <v/>
      </c>
      <c r="L299" s="534" t="str">
        <f>[1]K_Summary!L289</f>
        <v/>
      </c>
      <c r="M299" s="538" t="str">
        <f>[1]K_Summary!M289</f>
        <v/>
      </c>
      <c r="N299" s="336"/>
    </row>
    <row r="300" spans="2:14" ht="12.75" customHeight="1" x14ac:dyDescent="0.25">
      <c r="B300" s="284"/>
      <c r="C300" s="360"/>
      <c r="D300" s="360"/>
      <c r="E300" s="528" t="str">
        <f>[1]K_Summary!E290</f>
        <v>Междинен сбор</v>
      </c>
      <c r="F300" s="528"/>
      <c r="G300" s="528"/>
      <c r="H300" s="535" t="str">
        <f>[1]K_Summary!H290</f>
        <v>TJ / година</v>
      </c>
      <c r="I300" s="480" t="str">
        <f>[1]K_Summary!I290</f>
        <v/>
      </c>
      <c r="J300" s="423" t="str">
        <f>[1]K_Summary!J290</f>
        <v/>
      </c>
      <c r="K300" s="423" t="str">
        <f>[1]K_Summary!K290</f>
        <v/>
      </c>
      <c r="L300" s="423" t="str">
        <f>[1]K_Summary!L290</f>
        <v/>
      </c>
      <c r="M300" s="539" t="str">
        <f>[1]K_Summary!M290</f>
        <v/>
      </c>
      <c r="N300" s="336"/>
    </row>
    <row r="301" spans="2:14" ht="12.75" customHeight="1" x14ac:dyDescent="0.25">
      <c r="B301" s="284"/>
      <c r="C301" s="284"/>
      <c r="D301" s="284"/>
      <c r="E301" s="284"/>
      <c r="F301" s="284"/>
      <c r="G301" s="284"/>
      <c r="H301" s="284"/>
      <c r="I301" s="284"/>
      <c r="J301" s="284"/>
      <c r="K301" s="284"/>
      <c r="L301" s="284"/>
      <c r="M301" s="284"/>
      <c r="N301" s="284"/>
    </row>
    <row r="302" spans="2:14" ht="12.75" customHeight="1" x14ac:dyDescent="0.25">
      <c r="B302" s="284"/>
      <c r="C302" s="300"/>
      <c r="D302" s="300" t="str">
        <f>[1]K_Summary!D292</f>
        <v>(e)</v>
      </c>
      <c r="E302" s="506" t="str">
        <f>[1]K_Summary!E292</f>
        <v>Сума на измеримата топлинна енергия, налична в инсталацията (=a+c+d)</v>
      </c>
      <c r="F302" s="507"/>
      <c r="G302" s="507"/>
      <c r="H302" s="507"/>
      <c r="I302" s="507"/>
      <c r="J302" s="507"/>
      <c r="K302" s="507"/>
      <c r="L302" s="507"/>
      <c r="M302" s="507"/>
      <c r="N302" s="507"/>
    </row>
    <row r="303" spans="2:14" ht="12.75" customHeight="1" x14ac:dyDescent="0.25">
      <c r="B303" s="284"/>
      <c r="C303" s="302"/>
      <c r="D303" s="302"/>
      <c r="E303" s="528" t="str">
        <f>[1]K_Summary!E293</f>
        <v>Общо измерима топлинна енергия</v>
      </c>
      <c r="F303" s="528"/>
      <c r="G303" s="528"/>
      <c r="H303" s="535" t="str">
        <f>[1]K_Summary!H293</f>
        <v>TJ / година</v>
      </c>
      <c r="I303" s="480" t="str">
        <f>[1]K_Summary!I293</f>
        <v/>
      </c>
      <c r="J303" s="423" t="str">
        <f>[1]K_Summary!J293</f>
        <v/>
      </c>
      <c r="K303" s="423" t="str">
        <f>[1]K_Summary!K293</f>
        <v/>
      </c>
      <c r="L303" s="423" t="str">
        <f>[1]K_Summary!L293</f>
        <v/>
      </c>
      <c r="M303" s="423" t="str">
        <f>[1]K_Summary!M293</f>
        <v/>
      </c>
      <c r="N303" s="336"/>
    </row>
    <row r="304" spans="2:14" ht="12.75" customHeight="1" x14ac:dyDescent="0.25">
      <c r="B304" s="284"/>
      <c r="C304" s="284"/>
      <c r="D304" s="284"/>
      <c r="E304" s="284"/>
      <c r="F304" s="284"/>
      <c r="G304" s="284"/>
      <c r="H304" s="284"/>
      <c r="I304" s="284"/>
      <c r="J304" s="284"/>
      <c r="K304" s="284"/>
      <c r="L304" s="284"/>
      <c r="M304" s="284"/>
      <c r="N304" s="284"/>
    </row>
    <row r="305" spans="2:14" ht="12.75" customHeight="1" x14ac:dyDescent="0.25">
      <c r="B305" s="284"/>
      <c r="C305" s="300"/>
      <c r="D305" s="300" t="str">
        <f>[1]K_Summary!D295</f>
        <v>(f)</v>
      </c>
      <c r="E305" s="526" t="str">
        <f>[1]K_Summary!E295</f>
        <v>Съотношение „топлинна енергия по СТЕ“ спрямо „общо топлинна енергия“</v>
      </c>
      <c r="F305" s="507"/>
      <c r="G305" s="507"/>
      <c r="H305" s="507"/>
      <c r="I305" s="507"/>
      <c r="J305" s="507"/>
      <c r="K305" s="507"/>
      <c r="L305" s="507"/>
      <c r="M305" s="507"/>
      <c r="N305" s="507"/>
    </row>
    <row r="306" spans="2:14" ht="12.75" customHeight="1" x14ac:dyDescent="0.25">
      <c r="B306" s="284"/>
      <c r="C306" s="302"/>
      <c r="D306" s="302"/>
      <c r="E306" s="528" t="str">
        <f>[1]K_Summary!E296</f>
        <v>Съотношение на вложената топлинна енергия (a+c) / (a+c+d):</v>
      </c>
      <c r="F306" s="528"/>
      <c r="G306" s="528"/>
      <c r="H306" s="535" t="str">
        <f>[1]K_Summary!H296</f>
        <v>%</v>
      </c>
      <c r="I306" s="182" t="str">
        <f>[1]K_Summary!I296</f>
        <v/>
      </c>
      <c r="J306" s="183" t="str">
        <f>[1]K_Summary!J296</f>
        <v/>
      </c>
      <c r="K306" s="183" t="str">
        <f>[1]K_Summary!K296</f>
        <v/>
      </c>
      <c r="L306" s="183" t="str">
        <f>[1]K_Summary!L296</f>
        <v/>
      </c>
      <c r="M306" s="183" t="str">
        <f>[1]K_Summary!M296</f>
        <v/>
      </c>
      <c r="N306" s="284"/>
    </row>
    <row r="307" spans="2:14" ht="12.75" customHeight="1" x14ac:dyDescent="0.25">
      <c r="B307" s="284"/>
      <c r="C307" s="284"/>
      <c r="D307" s="284"/>
      <c r="E307" s="284"/>
      <c r="F307" s="284"/>
      <c r="G307" s="284"/>
      <c r="H307" s="284"/>
      <c r="I307" s="284"/>
      <c r="J307" s="284"/>
      <c r="K307" s="284"/>
      <c r="L307" s="284"/>
      <c r="M307" s="284"/>
      <c r="N307" s="284"/>
    </row>
    <row r="308" spans="2:14" ht="12.75" customHeight="1" x14ac:dyDescent="0.25">
      <c r="B308" s="284"/>
      <c r="C308" s="300"/>
      <c r="D308" s="300" t="str">
        <f>[1]K_Summary!D298</f>
        <v>(g)</v>
      </c>
      <c r="E308" s="526" t="str">
        <f>[1]K_Summary!E298</f>
        <v>Измерима топлинна енергия, консумирана за производство на електроенергия в инсталацията (неотговаряща на условията за топлинен показател):</v>
      </c>
      <c r="F308" s="507"/>
      <c r="G308" s="507"/>
      <c r="H308" s="507"/>
      <c r="I308" s="507"/>
      <c r="J308" s="507"/>
      <c r="K308" s="507"/>
      <c r="L308" s="507"/>
      <c r="M308" s="507"/>
      <c r="N308" s="507"/>
    </row>
    <row r="309" spans="2:14" ht="12.75" customHeight="1" x14ac:dyDescent="0.25">
      <c r="B309" s="284"/>
      <c r="C309" s="302"/>
      <c r="D309" s="302"/>
      <c r="E309" s="461"/>
      <c r="F309" s="498"/>
      <c r="G309" s="498"/>
      <c r="H309" s="527"/>
      <c r="I309" s="391">
        <f>[1]K_Summary!I299</f>
        <v>2019</v>
      </c>
      <c r="J309" s="391">
        <f>[1]K_Summary!J299</f>
        <v>2020</v>
      </c>
      <c r="K309" s="391">
        <f>[1]K_Summary!K299</f>
        <v>2021</v>
      </c>
      <c r="L309" s="391">
        <f>[1]K_Summary!L299</f>
        <v>2022</v>
      </c>
      <c r="M309" s="391">
        <f>[1]K_Summary!M299</f>
        <v>2023</v>
      </c>
      <c r="N309" s="336"/>
    </row>
    <row r="310" spans="2:14" ht="12.75" customHeight="1" x14ac:dyDescent="0.25">
      <c r="B310" s="284"/>
      <c r="C310" s="360"/>
      <c r="D310" s="360"/>
      <c r="E310" s="528" t="str">
        <f>[1]K_Summary!E300</f>
        <v>Топлинна енергия, използвана за производство на ел. енергия</v>
      </c>
      <c r="F310" s="528"/>
      <c r="G310" s="528"/>
      <c r="H310" s="535" t="str">
        <f>[1]K_Summary!H300</f>
        <v>TJ / година</v>
      </c>
      <c r="I310" s="480" t="str">
        <f>[1]K_Summary!I300</f>
        <v/>
      </c>
      <c r="J310" s="422" t="str">
        <f>[1]K_Summary!J300</f>
        <v/>
      </c>
      <c r="K310" s="422" t="str">
        <f>[1]K_Summary!K300</f>
        <v/>
      </c>
      <c r="L310" s="422" t="str">
        <f>[1]K_Summary!L300</f>
        <v/>
      </c>
      <c r="M310" s="422" t="str">
        <f>[1]K_Summary!M300</f>
        <v/>
      </c>
      <c r="N310" s="336"/>
    </row>
    <row r="311" spans="2:14" ht="12.75" customHeight="1" x14ac:dyDescent="0.25">
      <c r="B311" s="284"/>
      <c r="C311" s="360"/>
      <c r="D311" s="360"/>
      <c r="E311" s="528" t="str">
        <f>[1]K_Summary!E301</f>
        <v>Количество топлинна енергия от източници извън СТЕ</v>
      </c>
      <c r="F311" s="528"/>
      <c r="G311" s="528"/>
      <c r="H311" s="540" t="str">
        <f>[1]K_Summary!H301</f>
        <v>TJ / година</v>
      </c>
      <c r="I311" s="182" t="str">
        <f>[1]K_Summary!I301</f>
        <v/>
      </c>
      <c r="J311" s="183" t="str">
        <f>[1]K_Summary!J301</f>
        <v/>
      </c>
      <c r="K311" s="183" t="str">
        <f>[1]K_Summary!K301</f>
        <v/>
      </c>
      <c r="L311" s="183" t="str">
        <f>[1]K_Summary!L301</f>
        <v/>
      </c>
      <c r="M311" s="183" t="str">
        <f>[1]K_Summary!M301</f>
        <v/>
      </c>
      <c r="N311" s="336"/>
    </row>
    <row r="312" spans="2:14" ht="12.75" customHeight="1" x14ac:dyDescent="0.25">
      <c r="B312" s="284"/>
      <c r="C312" s="360"/>
      <c r="D312" s="360"/>
      <c r="E312" s="528" t="str">
        <f>[1]K_Summary!E302</f>
        <v>Ръчна корекция на ii)</v>
      </c>
      <c r="F312" s="528"/>
      <c r="G312" s="528"/>
      <c r="H312" s="540" t="str">
        <f>[1]K_Summary!H302</f>
        <v>TJ / година</v>
      </c>
      <c r="I312" s="480" t="str">
        <f>[1]K_Summary!I302</f>
        <v/>
      </c>
      <c r="J312" s="422" t="str">
        <f>[1]K_Summary!J302</f>
        <v/>
      </c>
      <c r="K312" s="422" t="str">
        <f>[1]K_Summary!K302</f>
        <v/>
      </c>
      <c r="L312" s="422" t="str">
        <f>[1]K_Summary!L302</f>
        <v/>
      </c>
      <c r="M312" s="422" t="str">
        <f>[1]K_Summary!M302</f>
        <v/>
      </c>
      <c r="N312" s="336"/>
    </row>
    <row r="313" spans="2:14" ht="12.75" customHeight="1" x14ac:dyDescent="0.25">
      <c r="B313" s="284"/>
      <c r="C313" s="284"/>
      <c r="D313" s="284"/>
      <c r="E313" s="284"/>
      <c r="F313" s="284"/>
      <c r="G313" s="284"/>
      <c r="H313" s="284"/>
      <c r="I313" s="284"/>
      <c r="J313" s="284"/>
      <c r="K313" s="284"/>
      <c r="L313" s="284"/>
      <c r="M313" s="284"/>
      <c r="N313" s="284"/>
    </row>
    <row r="314" spans="2:14" ht="12.75" customHeight="1" x14ac:dyDescent="0.25">
      <c r="B314" s="284"/>
      <c r="C314" s="300"/>
      <c r="D314" s="300" t="str">
        <f>[1]K_Summary!D304</f>
        <v>(h)</v>
      </c>
      <c r="E314" s="526" t="str">
        <f>[1]K_Summary!E304</f>
        <v>Консумирана измерима топлинна енергия за подинсталации с продуктов показател в рамките на инсталацията (неотговарящи на условията за топлинен показател):</v>
      </c>
      <c r="F314" s="507"/>
      <c r="G314" s="507"/>
      <c r="H314" s="507"/>
      <c r="I314" s="507"/>
      <c r="J314" s="507"/>
      <c r="K314" s="507"/>
      <c r="L314" s="507"/>
      <c r="M314" s="507"/>
      <c r="N314" s="507"/>
    </row>
    <row r="315" spans="2:14" ht="12.75" customHeight="1" x14ac:dyDescent="0.25">
      <c r="B315" s="284"/>
      <c r="C315" s="302"/>
      <c r="D315" s="302"/>
      <c r="E315" s="461"/>
      <c r="F315" s="498"/>
      <c r="G315" s="498"/>
      <c r="H315" s="527" t="str">
        <f>[1]K_Summary!H305</f>
        <v>Единица мярка</v>
      </c>
      <c r="I315" s="391">
        <f>[1]K_Summary!I305</f>
        <v>2019</v>
      </c>
      <c r="J315" s="391">
        <f>[1]K_Summary!J305</f>
        <v>2020</v>
      </c>
      <c r="K315" s="391">
        <f>[1]K_Summary!K305</f>
        <v>2021</v>
      </c>
      <c r="L315" s="391">
        <f>[1]K_Summary!L305</f>
        <v>2022</v>
      </c>
      <c r="M315" s="391">
        <f>[1]K_Summary!M305</f>
        <v>2023</v>
      </c>
      <c r="N315" s="336"/>
    </row>
    <row r="316" spans="2:14" ht="12.75" customHeight="1" x14ac:dyDescent="0.25">
      <c r="B316" s="284"/>
      <c r="C316" s="302"/>
      <c r="D316" s="360"/>
      <c r="E316" s="523" t="str">
        <f>[1]K_Summary!E306</f>
        <v/>
      </c>
      <c r="F316" s="523"/>
      <c r="G316" s="523"/>
      <c r="H316" s="429" t="str">
        <f>[1]K_Summary!H306</f>
        <v>TJ / година</v>
      </c>
      <c r="I316" s="482" t="str">
        <f>[1]K_Summary!I306</f>
        <v/>
      </c>
      <c r="J316" s="532" t="str">
        <f>[1]K_Summary!J306</f>
        <v/>
      </c>
      <c r="K316" s="532" t="str">
        <f>[1]K_Summary!K306</f>
        <v/>
      </c>
      <c r="L316" s="532" t="str">
        <f>[1]K_Summary!L306</f>
        <v/>
      </c>
      <c r="M316" s="532" t="str">
        <f>[1]K_Summary!M306</f>
        <v/>
      </c>
      <c r="N316" s="336"/>
    </row>
    <row r="317" spans="2:14" ht="12.75" customHeight="1" x14ac:dyDescent="0.25">
      <c r="B317" s="284"/>
      <c r="C317" s="302"/>
      <c r="D317" s="360"/>
      <c r="E317" s="523" t="str">
        <f>[1]K_Summary!E307</f>
        <v/>
      </c>
      <c r="F317" s="523"/>
      <c r="G317" s="523"/>
      <c r="H317" s="441" t="str">
        <f>[1]K_Summary!H307</f>
        <v>TJ / година</v>
      </c>
      <c r="I317" s="524" t="str">
        <f>[1]K_Summary!I307</f>
        <v/>
      </c>
      <c r="J317" s="533" t="str">
        <f>[1]K_Summary!J307</f>
        <v/>
      </c>
      <c r="K317" s="533" t="str">
        <f>[1]K_Summary!K307</f>
        <v/>
      </c>
      <c r="L317" s="533" t="str">
        <f>[1]K_Summary!L307</f>
        <v/>
      </c>
      <c r="M317" s="533" t="str">
        <f>[1]K_Summary!M307</f>
        <v/>
      </c>
      <c r="N317" s="336"/>
    </row>
    <row r="318" spans="2:14" ht="12.75" customHeight="1" x14ac:dyDescent="0.25">
      <c r="B318" s="284"/>
      <c r="C318" s="302"/>
      <c r="D318" s="360"/>
      <c r="E318" s="523" t="str">
        <f>[1]K_Summary!E308</f>
        <v/>
      </c>
      <c r="F318" s="523"/>
      <c r="G318" s="523"/>
      <c r="H318" s="441" t="str">
        <f>[1]K_Summary!H308</f>
        <v>TJ / година</v>
      </c>
      <c r="I318" s="524" t="str">
        <f>[1]K_Summary!I308</f>
        <v/>
      </c>
      <c r="J318" s="533" t="str">
        <f>[1]K_Summary!J308</f>
        <v/>
      </c>
      <c r="K318" s="533" t="str">
        <f>[1]K_Summary!K308</f>
        <v/>
      </c>
      <c r="L318" s="533" t="str">
        <f>[1]K_Summary!L308</f>
        <v/>
      </c>
      <c r="M318" s="533" t="str">
        <f>[1]K_Summary!M308</f>
        <v/>
      </c>
      <c r="N318" s="336"/>
    </row>
    <row r="319" spans="2:14" ht="12.75" customHeight="1" x14ac:dyDescent="0.25">
      <c r="B319" s="284"/>
      <c r="C319" s="302"/>
      <c r="D319" s="360"/>
      <c r="E319" s="523" t="str">
        <f>[1]K_Summary!E309</f>
        <v/>
      </c>
      <c r="F319" s="523"/>
      <c r="G319" s="523"/>
      <c r="H319" s="441" t="str">
        <f>[1]K_Summary!H309</f>
        <v>TJ / година</v>
      </c>
      <c r="I319" s="524" t="str">
        <f>[1]K_Summary!I309</f>
        <v/>
      </c>
      <c r="J319" s="533" t="str">
        <f>[1]K_Summary!J309</f>
        <v/>
      </c>
      <c r="K319" s="533" t="str">
        <f>[1]K_Summary!K309</f>
        <v/>
      </c>
      <c r="L319" s="533" t="str">
        <f>[1]K_Summary!L309</f>
        <v/>
      </c>
      <c r="M319" s="533" t="str">
        <f>[1]K_Summary!M309</f>
        <v/>
      </c>
      <c r="N319" s="336"/>
    </row>
    <row r="320" spans="2:14" ht="12.75" customHeight="1" x14ac:dyDescent="0.25">
      <c r="B320" s="284"/>
      <c r="C320" s="302"/>
      <c r="D320" s="360"/>
      <c r="E320" s="523" t="str">
        <f>[1]K_Summary!E310</f>
        <v/>
      </c>
      <c r="F320" s="523"/>
      <c r="G320" s="523"/>
      <c r="H320" s="441" t="str">
        <f>[1]K_Summary!H310</f>
        <v>TJ / година</v>
      </c>
      <c r="I320" s="524" t="str">
        <f>[1]K_Summary!I310</f>
        <v/>
      </c>
      <c r="J320" s="533" t="str">
        <f>[1]K_Summary!J310</f>
        <v/>
      </c>
      <c r="K320" s="533" t="str">
        <f>[1]K_Summary!K310</f>
        <v/>
      </c>
      <c r="L320" s="533" t="str">
        <f>[1]K_Summary!L310</f>
        <v/>
      </c>
      <c r="M320" s="533" t="str">
        <f>[1]K_Summary!M310</f>
        <v/>
      </c>
      <c r="N320" s="336"/>
    </row>
    <row r="321" spans="2:14" ht="12.75" customHeight="1" x14ac:dyDescent="0.25">
      <c r="B321" s="284"/>
      <c r="C321" s="302"/>
      <c r="D321" s="360"/>
      <c r="E321" s="523" t="str">
        <f>[1]K_Summary!E311</f>
        <v/>
      </c>
      <c r="F321" s="523"/>
      <c r="G321" s="523"/>
      <c r="H321" s="441" t="str">
        <f>[1]K_Summary!H311</f>
        <v>TJ / година</v>
      </c>
      <c r="I321" s="524" t="str">
        <f>[1]K_Summary!I311</f>
        <v/>
      </c>
      <c r="J321" s="533" t="str">
        <f>[1]K_Summary!J311</f>
        <v/>
      </c>
      <c r="K321" s="533" t="str">
        <f>[1]K_Summary!K311</f>
        <v/>
      </c>
      <c r="L321" s="533" t="str">
        <f>[1]K_Summary!L311</f>
        <v/>
      </c>
      <c r="M321" s="533" t="str">
        <f>[1]K_Summary!M311</f>
        <v/>
      </c>
      <c r="N321" s="336"/>
    </row>
    <row r="322" spans="2:14" ht="12.75" customHeight="1" x14ac:dyDescent="0.25">
      <c r="B322" s="284"/>
      <c r="C322" s="302"/>
      <c r="D322" s="360"/>
      <c r="E322" s="523" t="str">
        <f>[1]K_Summary!E312</f>
        <v/>
      </c>
      <c r="F322" s="523"/>
      <c r="G322" s="523"/>
      <c r="H322" s="441" t="str">
        <f>[1]K_Summary!H312</f>
        <v>TJ / година</v>
      </c>
      <c r="I322" s="524" t="str">
        <f>[1]K_Summary!I312</f>
        <v/>
      </c>
      <c r="J322" s="533" t="str">
        <f>[1]K_Summary!J312</f>
        <v/>
      </c>
      <c r="K322" s="533" t="str">
        <f>[1]K_Summary!K312</f>
        <v/>
      </c>
      <c r="L322" s="533" t="str">
        <f>[1]K_Summary!L312</f>
        <v/>
      </c>
      <c r="M322" s="533" t="str">
        <f>[1]K_Summary!M312</f>
        <v/>
      </c>
      <c r="N322" s="336"/>
    </row>
    <row r="323" spans="2:14" ht="12.75" customHeight="1" x14ac:dyDescent="0.25">
      <c r="B323" s="284"/>
      <c r="C323" s="302"/>
      <c r="D323" s="360"/>
      <c r="E323" s="523" t="str">
        <f>[1]K_Summary!E313</f>
        <v/>
      </c>
      <c r="F323" s="523"/>
      <c r="G323" s="523"/>
      <c r="H323" s="441" t="str">
        <f>[1]K_Summary!H313</f>
        <v>TJ / година</v>
      </c>
      <c r="I323" s="524" t="str">
        <f>[1]K_Summary!I313</f>
        <v/>
      </c>
      <c r="J323" s="533" t="str">
        <f>[1]K_Summary!J313</f>
        <v/>
      </c>
      <c r="K323" s="533" t="str">
        <f>[1]K_Summary!K313</f>
        <v/>
      </c>
      <c r="L323" s="533" t="str">
        <f>[1]K_Summary!L313</f>
        <v/>
      </c>
      <c r="M323" s="533" t="str">
        <f>[1]K_Summary!M313</f>
        <v/>
      </c>
      <c r="N323" s="336"/>
    </row>
    <row r="324" spans="2:14" ht="12.75" customHeight="1" x14ac:dyDescent="0.25">
      <c r="B324" s="284"/>
      <c r="C324" s="302"/>
      <c r="D324" s="360"/>
      <c r="E324" s="523" t="str">
        <f>[1]K_Summary!E314</f>
        <v/>
      </c>
      <c r="F324" s="523"/>
      <c r="G324" s="523"/>
      <c r="H324" s="441" t="str">
        <f>[1]K_Summary!H314</f>
        <v>TJ / година</v>
      </c>
      <c r="I324" s="524" t="str">
        <f>[1]K_Summary!I314</f>
        <v/>
      </c>
      <c r="J324" s="533" t="str">
        <f>[1]K_Summary!J314</f>
        <v/>
      </c>
      <c r="K324" s="533" t="str">
        <f>[1]K_Summary!K314</f>
        <v/>
      </c>
      <c r="L324" s="533" t="str">
        <f>[1]K_Summary!L314</f>
        <v/>
      </c>
      <c r="M324" s="533" t="str">
        <f>[1]K_Summary!M314</f>
        <v/>
      </c>
      <c r="N324" s="336"/>
    </row>
    <row r="325" spans="2:14" ht="12.75" customHeight="1" x14ac:dyDescent="0.25">
      <c r="B325" s="284"/>
      <c r="C325" s="302"/>
      <c r="D325" s="360"/>
      <c r="E325" s="525" t="str">
        <f>[1]K_Summary!E315</f>
        <v/>
      </c>
      <c r="F325" s="525"/>
      <c r="G325" s="525"/>
      <c r="H325" s="464" t="str">
        <f>[1]K_Summary!H315</f>
        <v>TJ / година</v>
      </c>
      <c r="I325" s="484" t="str">
        <f>[1]K_Summary!I315</f>
        <v/>
      </c>
      <c r="J325" s="534" t="str">
        <f>[1]K_Summary!J315</f>
        <v/>
      </c>
      <c r="K325" s="534" t="str">
        <f>[1]K_Summary!K315</f>
        <v/>
      </c>
      <c r="L325" s="534" t="str">
        <f>[1]K_Summary!L315</f>
        <v/>
      </c>
      <c r="M325" s="534" t="str">
        <f>[1]K_Summary!M315</f>
        <v/>
      </c>
      <c r="N325" s="336"/>
    </row>
    <row r="326" spans="2:14" ht="12.75" customHeight="1" x14ac:dyDescent="0.25">
      <c r="B326" s="284"/>
      <c r="C326" s="360"/>
      <c r="D326" s="360"/>
      <c r="E326" s="528" t="str">
        <f>[1]K_Summary!E316</f>
        <v>Междинен сбор</v>
      </c>
      <c r="F326" s="528"/>
      <c r="G326" s="528"/>
      <c r="H326" s="402" t="str">
        <f>[1]K_Summary!H316</f>
        <v>TJ / година</v>
      </c>
      <c r="I326" s="480" t="str">
        <f>[1]K_Summary!I316</f>
        <v/>
      </c>
      <c r="J326" s="422" t="str">
        <f>[1]K_Summary!J316</f>
        <v/>
      </c>
      <c r="K326" s="422" t="str">
        <f>[1]K_Summary!K316</f>
        <v/>
      </c>
      <c r="L326" s="422" t="str">
        <f>[1]K_Summary!L316</f>
        <v/>
      </c>
      <c r="M326" s="422" t="str">
        <f>[1]K_Summary!M316</f>
        <v/>
      </c>
      <c r="N326" s="336"/>
    </row>
    <row r="327" spans="2:14" ht="12.75" customHeight="1" x14ac:dyDescent="0.25">
      <c r="B327" s="284"/>
      <c r="C327" s="284"/>
      <c r="D327" s="284"/>
      <c r="E327" s="284"/>
      <c r="F327" s="284"/>
      <c r="G327" s="284"/>
      <c r="H327" s="284"/>
      <c r="I327" s="284"/>
      <c r="J327" s="284"/>
      <c r="K327" s="284"/>
      <c r="L327" s="284"/>
      <c r="M327" s="284"/>
      <c r="N327" s="284"/>
    </row>
    <row r="328" spans="2:14" ht="12.75" customHeight="1" x14ac:dyDescent="0.25">
      <c r="B328" s="284"/>
      <c r="C328" s="302"/>
      <c r="D328" s="302"/>
      <c r="E328" s="530" t="str">
        <f>[1]K_Summary!E318</f>
        <v>Стойности, въведени в работен лист „F_ProductBM“:</v>
      </c>
      <c r="F328" s="531"/>
      <c r="G328" s="531"/>
      <c r="H328" s="531"/>
      <c r="I328" s="531"/>
      <c r="J328" s="531"/>
      <c r="K328" s="531"/>
      <c r="L328" s="531"/>
      <c r="M328" s="531"/>
      <c r="N328" s="507"/>
    </row>
    <row r="329" spans="2:14" ht="12.75" customHeight="1" x14ac:dyDescent="0.25">
      <c r="B329" s="284"/>
      <c r="C329" s="360"/>
      <c r="D329" s="360"/>
      <c r="E329" s="528" t="str">
        <f>[1]K_Summary!E319</f>
        <v>Количество топлинна енергия от източници извън СТЕ</v>
      </c>
      <c r="F329" s="528"/>
      <c r="G329" s="528"/>
      <c r="H329" s="540" t="str">
        <f>[1]K_Summary!H319</f>
        <v>TJ / година</v>
      </c>
      <c r="I329" s="182" t="str">
        <f>[1]K_Summary!I319</f>
        <v/>
      </c>
      <c r="J329" s="183" t="str">
        <f>[1]K_Summary!J319</f>
        <v/>
      </c>
      <c r="K329" s="183" t="str">
        <f>[1]K_Summary!K319</f>
        <v/>
      </c>
      <c r="L329" s="183" t="str">
        <f>[1]K_Summary!L319</f>
        <v/>
      </c>
      <c r="M329" s="183" t="str">
        <f>[1]K_Summary!M319</f>
        <v/>
      </c>
      <c r="N329" s="336"/>
    </row>
    <row r="330" spans="2:14" ht="12.75" customHeight="1" x14ac:dyDescent="0.25">
      <c r="B330" s="284"/>
      <c r="C330" s="284"/>
      <c r="D330" s="284"/>
      <c r="E330" s="284"/>
      <c r="F330" s="284"/>
      <c r="G330" s="284"/>
      <c r="H330" s="284"/>
      <c r="I330" s="284"/>
      <c r="J330" s="284"/>
      <c r="K330" s="284"/>
      <c r="L330" s="284"/>
      <c r="M330" s="284"/>
      <c r="N330" s="336"/>
    </row>
    <row r="331" spans="2:14" ht="12.75" customHeight="1" x14ac:dyDescent="0.25">
      <c r="B331" s="284"/>
      <c r="C331" s="302"/>
      <c r="D331" s="302"/>
      <c r="E331" s="530" t="str">
        <f>[1]K_Summary!E321</f>
        <v>Топлинна енергия извън СТЕ, въведена в работен лист „F_ProductBM“, сравнена с общото количество топлинна енергия за всички продуктови показатели:</v>
      </c>
      <c r="F331" s="531"/>
      <c r="G331" s="531"/>
      <c r="H331" s="531"/>
      <c r="I331" s="531"/>
      <c r="J331" s="531"/>
      <c r="K331" s="531"/>
      <c r="L331" s="531"/>
      <c r="M331" s="531"/>
      <c r="N331" s="507"/>
    </row>
    <row r="332" spans="2:14" ht="12.75" customHeight="1" x14ac:dyDescent="0.25">
      <c r="B332" s="284"/>
      <c r="C332" s="360"/>
      <c r="D332" s="360"/>
      <c r="E332" s="528" t="str">
        <f>[1]K_Summary!E322</f>
        <v>Точка xii във връзка с точка xi:</v>
      </c>
      <c r="F332" s="528"/>
      <c r="G332" s="528"/>
      <c r="H332" s="535" t="str">
        <f>[1]K_Summary!H322</f>
        <v>%</v>
      </c>
      <c r="I332" s="182" t="str">
        <f>[1]K_Summary!I322</f>
        <v/>
      </c>
      <c r="J332" s="183" t="str">
        <f>[1]K_Summary!J322</f>
        <v/>
      </c>
      <c r="K332" s="183" t="str">
        <f>[1]K_Summary!K322</f>
        <v/>
      </c>
      <c r="L332" s="183" t="str">
        <f>[1]K_Summary!L322</f>
        <v/>
      </c>
      <c r="M332" s="183" t="str">
        <f>[1]K_Summary!M322</f>
        <v/>
      </c>
      <c r="N332" s="336"/>
    </row>
    <row r="333" spans="2:14" ht="12.75" customHeight="1" x14ac:dyDescent="0.25">
      <c r="B333" s="284"/>
      <c r="C333" s="541"/>
      <c r="D333" s="541"/>
      <c r="E333" s="284"/>
      <c r="F333" s="284"/>
      <c r="G333" s="284"/>
      <c r="H333" s="284"/>
      <c r="I333" s="284"/>
      <c r="J333" s="284"/>
      <c r="K333" s="284"/>
      <c r="L333" s="284"/>
      <c r="M333" s="284"/>
      <c r="N333" s="284"/>
    </row>
    <row r="334" spans="2:14" ht="12.75" customHeight="1" x14ac:dyDescent="0.25">
      <c r="B334" s="284"/>
      <c r="C334" s="360"/>
      <c r="D334" s="360"/>
      <c r="E334" s="530" t="str">
        <f>[1]K_Summary!E324</f>
        <v>Топлинна енергия извън СТЕ, въведена в работен лист „F_ProductBM“, сравнена с общото количество топлинна енергия, получена от извън СТЕ, въведено по-горе по буква c):</v>
      </c>
      <c r="F334" s="531"/>
      <c r="G334" s="531"/>
      <c r="H334" s="531"/>
      <c r="I334" s="531"/>
      <c r="J334" s="531"/>
      <c r="K334" s="531"/>
      <c r="L334" s="531"/>
      <c r="M334" s="531"/>
      <c r="N334" s="507"/>
    </row>
    <row r="335" spans="2:14" ht="12.75" customHeight="1" x14ac:dyDescent="0.25">
      <c r="B335" s="284"/>
      <c r="C335" s="360"/>
      <c r="D335" s="360"/>
      <c r="E335" s="528" t="str">
        <f>[1]K_Summary!E325</f>
        <v>Точка xii във връзка с буква c) по-горе:</v>
      </c>
      <c r="F335" s="528"/>
      <c r="G335" s="528"/>
      <c r="H335" s="535" t="str">
        <f>[1]K_Summary!H325</f>
        <v>%</v>
      </c>
      <c r="I335" s="182" t="str">
        <f>[1]K_Summary!I325</f>
        <v/>
      </c>
      <c r="J335" s="183" t="str">
        <f>[1]K_Summary!J325</f>
        <v/>
      </c>
      <c r="K335" s="183" t="str">
        <f>[1]K_Summary!K325</f>
        <v/>
      </c>
      <c r="L335" s="183" t="str">
        <f>[1]K_Summary!L325</f>
        <v/>
      </c>
      <c r="M335" s="183" t="str">
        <f>[1]K_Summary!M325</f>
        <v/>
      </c>
      <c r="N335" s="336"/>
    </row>
    <row r="336" spans="2:14" ht="12.75" customHeight="1" x14ac:dyDescent="0.25">
      <c r="B336" s="284"/>
      <c r="C336" s="302"/>
      <c r="D336" s="302"/>
      <c r="E336" s="302"/>
      <c r="F336" s="302"/>
      <c r="G336" s="302"/>
      <c r="H336" s="302"/>
      <c r="I336" s="302"/>
      <c r="J336" s="302"/>
      <c r="K336" s="302"/>
      <c r="L336" s="302"/>
      <c r="M336" s="302"/>
      <c r="N336" s="302"/>
    </row>
    <row r="337" spans="2:14" ht="12.75" customHeight="1" x14ac:dyDescent="0.25">
      <c r="B337" s="284"/>
      <c r="C337" s="300"/>
      <c r="D337" s="300" t="str">
        <f>[1]K_Summary!D327</f>
        <v>(i)</v>
      </c>
      <c r="E337" s="506" t="str">
        <f>[1]K_Summary!E327</f>
        <v>Топлинна енергия, подадена към инсталации в СТЕ (която не отговаря на условията за топлинен показател):</v>
      </c>
      <c r="F337" s="507"/>
      <c r="G337" s="507"/>
      <c r="H337" s="507"/>
      <c r="I337" s="507"/>
      <c r="J337" s="507"/>
      <c r="K337" s="507"/>
      <c r="L337" s="507"/>
      <c r="M337" s="507"/>
      <c r="N337" s="507"/>
    </row>
    <row r="338" spans="2:14" ht="12.75" customHeight="1" x14ac:dyDescent="0.25">
      <c r="B338" s="284"/>
      <c r="C338" s="302"/>
      <c r="D338" s="302"/>
      <c r="E338" s="530" t="str">
        <f>[1]K_Summary!E328</f>
        <v>Наименование на инсталацията</v>
      </c>
      <c r="F338" s="531"/>
      <c r="G338" s="531"/>
      <c r="H338" s="527" t="str">
        <f>[1]K_Summary!H328</f>
        <v>Единица мярка</v>
      </c>
      <c r="I338" s="387">
        <f>[1]K_Summary!I328</f>
        <v>2019</v>
      </c>
      <c r="J338" s="387">
        <f>[1]K_Summary!J328</f>
        <v>2020</v>
      </c>
      <c r="K338" s="387">
        <f>[1]K_Summary!K328</f>
        <v>2021</v>
      </c>
      <c r="L338" s="387">
        <f>[1]K_Summary!L328</f>
        <v>2022</v>
      </c>
      <c r="M338" s="387">
        <f>[1]K_Summary!M328</f>
        <v>2023</v>
      </c>
      <c r="N338" s="336"/>
    </row>
    <row r="339" spans="2:14" ht="12.75" customHeight="1" x14ac:dyDescent="0.25">
      <c r="B339" s="284"/>
      <c r="C339" s="360"/>
      <c r="D339" s="360"/>
      <c r="E339" s="542" t="str">
        <f>[1]K_Summary!E329</f>
        <v/>
      </c>
      <c r="F339" s="542"/>
      <c r="G339" s="542"/>
      <c r="H339" s="543" t="str">
        <f>[1]K_Summary!H329</f>
        <v>TJ / година</v>
      </c>
      <c r="I339" s="544" t="str">
        <f>[1]K_Summary!I329</f>
        <v/>
      </c>
      <c r="J339" s="545" t="str">
        <f>[1]K_Summary!J329</f>
        <v/>
      </c>
      <c r="K339" s="545" t="str">
        <f>[1]K_Summary!K329</f>
        <v/>
      </c>
      <c r="L339" s="545" t="str">
        <f>[1]K_Summary!L329</f>
        <v/>
      </c>
      <c r="M339" s="545" t="str">
        <f>[1]K_Summary!M329</f>
        <v/>
      </c>
      <c r="N339" s="336"/>
    </row>
    <row r="340" spans="2:14" ht="12.75" customHeight="1" x14ac:dyDescent="0.25">
      <c r="B340" s="284"/>
      <c r="C340" s="360"/>
      <c r="D340" s="360"/>
      <c r="E340" s="523" t="str">
        <f>[1]K_Summary!E330</f>
        <v/>
      </c>
      <c r="F340" s="523"/>
      <c r="G340" s="523"/>
      <c r="H340" s="399" t="str">
        <f>[1]K_Summary!H330</f>
        <v>TJ / година</v>
      </c>
      <c r="I340" s="524" t="str">
        <f>[1]K_Summary!I330</f>
        <v/>
      </c>
      <c r="J340" s="533" t="str">
        <f>[1]K_Summary!J330</f>
        <v/>
      </c>
      <c r="K340" s="533" t="str">
        <f>[1]K_Summary!K330</f>
        <v/>
      </c>
      <c r="L340" s="533" t="str">
        <f>[1]K_Summary!L330</f>
        <v/>
      </c>
      <c r="M340" s="533" t="str">
        <f>[1]K_Summary!M330</f>
        <v/>
      </c>
      <c r="N340" s="336"/>
    </row>
    <row r="341" spans="2:14" ht="12.75" customHeight="1" x14ac:dyDescent="0.25">
      <c r="B341" s="284"/>
      <c r="C341" s="360"/>
      <c r="D341" s="360"/>
      <c r="E341" s="523" t="str">
        <f>[1]K_Summary!E331</f>
        <v/>
      </c>
      <c r="F341" s="523"/>
      <c r="G341" s="523"/>
      <c r="H341" s="399" t="str">
        <f>[1]K_Summary!H331</f>
        <v>TJ / година</v>
      </c>
      <c r="I341" s="524" t="str">
        <f>[1]K_Summary!I331</f>
        <v/>
      </c>
      <c r="J341" s="533" t="str">
        <f>[1]K_Summary!J331</f>
        <v/>
      </c>
      <c r="K341" s="533" t="str">
        <f>[1]K_Summary!K331</f>
        <v/>
      </c>
      <c r="L341" s="533" t="str">
        <f>[1]K_Summary!L331</f>
        <v/>
      </c>
      <c r="M341" s="533" t="str">
        <f>[1]K_Summary!M331</f>
        <v/>
      </c>
      <c r="N341" s="336"/>
    </row>
    <row r="342" spans="2:14" ht="12.75" customHeight="1" x14ac:dyDescent="0.25">
      <c r="B342" s="284"/>
      <c r="C342" s="360"/>
      <c r="D342" s="360"/>
      <c r="E342" s="523" t="str">
        <f>[1]K_Summary!E332</f>
        <v/>
      </c>
      <c r="F342" s="523"/>
      <c r="G342" s="523"/>
      <c r="H342" s="399" t="str">
        <f>[1]K_Summary!H332</f>
        <v>TJ / година</v>
      </c>
      <c r="I342" s="524" t="str">
        <f>[1]K_Summary!I332</f>
        <v/>
      </c>
      <c r="J342" s="533" t="str">
        <f>[1]K_Summary!J332</f>
        <v/>
      </c>
      <c r="K342" s="533" t="str">
        <f>[1]K_Summary!K332</f>
        <v/>
      </c>
      <c r="L342" s="533" t="str">
        <f>[1]K_Summary!L332</f>
        <v/>
      </c>
      <c r="M342" s="533" t="str">
        <f>[1]K_Summary!M332</f>
        <v/>
      </c>
      <c r="N342" s="336"/>
    </row>
    <row r="343" spans="2:14" ht="12.75" customHeight="1" x14ac:dyDescent="0.25">
      <c r="B343" s="284"/>
      <c r="C343" s="360"/>
      <c r="D343" s="360"/>
      <c r="E343" s="525" t="str">
        <f>[1]K_Summary!E333</f>
        <v/>
      </c>
      <c r="F343" s="525"/>
      <c r="G343" s="525"/>
      <c r="H343" s="402" t="str">
        <f>[1]K_Summary!H333</f>
        <v>TJ / година</v>
      </c>
      <c r="I343" s="484" t="str">
        <f>[1]K_Summary!I333</f>
        <v/>
      </c>
      <c r="J343" s="534" t="str">
        <f>[1]K_Summary!J333</f>
        <v/>
      </c>
      <c r="K343" s="534" t="str">
        <f>[1]K_Summary!K333</f>
        <v/>
      </c>
      <c r="L343" s="534" t="str">
        <f>[1]K_Summary!L333</f>
        <v/>
      </c>
      <c r="M343" s="534" t="str">
        <f>[1]K_Summary!M333</f>
        <v/>
      </c>
      <c r="N343" s="336"/>
    </row>
    <row r="344" spans="2:14" ht="12.75" customHeight="1" x14ac:dyDescent="0.25">
      <c r="B344" s="284"/>
      <c r="C344" s="360"/>
      <c r="D344" s="360"/>
      <c r="E344" s="528" t="str">
        <f>[1]K_Summary!E334</f>
        <v>Общо топлинна енергия, подадена към инсталации в СТЕ</v>
      </c>
      <c r="F344" s="528"/>
      <c r="G344" s="528"/>
      <c r="H344" s="404" t="str">
        <f>[1]K_Summary!H334</f>
        <v>TJ / година</v>
      </c>
      <c r="I344" s="546" t="str">
        <f>[1]K_Summary!I334</f>
        <v/>
      </c>
      <c r="J344" s="477" t="str">
        <f>[1]K_Summary!J334</f>
        <v/>
      </c>
      <c r="K344" s="477" t="str">
        <f>[1]K_Summary!K334</f>
        <v/>
      </c>
      <c r="L344" s="477" t="str">
        <f>[1]K_Summary!L334</f>
        <v/>
      </c>
      <c r="M344" s="477" t="str">
        <f>[1]K_Summary!M334</f>
        <v/>
      </c>
      <c r="N344" s="336"/>
    </row>
    <row r="345" spans="2:14" ht="12.75" customHeight="1" x14ac:dyDescent="0.25">
      <c r="B345" s="284"/>
      <c r="C345" s="284"/>
      <c r="D345" s="284"/>
      <c r="E345" s="284"/>
      <c r="F345" s="284"/>
      <c r="G345" s="284"/>
      <c r="H345" s="284"/>
      <c r="I345" s="284"/>
      <c r="J345" s="284"/>
      <c r="K345" s="284"/>
      <c r="L345" s="284"/>
      <c r="M345" s="284"/>
      <c r="N345" s="284"/>
    </row>
    <row r="346" spans="2:14" ht="12.75" customHeight="1" x14ac:dyDescent="0.25">
      <c r="B346" s="284"/>
      <c r="C346" s="300"/>
      <c r="D346" s="300" t="str">
        <f>[1]K_Summary!D336</f>
        <v>(j)</v>
      </c>
      <c r="E346" s="526" t="str">
        <f>[1]K_Summary!E336</f>
        <v>Междинен сбор: оставащо общо количество измерима топлинна енергия, която потенциално е от подинсталации с топлинен показател (=e-g-h-i):</v>
      </c>
      <c r="F346" s="507"/>
      <c r="G346" s="507"/>
      <c r="H346" s="507"/>
      <c r="I346" s="507"/>
      <c r="J346" s="507"/>
      <c r="K346" s="507"/>
      <c r="L346" s="507"/>
      <c r="M346" s="507"/>
      <c r="N346" s="507"/>
    </row>
    <row r="347" spans="2:14" ht="12.75" customHeight="1" x14ac:dyDescent="0.25">
      <c r="B347" s="284"/>
      <c r="C347" s="284"/>
      <c r="D347" s="284"/>
      <c r="E347" s="284"/>
      <c r="F347" s="284"/>
      <c r="G347" s="284"/>
      <c r="H347" s="284"/>
      <c r="I347" s="284"/>
      <c r="J347" s="284"/>
      <c r="K347" s="284"/>
      <c r="L347" s="284"/>
      <c r="M347" s="284"/>
      <c r="N347" s="284"/>
    </row>
    <row r="348" spans="2:14" ht="12.75" customHeight="1" x14ac:dyDescent="0.25">
      <c r="B348" s="284"/>
      <c r="C348" s="302"/>
      <c r="D348" s="302"/>
      <c r="E348" s="461"/>
      <c r="F348" s="498"/>
      <c r="G348" s="498"/>
      <c r="H348" s="527" t="str">
        <f>[1]K_Summary!H338</f>
        <v>Единица мярка</v>
      </c>
      <c r="I348" s="391">
        <f>[1]K_Summary!I338</f>
        <v>2019</v>
      </c>
      <c r="J348" s="391">
        <f>[1]K_Summary!J338</f>
        <v>2020</v>
      </c>
      <c r="K348" s="391">
        <f>[1]K_Summary!K338</f>
        <v>2021</v>
      </c>
      <c r="L348" s="391">
        <f>[1]K_Summary!L338</f>
        <v>2022</v>
      </c>
      <c r="M348" s="391">
        <f>[1]K_Summary!M338</f>
        <v>2023</v>
      </c>
      <c r="N348" s="336"/>
    </row>
    <row r="349" spans="2:14" ht="12.75" customHeight="1" x14ac:dyDescent="0.25">
      <c r="B349" s="284"/>
      <c r="C349" s="360"/>
      <c r="D349" s="360"/>
      <c r="E349" s="528" t="str">
        <f>[1]K_Summary!E339</f>
        <v>Междинен сбор:</v>
      </c>
      <c r="F349" s="547"/>
      <c r="G349" s="547"/>
      <c r="H349" s="535" t="str">
        <f>[1]K_Summary!H339</f>
        <v>TJ / година</v>
      </c>
      <c r="I349" s="480" t="str">
        <f>[1]K_Summary!I339</f>
        <v/>
      </c>
      <c r="J349" s="423" t="str">
        <f>[1]K_Summary!J339</f>
        <v/>
      </c>
      <c r="K349" s="423" t="str">
        <f>[1]K_Summary!K339</f>
        <v/>
      </c>
      <c r="L349" s="423" t="str">
        <f>[1]K_Summary!L339</f>
        <v/>
      </c>
      <c r="M349" s="423" t="str">
        <f>[1]K_Summary!M339</f>
        <v/>
      </c>
      <c r="N349" s="336"/>
    </row>
    <row r="350" spans="2:14" ht="12.75" customHeight="1" x14ac:dyDescent="0.25">
      <c r="B350" s="284"/>
      <c r="C350" s="284"/>
      <c r="D350" s="284"/>
      <c r="E350" s="284"/>
      <c r="F350" s="284"/>
      <c r="G350" s="284"/>
      <c r="H350" s="284"/>
      <c r="I350" s="284"/>
      <c r="J350" s="284"/>
      <c r="K350" s="284"/>
      <c r="L350" s="284"/>
      <c r="M350" s="284"/>
      <c r="N350" s="284"/>
    </row>
    <row r="351" spans="2:14" ht="12.75" customHeight="1" x14ac:dyDescent="0.25">
      <c r="B351" s="284"/>
      <c r="C351" s="360"/>
      <c r="D351" s="360"/>
      <c r="E351" s="548" t="str">
        <f>[1]K_Summary!E341</f>
        <v>отговаря на условията поради своя произход:</v>
      </c>
      <c r="F351" s="549"/>
      <c r="G351" s="549"/>
      <c r="H351" s="393" t="str">
        <f>[1]K_Summary!H341</f>
        <v>TJ / година</v>
      </c>
      <c r="I351" s="482" t="str">
        <f>[1]K_Summary!I341</f>
        <v/>
      </c>
      <c r="J351" s="462" t="str">
        <f>[1]K_Summary!J341</f>
        <v/>
      </c>
      <c r="K351" s="462" t="str">
        <f>[1]K_Summary!K341</f>
        <v/>
      </c>
      <c r="L351" s="462" t="str">
        <f>[1]K_Summary!L341</f>
        <v/>
      </c>
      <c r="M351" s="462" t="str">
        <f>[1]K_Summary!M341</f>
        <v/>
      </c>
      <c r="N351" s="336"/>
    </row>
    <row r="352" spans="2:14" ht="12.75" customHeight="1" x14ac:dyDescent="0.25">
      <c r="B352" s="284"/>
      <c r="C352" s="360"/>
      <c r="D352" s="360"/>
      <c r="E352" s="550" t="str">
        <f>[1]K_Summary!E342</f>
        <v>не отговаря на условията поради своя произход:</v>
      </c>
      <c r="F352" s="551"/>
      <c r="G352" s="551"/>
      <c r="H352" s="402" t="str">
        <f>[1]K_Summary!H342</f>
        <v>TJ / година</v>
      </c>
      <c r="I352" s="484" t="str">
        <f>[1]K_Summary!I342</f>
        <v/>
      </c>
      <c r="J352" s="465" t="str">
        <f>[1]K_Summary!J342</f>
        <v/>
      </c>
      <c r="K352" s="465" t="str">
        <f>[1]K_Summary!K342</f>
        <v/>
      </c>
      <c r="L352" s="465" t="str">
        <f>[1]K_Summary!L342</f>
        <v/>
      </c>
      <c r="M352" s="465" t="str">
        <f>[1]K_Summary!M342</f>
        <v/>
      </c>
      <c r="N352" s="336"/>
    </row>
    <row r="353" spans="2:14" ht="12.75" customHeight="1" x14ac:dyDescent="0.25">
      <c r="B353" s="284"/>
      <c r="C353" s="302"/>
      <c r="D353" s="302"/>
      <c r="E353" s="302"/>
      <c r="F353" s="302"/>
      <c r="G353" s="302"/>
      <c r="H353" s="302"/>
      <c r="I353" s="302"/>
      <c r="J353" s="302"/>
      <c r="K353" s="302"/>
      <c r="L353" s="302"/>
      <c r="M353" s="302"/>
      <c r="N353" s="302"/>
    </row>
    <row r="354" spans="2:14" ht="12.75" customHeight="1" x14ac:dyDescent="0.25">
      <c r="B354" s="284"/>
      <c r="C354" s="300"/>
      <c r="D354" s="300" t="str">
        <f>[1]K_Summary!D344</f>
        <v>(k)</v>
      </c>
      <c r="E354" s="506" t="str">
        <f>[1]K_Summary!E344</f>
        <v>Съотношение за допустимост за останалата топлинна енергия, изчислена съгласно буква j):</v>
      </c>
      <c r="F354" s="507"/>
      <c r="G354" s="507"/>
      <c r="H354" s="507"/>
      <c r="I354" s="507"/>
      <c r="J354" s="507"/>
      <c r="K354" s="507"/>
      <c r="L354" s="507"/>
      <c r="M354" s="507"/>
      <c r="N354" s="507"/>
    </row>
    <row r="355" spans="2:14" ht="12.75" customHeight="1" x14ac:dyDescent="0.25">
      <c r="B355" s="284"/>
      <c r="C355" s="360"/>
      <c r="D355" s="360"/>
      <c r="E355" s="552" t="str">
        <f>[1]K_Summary!E345</f>
        <v>коригирано съотношение за допустимост (=(j).ii / (j).i):</v>
      </c>
      <c r="F355" s="552"/>
      <c r="G355" s="552"/>
      <c r="H355" s="492" t="str">
        <f>[1]K_Summary!H345</f>
        <v>%</v>
      </c>
      <c r="I355" s="493" t="str">
        <f>[1]K_Summary!I345</f>
        <v/>
      </c>
      <c r="J355" s="553" t="str">
        <f>[1]K_Summary!J345</f>
        <v/>
      </c>
      <c r="K355" s="553" t="str">
        <f>[1]K_Summary!K345</f>
        <v/>
      </c>
      <c r="L355" s="553" t="str">
        <f>[1]K_Summary!L345</f>
        <v/>
      </c>
      <c r="M355" s="553" t="str">
        <f>[1]K_Summary!M345</f>
        <v/>
      </c>
      <c r="N355" s="336"/>
    </row>
    <row r="356" spans="2:14" ht="12.75" customHeight="1" x14ac:dyDescent="0.25">
      <c r="B356" s="284"/>
      <c r="C356" s="284"/>
      <c r="D356" s="284"/>
      <c r="E356" s="284"/>
      <c r="F356" s="284"/>
      <c r="G356" s="284"/>
      <c r="H356" s="284"/>
      <c r="I356" s="284"/>
      <c r="J356" s="284"/>
      <c r="K356" s="284"/>
      <c r="L356" s="284"/>
      <c r="M356" s="284"/>
      <c r="N356" s="284"/>
    </row>
    <row r="357" spans="2:14" ht="12.75" customHeight="1" x14ac:dyDescent="0.25">
      <c r="B357" s="284"/>
      <c r="C357" s="300"/>
      <c r="D357" s="300" t="str">
        <f>[1]K_Summary!D347</f>
        <v>(l)</v>
      </c>
      <c r="E357" s="526" t="str">
        <f>[1]K_Summary!E347</f>
        <v>Нетно количество измерима топлинна енергия, потребена в инсталацията и използвана за отговарящи на условията цели съгласно топлинния показател:</v>
      </c>
      <c r="F357" s="507"/>
      <c r="G357" s="507"/>
      <c r="H357" s="507"/>
      <c r="I357" s="507"/>
      <c r="J357" s="507"/>
      <c r="K357" s="507"/>
      <c r="L357" s="507"/>
      <c r="M357" s="507"/>
      <c r="N357" s="507"/>
    </row>
    <row r="358" spans="2:14" ht="12.75" customHeight="1" x14ac:dyDescent="0.25">
      <c r="B358" s="284"/>
      <c r="C358" s="302"/>
      <c r="D358" s="302"/>
      <c r="E358" s="528" t="str">
        <f>[1]K_Summary!E348</f>
        <v>Топлинна енергия, консумирана в рамките на инсталацията</v>
      </c>
      <c r="F358" s="547"/>
      <c r="G358" s="547"/>
      <c r="H358" s="535" t="str">
        <f>[1]K_Summary!H348</f>
        <v>TJ / година</v>
      </c>
      <c r="I358" s="480" t="str">
        <f>[1]K_Summary!I348</f>
        <v/>
      </c>
      <c r="J358" s="422" t="str">
        <f>[1]K_Summary!J348</f>
        <v/>
      </c>
      <c r="K358" s="422" t="str">
        <f>[1]K_Summary!K348</f>
        <v/>
      </c>
      <c r="L358" s="422" t="str">
        <f>[1]K_Summary!L348</f>
        <v/>
      </c>
      <c r="M358" s="422" t="str">
        <f>[1]K_Summary!M348</f>
        <v/>
      </c>
      <c r="N358" s="336"/>
    </row>
    <row r="359" spans="2:14" ht="12.75" customHeight="1" x14ac:dyDescent="0.25">
      <c r="B359" s="284"/>
      <c r="C359" s="284"/>
      <c r="D359" s="284"/>
      <c r="E359" s="284"/>
      <c r="F359" s="284"/>
      <c r="G359" s="284"/>
      <c r="H359" s="284"/>
      <c r="I359" s="284"/>
      <c r="J359" s="284"/>
      <c r="K359" s="284"/>
      <c r="L359" s="284"/>
      <c r="M359" s="284"/>
      <c r="N359" s="284"/>
    </row>
    <row r="360" spans="2:14" ht="12.75" customHeight="1" x14ac:dyDescent="0.25">
      <c r="B360" s="284"/>
      <c r="C360" s="300"/>
      <c r="D360" s="300" t="str">
        <f>[1]K_Summary!D350</f>
        <v>(m)</v>
      </c>
      <c r="E360" s="506" t="str">
        <f>[1]K_Summary!E350</f>
        <v>Топлинна енергия, подадена към инсталации или обекти, необхванати от СТЕ на ЕС (напр. топлофикационни мрежи):</v>
      </c>
      <c r="F360" s="507"/>
      <c r="G360" s="507"/>
      <c r="H360" s="507"/>
      <c r="I360" s="507"/>
      <c r="J360" s="507"/>
      <c r="K360" s="507"/>
      <c r="L360" s="507"/>
      <c r="M360" s="507"/>
      <c r="N360" s="507"/>
    </row>
    <row r="361" spans="2:14" ht="12.75" customHeight="1" x14ac:dyDescent="0.25">
      <c r="B361" s="284"/>
      <c r="C361" s="302"/>
      <c r="D361" s="302"/>
      <c r="E361" s="530" t="str">
        <f>[1]K_Summary!E351</f>
        <v>Наименование на приемащия обект или инсталация</v>
      </c>
      <c r="F361" s="531"/>
      <c r="G361" s="531"/>
      <c r="H361" s="527" t="str">
        <f>[1]K_Summary!H351</f>
        <v>Единица мярка</v>
      </c>
      <c r="I361" s="387">
        <f>[1]K_Summary!I351</f>
        <v>2019</v>
      </c>
      <c r="J361" s="387">
        <f>[1]K_Summary!J351</f>
        <v>2020</v>
      </c>
      <c r="K361" s="387">
        <f>[1]K_Summary!K351</f>
        <v>2021</v>
      </c>
      <c r="L361" s="387">
        <f>[1]K_Summary!L351</f>
        <v>2022</v>
      </c>
      <c r="M361" s="387">
        <f>[1]K_Summary!M351</f>
        <v>2023</v>
      </c>
      <c r="N361" s="284"/>
    </row>
    <row r="362" spans="2:14" ht="12.75" customHeight="1" x14ac:dyDescent="0.25">
      <c r="B362" s="284"/>
      <c r="C362" s="360"/>
      <c r="D362" s="360"/>
      <c r="E362" s="522" t="str">
        <f>[1]K_Summary!E352</f>
        <v/>
      </c>
      <c r="F362" s="522"/>
      <c r="G362" s="522"/>
      <c r="H362" s="399" t="str">
        <f>[1]K_Summary!H352</f>
        <v>TJ / година</v>
      </c>
      <c r="I362" s="544" t="str">
        <f>[1]K_Summary!I352</f>
        <v/>
      </c>
      <c r="J362" s="545" t="str">
        <f>[1]K_Summary!J352</f>
        <v/>
      </c>
      <c r="K362" s="545" t="str">
        <f>[1]K_Summary!K352</f>
        <v/>
      </c>
      <c r="L362" s="545" t="str">
        <f>[1]K_Summary!L352</f>
        <v/>
      </c>
      <c r="M362" s="545" t="str">
        <f>[1]K_Summary!M352</f>
        <v/>
      </c>
      <c r="N362" s="336"/>
    </row>
    <row r="363" spans="2:14" ht="12.75" customHeight="1" x14ac:dyDescent="0.25">
      <c r="B363" s="284"/>
      <c r="C363" s="360"/>
      <c r="D363" s="360"/>
      <c r="E363" s="523" t="str">
        <f>[1]K_Summary!E353</f>
        <v/>
      </c>
      <c r="F363" s="523"/>
      <c r="G363" s="523"/>
      <c r="H363" s="399" t="str">
        <f>[1]K_Summary!H353</f>
        <v>TJ / година</v>
      </c>
      <c r="I363" s="524" t="str">
        <f>[1]K_Summary!I353</f>
        <v/>
      </c>
      <c r="J363" s="533" t="str">
        <f>[1]K_Summary!J353</f>
        <v/>
      </c>
      <c r="K363" s="533" t="str">
        <f>[1]K_Summary!K353</f>
        <v/>
      </c>
      <c r="L363" s="533" t="str">
        <f>[1]K_Summary!L353</f>
        <v/>
      </c>
      <c r="M363" s="533" t="str">
        <f>[1]K_Summary!M353</f>
        <v/>
      </c>
      <c r="N363" s="336"/>
    </row>
    <row r="364" spans="2:14" ht="12.75" customHeight="1" x14ac:dyDescent="0.25">
      <c r="B364" s="284"/>
      <c r="C364" s="360"/>
      <c r="D364" s="360"/>
      <c r="E364" s="523" t="str">
        <f>[1]K_Summary!E354</f>
        <v/>
      </c>
      <c r="F364" s="523"/>
      <c r="G364" s="523"/>
      <c r="H364" s="399" t="str">
        <f>[1]K_Summary!H354</f>
        <v>TJ / година</v>
      </c>
      <c r="I364" s="524" t="str">
        <f>[1]K_Summary!I354</f>
        <v/>
      </c>
      <c r="J364" s="533" t="str">
        <f>[1]K_Summary!J354</f>
        <v/>
      </c>
      <c r="K364" s="533" t="str">
        <f>[1]K_Summary!K354</f>
        <v/>
      </c>
      <c r="L364" s="533" t="str">
        <f>[1]K_Summary!L354</f>
        <v/>
      </c>
      <c r="M364" s="533" t="str">
        <f>[1]K_Summary!M354</f>
        <v/>
      </c>
      <c r="N364" s="336"/>
    </row>
    <row r="365" spans="2:14" ht="12.75" customHeight="1" x14ac:dyDescent="0.25">
      <c r="B365" s="284"/>
      <c r="C365" s="360"/>
      <c r="D365" s="360"/>
      <c r="E365" s="523" t="str">
        <f>[1]K_Summary!E355</f>
        <v/>
      </c>
      <c r="F365" s="523"/>
      <c r="G365" s="523"/>
      <c r="H365" s="399" t="str">
        <f>[1]K_Summary!H355</f>
        <v>TJ / година</v>
      </c>
      <c r="I365" s="524" t="str">
        <f>[1]K_Summary!I355</f>
        <v/>
      </c>
      <c r="J365" s="533" t="str">
        <f>[1]K_Summary!J355</f>
        <v/>
      </c>
      <c r="K365" s="533" t="str">
        <f>[1]K_Summary!K355</f>
        <v/>
      </c>
      <c r="L365" s="533" t="str">
        <f>[1]K_Summary!L355</f>
        <v/>
      </c>
      <c r="M365" s="533" t="str">
        <f>[1]K_Summary!M355</f>
        <v/>
      </c>
      <c r="N365" s="336"/>
    </row>
    <row r="366" spans="2:14" ht="12.75" customHeight="1" x14ac:dyDescent="0.25">
      <c r="B366" s="284"/>
      <c r="C366" s="360"/>
      <c r="D366" s="360"/>
      <c r="E366" s="525" t="str">
        <f>[1]K_Summary!E356</f>
        <v/>
      </c>
      <c r="F366" s="525"/>
      <c r="G366" s="525"/>
      <c r="H366" s="402" t="str">
        <f>[1]K_Summary!H356</f>
        <v>TJ / година</v>
      </c>
      <c r="I366" s="484" t="str">
        <f>[1]K_Summary!I356</f>
        <v/>
      </c>
      <c r="J366" s="534" t="str">
        <f>[1]K_Summary!J356</f>
        <v/>
      </c>
      <c r="K366" s="534" t="str">
        <f>[1]K_Summary!K356</f>
        <v/>
      </c>
      <c r="L366" s="534" t="str">
        <f>[1]K_Summary!L356</f>
        <v/>
      </c>
      <c r="M366" s="534" t="str">
        <f>[1]K_Summary!M356</f>
        <v/>
      </c>
      <c r="N366" s="336"/>
    </row>
    <row r="367" spans="2:14" ht="12.75" customHeight="1" x14ac:dyDescent="0.25">
      <c r="B367" s="284"/>
      <c r="C367" s="360"/>
      <c r="D367" s="360"/>
      <c r="E367" s="528" t="str">
        <f>[1]K_Summary!E357</f>
        <v>Общо топлинна енергия, изнесена извън СТЕ:</v>
      </c>
      <c r="F367" s="528"/>
      <c r="G367" s="528"/>
      <c r="H367" s="404" t="str">
        <f>[1]K_Summary!H357</f>
        <v>TJ / година</v>
      </c>
      <c r="I367" s="477" t="str">
        <f>[1]K_Summary!I357</f>
        <v/>
      </c>
      <c r="J367" s="477" t="str">
        <f>[1]K_Summary!J357</f>
        <v/>
      </c>
      <c r="K367" s="477" t="str">
        <f>[1]K_Summary!K357</f>
        <v/>
      </c>
      <c r="L367" s="477" t="str">
        <f>[1]K_Summary!L357</f>
        <v/>
      </c>
      <c r="M367" s="477" t="str">
        <f>[1]K_Summary!M357</f>
        <v/>
      </c>
      <c r="N367" s="336"/>
    </row>
    <row r="368" spans="2:14" ht="12.75" customHeight="1" x14ac:dyDescent="0.25">
      <c r="B368" s="284"/>
      <c r="C368" s="284"/>
      <c r="D368" s="284"/>
      <c r="E368" s="284"/>
      <c r="F368" s="284"/>
      <c r="G368" s="284"/>
      <c r="H368" s="284"/>
      <c r="I368" s="284"/>
      <c r="J368" s="284"/>
      <c r="K368" s="284"/>
      <c r="L368" s="284"/>
      <c r="M368" s="284"/>
      <c r="N368" s="284"/>
    </row>
    <row r="369" spans="2:14" ht="12.75" customHeight="1" x14ac:dyDescent="0.25">
      <c r="B369" s="284"/>
      <c r="C369" s="300"/>
      <c r="D369" s="300" t="str">
        <f>[1]K_Summary!D359</f>
        <v>(n)</v>
      </c>
      <c r="E369" s="506" t="str">
        <f>[1]K_Summary!E359</f>
        <v>Загуба на топлинна енергия (=j-l-m)</v>
      </c>
      <c r="F369" s="507"/>
      <c r="G369" s="507"/>
      <c r="H369" s="507"/>
      <c r="I369" s="507"/>
      <c r="J369" s="507"/>
      <c r="K369" s="507"/>
      <c r="L369" s="507"/>
      <c r="M369" s="507"/>
      <c r="N369" s="507"/>
    </row>
    <row r="370" spans="2:14" ht="12.75" customHeight="1" x14ac:dyDescent="0.25">
      <c r="B370" s="284"/>
      <c r="C370" s="302"/>
      <c r="D370" s="302"/>
      <c r="E370" s="461"/>
      <c r="F370" s="498"/>
      <c r="G370" s="498"/>
      <c r="H370" s="527" t="str">
        <f>[1]K_Summary!H360</f>
        <v>Единица мярка</v>
      </c>
      <c r="I370" s="391">
        <f>[1]K_Summary!I360</f>
        <v>2019</v>
      </c>
      <c r="J370" s="391">
        <f>[1]K_Summary!J360</f>
        <v>2020</v>
      </c>
      <c r="K370" s="391">
        <f>[1]K_Summary!K360</f>
        <v>2021</v>
      </c>
      <c r="L370" s="391">
        <f>[1]K_Summary!L360</f>
        <v>2022</v>
      </c>
      <c r="M370" s="391">
        <f>[1]K_Summary!M360</f>
        <v>2023</v>
      </c>
      <c r="N370" s="336"/>
    </row>
    <row r="371" spans="2:14" ht="12.75" customHeight="1" x14ac:dyDescent="0.25">
      <c r="B371" s="284"/>
      <c r="C371" s="302"/>
      <c r="D371" s="360"/>
      <c r="E371" s="528" t="str">
        <f>[1]K_Summary!E361</f>
        <v>Загуби на топлинна енергия (изчислени)</v>
      </c>
      <c r="F371" s="547"/>
      <c r="G371" s="547"/>
      <c r="H371" s="535" t="str">
        <f>[1]K_Summary!H361</f>
        <v>TJ / година</v>
      </c>
      <c r="I371" s="423" t="str">
        <f>[1]K_Summary!I361</f>
        <v/>
      </c>
      <c r="J371" s="423" t="str">
        <f>[1]K_Summary!J361</f>
        <v/>
      </c>
      <c r="K371" s="423" t="str">
        <f>[1]K_Summary!K361</f>
        <v/>
      </c>
      <c r="L371" s="423" t="str">
        <f>[1]K_Summary!L361</f>
        <v/>
      </c>
      <c r="M371" s="423" t="str">
        <f>[1]K_Summary!M361</f>
        <v/>
      </c>
      <c r="N371" s="336"/>
    </row>
    <row r="372" spans="2:14" ht="12.75" customHeight="1" x14ac:dyDescent="0.25">
      <c r="B372" s="284"/>
      <c r="C372" s="302"/>
      <c r="D372" s="360"/>
      <c r="E372" s="528" t="str">
        <f>[1]K_Summary!E362</f>
        <v>Загуби на топлинна енергия (дял на наличната топлинна енергия = e)</v>
      </c>
      <c r="F372" s="547"/>
      <c r="G372" s="547"/>
      <c r="H372" s="535" t="str">
        <f>[1]K_Summary!H362</f>
        <v>%</v>
      </c>
      <c r="I372" s="423" t="str">
        <f>[1]K_Summary!I362</f>
        <v/>
      </c>
      <c r="J372" s="423" t="str">
        <f>[1]K_Summary!J362</f>
        <v/>
      </c>
      <c r="K372" s="423" t="str">
        <f>[1]K_Summary!K362</f>
        <v/>
      </c>
      <c r="L372" s="423" t="str">
        <f>[1]K_Summary!L362</f>
        <v/>
      </c>
      <c r="M372" s="423" t="str">
        <f>[1]K_Summary!M362</f>
        <v/>
      </c>
      <c r="N372" s="336"/>
    </row>
    <row r="373" spans="2:14" ht="12.75" customHeight="1" x14ac:dyDescent="0.25">
      <c r="B373" s="284"/>
      <c r="C373" s="302"/>
      <c r="D373" s="302"/>
      <c r="E373" s="302"/>
      <c r="F373" s="302"/>
      <c r="G373" s="302"/>
      <c r="H373" s="302"/>
      <c r="I373" s="302"/>
      <c r="J373" s="302"/>
      <c r="K373" s="302"/>
      <c r="L373" s="302"/>
      <c r="M373" s="302"/>
      <c r="N373" s="302"/>
    </row>
    <row r="374" spans="2:14" ht="12.75" customHeight="1" x14ac:dyDescent="0.25">
      <c r="B374" s="284"/>
      <c r="C374" s="300"/>
      <c r="D374" s="300" t="str">
        <f>[1]K_Summary!D364</f>
        <v>(o)</v>
      </c>
      <c r="E374" s="530" t="str">
        <f>[1]K_Summary!E364</f>
        <v>Общо количество топлинна енергия, която потенциално е част от подинсталациите с топлинен показател или подинсталации на топлофикационна мрежа (=l+m):</v>
      </c>
      <c r="F374" s="531"/>
      <c r="G374" s="531"/>
      <c r="H374" s="531"/>
      <c r="I374" s="531"/>
      <c r="J374" s="531"/>
      <c r="K374" s="531"/>
      <c r="L374" s="531"/>
      <c r="M374" s="531"/>
      <c r="N374" s="507"/>
    </row>
    <row r="375" spans="2:14" ht="12.75" customHeight="1" x14ac:dyDescent="0.25">
      <c r="B375" s="284"/>
      <c r="C375" s="302"/>
      <c r="D375" s="302"/>
      <c r="E375" s="528" t="str">
        <f>[1]K_Summary!E365</f>
        <v>Общо подинсталации с топлинен показател:</v>
      </c>
      <c r="F375" s="547"/>
      <c r="G375" s="547"/>
      <c r="H375" s="535" t="str">
        <f>[1]K_Summary!H365</f>
        <v>TJ / година</v>
      </c>
      <c r="I375" s="480" t="str">
        <f>[1]K_Summary!I365</f>
        <v/>
      </c>
      <c r="J375" s="423" t="str">
        <f>[1]K_Summary!J365</f>
        <v/>
      </c>
      <c r="K375" s="423" t="str">
        <f>[1]K_Summary!K365</f>
        <v/>
      </c>
      <c r="L375" s="423" t="str">
        <f>[1]K_Summary!L365</f>
        <v/>
      </c>
      <c r="M375" s="423" t="str">
        <f>[1]K_Summary!M365</f>
        <v/>
      </c>
      <c r="N375" s="336"/>
    </row>
    <row r="376" spans="2:14" ht="12.75" customHeight="1" x14ac:dyDescent="0.25">
      <c r="B376" s="284"/>
      <c r="C376" s="284"/>
      <c r="D376" s="284"/>
      <c r="E376" s="284"/>
      <c r="F376" s="284"/>
      <c r="G376" s="284"/>
      <c r="H376" s="284"/>
      <c r="I376" s="284"/>
      <c r="J376" s="284"/>
      <c r="K376" s="284"/>
      <c r="L376" s="284"/>
      <c r="M376" s="284"/>
      <c r="N376" s="284"/>
    </row>
    <row r="377" spans="2:14" ht="12.75" customHeight="1" x14ac:dyDescent="0.25">
      <c r="B377" s="284"/>
      <c r="C377" s="300"/>
      <c r="D377" s="300" t="str">
        <f>[1]K_Summary!D367</f>
        <v>(p)</v>
      </c>
      <c r="E377" s="526" t="str">
        <f>[1]K_Summary!E367</f>
        <v>Краен резултат: Количество топлинна енергия, която може да се разпредели на подинсталации с топлинен показател или подинсталации на топлофикационна мрежа</v>
      </c>
      <c r="F377" s="507"/>
      <c r="G377" s="507"/>
      <c r="H377" s="507"/>
      <c r="I377" s="507"/>
      <c r="J377" s="507"/>
      <c r="K377" s="507"/>
      <c r="L377" s="507"/>
      <c r="M377" s="507"/>
      <c r="N377" s="507"/>
    </row>
    <row r="378" spans="2:14" ht="12.75" customHeight="1" x14ac:dyDescent="0.25">
      <c r="B378" s="284"/>
      <c r="C378" s="302"/>
      <c r="D378" s="302"/>
      <c r="E378" s="461"/>
      <c r="F378" s="498"/>
      <c r="G378" s="498"/>
      <c r="H378" s="527" t="str">
        <f>[1]K_Summary!H368</f>
        <v>Единица мярка</v>
      </c>
      <c r="I378" s="391">
        <f>[1]K_Summary!I368</f>
        <v>2019</v>
      </c>
      <c r="J378" s="391">
        <f>[1]K_Summary!J368</f>
        <v>2020</v>
      </c>
      <c r="K378" s="391">
        <f>[1]K_Summary!K368</f>
        <v>2021</v>
      </c>
      <c r="L378" s="391">
        <f>[1]K_Summary!L368</f>
        <v>2022</v>
      </c>
      <c r="M378" s="391">
        <f>[1]K_Summary!M368</f>
        <v>2023</v>
      </c>
      <c r="N378" s="336"/>
    </row>
    <row r="379" spans="2:14" ht="12.75" customHeight="1" x14ac:dyDescent="0.25">
      <c r="B379" s="284"/>
      <c r="C379" s="302"/>
      <c r="D379" s="302"/>
      <c r="E379" s="388" t="str">
        <f>[1]K_Summary!E369</f>
        <v>Топлинна енергия, която отговаря на условията за подинсталации с топлинен показател</v>
      </c>
      <c r="F379" s="554"/>
      <c r="G379" s="554"/>
      <c r="H379" s="502" t="str">
        <f>[1]K_Summary!H369</f>
        <v>TJ / година</v>
      </c>
      <c r="I379" s="553" t="str">
        <f>[1]K_Summary!I369</f>
        <v/>
      </c>
      <c r="J379" s="553" t="str">
        <f>[1]K_Summary!J369</f>
        <v/>
      </c>
      <c r="K379" s="553" t="str">
        <f>[1]K_Summary!K369</f>
        <v/>
      </c>
      <c r="L379" s="553" t="str">
        <f>[1]K_Summary!L369</f>
        <v/>
      </c>
      <c r="M379" s="553" t="str">
        <f>[1]K_Summary!M369</f>
        <v/>
      </c>
      <c r="N379" s="336"/>
    </row>
    <row r="380" spans="2:14" ht="12.75" customHeight="1" x14ac:dyDescent="0.25">
      <c r="B380" s="284"/>
      <c r="C380" s="302"/>
      <c r="D380" s="302"/>
      <c r="E380" s="302"/>
      <c r="F380" s="302"/>
      <c r="G380" s="302"/>
      <c r="H380" s="302"/>
      <c r="I380" s="302"/>
      <c r="J380" s="302"/>
      <c r="K380" s="302"/>
      <c r="L380" s="302"/>
      <c r="M380" s="302"/>
      <c r="N380" s="302"/>
    </row>
    <row r="381" spans="2:14" ht="12.75" customHeight="1" x14ac:dyDescent="0.3">
      <c r="B381" s="284"/>
      <c r="C381" s="357"/>
      <c r="D381" s="555" t="str">
        <f>[1]K_Summary!D371</f>
        <v>Обобщение за подинсталациите с топлинен показател и подинсталациите на топлофикационна мрежа</v>
      </c>
      <c r="E381" s="507"/>
      <c r="F381" s="507"/>
      <c r="G381" s="507"/>
      <c r="H381" s="507"/>
      <c r="I381" s="507"/>
      <c r="J381" s="507"/>
      <c r="K381" s="507"/>
      <c r="L381" s="507"/>
      <c r="M381" s="507"/>
      <c r="N381" s="507"/>
    </row>
    <row r="382" spans="2:14" ht="12.75" customHeight="1" thickBot="1" x14ac:dyDescent="0.3">
      <c r="B382" s="284"/>
      <c r="C382" s="302"/>
      <c r="D382" s="302"/>
      <c r="E382" s="556"/>
      <c r="F382" s="302"/>
      <c r="G382" s="302"/>
      <c r="H382" s="390" t="str">
        <f>[1]K_Summary!H372</f>
        <v>Единица мярка</v>
      </c>
      <c r="I382" s="391">
        <f>[1]K_Summary!I372</f>
        <v>2019</v>
      </c>
      <c r="J382" s="391">
        <f>[1]K_Summary!J372</f>
        <v>2020</v>
      </c>
      <c r="K382" s="391">
        <f>[1]K_Summary!K372</f>
        <v>2021</v>
      </c>
      <c r="L382" s="391">
        <f>[1]K_Summary!L372</f>
        <v>2022</v>
      </c>
      <c r="M382" s="391">
        <f>[1]K_Summary!M372</f>
        <v>2023</v>
      </c>
      <c r="N382" s="302"/>
    </row>
    <row r="383" spans="2:14" ht="12.75" customHeight="1" x14ac:dyDescent="0.25">
      <c r="B383" s="284"/>
      <c r="C383" s="302"/>
      <c r="D383" s="360"/>
      <c r="E383" s="557" t="str">
        <f>[1]K_Summary!E373</f>
        <v>Подинсталация с топлинен показател (с риск от ИВЕ | извън МКВЕГ)</v>
      </c>
      <c r="F383" s="558"/>
      <c r="G383" s="558"/>
      <c r="H383" s="559" t="str">
        <f>[1]K_Summary!H373</f>
        <v>TJ / година</v>
      </c>
      <c r="I383" s="560" t="str">
        <f>[1]K_Summary!I373</f>
        <v/>
      </c>
      <c r="J383" s="560" t="str">
        <f>[1]K_Summary!J373</f>
        <v/>
      </c>
      <c r="K383" s="560" t="str">
        <f>[1]K_Summary!K373</f>
        <v/>
      </c>
      <c r="L383" s="560" t="str">
        <f>[1]K_Summary!L373</f>
        <v/>
      </c>
      <c r="M383" s="561" t="str">
        <f>[1]K_Summary!M373</f>
        <v/>
      </c>
      <c r="N383" s="302"/>
    </row>
    <row r="384" spans="2:14" ht="12.75" customHeight="1" x14ac:dyDescent="0.25">
      <c r="B384" s="284"/>
      <c r="C384" s="302"/>
      <c r="D384" s="360"/>
      <c r="E384" s="562" t="str">
        <f>[1]K_Summary!E374</f>
        <v>Подинсталация с топлинен показател (без риск от ИВЕ | извън МКВЕГ)</v>
      </c>
      <c r="F384" s="491"/>
      <c r="G384" s="491"/>
      <c r="H384" s="563" t="str">
        <f>[1]K_Summary!H374</f>
        <v>TJ / година</v>
      </c>
      <c r="I384" s="480" t="str">
        <f>[1]K_Summary!I374</f>
        <v/>
      </c>
      <c r="J384" s="480" t="str">
        <f>[1]K_Summary!J374</f>
        <v/>
      </c>
      <c r="K384" s="480" t="str">
        <f>[1]K_Summary!K374</f>
        <v/>
      </c>
      <c r="L384" s="480" t="str">
        <f>[1]K_Summary!L374</f>
        <v/>
      </c>
      <c r="M384" s="564" t="str">
        <f>[1]K_Summary!M374</f>
        <v/>
      </c>
      <c r="N384" s="302"/>
    </row>
    <row r="385" spans="2:14" ht="12.75" customHeight="1" x14ac:dyDescent="0.25">
      <c r="B385" s="284"/>
      <c r="C385" s="302"/>
      <c r="D385" s="360"/>
      <c r="E385" s="562" t="str">
        <f>[1]K_Summary!E375</f>
        <v>Подинсталация с топлинен показател (с риск от ИВЕ | в рамките на МКВЕГ)</v>
      </c>
      <c r="F385" s="491"/>
      <c r="G385" s="491"/>
      <c r="H385" s="563" t="str">
        <f>[1]K_Summary!H375</f>
        <v>TJ / година</v>
      </c>
      <c r="I385" s="565" t="str">
        <f>[1]K_Summary!I375</f>
        <v/>
      </c>
      <c r="J385" s="565" t="str">
        <f>[1]K_Summary!J375</f>
        <v/>
      </c>
      <c r="K385" s="565" t="str">
        <f>[1]K_Summary!K375</f>
        <v/>
      </c>
      <c r="L385" s="565" t="str">
        <f>[1]K_Summary!L375</f>
        <v/>
      </c>
      <c r="M385" s="566" t="str">
        <f>[1]K_Summary!M375</f>
        <v/>
      </c>
      <c r="N385" s="302"/>
    </row>
    <row r="386" spans="2:14" ht="12.75" customHeight="1" thickBot="1" x14ac:dyDescent="0.3">
      <c r="B386" s="284"/>
      <c r="C386" s="302"/>
      <c r="D386" s="302"/>
      <c r="E386" s="567" t="str">
        <f>[1]K_Summary!E376</f>
        <v>Подинсталация на топлофикационна мрежа</v>
      </c>
      <c r="F386" s="568"/>
      <c r="G386" s="568"/>
      <c r="H386" s="569" t="str">
        <f>[1]K_Summary!H376</f>
        <v>TJ / година</v>
      </c>
      <c r="I386" s="570" t="str">
        <f>[1]K_Summary!I376</f>
        <v/>
      </c>
      <c r="J386" s="570" t="str">
        <f>[1]K_Summary!J376</f>
        <v/>
      </c>
      <c r="K386" s="570" t="str">
        <f>[1]K_Summary!K376</f>
        <v/>
      </c>
      <c r="L386" s="570" t="str">
        <f>[1]K_Summary!L376</f>
        <v/>
      </c>
      <c r="M386" s="571" t="str">
        <f>[1]K_Summary!M376</f>
        <v/>
      </c>
      <c r="N386" s="302"/>
    </row>
    <row r="387" spans="2:14" ht="12.75" customHeight="1" x14ac:dyDescent="0.25">
      <c r="B387" s="284"/>
      <c r="C387" s="302"/>
      <c r="D387" s="302"/>
      <c r="E387" s="302"/>
      <c r="F387" s="302"/>
      <c r="G387" s="302"/>
      <c r="H387" s="302"/>
      <c r="I387" s="302"/>
      <c r="J387" s="302"/>
      <c r="K387" s="302"/>
      <c r="L387" s="302"/>
      <c r="M387" s="302"/>
      <c r="N387" s="302"/>
    </row>
    <row r="388" spans="2:14" ht="12.75" customHeight="1" x14ac:dyDescent="0.3">
      <c r="B388" s="284"/>
      <c r="C388" s="357">
        <f>[1]K_Summary!C378</f>
        <v>7</v>
      </c>
      <c r="D388" s="358" t="str">
        <f>[1]K_Summary!D378</f>
        <v>Пълен баланс на отпадъчните газове в инсталацията</v>
      </c>
      <c r="E388" s="359"/>
      <c r="F388" s="359"/>
      <c r="G388" s="359"/>
      <c r="H388" s="359"/>
      <c r="I388" s="359"/>
      <c r="J388" s="359"/>
      <c r="K388" s="359"/>
      <c r="L388" s="359"/>
      <c r="M388" s="359"/>
      <c r="N388" s="359"/>
    </row>
    <row r="389" spans="2:14" ht="12.75" customHeight="1" x14ac:dyDescent="0.25">
      <c r="B389" s="284"/>
      <c r="C389" s="284"/>
      <c r="D389" s="284"/>
      <c r="E389" s="284"/>
      <c r="F389" s="284"/>
      <c r="G389" s="284"/>
      <c r="H389" s="284"/>
      <c r="I389" s="284"/>
      <c r="J389" s="284"/>
      <c r="K389" s="284"/>
      <c r="L389" s="284"/>
      <c r="M389" s="284"/>
      <c r="N389" s="284"/>
    </row>
    <row r="390" spans="2:14" ht="12.75" customHeight="1" x14ac:dyDescent="0.25">
      <c r="B390" s="284"/>
      <c r="C390" s="300"/>
      <c r="D390" s="300" t="str">
        <f>[1]K_Summary!D380</f>
        <v>(a)</v>
      </c>
      <c r="E390" s="526" t="str">
        <f>[1]K_Summary!E380</f>
        <v>Отпадъчни газове, произведени в системните граници на подинсталация с продуктов показател</v>
      </c>
      <c r="F390" s="507"/>
      <c r="G390" s="507"/>
      <c r="H390" s="507"/>
      <c r="I390" s="507"/>
      <c r="J390" s="507"/>
      <c r="K390" s="507"/>
      <c r="L390" s="507"/>
      <c r="M390" s="507"/>
      <c r="N390" s="507"/>
    </row>
    <row r="391" spans="2:14" ht="12.75" customHeight="1" x14ac:dyDescent="0.25">
      <c r="B391" s="284"/>
      <c r="C391" s="302"/>
      <c r="D391" s="302"/>
      <c r="E391" s="530" t="str">
        <f>[1]K_Summary!E381</f>
        <v>Подинсталация</v>
      </c>
      <c r="F391" s="531"/>
      <c r="G391" s="531"/>
      <c r="H391" s="527" t="str">
        <f>[1]K_Summary!H381</f>
        <v>Единица мярка</v>
      </c>
      <c r="I391" s="391">
        <f>[1]K_Summary!I381</f>
        <v>2019</v>
      </c>
      <c r="J391" s="391">
        <f>[1]K_Summary!J381</f>
        <v>2020</v>
      </c>
      <c r="K391" s="391">
        <f>[1]K_Summary!K381</f>
        <v>2021</v>
      </c>
      <c r="L391" s="391">
        <f>[1]K_Summary!L381</f>
        <v>2022</v>
      </c>
      <c r="M391" s="572">
        <f>[1]K_Summary!M381</f>
        <v>2023</v>
      </c>
      <c r="N391" s="573"/>
    </row>
    <row r="392" spans="2:14" ht="12.75" customHeight="1" x14ac:dyDescent="0.25">
      <c r="B392" s="284"/>
      <c r="C392" s="302"/>
      <c r="D392" s="360"/>
      <c r="E392" s="574" t="str">
        <f>[1]K_Summary!E382</f>
        <v/>
      </c>
      <c r="F392" s="574"/>
      <c r="G392" s="574"/>
      <c r="H392" s="481" t="str">
        <f>[1]K_Summary!H382</f>
        <v>TJ / година</v>
      </c>
      <c r="I392" s="532" t="str">
        <f>[1]K_Summary!I382</f>
        <v/>
      </c>
      <c r="J392" s="532" t="str">
        <f>[1]K_Summary!J382</f>
        <v/>
      </c>
      <c r="K392" s="532" t="str">
        <f>[1]K_Summary!K382</f>
        <v/>
      </c>
      <c r="L392" s="532" t="str">
        <f>[1]K_Summary!L382</f>
        <v/>
      </c>
      <c r="M392" s="532" t="str">
        <f>[1]K_Summary!M382</f>
        <v/>
      </c>
      <c r="N392" s="336"/>
    </row>
    <row r="393" spans="2:14" ht="12.75" customHeight="1" x14ac:dyDescent="0.25">
      <c r="B393" s="284"/>
      <c r="C393" s="302"/>
      <c r="D393" s="360"/>
      <c r="E393" s="575" t="str">
        <f>[1]K_Summary!E383</f>
        <v/>
      </c>
      <c r="F393" s="575"/>
      <c r="G393" s="575"/>
      <c r="H393" s="516" t="str">
        <f>[1]K_Summary!H383</f>
        <v>TJ / година</v>
      </c>
      <c r="I393" s="533" t="str">
        <f>[1]K_Summary!I383</f>
        <v/>
      </c>
      <c r="J393" s="533" t="str">
        <f>[1]K_Summary!J383</f>
        <v/>
      </c>
      <c r="K393" s="533" t="str">
        <f>[1]K_Summary!K383</f>
        <v/>
      </c>
      <c r="L393" s="533" t="str">
        <f>[1]K_Summary!L383</f>
        <v/>
      </c>
      <c r="M393" s="533" t="str">
        <f>[1]K_Summary!M383</f>
        <v/>
      </c>
      <c r="N393" s="336"/>
    </row>
    <row r="394" spans="2:14" ht="12.75" customHeight="1" x14ac:dyDescent="0.25">
      <c r="B394" s="284"/>
      <c r="C394" s="302"/>
      <c r="D394" s="360"/>
      <c r="E394" s="575" t="str">
        <f>[1]K_Summary!E384</f>
        <v/>
      </c>
      <c r="F394" s="575"/>
      <c r="G394" s="575"/>
      <c r="H394" s="516" t="str">
        <f>[1]K_Summary!H384</f>
        <v>TJ / година</v>
      </c>
      <c r="I394" s="533" t="str">
        <f>[1]K_Summary!I384</f>
        <v/>
      </c>
      <c r="J394" s="533" t="str">
        <f>[1]K_Summary!J384</f>
        <v/>
      </c>
      <c r="K394" s="533" t="str">
        <f>[1]K_Summary!K384</f>
        <v/>
      </c>
      <c r="L394" s="533" t="str">
        <f>[1]K_Summary!L384</f>
        <v/>
      </c>
      <c r="M394" s="533" t="str">
        <f>[1]K_Summary!M384</f>
        <v/>
      </c>
      <c r="N394" s="336"/>
    </row>
    <row r="395" spans="2:14" ht="12.75" customHeight="1" x14ac:dyDescent="0.25">
      <c r="B395" s="284"/>
      <c r="C395" s="302"/>
      <c r="D395" s="360"/>
      <c r="E395" s="575" t="str">
        <f>[1]K_Summary!E385</f>
        <v/>
      </c>
      <c r="F395" s="575"/>
      <c r="G395" s="575"/>
      <c r="H395" s="516" t="str">
        <f>[1]K_Summary!H385</f>
        <v>TJ / година</v>
      </c>
      <c r="I395" s="533" t="str">
        <f>[1]K_Summary!I385</f>
        <v/>
      </c>
      <c r="J395" s="533" t="str">
        <f>[1]K_Summary!J385</f>
        <v/>
      </c>
      <c r="K395" s="533" t="str">
        <f>[1]K_Summary!K385</f>
        <v/>
      </c>
      <c r="L395" s="533" t="str">
        <f>[1]K_Summary!L385</f>
        <v/>
      </c>
      <c r="M395" s="533" t="str">
        <f>[1]K_Summary!M385</f>
        <v/>
      </c>
      <c r="N395" s="336"/>
    </row>
    <row r="396" spans="2:14" ht="12.75" customHeight="1" x14ac:dyDescent="0.25">
      <c r="B396" s="284"/>
      <c r="C396" s="302"/>
      <c r="D396" s="360"/>
      <c r="E396" s="575" t="str">
        <f>[1]K_Summary!E386</f>
        <v/>
      </c>
      <c r="F396" s="575"/>
      <c r="G396" s="575"/>
      <c r="H396" s="516" t="str">
        <f>[1]K_Summary!H386</f>
        <v>TJ / година</v>
      </c>
      <c r="I396" s="533" t="str">
        <f>[1]K_Summary!I386</f>
        <v/>
      </c>
      <c r="J396" s="533" t="str">
        <f>[1]K_Summary!J386</f>
        <v/>
      </c>
      <c r="K396" s="533" t="str">
        <f>[1]K_Summary!K386</f>
        <v/>
      </c>
      <c r="L396" s="533" t="str">
        <f>[1]K_Summary!L386</f>
        <v/>
      </c>
      <c r="M396" s="533" t="str">
        <f>[1]K_Summary!M386</f>
        <v/>
      </c>
      <c r="N396" s="336"/>
    </row>
    <row r="397" spans="2:14" ht="12.75" customHeight="1" x14ac:dyDescent="0.25">
      <c r="B397" s="284"/>
      <c r="C397" s="302"/>
      <c r="D397" s="360"/>
      <c r="E397" s="575" t="str">
        <f>[1]K_Summary!E387</f>
        <v/>
      </c>
      <c r="F397" s="575"/>
      <c r="G397" s="575"/>
      <c r="H397" s="516" t="str">
        <f>[1]K_Summary!H387</f>
        <v>TJ / година</v>
      </c>
      <c r="I397" s="533" t="str">
        <f>[1]K_Summary!I387</f>
        <v/>
      </c>
      <c r="J397" s="533" t="str">
        <f>[1]K_Summary!J387</f>
        <v/>
      </c>
      <c r="K397" s="533" t="str">
        <f>[1]K_Summary!K387</f>
        <v/>
      </c>
      <c r="L397" s="533" t="str">
        <f>[1]K_Summary!L387</f>
        <v/>
      </c>
      <c r="M397" s="533" t="str">
        <f>[1]K_Summary!M387</f>
        <v/>
      </c>
      <c r="N397" s="336"/>
    </row>
    <row r="398" spans="2:14" ht="12.75" customHeight="1" x14ac:dyDescent="0.25">
      <c r="B398" s="284"/>
      <c r="C398" s="302"/>
      <c r="D398" s="360"/>
      <c r="E398" s="575" t="str">
        <f>[1]K_Summary!E388</f>
        <v/>
      </c>
      <c r="F398" s="575"/>
      <c r="G398" s="575"/>
      <c r="H398" s="516" t="str">
        <f>[1]K_Summary!H388</f>
        <v>TJ / година</v>
      </c>
      <c r="I398" s="533" t="str">
        <f>[1]K_Summary!I388</f>
        <v/>
      </c>
      <c r="J398" s="533" t="str">
        <f>[1]K_Summary!J388</f>
        <v/>
      </c>
      <c r="K398" s="533" t="str">
        <f>[1]K_Summary!K388</f>
        <v/>
      </c>
      <c r="L398" s="533" t="str">
        <f>[1]K_Summary!L388</f>
        <v/>
      </c>
      <c r="M398" s="533" t="str">
        <f>[1]K_Summary!M388</f>
        <v/>
      </c>
      <c r="N398" s="336"/>
    </row>
    <row r="399" spans="2:14" ht="12.75" customHeight="1" x14ac:dyDescent="0.25">
      <c r="B399" s="284"/>
      <c r="C399" s="302"/>
      <c r="D399" s="360"/>
      <c r="E399" s="575" t="str">
        <f>[1]K_Summary!E389</f>
        <v/>
      </c>
      <c r="F399" s="575"/>
      <c r="G399" s="575"/>
      <c r="H399" s="516" t="str">
        <f>[1]K_Summary!H389</f>
        <v>TJ / година</v>
      </c>
      <c r="I399" s="533" t="str">
        <f>[1]K_Summary!I389</f>
        <v/>
      </c>
      <c r="J399" s="533" t="str">
        <f>[1]K_Summary!J389</f>
        <v/>
      </c>
      <c r="K399" s="533" t="str">
        <f>[1]K_Summary!K389</f>
        <v/>
      </c>
      <c r="L399" s="533" t="str">
        <f>[1]K_Summary!L389</f>
        <v/>
      </c>
      <c r="M399" s="533" t="str">
        <f>[1]K_Summary!M389</f>
        <v/>
      </c>
      <c r="N399" s="336"/>
    </row>
    <row r="400" spans="2:14" ht="12.75" customHeight="1" x14ac:dyDescent="0.25">
      <c r="B400" s="284"/>
      <c r="C400" s="302"/>
      <c r="D400" s="360"/>
      <c r="E400" s="575" t="str">
        <f>[1]K_Summary!E390</f>
        <v/>
      </c>
      <c r="F400" s="575"/>
      <c r="G400" s="575"/>
      <c r="H400" s="516" t="str">
        <f>[1]K_Summary!H390</f>
        <v>TJ / година</v>
      </c>
      <c r="I400" s="533" t="str">
        <f>[1]K_Summary!I390</f>
        <v/>
      </c>
      <c r="J400" s="533" t="str">
        <f>[1]K_Summary!J390</f>
        <v/>
      </c>
      <c r="K400" s="533" t="str">
        <f>[1]K_Summary!K390</f>
        <v/>
      </c>
      <c r="L400" s="533" t="str">
        <f>[1]K_Summary!L390</f>
        <v/>
      </c>
      <c r="M400" s="533" t="str">
        <f>[1]K_Summary!M390</f>
        <v/>
      </c>
      <c r="N400" s="336"/>
    </row>
    <row r="401" spans="2:14" ht="12.75" customHeight="1" x14ac:dyDescent="0.25">
      <c r="B401" s="284"/>
      <c r="C401" s="302"/>
      <c r="D401" s="360"/>
      <c r="E401" s="576" t="str">
        <f>[1]K_Summary!E391</f>
        <v/>
      </c>
      <c r="F401" s="576"/>
      <c r="G401" s="576"/>
      <c r="H401" s="483" t="str">
        <f>[1]K_Summary!H391</f>
        <v>TJ / година</v>
      </c>
      <c r="I401" s="534" t="str">
        <f>[1]K_Summary!I391</f>
        <v/>
      </c>
      <c r="J401" s="534" t="str">
        <f>[1]K_Summary!J391</f>
        <v/>
      </c>
      <c r="K401" s="534" t="str">
        <f>[1]K_Summary!K391</f>
        <v/>
      </c>
      <c r="L401" s="534" t="str">
        <f>[1]K_Summary!L391</f>
        <v/>
      </c>
      <c r="M401" s="534" t="str">
        <f>[1]K_Summary!M391</f>
        <v/>
      </c>
      <c r="N401" s="336"/>
    </row>
    <row r="402" spans="2:14" ht="12.75" customHeight="1" x14ac:dyDescent="0.25">
      <c r="B402" s="284"/>
      <c r="C402" s="302"/>
      <c r="D402" s="360"/>
      <c r="E402" s="528" t="str">
        <f>[1]K_Summary!E392</f>
        <v>Междинен сбор</v>
      </c>
      <c r="F402" s="528"/>
      <c r="G402" s="528"/>
      <c r="H402" s="421" t="str">
        <f>[1]K_Summary!H392</f>
        <v>TJ / година</v>
      </c>
      <c r="I402" s="423" t="str">
        <f>[1]K_Summary!I392</f>
        <v/>
      </c>
      <c r="J402" s="423" t="str">
        <f>[1]K_Summary!J392</f>
        <v/>
      </c>
      <c r="K402" s="423" t="str">
        <f>[1]K_Summary!K392</f>
        <v/>
      </c>
      <c r="L402" s="423" t="str">
        <f>[1]K_Summary!L392</f>
        <v/>
      </c>
      <c r="M402" s="423" t="str">
        <f>[1]K_Summary!M392</f>
        <v/>
      </c>
      <c r="N402" s="336"/>
    </row>
    <row r="403" spans="2:14" ht="12.75" customHeight="1" x14ac:dyDescent="0.25">
      <c r="B403" s="284"/>
      <c r="C403" s="284"/>
      <c r="D403" s="284"/>
      <c r="E403" s="284"/>
      <c r="F403" s="284"/>
      <c r="G403" s="284"/>
      <c r="H403" s="284"/>
      <c r="I403" s="284"/>
      <c r="J403" s="284"/>
      <c r="K403" s="284"/>
      <c r="L403" s="284"/>
      <c r="M403" s="284"/>
      <c r="N403" s="284"/>
    </row>
    <row r="404" spans="2:14" ht="12.75" customHeight="1" x14ac:dyDescent="0.25">
      <c r="B404" s="284"/>
      <c r="C404" s="300"/>
      <c r="D404" s="300" t="str">
        <f>[1]K_Summary!D394</f>
        <v>(b)</v>
      </c>
      <c r="E404" s="526" t="str">
        <f>[1]K_Summary!E394</f>
        <v>Отпадъчни газове, произведени извън системните граници на подинсталация с продуктов показател</v>
      </c>
      <c r="F404" s="507"/>
      <c r="G404" s="507"/>
      <c r="H404" s="507"/>
      <c r="I404" s="507"/>
      <c r="J404" s="507"/>
      <c r="K404" s="507"/>
      <c r="L404" s="507"/>
      <c r="M404" s="507"/>
      <c r="N404" s="507"/>
    </row>
    <row r="405" spans="2:14" ht="12.75" customHeight="1" x14ac:dyDescent="0.25">
      <c r="B405" s="284"/>
      <c r="C405" s="302"/>
      <c r="D405" s="302"/>
      <c r="E405" s="530" t="str">
        <f>[1]K_Summary!E395</f>
        <v>от раздел D.IV.</v>
      </c>
      <c r="F405" s="531"/>
      <c r="G405" s="531"/>
      <c r="H405" s="527" t="str">
        <f>[1]K_Summary!H395</f>
        <v>Единица мярка</v>
      </c>
      <c r="I405" s="391">
        <f>[1]K_Summary!I395</f>
        <v>2019</v>
      </c>
      <c r="J405" s="391">
        <f>[1]K_Summary!J395</f>
        <v>2020</v>
      </c>
      <c r="K405" s="391">
        <f>[1]K_Summary!K395</f>
        <v>2021</v>
      </c>
      <c r="L405" s="391">
        <f>[1]K_Summary!L395</f>
        <v>2022</v>
      </c>
      <c r="M405" s="572">
        <f>[1]K_Summary!M395</f>
        <v>2023</v>
      </c>
      <c r="N405" s="573"/>
    </row>
    <row r="406" spans="2:14" ht="12.75" customHeight="1" x14ac:dyDescent="0.25">
      <c r="B406" s="284"/>
      <c r="C406" s="302"/>
      <c r="D406" s="360"/>
      <c r="E406" s="577" t="str">
        <f>[1]K_Summary!E396</f>
        <v>Отпадъчен газ 1</v>
      </c>
      <c r="F406" s="577"/>
      <c r="G406" s="577"/>
      <c r="H406" s="481" t="str">
        <f>[1]K_Summary!H396</f>
        <v>TJ / година</v>
      </c>
      <c r="I406" s="532" t="str">
        <f>[1]K_Summary!I396</f>
        <v/>
      </c>
      <c r="J406" s="532" t="str">
        <f>[1]K_Summary!J396</f>
        <v/>
      </c>
      <c r="K406" s="532" t="str">
        <f>[1]K_Summary!K396</f>
        <v/>
      </c>
      <c r="L406" s="532" t="str">
        <f>[1]K_Summary!L396</f>
        <v/>
      </c>
      <c r="M406" s="532" t="str">
        <f>[1]K_Summary!M396</f>
        <v/>
      </c>
      <c r="N406" s="336"/>
    </row>
    <row r="407" spans="2:14" ht="12.75" customHeight="1" x14ac:dyDescent="0.25">
      <c r="B407" s="284"/>
      <c r="C407" s="302"/>
      <c r="D407" s="360"/>
      <c r="E407" s="578" t="str">
        <f>[1]K_Summary!E397</f>
        <v>Отпадъчен газ 2</v>
      </c>
      <c r="F407" s="578"/>
      <c r="G407" s="578"/>
      <c r="H407" s="516" t="str">
        <f>[1]K_Summary!H397</f>
        <v>TJ / година</v>
      </c>
      <c r="I407" s="534" t="str">
        <f>[1]K_Summary!I397</f>
        <v/>
      </c>
      <c r="J407" s="534" t="str">
        <f>[1]K_Summary!J397</f>
        <v/>
      </c>
      <c r="K407" s="534" t="str">
        <f>[1]K_Summary!K397</f>
        <v/>
      </c>
      <c r="L407" s="534" t="str">
        <f>[1]K_Summary!L397</f>
        <v/>
      </c>
      <c r="M407" s="534" t="str">
        <f>[1]K_Summary!M397</f>
        <v/>
      </c>
      <c r="N407" s="336"/>
    </row>
    <row r="408" spans="2:14" ht="12.75" customHeight="1" x14ac:dyDescent="0.25">
      <c r="B408" s="284"/>
      <c r="C408" s="302"/>
      <c r="D408" s="360"/>
      <c r="E408" s="528" t="str">
        <f>[1]K_Summary!E398</f>
        <v>Междинен сбор</v>
      </c>
      <c r="F408" s="528"/>
      <c r="G408" s="528"/>
      <c r="H408" s="421" t="str">
        <f>[1]K_Summary!H398</f>
        <v>TJ / година</v>
      </c>
      <c r="I408" s="423" t="str">
        <f>[1]K_Summary!I398</f>
        <v/>
      </c>
      <c r="J408" s="423" t="str">
        <f>[1]K_Summary!J398</f>
        <v/>
      </c>
      <c r="K408" s="423" t="str">
        <f>[1]K_Summary!K398</f>
        <v/>
      </c>
      <c r="L408" s="423" t="str">
        <f>[1]K_Summary!L398</f>
        <v/>
      </c>
      <c r="M408" s="423" t="str">
        <f>[1]K_Summary!M398</f>
        <v/>
      </c>
      <c r="N408" s="336"/>
    </row>
    <row r="409" spans="2:14" ht="12.75" customHeight="1" x14ac:dyDescent="0.25">
      <c r="B409" s="284"/>
      <c r="C409" s="284"/>
      <c r="D409" s="284"/>
      <c r="E409" s="284"/>
      <c r="F409" s="284"/>
      <c r="G409" s="284"/>
      <c r="H409" s="284"/>
      <c r="I409" s="284"/>
      <c r="J409" s="284"/>
      <c r="K409" s="284"/>
      <c r="L409" s="284"/>
      <c r="M409" s="284"/>
      <c r="N409" s="284"/>
    </row>
    <row r="410" spans="2:14" ht="12.75" customHeight="1" x14ac:dyDescent="0.25">
      <c r="B410" s="284"/>
      <c r="C410" s="302"/>
      <c r="D410" s="360"/>
      <c r="E410" s="528" t="str">
        <f>[1]K_Summary!E400</f>
        <v>Посочени по-горе стойности от получена енергия</v>
      </c>
      <c r="F410" s="528"/>
      <c r="G410" s="528"/>
      <c r="H410" s="421" t="str">
        <f>[1]K_Summary!H400</f>
        <v>TJ / година</v>
      </c>
      <c r="I410" s="423" t="str">
        <f>[1]K_Summary!I400</f>
        <v/>
      </c>
      <c r="J410" s="423" t="str">
        <f>[1]K_Summary!J400</f>
        <v/>
      </c>
      <c r="K410" s="423" t="str">
        <f>[1]K_Summary!K400</f>
        <v/>
      </c>
      <c r="L410" s="423" t="str">
        <f>[1]K_Summary!L400</f>
        <v/>
      </c>
      <c r="M410" s="423" t="str">
        <f>[1]K_Summary!M400</f>
        <v/>
      </c>
      <c r="N410" s="336"/>
    </row>
    <row r="411" spans="2:14" ht="12.75" customHeight="1" x14ac:dyDescent="0.25">
      <c r="B411" s="284"/>
      <c r="C411" s="284"/>
      <c r="D411" s="284"/>
      <c r="E411" s="284"/>
      <c r="F411" s="284"/>
      <c r="G411" s="284"/>
      <c r="H411" s="284"/>
      <c r="I411" s="284"/>
      <c r="J411" s="284"/>
      <c r="K411" s="284"/>
      <c r="L411" s="284"/>
      <c r="M411" s="284"/>
      <c r="N411" s="284"/>
    </row>
    <row r="412" spans="2:14" ht="12.75" customHeight="1" x14ac:dyDescent="0.25">
      <c r="B412" s="284"/>
      <c r="C412" s="300"/>
      <c r="D412" s="300" t="str">
        <f>[1]K_Summary!D402</f>
        <v>(c)</v>
      </c>
      <c r="E412" s="506" t="str">
        <f>[1]K_Summary!E402</f>
        <v>Сбор на отпадъчните газове (=a+b)</v>
      </c>
      <c r="F412" s="507"/>
      <c r="G412" s="507"/>
      <c r="H412" s="507"/>
      <c r="I412" s="507"/>
      <c r="J412" s="507"/>
      <c r="K412" s="507"/>
      <c r="L412" s="507"/>
      <c r="M412" s="507"/>
      <c r="N412" s="507"/>
    </row>
    <row r="413" spans="2:14" ht="12.75" customHeight="1" x14ac:dyDescent="0.25">
      <c r="B413" s="284"/>
      <c r="C413" s="302"/>
      <c r="D413" s="302"/>
      <c r="E413" s="528" t="str">
        <f>[1]K_Summary!E403</f>
        <v>Произведени отпадъчни газове</v>
      </c>
      <c r="F413" s="528"/>
      <c r="G413" s="528"/>
      <c r="H413" s="535" t="str">
        <f>[1]K_Summary!H403</f>
        <v>TJ / година</v>
      </c>
      <c r="I413" s="423" t="str">
        <f>[1]K_Summary!I403</f>
        <v/>
      </c>
      <c r="J413" s="423" t="str">
        <f>[1]K_Summary!J403</f>
        <v/>
      </c>
      <c r="K413" s="423" t="str">
        <f>[1]K_Summary!K403</f>
        <v/>
      </c>
      <c r="L413" s="423" t="str">
        <f>[1]K_Summary!L403</f>
        <v/>
      </c>
      <c r="M413" s="423" t="str">
        <f>[1]K_Summary!M403</f>
        <v/>
      </c>
      <c r="N413" s="336"/>
    </row>
    <row r="414" spans="2:14" ht="12.75" customHeight="1" x14ac:dyDescent="0.25">
      <c r="B414" s="284"/>
      <c r="C414" s="302"/>
      <c r="D414" s="302"/>
      <c r="E414" s="302"/>
      <c r="F414" s="302"/>
      <c r="G414" s="302"/>
      <c r="H414" s="302"/>
      <c r="I414" s="302"/>
      <c r="J414" s="302"/>
      <c r="K414" s="302"/>
      <c r="L414" s="302"/>
      <c r="M414" s="302"/>
      <c r="N414" s="302"/>
    </row>
    <row r="415" spans="2:14" ht="12.75" customHeight="1" x14ac:dyDescent="0.25">
      <c r="B415" s="284"/>
      <c r="C415" s="300"/>
      <c r="D415" s="300" t="str">
        <f>[1]K_Summary!D405</f>
        <v>(d)</v>
      </c>
      <c r="E415" s="526" t="str">
        <f>[1]K_Summary!E405</f>
        <v>Отпадъчни газове, получени от други инсталации или обекти</v>
      </c>
      <c r="F415" s="507"/>
      <c r="G415" s="507"/>
      <c r="H415" s="507"/>
      <c r="I415" s="507"/>
      <c r="J415" s="507"/>
      <c r="K415" s="507"/>
      <c r="L415" s="507"/>
      <c r="M415" s="507"/>
      <c r="N415" s="507"/>
    </row>
    <row r="416" spans="2:14" ht="12.75" customHeight="1" x14ac:dyDescent="0.25">
      <c r="B416" s="284"/>
      <c r="C416" s="302"/>
      <c r="D416" s="302"/>
      <c r="E416" s="530" t="str">
        <f>[1]K_Summary!E406</f>
        <v>Наименование на инсталацията или обекта</v>
      </c>
      <c r="F416" s="530"/>
      <c r="G416" s="530"/>
      <c r="H416" s="527" t="str">
        <f>[1]K_Summary!H406</f>
        <v>Единица мярка</v>
      </c>
      <c r="I416" s="391">
        <f>[1]K_Summary!I406</f>
        <v>2019</v>
      </c>
      <c r="J416" s="391">
        <f>[1]K_Summary!J406</f>
        <v>2020</v>
      </c>
      <c r="K416" s="391">
        <f>[1]K_Summary!K406</f>
        <v>2021</v>
      </c>
      <c r="L416" s="391">
        <f>[1]K_Summary!L406</f>
        <v>2022</v>
      </c>
      <c r="M416" s="572">
        <f>[1]K_Summary!M406</f>
        <v>2023</v>
      </c>
      <c r="N416" s="573"/>
    </row>
    <row r="417" spans="2:14" ht="12.75" customHeight="1" x14ac:dyDescent="0.25">
      <c r="B417" s="284"/>
      <c r="C417" s="360"/>
      <c r="D417" s="360"/>
      <c r="E417" s="522" t="str">
        <f>[1]K_Summary!E407</f>
        <v/>
      </c>
      <c r="F417" s="522"/>
      <c r="G417" s="522"/>
      <c r="H417" s="393" t="str">
        <f>[1]K_Summary!H407</f>
        <v>TJ / година</v>
      </c>
      <c r="I417" s="532" t="str">
        <f>[1]K_Summary!I407</f>
        <v/>
      </c>
      <c r="J417" s="532" t="str">
        <f>[1]K_Summary!J407</f>
        <v/>
      </c>
      <c r="K417" s="532" t="str">
        <f>[1]K_Summary!K407</f>
        <v/>
      </c>
      <c r="L417" s="532" t="str">
        <f>[1]K_Summary!L407</f>
        <v/>
      </c>
      <c r="M417" s="532" t="str">
        <f>[1]K_Summary!M407</f>
        <v/>
      </c>
      <c r="N417" s="336"/>
    </row>
    <row r="418" spans="2:14" ht="12.75" customHeight="1" x14ac:dyDescent="0.25">
      <c r="B418" s="284"/>
      <c r="C418" s="360"/>
      <c r="D418" s="360"/>
      <c r="E418" s="523" t="str">
        <f>[1]K_Summary!E408</f>
        <v/>
      </c>
      <c r="F418" s="523"/>
      <c r="G418" s="523"/>
      <c r="H418" s="399" t="str">
        <f>[1]K_Summary!H408</f>
        <v>TJ / година</v>
      </c>
      <c r="I418" s="533" t="str">
        <f>[1]K_Summary!I408</f>
        <v/>
      </c>
      <c r="J418" s="533" t="str">
        <f>[1]K_Summary!J408</f>
        <v/>
      </c>
      <c r="K418" s="533" t="str">
        <f>[1]K_Summary!K408</f>
        <v/>
      </c>
      <c r="L418" s="533" t="str">
        <f>[1]K_Summary!L408</f>
        <v/>
      </c>
      <c r="M418" s="533" t="str">
        <f>[1]K_Summary!M408</f>
        <v/>
      </c>
      <c r="N418" s="336"/>
    </row>
    <row r="419" spans="2:14" ht="12.75" customHeight="1" x14ac:dyDescent="0.25">
      <c r="B419" s="284"/>
      <c r="C419" s="360"/>
      <c r="D419" s="360"/>
      <c r="E419" s="525" t="str">
        <f>[1]K_Summary!E409</f>
        <v/>
      </c>
      <c r="F419" s="525"/>
      <c r="G419" s="525"/>
      <c r="H419" s="402" t="str">
        <f>[1]K_Summary!H409</f>
        <v>TJ / година</v>
      </c>
      <c r="I419" s="534" t="str">
        <f>[1]K_Summary!I409</f>
        <v/>
      </c>
      <c r="J419" s="534" t="str">
        <f>[1]K_Summary!J409</f>
        <v/>
      </c>
      <c r="K419" s="534" t="str">
        <f>[1]K_Summary!K409</f>
        <v/>
      </c>
      <c r="L419" s="534" t="str">
        <f>[1]K_Summary!L409</f>
        <v/>
      </c>
      <c r="M419" s="534" t="str">
        <f>[1]K_Summary!M409</f>
        <v/>
      </c>
      <c r="N419" s="336"/>
    </row>
    <row r="420" spans="2:14" ht="12.75" customHeight="1" x14ac:dyDescent="0.25">
      <c r="B420" s="284"/>
      <c r="C420" s="360"/>
      <c r="D420" s="360"/>
      <c r="E420" s="528" t="str">
        <f>[1]K_Summary!E410</f>
        <v>Междинен сбор</v>
      </c>
      <c r="F420" s="528"/>
      <c r="G420" s="528"/>
      <c r="H420" s="535" t="str">
        <f>[1]K_Summary!H410</f>
        <v>TJ / година</v>
      </c>
      <c r="I420" s="423" t="str">
        <f>[1]K_Summary!I410</f>
        <v/>
      </c>
      <c r="J420" s="423" t="str">
        <f>[1]K_Summary!J410</f>
        <v/>
      </c>
      <c r="K420" s="423" t="str">
        <f>[1]K_Summary!K410</f>
        <v/>
      </c>
      <c r="L420" s="423" t="str">
        <f>[1]K_Summary!L410</f>
        <v/>
      </c>
      <c r="M420" s="423" t="str">
        <f>[1]K_Summary!M410</f>
        <v/>
      </c>
      <c r="N420" s="336"/>
    </row>
    <row r="421" spans="2:14" ht="12.75" customHeight="1" x14ac:dyDescent="0.25">
      <c r="B421" s="284"/>
      <c r="C421" s="284"/>
      <c r="D421" s="284"/>
      <c r="E421" s="284"/>
      <c r="F421" s="284"/>
      <c r="G421" s="284"/>
      <c r="H421" s="284"/>
      <c r="I421" s="284"/>
      <c r="J421" s="284"/>
      <c r="K421" s="284"/>
      <c r="L421" s="284"/>
      <c r="M421" s="284"/>
      <c r="N421" s="284"/>
    </row>
    <row r="422" spans="2:14" ht="12.75" customHeight="1" x14ac:dyDescent="0.25">
      <c r="B422" s="284"/>
      <c r="C422" s="300"/>
      <c r="D422" s="300" t="str">
        <f>[1]K_Summary!D412</f>
        <v>(e)</v>
      </c>
      <c r="E422" s="526" t="str">
        <f>[1]K_Summary!E412</f>
        <v>Отпадъчни газове, подадени към други инсталации или обекти</v>
      </c>
      <c r="F422" s="507"/>
      <c r="G422" s="507"/>
      <c r="H422" s="507"/>
      <c r="I422" s="507"/>
      <c r="J422" s="507"/>
      <c r="K422" s="507"/>
      <c r="L422" s="507"/>
      <c r="M422" s="507"/>
      <c r="N422" s="507"/>
    </row>
    <row r="423" spans="2:14" ht="12.75" customHeight="1" x14ac:dyDescent="0.25">
      <c r="B423" s="284"/>
      <c r="C423" s="302"/>
      <c r="D423" s="302"/>
      <c r="E423" s="530" t="str">
        <f>[1]K_Summary!E413</f>
        <v>Наименование на инсталацията или обекта</v>
      </c>
      <c r="F423" s="531"/>
      <c r="G423" s="531"/>
      <c r="H423" s="527" t="str">
        <f>[1]K_Summary!H413</f>
        <v>Единица мярка</v>
      </c>
      <c r="I423" s="391">
        <f>[1]K_Summary!I413</f>
        <v>2019</v>
      </c>
      <c r="J423" s="391">
        <f>[1]K_Summary!J413</f>
        <v>2020</v>
      </c>
      <c r="K423" s="391">
        <f>[1]K_Summary!K413</f>
        <v>2021</v>
      </c>
      <c r="L423" s="391">
        <f>[1]K_Summary!L413</f>
        <v>2022</v>
      </c>
      <c r="M423" s="572">
        <f>[1]K_Summary!M413</f>
        <v>2023</v>
      </c>
      <c r="N423" s="573"/>
    </row>
    <row r="424" spans="2:14" ht="12.75" customHeight="1" x14ac:dyDescent="0.25">
      <c r="B424" s="284"/>
      <c r="C424" s="360"/>
      <c r="D424" s="360"/>
      <c r="E424" s="522" t="str">
        <f>[1]K_Summary!E414</f>
        <v/>
      </c>
      <c r="F424" s="522"/>
      <c r="G424" s="522"/>
      <c r="H424" s="393" t="str">
        <f>[1]K_Summary!H414</f>
        <v>TJ / година</v>
      </c>
      <c r="I424" s="532" t="str">
        <f>[1]K_Summary!I414</f>
        <v/>
      </c>
      <c r="J424" s="532" t="str">
        <f>[1]K_Summary!J414</f>
        <v/>
      </c>
      <c r="K424" s="532" t="str">
        <f>[1]K_Summary!K414</f>
        <v/>
      </c>
      <c r="L424" s="532" t="str">
        <f>[1]K_Summary!L414</f>
        <v/>
      </c>
      <c r="M424" s="536" t="str">
        <f>[1]K_Summary!M414</f>
        <v/>
      </c>
      <c r="N424" s="336"/>
    </row>
    <row r="425" spans="2:14" ht="12.75" customHeight="1" x14ac:dyDescent="0.25">
      <c r="B425" s="284"/>
      <c r="C425" s="360"/>
      <c r="D425" s="360"/>
      <c r="E425" s="523" t="str">
        <f>[1]K_Summary!E415</f>
        <v/>
      </c>
      <c r="F425" s="523"/>
      <c r="G425" s="523"/>
      <c r="H425" s="399" t="str">
        <f>[1]K_Summary!H415</f>
        <v>TJ / година</v>
      </c>
      <c r="I425" s="533" t="str">
        <f>[1]K_Summary!I415</f>
        <v/>
      </c>
      <c r="J425" s="533" t="str">
        <f>[1]K_Summary!J415</f>
        <v/>
      </c>
      <c r="K425" s="533" t="str">
        <f>[1]K_Summary!K415</f>
        <v/>
      </c>
      <c r="L425" s="533" t="str">
        <f>[1]K_Summary!L415</f>
        <v/>
      </c>
      <c r="M425" s="537" t="str">
        <f>[1]K_Summary!M415</f>
        <v/>
      </c>
      <c r="N425" s="336"/>
    </row>
    <row r="426" spans="2:14" ht="12.75" customHeight="1" x14ac:dyDescent="0.25">
      <c r="B426" s="284"/>
      <c r="C426" s="360"/>
      <c r="D426" s="360"/>
      <c r="E426" s="525" t="str">
        <f>[1]K_Summary!E416</f>
        <v/>
      </c>
      <c r="F426" s="525"/>
      <c r="G426" s="525"/>
      <c r="H426" s="402" t="str">
        <f>[1]K_Summary!H416</f>
        <v>TJ / година</v>
      </c>
      <c r="I426" s="534" t="str">
        <f>[1]K_Summary!I416</f>
        <v/>
      </c>
      <c r="J426" s="534" t="str">
        <f>[1]K_Summary!J416</f>
        <v/>
      </c>
      <c r="K426" s="534" t="str">
        <f>[1]K_Summary!K416</f>
        <v/>
      </c>
      <c r="L426" s="534" t="str">
        <f>[1]K_Summary!L416</f>
        <v/>
      </c>
      <c r="M426" s="538" t="str">
        <f>[1]K_Summary!M416</f>
        <v/>
      </c>
      <c r="N426" s="336"/>
    </row>
    <row r="427" spans="2:14" ht="12.75" customHeight="1" x14ac:dyDescent="0.25">
      <c r="B427" s="284"/>
      <c r="C427" s="360"/>
      <c r="D427" s="360"/>
      <c r="E427" s="528" t="str">
        <f>[1]K_Summary!E417</f>
        <v>Междинен сбор</v>
      </c>
      <c r="F427" s="528"/>
      <c r="G427" s="528"/>
      <c r="H427" s="535" t="str">
        <f>[1]K_Summary!H417</f>
        <v>TJ / година</v>
      </c>
      <c r="I427" s="423" t="str">
        <f>[1]K_Summary!I417</f>
        <v/>
      </c>
      <c r="J427" s="423" t="str">
        <f>[1]K_Summary!J417</f>
        <v/>
      </c>
      <c r="K427" s="423" t="str">
        <f>[1]K_Summary!K417</f>
        <v/>
      </c>
      <c r="L427" s="423" t="str">
        <f>[1]K_Summary!L417</f>
        <v/>
      </c>
      <c r="M427" s="539" t="str">
        <f>[1]K_Summary!M417</f>
        <v/>
      </c>
      <c r="N427" s="336"/>
    </row>
    <row r="428" spans="2:14" ht="12.75" customHeight="1" x14ac:dyDescent="0.25">
      <c r="B428" s="284"/>
      <c r="C428" s="284"/>
      <c r="D428" s="284"/>
      <c r="E428" s="284"/>
      <c r="F428" s="284"/>
      <c r="G428" s="284"/>
      <c r="H428" s="284"/>
      <c r="I428" s="284"/>
      <c r="J428" s="284"/>
      <c r="K428" s="284"/>
      <c r="L428" s="284"/>
      <c r="M428" s="284"/>
      <c r="N428" s="284"/>
    </row>
    <row r="429" spans="2:14" ht="12.75" customHeight="1" x14ac:dyDescent="0.25">
      <c r="B429" s="284"/>
      <c r="C429" s="300"/>
      <c r="D429" s="300" t="str">
        <f>[1]K_Summary!D419</f>
        <v>(f)</v>
      </c>
      <c r="E429" s="506" t="str">
        <f>[1]K_Summary!E419</f>
        <v>Сбор на отпадъчните газове, налични в инсталацията (=c+d-e)</v>
      </c>
      <c r="F429" s="507"/>
      <c r="G429" s="507"/>
      <c r="H429" s="507"/>
      <c r="I429" s="507"/>
      <c r="J429" s="507"/>
      <c r="K429" s="507"/>
      <c r="L429" s="507"/>
      <c r="M429" s="507"/>
      <c r="N429" s="507"/>
    </row>
    <row r="430" spans="2:14" ht="12.75" customHeight="1" x14ac:dyDescent="0.25">
      <c r="B430" s="284"/>
      <c r="C430" s="302"/>
      <c r="D430" s="302"/>
      <c r="E430" s="528" t="str">
        <f>[1]K_Summary!E420</f>
        <v>Налични отпадъчни газове</v>
      </c>
      <c r="F430" s="528"/>
      <c r="G430" s="528"/>
      <c r="H430" s="535" t="str">
        <f>[1]K_Summary!H420</f>
        <v>TJ / година</v>
      </c>
      <c r="I430" s="423" t="str">
        <f>[1]K_Summary!I420</f>
        <v/>
      </c>
      <c r="J430" s="423" t="str">
        <f>[1]K_Summary!J420</f>
        <v/>
      </c>
      <c r="K430" s="423" t="str">
        <f>[1]K_Summary!K420</f>
        <v/>
      </c>
      <c r="L430" s="423" t="str">
        <f>[1]K_Summary!L420</f>
        <v/>
      </c>
      <c r="M430" s="423" t="str">
        <f>[1]K_Summary!M420</f>
        <v/>
      </c>
      <c r="N430" s="336"/>
    </row>
    <row r="431" spans="2:14" ht="12.75" customHeight="1" x14ac:dyDescent="0.25">
      <c r="B431" s="284"/>
      <c r="C431" s="302"/>
      <c r="D431" s="302"/>
      <c r="E431" s="302"/>
      <c r="F431" s="302"/>
      <c r="G431" s="302"/>
      <c r="H431" s="302"/>
      <c r="I431" s="302"/>
      <c r="J431" s="302"/>
      <c r="K431" s="302"/>
      <c r="L431" s="302"/>
      <c r="M431" s="302"/>
      <c r="N431" s="302"/>
    </row>
    <row r="432" spans="2:14" ht="12.75" customHeight="1" x14ac:dyDescent="0.25">
      <c r="B432" s="284"/>
      <c r="C432" s="300"/>
      <c r="D432" s="300" t="str">
        <f>[1]K_Summary!D422</f>
        <v>(g)</v>
      </c>
      <c r="E432" s="526" t="str">
        <f>[1]K_Summary!E422</f>
        <v>Отпадъчни газове, консумирани в подинсталации с продуктов показател</v>
      </c>
      <c r="F432" s="507"/>
      <c r="G432" s="507"/>
      <c r="H432" s="507"/>
      <c r="I432" s="507"/>
      <c r="J432" s="507"/>
      <c r="K432" s="507"/>
      <c r="L432" s="507"/>
      <c r="M432" s="507"/>
      <c r="N432" s="507"/>
    </row>
    <row r="433" spans="2:14" ht="12.75" customHeight="1" x14ac:dyDescent="0.25">
      <c r="B433" s="284"/>
      <c r="C433" s="302"/>
      <c r="D433" s="302"/>
      <c r="E433" s="530" t="str">
        <f>[1]K_Summary!E423</f>
        <v>Тип подинсталация с продуктов показател</v>
      </c>
      <c r="F433" s="531"/>
      <c r="G433" s="531"/>
      <c r="H433" s="527" t="str">
        <f>[1]K_Summary!H423</f>
        <v>Единица мярка</v>
      </c>
      <c r="I433" s="391">
        <f>[1]K_Summary!I423</f>
        <v>2019</v>
      </c>
      <c r="J433" s="391">
        <f>[1]K_Summary!J423</f>
        <v>2020</v>
      </c>
      <c r="K433" s="391">
        <f>[1]K_Summary!K423</f>
        <v>2021</v>
      </c>
      <c r="L433" s="391">
        <f>[1]K_Summary!L423</f>
        <v>2022</v>
      </c>
      <c r="M433" s="391">
        <f>[1]K_Summary!M423</f>
        <v>2023</v>
      </c>
      <c r="N433" s="336"/>
    </row>
    <row r="434" spans="2:14" ht="12.75" customHeight="1" x14ac:dyDescent="0.25">
      <c r="B434" s="284"/>
      <c r="C434" s="302"/>
      <c r="D434" s="360"/>
      <c r="E434" s="523" t="str">
        <f>[1]K_Summary!E424</f>
        <v/>
      </c>
      <c r="F434" s="523"/>
      <c r="G434" s="523"/>
      <c r="H434" s="429" t="str">
        <f>[1]K_Summary!H424</f>
        <v>TJ / година</v>
      </c>
      <c r="I434" s="532" t="str">
        <f>[1]K_Summary!I424</f>
        <v/>
      </c>
      <c r="J434" s="532" t="str">
        <f>[1]K_Summary!J424</f>
        <v/>
      </c>
      <c r="K434" s="532" t="str">
        <f>[1]K_Summary!K424</f>
        <v/>
      </c>
      <c r="L434" s="532" t="str">
        <f>[1]K_Summary!L424</f>
        <v/>
      </c>
      <c r="M434" s="532" t="str">
        <f>[1]K_Summary!M424</f>
        <v/>
      </c>
      <c r="N434" s="336"/>
    </row>
    <row r="435" spans="2:14" ht="12.75" customHeight="1" x14ac:dyDescent="0.25">
      <c r="B435" s="284"/>
      <c r="C435" s="302"/>
      <c r="D435" s="360"/>
      <c r="E435" s="523" t="str">
        <f>[1]K_Summary!E425</f>
        <v/>
      </c>
      <c r="F435" s="523"/>
      <c r="G435" s="523"/>
      <c r="H435" s="441" t="str">
        <f>[1]K_Summary!H425</f>
        <v>TJ / година</v>
      </c>
      <c r="I435" s="533" t="str">
        <f>[1]K_Summary!I425</f>
        <v/>
      </c>
      <c r="J435" s="533" t="str">
        <f>[1]K_Summary!J425</f>
        <v/>
      </c>
      <c r="K435" s="533" t="str">
        <f>[1]K_Summary!K425</f>
        <v/>
      </c>
      <c r="L435" s="533" t="str">
        <f>[1]K_Summary!L425</f>
        <v/>
      </c>
      <c r="M435" s="533" t="str">
        <f>[1]K_Summary!M425</f>
        <v/>
      </c>
      <c r="N435" s="336"/>
    </row>
    <row r="436" spans="2:14" ht="12.75" customHeight="1" x14ac:dyDescent="0.25">
      <c r="B436" s="284"/>
      <c r="C436" s="302"/>
      <c r="D436" s="360"/>
      <c r="E436" s="523" t="str">
        <f>[1]K_Summary!E426</f>
        <v/>
      </c>
      <c r="F436" s="523"/>
      <c r="G436" s="523"/>
      <c r="H436" s="441" t="str">
        <f>[1]K_Summary!H426</f>
        <v>TJ / година</v>
      </c>
      <c r="I436" s="533" t="str">
        <f>[1]K_Summary!I426</f>
        <v/>
      </c>
      <c r="J436" s="533" t="str">
        <f>[1]K_Summary!J426</f>
        <v/>
      </c>
      <c r="K436" s="533" t="str">
        <f>[1]K_Summary!K426</f>
        <v/>
      </c>
      <c r="L436" s="533" t="str">
        <f>[1]K_Summary!L426</f>
        <v/>
      </c>
      <c r="M436" s="533" t="str">
        <f>[1]K_Summary!M426</f>
        <v/>
      </c>
      <c r="N436" s="336"/>
    </row>
    <row r="437" spans="2:14" ht="12.75" customHeight="1" x14ac:dyDescent="0.25">
      <c r="B437" s="284"/>
      <c r="C437" s="302"/>
      <c r="D437" s="360"/>
      <c r="E437" s="523" t="str">
        <f>[1]K_Summary!E427</f>
        <v/>
      </c>
      <c r="F437" s="523"/>
      <c r="G437" s="523"/>
      <c r="H437" s="441" t="str">
        <f>[1]K_Summary!H427</f>
        <v>TJ / година</v>
      </c>
      <c r="I437" s="533" t="str">
        <f>[1]K_Summary!I427</f>
        <v/>
      </c>
      <c r="J437" s="533" t="str">
        <f>[1]K_Summary!J427</f>
        <v/>
      </c>
      <c r="K437" s="533" t="str">
        <f>[1]K_Summary!K427</f>
        <v/>
      </c>
      <c r="L437" s="533" t="str">
        <f>[1]K_Summary!L427</f>
        <v/>
      </c>
      <c r="M437" s="533" t="str">
        <f>[1]K_Summary!M427</f>
        <v/>
      </c>
      <c r="N437" s="336"/>
    </row>
    <row r="438" spans="2:14" ht="12.75" customHeight="1" x14ac:dyDescent="0.25">
      <c r="B438" s="284"/>
      <c r="C438" s="302"/>
      <c r="D438" s="360"/>
      <c r="E438" s="523" t="str">
        <f>[1]K_Summary!E428</f>
        <v/>
      </c>
      <c r="F438" s="523"/>
      <c r="G438" s="523"/>
      <c r="H438" s="441" t="str">
        <f>[1]K_Summary!H428</f>
        <v>TJ / година</v>
      </c>
      <c r="I438" s="533" t="str">
        <f>[1]K_Summary!I428</f>
        <v/>
      </c>
      <c r="J438" s="533" t="str">
        <f>[1]K_Summary!J428</f>
        <v/>
      </c>
      <c r="K438" s="533" t="str">
        <f>[1]K_Summary!K428</f>
        <v/>
      </c>
      <c r="L438" s="533" t="str">
        <f>[1]K_Summary!L428</f>
        <v/>
      </c>
      <c r="M438" s="533" t="str">
        <f>[1]K_Summary!M428</f>
        <v/>
      </c>
      <c r="N438" s="336"/>
    </row>
    <row r="439" spans="2:14" ht="12.75" customHeight="1" x14ac:dyDescent="0.25">
      <c r="B439" s="284"/>
      <c r="C439" s="302"/>
      <c r="D439" s="360"/>
      <c r="E439" s="523" t="str">
        <f>[1]K_Summary!E429</f>
        <v/>
      </c>
      <c r="F439" s="523"/>
      <c r="G439" s="523"/>
      <c r="H439" s="441" t="str">
        <f>[1]K_Summary!H429</f>
        <v>TJ / година</v>
      </c>
      <c r="I439" s="533" t="str">
        <f>[1]K_Summary!I429</f>
        <v/>
      </c>
      <c r="J439" s="533" t="str">
        <f>[1]K_Summary!J429</f>
        <v/>
      </c>
      <c r="K439" s="533" t="str">
        <f>[1]K_Summary!K429</f>
        <v/>
      </c>
      <c r="L439" s="533" t="str">
        <f>[1]K_Summary!L429</f>
        <v/>
      </c>
      <c r="M439" s="533" t="str">
        <f>[1]K_Summary!M429</f>
        <v/>
      </c>
      <c r="N439" s="336"/>
    </row>
    <row r="440" spans="2:14" ht="12.75" customHeight="1" x14ac:dyDescent="0.25">
      <c r="B440" s="284"/>
      <c r="C440" s="302"/>
      <c r="D440" s="360"/>
      <c r="E440" s="523" t="str">
        <f>[1]K_Summary!E430</f>
        <v/>
      </c>
      <c r="F440" s="523"/>
      <c r="G440" s="523"/>
      <c r="H440" s="441" t="str">
        <f>[1]K_Summary!H430</f>
        <v>TJ / година</v>
      </c>
      <c r="I440" s="533" t="str">
        <f>[1]K_Summary!I430</f>
        <v/>
      </c>
      <c r="J440" s="533" t="str">
        <f>[1]K_Summary!J430</f>
        <v/>
      </c>
      <c r="K440" s="533" t="str">
        <f>[1]K_Summary!K430</f>
        <v/>
      </c>
      <c r="L440" s="533" t="str">
        <f>[1]K_Summary!L430</f>
        <v/>
      </c>
      <c r="M440" s="533" t="str">
        <f>[1]K_Summary!M430</f>
        <v/>
      </c>
      <c r="N440" s="336"/>
    </row>
    <row r="441" spans="2:14" ht="12.75" customHeight="1" x14ac:dyDescent="0.25">
      <c r="B441" s="284"/>
      <c r="C441" s="302"/>
      <c r="D441" s="360"/>
      <c r="E441" s="523" t="str">
        <f>[1]K_Summary!E431</f>
        <v/>
      </c>
      <c r="F441" s="523"/>
      <c r="G441" s="523"/>
      <c r="H441" s="441" t="str">
        <f>[1]K_Summary!H431</f>
        <v>TJ / година</v>
      </c>
      <c r="I441" s="533" t="str">
        <f>[1]K_Summary!I431</f>
        <v/>
      </c>
      <c r="J441" s="533" t="str">
        <f>[1]K_Summary!J431</f>
        <v/>
      </c>
      <c r="K441" s="533" t="str">
        <f>[1]K_Summary!K431</f>
        <v/>
      </c>
      <c r="L441" s="533" t="str">
        <f>[1]K_Summary!L431</f>
        <v/>
      </c>
      <c r="M441" s="533" t="str">
        <f>[1]K_Summary!M431</f>
        <v/>
      </c>
      <c r="N441" s="336"/>
    </row>
    <row r="442" spans="2:14" ht="12.75" customHeight="1" x14ac:dyDescent="0.25">
      <c r="B442" s="284"/>
      <c r="C442" s="302"/>
      <c r="D442" s="360"/>
      <c r="E442" s="523" t="str">
        <f>[1]K_Summary!E432</f>
        <v/>
      </c>
      <c r="F442" s="523"/>
      <c r="G442" s="523"/>
      <c r="H442" s="441" t="str">
        <f>[1]K_Summary!H432</f>
        <v>TJ / година</v>
      </c>
      <c r="I442" s="533" t="str">
        <f>[1]K_Summary!I432</f>
        <v/>
      </c>
      <c r="J442" s="533" t="str">
        <f>[1]K_Summary!J432</f>
        <v/>
      </c>
      <c r="K442" s="533" t="str">
        <f>[1]K_Summary!K432</f>
        <v/>
      </c>
      <c r="L442" s="533" t="str">
        <f>[1]K_Summary!L432</f>
        <v/>
      </c>
      <c r="M442" s="533" t="str">
        <f>[1]K_Summary!M432</f>
        <v/>
      </c>
      <c r="N442" s="336"/>
    </row>
    <row r="443" spans="2:14" ht="12.75" customHeight="1" x14ac:dyDescent="0.25">
      <c r="B443" s="284"/>
      <c r="C443" s="302"/>
      <c r="D443" s="360"/>
      <c r="E443" s="525" t="str">
        <f>[1]K_Summary!E433</f>
        <v/>
      </c>
      <c r="F443" s="525"/>
      <c r="G443" s="525"/>
      <c r="H443" s="464" t="str">
        <f>[1]K_Summary!H433</f>
        <v>TJ / година</v>
      </c>
      <c r="I443" s="534" t="str">
        <f>[1]K_Summary!I433</f>
        <v/>
      </c>
      <c r="J443" s="534" t="str">
        <f>[1]K_Summary!J433</f>
        <v/>
      </c>
      <c r="K443" s="534" t="str">
        <f>[1]K_Summary!K433</f>
        <v/>
      </c>
      <c r="L443" s="534" t="str">
        <f>[1]K_Summary!L433</f>
        <v/>
      </c>
      <c r="M443" s="534" t="str">
        <f>[1]K_Summary!M433</f>
        <v/>
      </c>
      <c r="N443" s="336"/>
    </row>
    <row r="444" spans="2:14" ht="12.75" customHeight="1" x14ac:dyDescent="0.25">
      <c r="B444" s="284"/>
      <c r="C444" s="360"/>
      <c r="D444" s="360"/>
      <c r="E444" s="520" t="str">
        <f>[1]K_Summary!E434</f>
        <v>Междинен сбор</v>
      </c>
      <c r="F444" s="520"/>
      <c r="G444" s="520"/>
      <c r="H444" s="402" t="str">
        <f>[1]K_Summary!H434</f>
        <v>TJ / година</v>
      </c>
      <c r="I444" s="422" t="str">
        <f>[1]K_Summary!I434</f>
        <v/>
      </c>
      <c r="J444" s="422" t="str">
        <f>[1]K_Summary!J434</f>
        <v/>
      </c>
      <c r="K444" s="422" t="str">
        <f>[1]K_Summary!K434</f>
        <v/>
      </c>
      <c r="L444" s="422" t="str">
        <f>[1]K_Summary!L434</f>
        <v/>
      </c>
      <c r="M444" s="422" t="str">
        <f>[1]K_Summary!M434</f>
        <v/>
      </c>
      <c r="N444" s="336"/>
    </row>
    <row r="445" spans="2:14" ht="12.75" customHeight="1" x14ac:dyDescent="0.25">
      <c r="B445" s="284"/>
      <c r="C445" s="284"/>
      <c r="D445" s="284"/>
      <c r="E445" s="284"/>
      <c r="F445" s="284"/>
      <c r="G445" s="284"/>
      <c r="H445" s="284"/>
      <c r="I445" s="284"/>
      <c r="J445" s="284"/>
      <c r="K445" s="284"/>
      <c r="L445" s="284"/>
      <c r="M445" s="284"/>
      <c r="N445" s="284"/>
    </row>
    <row r="446" spans="2:14" ht="12.75" customHeight="1" x14ac:dyDescent="0.25">
      <c r="B446" s="284"/>
      <c r="C446" s="300"/>
      <c r="D446" s="300" t="str">
        <f>[1]K_Summary!D436</f>
        <v>(h)</v>
      </c>
      <c r="E446" s="526" t="str">
        <f>[1]K_Summary!E436</f>
        <v>Отпадъчни газове, консумирани в алтернативни подинсталации („fall-back sub-installations“)</v>
      </c>
      <c r="F446" s="507"/>
      <c r="G446" s="507"/>
      <c r="H446" s="507"/>
      <c r="I446" s="507"/>
      <c r="J446" s="507"/>
      <c r="K446" s="507"/>
      <c r="L446" s="507"/>
      <c r="M446" s="507"/>
      <c r="N446" s="507"/>
    </row>
    <row r="447" spans="2:14" ht="12.75" customHeight="1" x14ac:dyDescent="0.25">
      <c r="B447" s="284"/>
      <c r="C447" s="302"/>
      <c r="D447" s="302"/>
      <c r="E447" s="506" t="str">
        <f>[1]K_Summary!E437</f>
        <v>Тип алтернативна подинсталация („fall-back sub-installation“)</v>
      </c>
      <c r="F447" s="507"/>
      <c r="G447" s="507"/>
      <c r="H447" s="300" t="str">
        <f>[1]K_Summary!H437</f>
        <v>Единица мярка</v>
      </c>
      <c r="I447" s="391">
        <f>[1]K_Summary!I437</f>
        <v>2019</v>
      </c>
      <c r="J447" s="391">
        <f>[1]K_Summary!J437</f>
        <v>2020</v>
      </c>
      <c r="K447" s="391">
        <f>[1]K_Summary!K437</f>
        <v>2021</v>
      </c>
      <c r="L447" s="391">
        <f>[1]K_Summary!L437</f>
        <v>2022</v>
      </c>
      <c r="M447" s="572">
        <f>[1]K_Summary!M437</f>
        <v>2023</v>
      </c>
      <c r="N447" s="579"/>
    </row>
    <row r="448" spans="2:14" ht="12.75" customHeight="1" x14ac:dyDescent="0.25">
      <c r="B448" s="284"/>
      <c r="C448" s="302"/>
      <c r="D448" s="360"/>
      <c r="E448" s="392" t="str">
        <f>[1]K_Summary!E438</f>
        <v>Подинсталация с топлинен показател (с риск от ИВЕ | извън МКВЕГ)</v>
      </c>
      <c r="F448" s="392"/>
      <c r="G448" s="392"/>
      <c r="H448" s="429" t="str">
        <f>[1]K_Summary!H438</f>
        <v>TJ / година</v>
      </c>
      <c r="I448" s="532" t="str">
        <f>[1]K_Summary!I438</f>
        <v/>
      </c>
      <c r="J448" s="532" t="str">
        <f>[1]K_Summary!J438</f>
        <v/>
      </c>
      <c r="K448" s="532" t="str">
        <f>[1]K_Summary!K438</f>
        <v/>
      </c>
      <c r="L448" s="532" t="str">
        <f>[1]K_Summary!L438</f>
        <v/>
      </c>
      <c r="M448" s="532" t="str">
        <f>[1]K_Summary!M438</f>
        <v/>
      </c>
      <c r="N448" s="336"/>
    </row>
    <row r="449" spans="2:14" ht="12.75" customHeight="1" x14ac:dyDescent="0.25">
      <c r="B449" s="284"/>
      <c r="C449" s="302"/>
      <c r="D449" s="360"/>
      <c r="E449" s="398" t="str">
        <f>[1]K_Summary!E439</f>
        <v>Подинсталация с топлинен показател (без риск от ИВЕ | извън МКВЕГ)</v>
      </c>
      <c r="F449" s="398"/>
      <c r="G449" s="398"/>
      <c r="H449" s="441" t="str">
        <f>[1]K_Summary!H439</f>
        <v>TJ / година</v>
      </c>
      <c r="I449" s="533" t="str">
        <f>[1]K_Summary!I439</f>
        <v/>
      </c>
      <c r="J449" s="533" t="str">
        <f>[1]K_Summary!J439</f>
        <v/>
      </c>
      <c r="K449" s="533" t="str">
        <f>[1]K_Summary!K439</f>
        <v/>
      </c>
      <c r="L449" s="533" t="str">
        <f>[1]K_Summary!L439</f>
        <v/>
      </c>
      <c r="M449" s="533" t="str">
        <f>[1]K_Summary!M439</f>
        <v/>
      </c>
      <c r="N449" s="336"/>
    </row>
    <row r="450" spans="2:14" ht="12.75" customHeight="1" x14ac:dyDescent="0.25">
      <c r="B450" s="284"/>
      <c r="C450" s="302"/>
      <c r="D450" s="360"/>
      <c r="E450" s="398" t="str">
        <f>[1]K_Summary!E440</f>
        <v>Подинсталация с топлинен показател (с риск от ИВЕ | в рамките на МКВЕГ)</v>
      </c>
      <c r="F450" s="398"/>
      <c r="G450" s="398"/>
      <c r="H450" s="441" t="str">
        <f>[1]K_Summary!H440</f>
        <v>TJ / година</v>
      </c>
      <c r="I450" s="533" t="str">
        <f>[1]K_Summary!I440</f>
        <v/>
      </c>
      <c r="J450" s="533" t="str">
        <f>[1]K_Summary!J440</f>
        <v/>
      </c>
      <c r="K450" s="533" t="str">
        <f>[1]K_Summary!K440</f>
        <v/>
      </c>
      <c r="L450" s="533" t="str">
        <f>[1]K_Summary!L440</f>
        <v/>
      </c>
      <c r="M450" s="533" t="str">
        <f>[1]K_Summary!M440</f>
        <v/>
      </c>
      <c r="N450" s="336"/>
    </row>
    <row r="451" spans="2:14" ht="12.75" customHeight="1" x14ac:dyDescent="0.25">
      <c r="B451" s="284"/>
      <c r="C451" s="302"/>
      <c r="D451" s="360"/>
      <c r="E451" s="398" t="str">
        <f>[1]K_Summary!E441</f>
        <v>Подинсталация на топлофикационна мрежа</v>
      </c>
      <c r="F451" s="398"/>
      <c r="G451" s="398"/>
      <c r="H451" s="441" t="str">
        <f>[1]K_Summary!H441</f>
        <v>TJ / година</v>
      </c>
      <c r="I451" s="533" t="str">
        <f>[1]K_Summary!I441</f>
        <v/>
      </c>
      <c r="J451" s="533" t="str">
        <f>[1]K_Summary!J441</f>
        <v/>
      </c>
      <c r="K451" s="533" t="str">
        <f>[1]K_Summary!K441</f>
        <v/>
      </c>
      <c r="L451" s="533" t="str">
        <f>[1]K_Summary!L441</f>
        <v/>
      </c>
      <c r="M451" s="533" t="str">
        <f>[1]K_Summary!M441</f>
        <v/>
      </c>
      <c r="N451" s="336"/>
    </row>
    <row r="452" spans="2:14" ht="12.75" customHeight="1" x14ac:dyDescent="0.25">
      <c r="B452" s="284"/>
      <c r="C452" s="302"/>
      <c r="D452" s="360"/>
      <c r="E452" s="398" t="str">
        <f>[1]K_Summary!E442</f>
        <v>Подинсталация с горивен показател (с риск от ИВЕ | извън МКВЕГ)</v>
      </c>
      <c r="F452" s="398"/>
      <c r="G452" s="398"/>
      <c r="H452" s="441" t="str">
        <f>[1]K_Summary!H442</f>
        <v>TJ / година</v>
      </c>
      <c r="I452" s="533" t="str">
        <f>[1]K_Summary!I442</f>
        <v/>
      </c>
      <c r="J452" s="533" t="str">
        <f>[1]K_Summary!J442</f>
        <v/>
      </c>
      <c r="K452" s="533" t="str">
        <f>[1]K_Summary!K442</f>
        <v/>
      </c>
      <c r="L452" s="533" t="str">
        <f>[1]K_Summary!L442</f>
        <v/>
      </c>
      <c r="M452" s="533" t="str">
        <f>[1]K_Summary!M442</f>
        <v/>
      </c>
      <c r="N452" s="336"/>
    </row>
    <row r="453" spans="2:14" ht="12.75" customHeight="1" x14ac:dyDescent="0.25">
      <c r="B453" s="284"/>
      <c r="C453" s="302"/>
      <c r="D453" s="360"/>
      <c r="E453" s="398" t="str">
        <f>[1]K_Summary!E443</f>
        <v>Подинсталация с горивен показател (без риск от ИВЕ | извън МКВЕГ)</v>
      </c>
      <c r="F453" s="398"/>
      <c r="G453" s="398"/>
      <c r="H453" s="441" t="str">
        <f>[1]K_Summary!H443</f>
        <v>TJ / година</v>
      </c>
      <c r="I453" s="533" t="str">
        <f>[1]K_Summary!I443</f>
        <v/>
      </c>
      <c r="J453" s="533" t="str">
        <f>[1]K_Summary!J443</f>
        <v/>
      </c>
      <c r="K453" s="533" t="str">
        <f>[1]K_Summary!K443</f>
        <v/>
      </c>
      <c r="L453" s="533" t="str">
        <f>[1]K_Summary!L443</f>
        <v/>
      </c>
      <c r="M453" s="533" t="str">
        <f>[1]K_Summary!M443</f>
        <v/>
      </c>
      <c r="N453" s="336"/>
    </row>
    <row r="454" spans="2:14" ht="12.75" customHeight="1" x14ac:dyDescent="0.25">
      <c r="B454" s="284"/>
      <c r="C454" s="302"/>
      <c r="D454" s="360"/>
      <c r="E454" s="401" t="str">
        <f>[1]K_Summary!E444</f>
        <v>Подинсталация с горивен показател (с риск от ИВЕ | в рамките на МКВЕГ)</v>
      </c>
      <c r="F454" s="401"/>
      <c r="G454" s="401"/>
      <c r="H454" s="464" t="str">
        <f>[1]K_Summary!H444</f>
        <v>TJ / година</v>
      </c>
      <c r="I454" s="534" t="str">
        <f>[1]K_Summary!I444</f>
        <v/>
      </c>
      <c r="J454" s="534" t="str">
        <f>[1]K_Summary!J444</f>
        <v/>
      </c>
      <c r="K454" s="534" t="str">
        <f>[1]K_Summary!K444</f>
        <v/>
      </c>
      <c r="L454" s="534" t="str">
        <f>[1]K_Summary!L444</f>
        <v/>
      </c>
      <c r="M454" s="534" t="str">
        <f>[1]K_Summary!M444</f>
        <v/>
      </c>
      <c r="N454" s="336"/>
    </row>
    <row r="455" spans="2:14" ht="12.75" customHeight="1" x14ac:dyDescent="0.25">
      <c r="B455" s="284"/>
      <c r="C455" s="302"/>
      <c r="D455" s="360"/>
      <c r="E455" s="520" t="str">
        <f>[1]K_Summary!E445</f>
        <v>Междинен сбор</v>
      </c>
      <c r="F455" s="520"/>
      <c r="G455" s="520"/>
      <c r="H455" s="521" t="str">
        <f>[1]K_Summary!H445</f>
        <v>TJ / година</v>
      </c>
      <c r="I455" s="477" t="str">
        <f>[1]K_Summary!I445</f>
        <v/>
      </c>
      <c r="J455" s="477" t="str">
        <f>[1]K_Summary!J445</f>
        <v/>
      </c>
      <c r="K455" s="477" t="str">
        <f>[1]K_Summary!K445</f>
        <v/>
      </c>
      <c r="L455" s="477" t="str">
        <f>[1]K_Summary!L445</f>
        <v/>
      </c>
      <c r="M455" s="477" t="str">
        <f>[1]K_Summary!M445</f>
        <v/>
      </c>
      <c r="N455" s="336"/>
    </row>
    <row r="456" spans="2:14" ht="12.75" customHeight="1" x14ac:dyDescent="0.25">
      <c r="B456" s="284"/>
      <c r="C456" s="302"/>
      <c r="D456" s="302"/>
      <c r="E456" s="302"/>
      <c r="F456" s="302"/>
      <c r="G456" s="302"/>
      <c r="H456" s="302"/>
      <c r="I456" s="302"/>
      <c r="J456" s="302"/>
      <c r="K456" s="302"/>
      <c r="L456" s="302"/>
      <c r="M456" s="302"/>
      <c r="N456" s="302"/>
    </row>
    <row r="457" spans="2:14" ht="12.75" customHeight="1" x14ac:dyDescent="0.25">
      <c r="B457" s="284"/>
      <c r="C457" s="300"/>
      <c r="D457" s="300" t="str">
        <f>[1]K_Summary!D447</f>
        <v>(i)</v>
      </c>
      <c r="E457" s="526" t="str">
        <f>[1]K_Summary!E447</f>
        <v>Количество отпадъчни газове, консумирано за производство на електроенергия</v>
      </c>
      <c r="F457" s="507"/>
      <c r="G457" s="507"/>
      <c r="H457" s="507"/>
      <c r="I457" s="507"/>
      <c r="J457" s="507"/>
      <c r="K457" s="507"/>
      <c r="L457" s="507"/>
      <c r="M457" s="507"/>
      <c r="N457" s="507"/>
    </row>
    <row r="458" spans="2:14" ht="12.75" customHeight="1" x14ac:dyDescent="0.25">
      <c r="B458" s="284"/>
      <c r="C458" s="302"/>
      <c r="D458" s="302"/>
      <c r="E458" s="528" t="str">
        <f>[1]K_Summary!E448</f>
        <v>Отпадъчни газове за електроенергия</v>
      </c>
      <c r="F458" s="547"/>
      <c r="G458" s="547"/>
      <c r="H458" s="535" t="str">
        <f>[1]K_Summary!H448</f>
        <v>TJ / година</v>
      </c>
      <c r="I458" s="422" t="str">
        <f>[1]K_Summary!I448</f>
        <v/>
      </c>
      <c r="J458" s="422" t="str">
        <f>[1]K_Summary!J448</f>
        <v/>
      </c>
      <c r="K458" s="422" t="str">
        <f>[1]K_Summary!K448</f>
        <v/>
      </c>
      <c r="L458" s="422" t="str">
        <f>[1]K_Summary!L448</f>
        <v/>
      </c>
      <c r="M458" s="422" t="str">
        <f>[1]K_Summary!M448</f>
        <v/>
      </c>
      <c r="N458" s="336"/>
    </row>
    <row r="459" spans="2:14" ht="12.75" customHeight="1" x14ac:dyDescent="0.25">
      <c r="B459" s="284"/>
      <c r="C459" s="284"/>
      <c r="D459" s="284"/>
      <c r="E459" s="284"/>
      <c r="F459" s="284"/>
      <c r="G459" s="284"/>
      <c r="H459" s="284"/>
      <c r="I459" s="284"/>
      <c r="J459" s="284"/>
      <c r="K459" s="284"/>
      <c r="L459" s="284"/>
      <c r="M459" s="284"/>
      <c r="N459" s="284"/>
    </row>
    <row r="460" spans="2:14" ht="12.75" customHeight="1" x14ac:dyDescent="0.25">
      <c r="B460" s="284"/>
      <c r="C460" s="300"/>
      <c r="D460" s="300" t="str">
        <f>[1]K_Summary!D450</f>
        <v>(j)</v>
      </c>
      <c r="E460" s="526" t="str">
        <f>[1]K_Summary!E450</f>
        <v>Количество отпадъчни газове резултат от изгаряне във факел, различни от необходимото за безопасността изгаряне във факел</v>
      </c>
      <c r="F460" s="507"/>
      <c r="G460" s="507"/>
      <c r="H460" s="507"/>
      <c r="I460" s="507"/>
      <c r="J460" s="507"/>
      <c r="K460" s="507"/>
      <c r="L460" s="507"/>
      <c r="M460" s="507"/>
      <c r="N460" s="507"/>
    </row>
    <row r="461" spans="2:14" ht="12.75" customHeight="1" x14ac:dyDescent="0.25">
      <c r="B461" s="284"/>
      <c r="C461" s="302"/>
      <c r="D461" s="302"/>
      <c r="E461" s="530" t="str">
        <f>[1]K_Summary!E451</f>
        <v>Подинсталация</v>
      </c>
      <c r="F461" s="531"/>
      <c r="G461" s="531"/>
      <c r="H461" s="527" t="str">
        <f>[1]K_Summary!H451</f>
        <v>Единица мярка</v>
      </c>
      <c r="I461" s="387">
        <f>[1]K_Summary!I451</f>
        <v>2019</v>
      </c>
      <c r="J461" s="387">
        <f>[1]K_Summary!J451</f>
        <v>2020</v>
      </c>
      <c r="K461" s="387">
        <f>[1]K_Summary!K451</f>
        <v>2021</v>
      </c>
      <c r="L461" s="387">
        <f>[1]K_Summary!L451</f>
        <v>2022</v>
      </c>
      <c r="M461" s="387">
        <f>[1]K_Summary!M451</f>
        <v>2023</v>
      </c>
      <c r="N461" s="579"/>
    </row>
    <row r="462" spans="2:14" ht="12.75" customHeight="1" x14ac:dyDescent="0.25">
      <c r="B462" s="284"/>
      <c r="C462" s="302"/>
      <c r="D462" s="360"/>
      <c r="E462" s="522" t="str">
        <f>[1]K_Summary!E452</f>
        <v/>
      </c>
      <c r="F462" s="522"/>
      <c r="G462" s="522"/>
      <c r="H462" s="429" t="str">
        <f>[1]K_Summary!H452</f>
        <v>TJ / година</v>
      </c>
      <c r="I462" s="532" t="str">
        <f>[1]K_Summary!I452</f>
        <v/>
      </c>
      <c r="J462" s="532" t="str">
        <f>[1]K_Summary!J452</f>
        <v/>
      </c>
      <c r="K462" s="532" t="str">
        <f>[1]K_Summary!K452</f>
        <v/>
      </c>
      <c r="L462" s="532" t="str">
        <f>[1]K_Summary!L452</f>
        <v/>
      </c>
      <c r="M462" s="532" t="str">
        <f>[1]K_Summary!M452</f>
        <v/>
      </c>
      <c r="N462" s="336"/>
    </row>
    <row r="463" spans="2:14" ht="12.75" customHeight="1" x14ac:dyDescent="0.25">
      <c r="B463" s="284"/>
      <c r="C463" s="302"/>
      <c r="D463" s="360"/>
      <c r="E463" s="523" t="str">
        <f>[1]K_Summary!E453</f>
        <v/>
      </c>
      <c r="F463" s="523"/>
      <c r="G463" s="523"/>
      <c r="H463" s="441" t="str">
        <f>[1]K_Summary!H453</f>
        <v>TJ / година</v>
      </c>
      <c r="I463" s="533" t="str">
        <f>[1]K_Summary!I453</f>
        <v/>
      </c>
      <c r="J463" s="533" t="str">
        <f>[1]K_Summary!J453</f>
        <v/>
      </c>
      <c r="K463" s="533" t="str">
        <f>[1]K_Summary!K453</f>
        <v/>
      </c>
      <c r="L463" s="533" t="str">
        <f>[1]K_Summary!L453</f>
        <v/>
      </c>
      <c r="M463" s="533" t="str">
        <f>[1]K_Summary!M453</f>
        <v/>
      </c>
      <c r="N463" s="336"/>
    </row>
    <row r="464" spans="2:14" ht="12.75" customHeight="1" x14ac:dyDescent="0.25">
      <c r="B464" s="284"/>
      <c r="C464" s="302"/>
      <c r="D464" s="360"/>
      <c r="E464" s="523" t="str">
        <f>[1]K_Summary!E454</f>
        <v/>
      </c>
      <c r="F464" s="523"/>
      <c r="G464" s="523"/>
      <c r="H464" s="441" t="str">
        <f>[1]K_Summary!H454</f>
        <v>TJ / година</v>
      </c>
      <c r="I464" s="533" t="str">
        <f>[1]K_Summary!I454</f>
        <v/>
      </c>
      <c r="J464" s="533" t="str">
        <f>[1]K_Summary!J454</f>
        <v/>
      </c>
      <c r="K464" s="533" t="str">
        <f>[1]K_Summary!K454</f>
        <v/>
      </c>
      <c r="L464" s="533" t="str">
        <f>[1]K_Summary!L454</f>
        <v/>
      </c>
      <c r="M464" s="533" t="str">
        <f>[1]K_Summary!M454</f>
        <v/>
      </c>
      <c r="N464" s="336"/>
    </row>
    <row r="465" spans="2:14" ht="12.75" customHeight="1" x14ac:dyDescent="0.25">
      <c r="B465" s="284"/>
      <c r="C465" s="302"/>
      <c r="D465" s="360"/>
      <c r="E465" s="523" t="str">
        <f>[1]K_Summary!E455</f>
        <v/>
      </c>
      <c r="F465" s="523"/>
      <c r="G465" s="523"/>
      <c r="H465" s="441" t="str">
        <f>[1]K_Summary!H455</f>
        <v>TJ / година</v>
      </c>
      <c r="I465" s="533" t="str">
        <f>[1]K_Summary!I455</f>
        <v/>
      </c>
      <c r="J465" s="533" t="str">
        <f>[1]K_Summary!J455</f>
        <v/>
      </c>
      <c r="K465" s="533" t="str">
        <f>[1]K_Summary!K455</f>
        <v/>
      </c>
      <c r="L465" s="533" t="str">
        <f>[1]K_Summary!L455</f>
        <v/>
      </c>
      <c r="M465" s="533" t="str">
        <f>[1]K_Summary!M455</f>
        <v/>
      </c>
      <c r="N465" s="336"/>
    </row>
    <row r="466" spans="2:14" ht="12.75" customHeight="1" x14ac:dyDescent="0.25">
      <c r="B466" s="284"/>
      <c r="C466" s="302"/>
      <c r="D466" s="360"/>
      <c r="E466" s="523" t="str">
        <f>[1]K_Summary!E456</f>
        <v/>
      </c>
      <c r="F466" s="523"/>
      <c r="G466" s="523"/>
      <c r="H466" s="441" t="str">
        <f>[1]K_Summary!H456</f>
        <v>TJ / година</v>
      </c>
      <c r="I466" s="533" t="str">
        <f>[1]K_Summary!I456</f>
        <v/>
      </c>
      <c r="J466" s="533" t="str">
        <f>[1]K_Summary!J456</f>
        <v/>
      </c>
      <c r="K466" s="533" t="str">
        <f>[1]K_Summary!K456</f>
        <v/>
      </c>
      <c r="L466" s="533" t="str">
        <f>[1]K_Summary!L456</f>
        <v/>
      </c>
      <c r="M466" s="533" t="str">
        <f>[1]K_Summary!M456</f>
        <v/>
      </c>
      <c r="N466" s="336"/>
    </row>
    <row r="467" spans="2:14" ht="12.75" customHeight="1" x14ac:dyDescent="0.25">
      <c r="B467" s="284"/>
      <c r="C467" s="302"/>
      <c r="D467" s="360"/>
      <c r="E467" s="523" t="str">
        <f>[1]K_Summary!E457</f>
        <v/>
      </c>
      <c r="F467" s="523"/>
      <c r="G467" s="523"/>
      <c r="H467" s="441" t="str">
        <f>[1]K_Summary!H457</f>
        <v>TJ / година</v>
      </c>
      <c r="I467" s="533" t="str">
        <f>[1]K_Summary!I457</f>
        <v/>
      </c>
      <c r="J467" s="533" t="str">
        <f>[1]K_Summary!J457</f>
        <v/>
      </c>
      <c r="K467" s="533" t="str">
        <f>[1]K_Summary!K457</f>
        <v/>
      </c>
      <c r="L467" s="533" t="str">
        <f>[1]K_Summary!L457</f>
        <v/>
      </c>
      <c r="M467" s="533" t="str">
        <f>[1]K_Summary!M457</f>
        <v/>
      </c>
      <c r="N467" s="336"/>
    </row>
    <row r="468" spans="2:14" ht="12.75" customHeight="1" x14ac:dyDescent="0.25">
      <c r="B468" s="284"/>
      <c r="C468" s="302"/>
      <c r="D468" s="360"/>
      <c r="E468" s="523" t="str">
        <f>[1]K_Summary!E458</f>
        <v/>
      </c>
      <c r="F468" s="523"/>
      <c r="G468" s="523"/>
      <c r="H468" s="441" t="str">
        <f>[1]K_Summary!H458</f>
        <v>TJ / година</v>
      </c>
      <c r="I468" s="533" t="str">
        <f>[1]K_Summary!I458</f>
        <v/>
      </c>
      <c r="J468" s="533" t="str">
        <f>[1]K_Summary!J458</f>
        <v/>
      </c>
      <c r="K468" s="533" t="str">
        <f>[1]K_Summary!K458</f>
        <v/>
      </c>
      <c r="L468" s="533" t="str">
        <f>[1]K_Summary!L458</f>
        <v/>
      </c>
      <c r="M468" s="533" t="str">
        <f>[1]K_Summary!M458</f>
        <v/>
      </c>
      <c r="N468" s="336"/>
    </row>
    <row r="469" spans="2:14" ht="12.75" customHeight="1" x14ac:dyDescent="0.25">
      <c r="B469" s="284"/>
      <c r="C469" s="302"/>
      <c r="D469" s="360"/>
      <c r="E469" s="523" t="str">
        <f>[1]K_Summary!E459</f>
        <v/>
      </c>
      <c r="F469" s="523"/>
      <c r="G469" s="523"/>
      <c r="H469" s="441" t="str">
        <f>[1]K_Summary!H459</f>
        <v>TJ / година</v>
      </c>
      <c r="I469" s="533" t="str">
        <f>[1]K_Summary!I459</f>
        <v/>
      </c>
      <c r="J469" s="533" t="str">
        <f>[1]K_Summary!J459</f>
        <v/>
      </c>
      <c r="K469" s="533" t="str">
        <f>[1]K_Summary!K459</f>
        <v/>
      </c>
      <c r="L469" s="533" t="str">
        <f>[1]K_Summary!L459</f>
        <v/>
      </c>
      <c r="M469" s="533" t="str">
        <f>[1]K_Summary!M459</f>
        <v/>
      </c>
      <c r="N469" s="336"/>
    </row>
    <row r="470" spans="2:14" ht="12.75" customHeight="1" x14ac:dyDescent="0.25">
      <c r="B470" s="284"/>
      <c r="C470" s="302"/>
      <c r="D470" s="360"/>
      <c r="E470" s="523" t="str">
        <f>[1]K_Summary!E460</f>
        <v/>
      </c>
      <c r="F470" s="523"/>
      <c r="G470" s="523"/>
      <c r="H470" s="441" t="str">
        <f>[1]K_Summary!H460</f>
        <v>TJ / година</v>
      </c>
      <c r="I470" s="533" t="str">
        <f>[1]K_Summary!I460</f>
        <v/>
      </c>
      <c r="J470" s="533" t="str">
        <f>[1]K_Summary!J460</f>
        <v/>
      </c>
      <c r="K470" s="533" t="str">
        <f>[1]K_Summary!K460</f>
        <v/>
      </c>
      <c r="L470" s="533" t="str">
        <f>[1]K_Summary!L460</f>
        <v/>
      </c>
      <c r="M470" s="533" t="str">
        <f>[1]K_Summary!M460</f>
        <v/>
      </c>
      <c r="N470" s="336"/>
    </row>
    <row r="471" spans="2:14" ht="12.75" customHeight="1" x14ac:dyDescent="0.25">
      <c r="B471" s="284"/>
      <c r="C471" s="302"/>
      <c r="D471" s="360"/>
      <c r="E471" s="525" t="str">
        <f>[1]K_Summary!E461</f>
        <v/>
      </c>
      <c r="F471" s="525"/>
      <c r="G471" s="525"/>
      <c r="H471" s="464" t="str">
        <f>[1]K_Summary!H461</f>
        <v>TJ / година</v>
      </c>
      <c r="I471" s="534" t="str">
        <f>[1]K_Summary!I461</f>
        <v/>
      </c>
      <c r="J471" s="534" t="str">
        <f>[1]K_Summary!J461</f>
        <v/>
      </c>
      <c r="K471" s="534" t="str">
        <f>[1]K_Summary!K461</f>
        <v/>
      </c>
      <c r="L471" s="534" t="str">
        <f>[1]K_Summary!L461</f>
        <v/>
      </c>
      <c r="M471" s="534" t="str">
        <f>[1]K_Summary!M461</f>
        <v/>
      </c>
      <c r="N471" s="336"/>
    </row>
    <row r="472" spans="2:14" ht="12.75" customHeight="1" x14ac:dyDescent="0.25">
      <c r="B472" s="284"/>
      <c r="C472" s="302"/>
      <c r="D472" s="360"/>
      <c r="E472" s="520" t="str">
        <f>[1]K_Summary!E462</f>
        <v>произведени извън подинсталации с продуктов показател</v>
      </c>
      <c r="F472" s="531"/>
      <c r="G472" s="531"/>
      <c r="H472" s="404" t="str">
        <f>[1]K_Summary!H462</f>
        <v>TJ / година</v>
      </c>
      <c r="I472" s="580" t="str">
        <f>[1]K_Summary!I462</f>
        <v/>
      </c>
      <c r="J472" s="580" t="str">
        <f>[1]K_Summary!J462</f>
        <v/>
      </c>
      <c r="K472" s="580" t="str">
        <f>[1]K_Summary!K462</f>
        <v/>
      </c>
      <c r="L472" s="580" t="str">
        <f>[1]K_Summary!L462</f>
        <v/>
      </c>
      <c r="M472" s="580" t="str">
        <f>[1]K_Summary!M462</f>
        <v/>
      </c>
      <c r="N472" s="336"/>
    </row>
    <row r="473" spans="2:14" ht="12.75" customHeight="1" x14ac:dyDescent="0.25">
      <c r="B473" s="284"/>
      <c r="C473" s="302"/>
      <c r="D473" s="360"/>
      <c r="E473" s="520" t="str">
        <f>[1]K_Summary!E463</f>
        <v>Междинен сбор</v>
      </c>
      <c r="F473" s="520"/>
      <c r="G473" s="520"/>
      <c r="H473" s="535" t="str">
        <f>[1]K_Summary!H463</f>
        <v>TJ / година</v>
      </c>
      <c r="I473" s="423" t="str">
        <f>[1]K_Summary!I463</f>
        <v/>
      </c>
      <c r="J473" s="423" t="str">
        <f>[1]K_Summary!J463</f>
        <v/>
      </c>
      <c r="K473" s="423" t="str">
        <f>[1]K_Summary!K463</f>
        <v/>
      </c>
      <c r="L473" s="423" t="str">
        <f>[1]K_Summary!L463</f>
        <v/>
      </c>
      <c r="M473" s="423" t="str">
        <f>[1]K_Summary!M463</f>
        <v/>
      </c>
      <c r="N473" s="336"/>
    </row>
    <row r="474" spans="2:14" ht="12.75" customHeight="1" x14ac:dyDescent="0.25">
      <c r="B474" s="284"/>
      <c r="C474" s="284"/>
      <c r="D474" s="284"/>
      <c r="E474" s="284"/>
      <c r="F474" s="284"/>
      <c r="G474" s="284"/>
      <c r="H474" s="284"/>
      <c r="I474" s="284"/>
      <c r="J474" s="284"/>
      <c r="K474" s="284"/>
      <c r="L474" s="284"/>
      <c r="M474" s="284"/>
      <c r="N474" s="284"/>
    </row>
    <row r="475" spans="2:14" ht="12.75" customHeight="1" x14ac:dyDescent="0.25">
      <c r="B475" s="284"/>
      <c r="C475" s="300"/>
      <c r="D475" s="300" t="str">
        <f>[1]K_Summary!D465</f>
        <v>(k)</v>
      </c>
      <c r="E475" s="526" t="str">
        <f>[1]K_Summary!E465</f>
        <v>Количество отпадни газове, потребено за производството на измерима топлинна енергия И подадено към други инсталации в обхвата на СТЕ на ЕС</v>
      </c>
      <c r="F475" s="507"/>
      <c r="G475" s="507"/>
      <c r="H475" s="507"/>
      <c r="I475" s="507"/>
      <c r="J475" s="507"/>
      <c r="K475" s="507"/>
      <c r="L475" s="507"/>
      <c r="M475" s="507"/>
      <c r="N475" s="507"/>
    </row>
    <row r="476" spans="2:14" ht="12.75" customHeight="1" x14ac:dyDescent="0.25">
      <c r="B476" s="284"/>
      <c r="C476" s="302"/>
      <c r="D476" s="302"/>
      <c r="E476" s="528" t="str">
        <f>[1]K_Summary!E466</f>
        <v>Отпадни газове за топлинна енергия към други инсталации в обхвата на СТЕ на ЕС</v>
      </c>
      <c r="F476" s="547"/>
      <c r="G476" s="547"/>
      <c r="H476" s="535" t="str">
        <f>[1]K_Summary!H466</f>
        <v>TJ / година</v>
      </c>
      <c r="I476" s="422" t="str">
        <f>[1]K_Summary!I466</f>
        <v/>
      </c>
      <c r="J476" s="422" t="str">
        <f>[1]K_Summary!J466</f>
        <v/>
      </c>
      <c r="K476" s="422" t="str">
        <f>[1]K_Summary!K466</f>
        <v/>
      </c>
      <c r="L476" s="422" t="str">
        <f>[1]K_Summary!L466</f>
        <v/>
      </c>
      <c r="M476" s="422" t="str">
        <f>[1]K_Summary!M466</f>
        <v/>
      </c>
      <c r="N476" s="336"/>
    </row>
    <row r="477" spans="2:14" ht="12.75" customHeight="1" x14ac:dyDescent="0.25">
      <c r="B477" s="284"/>
      <c r="C477" s="284"/>
      <c r="D477" s="284"/>
      <c r="E477" s="284"/>
      <c r="F477" s="284"/>
      <c r="G477" s="284"/>
      <c r="H477" s="284"/>
      <c r="I477" s="284"/>
      <c r="J477" s="284"/>
      <c r="K477" s="284"/>
      <c r="L477" s="284"/>
      <c r="M477" s="284"/>
      <c r="N477" s="284"/>
    </row>
    <row r="478" spans="2:14" ht="12.75" customHeight="1" x14ac:dyDescent="0.25">
      <c r="B478" s="284"/>
      <c r="C478" s="300"/>
      <c r="D478" s="300" t="str">
        <f>[1]K_Summary!D468</f>
        <v>(l)</v>
      </c>
      <c r="E478" s="526" t="str">
        <f>[1]K_Summary!E468</f>
        <v>Проверка на правдоподобността на данните</v>
      </c>
      <c r="F478" s="507"/>
      <c r="G478" s="507"/>
      <c r="H478" s="507"/>
      <c r="I478" s="507"/>
      <c r="J478" s="507"/>
      <c r="K478" s="507"/>
      <c r="L478" s="507"/>
      <c r="M478" s="507"/>
      <c r="N478" s="507"/>
    </row>
    <row r="479" spans="2:14" ht="12.75" customHeight="1" x14ac:dyDescent="0.25">
      <c r="B479" s="284"/>
      <c r="C479" s="302"/>
      <c r="D479" s="360"/>
      <c r="E479" s="528" t="str">
        <f>[1]K_Summary!E469</f>
        <v>Разлика (изчислена)</v>
      </c>
      <c r="F479" s="547"/>
      <c r="G479" s="547"/>
      <c r="H479" s="535" t="str">
        <f>[1]K_Summary!H469</f>
        <v>TJ / година</v>
      </c>
      <c r="I479" s="423" t="str">
        <f>[1]K_Summary!I469</f>
        <v/>
      </c>
      <c r="J479" s="423" t="str">
        <f>[1]K_Summary!J469</f>
        <v/>
      </c>
      <c r="K479" s="423" t="str">
        <f>[1]K_Summary!K469</f>
        <v/>
      </c>
      <c r="L479" s="423" t="str">
        <f>[1]K_Summary!L469</f>
        <v/>
      </c>
      <c r="M479" s="423" t="str">
        <f>[1]K_Summary!M469</f>
        <v/>
      </c>
      <c r="N479" s="336"/>
    </row>
    <row r="480" spans="2:14" ht="12.75" customHeight="1" x14ac:dyDescent="0.25">
      <c r="B480" s="284"/>
      <c r="C480" s="302"/>
      <c r="D480" s="360"/>
      <c r="E480" s="528" t="str">
        <f>[1]K_Summary!E470</f>
        <v>Разлика (като дял от f)</v>
      </c>
      <c r="F480" s="547"/>
      <c r="G480" s="547"/>
      <c r="H480" s="535" t="str">
        <f>[1]K_Summary!H470</f>
        <v>%</v>
      </c>
      <c r="I480" s="477" t="str">
        <f>[1]K_Summary!I470</f>
        <v/>
      </c>
      <c r="J480" s="477" t="str">
        <f>[1]K_Summary!J470</f>
        <v/>
      </c>
      <c r="K480" s="477" t="str">
        <f>[1]K_Summary!K470</f>
        <v/>
      </c>
      <c r="L480" s="477" t="str">
        <f>[1]K_Summary!L470</f>
        <v/>
      </c>
      <c r="M480" s="477" t="str">
        <f>[1]K_Summary!M470</f>
        <v/>
      </c>
      <c r="N480" s="336"/>
    </row>
    <row r="481" spans="2:14" ht="12.75" customHeight="1" x14ac:dyDescent="0.25">
      <c r="B481" s="284"/>
      <c r="C481" s="302"/>
      <c r="D481" s="302"/>
      <c r="E481" s="302"/>
      <c r="F481" s="302"/>
      <c r="G481" s="302"/>
      <c r="H481" s="302"/>
      <c r="I481" s="302"/>
      <c r="J481" s="302"/>
      <c r="K481" s="302"/>
      <c r="L481" s="302"/>
      <c r="M481" s="302"/>
      <c r="N481" s="302"/>
    </row>
    <row r="482" spans="2:14" ht="12.75" customHeight="1" x14ac:dyDescent="0.3">
      <c r="B482" s="284"/>
      <c r="C482" s="357">
        <f>[1]K_Summary!C472</f>
        <v>8</v>
      </c>
      <c r="D482" s="555" t="str">
        <f>[1]K_Summary!D472</f>
        <v>Пълен баланс на електроенергията в инсталацията</v>
      </c>
      <c r="E482" s="507"/>
      <c r="F482" s="507"/>
      <c r="G482" s="507"/>
      <c r="H482" s="507"/>
      <c r="I482" s="507"/>
      <c r="J482" s="507"/>
      <c r="K482" s="507"/>
      <c r="L482" s="507"/>
      <c r="M482" s="507"/>
      <c r="N482" s="507"/>
    </row>
    <row r="483" spans="2:14" ht="12.75" customHeight="1" x14ac:dyDescent="0.25">
      <c r="B483" s="284"/>
      <c r="C483" s="284"/>
      <c r="D483" s="284"/>
      <c r="E483" s="284"/>
      <c r="F483" s="284"/>
      <c r="G483" s="284"/>
      <c r="H483" s="284"/>
      <c r="I483" s="284"/>
      <c r="J483" s="284"/>
      <c r="K483" s="284"/>
      <c r="L483" s="284"/>
      <c r="M483" s="284"/>
      <c r="N483" s="284"/>
    </row>
    <row r="484" spans="2:14" ht="12.75" customHeight="1" x14ac:dyDescent="0.25">
      <c r="B484" s="284"/>
      <c r="C484" s="302"/>
      <c r="D484" s="300"/>
      <c r="E484" s="313" t="str">
        <f>[1]K_Summary!E474</f>
        <v>В инсталацията произвежда ли се електроенергия?</v>
      </c>
      <c r="F484" s="313"/>
      <c r="G484" s="313"/>
      <c r="H484" s="313"/>
      <c r="I484" s="313"/>
      <c r="J484" s="313"/>
      <c r="K484" s="386"/>
      <c r="L484" s="365" t="str">
        <f>[1]K_Summary!L474</f>
        <v/>
      </c>
      <c r="M484" s="382"/>
      <c r="N484" s="364"/>
    </row>
    <row r="485" spans="2:14" ht="12.75" customHeight="1" x14ac:dyDescent="0.25">
      <c r="B485" s="284"/>
      <c r="C485" s="284"/>
      <c r="D485" s="300"/>
      <c r="E485" s="526"/>
      <c r="F485" s="507"/>
      <c r="G485" s="507"/>
      <c r="H485" s="507"/>
      <c r="I485" s="507"/>
      <c r="J485" s="507"/>
      <c r="K485" s="507"/>
      <c r="L485" s="507"/>
      <c r="M485" s="507"/>
      <c r="N485" s="507"/>
    </row>
    <row r="486" spans="2:14" ht="12.75" customHeight="1" x14ac:dyDescent="0.25">
      <c r="B486" s="284"/>
      <c r="C486" s="302"/>
      <c r="D486" s="302"/>
      <c r="E486" s="461"/>
      <c r="F486" s="498"/>
      <c r="G486" s="498"/>
      <c r="H486" s="527" t="str">
        <f>[1]K_Summary!H476</f>
        <v>Единица мярка</v>
      </c>
      <c r="I486" s="391">
        <f>[1]K_Summary!I476</f>
        <v>2019</v>
      </c>
      <c r="J486" s="391">
        <f>[1]K_Summary!J476</f>
        <v>2020</v>
      </c>
      <c r="K486" s="391">
        <f>[1]K_Summary!K476</f>
        <v>2021</v>
      </c>
      <c r="L486" s="391">
        <f>[1]K_Summary!L476</f>
        <v>2022</v>
      </c>
      <c r="M486" s="391">
        <f>[1]K_Summary!M476</f>
        <v>2023</v>
      </c>
      <c r="N486" s="302"/>
    </row>
    <row r="487" spans="2:14" ht="12.75" customHeight="1" x14ac:dyDescent="0.25">
      <c r="B487" s="284"/>
      <c r="C487" s="302"/>
      <c r="D487" s="360"/>
      <c r="E487" s="528" t="str">
        <f>[1]K_Summary!E477</f>
        <v>Нетна електроенергия, произведена от горива</v>
      </c>
      <c r="F487" s="528"/>
      <c r="G487" s="528"/>
      <c r="H487" s="421" t="str">
        <f>[1]K_Summary!H477</f>
        <v>MWh / година</v>
      </c>
      <c r="I487" s="422" t="str">
        <f>[1]K_Summary!I477</f>
        <v/>
      </c>
      <c r="J487" s="422" t="str">
        <f>[1]K_Summary!J477</f>
        <v/>
      </c>
      <c r="K487" s="422" t="str">
        <f>[1]K_Summary!K477</f>
        <v/>
      </c>
      <c r="L487" s="422" t="str">
        <f>[1]K_Summary!L477</f>
        <v/>
      </c>
      <c r="M487" s="422" t="str">
        <f>[1]K_Summary!M477</f>
        <v/>
      </c>
      <c r="N487" s="302"/>
    </row>
    <row r="488" spans="2:14" ht="12.75" customHeight="1" x14ac:dyDescent="0.25">
      <c r="B488" s="284"/>
      <c r="C488" s="302"/>
      <c r="D488" s="360"/>
      <c r="E488" s="528" t="str">
        <f>[1]K_Summary!E478</f>
        <v>Друга произведена електроенергия</v>
      </c>
      <c r="F488" s="528"/>
      <c r="G488" s="528"/>
      <c r="H488" s="421" t="str">
        <f>[1]K_Summary!H478</f>
        <v>MWh / година</v>
      </c>
      <c r="I488" s="422" t="str">
        <f>[1]K_Summary!I478</f>
        <v/>
      </c>
      <c r="J488" s="422" t="str">
        <f>[1]K_Summary!J478</f>
        <v/>
      </c>
      <c r="K488" s="422" t="str">
        <f>[1]K_Summary!K478</f>
        <v/>
      </c>
      <c r="L488" s="422" t="str">
        <f>[1]K_Summary!L478</f>
        <v/>
      </c>
      <c r="M488" s="422" t="str">
        <f>[1]K_Summary!M478</f>
        <v/>
      </c>
      <c r="N488" s="302"/>
    </row>
    <row r="489" spans="2:14" ht="12.75" customHeight="1" x14ac:dyDescent="0.25">
      <c r="B489" s="284"/>
      <c r="C489" s="302"/>
      <c r="D489" s="302"/>
      <c r="E489" s="528" t="str">
        <f>[1]K_Summary!E479</f>
        <v>Получена електроенергия</v>
      </c>
      <c r="F489" s="528"/>
      <c r="G489" s="528"/>
      <c r="H489" s="421" t="str">
        <f>[1]K_Summary!H479</f>
        <v>MWh / година</v>
      </c>
      <c r="I489" s="422" t="str">
        <f>[1]K_Summary!I479</f>
        <v/>
      </c>
      <c r="J489" s="422" t="str">
        <f>[1]K_Summary!J479</f>
        <v/>
      </c>
      <c r="K489" s="422" t="str">
        <f>[1]K_Summary!K479</f>
        <v/>
      </c>
      <c r="L489" s="422" t="str">
        <f>[1]K_Summary!L479</f>
        <v/>
      </c>
      <c r="M489" s="422" t="str">
        <f>[1]K_Summary!M479</f>
        <v/>
      </c>
      <c r="N489" s="302"/>
    </row>
    <row r="490" spans="2:14" ht="12.75" customHeight="1" x14ac:dyDescent="0.25">
      <c r="B490" s="284"/>
      <c r="C490" s="302"/>
      <c r="D490" s="302"/>
      <c r="E490" s="528" t="str">
        <f>[1]K_Summary!E480</f>
        <v>Подадена електроенергия</v>
      </c>
      <c r="F490" s="528"/>
      <c r="G490" s="528"/>
      <c r="H490" s="421" t="str">
        <f>[1]K_Summary!H480</f>
        <v>MWh / година</v>
      </c>
      <c r="I490" s="422" t="str">
        <f>[1]K_Summary!I480</f>
        <v/>
      </c>
      <c r="J490" s="422" t="str">
        <f>[1]K_Summary!J480</f>
        <v/>
      </c>
      <c r="K490" s="422" t="str">
        <f>[1]K_Summary!K480</f>
        <v/>
      </c>
      <c r="L490" s="422" t="str">
        <f>[1]K_Summary!L480</f>
        <v/>
      </c>
      <c r="M490" s="422" t="str">
        <f>[1]K_Summary!M480</f>
        <v/>
      </c>
      <c r="N490" s="302"/>
    </row>
    <row r="491" spans="2:14" ht="12.75" customHeight="1" x14ac:dyDescent="0.25">
      <c r="B491" s="284"/>
      <c r="C491" s="302"/>
      <c r="D491" s="302"/>
      <c r="E491" s="528" t="str">
        <f>[1]K_Summary!E481</f>
        <v>Използваема електроенергия</v>
      </c>
      <c r="F491" s="528"/>
      <c r="G491" s="528"/>
      <c r="H491" s="421" t="str">
        <f>[1]K_Summary!H481</f>
        <v>MWh / година</v>
      </c>
      <c r="I491" s="423" t="str">
        <f>[1]K_Summary!I481</f>
        <v/>
      </c>
      <c r="J491" s="423" t="str">
        <f>[1]K_Summary!J481</f>
        <v/>
      </c>
      <c r="K491" s="423" t="str">
        <f>[1]K_Summary!K481</f>
        <v/>
      </c>
      <c r="L491" s="423" t="str">
        <f>[1]K_Summary!L481</f>
        <v/>
      </c>
      <c r="M491" s="423" t="str">
        <f>[1]K_Summary!M481</f>
        <v/>
      </c>
      <c r="N491" s="302"/>
    </row>
    <row r="492" spans="2:14" ht="12.75" customHeight="1" x14ac:dyDescent="0.25">
      <c r="B492" s="284"/>
      <c r="C492" s="302"/>
      <c r="D492" s="302"/>
      <c r="E492" s="528" t="str">
        <f>[1]K_Summary!E482</f>
        <v>Електроенергия, консумирана в инсталацията</v>
      </c>
      <c r="F492" s="528"/>
      <c r="G492" s="528"/>
      <c r="H492" s="421" t="str">
        <f>[1]K_Summary!H482</f>
        <v>MWh / година</v>
      </c>
      <c r="I492" s="422" t="str">
        <f>[1]K_Summary!I482</f>
        <v/>
      </c>
      <c r="J492" s="422" t="str">
        <f>[1]K_Summary!J482</f>
        <v/>
      </c>
      <c r="K492" s="422" t="str">
        <f>[1]K_Summary!K482</f>
        <v/>
      </c>
      <c r="L492" s="422" t="str">
        <f>[1]K_Summary!L482</f>
        <v/>
      </c>
      <c r="M492" s="422" t="str">
        <f>[1]K_Summary!M482</f>
        <v/>
      </c>
      <c r="N492" s="302"/>
    </row>
    <row r="493" spans="2:14" ht="12.75" customHeight="1" x14ac:dyDescent="0.25">
      <c r="B493" s="284"/>
      <c r="C493" s="302"/>
      <c r="D493" s="302"/>
      <c r="E493" s="302"/>
      <c r="F493" s="302"/>
      <c r="G493" s="302"/>
      <c r="H493" s="302"/>
      <c r="I493" s="302"/>
      <c r="J493" s="302"/>
      <c r="K493" s="302"/>
      <c r="L493" s="302"/>
      <c r="M493" s="302"/>
      <c r="N493" s="302"/>
    </row>
    <row r="494" spans="2:14" ht="12.75" customHeight="1" thickBot="1" x14ac:dyDescent="0.4">
      <c r="B494" s="284"/>
      <c r="C494" s="327" t="str">
        <f>[1]K_Summary!C484</f>
        <v>IV</v>
      </c>
      <c r="D494" s="356" t="str">
        <f>[1]K_Summary!D484</f>
        <v>Данни за подинсталациите, които имат значение за разпределянето на квоти и актуализирането на показателите</v>
      </c>
      <c r="E494" s="356"/>
      <c r="F494" s="356"/>
      <c r="G494" s="356"/>
      <c r="H494" s="356"/>
      <c r="I494" s="356"/>
      <c r="J494" s="356"/>
      <c r="K494" s="356"/>
      <c r="L494" s="356"/>
      <c r="M494" s="356"/>
      <c r="N494" s="356"/>
    </row>
    <row r="495" spans="2:14" ht="12.75" customHeight="1" x14ac:dyDescent="0.25">
      <c r="B495" s="284"/>
      <c r="C495" s="581"/>
      <c r="D495" s="581"/>
      <c r="E495" s="581"/>
      <c r="F495" s="581"/>
      <c r="G495" s="581"/>
      <c r="H495" s="581"/>
      <c r="I495" s="581"/>
      <c r="J495" s="581"/>
      <c r="K495" s="581"/>
      <c r="L495" s="581"/>
      <c r="M495" s="581"/>
      <c r="N495" s="581"/>
    </row>
    <row r="496" spans="2:14" ht="12.75" customHeight="1" x14ac:dyDescent="0.25">
      <c r="B496" s="284"/>
      <c r="C496" s="302"/>
      <c r="D496" s="358" t="str">
        <f>[1]K_Summary!D486</f>
        <v>Изчисление на предварителния брой квоти</v>
      </c>
      <c r="E496" s="358"/>
      <c r="F496" s="358"/>
      <c r="G496" s="358"/>
      <c r="H496" s="358"/>
      <c r="I496" s="358"/>
      <c r="J496" s="358"/>
      <c r="K496" s="358"/>
      <c r="L496" s="358"/>
      <c r="M496" s="358"/>
      <c r="N496" s="358"/>
    </row>
    <row r="497" spans="2:14" ht="12.75" customHeight="1" x14ac:dyDescent="0.25">
      <c r="B497" s="284"/>
      <c r="C497" s="284"/>
      <c r="D497" s="284"/>
      <c r="E497" s="284"/>
      <c r="F497" s="284"/>
      <c r="G497" s="284"/>
      <c r="H497" s="284"/>
      <c r="I497" s="284"/>
      <c r="J497" s="284"/>
      <c r="K497" s="284"/>
      <c r="L497" s="284"/>
      <c r="M497" s="284"/>
      <c r="N497" s="284"/>
    </row>
    <row r="498" spans="2:14" ht="12.75" customHeight="1" x14ac:dyDescent="0.25">
      <c r="B498" s="284"/>
      <c r="C498" s="284"/>
      <c r="D498" s="582" t="str">
        <f>[1]K_Summary!D488</f>
        <v>В таблиците по-долу са използвани следните съкращения:</v>
      </c>
      <c r="E498" s="582"/>
      <c r="F498" s="582"/>
      <c r="G498" s="582"/>
      <c r="H498" s="582"/>
      <c r="I498" s="582"/>
      <c r="J498" s="582"/>
      <c r="K498" s="582"/>
      <c r="L498" s="582"/>
      <c r="M498" s="582"/>
      <c r="N498" s="582"/>
    </row>
    <row r="499" spans="2:14" ht="12.75" customHeight="1" x14ac:dyDescent="0.25">
      <c r="B499" s="284"/>
      <c r="C499" s="284"/>
      <c r="D499" s="583" t="str">
        <f>[1]K_Summary!D489</f>
        <v>Риск от ИВЕ</v>
      </c>
      <c r="E499" s="583"/>
      <c r="F499" s="583" t="str">
        <f>[1]K_Summary!F489</f>
        <v>Риск от изтичане на въглеродни емисии Посочва се „вярно“, ако подинсталацията се използва в сектор, който се смята, че е изложен на значителен риск от изтичане на въглеродни емисии.</v>
      </c>
      <c r="G499" s="583"/>
      <c r="H499" s="583"/>
      <c r="I499" s="583"/>
      <c r="J499" s="583"/>
      <c r="K499" s="583"/>
      <c r="L499" s="583"/>
      <c r="M499" s="583"/>
      <c r="N499" s="583"/>
    </row>
    <row r="500" spans="2:14" ht="12.75" customHeight="1" x14ac:dyDescent="0.25">
      <c r="B500" s="284"/>
      <c r="C500" s="284"/>
      <c r="D500" s="583" t="str">
        <f>[1]K_Summary!D490</f>
        <v>CBAM</v>
      </c>
      <c r="E500" s="583"/>
      <c r="F500" s="583" t="str">
        <f>[1]K_Summary!F490</f>
        <v>Обхват на МКВЕГ (приложение I към Регламент (ЕС) 2023/956). „Вярно“ означава, че подинсталацията е обхваната от МКВЕГ.</v>
      </c>
      <c r="G500" s="583"/>
      <c r="H500" s="583"/>
      <c r="I500" s="583"/>
      <c r="J500" s="583"/>
      <c r="K500" s="583"/>
      <c r="L500" s="583"/>
      <c r="M500" s="583"/>
      <c r="N500" s="583"/>
    </row>
    <row r="501" spans="2:14" ht="12.75" customHeight="1" x14ac:dyDescent="0.25">
      <c r="B501" s="284"/>
      <c r="C501" s="284"/>
      <c r="D501" s="583" t="str">
        <f>[1]K_Summary!D491</f>
        <v>№ на п-л</v>
      </c>
      <c r="E501" s="583"/>
      <c r="F501" s="583" t="str">
        <f>[1]K_Summary!F491</f>
        <v>Номер на показателя</v>
      </c>
      <c r="G501" s="583"/>
      <c r="H501" s="583"/>
      <c r="I501" s="583"/>
      <c r="J501" s="583"/>
      <c r="K501" s="583"/>
      <c r="L501" s="583"/>
      <c r="M501" s="583"/>
      <c r="N501" s="583"/>
    </row>
    <row r="502" spans="2:14" ht="12.75" customHeight="1" x14ac:dyDescent="0.25">
      <c r="B502" s="284"/>
      <c r="C502" s="284"/>
      <c r="D502" s="583" t="str">
        <f>[1]K_Summary!D492</f>
        <v>В/Е</v>
      </c>
      <c r="E502" s="583"/>
      <c r="F502" s="583" t="str">
        <f>[1]K_Summary!F492</f>
        <v>Дата на въвеждане на подинсталацията в експлоатация</v>
      </c>
      <c r="G502" s="583"/>
      <c r="H502" s="583"/>
      <c r="I502" s="583"/>
      <c r="J502" s="583"/>
      <c r="K502" s="583"/>
      <c r="L502" s="583"/>
      <c r="M502" s="583"/>
      <c r="N502" s="583"/>
    </row>
    <row r="503" spans="2:14" ht="12.75" customHeight="1" x14ac:dyDescent="0.25">
      <c r="B503" s="284"/>
      <c r="C503" s="284"/>
      <c r="D503" s="583" t="str">
        <f>[1]K_Summary!D493</f>
        <v>Стойност на п-л</v>
      </c>
      <c r="E503" s="584"/>
      <c r="F503" s="583" t="str">
        <f>[1]K_Summary!F493</f>
        <v>Стойност на показателя съгласно приложение I към ПБР. Използваните стойности за проектното предварително разпределение са или предварителните минимални стойности, или показаните максимални стойности от обобщената таблица за всяка подинсталация по-долу.</v>
      </c>
      <c r="G503" s="583"/>
      <c r="H503" s="583"/>
      <c r="I503" s="583"/>
      <c r="J503" s="583"/>
      <c r="K503" s="583"/>
      <c r="L503" s="583"/>
      <c r="M503" s="583"/>
      <c r="N503" s="583"/>
    </row>
    <row r="504" spans="2:14" ht="12.75" customHeight="1" x14ac:dyDescent="0.25">
      <c r="B504" s="284"/>
      <c r="C504" s="284"/>
      <c r="D504" s="583" t="str">
        <f>[1]K_Summary!D494</f>
        <v>15(7).3?</v>
      </c>
      <c r="E504" s="583"/>
      <c r="F504" s="583" t="str">
        <f>[1]K_Summary!F494</f>
        <v>Приложима ли е алинея трета на член 15, параграф 7 от ПРБ (т.е. подинсталацията работила ли е под една година през базовия период)?</v>
      </c>
      <c r="G504" s="583"/>
      <c r="H504" s="583"/>
      <c r="I504" s="583"/>
      <c r="J504" s="583"/>
      <c r="K504" s="583"/>
      <c r="L504" s="583"/>
      <c r="M504" s="583"/>
      <c r="N504" s="583"/>
    </row>
    <row r="505" spans="2:14" ht="12.75" customHeight="1" x14ac:dyDescent="0.25">
      <c r="B505" s="284"/>
      <c r="C505" s="284"/>
      <c r="D505" s="583" t="str">
        <f>[1]K_Summary!D495</f>
        <v>топл. ен. извън СТЕ</v>
      </c>
      <c r="E505" s="583"/>
      <c r="F505" s="583" t="str">
        <f>[1]K_Summary!F495</f>
        <v>Количество, което трябва да се приспадне от предварителното годишно количество на квотите за емисии в съответствие с член 21 от ПРБ.</v>
      </c>
      <c r="G505" s="583"/>
      <c r="H505" s="583"/>
      <c r="I505" s="583"/>
      <c r="J505" s="583"/>
      <c r="K505" s="583"/>
      <c r="L505" s="583"/>
      <c r="M505" s="583"/>
      <c r="N505" s="583"/>
    </row>
    <row r="506" spans="2:14" ht="12.75" customHeight="1" x14ac:dyDescent="0.25">
      <c r="B506" s="284"/>
      <c r="C506" s="284"/>
      <c r="D506" s="583" t="str">
        <f>[1]K_Summary!D496</f>
        <v>WGflare</v>
      </c>
      <c r="E506" s="583"/>
      <c r="F506" s="583" t="str">
        <f>[1]K_Summary!F496</f>
        <v>Количество, което трябва да се приспадне от предварителното годишно количество на квотите за отпадъчни газове, изгорени във факел, от 2026 г. нататък съгласно член 16, параграф 5, алинея втора от ПРБ</v>
      </c>
      <c r="G506" s="583"/>
      <c r="H506" s="583"/>
      <c r="I506" s="583"/>
      <c r="J506" s="583"/>
      <c r="K506" s="583"/>
      <c r="L506" s="583"/>
      <c r="M506" s="583"/>
      <c r="N506" s="583"/>
    </row>
    <row r="507" spans="2:14" ht="12.75" customHeight="1" x14ac:dyDescent="0.25">
      <c r="B507" s="284"/>
      <c r="C507" s="284"/>
      <c r="D507" s="583" t="str">
        <f>[1]K_Summary!D497</f>
        <v>HVC-Corr</v>
      </c>
      <c r="E507" s="583"/>
      <c r="F507" s="583" t="str">
        <f>[1]K_Summary!F497</f>
        <v>Количество, което трябва да се добави към предварителното годишно количество на квотите за емисии за подинсталациите за крекинг с водна пара в съответствие с член 19 от ПРБ</v>
      </c>
      <c r="G507" s="583"/>
      <c r="H507" s="583"/>
      <c r="I507" s="583"/>
      <c r="J507" s="583"/>
      <c r="K507" s="583"/>
      <c r="L507" s="583"/>
      <c r="M507" s="583"/>
      <c r="N507" s="583"/>
    </row>
    <row r="508" spans="2:14" ht="12.75" customHeight="1" x14ac:dyDescent="0.25">
      <c r="B508" s="284"/>
      <c r="C508" s="284"/>
      <c r="D508" s="583" t="str">
        <f>[1]K_Summary!D498</f>
        <v>VCM-F</v>
      </c>
      <c r="E508" s="583"/>
      <c r="F508" s="583" t="str">
        <f>[1]K_Summary!F498</f>
        <v>Коефициент за отчитане на свързаните с водорода емисии от подинсталациите за винилхлориден мономер в съответствие с член 20 от ПРБ</v>
      </c>
      <c r="G508" s="583"/>
      <c r="H508" s="583"/>
      <c r="I508" s="583"/>
      <c r="J508" s="583"/>
      <c r="K508" s="583"/>
      <c r="L508" s="583"/>
      <c r="M508" s="583"/>
      <c r="N508" s="583"/>
    </row>
    <row r="509" spans="2:14" ht="12.75" customHeight="1" x14ac:dyDescent="0.25">
      <c r="B509" s="284"/>
      <c r="C509" s="284"/>
      <c r="D509" s="583" t="str">
        <f>[1]K_Summary!D499</f>
        <v>Median</v>
      </c>
      <c r="E509" s="583"/>
      <c r="F509" s="583" t="str">
        <f>[1]K_Summary!F499</f>
        <v>Медиана на историческите равнища на дейност през базовия период</v>
      </c>
      <c r="G509" s="583"/>
      <c r="H509" s="583"/>
      <c r="I509" s="583"/>
      <c r="J509" s="583"/>
      <c r="K509" s="583"/>
      <c r="L509" s="583"/>
      <c r="M509" s="583"/>
      <c r="N509" s="583"/>
    </row>
    <row r="510" spans="2:14" ht="12.75" customHeight="1" x14ac:dyDescent="0.25">
      <c r="B510" s="284"/>
      <c r="C510" s="284"/>
      <c r="D510" s="585" t="str">
        <f>[1]K_Summary!D500</f>
        <v>Предв. разпр. за год. 1 (мин)</v>
      </c>
      <c r="E510" s="585"/>
      <c r="F510" s="585" t="str">
        <f>[1]K_Summary!F500</f>
        <v>(Проектен) предварителен годишен брой на квотите за емисии, които се разпределят безплатно за първата година от периода съгласно член 16, параграф 6 от ПБР, т.е. след приложение на коефициента за риск от ИВЕ, но преди да се приложат линейният коефициент или междуотрасловия корекционен коефициент.</v>
      </c>
      <c r="G510" s="585"/>
      <c r="H510" s="585"/>
      <c r="I510" s="585"/>
      <c r="J510" s="585"/>
      <c r="K510" s="585"/>
      <c r="L510" s="585"/>
      <c r="M510" s="585"/>
      <c r="N510" s="585"/>
    </row>
    <row r="511" spans="2:14" ht="12.75" customHeight="1" x14ac:dyDescent="0.25">
      <c r="B511" s="284"/>
      <c r="C511" s="284"/>
      <c r="D511" s="585"/>
      <c r="E511" s="364"/>
      <c r="F511" s="582" t="str">
        <f>[1]K_Summary!F501</f>
        <v>Тази цифра дава само индикативна стойност за „минималното“ предварително разпределение, при което се отчита най-ниската възможна стойност на продуктовия показател за тази подинсталация. Затова стойността е само информативна и НЕ трябва да се тълкува като предварително решение за действителния брой на безплатните квоти, който компетентният орган следва да определи, след като се представят актуализираните показатели.</v>
      </c>
      <c r="G511" s="582"/>
      <c r="H511" s="582"/>
      <c r="I511" s="582"/>
      <c r="J511" s="582"/>
      <c r="K511" s="582"/>
      <c r="L511" s="582"/>
      <c r="M511" s="582"/>
      <c r="N511" s="582"/>
    </row>
    <row r="512" spans="2:14" ht="12.75" customHeight="1" x14ac:dyDescent="0.25">
      <c r="B512" s="284"/>
      <c r="C512" s="284"/>
      <c r="D512" s="583" t="str">
        <f>[1]K_Summary!D502</f>
        <v>Предв. разпр. за год. 1 (макс)</v>
      </c>
      <c r="E512" s="583"/>
      <c r="F512" s="583" t="str">
        <f>[1]K_Summary!F502</f>
        <v>(Проектен) предварителен годишен брой на квотите за емисии, като се вземе предвид възможно най-високата стойност на продуктовия показател за тази подинсталация. Важи същото условие за отказ от отговорност като при стойността (мин).</v>
      </c>
      <c r="G512" s="583"/>
      <c r="H512" s="583"/>
      <c r="I512" s="583"/>
      <c r="J512" s="583"/>
      <c r="K512" s="583"/>
      <c r="L512" s="583"/>
      <c r="M512" s="583"/>
      <c r="N512" s="583"/>
    </row>
    <row r="513" spans="2:19" ht="12.75" customHeight="1" x14ac:dyDescent="0.25">
      <c r="B513" s="284"/>
      <c r="C513" s="284"/>
      <c r="D513" s="586" t="str">
        <f>[1]K_Summary!D503</f>
        <v>Предв. разпр. за год. 1 (действ.)</v>
      </c>
      <c r="E513" s="586"/>
      <c r="F513" s="586" t="str">
        <f>[1]K_Summary!F503</f>
        <v>Действителният предварителен годишен брой на квотите за емисии, като се вземе предвид действителната стойност на продуктовия показател за тази подинсталация. При първоначалните НМИ тази стойност може да се определи едва на по-късен етап, след като се публикуват стойностите на показателите за всеки период на разпределяне.</v>
      </c>
      <c r="G513" s="586"/>
      <c r="H513" s="586"/>
      <c r="I513" s="586"/>
      <c r="J513" s="586"/>
      <c r="K513" s="586"/>
      <c r="L513" s="586"/>
      <c r="M513" s="586"/>
      <c r="N513" s="586"/>
    </row>
    <row r="514" spans="2:19" ht="12.75" customHeight="1" thickBot="1" x14ac:dyDescent="0.3">
      <c r="B514" s="284"/>
      <c r="C514" s="284"/>
      <c r="D514" s="302"/>
      <c r="E514" s="302"/>
      <c r="F514" s="302"/>
      <c r="G514" s="302"/>
      <c r="H514" s="302"/>
      <c r="I514" s="302"/>
      <c r="J514" s="302"/>
      <c r="K514" s="302"/>
      <c r="L514" s="302"/>
      <c r="M514" s="302"/>
      <c r="N514" s="302"/>
    </row>
    <row r="515" spans="2:19" ht="12.75" customHeight="1" thickBot="1" x14ac:dyDescent="0.3">
      <c r="B515" s="284"/>
      <c r="C515" s="284"/>
      <c r="D515" s="587" t="str">
        <f>[1]K_Summary!D505</f>
        <v>Отказ от отговорност: Имайте предвид, че стойностите за предварителното разпределяне на квоти са само за информация и се отчитат минималната и максималната стойност на показателя, както е пояснено по-горе. Когато обаче предварителното разпределяне на квоти зависи и от стойността на топлинния или на горивния показател (например топлинна енергия от източник извън СТЕ), които също подлежат на промяна след събирането на тези данни, е възможно в индикативната стойност да не е отразен минималният или максималният предварителен брой квоти и тя да се коригира допълнително.</v>
      </c>
      <c r="E515" s="588"/>
      <c r="F515" s="588"/>
      <c r="G515" s="588"/>
      <c r="H515" s="588"/>
      <c r="I515" s="588"/>
      <c r="J515" s="588"/>
      <c r="K515" s="588"/>
      <c r="L515" s="588"/>
      <c r="M515" s="588"/>
      <c r="N515" s="589"/>
    </row>
    <row r="516" spans="2:19" ht="12.75" customHeight="1" x14ac:dyDescent="0.25">
      <c r="B516" s="284"/>
      <c r="C516" s="302"/>
      <c r="D516" s="302"/>
      <c r="E516" s="302"/>
      <c r="F516" s="302"/>
      <c r="G516" s="302"/>
      <c r="H516" s="302"/>
      <c r="I516" s="302"/>
      <c r="J516" s="302"/>
      <c r="K516" s="302"/>
      <c r="L516" s="302"/>
      <c r="M516" s="302"/>
      <c r="N516" s="302"/>
    </row>
    <row r="517" spans="2:19" ht="12.75" customHeight="1" x14ac:dyDescent="0.3">
      <c r="B517" s="284"/>
      <c r="C517" s="357">
        <f>[1]K_Summary!C507</f>
        <v>1</v>
      </c>
      <c r="D517" s="590" t="str">
        <f>[1]K_Summary!D507</f>
        <v>Подинсталация с продуктов показател 1:</v>
      </c>
      <c r="E517" s="590"/>
      <c r="F517" s="590"/>
      <c r="G517" s="590"/>
      <c r="H517" s="591"/>
      <c r="I517" s="592" t="str">
        <f>[1]K_Summary!I507</f>
        <v/>
      </c>
      <c r="J517" s="593"/>
      <c r="K517" s="593"/>
      <c r="L517" s="593"/>
      <c r="M517" s="593"/>
      <c r="N517" s="594"/>
    </row>
    <row r="518" spans="2:19" ht="12.75" customHeight="1" thickBot="1" x14ac:dyDescent="0.3">
      <c r="B518" s="284"/>
      <c r="C518" s="302"/>
      <c r="D518" s="302"/>
      <c r="E518" s="302"/>
      <c r="F518" s="302"/>
      <c r="G518" s="302"/>
      <c r="H518" s="302"/>
      <c r="I518" s="302"/>
      <c r="J518" s="302"/>
      <c r="K518" s="302"/>
      <c r="L518" s="302"/>
      <c r="M518" s="302"/>
      <c r="N518" s="302"/>
    </row>
    <row r="519" spans="2:19" ht="12.75" customHeight="1" x14ac:dyDescent="0.25">
      <c r="B519" s="284"/>
      <c r="C519" s="302"/>
      <c r="D519" s="302"/>
      <c r="E519" s="302"/>
      <c r="F519" s="302"/>
      <c r="G519" s="302"/>
      <c r="H519" s="595" t="str">
        <f>[1]K_Summary!H509</f>
        <v>Риск от ИВЕ</v>
      </c>
      <c r="I519" s="302"/>
      <c r="J519" s="596" t="str">
        <f>[1]K_Summary!J509</f>
        <v>В/Е</v>
      </c>
      <c r="K519" s="596" t="str">
        <f>[1]K_Summary!K509</f>
        <v>№ на п-л</v>
      </c>
      <c r="L519" s="597" t="str">
        <f>[1]K_Summary!L509</f>
        <v>15(7).3?</v>
      </c>
      <c r="M519" s="598" t="str">
        <f>[1]K_Summary!M509</f>
        <v>Стойност на показател (мин/макс/действ.)</v>
      </c>
      <c r="N519" s="599"/>
    </row>
    <row r="520" spans="2:19" ht="12.75" customHeight="1" x14ac:dyDescent="0.25">
      <c r="B520" s="284"/>
      <c r="C520" s="302"/>
      <c r="D520" s="302"/>
      <c r="E520" s="361" t="str">
        <f>[1]K_Summary!E510</f>
        <v/>
      </c>
      <c r="F520" s="373"/>
      <c r="G520" s="362"/>
      <c r="H520" s="600" t="str">
        <f>[1]K_Summary!H510</f>
        <v>Не е приложимо</v>
      </c>
      <c r="I520" s="302"/>
      <c r="J520" s="601" t="str">
        <f>[1]K_Summary!J510</f>
        <v>Не е приложимо</v>
      </c>
      <c r="K520" s="406" t="str">
        <f>[1]K_Summary!K510</f>
        <v>Не е приложимо</v>
      </c>
      <c r="L520" s="602" t="str">
        <f>[1]K_Summary!L510</f>
        <v/>
      </c>
      <c r="M520" s="603" t="str">
        <f>[1]K_Summary!M510</f>
        <v>Не е приложимо</v>
      </c>
      <c r="N520" s="604" t="str">
        <f>[1]K_Summary!N510</f>
        <v>Квота за емисии/тона</v>
      </c>
    </row>
    <row r="521" spans="2:19" ht="12.75" customHeight="1" x14ac:dyDescent="0.25">
      <c r="B521" s="284"/>
      <c r="C521" s="302"/>
      <c r="D521" s="302"/>
      <c r="E521" s="364"/>
      <c r="F521" s="364"/>
      <c r="G521" s="596" t="str">
        <f>[1]K_Summary!G511</f>
        <v>топл. ен. извън СТЕ</v>
      </c>
      <c r="H521" s="595" t="str">
        <f>[1]K_Summary!H511</f>
        <v>CBAM</v>
      </c>
      <c r="I521" s="597" t="str">
        <f>[1]K_Summary!I511</f>
        <v>WGflare</v>
      </c>
      <c r="J521" s="596" t="str">
        <f>[1]K_Summary!J511</f>
        <v>HVC-Corr</v>
      </c>
      <c r="K521" s="596" t="str">
        <f>[1]K_Summary!K511</f>
        <v>VCM-F</v>
      </c>
      <c r="L521" s="302"/>
      <c r="M521" s="603" t="str">
        <f>[1]K_Summary!M511</f>
        <v>Не е приложимо</v>
      </c>
      <c r="N521" s="604" t="str">
        <f>[1]K_Summary!N511</f>
        <v>Квота за емисии/тона</v>
      </c>
      <c r="R521" s="605" t="str">
        <f>[1]K_Summary!R511</f>
        <v>No. BM</v>
      </c>
      <c r="S521" s="606" t="str">
        <f>[1]K_Summary!S511</f>
        <v>Не е приложимо</v>
      </c>
    </row>
    <row r="522" spans="2:19" ht="12.75" customHeight="1" thickBot="1" x14ac:dyDescent="0.3">
      <c r="B522" s="284"/>
      <c r="C522" s="302"/>
      <c r="D522" s="302"/>
      <c r="E522" s="607" t="str">
        <f>[1]K_Summary!E512</f>
        <v>Специфични коефициенти:</v>
      </c>
      <c r="F522" s="607"/>
      <c r="G522" s="406" t="str">
        <f>[1]K_Summary!G512</f>
        <v/>
      </c>
      <c r="H522" s="600" t="str">
        <f>[1]K_Summary!H512</f>
        <v>Не е приложимо</v>
      </c>
      <c r="I522" s="608" t="str">
        <f>[1]K_Summary!I512</f>
        <v/>
      </c>
      <c r="J522" s="406" t="str">
        <f>[1]K_Summary!J512</f>
        <v/>
      </c>
      <c r="K522" s="609" t="str">
        <f>[1]K_Summary!K512</f>
        <v/>
      </c>
      <c r="L522" s="302"/>
      <c r="M522" s="610" t="str">
        <f>[1]K_Summary!M512</f>
        <v>Не е приложимо</v>
      </c>
      <c r="N522" s="611" t="str">
        <f>[1]K_Summary!N512</f>
        <v>Квота за емисии/тона</v>
      </c>
      <c r="P522" s="612" t="b">
        <f>IF(ISNUMBER(K520),INDEX(EUconst_BMlistBMvalues,MATCH(K520,EUconst_BMlistMainNumberOfBM,0))&lt;&gt;M522,FALSE)</f>
        <v>0</v>
      </c>
    </row>
    <row r="523" spans="2:19" ht="12.75" customHeight="1" x14ac:dyDescent="0.25">
      <c r="B523" s="284"/>
      <c r="C523" s="302"/>
      <c r="D523" s="302"/>
      <c r="E523" s="302"/>
      <c r="F523" s="302"/>
      <c r="G523" s="302"/>
      <c r="H523" s="302"/>
      <c r="I523" s="302"/>
      <c r="J523" s="302"/>
      <c r="K523" s="302"/>
      <c r="L523" s="302"/>
      <c r="M523" s="302"/>
      <c r="N523" s="302"/>
    </row>
    <row r="524" spans="2:19" ht="12.75" customHeight="1" x14ac:dyDescent="0.25">
      <c r="B524" s="284"/>
      <c r="C524" s="302"/>
      <c r="D524" s="302"/>
      <c r="E524" s="498"/>
      <c r="F524" s="498"/>
      <c r="G524" s="380"/>
      <c r="H524" s="613" t="str">
        <f>[1]K_Summary!H514</f>
        <v>Единица мярка</v>
      </c>
      <c r="I524" s="387">
        <f>[1]K_Summary!I514</f>
        <v>2019</v>
      </c>
      <c r="J524" s="387">
        <f>[1]K_Summary!J514</f>
        <v>2020</v>
      </c>
      <c r="K524" s="387">
        <f>[1]K_Summary!K514</f>
        <v>2021</v>
      </c>
      <c r="L524" s="387">
        <f>[1]K_Summary!L514</f>
        <v>2022</v>
      </c>
      <c r="M524" s="387">
        <f>[1]K_Summary!M514</f>
        <v>2023</v>
      </c>
      <c r="N524" s="302"/>
    </row>
    <row r="525" spans="2:19" ht="12.75" customHeight="1" x14ac:dyDescent="0.25">
      <c r="B525" s="284"/>
      <c r="C525" s="302"/>
      <c r="D525" s="302"/>
      <c r="E525" s="614" t="str">
        <f>[1]K_Summary!E515</f>
        <v>Отчетено HAL (историческо равнище на дейност)</v>
      </c>
      <c r="F525" s="388"/>
      <c r="G525" s="615"/>
      <c r="H525" s="600" t="str">
        <f>[1]K_Summary!H515</f>
        <v>тона</v>
      </c>
      <c r="I525" s="406" t="str">
        <f>[1]K_Summary!I515</f>
        <v/>
      </c>
      <c r="J525" s="406" t="str">
        <f>[1]K_Summary!J515</f>
        <v/>
      </c>
      <c r="K525" s="406" t="str">
        <f>[1]K_Summary!K515</f>
        <v/>
      </c>
      <c r="L525" s="406" t="str">
        <f>[1]K_Summary!L515</f>
        <v/>
      </c>
      <c r="M525" s="406" t="str">
        <f>[1]K_Summary!M515</f>
        <v/>
      </c>
      <c r="N525" s="596" t="str">
        <f>[1]K_Summary!N515</f>
        <v>Median</v>
      </c>
    </row>
    <row r="526" spans="2:19" ht="12.75" customHeight="1" x14ac:dyDescent="0.25">
      <c r="B526" s="284"/>
      <c r="C526" s="302"/>
      <c r="D526" s="302"/>
      <c r="E526" s="614" t="str">
        <f>[1]K_Summary!E516</f>
        <v>Стойности, използвани за изчислението на HAL:</v>
      </c>
      <c r="F526" s="388"/>
      <c r="G526" s="615"/>
      <c r="H526" s="600" t="str">
        <f>[1]K_Summary!H516</f>
        <v>тона</v>
      </c>
      <c r="I526" s="406" t="str">
        <f>[1]K_Summary!I516</f>
        <v/>
      </c>
      <c r="J526" s="406" t="str">
        <f>[1]K_Summary!J516</f>
        <v/>
      </c>
      <c r="K526" s="406" t="str">
        <f>[1]K_Summary!K516</f>
        <v/>
      </c>
      <c r="L526" s="406" t="str">
        <f>[1]K_Summary!L516</f>
        <v/>
      </c>
      <c r="M526" s="406" t="str">
        <f>[1]K_Summary!M516</f>
        <v/>
      </c>
      <c r="N526" s="406" t="str">
        <f>[1]K_Summary!N516</f>
        <v/>
      </c>
    </row>
    <row r="527" spans="2:19" ht="12.75" customHeight="1" x14ac:dyDescent="0.25">
      <c r="B527" s="284"/>
      <c r="C527" s="302"/>
      <c r="D527" s="302"/>
      <c r="E527" s="360"/>
      <c r="F527" s="360"/>
      <c r="G527" s="360"/>
      <c r="H527" s="360"/>
      <c r="I527" s="360"/>
      <c r="J527" s="360"/>
      <c r="K527" s="360"/>
      <c r="L527" s="360"/>
      <c r="M527" s="364"/>
      <c r="N527" s="364"/>
    </row>
    <row r="528" spans="2:19" ht="12.75" customHeight="1" x14ac:dyDescent="0.25">
      <c r="B528" s="284"/>
      <c r="C528" s="302"/>
      <c r="D528" s="302"/>
      <c r="E528" s="616" t="str">
        <f>[1]K_Summary!E518</f>
        <v>Съответно потребление на електроенергия</v>
      </c>
      <c r="F528" s="616"/>
      <c r="G528" s="616"/>
      <c r="H528" s="617" t="str">
        <f>[1]K_Summary!H518</f>
        <v>MWh / година</v>
      </c>
      <c r="I528" s="618" t="str">
        <f>[1]K_Summary!I518</f>
        <v/>
      </c>
      <c r="J528" s="618" t="str">
        <f>[1]K_Summary!J518</f>
        <v/>
      </c>
      <c r="K528" s="618" t="str">
        <f>[1]K_Summary!K518</f>
        <v/>
      </c>
      <c r="L528" s="618" t="str">
        <f>[1]K_Summary!L518</f>
        <v/>
      </c>
      <c r="M528" s="618" t="str">
        <f>[1]K_Summary!M518</f>
        <v/>
      </c>
      <c r="N528" s="302"/>
    </row>
    <row r="529" spans="2:14" ht="12.75" customHeight="1" x14ac:dyDescent="0.25">
      <c r="B529" s="284"/>
      <c r="C529" s="302"/>
      <c r="D529" s="302"/>
      <c r="E529" s="360"/>
      <c r="F529" s="360"/>
      <c r="G529" s="360"/>
      <c r="H529" s="360"/>
      <c r="I529" s="360"/>
      <c r="J529" s="360"/>
      <c r="K529" s="360"/>
      <c r="L529" s="360"/>
      <c r="M529" s="364"/>
      <c r="N529" s="364"/>
    </row>
    <row r="530" spans="2:14" ht="12.75" customHeight="1" thickBot="1" x14ac:dyDescent="0.3">
      <c r="B530" s="284"/>
      <c r="C530" s="364"/>
      <c r="D530" s="302"/>
      <c r="E530" s="360"/>
      <c r="F530" s="619" t="str">
        <f>[1]K_Summary!F520</f>
        <v>Общо HAL</v>
      </c>
      <c r="G530" s="620"/>
      <c r="H530" s="364"/>
      <c r="I530" s="619" t="str">
        <f>[1]K_Summary!I520</f>
        <v>Предв. разпр. за год. 1 (мин)</v>
      </c>
      <c r="J530" s="620"/>
      <c r="K530" s="619" t="str">
        <f>[1]K_Summary!K520</f>
        <v>Предв. разпр. за год. 1 (макс)</v>
      </c>
      <c r="L530" s="620"/>
      <c r="M530" s="619" t="str">
        <f>[1]K_Summary!M520</f>
        <v>Предв. разпр. за год. 1 (действ.)</v>
      </c>
      <c r="N530" s="620"/>
    </row>
    <row r="531" spans="2:14" ht="12.75" customHeight="1" thickBot="1" x14ac:dyDescent="0.3">
      <c r="B531" s="284"/>
      <c r="C531" s="364"/>
      <c r="D531" s="364"/>
      <c r="E531" s="360"/>
      <c r="F531" s="621" t="str">
        <f>[1]K_Summary!F521</f>
        <v/>
      </c>
      <c r="G531" s="622" t="str">
        <f>[1]K_Summary!G521</f>
        <v>тона / година</v>
      </c>
      <c r="H531" s="364"/>
      <c r="I531" s="623" t="str">
        <f>[1]K_Summary!I521</f>
        <v/>
      </c>
      <c r="J531" s="624" t="str">
        <f>[1]K_Summary!J521</f>
        <v>Квота за емисии / година</v>
      </c>
      <c r="K531" s="623" t="str">
        <f>[1]K_Summary!K521</f>
        <v/>
      </c>
      <c r="L531" s="624" t="str">
        <f>[1]K_Summary!L521</f>
        <v>Квота за емисии / година</v>
      </c>
      <c r="M531" s="623" t="str">
        <f>[1]K_Summary!M521</f>
        <v/>
      </c>
      <c r="N531" s="624" t="str">
        <f>[1]K_Summary!N521</f>
        <v>Квота за емисии / година</v>
      </c>
    </row>
    <row r="532" spans="2:14" ht="12.75" customHeight="1" x14ac:dyDescent="0.25">
      <c r="B532" s="284"/>
      <c r="C532" s="302"/>
      <c r="D532" s="364"/>
      <c r="E532" s="360"/>
      <c r="F532" s="302"/>
      <c r="G532" s="302"/>
      <c r="H532" s="302"/>
      <c r="I532" s="302"/>
      <c r="J532" s="302"/>
      <c r="K532" s="302"/>
      <c r="L532" s="302"/>
      <c r="M532" s="302"/>
      <c r="N532" s="302"/>
    </row>
    <row r="533" spans="2:14" ht="12.75" customHeight="1" x14ac:dyDescent="0.25">
      <c r="B533" s="284"/>
      <c r="C533" s="302"/>
      <c r="D533" s="302"/>
      <c r="E533" s="625"/>
      <c r="F533" s="626"/>
      <c r="G533" s="626"/>
      <c r="H533" s="626"/>
      <c r="I533" s="626"/>
      <c r="J533" s="626"/>
      <c r="K533" s="626"/>
      <c r="L533" s="626"/>
      <c r="M533" s="626"/>
      <c r="N533" s="626"/>
    </row>
    <row r="534" spans="2:14" ht="12.75" customHeight="1" thickBot="1" x14ac:dyDescent="0.3">
      <c r="B534" s="284"/>
      <c r="C534" s="302"/>
      <c r="D534" s="302"/>
      <c r="E534" s="625"/>
      <c r="F534" s="626"/>
      <c r="G534" s="626"/>
      <c r="H534" s="627" t="str">
        <f>[1]K_Summary!H524</f>
        <v>Единица мярка</v>
      </c>
      <c r="I534" s="628">
        <f>[1]K_Summary!I524</f>
        <v>2019</v>
      </c>
      <c r="J534" s="629">
        <f>[1]K_Summary!J524</f>
        <v>2020</v>
      </c>
      <c r="K534" s="629">
        <f>[1]K_Summary!K524</f>
        <v>2021</v>
      </c>
      <c r="L534" s="629">
        <f>[1]K_Summary!L524</f>
        <v>2022</v>
      </c>
      <c r="M534" s="629">
        <f>[1]K_Summary!M524</f>
        <v>2023</v>
      </c>
      <c r="N534" s="626"/>
    </row>
    <row r="535" spans="2:14" ht="12.75" customHeight="1" thickBot="1" x14ac:dyDescent="0.3">
      <c r="B535" s="284"/>
      <c r="C535" s="302"/>
      <c r="D535" s="302"/>
      <c r="E535" s="630" t="str">
        <f>[1]K_Summary!E525</f>
        <v>Общо зададени емисии</v>
      </c>
      <c r="F535" s="630"/>
      <c r="G535" s="630"/>
      <c r="H535" s="631" t="str">
        <f>[1]K_Summary!H525</f>
        <v>t CO2e/година</v>
      </c>
      <c r="I535" s="632" t="str">
        <f>[1]K_Summary!I525</f>
        <v/>
      </c>
      <c r="J535" s="633" t="str">
        <f>[1]K_Summary!J525</f>
        <v/>
      </c>
      <c r="K535" s="633" t="str">
        <f>[1]K_Summary!K525</f>
        <v/>
      </c>
      <c r="L535" s="633" t="str">
        <f>[1]K_Summary!L525</f>
        <v/>
      </c>
      <c r="M535" s="634" t="str">
        <f>[1]K_Summary!M525</f>
        <v/>
      </c>
      <c r="N535" s="626"/>
    </row>
    <row r="536" spans="2:14" ht="12.75" customHeight="1" x14ac:dyDescent="0.25">
      <c r="B536" s="284"/>
      <c r="C536" s="302"/>
      <c r="D536" s="302"/>
      <c r="E536" s="625"/>
      <c r="F536" s="625"/>
      <c r="G536" s="625"/>
      <c r="H536" s="625"/>
      <c r="I536" s="635"/>
      <c r="J536" s="635"/>
      <c r="K536" s="635"/>
      <c r="L536" s="635"/>
      <c r="M536" s="635"/>
      <c r="N536" s="625"/>
    </row>
    <row r="537" spans="2:14" ht="12.75" customHeight="1" x14ac:dyDescent="0.25">
      <c r="B537" s="284"/>
      <c r="C537" s="302"/>
      <c r="D537" s="302"/>
      <c r="E537" s="636" t="str">
        <f>[1]K_Summary!E527</f>
        <v>Обща вложена енергия</v>
      </c>
      <c r="F537" s="636"/>
      <c r="G537" s="636"/>
      <c r="H537" s="637" t="str">
        <f>[1]K_Summary!H527</f>
        <v>TJ / година</v>
      </c>
      <c r="I537" s="482" t="str">
        <f>[1]K_Summary!I527</f>
        <v/>
      </c>
      <c r="J537" s="482" t="str">
        <f>[1]K_Summary!J527</f>
        <v/>
      </c>
      <c r="K537" s="482" t="str">
        <f>[1]K_Summary!K527</f>
        <v/>
      </c>
      <c r="L537" s="482" t="str">
        <f>[1]K_Summary!L527</f>
        <v/>
      </c>
      <c r="M537" s="482" t="str">
        <f>[1]K_Summary!M527</f>
        <v/>
      </c>
      <c r="N537" s="626"/>
    </row>
    <row r="538" spans="2:14" ht="12.75" customHeight="1" x14ac:dyDescent="0.25">
      <c r="B538" s="284"/>
      <c r="C538" s="302"/>
      <c r="D538" s="302"/>
      <c r="E538" s="638" t="str">
        <f>[1]K_Summary!E528</f>
        <v>Претеглен емисионен фактор</v>
      </c>
      <c r="F538" s="638"/>
      <c r="G538" s="638"/>
      <c r="H538" s="639" t="str">
        <f>[1]K_Summary!H528</f>
        <v>t CO2 / TJ</v>
      </c>
      <c r="I538" s="484" t="str">
        <f>[1]K_Summary!I528</f>
        <v/>
      </c>
      <c r="J538" s="484" t="str">
        <f>[1]K_Summary!J528</f>
        <v/>
      </c>
      <c r="K538" s="484" t="str">
        <f>[1]K_Summary!K528</f>
        <v/>
      </c>
      <c r="L538" s="484" t="str">
        <f>[1]K_Summary!L528</f>
        <v/>
      </c>
      <c r="M538" s="484" t="str">
        <f>[1]K_Summary!M528</f>
        <v/>
      </c>
      <c r="N538" s="626"/>
    </row>
    <row r="539" spans="2:14" ht="12.75" customHeight="1" x14ac:dyDescent="0.25">
      <c r="B539" s="284"/>
      <c r="C539" s="302"/>
      <c r="D539" s="364"/>
      <c r="E539" s="625"/>
      <c r="F539" s="626"/>
      <c r="G539" s="626"/>
      <c r="H539" s="626"/>
      <c r="I539" s="640"/>
      <c r="J539" s="640"/>
      <c r="K539" s="640"/>
      <c r="L539" s="640"/>
      <c r="M539" s="640"/>
      <c r="N539" s="626"/>
    </row>
    <row r="540" spans="2:14" ht="12.75" customHeight="1" x14ac:dyDescent="0.25">
      <c r="B540" s="284"/>
      <c r="C540" s="302"/>
      <c r="D540" s="364"/>
      <c r="E540" s="641" t="str">
        <f>[1]K_Summary!E530</f>
        <v>Преки емисии</v>
      </c>
      <c r="F540" s="641"/>
      <c r="G540" s="641"/>
      <c r="H540" s="642" t="str">
        <f>[1]K_Summary!H530</f>
        <v>t CO2 / година</v>
      </c>
      <c r="I540" s="499" t="str">
        <f>[1]K_Summary!I530</f>
        <v/>
      </c>
      <c r="J540" s="499" t="str">
        <f>[1]K_Summary!J530</f>
        <v/>
      </c>
      <c r="K540" s="499" t="str">
        <f>[1]K_Summary!K530</f>
        <v/>
      </c>
      <c r="L540" s="499" t="str">
        <f>[1]K_Summary!L530</f>
        <v/>
      </c>
      <c r="M540" s="499" t="str">
        <f>[1]K_Summary!M530</f>
        <v/>
      </c>
      <c r="N540" s="626"/>
    </row>
    <row r="541" spans="2:14" ht="12.75" customHeight="1" x14ac:dyDescent="0.25">
      <c r="B541" s="284"/>
      <c r="C541" s="302"/>
      <c r="D541" s="364"/>
      <c r="E541" s="641" t="str">
        <f>[1]K_Summary!E531</f>
        <v>Други потоци горива и материали пораждащи емисии — 1</v>
      </c>
      <c r="F541" s="641"/>
      <c r="G541" s="641"/>
      <c r="H541" s="642" t="str">
        <f>[1]K_Summary!H531</f>
        <v>t CO2 / година</v>
      </c>
      <c r="I541" s="499" t="str">
        <f>[1]K_Summary!I531</f>
        <v/>
      </c>
      <c r="J541" s="499" t="str">
        <f>[1]K_Summary!J531</f>
        <v/>
      </c>
      <c r="K541" s="499" t="str">
        <f>[1]K_Summary!K531</f>
        <v/>
      </c>
      <c r="L541" s="499" t="str">
        <f>[1]K_Summary!L531</f>
        <v/>
      </c>
      <c r="M541" s="499" t="str">
        <f>[1]K_Summary!M531</f>
        <v/>
      </c>
      <c r="N541" s="626"/>
    </row>
    <row r="542" spans="2:14" ht="12.75" customHeight="1" x14ac:dyDescent="0.25">
      <c r="B542" s="284"/>
      <c r="C542" s="302"/>
      <c r="D542" s="364"/>
      <c r="E542" s="641" t="str">
        <f>[1]K_Summary!E532</f>
        <v>Други потоци горива и материали пораждащи емисии — 2</v>
      </c>
      <c r="F542" s="641"/>
      <c r="G542" s="641"/>
      <c r="H542" s="642" t="str">
        <f>[1]K_Summary!H532</f>
        <v>t CO2 / година</v>
      </c>
      <c r="I542" s="499" t="str">
        <f>[1]K_Summary!I532</f>
        <v/>
      </c>
      <c r="J542" s="499" t="str">
        <f>[1]K_Summary!J532</f>
        <v/>
      </c>
      <c r="K542" s="499" t="str">
        <f>[1]K_Summary!K532</f>
        <v/>
      </c>
      <c r="L542" s="499" t="str">
        <f>[1]K_Summary!L532</f>
        <v/>
      </c>
      <c r="M542" s="499" t="str">
        <f>[1]K_Summary!M532</f>
        <v/>
      </c>
      <c r="N542" s="626"/>
    </row>
    <row r="543" spans="2:14" ht="12.75" customHeight="1" x14ac:dyDescent="0.25">
      <c r="B543" s="284"/>
      <c r="C543" s="302"/>
      <c r="D543" s="302"/>
      <c r="E543" s="641" t="str">
        <f>[1]K_Summary!E533</f>
        <v>Получени или подадени парникови газове</v>
      </c>
      <c r="F543" s="641"/>
      <c r="G543" s="641"/>
      <c r="H543" s="642" t="str">
        <f>[1]K_Summary!H533</f>
        <v>t CO2e/година</v>
      </c>
      <c r="I543" s="499" t="str">
        <f>[1]K_Summary!I533</f>
        <v/>
      </c>
      <c r="J543" s="499" t="str">
        <f>[1]K_Summary!J533</f>
        <v/>
      </c>
      <c r="K543" s="499" t="str">
        <f>[1]K_Summary!K533</f>
        <v/>
      </c>
      <c r="L543" s="499" t="str">
        <f>[1]K_Summary!L533</f>
        <v/>
      </c>
      <c r="M543" s="499" t="str">
        <f>[1]K_Summary!M533</f>
        <v/>
      </c>
      <c r="N543" s="626"/>
    </row>
    <row r="544" spans="2:14" ht="12.75" customHeight="1" x14ac:dyDescent="0.25">
      <c r="B544" s="284"/>
      <c r="C544" s="302"/>
      <c r="D544" s="302"/>
      <c r="E544" s="626"/>
      <c r="F544" s="626"/>
      <c r="G544" s="626"/>
      <c r="H544" s="626"/>
      <c r="I544" s="640"/>
      <c r="J544" s="640"/>
      <c r="K544" s="640"/>
      <c r="L544" s="640"/>
      <c r="M544" s="640"/>
      <c r="N544" s="626"/>
    </row>
    <row r="545" spans="2:14" ht="12.75" customHeight="1" x14ac:dyDescent="0.25">
      <c r="B545" s="284"/>
      <c r="C545" s="302"/>
      <c r="D545" s="302"/>
      <c r="E545" s="636" t="str">
        <f>[1]K_Summary!E535</f>
        <v>Нетно количество получена топлинна енергия</v>
      </c>
      <c r="F545" s="636"/>
      <c r="G545" s="636"/>
      <c r="H545" s="637" t="str">
        <f>[1]K_Summary!H535</f>
        <v>TJ / година</v>
      </c>
      <c r="I545" s="482" t="str">
        <f>[1]K_Summary!I535</f>
        <v/>
      </c>
      <c r="J545" s="482" t="str">
        <f>[1]K_Summary!J535</f>
        <v/>
      </c>
      <c r="K545" s="482" t="str">
        <f>[1]K_Summary!K535</f>
        <v/>
      </c>
      <c r="L545" s="482" t="str">
        <f>[1]K_Summary!L535</f>
        <v/>
      </c>
      <c r="M545" s="482" t="str">
        <f>[1]K_Summary!M535</f>
        <v/>
      </c>
      <c r="N545" s="626"/>
    </row>
    <row r="546" spans="2:14" ht="12.75" customHeight="1" x14ac:dyDescent="0.25">
      <c r="B546" s="284"/>
      <c r="C546" s="302"/>
      <c r="D546" s="302"/>
      <c r="E546" s="638" t="str">
        <f>[1]K_Summary!E536</f>
        <v>Специфичен EF (получена топлинна енергия)</v>
      </c>
      <c r="F546" s="638"/>
      <c r="G546" s="638"/>
      <c r="H546" s="639" t="str">
        <f>[1]K_Summary!H536</f>
        <v>t CO2 / TJ</v>
      </c>
      <c r="I546" s="484" t="str">
        <f>[1]K_Summary!I536</f>
        <v/>
      </c>
      <c r="J546" s="484" t="str">
        <f>[1]K_Summary!J536</f>
        <v/>
      </c>
      <c r="K546" s="484" t="str">
        <f>[1]K_Summary!K536</f>
        <v/>
      </c>
      <c r="L546" s="484" t="str">
        <f>[1]K_Summary!L536</f>
        <v/>
      </c>
      <c r="M546" s="484" t="str">
        <f>[1]K_Summary!M536</f>
        <v/>
      </c>
      <c r="N546" s="626"/>
    </row>
    <row r="547" spans="2:14" ht="12.75" customHeight="1" x14ac:dyDescent="0.25">
      <c r="B547" s="284"/>
      <c r="C547" s="302"/>
      <c r="D547" s="302"/>
      <c r="E547" s="625"/>
      <c r="F547" s="626"/>
      <c r="G547" s="626"/>
      <c r="H547" s="626"/>
      <c r="I547" s="640"/>
      <c r="J547" s="640"/>
      <c r="K547" s="640"/>
      <c r="L547" s="640"/>
      <c r="M547" s="640"/>
      <c r="N547" s="626"/>
    </row>
    <row r="548" spans="2:14" ht="12.75" customHeight="1" x14ac:dyDescent="0.25">
      <c r="B548" s="284"/>
      <c r="C548" s="302"/>
      <c r="D548" s="302"/>
      <c r="E548" s="641" t="str">
        <f>[1]K_Summary!E538</f>
        <v>Нетно количество топлинна енергия, получена от пулп</v>
      </c>
      <c r="F548" s="641"/>
      <c r="G548" s="641"/>
      <c r="H548" s="642" t="str">
        <f>[1]K_Summary!H538</f>
        <v>TJ / година</v>
      </c>
      <c r="I548" s="480" t="str">
        <f>[1]K_Summary!I538</f>
        <v/>
      </c>
      <c r="J548" s="480" t="str">
        <f>[1]K_Summary!J538</f>
        <v/>
      </c>
      <c r="K548" s="480" t="str">
        <f>[1]K_Summary!K538</f>
        <v/>
      </c>
      <c r="L548" s="480" t="str">
        <f>[1]K_Summary!L538</f>
        <v/>
      </c>
      <c r="M548" s="480" t="str">
        <f>[1]K_Summary!M538</f>
        <v/>
      </c>
      <c r="N548" s="626"/>
    </row>
    <row r="549" spans="2:14" ht="12.75" customHeight="1" x14ac:dyDescent="0.25">
      <c r="B549" s="284"/>
      <c r="C549" s="302"/>
      <c r="D549" s="302"/>
      <c r="E549" s="641" t="str">
        <f>[1]K_Summary!E539</f>
        <v>Нетно количество топлинна енергия, получена от подинсталации за азотна киселина</v>
      </c>
      <c r="F549" s="641"/>
      <c r="G549" s="641"/>
      <c r="H549" s="642" t="str">
        <f>[1]K_Summary!H539</f>
        <v>TJ / година</v>
      </c>
      <c r="I549" s="480" t="str">
        <f>[1]K_Summary!I539</f>
        <v/>
      </c>
      <c r="J549" s="480" t="str">
        <f>[1]K_Summary!J539</f>
        <v/>
      </c>
      <c r="K549" s="480" t="str">
        <f>[1]K_Summary!K539</f>
        <v/>
      </c>
      <c r="L549" s="480" t="str">
        <f>[1]K_Summary!L539</f>
        <v/>
      </c>
      <c r="M549" s="480" t="str">
        <f>[1]K_Summary!M539</f>
        <v/>
      </c>
      <c r="N549" s="626"/>
    </row>
    <row r="550" spans="2:14" ht="12.75" customHeight="1" x14ac:dyDescent="0.25">
      <c r="B550" s="284"/>
      <c r="C550" s="302"/>
      <c r="D550" s="302"/>
      <c r="E550" s="625"/>
      <c r="F550" s="625"/>
      <c r="G550" s="625"/>
      <c r="H550" s="625"/>
      <c r="I550" s="640"/>
      <c r="J550" s="640"/>
      <c r="K550" s="640"/>
      <c r="L550" s="640"/>
      <c r="M550" s="640"/>
      <c r="N550" s="626"/>
    </row>
    <row r="551" spans="2:14" ht="12.75" customHeight="1" x14ac:dyDescent="0.25">
      <c r="B551" s="284"/>
      <c r="C551" s="302"/>
      <c r="D551" s="302"/>
      <c r="E551" s="636" t="str">
        <f>[1]K_Summary!E541</f>
        <v>Нетно количество подадена топлинна енергия</v>
      </c>
      <c r="F551" s="636"/>
      <c r="G551" s="636"/>
      <c r="H551" s="637" t="str">
        <f>[1]K_Summary!H541</f>
        <v>TJ / година</v>
      </c>
      <c r="I551" s="482" t="str">
        <f>[1]K_Summary!I541</f>
        <v/>
      </c>
      <c r="J551" s="482" t="str">
        <f>[1]K_Summary!J541</f>
        <v/>
      </c>
      <c r="K551" s="482" t="str">
        <f>[1]K_Summary!K541</f>
        <v/>
      </c>
      <c r="L551" s="482" t="str">
        <f>[1]K_Summary!L541</f>
        <v/>
      </c>
      <c r="M551" s="482" t="str">
        <f>[1]K_Summary!M541</f>
        <v/>
      </c>
      <c r="N551" s="626"/>
    </row>
    <row r="552" spans="2:14" ht="12.75" customHeight="1" x14ac:dyDescent="0.25">
      <c r="B552" s="284"/>
      <c r="C552" s="302"/>
      <c r="D552" s="302"/>
      <c r="E552" s="638" t="str">
        <f>[1]K_Summary!E542</f>
        <v>Специфичен EF (подадена топлинна енергия)</v>
      </c>
      <c r="F552" s="638"/>
      <c r="G552" s="638"/>
      <c r="H552" s="639" t="str">
        <f>[1]K_Summary!H542</f>
        <v>t CO2 / TJ</v>
      </c>
      <c r="I552" s="484" t="str">
        <f>[1]K_Summary!I542</f>
        <v/>
      </c>
      <c r="J552" s="484" t="str">
        <f>[1]K_Summary!J542</f>
        <v/>
      </c>
      <c r="K552" s="484" t="str">
        <f>[1]K_Summary!K542</f>
        <v/>
      </c>
      <c r="L552" s="484" t="str">
        <f>[1]K_Summary!L542</f>
        <v/>
      </c>
      <c r="M552" s="484" t="str">
        <f>[1]K_Summary!M542</f>
        <v/>
      </c>
      <c r="N552" s="626"/>
    </row>
    <row r="553" spans="2:14" ht="12.75" customHeight="1" x14ac:dyDescent="0.25">
      <c r="B553" s="284"/>
      <c r="C553" s="302"/>
      <c r="D553" s="302"/>
      <c r="E553" s="625"/>
      <c r="F553" s="625"/>
      <c r="G553" s="625"/>
      <c r="H553" s="625"/>
      <c r="I553" s="640"/>
      <c r="J553" s="640"/>
      <c r="K553" s="640"/>
      <c r="L553" s="640"/>
      <c r="M553" s="640"/>
      <c r="N553" s="626"/>
    </row>
    <row r="554" spans="2:14" ht="12.75" customHeight="1" x14ac:dyDescent="0.25">
      <c r="B554" s="284"/>
      <c r="C554" s="302"/>
      <c r="D554" s="302"/>
      <c r="E554" s="636" t="str">
        <f>[1]K_Summary!E544</f>
        <v>Произведен отпадъчен газ</v>
      </c>
      <c r="F554" s="636"/>
      <c r="G554" s="636"/>
      <c r="H554" s="637" t="str">
        <f>[1]K_Summary!H544</f>
        <v>TJ / година</v>
      </c>
      <c r="I554" s="482" t="str">
        <f>[1]K_Summary!I544</f>
        <v/>
      </c>
      <c r="J554" s="482" t="str">
        <f>[1]K_Summary!J544</f>
        <v/>
      </c>
      <c r="K554" s="482" t="str">
        <f>[1]K_Summary!K544</f>
        <v/>
      </c>
      <c r="L554" s="482" t="str">
        <f>[1]K_Summary!L544</f>
        <v/>
      </c>
      <c r="M554" s="482" t="str">
        <f>[1]K_Summary!M544</f>
        <v/>
      </c>
      <c r="N554" s="626"/>
    </row>
    <row r="555" spans="2:14" ht="12.75" customHeight="1" x14ac:dyDescent="0.25">
      <c r="B555" s="284"/>
      <c r="C555" s="302"/>
      <c r="D555" s="302"/>
      <c r="E555" s="638" t="str">
        <f>[1]K_Summary!E545</f>
        <v>Специфичен EF (произведен отпадъчен газ)</v>
      </c>
      <c r="F555" s="638"/>
      <c r="G555" s="638"/>
      <c r="H555" s="639" t="str">
        <f>[1]K_Summary!H545</f>
        <v>t CO2 / TJ</v>
      </c>
      <c r="I555" s="484" t="str">
        <f>[1]K_Summary!I545</f>
        <v/>
      </c>
      <c r="J555" s="484" t="str">
        <f>[1]K_Summary!J545</f>
        <v/>
      </c>
      <c r="K555" s="484" t="str">
        <f>[1]K_Summary!K545</f>
        <v/>
      </c>
      <c r="L555" s="484" t="str">
        <f>[1]K_Summary!L545</f>
        <v/>
      </c>
      <c r="M555" s="484" t="str">
        <f>[1]K_Summary!M545</f>
        <v/>
      </c>
      <c r="N555" s="626"/>
    </row>
    <row r="556" spans="2:14" ht="12.75" customHeight="1" x14ac:dyDescent="0.25">
      <c r="B556" s="284"/>
      <c r="C556" s="302"/>
      <c r="D556" s="302"/>
      <c r="E556" s="636" t="str">
        <f>[1]K_Summary!E546</f>
        <v>Консумиран отпадъчен газ</v>
      </c>
      <c r="F556" s="636"/>
      <c r="G556" s="636"/>
      <c r="H556" s="637" t="str">
        <f>[1]K_Summary!H546</f>
        <v>TJ / година</v>
      </c>
      <c r="I556" s="482" t="str">
        <f>[1]K_Summary!I546</f>
        <v/>
      </c>
      <c r="J556" s="482" t="str">
        <f>[1]K_Summary!J546</f>
        <v/>
      </c>
      <c r="K556" s="482" t="str">
        <f>[1]K_Summary!K546</f>
        <v/>
      </c>
      <c r="L556" s="482" t="str">
        <f>[1]K_Summary!L546</f>
        <v/>
      </c>
      <c r="M556" s="482" t="str">
        <f>[1]K_Summary!M546</f>
        <v/>
      </c>
      <c r="N556" s="626"/>
    </row>
    <row r="557" spans="2:14" ht="12.75" customHeight="1" x14ac:dyDescent="0.25">
      <c r="B557" s="284"/>
      <c r="C557" s="302"/>
      <c r="D557" s="302"/>
      <c r="E557" s="638" t="str">
        <f>[1]K_Summary!E547</f>
        <v>Специфичен EF (консумиран отпадъчен газ)</v>
      </c>
      <c r="F557" s="638"/>
      <c r="G557" s="638"/>
      <c r="H557" s="639" t="str">
        <f>[1]K_Summary!H547</f>
        <v>t CO2 / TJ</v>
      </c>
      <c r="I557" s="484" t="str">
        <f>[1]K_Summary!I547</f>
        <v/>
      </c>
      <c r="J557" s="484" t="str">
        <f>[1]K_Summary!J547</f>
        <v/>
      </c>
      <c r="K557" s="484" t="str">
        <f>[1]K_Summary!K547</f>
        <v/>
      </c>
      <c r="L557" s="484" t="str">
        <f>[1]K_Summary!L547</f>
        <v/>
      </c>
      <c r="M557" s="484" t="str">
        <f>[1]K_Summary!M547</f>
        <v/>
      </c>
      <c r="N557" s="626"/>
    </row>
    <row r="558" spans="2:14" ht="12.75" customHeight="1" x14ac:dyDescent="0.25">
      <c r="B558" s="284"/>
      <c r="C558" s="302"/>
      <c r="D558" s="302"/>
      <c r="E558" s="636" t="str">
        <f>[1]K_Summary!E548</f>
        <v>Изгорен във факел отпадъчен газ</v>
      </c>
      <c r="F558" s="636"/>
      <c r="G558" s="636"/>
      <c r="H558" s="637" t="str">
        <f>[1]K_Summary!H548</f>
        <v>TJ / година</v>
      </c>
      <c r="I558" s="482" t="str">
        <f>[1]K_Summary!I548</f>
        <v/>
      </c>
      <c r="J558" s="482" t="str">
        <f>[1]K_Summary!J548</f>
        <v/>
      </c>
      <c r="K558" s="482" t="str">
        <f>[1]K_Summary!K548</f>
        <v/>
      </c>
      <c r="L558" s="482" t="str">
        <f>[1]K_Summary!L548</f>
        <v/>
      </c>
      <c r="M558" s="482" t="str">
        <f>[1]K_Summary!M548</f>
        <v/>
      </c>
      <c r="N558" s="626"/>
    </row>
    <row r="559" spans="2:14" ht="12.75" customHeight="1" x14ac:dyDescent="0.25">
      <c r="B559" s="284"/>
      <c r="C559" s="302"/>
      <c r="D559" s="302"/>
      <c r="E559" s="638" t="str">
        <f>[1]K_Summary!E549</f>
        <v>Специфичен EF (изгорен във факел отпадъчен газ)</v>
      </c>
      <c r="F559" s="638"/>
      <c r="G559" s="638"/>
      <c r="H559" s="639" t="str">
        <f>[1]K_Summary!H549</f>
        <v>t CO2 / TJ</v>
      </c>
      <c r="I559" s="484" t="str">
        <f>[1]K_Summary!I549</f>
        <v/>
      </c>
      <c r="J559" s="484" t="str">
        <f>[1]K_Summary!J549</f>
        <v/>
      </c>
      <c r="K559" s="484" t="str">
        <f>[1]K_Summary!K549</f>
        <v/>
      </c>
      <c r="L559" s="484" t="str">
        <f>[1]K_Summary!L549</f>
        <v/>
      </c>
      <c r="M559" s="484" t="str">
        <f>[1]K_Summary!M549</f>
        <v/>
      </c>
      <c r="N559" s="626"/>
    </row>
    <row r="560" spans="2:14" ht="12.75" customHeight="1" x14ac:dyDescent="0.25">
      <c r="B560" s="284"/>
      <c r="C560" s="302"/>
      <c r="D560" s="302"/>
      <c r="E560" s="636" t="str">
        <f>[1]K_Summary!E550</f>
        <v>Получен отпадъчен газ</v>
      </c>
      <c r="F560" s="636"/>
      <c r="G560" s="636"/>
      <c r="H560" s="637" t="str">
        <f>[1]K_Summary!H550</f>
        <v>TJ / година</v>
      </c>
      <c r="I560" s="482" t="str">
        <f>[1]K_Summary!I550</f>
        <v/>
      </c>
      <c r="J560" s="482" t="str">
        <f>[1]K_Summary!J550</f>
        <v/>
      </c>
      <c r="K560" s="482" t="str">
        <f>[1]K_Summary!K550</f>
        <v/>
      </c>
      <c r="L560" s="482" t="str">
        <f>[1]K_Summary!L550</f>
        <v/>
      </c>
      <c r="M560" s="482" t="str">
        <f>[1]K_Summary!M550</f>
        <v/>
      </c>
      <c r="N560" s="626"/>
    </row>
    <row r="561" spans="2:14" ht="12.75" customHeight="1" x14ac:dyDescent="0.25">
      <c r="B561" s="284"/>
      <c r="C561" s="302"/>
      <c r="D561" s="302"/>
      <c r="E561" s="638" t="str">
        <f>[1]K_Summary!E551</f>
        <v>Специфичен EF (получен отпадъчен газ)</v>
      </c>
      <c r="F561" s="638"/>
      <c r="G561" s="638"/>
      <c r="H561" s="639" t="str">
        <f>[1]K_Summary!H551</f>
        <v>t CO2 / TJ</v>
      </c>
      <c r="I561" s="484" t="str">
        <f>[1]K_Summary!I551</f>
        <v/>
      </c>
      <c r="J561" s="484" t="str">
        <f>[1]K_Summary!J551</f>
        <v/>
      </c>
      <c r="K561" s="484" t="str">
        <f>[1]K_Summary!K551</f>
        <v/>
      </c>
      <c r="L561" s="484" t="str">
        <f>[1]K_Summary!L551</f>
        <v/>
      </c>
      <c r="M561" s="484" t="str">
        <f>[1]K_Summary!M551</f>
        <v/>
      </c>
      <c r="N561" s="626"/>
    </row>
    <row r="562" spans="2:14" ht="12.75" customHeight="1" x14ac:dyDescent="0.25">
      <c r="B562" s="284"/>
      <c r="C562" s="302"/>
      <c r="D562" s="302"/>
      <c r="E562" s="636" t="str">
        <f>[1]K_Summary!E552</f>
        <v>Подаден отпадъчен газ</v>
      </c>
      <c r="F562" s="636"/>
      <c r="G562" s="636"/>
      <c r="H562" s="637" t="str">
        <f>[1]K_Summary!H552</f>
        <v>TJ / година</v>
      </c>
      <c r="I562" s="482" t="str">
        <f>[1]K_Summary!I552</f>
        <v/>
      </c>
      <c r="J562" s="482" t="str">
        <f>[1]K_Summary!J552</f>
        <v/>
      </c>
      <c r="K562" s="482" t="str">
        <f>[1]K_Summary!K552</f>
        <v/>
      </c>
      <c r="L562" s="482" t="str">
        <f>[1]K_Summary!L552</f>
        <v/>
      </c>
      <c r="M562" s="482" t="str">
        <f>[1]K_Summary!M552</f>
        <v/>
      </c>
      <c r="N562" s="626"/>
    </row>
    <row r="563" spans="2:14" ht="12.75" customHeight="1" x14ac:dyDescent="0.25">
      <c r="B563" s="284"/>
      <c r="C563" s="302"/>
      <c r="D563" s="302"/>
      <c r="E563" s="638" t="str">
        <f>[1]K_Summary!E553</f>
        <v>Специфичен EF (подаден отпадъчен газ)</v>
      </c>
      <c r="F563" s="638"/>
      <c r="G563" s="638"/>
      <c r="H563" s="639" t="str">
        <f>[1]K_Summary!H553</f>
        <v>t CO2 / TJ</v>
      </c>
      <c r="I563" s="484" t="str">
        <f>[1]K_Summary!I553</f>
        <v/>
      </c>
      <c r="J563" s="484" t="str">
        <f>[1]K_Summary!J553</f>
        <v/>
      </c>
      <c r="K563" s="484" t="str">
        <f>[1]K_Summary!K553</f>
        <v/>
      </c>
      <c r="L563" s="484" t="str">
        <f>[1]K_Summary!L553</f>
        <v/>
      </c>
      <c r="M563" s="484" t="str">
        <f>[1]K_Summary!M553</f>
        <v/>
      </c>
      <c r="N563" s="626"/>
    </row>
    <row r="564" spans="2:14" ht="12.75" customHeight="1" x14ac:dyDescent="0.25">
      <c r="B564" s="284"/>
      <c r="C564" s="302"/>
      <c r="D564" s="302"/>
      <c r="E564" s="625"/>
      <c r="F564" s="625"/>
      <c r="G564" s="625"/>
      <c r="H564" s="625"/>
      <c r="I564" s="640"/>
      <c r="J564" s="640"/>
      <c r="K564" s="640"/>
      <c r="L564" s="640"/>
      <c r="M564" s="640"/>
      <c r="N564" s="626"/>
    </row>
    <row r="565" spans="2:14" ht="12.75" customHeight="1" x14ac:dyDescent="0.25">
      <c r="B565" s="284"/>
      <c r="C565" s="302"/>
      <c r="D565" s="302"/>
      <c r="E565" s="641" t="str">
        <f>[1]K_Summary!E555</f>
        <v>Произведена електроенергия</v>
      </c>
      <c r="F565" s="641"/>
      <c r="G565" s="641"/>
      <c r="H565" s="642" t="str">
        <f>[1]K_Summary!H555</f>
        <v>MWh / година</v>
      </c>
      <c r="I565" s="480" t="str">
        <f>[1]K_Summary!I555</f>
        <v/>
      </c>
      <c r="J565" s="480" t="str">
        <f>[1]K_Summary!J555</f>
        <v/>
      </c>
      <c r="K565" s="480" t="str">
        <f>[1]K_Summary!K555</f>
        <v/>
      </c>
      <c r="L565" s="480" t="str">
        <f>[1]K_Summary!L555</f>
        <v/>
      </c>
      <c r="M565" s="480" t="str">
        <f>[1]K_Summary!M555</f>
        <v/>
      </c>
      <c r="N565" s="626"/>
    </row>
    <row r="566" spans="2:14" ht="12.75" customHeight="1" x14ac:dyDescent="0.25">
      <c r="B566" s="284"/>
      <c r="C566" s="302"/>
      <c r="D566" s="302"/>
      <c r="E566" s="625"/>
      <c r="F566" s="625"/>
      <c r="G566" s="625"/>
      <c r="H566" s="625"/>
      <c r="I566" s="640"/>
      <c r="J566" s="640"/>
      <c r="K566" s="640"/>
      <c r="L566" s="640"/>
      <c r="M566" s="640"/>
      <c r="N566" s="626"/>
    </row>
    <row r="567" spans="2:14" ht="12.75" customHeight="1" x14ac:dyDescent="0.25">
      <c r="B567" s="284"/>
      <c r="C567" s="302"/>
      <c r="D567" s="302"/>
      <c r="E567" s="643" t="str">
        <f>[1]K_Summary!E557</f>
        <v>Междинно получаване:</v>
      </c>
      <c r="F567" s="625"/>
      <c r="G567" s="625"/>
      <c r="H567" s="625"/>
      <c r="I567" s="640"/>
      <c r="J567" s="640"/>
      <c r="K567" s="640"/>
      <c r="L567" s="640"/>
      <c r="M567" s="640"/>
      <c r="N567" s="626"/>
    </row>
    <row r="568" spans="2:14" ht="12.75" customHeight="1" x14ac:dyDescent="0.25">
      <c r="B568" s="284"/>
      <c r="C568" s="302"/>
      <c r="D568" s="302"/>
      <c r="E568" s="381" t="str">
        <f>[1]K_Summary!E558</f>
        <v/>
      </c>
      <c r="F568" s="381"/>
      <c r="G568" s="381"/>
      <c r="H568" s="642" t="str">
        <f>[1]K_Summary!H558</f>
        <v>тона</v>
      </c>
      <c r="I568" s="499" t="str">
        <f>[1]K_Summary!I558</f>
        <v/>
      </c>
      <c r="J568" s="499" t="str">
        <f>[1]K_Summary!J558</f>
        <v/>
      </c>
      <c r="K568" s="499" t="str">
        <f>[1]K_Summary!K558</f>
        <v/>
      </c>
      <c r="L568" s="499" t="str">
        <f>[1]K_Summary!L558</f>
        <v/>
      </c>
      <c r="M568" s="499" t="str">
        <f>[1]K_Summary!M558</f>
        <v/>
      </c>
      <c r="N568" s="626"/>
    </row>
    <row r="569" spans="2:14" ht="12.75" customHeight="1" x14ac:dyDescent="0.25">
      <c r="B569" s="284"/>
      <c r="C569" s="302"/>
      <c r="D569" s="302"/>
      <c r="E569" s="381" t="str">
        <f>[1]K_Summary!E559</f>
        <v/>
      </c>
      <c r="F569" s="381"/>
      <c r="G569" s="381"/>
      <c r="H569" s="642" t="str">
        <f>[1]K_Summary!H559</f>
        <v>тона</v>
      </c>
      <c r="I569" s="499" t="str">
        <f>[1]K_Summary!I559</f>
        <v/>
      </c>
      <c r="J569" s="499" t="str">
        <f>[1]K_Summary!J559</f>
        <v/>
      </c>
      <c r="K569" s="499" t="str">
        <f>[1]K_Summary!K559</f>
        <v/>
      </c>
      <c r="L569" s="499" t="str">
        <f>[1]K_Summary!L559</f>
        <v/>
      </c>
      <c r="M569" s="499" t="str">
        <f>[1]K_Summary!M559</f>
        <v/>
      </c>
      <c r="N569" s="626"/>
    </row>
    <row r="570" spans="2:14" ht="12.75" customHeight="1" x14ac:dyDescent="0.25">
      <c r="B570" s="284"/>
      <c r="C570" s="302"/>
      <c r="D570" s="302"/>
      <c r="E570" s="643" t="str">
        <f>[1]K_Summary!E560</f>
        <v>Междинно подаване:</v>
      </c>
      <c r="F570" s="625"/>
      <c r="G570" s="625"/>
      <c r="H570" s="625"/>
      <c r="I570" s="644"/>
      <c r="J570" s="644"/>
      <c r="K570" s="644"/>
      <c r="L570" s="644"/>
      <c r="M570" s="644"/>
      <c r="N570" s="626"/>
    </row>
    <row r="571" spans="2:14" ht="12.75" customHeight="1" x14ac:dyDescent="0.25">
      <c r="B571" s="284"/>
      <c r="C571" s="302"/>
      <c r="D571" s="302"/>
      <c r="E571" s="381" t="str">
        <f>[1]K_Summary!E561</f>
        <v/>
      </c>
      <c r="F571" s="381"/>
      <c r="G571" s="381"/>
      <c r="H571" s="642" t="str">
        <f>[1]K_Summary!H561</f>
        <v>тона</v>
      </c>
      <c r="I571" s="499" t="str">
        <f>[1]K_Summary!I561</f>
        <v/>
      </c>
      <c r="J571" s="499" t="str">
        <f>[1]K_Summary!J561</f>
        <v/>
      </c>
      <c r="K571" s="499" t="str">
        <f>[1]K_Summary!K561</f>
        <v/>
      </c>
      <c r="L571" s="499" t="str">
        <f>[1]K_Summary!L561</f>
        <v/>
      </c>
      <c r="M571" s="499" t="str">
        <f>[1]K_Summary!M561</f>
        <v/>
      </c>
      <c r="N571" s="626"/>
    </row>
    <row r="572" spans="2:14" ht="12.75" customHeight="1" x14ac:dyDescent="0.25">
      <c r="B572" s="284"/>
      <c r="C572" s="302"/>
      <c r="D572" s="302"/>
      <c r="E572" s="381" t="str">
        <f>[1]K_Summary!E562</f>
        <v/>
      </c>
      <c r="F572" s="381"/>
      <c r="G572" s="381"/>
      <c r="H572" s="642" t="str">
        <f>[1]K_Summary!H562</f>
        <v>тона</v>
      </c>
      <c r="I572" s="499" t="str">
        <f>[1]K_Summary!I562</f>
        <v/>
      </c>
      <c r="J572" s="499" t="str">
        <f>[1]K_Summary!J562</f>
        <v/>
      </c>
      <c r="K572" s="499" t="str">
        <f>[1]K_Summary!K562</f>
        <v/>
      </c>
      <c r="L572" s="499" t="str">
        <f>[1]K_Summary!L562</f>
        <v/>
      </c>
      <c r="M572" s="499" t="str">
        <f>[1]K_Summary!M562</f>
        <v/>
      </c>
      <c r="N572" s="626"/>
    </row>
    <row r="573" spans="2:14" ht="12.75" customHeight="1" x14ac:dyDescent="0.25">
      <c r="B573" s="284"/>
      <c r="C573" s="302"/>
      <c r="D573" s="302"/>
      <c r="E573" s="625"/>
      <c r="F573" s="625"/>
      <c r="G573" s="625"/>
      <c r="H573" s="625"/>
      <c r="I573" s="626"/>
      <c r="J573" s="626"/>
      <c r="K573" s="626"/>
      <c r="L573" s="626"/>
      <c r="M573" s="626"/>
      <c r="N573" s="626"/>
    </row>
    <row r="574" spans="2:14" ht="12.75" customHeight="1" x14ac:dyDescent="0.25">
      <c r="B574" s="284"/>
      <c r="C574" s="302"/>
      <c r="D574" s="302"/>
      <c r="E574" s="645" t="str">
        <f>[1]K_Summary!E564</f>
        <v>Корекции за актуализиране на показателя при специфичен показател, когато е приложимо</v>
      </c>
      <c r="F574" s="645"/>
      <c r="G574" s="645"/>
      <c r="H574" s="645"/>
      <c r="I574" s="645"/>
      <c r="J574" s="645"/>
      <c r="K574" s="645"/>
      <c r="L574" s="645"/>
      <c r="M574" s="645"/>
      <c r="N574" s="626"/>
    </row>
    <row r="575" spans="2:14" ht="12.75" customHeight="1" x14ac:dyDescent="0.25">
      <c r="B575" s="284"/>
      <c r="C575" s="302"/>
      <c r="D575" s="302"/>
      <c r="E575" s="641" t="str">
        <f>[1]K_Summary!E565</f>
        <v>Общо количество произведен пулп</v>
      </c>
      <c r="F575" s="641"/>
      <c r="G575" s="641"/>
      <c r="H575" s="642" t="str">
        <f>[1]K_Summary!H565</f>
        <v>тона</v>
      </c>
      <c r="I575" s="499" t="str">
        <f>[1]K_Summary!I565</f>
        <v/>
      </c>
      <c r="J575" s="499" t="str">
        <f>[1]K_Summary!J565</f>
        <v/>
      </c>
      <c r="K575" s="499" t="str">
        <f>[1]K_Summary!K565</f>
        <v/>
      </c>
      <c r="L575" s="499" t="str">
        <f>[1]K_Summary!L565</f>
        <v/>
      </c>
      <c r="M575" s="499" t="str">
        <f>[1]K_Summary!M565</f>
        <v/>
      </c>
      <c r="N575" s="626"/>
    </row>
    <row r="576" spans="2:14" ht="12.75" customHeight="1" x14ac:dyDescent="0.25">
      <c r="B576" s="284"/>
      <c r="C576" s="302"/>
      <c r="D576" s="302"/>
      <c r="E576" s="625"/>
      <c r="F576" s="625"/>
      <c r="G576" s="625"/>
      <c r="H576" s="625"/>
      <c r="I576" s="644"/>
      <c r="J576" s="644"/>
      <c r="K576" s="644"/>
      <c r="L576" s="644"/>
      <c r="M576" s="644"/>
      <c r="N576" s="626"/>
    </row>
    <row r="577" spans="2:19" ht="12.75" customHeight="1" x14ac:dyDescent="0.25">
      <c r="B577" s="284"/>
      <c r="C577" s="302"/>
      <c r="D577" s="302"/>
      <c r="E577" s="641" t="str">
        <f>[1]K_Summary!E567</f>
        <v>Производство на водород (действително + теоретично)</v>
      </c>
      <c r="F577" s="641"/>
      <c r="G577" s="641"/>
      <c r="H577" s="642" t="str">
        <f>[1]K_Summary!H567</f>
        <v>тона</v>
      </c>
      <c r="I577" s="499" t="str">
        <f>[1]K_Summary!I567</f>
        <v/>
      </c>
      <c r="J577" s="499" t="str">
        <f>[1]K_Summary!J567</f>
        <v/>
      </c>
      <c r="K577" s="499" t="str">
        <f>[1]K_Summary!K567</f>
        <v/>
      </c>
      <c r="L577" s="499" t="str">
        <f>[1]K_Summary!L567</f>
        <v/>
      </c>
      <c r="M577" s="499" t="str">
        <f>[1]K_Summary!M567</f>
        <v/>
      </c>
      <c r="N577" s="626"/>
    </row>
    <row r="578" spans="2:19" ht="12.75" customHeight="1" x14ac:dyDescent="0.25">
      <c r="B578" s="284"/>
      <c r="C578" s="302"/>
      <c r="D578" s="302"/>
      <c r="E578" s="641" t="str">
        <f>[1]K_Summary!E568</f>
        <v>Емисии във връзка с водород</v>
      </c>
      <c r="F578" s="641"/>
      <c r="G578" s="641"/>
      <c r="H578" s="642" t="str">
        <f>[1]K_Summary!H568</f>
        <v>t CO2 / година</v>
      </c>
      <c r="I578" s="499" t="str">
        <f>[1]K_Summary!I568</f>
        <v/>
      </c>
      <c r="J578" s="499" t="str">
        <f>[1]K_Summary!J568</f>
        <v/>
      </c>
      <c r="K578" s="499" t="str">
        <f>[1]K_Summary!K568</f>
        <v/>
      </c>
      <c r="L578" s="499" t="str">
        <f>[1]K_Summary!L568</f>
        <v/>
      </c>
      <c r="M578" s="499" t="str">
        <f>[1]K_Summary!M568</f>
        <v/>
      </c>
      <c r="N578" s="626"/>
    </row>
    <row r="579" spans="2:19" ht="12.75" customHeight="1" x14ac:dyDescent="0.25">
      <c r="B579" s="284"/>
      <c r="C579" s="302"/>
      <c r="D579" s="302"/>
      <c r="E579" s="625"/>
      <c r="F579" s="625"/>
      <c r="G579" s="625"/>
      <c r="H579" s="625"/>
      <c r="I579" s="644"/>
      <c r="J579" s="644"/>
      <c r="K579" s="644"/>
      <c r="L579" s="644"/>
      <c r="M579" s="644"/>
      <c r="N579" s="626"/>
    </row>
    <row r="580" spans="2:19" ht="12.75" customHeight="1" x14ac:dyDescent="0.25">
      <c r="B580" s="284"/>
      <c r="C580" s="302"/>
      <c r="D580" s="302"/>
      <c r="E580" s="641" t="str">
        <f>[1]K_Summary!E570</f>
        <v>Корекция на емисиите във връзка с HVC</v>
      </c>
      <c r="F580" s="641"/>
      <c r="G580" s="641"/>
      <c r="H580" s="642" t="str">
        <f>[1]K_Summary!H570</f>
        <v>t CO2 / година</v>
      </c>
      <c r="I580" s="499" t="str">
        <f>[1]K_Summary!I570</f>
        <v/>
      </c>
      <c r="J580" s="499" t="str">
        <f>[1]K_Summary!J570</f>
        <v/>
      </c>
      <c r="K580" s="499" t="str">
        <f>[1]K_Summary!K570</f>
        <v/>
      </c>
      <c r="L580" s="499" t="str">
        <f>[1]K_Summary!L570</f>
        <v/>
      </c>
      <c r="M580" s="499" t="str">
        <f>[1]K_Summary!M570</f>
        <v/>
      </c>
      <c r="N580" s="626"/>
    </row>
    <row r="581" spans="2:19" ht="12.75" customHeight="1" x14ac:dyDescent="0.25">
      <c r="B581" s="284"/>
      <c r="C581" s="302"/>
      <c r="D581" s="302"/>
      <c r="E581" s="625"/>
      <c r="F581" s="625"/>
      <c r="G581" s="625"/>
      <c r="H581" s="625"/>
      <c r="I581" s="644"/>
      <c r="J581" s="644"/>
      <c r="K581" s="644"/>
      <c r="L581" s="644"/>
      <c r="M581" s="644"/>
      <c r="N581" s="626"/>
    </row>
    <row r="582" spans="2:19" ht="12.75" customHeight="1" x14ac:dyDescent="0.25">
      <c r="B582" s="284"/>
      <c r="C582" s="302"/>
      <c r="D582" s="302"/>
      <c r="E582" s="641" t="str">
        <f>[1]K_Summary!E572</f>
        <v>Корекция на емисиите във връзка с VCM</v>
      </c>
      <c r="F582" s="641"/>
      <c r="G582" s="641"/>
      <c r="H582" s="642" t="str">
        <f>[1]K_Summary!H572</f>
        <v>t CO2 / година</v>
      </c>
      <c r="I582" s="499" t="str">
        <f>[1]K_Summary!I572</f>
        <v/>
      </c>
      <c r="J582" s="499" t="str">
        <f>[1]K_Summary!J572</f>
        <v/>
      </c>
      <c r="K582" s="499" t="str">
        <f>[1]K_Summary!K572</f>
        <v/>
      </c>
      <c r="L582" s="499" t="str">
        <f>[1]K_Summary!L572</f>
        <v/>
      </c>
      <c r="M582" s="499" t="str">
        <f>[1]K_Summary!M572</f>
        <v/>
      </c>
      <c r="N582" s="626"/>
    </row>
    <row r="583" spans="2:19" ht="12.75" customHeight="1" x14ac:dyDescent="0.25">
      <c r="B583" s="284"/>
      <c r="C583" s="302"/>
      <c r="D583" s="302"/>
      <c r="E583" s="625"/>
      <c r="F583" s="625"/>
      <c r="G583" s="625"/>
      <c r="H583" s="625"/>
      <c r="I583" s="626"/>
      <c r="J583" s="626"/>
      <c r="K583" s="626"/>
      <c r="L583" s="626"/>
      <c r="M583" s="626"/>
      <c r="N583" s="626"/>
    </row>
    <row r="584" spans="2:19" ht="12.75" customHeight="1" thickBot="1" x14ac:dyDescent="0.3">
      <c r="B584" s="284"/>
      <c r="C584" s="302"/>
      <c r="D584" s="302"/>
      <c r="E584" s="646"/>
      <c r="F584" s="364"/>
      <c r="G584" s="364"/>
      <c r="H584" s="364"/>
      <c r="I584" s="364"/>
      <c r="J584" s="364"/>
      <c r="K584" s="364"/>
      <c r="L584" s="364"/>
      <c r="M584" s="364"/>
      <c r="N584" s="364"/>
    </row>
    <row r="585" spans="2:19" ht="12.75" customHeight="1" x14ac:dyDescent="0.25">
      <c r="B585" s="284"/>
      <c r="C585" s="581"/>
      <c r="D585" s="581"/>
      <c r="E585" s="581"/>
      <c r="F585" s="581"/>
      <c r="G585" s="581"/>
      <c r="H585" s="581"/>
      <c r="I585" s="581"/>
      <c r="J585" s="581"/>
      <c r="K585" s="581"/>
      <c r="L585" s="581"/>
      <c r="M585" s="581"/>
      <c r="N585" s="581"/>
    </row>
    <row r="586" spans="2:19" ht="12.75" customHeight="1" x14ac:dyDescent="0.3">
      <c r="B586" s="284"/>
      <c r="C586" s="357">
        <f>[1]K_Summary!C576</f>
        <v>2</v>
      </c>
      <c r="D586" s="590" t="str">
        <f>[1]K_Summary!D576</f>
        <v>Подинсталация с продуктов показател 2:</v>
      </c>
      <c r="E586" s="590"/>
      <c r="F586" s="590"/>
      <c r="G586" s="590"/>
      <c r="H586" s="591"/>
      <c r="I586" s="592" t="str">
        <f>[1]K_Summary!I576</f>
        <v/>
      </c>
      <c r="J586" s="593"/>
      <c r="K586" s="593"/>
      <c r="L586" s="593"/>
      <c r="M586" s="593"/>
      <c r="N586" s="594"/>
    </row>
    <row r="587" spans="2:19" ht="12.75" customHeight="1" thickBot="1" x14ac:dyDescent="0.3">
      <c r="B587" s="284"/>
      <c r="C587" s="302"/>
      <c r="D587" s="302"/>
      <c r="E587" s="302"/>
      <c r="F587" s="302"/>
      <c r="G587" s="302"/>
      <c r="H587" s="302"/>
      <c r="I587" s="302"/>
      <c r="J587" s="302"/>
      <c r="K587" s="302"/>
      <c r="L587" s="302"/>
      <c r="M587" s="302"/>
      <c r="N587" s="302"/>
    </row>
    <row r="588" spans="2:19" ht="12.75" customHeight="1" x14ac:dyDescent="0.25">
      <c r="B588" s="284"/>
      <c r="C588" s="302"/>
      <c r="D588" s="302"/>
      <c r="E588" s="302"/>
      <c r="F588" s="302"/>
      <c r="G588" s="302"/>
      <c r="H588" s="595" t="str">
        <f>[1]K_Summary!H578</f>
        <v>Риск от ИВЕ</v>
      </c>
      <c r="I588" s="302"/>
      <c r="J588" s="596" t="str">
        <f>[1]K_Summary!J578</f>
        <v>В/Е</v>
      </c>
      <c r="K588" s="596" t="str">
        <f>[1]K_Summary!K578</f>
        <v>№ на п-л</v>
      </c>
      <c r="L588" s="597" t="str">
        <f>[1]K_Summary!L578</f>
        <v>15(7).3?</v>
      </c>
      <c r="M588" s="598" t="str">
        <f>[1]K_Summary!M578</f>
        <v>Стойност на показател (мин/макс/действ.)</v>
      </c>
      <c r="N588" s="599"/>
    </row>
    <row r="589" spans="2:19" ht="12.75" customHeight="1" x14ac:dyDescent="0.25">
      <c r="B589" s="284"/>
      <c r="C589" s="302"/>
      <c r="D589" s="302"/>
      <c r="E589" s="361" t="str">
        <f>[1]K_Summary!E579</f>
        <v/>
      </c>
      <c r="F589" s="373"/>
      <c r="G589" s="362"/>
      <c r="H589" s="600" t="str">
        <f>[1]K_Summary!H579</f>
        <v>Не е приложимо</v>
      </c>
      <c r="I589" s="302"/>
      <c r="J589" s="601" t="str">
        <f>[1]K_Summary!J579</f>
        <v>Не е приложимо</v>
      </c>
      <c r="K589" s="406" t="str">
        <f>[1]K_Summary!K579</f>
        <v>Не е приложимо</v>
      </c>
      <c r="L589" s="602" t="str">
        <f>[1]K_Summary!L579</f>
        <v/>
      </c>
      <c r="M589" s="603" t="str">
        <f>[1]K_Summary!M579</f>
        <v>Не е приложимо</v>
      </c>
      <c r="N589" s="604" t="str">
        <f>[1]K_Summary!N579</f>
        <v>Квота за емисии/тона</v>
      </c>
    </row>
    <row r="590" spans="2:19" ht="12.75" customHeight="1" x14ac:dyDescent="0.25">
      <c r="B590" s="284"/>
      <c r="C590" s="302"/>
      <c r="D590" s="302"/>
      <c r="E590" s="364"/>
      <c r="F590" s="364"/>
      <c r="G590" s="596" t="str">
        <f>[1]K_Summary!G580</f>
        <v>топл. ен. извън СТЕ</v>
      </c>
      <c r="H590" s="595" t="str">
        <f>[1]K_Summary!H580</f>
        <v>CBAM</v>
      </c>
      <c r="I590" s="597" t="str">
        <f>[1]K_Summary!I580</f>
        <v>WGflare</v>
      </c>
      <c r="J590" s="596" t="str">
        <f>[1]K_Summary!J580</f>
        <v>HVC-Corr</v>
      </c>
      <c r="K590" s="596" t="str">
        <f>[1]K_Summary!K580</f>
        <v>VCM-F</v>
      </c>
      <c r="L590" s="302"/>
      <c r="M590" s="603" t="str">
        <f>[1]K_Summary!M580</f>
        <v>Не е приложимо</v>
      </c>
      <c r="N590" s="604" t="str">
        <f>[1]K_Summary!N580</f>
        <v>Квота за емисии/тона</v>
      </c>
      <c r="R590" s="605" t="str">
        <f>[1]K_Summary!R580</f>
        <v>No. BM</v>
      </c>
      <c r="S590" s="606" t="str">
        <f>[1]K_Summary!S580</f>
        <v>Не е приложимо</v>
      </c>
    </row>
    <row r="591" spans="2:19" ht="12.75" customHeight="1" thickBot="1" x14ac:dyDescent="0.3">
      <c r="B591" s="284"/>
      <c r="C591" s="302"/>
      <c r="D591" s="302"/>
      <c r="E591" s="607" t="str">
        <f>[1]K_Summary!E581</f>
        <v>Специфични коефициенти:</v>
      </c>
      <c r="F591" s="607"/>
      <c r="G591" s="406" t="str">
        <f>[1]K_Summary!G581</f>
        <v/>
      </c>
      <c r="H591" s="600" t="str">
        <f>[1]K_Summary!H581</f>
        <v>Не е приложимо</v>
      </c>
      <c r="I591" s="608" t="str">
        <f>[1]K_Summary!I581</f>
        <v/>
      </c>
      <c r="J591" s="406" t="str">
        <f>[1]K_Summary!J581</f>
        <v/>
      </c>
      <c r="K591" s="609" t="str">
        <f>[1]K_Summary!K581</f>
        <v/>
      </c>
      <c r="L591" s="302"/>
      <c r="M591" s="610" t="str">
        <f>[1]K_Summary!M581</f>
        <v>Не е приложимо</v>
      </c>
      <c r="N591" s="611" t="str">
        <f>[1]K_Summary!N581</f>
        <v>Квота за емисии/тона</v>
      </c>
      <c r="P591" s="612" t="b">
        <f>IF(ISNUMBER(K589),INDEX(EUconst_BMlistBMvalues,MATCH(K589,EUconst_BMlistMainNumberOfBM,0))&lt;&gt;M591,FALSE)</f>
        <v>0</v>
      </c>
    </row>
    <row r="592" spans="2:19" ht="12.75" customHeight="1" x14ac:dyDescent="0.25">
      <c r="B592" s="284"/>
      <c r="C592" s="302"/>
      <c r="D592" s="302"/>
      <c r="E592" s="302"/>
      <c r="F592" s="302"/>
      <c r="G592" s="302"/>
      <c r="H592" s="302"/>
      <c r="I592" s="302"/>
      <c r="J592" s="302"/>
      <c r="K592" s="302"/>
      <c r="L592" s="302"/>
      <c r="M592" s="302"/>
      <c r="N592" s="302"/>
    </row>
    <row r="593" spans="2:14" ht="12.75" customHeight="1" x14ac:dyDescent="0.25">
      <c r="B593" s="284"/>
      <c r="C593" s="302"/>
      <c r="D593" s="302"/>
      <c r="E593" s="498"/>
      <c r="F593" s="498"/>
      <c r="G593" s="380"/>
      <c r="H593" s="613" t="str">
        <f>[1]K_Summary!H583</f>
        <v>Единица мярка</v>
      </c>
      <c r="I593" s="387">
        <f>[1]K_Summary!I583</f>
        <v>2019</v>
      </c>
      <c r="J593" s="387">
        <f>[1]K_Summary!J583</f>
        <v>2020</v>
      </c>
      <c r="K593" s="387">
        <f>[1]K_Summary!K583</f>
        <v>2021</v>
      </c>
      <c r="L593" s="387">
        <f>[1]K_Summary!L583</f>
        <v>2022</v>
      </c>
      <c r="M593" s="387">
        <f>[1]K_Summary!M583</f>
        <v>2023</v>
      </c>
      <c r="N593" s="302"/>
    </row>
    <row r="594" spans="2:14" ht="12.75" customHeight="1" x14ac:dyDescent="0.25">
      <c r="B594" s="284"/>
      <c r="C594" s="302"/>
      <c r="D594" s="302"/>
      <c r="E594" s="614" t="str">
        <f>[1]K_Summary!E584</f>
        <v>Отчетено HAL (историческо равнище на дейност)</v>
      </c>
      <c r="F594" s="388"/>
      <c r="G594" s="615"/>
      <c r="H594" s="600" t="str">
        <f>[1]K_Summary!H584</f>
        <v>тона</v>
      </c>
      <c r="I594" s="406" t="str">
        <f>[1]K_Summary!I584</f>
        <v/>
      </c>
      <c r="J594" s="406" t="str">
        <f>[1]K_Summary!J584</f>
        <v/>
      </c>
      <c r="K594" s="406" t="str">
        <f>[1]K_Summary!K584</f>
        <v/>
      </c>
      <c r="L594" s="406" t="str">
        <f>[1]K_Summary!L584</f>
        <v/>
      </c>
      <c r="M594" s="406" t="str">
        <f>[1]K_Summary!M584</f>
        <v/>
      </c>
      <c r="N594" s="596" t="str">
        <f>[1]K_Summary!N584</f>
        <v>Median</v>
      </c>
    </row>
    <row r="595" spans="2:14" ht="12.75" customHeight="1" x14ac:dyDescent="0.25">
      <c r="B595" s="284"/>
      <c r="C595" s="302"/>
      <c r="D595" s="302"/>
      <c r="E595" s="614" t="str">
        <f>[1]K_Summary!E585</f>
        <v>Стойности, използвани за изчислението на HAL:</v>
      </c>
      <c r="F595" s="388"/>
      <c r="G595" s="615"/>
      <c r="H595" s="600" t="str">
        <f>[1]K_Summary!H585</f>
        <v>тона</v>
      </c>
      <c r="I595" s="406" t="str">
        <f>[1]K_Summary!I585</f>
        <v/>
      </c>
      <c r="J595" s="406" t="str">
        <f>[1]K_Summary!J585</f>
        <v/>
      </c>
      <c r="K595" s="406" t="str">
        <f>[1]K_Summary!K585</f>
        <v/>
      </c>
      <c r="L595" s="406" t="str">
        <f>[1]K_Summary!L585</f>
        <v/>
      </c>
      <c r="M595" s="406" t="str">
        <f>[1]K_Summary!M585</f>
        <v/>
      </c>
      <c r="N595" s="406" t="str">
        <f>[1]K_Summary!N585</f>
        <v/>
      </c>
    </row>
    <row r="596" spans="2:14" ht="12.75" customHeight="1" x14ac:dyDescent="0.25">
      <c r="B596" s="284"/>
      <c r="C596" s="302"/>
      <c r="D596" s="302"/>
      <c r="E596" s="360"/>
      <c r="F596" s="360"/>
      <c r="G596" s="360"/>
      <c r="H596" s="360"/>
      <c r="I596" s="360"/>
      <c r="J596" s="360"/>
      <c r="K596" s="360"/>
      <c r="L596" s="360"/>
      <c r="M596" s="364"/>
      <c r="N596" s="364"/>
    </row>
    <row r="597" spans="2:14" ht="12.75" customHeight="1" x14ac:dyDescent="0.25">
      <c r="B597" s="284"/>
      <c r="C597" s="302"/>
      <c r="D597" s="302"/>
      <c r="E597" s="616" t="str">
        <f>[1]K_Summary!E587</f>
        <v>Съответно потребление на електроенергия</v>
      </c>
      <c r="F597" s="616"/>
      <c r="G597" s="616"/>
      <c r="H597" s="617" t="str">
        <f>[1]K_Summary!H587</f>
        <v>MWh / година</v>
      </c>
      <c r="I597" s="618" t="str">
        <f>[1]K_Summary!I587</f>
        <v/>
      </c>
      <c r="J597" s="618" t="str">
        <f>[1]K_Summary!J587</f>
        <v/>
      </c>
      <c r="K597" s="618" t="str">
        <f>[1]K_Summary!K587</f>
        <v/>
      </c>
      <c r="L597" s="618" t="str">
        <f>[1]K_Summary!L587</f>
        <v/>
      </c>
      <c r="M597" s="618" t="str">
        <f>[1]K_Summary!M587</f>
        <v/>
      </c>
      <c r="N597" s="302"/>
    </row>
    <row r="598" spans="2:14" ht="12.75" customHeight="1" x14ac:dyDescent="0.25">
      <c r="B598" s="284"/>
      <c r="C598" s="302"/>
      <c r="D598" s="302"/>
      <c r="E598" s="360"/>
      <c r="F598" s="360"/>
      <c r="G598" s="360"/>
      <c r="H598" s="360"/>
      <c r="I598" s="360"/>
      <c r="J598" s="360"/>
      <c r="K598" s="360"/>
      <c r="L598" s="360"/>
      <c r="M598" s="364"/>
      <c r="N598" s="364"/>
    </row>
    <row r="599" spans="2:14" ht="12.75" customHeight="1" thickBot="1" x14ac:dyDescent="0.3">
      <c r="B599" s="284"/>
      <c r="C599" s="364"/>
      <c r="D599" s="302"/>
      <c r="E599" s="360"/>
      <c r="F599" s="619" t="str">
        <f>[1]K_Summary!F589</f>
        <v>Общо HAL</v>
      </c>
      <c r="G599" s="620"/>
      <c r="H599" s="364"/>
      <c r="I599" s="619" t="str">
        <f>[1]K_Summary!I589</f>
        <v>Предв. разпр. за год. 1 (мин)</v>
      </c>
      <c r="J599" s="620"/>
      <c r="K599" s="619" t="str">
        <f>[1]K_Summary!K589</f>
        <v>Предв. разпр. за год. 1 (макс)</v>
      </c>
      <c r="L599" s="620"/>
      <c r="M599" s="619" t="str">
        <f>[1]K_Summary!M589</f>
        <v>Предв. разпр. за год. 1 (действ.)</v>
      </c>
      <c r="N599" s="620"/>
    </row>
    <row r="600" spans="2:14" ht="12.75" customHeight="1" thickBot="1" x14ac:dyDescent="0.3">
      <c r="B600" s="284"/>
      <c r="C600" s="364"/>
      <c r="D600" s="364"/>
      <c r="E600" s="360"/>
      <c r="F600" s="621" t="str">
        <f>[1]K_Summary!F590</f>
        <v/>
      </c>
      <c r="G600" s="622" t="str">
        <f>[1]K_Summary!G590</f>
        <v>тона / година</v>
      </c>
      <c r="H600" s="364"/>
      <c r="I600" s="623" t="str">
        <f>[1]K_Summary!I590</f>
        <v/>
      </c>
      <c r="J600" s="624" t="str">
        <f>[1]K_Summary!J590</f>
        <v>Квота за емисии / година</v>
      </c>
      <c r="K600" s="623" t="str">
        <f>[1]K_Summary!K590</f>
        <v/>
      </c>
      <c r="L600" s="624" t="str">
        <f>[1]K_Summary!L590</f>
        <v>Квота за емисии / година</v>
      </c>
      <c r="M600" s="623" t="str">
        <f>[1]K_Summary!M590</f>
        <v/>
      </c>
      <c r="N600" s="624" t="str">
        <f>[1]K_Summary!N590</f>
        <v>Квота за емисии / година</v>
      </c>
    </row>
    <row r="601" spans="2:14" ht="12.75" customHeight="1" x14ac:dyDescent="0.25">
      <c r="B601" s="284"/>
      <c r="C601" s="302"/>
      <c r="D601" s="364"/>
      <c r="E601" s="360"/>
      <c r="F601" s="302"/>
      <c r="G601" s="302"/>
      <c r="H601" s="302"/>
      <c r="I601" s="302"/>
      <c r="J601" s="302"/>
      <c r="K601" s="302"/>
      <c r="L601" s="302"/>
      <c r="M601" s="302"/>
      <c r="N601" s="302"/>
    </row>
    <row r="602" spans="2:14" ht="12.75" customHeight="1" x14ac:dyDescent="0.25">
      <c r="B602" s="284"/>
      <c r="C602" s="302"/>
      <c r="D602" s="302"/>
      <c r="E602" s="625"/>
      <c r="F602" s="626"/>
      <c r="G602" s="626"/>
      <c r="H602" s="626"/>
      <c r="I602" s="626"/>
      <c r="J602" s="626"/>
      <c r="K602" s="626"/>
      <c r="L602" s="626"/>
      <c r="M602" s="626"/>
      <c r="N602" s="626"/>
    </row>
    <row r="603" spans="2:14" ht="12.75" customHeight="1" thickBot="1" x14ac:dyDescent="0.3">
      <c r="B603" s="284"/>
      <c r="C603" s="302"/>
      <c r="D603" s="302"/>
      <c r="E603" s="625"/>
      <c r="F603" s="626"/>
      <c r="G603" s="626"/>
      <c r="H603" s="627" t="str">
        <f>[1]K_Summary!H593</f>
        <v>Единица мярка</v>
      </c>
      <c r="I603" s="628">
        <f>[1]K_Summary!I593</f>
        <v>2019</v>
      </c>
      <c r="J603" s="629">
        <f>[1]K_Summary!J593</f>
        <v>2020</v>
      </c>
      <c r="K603" s="629">
        <f>[1]K_Summary!K593</f>
        <v>2021</v>
      </c>
      <c r="L603" s="629">
        <f>[1]K_Summary!L593</f>
        <v>2022</v>
      </c>
      <c r="M603" s="629">
        <f>[1]K_Summary!M593</f>
        <v>2023</v>
      </c>
      <c r="N603" s="626"/>
    </row>
    <row r="604" spans="2:14" ht="12.75" customHeight="1" thickBot="1" x14ac:dyDescent="0.3">
      <c r="B604" s="284"/>
      <c r="C604" s="302"/>
      <c r="D604" s="302"/>
      <c r="E604" s="630" t="str">
        <f>[1]K_Summary!E594</f>
        <v>Общо зададени емисии</v>
      </c>
      <c r="F604" s="630"/>
      <c r="G604" s="630"/>
      <c r="H604" s="631" t="str">
        <f>[1]K_Summary!H594</f>
        <v>t CO2e/година</v>
      </c>
      <c r="I604" s="632" t="str">
        <f>[1]K_Summary!I594</f>
        <v/>
      </c>
      <c r="J604" s="633" t="str">
        <f>[1]K_Summary!J594</f>
        <v/>
      </c>
      <c r="K604" s="633" t="str">
        <f>[1]K_Summary!K594</f>
        <v/>
      </c>
      <c r="L604" s="633" t="str">
        <f>[1]K_Summary!L594</f>
        <v/>
      </c>
      <c r="M604" s="634" t="str">
        <f>[1]K_Summary!M594</f>
        <v/>
      </c>
      <c r="N604" s="626"/>
    </row>
    <row r="605" spans="2:14" ht="12.75" customHeight="1" x14ac:dyDescent="0.25">
      <c r="B605" s="284"/>
      <c r="C605" s="302"/>
      <c r="D605" s="302"/>
      <c r="E605" s="625"/>
      <c r="F605" s="625"/>
      <c r="G605" s="625"/>
      <c r="H605" s="625"/>
      <c r="I605" s="635"/>
      <c r="J605" s="635"/>
      <c r="K605" s="635"/>
      <c r="L605" s="635"/>
      <c r="M605" s="635"/>
      <c r="N605" s="625"/>
    </row>
    <row r="606" spans="2:14" ht="12.75" customHeight="1" x14ac:dyDescent="0.25">
      <c r="B606" s="284"/>
      <c r="C606" s="302"/>
      <c r="D606" s="302"/>
      <c r="E606" s="636" t="str">
        <f>[1]K_Summary!E596</f>
        <v>Обща вложена енергия</v>
      </c>
      <c r="F606" s="636"/>
      <c r="G606" s="636"/>
      <c r="H606" s="637" t="str">
        <f>[1]K_Summary!H596</f>
        <v>TJ / година</v>
      </c>
      <c r="I606" s="482" t="str">
        <f>[1]K_Summary!I596</f>
        <v/>
      </c>
      <c r="J606" s="482" t="str">
        <f>[1]K_Summary!J596</f>
        <v/>
      </c>
      <c r="K606" s="482" t="str">
        <f>[1]K_Summary!K596</f>
        <v/>
      </c>
      <c r="L606" s="482" t="str">
        <f>[1]K_Summary!L596</f>
        <v/>
      </c>
      <c r="M606" s="482" t="str">
        <f>[1]K_Summary!M596</f>
        <v/>
      </c>
      <c r="N606" s="626"/>
    </row>
    <row r="607" spans="2:14" ht="12.75" customHeight="1" x14ac:dyDescent="0.25">
      <c r="B607" s="284"/>
      <c r="C607" s="302"/>
      <c r="D607" s="302"/>
      <c r="E607" s="638" t="str">
        <f>[1]K_Summary!E597</f>
        <v>Претеглен емисионен фактор</v>
      </c>
      <c r="F607" s="638"/>
      <c r="G607" s="638"/>
      <c r="H607" s="639" t="str">
        <f>[1]K_Summary!H597</f>
        <v>t CO2 / TJ</v>
      </c>
      <c r="I607" s="484" t="str">
        <f>[1]K_Summary!I597</f>
        <v/>
      </c>
      <c r="J607" s="484" t="str">
        <f>[1]K_Summary!J597</f>
        <v/>
      </c>
      <c r="K607" s="484" t="str">
        <f>[1]K_Summary!K597</f>
        <v/>
      </c>
      <c r="L607" s="484" t="str">
        <f>[1]K_Summary!L597</f>
        <v/>
      </c>
      <c r="M607" s="484" t="str">
        <f>[1]K_Summary!M597</f>
        <v/>
      </c>
      <c r="N607" s="626"/>
    </row>
    <row r="608" spans="2:14" ht="12.75" customHeight="1" x14ac:dyDescent="0.25">
      <c r="B608" s="284"/>
      <c r="C608" s="302"/>
      <c r="D608" s="364"/>
      <c r="E608" s="625"/>
      <c r="F608" s="626"/>
      <c r="G608" s="626"/>
      <c r="H608" s="626"/>
      <c r="I608" s="640"/>
      <c r="J608" s="640"/>
      <c r="K608" s="640"/>
      <c r="L608" s="640"/>
      <c r="M608" s="640"/>
      <c r="N608" s="626"/>
    </row>
    <row r="609" spans="2:14" ht="12.75" customHeight="1" x14ac:dyDescent="0.25">
      <c r="B609" s="284"/>
      <c r="C609" s="302"/>
      <c r="D609" s="364"/>
      <c r="E609" s="641" t="str">
        <f>[1]K_Summary!E599</f>
        <v>Преки емисии</v>
      </c>
      <c r="F609" s="641"/>
      <c r="G609" s="641"/>
      <c r="H609" s="642" t="str">
        <f>[1]K_Summary!H599</f>
        <v>t CO2 / година</v>
      </c>
      <c r="I609" s="499" t="str">
        <f>[1]K_Summary!I599</f>
        <v/>
      </c>
      <c r="J609" s="499" t="str">
        <f>[1]K_Summary!J599</f>
        <v/>
      </c>
      <c r="K609" s="499" t="str">
        <f>[1]K_Summary!K599</f>
        <v/>
      </c>
      <c r="L609" s="499" t="str">
        <f>[1]K_Summary!L599</f>
        <v/>
      </c>
      <c r="M609" s="499" t="str">
        <f>[1]K_Summary!M599</f>
        <v/>
      </c>
      <c r="N609" s="626"/>
    </row>
    <row r="610" spans="2:14" ht="12.75" customHeight="1" x14ac:dyDescent="0.25">
      <c r="B610" s="284"/>
      <c r="C610" s="302"/>
      <c r="D610" s="364"/>
      <c r="E610" s="641" t="str">
        <f>[1]K_Summary!E600</f>
        <v>Други потоци горива и материали пораждащи емисии — 1</v>
      </c>
      <c r="F610" s="641"/>
      <c r="G610" s="641"/>
      <c r="H610" s="642" t="str">
        <f>[1]K_Summary!H600</f>
        <v>t CO2 / година</v>
      </c>
      <c r="I610" s="499" t="str">
        <f>[1]K_Summary!I600</f>
        <v/>
      </c>
      <c r="J610" s="499" t="str">
        <f>[1]K_Summary!J600</f>
        <v/>
      </c>
      <c r="K610" s="499" t="str">
        <f>[1]K_Summary!K600</f>
        <v/>
      </c>
      <c r="L610" s="499" t="str">
        <f>[1]K_Summary!L600</f>
        <v/>
      </c>
      <c r="M610" s="499" t="str">
        <f>[1]K_Summary!M600</f>
        <v/>
      </c>
      <c r="N610" s="626"/>
    </row>
    <row r="611" spans="2:14" ht="12.75" customHeight="1" x14ac:dyDescent="0.25">
      <c r="B611" s="284"/>
      <c r="C611" s="302"/>
      <c r="D611" s="364"/>
      <c r="E611" s="641" t="str">
        <f>[1]K_Summary!E601</f>
        <v>Други потоци горива и материали пораждащи емисии — 2</v>
      </c>
      <c r="F611" s="641"/>
      <c r="G611" s="641"/>
      <c r="H611" s="642" t="str">
        <f>[1]K_Summary!H601</f>
        <v>t CO2 / година</v>
      </c>
      <c r="I611" s="499" t="str">
        <f>[1]K_Summary!I601</f>
        <v/>
      </c>
      <c r="J611" s="499" t="str">
        <f>[1]K_Summary!J601</f>
        <v/>
      </c>
      <c r="K611" s="499" t="str">
        <f>[1]K_Summary!K601</f>
        <v/>
      </c>
      <c r="L611" s="499" t="str">
        <f>[1]K_Summary!L601</f>
        <v/>
      </c>
      <c r="M611" s="499" t="str">
        <f>[1]K_Summary!M601</f>
        <v/>
      </c>
      <c r="N611" s="626"/>
    </row>
    <row r="612" spans="2:14" ht="12.75" customHeight="1" x14ac:dyDescent="0.25">
      <c r="B612" s="284"/>
      <c r="C612" s="302"/>
      <c r="D612" s="302"/>
      <c r="E612" s="641" t="str">
        <f>[1]K_Summary!E602</f>
        <v>Получени или подадени парникови газове</v>
      </c>
      <c r="F612" s="641"/>
      <c r="G612" s="641"/>
      <c r="H612" s="642" t="str">
        <f>[1]K_Summary!H602</f>
        <v>t CO2e/година</v>
      </c>
      <c r="I612" s="499" t="str">
        <f>[1]K_Summary!I602</f>
        <v/>
      </c>
      <c r="J612" s="499" t="str">
        <f>[1]K_Summary!J602</f>
        <v/>
      </c>
      <c r="K612" s="499" t="str">
        <f>[1]K_Summary!K602</f>
        <v/>
      </c>
      <c r="L612" s="499" t="str">
        <f>[1]K_Summary!L602</f>
        <v/>
      </c>
      <c r="M612" s="499" t="str">
        <f>[1]K_Summary!M602</f>
        <v/>
      </c>
      <c r="N612" s="626"/>
    </row>
    <row r="613" spans="2:14" ht="12.75" customHeight="1" x14ac:dyDescent="0.25">
      <c r="B613" s="284"/>
      <c r="C613" s="302"/>
      <c r="D613" s="302"/>
      <c r="E613" s="626"/>
      <c r="F613" s="626"/>
      <c r="G613" s="626"/>
      <c r="H613" s="626"/>
      <c r="I613" s="640"/>
      <c r="J613" s="640"/>
      <c r="K613" s="640"/>
      <c r="L613" s="640"/>
      <c r="M613" s="640"/>
      <c r="N613" s="626"/>
    </row>
    <row r="614" spans="2:14" ht="12.75" customHeight="1" x14ac:dyDescent="0.25">
      <c r="B614" s="284"/>
      <c r="C614" s="302"/>
      <c r="D614" s="302"/>
      <c r="E614" s="636" t="str">
        <f>[1]K_Summary!E604</f>
        <v>Нетно количество получена топлинна енергия</v>
      </c>
      <c r="F614" s="636"/>
      <c r="G614" s="636"/>
      <c r="H614" s="637" t="str">
        <f>[1]K_Summary!H604</f>
        <v>TJ / година</v>
      </c>
      <c r="I614" s="482" t="str">
        <f>[1]K_Summary!I604</f>
        <v/>
      </c>
      <c r="J614" s="482" t="str">
        <f>[1]K_Summary!J604</f>
        <v/>
      </c>
      <c r="K614" s="482" t="str">
        <f>[1]K_Summary!K604</f>
        <v/>
      </c>
      <c r="L614" s="482" t="str">
        <f>[1]K_Summary!L604</f>
        <v/>
      </c>
      <c r="M614" s="482" t="str">
        <f>[1]K_Summary!M604</f>
        <v/>
      </c>
      <c r="N614" s="626"/>
    </row>
    <row r="615" spans="2:14" ht="12.75" customHeight="1" x14ac:dyDescent="0.25">
      <c r="B615" s="284"/>
      <c r="C615" s="302"/>
      <c r="D615" s="302"/>
      <c r="E615" s="638" t="str">
        <f>[1]K_Summary!E605</f>
        <v>Специфичен EF (получена топлинна енергия)</v>
      </c>
      <c r="F615" s="638"/>
      <c r="G615" s="638"/>
      <c r="H615" s="639" t="str">
        <f>[1]K_Summary!H605</f>
        <v>t CO2 / TJ</v>
      </c>
      <c r="I615" s="484" t="str">
        <f>[1]K_Summary!I605</f>
        <v/>
      </c>
      <c r="J615" s="484" t="str">
        <f>[1]K_Summary!J605</f>
        <v/>
      </c>
      <c r="K615" s="484" t="str">
        <f>[1]K_Summary!K605</f>
        <v/>
      </c>
      <c r="L615" s="484" t="str">
        <f>[1]K_Summary!L605</f>
        <v/>
      </c>
      <c r="M615" s="484" t="str">
        <f>[1]K_Summary!M605</f>
        <v/>
      </c>
      <c r="N615" s="626"/>
    </row>
    <row r="616" spans="2:14" ht="12.75" customHeight="1" x14ac:dyDescent="0.25">
      <c r="B616" s="284"/>
      <c r="C616" s="302"/>
      <c r="D616" s="302"/>
      <c r="E616" s="625"/>
      <c r="F616" s="626"/>
      <c r="G616" s="626"/>
      <c r="H616" s="626"/>
      <c r="I616" s="640"/>
      <c r="J616" s="640"/>
      <c r="K616" s="640"/>
      <c r="L616" s="640"/>
      <c r="M616" s="640"/>
      <c r="N616" s="626"/>
    </row>
    <row r="617" spans="2:14" ht="12.75" customHeight="1" x14ac:dyDescent="0.25">
      <c r="B617" s="284"/>
      <c r="C617" s="302"/>
      <c r="D617" s="302"/>
      <c r="E617" s="641" t="str">
        <f>[1]K_Summary!E607</f>
        <v>Нетно количество топлинна енергия, получена от пулп</v>
      </c>
      <c r="F617" s="641"/>
      <c r="G617" s="641"/>
      <c r="H617" s="642" t="str">
        <f>[1]K_Summary!H607</f>
        <v>TJ / година</v>
      </c>
      <c r="I617" s="480" t="str">
        <f>[1]K_Summary!I607</f>
        <v/>
      </c>
      <c r="J617" s="480" t="str">
        <f>[1]K_Summary!J607</f>
        <v/>
      </c>
      <c r="K617" s="480" t="str">
        <f>[1]K_Summary!K607</f>
        <v/>
      </c>
      <c r="L617" s="480" t="str">
        <f>[1]K_Summary!L607</f>
        <v/>
      </c>
      <c r="M617" s="480" t="str">
        <f>[1]K_Summary!M607</f>
        <v/>
      </c>
      <c r="N617" s="626"/>
    </row>
    <row r="618" spans="2:14" ht="12.75" customHeight="1" x14ac:dyDescent="0.25">
      <c r="B618" s="284"/>
      <c r="C618" s="302"/>
      <c r="D618" s="302"/>
      <c r="E618" s="641" t="str">
        <f>[1]K_Summary!E608</f>
        <v>Нетно количество топлинна енергия, получена от подинсталации за азотна киселина</v>
      </c>
      <c r="F618" s="641"/>
      <c r="G618" s="641"/>
      <c r="H618" s="642" t="str">
        <f>[1]K_Summary!H608</f>
        <v>TJ / година</v>
      </c>
      <c r="I618" s="480" t="str">
        <f>[1]K_Summary!I608</f>
        <v/>
      </c>
      <c r="J618" s="480" t="str">
        <f>[1]K_Summary!J608</f>
        <v/>
      </c>
      <c r="K618" s="480" t="str">
        <f>[1]K_Summary!K608</f>
        <v/>
      </c>
      <c r="L618" s="480" t="str">
        <f>[1]K_Summary!L608</f>
        <v/>
      </c>
      <c r="M618" s="480" t="str">
        <f>[1]K_Summary!M608</f>
        <v/>
      </c>
      <c r="N618" s="626"/>
    </row>
    <row r="619" spans="2:14" ht="12.75" customHeight="1" x14ac:dyDescent="0.25">
      <c r="B619" s="284"/>
      <c r="C619" s="302"/>
      <c r="D619" s="302"/>
      <c r="E619" s="625"/>
      <c r="F619" s="625"/>
      <c r="G619" s="625"/>
      <c r="H619" s="625"/>
      <c r="I619" s="640"/>
      <c r="J619" s="640"/>
      <c r="K619" s="640"/>
      <c r="L619" s="640"/>
      <c r="M619" s="640"/>
      <c r="N619" s="626"/>
    </row>
    <row r="620" spans="2:14" ht="12.75" customHeight="1" x14ac:dyDescent="0.25">
      <c r="B620" s="284"/>
      <c r="C620" s="302"/>
      <c r="D620" s="302"/>
      <c r="E620" s="636" t="str">
        <f>[1]K_Summary!E610</f>
        <v>Нетно количество подадена топлинна енергия</v>
      </c>
      <c r="F620" s="636"/>
      <c r="G620" s="636"/>
      <c r="H620" s="637" t="str">
        <f>[1]K_Summary!H610</f>
        <v>TJ / година</v>
      </c>
      <c r="I620" s="482" t="str">
        <f>[1]K_Summary!I610</f>
        <v/>
      </c>
      <c r="J620" s="482" t="str">
        <f>[1]K_Summary!J610</f>
        <v/>
      </c>
      <c r="K620" s="482" t="str">
        <f>[1]K_Summary!K610</f>
        <v/>
      </c>
      <c r="L620" s="482" t="str">
        <f>[1]K_Summary!L610</f>
        <v/>
      </c>
      <c r="M620" s="482" t="str">
        <f>[1]K_Summary!M610</f>
        <v/>
      </c>
      <c r="N620" s="626"/>
    </row>
    <row r="621" spans="2:14" ht="12.75" customHeight="1" x14ac:dyDescent="0.25">
      <c r="B621" s="284"/>
      <c r="C621" s="302"/>
      <c r="D621" s="302"/>
      <c r="E621" s="638" t="str">
        <f>[1]K_Summary!E611</f>
        <v>Специфичен EF (подадена топлинна енергия)</v>
      </c>
      <c r="F621" s="638"/>
      <c r="G621" s="638"/>
      <c r="H621" s="639" t="str">
        <f>[1]K_Summary!H611</f>
        <v>t CO2 / TJ</v>
      </c>
      <c r="I621" s="484" t="str">
        <f>[1]K_Summary!I611</f>
        <v/>
      </c>
      <c r="J621" s="484" t="str">
        <f>[1]K_Summary!J611</f>
        <v/>
      </c>
      <c r="K621" s="484" t="str">
        <f>[1]K_Summary!K611</f>
        <v/>
      </c>
      <c r="L621" s="484" t="str">
        <f>[1]K_Summary!L611</f>
        <v/>
      </c>
      <c r="M621" s="484" t="str">
        <f>[1]K_Summary!M611</f>
        <v/>
      </c>
      <c r="N621" s="626"/>
    </row>
    <row r="622" spans="2:14" ht="12.75" customHeight="1" x14ac:dyDescent="0.25">
      <c r="B622" s="284"/>
      <c r="C622" s="302"/>
      <c r="D622" s="302"/>
      <c r="E622" s="625"/>
      <c r="F622" s="625"/>
      <c r="G622" s="625"/>
      <c r="H622" s="625"/>
      <c r="I622" s="640"/>
      <c r="J622" s="640"/>
      <c r="K622" s="640"/>
      <c r="L622" s="640"/>
      <c r="M622" s="640"/>
      <c r="N622" s="626"/>
    </row>
    <row r="623" spans="2:14" ht="12.75" customHeight="1" x14ac:dyDescent="0.25">
      <c r="B623" s="284"/>
      <c r="C623" s="302"/>
      <c r="D623" s="302"/>
      <c r="E623" s="636" t="str">
        <f>[1]K_Summary!E613</f>
        <v>Произведен отпадъчен газ</v>
      </c>
      <c r="F623" s="636"/>
      <c r="G623" s="636"/>
      <c r="H623" s="637" t="str">
        <f>[1]K_Summary!H613</f>
        <v>TJ / година</v>
      </c>
      <c r="I623" s="482" t="str">
        <f>[1]K_Summary!I613</f>
        <v/>
      </c>
      <c r="J623" s="482" t="str">
        <f>[1]K_Summary!J613</f>
        <v/>
      </c>
      <c r="K623" s="482" t="str">
        <f>[1]K_Summary!K613</f>
        <v/>
      </c>
      <c r="L623" s="482" t="str">
        <f>[1]K_Summary!L613</f>
        <v/>
      </c>
      <c r="M623" s="482" t="str">
        <f>[1]K_Summary!M613</f>
        <v/>
      </c>
      <c r="N623" s="626"/>
    </row>
    <row r="624" spans="2:14" ht="12.75" customHeight="1" x14ac:dyDescent="0.25">
      <c r="B624" s="284"/>
      <c r="C624" s="302"/>
      <c r="D624" s="302"/>
      <c r="E624" s="638" t="str">
        <f>[1]K_Summary!E614</f>
        <v>Специфичен EF (произведен отпадъчен газ)</v>
      </c>
      <c r="F624" s="638"/>
      <c r="G624" s="638"/>
      <c r="H624" s="639" t="str">
        <f>[1]K_Summary!H614</f>
        <v>t CO2 / TJ</v>
      </c>
      <c r="I624" s="484" t="str">
        <f>[1]K_Summary!I614</f>
        <v/>
      </c>
      <c r="J624" s="484" t="str">
        <f>[1]K_Summary!J614</f>
        <v/>
      </c>
      <c r="K624" s="484" t="str">
        <f>[1]K_Summary!K614</f>
        <v/>
      </c>
      <c r="L624" s="484" t="str">
        <f>[1]K_Summary!L614</f>
        <v/>
      </c>
      <c r="M624" s="484" t="str">
        <f>[1]K_Summary!M614</f>
        <v/>
      </c>
      <c r="N624" s="626"/>
    </row>
    <row r="625" spans="2:14" ht="12.75" customHeight="1" x14ac:dyDescent="0.25">
      <c r="B625" s="284"/>
      <c r="C625" s="302"/>
      <c r="D625" s="302"/>
      <c r="E625" s="636" t="str">
        <f>[1]K_Summary!E615</f>
        <v>Консумиран отпадъчен газ</v>
      </c>
      <c r="F625" s="636"/>
      <c r="G625" s="636"/>
      <c r="H625" s="637" t="str">
        <f>[1]K_Summary!H615</f>
        <v>TJ / година</v>
      </c>
      <c r="I625" s="482" t="str">
        <f>[1]K_Summary!I615</f>
        <v/>
      </c>
      <c r="J625" s="482" t="str">
        <f>[1]K_Summary!J615</f>
        <v/>
      </c>
      <c r="K625" s="482" t="str">
        <f>[1]K_Summary!K615</f>
        <v/>
      </c>
      <c r="L625" s="482" t="str">
        <f>[1]K_Summary!L615</f>
        <v/>
      </c>
      <c r="M625" s="482" t="str">
        <f>[1]K_Summary!M615</f>
        <v/>
      </c>
      <c r="N625" s="626"/>
    </row>
    <row r="626" spans="2:14" ht="12.75" customHeight="1" x14ac:dyDescent="0.25">
      <c r="B626" s="284"/>
      <c r="C626" s="302"/>
      <c r="D626" s="302"/>
      <c r="E626" s="638" t="str">
        <f>[1]K_Summary!E616</f>
        <v>Специфичен EF (консумиран отпадъчен газ)</v>
      </c>
      <c r="F626" s="638"/>
      <c r="G626" s="638"/>
      <c r="H626" s="639" t="str">
        <f>[1]K_Summary!H616</f>
        <v>t CO2 / TJ</v>
      </c>
      <c r="I626" s="484" t="str">
        <f>[1]K_Summary!I616</f>
        <v/>
      </c>
      <c r="J626" s="484" t="str">
        <f>[1]K_Summary!J616</f>
        <v/>
      </c>
      <c r="K626" s="484" t="str">
        <f>[1]K_Summary!K616</f>
        <v/>
      </c>
      <c r="L626" s="484" t="str">
        <f>[1]K_Summary!L616</f>
        <v/>
      </c>
      <c r="M626" s="484" t="str">
        <f>[1]K_Summary!M616</f>
        <v/>
      </c>
      <c r="N626" s="626"/>
    </row>
    <row r="627" spans="2:14" ht="12.75" customHeight="1" x14ac:dyDescent="0.25">
      <c r="B627" s="284"/>
      <c r="C627" s="302"/>
      <c r="D627" s="302"/>
      <c r="E627" s="636" t="str">
        <f>[1]K_Summary!E617</f>
        <v>Изгорен във факел отпадъчен газ</v>
      </c>
      <c r="F627" s="636"/>
      <c r="G627" s="636"/>
      <c r="H627" s="637" t="str">
        <f>[1]K_Summary!H617</f>
        <v>TJ / година</v>
      </c>
      <c r="I627" s="482" t="str">
        <f>[1]K_Summary!I617</f>
        <v/>
      </c>
      <c r="J627" s="482" t="str">
        <f>[1]K_Summary!J617</f>
        <v/>
      </c>
      <c r="K627" s="482" t="str">
        <f>[1]K_Summary!K617</f>
        <v/>
      </c>
      <c r="L627" s="482" t="str">
        <f>[1]K_Summary!L617</f>
        <v/>
      </c>
      <c r="M627" s="482" t="str">
        <f>[1]K_Summary!M617</f>
        <v/>
      </c>
      <c r="N627" s="626"/>
    </row>
    <row r="628" spans="2:14" ht="12.75" customHeight="1" x14ac:dyDescent="0.25">
      <c r="B628" s="284"/>
      <c r="C628" s="302"/>
      <c r="D628" s="302"/>
      <c r="E628" s="638" t="str">
        <f>[1]K_Summary!E618</f>
        <v>Специфичен EF (изгорен във факел отпадъчен газ)</v>
      </c>
      <c r="F628" s="638"/>
      <c r="G628" s="638"/>
      <c r="H628" s="639" t="str">
        <f>[1]K_Summary!H618</f>
        <v>t CO2 / TJ</v>
      </c>
      <c r="I628" s="484" t="str">
        <f>[1]K_Summary!I618</f>
        <v/>
      </c>
      <c r="J628" s="484" t="str">
        <f>[1]K_Summary!J618</f>
        <v/>
      </c>
      <c r="K628" s="484" t="str">
        <f>[1]K_Summary!K618</f>
        <v/>
      </c>
      <c r="L628" s="484" t="str">
        <f>[1]K_Summary!L618</f>
        <v/>
      </c>
      <c r="M628" s="484" t="str">
        <f>[1]K_Summary!M618</f>
        <v/>
      </c>
      <c r="N628" s="626"/>
    </row>
    <row r="629" spans="2:14" ht="12.75" customHeight="1" x14ac:dyDescent="0.25">
      <c r="B629" s="284"/>
      <c r="C629" s="302"/>
      <c r="D629" s="302"/>
      <c r="E629" s="636" t="str">
        <f>[1]K_Summary!E619</f>
        <v>Получен отпадъчен газ</v>
      </c>
      <c r="F629" s="636"/>
      <c r="G629" s="636"/>
      <c r="H629" s="637" t="str">
        <f>[1]K_Summary!H619</f>
        <v>TJ / година</v>
      </c>
      <c r="I629" s="482" t="str">
        <f>[1]K_Summary!I619</f>
        <v/>
      </c>
      <c r="J629" s="482" t="str">
        <f>[1]K_Summary!J619</f>
        <v/>
      </c>
      <c r="K629" s="482" t="str">
        <f>[1]K_Summary!K619</f>
        <v/>
      </c>
      <c r="L629" s="482" t="str">
        <f>[1]K_Summary!L619</f>
        <v/>
      </c>
      <c r="M629" s="482" t="str">
        <f>[1]K_Summary!M619</f>
        <v/>
      </c>
      <c r="N629" s="626"/>
    </row>
    <row r="630" spans="2:14" ht="12.75" customHeight="1" x14ac:dyDescent="0.25">
      <c r="B630" s="284"/>
      <c r="C630" s="302"/>
      <c r="D630" s="302"/>
      <c r="E630" s="638" t="str">
        <f>[1]K_Summary!E620</f>
        <v>Специфичен EF (получен отпадъчен газ)</v>
      </c>
      <c r="F630" s="638"/>
      <c r="G630" s="638"/>
      <c r="H630" s="639" t="str">
        <f>[1]K_Summary!H620</f>
        <v>t CO2 / TJ</v>
      </c>
      <c r="I630" s="484" t="str">
        <f>[1]K_Summary!I620</f>
        <v/>
      </c>
      <c r="J630" s="484" t="str">
        <f>[1]K_Summary!J620</f>
        <v/>
      </c>
      <c r="K630" s="484" t="str">
        <f>[1]K_Summary!K620</f>
        <v/>
      </c>
      <c r="L630" s="484" t="str">
        <f>[1]K_Summary!L620</f>
        <v/>
      </c>
      <c r="M630" s="484" t="str">
        <f>[1]K_Summary!M620</f>
        <v/>
      </c>
      <c r="N630" s="626"/>
    </row>
    <row r="631" spans="2:14" ht="12.75" customHeight="1" x14ac:dyDescent="0.25">
      <c r="B631" s="284"/>
      <c r="C631" s="302"/>
      <c r="D631" s="302"/>
      <c r="E631" s="636" t="str">
        <f>[1]K_Summary!E621</f>
        <v>Подаден отпадъчен газ</v>
      </c>
      <c r="F631" s="636"/>
      <c r="G631" s="636"/>
      <c r="H631" s="637" t="str">
        <f>[1]K_Summary!H621</f>
        <v>TJ / година</v>
      </c>
      <c r="I631" s="482" t="str">
        <f>[1]K_Summary!I621</f>
        <v/>
      </c>
      <c r="J631" s="482" t="str">
        <f>[1]K_Summary!J621</f>
        <v/>
      </c>
      <c r="K631" s="482" t="str">
        <f>[1]K_Summary!K621</f>
        <v/>
      </c>
      <c r="L631" s="482" t="str">
        <f>[1]K_Summary!L621</f>
        <v/>
      </c>
      <c r="M631" s="482" t="str">
        <f>[1]K_Summary!M621</f>
        <v/>
      </c>
      <c r="N631" s="626"/>
    </row>
    <row r="632" spans="2:14" ht="12.75" customHeight="1" x14ac:dyDescent="0.25">
      <c r="B632" s="284"/>
      <c r="C632" s="302"/>
      <c r="D632" s="302"/>
      <c r="E632" s="638" t="str">
        <f>[1]K_Summary!E622</f>
        <v>Специфичен EF (подаден отпадъчен газ)</v>
      </c>
      <c r="F632" s="638"/>
      <c r="G632" s="638"/>
      <c r="H632" s="639" t="str">
        <f>[1]K_Summary!H622</f>
        <v>t CO2 / TJ</v>
      </c>
      <c r="I632" s="484" t="str">
        <f>[1]K_Summary!I622</f>
        <v/>
      </c>
      <c r="J632" s="484" t="str">
        <f>[1]K_Summary!J622</f>
        <v/>
      </c>
      <c r="K632" s="484" t="str">
        <f>[1]K_Summary!K622</f>
        <v/>
      </c>
      <c r="L632" s="484" t="str">
        <f>[1]K_Summary!L622</f>
        <v/>
      </c>
      <c r="M632" s="484" t="str">
        <f>[1]K_Summary!M622</f>
        <v/>
      </c>
      <c r="N632" s="626"/>
    </row>
    <row r="633" spans="2:14" ht="12.75" customHeight="1" x14ac:dyDescent="0.25">
      <c r="B633" s="284"/>
      <c r="C633" s="302"/>
      <c r="D633" s="302"/>
      <c r="E633" s="625"/>
      <c r="F633" s="625"/>
      <c r="G633" s="625"/>
      <c r="H633" s="625"/>
      <c r="I633" s="640"/>
      <c r="J633" s="640"/>
      <c r="K633" s="640"/>
      <c r="L633" s="640"/>
      <c r="M633" s="640"/>
      <c r="N633" s="626"/>
    </row>
    <row r="634" spans="2:14" ht="12.75" customHeight="1" x14ac:dyDescent="0.25">
      <c r="B634" s="284"/>
      <c r="C634" s="302"/>
      <c r="D634" s="302"/>
      <c r="E634" s="641" t="str">
        <f>[1]K_Summary!E624</f>
        <v>Произведена електроенергия</v>
      </c>
      <c r="F634" s="641"/>
      <c r="G634" s="641"/>
      <c r="H634" s="642" t="str">
        <f>[1]K_Summary!H624</f>
        <v>MWh / година</v>
      </c>
      <c r="I634" s="480" t="str">
        <f>[1]K_Summary!I624</f>
        <v/>
      </c>
      <c r="J634" s="480" t="str">
        <f>[1]K_Summary!J624</f>
        <v/>
      </c>
      <c r="K634" s="480" t="str">
        <f>[1]K_Summary!K624</f>
        <v/>
      </c>
      <c r="L634" s="480" t="str">
        <f>[1]K_Summary!L624</f>
        <v/>
      </c>
      <c r="M634" s="480" t="str">
        <f>[1]K_Summary!M624</f>
        <v/>
      </c>
      <c r="N634" s="626"/>
    </row>
    <row r="635" spans="2:14" ht="12.75" customHeight="1" x14ac:dyDescent="0.25">
      <c r="B635" s="284"/>
      <c r="C635" s="302"/>
      <c r="D635" s="302"/>
      <c r="E635" s="625"/>
      <c r="F635" s="625"/>
      <c r="G635" s="625"/>
      <c r="H635" s="625"/>
      <c r="I635" s="640"/>
      <c r="J635" s="640"/>
      <c r="K635" s="640"/>
      <c r="L635" s="640"/>
      <c r="M635" s="640"/>
      <c r="N635" s="626"/>
    </row>
    <row r="636" spans="2:14" ht="12.75" customHeight="1" x14ac:dyDescent="0.25">
      <c r="B636" s="284"/>
      <c r="C636" s="302"/>
      <c r="D636" s="302"/>
      <c r="E636" s="643" t="str">
        <f>[1]K_Summary!E626</f>
        <v>Междинно получаване:</v>
      </c>
      <c r="F636" s="625"/>
      <c r="G636" s="625"/>
      <c r="H636" s="625"/>
      <c r="I636" s="640"/>
      <c r="J636" s="640"/>
      <c r="K636" s="640"/>
      <c r="L636" s="640"/>
      <c r="M636" s="640"/>
      <c r="N636" s="626"/>
    </row>
    <row r="637" spans="2:14" ht="12.75" customHeight="1" x14ac:dyDescent="0.25">
      <c r="B637" s="284"/>
      <c r="C637" s="302"/>
      <c r="D637" s="302"/>
      <c r="E637" s="381" t="str">
        <f>[1]K_Summary!E627</f>
        <v/>
      </c>
      <c r="F637" s="381"/>
      <c r="G637" s="381"/>
      <c r="H637" s="642" t="str">
        <f>[1]K_Summary!H627</f>
        <v>тона</v>
      </c>
      <c r="I637" s="499" t="str">
        <f>[1]K_Summary!I627</f>
        <v/>
      </c>
      <c r="J637" s="499" t="str">
        <f>[1]K_Summary!J627</f>
        <v/>
      </c>
      <c r="K637" s="499" t="str">
        <f>[1]K_Summary!K627</f>
        <v/>
      </c>
      <c r="L637" s="499" t="str">
        <f>[1]K_Summary!L627</f>
        <v/>
      </c>
      <c r="M637" s="499" t="str">
        <f>[1]K_Summary!M627</f>
        <v/>
      </c>
      <c r="N637" s="626"/>
    </row>
    <row r="638" spans="2:14" ht="12.75" customHeight="1" x14ac:dyDescent="0.25">
      <c r="B638" s="284"/>
      <c r="C638" s="302"/>
      <c r="D638" s="302"/>
      <c r="E638" s="381" t="str">
        <f>[1]K_Summary!E628</f>
        <v/>
      </c>
      <c r="F638" s="381"/>
      <c r="G638" s="381"/>
      <c r="H638" s="642" t="str">
        <f>[1]K_Summary!H628</f>
        <v>тона</v>
      </c>
      <c r="I638" s="499" t="str">
        <f>[1]K_Summary!I628</f>
        <v/>
      </c>
      <c r="J638" s="499" t="str">
        <f>[1]K_Summary!J628</f>
        <v/>
      </c>
      <c r="K638" s="499" t="str">
        <f>[1]K_Summary!K628</f>
        <v/>
      </c>
      <c r="L638" s="499" t="str">
        <f>[1]K_Summary!L628</f>
        <v/>
      </c>
      <c r="M638" s="499" t="str">
        <f>[1]K_Summary!M628</f>
        <v/>
      </c>
      <c r="N638" s="626"/>
    </row>
    <row r="639" spans="2:14" ht="12.75" customHeight="1" x14ac:dyDescent="0.25">
      <c r="B639" s="284"/>
      <c r="C639" s="302"/>
      <c r="D639" s="302"/>
      <c r="E639" s="643" t="str">
        <f>[1]K_Summary!E629</f>
        <v>Междинно подаване:</v>
      </c>
      <c r="F639" s="625"/>
      <c r="G639" s="625"/>
      <c r="H639" s="625"/>
      <c r="I639" s="644"/>
      <c r="J639" s="644"/>
      <c r="K639" s="644"/>
      <c r="L639" s="644"/>
      <c r="M639" s="644"/>
      <c r="N639" s="626"/>
    </row>
    <row r="640" spans="2:14" ht="12.75" customHeight="1" x14ac:dyDescent="0.25">
      <c r="B640" s="284"/>
      <c r="C640" s="302"/>
      <c r="D640" s="302"/>
      <c r="E640" s="381" t="str">
        <f>[1]K_Summary!E630</f>
        <v/>
      </c>
      <c r="F640" s="381"/>
      <c r="G640" s="381"/>
      <c r="H640" s="642" t="str">
        <f>[1]K_Summary!H630</f>
        <v>тона</v>
      </c>
      <c r="I640" s="499" t="str">
        <f>[1]K_Summary!I630</f>
        <v/>
      </c>
      <c r="J640" s="499" t="str">
        <f>[1]K_Summary!J630</f>
        <v/>
      </c>
      <c r="K640" s="499" t="str">
        <f>[1]K_Summary!K630</f>
        <v/>
      </c>
      <c r="L640" s="499" t="str">
        <f>[1]K_Summary!L630</f>
        <v/>
      </c>
      <c r="M640" s="499" t="str">
        <f>[1]K_Summary!M630</f>
        <v/>
      </c>
      <c r="N640" s="626"/>
    </row>
    <row r="641" spans="2:14" ht="12.75" customHeight="1" x14ac:dyDescent="0.25">
      <c r="B641" s="284"/>
      <c r="C641" s="302"/>
      <c r="D641" s="302"/>
      <c r="E641" s="381" t="str">
        <f>[1]K_Summary!E631</f>
        <v/>
      </c>
      <c r="F641" s="381"/>
      <c r="G641" s="381"/>
      <c r="H641" s="642" t="str">
        <f>[1]K_Summary!H631</f>
        <v>тона</v>
      </c>
      <c r="I641" s="499" t="str">
        <f>[1]K_Summary!I631</f>
        <v/>
      </c>
      <c r="J641" s="499" t="str">
        <f>[1]K_Summary!J631</f>
        <v/>
      </c>
      <c r="K641" s="499" t="str">
        <f>[1]K_Summary!K631</f>
        <v/>
      </c>
      <c r="L641" s="499" t="str">
        <f>[1]K_Summary!L631</f>
        <v/>
      </c>
      <c r="M641" s="499" t="str">
        <f>[1]K_Summary!M631</f>
        <v/>
      </c>
      <c r="N641" s="626"/>
    </row>
    <row r="642" spans="2:14" ht="12.75" customHeight="1" x14ac:dyDescent="0.25">
      <c r="B642" s="284"/>
      <c r="C642" s="302"/>
      <c r="D642" s="302"/>
      <c r="E642" s="625"/>
      <c r="F642" s="625"/>
      <c r="G642" s="625"/>
      <c r="H642" s="625"/>
      <c r="I642" s="626"/>
      <c r="J642" s="626"/>
      <c r="K642" s="626"/>
      <c r="L642" s="626"/>
      <c r="M642" s="626"/>
      <c r="N642" s="626"/>
    </row>
    <row r="643" spans="2:14" ht="12.75" customHeight="1" x14ac:dyDescent="0.25">
      <c r="B643" s="284"/>
      <c r="C643" s="302"/>
      <c r="D643" s="302"/>
      <c r="E643" s="645" t="str">
        <f>[1]K_Summary!E633</f>
        <v>Корекции за актуализиране на показателя при специфичен показател, когато е приложимо</v>
      </c>
      <c r="F643" s="645"/>
      <c r="G643" s="645"/>
      <c r="H643" s="645"/>
      <c r="I643" s="645"/>
      <c r="J643" s="645"/>
      <c r="K643" s="645"/>
      <c r="L643" s="645"/>
      <c r="M643" s="645"/>
      <c r="N643" s="626"/>
    </row>
    <row r="644" spans="2:14" ht="12.75" customHeight="1" x14ac:dyDescent="0.25">
      <c r="B644" s="284"/>
      <c r="C644" s="302"/>
      <c r="D644" s="302"/>
      <c r="E644" s="641" t="str">
        <f>[1]K_Summary!E634</f>
        <v>Общо количество произведен пулп</v>
      </c>
      <c r="F644" s="641"/>
      <c r="G644" s="641"/>
      <c r="H644" s="642" t="str">
        <f>[1]K_Summary!H634</f>
        <v>тона</v>
      </c>
      <c r="I644" s="499" t="str">
        <f>[1]K_Summary!I634</f>
        <v/>
      </c>
      <c r="J644" s="499" t="str">
        <f>[1]K_Summary!J634</f>
        <v/>
      </c>
      <c r="K644" s="499" t="str">
        <f>[1]K_Summary!K634</f>
        <v/>
      </c>
      <c r="L644" s="499" t="str">
        <f>[1]K_Summary!L634</f>
        <v/>
      </c>
      <c r="M644" s="499" t="str">
        <f>[1]K_Summary!M634</f>
        <v/>
      </c>
      <c r="N644" s="626"/>
    </row>
    <row r="645" spans="2:14" ht="12.75" customHeight="1" x14ac:dyDescent="0.25">
      <c r="B645" s="284"/>
      <c r="C645" s="302"/>
      <c r="D645" s="302"/>
      <c r="E645" s="625"/>
      <c r="F645" s="625"/>
      <c r="G645" s="625"/>
      <c r="H645" s="625"/>
      <c r="I645" s="644"/>
      <c r="J645" s="644"/>
      <c r="K645" s="644"/>
      <c r="L645" s="644"/>
      <c r="M645" s="644"/>
      <c r="N645" s="626"/>
    </row>
    <row r="646" spans="2:14" ht="12.75" customHeight="1" x14ac:dyDescent="0.25">
      <c r="B646" s="284"/>
      <c r="C646" s="302"/>
      <c r="D646" s="302"/>
      <c r="E646" s="641" t="str">
        <f>[1]K_Summary!E636</f>
        <v>Производство на водород (действително + теоретично)</v>
      </c>
      <c r="F646" s="641"/>
      <c r="G646" s="641"/>
      <c r="H646" s="642" t="str">
        <f>[1]K_Summary!H636</f>
        <v>тона</v>
      </c>
      <c r="I646" s="499" t="str">
        <f>[1]K_Summary!I636</f>
        <v/>
      </c>
      <c r="J646" s="499" t="str">
        <f>[1]K_Summary!J636</f>
        <v/>
      </c>
      <c r="K646" s="499" t="str">
        <f>[1]K_Summary!K636</f>
        <v/>
      </c>
      <c r="L646" s="499" t="str">
        <f>[1]K_Summary!L636</f>
        <v/>
      </c>
      <c r="M646" s="499" t="str">
        <f>[1]K_Summary!M636</f>
        <v/>
      </c>
      <c r="N646" s="626"/>
    </row>
    <row r="647" spans="2:14" ht="12.75" customHeight="1" x14ac:dyDescent="0.25">
      <c r="B647" s="284"/>
      <c r="C647" s="302"/>
      <c r="D647" s="302"/>
      <c r="E647" s="641" t="str">
        <f>[1]K_Summary!E637</f>
        <v>Емисии във връзка с водород</v>
      </c>
      <c r="F647" s="641"/>
      <c r="G647" s="641"/>
      <c r="H647" s="642" t="str">
        <f>[1]K_Summary!H637</f>
        <v>t CO2 / година</v>
      </c>
      <c r="I647" s="499" t="str">
        <f>[1]K_Summary!I637</f>
        <v/>
      </c>
      <c r="J647" s="499" t="str">
        <f>[1]K_Summary!J637</f>
        <v/>
      </c>
      <c r="K647" s="499" t="str">
        <f>[1]K_Summary!K637</f>
        <v/>
      </c>
      <c r="L647" s="499" t="str">
        <f>[1]K_Summary!L637</f>
        <v/>
      </c>
      <c r="M647" s="499" t="str">
        <f>[1]K_Summary!M637</f>
        <v/>
      </c>
      <c r="N647" s="626"/>
    </row>
    <row r="648" spans="2:14" ht="12.75" customHeight="1" x14ac:dyDescent="0.25">
      <c r="B648" s="284"/>
      <c r="C648" s="302"/>
      <c r="D648" s="302"/>
      <c r="E648" s="625"/>
      <c r="F648" s="625"/>
      <c r="G648" s="625"/>
      <c r="H648" s="625"/>
      <c r="I648" s="644"/>
      <c r="J648" s="644"/>
      <c r="K648" s="644"/>
      <c r="L648" s="644"/>
      <c r="M648" s="644"/>
      <c r="N648" s="626"/>
    </row>
    <row r="649" spans="2:14" ht="12.75" customHeight="1" x14ac:dyDescent="0.25">
      <c r="B649" s="284"/>
      <c r="C649" s="302"/>
      <c r="D649" s="302"/>
      <c r="E649" s="641" t="str">
        <f>[1]K_Summary!E639</f>
        <v>Корекция на емисиите във връзка с HVC</v>
      </c>
      <c r="F649" s="641"/>
      <c r="G649" s="641"/>
      <c r="H649" s="642" t="str">
        <f>[1]K_Summary!H639</f>
        <v>t CO2 / година</v>
      </c>
      <c r="I649" s="499" t="str">
        <f>[1]K_Summary!I639</f>
        <v/>
      </c>
      <c r="J649" s="499" t="str">
        <f>[1]K_Summary!J639</f>
        <v/>
      </c>
      <c r="K649" s="499" t="str">
        <f>[1]K_Summary!K639</f>
        <v/>
      </c>
      <c r="L649" s="499" t="str">
        <f>[1]K_Summary!L639</f>
        <v/>
      </c>
      <c r="M649" s="499" t="str">
        <f>[1]K_Summary!M639</f>
        <v/>
      </c>
      <c r="N649" s="626"/>
    </row>
    <row r="650" spans="2:14" ht="12.75" customHeight="1" x14ac:dyDescent="0.25">
      <c r="B650" s="284"/>
      <c r="C650" s="302"/>
      <c r="D650" s="302"/>
      <c r="E650" s="625"/>
      <c r="F650" s="625"/>
      <c r="G650" s="625"/>
      <c r="H650" s="625"/>
      <c r="I650" s="644"/>
      <c r="J650" s="644"/>
      <c r="K650" s="644"/>
      <c r="L650" s="644"/>
      <c r="M650" s="644"/>
      <c r="N650" s="626"/>
    </row>
    <row r="651" spans="2:14" ht="12.75" customHeight="1" x14ac:dyDescent="0.25">
      <c r="B651" s="284"/>
      <c r="C651" s="302"/>
      <c r="D651" s="302"/>
      <c r="E651" s="641" t="str">
        <f>[1]K_Summary!E641</f>
        <v>Корекция на емисиите във връзка с VCM</v>
      </c>
      <c r="F651" s="641"/>
      <c r="G651" s="641"/>
      <c r="H651" s="642" t="str">
        <f>[1]K_Summary!H641</f>
        <v>t CO2 / година</v>
      </c>
      <c r="I651" s="499" t="str">
        <f>[1]K_Summary!I641</f>
        <v/>
      </c>
      <c r="J651" s="499" t="str">
        <f>[1]K_Summary!J641</f>
        <v/>
      </c>
      <c r="K651" s="499" t="str">
        <f>[1]K_Summary!K641</f>
        <v/>
      </c>
      <c r="L651" s="499" t="str">
        <f>[1]K_Summary!L641</f>
        <v/>
      </c>
      <c r="M651" s="499" t="str">
        <f>[1]K_Summary!M641</f>
        <v/>
      </c>
      <c r="N651" s="626"/>
    </row>
    <row r="652" spans="2:14" ht="12.75" customHeight="1" x14ac:dyDescent="0.25">
      <c r="B652" s="284"/>
      <c r="C652" s="302"/>
      <c r="D652" s="302"/>
      <c r="E652" s="625"/>
      <c r="F652" s="625"/>
      <c r="G652" s="625"/>
      <c r="H652" s="625"/>
      <c r="I652" s="626"/>
      <c r="J652" s="626"/>
      <c r="K652" s="626"/>
      <c r="L652" s="626"/>
      <c r="M652" s="626"/>
      <c r="N652" s="626"/>
    </row>
    <row r="653" spans="2:14" ht="12.75" customHeight="1" thickBot="1" x14ac:dyDescent="0.3">
      <c r="B653" s="284"/>
      <c r="C653" s="302"/>
      <c r="D653" s="302"/>
      <c r="E653" s="646"/>
      <c r="F653" s="364"/>
      <c r="G653" s="364"/>
      <c r="H653" s="364"/>
      <c r="I653" s="364"/>
      <c r="J653" s="364"/>
      <c r="K653" s="364"/>
      <c r="L653" s="364"/>
      <c r="M653" s="364"/>
      <c r="N653" s="364"/>
    </row>
    <row r="654" spans="2:14" ht="12.75" customHeight="1" x14ac:dyDescent="0.25">
      <c r="B654" s="284"/>
      <c r="C654" s="581"/>
      <c r="D654" s="581"/>
      <c r="E654" s="581"/>
      <c r="F654" s="581"/>
      <c r="G654" s="581"/>
      <c r="H654" s="581"/>
      <c r="I654" s="581"/>
      <c r="J654" s="581"/>
      <c r="K654" s="581"/>
      <c r="L654" s="581"/>
      <c r="M654" s="581"/>
      <c r="N654" s="581"/>
    </row>
    <row r="655" spans="2:14" ht="12.75" customHeight="1" x14ac:dyDescent="0.3">
      <c r="B655" s="284"/>
      <c r="C655" s="357">
        <f>[1]K_Summary!C645</f>
        <v>3</v>
      </c>
      <c r="D655" s="590" t="str">
        <f>[1]K_Summary!D645</f>
        <v>Подинсталация с продуктов показател 3:</v>
      </c>
      <c r="E655" s="590"/>
      <c r="F655" s="590"/>
      <c r="G655" s="590"/>
      <c r="H655" s="591"/>
      <c r="I655" s="592" t="str">
        <f>[1]K_Summary!I645</f>
        <v/>
      </c>
      <c r="J655" s="593"/>
      <c r="K655" s="593"/>
      <c r="L655" s="593"/>
      <c r="M655" s="593"/>
      <c r="N655" s="594"/>
    </row>
    <row r="656" spans="2:14" ht="12.75" customHeight="1" thickBot="1" x14ac:dyDescent="0.3">
      <c r="B656" s="284"/>
      <c r="C656" s="302"/>
      <c r="D656" s="302"/>
      <c r="E656" s="302"/>
      <c r="F656" s="302"/>
      <c r="G656" s="302"/>
      <c r="H656" s="302"/>
      <c r="I656" s="302"/>
      <c r="J656" s="302"/>
      <c r="K656" s="302"/>
      <c r="L656" s="302"/>
      <c r="M656" s="302"/>
      <c r="N656" s="302"/>
    </row>
    <row r="657" spans="2:19" ht="12.75" customHeight="1" x14ac:dyDescent="0.25">
      <c r="B657" s="284"/>
      <c r="C657" s="302"/>
      <c r="D657" s="302"/>
      <c r="E657" s="302"/>
      <c r="F657" s="302"/>
      <c r="G657" s="302"/>
      <c r="H657" s="595" t="str">
        <f>[1]K_Summary!H647</f>
        <v>Риск от ИВЕ</v>
      </c>
      <c r="I657" s="302"/>
      <c r="J657" s="596" t="str">
        <f>[1]K_Summary!J647</f>
        <v>В/Е</v>
      </c>
      <c r="K657" s="596" t="str">
        <f>[1]K_Summary!K647</f>
        <v>№ на п-л</v>
      </c>
      <c r="L657" s="597" t="str">
        <f>[1]K_Summary!L647</f>
        <v>15(7).3?</v>
      </c>
      <c r="M657" s="598" t="str">
        <f>[1]K_Summary!M647</f>
        <v>Стойност на показател (мин/макс/действ.)</v>
      </c>
      <c r="N657" s="599"/>
    </row>
    <row r="658" spans="2:19" ht="12.75" customHeight="1" x14ac:dyDescent="0.25">
      <c r="B658" s="284"/>
      <c r="C658" s="302"/>
      <c r="D658" s="302"/>
      <c r="E658" s="361" t="str">
        <f>[1]K_Summary!E648</f>
        <v/>
      </c>
      <c r="F658" s="373"/>
      <c r="G658" s="362"/>
      <c r="H658" s="600" t="str">
        <f>[1]K_Summary!H648</f>
        <v>Не е приложимо</v>
      </c>
      <c r="I658" s="302"/>
      <c r="J658" s="601" t="str">
        <f>[1]K_Summary!J648</f>
        <v>Не е приложимо</v>
      </c>
      <c r="K658" s="406" t="str">
        <f>[1]K_Summary!K648</f>
        <v>Не е приложимо</v>
      </c>
      <c r="L658" s="602" t="str">
        <f>[1]K_Summary!L648</f>
        <v/>
      </c>
      <c r="M658" s="603" t="str">
        <f>[1]K_Summary!M648</f>
        <v>Не е приложимо</v>
      </c>
      <c r="N658" s="604" t="str">
        <f>[1]K_Summary!N648</f>
        <v>Квота за емисии/тона</v>
      </c>
    </row>
    <row r="659" spans="2:19" ht="12.75" customHeight="1" x14ac:dyDescent="0.25">
      <c r="B659" s="284"/>
      <c r="C659" s="302"/>
      <c r="D659" s="302"/>
      <c r="E659" s="364"/>
      <c r="F659" s="364"/>
      <c r="G659" s="596" t="str">
        <f>[1]K_Summary!G649</f>
        <v>топл. ен. извън СТЕ</v>
      </c>
      <c r="H659" s="595" t="str">
        <f>[1]K_Summary!H649</f>
        <v>CBAM</v>
      </c>
      <c r="I659" s="597" t="str">
        <f>[1]K_Summary!I649</f>
        <v>WGflare</v>
      </c>
      <c r="J659" s="596" t="str">
        <f>[1]K_Summary!J649</f>
        <v>HVC-Corr</v>
      </c>
      <c r="K659" s="596" t="str">
        <f>[1]K_Summary!K649</f>
        <v>VCM-F</v>
      </c>
      <c r="L659" s="302"/>
      <c r="M659" s="603" t="str">
        <f>[1]K_Summary!M649</f>
        <v>Не е приложимо</v>
      </c>
      <c r="N659" s="604" t="str">
        <f>[1]K_Summary!N649</f>
        <v>Квота за емисии/тона</v>
      </c>
      <c r="R659" s="605" t="str">
        <f>[1]K_Summary!R649</f>
        <v>No. BM</v>
      </c>
      <c r="S659" s="606" t="str">
        <f>[1]K_Summary!S649</f>
        <v>Не е приложимо</v>
      </c>
    </row>
    <row r="660" spans="2:19" ht="12.75" customHeight="1" thickBot="1" x14ac:dyDescent="0.3">
      <c r="B660" s="284"/>
      <c r="C660" s="302"/>
      <c r="D660" s="302"/>
      <c r="E660" s="607" t="str">
        <f>[1]K_Summary!E650</f>
        <v>Специфични коефициенти:</v>
      </c>
      <c r="F660" s="607"/>
      <c r="G660" s="406" t="str">
        <f>[1]K_Summary!G650</f>
        <v/>
      </c>
      <c r="H660" s="600" t="str">
        <f>[1]K_Summary!H650</f>
        <v>Не е приложимо</v>
      </c>
      <c r="I660" s="608" t="str">
        <f>[1]K_Summary!I650</f>
        <v/>
      </c>
      <c r="J660" s="406" t="str">
        <f>[1]K_Summary!J650</f>
        <v/>
      </c>
      <c r="K660" s="609" t="str">
        <f>[1]K_Summary!K650</f>
        <v/>
      </c>
      <c r="L660" s="302"/>
      <c r="M660" s="610" t="str">
        <f>[1]K_Summary!M650</f>
        <v>Не е приложимо</v>
      </c>
      <c r="N660" s="611" t="str">
        <f>[1]K_Summary!N650</f>
        <v>Квота за емисии/тона</v>
      </c>
      <c r="P660" s="612" t="b">
        <f>IF(ISNUMBER(K658),INDEX(EUconst_BMlistBMvalues,MATCH(K658,EUconst_BMlistMainNumberOfBM,0))&lt;&gt;M660,FALSE)</f>
        <v>0</v>
      </c>
    </row>
    <row r="661" spans="2:19" ht="12.75" customHeight="1" x14ac:dyDescent="0.25">
      <c r="B661" s="284"/>
      <c r="C661" s="302"/>
      <c r="D661" s="302"/>
      <c r="E661" s="302"/>
      <c r="F661" s="302"/>
      <c r="G661" s="302"/>
      <c r="H661" s="302"/>
      <c r="I661" s="302"/>
      <c r="J661" s="302"/>
      <c r="K661" s="302"/>
      <c r="L661" s="302"/>
      <c r="M661" s="302"/>
      <c r="N661" s="302"/>
    </row>
    <row r="662" spans="2:19" ht="12.75" customHeight="1" x14ac:dyDescent="0.25">
      <c r="B662" s="284"/>
      <c r="C662" s="302"/>
      <c r="D662" s="302"/>
      <c r="E662" s="498"/>
      <c r="F662" s="498"/>
      <c r="G662" s="380"/>
      <c r="H662" s="613" t="str">
        <f>[1]K_Summary!H652</f>
        <v>Единица мярка</v>
      </c>
      <c r="I662" s="387">
        <f>[1]K_Summary!I652</f>
        <v>2019</v>
      </c>
      <c r="J662" s="387">
        <f>[1]K_Summary!J652</f>
        <v>2020</v>
      </c>
      <c r="K662" s="387">
        <f>[1]K_Summary!K652</f>
        <v>2021</v>
      </c>
      <c r="L662" s="387">
        <f>[1]K_Summary!L652</f>
        <v>2022</v>
      </c>
      <c r="M662" s="387">
        <f>[1]K_Summary!M652</f>
        <v>2023</v>
      </c>
      <c r="N662" s="302"/>
    </row>
    <row r="663" spans="2:19" ht="12.75" customHeight="1" x14ac:dyDescent="0.25">
      <c r="B663" s="284"/>
      <c r="C663" s="302"/>
      <c r="D663" s="302"/>
      <c r="E663" s="614" t="str">
        <f>[1]K_Summary!E653</f>
        <v>Отчетено HAL (историческо равнище на дейност)</v>
      </c>
      <c r="F663" s="388"/>
      <c r="G663" s="615"/>
      <c r="H663" s="600" t="str">
        <f>[1]K_Summary!H653</f>
        <v>тона</v>
      </c>
      <c r="I663" s="406" t="str">
        <f>[1]K_Summary!I653</f>
        <v/>
      </c>
      <c r="J663" s="406" t="str">
        <f>[1]K_Summary!J653</f>
        <v/>
      </c>
      <c r="K663" s="406" t="str">
        <f>[1]K_Summary!K653</f>
        <v/>
      </c>
      <c r="L663" s="406" t="str">
        <f>[1]K_Summary!L653</f>
        <v/>
      </c>
      <c r="M663" s="406" t="str">
        <f>[1]K_Summary!M653</f>
        <v/>
      </c>
      <c r="N663" s="596" t="str">
        <f>[1]K_Summary!N653</f>
        <v>Median</v>
      </c>
    </row>
    <row r="664" spans="2:19" ht="12.75" customHeight="1" x14ac:dyDescent="0.25">
      <c r="B664" s="284"/>
      <c r="C664" s="302"/>
      <c r="D664" s="302"/>
      <c r="E664" s="614" t="str">
        <f>[1]K_Summary!E654</f>
        <v>Стойности, използвани за изчислението на HAL:</v>
      </c>
      <c r="F664" s="388"/>
      <c r="G664" s="615"/>
      <c r="H664" s="600" t="str">
        <f>[1]K_Summary!H654</f>
        <v>тона</v>
      </c>
      <c r="I664" s="406" t="str">
        <f>[1]K_Summary!I654</f>
        <v/>
      </c>
      <c r="J664" s="406" t="str">
        <f>[1]K_Summary!J654</f>
        <v/>
      </c>
      <c r="K664" s="406" t="str">
        <f>[1]K_Summary!K654</f>
        <v/>
      </c>
      <c r="L664" s="406" t="str">
        <f>[1]K_Summary!L654</f>
        <v/>
      </c>
      <c r="M664" s="406" t="str">
        <f>[1]K_Summary!M654</f>
        <v/>
      </c>
      <c r="N664" s="406" t="str">
        <f>[1]K_Summary!N654</f>
        <v/>
      </c>
    </row>
    <row r="665" spans="2:19" ht="12.75" customHeight="1" x14ac:dyDescent="0.25">
      <c r="B665" s="284"/>
      <c r="C665" s="302"/>
      <c r="D665" s="302"/>
      <c r="E665" s="360"/>
      <c r="F665" s="360"/>
      <c r="G665" s="360"/>
      <c r="H665" s="360"/>
      <c r="I665" s="360"/>
      <c r="J665" s="360"/>
      <c r="K665" s="360"/>
      <c r="L665" s="360"/>
      <c r="M665" s="364"/>
      <c r="N665" s="364"/>
    </row>
    <row r="666" spans="2:19" ht="12.75" customHeight="1" x14ac:dyDescent="0.25">
      <c r="B666" s="284"/>
      <c r="C666" s="302"/>
      <c r="D666" s="302"/>
      <c r="E666" s="616" t="str">
        <f>[1]K_Summary!E656</f>
        <v>Съответно потребление на електроенергия</v>
      </c>
      <c r="F666" s="616"/>
      <c r="G666" s="616"/>
      <c r="H666" s="617" t="str">
        <f>[1]K_Summary!H656</f>
        <v>MWh / година</v>
      </c>
      <c r="I666" s="618" t="str">
        <f>[1]K_Summary!I656</f>
        <v/>
      </c>
      <c r="J666" s="618" t="str">
        <f>[1]K_Summary!J656</f>
        <v/>
      </c>
      <c r="K666" s="618" t="str">
        <f>[1]K_Summary!K656</f>
        <v/>
      </c>
      <c r="L666" s="618" t="str">
        <f>[1]K_Summary!L656</f>
        <v/>
      </c>
      <c r="M666" s="618" t="str">
        <f>[1]K_Summary!M656</f>
        <v/>
      </c>
      <c r="N666" s="302"/>
    </row>
    <row r="667" spans="2:19" ht="12.75" customHeight="1" x14ac:dyDescent="0.25">
      <c r="B667" s="284"/>
      <c r="C667" s="302"/>
      <c r="D667" s="302"/>
      <c r="E667" s="360"/>
      <c r="F667" s="360"/>
      <c r="G667" s="360"/>
      <c r="H667" s="360"/>
      <c r="I667" s="360"/>
      <c r="J667" s="360"/>
      <c r="K667" s="360"/>
      <c r="L667" s="360"/>
      <c r="M667" s="364"/>
      <c r="N667" s="364"/>
    </row>
    <row r="668" spans="2:19" ht="12.75" customHeight="1" thickBot="1" x14ac:dyDescent="0.3">
      <c r="B668" s="284"/>
      <c r="C668" s="364"/>
      <c r="D668" s="302"/>
      <c r="E668" s="360"/>
      <c r="F668" s="619" t="str">
        <f>[1]K_Summary!F658</f>
        <v>Общо HAL</v>
      </c>
      <c r="G668" s="620"/>
      <c r="H668" s="364"/>
      <c r="I668" s="619" t="str">
        <f>[1]K_Summary!I658</f>
        <v>Предв. разпр. за год. 1 (мин)</v>
      </c>
      <c r="J668" s="620"/>
      <c r="K668" s="619" t="str">
        <f>[1]K_Summary!K658</f>
        <v>Предв. разпр. за год. 1 (макс)</v>
      </c>
      <c r="L668" s="620"/>
      <c r="M668" s="619" t="str">
        <f>[1]K_Summary!M658</f>
        <v>Предв. разпр. за год. 1 (действ.)</v>
      </c>
      <c r="N668" s="620"/>
    </row>
    <row r="669" spans="2:19" ht="12.75" customHeight="1" thickBot="1" x14ac:dyDescent="0.3">
      <c r="B669" s="284"/>
      <c r="C669" s="364"/>
      <c r="D669" s="364"/>
      <c r="E669" s="360"/>
      <c r="F669" s="621" t="str">
        <f>[1]K_Summary!F659</f>
        <v/>
      </c>
      <c r="G669" s="622" t="str">
        <f>[1]K_Summary!G659</f>
        <v>тона / година</v>
      </c>
      <c r="H669" s="364"/>
      <c r="I669" s="623" t="str">
        <f>[1]K_Summary!I659</f>
        <v/>
      </c>
      <c r="J669" s="624" t="str">
        <f>[1]K_Summary!J659</f>
        <v>Квота за емисии / година</v>
      </c>
      <c r="K669" s="623" t="str">
        <f>[1]K_Summary!K659</f>
        <v/>
      </c>
      <c r="L669" s="624" t="str">
        <f>[1]K_Summary!L659</f>
        <v>Квота за емисии / година</v>
      </c>
      <c r="M669" s="623" t="str">
        <f>[1]K_Summary!M659</f>
        <v/>
      </c>
      <c r="N669" s="624" t="str">
        <f>[1]K_Summary!N659</f>
        <v>Квота за емисии / година</v>
      </c>
    </row>
    <row r="670" spans="2:19" ht="12.75" customHeight="1" x14ac:dyDescent="0.25">
      <c r="B670" s="284"/>
      <c r="C670" s="302"/>
      <c r="D670" s="364"/>
      <c r="E670" s="360"/>
      <c r="F670" s="302"/>
      <c r="G670" s="302"/>
      <c r="H670" s="302"/>
      <c r="I670" s="302"/>
      <c r="J670" s="302"/>
      <c r="K670" s="302"/>
      <c r="L670" s="302"/>
      <c r="M670" s="302"/>
      <c r="N670" s="302"/>
    </row>
    <row r="671" spans="2:19" ht="12.75" customHeight="1" x14ac:dyDescent="0.25">
      <c r="B671" s="284"/>
      <c r="C671" s="302"/>
      <c r="D671" s="302"/>
      <c r="E671" s="625"/>
      <c r="F671" s="626"/>
      <c r="G671" s="626"/>
      <c r="H671" s="626"/>
      <c r="I671" s="626"/>
      <c r="J671" s="626"/>
      <c r="K671" s="626"/>
      <c r="L671" s="626"/>
      <c r="M671" s="626"/>
      <c r="N671" s="626"/>
    </row>
    <row r="672" spans="2:19" ht="12.75" customHeight="1" thickBot="1" x14ac:dyDescent="0.3">
      <c r="B672" s="284"/>
      <c r="C672" s="302"/>
      <c r="D672" s="302"/>
      <c r="E672" s="625"/>
      <c r="F672" s="626"/>
      <c r="G672" s="626"/>
      <c r="H672" s="627" t="str">
        <f>[1]K_Summary!H662</f>
        <v>Единица мярка</v>
      </c>
      <c r="I672" s="628">
        <f>[1]K_Summary!I662</f>
        <v>2019</v>
      </c>
      <c r="J672" s="629">
        <f>[1]K_Summary!J662</f>
        <v>2020</v>
      </c>
      <c r="K672" s="629">
        <f>[1]K_Summary!K662</f>
        <v>2021</v>
      </c>
      <c r="L672" s="629">
        <f>[1]K_Summary!L662</f>
        <v>2022</v>
      </c>
      <c r="M672" s="629">
        <f>[1]K_Summary!M662</f>
        <v>2023</v>
      </c>
      <c r="N672" s="626"/>
    </row>
    <row r="673" spans="2:14" ht="12.75" customHeight="1" thickBot="1" x14ac:dyDescent="0.3">
      <c r="B673" s="284"/>
      <c r="C673" s="302"/>
      <c r="D673" s="302"/>
      <c r="E673" s="630" t="str">
        <f>[1]K_Summary!E663</f>
        <v>Общо зададени емисии</v>
      </c>
      <c r="F673" s="630"/>
      <c r="G673" s="630"/>
      <c r="H673" s="631" t="str">
        <f>[1]K_Summary!H663</f>
        <v>t CO2e/година</v>
      </c>
      <c r="I673" s="632" t="str">
        <f>[1]K_Summary!I663</f>
        <v/>
      </c>
      <c r="J673" s="633" t="str">
        <f>[1]K_Summary!J663</f>
        <v/>
      </c>
      <c r="K673" s="633" t="str">
        <f>[1]K_Summary!K663</f>
        <v/>
      </c>
      <c r="L673" s="633" t="str">
        <f>[1]K_Summary!L663</f>
        <v/>
      </c>
      <c r="M673" s="634" t="str">
        <f>[1]K_Summary!M663</f>
        <v/>
      </c>
      <c r="N673" s="626"/>
    </row>
    <row r="674" spans="2:14" ht="12.75" customHeight="1" x14ac:dyDescent="0.25">
      <c r="B674" s="284"/>
      <c r="C674" s="302"/>
      <c r="D674" s="302"/>
      <c r="E674" s="625"/>
      <c r="F674" s="625"/>
      <c r="G674" s="625"/>
      <c r="H674" s="625"/>
      <c r="I674" s="635"/>
      <c r="J674" s="635"/>
      <c r="K674" s="635"/>
      <c r="L674" s="635"/>
      <c r="M674" s="635"/>
      <c r="N674" s="625"/>
    </row>
    <row r="675" spans="2:14" ht="12.75" customHeight="1" x14ac:dyDescent="0.25">
      <c r="B675" s="284"/>
      <c r="C675" s="302"/>
      <c r="D675" s="302"/>
      <c r="E675" s="636" t="str">
        <f>[1]K_Summary!E665</f>
        <v>Обща вложена енергия</v>
      </c>
      <c r="F675" s="636"/>
      <c r="G675" s="636"/>
      <c r="H675" s="637" t="str">
        <f>[1]K_Summary!H665</f>
        <v>TJ / година</v>
      </c>
      <c r="I675" s="482" t="str">
        <f>[1]K_Summary!I665</f>
        <v/>
      </c>
      <c r="J675" s="482" t="str">
        <f>[1]K_Summary!J665</f>
        <v/>
      </c>
      <c r="K675" s="482" t="str">
        <f>[1]K_Summary!K665</f>
        <v/>
      </c>
      <c r="L675" s="482" t="str">
        <f>[1]K_Summary!L665</f>
        <v/>
      </c>
      <c r="M675" s="482" t="str">
        <f>[1]K_Summary!M665</f>
        <v/>
      </c>
      <c r="N675" s="626"/>
    </row>
    <row r="676" spans="2:14" ht="12.75" customHeight="1" x14ac:dyDescent="0.25">
      <c r="B676" s="284"/>
      <c r="C676" s="302"/>
      <c r="D676" s="302"/>
      <c r="E676" s="638" t="str">
        <f>[1]K_Summary!E666</f>
        <v>Претеглен емисионен фактор</v>
      </c>
      <c r="F676" s="638"/>
      <c r="G676" s="638"/>
      <c r="H676" s="639" t="str">
        <f>[1]K_Summary!H666</f>
        <v>t CO2 / TJ</v>
      </c>
      <c r="I676" s="484" t="str">
        <f>[1]K_Summary!I666</f>
        <v/>
      </c>
      <c r="J676" s="484" t="str">
        <f>[1]K_Summary!J666</f>
        <v/>
      </c>
      <c r="K676" s="484" t="str">
        <f>[1]K_Summary!K666</f>
        <v/>
      </c>
      <c r="L676" s="484" t="str">
        <f>[1]K_Summary!L666</f>
        <v/>
      </c>
      <c r="M676" s="484" t="str">
        <f>[1]K_Summary!M666</f>
        <v/>
      </c>
      <c r="N676" s="626"/>
    </row>
    <row r="677" spans="2:14" ht="12.75" customHeight="1" x14ac:dyDescent="0.25">
      <c r="B677" s="284"/>
      <c r="C677" s="302"/>
      <c r="D677" s="364"/>
      <c r="E677" s="625"/>
      <c r="F677" s="626"/>
      <c r="G677" s="626"/>
      <c r="H677" s="626"/>
      <c r="I677" s="640"/>
      <c r="J677" s="640"/>
      <c r="K677" s="640"/>
      <c r="L677" s="640"/>
      <c r="M677" s="640"/>
      <c r="N677" s="626"/>
    </row>
    <row r="678" spans="2:14" ht="12.75" customHeight="1" x14ac:dyDescent="0.25">
      <c r="B678" s="284"/>
      <c r="C678" s="302"/>
      <c r="D678" s="364"/>
      <c r="E678" s="641" t="str">
        <f>[1]K_Summary!E668</f>
        <v>Преки емисии</v>
      </c>
      <c r="F678" s="641"/>
      <c r="G678" s="641"/>
      <c r="H678" s="642" t="str">
        <f>[1]K_Summary!H668</f>
        <v>t CO2 / година</v>
      </c>
      <c r="I678" s="499" t="str">
        <f>[1]K_Summary!I668</f>
        <v/>
      </c>
      <c r="J678" s="499" t="str">
        <f>[1]K_Summary!J668</f>
        <v/>
      </c>
      <c r="K678" s="499" t="str">
        <f>[1]K_Summary!K668</f>
        <v/>
      </c>
      <c r="L678" s="499" t="str">
        <f>[1]K_Summary!L668</f>
        <v/>
      </c>
      <c r="M678" s="499" t="str">
        <f>[1]K_Summary!M668</f>
        <v/>
      </c>
      <c r="N678" s="626"/>
    </row>
    <row r="679" spans="2:14" ht="12.75" customHeight="1" x14ac:dyDescent="0.25">
      <c r="B679" s="284"/>
      <c r="C679" s="302"/>
      <c r="D679" s="364"/>
      <c r="E679" s="641" t="str">
        <f>[1]K_Summary!E669</f>
        <v>Други потоци горива и материали пораждащи емисии — 1</v>
      </c>
      <c r="F679" s="641"/>
      <c r="G679" s="641"/>
      <c r="H679" s="642" t="str">
        <f>[1]K_Summary!H669</f>
        <v>t CO2 / година</v>
      </c>
      <c r="I679" s="499" t="str">
        <f>[1]K_Summary!I669</f>
        <v/>
      </c>
      <c r="J679" s="499" t="str">
        <f>[1]K_Summary!J669</f>
        <v/>
      </c>
      <c r="K679" s="499" t="str">
        <f>[1]K_Summary!K669</f>
        <v/>
      </c>
      <c r="L679" s="499" t="str">
        <f>[1]K_Summary!L669</f>
        <v/>
      </c>
      <c r="M679" s="499" t="str">
        <f>[1]K_Summary!M669</f>
        <v/>
      </c>
      <c r="N679" s="626"/>
    </row>
    <row r="680" spans="2:14" ht="12.75" customHeight="1" x14ac:dyDescent="0.25">
      <c r="B680" s="284"/>
      <c r="C680" s="302"/>
      <c r="D680" s="364"/>
      <c r="E680" s="641" t="str">
        <f>[1]K_Summary!E670</f>
        <v>Други потоци горива и материали пораждащи емисии — 2</v>
      </c>
      <c r="F680" s="641"/>
      <c r="G680" s="641"/>
      <c r="H680" s="642" t="str">
        <f>[1]K_Summary!H670</f>
        <v>t CO2 / година</v>
      </c>
      <c r="I680" s="499" t="str">
        <f>[1]K_Summary!I670</f>
        <v/>
      </c>
      <c r="J680" s="499" t="str">
        <f>[1]K_Summary!J670</f>
        <v/>
      </c>
      <c r="K680" s="499" t="str">
        <f>[1]K_Summary!K670</f>
        <v/>
      </c>
      <c r="L680" s="499" t="str">
        <f>[1]K_Summary!L670</f>
        <v/>
      </c>
      <c r="M680" s="499" t="str">
        <f>[1]K_Summary!M670</f>
        <v/>
      </c>
      <c r="N680" s="626"/>
    </row>
    <row r="681" spans="2:14" ht="12.75" customHeight="1" x14ac:dyDescent="0.25">
      <c r="B681" s="284"/>
      <c r="C681" s="302"/>
      <c r="D681" s="302"/>
      <c r="E681" s="641" t="str">
        <f>[1]K_Summary!E671</f>
        <v>Получени или подадени парникови газове</v>
      </c>
      <c r="F681" s="641"/>
      <c r="G681" s="641"/>
      <c r="H681" s="642" t="str">
        <f>[1]K_Summary!H671</f>
        <v>t CO2e/година</v>
      </c>
      <c r="I681" s="499" t="str">
        <f>[1]K_Summary!I671</f>
        <v/>
      </c>
      <c r="J681" s="499" t="str">
        <f>[1]K_Summary!J671</f>
        <v/>
      </c>
      <c r="K681" s="499" t="str">
        <f>[1]K_Summary!K671</f>
        <v/>
      </c>
      <c r="L681" s="499" t="str">
        <f>[1]K_Summary!L671</f>
        <v/>
      </c>
      <c r="M681" s="499" t="str">
        <f>[1]K_Summary!M671</f>
        <v/>
      </c>
      <c r="N681" s="626"/>
    </row>
    <row r="682" spans="2:14" ht="12.75" customHeight="1" x14ac:dyDescent="0.25">
      <c r="B682" s="284"/>
      <c r="C682" s="302"/>
      <c r="D682" s="302"/>
      <c r="E682" s="626"/>
      <c r="F682" s="626"/>
      <c r="G682" s="626"/>
      <c r="H682" s="626"/>
      <c r="I682" s="640"/>
      <c r="J682" s="640"/>
      <c r="K682" s="640"/>
      <c r="L682" s="640"/>
      <c r="M682" s="640"/>
      <c r="N682" s="626"/>
    </row>
    <row r="683" spans="2:14" ht="12.75" customHeight="1" x14ac:dyDescent="0.25">
      <c r="B683" s="284"/>
      <c r="C683" s="302"/>
      <c r="D683" s="302"/>
      <c r="E683" s="636" t="str">
        <f>[1]K_Summary!E673</f>
        <v>Нетно количество получена топлинна енергия</v>
      </c>
      <c r="F683" s="636"/>
      <c r="G683" s="636"/>
      <c r="H683" s="637" t="str">
        <f>[1]K_Summary!H673</f>
        <v>TJ / година</v>
      </c>
      <c r="I683" s="482" t="str">
        <f>[1]K_Summary!I673</f>
        <v/>
      </c>
      <c r="J683" s="482" t="str">
        <f>[1]K_Summary!J673</f>
        <v/>
      </c>
      <c r="K683" s="482" t="str">
        <f>[1]K_Summary!K673</f>
        <v/>
      </c>
      <c r="L683" s="482" t="str">
        <f>[1]K_Summary!L673</f>
        <v/>
      </c>
      <c r="M683" s="482" t="str">
        <f>[1]K_Summary!M673</f>
        <v/>
      </c>
      <c r="N683" s="626"/>
    </row>
    <row r="684" spans="2:14" ht="12.75" customHeight="1" x14ac:dyDescent="0.25">
      <c r="B684" s="284"/>
      <c r="C684" s="302"/>
      <c r="D684" s="302"/>
      <c r="E684" s="638" t="str">
        <f>[1]K_Summary!E674</f>
        <v>Специфичен EF (получена топлинна енергия)</v>
      </c>
      <c r="F684" s="638"/>
      <c r="G684" s="638"/>
      <c r="H684" s="639" t="str">
        <f>[1]K_Summary!H674</f>
        <v>t CO2 / TJ</v>
      </c>
      <c r="I684" s="484" t="str">
        <f>[1]K_Summary!I674</f>
        <v/>
      </c>
      <c r="J684" s="484" t="str">
        <f>[1]K_Summary!J674</f>
        <v/>
      </c>
      <c r="K684" s="484" t="str">
        <f>[1]K_Summary!K674</f>
        <v/>
      </c>
      <c r="L684" s="484" t="str">
        <f>[1]K_Summary!L674</f>
        <v/>
      </c>
      <c r="M684" s="484" t="str">
        <f>[1]K_Summary!M674</f>
        <v/>
      </c>
      <c r="N684" s="626"/>
    </row>
    <row r="685" spans="2:14" ht="12.75" customHeight="1" x14ac:dyDescent="0.25">
      <c r="B685" s="284"/>
      <c r="C685" s="302"/>
      <c r="D685" s="302"/>
      <c r="E685" s="625"/>
      <c r="F685" s="626"/>
      <c r="G685" s="626"/>
      <c r="H685" s="626"/>
      <c r="I685" s="640"/>
      <c r="J685" s="640"/>
      <c r="K685" s="640"/>
      <c r="L685" s="640"/>
      <c r="M685" s="640"/>
      <c r="N685" s="626"/>
    </row>
    <row r="686" spans="2:14" ht="12.75" customHeight="1" x14ac:dyDescent="0.25">
      <c r="B686" s="284"/>
      <c r="C686" s="302"/>
      <c r="D686" s="302"/>
      <c r="E686" s="641" t="str">
        <f>[1]K_Summary!E676</f>
        <v>Нетно количество топлинна енергия, получена от пулп</v>
      </c>
      <c r="F686" s="641"/>
      <c r="G686" s="641"/>
      <c r="H686" s="642" t="str">
        <f>[1]K_Summary!H676</f>
        <v>TJ / година</v>
      </c>
      <c r="I686" s="480" t="str">
        <f>[1]K_Summary!I676</f>
        <v/>
      </c>
      <c r="J686" s="480" t="str">
        <f>[1]K_Summary!J676</f>
        <v/>
      </c>
      <c r="K686" s="480" t="str">
        <f>[1]K_Summary!K676</f>
        <v/>
      </c>
      <c r="L686" s="480" t="str">
        <f>[1]K_Summary!L676</f>
        <v/>
      </c>
      <c r="M686" s="480" t="str">
        <f>[1]K_Summary!M676</f>
        <v/>
      </c>
      <c r="N686" s="626"/>
    </row>
    <row r="687" spans="2:14" ht="12.75" customHeight="1" x14ac:dyDescent="0.25">
      <c r="B687" s="284"/>
      <c r="C687" s="302"/>
      <c r="D687" s="302"/>
      <c r="E687" s="641" t="str">
        <f>[1]K_Summary!E677</f>
        <v>Нетно количество топлинна енергия, получена от подинсталации за азотна киселина</v>
      </c>
      <c r="F687" s="641"/>
      <c r="G687" s="641"/>
      <c r="H687" s="642" t="str">
        <f>[1]K_Summary!H677</f>
        <v>TJ / година</v>
      </c>
      <c r="I687" s="480" t="str">
        <f>[1]K_Summary!I677</f>
        <v/>
      </c>
      <c r="J687" s="480" t="str">
        <f>[1]K_Summary!J677</f>
        <v/>
      </c>
      <c r="K687" s="480" t="str">
        <f>[1]K_Summary!K677</f>
        <v/>
      </c>
      <c r="L687" s="480" t="str">
        <f>[1]K_Summary!L677</f>
        <v/>
      </c>
      <c r="M687" s="480" t="str">
        <f>[1]K_Summary!M677</f>
        <v/>
      </c>
      <c r="N687" s="626"/>
    </row>
    <row r="688" spans="2:14" ht="12.75" customHeight="1" x14ac:dyDescent="0.25">
      <c r="B688" s="284"/>
      <c r="C688" s="302"/>
      <c r="D688" s="302"/>
      <c r="E688" s="625"/>
      <c r="F688" s="625"/>
      <c r="G688" s="625"/>
      <c r="H688" s="625"/>
      <c r="I688" s="640"/>
      <c r="J688" s="640"/>
      <c r="K688" s="640"/>
      <c r="L688" s="640"/>
      <c r="M688" s="640"/>
      <c r="N688" s="626"/>
    </row>
    <row r="689" spans="2:14" ht="12.75" customHeight="1" x14ac:dyDescent="0.25">
      <c r="B689" s="284"/>
      <c r="C689" s="302"/>
      <c r="D689" s="302"/>
      <c r="E689" s="636" t="str">
        <f>[1]K_Summary!E679</f>
        <v>Нетно количество подадена топлинна енергия</v>
      </c>
      <c r="F689" s="636"/>
      <c r="G689" s="636"/>
      <c r="H689" s="637" t="str">
        <f>[1]K_Summary!H679</f>
        <v>TJ / година</v>
      </c>
      <c r="I689" s="482" t="str">
        <f>[1]K_Summary!I679</f>
        <v/>
      </c>
      <c r="J689" s="482" t="str">
        <f>[1]K_Summary!J679</f>
        <v/>
      </c>
      <c r="K689" s="482" t="str">
        <f>[1]K_Summary!K679</f>
        <v/>
      </c>
      <c r="L689" s="482" t="str">
        <f>[1]K_Summary!L679</f>
        <v/>
      </c>
      <c r="M689" s="482" t="str">
        <f>[1]K_Summary!M679</f>
        <v/>
      </c>
      <c r="N689" s="626"/>
    </row>
    <row r="690" spans="2:14" ht="12.75" customHeight="1" x14ac:dyDescent="0.25">
      <c r="B690" s="284"/>
      <c r="C690" s="302"/>
      <c r="D690" s="302"/>
      <c r="E690" s="638" t="str">
        <f>[1]K_Summary!E680</f>
        <v>Специфичен EF (подадена топлинна енергия)</v>
      </c>
      <c r="F690" s="638"/>
      <c r="G690" s="638"/>
      <c r="H690" s="639" t="str">
        <f>[1]K_Summary!H680</f>
        <v>t CO2 / TJ</v>
      </c>
      <c r="I690" s="484" t="str">
        <f>[1]K_Summary!I680</f>
        <v/>
      </c>
      <c r="J690" s="484" t="str">
        <f>[1]K_Summary!J680</f>
        <v/>
      </c>
      <c r="K690" s="484" t="str">
        <f>[1]K_Summary!K680</f>
        <v/>
      </c>
      <c r="L690" s="484" t="str">
        <f>[1]K_Summary!L680</f>
        <v/>
      </c>
      <c r="M690" s="484" t="str">
        <f>[1]K_Summary!M680</f>
        <v/>
      </c>
      <c r="N690" s="626"/>
    </row>
    <row r="691" spans="2:14" ht="12.75" customHeight="1" x14ac:dyDescent="0.25">
      <c r="B691" s="284"/>
      <c r="C691" s="302"/>
      <c r="D691" s="302"/>
      <c r="E691" s="625"/>
      <c r="F691" s="625"/>
      <c r="G691" s="625"/>
      <c r="H691" s="625"/>
      <c r="I691" s="640"/>
      <c r="J691" s="640"/>
      <c r="K691" s="640"/>
      <c r="L691" s="640"/>
      <c r="M691" s="640"/>
      <c r="N691" s="626"/>
    </row>
    <row r="692" spans="2:14" ht="12.75" customHeight="1" x14ac:dyDescent="0.25">
      <c r="B692" s="284"/>
      <c r="C692" s="302"/>
      <c r="D692" s="302"/>
      <c r="E692" s="636" t="str">
        <f>[1]K_Summary!E682</f>
        <v>Произведен отпадъчен газ</v>
      </c>
      <c r="F692" s="636"/>
      <c r="G692" s="636"/>
      <c r="H692" s="637" t="str">
        <f>[1]K_Summary!H682</f>
        <v>TJ / година</v>
      </c>
      <c r="I692" s="482" t="str">
        <f>[1]K_Summary!I682</f>
        <v/>
      </c>
      <c r="J692" s="482" t="str">
        <f>[1]K_Summary!J682</f>
        <v/>
      </c>
      <c r="K692" s="482" t="str">
        <f>[1]K_Summary!K682</f>
        <v/>
      </c>
      <c r="L692" s="482" t="str">
        <f>[1]K_Summary!L682</f>
        <v/>
      </c>
      <c r="M692" s="482" t="str">
        <f>[1]K_Summary!M682</f>
        <v/>
      </c>
      <c r="N692" s="626"/>
    </row>
    <row r="693" spans="2:14" ht="12.75" customHeight="1" x14ac:dyDescent="0.25">
      <c r="B693" s="284"/>
      <c r="C693" s="302"/>
      <c r="D693" s="302"/>
      <c r="E693" s="638" t="str">
        <f>[1]K_Summary!E683</f>
        <v>Специфичен EF (произведен отпадъчен газ)</v>
      </c>
      <c r="F693" s="638"/>
      <c r="G693" s="638"/>
      <c r="H693" s="639" t="str">
        <f>[1]K_Summary!H683</f>
        <v>t CO2 / TJ</v>
      </c>
      <c r="I693" s="484" t="str">
        <f>[1]K_Summary!I683</f>
        <v/>
      </c>
      <c r="J693" s="484" t="str">
        <f>[1]K_Summary!J683</f>
        <v/>
      </c>
      <c r="K693" s="484" t="str">
        <f>[1]K_Summary!K683</f>
        <v/>
      </c>
      <c r="L693" s="484" t="str">
        <f>[1]K_Summary!L683</f>
        <v/>
      </c>
      <c r="M693" s="484" t="str">
        <f>[1]K_Summary!M683</f>
        <v/>
      </c>
      <c r="N693" s="626"/>
    </row>
    <row r="694" spans="2:14" ht="12.75" customHeight="1" x14ac:dyDescent="0.25">
      <c r="B694" s="284"/>
      <c r="C694" s="302"/>
      <c r="D694" s="302"/>
      <c r="E694" s="636" t="str">
        <f>[1]K_Summary!E684</f>
        <v>Консумиран отпадъчен газ</v>
      </c>
      <c r="F694" s="636"/>
      <c r="G694" s="636"/>
      <c r="H694" s="637" t="str">
        <f>[1]K_Summary!H684</f>
        <v>TJ / година</v>
      </c>
      <c r="I694" s="482" t="str">
        <f>[1]K_Summary!I684</f>
        <v/>
      </c>
      <c r="J694" s="482" t="str">
        <f>[1]K_Summary!J684</f>
        <v/>
      </c>
      <c r="K694" s="482" t="str">
        <f>[1]K_Summary!K684</f>
        <v/>
      </c>
      <c r="L694" s="482" t="str">
        <f>[1]K_Summary!L684</f>
        <v/>
      </c>
      <c r="M694" s="482" t="str">
        <f>[1]K_Summary!M684</f>
        <v/>
      </c>
      <c r="N694" s="626"/>
    </row>
    <row r="695" spans="2:14" ht="12.75" customHeight="1" x14ac:dyDescent="0.25">
      <c r="B695" s="284"/>
      <c r="C695" s="302"/>
      <c r="D695" s="302"/>
      <c r="E695" s="638" t="str">
        <f>[1]K_Summary!E685</f>
        <v>Специфичен EF (консумиран отпадъчен газ)</v>
      </c>
      <c r="F695" s="638"/>
      <c r="G695" s="638"/>
      <c r="H695" s="639" t="str">
        <f>[1]K_Summary!H685</f>
        <v>t CO2 / TJ</v>
      </c>
      <c r="I695" s="484" t="str">
        <f>[1]K_Summary!I685</f>
        <v/>
      </c>
      <c r="J695" s="484" t="str">
        <f>[1]K_Summary!J685</f>
        <v/>
      </c>
      <c r="K695" s="484" t="str">
        <f>[1]K_Summary!K685</f>
        <v/>
      </c>
      <c r="L695" s="484" t="str">
        <f>[1]K_Summary!L685</f>
        <v/>
      </c>
      <c r="M695" s="484" t="str">
        <f>[1]K_Summary!M685</f>
        <v/>
      </c>
      <c r="N695" s="626"/>
    </row>
    <row r="696" spans="2:14" ht="12.75" customHeight="1" x14ac:dyDescent="0.25">
      <c r="B696" s="284"/>
      <c r="C696" s="302"/>
      <c r="D696" s="302"/>
      <c r="E696" s="636" t="str">
        <f>[1]K_Summary!E686</f>
        <v>Изгорен във факел отпадъчен газ</v>
      </c>
      <c r="F696" s="636"/>
      <c r="G696" s="636"/>
      <c r="H696" s="637" t="str">
        <f>[1]K_Summary!H686</f>
        <v>TJ / година</v>
      </c>
      <c r="I696" s="482" t="str">
        <f>[1]K_Summary!I686</f>
        <v/>
      </c>
      <c r="J696" s="482" t="str">
        <f>[1]K_Summary!J686</f>
        <v/>
      </c>
      <c r="K696" s="482" t="str">
        <f>[1]K_Summary!K686</f>
        <v/>
      </c>
      <c r="L696" s="482" t="str">
        <f>[1]K_Summary!L686</f>
        <v/>
      </c>
      <c r="M696" s="482" t="str">
        <f>[1]K_Summary!M686</f>
        <v/>
      </c>
      <c r="N696" s="626"/>
    </row>
    <row r="697" spans="2:14" ht="12.75" customHeight="1" x14ac:dyDescent="0.25">
      <c r="B697" s="284"/>
      <c r="C697" s="302"/>
      <c r="D697" s="302"/>
      <c r="E697" s="638" t="str">
        <f>[1]K_Summary!E687</f>
        <v>Специфичен EF (изгорен във факел отпадъчен газ)</v>
      </c>
      <c r="F697" s="638"/>
      <c r="G697" s="638"/>
      <c r="H697" s="639" t="str">
        <f>[1]K_Summary!H687</f>
        <v>t CO2 / TJ</v>
      </c>
      <c r="I697" s="484" t="str">
        <f>[1]K_Summary!I687</f>
        <v/>
      </c>
      <c r="J697" s="484" t="str">
        <f>[1]K_Summary!J687</f>
        <v/>
      </c>
      <c r="K697" s="484" t="str">
        <f>[1]K_Summary!K687</f>
        <v/>
      </c>
      <c r="L697" s="484" t="str">
        <f>[1]K_Summary!L687</f>
        <v/>
      </c>
      <c r="M697" s="484" t="str">
        <f>[1]K_Summary!M687</f>
        <v/>
      </c>
      <c r="N697" s="626"/>
    </row>
    <row r="698" spans="2:14" ht="12.75" customHeight="1" x14ac:dyDescent="0.25">
      <c r="B698" s="284"/>
      <c r="C698" s="302"/>
      <c r="D698" s="302"/>
      <c r="E698" s="636" t="str">
        <f>[1]K_Summary!E688</f>
        <v>Получен отпадъчен газ</v>
      </c>
      <c r="F698" s="636"/>
      <c r="G698" s="636"/>
      <c r="H698" s="637" t="str">
        <f>[1]K_Summary!H688</f>
        <v>TJ / година</v>
      </c>
      <c r="I698" s="482" t="str">
        <f>[1]K_Summary!I688</f>
        <v/>
      </c>
      <c r="J698" s="482" t="str">
        <f>[1]K_Summary!J688</f>
        <v/>
      </c>
      <c r="K698" s="482" t="str">
        <f>[1]K_Summary!K688</f>
        <v/>
      </c>
      <c r="L698" s="482" t="str">
        <f>[1]K_Summary!L688</f>
        <v/>
      </c>
      <c r="M698" s="482" t="str">
        <f>[1]K_Summary!M688</f>
        <v/>
      </c>
      <c r="N698" s="626"/>
    </row>
    <row r="699" spans="2:14" ht="12.75" customHeight="1" x14ac:dyDescent="0.25">
      <c r="B699" s="284"/>
      <c r="C699" s="302"/>
      <c r="D699" s="302"/>
      <c r="E699" s="638" t="str">
        <f>[1]K_Summary!E689</f>
        <v>Специфичен EF (получен отпадъчен газ)</v>
      </c>
      <c r="F699" s="638"/>
      <c r="G699" s="638"/>
      <c r="H699" s="639" t="str">
        <f>[1]K_Summary!H689</f>
        <v>t CO2 / TJ</v>
      </c>
      <c r="I699" s="484" t="str">
        <f>[1]K_Summary!I689</f>
        <v/>
      </c>
      <c r="J699" s="484" t="str">
        <f>[1]K_Summary!J689</f>
        <v/>
      </c>
      <c r="K699" s="484" t="str">
        <f>[1]K_Summary!K689</f>
        <v/>
      </c>
      <c r="L699" s="484" t="str">
        <f>[1]K_Summary!L689</f>
        <v/>
      </c>
      <c r="M699" s="484" t="str">
        <f>[1]K_Summary!M689</f>
        <v/>
      </c>
      <c r="N699" s="626"/>
    </row>
    <row r="700" spans="2:14" ht="12.75" customHeight="1" x14ac:dyDescent="0.25">
      <c r="B700" s="284"/>
      <c r="C700" s="302"/>
      <c r="D700" s="302"/>
      <c r="E700" s="636" t="str">
        <f>[1]K_Summary!E690</f>
        <v>Подаден отпадъчен газ</v>
      </c>
      <c r="F700" s="636"/>
      <c r="G700" s="636"/>
      <c r="H700" s="637" t="str">
        <f>[1]K_Summary!H690</f>
        <v>TJ / година</v>
      </c>
      <c r="I700" s="482" t="str">
        <f>[1]K_Summary!I690</f>
        <v/>
      </c>
      <c r="J700" s="482" t="str">
        <f>[1]K_Summary!J690</f>
        <v/>
      </c>
      <c r="K700" s="482" t="str">
        <f>[1]K_Summary!K690</f>
        <v/>
      </c>
      <c r="L700" s="482" t="str">
        <f>[1]K_Summary!L690</f>
        <v/>
      </c>
      <c r="M700" s="482" t="str">
        <f>[1]K_Summary!M690</f>
        <v/>
      </c>
      <c r="N700" s="626"/>
    </row>
    <row r="701" spans="2:14" ht="12.75" customHeight="1" x14ac:dyDescent="0.25">
      <c r="B701" s="284"/>
      <c r="C701" s="302"/>
      <c r="D701" s="302"/>
      <c r="E701" s="638" t="str">
        <f>[1]K_Summary!E691</f>
        <v>Специфичен EF (подаден отпадъчен газ)</v>
      </c>
      <c r="F701" s="638"/>
      <c r="G701" s="638"/>
      <c r="H701" s="639" t="str">
        <f>[1]K_Summary!H691</f>
        <v>t CO2 / TJ</v>
      </c>
      <c r="I701" s="484" t="str">
        <f>[1]K_Summary!I691</f>
        <v/>
      </c>
      <c r="J701" s="484" t="str">
        <f>[1]K_Summary!J691</f>
        <v/>
      </c>
      <c r="K701" s="484" t="str">
        <f>[1]K_Summary!K691</f>
        <v/>
      </c>
      <c r="L701" s="484" t="str">
        <f>[1]K_Summary!L691</f>
        <v/>
      </c>
      <c r="M701" s="484" t="str">
        <f>[1]K_Summary!M691</f>
        <v/>
      </c>
      <c r="N701" s="626"/>
    </row>
    <row r="702" spans="2:14" ht="12.75" customHeight="1" x14ac:dyDescent="0.25">
      <c r="B702" s="284"/>
      <c r="C702" s="302"/>
      <c r="D702" s="302"/>
      <c r="E702" s="625"/>
      <c r="F702" s="625"/>
      <c r="G702" s="625"/>
      <c r="H702" s="625"/>
      <c r="I702" s="640"/>
      <c r="J702" s="640"/>
      <c r="K702" s="640"/>
      <c r="L702" s="640"/>
      <c r="M702" s="640"/>
      <c r="N702" s="626"/>
    </row>
    <row r="703" spans="2:14" ht="12.75" customHeight="1" x14ac:dyDescent="0.25">
      <c r="B703" s="284"/>
      <c r="C703" s="302"/>
      <c r="D703" s="302"/>
      <c r="E703" s="641" t="str">
        <f>[1]K_Summary!E693</f>
        <v>Произведена електроенергия</v>
      </c>
      <c r="F703" s="641"/>
      <c r="G703" s="641"/>
      <c r="H703" s="642" t="str">
        <f>[1]K_Summary!H693</f>
        <v>MWh / година</v>
      </c>
      <c r="I703" s="480" t="str">
        <f>[1]K_Summary!I693</f>
        <v/>
      </c>
      <c r="J703" s="480" t="str">
        <f>[1]K_Summary!J693</f>
        <v/>
      </c>
      <c r="K703" s="480" t="str">
        <f>[1]K_Summary!K693</f>
        <v/>
      </c>
      <c r="L703" s="480" t="str">
        <f>[1]K_Summary!L693</f>
        <v/>
      </c>
      <c r="M703" s="480" t="str">
        <f>[1]K_Summary!M693</f>
        <v/>
      </c>
      <c r="N703" s="626"/>
    </row>
    <row r="704" spans="2:14" ht="12.75" customHeight="1" x14ac:dyDescent="0.25">
      <c r="B704" s="284"/>
      <c r="C704" s="302"/>
      <c r="D704" s="302"/>
      <c r="E704" s="625"/>
      <c r="F704" s="625"/>
      <c r="G704" s="625"/>
      <c r="H704" s="625"/>
      <c r="I704" s="640"/>
      <c r="J704" s="640"/>
      <c r="K704" s="640"/>
      <c r="L704" s="640"/>
      <c r="M704" s="640"/>
      <c r="N704" s="626"/>
    </row>
    <row r="705" spans="2:14" ht="12.75" customHeight="1" x14ac:dyDescent="0.25">
      <c r="B705" s="284"/>
      <c r="C705" s="302"/>
      <c r="D705" s="302"/>
      <c r="E705" s="643" t="str">
        <f>[1]K_Summary!E695</f>
        <v>Междинно получаване:</v>
      </c>
      <c r="F705" s="625"/>
      <c r="G705" s="625"/>
      <c r="H705" s="625"/>
      <c r="I705" s="640"/>
      <c r="J705" s="640"/>
      <c r="K705" s="640"/>
      <c r="L705" s="640"/>
      <c r="M705" s="640"/>
      <c r="N705" s="626"/>
    </row>
    <row r="706" spans="2:14" ht="12.75" customHeight="1" x14ac:dyDescent="0.25">
      <c r="B706" s="284"/>
      <c r="C706" s="302"/>
      <c r="D706" s="302"/>
      <c r="E706" s="381" t="str">
        <f>[1]K_Summary!E696</f>
        <v/>
      </c>
      <c r="F706" s="381"/>
      <c r="G706" s="381"/>
      <c r="H706" s="642" t="str">
        <f>[1]K_Summary!H696</f>
        <v>тона</v>
      </c>
      <c r="I706" s="499" t="str">
        <f>[1]K_Summary!I696</f>
        <v/>
      </c>
      <c r="J706" s="499" t="str">
        <f>[1]K_Summary!J696</f>
        <v/>
      </c>
      <c r="K706" s="499" t="str">
        <f>[1]K_Summary!K696</f>
        <v/>
      </c>
      <c r="L706" s="499" t="str">
        <f>[1]K_Summary!L696</f>
        <v/>
      </c>
      <c r="M706" s="499" t="str">
        <f>[1]K_Summary!M696</f>
        <v/>
      </c>
      <c r="N706" s="626"/>
    </row>
    <row r="707" spans="2:14" ht="12.75" customHeight="1" x14ac:dyDescent="0.25">
      <c r="B707" s="284"/>
      <c r="C707" s="302"/>
      <c r="D707" s="302"/>
      <c r="E707" s="381" t="str">
        <f>[1]K_Summary!E697</f>
        <v/>
      </c>
      <c r="F707" s="381"/>
      <c r="G707" s="381"/>
      <c r="H707" s="642" t="str">
        <f>[1]K_Summary!H697</f>
        <v>тона</v>
      </c>
      <c r="I707" s="499" t="str">
        <f>[1]K_Summary!I697</f>
        <v/>
      </c>
      <c r="J707" s="499" t="str">
        <f>[1]K_Summary!J697</f>
        <v/>
      </c>
      <c r="K707" s="499" t="str">
        <f>[1]K_Summary!K697</f>
        <v/>
      </c>
      <c r="L707" s="499" t="str">
        <f>[1]K_Summary!L697</f>
        <v/>
      </c>
      <c r="M707" s="499" t="str">
        <f>[1]K_Summary!M697</f>
        <v/>
      </c>
      <c r="N707" s="626"/>
    </row>
    <row r="708" spans="2:14" ht="12.75" customHeight="1" x14ac:dyDescent="0.25">
      <c r="B708" s="284"/>
      <c r="C708" s="302"/>
      <c r="D708" s="302"/>
      <c r="E708" s="643" t="str">
        <f>[1]K_Summary!E698</f>
        <v>Междинно подаване:</v>
      </c>
      <c r="F708" s="625"/>
      <c r="G708" s="625"/>
      <c r="H708" s="625"/>
      <c r="I708" s="644"/>
      <c r="J708" s="644"/>
      <c r="K708" s="644"/>
      <c r="L708" s="644"/>
      <c r="M708" s="644"/>
      <c r="N708" s="626"/>
    </row>
    <row r="709" spans="2:14" ht="12.75" customHeight="1" x14ac:dyDescent="0.25">
      <c r="B709" s="284"/>
      <c r="C709" s="302"/>
      <c r="D709" s="302"/>
      <c r="E709" s="381" t="str">
        <f>[1]K_Summary!E699</f>
        <v/>
      </c>
      <c r="F709" s="381"/>
      <c r="G709" s="381"/>
      <c r="H709" s="642" t="str">
        <f>[1]K_Summary!H699</f>
        <v>тона</v>
      </c>
      <c r="I709" s="499" t="str">
        <f>[1]K_Summary!I699</f>
        <v/>
      </c>
      <c r="J709" s="499" t="str">
        <f>[1]K_Summary!J699</f>
        <v/>
      </c>
      <c r="K709" s="499" t="str">
        <f>[1]K_Summary!K699</f>
        <v/>
      </c>
      <c r="L709" s="499" t="str">
        <f>[1]K_Summary!L699</f>
        <v/>
      </c>
      <c r="M709" s="499" t="str">
        <f>[1]K_Summary!M699</f>
        <v/>
      </c>
      <c r="N709" s="626"/>
    </row>
    <row r="710" spans="2:14" ht="12.75" customHeight="1" x14ac:dyDescent="0.25">
      <c r="B710" s="284"/>
      <c r="C710" s="302"/>
      <c r="D710" s="302"/>
      <c r="E710" s="381" t="str">
        <f>[1]K_Summary!E700</f>
        <v/>
      </c>
      <c r="F710" s="381"/>
      <c r="G710" s="381"/>
      <c r="H710" s="642" t="str">
        <f>[1]K_Summary!H700</f>
        <v>тона</v>
      </c>
      <c r="I710" s="499" t="str">
        <f>[1]K_Summary!I700</f>
        <v/>
      </c>
      <c r="J710" s="499" t="str">
        <f>[1]K_Summary!J700</f>
        <v/>
      </c>
      <c r="K710" s="499" t="str">
        <f>[1]K_Summary!K700</f>
        <v/>
      </c>
      <c r="L710" s="499" t="str">
        <f>[1]K_Summary!L700</f>
        <v/>
      </c>
      <c r="M710" s="499" t="str">
        <f>[1]K_Summary!M700</f>
        <v/>
      </c>
      <c r="N710" s="626"/>
    </row>
    <row r="711" spans="2:14" ht="12.75" customHeight="1" x14ac:dyDescent="0.25">
      <c r="B711" s="284"/>
      <c r="C711" s="302"/>
      <c r="D711" s="302"/>
      <c r="E711" s="625"/>
      <c r="F711" s="625"/>
      <c r="G711" s="625"/>
      <c r="H711" s="625"/>
      <c r="I711" s="626"/>
      <c r="J711" s="626"/>
      <c r="K711" s="626"/>
      <c r="L711" s="626"/>
      <c r="M711" s="626"/>
      <c r="N711" s="626"/>
    </row>
    <row r="712" spans="2:14" ht="12.75" customHeight="1" x14ac:dyDescent="0.25">
      <c r="B712" s="284"/>
      <c r="C712" s="302"/>
      <c r="D712" s="302"/>
      <c r="E712" s="645" t="str">
        <f>[1]K_Summary!E702</f>
        <v>Корекции за актуализиране на показателя при специфичен показател, когато е приложимо</v>
      </c>
      <c r="F712" s="645"/>
      <c r="G712" s="645"/>
      <c r="H712" s="645"/>
      <c r="I712" s="645"/>
      <c r="J712" s="645"/>
      <c r="K712" s="645"/>
      <c r="L712" s="645"/>
      <c r="M712" s="645"/>
      <c r="N712" s="626"/>
    </row>
    <row r="713" spans="2:14" ht="12.75" customHeight="1" x14ac:dyDescent="0.25">
      <c r="B713" s="284"/>
      <c r="C713" s="302"/>
      <c r="D713" s="302"/>
      <c r="E713" s="641" t="str">
        <f>[1]K_Summary!E703</f>
        <v>Общо количество произведен пулп</v>
      </c>
      <c r="F713" s="641"/>
      <c r="G713" s="641"/>
      <c r="H713" s="642" t="str">
        <f>[1]K_Summary!H703</f>
        <v>тона</v>
      </c>
      <c r="I713" s="499" t="str">
        <f>[1]K_Summary!I703</f>
        <v/>
      </c>
      <c r="J713" s="499" t="str">
        <f>[1]K_Summary!J703</f>
        <v/>
      </c>
      <c r="K713" s="499" t="str">
        <f>[1]K_Summary!K703</f>
        <v/>
      </c>
      <c r="L713" s="499" t="str">
        <f>[1]K_Summary!L703</f>
        <v/>
      </c>
      <c r="M713" s="499" t="str">
        <f>[1]K_Summary!M703</f>
        <v/>
      </c>
      <c r="N713" s="626"/>
    </row>
    <row r="714" spans="2:14" ht="12.75" customHeight="1" x14ac:dyDescent="0.25">
      <c r="B714" s="284"/>
      <c r="C714" s="302"/>
      <c r="D714" s="302"/>
      <c r="E714" s="625"/>
      <c r="F714" s="625"/>
      <c r="G714" s="625"/>
      <c r="H714" s="625"/>
      <c r="I714" s="644"/>
      <c r="J714" s="644"/>
      <c r="K714" s="644"/>
      <c r="L714" s="644"/>
      <c r="M714" s="644"/>
      <c r="N714" s="626"/>
    </row>
    <row r="715" spans="2:14" ht="12.75" customHeight="1" x14ac:dyDescent="0.25">
      <c r="B715" s="284"/>
      <c r="C715" s="302"/>
      <c r="D715" s="302"/>
      <c r="E715" s="641" t="str">
        <f>[1]K_Summary!E705</f>
        <v>Производство на водород (действително + теоретично)</v>
      </c>
      <c r="F715" s="641"/>
      <c r="G715" s="641"/>
      <c r="H715" s="642" t="str">
        <f>[1]K_Summary!H705</f>
        <v>тона</v>
      </c>
      <c r="I715" s="499" t="str">
        <f>[1]K_Summary!I705</f>
        <v/>
      </c>
      <c r="J715" s="499" t="str">
        <f>[1]K_Summary!J705</f>
        <v/>
      </c>
      <c r="K715" s="499" t="str">
        <f>[1]K_Summary!K705</f>
        <v/>
      </c>
      <c r="L715" s="499" t="str">
        <f>[1]K_Summary!L705</f>
        <v/>
      </c>
      <c r="M715" s="499" t="str">
        <f>[1]K_Summary!M705</f>
        <v/>
      </c>
      <c r="N715" s="626"/>
    </row>
    <row r="716" spans="2:14" ht="12.75" customHeight="1" x14ac:dyDescent="0.25">
      <c r="B716" s="284"/>
      <c r="C716" s="302"/>
      <c r="D716" s="302"/>
      <c r="E716" s="641" t="str">
        <f>[1]K_Summary!E706</f>
        <v>Емисии във връзка с водород</v>
      </c>
      <c r="F716" s="641"/>
      <c r="G716" s="641"/>
      <c r="H716" s="642" t="str">
        <f>[1]K_Summary!H706</f>
        <v>t CO2 / година</v>
      </c>
      <c r="I716" s="499" t="str">
        <f>[1]K_Summary!I706</f>
        <v/>
      </c>
      <c r="J716" s="499" t="str">
        <f>[1]K_Summary!J706</f>
        <v/>
      </c>
      <c r="K716" s="499" t="str">
        <f>[1]K_Summary!K706</f>
        <v/>
      </c>
      <c r="L716" s="499" t="str">
        <f>[1]K_Summary!L706</f>
        <v/>
      </c>
      <c r="M716" s="499" t="str">
        <f>[1]K_Summary!M706</f>
        <v/>
      </c>
      <c r="N716" s="626"/>
    </row>
    <row r="717" spans="2:14" ht="12.75" customHeight="1" x14ac:dyDescent="0.25">
      <c r="B717" s="284"/>
      <c r="C717" s="302"/>
      <c r="D717" s="302"/>
      <c r="E717" s="625"/>
      <c r="F717" s="625"/>
      <c r="G717" s="625"/>
      <c r="H717" s="625"/>
      <c r="I717" s="644"/>
      <c r="J717" s="644"/>
      <c r="K717" s="644"/>
      <c r="L717" s="644"/>
      <c r="M717" s="644"/>
      <c r="N717" s="626"/>
    </row>
    <row r="718" spans="2:14" ht="12.75" customHeight="1" x14ac:dyDescent="0.25">
      <c r="B718" s="284"/>
      <c r="C718" s="302"/>
      <c r="D718" s="302"/>
      <c r="E718" s="641" t="str">
        <f>[1]K_Summary!E708</f>
        <v>Корекция на емисиите във връзка с HVC</v>
      </c>
      <c r="F718" s="641"/>
      <c r="G718" s="641"/>
      <c r="H718" s="642" t="str">
        <f>[1]K_Summary!H708</f>
        <v>t CO2 / година</v>
      </c>
      <c r="I718" s="499" t="str">
        <f>[1]K_Summary!I708</f>
        <v/>
      </c>
      <c r="J718" s="499" t="str">
        <f>[1]K_Summary!J708</f>
        <v/>
      </c>
      <c r="K718" s="499" t="str">
        <f>[1]K_Summary!K708</f>
        <v/>
      </c>
      <c r="L718" s="499" t="str">
        <f>[1]K_Summary!L708</f>
        <v/>
      </c>
      <c r="M718" s="499" t="str">
        <f>[1]K_Summary!M708</f>
        <v/>
      </c>
      <c r="N718" s="626"/>
    </row>
    <row r="719" spans="2:14" ht="12.75" customHeight="1" x14ac:dyDescent="0.25">
      <c r="B719" s="284"/>
      <c r="C719" s="302"/>
      <c r="D719" s="302"/>
      <c r="E719" s="625"/>
      <c r="F719" s="625"/>
      <c r="G719" s="625"/>
      <c r="H719" s="625"/>
      <c r="I719" s="644"/>
      <c r="J719" s="644"/>
      <c r="K719" s="644"/>
      <c r="L719" s="644"/>
      <c r="M719" s="644"/>
      <c r="N719" s="626"/>
    </row>
    <row r="720" spans="2:14" ht="12.75" customHeight="1" x14ac:dyDescent="0.25">
      <c r="B720" s="284"/>
      <c r="C720" s="302"/>
      <c r="D720" s="302"/>
      <c r="E720" s="641" t="str">
        <f>[1]K_Summary!E710</f>
        <v>Корекция на емисиите във връзка с VCM</v>
      </c>
      <c r="F720" s="641"/>
      <c r="G720" s="641"/>
      <c r="H720" s="642" t="str">
        <f>[1]K_Summary!H710</f>
        <v>t CO2 / година</v>
      </c>
      <c r="I720" s="499" t="str">
        <f>[1]K_Summary!I710</f>
        <v/>
      </c>
      <c r="J720" s="499" t="str">
        <f>[1]K_Summary!J710</f>
        <v/>
      </c>
      <c r="K720" s="499" t="str">
        <f>[1]K_Summary!K710</f>
        <v/>
      </c>
      <c r="L720" s="499" t="str">
        <f>[1]K_Summary!L710</f>
        <v/>
      </c>
      <c r="M720" s="499" t="str">
        <f>[1]K_Summary!M710</f>
        <v/>
      </c>
      <c r="N720" s="626"/>
    </row>
    <row r="721" spans="2:19" ht="12.75" customHeight="1" x14ac:dyDescent="0.25">
      <c r="B721" s="284"/>
      <c r="C721" s="302"/>
      <c r="D721" s="302"/>
      <c r="E721" s="625"/>
      <c r="F721" s="625"/>
      <c r="G721" s="625"/>
      <c r="H721" s="625"/>
      <c r="I721" s="626"/>
      <c r="J721" s="626"/>
      <c r="K721" s="626"/>
      <c r="L721" s="626"/>
      <c r="M721" s="626"/>
      <c r="N721" s="626"/>
    </row>
    <row r="722" spans="2:19" ht="12.75" customHeight="1" thickBot="1" x14ac:dyDescent="0.3">
      <c r="B722" s="284"/>
      <c r="C722" s="302"/>
      <c r="D722" s="302"/>
      <c r="E722" s="646"/>
      <c r="F722" s="364"/>
      <c r="G722" s="364"/>
      <c r="H722" s="364"/>
      <c r="I722" s="364"/>
      <c r="J722" s="364"/>
      <c r="K722" s="364"/>
      <c r="L722" s="364"/>
      <c r="M722" s="364"/>
      <c r="N722" s="364"/>
    </row>
    <row r="723" spans="2:19" ht="12.75" customHeight="1" x14ac:dyDescent="0.25">
      <c r="B723" s="284"/>
      <c r="C723" s="581"/>
      <c r="D723" s="581"/>
      <c r="E723" s="581"/>
      <c r="F723" s="581"/>
      <c r="G723" s="581"/>
      <c r="H723" s="581"/>
      <c r="I723" s="581"/>
      <c r="J723" s="581"/>
      <c r="K723" s="581"/>
      <c r="L723" s="581"/>
      <c r="M723" s="581"/>
      <c r="N723" s="581"/>
    </row>
    <row r="724" spans="2:19" ht="12.75" customHeight="1" x14ac:dyDescent="0.3">
      <c r="B724" s="284"/>
      <c r="C724" s="357">
        <f>[1]K_Summary!C714</f>
        <v>4</v>
      </c>
      <c r="D724" s="590" t="str">
        <f>[1]K_Summary!D714</f>
        <v>Подинсталация с продуктов показател 4:</v>
      </c>
      <c r="E724" s="590"/>
      <c r="F724" s="590"/>
      <c r="G724" s="590"/>
      <c r="H724" s="591"/>
      <c r="I724" s="592" t="str">
        <f>[1]K_Summary!I714</f>
        <v/>
      </c>
      <c r="J724" s="593"/>
      <c r="K724" s="593"/>
      <c r="L724" s="593"/>
      <c r="M724" s="593"/>
      <c r="N724" s="594"/>
    </row>
    <row r="725" spans="2:19" ht="12.75" customHeight="1" thickBot="1" x14ac:dyDescent="0.3">
      <c r="B725" s="284"/>
      <c r="C725" s="302"/>
      <c r="D725" s="302"/>
      <c r="E725" s="302"/>
      <c r="F725" s="302"/>
      <c r="G725" s="302"/>
      <c r="H725" s="302"/>
      <c r="I725" s="302"/>
      <c r="J725" s="302"/>
      <c r="K725" s="302"/>
      <c r="L725" s="302"/>
      <c r="M725" s="302"/>
      <c r="N725" s="302"/>
    </row>
    <row r="726" spans="2:19" ht="12.75" customHeight="1" x14ac:dyDescent="0.25">
      <c r="B726" s="284"/>
      <c r="C726" s="302"/>
      <c r="D726" s="302"/>
      <c r="E726" s="302"/>
      <c r="F726" s="302"/>
      <c r="G726" s="302"/>
      <c r="H726" s="595" t="str">
        <f>[1]K_Summary!H716</f>
        <v>Риск от ИВЕ</v>
      </c>
      <c r="I726" s="302"/>
      <c r="J726" s="596" t="str">
        <f>[1]K_Summary!J716</f>
        <v>В/Е</v>
      </c>
      <c r="K726" s="596" t="str">
        <f>[1]K_Summary!K716</f>
        <v>№ на п-л</v>
      </c>
      <c r="L726" s="597" t="str">
        <f>[1]K_Summary!L716</f>
        <v>15(7).3?</v>
      </c>
      <c r="M726" s="598" t="str">
        <f>[1]K_Summary!M716</f>
        <v>Стойност на показател (мин/макс/действ.)</v>
      </c>
      <c r="N726" s="599"/>
    </row>
    <row r="727" spans="2:19" ht="12.75" customHeight="1" x14ac:dyDescent="0.25">
      <c r="B727" s="284"/>
      <c r="C727" s="302"/>
      <c r="D727" s="302"/>
      <c r="E727" s="361" t="str">
        <f>[1]K_Summary!E717</f>
        <v/>
      </c>
      <c r="F727" s="373"/>
      <c r="G727" s="362"/>
      <c r="H727" s="600" t="str">
        <f>[1]K_Summary!H717</f>
        <v>Не е приложимо</v>
      </c>
      <c r="I727" s="302"/>
      <c r="J727" s="601" t="str">
        <f>[1]K_Summary!J717</f>
        <v>Не е приложимо</v>
      </c>
      <c r="K727" s="406" t="str">
        <f>[1]K_Summary!K717</f>
        <v>Не е приложимо</v>
      </c>
      <c r="L727" s="602" t="str">
        <f>[1]K_Summary!L717</f>
        <v/>
      </c>
      <c r="M727" s="603" t="str">
        <f>[1]K_Summary!M717</f>
        <v>Не е приложимо</v>
      </c>
      <c r="N727" s="604" t="str">
        <f>[1]K_Summary!N717</f>
        <v>Квота за емисии/тона</v>
      </c>
    </row>
    <row r="728" spans="2:19" ht="12.75" customHeight="1" x14ac:dyDescent="0.25">
      <c r="B728" s="284"/>
      <c r="C728" s="302"/>
      <c r="D728" s="302"/>
      <c r="E728" s="364"/>
      <c r="F728" s="364"/>
      <c r="G728" s="596" t="str">
        <f>[1]K_Summary!G718</f>
        <v>топл. ен. извън СТЕ</v>
      </c>
      <c r="H728" s="595" t="str">
        <f>[1]K_Summary!H718</f>
        <v>CBAM</v>
      </c>
      <c r="I728" s="597" t="str">
        <f>[1]K_Summary!I718</f>
        <v>WGflare</v>
      </c>
      <c r="J728" s="596" t="str">
        <f>[1]K_Summary!J718</f>
        <v>HVC-Corr</v>
      </c>
      <c r="K728" s="596" t="str">
        <f>[1]K_Summary!K718</f>
        <v>VCM-F</v>
      </c>
      <c r="L728" s="302"/>
      <c r="M728" s="603" t="str">
        <f>[1]K_Summary!M718</f>
        <v>Не е приложимо</v>
      </c>
      <c r="N728" s="604" t="str">
        <f>[1]K_Summary!N718</f>
        <v>Квота за емисии/тона</v>
      </c>
      <c r="R728" s="605" t="str">
        <f>[1]K_Summary!R718</f>
        <v>No. BM</v>
      </c>
      <c r="S728" s="606" t="str">
        <f>[1]K_Summary!S718</f>
        <v>Не е приложимо</v>
      </c>
    </row>
    <row r="729" spans="2:19" ht="12.75" customHeight="1" thickBot="1" x14ac:dyDescent="0.3">
      <c r="B729" s="284"/>
      <c r="C729" s="302"/>
      <c r="D729" s="302"/>
      <c r="E729" s="607" t="str">
        <f>[1]K_Summary!E719</f>
        <v>Специфични коефициенти:</v>
      </c>
      <c r="F729" s="607"/>
      <c r="G729" s="406" t="str">
        <f>[1]K_Summary!G719</f>
        <v/>
      </c>
      <c r="H729" s="600" t="str">
        <f>[1]K_Summary!H719</f>
        <v>Не е приложимо</v>
      </c>
      <c r="I729" s="608" t="str">
        <f>[1]K_Summary!I719</f>
        <v/>
      </c>
      <c r="J729" s="406" t="str">
        <f>[1]K_Summary!J719</f>
        <v/>
      </c>
      <c r="K729" s="609" t="str">
        <f>[1]K_Summary!K719</f>
        <v/>
      </c>
      <c r="L729" s="302"/>
      <c r="M729" s="610" t="str">
        <f>[1]K_Summary!M719</f>
        <v>Не е приложимо</v>
      </c>
      <c r="N729" s="611" t="str">
        <f>[1]K_Summary!N719</f>
        <v>Квота за емисии/тона</v>
      </c>
      <c r="P729" s="612" t="b">
        <f>IF(ISNUMBER(K727),INDEX(EUconst_BMlistBMvalues,MATCH(K727,EUconst_BMlistMainNumberOfBM,0))&lt;&gt;M729,FALSE)</f>
        <v>0</v>
      </c>
    </row>
    <row r="730" spans="2:19" ht="12.75" customHeight="1" x14ac:dyDescent="0.25">
      <c r="B730" s="284"/>
      <c r="C730" s="302"/>
      <c r="D730" s="302"/>
      <c r="E730" s="302"/>
      <c r="F730" s="302"/>
      <c r="G730" s="302"/>
      <c r="H730" s="302"/>
      <c r="I730" s="302"/>
      <c r="J730" s="302"/>
      <c r="K730" s="302"/>
      <c r="L730" s="302"/>
      <c r="M730" s="302"/>
      <c r="N730" s="302"/>
    </row>
    <row r="731" spans="2:19" ht="12.75" customHeight="1" x14ac:dyDescent="0.25">
      <c r="B731" s="284"/>
      <c r="C731" s="302"/>
      <c r="D731" s="302"/>
      <c r="E731" s="498"/>
      <c r="F731" s="498"/>
      <c r="G731" s="380"/>
      <c r="H731" s="613" t="str">
        <f>[1]K_Summary!H721</f>
        <v>Единица мярка</v>
      </c>
      <c r="I731" s="387">
        <f>[1]K_Summary!I721</f>
        <v>2019</v>
      </c>
      <c r="J731" s="387">
        <f>[1]K_Summary!J721</f>
        <v>2020</v>
      </c>
      <c r="K731" s="387">
        <f>[1]K_Summary!K721</f>
        <v>2021</v>
      </c>
      <c r="L731" s="387">
        <f>[1]K_Summary!L721</f>
        <v>2022</v>
      </c>
      <c r="M731" s="387">
        <f>[1]K_Summary!M721</f>
        <v>2023</v>
      </c>
      <c r="N731" s="302"/>
    </row>
    <row r="732" spans="2:19" ht="12.75" customHeight="1" x14ac:dyDescent="0.25">
      <c r="B732" s="284"/>
      <c r="C732" s="302"/>
      <c r="D732" s="302"/>
      <c r="E732" s="614" t="str">
        <f>[1]K_Summary!E722</f>
        <v>Отчетено HAL (историческо равнище на дейност)</v>
      </c>
      <c r="F732" s="388"/>
      <c r="G732" s="615"/>
      <c r="H732" s="600" t="str">
        <f>[1]K_Summary!H722</f>
        <v>тона</v>
      </c>
      <c r="I732" s="406" t="str">
        <f>[1]K_Summary!I722</f>
        <v/>
      </c>
      <c r="J732" s="406" t="str">
        <f>[1]K_Summary!J722</f>
        <v/>
      </c>
      <c r="K732" s="406" t="str">
        <f>[1]K_Summary!K722</f>
        <v/>
      </c>
      <c r="L732" s="406" t="str">
        <f>[1]K_Summary!L722</f>
        <v/>
      </c>
      <c r="M732" s="406" t="str">
        <f>[1]K_Summary!M722</f>
        <v/>
      </c>
      <c r="N732" s="596" t="str">
        <f>[1]K_Summary!N722</f>
        <v>Median</v>
      </c>
    </row>
    <row r="733" spans="2:19" ht="12.75" customHeight="1" x14ac:dyDescent="0.25">
      <c r="B733" s="284"/>
      <c r="C733" s="302"/>
      <c r="D733" s="302"/>
      <c r="E733" s="614" t="str">
        <f>[1]K_Summary!E723</f>
        <v>Стойности, използвани за изчислението на HAL:</v>
      </c>
      <c r="F733" s="388"/>
      <c r="G733" s="615"/>
      <c r="H733" s="600" t="str">
        <f>[1]K_Summary!H723</f>
        <v>тона</v>
      </c>
      <c r="I733" s="406" t="str">
        <f>[1]K_Summary!I723</f>
        <v/>
      </c>
      <c r="J733" s="406" t="str">
        <f>[1]K_Summary!J723</f>
        <v/>
      </c>
      <c r="K733" s="406" t="str">
        <f>[1]K_Summary!K723</f>
        <v/>
      </c>
      <c r="L733" s="406" t="str">
        <f>[1]K_Summary!L723</f>
        <v/>
      </c>
      <c r="M733" s="406" t="str">
        <f>[1]K_Summary!M723</f>
        <v/>
      </c>
      <c r="N733" s="406" t="str">
        <f>[1]K_Summary!N723</f>
        <v/>
      </c>
    </row>
    <row r="734" spans="2:19" ht="12.75" customHeight="1" x14ac:dyDescent="0.25">
      <c r="B734" s="284"/>
      <c r="C734" s="302"/>
      <c r="D734" s="302"/>
      <c r="E734" s="360"/>
      <c r="F734" s="360"/>
      <c r="G734" s="360"/>
      <c r="H734" s="360"/>
      <c r="I734" s="360"/>
      <c r="J734" s="360"/>
      <c r="K734" s="360"/>
      <c r="L734" s="360"/>
      <c r="M734" s="364"/>
      <c r="N734" s="364"/>
    </row>
    <row r="735" spans="2:19" ht="12.75" customHeight="1" x14ac:dyDescent="0.25">
      <c r="B735" s="284"/>
      <c r="C735" s="302"/>
      <c r="D735" s="302"/>
      <c r="E735" s="616" t="str">
        <f>[1]K_Summary!E725</f>
        <v>Съответно потребление на електроенергия</v>
      </c>
      <c r="F735" s="616"/>
      <c r="G735" s="616"/>
      <c r="H735" s="617" t="str">
        <f>[1]K_Summary!H725</f>
        <v>MWh / година</v>
      </c>
      <c r="I735" s="618" t="str">
        <f>[1]K_Summary!I725</f>
        <v/>
      </c>
      <c r="J735" s="618" t="str">
        <f>[1]K_Summary!J725</f>
        <v/>
      </c>
      <c r="K735" s="618" t="str">
        <f>[1]K_Summary!K725</f>
        <v/>
      </c>
      <c r="L735" s="618" t="str">
        <f>[1]K_Summary!L725</f>
        <v/>
      </c>
      <c r="M735" s="618" t="str">
        <f>[1]K_Summary!M725</f>
        <v/>
      </c>
      <c r="N735" s="302"/>
    </row>
    <row r="736" spans="2:19" ht="12.75" customHeight="1" x14ac:dyDescent="0.25">
      <c r="B736" s="284"/>
      <c r="C736" s="302"/>
      <c r="D736" s="302"/>
      <c r="E736" s="360"/>
      <c r="F736" s="360"/>
      <c r="G736" s="360"/>
      <c r="H736" s="360"/>
      <c r="I736" s="360"/>
      <c r="J736" s="360"/>
      <c r="K736" s="360"/>
      <c r="L736" s="360"/>
      <c r="M736" s="364"/>
      <c r="N736" s="364"/>
    </row>
    <row r="737" spans="2:14" ht="12.75" customHeight="1" thickBot="1" x14ac:dyDescent="0.3">
      <c r="B737" s="284"/>
      <c r="C737" s="364"/>
      <c r="D737" s="302"/>
      <c r="E737" s="360"/>
      <c r="F737" s="619" t="str">
        <f>[1]K_Summary!F727</f>
        <v>Общо HAL</v>
      </c>
      <c r="G737" s="620"/>
      <c r="H737" s="364"/>
      <c r="I737" s="619" t="str">
        <f>[1]K_Summary!I727</f>
        <v>Предв. разпр. за год. 1 (мин)</v>
      </c>
      <c r="J737" s="620"/>
      <c r="K737" s="619" t="str">
        <f>[1]K_Summary!K727</f>
        <v>Предв. разпр. за год. 1 (макс)</v>
      </c>
      <c r="L737" s="620"/>
      <c r="M737" s="619" t="str">
        <f>[1]K_Summary!M727</f>
        <v>Предв. разпр. за год. 1 (действ.)</v>
      </c>
      <c r="N737" s="620"/>
    </row>
    <row r="738" spans="2:14" ht="12.75" customHeight="1" thickBot="1" x14ac:dyDescent="0.3">
      <c r="B738" s="284"/>
      <c r="C738" s="364"/>
      <c r="D738" s="364"/>
      <c r="E738" s="360"/>
      <c r="F738" s="621" t="str">
        <f>[1]K_Summary!F728</f>
        <v/>
      </c>
      <c r="G738" s="622" t="str">
        <f>[1]K_Summary!G728</f>
        <v>тона / година</v>
      </c>
      <c r="H738" s="364"/>
      <c r="I738" s="623" t="str">
        <f>[1]K_Summary!I728</f>
        <v/>
      </c>
      <c r="J738" s="624" t="str">
        <f>[1]K_Summary!J728</f>
        <v>Квота за емисии / година</v>
      </c>
      <c r="K738" s="623" t="str">
        <f>[1]K_Summary!K728</f>
        <v/>
      </c>
      <c r="L738" s="624" t="str">
        <f>[1]K_Summary!L728</f>
        <v>Квота за емисии / година</v>
      </c>
      <c r="M738" s="623" t="str">
        <f>[1]K_Summary!M728</f>
        <v/>
      </c>
      <c r="N738" s="624" t="str">
        <f>[1]K_Summary!N728</f>
        <v>Квота за емисии / година</v>
      </c>
    </row>
    <row r="739" spans="2:14" ht="12.75" customHeight="1" x14ac:dyDescent="0.25">
      <c r="B739" s="284"/>
      <c r="C739" s="302"/>
      <c r="D739" s="364"/>
      <c r="E739" s="360"/>
      <c r="F739" s="302"/>
      <c r="G739" s="302"/>
      <c r="H739" s="302"/>
      <c r="I739" s="302"/>
      <c r="J739" s="302"/>
      <c r="K739" s="302"/>
      <c r="L739" s="302"/>
      <c r="M739" s="302"/>
      <c r="N739" s="302"/>
    </row>
    <row r="740" spans="2:14" ht="12.75" customHeight="1" x14ac:dyDescent="0.25">
      <c r="B740" s="284"/>
      <c r="C740" s="302"/>
      <c r="D740" s="302"/>
      <c r="E740" s="625"/>
      <c r="F740" s="626"/>
      <c r="G740" s="626"/>
      <c r="H740" s="626"/>
      <c r="I740" s="626"/>
      <c r="J740" s="626"/>
      <c r="K740" s="626"/>
      <c r="L740" s="626"/>
      <c r="M740" s="626"/>
      <c r="N740" s="626"/>
    </row>
    <row r="741" spans="2:14" ht="12.75" customHeight="1" thickBot="1" x14ac:dyDescent="0.3">
      <c r="B741" s="284"/>
      <c r="C741" s="302"/>
      <c r="D741" s="302"/>
      <c r="E741" s="625"/>
      <c r="F741" s="626"/>
      <c r="G741" s="626"/>
      <c r="H741" s="627" t="str">
        <f>[1]K_Summary!H731</f>
        <v>Единица мярка</v>
      </c>
      <c r="I741" s="628">
        <f>[1]K_Summary!I731</f>
        <v>2019</v>
      </c>
      <c r="J741" s="629">
        <f>[1]K_Summary!J731</f>
        <v>2020</v>
      </c>
      <c r="K741" s="629">
        <f>[1]K_Summary!K731</f>
        <v>2021</v>
      </c>
      <c r="L741" s="629">
        <f>[1]K_Summary!L731</f>
        <v>2022</v>
      </c>
      <c r="M741" s="629">
        <f>[1]K_Summary!M731</f>
        <v>2023</v>
      </c>
      <c r="N741" s="626"/>
    </row>
    <row r="742" spans="2:14" ht="12.75" customHeight="1" thickBot="1" x14ac:dyDescent="0.3">
      <c r="B742" s="284"/>
      <c r="C742" s="302"/>
      <c r="D742" s="302"/>
      <c r="E742" s="630" t="str">
        <f>[1]K_Summary!E732</f>
        <v>Общо зададени емисии</v>
      </c>
      <c r="F742" s="630"/>
      <c r="G742" s="630"/>
      <c r="H742" s="631" t="str">
        <f>[1]K_Summary!H732</f>
        <v>t CO2e/година</v>
      </c>
      <c r="I742" s="632" t="str">
        <f>[1]K_Summary!I732</f>
        <v/>
      </c>
      <c r="J742" s="633" t="str">
        <f>[1]K_Summary!J732</f>
        <v/>
      </c>
      <c r="K742" s="633" t="str">
        <f>[1]K_Summary!K732</f>
        <v/>
      </c>
      <c r="L742" s="633" t="str">
        <f>[1]K_Summary!L732</f>
        <v/>
      </c>
      <c r="M742" s="634" t="str">
        <f>[1]K_Summary!M732</f>
        <v/>
      </c>
      <c r="N742" s="626"/>
    </row>
    <row r="743" spans="2:14" ht="12.75" customHeight="1" x14ac:dyDescent="0.25">
      <c r="B743" s="284"/>
      <c r="C743" s="302"/>
      <c r="D743" s="302"/>
      <c r="E743" s="625"/>
      <c r="F743" s="625"/>
      <c r="G743" s="625"/>
      <c r="H743" s="625"/>
      <c r="I743" s="635"/>
      <c r="J743" s="635"/>
      <c r="K743" s="635"/>
      <c r="L743" s="635"/>
      <c r="M743" s="635"/>
      <c r="N743" s="625"/>
    </row>
    <row r="744" spans="2:14" ht="12.75" customHeight="1" x14ac:dyDescent="0.25">
      <c r="B744" s="284"/>
      <c r="C744" s="302"/>
      <c r="D744" s="302"/>
      <c r="E744" s="636" t="str">
        <f>[1]K_Summary!E734</f>
        <v>Обща вложена енергия</v>
      </c>
      <c r="F744" s="636"/>
      <c r="G744" s="636"/>
      <c r="H744" s="637" t="str">
        <f>[1]K_Summary!H734</f>
        <v>TJ / година</v>
      </c>
      <c r="I744" s="482" t="str">
        <f>[1]K_Summary!I734</f>
        <v/>
      </c>
      <c r="J744" s="482" t="str">
        <f>[1]K_Summary!J734</f>
        <v/>
      </c>
      <c r="K744" s="482" t="str">
        <f>[1]K_Summary!K734</f>
        <v/>
      </c>
      <c r="L744" s="482" t="str">
        <f>[1]K_Summary!L734</f>
        <v/>
      </c>
      <c r="M744" s="482" t="str">
        <f>[1]K_Summary!M734</f>
        <v/>
      </c>
      <c r="N744" s="626"/>
    </row>
    <row r="745" spans="2:14" ht="12.75" customHeight="1" x14ac:dyDescent="0.25">
      <c r="B745" s="284"/>
      <c r="C745" s="302"/>
      <c r="D745" s="302"/>
      <c r="E745" s="638" t="str">
        <f>[1]K_Summary!E735</f>
        <v>Претеглен емисионен фактор</v>
      </c>
      <c r="F745" s="638"/>
      <c r="G745" s="638"/>
      <c r="H745" s="639" t="str">
        <f>[1]K_Summary!H735</f>
        <v>t CO2 / TJ</v>
      </c>
      <c r="I745" s="484" t="str">
        <f>[1]K_Summary!I735</f>
        <v/>
      </c>
      <c r="J745" s="484" t="str">
        <f>[1]K_Summary!J735</f>
        <v/>
      </c>
      <c r="K745" s="484" t="str">
        <f>[1]K_Summary!K735</f>
        <v/>
      </c>
      <c r="L745" s="484" t="str">
        <f>[1]K_Summary!L735</f>
        <v/>
      </c>
      <c r="M745" s="484" t="str">
        <f>[1]K_Summary!M735</f>
        <v/>
      </c>
      <c r="N745" s="626"/>
    </row>
    <row r="746" spans="2:14" ht="12.75" customHeight="1" x14ac:dyDescent="0.25">
      <c r="B746" s="284"/>
      <c r="C746" s="302"/>
      <c r="D746" s="364"/>
      <c r="E746" s="625"/>
      <c r="F746" s="626"/>
      <c r="G746" s="626"/>
      <c r="H746" s="626"/>
      <c r="I746" s="640"/>
      <c r="J746" s="640"/>
      <c r="K746" s="640"/>
      <c r="L746" s="640"/>
      <c r="M746" s="640"/>
      <c r="N746" s="626"/>
    </row>
    <row r="747" spans="2:14" ht="12.75" customHeight="1" x14ac:dyDescent="0.25">
      <c r="B747" s="284"/>
      <c r="C747" s="302"/>
      <c r="D747" s="364"/>
      <c r="E747" s="641" t="str">
        <f>[1]K_Summary!E737</f>
        <v>Преки емисии</v>
      </c>
      <c r="F747" s="641"/>
      <c r="G747" s="641"/>
      <c r="H747" s="642" t="str">
        <f>[1]K_Summary!H737</f>
        <v>t CO2 / година</v>
      </c>
      <c r="I747" s="499" t="str">
        <f>[1]K_Summary!I737</f>
        <v/>
      </c>
      <c r="J747" s="499" t="str">
        <f>[1]K_Summary!J737</f>
        <v/>
      </c>
      <c r="K747" s="499" t="str">
        <f>[1]K_Summary!K737</f>
        <v/>
      </c>
      <c r="L747" s="499" t="str">
        <f>[1]K_Summary!L737</f>
        <v/>
      </c>
      <c r="M747" s="499" t="str">
        <f>[1]K_Summary!M737</f>
        <v/>
      </c>
      <c r="N747" s="626"/>
    </row>
    <row r="748" spans="2:14" ht="12.75" customHeight="1" x14ac:dyDescent="0.25">
      <c r="B748" s="284"/>
      <c r="C748" s="302"/>
      <c r="D748" s="364"/>
      <c r="E748" s="641" t="str">
        <f>[1]K_Summary!E738</f>
        <v>Други потоци горива и материали пораждащи емисии — 1</v>
      </c>
      <c r="F748" s="641"/>
      <c r="G748" s="641"/>
      <c r="H748" s="642" t="str">
        <f>[1]K_Summary!H738</f>
        <v>t CO2 / година</v>
      </c>
      <c r="I748" s="499" t="str">
        <f>[1]K_Summary!I738</f>
        <v/>
      </c>
      <c r="J748" s="499" t="str">
        <f>[1]K_Summary!J738</f>
        <v/>
      </c>
      <c r="K748" s="499" t="str">
        <f>[1]K_Summary!K738</f>
        <v/>
      </c>
      <c r="L748" s="499" t="str">
        <f>[1]K_Summary!L738</f>
        <v/>
      </c>
      <c r="M748" s="499" t="str">
        <f>[1]K_Summary!M738</f>
        <v/>
      </c>
      <c r="N748" s="626"/>
    </row>
    <row r="749" spans="2:14" ht="12.75" customHeight="1" x14ac:dyDescent="0.25">
      <c r="B749" s="284"/>
      <c r="C749" s="302"/>
      <c r="D749" s="364"/>
      <c r="E749" s="641" t="str">
        <f>[1]K_Summary!E739</f>
        <v>Други потоци горива и материали пораждащи емисии — 2</v>
      </c>
      <c r="F749" s="641"/>
      <c r="G749" s="641"/>
      <c r="H749" s="642" t="str">
        <f>[1]K_Summary!H739</f>
        <v>t CO2 / година</v>
      </c>
      <c r="I749" s="499" t="str">
        <f>[1]K_Summary!I739</f>
        <v/>
      </c>
      <c r="J749" s="499" t="str">
        <f>[1]K_Summary!J739</f>
        <v/>
      </c>
      <c r="K749" s="499" t="str">
        <f>[1]K_Summary!K739</f>
        <v/>
      </c>
      <c r="L749" s="499" t="str">
        <f>[1]K_Summary!L739</f>
        <v/>
      </c>
      <c r="M749" s="499" t="str">
        <f>[1]K_Summary!M739</f>
        <v/>
      </c>
      <c r="N749" s="626"/>
    </row>
    <row r="750" spans="2:14" ht="12.75" customHeight="1" x14ac:dyDescent="0.25">
      <c r="B750" s="284"/>
      <c r="C750" s="302"/>
      <c r="D750" s="302"/>
      <c r="E750" s="641" t="str">
        <f>[1]K_Summary!E740</f>
        <v>Получени или подадени парникови газове</v>
      </c>
      <c r="F750" s="641"/>
      <c r="G750" s="641"/>
      <c r="H750" s="642" t="str">
        <f>[1]K_Summary!H740</f>
        <v>t CO2e/година</v>
      </c>
      <c r="I750" s="499" t="str">
        <f>[1]K_Summary!I740</f>
        <v/>
      </c>
      <c r="J750" s="499" t="str">
        <f>[1]K_Summary!J740</f>
        <v/>
      </c>
      <c r="K750" s="499" t="str">
        <f>[1]K_Summary!K740</f>
        <v/>
      </c>
      <c r="L750" s="499" t="str">
        <f>[1]K_Summary!L740</f>
        <v/>
      </c>
      <c r="M750" s="499" t="str">
        <f>[1]K_Summary!M740</f>
        <v/>
      </c>
      <c r="N750" s="626"/>
    </row>
    <row r="751" spans="2:14" ht="12.75" customHeight="1" x14ac:dyDescent="0.25">
      <c r="B751" s="284"/>
      <c r="C751" s="302"/>
      <c r="D751" s="302"/>
      <c r="E751" s="626"/>
      <c r="F751" s="626"/>
      <c r="G751" s="626"/>
      <c r="H751" s="626"/>
      <c r="I751" s="640"/>
      <c r="J751" s="640"/>
      <c r="K751" s="640"/>
      <c r="L751" s="640"/>
      <c r="M751" s="640"/>
      <c r="N751" s="626"/>
    </row>
    <row r="752" spans="2:14" ht="12.75" customHeight="1" x14ac:dyDescent="0.25">
      <c r="B752" s="284"/>
      <c r="C752" s="302"/>
      <c r="D752" s="302"/>
      <c r="E752" s="636" t="str">
        <f>[1]K_Summary!E742</f>
        <v>Нетно количество получена топлинна енергия</v>
      </c>
      <c r="F752" s="636"/>
      <c r="G752" s="636"/>
      <c r="H752" s="637" t="str">
        <f>[1]K_Summary!H742</f>
        <v>TJ / година</v>
      </c>
      <c r="I752" s="482" t="str">
        <f>[1]K_Summary!I742</f>
        <v/>
      </c>
      <c r="J752" s="482" t="str">
        <f>[1]K_Summary!J742</f>
        <v/>
      </c>
      <c r="K752" s="482" t="str">
        <f>[1]K_Summary!K742</f>
        <v/>
      </c>
      <c r="L752" s="482" t="str">
        <f>[1]K_Summary!L742</f>
        <v/>
      </c>
      <c r="M752" s="482" t="str">
        <f>[1]K_Summary!M742</f>
        <v/>
      </c>
      <c r="N752" s="626"/>
    </row>
    <row r="753" spans="2:14" ht="12.75" customHeight="1" x14ac:dyDescent="0.25">
      <c r="B753" s="284"/>
      <c r="C753" s="302"/>
      <c r="D753" s="302"/>
      <c r="E753" s="638" t="str">
        <f>[1]K_Summary!E743</f>
        <v>Специфичен EF (получена топлинна енергия)</v>
      </c>
      <c r="F753" s="638"/>
      <c r="G753" s="638"/>
      <c r="H753" s="639" t="str">
        <f>[1]K_Summary!H743</f>
        <v>t CO2 / TJ</v>
      </c>
      <c r="I753" s="484" t="str">
        <f>[1]K_Summary!I743</f>
        <v/>
      </c>
      <c r="J753" s="484" t="str">
        <f>[1]K_Summary!J743</f>
        <v/>
      </c>
      <c r="K753" s="484" t="str">
        <f>[1]K_Summary!K743</f>
        <v/>
      </c>
      <c r="L753" s="484" t="str">
        <f>[1]K_Summary!L743</f>
        <v/>
      </c>
      <c r="M753" s="484" t="str">
        <f>[1]K_Summary!M743</f>
        <v/>
      </c>
      <c r="N753" s="626"/>
    </row>
    <row r="754" spans="2:14" ht="12.75" customHeight="1" x14ac:dyDescent="0.25">
      <c r="B754" s="284"/>
      <c r="C754" s="302"/>
      <c r="D754" s="302"/>
      <c r="E754" s="625"/>
      <c r="F754" s="626"/>
      <c r="G754" s="626"/>
      <c r="H754" s="626"/>
      <c r="I754" s="640"/>
      <c r="J754" s="640"/>
      <c r="K754" s="640"/>
      <c r="L754" s="640"/>
      <c r="M754" s="640"/>
      <c r="N754" s="626"/>
    </row>
    <row r="755" spans="2:14" ht="12.75" customHeight="1" x14ac:dyDescent="0.25">
      <c r="B755" s="284"/>
      <c r="C755" s="302"/>
      <c r="D755" s="302"/>
      <c r="E755" s="641" t="str">
        <f>[1]K_Summary!E745</f>
        <v>Нетно количество топлинна енергия, получена от пулп</v>
      </c>
      <c r="F755" s="641"/>
      <c r="G755" s="641"/>
      <c r="H755" s="642" t="str">
        <f>[1]K_Summary!H745</f>
        <v>TJ / година</v>
      </c>
      <c r="I755" s="480" t="str">
        <f>[1]K_Summary!I745</f>
        <v/>
      </c>
      <c r="J755" s="480" t="str">
        <f>[1]K_Summary!J745</f>
        <v/>
      </c>
      <c r="K755" s="480" t="str">
        <f>[1]K_Summary!K745</f>
        <v/>
      </c>
      <c r="L755" s="480" t="str">
        <f>[1]K_Summary!L745</f>
        <v/>
      </c>
      <c r="M755" s="480" t="str">
        <f>[1]K_Summary!M745</f>
        <v/>
      </c>
      <c r="N755" s="626"/>
    </row>
    <row r="756" spans="2:14" ht="12.75" customHeight="1" x14ac:dyDescent="0.25">
      <c r="B756" s="284"/>
      <c r="C756" s="302"/>
      <c r="D756" s="302"/>
      <c r="E756" s="641" t="str">
        <f>[1]K_Summary!E746</f>
        <v>Нетно количество топлинна енергия, получена от подинсталации за азотна киселина</v>
      </c>
      <c r="F756" s="641"/>
      <c r="G756" s="641"/>
      <c r="H756" s="642" t="str">
        <f>[1]K_Summary!H746</f>
        <v>TJ / година</v>
      </c>
      <c r="I756" s="480" t="str">
        <f>[1]K_Summary!I746</f>
        <v/>
      </c>
      <c r="J756" s="480" t="str">
        <f>[1]K_Summary!J746</f>
        <v/>
      </c>
      <c r="K756" s="480" t="str">
        <f>[1]K_Summary!K746</f>
        <v/>
      </c>
      <c r="L756" s="480" t="str">
        <f>[1]K_Summary!L746</f>
        <v/>
      </c>
      <c r="M756" s="480" t="str">
        <f>[1]K_Summary!M746</f>
        <v/>
      </c>
      <c r="N756" s="626"/>
    </row>
    <row r="757" spans="2:14" ht="12.75" customHeight="1" x14ac:dyDescent="0.25">
      <c r="B757" s="284"/>
      <c r="C757" s="302"/>
      <c r="D757" s="302"/>
      <c r="E757" s="625"/>
      <c r="F757" s="625"/>
      <c r="G757" s="625"/>
      <c r="H757" s="625"/>
      <c r="I757" s="640"/>
      <c r="J757" s="640"/>
      <c r="K757" s="640"/>
      <c r="L757" s="640"/>
      <c r="M757" s="640"/>
      <c r="N757" s="626"/>
    </row>
    <row r="758" spans="2:14" ht="12.75" customHeight="1" x14ac:dyDescent="0.25">
      <c r="B758" s="284"/>
      <c r="C758" s="302"/>
      <c r="D758" s="302"/>
      <c r="E758" s="636" t="str">
        <f>[1]K_Summary!E748</f>
        <v>Нетно количество подадена топлинна енергия</v>
      </c>
      <c r="F758" s="636"/>
      <c r="G758" s="636"/>
      <c r="H758" s="637" t="str">
        <f>[1]K_Summary!H748</f>
        <v>TJ / година</v>
      </c>
      <c r="I758" s="482" t="str">
        <f>[1]K_Summary!I748</f>
        <v/>
      </c>
      <c r="J758" s="482" t="str">
        <f>[1]K_Summary!J748</f>
        <v/>
      </c>
      <c r="K758" s="482" t="str">
        <f>[1]K_Summary!K748</f>
        <v/>
      </c>
      <c r="L758" s="482" t="str">
        <f>[1]K_Summary!L748</f>
        <v/>
      </c>
      <c r="M758" s="482" t="str">
        <f>[1]K_Summary!M748</f>
        <v/>
      </c>
      <c r="N758" s="626"/>
    </row>
    <row r="759" spans="2:14" ht="12.75" customHeight="1" x14ac:dyDescent="0.25">
      <c r="B759" s="284"/>
      <c r="C759" s="302"/>
      <c r="D759" s="302"/>
      <c r="E759" s="638" t="str">
        <f>[1]K_Summary!E749</f>
        <v>Специфичен EF (подадена топлинна енергия)</v>
      </c>
      <c r="F759" s="638"/>
      <c r="G759" s="638"/>
      <c r="H759" s="639" t="str">
        <f>[1]K_Summary!H749</f>
        <v>t CO2 / TJ</v>
      </c>
      <c r="I759" s="484" t="str">
        <f>[1]K_Summary!I749</f>
        <v/>
      </c>
      <c r="J759" s="484" t="str">
        <f>[1]K_Summary!J749</f>
        <v/>
      </c>
      <c r="K759" s="484" t="str">
        <f>[1]K_Summary!K749</f>
        <v/>
      </c>
      <c r="L759" s="484" t="str">
        <f>[1]K_Summary!L749</f>
        <v/>
      </c>
      <c r="M759" s="484" t="str">
        <f>[1]K_Summary!M749</f>
        <v/>
      </c>
      <c r="N759" s="626"/>
    </row>
    <row r="760" spans="2:14" ht="12.75" customHeight="1" x14ac:dyDescent="0.25">
      <c r="B760" s="284"/>
      <c r="C760" s="302"/>
      <c r="D760" s="302"/>
      <c r="E760" s="625"/>
      <c r="F760" s="625"/>
      <c r="G760" s="625"/>
      <c r="H760" s="625"/>
      <c r="I760" s="640"/>
      <c r="J760" s="640"/>
      <c r="K760" s="640"/>
      <c r="L760" s="640"/>
      <c r="M760" s="640"/>
      <c r="N760" s="626"/>
    </row>
    <row r="761" spans="2:14" ht="12.75" customHeight="1" x14ac:dyDescent="0.25">
      <c r="B761" s="284"/>
      <c r="C761" s="302"/>
      <c r="D761" s="302"/>
      <c r="E761" s="636" t="str">
        <f>[1]K_Summary!E751</f>
        <v>Произведен отпадъчен газ</v>
      </c>
      <c r="F761" s="636"/>
      <c r="G761" s="636"/>
      <c r="H761" s="637" t="str">
        <f>[1]K_Summary!H751</f>
        <v>TJ / година</v>
      </c>
      <c r="I761" s="482" t="str">
        <f>[1]K_Summary!I751</f>
        <v/>
      </c>
      <c r="J761" s="482" t="str">
        <f>[1]K_Summary!J751</f>
        <v/>
      </c>
      <c r="K761" s="482" t="str">
        <f>[1]K_Summary!K751</f>
        <v/>
      </c>
      <c r="L761" s="482" t="str">
        <f>[1]K_Summary!L751</f>
        <v/>
      </c>
      <c r="M761" s="482" t="str">
        <f>[1]K_Summary!M751</f>
        <v/>
      </c>
      <c r="N761" s="626"/>
    </row>
    <row r="762" spans="2:14" ht="12.75" customHeight="1" x14ac:dyDescent="0.25">
      <c r="B762" s="284"/>
      <c r="C762" s="302"/>
      <c r="D762" s="302"/>
      <c r="E762" s="638" t="str">
        <f>[1]K_Summary!E752</f>
        <v>Специфичен EF (произведен отпадъчен газ)</v>
      </c>
      <c r="F762" s="638"/>
      <c r="G762" s="638"/>
      <c r="H762" s="639" t="str">
        <f>[1]K_Summary!H752</f>
        <v>t CO2 / TJ</v>
      </c>
      <c r="I762" s="484" t="str">
        <f>[1]K_Summary!I752</f>
        <v/>
      </c>
      <c r="J762" s="484" t="str">
        <f>[1]K_Summary!J752</f>
        <v/>
      </c>
      <c r="K762" s="484" t="str">
        <f>[1]K_Summary!K752</f>
        <v/>
      </c>
      <c r="L762" s="484" t="str">
        <f>[1]K_Summary!L752</f>
        <v/>
      </c>
      <c r="M762" s="484" t="str">
        <f>[1]K_Summary!M752</f>
        <v/>
      </c>
      <c r="N762" s="626"/>
    </row>
    <row r="763" spans="2:14" ht="12.75" customHeight="1" x14ac:dyDescent="0.25">
      <c r="B763" s="284"/>
      <c r="C763" s="302"/>
      <c r="D763" s="302"/>
      <c r="E763" s="636" t="str">
        <f>[1]K_Summary!E753</f>
        <v>Консумиран отпадъчен газ</v>
      </c>
      <c r="F763" s="636"/>
      <c r="G763" s="636"/>
      <c r="H763" s="637" t="str">
        <f>[1]K_Summary!H753</f>
        <v>TJ / година</v>
      </c>
      <c r="I763" s="482" t="str">
        <f>[1]K_Summary!I753</f>
        <v/>
      </c>
      <c r="J763" s="482" t="str">
        <f>[1]K_Summary!J753</f>
        <v/>
      </c>
      <c r="K763" s="482" t="str">
        <f>[1]K_Summary!K753</f>
        <v/>
      </c>
      <c r="L763" s="482" t="str">
        <f>[1]K_Summary!L753</f>
        <v/>
      </c>
      <c r="M763" s="482" t="str">
        <f>[1]K_Summary!M753</f>
        <v/>
      </c>
      <c r="N763" s="626"/>
    </row>
    <row r="764" spans="2:14" ht="12.75" customHeight="1" x14ac:dyDescent="0.25">
      <c r="B764" s="284"/>
      <c r="C764" s="302"/>
      <c r="D764" s="302"/>
      <c r="E764" s="638" t="str">
        <f>[1]K_Summary!E754</f>
        <v>Специфичен EF (консумиран отпадъчен газ)</v>
      </c>
      <c r="F764" s="638"/>
      <c r="G764" s="638"/>
      <c r="H764" s="639" t="str">
        <f>[1]K_Summary!H754</f>
        <v>t CO2 / TJ</v>
      </c>
      <c r="I764" s="484" t="str">
        <f>[1]K_Summary!I754</f>
        <v/>
      </c>
      <c r="J764" s="484" t="str">
        <f>[1]K_Summary!J754</f>
        <v/>
      </c>
      <c r="K764" s="484" t="str">
        <f>[1]K_Summary!K754</f>
        <v/>
      </c>
      <c r="L764" s="484" t="str">
        <f>[1]K_Summary!L754</f>
        <v/>
      </c>
      <c r="M764" s="484" t="str">
        <f>[1]K_Summary!M754</f>
        <v/>
      </c>
      <c r="N764" s="626"/>
    </row>
    <row r="765" spans="2:14" ht="12.75" customHeight="1" x14ac:dyDescent="0.25">
      <c r="B765" s="284"/>
      <c r="C765" s="302"/>
      <c r="D765" s="302"/>
      <c r="E765" s="636" t="str">
        <f>[1]K_Summary!E755</f>
        <v>Изгорен във факел отпадъчен газ</v>
      </c>
      <c r="F765" s="636"/>
      <c r="G765" s="636"/>
      <c r="H765" s="637" t="str">
        <f>[1]K_Summary!H755</f>
        <v>TJ / година</v>
      </c>
      <c r="I765" s="482" t="str">
        <f>[1]K_Summary!I755</f>
        <v/>
      </c>
      <c r="J765" s="482" t="str">
        <f>[1]K_Summary!J755</f>
        <v/>
      </c>
      <c r="K765" s="482" t="str">
        <f>[1]K_Summary!K755</f>
        <v/>
      </c>
      <c r="L765" s="482" t="str">
        <f>[1]K_Summary!L755</f>
        <v/>
      </c>
      <c r="M765" s="482" t="str">
        <f>[1]K_Summary!M755</f>
        <v/>
      </c>
      <c r="N765" s="626"/>
    </row>
    <row r="766" spans="2:14" ht="12.75" customHeight="1" x14ac:dyDescent="0.25">
      <c r="B766" s="284"/>
      <c r="C766" s="302"/>
      <c r="D766" s="302"/>
      <c r="E766" s="638" t="str">
        <f>[1]K_Summary!E756</f>
        <v>Специфичен EF (изгорен във факел отпадъчен газ)</v>
      </c>
      <c r="F766" s="638"/>
      <c r="G766" s="638"/>
      <c r="H766" s="639" t="str">
        <f>[1]K_Summary!H756</f>
        <v>t CO2 / TJ</v>
      </c>
      <c r="I766" s="484" t="str">
        <f>[1]K_Summary!I756</f>
        <v/>
      </c>
      <c r="J766" s="484" t="str">
        <f>[1]K_Summary!J756</f>
        <v/>
      </c>
      <c r="K766" s="484" t="str">
        <f>[1]K_Summary!K756</f>
        <v/>
      </c>
      <c r="L766" s="484" t="str">
        <f>[1]K_Summary!L756</f>
        <v/>
      </c>
      <c r="M766" s="484" t="str">
        <f>[1]K_Summary!M756</f>
        <v/>
      </c>
      <c r="N766" s="626"/>
    </row>
    <row r="767" spans="2:14" ht="12.75" customHeight="1" x14ac:dyDescent="0.25">
      <c r="B767" s="284"/>
      <c r="C767" s="302"/>
      <c r="D767" s="302"/>
      <c r="E767" s="636" t="str">
        <f>[1]K_Summary!E757</f>
        <v>Получен отпадъчен газ</v>
      </c>
      <c r="F767" s="636"/>
      <c r="G767" s="636"/>
      <c r="H767" s="637" t="str">
        <f>[1]K_Summary!H757</f>
        <v>TJ / година</v>
      </c>
      <c r="I767" s="482" t="str">
        <f>[1]K_Summary!I757</f>
        <v/>
      </c>
      <c r="J767" s="482" t="str">
        <f>[1]K_Summary!J757</f>
        <v/>
      </c>
      <c r="K767" s="482" t="str">
        <f>[1]K_Summary!K757</f>
        <v/>
      </c>
      <c r="L767" s="482" t="str">
        <f>[1]K_Summary!L757</f>
        <v/>
      </c>
      <c r="M767" s="482" t="str">
        <f>[1]K_Summary!M757</f>
        <v/>
      </c>
      <c r="N767" s="626"/>
    </row>
    <row r="768" spans="2:14" ht="12.75" customHeight="1" x14ac:dyDescent="0.25">
      <c r="B768" s="284"/>
      <c r="C768" s="302"/>
      <c r="D768" s="302"/>
      <c r="E768" s="638" t="str">
        <f>[1]K_Summary!E758</f>
        <v>Специфичен EF (получен отпадъчен газ)</v>
      </c>
      <c r="F768" s="638"/>
      <c r="G768" s="638"/>
      <c r="H768" s="639" t="str">
        <f>[1]K_Summary!H758</f>
        <v>t CO2 / TJ</v>
      </c>
      <c r="I768" s="484" t="str">
        <f>[1]K_Summary!I758</f>
        <v/>
      </c>
      <c r="J768" s="484" t="str">
        <f>[1]K_Summary!J758</f>
        <v/>
      </c>
      <c r="K768" s="484" t="str">
        <f>[1]K_Summary!K758</f>
        <v/>
      </c>
      <c r="L768" s="484" t="str">
        <f>[1]K_Summary!L758</f>
        <v/>
      </c>
      <c r="M768" s="484" t="str">
        <f>[1]K_Summary!M758</f>
        <v/>
      </c>
      <c r="N768" s="626"/>
    </row>
    <row r="769" spans="2:14" ht="12.75" customHeight="1" x14ac:dyDescent="0.25">
      <c r="B769" s="284"/>
      <c r="C769" s="302"/>
      <c r="D769" s="302"/>
      <c r="E769" s="636" t="str">
        <f>[1]K_Summary!E759</f>
        <v>Подаден отпадъчен газ</v>
      </c>
      <c r="F769" s="636"/>
      <c r="G769" s="636"/>
      <c r="H769" s="637" t="str">
        <f>[1]K_Summary!H759</f>
        <v>TJ / година</v>
      </c>
      <c r="I769" s="482" t="str">
        <f>[1]K_Summary!I759</f>
        <v/>
      </c>
      <c r="J769" s="482" t="str">
        <f>[1]K_Summary!J759</f>
        <v/>
      </c>
      <c r="K769" s="482" t="str">
        <f>[1]K_Summary!K759</f>
        <v/>
      </c>
      <c r="L769" s="482" t="str">
        <f>[1]K_Summary!L759</f>
        <v/>
      </c>
      <c r="M769" s="482" t="str">
        <f>[1]K_Summary!M759</f>
        <v/>
      </c>
      <c r="N769" s="626"/>
    </row>
    <row r="770" spans="2:14" ht="12.75" customHeight="1" x14ac:dyDescent="0.25">
      <c r="B770" s="284"/>
      <c r="C770" s="302"/>
      <c r="D770" s="302"/>
      <c r="E770" s="638" t="str">
        <f>[1]K_Summary!E760</f>
        <v>Специфичен EF (подаден отпадъчен газ)</v>
      </c>
      <c r="F770" s="638"/>
      <c r="G770" s="638"/>
      <c r="H770" s="639" t="str">
        <f>[1]K_Summary!H760</f>
        <v>t CO2 / TJ</v>
      </c>
      <c r="I770" s="484" t="str">
        <f>[1]K_Summary!I760</f>
        <v/>
      </c>
      <c r="J770" s="484" t="str">
        <f>[1]K_Summary!J760</f>
        <v/>
      </c>
      <c r="K770" s="484" t="str">
        <f>[1]K_Summary!K760</f>
        <v/>
      </c>
      <c r="L770" s="484" t="str">
        <f>[1]K_Summary!L760</f>
        <v/>
      </c>
      <c r="M770" s="484" t="str">
        <f>[1]K_Summary!M760</f>
        <v/>
      </c>
      <c r="N770" s="626"/>
    </row>
    <row r="771" spans="2:14" ht="12.75" customHeight="1" x14ac:dyDescent="0.25">
      <c r="B771" s="284"/>
      <c r="C771" s="302"/>
      <c r="D771" s="302"/>
      <c r="E771" s="625"/>
      <c r="F771" s="625"/>
      <c r="G771" s="625"/>
      <c r="H771" s="625"/>
      <c r="I771" s="640"/>
      <c r="J771" s="640"/>
      <c r="K771" s="640"/>
      <c r="L771" s="640"/>
      <c r="M771" s="640"/>
      <c r="N771" s="626"/>
    </row>
    <row r="772" spans="2:14" ht="12.75" customHeight="1" x14ac:dyDescent="0.25">
      <c r="B772" s="284"/>
      <c r="C772" s="302"/>
      <c r="D772" s="302"/>
      <c r="E772" s="641" t="str">
        <f>[1]K_Summary!E762</f>
        <v>Произведена електроенергия</v>
      </c>
      <c r="F772" s="641"/>
      <c r="G772" s="641"/>
      <c r="H772" s="642" t="str">
        <f>[1]K_Summary!H762</f>
        <v>MWh / година</v>
      </c>
      <c r="I772" s="480" t="str">
        <f>[1]K_Summary!I762</f>
        <v/>
      </c>
      <c r="J772" s="480" t="str">
        <f>[1]K_Summary!J762</f>
        <v/>
      </c>
      <c r="K772" s="480" t="str">
        <f>[1]K_Summary!K762</f>
        <v/>
      </c>
      <c r="L772" s="480" t="str">
        <f>[1]K_Summary!L762</f>
        <v/>
      </c>
      <c r="M772" s="480" t="str">
        <f>[1]K_Summary!M762</f>
        <v/>
      </c>
      <c r="N772" s="626"/>
    </row>
    <row r="773" spans="2:14" ht="12.75" customHeight="1" x14ac:dyDescent="0.25">
      <c r="B773" s="284"/>
      <c r="C773" s="302"/>
      <c r="D773" s="302"/>
      <c r="E773" s="625"/>
      <c r="F773" s="625"/>
      <c r="G773" s="625"/>
      <c r="H773" s="625"/>
      <c r="I773" s="640"/>
      <c r="J773" s="640"/>
      <c r="K773" s="640"/>
      <c r="L773" s="640"/>
      <c r="M773" s="640"/>
      <c r="N773" s="626"/>
    </row>
    <row r="774" spans="2:14" ht="12.75" customHeight="1" x14ac:dyDescent="0.25">
      <c r="B774" s="284"/>
      <c r="C774" s="302"/>
      <c r="D774" s="302"/>
      <c r="E774" s="643" t="str">
        <f>[1]K_Summary!E764</f>
        <v>Междинно получаване:</v>
      </c>
      <c r="F774" s="625"/>
      <c r="G774" s="625"/>
      <c r="H774" s="625"/>
      <c r="I774" s="640"/>
      <c r="J774" s="640"/>
      <c r="K774" s="640"/>
      <c r="L774" s="640"/>
      <c r="M774" s="640"/>
      <c r="N774" s="626"/>
    </row>
    <row r="775" spans="2:14" ht="12.75" customHeight="1" x14ac:dyDescent="0.25">
      <c r="B775" s="284"/>
      <c r="C775" s="302"/>
      <c r="D775" s="302"/>
      <c r="E775" s="381" t="str">
        <f>[1]K_Summary!E765</f>
        <v/>
      </c>
      <c r="F775" s="381"/>
      <c r="G775" s="381"/>
      <c r="H775" s="642" t="str">
        <f>[1]K_Summary!H765</f>
        <v>тона</v>
      </c>
      <c r="I775" s="499" t="str">
        <f>[1]K_Summary!I765</f>
        <v/>
      </c>
      <c r="J775" s="499" t="str">
        <f>[1]K_Summary!J765</f>
        <v/>
      </c>
      <c r="K775" s="499" t="str">
        <f>[1]K_Summary!K765</f>
        <v/>
      </c>
      <c r="L775" s="499" t="str">
        <f>[1]K_Summary!L765</f>
        <v/>
      </c>
      <c r="M775" s="499" t="str">
        <f>[1]K_Summary!M765</f>
        <v/>
      </c>
      <c r="N775" s="626"/>
    </row>
    <row r="776" spans="2:14" ht="12.75" customHeight="1" x14ac:dyDescent="0.25">
      <c r="B776" s="284"/>
      <c r="C776" s="302"/>
      <c r="D776" s="302"/>
      <c r="E776" s="381" t="str">
        <f>[1]K_Summary!E766</f>
        <v/>
      </c>
      <c r="F776" s="381"/>
      <c r="G776" s="381"/>
      <c r="H776" s="642" t="str">
        <f>[1]K_Summary!H766</f>
        <v>тона</v>
      </c>
      <c r="I776" s="499" t="str">
        <f>[1]K_Summary!I766</f>
        <v/>
      </c>
      <c r="J776" s="499" t="str">
        <f>[1]K_Summary!J766</f>
        <v/>
      </c>
      <c r="K776" s="499" t="str">
        <f>[1]K_Summary!K766</f>
        <v/>
      </c>
      <c r="L776" s="499" t="str">
        <f>[1]K_Summary!L766</f>
        <v/>
      </c>
      <c r="M776" s="499" t="str">
        <f>[1]K_Summary!M766</f>
        <v/>
      </c>
      <c r="N776" s="626"/>
    </row>
    <row r="777" spans="2:14" ht="12.75" customHeight="1" x14ac:dyDescent="0.25">
      <c r="B777" s="284"/>
      <c r="C777" s="302"/>
      <c r="D777" s="302"/>
      <c r="E777" s="643" t="str">
        <f>[1]K_Summary!E767</f>
        <v>Междинно подаване:</v>
      </c>
      <c r="F777" s="625"/>
      <c r="G777" s="625"/>
      <c r="H777" s="625"/>
      <c r="I777" s="644"/>
      <c r="J777" s="644"/>
      <c r="K777" s="644"/>
      <c r="L777" s="644"/>
      <c r="M777" s="644"/>
      <c r="N777" s="626"/>
    </row>
    <row r="778" spans="2:14" ht="12.75" customHeight="1" x14ac:dyDescent="0.25">
      <c r="B778" s="284"/>
      <c r="C778" s="302"/>
      <c r="D778" s="302"/>
      <c r="E778" s="381" t="str">
        <f>[1]K_Summary!E768</f>
        <v/>
      </c>
      <c r="F778" s="381"/>
      <c r="G778" s="381"/>
      <c r="H778" s="642" t="str">
        <f>[1]K_Summary!H768</f>
        <v>тона</v>
      </c>
      <c r="I778" s="499" t="str">
        <f>[1]K_Summary!I768</f>
        <v/>
      </c>
      <c r="J778" s="499" t="str">
        <f>[1]K_Summary!J768</f>
        <v/>
      </c>
      <c r="K778" s="499" t="str">
        <f>[1]K_Summary!K768</f>
        <v/>
      </c>
      <c r="L778" s="499" t="str">
        <f>[1]K_Summary!L768</f>
        <v/>
      </c>
      <c r="M778" s="499" t="str">
        <f>[1]K_Summary!M768</f>
        <v/>
      </c>
      <c r="N778" s="626"/>
    </row>
    <row r="779" spans="2:14" ht="12.75" customHeight="1" x14ac:dyDescent="0.25">
      <c r="B779" s="284"/>
      <c r="C779" s="302"/>
      <c r="D779" s="302"/>
      <c r="E779" s="381" t="str">
        <f>[1]K_Summary!E769</f>
        <v/>
      </c>
      <c r="F779" s="381"/>
      <c r="G779" s="381"/>
      <c r="H779" s="642" t="str">
        <f>[1]K_Summary!H769</f>
        <v>тона</v>
      </c>
      <c r="I779" s="499" t="str">
        <f>[1]K_Summary!I769</f>
        <v/>
      </c>
      <c r="J779" s="499" t="str">
        <f>[1]K_Summary!J769</f>
        <v/>
      </c>
      <c r="K779" s="499" t="str">
        <f>[1]K_Summary!K769</f>
        <v/>
      </c>
      <c r="L779" s="499" t="str">
        <f>[1]K_Summary!L769</f>
        <v/>
      </c>
      <c r="M779" s="499" t="str">
        <f>[1]K_Summary!M769</f>
        <v/>
      </c>
      <c r="N779" s="626"/>
    </row>
    <row r="780" spans="2:14" ht="12.75" customHeight="1" x14ac:dyDescent="0.25">
      <c r="B780" s="284"/>
      <c r="C780" s="302"/>
      <c r="D780" s="302"/>
      <c r="E780" s="625"/>
      <c r="F780" s="625"/>
      <c r="G780" s="625"/>
      <c r="H780" s="625"/>
      <c r="I780" s="626"/>
      <c r="J780" s="626"/>
      <c r="K780" s="626"/>
      <c r="L780" s="626"/>
      <c r="M780" s="626"/>
      <c r="N780" s="626"/>
    </row>
    <row r="781" spans="2:14" ht="12.75" customHeight="1" x14ac:dyDescent="0.25">
      <c r="B781" s="284"/>
      <c r="C781" s="302"/>
      <c r="D781" s="302"/>
      <c r="E781" s="645" t="str">
        <f>[1]K_Summary!E771</f>
        <v>Корекции за актуализиране на показателя при специфичен показател, когато е приложимо</v>
      </c>
      <c r="F781" s="645"/>
      <c r="G781" s="645"/>
      <c r="H781" s="645"/>
      <c r="I781" s="645"/>
      <c r="J781" s="645"/>
      <c r="K781" s="645"/>
      <c r="L781" s="645"/>
      <c r="M781" s="645"/>
      <c r="N781" s="626"/>
    </row>
    <row r="782" spans="2:14" ht="12.75" customHeight="1" x14ac:dyDescent="0.25">
      <c r="B782" s="284"/>
      <c r="C782" s="302"/>
      <c r="D782" s="302"/>
      <c r="E782" s="641" t="str">
        <f>[1]K_Summary!E772</f>
        <v>Общо количество произведен пулп</v>
      </c>
      <c r="F782" s="641"/>
      <c r="G782" s="641"/>
      <c r="H782" s="642" t="str">
        <f>[1]K_Summary!H772</f>
        <v>тона</v>
      </c>
      <c r="I782" s="499" t="str">
        <f>[1]K_Summary!I772</f>
        <v/>
      </c>
      <c r="J782" s="499" t="str">
        <f>[1]K_Summary!J772</f>
        <v/>
      </c>
      <c r="K782" s="499" t="str">
        <f>[1]K_Summary!K772</f>
        <v/>
      </c>
      <c r="L782" s="499" t="str">
        <f>[1]K_Summary!L772</f>
        <v/>
      </c>
      <c r="M782" s="499" t="str">
        <f>[1]K_Summary!M772</f>
        <v/>
      </c>
      <c r="N782" s="626"/>
    </row>
    <row r="783" spans="2:14" ht="12.75" customHeight="1" x14ac:dyDescent="0.25">
      <c r="B783" s="284"/>
      <c r="C783" s="302"/>
      <c r="D783" s="302"/>
      <c r="E783" s="625"/>
      <c r="F783" s="625"/>
      <c r="G783" s="625"/>
      <c r="H783" s="625"/>
      <c r="I783" s="644"/>
      <c r="J783" s="644"/>
      <c r="K783" s="644"/>
      <c r="L783" s="644"/>
      <c r="M783" s="644"/>
      <c r="N783" s="626"/>
    </row>
    <row r="784" spans="2:14" ht="12.75" customHeight="1" x14ac:dyDescent="0.25">
      <c r="B784" s="284"/>
      <c r="C784" s="302"/>
      <c r="D784" s="302"/>
      <c r="E784" s="641" t="str">
        <f>[1]K_Summary!E774</f>
        <v>Производство на водород (действително + теоретично)</v>
      </c>
      <c r="F784" s="641"/>
      <c r="G784" s="641"/>
      <c r="H784" s="642" t="str">
        <f>[1]K_Summary!H774</f>
        <v>тона</v>
      </c>
      <c r="I784" s="499" t="str">
        <f>[1]K_Summary!I774</f>
        <v/>
      </c>
      <c r="J784" s="499" t="str">
        <f>[1]K_Summary!J774</f>
        <v/>
      </c>
      <c r="K784" s="499" t="str">
        <f>[1]K_Summary!K774</f>
        <v/>
      </c>
      <c r="L784" s="499" t="str">
        <f>[1]K_Summary!L774</f>
        <v/>
      </c>
      <c r="M784" s="499" t="str">
        <f>[1]K_Summary!M774</f>
        <v/>
      </c>
      <c r="N784" s="626"/>
    </row>
    <row r="785" spans="2:19" ht="12.75" customHeight="1" x14ac:dyDescent="0.25">
      <c r="B785" s="284"/>
      <c r="C785" s="302"/>
      <c r="D785" s="302"/>
      <c r="E785" s="641" t="str">
        <f>[1]K_Summary!E775</f>
        <v>Емисии във връзка с водород</v>
      </c>
      <c r="F785" s="641"/>
      <c r="G785" s="641"/>
      <c r="H785" s="642" t="str">
        <f>[1]K_Summary!H775</f>
        <v>t CO2 / година</v>
      </c>
      <c r="I785" s="499" t="str">
        <f>[1]K_Summary!I775</f>
        <v/>
      </c>
      <c r="J785" s="499" t="str">
        <f>[1]K_Summary!J775</f>
        <v/>
      </c>
      <c r="K785" s="499" t="str">
        <f>[1]K_Summary!K775</f>
        <v/>
      </c>
      <c r="L785" s="499" t="str">
        <f>[1]K_Summary!L775</f>
        <v/>
      </c>
      <c r="M785" s="499" t="str">
        <f>[1]K_Summary!M775</f>
        <v/>
      </c>
      <c r="N785" s="626"/>
    </row>
    <row r="786" spans="2:19" ht="12.75" customHeight="1" x14ac:dyDescent="0.25">
      <c r="B786" s="284"/>
      <c r="C786" s="302"/>
      <c r="D786" s="302"/>
      <c r="E786" s="625"/>
      <c r="F786" s="625"/>
      <c r="G786" s="625"/>
      <c r="H786" s="625"/>
      <c r="I786" s="644"/>
      <c r="J786" s="644"/>
      <c r="K786" s="644"/>
      <c r="L786" s="644"/>
      <c r="M786" s="644"/>
      <c r="N786" s="626"/>
    </row>
    <row r="787" spans="2:19" ht="12.75" customHeight="1" x14ac:dyDescent="0.25">
      <c r="B787" s="284"/>
      <c r="C787" s="302"/>
      <c r="D787" s="302"/>
      <c r="E787" s="641" t="str">
        <f>[1]K_Summary!E777</f>
        <v>Корекция на емисиите във връзка с HVC</v>
      </c>
      <c r="F787" s="641"/>
      <c r="G787" s="641"/>
      <c r="H787" s="642" t="str">
        <f>[1]K_Summary!H777</f>
        <v>t CO2 / година</v>
      </c>
      <c r="I787" s="499" t="str">
        <f>[1]K_Summary!I777</f>
        <v/>
      </c>
      <c r="J787" s="499" t="str">
        <f>[1]K_Summary!J777</f>
        <v/>
      </c>
      <c r="K787" s="499" t="str">
        <f>[1]K_Summary!K777</f>
        <v/>
      </c>
      <c r="L787" s="499" t="str">
        <f>[1]K_Summary!L777</f>
        <v/>
      </c>
      <c r="M787" s="499" t="str">
        <f>[1]K_Summary!M777</f>
        <v/>
      </c>
      <c r="N787" s="626"/>
    </row>
    <row r="788" spans="2:19" ht="12.75" customHeight="1" x14ac:dyDescent="0.25">
      <c r="B788" s="284"/>
      <c r="C788" s="302"/>
      <c r="D788" s="302"/>
      <c r="E788" s="625"/>
      <c r="F788" s="625"/>
      <c r="G788" s="625"/>
      <c r="H788" s="625"/>
      <c r="I788" s="644"/>
      <c r="J788" s="644"/>
      <c r="K788" s="644"/>
      <c r="L788" s="644"/>
      <c r="M788" s="644"/>
      <c r="N788" s="626"/>
    </row>
    <row r="789" spans="2:19" ht="12.75" customHeight="1" x14ac:dyDescent="0.25">
      <c r="B789" s="284"/>
      <c r="C789" s="302"/>
      <c r="D789" s="302"/>
      <c r="E789" s="641" t="str">
        <f>[1]K_Summary!E779</f>
        <v>Корекция на емисиите във връзка с VCM</v>
      </c>
      <c r="F789" s="641"/>
      <c r="G789" s="641"/>
      <c r="H789" s="642" t="str">
        <f>[1]K_Summary!H779</f>
        <v>t CO2 / година</v>
      </c>
      <c r="I789" s="499" t="str">
        <f>[1]K_Summary!I779</f>
        <v/>
      </c>
      <c r="J789" s="499" t="str">
        <f>[1]K_Summary!J779</f>
        <v/>
      </c>
      <c r="K789" s="499" t="str">
        <f>[1]K_Summary!K779</f>
        <v/>
      </c>
      <c r="L789" s="499" t="str">
        <f>[1]K_Summary!L779</f>
        <v/>
      </c>
      <c r="M789" s="499" t="str">
        <f>[1]K_Summary!M779</f>
        <v/>
      </c>
      <c r="N789" s="626"/>
    </row>
    <row r="790" spans="2:19" ht="12.75" customHeight="1" x14ac:dyDescent="0.25">
      <c r="B790" s="284"/>
      <c r="C790" s="302"/>
      <c r="D790" s="302"/>
      <c r="E790" s="625"/>
      <c r="F790" s="625"/>
      <c r="G790" s="625"/>
      <c r="H790" s="625"/>
      <c r="I790" s="626"/>
      <c r="J790" s="626"/>
      <c r="K790" s="626"/>
      <c r="L790" s="626"/>
      <c r="M790" s="626"/>
      <c r="N790" s="626"/>
    </row>
    <row r="791" spans="2:19" ht="12.75" customHeight="1" thickBot="1" x14ac:dyDescent="0.3">
      <c r="B791" s="284"/>
      <c r="C791" s="302"/>
      <c r="D791" s="302"/>
      <c r="E791" s="646"/>
      <c r="F791" s="364"/>
      <c r="G791" s="364"/>
      <c r="H791" s="364"/>
      <c r="I791" s="364"/>
      <c r="J791" s="364"/>
      <c r="K791" s="364"/>
      <c r="L791" s="364"/>
      <c r="M791" s="364"/>
      <c r="N791" s="364"/>
    </row>
    <row r="792" spans="2:19" ht="12.75" customHeight="1" x14ac:dyDescent="0.25">
      <c r="B792" s="284"/>
      <c r="C792" s="581"/>
      <c r="D792" s="581"/>
      <c r="E792" s="581"/>
      <c r="F792" s="581"/>
      <c r="G792" s="581"/>
      <c r="H792" s="581"/>
      <c r="I792" s="581"/>
      <c r="J792" s="581"/>
      <c r="K792" s="581"/>
      <c r="L792" s="581"/>
      <c r="M792" s="581"/>
      <c r="N792" s="581"/>
    </row>
    <row r="793" spans="2:19" ht="12.75" customHeight="1" x14ac:dyDescent="0.3">
      <c r="B793" s="284"/>
      <c r="C793" s="357">
        <f>[1]K_Summary!C783</f>
        <v>5</v>
      </c>
      <c r="D793" s="590" t="str">
        <f>[1]K_Summary!D783</f>
        <v>Подинсталация с продуктов показател 5:</v>
      </c>
      <c r="E793" s="590"/>
      <c r="F793" s="590"/>
      <c r="G793" s="590"/>
      <c r="H793" s="591"/>
      <c r="I793" s="592" t="str">
        <f>[1]K_Summary!I783</f>
        <v/>
      </c>
      <c r="J793" s="593"/>
      <c r="K793" s="593"/>
      <c r="L793" s="593"/>
      <c r="M793" s="593"/>
      <c r="N793" s="594"/>
    </row>
    <row r="794" spans="2:19" ht="12.75" customHeight="1" thickBot="1" x14ac:dyDescent="0.3">
      <c r="B794" s="284"/>
      <c r="C794" s="302"/>
      <c r="D794" s="302"/>
      <c r="E794" s="302"/>
      <c r="F794" s="302"/>
      <c r="G794" s="302"/>
      <c r="H794" s="302"/>
      <c r="I794" s="302"/>
      <c r="J794" s="302"/>
      <c r="K794" s="302"/>
      <c r="L794" s="302"/>
      <c r="M794" s="302"/>
      <c r="N794" s="302"/>
    </row>
    <row r="795" spans="2:19" ht="12.75" customHeight="1" x14ac:dyDescent="0.25">
      <c r="B795" s="284"/>
      <c r="C795" s="302"/>
      <c r="D795" s="302"/>
      <c r="E795" s="302"/>
      <c r="F795" s="302"/>
      <c r="G795" s="302"/>
      <c r="H795" s="595" t="str">
        <f>[1]K_Summary!H785</f>
        <v>Риск от ИВЕ</v>
      </c>
      <c r="I795" s="302"/>
      <c r="J795" s="596" t="str">
        <f>[1]K_Summary!J785</f>
        <v>В/Е</v>
      </c>
      <c r="K795" s="596" t="str">
        <f>[1]K_Summary!K785</f>
        <v>№ на п-л</v>
      </c>
      <c r="L795" s="597" t="str">
        <f>[1]K_Summary!L785</f>
        <v>15(7).3?</v>
      </c>
      <c r="M795" s="598" t="str">
        <f>[1]K_Summary!M785</f>
        <v>Стойност на показател (мин/макс/действ.)</v>
      </c>
      <c r="N795" s="599"/>
    </row>
    <row r="796" spans="2:19" ht="12.75" customHeight="1" x14ac:dyDescent="0.25">
      <c r="B796" s="284"/>
      <c r="C796" s="302"/>
      <c r="D796" s="302"/>
      <c r="E796" s="361" t="str">
        <f>[1]K_Summary!E786</f>
        <v/>
      </c>
      <c r="F796" s="373"/>
      <c r="G796" s="362"/>
      <c r="H796" s="600" t="str">
        <f>[1]K_Summary!H786</f>
        <v>Не е приложимо</v>
      </c>
      <c r="I796" s="302"/>
      <c r="J796" s="601" t="str">
        <f>[1]K_Summary!J786</f>
        <v>Не е приложимо</v>
      </c>
      <c r="K796" s="406" t="str">
        <f>[1]K_Summary!K786</f>
        <v>Не е приложимо</v>
      </c>
      <c r="L796" s="602" t="str">
        <f>[1]K_Summary!L786</f>
        <v/>
      </c>
      <c r="M796" s="603" t="str">
        <f>[1]K_Summary!M786</f>
        <v>Не е приложимо</v>
      </c>
      <c r="N796" s="604" t="str">
        <f>[1]K_Summary!N786</f>
        <v>Квота за емисии/тона</v>
      </c>
    </row>
    <row r="797" spans="2:19" ht="12.75" customHeight="1" x14ac:dyDescent="0.25">
      <c r="B797" s="284"/>
      <c r="C797" s="302"/>
      <c r="D797" s="302"/>
      <c r="E797" s="364"/>
      <c r="F797" s="364"/>
      <c r="G797" s="596" t="str">
        <f>[1]K_Summary!G787</f>
        <v>топл. ен. извън СТЕ</v>
      </c>
      <c r="H797" s="595" t="str">
        <f>[1]K_Summary!H787</f>
        <v>CBAM</v>
      </c>
      <c r="I797" s="597" t="str">
        <f>[1]K_Summary!I787</f>
        <v>WGflare</v>
      </c>
      <c r="J797" s="596" t="str">
        <f>[1]K_Summary!J787</f>
        <v>HVC-Corr</v>
      </c>
      <c r="K797" s="596" t="str">
        <f>[1]K_Summary!K787</f>
        <v>VCM-F</v>
      </c>
      <c r="L797" s="302"/>
      <c r="M797" s="603" t="str">
        <f>[1]K_Summary!M787</f>
        <v>Не е приложимо</v>
      </c>
      <c r="N797" s="604" t="str">
        <f>[1]K_Summary!N787</f>
        <v>Квота за емисии/тона</v>
      </c>
      <c r="R797" s="605" t="str">
        <f>[1]K_Summary!R787</f>
        <v>No. BM</v>
      </c>
      <c r="S797" s="606" t="str">
        <f>[1]K_Summary!S787</f>
        <v>Не е приложимо</v>
      </c>
    </row>
    <row r="798" spans="2:19" ht="12.75" customHeight="1" thickBot="1" x14ac:dyDescent="0.3">
      <c r="B798" s="284"/>
      <c r="C798" s="302"/>
      <c r="D798" s="302"/>
      <c r="E798" s="607" t="str">
        <f>[1]K_Summary!E788</f>
        <v>Специфични коефициенти:</v>
      </c>
      <c r="F798" s="607"/>
      <c r="G798" s="406" t="str">
        <f>[1]K_Summary!G788</f>
        <v/>
      </c>
      <c r="H798" s="600" t="str">
        <f>[1]K_Summary!H788</f>
        <v>Не е приложимо</v>
      </c>
      <c r="I798" s="608" t="str">
        <f>[1]K_Summary!I788</f>
        <v/>
      </c>
      <c r="J798" s="406" t="str">
        <f>[1]K_Summary!J788</f>
        <v/>
      </c>
      <c r="K798" s="609" t="str">
        <f>[1]K_Summary!K788</f>
        <v/>
      </c>
      <c r="L798" s="302"/>
      <c r="M798" s="610" t="str">
        <f>[1]K_Summary!M788</f>
        <v>Не е приложимо</v>
      </c>
      <c r="N798" s="611" t="str">
        <f>[1]K_Summary!N788</f>
        <v>Квота за емисии/тона</v>
      </c>
      <c r="P798" s="612" t="b">
        <f>IF(ISNUMBER(K796),INDEX(EUconst_BMlistBMvalues,MATCH(K796,EUconst_BMlistMainNumberOfBM,0))&lt;&gt;M798,FALSE)</f>
        <v>0</v>
      </c>
    </row>
    <row r="799" spans="2:19" ht="12.75" customHeight="1" x14ac:dyDescent="0.25">
      <c r="B799" s="284"/>
      <c r="C799" s="302"/>
      <c r="D799" s="302"/>
      <c r="E799" s="302"/>
      <c r="F799" s="302"/>
      <c r="G799" s="302"/>
      <c r="H799" s="302"/>
      <c r="I799" s="302"/>
      <c r="J799" s="302"/>
      <c r="K799" s="302"/>
      <c r="L799" s="302"/>
      <c r="M799" s="302"/>
      <c r="N799" s="302"/>
    </row>
    <row r="800" spans="2:19" ht="12.75" customHeight="1" x14ac:dyDescent="0.25">
      <c r="B800" s="284"/>
      <c r="C800" s="302"/>
      <c r="D800" s="302"/>
      <c r="E800" s="498"/>
      <c r="F800" s="498"/>
      <c r="G800" s="380"/>
      <c r="H800" s="613" t="str">
        <f>[1]K_Summary!H790</f>
        <v>Единица мярка</v>
      </c>
      <c r="I800" s="387">
        <f>[1]K_Summary!I790</f>
        <v>2019</v>
      </c>
      <c r="J800" s="387">
        <f>[1]K_Summary!J790</f>
        <v>2020</v>
      </c>
      <c r="K800" s="387">
        <f>[1]K_Summary!K790</f>
        <v>2021</v>
      </c>
      <c r="L800" s="387">
        <f>[1]K_Summary!L790</f>
        <v>2022</v>
      </c>
      <c r="M800" s="387">
        <f>[1]K_Summary!M790</f>
        <v>2023</v>
      </c>
      <c r="N800" s="302"/>
    </row>
    <row r="801" spans="2:14" ht="12.75" customHeight="1" x14ac:dyDescent="0.25">
      <c r="B801" s="284"/>
      <c r="C801" s="302"/>
      <c r="D801" s="302"/>
      <c r="E801" s="614" t="str">
        <f>[1]K_Summary!E791</f>
        <v>Отчетено HAL (историческо равнище на дейност)</v>
      </c>
      <c r="F801" s="388"/>
      <c r="G801" s="615"/>
      <c r="H801" s="600" t="str">
        <f>[1]K_Summary!H791</f>
        <v>тона</v>
      </c>
      <c r="I801" s="406" t="str">
        <f>[1]K_Summary!I791</f>
        <v/>
      </c>
      <c r="J801" s="406" t="str">
        <f>[1]K_Summary!J791</f>
        <v/>
      </c>
      <c r="K801" s="406" t="str">
        <f>[1]K_Summary!K791</f>
        <v/>
      </c>
      <c r="L801" s="406" t="str">
        <f>[1]K_Summary!L791</f>
        <v/>
      </c>
      <c r="M801" s="406" t="str">
        <f>[1]K_Summary!M791</f>
        <v/>
      </c>
      <c r="N801" s="596" t="str">
        <f>[1]K_Summary!N791</f>
        <v>Median</v>
      </c>
    </row>
    <row r="802" spans="2:14" ht="12.75" customHeight="1" x14ac:dyDescent="0.25">
      <c r="B802" s="284"/>
      <c r="C802" s="302"/>
      <c r="D802" s="302"/>
      <c r="E802" s="614" t="str">
        <f>[1]K_Summary!E792</f>
        <v>Стойности, използвани за изчислението на HAL:</v>
      </c>
      <c r="F802" s="388"/>
      <c r="G802" s="615"/>
      <c r="H802" s="600" t="str">
        <f>[1]K_Summary!H792</f>
        <v>тона</v>
      </c>
      <c r="I802" s="406" t="str">
        <f>[1]K_Summary!I792</f>
        <v/>
      </c>
      <c r="J802" s="406" t="str">
        <f>[1]K_Summary!J792</f>
        <v/>
      </c>
      <c r="K802" s="406" t="str">
        <f>[1]K_Summary!K792</f>
        <v/>
      </c>
      <c r="L802" s="406" t="str">
        <f>[1]K_Summary!L792</f>
        <v/>
      </c>
      <c r="M802" s="406" t="str">
        <f>[1]K_Summary!M792</f>
        <v/>
      </c>
      <c r="N802" s="406" t="str">
        <f>[1]K_Summary!N792</f>
        <v/>
      </c>
    </row>
    <row r="803" spans="2:14" ht="12.75" customHeight="1" x14ac:dyDescent="0.25">
      <c r="B803" s="284"/>
      <c r="C803" s="302"/>
      <c r="D803" s="302"/>
      <c r="E803" s="360"/>
      <c r="F803" s="360"/>
      <c r="G803" s="360"/>
      <c r="H803" s="360"/>
      <c r="I803" s="360"/>
      <c r="J803" s="360"/>
      <c r="K803" s="360"/>
      <c r="L803" s="360"/>
      <c r="M803" s="364"/>
      <c r="N803" s="364"/>
    </row>
    <row r="804" spans="2:14" ht="12.75" customHeight="1" x14ac:dyDescent="0.25">
      <c r="B804" s="284"/>
      <c r="C804" s="302"/>
      <c r="D804" s="302"/>
      <c r="E804" s="616" t="str">
        <f>[1]K_Summary!E794</f>
        <v>Съответно потребление на електроенергия</v>
      </c>
      <c r="F804" s="616"/>
      <c r="G804" s="616"/>
      <c r="H804" s="617" t="str">
        <f>[1]K_Summary!H794</f>
        <v>MWh / година</v>
      </c>
      <c r="I804" s="618" t="str">
        <f>[1]K_Summary!I794</f>
        <v/>
      </c>
      <c r="J804" s="618" t="str">
        <f>[1]K_Summary!J794</f>
        <v/>
      </c>
      <c r="K804" s="618" t="str">
        <f>[1]K_Summary!K794</f>
        <v/>
      </c>
      <c r="L804" s="618" t="str">
        <f>[1]K_Summary!L794</f>
        <v/>
      </c>
      <c r="M804" s="618" t="str">
        <f>[1]K_Summary!M794</f>
        <v/>
      </c>
      <c r="N804" s="302"/>
    </row>
    <row r="805" spans="2:14" ht="12.75" customHeight="1" x14ac:dyDescent="0.25">
      <c r="B805" s="284"/>
      <c r="C805" s="302"/>
      <c r="D805" s="302"/>
      <c r="E805" s="360"/>
      <c r="F805" s="360"/>
      <c r="G805" s="360"/>
      <c r="H805" s="360"/>
      <c r="I805" s="360"/>
      <c r="J805" s="360"/>
      <c r="K805" s="360"/>
      <c r="L805" s="360"/>
      <c r="M805" s="364"/>
      <c r="N805" s="364"/>
    </row>
    <row r="806" spans="2:14" ht="12.75" customHeight="1" thickBot="1" x14ac:dyDescent="0.3">
      <c r="B806" s="284"/>
      <c r="C806" s="364"/>
      <c r="D806" s="302"/>
      <c r="E806" s="360"/>
      <c r="F806" s="619" t="str">
        <f>[1]K_Summary!F796</f>
        <v>Общо HAL</v>
      </c>
      <c r="G806" s="620"/>
      <c r="H806" s="364"/>
      <c r="I806" s="619" t="str">
        <f>[1]K_Summary!I796</f>
        <v>Предв. разпр. за год. 1 (мин)</v>
      </c>
      <c r="J806" s="620"/>
      <c r="K806" s="619" t="str">
        <f>[1]K_Summary!K796</f>
        <v>Предв. разпр. за год. 1 (макс)</v>
      </c>
      <c r="L806" s="620"/>
      <c r="M806" s="619" t="str">
        <f>[1]K_Summary!M796</f>
        <v>Предв. разпр. за год. 1 (действ.)</v>
      </c>
      <c r="N806" s="620"/>
    </row>
    <row r="807" spans="2:14" ht="12.75" customHeight="1" thickBot="1" x14ac:dyDescent="0.3">
      <c r="B807" s="284"/>
      <c r="C807" s="364"/>
      <c r="D807" s="364"/>
      <c r="E807" s="360"/>
      <c r="F807" s="621" t="str">
        <f>[1]K_Summary!F797</f>
        <v/>
      </c>
      <c r="G807" s="622" t="str">
        <f>[1]K_Summary!G797</f>
        <v>тона / година</v>
      </c>
      <c r="H807" s="364"/>
      <c r="I807" s="623" t="str">
        <f>[1]K_Summary!I797</f>
        <v/>
      </c>
      <c r="J807" s="624" t="str">
        <f>[1]K_Summary!J797</f>
        <v>Квота за емисии / година</v>
      </c>
      <c r="K807" s="623" t="str">
        <f>[1]K_Summary!K797</f>
        <v/>
      </c>
      <c r="L807" s="624" t="str">
        <f>[1]K_Summary!L797</f>
        <v>Квота за емисии / година</v>
      </c>
      <c r="M807" s="623" t="str">
        <f>[1]K_Summary!M797</f>
        <v/>
      </c>
      <c r="N807" s="624" t="str">
        <f>[1]K_Summary!N797</f>
        <v>Квота за емисии / година</v>
      </c>
    </row>
    <row r="808" spans="2:14" ht="12.75" customHeight="1" x14ac:dyDescent="0.25">
      <c r="B808" s="284"/>
      <c r="C808" s="302"/>
      <c r="D808" s="364"/>
      <c r="E808" s="360"/>
      <c r="F808" s="302"/>
      <c r="G808" s="302"/>
      <c r="H808" s="302"/>
      <c r="I808" s="302"/>
      <c r="J808" s="302"/>
      <c r="K808" s="302"/>
      <c r="L808" s="302"/>
      <c r="M808" s="302"/>
      <c r="N808" s="302"/>
    </row>
    <row r="809" spans="2:14" ht="12.75" customHeight="1" x14ac:dyDescent="0.25">
      <c r="B809" s="284"/>
      <c r="C809" s="302"/>
      <c r="D809" s="302"/>
      <c r="E809" s="625"/>
      <c r="F809" s="626"/>
      <c r="G809" s="626"/>
      <c r="H809" s="626"/>
      <c r="I809" s="626"/>
      <c r="J809" s="626"/>
      <c r="K809" s="626"/>
      <c r="L809" s="626"/>
      <c r="M809" s="626"/>
      <c r="N809" s="626"/>
    </row>
    <row r="810" spans="2:14" ht="12.75" customHeight="1" thickBot="1" x14ac:dyDescent="0.3">
      <c r="B810" s="284"/>
      <c r="C810" s="302"/>
      <c r="D810" s="302"/>
      <c r="E810" s="625"/>
      <c r="F810" s="626"/>
      <c r="G810" s="626"/>
      <c r="H810" s="627" t="str">
        <f>[1]K_Summary!H800</f>
        <v>Единица мярка</v>
      </c>
      <c r="I810" s="628">
        <f>[1]K_Summary!I800</f>
        <v>2019</v>
      </c>
      <c r="J810" s="629">
        <f>[1]K_Summary!J800</f>
        <v>2020</v>
      </c>
      <c r="K810" s="629">
        <f>[1]K_Summary!K800</f>
        <v>2021</v>
      </c>
      <c r="L810" s="629">
        <f>[1]K_Summary!L800</f>
        <v>2022</v>
      </c>
      <c r="M810" s="629">
        <f>[1]K_Summary!M800</f>
        <v>2023</v>
      </c>
      <c r="N810" s="626"/>
    </row>
    <row r="811" spans="2:14" ht="12.75" customHeight="1" thickBot="1" x14ac:dyDescent="0.3">
      <c r="B811" s="284"/>
      <c r="C811" s="302"/>
      <c r="D811" s="302"/>
      <c r="E811" s="630" t="str">
        <f>[1]K_Summary!E801</f>
        <v>Общо зададени емисии</v>
      </c>
      <c r="F811" s="630"/>
      <c r="G811" s="630"/>
      <c r="H811" s="631" t="str">
        <f>[1]K_Summary!H801</f>
        <v>t CO2e/година</v>
      </c>
      <c r="I811" s="632" t="str">
        <f>[1]K_Summary!I801</f>
        <v/>
      </c>
      <c r="J811" s="633" t="str">
        <f>[1]K_Summary!J801</f>
        <v/>
      </c>
      <c r="K811" s="633" t="str">
        <f>[1]K_Summary!K801</f>
        <v/>
      </c>
      <c r="L811" s="633" t="str">
        <f>[1]K_Summary!L801</f>
        <v/>
      </c>
      <c r="M811" s="634" t="str">
        <f>[1]K_Summary!M801</f>
        <v/>
      </c>
      <c r="N811" s="626"/>
    </row>
    <row r="812" spans="2:14" ht="12.75" customHeight="1" x14ac:dyDescent="0.25">
      <c r="B812" s="284"/>
      <c r="C812" s="302"/>
      <c r="D812" s="302"/>
      <c r="E812" s="625"/>
      <c r="F812" s="625"/>
      <c r="G812" s="625"/>
      <c r="H812" s="625"/>
      <c r="I812" s="635"/>
      <c r="J812" s="635"/>
      <c r="K812" s="635"/>
      <c r="L812" s="635"/>
      <c r="M812" s="635"/>
      <c r="N812" s="625"/>
    </row>
    <row r="813" spans="2:14" ht="12.75" customHeight="1" x14ac:dyDescent="0.25">
      <c r="B813" s="284"/>
      <c r="C813" s="302"/>
      <c r="D813" s="302"/>
      <c r="E813" s="636" t="str">
        <f>[1]K_Summary!E803</f>
        <v>Обща вложена енергия</v>
      </c>
      <c r="F813" s="636"/>
      <c r="G813" s="636"/>
      <c r="H813" s="637" t="str">
        <f>[1]K_Summary!H803</f>
        <v>TJ / година</v>
      </c>
      <c r="I813" s="482" t="str">
        <f>[1]K_Summary!I803</f>
        <v/>
      </c>
      <c r="J813" s="482" t="str">
        <f>[1]K_Summary!J803</f>
        <v/>
      </c>
      <c r="K813" s="482" t="str">
        <f>[1]K_Summary!K803</f>
        <v/>
      </c>
      <c r="L813" s="482" t="str">
        <f>[1]K_Summary!L803</f>
        <v/>
      </c>
      <c r="M813" s="482" t="str">
        <f>[1]K_Summary!M803</f>
        <v/>
      </c>
      <c r="N813" s="626"/>
    </row>
    <row r="814" spans="2:14" ht="12.75" customHeight="1" x14ac:dyDescent="0.25">
      <c r="B814" s="284"/>
      <c r="C814" s="302"/>
      <c r="D814" s="302"/>
      <c r="E814" s="638" t="str">
        <f>[1]K_Summary!E804</f>
        <v>Претеглен емисионен фактор</v>
      </c>
      <c r="F814" s="638"/>
      <c r="G814" s="638"/>
      <c r="H814" s="639" t="str">
        <f>[1]K_Summary!H804</f>
        <v>t CO2 / TJ</v>
      </c>
      <c r="I814" s="484" t="str">
        <f>[1]K_Summary!I804</f>
        <v/>
      </c>
      <c r="J814" s="484" t="str">
        <f>[1]K_Summary!J804</f>
        <v/>
      </c>
      <c r="K814" s="484" t="str">
        <f>[1]K_Summary!K804</f>
        <v/>
      </c>
      <c r="L814" s="484" t="str">
        <f>[1]K_Summary!L804</f>
        <v/>
      </c>
      <c r="M814" s="484" t="str">
        <f>[1]K_Summary!M804</f>
        <v/>
      </c>
      <c r="N814" s="626"/>
    </row>
    <row r="815" spans="2:14" ht="12.75" customHeight="1" x14ac:dyDescent="0.25">
      <c r="B815" s="284"/>
      <c r="C815" s="302"/>
      <c r="D815" s="364"/>
      <c r="E815" s="625"/>
      <c r="F815" s="626"/>
      <c r="G815" s="626"/>
      <c r="H815" s="626"/>
      <c r="I815" s="640"/>
      <c r="J815" s="640"/>
      <c r="K815" s="640"/>
      <c r="L815" s="640"/>
      <c r="M815" s="640"/>
      <c r="N815" s="626"/>
    </row>
    <row r="816" spans="2:14" ht="12.75" customHeight="1" x14ac:dyDescent="0.25">
      <c r="B816" s="284"/>
      <c r="C816" s="302"/>
      <c r="D816" s="364"/>
      <c r="E816" s="641" t="str">
        <f>[1]K_Summary!E806</f>
        <v>Преки емисии</v>
      </c>
      <c r="F816" s="641"/>
      <c r="G816" s="641"/>
      <c r="H816" s="642" t="str">
        <f>[1]K_Summary!H806</f>
        <v>t CO2 / година</v>
      </c>
      <c r="I816" s="499" t="str">
        <f>[1]K_Summary!I806</f>
        <v/>
      </c>
      <c r="J816" s="499" t="str">
        <f>[1]K_Summary!J806</f>
        <v/>
      </c>
      <c r="K816" s="499" t="str">
        <f>[1]K_Summary!K806</f>
        <v/>
      </c>
      <c r="L816" s="499" t="str">
        <f>[1]K_Summary!L806</f>
        <v/>
      </c>
      <c r="M816" s="499" t="str">
        <f>[1]K_Summary!M806</f>
        <v/>
      </c>
      <c r="N816" s="626"/>
    </row>
    <row r="817" spans="2:14" ht="12.75" customHeight="1" x14ac:dyDescent="0.25">
      <c r="B817" s="284"/>
      <c r="C817" s="302"/>
      <c r="D817" s="364"/>
      <c r="E817" s="641" t="str">
        <f>[1]K_Summary!E807</f>
        <v>Други потоци горива и материали пораждащи емисии — 1</v>
      </c>
      <c r="F817" s="641"/>
      <c r="G817" s="641"/>
      <c r="H817" s="642" t="str">
        <f>[1]K_Summary!H807</f>
        <v>t CO2 / година</v>
      </c>
      <c r="I817" s="499" t="str">
        <f>[1]K_Summary!I807</f>
        <v/>
      </c>
      <c r="J817" s="499" t="str">
        <f>[1]K_Summary!J807</f>
        <v/>
      </c>
      <c r="K817" s="499" t="str">
        <f>[1]K_Summary!K807</f>
        <v/>
      </c>
      <c r="L817" s="499" t="str">
        <f>[1]K_Summary!L807</f>
        <v/>
      </c>
      <c r="M817" s="499" t="str">
        <f>[1]K_Summary!M807</f>
        <v/>
      </c>
      <c r="N817" s="626"/>
    </row>
    <row r="818" spans="2:14" ht="12.75" customHeight="1" x14ac:dyDescent="0.25">
      <c r="B818" s="284"/>
      <c r="C818" s="302"/>
      <c r="D818" s="364"/>
      <c r="E818" s="641" t="str">
        <f>[1]K_Summary!E808</f>
        <v>Други потоци горива и материали пораждащи емисии — 2</v>
      </c>
      <c r="F818" s="641"/>
      <c r="G818" s="641"/>
      <c r="H818" s="642" t="str">
        <f>[1]K_Summary!H808</f>
        <v>t CO2 / година</v>
      </c>
      <c r="I818" s="499" t="str">
        <f>[1]K_Summary!I808</f>
        <v/>
      </c>
      <c r="J818" s="499" t="str">
        <f>[1]K_Summary!J808</f>
        <v/>
      </c>
      <c r="K818" s="499" t="str">
        <f>[1]K_Summary!K808</f>
        <v/>
      </c>
      <c r="L818" s="499" t="str">
        <f>[1]K_Summary!L808</f>
        <v/>
      </c>
      <c r="M818" s="499" t="str">
        <f>[1]K_Summary!M808</f>
        <v/>
      </c>
      <c r="N818" s="626"/>
    </row>
    <row r="819" spans="2:14" ht="12.75" customHeight="1" x14ac:dyDescent="0.25">
      <c r="B819" s="284"/>
      <c r="C819" s="302"/>
      <c r="D819" s="302"/>
      <c r="E819" s="641" t="str">
        <f>[1]K_Summary!E809</f>
        <v>Получени или подадени парникови газове</v>
      </c>
      <c r="F819" s="641"/>
      <c r="G819" s="641"/>
      <c r="H819" s="642" t="str">
        <f>[1]K_Summary!H809</f>
        <v>t CO2e/година</v>
      </c>
      <c r="I819" s="499" t="str">
        <f>[1]K_Summary!I809</f>
        <v/>
      </c>
      <c r="J819" s="499" t="str">
        <f>[1]K_Summary!J809</f>
        <v/>
      </c>
      <c r="K819" s="499" t="str">
        <f>[1]K_Summary!K809</f>
        <v/>
      </c>
      <c r="L819" s="499" t="str">
        <f>[1]K_Summary!L809</f>
        <v/>
      </c>
      <c r="M819" s="499" t="str">
        <f>[1]K_Summary!M809</f>
        <v/>
      </c>
      <c r="N819" s="626"/>
    </row>
    <row r="820" spans="2:14" ht="12.75" customHeight="1" x14ac:dyDescent="0.25">
      <c r="B820" s="284"/>
      <c r="C820" s="302"/>
      <c r="D820" s="302"/>
      <c r="E820" s="626"/>
      <c r="F820" s="626"/>
      <c r="G820" s="626"/>
      <c r="H820" s="626"/>
      <c r="I820" s="640"/>
      <c r="J820" s="640"/>
      <c r="K820" s="640"/>
      <c r="L820" s="640"/>
      <c r="M820" s="640"/>
      <c r="N820" s="626"/>
    </row>
    <row r="821" spans="2:14" ht="12.75" customHeight="1" x14ac:dyDescent="0.25">
      <c r="B821" s="284"/>
      <c r="C821" s="302"/>
      <c r="D821" s="302"/>
      <c r="E821" s="636" t="str">
        <f>[1]K_Summary!E811</f>
        <v>Нетно количество получена топлинна енергия</v>
      </c>
      <c r="F821" s="636"/>
      <c r="G821" s="636"/>
      <c r="H821" s="637" t="str">
        <f>[1]K_Summary!H811</f>
        <v>TJ / година</v>
      </c>
      <c r="I821" s="482" t="str">
        <f>[1]K_Summary!I811</f>
        <v/>
      </c>
      <c r="J821" s="482" t="str">
        <f>[1]K_Summary!J811</f>
        <v/>
      </c>
      <c r="K821" s="482" t="str">
        <f>[1]K_Summary!K811</f>
        <v/>
      </c>
      <c r="L821" s="482" t="str">
        <f>[1]K_Summary!L811</f>
        <v/>
      </c>
      <c r="M821" s="482" t="str">
        <f>[1]K_Summary!M811</f>
        <v/>
      </c>
      <c r="N821" s="626"/>
    </row>
    <row r="822" spans="2:14" ht="12.75" customHeight="1" x14ac:dyDescent="0.25">
      <c r="B822" s="284"/>
      <c r="C822" s="302"/>
      <c r="D822" s="302"/>
      <c r="E822" s="638" t="str">
        <f>[1]K_Summary!E812</f>
        <v>Специфичен EF (получена топлинна енергия)</v>
      </c>
      <c r="F822" s="638"/>
      <c r="G822" s="638"/>
      <c r="H822" s="639" t="str">
        <f>[1]K_Summary!H812</f>
        <v>t CO2 / TJ</v>
      </c>
      <c r="I822" s="484" t="str">
        <f>[1]K_Summary!I812</f>
        <v/>
      </c>
      <c r="J822" s="484" t="str">
        <f>[1]K_Summary!J812</f>
        <v/>
      </c>
      <c r="K822" s="484" t="str">
        <f>[1]K_Summary!K812</f>
        <v/>
      </c>
      <c r="L822" s="484" t="str">
        <f>[1]K_Summary!L812</f>
        <v/>
      </c>
      <c r="M822" s="484" t="str">
        <f>[1]K_Summary!M812</f>
        <v/>
      </c>
      <c r="N822" s="626"/>
    </row>
    <row r="823" spans="2:14" ht="12.75" customHeight="1" x14ac:dyDescent="0.25">
      <c r="B823" s="284"/>
      <c r="C823" s="302"/>
      <c r="D823" s="302"/>
      <c r="E823" s="625"/>
      <c r="F823" s="626"/>
      <c r="G823" s="626"/>
      <c r="H823" s="626"/>
      <c r="I823" s="640"/>
      <c r="J823" s="640"/>
      <c r="K823" s="640"/>
      <c r="L823" s="640"/>
      <c r="M823" s="640"/>
      <c r="N823" s="626"/>
    </row>
    <row r="824" spans="2:14" ht="12.75" customHeight="1" x14ac:dyDescent="0.25">
      <c r="B824" s="284"/>
      <c r="C824" s="302"/>
      <c r="D824" s="302"/>
      <c r="E824" s="641" t="str">
        <f>[1]K_Summary!E814</f>
        <v>Нетно количество топлинна енергия, получена от пулп</v>
      </c>
      <c r="F824" s="641"/>
      <c r="G824" s="641"/>
      <c r="H824" s="642" t="str">
        <f>[1]K_Summary!H814</f>
        <v>TJ / година</v>
      </c>
      <c r="I824" s="480" t="str">
        <f>[1]K_Summary!I814</f>
        <v/>
      </c>
      <c r="J824" s="480" t="str">
        <f>[1]K_Summary!J814</f>
        <v/>
      </c>
      <c r="K824" s="480" t="str">
        <f>[1]K_Summary!K814</f>
        <v/>
      </c>
      <c r="L824" s="480" t="str">
        <f>[1]K_Summary!L814</f>
        <v/>
      </c>
      <c r="M824" s="480" t="str">
        <f>[1]K_Summary!M814</f>
        <v/>
      </c>
      <c r="N824" s="626"/>
    </row>
    <row r="825" spans="2:14" ht="12.75" customHeight="1" x14ac:dyDescent="0.25">
      <c r="B825" s="284"/>
      <c r="C825" s="302"/>
      <c r="D825" s="302"/>
      <c r="E825" s="641" t="str">
        <f>[1]K_Summary!E815</f>
        <v>Нетно количество топлинна енергия, получена от подинсталации за азотна киселина</v>
      </c>
      <c r="F825" s="641"/>
      <c r="G825" s="641"/>
      <c r="H825" s="642" t="str">
        <f>[1]K_Summary!H815</f>
        <v>TJ / година</v>
      </c>
      <c r="I825" s="480" t="str">
        <f>[1]K_Summary!I815</f>
        <v/>
      </c>
      <c r="J825" s="480" t="str">
        <f>[1]K_Summary!J815</f>
        <v/>
      </c>
      <c r="K825" s="480" t="str">
        <f>[1]K_Summary!K815</f>
        <v/>
      </c>
      <c r="L825" s="480" t="str">
        <f>[1]K_Summary!L815</f>
        <v/>
      </c>
      <c r="M825" s="480" t="str">
        <f>[1]K_Summary!M815</f>
        <v/>
      </c>
      <c r="N825" s="626"/>
    </row>
    <row r="826" spans="2:14" ht="12.75" customHeight="1" x14ac:dyDescent="0.25">
      <c r="B826" s="284"/>
      <c r="C826" s="302"/>
      <c r="D826" s="302"/>
      <c r="E826" s="625"/>
      <c r="F826" s="625"/>
      <c r="G826" s="625"/>
      <c r="H826" s="625"/>
      <c r="I826" s="640"/>
      <c r="J826" s="640"/>
      <c r="K826" s="640"/>
      <c r="L826" s="640"/>
      <c r="M826" s="640"/>
      <c r="N826" s="626"/>
    </row>
    <row r="827" spans="2:14" ht="12.75" customHeight="1" x14ac:dyDescent="0.25">
      <c r="B827" s="284"/>
      <c r="C827" s="302"/>
      <c r="D827" s="302"/>
      <c r="E827" s="636" t="str">
        <f>[1]K_Summary!E817</f>
        <v>Нетно количество подадена топлинна енергия</v>
      </c>
      <c r="F827" s="636"/>
      <c r="G827" s="636"/>
      <c r="H827" s="637" t="str">
        <f>[1]K_Summary!H817</f>
        <v>TJ / година</v>
      </c>
      <c r="I827" s="482" t="str">
        <f>[1]K_Summary!I817</f>
        <v/>
      </c>
      <c r="J827" s="482" t="str">
        <f>[1]K_Summary!J817</f>
        <v/>
      </c>
      <c r="K827" s="482" t="str">
        <f>[1]K_Summary!K817</f>
        <v/>
      </c>
      <c r="L827" s="482" t="str">
        <f>[1]K_Summary!L817</f>
        <v/>
      </c>
      <c r="M827" s="482" t="str">
        <f>[1]K_Summary!M817</f>
        <v/>
      </c>
      <c r="N827" s="626"/>
    </row>
    <row r="828" spans="2:14" ht="12.75" customHeight="1" x14ac:dyDescent="0.25">
      <c r="B828" s="284"/>
      <c r="C828" s="302"/>
      <c r="D828" s="302"/>
      <c r="E828" s="638" t="str">
        <f>[1]K_Summary!E818</f>
        <v>Специфичен EF (подадена топлинна енергия)</v>
      </c>
      <c r="F828" s="638"/>
      <c r="G828" s="638"/>
      <c r="H828" s="639" t="str">
        <f>[1]K_Summary!H818</f>
        <v>t CO2 / TJ</v>
      </c>
      <c r="I828" s="484" t="str">
        <f>[1]K_Summary!I818</f>
        <v/>
      </c>
      <c r="J828" s="484" t="str">
        <f>[1]K_Summary!J818</f>
        <v/>
      </c>
      <c r="K828" s="484" t="str">
        <f>[1]K_Summary!K818</f>
        <v/>
      </c>
      <c r="L828" s="484" t="str">
        <f>[1]K_Summary!L818</f>
        <v/>
      </c>
      <c r="M828" s="484" t="str">
        <f>[1]K_Summary!M818</f>
        <v/>
      </c>
      <c r="N828" s="626"/>
    </row>
    <row r="829" spans="2:14" ht="12.75" customHeight="1" x14ac:dyDescent="0.25">
      <c r="B829" s="284"/>
      <c r="C829" s="302"/>
      <c r="D829" s="302"/>
      <c r="E829" s="625"/>
      <c r="F829" s="625"/>
      <c r="G829" s="625"/>
      <c r="H829" s="625"/>
      <c r="I829" s="640"/>
      <c r="J829" s="640"/>
      <c r="K829" s="640"/>
      <c r="L829" s="640"/>
      <c r="M829" s="640"/>
      <c r="N829" s="626"/>
    </row>
    <row r="830" spans="2:14" ht="12.75" customHeight="1" x14ac:dyDescent="0.25">
      <c r="B830" s="284"/>
      <c r="C830" s="302"/>
      <c r="D830" s="302"/>
      <c r="E830" s="636" t="str">
        <f>[1]K_Summary!E820</f>
        <v>Произведен отпадъчен газ</v>
      </c>
      <c r="F830" s="636"/>
      <c r="G830" s="636"/>
      <c r="H830" s="637" t="str">
        <f>[1]K_Summary!H820</f>
        <v>TJ / година</v>
      </c>
      <c r="I830" s="482" t="str">
        <f>[1]K_Summary!I820</f>
        <v/>
      </c>
      <c r="J830" s="482" t="str">
        <f>[1]K_Summary!J820</f>
        <v/>
      </c>
      <c r="K830" s="482" t="str">
        <f>[1]K_Summary!K820</f>
        <v/>
      </c>
      <c r="L830" s="482" t="str">
        <f>[1]K_Summary!L820</f>
        <v/>
      </c>
      <c r="M830" s="482" t="str">
        <f>[1]K_Summary!M820</f>
        <v/>
      </c>
      <c r="N830" s="626"/>
    </row>
    <row r="831" spans="2:14" ht="12.75" customHeight="1" x14ac:dyDescent="0.25">
      <c r="B831" s="284"/>
      <c r="C831" s="302"/>
      <c r="D831" s="302"/>
      <c r="E831" s="638" t="str">
        <f>[1]K_Summary!E821</f>
        <v>Специфичен EF (произведен отпадъчен газ)</v>
      </c>
      <c r="F831" s="638"/>
      <c r="G831" s="638"/>
      <c r="H831" s="639" t="str">
        <f>[1]K_Summary!H821</f>
        <v>t CO2 / TJ</v>
      </c>
      <c r="I831" s="484" t="str">
        <f>[1]K_Summary!I821</f>
        <v/>
      </c>
      <c r="J831" s="484" t="str">
        <f>[1]K_Summary!J821</f>
        <v/>
      </c>
      <c r="K831" s="484" t="str">
        <f>[1]K_Summary!K821</f>
        <v/>
      </c>
      <c r="L831" s="484" t="str">
        <f>[1]K_Summary!L821</f>
        <v/>
      </c>
      <c r="M831" s="484" t="str">
        <f>[1]K_Summary!M821</f>
        <v/>
      </c>
      <c r="N831" s="626"/>
    </row>
    <row r="832" spans="2:14" ht="12.75" customHeight="1" x14ac:dyDescent="0.25">
      <c r="B832" s="284"/>
      <c r="C832" s="302"/>
      <c r="D832" s="302"/>
      <c r="E832" s="636" t="str">
        <f>[1]K_Summary!E822</f>
        <v>Консумиран отпадъчен газ</v>
      </c>
      <c r="F832" s="636"/>
      <c r="G832" s="636"/>
      <c r="H832" s="637" t="str">
        <f>[1]K_Summary!H822</f>
        <v>TJ / година</v>
      </c>
      <c r="I832" s="482" t="str">
        <f>[1]K_Summary!I822</f>
        <v/>
      </c>
      <c r="J832" s="482" t="str">
        <f>[1]K_Summary!J822</f>
        <v/>
      </c>
      <c r="K832" s="482" t="str">
        <f>[1]K_Summary!K822</f>
        <v/>
      </c>
      <c r="L832" s="482" t="str">
        <f>[1]K_Summary!L822</f>
        <v/>
      </c>
      <c r="M832" s="482" t="str">
        <f>[1]K_Summary!M822</f>
        <v/>
      </c>
      <c r="N832" s="626"/>
    </row>
    <row r="833" spans="2:14" ht="12.75" customHeight="1" x14ac:dyDescent="0.25">
      <c r="B833" s="284"/>
      <c r="C833" s="302"/>
      <c r="D833" s="302"/>
      <c r="E833" s="638" t="str">
        <f>[1]K_Summary!E823</f>
        <v>Специфичен EF (консумиран отпадъчен газ)</v>
      </c>
      <c r="F833" s="638"/>
      <c r="G833" s="638"/>
      <c r="H833" s="639" t="str">
        <f>[1]K_Summary!H823</f>
        <v>t CO2 / TJ</v>
      </c>
      <c r="I833" s="484" t="str">
        <f>[1]K_Summary!I823</f>
        <v/>
      </c>
      <c r="J833" s="484" t="str">
        <f>[1]K_Summary!J823</f>
        <v/>
      </c>
      <c r="K833" s="484" t="str">
        <f>[1]K_Summary!K823</f>
        <v/>
      </c>
      <c r="L833" s="484" t="str">
        <f>[1]K_Summary!L823</f>
        <v/>
      </c>
      <c r="M833" s="484" t="str">
        <f>[1]K_Summary!M823</f>
        <v/>
      </c>
      <c r="N833" s="626"/>
    </row>
    <row r="834" spans="2:14" ht="12.75" customHeight="1" x14ac:dyDescent="0.25">
      <c r="B834" s="284"/>
      <c r="C834" s="302"/>
      <c r="D834" s="302"/>
      <c r="E834" s="636" t="str">
        <f>[1]K_Summary!E824</f>
        <v>Изгорен във факел отпадъчен газ</v>
      </c>
      <c r="F834" s="636"/>
      <c r="G834" s="636"/>
      <c r="H834" s="637" t="str">
        <f>[1]K_Summary!H824</f>
        <v>TJ / година</v>
      </c>
      <c r="I834" s="482" t="str">
        <f>[1]K_Summary!I824</f>
        <v/>
      </c>
      <c r="J834" s="482" t="str">
        <f>[1]K_Summary!J824</f>
        <v/>
      </c>
      <c r="K834" s="482" t="str">
        <f>[1]K_Summary!K824</f>
        <v/>
      </c>
      <c r="L834" s="482" t="str">
        <f>[1]K_Summary!L824</f>
        <v/>
      </c>
      <c r="M834" s="482" t="str">
        <f>[1]K_Summary!M824</f>
        <v/>
      </c>
      <c r="N834" s="626"/>
    </row>
    <row r="835" spans="2:14" ht="12.75" customHeight="1" x14ac:dyDescent="0.25">
      <c r="B835" s="284"/>
      <c r="C835" s="302"/>
      <c r="D835" s="302"/>
      <c r="E835" s="638" t="str">
        <f>[1]K_Summary!E825</f>
        <v>Специфичен EF (изгорен във факел отпадъчен газ)</v>
      </c>
      <c r="F835" s="638"/>
      <c r="G835" s="638"/>
      <c r="H835" s="639" t="str">
        <f>[1]K_Summary!H825</f>
        <v>t CO2 / TJ</v>
      </c>
      <c r="I835" s="484" t="str">
        <f>[1]K_Summary!I825</f>
        <v/>
      </c>
      <c r="J835" s="484" t="str">
        <f>[1]K_Summary!J825</f>
        <v/>
      </c>
      <c r="K835" s="484" t="str">
        <f>[1]K_Summary!K825</f>
        <v/>
      </c>
      <c r="L835" s="484" t="str">
        <f>[1]K_Summary!L825</f>
        <v/>
      </c>
      <c r="M835" s="484" t="str">
        <f>[1]K_Summary!M825</f>
        <v/>
      </c>
      <c r="N835" s="626"/>
    </row>
    <row r="836" spans="2:14" ht="12.75" customHeight="1" x14ac:dyDescent="0.25">
      <c r="B836" s="284"/>
      <c r="C836" s="302"/>
      <c r="D836" s="302"/>
      <c r="E836" s="636" t="str">
        <f>[1]K_Summary!E826</f>
        <v>Получен отпадъчен газ</v>
      </c>
      <c r="F836" s="636"/>
      <c r="G836" s="636"/>
      <c r="H836" s="637" t="str">
        <f>[1]K_Summary!H826</f>
        <v>TJ / година</v>
      </c>
      <c r="I836" s="482" t="str">
        <f>[1]K_Summary!I826</f>
        <v/>
      </c>
      <c r="J836" s="482" t="str">
        <f>[1]K_Summary!J826</f>
        <v/>
      </c>
      <c r="K836" s="482" t="str">
        <f>[1]K_Summary!K826</f>
        <v/>
      </c>
      <c r="L836" s="482" t="str">
        <f>[1]K_Summary!L826</f>
        <v/>
      </c>
      <c r="M836" s="482" t="str">
        <f>[1]K_Summary!M826</f>
        <v/>
      </c>
      <c r="N836" s="626"/>
    </row>
    <row r="837" spans="2:14" ht="12.75" customHeight="1" x14ac:dyDescent="0.25">
      <c r="B837" s="284"/>
      <c r="C837" s="302"/>
      <c r="D837" s="302"/>
      <c r="E837" s="638" t="str">
        <f>[1]K_Summary!E827</f>
        <v>Специфичен EF (получен отпадъчен газ)</v>
      </c>
      <c r="F837" s="638"/>
      <c r="G837" s="638"/>
      <c r="H837" s="639" t="str">
        <f>[1]K_Summary!H827</f>
        <v>t CO2 / TJ</v>
      </c>
      <c r="I837" s="484" t="str">
        <f>[1]K_Summary!I827</f>
        <v/>
      </c>
      <c r="J837" s="484" t="str">
        <f>[1]K_Summary!J827</f>
        <v/>
      </c>
      <c r="K837" s="484" t="str">
        <f>[1]K_Summary!K827</f>
        <v/>
      </c>
      <c r="L837" s="484" t="str">
        <f>[1]K_Summary!L827</f>
        <v/>
      </c>
      <c r="M837" s="484" t="str">
        <f>[1]K_Summary!M827</f>
        <v/>
      </c>
      <c r="N837" s="626"/>
    </row>
    <row r="838" spans="2:14" ht="12.75" customHeight="1" x14ac:dyDescent="0.25">
      <c r="B838" s="284"/>
      <c r="C838" s="302"/>
      <c r="D838" s="302"/>
      <c r="E838" s="636" t="str">
        <f>[1]K_Summary!E828</f>
        <v>Подаден отпадъчен газ</v>
      </c>
      <c r="F838" s="636"/>
      <c r="G838" s="636"/>
      <c r="H838" s="637" t="str">
        <f>[1]K_Summary!H828</f>
        <v>TJ / година</v>
      </c>
      <c r="I838" s="482" t="str">
        <f>[1]K_Summary!I828</f>
        <v/>
      </c>
      <c r="J838" s="482" t="str">
        <f>[1]K_Summary!J828</f>
        <v/>
      </c>
      <c r="K838" s="482" t="str">
        <f>[1]K_Summary!K828</f>
        <v/>
      </c>
      <c r="L838" s="482" t="str">
        <f>[1]K_Summary!L828</f>
        <v/>
      </c>
      <c r="M838" s="482" t="str">
        <f>[1]K_Summary!M828</f>
        <v/>
      </c>
      <c r="N838" s="626"/>
    </row>
    <row r="839" spans="2:14" ht="12.75" customHeight="1" x14ac:dyDescent="0.25">
      <c r="B839" s="284"/>
      <c r="C839" s="302"/>
      <c r="D839" s="302"/>
      <c r="E839" s="638" t="str">
        <f>[1]K_Summary!E829</f>
        <v>Специфичен EF (подаден отпадъчен газ)</v>
      </c>
      <c r="F839" s="638"/>
      <c r="G839" s="638"/>
      <c r="H839" s="639" t="str">
        <f>[1]K_Summary!H829</f>
        <v>t CO2 / TJ</v>
      </c>
      <c r="I839" s="484" t="str">
        <f>[1]K_Summary!I829</f>
        <v/>
      </c>
      <c r="J839" s="484" t="str">
        <f>[1]K_Summary!J829</f>
        <v/>
      </c>
      <c r="K839" s="484" t="str">
        <f>[1]K_Summary!K829</f>
        <v/>
      </c>
      <c r="L839" s="484" t="str">
        <f>[1]K_Summary!L829</f>
        <v/>
      </c>
      <c r="M839" s="484" t="str">
        <f>[1]K_Summary!M829</f>
        <v/>
      </c>
      <c r="N839" s="626"/>
    </row>
    <row r="840" spans="2:14" ht="12.75" customHeight="1" x14ac:dyDescent="0.25">
      <c r="B840" s="284"/>
      <c r="C840" s="302"/>
      <c r="D840" s="302"/>
      <c r="E840" s="625"/>
      <c r="F840" s="625"/>
      <c r="G840" s="625"/>
      <c r="H840" s="625"/>
      <c r="I840" s="640"/>
      <c r="J840" s="640"/>
      <c r="K840" s="640"/>
      <c r="L840" s="640"/>
      <c r="M840" s="640"/>
      <c r="N840" s="626"/>
    </row>
    <row r="841" spans="2:14" ht="12.75" customHeight="1" x14ac:dyDescent="0.25">
      <c r="B841" s="284"/>
      <c r="C841" s="302"/>
      <c r="D841" s="302"/>
      <c r="E841" s="641" t="str">
        <f>[1]K_Summary!E831</f>
        <v>Произведена електроенергия</v>
      </c>
      <c r="F841" s="641"/>
      <c r="G841" s="641"/>
      <c r="H841" s="642" t="str">
        <f>[1]K_Summary!H831</f>
        <v>MWh / година</v>
      </c>
      <c r="I841" s="480" t="str">
        <f>[1]K_Summary!I831</f>
        <v/>
      </c>
      <c r="J841" s="480" t="str">
        <f>[1]K_Summary!J831</f>
        <v/>
      </c>
      <c r="K841" s="480" t="str">
        <f>[1]K_Summary!K831</f>
        <v/>
      </c>
      <c r="L841" s="480" t="str">
        <f>[1]K_Summary!L831</f>
        <v/>
      </c>
      <c r="M841" s="480" t="str">
        <f>[1]K_Summary!M831</f>
        <v/>
      </c>
      <c r="N841" s="626"/>
    </row>
    <row r="842" spans="2:14" ht="12.75" customHeight="1" x14ac:dyDescent="0.25">
      <c r="B842" s="284"/>
      <c r="C842" s="302"/>
      <c r="D842" s="302"/>
      <c r="E842" s="625"/>
      <c r="F842" s="625"/>
      <c r="G842" s="625"/>
      <c r="H842" s="625"/>
      <c r="I842" s="640"/>
      <c r="J842" s="640"/>
      <c r="K842" s="640"/>
      <c r="L842" s="640"/>
      <c r="M842" s="640"/>
      <c r="N842" s="626"/>
    </row>
    <row r="843" spans="2:14" ht="12.75" customHeight="1" x14ac:dyDescent="0.25">
      <c r="B843" s="284"/>
      <c r="C843" s="302"/>
      <c r="D843" s="302"/>
      <c r="E843" s="643" t="str">
        <f>[1]K_Summary!E833</f>
        <v>Междинно получаване:</v>
      </c>
      <c r="F843" s="625"/>
      <c r="G843" s="625"/>
      <c r="H843" s="625"/>
      <c r="I843" s="640"/>
      <c r="J843" s="640"/>
      <c r="K843" s="640"/>
      <c r="L843" s="640"/>
      <c r="M843" s="640"/>
      <c r="N843" s="626"/>
    </row>
    <row r="844" spans="2:14" ht="12.75" customHeight="1" x14ac:dyDescent="0.25">
      <c r="B844" s="284"/>
      <c r="C844" s="302"/>
      <c r="D844" s="302"/>
      <c r="E844" s="381" t="str">
        <f>[1]K_Summary!E834</f>
        <v/>
      </c>
      <c r="F844" s="381"/>
      <c r="G844" s="381"/>
      <c r="H844" s="642" t="str">
        <f>[1]K_Summary!H834</f>
        <v>тона</v>
      </c>
      <c r="I844" s="499" t="str">
        <f>[1]K_Summary!I834</f>
        <v/>
      </c>
      <c r="J844" s="499" t="str">
        <f>[1]K_Summary!J834</f>
        <v/>
      </c>
      <c r="K844" s="499" t="str">
        <f>[1]K_Summary!K834</f>
        <v/>
      </c>
      <c r="L844" s="499" t="str">
        <f>[1]K_Summary!L834</f>
        <v/>
      </c>
      <c r="M844" s="499" t="str">
        <f>[1]K_Summary!M834</f>
        <v/>
      </c>
      <c r="N844" s="626"/>
    </row>
    <row r="845" spans="2:14" ht="12.75" customHeight="1" x14ac:dyDescent="0.25">
      <c r="B845" s="284"/>
      <c r="C845" s="302"/>
      <c r="D845" s="302"/>
      <c r="E845" s="381" t="str">
        <f>[1]K_Summary!E835</f>
        <v/>
      </c>
      <c r="F845" s="381"/>
      <c r="G845" s="381"/>
      <c r="H845" s="642" t="str">
        <f>[1]K_Summary!H835</f>
        <v>тона</v>
      </c>
      <c r="I845" s="499" t="str">
        <f>[1]K_Summary!I835</f>
        <v/>
      </c>
      <c r="J845" s="499" t="str">
        <f>[1]K_Summary!J835</f>
        <v/>
      </c>
      <c r="K845" s="499" t="str">
        <f>[1]K_Summary!K835</f>
        <v/>
      </c>
      <c r="L845" s="499" t="str">
        <f>[1]K_Summary!L835</f>
        <v/>
      </c>
      <c r="M845" s="499" t="str">
        <f>[1]K_Summary!M835</f>
        <v/>
      </c>
      <c r="N845" s="626"/>
    </row>
    <row r="846" spans="2:14" ht="12.75" customHeight="1" x14ac:dyDescent="0.25">
      <c r="B846" s="284"/>
      <c r="C846" s="302"/>
      <c r="D846" s="302"/>
      <c r="E846" s="643" t="str">
        <f>[1]K_Summary!E836</f>
        <v>Междинно подаване:</v>
      </c>
      <c r="F846" s="625"/>
      <c r="G846" s="625"/>
      <c r="H846" s="625"/>
      <c r="I846" s="644"/>
      <c r="J846" s="644"/>
      <c r="K846" s="644"/>
      <c r="L846" s="644"/>
      <c r="M846" s="644"/>
      <c r="N846" s="626"/>
    </row>
    <row r="847" spans="2:14" ht="12.75" customHeight="1" x14ac:dyDescent="0.25">
      <c r="B847" s="284"/>
      <c r="C847" s="302"/>
      <c r="D847" s="302"/>
      <c r="E847" s="381" t="str">
        <f>[1]K_Summary!E837</f>
        <v/>
      </c>
      <c r="F847" s="381"/>
      <c r="G847" s="381"/>
      <c r="H847" s="642" t="str">
        <f>[1]K_Summary!H837</f>
        <v>тона</v>
      </c>
      <c r="I847" s="499" t="str">
        <f>[1]K_Summary!I837</f>
        <v/>
      </c>
      <c r="J847" s="499" t="str">
        <f>[1]K_Summary!J837</f>
        <v/>
      </c>
      <c r="K847" s="499" t="str">
        <f>[1]K_Summary!K837</f>
        <v/>
      </c>
      <c r="L847" s="499" t="str">
        <f>[1]K_Summary!L837</f>
        <v/>
      </c>
      <c r="M847" s="499" t="str">
        <f>[1]K_Summary!M837</f>
        <v/>
      </c>
      <c r="N847" s="626"/>
    </row>
    <row r="848" spans="2:14" ht="12.75" customHeight="1" x14ac:dyDescent="0.25">
      <c r="B848" s="284"/>
      <c r="C848" s="302"/>
      <c r="D848" s="302"/>
      <c r="E848" s="381" t="str">
        <f>[1]K_Summary!E838</f>
        <v/>
      </c>
      <c r="F848" s="381"/>
      <c r="G848" s="381"/>
      <c r="H848" s="642" t="str">
        <f>[1]K_Summary!H838</f>
        <v>тона</v>
      </c>
      <c r="I848" s="499" t="str">
        <f>[1]K_Summary!I838</f>
        <v/>
      </c>
      <c r="J848" s="499" t="str">
        <f>[1]K_Summary!J838</f>
        <v/>
      </c>
      <c r="K848" s="499" t="str">
        <f>[1]K_Summary!K838</f>
        <v/>
      </c>
      <c r="L848" s="499" t="str">
        <f>[1]K_Summary!L838</f>
        <v/>
      </c>
      <c r="M848" s="499" t="str">
        <f>[1]K_Summary!M838</f>
        <v/>
      </c>
      <c r="N848" s="626"/>
    </row>
    <row r="849" spans="2:14" ht="12.75" customHeight="1" x14ac:dyDescent="0.25">
      <c r="B849" s="284"/>
      <c r="C849" s="302"/>
      <c r="D849" s="302"/>
      <c r="E849" s="625"/>
      <c r="F849" s="625"/>
      <c r="G849" s="625"/>
      <c r="H849" s="625"/>
      <c r="I849" s="626"/>
      <c r="J849" s="626"/>
      <c r="K849" s="626"/>
      <c r="L849" s="626"/>
      <c r="M849" s="626"/>
      <c r="N849" s="626"/>
    </row>
    <row r="850" spans="2:14" ht="12.75" customHeight="1" x14ac:dyDescent="0.25">
      <c r="B850" s="284"/>
      <c r="C850" s="302"/>
      <c r="D850" s="302"/>
      <c r="E850" s="645" t="str">
        <f>[1]K_Summary!E840</f>
        <v>Корекции за актуализиране на показателя при специфичен показател, когато е приложимо</v>
      </c>
      <c r="F850" s="645"/>
      <c r="G850" s="645"/>
      <c r="H850" s="645"/>
      <c r="I850" s="645"/>
      <c r="J850" s="645"/>
      <c r="K850" s="645"/>
      <c r="L850" s="645"/>
      <c r="M850" s="645"/>
      <c r="N850" s="626"/>
    </row>
    <row r="851" spans="2:14" ht="12.75" customHeight="1" x14ac:dyDescent="0.25">
      <c r="B851" s="284"/>
      <c r="C851" s="302"/>
      <c r="D851" s="302"/>
      <c r="E851" s="641" t="str">
        <f>[1]K_Summary!E841</f>
        <v>Общо количество произведен пулп</v>
      </c>
      <c r="F851" s="641"/>
      <c r="G851" s="641"/>
      <c r="H851" s="642" t="str">
        <f>[1]K_Summary!H841</f>
        <v>тона</v>
      </c>
      <c r="I851" s="499" t="str">
        <f>[1]K_Summary!I841</f>
        <v/>
      </c>
      <c r="J851" s="499" t="str">
        <f>[1]K_Summary!J841</f>
        <v/>
      </c>
      <c r="K851" s="499" t="str">
        <f>[1]K_Summary!K841</f>
        <v/>
      </c>
      <c r="L851" s="499" t="str">
        <f>[1]K_Summary!L841</f>
        <v/>
      </c>
      <c r="M851" s="499" t="str">
        <f>[1]K_Summary!M841</f>
        <v/>
      </c>
      <c r="N851" s="626"/>
    </row>
    <row r="852" spans="2:14" ht="12.75" customHeight="1" x14ac:dyDescent="0.25">
      <c r="B852" s="284"/>
      <c r="C852" s="302"/>
      <c r="D852" s="302"/>
      <c r="E852" s="625"/>
      <c r="F852" s="625"/>
      <c r="G852" s="625"/>
      <c r="H852" s="625"/>
      <c r="I852" s="644"/>
      <c r="J852" s="644"/>
      <c r="K852" s="644"/>
      <c r="L852" s="644"/>
      <c r="M852" s="644"/>
      <c r="N852" s="626"/>
    </row>
    <row r="853" spans="2:14" ht="12.75" customHeight="1" x14ac:dyDescent="0.25">
      <c r="B853" s="284"/>
      <c r="C853" s="302"/>
      <c r="D853" s="302"/>
      <c r="E853" s="641" t="str">
        <f>[1]K_Summary!E843</f>
        <v>Производство на водород (действително + теоретично)</v>
      </c>
      <c r="F853" s="641"/>
      <c r="G853" s="641"/>
      <c r="H853" s="642" t="str">
        <f>[1]K_Summary!H843</f>
        <v>тона</v>
      </c>
      <c r="I853" s="499" t="str">
        <f>[1]K_Summary!I843</f>
        <v/>
      </c>
      <c r="J853" s="499" t="str">
        <f>[1]K_Summary!J843</f>
        <v/>
      </c>
      <c r="K853" s="499" t="str">
        <f>[1]K_Summary!K843</f>
        <v/>
      </c>
      <c r="L853" s="499" t="str">
        <f>[1]K_Summary!L843</f>
        <v/>
      </c>
      <c r="M853" s="499" t="str">
        <f>[1]K_Summary!M843</f>
        <v/>
      </c>
      <c r="N853" s="626"/>
    </row>
    <row r="854" spans="2:14" ht="12.75" customHeight="1" x14ac:dyDescent="0.25">
      <c r="B854" s="284"/>
      <c r="C854" s="302"/>
      <c r="D854" s="302"/>
      <c r="E854" s="641" t="str">
        <f>[1]K_Summary!E844</f>
        <v>Емисии във връзка с водород</v>
      </c>
      <c r="F854" s="641"/>
      <c r="G854" s="641"/>
      <c r="H854" s="642" t="str">
        <f>[1]K_Summary!H844</f>
        <v>t CO2 / година</v>
      </c>
      <c r="I854" s="499" t="str">
        <f>[1]K_Summary!I844</f>
        <v/>
      </c>
      <c r="J854" s="499" t="str">
        <f>[1]K_Summary!J844</f>
        <v/>
      </c>
      <c r="K854" s="499" t="str">
        <f>[1]K_Summary!K844</f>
        <v/>
      </c>
      <c r="L854" s="499" t="str">
        <f>[1]K_Summary!L844</f>
        <v/>
      </c>
      <c r="M854" s="499" t="str">
        <f>[1]K_Summary!M844</f>
        <v/>
      </c>
      <c r="N854" s="626"/>
    </row>
    <row r="855" spans="2:14" ht="12.75" customHeight="1" x14ac:dyDescent="0.25">
      <c r="B855" s="284"/>
      <c r="C855" s="302"/>
      <c r="D855" s="302"/>
      <c r="E855" s="625"/>
      <c r="F855" s="625"/>
      <c r="G855" s="625"/>
      <c r="H855" s="625"/>
      <c r="I855" s="644"/>
      <c r="J855" s="644"/>
      <c r="K855" s="644"/>
      <c r="L855" s="644"/>
      <c r="M855" s="644"/>
      <c r="N855" s="626"/>
    </row>
    <row r="856" spans="2:14" ht="12.75" customHeight="1" x14ac:dyDescent="0.25">
      <c r="B856" s="284"/>
      <c r="C856" s="302"/>
      <c r="D856" s="302"/>
      <c r="E856" s="641" t="str">
        <f>[1]K_Summary!E846</f>
        <v>Корекция на емисиите във връзка с HVC</v>
      </c>
      <c r="F856" s="641"/>
      <c r="G856" s="641"/>
      <c r="H856" s="642" t="str">
        <f>[1]K_Summary!H846</f>
        <v>t CO2 / година</v>
      </c>
      <c r="I856" s="499" t="str">
        <f>[1]K_Summary!I846</f>
        <v/>
      </c>
      <c r="J856" s="499" t="str">
        <f>[1]K_Summary!J846</f>
        <v/>
      </c>
      <c r="K856" s="499" t="str">
        <f>[1]K_Summary!K846</f>
        <v/>
      </c>
      <c r="L856" s="499" t="str">
        <f>[1]K_Summary!L846</f>
        <v/>
      </c>
      <c r="M856" s="499" t="str">
        <f>[1]K_Summary!M846</f>
        <v/>
      </c>
      <c r="N856" s="626"/>
    </row>
    <row r="857" spans="2:14" ht="12.75" customHeight="1" x14ac:dyDescent="0.25">
      <c r="B857" s="284"/>
      <c r="C857" s="302"/>
      <c r="D857" s="302"/>
      <c r="E857" s="625"/>
      <c r="F857" s="625"/>
      <c r="G857" s="625"/>
      <c r="H857" s="625"/>
      <c r="I857" s="644"/>
      <c r="J857" s="644"/>
      <c r="K857" s="644"/>
      <c r="L857" s="644"/>
      <c r="M857" s="644"/>
      <c r="N857" s="626"/>
    </row>
    <row r="858" spans="2:14" ht="12.75" customHeight="1" x14ac:dyDescent="0.25">
      <c r="B858" s="284"/>
      <c r="C858" s="302"/>
      <c r="D858" s="302"/>
      <c r="E858" s="641" t="str">
        <f>[1]K_Summary!E848</f>
        <v>Корекция на емисиите във връзка с VCM</v>
      </c>
      <c r="F858" s="641"/>
      <c r="G858" s="641"/>
      <c r="H858" s="642" t="str">
        <f>[1]K_Summary!H848</f>
        <v>t CO2 / година</v>
      </c>
      <c r="I858" s="499" t="str">
        <f>[1]K_Summary!I848</f>
        <v/>
      </c>
      <c r="J858" s="499" t="str">
        <f>[1]K_Summary!J848</f>
        <v/>
      </c>
      <c r="K858" s="499" t="str">
        <f>[1]K_Summary!K848</f>
        <v/>
      </c>
      <c r="L858" s="499" t="str">
        <f>[1]K_Summary!L848</f>
        <v/>
      </c>
      <c r="M858" s="499" t="str">
        <f>[1]K_Summary!M848</f>
        <v/>
      </c>
      <c r="N858" s="626"/>
    </row>
    <row r="859" spans="2:14" ht="12.75" customHeight="1" x14ac:dyDescent="0.25">
      <c r="B859" s="284"/>
      <c r="C859" s="302"/>
      <c r="D859" s="302"/>
      <c r="E859" s="625"/>
      <c r="F859" s="625"/>
      <c r="G859" s="625"/>
      <c r="H859" s="625"/>
      <c r="I859" s="626"/>
      <c r="J859" s="626"/>
      <c r="K859" s="626"/>
      <c r="L859" s="626"/>
      <c r="M859" s="626"/>
      <c r="N859" s="626"/>
    </row>
    <row r="860" spans="2:14" ht="12.75" customHeight="1" thickBot="1" x14ac:dyDescent="0.3">
      <c r="B860" s="284"/>
      <c r="C860" s="302"/>
      <c r="D860" s="302"/>
      <c r="E860" s="646"/>
      <c r="F860" s="364"/>
      <c r="G860" s="364"/>
      <c r="H860" s="364"/>
      <c r="I860" s="364"/>
      <c r="J860" s="364"/>
      <c r="K860" s="364"/>
      <c r="L860" s="364"/>
      <c r="M860" s="364"/>
      <c r="N860" s="364"/>
    </row>
    <row r="861" spans="2:14" ht="12.75" customHeight="1" x14ac:dyDescent="0.25">
      <c r="B861" s="284"/>
      <c r="C861" s="581"/>
      <c r="D861" s="581"/>
      <c r="E861" s="581"/>
      <c r="F861" s="581"/>
      <c r="G861" s="581"/>
      <c r="H861" s="581"/>
      <c r="I861" s="581"/>
      <c r="J861" s="581"/>
      <c r="K861" s="581"/>
      <c r="L861" s="581"/>
      <c r="M861" s="581"/>
      <c r="N861" s="581"/>
    </row>
    <row r="862" spans="2:14" ht="12.75" customHeight="1" x14ac:dyDescent="0.3">
      <c r="B862" s="284"/>
      <c r="C862" s="357">
        <f>[1]K_Summary!C852</f>
        <v>6</v>
      </c>
      <c r="D862" s="590" t="str">
        <f>[1]K_Summary!D852</f>
        <v>Подинсталация с продуктов показател 6:</v>
      </c>
      <c r="E862" s="590"/>
      <c r="F862" s="590"/>
      <c r="G862" s="590"/>
      <c r="H862" s="591"/>
      <c r="I862" s="592" t="str">
        <f>[1]K_Summary!I852</f>
        <v/>
      </c>
      <c r="J862" s="593"/>
      <c r="K862" s="593"/>
      <c r="L862" s="593"/>
      <c r="M862" s="593"/>
      <c r="N862" s="594"/>
    </row>
    <row r="863" spans="2:14" ht="12.75" customHeight="1" thickBot="1" x14ac:dyDescent="0.3">
      <c r="B863" s="284"/>
      <c r="C863" s="302"/>
      <c r="D863" s="302"/>
      <c r="E863" s="302"/>
      <c r="F863" s="302"/>
      <c r="G863" s="302"/>
      <c r="H863" s="302"/>
      <c r="I863" s="302"/>
      <c r="J863" s="302"/>
      <c r="K863" s="302"/>
      <c r="L863" s="302"/>
      <c r="M863" s="302"/>
      <c r="N863" s="302"/>
    </row>
    <row r="864" spans="2:14" ht="12.75" customHeight="1" x14ac:dyDescent="0.25">
      <c r="B864" s="284"/>
      <c r="C864" s="302"/>
      <c r="D864" s="302"/>
      <c r="E864" s="302"/>
      <c r="F864" s="302"/>
      <c r="G864" s="302"/>
      <c r="H864" s="595" t="str">
        <f>[1]K_Summary!H854</f>
        <v>Риск от ИВЕ</v>
      </c>
      <c r="I864" s="302"/>
      <c r="J864" s="596" t="str">
        <f>[1]K_Summary!J854</f>
        <v>В/Е</v>
      </c>
      <c r="K864" s="596" t="str">
        <f>[1]K_Summary!K854</f>
        <v>№ на п-л</v>
      </c>
      <c r="L864" s="597" t="str">
        <f>[1]K_Summary!L854</f>
        <v>15(7).3?</v>
      </c>
      <c r="M864" s="598" t="str">
        <f>[1]K_Summary!M854</f>
        <v>Стойност на показател (мин/макс/действ.)</v>
      </c>
      <c r="N864" s="599"/>
    </row>
    <row r="865" spans="2:19" ht="12.75" customHeight="1" x14ac:dyDescent="0.25">
      <c r="B865" s="284"/>
      <c r="C865" s="302"/>
      <c r="D865" s="302"/>
      <c r="E865" s="361" t="str">
        <f>[1]K_Summary!E855</f>
        <v/>
      </c>
      <c r="F865" s="373"/>
      <c r="G865" s="362"/>
      <c r="H865" s="600" t="str">
        <f>[1]K_Summary!H855</f>
        <v>Не е приложимо</v>
      </c>
      <c r="I865" s="302"/>
      <c r="J865" s="601" t="str">
        <f>[1]K_Summary!J855</f>
        <v>Не е приложимо</v>
      </c>
      <c r="K865" s="406" t="str">
        <f>[1]K_Summary!K855</f>
        <v>Не е приложимо</v>
      </c>
      <c r="L865" s="602" t="str">
        <f>[1]K_Summary!L855</f>
        <v/>
      </c>
      <c r="M865" s="603" t="str">
        <f>[1]K_Summary!M855</f>
        <v>Не е приложимо</v>
      </c>
      <c r="N865" s="604" t="str">
        <f>[1]K_Summary!N855</f>
        <v>Квота за емисии/тона</v>
      </c>
    </row>
    <row r="866" spans="2:19" ht="12.75" customHeight="1" x14ac:dyDescent="0.25">
      <c r="B866" s="284"/>
      <c r="C866" s="302"/>
      <c r="D866" s="302"/>
      <c r="E866" s="364"/>
      <c r="F866" s="364"/>
      <c r="G866" s="596" t="str">
        <f>[1]K_Summary!G856</f>
        <v>топл. ен. извън СТЕ</v>
      </c>
      <c r="H866" s="595" t="str">
        <f>[1]K_Summary!H856</f>
        <v>CBAM</v>
      </c>
      <c r="I866" s="597" t="str">
        <f>[1]K_Summary!I856</f>
        <v>WGflare</v>
      </c>
      <c r="J866" s="596" t="str">
        <f>[1]K_Summary!J856</f>
        <v>HVC-Corr</v>
      </c>
      <c r="K866" s="596" t="str">
        <f>[1]K_Summary!K856</f>
        <v>VCM-F</v>
      </c>
      <c r="L866" s="302"/>
      <c r="M866" s="603" t="str">
        <f>[1]K_Summary!M856</f>
        <v>Не е приложимо</v>
      </c>
      <c r="N866" s="604" t="str">
        <f>[1]K_Summary!N856</f>
        <v>Квота за емисии/тона</v>
      </c>
      <c r="R866" s="605" t="str">
        <f>[1]K_Summary!R856</f>
        <v>No. BM</v>
      </c>
      <c r="S866" s="606" t="str">
        <f>[1]K_Summary!S856</f>
        <v>Не е приложимо</v>
      </c>
    </row>
    <row r="867" spans="2:19" ht="12.75" customHeight="1" thickBot="1" x14ac:dyDescent="0.3">
      <c r="B867" s="284"/>
      <c r="C867" s="302"/>
      <c r="D867" s="302"/>
      <c r="E867" s="607" t="str">
        <f>[1]K_Summary!E857</f>
        <v>Специфични коефициенти:</v>
      </c>
      <c r="F867" s="607"/>
      <c r="G867" s="406" t="str">
        <f>[1]K_Summary!G857</f>
        <v/>
      </c>
      <c r="H867" s="600" t="str">
        <f>[1]K_Summary!H857</f>
        <v>Не е приложимо</v>
      </c>
      <c r="I867" s="608" t="str">
        <f>[1]K_Summary!I857</f>
        <v/>
      </c>
      <c r="J867" s="406" t="str">
        <f>[1]K_Summary!J857</f>
        <v/>
      </c>
      <c r="K867" s="609" t="str">
        <f>[1]K_Summary!K857</f>
        <v/>
      </c>
      <c r="L867" s="302"/>
      <c r="M867" s="610" t="str">
        <f>[1]K_Summary!M857</f>
        <v>Не е приложимо</v>
      </c>
      <c r="N867" s="611" t="str">
        <f>[1]K_Summary!N857</f>
        <v>Квота за емисии/тона</v>
      </c>
      <c r="P867" s="612" t="b">
        <f>IF(ISNUMBER(K865),INDEX(EUconst_BMlistBMvalues,MATCH(K865,EUconst_BMlistMainNumberOfBM,0))&lt;&gt;M867,FALSE)</f>
        <v>0</v>
      </c>
    </row>
    <row r="868" spans="2:19" ht="12.75" customHeight="1" x14ac:dyDescent="0.25">
      <c r="B868" s="284"/>
      <c r="C868" s="302"/>
      <c r="D868" s="302"/>
      <c r="E868" s="302"/>
      <c r="F868" s="302"/>
      <c r="G868" s="302"/>
      <c r="H868" s="302"/>
      <c r="I868" s="302"/>
      <c r="J868" s="302"/>
      <c r="K868" s="302"/>
      <c r="L868" s="302"/>
      <c r="M868" s="302"/>
      <c r="N868" s="302"/>
    </row>
    <row r="869" spans="2:19" ht="12.75" customHeight="1" x14ac:dyDescent="0.25">
      <c r="B869" s="284"/>
      <c r="C869" s="302"/>
      <c r="D869" s="302"/>
      <c r="E869" s="498"/>
      <c r="F869" s="498"/>
      <c r="G869" s="380"/>
      <c r="H869" s="613" t="str">
        <f>[1]K_Summary!H859</f>
        <v>Единица мярка</v>
      </c>
      <c r="I869" s="387">
        <f>[1]K_Summary!I859</f>
        <v>2019</v>
      </c>
      <c r="J869" s="387">
        <f>[1]K_Summary!J859</f>
        <v>2020</v>
      </c>
      <c r="K869" s="387">
        <f>[1]K_Summary!K859</f>
        <v>2021</v>
      </c>
      <c r="L869" s="387">
        <f>[1]K_Summary!L859</f>
        <v>2022</v>
      </c>
      <c r="M869" s="387">
        <f>[1]K_Summary!M859</f>
        <v>2023</v>
      </c>
      <c r="N869" s="302"/>
    </row>
    <row r="870" spans="2:19" ht="12.75" customHeight="1" x14ac:dyDescent="0.25">
      <c r="B870" s="284"/>
      <c r="C870" s="302"/>
      <c r="D870" s="302"/>
      <c r="E870" s="614" t="str">
        <f>[1]K_Summary!E860</f>
        <v>Отчетено HAL (историческо равнище на дейност)</v>
      </c>
      <c r="F870" s="388"/>
      <c r="G870" s="615"/>
      <c r="H870" s="600" t="str">
        <f>[1]K_Summary!H860</f>
        <v>тона</v>
      </c>
      <c r="I870" s="406" t="str">
        <f>[1]K_Summary!I860</f>
        <v/>
      </c>
      <c r="J870" s="406" t="str">
        <f>[1]K_Summary!J860</f>
        <v/>
      </c>
      <c r="K870" s="406" t="str">
        <f>[1]K_Summary!K860</f>
        <v/>
      </c>
      <c r="L870" s="406" t="str">
        <f>[1]K_Summary!L860</f>
        <v/>
      </c>
      <c r="M870" s="406" t="str">
        <f>[1]K_Summary!M860</f>
        <v/>
      </c>
      <c r="N870" s="596" t="str">
        <f>[1]K_Summary!N860</f>
        <v>Median</v>
      </c>
    </row>
    <row r="871" spans="2:19" ht="12.75" customHeight="1" x14ac:dyDescent="0.25">
      <c r="B871" s="284"/>
      <c r="C871" s="302"/>
      <c r="D871" s="302"/>
      <c r="E871" s="614" t="str">
        <f>[1]K_Summary!E861</f>
        <v>Стойности, използвани за изчислението на HAL:</v>
      </c>
      <c r="F871" s="388"/>
      <c r="G871" s="615"/>
      <c r="H871" s="600" t="str">
        <f>[1]K_Summary!H861</f>
        <v>тона</v>
      </c>
      <c r="I871" s="406" t="str">
        <f>[1]K_Summary!I861</f>
        <v/>
      </c>
      <c r="J871" s="406" t="str">
        <f>[1]K_Summary!J861</f>
        <v/>
      </c>
      <c r="K871" s="406" t="str">
        <f>[1]K_Summary!K861</f>
        <v/>
      </c>
      <c r="L871" s="406" t="str">
        <f>[1]K_Summary!L861</f>
        <v/>
      </c>
      <c r="M871" s="406" t="str">
        <f>[1]K_Summary!M861</f>
        <v/>
      </c>
      <c r="N871" s="406" t="str">
        <f>[1]K_Summary!N861</f>
        <v/>
      </c>
    </row>
    <row r="872" spans="2:19" ht="12.75" customHeight="1" x14ac:dyDescent="0.25">
      <c r="B872" s="284"/>
      <c r="C872" s="302"/>
      <c r="D872" s="302"/>
      <c r="E872" s="360"/>
      <c r="F872" s="360"/>
      <c r="G872" s="360"/>
      <c r="H872" s="360"/>
      <c r="I872" s="360"/>
      <c r="J872" s="360"/>
      <c r="K872" s="360"/>
      <c r="L872" s="360"/>
      <c r="M872" s="364"/>
      <c r="N872" s="364"/>
    </row>
    <row r="873" spans="2:19" ht="12.75" customHeight="1" x14ac:dyDescent="0.25">
      <c r="B873" s="284"/>
      <c r="C873" s="302"/>
      <c r="D873" s="302"/>
      <c r="E873" s="616" t="str">
        <f>[1]K_Summary!E863</f>
        <v>Съответно потребление на електроенергия</v>
      </c>
      <c r="F873" s="616"/>
      <c r="G873" s="616"/>
      <c r="H873" s="617" t="str">
        <f>[1]K_Summary!H863</f>
        <v>MWh / година</v>
      </c>
      <c r="I873" s="618" t="str">
        <f>[1]K_Summary!I863</f>
        <v/>
      </c>
      <c r="J873" s="618" t="str">
        <f>[1]K_Summary!J863</f>
        <v/>
      </c>
      <c r="K873" s="618" t="str">
        <f>[1]K_Summary!K863</f>
        <v/>
      </c>
      <c r="L873" s="618" t="str">
        <f>[1]K_Summary!L863</f>
        <v/>
      </c>
      <c r="M873" s="618" t="str">
        <f>[1]K_Summary!M863</f>
        <v/>
      </c>
      <c r="N873" s="302"/>
    </row>
    <row r="874" spans="2:19" ht="12.75" customHeight="1" x14ac:dyDescent="0.25">
      <c r="B874" s="284"/>
      <c r="C874" s="302"/>
      <c r="D874" s="302"/>
      <c r="E874" s="360"/>
      <c r="F874" s="360"/>
      <c r="G874" s="360"/>
      <c r="H874" s="360"/>
      <c r="I874" s="360"/>
      <c r="J874" s="360"/>
      <c r="K874" s="360"/>
      <c r="L874" s="360"/>
      <c r="M874" s="364"/>
      <c r="N874" s="364"/>
    </row>
    <row r="875" spans="2:19" ht="12.75" customHeight="1" thickBot="1" x14ac:dyDescent="0.3">
      <c r="B875" s="284"/>
      <c r="C875" s="364"/>
      <c r="D875" s="302"/>
      <c r="E875" s="360"/>
      <c r="F875" s="619" t="str">
        <f>[1]K_Summary!F865</f>
        <v>Общо HAL</v>
      </c>
      <c r="G875" s="620"/>
      <c r="H875" s="364"/>
      <c r="I875" s="619" t="str">
        <f>[1]K_Summary!I865</f>
        <v>Предв. разпр. за год. 1 (мин)</v>
      </c>
      <c r="J875" s="620"/>
      <c r="K875" s="619" t="str">
        <f>[1]K_Summary!K865</f>
        <v>Предв. разпр. за год. 1 (макс)</v>
      </c>
      <c r="L875" s="620"/>
      <c r="M875" s="619" t="str">
        <f>[1]K_Summary!M865</f>
        <v>Предв. разпр. за год. 1 (действ.)</v>
      </c>
      <c r="N875" s="620"/>
    </row>
    <row r="876" spans="2:19" ht="12.75" customHeight="1" thickBot="1" x14ac:dyDescent="0.3">
      <c r="B876" s="284"/>
      <c r="C876" s="364"/>
      <c r="D876" s="364"/>
      <c r="E876" s="360"/>
      <c r="F876" s="621" t="str">
        <f>[1]K_Summary!F866</f>
        <v/>
      </c>
      <c r="G876" s="622" t="str">
        <f>[1]K_Summary!G866</f>
        <v>тона / година</v>
      </c>
      <c r="H876" s="364"/>
      <c r="I876" s="623" t="str">
        <f>[1]K_Summary!I866</f>
        <v/>
      </c>
      <c r="J876" s="624" t="str">
        <f>[1]K_Summary!J866</f>
        <v>Квота за емисии / година</v>
      </c>
      <c r="K876" s="623" t="str">
        <f>[1]K_Summary!K866</f>
        <v/>
      </c>
      <c r="L876" s="624" t="str">
        <f>[1]K_Summary!L866</f>
        <v>Квота за емисии / година</v>
      </c>
      <c r="M876" s="623" t="str">
        <f>[1]K_Summary!M866</f>
        <v/>
      </c>
      <c r="N876" s="624" t="str">
        <f>[1]K_Summary!N866</f>
        <v>Квота за емисии / година</v>
      </c>
    </row>
    <row r="877" spans="2:19" ht="12.75" customHeight="1" x14ac:dyDescent="0.25">
      <c r="B877" s="284"/>
      <c r="C877" s="302"/>
      <c r="D877" s="364"/>
      <c r="E877" s="360"/>
      <c r="F877" s="302"/>
      <c r="G877" s="302"/>
      <c r="H877" s="302"/>
      <c r="I877" s="302"/>
      <c r="J877" s="302"/>
      <c r="K877" s="302"/>
      <c r="L877" s="302"/>
      <c r="M877" s="302"/>
      <c r="N877" s="302"/>
    </row>
    <row r="878" spans="2:19" ht="12.75" customHeight="1" x14ac:dyDescent="0.25">
      <c r="B878" s="284"/>
      <c r="C878" s="302"/>
      <c r="D878" s="302"/>
      <c r="E878" s="625"/>
      <c r="F878" s="626"/>
      <c r="G878" s="626"/>
      <c r="H878" s="626"/>
      <c r="I878" s="626"/>
      <c r="J878" s="626"/>
      <c r="K878" s="626"/>
      <c r="L878" s="626"/>
      <c r="M878" s="626"/>
      <c r="N878" s="626"/>
    </row>
    <row r="879" spans="2:19" ht="12.75" customHeight="1" thickBot="1" x14ac:dyDescent="0.3">
      <c r="B879" s="284"/>
      <c r="C879" s="302"/>
      <c r="D879" s="302"/>
      <c r="E879" s="625"/>
      <c r="F879" s="626"/>
      <c r="G879" s="626"/>
      <c r="H879" s="627" t="str">
        <f>[1]K_Summary!H869</f>
        <v>Единица мярка</v>
      </c>
      <c r="I879" s="628">
        <f>[1]K_Summary!I869</f>
        <v>2019</v>
      </c>
      <c r="J879" s="629">
        <f>[1]K_Summary!J869</f>
        <v>2020</v>
      </c>
      <c r="K879" s="629">
        <f>[1]K_Summary!K869</f>
        <v>2021</v>
      </c>
      <c r="L879" s="629">
        <f>[1]K_Summary!L869</f>
        <v>2022</v>
      </c>
      <c r="M879" s="629">
        <f>[1]K_Summary!M869</f>
        <v>2023</v>
      </c>
      <c r="N879" s="626"/>
    </row>
    <row r="880" spans="2:19" ht="12.75" customHeight="1" thickBot="1" x14ac:dyDescent="0.3">
      <c r="B880" s="284"/>
      <c r="C880" s="302"/>
      <c r="D880" s="302"/>
      <c r="E880" s="630" t="str">
        <f>[1]K_Summary!E870</f>
        <v>Общо зададени емисии</v>
      </c>
      <c r="F880" s="630"/>
      <c r="G880" s="630"/>
      <c r="H880" s="631" t="str">
        <f>[1]K_Summary!H870</f>
        <v>t CO2e/година</v>
      </c>
      <c r="I880" s="632" t="str">
        <f>[1]K_Summary!I870</f>
        <v/>
      </c>
      <c r="J880" s="633" t="str">
        <f>[1]K_Summary!J870</f>
        <v/>
      </c>
      <c r="K880" s="633" t="str">
        <f>[1]K_Summary!K870</f>
        <v/>
      </c>
      <c r="L880" s="633" t="str">
        <f>[1]K_Summary!L870</f>
        <v/>
      </c>
      <c r="M880" s="634" t="str">
        <f>[1]K_Summary!M870</f>
        <v/>
      </c>
      <c r="N880" s="626"/>
    </row>
    <row r="881" spans="2:14" ht="12.75" customHeight="1" x14ac:dyDescent="0.25">
      <c r="B881" s="284"/>
      <c r="C881" s="302"/>
      <c r="D881" s="302"/>
      <c r="E881" s="625"/>
      <c r="F881" s="625"/>
      <c r="G881" s="625"/>
      <c r="H881" s="625"/>
      <c r="I881" s="635"/>
      <c r="J881" s="635"/>
      <c r="K881" s="635"/>
      <c r="L881" s="635"/>
      <c r="M881" s="635"/>
      <c r="N881" s="625"/>
    </row>
    <row r="882" spans="2:14" ht="12.75" customHeight="1" x14ac:dyDescent="0.25">
      <c r="B882" s="284"/>
      <c r="C882" s="302"/>
      <c r="D882" s="302"/>
      <c r="E882" s="636" t="str">
        <f>[1]K_Summary!E872</f>
        <v>Обща вложена енергия</v>
      </c>
      <c r="F882" s="636"/>
      <c r="G882" s="636"/>
      <c r="H882" s="637" t="str">
        <f>[1]K_Summary!H872</f>
        <v>TJ / година</v>
      </c>
      <c r="I882" s="482" t="str">
        <f>[1]K_Summary!I872</f>
        <v/>
      </c>
      <c r="J882" s="482" t="str">
        <f>[1]K_Summary!J872</f>
        <v/>
      </c>
      <c r="K882" s="482" t="str">
        <f>[1]K_Summary!K872</f>
        <v/>
      </c>
      <c r="L882" s="482" t="str">
        <f>[1]K_Summary!L872</f>
        <v/>
      </c>
      <c r="M882" s="482" t="str">
        <f>[1]K_Summary!M872</f>
        <v/>
      </c>
      <c r="N882" s="626"/>
    </row>
    <row r="883" spans="2:14" ht="12.75" customHeight="1" x14ac:dyDescent="0.25">
      <c r="B883" s="284"/>
      <c r="C883" s="302"/>
      <c r="D883" s="302"/>
      <c r="E883" s="638" t="str">
        <f>[1]K_Summary!E873</f>
        <v>Претеглен емисионен фактор</v>
      </c>
      <c r="F883" s="638"/>
      <c r="G883" s="638"/>
      <c r="H883" s="639" t="str">
        <f>[1]K_Summary!H873</f>
        <v>t CO2 / TJ</v>
      </c>
      <c r="I883" s="484" t="str">
        <f>[1]K_Summary!I873</f>
        <v/>
      </c>
      <c r="J883" s="484" t="str">
        <f>[1]K_Summary!J873</f>
        <v/>
      </c>
      <c r="K883" s="484" t="str">
        <f>[1]K_Summary!K873</f>
        <v/>
      </c>
      <c r="L883" s="484" t="str">
        <f>[1]K_Summary!L873</f>
        <v/>
      </c>
      <c r="M883" s="484" t="str">
        <f>[1]K_Summary!M873</f>
        <v/>
      </c>
      <c r="N883" s="626"/>
    </row>
    <row r="884" spans="2:14" ht="12.75" customHeight="1" x14ac:dyDescent="0.25">
      <c r="B884" s="284"/>
      <c r="C884" s="302"/>
      <c r="D884" s="364"/>
      <c r="E884" s="625"/>
      <c r="F884" s="626"/>
      <c r="G884" s="626"/>
      <c r="H884" s="626"/>
      <c r="I884" s="640"/>
      <c r="J884" s="640"/>
      <c r="K884" s="640"/>
      <c r="L884" s="640"/>
      <c r="M884" s="640"/>
      <c r="N884" s="626"/>
    </row>
    <row r="885" spans="2:14" ht="12.75" customHeight="1" x14ac:dyDescent="0.25">
      <c r="B885" s="284"/>
      <c r="C885" s="302"/>
      <c r="D885" s="364"/>
      <c r="E885" s="641" t="str">
        <f>[1]K_Summary!E875</f>
        <v>Преки емисии</v>
      </c>
      <c r="F885" s="641"/>
      <c r="G885" s="641"/>
      <c r="H885" s="642" t="str">
        <f>[1]K_Summary!H875</f>
        <v>t CO2 / година</v>
      </c>
      <c r="I885" s="499" t="str">
        <f>[1]K_Summary!I875</f>
        <v/>
      </c>
      <c r="J885" s="499" t="str">
        <f>[1]K_Summary!J875</f>
        <v/>
      </c>
      <c r="K885" s="499" t="str">
        <f>[1]K_Summary!K875</f>
        <v/>
      </c>
      <c r="L885" s="499" t="str">
        <f>[1]K_Summary!L875</f>
        <v/>
      </c>
      <c r="M885" s="499" t="str">
        <f>[1]K_Summary!M875</f>
        <v/>
      </c>
      <c r="N885" s="626"/>
    </row>
    <row r="886" spans="2:14" ht="12.75" customHeight="1" x14ac:dyDescent="0.25">
      <c r="B886" s="284"/>
      <c r="C886" s="302"/>
      <c r="D886" s="364"/>
      <c r="E886" s="641" t="str">
        <f>[1]K_Summary!E876</f>
        <v>Други потоци горива и материали пораждащи емисии — 1</v>
      </c>
      <c r="F886" s="641"/>
      <c r="G886" s="641"/>
      <c r="H886" s="642" t="str">
        <f>[1]K_Summary!H876</f>
        <v>t CO2 / година</v>
      </c>
      <c r="I886" s="499" t="str">
        <f>[1]K_Summary!I876</f>
        <v/>
      </c>
      <c r="J886" s="499" t="str">
        <f>[1]K_Summary!J876</f>
        <v/>
      </c>
      <c r="K886" s="499" t="str">
        <f>[1]K_Summary!K876</f>
        <v/>
      </c>
      <c r="L886" s="499" t="str">
        <f>[1]K_Summary!L876</f>
        <v/>
      </c>
      <c r="M886" s="499" t="str">
        <f>[1]K_Summary!M876</f>
        <v/>
      </c>
      <c r="N886" s="626"/>
    </row>
    <row r="887" spans="2:14" ht="12.75" customHeight="1" x14ac:dyDescent="0.25">
      <c r="B887" s="284"/>
      <c r="C887" s="302"/>
      <c r="D887" s="364"/>
      <c r="E887" s="641" t="str">
        <f>[1]K_Summary!E877</f>
        <v>Други потоци горива и материали пораждащи емисии — 2</v>
      </c>
      <c r="F887" s="641"/>
      <c r="G887" s="641"/>
      <c r="H887" s="642" t="str">
        <f>[1]K_Summary!H877</f>
        <v>t CO2 / година</v>
      </c>
      <c r="I887" s="499" t="str">
        <f>[1]K_Summary!I877</f>
        <v/>
      </c>
      <c r="J887" s="499" t="str">
        <f>[1]K_Summary!J877</f>
        <v/>
      </c>
      <c r="K887" s="499" t="str">
        <f>[1]K_Summary!K877</f>
        <v/>
      </c>
      <c r="L887" s="499" t="str">
        <f>[1]K_Summary!L877</f>
        <v/>
      </c>
      <c r="M887" s="499" t="str">
        <f>[1]K_Summary!M877</f>
        <v/>
      </c>
      <c r="N887" s="626"/>
    </row>
    <row r="888" spans="2:14" ht="12.75" customHeight="1" x14ac:dyDescent="0.25">
      <c r="B888" s="284"/>
      <c r="C888" s="302"/>
      <c r="D888" s="302"/>
      <c r="E888" s="641" t="str">
        <f>[1]K_Summary!E878</f>
        <v>Получени или подадени парникови газове</v>
      </c>
      <c r="F888" s="641"/>
      <c r="G888" s="641"/>
      <c r="H888" s="642" t="str">
        <f>[1]K_Summary!H878</f>
        <v>t CO2e/година</v>
      </c>
      <c r="I888" s="499" t="str">
        <f>[1]K_Summary!I878</f>
        <v/>
      </c>
      <c r="J888" s="499" t="str">
        <f>[1]K_Summary!J878</f>
        <v/>
      </c>
      <c r="K888" s="499" t="str">
        <f>[1]K_Summary!K878</f>
        <v/>
      </c>
      <c r="L888" s="499" t="str">
        <f>[1]K_Summary!L878</f>
        <v/>
      </c>
      <c r="M888" s="499" t="str">
        <f>[1]K_Summary!M878</f>
        <v/>
      </c>
      <c r="N888" s="626"/>
    </row>
    <row r="889" spans="2:14" ht="12.75" customHeight="1" x14ac:dyDescent="0.25">
      <c r="B889" s="284"/>
      <c r="C889" s="302"/>
      <c r="D889" s="302"/>
      <c r="E889" s="626"/>
      <c r="F889" s="626"/>
      <c r="G889" s="626"/>
      <c r="H889" s="626"/>
      <c r="I889" s="640"/>
      <c r="J889" s="640"/>
      <c r="K889" s="640"/>
      <c r="L889" s="640"/>
      <c r="M889" s="640"/>
      <c r="N889" s="626"/>
    </row>
    <row r="890" spans="2:14" ht="12.75" customHeight="1" x14ac:dyDescent="0.25">
      <c r="B890" s="284"/>
      <c r="C890" s="302"/>
      <c r="D890" s="302"/>
      <c r="E890" s="636" t="str">
        <f>[1]K_Summary!E880</f>
        <v>Нетно количество получена топлинна енергия</v>
      </c>
      <c r="F890" s="636"/>
      <c r="G890" s="636"/>
      <c r="H890" s="637" t="str">
        <f>[1]K_Summary!H880</f>
        <v>TJ / година</v>
      </c>
      <c r="I890" s="482" t="str">
        <f>[1]K_Summary!I880</f>
        <v/>
      </c>
      <c r="J890" s="482" t="str">
        <f>[1]K_Summary!J880</f>
        <v/>
      </c>
      <c r="K890" s="482" t="str">
        <f>[1]K_Summary!K880</f>
        <v/>
      </c>
      <c r="L890" s="482" t="str">
        <f>[1]K_Summary!L880</f>
        <v/>
      </c>
      <c r="M890" s="482" t="str">
        <f>[1]K_Summary!M880</f>
        <v/>
      </c>
      <c r="N890" s="626"/>
    </row>
    <row r="891" spans="2:14" ht="12.75" customHeight="1" x14ac:dyDescent="0.25">
      <c r="B891" s="284"/>
      <c r="C891" s="302"/>
      <c r="D891" s="302"/>
      <c r="E891" s="638" t="str">
        <f>[1]K_Summary!E881</f>
        <v>Специфичен EF (получена топлинна енергия)</v>
      </c>
      <c r="F891" s="638"/>
      <c r="G891" s="638"/>
      <c r="H891" s="639" t="str">
        <f>[1]K_Summary!H881</f>
        <v>t CO2 / TJ</v>
      </c>
      <c r="I891" s="484" t="str">
        <f>[1]K_Summary!I881</f>
        <v/>
      </c>
      <c r="J891" s="484" t="str">
        <f>[1]K_Summary!J881</f>
        <v/>
      </c>
      <c r="K891" s="484" t="str">
        <f>[1]K_Summary!K881</f>
        <v/>
      </c>
      <c r="L891" s="484" t="str">
        <f>[1]K_Summary!L881</f>
        <v/>
      </c>
      <c r="M891" s="484" t="str">
        <f>[1]K_Summary!M881</f>
        <v/>
      </c>
      <c r="N891" s="626"/>
    </row>
    <row r="892" spans="2:14" ht="12.75" customHeight="1" x14ac:dyDescent="0.25">
      <c r="B892" s="284"/>
      <c r="C892" s="302"/>
      <c r="D892" s="302"/>
      <c r="E892" s="625"/>
      <c r="F892" s="626"/>
      <c r="G892" s="626"/>
      <c r="H892" s="626"/>
      <c r="I892" s="640"/>
      <c r="J892" s="640"/>
      <c r="K892" s="640"/>
      <c r="L892" s="640"/>
      <c r="M892" s="640"/>
      <c r="N892" s="626"/>
    </row>
    <row r="893" spans="2:14" ht="12.75" customHeight="1" x14ac:dyDescent="0.25">
      <c r="B893" s="284"/>
      <c r="C893" s="302"/>
      <c r="D893" s="302"/>
      <c r="E893" s="641" t="str">
        <f>[1]K_Summary!E883</f>
        <v>Нетно количество топлинна енергия, получена от пулп</v>
      </c>
      <c r="F893" s="641"/>
      <c r="G893" s="641"/>
      <c r="H893" s="642" t="str">
        <f>[1]K_Summary!H883</f>
        <v>TJ / година</v>
      </c>
      <c r="I893" s="480" t="str">
        <f>[1]K_Summary!I883</f>
        <v/>
      </c>
      <c r="J893" s="480" t="str">
        <f>[1]K_Summary!J883</f>
        <v/>
      </c>
      <c r="K893" s="480" t="str">
        <f>[1]K_Summary!K883</f>
        <v/>
      </c>
      <c r="L893" s="480" t="str">
        <f>[1]K_Summary!L883</f>
        <v/>
      </c>
      <c r="M893" s="480" t="str">
        <f>[1]K_Summary!M883</f>
        <v/>
      </c>
      <c r="N893" s="626"/>
    </row>
    <row r="894" spans="2:14" ht="12.75" customHeight="1" x14ac:dyDescent="0.25">
      <c r="B894" s="284"/>
      <c r="C894" s="302"/>
      <c r="D894" s="302"/>
      <c r="E894" s="641" t="str">
        <f>[1]K_Summary!E884</f>
        <v>Нетно количество топлинна енергия, получена от подинсталации за азотна киселина</v>
      </c>
      <c r="F894" s="641"/>
      <c r="G894" s="641"/>
      <c r="H894" s="642" t="str">
        <f>[1]K_Summary!H884</f>
        <v>TJ / година</v>
      </c>
      <c r="I894" s="480" t="str">
        <f>[1]K_Summary!I884</f>
        <v/>
      </c>
      <c r="J894" s="480" t="str">
        <f>[1]K_Summary!J884</f>
        <v/>
      </c>
      <c r="K894" s="480" t="str">
        <f>[1]K_Summary!K884</f>
        <v/>
      </c>
      <c r="L894" s="480" t="str">
        <f>[1]K_Summary!L884</f>
        <v/>
      </c>
      <c r="M894" s="480" t="str">
        <f>[1]K_Summary!M884</f>
        <v/>
      </c>
      <c r="N894" s="626"/>
    </row>
    <row r="895" spans="2:14" ht="12.75" customHeight="1" x14ac:dyDescent="0.25">
      <c r="B895" s="284"/>
      <c r="C895" s="302"/>
      <c r="D895" s="302"/>
      <c r="E895" s="625"/>
      <c r="F895" s="625"/>
      <c r="G895" s="625"/>
      <c r="H895" s="625"/>
      <c r="I895" s="640"/>
      <c r="J895" s="640"/>
      <c r="K895" s="640"/>
      <c r="L895" s="640"/>
      <c r="M895" s="640"/>
      <c r="N895" s="626"/>
    </row>
    <row r="896" spans="2:14" ht="12.75" customHeight="1" x14ac:dyDescent="0.25">
      <c r="B896" s="284"/>
      <c r="C896" s="302"/>
      <c r="D896" s="302"/>
      <c r="E896" s="636" t="str">
        <f>[1]K_Summary!E886</f>
        <v>Нетно количество подадена топлинна енергия</v>
      </c>
      <c r="F896" s="636"/>
      <c r="G896" s="636"/>
      <c r="H896" s="637" t="str">
        <f>[1]K_Summary!H886</f>
        <v>TJ / година</v>
      </c>
      <c r="I896" s="482" t="str">
        <f>[1]K_Summary!I886</f>
        <v/>
      </c>
      <c r="J896" s="482" t="str">
        <f>[1]K_Summary!J886</f>
        <v/>
      </c>
      <c r="K896" s="482" t="str">
        <f>[1]K_Summary!K886</f>
        <v/>
      </c>
      <c r="L896" s="482" t="str">
        <f>[1]K_Summary!L886</f>
        <v/>
      </c>
      <c r="M896" s="482" t="str">
        <f>[1]K_Summary!M886</f>
        <v/>
      </c>
      <c r="N896" s="626"/>
    </row>
    <row r="897" spans="2:14" ht="12.75" customHeight="1" x14ac:dyDescent="0.25">
      <c r="B897" s="284"/>
      <c r="C897" s="302"/>
      <c r="D897" s="302"/>
      <c r="E897" s="638" t="str">
        <f>[1]K_Summary!E887</f>
        <v>Специфичен EF (подадена топлинна енергия)</v>
      </c>
      <c r="F897" s="638"/>
      <c r="G897" s="638"/>
      <c r="H897" s="639" t="str">
        <f>[1]K_Summary!H887</f>
        <v>t CO2 / TJ</v>
      </c>
      <c r="I897" s="484" t="str">
        <f>[1]K_Summary!I887</f>
        <v/>
      </c>
      <c r="J897" s="484" t="str">
        <f>[1]K_Summary!J887</f>
        <v/>
      </c>
      <c r="K897" s="484" t="str">
        <f>[1]K_Summary!K887</f>
        <v/>
      </c>
      <c r="L897" s="484" t="str">
        <f>[1]K_Summary!L887</f>
        <v/>
      </c>
      <c r="M897" s="484" t="str">
        <f>[1]K_Summary!M887</f>
        <v/>
      </c>
      <c r="N897" s="626"/>
    </row>
    <row r="898" spans="2:14" ht="12.75" customHeight="1" x14ac:dyDescent="0.25">
      <c r="B898" s="284"/>
      <c r="C898" s="302"/>
      <c r="D898" s="302"/>
      <c r="E898" s="625"/>
      <c r="F898" s="625"/>
      <c r="G898" s="625"/>
      <c r="H898" s="625"/>
      <c r="I898" s="640"/>
      <c r="J898" s="640"/>
      <c r="K898" s="640"/>
      <c r="L898" s="640"/>
      <c r="M898" s="640"/>
      <c r="N898" s="626"/>
    </row>
    <row r="899" spans="2:14" ht="12.75" customHeight="1" x14ac:dyDescent="0.25">
      <c r="B899" s="284"/>
      <c r="C899" s="302"/>
      <c r="D899" s="302"/>
      <c r="E899" s="636" t="str">
        <f>[1]K_Summary!E889</f>
        <v>Произведен отпадъчен газ</v>
      </c>
      <c r="F899" s="636"/>
      <c r="G899" s="636"/>
      <c r="H899" s="637" t="str">
        <f>[1]K_Summary!H889</f>
        <v>TJ / година</v>
      </c>
      <c r="I899" s="482" t="str">
        <f>[1]K_Summary!I889</f>
        <v/>
      </c>
      <c r="J899" s="482" t="str">
        <f>[1]K_Summary!J889</f>
        <v/>
      </c>
      <c r="K899" s="482" t="str">
        <f>[1]K_Summary!K889</f>
        <v/>
      </c>
      <c r="L899" s="482" t="str">
        <f>[1]K_Summary!L889</f>
        <v/>
      </c>
      <c r="M899" s="482" t="str">
        <f>[1]K_Summary!M889</f>
        <v/>
      </c>
      <c r="N899" s="626"/>
    </row>
    <row r="900" spans="2:14" ht="12.75" customHeight="1" x14ac:dyDescent="0.25">
      <c r="B900" s="284"/>
      <c r="C900" s="302"/>
      <c r="D900" s="302"/>
      <c r="E900" s="638" t="str">
        <f>[1]K_Summary!E890</f>
        <v>Специфичен EF (произведен отпадъчен газ)</v>
      </c>
      <c r="F900" s="638"/>
      <c r="G900" s="638"/>
      <c r="H900" s="639" t="str">
        <f>[1]K_Summary!H890</f>
        <v>t CO2 / TJ</v>
      </c>
      <c r="I900" s="484" t="str">
        <f>[1]K_Summary!I890</f>
        <v/>
      </c>
      <c r="J900" s="484" t="str">
        <f>[1]K_Summary!J890</f>
        <v/>
      </c>
      <c r="K900" s="484" t="str">
        <f>[1]K_Summary!K890</f>
        <v/>
      </c>
      <c r="L900" s="484" t="str">
        <f>[1]K_Summary!L890</f>
        <v/>
      </c>
      <c r="M900" s="484" t="str">
        <f>[1]K_Summary!M890</f>
        <v/>
      </c>
      <c r="N900" s="626"/>
    </row>
    <row r="901" spans="2:14" ht="12.75" customHeight="1" x14ac:dyDescent="0.25">
      <c r="B901" s="284"/>
      <c r="C901" s="302"/>
      <c r="D901" s="302"/>
      <c r="E901" s="636" t="str">
        <f>[1]K_Summary!E891</f>
        <v>Консумиран отпадъчен газ</v>
      </c>
      <c r="F901" s="636"/>
      <c r="G901" s="636"/>
      <c r="H901" s="637" t="str">
        <f>[1]K_Summary!H891</f>
        <v>TJ / година</v>
      </c>
      <c r="I901" s="482" t="str">
        <f>[1]K_Summary!I891</f>
        <v/>
      </c>
      <c r="J901" s="482" t="str">
        <f>[1]K_Summary!J891</f>
        <v/>
      </c>
      <c r="K901" s="482" t="str">
        <f>[1]K_Summary!K891</f>
        <v/>
      </c>
      <c r="L901" s="482" t="str">
        <f>[1]K_Summary!L891</f>
        <v/>
      </c>
      <c r="M901" s="482" t="str">
        <f>[1]K_Summary!M891</f>
        <v/>
      </c>
      <c r="N901" s="626"/>
    </row>
    <row r="902" spans="2:14" ht="12.75" customHeight="1" x14ac:dyDescent="0.25">
      <c r="B902" s="284"/>
      <c r="C902" s="302"/>
      <c r="D902" s="302"/>
      <c r="E902" s="638" t="str">
        <f>[1]K_Summary!E892</f>
        <v>Специфичен EF (консумиран отпадъчен газ)</v>
      </c>
      <c r="F902" s="638"/>
      <c r="G902" s="638"/>
      <c r="H902" s="639" t="str">
        <f>[1]K_Summary!H892</f>
        <v>t CO2 / TJ</v>
      </c>
      <c r="I902" s="484" t="str">
        <f>[1]K_Summary!I892</f>
        <v/>
      </c>
      <c r="J902" s="484" t="str">
        <f>[1]K_Summary!J892</f>
        <v/>
      </c>
      <c r="K902" s="484" t="str">
        <f>[1]K_Summary!K892</f>
        <v/>
      </c>
      <c r="L902" s="484" t="str">
        <f>[1]K_Summary!L892</f>
        <v/>
      </c>
      <c r="M902" s="484" t="str">
        <f>[1]K_Summary!M892</f>
        <v/>
      </c>
      <c r="N902" s="626"/>
    </row>
    <row r="903" spans="2:14" ht="12.75" customHeight="1" x14ac:dyDescent="0.25">
      <c r="B903" s="284"/>
      <c r="C903" s="302"/>
      <c r="D903" s="302"/>
      <c r="E903" s="636" t="str">
        <f>[1]K_Summary!E893</f>
        <v>Изгорен във факел отпадъчен газ</v>
      </c>
      <c r="F903" s="636"/>
      <c r="G903" s="636"/>
      <c r="H903" s="637" t="str">
        <f>[1]K_Summary!H893</f>
        <v>TJ / година</v>
      </c>
      <c r="I903" s="482" t="str">
        <f>[1]K_Summary!I893</f>
        <v/>
      </c>
      <c r="J903" s="482" t="str">
        <f>[1]K_Summary!J893</f>
        <v/>
      </c>
      <c r="K903" s="482" t="str">
        <f>[1]K_Summary!K893</f>
        <v/>
      </c>
      <c r="L903" s="482" t="str">
        <f>[1]K_Summary!L893</f>
        <v/>
      </c>
      <c r="M903" s="482" t="str">
        <f>[1]K_Summary!M893</f>
        <v/>
      </c>
      <c r="N903" s="626"/>
    </row>
    <row r="904" spans="2:14" ht="12.75" customHeight="1" x14ac:dyDescent="0.25">
      <c r="B904" s="284"/>
      <c r="C904" s="302"/>
      <c r="D904" s="302"/>
      <c r="E904" s="638" t="str">
        <f>[1]K_Summary!E894</f>
        <v>Специфичен EF (изгорен във факел отпадъчен газ)</v>
      </c>
      <c r="F904" s="638"/>
      <c r="G904" s="638"/>
      <c r="H904" s="639" t="str">
        <f>[1]K_Summary!H894</f>
        <v>t CO2 / TJ</v>
      </c>
      <c r="I904" s="484" t="str">
        <f>[1]K_Summary!I894</f>
        <v/>
      </c>
      <c r="J904" s="484" t="str">
        <f>[1]K_Summary!J894</f>
        <v/>
      </c>
      <c r="K904" s="484" t="str">
        <f>[1]K_Summary!K894</f>
        <v/>
      </c>
      <c r="L904" s="484" t="str">
        <f>[1]K_Summary!L894</f>
        <v/>
      </c>
      <c r="M904" s="484" t="str">
        <f>[1]K_Summary!M894</f>
        <v/>
      </c>
      <c r="N904" s="626"/>
    </row>
    <row r="905" spans="2:14" ht="12.75" customHeight="1" x14ac:dyDescent="0.25">
      <c r="B905" s="284"/>
      <c r="C905" s="302"/>
      <c r="D905" s="302"/>
      <c r="E905" s="636" t="str">
        <f>[1]K_Summary!E895</f>
        <v>Получен отпадъчен газ</v>
      </c>
      <c r="F905" s="636"/>
      <c r="G905" s="636"/>
      <c r="H905" s="637" t="str">
        <f>[1]K_Summary!H895</f>
        <v>TJ / година</v>
      </c>
      <c r="I905" s="482" t="str">
        <f>[1]K_Summary!I895</f>
        <v/>
      </c>
      <c r="J905" s="482" t="str">
        <f>[1]K_Summary!J895</f>
        <v/>
      </c>
      <c r="K905" s="482" t="str">
        <f>[1]K_Summary!K895</f>
        <v/>
      </c>
      <c r="L905" s="482" t="str">
        <f>[1]K_Summary!L895</f>
        <v/>
      </c>
      <c r="M905" s="482" t="str">
        <f>[1]K_Summary!M895</f>
        <v/>
      </c>
      <c r="N905" s="626"/>
    </row>
    <row r="906" spans="2:14" ht="12.75" customHeight="1" x14ac:dyDescent="0.25">
      <c r="B906" s="284"/>
      <c r="C906" s="302"/>
      <c r="D906" s="302"/>
      <c r="E906" s="638" t="str">
        <f>[1]K_Summary!E896</f>
        <v>Специфичен EF (получен отпадъчен газ)</v>
      </c>
      <c r="F906" s="638"/>
      <c r="G906" s="638"/>
      <c r="H906" s="639" t="str">
        <f>[1]K_Summary!H896</f>
        <v>t CO2 / TJ</v>
      </c>
      <c r="I906" s="484" t="str">
        <f>[1]K_Summary!I896</f>
        <v/>
      </c>
      <c r="J906" s="484" t="str">
        <f>[1]K_Summary!J896</f>
        <v/>
      </c>
      <c r="K906" s="484" t="str">
        <f>[1]K_Summary!K896</f>
        <v/>
      </c>
      <c r="L906" s="484" t="str">
        <f>[1]K_Summary!L896</f>
        <v/>
      </c>
      <c r="M906" s="484" t="str">
        <f>[1]K_Summary!M896</f>
        <v/>
      </c>
      <c r="N906" s="626"/>
    </row>
    <row r="907" spans="2:14" ht="12.75" customHeight="1" x14ac:dyDescent="0.25">
      <c r="B907" s="284"/>
      <c r="C907" s="302"/>
      <c r="D907" s="302"/>
      <c r="E907" s="636" t="str">
        <f>[1]K_Summary!E897</f>
        <v>Подаден отпадъчен газ</v>
      </c>
      <c r="F907" s="636"/>
      <c r="G907" s="636"/>
      <c r="H907" s="637" t="str">
        <f>[1]K_Summary!H897</f>
        <v>TJ / година</v>
      </c>
      <c r="I907" s="482" t="str">
        <f>[1]K_Summary!I897</f>
        <v/>
      </c>
      <c r="J907" s="482" t="str">
        <f>[1]K_Summary!J897</f>
        <v/>
      </c>
      <c r="K907" s="482" t="str">
        <f>[1]K_Summary!K897</f>
        <v/>
      </c>
      <c r="L907" s="482" t="str">
        <f>[1]K_Summary!L897</f>
        <v/>
      </c>
      <c r="M907" s="482" t="str">
        <f>[1]K_Summary!M897</f>
        <v/>
      </c>
      <c r="N907" s="626"/>
    </row>
    <row r="908" spans="2:14" ht="12.75" customHeight="1" x14ac:dyDescent="0.25">
      <c r="B908" s="284"/>
      <c r="C908" s="302"/>
      <c r="D908" s="302"/>
      <c r="E908" s="638" t="str">
        <f>[1]K_Summary!E898</f>
        <v>Специфичен EF (подаден отпадъчен газ)</v>
      </c>
      <c r="F908" s="638"/>
      <c r="G908" s="638"/>
      <c r="H908" s="639" t="str">
        <f>[1]K_Summary!H898</f>
        <v>t CO2 / TJ</v>
      </c>
      <c r="I908" s="484" t="str">
        <f>[1]K_Summary!I898</f>
        <v/>
      </c>
      <c r="J908" s="484" t="str">
        <f>[1]K_Summary!J898</f>
        <v/>
      </c>
      <c r="K908" s="484" t="str">
        <f>[1]K_Summary!K898</f>
        <v/>
      </c>
      <c r="L908" s="484" t="str">
        <f>[1]K_Summary!L898</f>
        <v/>
      </c>
      <c r="M908" s="484" t="str">
        <f>[1]K_Summary!M898</f>
        <v/>
      </c>
      <c r="N908" s="626"/>
    </row>
    <row r="909" spans="2:14" ht="12.75" customHeight="1" x14ac:dyDescent="0.25">
      <c r="B909" s="284"/>
      <c r="C909" s="302"/>
      <c r="D909" s="302"/>
      <c r="E909" s="625"/>
      <c r="F909" s="625"/>
      <c r="G909" s="625"/>
      <c r="H909" s="625"/>
      <c r="I909" s="640"/>
      <c r="J909" s="640"/>
      <c r="K909" s="640"/>
      <c r="L909" s="640"/>
      <c r="M909" s="640"/>
      <c r="N909" s="626"/>
    </row>
    <row r="910" spans="2:14" ht="12.75" customHeight="1" x14ac:dyDescent="0.25">
      <c r="B910" s="284"/>
      <c r="C910" s="302"/>
      <c r="D910" s="302"/>
      <c r="E910" s="641" t="str">
        <f>[1]K_Summary!E900</f>
        <v>Произведена електроенергия</v>
      </c>
      <c r="F910" s="641"/>
      <c r="G910" s="641"/>
      <c r="H910" s="642" t="str">
        <f>[1]K_Summary!H900</f>
        <v>MWh / година</v>
      </c>
      <c r="I910" s="480" t="str">
        <f>[1]K_Summary!I900</f>
        <v/>
      </c>
      <c r="J910" s="480" t="str">
        <f>[1]K_Summary!J900</f>
        <v/>
      </c>
      <c r="K910" s="480" t="str">
        <f>[1]K_Summary!K900</f>
        <v/>
      </c>
      <c r="L910" s="480" t="str">
        <f>[1]K_Summary!L900</f>
        <v/>
      </c>
      <c r="M910" s="480" t="str">
        <f>[1]K_Summary!M900</f>
        <v/>
      </c>
      <c r="N910" s="626"/>
    </row>
    <row r="911" spans="2:14" ht="12.75" customHeight="1" x14ac:dyDescent="0.25">
      <c r="B911" s="284"/>
      <c r="C911" s="302"/>
      <c r="D911" s="302"/>
      <c r="E911" s="625"/>
      <c r="F911" s="625"/>
      <c r="G911" s="625"/>
      <c r="H911" s="625"/>
      <c r="I911" s="640"/>
      <c r="J911" s="640"/>
      <c r="K911" s="640"/>
      <c r="L911" s="640"/>
      <c r="M911" s="640"/>
      <c r="N911" s="626"/>
    </row>
    <row r="912" spans="2:14" ht="12.75" customHeight="1" x14ac:dyDescent="0.25">
      <c r="B912" s="284"/>
      <c r="C912" s="302"/>
      <c r="D912" s="302"/>
      <c r="E912" s="643" t="str">
        <f>[1]K_Summary!E902</f>
        <v>Междинно получаване:</v>
      </c>
      <c r="F912" s="625"/>
      <c r="G912" s="625"/>
      <c r="H912" s="625"/>
      <c r="I912" s="640"/>
      <c r="J912" s="640"/>
      <c r="K912" s="640"/>
      <c r="L912" s="640"/>
      <c r="M912" s="640"/>
      <c r="N912" s="626"/>
    </row>
    <row r="913" spans="2:14" ht="12.75" customHeight="1" x14ac:dyDescent="0.25">
      <c r="B913" s="284"/>
      <c r="C913" s="302"/>
      <c r="D913" s="302"/>
      <c r="E913" s="381" t="str">
        <f>[1]K_Summary!E903</f>
        <v/>
      </c>
      <c r="F913" s="381"/>
      <c r="G913" s="381"/>
      <c r="H913" s="642" t="str">
        <f>[1]K_Summary!H903</f>
        <v>тона</v>
      </c>
      <c r="I913" s="499" t="str">
        <f>[1]K_Summary!I903</f>
        <v/>
      </c>
      <c r="J913" s="499" t="str">
        <f>[1]K_Summary!J903</f>
        <v/>
      </c>
      <c r="K913" s="499" t="str">
        <f>[1]K_Summary!K903</f>
        <v/>
      </c>
      <c r="L913" s="499" t="str">
        <f>[1]K_Summary!L903</f>
        <v/>
      </c>
      <c r="M913" s="499" t="str">
        <f>[1]K_Summary!M903</f>
        <v/>
      </c>
      <c r="N913" s="626"/>
    </row>
    <row r="914" spans="2:14" ht="12.75" customHeight="1" x14ac:dyDescent="0.25">
      <c r="B914" s="284"/>
      <c r="C914" s="302"/>
      <c r="D914" s="302"/>
      <c r="E914" s="381" t="str">
        <f>[1]K_Summary!E904</f>
        <v/>
      </c>
      <c r="F914" s="381"/>
      <c r="G914" s="381"/>
      <c r="H914" s="642" t="str">
        <f>[1]K_Summary!H904</f>
        <v>тона</v>
      </c>
      <c r="I914" s="499" t="str">
        <f>[1]K_Summary!I904</f>
        <v/>
      </c>
      <c r="J914" s="499" t="str">
        <f>[1]K_Summary!J904</f>
        <v/>
      </c>
      <c r="K914" s="499" t="str">
        <f>[1]K_Summary!K904</f>
        <v/>
      </c>
      <c r="L914" s="499" t="str">
        <f>[1]K_Summary!L904</f>
        <v/>
      </c>
      <c r="M914" s="499" t="str">
        <f>[1]K_Summary!M904</f>
        <v/>
      </c>
      <c r="N914" s="626"/>
    </row>
    <row r="915" spans="2:14" ht="12.75" customHeight="1" x14ac:dyDescent="0.25">
      <c r="B915" s="284"/>
      <c r="C915" s="302"/>
      <c r="D915" s="302"/>
      <c r="E915" s="643" t="str">
        <f>[1]K_Summary!E905</f>
        <v>Междинно подаване:</v>
      </c>
      <c r="F915" s="625"/>
      <c r="G915" s="625"/>
      <c r="H915" s="625"/>
      <c r="I915" s="644"/>
      <c r="J915" s="644"/>
      <c r="K915" s="644"/>
      <c r="L915" s="644"/>
      <c r="M915" s="644"/>
      <c r="N915" s="626"/>
    </row>
    <row r="916" spans="2:14" ht="12.75" customHeight="1" x14ac:dyDescent="0.25">
      <c r="B916" s="284"/>
      <c r="C916" s="302"/>
      <c r="D916" s="302"/>
      <c r="E916" s="381" t="str">
        <f>[1]K_Summary!E906</f>
        <v/>
      </c>
      <c r="F916" s="381"/>
      <c r="G916" s="381"/>
      <c r="H916" s="642" t="str">
        <f>[1]K_Summary!H906</f>
        <v>тона</v>
      </c>
      <c r="I916" s="499" t="str">
        <f>[1]K_Summary!I906</f>
        <v/>
      </c>
      <c r="J916" s="499" t="str">
        <f>[1]K_Summary!J906</f>
        <v/>
      </c>
      <c r="K916" s="499" t="str">
        <f>[1]K_Summary!K906</f>
        <v/>
      </c>
      <c r="L916" s="499" t="str">
        <f>[1]K_Summary!L906</f>
        <v/>
      </c>
      <c r="M916" s="499" t="str">
        <f>[1]K_Summary!M906</f>
        <v/>
      </c>
      <c r="N916" s="626"/>
    </row>
    <row r="917" spans="2:14" ht="12.75" customHeight="1" x14ac:dyDescent="0.25">
      <c r="B917" s="284"/>
      <c r="C917" s="302"/>
      <c r="D917" s="302"/>
      <c r="E917" s="381" t="str">
        <f>[1]K_Summary!E907</f>
        <v/>
      </c>
      <c r="F917" s="381"/>
      <c r="G917" s="381"/>
      <c r="H917" s="642" t="str">
        <f>[1]K_Summary!H907</f>
        <v>тона</v>
      </c>
      <c r="I917" s="499" t="str">
        <f>[1]K_Summary!I907</f>
        <v/>
      </c>
      <c r="J917" s="499" t="str">
        <f>[1]K_Summary!J907</f>
        <v/>
      </c>
      <c r="K917" s="499" t="str">
        <f>[1]K_Summary!K907</f>
        <v/>
      </c>
      <c r="L917" s="499" t="str">
        <f>[1]K_Summary!L907</f>
        <v/>
      </c>
      <c r="M917" s="499" t="str">
        <f>[1]K_Summary!M907</f>
        <v/>
      </c>
      <c r="N917" s="626"/>
    </row>
    <row r="918" spans="2:14" ht="12.75" customHeight="1" x14ac:dyDescent="0.25">
      <c r="B918" s="284"/>
      <c r="C918" s="302"/>
      <c r="D918" s="302"/>
      <c r="E918" s="625"/>
      <c r="F918" s="625"/>
      <c r="G918" s="625"/>
      <c r="H918" s="625"/>
      <c r="I918" s="626"/>
      <c r="J918" s="626"/>
      <c r="K918" s="626"/>
      <c r="L918" s="626"/>
      <c r="M918" s="626"/>
      <c r="N918" s="626"/>
    </row>
    <row r="919" spans="2:14" ht="12.75" customHeight="1" x14ac:dyDescent="0.25">
      <c r="B919" s="284"/>
      <c r="C919" s="302"/>
      <c r="D919" s="302"/>
      <c r="E919" s="645" t="str">
        <f>[1]K_Summary!E909</f>
        <v>Корекции за актуализиране на показателя при специфичен показател, когато е приложимо</v>
      </c>
      <c r="F919" s="645"/>
      <c r="G919" s="645"/>
      <c r="H919" s="645"/>
      <c r="I919" s="645"/>
      <c r="J919" s="645"/>
      <c r="K919" s="645"/>
      <c r="L919" s="645"/>
      <c r="M919" s="645"/>
      <c r="N919" s="626"/>
    </row>
    <row r="920" spans="2:14" ht="12.75" customHeight="1" x14ac:dyDescent="0.25">
      <c r="B920" s="284"/>
      <c r="C920" s="302"/>
      <c r="D920" s="302"/>
      <c r="E920" s="641" t="str">
        <f>[1]K_Summary!E910</f>
        <v>Общо количество произведен пулп</v>
      </c>
      <c r="F920" s="641"/>
      <c r="G920" s="641"/>
      <c r="H920" s="642" t="str">
        <f>[1]K_Summary!H910</f>
        <v>тона</v>
      </c>
      <c r="I920" s="499" t="str">
        <f>[1]K_Summary!I910</f>
        <v/>
      </c>
      <c r="J920" s="499" t="str">
        <f>[1]K_Summary!J910</f>
        <v/>
      </c>
      <c r="K920" s="499" t="str">
        <f>[1]K_Summary!K910</f>
        <v/>
      </c>
      <c r="L920" s="499" t="str">
        <f>[1]K_Summary!L910</f>
        <v/>
      </c>
      <c r="M920" s="499" t="str">
        <f>[1]K_Summary!M910</f>
        <v/>
      </c>
      <c r="N920" s="626"/>
    </row>
    <row r="921" spans="2:14" ht="12.75" customHeight="1" x14ac:dyDescent="0.25">
      <c r="B921" s="284"/>
      <c r="C921" s="302"/>
      <c r="D921" s="302"/>
      <c r="E921" s="625"/>
      <c r="F921" s="625"/>
      <c r="G921" s="625"/>
      <c r="H921" s="625"/>
      <c r="I921" s="644"/>
      <c r="J921" s="644"/>
      <c r="K921" s="644"/>
      <c r="L921" s="644"/>
      <c r="M921" s="644"/>
      <c r="N921" s="626"/>
    </row>
    <row r="922" spans="2:14" ht="12.75" customHeight="1" x14ac:dyDescent="0.25">
      <c r="B922" s="284"/>
      <c r="C922" s="302"/>
      <c r="D922" s="302"/>
      <c r="E922" s="641" t="str">
        <f>[1]K_Summary!E912</f>
        <v>Производство на водород (действително + теоретично)</v>
      </c>
      <c r="F922" s="641"/>
      <c r="G922" s="641"/>
      <c r="H922" s="642" t="str">
        <f>[1]K_Summary!H912</f>
        <v>тона</v>
      </c>
      <c r="I922" s="499" t="str">
        <f>[1]K_Summary!I912</f>
        <v/>
      </c>
      <c r="J922" s="499" t="str">
        <f>[1]K_Summary!J912</f>
        <v/>
      </c>
      <c r="K922" s="499" t="str">
        <f>[1]K_Summary!K912</f>
        <v/>
      </c>
      <c r="L922" s="499" t="str">
        <f>[1]K_Summary!L912</f>
        <v/>
      </c>
      <c r="M922" s="499" t="str">
        <f>[1]K_Summary!M912</f>
        <v/>
      </c>
      <c r="N922" s="626"/>
    </row>
    <row r="923" spans="2:14" ht="12.75" customHeight="1" x14ac:dyDescent="0.25">
      <c r="B923" s="284"/>
      <c r="C923" s="302"/>
      <c r="D923" s="302"/>
      <c r="E923" s="641" t="str">
        <f>[1]K_Summary!E913</f>
        <v>Емисии във връзка с водород</v>
      </c>
      <c r="F923" s="641"/>
      <c r="G923" s="641"/>
      <c r="H923" s="642" t="str">
        <f>[1]K_Summary!H913</f>
        <v>t CO2 / година</v>
      </c>
      <c r="I923" s="499" t="str">
        <f>[1]K_Summary!I913</f>
        <v/>
      </c>
      <c r="J923" s="499" t="str">
        <f>[1]K_Summary!J913</f>
        <v/>
      </c>
      <c r="K923" s="499" t="str">
        <f>[1]K_Summary!K913</f>
        <v/>
      </c>
      <c r="L923" s="499" t="str">
        <f>[1]K_Summary!L913</f>
        <v/>
      </c>
      <c r="M923" s="499" t="str">
        <f>[1]K_Summary!M913</f>
        <v/>
      </c>
      <c r="N923" s="626"/>
    </row>
    <row r="924" spans="2:14" ht="12.75" customHeight="1" x14ac:dyDescent="0.25">
      <c r="B924" s="284"/>
      <c r="C924" s="302"/>
      <c r="D924" s="302"/>
      <c r="E924" s="625"/>
      <c r="F924" s="625"/>
      <c r="G924" s="625"/>
      <c r="H924" s="625"/>
      <c r="I924" s="644"/>
      <c r="J924" s="644"/>
      <c r="K924" s="644"/>
      <c r="L924" s="644"/>
      <c r="M924" s="644"/>
      <c r="N924" s="626"/>
    </row>
    <row r="925" spans="2:14" ht="12.75" customHeight="1" x14ac:dyDescent="0.25">
      <c r="B925" s="284"/>
      <c r="C925" s="302"/>
      <c r="D925" s="302"/>
      <c r="E925" s="641" t="str">
        <f>[1]K_Summary!E915</f>
        <v>Корекция на емисиите във връзка с HVC</v>
      </c>
      <c r="F925" s="641"/>
      <c r="G925" s="641"/>
      <c r="H925" s="642" t="str">
        <f>[1]K_Summary!H915</f>
        <v>t CO2 / година</v>
      </c>
      <c r="I925" s="499" t="str">
        <f>[1]K_Summary!I915</f>
        <v/>
      </c>
      <c r="J925" s="499" t="str">
        <f>[1]K_Summary!J915</f>
        <v/>
      </c>
      <c r="K925" s="499" t="str">
        <f>[1]K_Summary!K915</f>
        <v/>
      </c>
      <c r="L925" s="499" t="str">
        <f>[1]K_Summary!L915</f>
        <v/>
      </c>
      <c r="M925" s="499" t="str">
        <f>[1]K_Summary!M915</f>
        <v/>
      </c>
      <c r="N925" s="626"/>
    </row>
    <row r="926" spans="2:14" ht="12.75" customHeight="1" x14ac:dyDescent="0.25">
      <c r="B926" s="284"/>
      <c r="C926" s="302"/>
      <c r="D926" s="302"/>
      <c r="E926" s="625"/>
      <c r="F926" s="625"/>
      <c r="G926" s="625"/>
      <c r="H926" s="625"/>
      <c r="I926" s="644"/>
      <c r="J926" s="644"/>
      <c r="K926" s="644"/>
      <c r="L926" s="644"/>
      <c r="M926" s="644"/>
      <c r="N926" s="626"/>
    </row>
    <row r="927" spans="2:14" ht="12.75" customHeight="1" x14ac:dyDescent="0.25">
      <c r="B927" s="284"/>
      <c r="C927" s="302"/>
      <c r="D927" s="302"/>
      <c r="E927" s="641" t="str">
        <f>[1]K_Summary!E917</f>
        <v>Корекция на емисиите във връзка с VCM</v>
      </c>
      <c r="F927" s="641"/>
      <c r="G927" s="641"/>
      <c r="H927" s="642" t="str">
        <f>[1]K_Summary!H917</f>
        <v>t CO2 / година</v>
      </c>
      <c r="I927" s="499" t="str">
        <f>[1]K_Summary!I917</f>
        <v/>
      </c>
      <c r="J927" s="499" t="str">
        <f>[1]K_Summary!J917</f>
        <v/>
      </c>
      <c r="K927" s="499" t="str">
        <f>[1]K_Summary!K917</f>
        <v/>
      </c>
      <c r="L927" s="499" t="str">
        <f>[1]K_Summary!L917</f>
        <v/>
      </c>
      <c r="M927" s="499" t="str">
        <f>[1]K_Summary!M917</f>
        <v/>
      </c>
      <c r="N927" s="626"/>
    </row>
    <row r="928" spans="2:14" ht="12.75" customHeight="1" x14ac:dyDescent="0.25">
      <c r="B928" s="284"/>
      <c r="C928" s="302"/>
      <c r="D928" s="302"/>
      <c r="E928" s="625"/>
      <c r="F928" s="625"/>
      <c r="G928" s="625"/>
      <c r="H928" s="625"/>
      <c r="I928" s="626"/>
      <c r="J928" s="626"/>
      <c r="K928" s="626"/>
      <c r="L928" s="626"/>
      <c r="M928" s="626"/>
      <c r="N928" s="626"/>
    </row>
    <row r="929" spans="2:19" ht="12.75" customHeight="1" thickBot="1" x14ac:dyDescent="0.3">
      <c r="B929" s="284"/>
      <c r="C929" s="302"/>
      <c r="D929" s="302"/>
      <c r="E929" s="646"/>
      <c r="F929" s="364"/>
      <c r="G929" s="364"/>
      <c r="H929" s="364"/>
      <c r="I929" s="364"/>
      <c r="J929" s="364"/>
      <c r="K929" s="364"/>
      <c r="L929" s="364"/>
      <c r="M929" s="364"/>
      <c r="N929" s="364"/>
    </row>
    <row r="930" spans="2:19" ht="12.75" customHeight="1" x14ac:dyDescent="0.25">
      <c r="B930" s="284"/>
      <c r="C930" s="581"/>
      <c r="D930" s="581"/>
      <c r="E930" s="581"/>
      <c r="F930" s="581"/>
      <c r="G930" s="581"/>
      <c r="H930" s="581"/>
      <c r="I930" s="581"/>
      <c r="J930" s="581"/>
      <c r="K930" s="581"/>
      <c r="L930" s="581"/>
      <c r="M930" s="581"/>
      <c r="N930" s="581"/>
    </row>
    <row r="931" spans="2:19" ht="12.75" customHeight="1" x14ac:dyDescent="0.3">
      <c r="B931" s="284"/>
      <c r="C931" s="357">
        <f>[1]K_Summary!C921</f>
        <v>7</v>
      </c>
      <c r="D931" s="590" t="str">
        <f>[1]K_Summary!D921</f>
        <v>Подинсталация с продуктов показател 7:</v>
      </c>
      <c r="E931" s="590"/>
      <c r="F931" s="590"/>
      <c r="G931" s="590"/>
      <c r="H931" s="591"/>
      <c r="I931" s="592" t="str">
        <f>[1]K_Summary!I921</f>
        <v/>
      </c>
      <c r="J931" s="593"/>
      <c r="K931" s="593"/>
      <c r="L931" s="593"/>
      <c r="M931" s="593"/>
      <c r="N931" s="594"/>
    </row>
    <row r="932" spans="2:19" ht="12.75" customHeight="1" thickBot="1" x14ac:dyDescent="0.3">
      <c r="B932" s="284"/>
      <c r="C932" s="302"/>
      <c r="D932" s="302"/>
      <c r="E932" s="302"/>
      <c r="F932" s="302"/>
      <c r="G932" s="302"/>
      <c r="H932" s="302"/>
      <c r="I932" s="302"/>
      <c r="J932" s="302"/>
      <c r="K932" s="302"/>
      <c r="L932" s="302"/>
      <c r="M932" s="302"/>
      <c r="N932" s="302"/>
    </row>
    <row r="933" spans="2:19" ht="12.75" customHeight="1" x14ac:dyDescent="0.25">
      <c r="B933" s="284"/>
      <c r="C933" s="302"/>
      <c r="D933" s="302"/>
      <c r="E933" s="302"/>
      <c r="F933" s="302"/>
      <c r="G933" s="302"/>
      <c r="H933" s="595" t="str">
        <f>[1]K_Summary!H923</f>
        <v>Риск от ИВЕ</v>
      </c>
      <c r="I933" s="302"/>
      <c r="J933" s="596" t="str">
        <f>[1]K_Summary!J923</f>
        <v>В/Е</v>
      </c>
      <c r="K933" s="596" t="str">
        <f>[1]K_Summary!K923</f>
        <v>№ на п-л</v>
      </c>
      <c r="L933" s="597" t="str">
        <f>[1]K_Summary!L923</f>
        <v>15(7).3?</v>
      </c>
      <c r="M933" s="598" t="str">
        <f>[1]K_Summary!M923</f>
        <v>Стойност на показател (мин/макс/действ.)</v>
      </c>
      <c r="N933" s="599"/>
    </row>
    <row r="934" spans="2:19" ht="12.75" customHeight="1" x14ac:dyDescent="0.25">
      <c r="B934" s="284"/>
      <c r="C934" s="302"/>
      <c r="D934" s="302"/>
      <c r="E934" s="361" t="str">
        <f>[1]K_Summary!E924</f>
        <v/>
      </c>
      <c r="F934" s="373"/>
      <c r="G934" s="362"/>
      <c r="H934" s="600" t="str">
        <f>[1]K_Summary!H924</f>
        <v>Не е приложимо</v>
      </c>
      <c r="I934" s="302"/>
      <c r="J934" s="601" t="str">
        <f>[1]K_Summary!J924</f>
        <v>Не е приложимо</v>
      </c>
      <c r="K934" s="406" t="str">
        <f>[1]K_Summary!K924</f>
        <v>Не е приложимо</v>
      </c>
      <c r="L934" s="602" t="str">
        <f>[1]K_Summary!L924</f>
        <v/>
      </c>
      <c r="M934" s="603" t="str">
        <f>[1]K_Summary!M924</f>
        <v>Не е приложимо</v>
      </c>
      <c r="N934" s="604" t="str">
        <f>[1]K_Summary!N924</f>
        <v>Квота за емисии/тона</v>
      </c>
    </row>
    <row r="935" spans="2:19" ht="12.75" customHeight="1" x14ac:dyDescent="0.25">
      <c r="B935" s="284"/>
      <c r="C935" s="302"/>
      <c r="D935" s="302"/>
      <c r="E935" s="364"/>
      <c r="F935" s="364"/>
      <c r="G935" s="596" t="str">
        <f>[1]K_Summary!G925</f>
        <v>топл. ен. извън СТЕ</v>
      </c>
      <c r="H935" s="595" t="str">
        <f>[1]K_Summary!H925</f>
        <v>CBAM</v>
      </c>
      <c r="I935" s="597" t="str">
        <f>[1]K_Summary!I925</f>
        <v>WGflare</v>
      </c>
      <c r="J935" s="596" t="str">
        <f>[1]K_Summary!J925</f>
        <v>HVC-Corr</v>
      </c>
      <c r="K935" s="596" t="str">
        <f>[1]K_Summary!K925</f>
        <v>VCM-F</v>
      </c>
      <c r="L935" s="302"/>
      <c r="M935" s="603" t="str">
        <f>[1]K_Summary!M925</f>
        <v>Не е приложимо</v>
      </c>
      <c r="N935" s="604" t="str">
        <f>[1]K_Summary!N925</f>
        <v>Квота за емисии/тона</v>
      </c>
      <c r="R935" s="605" t="str">
        <f>[1]K_Summary!R925</f>
        <v>No. BM</v>
      </c>
      <c r="S935" s="606" t="str">
        <f>[1]K_Summary!S925</f>
        <v>Не е приложимо</v>
      </c>
    </row>
    <row r="936" spans="2:19" ht="12.75" customHeight="1" thickBot="1" x14ac:dyDescent="0.3">
      <c r="B936" s="284"/>
      <c r="C936" s="302"/>
      <c r="D936" s="302"/>
      <c r="E936" s="607" t="str">
        <f>[1]K_Summary!E926</f>
        <v>Специфични коефициенти:</v>
      </c>
      <c r="F936" s="607"/>
      <c r="G936" s="406" t="str">
        <f>[1]K_Summary!G926</f>
        <v/>
      </c>
      <c r="H936" s="600" t="str">
        <f>[1]K_Summary!H926</f>
        <v>Не е приложимо</v>
      </c>
      <c r="I936" s="608" t="str">
        <f>[1]K_Summary!I926</f>
        <v/>
      </c>
      <c r="J936" s="406" t="str">
        <f>[1]K_Summary!J926</f>
        <v/>
      </c>
      <c r="K936" s="609" t="str">
        <f>[1]K_Summary!K926</f>
        <v/>
      </c>
      <c r="L936" s="302"/>
      <c r="M936" s="610" t="str">
        <f>[1]K_Summary!M926</f>
        <v>Не е приложимо</v>
      </c>
      <c r="N936" s="611" t="str">
        <f>[1]K_Summary!N926</f>
        <v>Квота за емисии/тона</v>
      </c>
      <c r="P936" s="612" t="b">
        <f>IF(ISNUMBER(K934),INDEX(EUconst_BMlistBMvalues,MATCH(K934,EUconst_BMlistMainNumberOfBM,0))&lt;&gt;M936,FALSE)</f>
        <v>0</v>
      </c>
    </row>
    <row r="937" spans="2:19" ht="12.75" customHeight="1" x14ac:dyDescent="0.25">
      <c r="B937" s="284"/>
      <c r="C937" s="302"/>
      <c r="D937" s="302"/>
      <c r="E937" s="302"/>
      <c r="F937" s="302"/>
      <c r="G937" s="302"/>
      <c r="H937" s="302"/>
      <c r="I937" s="302"/>
      <c r="J937" s="302"/>
      <c r="K937" s="302"/>
      <c r="L937" s="302"/>
      <c r="M937" s="302"/>
      <c r="N937" s="302"/>
    </row>
    <row r="938" spans="2:19" ht="12.75" customHeight="1" x14ac:dyDescent="0.25">
      <c r="B938" s="284"/>
      <c r="C938" s="302"/>
      <c r="D938" s="302"/>
      <c r="E938" s="498"/>
      <c r="F938" s="498"/>
      <c r="G938" s="380"/>
      <c r="H938" s="613" t="str">
        <f>[1]K_Summary!H928</f>
        <v>Единица мярка</v>
      </c>
      <c r="I938" s="387">
        <f>[1]K_Summary!I928</f>
        <v>2019</v>
      </c>
      <c r="J938" s="387">
        <f>[1]K_Summary!J928</f>
        <v>2020</v>
      </c>
      <c r="K938" s="387">
        <f>[1]K_Summary!K928</f>
        <v>2021</v>
      </c>
      <c r="L938" s="387">
        <f>[1]K_Summary!L928</f>
        <v>2022</v>
      </c>
      <c r="M938" s="387">
        <f>[1]K_Summary!M928</f>
        <v>2023</v>
      </c>
      <c r="N938" s="302"/>
    </row>
    <row r="939" spans="2:19" ht="12.75" customHeight="1" x14ac:dyDescent="0.25">
      <c r="B939" s="284"/>
      <c r="C939" s="302"/>
      <c r="D939" s="302"/>
      <c r="E939" s="614" t="str">
        <f>[1]K_Summary!E929</f>
        <v>Отчетено HAL (историческо равнище на дейност)</v>
      </c>
      <c r="F939" s="388"/>
      <c r="G939" s="615"/>
      <c r="H939" s="600" t="str">
        <f>[1]K_Summary!H929</f>
        <v>тона</v>
      </c>
      <c r="I939" s="406" t="str">
        <f>[1]K_Summary!I929</f>
        <v/>
      </c>
      <c r="J939" s="406" t="str">
        <f>[1]K_Summary!J929</f>
        <v/>
      </c>
      <c r="K939" s="406" t="str">
        <f>[1]K_Summary!K929</f>
        <v/>
      </c>
      <c r="L939" s="406" t="str">
        <f>[1]K_Summary!L929</f>
        <v/>
      </c>
      <c r="M939" s="406" t="str">
        <f>[1]K_Summary!M929</f>
        <v/>
      </c>
      <c r="N939" s="596" t="str">
        <f>[1]K_Summary!N929</f>
        <v>Median</v>
      </c>
    </row>
    <row r="940" spans="2:19" ht="12.75" customHeight="1" x14ac:dyDescent="0.25">
      <c r="B940" s="284"/>
      <c r="C940" s="302"/>
      <c r="D940" s="302"/>
      <c r="E940" s="614" t="str">
        <f>[1]K_Summary!E930</f>
        <v>Стойности, използвани за изчислението на HAL:</v>
      </c>
      <c r="F940" s="388"/>
      <c r="G940" s="615"/>
      <c r="H940" s="600" t="str">
        <f>[1]K_Summary!H930</f>
        <v>тона</v>
      </c>
      <c r="I940" s="406" t="str">
        <f>[1]K_Summary!I930</f>
        <v/>
      </c>
      <c r="J940" s="406" t="str">
        <f>[1]K_Summary!J930</f>
        <v/>
      </c>
      <c r="K940" s="406" t="str">
        <f>[1]K_Summary!K930</f>
        <v/>
      </c>
      <c r="L940" s="406" t="str">
        <f>[1]K_Summary!L930</f>
        <v/>
      </c>
      <c r="M940" s="406" t="str">
        <f>[1]K_Summary!M930</f>
        <v/>
      </c>
      <c r="N940" s="406" t="str">
        <f>[1]K_Summary!N930</f>
        <v/>
      </c>
    </row>
    <row r="941" spans="2:19" ht="12.75" customHeight="1" x14ac:dyDescent="0.25">
      <c r="B941" s="284"/>
      <c r="C941" s="302"/>
      <c r="D941" s="302"/>
      <c r="E941" s="360"/>
      <c r="F941" s="360"/>
      <c r="G941" s="360"/>
      <c r="H941" s="360"/>
      <c r="I941" s="360"/>
      <c r="J941" s="360"/>
      <c r="K941" s="360"/>
      <c r="L941" s="360"/>
      <c r="M941" s="364"/>
      <c r="N941" s="364"/>
    </row>
    <row r="942" spans="2:19" ht="12.75" customHeight="1" x14ac:dyDescent="0.25">
      <c r="B942" s="284"/>
      <c r="C942" s="302"/>
      <c r="D942" s="302"/>
      <c r="E942" s="616" t="str">
        <f>[1]K_Summary!E932</f>
        <v>Съответно потребление на електроенергия</v>
      </c>
      <c r="F942" s="616"/>
      <c r="G942" s="616"/>
      <c r="H942" s="617" t="str">
        <f>[1]K_Summary!H932</f>
        <v>MWh / година</v>
      </c>
      <c r="I942" s="618" t="str">
        <f>[1]K_Summary!I932</f>
        <v/>
      </c>
      <c r="J942" s="618" t="str">
        <f>[1]K_Summary!J932</f>
        <v/>
      </c>
      <c r="K942" s="618" t="str">
        <f>[1]K_Summary!K932</f>
        <v/>
      </c>
      <c r="L942" s="618" t="str">
        <f>[1]K_Summary!L932</f>
        <v/>
      </c>
      <c r="M942" s="618" t="str">
        <f>[1]K_Summary!M932</f>
        <v/>
      </c>
      <c r="N942" s="302"/>
    </row>
    <row r="943" spans="2:19" ht="12.75" customHeight="1" x14ac:dyDescent="0.25">
      <c r="B943" s="284"/>
      <c r="C943" s="302"/>
      <c r="D943" s="302"/>
      <c r="E943" s="360"/>
      <c r="F943" s="360"/>
      <c r="G943" s="360"/>
      <c r="H943" s="360"/>
      <c r="I943" s="360"/>
      <c r="J943" s="360"/>
      <c r="K943" s="360"/>
      <c r="L943" s="360"/>
      <c r="M943" s="364"/>
      <c r="N943" s="364"/>
    </row>
    <row r="944" spans="2:19" ht="12.75" customHeight="1" thickBot="1" x14ac:dyDescent="0.3">
      <c r="B944" s="284"/>
      <c r="C944" s="364"/>
      <c r="D944" s="302"/>
      <c r="E944" s="360"/>
      <c r="F944" s="619" t="str">
        <f>[1]K_Summary!F934</f>
        <v>Общо HAL</v>
      </c>
      <c r="G944" s="620"/>
      <c r="H944" s="364"/>
      <c r="I944" s="619" t="str">
        <f>[1]K_Summary!I934</f>
        <v>Предв. разпр. за год. 1 (мин)</v>
      </c>
      <c r="J944" s="620"/>
      <c r="K944" s="619" t="str">
        <f>[1]K_Summary!K934</f>
        <v>Предв. разпр. за год. 1 (макс)</v>
      </c>
      <c r="L944" s="620"/>
      <c r="M944" s="619" t="str">
        <f>[1]K_Summary!M934</f>
        <v>Предв. разпр. за год. 1 (действ.)</v>
      </c>
      <c r="N944" s="620"/>
    </row>
    <row r="945" spans="2:14" ht="12.75" customHeight="1" thickBot="1" x14ac:dyDescent="0.3">
      <c r="B945" s="284"/>
      <c r="C945" s="364"/>
      <c r="D945" s="364"/>
      <c r="E945" s="360"/>
      <c r="F945" s="621" t="str">
        <f>[1]K_Summary!F935</f>
        <v/>
      </c>
      <c r="G945" s="622" t="str">
        <f>[1]K_Summary!G935</f>
        <v>тона / година</v>
      </c>
      <c r="H945" s="364"/>
      <c r="I945" s="623" t="str">
        <f>[1]K_Summary!I935</f>
        <v/>
      </c>
      <c r="J945" s="624" t="str">
        <f>[1]K_Summary!J935</f>
        <v>Квота за емисии / година</v>
      </c>
      <c r="K945" s="623" t="str">
        <f>[1]K_Summary!K935</f>
        <v/>
      </c>
      <c r="L945" s="624" t="str">
        <f>[1]K_Summary!L935</f>
        <v>Квота за емисии / година</v>
      </c>
      <c r="M945" s="623" t="str">
        <f>[1]K_Summary!M935</f>
        <v/>
      </c>
      <c r="N945" s="624" t="str">
        <f>[1]K_Summary!N935</f>
        <v>Квота за емисии / година</v>
      </c>
    </row>
    <row r="946" spans="2:14" ht="12.75" customHeight="1" x14ac:dyDescent="0.25">
      <c r="B946" s="284"/>
      <c r="C946" s="302"/>
      <c r="D946" s="364"/>
      <c r="E946" s="360"/>
      <c r="F946" s="302"/>
      <c r="G946" s="302"/>
      <c r="H946" s="302"/>
      <c r="I946" s="302"/>
      <c r="J946" s="302"/>
      <c r="K946" s="302"/>
      <c r="L946" s="302"/>
      <c r="M946" s="302"/>
      <c r="N946" s="302"/>
    </row>
    <row r="947" spans="2:14" ht="12.75" customHeight="1" x14ac:dyDescent="0.25">
      <c r="B947" s="284"/>
      <c r="C947" s="302"/>
      <c r="D947" s="302"/>
      <c r="E947" s="625"/>
      <c r="F947" s="626"/>
      <c r="G947" s="626"/>
      <c r="H947" s="626"/>
      <c r="I947" s="626"/>
      <c r="J947" s="626"/>
      <c r="K947" s="626"/>
      <c r="L947" s="626"/>
      <c r="M947" s="626"/>
      <c r="N947" s="626"/>
    </row>
    <row r="948" spans="2:14" ht="12.75" customHeight="1" thickBot="1" x14ac:dyDescent="0.3">
      <c r="B948" s="284"/>
      <c r="C948" s="302"/>
      <c r="D948" s="302"/>
      <c r="E948" s="625"/>
      <c r="F948" s="626"/>
      <c r="G948" s="626"/>
      <c r="H948" s="627" t="str">
        <f>[1]K_Summary!H938</f>
        <v>Единица мярка</v>
      </c>
      <c r="I948" s="628">
        <f>[1]K_Summary!I938</f>
        <v>2019</v>
      </c>
      <c r="J948" s="629">
        <f>[1]K_Summary!J938</f>
        <v>2020</v>
      </c>
      <c r="K948" s="629">
        <f>[1]K_Summary!K938</f>
        <v>2021</v>
      </c>
      <c r="L948" s="629">
        <f>[1]K_Summary!L938</f>
        <v>2022</v>
      </c>
      <c r="M948" s="629">
        <f>[1]K_Summary!M938</f>
        <v>2023</v>
      </c>
      <c r="N948" s="626"/>
    </row>
    <row r="949" spans="2:14" ht="12.75" customHeight="1" thickBot="1" x14ac:dyDescent="0.3">
      <c r="B949" s="284"/>
      <c r="C949" s="302"/>
      <c r="D949" s="302"/>
      <c r="E949" s="630" t="str">
        <f>[1]K_Summary!E939</f>
        <v>Общо зададени емисии</v>
      </c>
      <c r="F949" s="630"/>
      <c r="G949" s="630"/>
      <c r="H949" s="631" t="str">
        <f>[1]K_Summary!H939</f>
        <v>t CO2e/година</v>
      </c>
      <c r="I949" s="632" t="str">
        <f>[1]K_Summary!I939</f>
        <v/>
      </c>
      <c r="J949" s="633" t="str">
        <f>[1]K_Summary!J939</f>
        <v/>
      </c>
      <c r="K949" s="633" t="str">
        <f>[1]K_Summary!K939</f>
        <v/>
      </c>
      <c r="L949" s="633" t="str">
        <f>[1]K_Summary!L939</f>
        <v/>
      </c>
      <c r="M949" s="634" t="str">
        <f>[1]K_Summary!M939</f>
        <v/>
      </c>
      <c r="N949" s="626"/>
    </row>
    <row r="950" spans="2:14" ht="12.75" customHeight="1" x14ac:dyDescent="0.25">
      <c r="B950" s="284"/>
      <c r="C950" s="302"/>
      <c r="D950" s="302"/>
      <c r="E950" s="625"/>
      <c r="F950" s="625"/>
      <c r="G950" s="625"/>
      <c r="H950" s="625"/>
      <c r="I950" s="635"/>
      <c r="J950" s="635"/>
      <c r="K950" s="635"/>
      <c r="L950" s="635"/>
      <c r="M950" s="635"/>
      <c r="N950" s="625"/>
    </row>
    <row r="951" spans="2:14" ht="12.75" customHeight="1" x14ac:dyDescent="0.25">
      <c r="B951" s="284"/>
      <c r="C951" s="302"/>
      <c r="D951" s="302"/>
      <c r="E951" s="636" t="str">
        <f>[1]K_Summary!E941</f>
        <v>Обща вложена енергия</v>
      </c>
      <c r="F951" s="636"/>
      <c r="G951" s="636"/>
      <c r="H951" s="637" t="str">
        <f>[1]K_Summary!H941</f>
        <v>TJ / година</v>
      </c>
      <c r="I951" s="482" t="str">
        <f>[1]K_Summary!I941</f>
        <v/>
      </c>
      <c r="J951" s="482" t="str">
        <f>[1]K_Summary!J941</f>
        <v/>
      </c>
      <c r="K951" s="482" t="str">
        <f>[1]K_Summary!K941</f>
        <v/>
      </c>
      <c r="L951" s="482" t="str">
        <f>[1]K_Summary!L941</f>
        <v/>
      </c>
      <c r="M951" s="482" t="str">
        <f>[1]K_Summary!M941</f>
        <v/>
      </c>
      <c r="N951" s="626"/>
    </row>
    <row r="952" spans="2:14" ht="12.75" customHeight="1" x14ac:dyDescent="0.25">
      <c r="B952" s="284"/>
      <c r="C952" s="302"/>
      <c r="D952" s="302"/>
      <c r="E952" s="638" t="str">
        <f>[1]K_Summary!E942</f>
        <v>Претеглен емисионен фактор</v>
      </c>
      <c r="F952" s="638"/>
      <c r="G952" s="638"/>
      <c r="H952" s="639" t="str">
        <f>[1]K_Summary!H942</f>
        <v>t CO2 / TJ</v>
      </c>
      <c r="I952" s="484" t="str">
        <f>[1]K_Summary!I942</f>
        <v/>
      </c>
      <c r="J952" s="484" t="str">
        <f>[1]K_Summary!J942</f>
        <v/>
      </c>
      <c r="K952" s="484" t="str">
        <f>[1]K_Summary!K942</f>
        <v/>
      </c>
      <c r="L952" s="484" t="str">
        <f>[1]K_Summary!L942</f>
        <v/>
      </c>
      <c r="M952" s="484" t="str">
        <f>[1]K_Summary!M942</f>
        <v/>
      </c>
      <c r="N952" s="626"/>
    </row>
    <row r="953" spans="2:14" ht="12.75" customHeight="1" x14ac:dyDescent="0.25">
      <c r="B953" s="284"/>
      <c r="C953" s="302"/>
      <c r="D953" s="364"/>
      <c r="E953" s="625"/>
      <c r="F953" s="626"/>
      <c r="G953" s="626"/>
      <c r="H953" s="626"/>
      <c r="I953" s="640"/>
      <c r="J953" s="640"/>
      <c r="K953" s="640"/>
      <c r="L953" s="640"/>
      <c r="M953" s="640"/>
      <c r="N953" s="626"/>
    </row>
    <row r="954" spans="2:14" ht="12.75" customHeight="1" x14ac:dyDescent="0.25">
      <c r="B954" s="284"/>
      <c r="C954" s="302"/>
      <c r="D954" s="364"/>
      <c r="E954" s="641" t="str">
        <f>[1]K_Summary!E944</f>
        <v>Преки емисии</v>
      </c>
      <c r="F954" s="641"/>
      <c r="G954" s="641"/>
      <c r="H954" s="642" t="str">
        <f>[1]K_Summary!H944</f>
        <v>t CO2 / година</v>
      </c>
      <c r="I954" s="499" t="str">
        <f>[1]K_Summary!I944</f>
        <v/>
      </c>
      <c r="J954" s="499" t="str">
        <f>[1]K_Summary!J944</f>
        <v/>
      </c>
      <c r="K954" s="499" t="str">
        <f>[1]K_Summary!K944</f>
        <v/>
      </c>
      <c r="L954" s="499" t="str">
        <f>[1]K_Summary!L944</f>
        <v/>
      </c>
      <c r="M954" s="499" t="str">
        <f>[1]K_Summary!M944</f>
        <v/>
      </c>
      <c r="N954" s="626"/>
    </row>
    <row r="955" spans="2:14" ht="12.75" customHeight="1" x14ac:dyDescent="0.25">
      <c r="B955" s="284"/>
      <c r="C955" s="302"/>
      <c r="D955" s="364"/>
      <c r="E955" s="641" t="str">
        <f>[1]K_Summary!E945</f>
        <v>Други потоци горива и материали пораждащи емисии — 1</v>
      </c>
      <c r="F955" s="641"/>
      <c r="G955" s="641"/>
      <c r="H955" s="642" t="str">
        <f>[1]K_Summary!H945</f>
        <v>t CO2 / година</v>
      </c>
      <c r="I955" s="499" t="str">
        <f>[1]K_Summary!I945</f>
        <v/>
      </c>
      <c r="J955" s="499" t="str">
        <f>[1]K_Summary!J945</f>
        <v/>
      </c>
      <c r="K955" s="499" t="str">
        <f>[1]K_Summary!K945</f>
        <v/>
      </c>
      <c r="L955" s="499" t="str">
        <f>[1]K_Summary!L945</f>
        <v/>
      </c>
      <c r="M955" s="499" t="str">
        <f>[1]K_Summary!M945</f>
        <v/>
      </c>
      <c r="N955" s="626"/>
    </row>
    <row r="956" spans="2:14" ht="12.75" customHeight="1" x14ac:dyDescent="0.25">
      <c r="B956" s="284"/>
      <c r="C956" s="302"/>
      <c r="D956" s="364"/>
      <c r="E956" s="641" t="str">
        <f>[1]K_Summary!E946</f>
        <v>Други потоци горива и материали пораждащи емисии — 2</v>
      </c>
      <c r="F956" s="641"/>
      <c r="G956" s="641"/>
      <c r="H956" s="642" t="str">
        <f>[1]K_Summary!H946</f>
        <v>t CO2 / година</v>
      </c>
      <c r="I956" s="499" t="str">
        <f>[1]K_Summary!I946</f>
        <v/>
      </c>
      <c r="J956" s="499" t="str">
        <f>[1]K_Summary!J946</f>
        <v/>
      </c>
      <c r="K956" s="499" t="str">
        <f>[1]K_Summary!K946</f>
        <v/>
      </c>
      <c r="L956" s="499" t="str">
        <f>[1]K_Summary!L946</f>
        <v/>
      </c>
      <c r="M956" s="499" t="str">
        <f>[1]K_Summary!M946</f>
        <v/>
      </c>
      <c r="N956" s="626"/>
    </row>
    <row r="957" spans="2:14" ht="12.75" customHeight="1" x14ac:dyDescent="0.25">
      <c r="B957" s="284"/>
      <c r="C957" s="302"/>
      <c r="D957" s="302"/>
      <c r="E957" s="641" t="str">
        <f>[1]K_Summary!E947</f>
        <v>Получени или подадени парникови газове</v>
      </c>
      <c r="F957" s="641"/>
      <c r="G957" s="641"/>
      <c r="H957" s="642" t="str">
        <f>[1]K_Summary!H947</f>
        <v>t CO2e/година</v>
      </c>
      <c r="I957" s="499" t="str">
        <f>[1]K_Summary!I947</f>
        <v/>
      </c>
      <c r="J957" s="499" t="str">
        <f>[1]K_Summary!J947</f>
        <v/>
      </c>
      <c r="K957" s="499" t="str">
        <f>[1]K_Summary!K947</f>
        <v/>
      </c>
      <c r="L957" s="499" t="str">
        <f>[1]K_Summary!L947</f>
        <v/>
      </c>
      <c r="M957" s="499" t="str">
        <f>[1]K_Summary!M947</f>
        <v/>
      </c>
      <c r="N957" s="626"/>
    </row>
    <row r="958" spans="2:14" ht="12.75" customHeight="1" x14ac:dyDescent="0.25">
      <c r="B958" s="284"/>
      <c r="C958" s="302"/>
      <c r="D958" s="302"/>
      <c r="E958" s="626"/>
      <c r="F958" s="626"/>
      <c r="G958" s="626"/>
      <c r="H958" s="626"/>
      <c r="I958" s="640"/>
      <c r="J958" s="640"/>
      <c r="K958" s="640"/>
      <c r="L958" s="640"/>
      <c r="M958" s="640"/>
      <c r="N958" s="626"/>
    </row>
    <row r="959" spans="2:14" ht="12.75" customHeight="1" x14ac:dyDescent="0.25">
      <c r="B959" s="284"/>
      <c r="C959" s="302"/>
      <c r="D959" s="302"/>
      <c r="E959" s="636" t="str">
        <f>[1]K_Summary!E949</f>
        <v>Нетно количество получена топлинна енергия</v>
      </c>
      <c r="F959" s="636"/>
      <c r="G959" s="636"/>
      <c r="H959" s="637" t="str">
        <f>[1]K_Summary!H949</f>
        <v>TJ / година</v>
      </c>
      <c r="I959" s="482" t="str">
        <f>[1]K_Summary!I949</f>
        <v/>
      </c>
      <c r="J959" s="482" t="str">
        <f>[1]K_Summary!J949</f>
        <v/>
      </c>
      <c r="K959" s="482" t="str">
        <f>[1]K_Summary!K949</f>
        <v/>
      </c>
      <c r="L959" s="482" t="str">
        <f>[1]K_Summary!L949</f>
        <v/>
      </c>
      <c r="M959" s="482" t="str">
        <f>[1]K_Summary!M949</f>
        <v/>
      </c>
      <c r="N959" s="626"/>
    </row>
    <row r="960" spans="2:14" ht="12.75" customHeight="1" x14ac:dyDescent="0.25">
      <c r="B960" s="284"/>
      <c r="C960" s="302"/>
      <c r="D960" s="302"/>
      <c r="E960" s="638" t="str">
        <f>[1]K_Summary!E950</f>
        <v>Специфичен EF (получена топлинна енергия)</v>
      </c>
      <c r="F960" s="638"/>
      <c r="G960" s="638"/>
      <c r="H960" s="639" t="str">
        <f>[1]K_Summary!H950</f>
        <v>t CO2 / TJ</v>
      </c>
      <c r="I960" s="484" t="str">
        <f>[1]K_Summary!I950</f>
        <v/>
      </c>
      <c r="J960" s="484" t="str">
        <f>[1]K_Summary!J950</f>
        <v/>
      </c>
      <c r="K960" s="484" t="str">
        <f>[1]K_Summary!K950</f>
        <v/>
      </c>
      <c r="L960" s="484" t="str">
        <f>[1]K_Summary!L950</f>
        <v/>
      </c>
      <c r="M960" s="484" t="str">
        <f>[1]K_Summary!M950</f>
        <v/>
      </c>
      <c r="N960" s="626"/>
    </row>
    <row r="961" spans="2:14" ht="12.75" customHeight="1" x14ac:dyDescent="0.25">
      <c r="B961" s="284"/>
      <c r="C961" s="302"/>
      <c r="D961" s="302"/>
      <c r="E961" s="625"/>
      <c r="F961" s="626"/>
      <c r="G961" s="626"/>
      <c r="H961" s="626"/>
      <c r="I961" s="640"/>
      <c r="J961" s="640"/>
      <c r="K961" s="640"/>
      <c r="L961" s="640"/>
      <c r="M961" s="640"/>
      <c r="N961" s="626"/>
    </row>
    <row r="962" spans="2:14" ht="12.75" customHeight="1" x14ac:dyDescent="0.25">
      <c r="B962" s="284"/>
      <c r="C962" s="302"/>
      <c r="D962" s="302"/>
      <c r="E962" s="641" t="str">
        <f>[1]K_Summary!E952</f>
        <v>Нетно количество топлинна енергия, получена от пулп</v>
      </c>
      <c r="F962" s="641"/>
      <c r="G962" s="641"/>
      <c r="H962" s="642" t="str">
        <f>[1]K_Summary!H952</f>
        <v>TJ / година</v>
      </c>
      <c r="I962" s="480" t="str">
        <f>[1]K_Summary!I952</f>
        <v/>
      </c>
      <c r="J962" s="480" t="str">
        <f>[1]K_Summary!J952</f>
        <v/>
      </c>
      <c r="K962" s="480" t="str">
        <f>[1]K_Summary!K952</f>
        <v/>
      </c>
      <c r="L962" s="480" t="str">
        <f>[1]K_Summary!L952</f>
        <v/>
      </c>
      <c r="M962" s="480" t="str">
        <f>[1]K_Summary!M952</f>
        <v/>
      </c>
      <c r="N962" s="626"/>
    </row>
    <row r="963" spans="2:14" ht="12.75" customHeight="1" x14ac:dyDescent="0.25">
      <c r="B963" s="284"/>
      <c r="C963" s="302"/>
      <c r="D963" s="302"/>
      <c r="E963" s="641" t="str">
        <f>[1]K_Summary!E953</f>
        <v>Нетно количество топлинна енергия, получена от подинсталации за азотна киселина</v>
      </c>
      <c r="F963" s="641"/>
      <c r="G963" s="641"/>
      <c r="H963" s="642" t="str">
        <f>[1]K_Summary!H953</f>
        <v>TJ / година</v>
      </c>
      <c r="I963" s="480" t="str">
        <f>[1]K_Summary!I953</f>
        <v/>
      </c>
      <c r="J963" s="480" t="str">
        <f>[1]K_Summary!J953</f>
        <v/>
      </c>
      <c r="K963" s="480" t="str">
        <f>[1]K_Summary!K953</f>
        <v/>
      </c>
      <c r="L963" s="480" t="str">
        <f>[1]K_Summary!L953</f>
        <v/>
      </c>
      <c r="M963" s="480" t="str">
        <f>[1]K_Summary!M953</f>
        <v/>
      </c>
      <c r="N963" s="626"/>
    </row>
    <row r="964" spans="2:14" ht="12.75" customHeight="1" x14ac:dyDescent="0.25">
      <c r="B964" s="284"/>
      <c r="C964" s="302"/>
      <c r="D964" s="302"/>
      <c r="E964" s="625"/>
      <c r="F964" s="625"/>
      <c r="G964" s="625"/>
      <c r="H964" s="625"/>
      <c r="I964" s="640"/>
      <c r="J964" s="640"/>
      <c r="K964" s="640"/>
      <c r="L964" s="640"/>
      <c r="M964" s="640"/>
      <c r="N964" s="626"/>
    </row>
    <row r="965" spans="2:14" ht="12.75" customHeight="1" x14ac:dyDescent="0.25">
      <c r="B965" s="284"/>
      <c r="C965" s="302"/>
      <c r="D965" s="302"/>
      <c r="E965" s="636" t="str">
        <f>[1]K_Summary!E955</f>
        <v>Нетно количество подадена топлинна енергия</v>
      </c>
      <c r="F965" s="636"/>
      <c r="G965" s="636"/>
      <c r="H965" s="637" t="str">
        <f>[1]K_Summary!H955</f>
        <v>TJ / година</v>
      </c>
      <c r="I965" s="482" t="str">
        <f>[1]K_Summary!I955</f>
        <v/>
      </c>
      <c r="J965" s="482" t="str">
        <f>[1]K_Summary!J955</f>
        <v/>
      </c>
      <c r="K965" s="482" t="str">
        <f>[1]K_Summary!K955</f>
        <v/>
      </c>
      <c r="L965" s="482" t="str">
        <f>[1]K_Summary!L955</f>
        <v/>
      </c>
      <c r="M965" s="482" t="str">
        <f>[1]K_Summary!M955</f>
        <v/>
      </c>
      <c r="N965" s="626"/>
    </row>
    <row r="966" spans="2:14" ht="12.75" customHeight="1" x14ac:dyDescent="0.25">
      <c r="B966" s="284"/>
      <c r="C966" s="302"/>
      <c r="D966" s="302"/>
      <c r="E966" s="638" t="str">
        <f>[1]K_Summary!E956</f>
        <v>Специфичен EF (подадена топлинна енергия)</v>
      </c>
      <c r="F966" s="638"/>
      <c r="G966" s="638"/>
      <c r="H966" s="639" t="str">
        <f>[1]K_Summary!H956</f>
        <v>t CO2 / TJ</v>
      </c>
      <c r="I966" s="484" t="str">
        <f>[1]K_Summary!I956</f>
        <v/>
      </c>
      <c r="J966" s="484" t="str">
        <f>[1]K_Summary!J956</f>
        <v/>
      </c>
      <c r="K966" s="484" t="str">
        <f>[1]K_Summary!K956</f>
        <v/>
      </c>
      <c r="L966" s="484" t="str">
        <f>[1]K_Summary!L956</f>
        <v/>
      </c>
      <c r="M966" s="484" t="str">
        <f>[1]K_Summary!M956</f>
        <v/>
      </c>
      <c r="N966" s="626"/>
    </row>
    <row r="967" spans="2:14" ht="12.75" customHeight="1" x14ac:dyDescent="0.25">
      <c r="B967" s="284"/>
      <c r="C967" s="302"/>
      <c r="D967" s="302"/>
      <c r="E967" s="625"/>
      <c r="F967" s="625"/>
      <c r="G967" s="625"/>
      <c r="H967" s="625"/>
      <c r="I967" s="640"/>
      <c r="J967" s="640"/>
      <c r="K967" s="640"/>
      <c r="L967" s="640"/>
      <c r="M967" s="640"/>
      <c r="N967" s="626"/>
    </row>
    <row r="968" spans="2:14" ht="12.75" customHeight="1" x14ac:dyDescent="0.25">
      <c r="B968" s="284"/>
      <c r="C968" s="302"/>
      <c r="D968" s="302"/>
      <c r="E968" s="636" t="str">
        <f>[1]K_Summary!E958</f>
        <v>Произведен отпадъчен газ</v>
      </c>
      <c r="F968" s="636"/>
      <c r="G968" s="636"/>
      <c r="H968" s="637" t="str">
        <f>[1]K_Summary!H958</f>
        <v>TJ / година</v>
      </c>
      <c r="I968" s="482" t="str">
        <f>[1]K_Summary!I958</f>
        <v/>
      </c>
      <c r="J968" s="482" t="str">
        <f>[1]K_Summary!J958</f>
        <v/>
      </c>
      <c r="K968" s="482" t="str">
        <f>[1]K_Summary!K958</f>
        <v/>
      </c>
      <c r="L968" s="482" t="str">
        <f>[1]K_Summary!L958</f>
        <v/>
      </c>
      <c r="M968" s="482" t="str">
        <f>[1]K_Summary!M958</f>
        <v/>
      </c>
      <c r="N968" s="626"/>
    </row>
    <row r="969" spans="2:14" ht="12.75" customHeight="1" x14ac:dyDescent="0.25">
      <c r="B969" s="284"/>
      <c r="C969" s="302"/>
      <c r="D969" s="302"/>
      <c r="E969" s="638" t="str">
        <f>[1]K_Summary!E959</f>
        <v>Специфичен EF (произведен отпадъчен газ)</v>
      </c>
      <c r="F969" s="638"/>
      <c r="G969" s="638"/>
      <c r="H969" s="639" t="str">
        <f>[1]K_Summary!H959</f>
        <v>t CO2 / TJ</v>
      </c>
      <c r="I969" s="484" t="str">
        <f>[1]K_Summary!I959</f>
        <v/>
      </c>
      <c r="J969" s="484" t="str">
        <f>[1]K_Summary!J959</f>
        <v/>
      </c>
      <c r="K969" s="484" t="str">
        <f>[1]K_Summary!K959</f>
        <v/>
      </c>
      <c r="L969" s="484" t="str">
        <f>[1]K_Summary!L959</f>
        <v/>
      </c>
      <c r="M969" s="484" t="str">
        <f>[1]K_Summary!M959</f>
        <v/>
      </c>
      <c r="N969" s="626"/>
    </row>
    <row r="970" spans="2:14" ht="12.75" customHeight="1" x14ac:dyDescent="0.25">
      <c r="B970" s="284"/>
      <c r="C970" s="302"/>
      <c r="D970" s="302"/>
      <c r="E970" s="636" t="str">
        <f>[1]K_Summary!E960</f>
        <v>Консумиран отпадъчен газ</v>
      </c>
      <c r="F970" s="636"/>
      <c r="G970" s="636"/>
      <c r="H970" s="637" t="str">
        <f>[1]K_Summary!H960</f>
        <v>TJ / година</v>
      </c>
      <c r="I970" s="482" t="str">
        <f>[1]K_Summary!I960</f>
        <v/>
      </c>
      <c r="J970" s="482" t="str">
        <f>[1]K_Summary!J960</f>
        <v/>
      </c>
      <c r="K970" s="482" t="str">
        <f>[1]K_Summary!K960</f>
        <v/>
      </c>
      <c r="L970" s="482" t="str">
        <f>[1]K_Summary!L960</f>
        <v/>
      </c>
      <c r="M970" s="482" t="str">
        <f>[1]K_Summary!M960</f>
        <v/>
      </c>
      <c r="N970" s="626"/>
    </row>
    <row r="971" spans="2:14" ht="12.75" customHeight="1" x14ac:dyDescent="0.25">
      <c r="B971" s="284"/>
      <c r="C971" s="302"/>
      <c r="D971" s="302"/>
      <c r="E971" s="638" t="str">
        <f>[1]K_Summary!E961</f>
        <v>Специфичен EF (консумиран отпадъчен газ)</v>
      </c>
      <c r="F971" s="638"/>
      <c r="G971" s="638"/>
      <c r="H971" s="639" t="str">
        <f>[1]K_Summary!H961</f>
        <v>t CO2 / TJ</v>
      </c>
      <c r="I971" s="484" t="str">
        <f>[1]K_Summary!I961</f>
        <v/>
      </c>
      <c r="J971" s="484" t="str">
        <f>[1]K_Summary!J961</f>
        <v/>
      </c>
      <c r="K971" s="484" t="str">
        <f>[1]K_Summary!K961</f>
        <v/>
      </c>
      <c r="L971" s="484" t="str">
        <f>[1]K_Summary!L961</f>
        <v/>
      </c>
      <c r="M971" s="484" t="str">
        <f>[1]K_Summary!M961</f>
        <v/>
      </c>
      <c r="N971" s="626"/>
    </row>
    <row r="972" spans="2:14" ht="12.75" customHeight="1" x14ac:dyDescent="0.25">
      <c r="B972" s="284"/>
      <c r="C972" s="302"/>
      <c r="D972" s="302"/>
      <c r="E972" s="636" t="str">
        <f>[1]K_Summary!E962</f>
        <v>Изгорен във факел отпадъчен газ</v>
      </c>
      <c r="F972" s="636"/>
      <c r="G972" s="636"/>
      <c r="H972" s="637" t="str">
        <f>[1]K_Summary!H962</f>
        <v>TJ / година</v>
      </c>
      <c r="I972" s="482" t="str">
        <f>[1]K_Summary!I962</f>
        <v/>
      </c>
      <c r="J972" s="482" t="str">
        <f>[1]K_Summary!J962</f>
        <v/>
      </c>
      <c r="K972" s="482" t="str">
        <f>[1]K_Summary!K962</f>
        <v/>
      </c>
      <c r="L972" s="482" t="str">
        <f>[1]K_Summary!L962</f>
        <v/>
      </c>
      <c r="M972" s="482" t="str">
        <f>[1]K_Summary!M962</f>
        <v/>
      </c>
      <c r="N972" s="626"/>
    </row>
    <row r="973" spans="2:14" ht="12.75" customHeight="1" x14ac:dyDescent="0.25">
      <c r="B973" s="284"/>
      <c r="C973" s="302"/>
      <c r="D973" s="302"/>
      <c r="E973" s="638" t="str">
        <f>[1]K_Summary!E963</f>
        <v>Специфичен EF (изгорен във факел отпадъчен газ)</v>
      </c>
      <c r="F973" s="638"/>
      <c r="G973" s="638"/>
      <c r="H973" s="639" t="str">
        <f>[1]K_Summary!H963</f>
        <v>t CO2 / TJ</v>
      </c>
      <c r="I973" s="484" t="str">
        <f>[1]K_Summary!I963</f>
        <v/>
      </c>
      <c r="J973" s="484" t="str">
        <f>[1]K_Summary!J963</f>
        <v/>
      </c>
      <c r="K973" s="484" t="str">
        <f>[1]K_Summary!K963</f>
        <v/>
      </c>
      <c r="L973" s="484" t="str">
        <f>[1]K_Summary!L963</f>
        <v/>
      </c>
      <c r="M973" s="484" t="str">
        <f>[1]K_Summary!M963</f>
        <v/>
      </c>
      <c r="N973" s="626"/>
    </row>
    <row r="974" spans="2:14" ht="12.75" customHeight="1" x14ac:dyDescent="0.25">
      <c r="B974" s="284"/>
      <c r="C974" s="302"/>
      <c r="D974" s="302"/>
      <c r="E974" s="636" t="str">
        <f>[1]K_Summary!E964</f>
        <v>Получен отпадъчен газ</v>
      </c>
      <c r="F974" s="636"/>
      <c r="G974" s="636"/>
      <c r="H974" s="637" t="str">
        <f>[1]K_Summary!H964</f>
        <v>TJ / година</v>
      </c>
      <c r="I974" s="482" t="str">
        <f>[1]K_Summary!I964</f>
        <v/>
      </c>
      <c r="J974" s="482" t="str">
        <f>[1]K_Summary!J964</f>
        <v/>
      </c>
      <c r="K974" s="482" t="str">
        <f>[1]K_Summary!K964</f>
        <v/>
      </c>
      <c r="L974" s="482" t="str">
        <f>[1]K_Summary!L964</f>
        <v/>
      </c>
      <c r="M974" s="482" t="str">
        <f>[1]K_Summary!M964</f>
        <v/>
      </c>
      <c r="N974" s="626"/>
    </row>
    <row r="975" spans="2:14" ht="12.75" customHeight="1" x14ac:dyDescent="0.25">
      <c r="B975" s="284"/>
      <c r="C975" s="302"/>
      <c r="D975" s="302"/>
      <c r="E975" s="638" t="str">
        <f>[1]K_Summary!E965</f>
        <v>Специфичен EF (получен отпадъчен газ)</v>
      </c>
      <c r="F975" s="638"/>
      <c r="G975" s="638"/>
      <c r="H975" s="639" t="str">
        <f>[1]K_Summary!H965</f>
        <v>t CO2 / TJ</v>
      </c>
      <c r="I975" s="484" t="str">
        <f>[1]K_Summary!I965</f>
        <v/>
      </c>
      <c r="J975" s="484" t="str">
        <f>[1]K_Summary!J965</f>
        <v/>
      </c>
      <c r="K975" s="484" t="str">
        <f>[1]K_Summary!K965</f>
        <v/>
      </c>
      <c r="L975" s="484" t="str">
        <f>[1]K_Summary!L965</f>
        <v/>
      </c>
      <c r="M975" s="484" t="str">
        <f>[1]K_Summary!M965</f>
        <v/>
      </c>
      <c r="N975" s="626"/>
    </row>
    <row r="976" spans="2:14" ht="12.75" customHeight="1" x14ac:dyDescent="0.25">
      <c r="B976" s="284"/>
      <c r="C976" s="302"/>
      <c r="D976" s="302"/>
      <c r="E976" s="636" t="str">
        <f>[1]K_Summary!E966</f>
        <v>Подаден отпадъчен газ</v>
      </c>
      <c r="F976" s="636"/>
      <c r="G976" s="636"/>
      <c r="H976" s="637" t="str">
        <f>[1]K_Summary!H966</f>
        <v>TJ / година</v>
      </c>
      <c r="I976" s="482" t="str">
        <f>[1]K_Summary!I966</f>
        <v/>
      </c>
      <c r="J976" s="482" t="str">
        <f>[1]K_Summary!J966</f>
        <v/>
      </c>
      <c r="K976" s="482" t="str">
        <f>[1]K_Summary!K966</f>
        <v/>
      </c>
      <c r="L976" s="482" t="str">
        <f>[1]K_Summary!L966</f>
        <v/>
      </c>
      <c r="M976" s="482" t="str">
        <f>[1]K_Summary!M966</f>
        <v/>
      </c>
      <c r="N976" s="626"/>
    </row>
    <row r="977" spans="2:14" ht="12.75" customHeight="1" x14ac:dyDescent="0.25">
      <c r="B977" s="284"/>
      <c r="C977" s="302"/>
      <c r="D977" s="302"/>
      <c r="E977" s="638" t="str">
        <f>[1]K_Summary!E967</f>
        <v>Специфичен EF (подаден отпадъчен газ)</v>
      </c>
      <c r="F977" s="638"/>
      <c r="G977" s="638"/>
      <c r="H977" s="639" t="str">
        <f>[1]K_Summary!H967</f>
        <v>t CO2 / TJ</v>
      </c>
      <c r="I977" s="484" t="str">
        <f>[1]K_Summary!I967</f>
        <v/>
      </c>
      <c r="J977" s="484" t="str">
        <f>[1]K_Summary!J967</f>
        <v/>
      </c>
      <c r="K977" s="484" t="str">
        <f>[1]K_Summary!K967</f>
        <v/>
      </c>
      <c r="L977" s="484" t="str">
        <f>[1]K_Summary!L967</f>
        <v/>
      </c>
      <c r="M977" s="484" t="str">
        <f>[1]K_Summary!M967</f>
        <v/>
      </c>
      <c r="N977" s="626"/>
    </row>
    <row r="978" spans="2:14" ht="12.75" customHeight="1" x14ac:dyDescent="0.25">
      <c r="B978" s="284"/>
      <c r="C978" s="302"/>
      <c r="D978" s="302"/>
      <c r="E978" s="625"/>
      <c r="F978" s="625"/>
      <c r="G978" s="625"/>
      <c r="H978" s="625"/>
      <c r="I978" s="640"/>
      <c r="J978" s="640"/>
      <c r="K978" s="640"/>
      <c r="L978" s="640"/>
      <c r="M978" s="640"/>
      <c r="N978" s="626"/>
    </row>
    <row r="979" spans="2:14" ht="12.75" customHeight="1" x14ac:dyDescent="0.25">
      <c r="B979" s="284"/>
      <c r="C979" s="302"/>
      <c r="D979" s="302"/>
      <c r="E979" s="641" t="str">
        <f>[1]K_Summary!E969</f>
        <v>Произведена електроенергия</v>
      </c>
      <c r="F979" s="641"/>
      <c r="G979" s="641"/>
      <c r="H979" s="642" t="str">
        <f>[1]K_Summary!H969</f>
        <v>MWh / година</v>
      </c>
      <c r="I979" s="480" t="str">
        <f>[1]K_Summary!I969</f>
        <v/>
      </c>
      <c r="J979" s="480" t="str">
        <f>[1]K_Summary!J969</f>
        <v/>
      </c>
      <c r="K979" s="480" t="str">
        <f>[1]K_Summary!K969</f>
        <v/>
      </c>
      <c r="L979" s="480" t="str">
        <f>[1]K_Summary!L969</f>
        <v/>
      </c>
      <c r="M979" s="480" t="str">
        <f>[1]K_Summary!M969</f>
        <v/>
      </c>
      <c r="N979" s="626"/>
    </row>
    <row r="980" spans="2:14" ht="12.75" customHeight="1" x14ac:dyDescent="0.25">
      <c r="B980" s="284"/>
      <c r="C980" s="302"/>
      <c r="D980" s="302"/>
      <c r="E980" s="625"/>
      <c r="F980" s="625"/>
      <c r="G980" s="625"/>
      <c r="H980" s="625"/>
      <c r="I980" s="640"/>
      <c r="J980" s="640"/>
      <c r="K980" s="640"/>
      <c r="L980" s="640"/>
      <c r="M980" s="640"/>
      <c r="N980" s="626"/>
    </row>
    <row r="981" spans="2:14" ht="12.75" customHeight="1" x14ac:dyDescent="0.25">
      <c r="B981" s="284"/>
      <c r="C981" s="302"/>
      <c r="D981" s="302"/>
      <c r="E981" s="643" t="str">
        <f>[1]K_Summary!E971</f>
        <v>Междинно получаване:</v>
      </c>
      <c r="F981" s="625"/>
      <c r="G981" s="625"/>
      <c r="H981" s="625"/>
      <c r="I981" s="640"/>
      <c r="J981" s="640"/>
      <c r="K981" s="640"/>
      <c r="L981" s="640"/>
      <c r="M981" s="640"/>
      <c r="N981" s="626"/>
    </row>
    <row r="982" spans="2:14" ht="12.75" customHeight="1" x14ac:dyDescent="0.25">
      <c r="B982" s="284"/>
      <c r="C982" s="302"/>
      <c r="D982" s="302"/>
      <c r="E982" s="381" t="str">
        <f>[1]K_Summary!E972</f>
        <v/>
      </c>
      <c r="F982" s="381"/>
      <c r="G982" s="381"/>
      <c r="H982" s="642" t="str">
        <f>[1]K_Summary!H972</f>
        <v>тона</v>
      </c>
      <c r="I982" s="499" t="str">
        <f>[1]K_Summary!I972</f>
        <v/>
      </c>
      <c r="J982" s="499" t="str">
        <f>[1]K_Summary!J972</f>
        <v/>
      </c>
      <c r="K982" s="499" t="str">
        <f>[1]K_Summary!K972</f>
        <v/>
      </c>
      <c r="L982" s="499" t="str">
        <f>[1]K_Summary!L972</f>
        <v/>
      </c>
      <c r="M982" s="499" t="str">
        <f>[1]K_Summary!M972</f>
        <v/>
      </c>
      <c r="N982" s="626"/>
    </row>
    <row r="983" spans="2:14" ht="12.75" customHeight="1" x14ac:dyDescent="0.25">
      <c r="B983" s="284"/>
      <c r="C983" s="302"/>
      <c r="D983" s="302"/>
      <c r="E983" s="381" t="str">
        <f>[1]K_Summary!E973</f>
        <v/>
      </c>
      <c r="F983" s="381"/>
      <c r="G983" s="381"/>
      <c r="H983" s="642" t="str">
        <f>[1]K_Summary!H973</f>
        <v>тона</v>
      </c>
      <c r="I983" s="499" t="str">
        <f>[1]K_Summary!I973</f>
        <v/>
      </c>
      <c r="J983" s="499" t="str">
        <f>[1]K_Summary!J973</f>
        <v/>
      </c>
      <c r="K983" s="499" t="str">
        <f>[1]K_Summary!K973</f>
        <v/>
      </c>
      <c r="L983" s="499" t="str">
        <f>[1]K_Summary!L973</f>
        <v/>
      </c>
      <c r="M983" s="499" t="str">
        <f>[1]K_Summary!M973</f>
        <v/>
      </c>
      <c r="N983" s="626"/>
    </row>
    <row r="984" spans="2:14" ht="12.75" customHeight="1" x14ac:dyDescent="0.25">
      <c r="B984" s="284"/>
      <c r="C984" s="302"/>
      <c r="D984" s="302"/>
      <c r="E984" s="643" t="str">
        <f>[1]K_Summary!E974</f>
        <v>Междинно подаване:</v>
      </c>
      <c r="F984" s="625"/>
      <c r="G984" s="625"/>
      <c r="H984" s="625"/>
      <c r="I984" s="644"/>
      <c r="J984" s="644"/>
      <c r="K984" s="644"/>
      <c r="L984" s="644"/>
      <c r="M984" s="644"/>
      <c r="N984" s="626"/>
    </row>
    <row r="985" spans="2:14" ht="12.75" customHeight="1" x14ac:dyDescent="0.25">
      <c r="B985" s="284"/>
      <c r="C985" s="302"/>
      <c r="D985" s="302"/>
      <c r="E985" s="381" t="str">
        <f>[1]K_Summary!E975</f>
        <v/>
      </c>
      <c r="F985" s="381"/>
      <c r="G985" s="381"/>
      <c r="H985" s="642" t="str">
        <f>[1]K_Summary!H975</f>
        <v>тона</v>
      </c>
      <c r="I985" s="499" t="str">
        <f>[1]K_Summary!I975</f>
        <v/>
      </c>
      <c r="J985" s="499" t="str">
        <f>[1]K_Summary!J975</f>
        <v/>
      </c>
      <c r="K985" s="499" t="str">
        <f>[1]K_Summary!K975</f>
        <v/>
      </c>
      <c r="L985" s="499" t="str">
        <f>[1]K_Summary!L975</f>
        <v/>
      </c>
      <c r="M985" s="499" t="str">
        <f>[1]K_Summary!M975</f>
        <v/>
      </c>
      <c r="N985" s="626"/>
    </row>
    <row r="986" spans="2:14" ht="12.75" customHeight="1" x14ac:dyDescent="0.25">
      <c r="B986" s="284"/>
      <c r="C986" s="302"/>
      <c r="D986" s="302"/>
      <c r="E986" s="381" t="str">
        <f>[1]K_Summary!E976</f>
        <v/>
      </c>
      <c r="F986" s="381"/>
      <c r="G986" s="381"/>
      <c r="H986" s="642" t="str">
        <f>[1]K_Summary!H976</f>
        <v>тона</v>
      </c>
      <c r="I986" s="499" t="str">
        <f>[1]K_Summary!I976</f>
        <v/>
      </c>
      <c r="J986" s="499" t="str">
        <f>[1]K_Summary!J976</f>
        <v/>
      </c>
      <c r="K986" s="499" t="str">
        <f>[1]K_Summary!K976</f>
        <v/>
      </c>
      <c r="L986" s="499" t="str">
        <f>[1]K_Summary!L976</f>
        <v/>
      </c>
      <c r="M986" s="499" t="str">
        <f>[1]K_Summary!M976</f>
        <v/>
      </c>
      <c r="N986" s="626"/>
    </row>
    <row r="987" spans="2:14" ht="12.75" customHeight="1" x14ac:dyDescent="0.25">
      <c r="B987" s="284"/>
      <c r="C987" s="302"/>
      <c r="D987" s="302"/>
      <c r="E987" s="625"/>
      <c r="F987" s="625"/>
      <c r="G987" s="625"/>
      <c r="H987" s="625"/>
      <c r="I987" s="626"/>
      <c r="J987" s="626"/>
      <c r="K987" s="626"/>
      <c r="L987" s="626"/>
      <c r="M987" s="626"/>
      <c r="N987" s="626"/>
    </row>
    <row r="988" spans="2:14" ht="12.75" customHeight="1" x14ac:dyDescent="0.25">
      <c r="B988" s="284"/>
      <c r="C988" s="302"/>
      <c r="D988" s="302"/>
      <c r="E988" s="645" t="str">
        <f>[1]K_Summary!E978</f>
        <v>Корекции за актуализиране на показателя при специфичен показател, когато е приложимо</v>
      </c>
      <c r="F988" s="645"/>
      <c r="G988" s="645"/>
      <c r="H988" s="645"/>
      <c r="I988" s="645"/>
      <c r="J988" s="645"/>
      <c r="K988" s="645"/>
      <c r="L988" s="645"/>
      <c r="M988" s="645"/>
      <c r="N988" s="626"/>
    </row>
    <row r="989" spans="2:14" ht="12.75" customHeight="1" x14ac:dyDescent="0.25">
      <c r="B989" s="284"/>
      <c r="C989" s="302"/>
      <c r="D989" s="302"/>
      <c r="E989" s="641" t="str">
        <f>[1]K_Summary!E979</f>
        <v>Общо количество произведен пулп</v>
      </c>
      <c r="F989" s="641"/>
      <c r="G989" s="641"/>
      <c r="H989" s="642" t="str">
        <f>[1]K_Summary!H979</f>
        <v>тона</v>
      </c>
      <c r="I989" s="499" t="str">
        <f>[1]K_Summary!I979</f>
        <v/>
      </c>
      <c r="J989" s="499" t="str">
        <f>[1]K_Summary!J979</f>
        <v/>
      </c>
      <c r="K989" s="499" t="str">
        <f>[1]K_Summary!K979</f>
        <v/>
      </c>
      <c r="L989" s="499" t="str">
        <f>[1]K_Summary!L979</f>
        <v/>
      </c>
      <c r="M989" s="499" t="str">
        <f>[1]K_Summary!M979</f>
        <v/>
      </c>
      <c r="N989" s="626"/>
    </row>
    <row r="990" spans="2:14" ht="12.75" customHeight="1" x14ac:dyDescent="0.25">
      <c r="B990" s="284"/>
      <c r="C990" s="302"/>
      <c r="D990" s="302"/>
      <c r="E990" s="625"/>
      <c r="F990" s="625"/>
      <c r="G990" s="625"/>
      <c r="H990" s="625"/>
      <c r="I990" s="644"/>
      <c r="J990" s="644"/>
      <c r="K990" s="644"/>
      <c r="L990" s="644"/>
      <c r="M990" s="644"/>
      <c r="N990" s="626"/>
    </row>
    <row r="991" spans="2:14" ht="12.75" customHeight="1" x14ac:dyDescent="0.25">
      <c r="B991" s="284"/>
      <c r="C991" s="302"/>
      <c r="D991" s="302"/>
      <c r="E991" s="641" t="str">
        <f>[1]K_Summary!E981</f>
        <v>Производство на водород (действително + теоретично)</v>
      </c>
      <c r="F991" s="641"/>
      <c r="G991" s="641"/>
      <c r="H991" s="642" t="str">
        <f>[1]K_Summary!H981</f>
        <v>тона</v>
      </c>
      <c r="I991" s="499" t="str">
        <f>[1]K_Summary!I981</f>
        <v/>
      </c>
      <c r="J991" s="499" t="str">
        <f>[1]K_Summary!J981</f>
        <v/>
      </c>
      <c r="K991" s="499" t="str">
        <f>[1]K_Summary!K981</f>
        <v/>
      </c>
      <c r="L991" s="499" t="str">
        <f>[1]K_Summary!L981</f>
        <v/>
      </c>
      <c r="M991" s="499" t="str">
        <f>[1]K_Summary!M981</f>
        <v/>
      </c>
      <c r="N991" s="626"/>
    </row>
    <row r="992" spans="2:14" ht="12.75" customHeight="1" x14ac:dyDescent="0.25">
      <c r="B992" s="284"/>
      <c r="C992" s="302"/>
      <c r="D992" s="302"/>
      <c r="E992" s="641" t="str">
        <f>[1]K_Summary!E982</f>
        <v>Емисии във връзка с водород</v>
      </c>
      <c r="F992" s="641"/>
      <c r="G992" s="641"/>
      <c r="H992" s="642" t="str">
        <f>[1]K_Summary!H982</f>
        <v>t CO2 / година</v>
      </c>
      <c r="I992" s="499" t="str">
        <f>[1]K_Summary!I982</f>
        <v/>
      </c>
      <c r="J992" s="499" t="str">
        <f>[1]K_Summary!J982</f>
        <v/>
      </c>
      <c r="K992" s="499" t="str">
        <f>[1]K_Summary!K982</f>
        <v/>
      </c>
      <c r="L992" s="499" t="str">
        <f>[1]K_Summary!L982</f>
        <v/>
      </c>
      <c r="M992" s="499" t="str">
        <f>[1]K_Summary!M982</f>
        <v/>
      </c>
      <c r="N992" s="626"/>
    </row>
    <row r="993" spans="2:19" ht="12.75" customHeight="1" x14ac:dyDescent="0.25">
      <c r="B993" s="284"/>
      <c r="C993" s="302"/>
      <c r="D993" s="302"/>
      <c r="E993" s="625"/>
      <c r="F993" s="625"/>
      <c r="G993" s="625"/>
      <c r="H993" s="625"/>
      <c r="I993" s="644"/>
      <c r="J993" s="644"/>
      <c r="K993" s="644"/>
      <c r="L993" s="644"/>
      <c r="M993" s="644"/>
      <c r="N993" s="626"/>
    </row>
    <row r="994" spans="2:19" ht="12.75" customHeight="1" x14ac:dyDescent="0.25">
      <c r="B994" s="284"/>
      <c r="C994" s="302"/>
      <c r="D994" s="302"/>
      <c r="E994" s="641" t="str">
        <f>[1]K_Summary!E984</f>
        <v>Корекция на емисиите във връзка с HVC</v>
      </c>
      <c r="F994" s="641"/>
      <c r="G994" s="641"/>
      <c r="H994" s="642" t="str">
        <f>[1]K_Summary!H984</f>
        <v>t CO2 / година</v>
      </c>
      <c r="I994" s="499" t="str">
        <f>[1]K_Summary!I984</f>
        <v/>
      </c>
      <c r="J994" s="499" t="str">
        <f>[1]K_Summary!J984</f>
        <v/>
      </c>
      <c r="K994" s="499" t="str">
        <f>[1]K_Summary!K984</f>
        <v/>
      </c>
      <c r="L994" s="499" t="str">
        <f>[1]K_Summary!L984</f>
        <v/>
      </c>
      <c r="M994" s="499" t="str">
        <f>[1]K_Summary!M984</f>
        <v/>
      </c>
      <c r="N994" s="626"/>
    </row>
    <row r="995" spans="2:19" ht="12.75" customHeight="1" x14ac:dyDescent="0.25">
      <c r="B995" s="284"/>
      <c r="C995" s="302"/>
      <c r="D995" s="302"/>
      <c r="E995" s="625"/>
      <c r="F995" s="625"/>
      <c r="G995" s="625"/>
      <c r="H995" s="625"/>
      <c r="I995" s="644"/>
      <c r="J995" s="644"/>
      <c r="K995" s="644"/>
      <c r="L995" s="644"/>
      <c r="M995" s="644"/>
      <c r="N995" s="626"/>
    </row>
    <row r="996" spans="2:19" ht="12.75" customHeight="1" x14ac:dyDescent="0.25">
      <c r="B996" s="284"/>
      <c r="C996" s="302"/>
      <c r="D996" s="302"/>
      <c r="E996" s="641" t="str">
        <f>[1]K_Summary!E986</f>
        <v>Корекция на емисиите във връзка с VCM</v>
      </c>
      <c r="F996" s="641"/>
      <c r="G996" s="641"/>
      <c r="H996" s="642" t="str">
        <f>[1]K_Summary!H986</f>
        <v>t CO2 / година</v>
      </c>
      <c r="I996" s="499" t="str">
        <f>[1]K_Summary!I986</f>
        <v/>
      </c>
      <c r="J996" s="499" t="str">
        <f>[1]K_Summary!J986</f>
        <v/>
      </c>
      <c r="K996" s="499" t="str">
        <f>[1]K_Summary!K986</f>
        <v/>
      </c>
      <c r="L996" s="499" t="str">
        <f>[1]K_Summary!L986</f>
        <v/>
      </c>
      <c r="M996" s="499" t="str">
        <f>[1]K_Summary!M986</f>
        <v/>
      </c>
      <c r="N996" s="626"/>
    </row>
    <row r="997" spans="2:19" ht="12.75" customHeight="1" x14ac:dyDescent="0.25">
      <c r="B997" s="284"/>
      <c r="C997" s="302"/>
      <c r="D997" s="302"/>
      <c r="E997" s="625"/>
      <c r="F997" s="625"/>
      <c r="G997" s="625"/>
      <c r="H997" s="625"/>
      <c r="I997" s="626"/>
      <c r="J997" s="626"/>
      <c r="K997" s="626"/>
      <c r="L997" s="626"/>
      <c r="M997" s="626"/>
      <c r="N997" s="626"/>
    </row>
    <row r="998" spans="2:19" ht="12.75" customHeight="1" thickBot="1" x14ac:dyDescent="0.3">
      <c r="B998" s="284"/>
      <c r="C998" s="302"/>
      <c r="D998" s="302"/>
      <c r="E998" s="646"/>
      <c r="F998" s="364"/>
      <c r="G998" s="364"/>
      <c r="H998" s="364"/>
      <c r="I998" s="364"/>
      <c r="J998" s="364"/>
      <c r="K998" s="364"/>
      <c r="L998" s="364"/>
      <c r="M998" s="364"/>
      <c r="N998" s="364"/>
    </row>
    <row r="999" spans="2:19" ht="12.75" customHeight="1" x14ac:dyDescent="0.25">
      <c r="B999" s="284"/>
      <c r="C999" s="581"/>
      <c r="D999" s="581"/>
      <c r="E999" s="581"/>
      <c r="F999" s="581"/>
      <c r="G999" s="581"/>
      <c r="H999" s="581"/>
      <c r="I999" s="581"/>
      <c r="J999" s="581"/>
      <c r="K999" s="581"/>
      <c r="L999" s="581"/>
      <c r="M999" s="581"/>
      <c r="N999" s="581"/>
    </row>
    <row r="1000" spans="2:19" ht="12.75" customHeight="1" x14ac:dyDescent="0.3">
      <c r="B1000" s="284"/>
      <c r="C1000" s="357">
        <f>[1]K_Summary!C990</f>
        <v>8</v>
      </c>
      <c r="D1000" s="590" t="str">
        <f>[1]K_Summary!D990</f>
        <v>Подинсталация с продуктов показател 8:</v>
      </c>
      <c r="E1000" s="590"/>
      <c r="F1000" s="590"/>
      <c r="G1000" s="590"/>
      <c r="H1000" s="591"/>
      <c r="I1000" s="592" t="str">
        <f>[1]K_Summary!I990</f>
        <v/>
      </c>
      <c r="J1000" s="593"/>
      <c r="K1000" s="593"/>
      <c r="L1000" s="593"/>
      <c r="M1000" s="593"/>
      <c r="N1000" s="594"/>
    </row>
    <row r="1001" spans="2:19" ht="12.75" customHeight="1" thickBot="1" x14ac:dyDescent="0.3">
      <c r="B1001" s="284"/>
      <c r="C1001" s="302"/>
      <c r="D1001" s="302"/>
      <c r="E1001" s="302"/>
      <c r="F1001" s="302"/>
      <c r="G1001" s="302"/>
      <c r="H1001" s="302"/>
      <c r="I1001" s="302"/>
      <c r="J1001" s="302"/>
      <c r="K1001" s="302"/>
      <c r="L1001" s="302"/>
      <c r="M1001" s="302"/>
      <c r="N1001" s="302"/>
    </row>
    <row r="1002" spans="2:19" ht="12.75" customHeight="1" x14ac:dyDescent="0.25">
      <c r="B1002" s="284"/>
      <c r="C1002" s="302"/>
      <c r="D1002" s="302"/>
      <c r="E1002" s="302"/>
      <c r="F1002" s="302"/>
      <c r="G1002" s="302"/>
      <c r="H1002" s="595" t="str">
        <f>[1]K_Summary!H992</f>
        <v>Риск от ИВЕ</v>
      </c>
      <c r="I1002" s="302"/>
      <c r="J1002" s="596" t="str">
        <f>[1]K_Summary!J992</f>
        <v>В/Е</v>
      </c>
      <c r="K1002" s="596" t="str">
        <f>[1]K_Summary!K992</f>
        <v>№ на п-л</v>
      </c>
      <c r="L1002" s="597" t="str">
        <f>[1]K_Summary!L992</f>
        <v>15(7).3?</v>
      </c>
      <c r="M1002" s="598" t="str">
        <f>[1]K_Summary!M992</f>
        <v>Стойност на показател (мин/макс/действ.)</v>
      </c>
      <c r="N1002" s="599"/>
    </row>
    <row r="1003" spans="2:19" ht="12.75" customHeight="1" x14ac:dyDescent="0.25">
      <c r="B1003" s="284"/>
      <c r="C1003" s="302"/>
      <c r="D1003" s="302"/>
      <c r="E1003" s="361" t="str">
        <f>[1]K_Summary!E993</f>
        <v/>
      </c>
      <c r="F1003" s="373"/>
      <c r="G1003" s="362"/>
      <c r="H1003" s="600" t="str">
        <f>[1]K_Summary!H993</f>
        <v>Не е приложимо</v>
      </c>
      <c r="I1003" s="302"/>
      <c r="J1003" s="601" t="str">
        <f>[1]K_Summary!J993</f>
        <v>Не е приложимо</v>
      </c>
      <c r="K1003" s="406" t="str">
        <f>[1]K_Summary!K993</f>
        <v>Не е приложимо</v>
      </c>
      <c r="L1003" s="602" t="str">
        <f>[1]K_Summary!L993</f>
        <v/>
      </c>
      <c r="M1003" s="603" t="str">
        <f>[1]K_Summary!M993</f>
        <v>Не е приложимо</v>
      </c>
      <c r="N1003" s="604" t="str">
        <f>[1]K_Summary!N993</f>
        <v>Квота за емисии/тона</v>
      </c>
    </row>
    <row r="1004" spans="2:19" ht="12.75" customHeight="1" x14ac:dyDescent="0.25">
      <c r="B1004" s="284"/>
      <c r="C1004" s="302"/>
      <c r="D1004" s="302"/>
      <c r="E1004" s="364"/>
      <c r="F1004" s="364"/>
      <c r="G1004" s="596" t="str">
        <f>[1]K_Summary!G994</f>
        <v>топл. ен. извън СТЕ</v>
      </c>
      <c r="H1004" s="595" t="str">
        <f>[1]K_Summary!H994</f>
        <v>CBAM</v>
      </c>
      <c r="I1004" s="597" t="str">
        <f>[1]K_Summary!I994</f>
        <v>WGflare</v>
      </c>
      <c r="J1004" s="596" t="str">
        <f>[1]K_Summary!J994</f>
        <v>HVC-Corr</v>
      </c>
      <c r="K1004" s="596" t="str">
        <f>[1]K_Summary!K994</f>
        <v>VCM-F</v>
      </c>
      <c r="L1004" s="302"/>
      <c r="M1004" s="603" t="str">
        <f>[1]K_Summary!M994</f>
        <v>Не е приложимо</v>
      </c>
      <c r="N1004" s="604" t="str">
        <f>[1]K_Summary!N994</f>
        <v>Квота за емисии/тона</v>
      </c>
      <c r="R1004" s="605" t="str">
        <f>[1]K_Summary!R994</f>
        <v>No. BM</v>
      </c>
      <c r="S1004" s="606" t="str">
        <f>[1]K_Summary!S994</f>
        <v>Не е приложимо</v>
      </c>
    </row>
    <row r="1005" spans="2:19" ht="12.75" customHeight="1" thickBot="1" x14ac:dyDescent="0.3">
      <c r="B1005" s="284"/>
      <c r="C1005" s="302"/>
      <c r="D1005" s="302"/>
      <c r="E1005" s="607" t="str">
        <f>[1]K_Summary!E995</f>
        <v>Специфични коефициенти:</v>
      </c>
      <c r="F1005" s="607"/>
      <c r="G1005" s="406" t="str">
        <f>[1]K_Summary!G995</f>
        <v/>
      </c>
      <c r="H1005" s="600" t="str">
        <f>[1]K_Summary!H995</f>
        <v>Не е приложимо</v>
      </c>
      <c r="I1005" s="608" t="str">
        <f>[1]K_Summary!I995</f>
        <v/>
      </c>
      <c r="J1005" s="406" t="str">
        <f>[1]K_Summary!J995</f>
        <v/>
      </c>
      <c r="K1005" s="609" t="str">
        <f>[1]K_Summary!K995</f>
        <v/>
      </c>
      <c r="L1005" s="302"/>
      <c r="M1005" s="610" t="str">
        <f>[1]K_Summary!M995</f>
        <v>Не е приложимо</v>
      </c>
      <c r="N1005" s="611" t="str">
        <f>[1]K_Summary!N995</f>
        <v>Квота за емисии/тона</v>
      </c>
      <c r="P1005" s="612" t="b">
        <f>IF(ISNUMBER(K1003),INDEX(EUconst_BMlistBMvalues,MATCH(K1003,EUconst_BMlistMainNumberOfBM,0))&lt;&gt;M1005,FALSE)</f>
        <v>0</v>
      </c>
    </row>
    <row r="1006" spans="2:19" ht="12.75" customHeight="1" x14ac:dyDescent="0.25">
      <c r="B1006" s="284"/>
      <c r="C1006" s="302"/>
      <c r="D1006" s="302"/>
      <c r="E1006" s="302"/>
      <c r="F1006" s="302"/>
      <c r="G1006" s="302"/>
      <c r="H1006" s="302"/>
      <c r="I1006" s="302"/>
      <c r="J1006" s="302"/>
      <c r="K1006" s="302"/>
      <c r="L1006" s="302"/>
      <c r="M1006" s="302"/>
      <c r="N1006" s="302"/>
    </row>
    <row r="1007" spans="2:19" ht="12.75" customHeight="1" x14ac:dyDescent="0.25">
      <c r="B1007" s="284"/>
      <c r="C1007" s="302"/>
      <c r="D1007" s="302"/>
      <c r="E1007" s="498"/>
      <c r="F1007" s="498"/>
      <c r="G1007" s="380"/>
      <c r="H1007" s="613" t="str">
        <f>[1]K_Summary!H997</f>
        <v>Единица мярка</v>
      </c>
      <c r="I1007" s="387">
        <f>[1]K_Summary!I997</f>
        <v>2019</v>
      </c>
      <c r="J1007" s="387">
        <f>[1]K_Summary!J997</f>
        <v>2020</v>
      </c>
      <c r="K1007" s="387">
        <f>[1]K_Summary!K997</f>
        <v>2021</v>
      </c>
      <c r="L1007" s="387">
        <f>[1]K_Summary!L997</f>
        <v>2022</v>
      </c>
      <c r="M1007" s="387">
        <f>[1]K_Summary!M997</f>
        <v>2023</v>
      </c>
      <c r="N1007" s="302"/>
    </row>
    <row r="1008" spans="2:19" ht="12.75" customHeight="1" x14ac:dyDescent="0.25">
      <c r="B1008" s="284"/>
      <c r="C1008" s="302"/>
      <c r="D1008" s="302"/>
      <c r="E1008" s="614" t="str">
        <f>[1]K_Summary!E998</f>
        <v>Отчетено HAL (историческо равнище на дейност)</v>
      </c>
      <c r="F1008" s="388"/>
      <c r="G1008" s="615"/>
      <c r="H1008" s="600" t="str">
        <f>[1]K_Summary!H998</f>
        <v>тона</v>
      </c>
      <c r="I1008" s="406" t="str">
        <f>[1]K_Summary!I998</f>
        <v/>
      </c>
      <c r="J1008" s="406" t="str">
        <f>[1]K_Summary!J998</f>
        <v/>
      </c>
      <c r="K1008" s="406" t="str">
        <f>[1]K_Summary!K998</f>
        <v/>
      </c>
      <c r="L1008" s="406" t="str">
        <f>[1]K_Summary!L998</f>
        <v/>
      </c>
      <c r="M1008" s="406" t="str">
        <f>[1]K_Summary!M998</f>
        <v/>
      </c>
      <c r="N1008" s="596" t="str">
        <f>[1]K_Summary!N998</f>
        <v>Median</v>
      </c>
    </row>
    <row r="1009" spans="2:14" ht="12.75" customHeight="1" x14ac:dyDescent="0.25">
      <c r="B1009" s="284"/>
      <c r="C1009" s="302"/>
      <c r="D1009" s="302"/>
      <c r="E1009" s="614" t="str">
        <f>[1]K_Summary!E999</f>
        <v>Стойности, използвани за изчислението на HAL:</v>
      </c>
      <c r="F1009" s="388"/>
      <c r="G1009" s="615"/>
      <c r="H1009" s="600" t="str">
        <f>[1]K_Summary!H999</f>
        <v>тона</v>
      </c>
      <c r="I1009" s="406" t="str">
        <f>[1]K_Summary!I999</f>
        <v/>
      </c>
      <c r="J1009" s="406" t="str">
        <f>[1]K_Summary!J999</f>
        <v/>
      </c>
      <c r="K1009" s="406" t="str">
        <f>[1]K_Summary!K999</f>
        <v/>
      </c>
      <c r="L1009" s="406" t="str">
        <f>[1]K_Summary!L999</f>
        <v/>
      </c>
      <c r="M1009" s="406" t="str">
        <f>[1]K_Summary!M999</f>
        <v/>
      </c>
      <c r="N1009" s="406" t="str">
        <f>[1]K_Summary!N999</f>
        <v/>
      </c>
    </row>
    <row r="1010" spans="2:14" ht="12.75" customHeight="1" x14ac:dyDescent="0.25">
      <c r="B1010" s="284"/>
      <c r="C1010" s="302"/>
      <c r="D1010" s="302"/>
      <c r="E1010" s="360"/>
      <c r="F1010" s="360"/>
      <c r="G1010" s="360"/>
      <c r="H1010" s="360"/>
      <c r="I1010" s="360"/>
      <c r="J1010" s="360"/>
      <c r="K1010" s="360"/>
      <c r="L1010" s="360"/>
      <c r="M1010" s="364"/>
      <c r="N1010" s="364"/>
    </row>
    <row r="1011" spans="2:14" ht="12.75" customHeight="1" x14ac:dyDescent="0.25">
      <c r="B1011" s="284"/>
      <c r="C1011" s="302"/>
      <c r="D1011" s="302"/>
      <c r="E1011" s="616" t="str">
        <f>[1]K_Summary!E1001</f>
        <v>Съответно потребление на електроенергия</v>
      </c>
      <c r="F1011" s="616"/>
      <c r="G1011" s="616"/>
      <c r="H1011" s="617" t="str">
        <f>[1]K_Summary!H1001</f>
        <v>MWh / година</v>
      </c>
      <c r="I1011" s="618" t="str">
        <f>[1]K_Summary!I1001</f>
        <v/>
      </c>
      <c r="J1011" s="618" t="str">
        <f>[1]K_Summary!J1001</f>
        <v/>
      </c>
      <c r="K1011" s="618" t="str">
        <f>[1]K_Summary!K1001</f>
        <v/>
      </c>
      <c r="L1011" s="618" t="str">
        <f>[1]K_Summary!L1001</f>
        <v/>
      </c>
      <c r="M1011" s="618" t="str">
        <f>[1]K_Summary!M1001</f>
        <v/>
      </c>
      <c r="N1011" s="302"/>
    </row>
    <row r="1012" spans="2:14" ht="12.75" customHeight="1" x14ac:dyDescent="0.25">
      <c r="B1012" s="284"/>
      <c r="C1012" s="302"/>
      <c r="D1012" s="302"/>
      <c r="E1012" s="360"/>
      <c r="F1012" s="360"/>
      <c r="G1012" s="360"/>
      <c r="H1012" s="360"/>
      <c r="I1012" s="360"/>
      <c r="J1012" s="360"/>
      <c r="K1012" s="360"/>
      <c r="L1012" s="360"/>
      <c r="M1012" s="364"/>
      <c r="N1012" s="364"/>
    </row>
    <row r="1013" spans="2:14" ht="12.75" customHeight="1" thickBot="1" x14ac:dyDescent="0.3">
      <c r="B1013" s="284"/>
      <c r="C1013" s="364"/>
      <c r="D1013" s="302"/>
      <c r="E1013" s="360"/>
      <c r="F1013" s="619" t="str">
        <f>[1]K_Summary!F1003</f>
        <v>Общо HAL</v>
      </c>
      <c r="G1013" s="620"/>
      <c r="H1013" s="364"/>
      <c r="I1013" s="619" t="str">
        <f>[1]K_Summary!I1003</f>
        <v>Предв. разпр. за год. 1 (мин)</v>
      </c>
      <c r="J1013" s="620"/>
      <c r="K1013" s="619" t="str">
        <f>[1]K_Summary!K1003</f>
        <v>Предв. разпр. за год. 1 (макс)</v>
      </c>
      <c r="L1013" s="620"/>
      <c r="M1013" s="619" t="str">
        <f>[1]K_Summary!M1003</f>
        <v>Предв. разпр. за год. 1 (действ.)</v>
      </c>
      <c r="N1013" s="620"/>
    </row>
    <row r="1014" spans="2:14" ht="12.75" customHeight="1" thickBot="1" x14ac:dyDescent="0.3">
      <c r="B1014" s="284"/>
      <c r="C1014" s="364"/>
      <c r="D1014" s="364"/>
      <c r="E1014" s="360"/>
      <c r="F1014" s="621" t="str">
        <f>[1]K_Summary!F1004</f>
        <v/>
      </c>
      <c r="G1014" s="622" t="str">
        <f>[1]K_Summary!G1004</f>
        <v>тона / година</v>
      </c>
      <c r="H1014" s="364"/>
      <c r="I1014" s="623" t="str">
        <f>[1]K_Summary!I1004</f>
        <v/>
      </c>
      <c r="J1014" s="624" t="str">
        <f>[1]K_Summary!J1004</f>
        <v>Квота за емисии / година</v>
      </c>
      <c r="K1014" s="623" t="str">
        <f>[1]K_Summary!K1004</f>
        <v/>
      </c>
      <c r="L1014" s="624" t="str">
        <f>[1]K_Summary!L1004</f>
        <v>Квота за емисии / година</v>
      </c>
      <c r="M1014" s="623" t="str">
        <f>[1]K_Summary!M1004</f>
        <v/>
      </c>
      <c r="N1014" s="624" t="str">
        <f>[1]K_Summary!N1004</f>
        <v>Квота за емисии / година</v>
      </c>
    </row>
    <row r="1015" spans="2:14" ht="12.75" customHeight="1" x14ac:dyDescent="0.25">
      <c r="B1015" s="284"/>
      <c r="C1015" s="302"/>
      <c r="D1015" s="364"/>
      <c r="E1015" s="360"/>
      <c r="F1015" s="302"/>
      <c r="G1015" s="302"/>
      <c r="H1015" s="302"/>
      <c r="I1015" s="302"/>
      <c r="J1015" s="302"/>
      <c r="K1015" s="302"/>
      <c r="L1015" s="302"/>
      <c r="M1015" s="302"/>
      <c r="N1015" s="302"/>
    </row>
    <row r="1016" spans="2:14" ht="12.75" customHeight="1" x14ac:dyDescent="0.25">
      <c r="B1016" s="284"/>
      <c r="C1016" s="302"/>
      <c r="D1016" s="302"/>
      <c r="E1016" s="625"/>
      <c r="F1016" s="626"/>
      <c r="G1016" s="626"/>
      <c r="H1016" s="626"/>
      <c r="I1016" s="626"/>
      <c r="J1016" s="626"/>
      <c r="K1016" s="626"/>
      <c r="L1016" s="626"/>
      <c r="M1016" s="626"/>
      <c r="N1016" s="626"/>
    </row>
    <row r="1017" spans="2:14" ht="12.75" customHeight="1" thickBot="1" x14ac:dyDescent="0.3">
      <c r="B1017" s="284"/>
      <c r="C1017" s="302"/>
      <c r="D1017" s="302"/>
      <c r="E1017" s="625"/>
      <c r="F1017" s="626"/>
      <c r="G1017" s="626"/>
      <c r="H1017" s="627" t="str">
        <f>[1]K_Summary!H1007</f>
        <v>Единица мярка</v>
      </c>
      <c r="I1017" s="628">
        <f>[1]K_Summary!I1007</f>
        <v>2019</v>
      </c>
      <c r="J1017" s="629">
        <f>[1]K_Summary!J1007</f>
        <v>2020</v>
      </c>
      <c r="K1017" s="629">
        <f>[1]K_Summary!K1007</f>
        <v>2021</v>
      </c>
      <c r="L1017" s="629">
        <f>[1]K_Summary!L1007</f>
        <v>2022</v>
      </c>
      <c r="M1017" s="629">
        <f>[1]K_Summary!M1007</f>
        <v>2023</v>
      </c>
      <c r="N1017" s="626"/>
    </row>
    <row r="1018" spans="2:14" ht="12.75" customHeight="1" thickBot="1" x14ac:dyDescent="0.3">
      <c r="B1018" s="284"/>
      <c r="C1018" s="302"/>
      <c r="D1018" s="302"/>
      <c r="E1018" s="630" t="str">
        <f>[1]K_Summary!E1008</f>
        <v>Общо зададени емисии</v>
      </c>
      <c r="F1018" s="630"/>
      <c r="G1018" s="630"/>
      <c r="H1018" s="631" t="str">
        <f>[1]K_Summary!H1008</f>
        <v>t CO2e/година</v>
      </c>
      <c r="I1018" s="632" t="str">
        <f>[1]K_Summary!I1008</f>
        <v/>
      </c>
      <c r="J1018" s="633" t="str">
        <f>[1]K_Summary!J1008</f>
        <v/>
      </c>
      <c r="K1018" s="633" t="str">
        <f>[1]K_Summary!K1008</f>
        <v/>
      </c>
      <c r="L1018" s="633" t="str">
        <f>[1]K_Summary!L1008</f>
        <v/>
      </c>
      <c r="M1018" s="634" t="str">
        <f>[1]K_Summary!M1008</f>
        <v/>
      </c>
      <c r="N1018" s="626"/>
    </row>
    <row r="1019" spans="2:14" ht="12.75" customHeight="1" x14ac:dyDescent="0.25">
      <c r="B1019" s="284"/>
      <c r="C1019" s="302"/>
      <c r="D1019" s="302"/>
      <c r="E1019" s="625"/>
      <c r="F1019" s="625"/>
      <c r="G1019" s="625"/>
      <c r="H1019" s="625"/>
      <c r="I1019" s="635"/>
      <c r="J1019" s="635"/>
      <c r="K1019" s="635"/>
      <c r="L1019" s="635"/>
      <c r="M1019" s="635"/>
      <c r="N1019" s="625"/>
    </row>
    <row r="1020" spans="2:14" ht="12.75" customHeight="1" x14ac:dyDescent="0.25">
      <c r="B1020" s="284"/>
      <c r="C1020" s="302"/>
      <c r="D1020" s="302"/>
      <c r="E1020" s="636" t="str">
        <f>[1]K_Summary!E1010</f>
        <v>Обща вложена енергия</v>
      </c>
      <c r="F1020" s="636"/>
      <c r="G1020" s="636"/>
      <c r="H1020" s="637" t="str">
        <f>[1]K_Summary!H1010</f>
        <v>TJ / година</v>
      </c>
      <c r="I1020" s="482" t="str">
        <f>[1]K_Summary!I1010</f>
        <v/>
      </c>
      <c r="J1020" s="482" t="str">
        <f>[1]K_Summary!J1010</f>
        <v/>
      </c>
      <c r="K1020" s="482" t="str">
        <f>[1]K_Summary!K1010</f>
        <v/>
      </c>
      <c r="L1020" s="482" t="str">
        <f>[1]K_Summary!L1010</f>
        <v/>
      </c>
      <c r="M1020" s="482" t="str">
        <f>[1]K_Summary!M1010</f>
        <v/>
      </c>
      <c r="N1020" s="626"/>
    </row>
    <row r="1021" spans="2:14" ht="12.75" customHeight="1" x14ac:dyDescent="0.25">
      <c r="B1021" s="284"/>
      <c r="C1021" s="302"/>
      <c r="D1021" s="302"/>
      <c r="E1021" s="638" t="str">
        <f>[1]K_Summary!E1011</f>
        <v>Претеглен емисионен фактор</v>
      </c>
      <c r="F1021" s="638"/>
      <c r="G1021" s="638"/>
      <c r="H1021" s="639" t="str">
        <f>[1]K_Summary!H1011</f>
        <v>t CO2 / TJ</v>
      </c>
      <c r="I1021" s="484" t="str">
        <f>[1]K_Summary!I1011</f>
        <v/>
      </c>
      <c r="J1021" s="484" t="str">
        <f>[1]K_Summary!J1011</f>
        <v/>
      </c>
      <c r="K1021" s="484" t="str">
        <f>[1]K_Summary!K1011</f>
        <v/>
      </c>
      <c r="L1021" s="484" t="str">
        <f>[1]K_Summary!L1011</f>
        <v/>
      </c>
      <c r="M1021" s="484" t="str">
        <f>[1]K_Summary!M1011</f>
        <v/>
      </c>
      <c r="N1021" s="626"/>
    </row>
    <row r="1022" spans="2:14" ht="12.75" customHeight="1" x14ac:dyDescent="0.25">
      <c r="B1022" s="284"/>
      <c r="C1022" s="302"/>
      <c r="D1022" s="364"/>
      <c r="E1022" s="625"/>
      <c r="F1022" s="626"/>
      <c r="G1022" s="626"/>
      <c r="H1022" s="626"/>
      <c r="I1022" s="640"/>
      <c r="J1022" s="640"/>
      <c r="K1022" s="640"/>
      <c r="L1022" s="640"/>
      <c r="M1022" s="640"/>
      <c r="N1022" s="626"/>
    </row>
    <row r="1023" spans="2:14" ht="12.75" customHeight="1" x14ac:dyDescent="0.25">
      <c r="B1023" s="284"/>
      <c r="C1023" s="302"/>
      <c r="D1023" s="364"/>
      <c r="E1023" s="641" t="str">
        <f>[1]K_Summary!E1013</f>
        <v>Преки емисии</v>
      </c>
      <c r="F1023" s="641"/>
      <c r="G1023" s="641"/>
      <c r="H1023" s="642" t="str">
        <f>[1]K_Summary!H1013</f>
        <v>t CO2 / година</v>
      </c>
      <c r="I1023" s="499" t="str">
        <f>[1]K_Summary!I1013</f>
        <v/>
      </c>
      <c r="J1023" s="499" t="str">
        <f>[1]K_Summary!J1013</f>
        <v/>
      </c>
      <c r="K1023" s="499" t="str">
        <f>[1]K_Summary!K1013</f>
        <v/>
      </c>
      <c r="L1023" s="499" t="str">
        <f>[1]K_Summary!L1013</f>
        <v/>
      </c>
      <c r="M1023" s="499" t="str">
        <f>[1]K_Summary!M1013</f>
        <v/>
      </c>
      <c r="N1023" s="626"/>
    </row>
    <row r="1024" spans="2:14" ht="12.75" customHeight="1" x14ac:dyDescent="0.25">
      <c r="B1024" s="284"/>
      <c r="C1024" s="302"/>
      <c r="D1024" s="364"/>
      <c r="E1024" s="641" t="str">
        <f>[1]K_Summary!E1014</f>
        <v>Други потоци горива и материали пораждащи емисии — 1</v>
      </c>
      <c r="F1024" s="641"/>
      <c r="G1024" s="641"/>
      <c r="H1024" s="642" t="str">
        <f>[1]K_Summary!H1014</f>
        <v>t CO2 / година</v>
      </c>
      <c r="I1024" s="499" t="str">
        <f>[1]K_Summary!I1014</f>
        <v/>
      </c>
      <c r="J1024" s="499" t="str">
        <f>[1]K_Summary!J1014</f>
        <v/>
      </c>
      <c r="K1024" s="499" t="str">
        <f>[1]K_Summary!K1014</f>
        <v/>
      </c>
      <c r="L1024" s="499" t="str">
        <f>[1]K_Summary!L1014</f>
        <v/>
      </c>
      <c r="M1024" s="499" t="str">
        <f>[1]K_Summary!M1014</f>
        <v/>
      </c>
      <c r="N1024" s="626"/>
    </row>
    <row r="1025" spans="2:14" ht="12.75" customHeight="1" x14ac:dyDescent="0.25">
      <c r="B1025" s="284"/>
      <c r="C1025" s="302"/>
      <c r="D1025" s="364"/>
      <c r="E1025" s="641" t="str">
        <f>[1]K_Summary!E1015</f>
        <v>Други потоци горива и материали пораждащи емисии — 2</v>
      </c>
      <c r="F1025" s="641"/>
      <c r="G1025" s="641"/>
      <c r="H1025" s="642" t="str">
        <f>[1]K_Summary!H1015</f>
        <v>t CO2 / година</v>
      </c>
      <c r="I1025" s="499" t="str">
        <f>[1]K_Summary!I1015</f>
        <v/>
      </c>
      <c r="J1025" s="499" t="str">
        <f>[1]K_Summary!J1015</f>
        <v/>
      </c>
      <c r="K1025" s="499" t="str">
        <f>[1]K_Summary!K1015</f>
        <v/>
      </c>
      <c r="L1025" s="499" t="str">
        <f>[1]K_Summary!L1015</f>
        <v/>
      </c>
      <c r="M1025" s="499" t="str">
        <f>[1]K_Summary!M1015</f>
        <v/>
      </c>
      <c r="N1025" s="626"/>
    </row>
    <row r="1026" spans="2:14" ht="12.75" customHeight="1" x14ac:dyDescent="0.25">
      <c r="B1026" s="284"/>
      <c r="C1026" s="302"/>
      <c r="D1026" s="302"/>
      <c r="E1026" s="641" t="str">
        <f>[1]K_Summary!E1016</f>
        <v>Получени или подадени парникови газове</v>
      </c>
      <c r="F1026" s="641"/>
      <c r="G1026" s="641"/>
      <c r="H1026" s="642" t="str">
        <f>[1]K_Summary!H1016</f>
        <v>t CO2e/година</v>
      </c>
      <c r="I1026" s="499" t="str">
        <f>[1]K_Summary!I1016</f>
        <v/>
      </c>
      <c r="J1026" s="499" t="str">
        <f>[1]K_Summary!J1016</f>
        <v/>
      </c>
      <c r="K1026" s="499" t="str">
        <f>[1]K_Summary!K1016</f>
        <v/>
      </c>
      <c r="L1026" s="499" t="str">
        <f>[1]K_Summary!L1016</f>
        <v/>
      </c>
      <c r="M1026" s="499" t="str">
        <f>[1]K_Summary!M1016</f>
        <v/>
      </c>
      <c r="N1026" s="626"/>
    </row>
    <row r="1027" spans="2:14" ht="12.75" customHeight="1" x14ac:dyDescent="0.25">
      <c r="B1027" s="284"/>
      <c r="C1027" s="302"/>
      <c r="D1027" s="302"/>
      <c r="E1027" s="626"/>
      <c r="F1027" s="626"/>
      <c r="G1027" s="626"/>
      <c r="H1027" s="626"/>
      <c r="I1027" s="640"/>
      <c r="J1027" s="640"/>
      <c r="K1027" s="640"/>
      <c r="L1027" s="640"/>
      <c r="M1027" s="640"/>
      <c r="N1027" s="626"/>
    </row>
    <row r="1028" spans="2:14" ht="12.75" customHeight="1" x14ac:dyDescent="0.25">
      <c r="B1028" s="284"/>
      <c r="C1028" s="302"/>
      <c r="D1028" s="302"/>
      <c r="E1028" s="636" t="str">
        <f>[1]K_Summary!E1018</f>
        <v>Нетно количество получена топлинна енергия</v>
      </c>
      <c r="F1028" s="636"/>
      <c r="G1028" s="636"/>
      <c r="H1028" s="637" t="str">
        <f>[1]K_Summary!H1018</f>
        <v>TJ / година</v>
      </c>
      <c r="I1028" s="482" t="str">
        <f>[1]K_Summary!I1018</f>
        <v/>
      </c>
      <c r="J1028" s="482" t="str">
        <f>[1]K_Summary!J1018</f>
        <v/>
      </c>
      <c r="K1028" s="482" t="str">
        <f>[1]K_Summary!K1018</f>
        <v/>
      </c>
      <c r="L1028" s="482" t="str">
        <f>[1]K_Summary!L1018</f>
        <v/>
      </c>
      <c r="M1028" s="482" t="str">
        <f>[1]K_Summary!M1018</f>
        <v/>
      </c>
      <c r="N1028" s="626"/>
    </row>
    <row r="1029" spans="2:14" ht="12.75" customHeight="1" x14ac:dyDescent="0.25">
      <c r="B1029" s="284"/>
      <c r="C1029" s="302"/>
      <c r="D1029" s="302"/>
      <c r="E1029" s="638" t="str">
        <f>[1]K_Summary!E1019</f>
        <v>Специфичен EF (получена топлинна енергия)</v>
      </c>
      <c r="F1029" s="638"/>
      <c r="G1029" s="638"/>
      <c r="H1029" s="639" t="str">
        <f>[1]K_Summary!H1019</f>
        <v>t CO2 / TJ</v>
      </c>
      <c r="I1029" s="484" t="str">
        <f>[1]K_Summary!I1019</f>
        <v/>
      </c>
      <c r="J1029" s="484" t="str">
        <f>[1]K_Summary!J1019</f>
        <v/>
      </c>
      <c r="K1029" s="484" t="str">
        <f>[1]K_Summary!K1019</f>
        <v/>
      </c>
      <c r="L1029" s="484" t="str">
        <f>[1]K_Summary!L1019</f>
        <v/>
      </c>
      <c r="M1029" s="484" t="str">
        <f>[1]K_Summary!M1019</f>
        <v/>
      </c>
      <c r="N1029" s="626"/>
    </row>
    <row r="1030" spans="2:14" ht="12.75" customHeight="1" x14ac:dyDescent="0.25">
      <c r="B1030" s="284"/>
      <c r="C1030" s="302"/>
      <c r="D1030" s="302"/>
      <c r="E1030" s="625"/>
      <c r="F1030" s="626"/>
      <c r="G1030" s="626"/>
      <c r="H1030" s="626"/>
      <c r="I1030" s="640"/>
      <c r="J1030" s="640"/>
      <c r="K1030" s="640"/>
      <c r="L1030" s="640"/>
      <c r="M1030" s="640"/>
      <c r="N1030" s="626"/>
    </row>
    <row r="1031" spans="2:14" ht="12.75" customHeight="1" x14ac:dyDescent="0.25">
      <c r="B1031" s="284"/>
      <c r="C1031" s="302"/>
      <c r="D1031" s="302"/>
      <c r="E1031" s="641" t="str">
        <f>[1]K_Summary!E1021</f>
        <v>Нетно количество топлинна енергия, получена от пулп</v>
      </c>
      <c r="F1031" s="641"/>
      <c r="G1031" s="641"/>
      <c r="H1031" s="642" t="str">
        <f>[1]K_Summary!H1021</f>
        <v>TJ / година</v>
      </c>
      <c r="I1031" s="480" t="str">
        <f>[1]K_Summary!I1021</f>
        <v/>
      </c>
      <c r="J1031" s="480" t="str">
        <f>[1]K_Summary!J1021</f>
        <v/>
      </c>
      <c r="K1031" s="480" t="str">
        <f>[1]K_Summary!K1021</f>
        <v/>
      </c>
      <c r="L1031" s="480" t="str">
        <f>[1]K_Summary!L1021</f>
        <v/>
      </c>
      <c r="M1031" s="480" t="str">
        <f>[1]K_Summary!M1021</f>
        <v/>
      </c>
      <c r="N1031" s="626"/>
    </row>
    <row r="1032" spans="2:14" ht="12.75" customHeight="1" x14ac:dyDescent="0.25">
      <c r="B1032" s="284"/>
      <c r="C1032" s="302"/>
      <c r="D1032" s="302"/>
      <c r="E1032" s="641" t="str">
        <f>[1]K_Summary!E1022</f>
        <v>Нетно количество топлинна енергия, получена от подинсталации за азотна киселина</v>
      </c>
      <c r="F1032" s="641"/>
      <c r="G1032" s="641"/>
      <c r="H1032" s="642" t="str">
        <f>[1]K_Summary!H1022</f>
        <v>TJ / година</v>
      </c>
      <c r="I1032" s="480" t="str">
        <f>[1]K_Summary!I1022</f>
        <v/>
      </c>
      <c r="J1032" s="480" t="str">
        <f>[1]K_Summary!J1022</f>
        <v/>
      </c>
      <c r="K1032" s="480" t="str">
        <f>[1]K_Summary!K1022</f>
        <v/>
      </c>
      <c r="L1032" s="480" t="str">
        <f>[1]K_Summary!L1022</f>
        <v/>
      </c>
      <c r="M1032" s="480" t="str">
        <f>[1]K_Summary!M1022</f>
        <v/>
      </c>
      <c r="N1032" s="626"/>
    </row>
    <row r="1033" spans="2:14" ht="12.75" customHeight="1" x14ac:dyDescent="0.25">
      <c r="B1033" s="284"/>
      <c r="C1033" s="302"/>
      <c r="D1033" s="302"/>
      <c r="E1033" s="625"/>
      <c r="F1033" s="625"/>
      <c r="G1033" s="625"/>
      <c r="H1033" s="625"/>
      <c r="I1033" s="640"/>
      <c r="J1033" s="640"/>
      <c r="K1033" s="640"/>
      <c r="L1033" s="640"/>
      <c r="M1033" s="640"/>
      <c r="N1033" s="626"/>
    </row>
    <row r="1034" spans="2:14" ht="12.75" customHeight="1" x14ac:dyDescent="0.25">
      <c r="B1034" s="284"/>
      <c r="C1034" s="302"/>
      <c r="D1034" s="302"/>
      <c r="E1034" s="636" t="str">
        <f>[1]K_Summary!E1024</f>
        <v>Нетно количество подадена топлинна енергия</v>
      </c>
      <c r="F1034" s="636"/>
      <c r="G1034" s="636"/>
      <c r="H1034" s="637" t="str">
        <f>[1]K_Summary!H1024</f>
        <v>TJ / година</v>
      </c>
      <c r="I1034" s="482" t="str">
        <f>[1]K_Summary!I1024</f>
        <v/>
      </c>
      <c r="J1034" s="482" t="str">
        <f>[1]K_Summary!J1024</f>
        <v/>
      </c>
      <c r="K1034" s="482" t="str">
        <f>[1]K_Summary!K1024</f>
        <v/>
      </c>
      <c r="L1034" s="482" t="str">
        <f>[1]K_Summary!L1024</f>
        <v/>
      </c>
      <c r="M1034" s="482" t="str">
        <f>[1]K_Summary!M1024</f>
        <v/>
      </c>
      <c r="N1034" s="626"/>
    </row>
    <row r="1035" spans="2:14" ht="12.75" customHeight="1" x14ac:dyDescent="0.25">
      <c r="B1035" s="284"/>
      <c r="C1035" s="302"/>
      <c r="D1035" s="302"/>
      <c r="E1035" s="638" t="str">
        <f>[1]K_Summary!E1025</f>
        <v>Специфичен EF (подадена топлинна енергия)</v>
      </c>
      <c r="F1035" s="638"/>
      <c r="G1035" s="638"/>
      <c r="H1035" s="639" t="str">
        <f>[1]K_Summary!H1025</f>
        <v>t CO2 / TJ</v>
      </c>
      <c r="I1035" s="484" t="str">
        <f>[1]K_Summary!I1025</f>
        <v/>
      </c>
      <c r="J1035" s="484" t="str">
        <f>[1]K_Summary!J1025</f>
        <v/>
      </c>
      <c r="K1035" s="484" t="str">
        <f>[1]K_Summary!K1025</f>
        <v/>
      </c>
      <c r="L1035" s="484" t="str">
        <f>[1]K_Summary!L1025</f>
        <v/>
      </c>
      <c r="M1035" s="484" t="str">
        <f>[1]K_Summary!M1025</f>
        <v/>
      </c>
      <c r="N1035" s="626"/>
    </row>
    <row r="1036" spans="2:14" ht="12.75" customHeight="1" x14ac:dyDescent="0.25">
      <c r="B1036" s="284"/>
      <c r="C1036" s="302"/>
      <c r="D1036" s="302"/>
      <c r="E1036" s="625"/>
      <c r="F1036" s="625"/>
      <c r="G1036" s="625"/>
      <c r="H1036" s="625"/>
      <c r="I1036" s="640"/>
      <c r="J1036" s="640"/>
      <c r="K1036" s="640"/>
      <c r="L1036" s="640"/>
      <c r="M1036" s="640"/>
      <c r="N1036" s="626"/>
    </row>
    <row r="1037" spans="2:14" ht="12.75" customHeight="1" x14ac:dyDescent="0.25">
      <c r="B1037" s="284"/>
      <c r="C1037" s="302"/>
      <c r="D1037" s="302"/>
      <c r="E1037" s="636" t="str">
        <f>[1]K_Summary!E1027</f>
        <v>Произведен отпадъчен газ</v>
      </c>
      <c r="F1037" s="636"/>
      <c r="G1037" s="636"/>
      <c r="H1037" s="637" t="str">
        <f>[1]K_Summary!H1027</f>
        <v>TJ / година</v>
      </c>
      <c r="I1037" s="482" t="str">
        <f>[1]K_Summary!I1027</f>
        <v/>
      </c>
      <c r="J1037" s="482" t="str">
        <f>[1]K_Summary!J1027</f>
        <v/>
      </c>
      <c r="K1037" s="482" t="str">
        <f>[1]K_Summary!K1027</f>
        <v/>
      </c>
      <c r="L1037" s="482" t="str">
        <f>[1]K_Summary!L1027</f>
        <v/>
      </c>
      <c r="M1037" s="482" t="str">
        <f>[1]K_Summary!M1027</f>
        <v/>
      </c>
      <c r="N1037" s="626"/>
    </row>
    <row r="1038" spans="2:14" ht="12.75" customHeight="1" x14ac:dyDescent="0.25">
      <c r="B1038" s="284"/>
      <c r="C1038" s="302"/>
      <c r="D1038" s="302"/>
      <c r="E1038" s="638" t="str">
        <f>[1]K_Summary!E1028</f>
        <v>Специфичен EF (произведен отпадъчен газ)</v>
      </c>
      <c r="F1038" s="638"/>
      <c r="G1038" s="638"/>
      <c r="H1038" s="639" t="str">
        <f>[1]K_Summary!H1028</f>
        <v>t CO2 / TJ</v>
      </c>
      <c r="I1038" s="484" t="str">
        <f>[1]K_Summary!I1028</f>
        <v/>
      </c>
      <c r="J1038" s="484" t="str">
        <f>[1]K_Summary!J1028</f>
        <v/>
      </c>
      <c r="K1038" s="484" t="str">
        <f>[1]K_Summary!K1028</f>
        <v/>
      </c>
      <c r="L1038" s="484" t="str">
        <f>[1]K_Summary!L1028</f>
        <v/>
      </c>
      <c r="M1038" s="484" t="str">
        <f>[1]K_Summary!M1028</f>
        <v/>
      </c>
      <c r="N1038" s="626"/>
    </row>
    <row r="1039" spans="2:14" ht="12.75" customHeight="1" x14ac:dyDescent="0.25">
      <c r="B1039" s="284"/>
      <c r="C1039" s="302"/>
      <c r="D1039" s="302"/>
      <c r="E1039" s="636" t="str">
        <f>[1]K_Summary!E1029</f>
        <v>Консумиран отпадъчен газ</v>
      </c>
      <c r="F1039" s="636"/>
      <c r="G1039" s="636"/>
      <c r="H1039" s="637" t="str">
        <f>[1]K_Summary!H1029</f>
        <v>TJ / година</v>
      </c>
      <c r="I1039" s="482" t="str">
        <f>[1]K_Summary!I1029</f>
        <v/>
      </c>
      <c r="J1039" s="482" t="str">
        <f>[1]K_Summary!J1029</f>
        <v/>
      </c>
      <c r="K1039" s="482" t="str">
        <f>[1]K_Summary!K1029</f>
        <v/>
      </c>
      <c r="L1039" s="482" t="str">
        <f>[1]K_Summary!L1029</f>
        <v/>
      </c>
      <c r="M1039" s="482" t="str">
        <f>[1]K_Summary!M1029</f>
        <v/>
      </c>
      <c r="N1039" s="626"/>
    </row>
    <row r="1040" spans="2:14" ht="12.75" customHeight="1" x14ac:dyDescent="0.25">
      <c r="B1040" s="284"/>
      <c r="C1040" s="302"/>
      <c r="D1040" s="302"/>
      <c r="E1040" s="638" t="str">
        <f>[1]K_Summary!E1030</f>
        <v>Специфичен EF (консумиран отпадъчен газ)</v>
      </c>
      <c r="F1040" s="638"/>
      <c r="G1040" s="638"/>
      <c r="H1040" s="639" t="str">
        <f>[1]K_Summary!H1030</f>
        <v>t CO2 / TJ</v>
      </c>
      <c r="I1040" s="484" t="str">
        <f>[1]K_Summary!I1030</f>
        <v/>
      </c>
      <c r="J1040" s="484" t="str">
        <f>[1]K_Summary!J1030</f>
        <v/>
      </c>
      <c r="K1040" s="484" t="str">
        <f>[1]K_Summary!K1030</f>
        <v/>
      </c>
      <c r="L1040" s="484" t="str">
        <f>[1]K_Summary!L1030</f>
        <v/>
      </c>
      <c r="M1040" s="484" t="str">
        <f>[1]K_Summary!M1030</f>
        <v/>
      </c>
      <c r="N1040" s="626"/>
    </row>
    <row r="1041" spans="2:14" ht="12.75" customHeight="1" x14ac:dyDescent="0.25">
      <c r="B1041" s="284"/>
      <c r="C1041" s="302"/>
      <c r="D1041" s="302"/>
      <c r="E1041" s="636" t="str">
        <f>[1]K_Summary!E1031</f>
        <v>Изгорен във факел отпадъчен газ</v>
      </c>
      <c r="F1041" s="636"/>
      <c r="G1041" s="636"/>
      <c r="H1041" s="637" t="str">
        <f>[1]K_Summary!H1031</f>
        <v>TJ / година</v>
      </c>
      <c r="I1041" s="482" t="str">
        <f>[1]K_Summary!I1031</f>
        <v/>
      </c>
      <c r="J1041" s="482" t="str">
        <f>[1]K_Summary!J1031</f>
        <v/>
      </c>
      <c r="K1041" s="482" t="str">
        <f>[1]K_Summary!K1031</f>
        <v/>
      </c>
      <c r="L1041" s="482" t="str">
        <f>[1]K_Summary!L1031</f>
        <v/>
      </c>
      <c r="M1041" s="482" t="str">
        <f>[1]K_Summary!M1031</f>
        <v/>
      </c>
      <c r="N1041" s="626"/>
    </row>
    <row r="1042" spans="2:14" ht="12.75" customHeight="1" x14ac:dyDescent="0.25">
      <c r="B1042" s="284"/>
      <c r="C1042" s="302"/>
      <c r="D1042" s="302"/>
      <c r="E1042" s="638" t="str">
        <f>[1]K_Summary!E1032</f>
        <v>Специфичен EF (изгорен във факел отпадъчен газ)</v>
      </c>
      <c r="F1042" s="638"/>
      <c r="G1042" s="638"/>
      <c r="H1042" s="639" t="str">
        <f>[1]K_Summary!H1032</f>
        <v>t CO2 / TJ</v>
      </c>
      <c r="I1042" s="484" t="str">
        <f>[1]K_Summary!I1032</f>
        <v/>
      </c>
      <c r="J1042" s="484" t="str">
        <f>[1]K_Summary!J1032</f>
        <v/>
      </c>
      <c r="K1042" s="484" t="str">
        <f>[1]K_Summary!K1032</f>
        <v/>
      </c>
      <c r="L1042" s="484" t="str">
        <f>[1]K_Summary!L1032</f>
        <v/>
      </c>
      <c r="M1042" s="484" t="str">
        <f>[1]K_Summary!M1032</f>
        <v/>
      </c>
      <c r="N1042" s="626"/>
    </row>
    <row r="1043" spans="2:14" ht="12.75" customHeight="1" x14ac:dyDescent="0.25">
      <c r="B1043" s="284"/>
      <c r="C1043" s="302"/>
      <c r="D1043" s="302"/>
      <c r="E1043" s="636" t="str">
        <f>[1]K_Summary!E1033</f>
        <v>Получен отпадъчен газ</v>
      </c>
      <c r="F1043" s="636"/>
      <c r="G1043" s="636"/>
      <c r="H1043" s="637" t="str">
        <f>[1]K_Summary!H1033</f>
        <v>TJ / година</v>
      </c>
      <c r="I1043" s="482" t="str">
        <f>[1]K_Summary!I1033</f>
        <v/>
      </c>
      <c r="J1043" s="482" t="str">
        <f>[1]K_Summary!J1033</f>
        <v/>
      </c>
      <c r="K1043" s="482" t="str">
        <f>[1]K_Summary!K1033</f>
        <v/>
      </c>
      <c r="L1043" s="482" t="str">
        <f>[1]K_Summary!L1033</f>
        <v/>
      </c>
      <c r="M1043" s="482" t="str">
        <f>[1]K_Summary!M1033</f>
        <v/>
      </c>
      <c r="N1043" s="626"/>
    </row>
    <row r="1044" spans="2:14" ht="12.75" customHeight="1" x14ac:dyDescent="0.25">
      <c r="B1044" s="284"/>
      <c r="C1044" s="302"/>
      <c r="D1044" s="302"/>
      <c r="E1044" s="638" t="str">
        <f>[1]K_Summary!E1034</f>
        <v>Специфичен EF (получен отпадъчен газ)</v>
      </c>
      <c r="F1044" s="638"/>
      <c r="G1044" s="638"/>
      <c r="H1044" s="639" t="str">
        <f>[1]K_Summary!H1034</f>
        <v>t CO2 / TJ</v>
      </c>
      <c r="I1044" s="484" t="str">
        <f>[1]K_Summary!I1034</f>
        <v/>
      </c>
      <c r="J1044" s="484" t="str">
        <f>[1]K_Summary!J1034</f>
        <v/>
      </c>
      <c r="K1044" s="484" t="str">
        <f>[1]K_Summary!K1034</f>
        <v/>
      </c>
      <c r="L1044" s="484" t="str">
        <f>[1]K_Summary!L1034</f>
        <v/>
      </c>
      <c r="M1044" s="484" t="str">
        <f>[1]K_Summary!M1034</f>
        <v/>
      </c>
      <c r="N1044" s="626"/>
    </row>
    <row r="1045" spans="2:14" ht="12.75" customHeight="1" x14ac:dyDescent="0.25">
      <c r="B1045" s="284"/>
      <c r="C1045" s="302"/>
      <c r="D1045" s="302"/>
      <c r="E1045" s="636" t="str">
        <f>[1]K_Summary!E1035</f>
        <v>Подаден отпадъчен газ</v>
      </c>
      <c r="F1045" s="636"/>
      <c r="G1045" s="636"/>
      <c r="H1045" s="637" t="str">
        <f>[1]K_Summary!H1035</f>
        <v>TJ / година</v>
      </c>
      <c r="I1045" s="482" t="str">
        <f>[1]K_Summary!I1035</f>
        <v/>
      </c>
      <c r="J1045" s="482" t="str">
        <f>[1]K_Summary!J1035</f>
        <v/>
      </c>
      <c r="K1045" s="482" t="str">
        <f>[1]K_Summary!K1035</f>
        <v/>
      </c>
      <c r="L1045" s="482" t="str">
        <f>[1]K_Summary!L1035</f>
        <v/>
      </c>
      <c r="M1045" s="482" t="str">
        <f>[1]K_Summary!M1035</f>
        <v/>
      </c>
      <c r="N1045" s="626"/>
    </row>
    <row r="1046" spans="2:14" ht="12.75" customHeight="1" x14ac:dyDescent="0.25">
      <c r="B1046" s="284"/>
      <c r="C1046" s="302"/>
      <c r="D1046" s="302"/>
      <c r="E1046" s="638" t="str">
        <f>[1]K_Summary!E1036</f>
        <v>Специфичен EF (подаден отпадъчен газ)</v>
      </c>
      <c r="F1046" s="638"/>
      <c r="G1046" s="638"/>
      <c r="H1046" s="639" t="str">
        <f>[1]K_Summary!H1036</f>
        <v>t CO2 / TJ</v>
      </c>
      <c r="I1046" s="484" t="str">
        <f>[1]K_Summary!I1036</f>
        <v/>
      </c>
      <c r="J1046" s="484" t="str">
        <f>[1]K_Summary!J1036</f>
        <v/>
      </c>
      <c r="K1046" s="484" t="str">
        <f>[1]K_Summary!K1036</f>
        <v/>
      </c>
      <c r="L1046" s="484" t="str">
        <f>[1]K_Summary!L1036</f>
        <v/>
      </c>
      <c r="M1046" s="484" t="str">
        <f>[1]K_Summary!M1036</f>
        <v/>
      </c>
      <c r="N1046" s="626"/>
    </row>
    <row r="1047" spans="2:14" ht="12.75" customHeight="1" x14ac:dyDescent="0.25">
      <c r="B1047" s="284"/>
      <c r="C1047" s="302"/>
      <c r="D1047" s="302"/>
      <c r="E1047" s="625"/>
      <c r="F1047" s="625"/>
      <c r="G1047" s="625"/>
      <c r="H1047" s="625"/>
      <c r="I1047" s="640"/>
      <c r="J1047" s="640"/>
      <c r="K1047" s="640"/>
      <c r="L1047" s="640"/>
      <c r="M1047" s="640"/>
      <c r="N1047" s="626"/>
    </row>
    <row r="1048" spans="2:14" ht="12.75" customHeight="1" x14ac:dyDescent="0.25">
      <c r="B1048" s="284"/>
      <c r="C1048" s="302"/>
      <c r="D1048" s="302"/>
      <c r="E1048" s="641" t="str">
        <f>[1]K_Summary!E1038</f>
        <v>Произведена електроенергия</v>
      </c>
      <c r="F1048" s="641"/>
      <c r="G1048" s="641"/>
      <c r="H1048" s="642" t="str">
        <f>[1]K_Summary!H1038</f>
        <v>MWh / година</v>
      </c>
      <c r="I1048" s="480" t="str">
        <f>[1]K_Summary!I1038</f>
        <v/>
      </c>
      <c r="J1048" s="480" t="str">
        <f>[1]K_Summary!J1038</f>
        <v/>
      </c>
      <c r="K1048" s="480" t="str">
        <f>[1]K_Summary!K1038</f>
        <v/>
      </c>
      <c r="L1048" s="480" t="str">
        <f>[1]K_Summary!L1038</f>
        <v/>
      </c>
      <c r="M1048" s="480" t="str">
        <f>[1]K_Summary!M1038</f>
        <v/>
      </c>
      <c r="N1048" s="626"/>
    </row>
    <row r="1049" spans="2:14" ht="12.75" customHeight="1" x14ac:dyDescent="0.25">
      <c r="B1049" s="284"/>
      <c r="C1049" s="302"/>
      <c r="D1049" s="302"/>
      <c r="E1049" s="625"/>
      <c r="F1049" s="625"/>
      <c r="G1049" s="625"/>
      <c r="H1049" s="625"/>
      <c r="I1049" s="640"/>
      <c r="J1049" s="640"/>
      <c r="K1049" s="640"/>
      <c r="L1049" s="640"/>
      <c r="M1049" s="640"/>
      <c r="N1049" s="626"/>
    </row>
    <row r="1050" spans="2:14" ht="12.75" customHeight="1" x14ac:dyDescent="0.25">
      <c r="B1050" s="284"/>
      <c r="C1050" s="302"/>
      <c r="D1050" s="302"/>
      <c r="E1050" s="643" t="str">
        <f>[1]K_Summary!E1040</f>
        <v>Междинно получаване:</v>
      </c>
      <c r="F1050" s="625"/>
      <c r="G1050" s="625"/>
      <c r="H1050" s="625"/>
      <c r="I1050" s="640"/>
      <c r="J1050" s="640"/>
      <c r="K1050" s="640"/>
      <c r="L1050" s="640"/>
      <c r="M1050" s="640"/>
      <c r="N1050" s="626"/>
    </row>
    <row r="1051" spans="2:14" ht="12.75" customHeight="1" x14ac:dyDescent="0.25">
      <c r="B1051" s="284"/>
      <c r="C1051" s="302"/>
      <c r="D1051" s="302"/>
      <c r="E1051" s="381" t="str">
        <f>[1]K_Summary!E1041</f>
        <v/>
      </c>
      <c r="F1051" s="381"/>
      <c r="G1051" s="381"/>
      <c r="H1051" s="642" t="str">
        <f>[1]K_Summary!H1041</f>
        <v>тона</v>
      </c>
      <c r="I1051" s="499" t="str">
        <f>[1]K_Summary!I1041</f>
        <v/>
      </c>
      <c r="J1051" s="499" t="str">
        <f>[1]K_Summary!J1041</f>
        <v/>
      </c>
      <c r="K1051" s="499" t="str">
        <f>[1]K_Summary!K1041</f>
        <v/>
      </c>
      <c r="L1051" s="499" t="str">
        <f>[1]K_Summary!L1041</f>
        <v/>
      </c>
      <c r="M1051" s="499" t="str">
        <f>[1]K_Summary!M1041</f>
        <v/>
      </c>
      <c r="N1051" s="626"/>
    </row>
    <row r="1052" spans="2:14" ht="12.75" customHeight="1" x14ac:dyDescent="0.25">
      <c r="B1052" s="284"/>
      <c r="C1052" s="302"/>
      <c r="D1052" s="302"/>
      <c r="E1052" s="381" t="str">
        <f>[1]K_Summary!E1042</f>
        <v/>
      </c>
      <c r="F1052" s="381"/>
      <c r="G1052" s="381"/>
      <c r="H1052" s="642" t="str">
        <f>[1]K_Summary!H1042</f>
        <v>тона</v>
      </c>
      <c r="I1052" s="499" t="str">
        <f>[1]K_Summary!I1042</f>
        <v/>
      </c>
      <c r="J1052" s="499" t="str">
        <f>[1]K_Summary!J1042</f>
        <v/>
      </c>
      <c r="K1052" s="499" t="str">
        <f>[1]K_Summary!K1042</f>
        <v/>
      </c>
      <c r="L1052" s="499" t="str">
        <f>[1]K_Summary!L1042</f>
        <v/>
      </c>
      <c r="M1052" s="499" t="str">
        <f>[1]K_Summary!M1042</f>
        <v/>
      </c>
      <c r="N1052" s="626"/>
    </row>
    <row r="1053" spans="2:14" ht="12.75" customHeight="1" x14ac:dyDescent="0.25">
      <c r="B1053" s="284"/>
      <c r="C1053" s="302"/>
      <c r="D1053" s="302"/>
      <c r="E1053" s="643" t="str">
        <f>[1]K_Summary!E1043</f>
        <v>Междинно подаване:</v>
      </c>
      <c r="F1053" s="625"/>
      <c r="G1053" s="625"/>
      <c r="H1053" s="625"/>
      <c r="I1053" s="644"/>
      <c r="J1053" s="644"/>
      <c r="K1053" s="644"/>
      <c r="L1053" s="644"/>
      <c r="M1053" s="644"/>
      <c r="N1053" s="626"/>
    </row>
    <row r="1054" spans="2:14" ht="12.75" customHeight="1" x14ac:dyDescent="0.25">
      <c r="B1054" s="284"/>
      <c r="C1054" s="302"/>
      <c r="D1054" s="302"/>
      <c r="E1054" s="381" t="str">
        <f>[1]K_Summary!E1044</f>
        <v/>
      </c>
      <c r="F1054" s="381"/>
      <c r="G1054" s="381"/>
      <c r="H1054" s="642" t="str">
        <f>[1]K_Summary!H1044</f>
        <v>тона</v>
      </c>
      <c r="I1054" s="499" t="str">
        <f>[1]K_Summary!I1044</f>
        <v/>
      </c>
      <c r="J1054" s="499" t="str">
        <f>[1]K_Summary!J1044</f>
        <v/>
      </c>
      <c r="K1054" s="499" t="str">
        <f>[1]K_Summary!K1044</f>
        <v/>
      </c>
      <c r="L1054" s="499" t="str">
        <f>[1]K_Summary!L1044</f>
        <v/>
      </c>
      <c r="M1054" s="499" t="str">
        <f>[1]K_Summary!M1044</f>
        <v/>
      </c>
      <c r="N1054" s="626"/>
    </row>
    <row r="1055" spans="2:14" ht="12.75" customHeight="1" x14ac:dyDescent="0.25">
      <c r="B1055" s="284"/>
      <c r="C1055" s="302"/>
      <c r="D1055" s="302"/>
      <c r="E1055" s="381" t="str">
        <f>[1]K_Summary!E1045</f>
        <v/>
      </c>
      <c r="F1055" s="381"/>
      <c r="G1055" s="381"/>
      <c r="H1055" s="642" t="str">
        <f>[1]K_Summary!H1045</f>
        <v>тона</v>
      </c>
      <c r="I1055" s="499" t="str">
        <f>[1]K_Summary!I1045</f>
        <v/>
      </c>
      <c r="J1055" s="499" t="str">
        <f>[1]K_Summary!J1045</f>
        <v/>
      </c>
      <c r="K1055" s="499" t="str">
        <f>[1]K_Summary!K1045</f>
        <v/>
      </c>
      <c r="L1055" s="499" t="str">
        <f>[1]K_Summary!L1045</f>
        <v/>
      </c>
      <c r="M1055" s="499" t="str">
        <f>[1]K_Summary!M1045</f>
        <v/>
      </c>
      <c r="N1055" s="626"/>
    </row>
    <row r="1056" spans="2:14" ht="12.75" customHeight="1" x14ac:dyDescent="0.25">
      <c r="B1056" s="284"/>
      <c r="C1056" s="302"/>
      <c r="D1056" s="302"/>
      <c r="E1056" s="625"/>
      <c r="F1056" s="625"/>
      <c r="G1056" s="625"/>
      <c r="H1056" s="625"/>
      <c r="I1056" s="626"/>
      <c r="J1056" s="626"/>
      <c r="K1056" s="626"/>
      <c r="L1056" s="626"/>
      <c r="M1056" s="626"/>
      <c r="N1056" s="626"/>
    </row>
    <row r="1057" spans="2:14" ht="12.75" customHeight="1" x14ac:dyDescent="0.25">
      <c r="B1057" s="284"/>
      <c r="C1057" s="302"/>
      <c r="D1057" s="302"/>
      <c r="E1057" s="645" t="str">
        <f>[1]K_Summary!E1047</f>
        <v>Корекции за актуализиране на показателя при специфичен показател, когато е приложимо</v>
      </c>
      <c r="F1057" s="645"/>
      <c r="G1057" s="645"/>
      <c r="H1057" s="645"/>
      <c r="I1057" s="645"/>
      <c r="J1057" s="645"/>
      <c r="K1057" s="645"/>
      <c r="L1057" s="645"/>
      <c r="M1057" s="645"/>
      <c r="N1057" s="626"/>
    </row>
    <row r="1058" spans="2:14" ht="12.75" customHeight="1" x14ac:dyDescent="0.25">
      <c r="B1058" s="284"/>
      <c r="C1058" s="302"/>
      <c r="D1058" s="302"/>
      <c r="E1058" s="641" t="str">
        <f>[1]K_Summary!E1048</f>
        <v>Общо количество произведен пулп</v>
      </c>
      <c r="F1058" s="641"/>
      <c r="G1058" s="641"/>
      <c r="H1058" s="642" t="str">
        <f>[1]K_Summary!H1048</f>
        <v>тона</v>
      </c>
      <c r="I1058" s="499" t="str">
        <f>[1]K_Summary!I1048</f>
        <v/>
      </c>
      <c r="J1058" s="499" t="str">
        <f>[1]K_Summary!J1048</f>
        <v/>
      </c>
      <c r="K1058" s="499" t="str">
        <f>[1]K_Summary!K1048</f>
        <v/>
      </c>
      <c r="L1058" s="499" t="str">
        <f>[1]K_Summary!L1048</f>
        <v/>
      </c>
      <c r="M1058" s="499" t="str">
        <f>[1]K_Summary!M1048</f>
        <v/>
      </c>
      <c r="N1058" s="626"/>
    </row>
    <row r="1059" spans="2:14" ht="12.75" customHeight="1" x14ac:dyDescent="0.25">
      <c r="B1059" s="284"/>
      <c r="C1059" s="302"/>
      <c r="D1059" s="302"/>
      <c r="E1059" s="625"/>
      <c r="F1059" s="625"/>
      <c r="G1059" s="625"/>
      <c r="H1059" s="625"/>
      <c r="I1059" s="644"/>
      <c r="J1059" s="644"/>
      <c r="K1059" s="644"/>
      <c r="L1059" s="644"/>
      <c r="M1059" s="644"/>
      <c r="N1059" s="626"/>
    </row>
    <row r="1060" spans="2:14" ht="12.75" customHeight="1" x14ac:dyDescent="0.25">
      <c r="B1060" s="284"/>
      <c r="C1060" s="302"/>
      <c r="D1060" s="302"/>
      <c r="E1060" s="641" t="str">
        <f>[1]K_Summary!E1050</f>
        <v>Производство на водород (действително + теоретично)</v>
      </c>
      <c r="F1060" s="641"/>
      <c r="G1060" s="641"/>
      <c r="H1060" s="642" t="str">
        <f>[1]K_Summary!H1050</f>
        <v>тона</v>
      </c>
      <c r="I1060" s="499" t="str">
        <f>[1]K_Summary!I1050</f>
        <v/>
      </c>
      <c r="J1060" s="499" t="str">
        <f>[1]K_Summary!J1050</f>
        <v/>
      </c>
      <c r="K1060" s="499" t="str">
        <f>[1]K_Summary!K1050</f>
        <v/>
      </c>
      <c r="L1060" s="499" t="str">
        <f>[1]K_Summary!L1050</f>
        <v/>
      </c>
      <c r="M1060" s="499" t="str">
        <f>[1]K_Summary!M1050</f>
        <v/>
      </c>
      <c r="N1060" s="626"/>
    </row>
    <row r="1061" spans="2:14" ht="12.75" customHeight="1" x14ac:dyDescent="0.25">
      <c r="B1061" s="284"/>
      <c r="C1061" s="302"/>
      <c r="D1061" s="302"/>
      <c r="E1061" s="641" t="str">
        <f>[1]K_Summary!E1051</f>
        <v>Емисии във връзка с водород</v>
      </c>
      <c r="F1061" s="641"/>
      <c r="G1061" s="641"/>
      <c r="H1061" s="642" t="str">
        <f>[1]K_Summary!H1051</f>
        <v>t CO2 / година</v>
      </c>
      <c r="I1061" s="499" t="str">
        <f>[1]K_Summary!I1051</f>
        <v/>
      </c>
      <c r="J1061" s="499" t="str">
        <f>[1]K_Summary!J1051</f>
        <v/>
      </c>
      <c r="K1061" s="499" t="str">
        <f>[1]K_Summary!K1051</f>
        <v/>
      </c>
      <c r="L1061" s="499" t="str">
        <f>[1]K_Summary!L1051</f>
        <v/>
      </c>
      <c r="M1061" s="499" t="str">
        <f>[1]K_Summary!M1051</f>
        <v/>
      </c>
      <c r="N1061" s="626"/>
    </row>
    <row r="1062" spans="2:14" ht="12.75" customHeight="1" x14ac:dyDescent="0.25">
      <c r="B1062" s="284"/>
      <c r="C1062" s="302"/>
      <c r="D1062" s="302"/>
      <c r="E1062" s="625"/>
      <c r="F1062" s="625"/>
      <c r="G1062" s="625"/>
      <c r="H1062" s="625"/>
      <c r="I1062" s="644"/>
      <c r="J1062" s="644"/>
      <c r="K1062" s="644"/>
      <c r="L1062" s="644"/>
      <c r="M1062" s="644"/>
      <c r="N1062" s="626"/>
    </row>
    <row r="1063" spans="2:14" ht="12.75" customHeight="1" x14ac:dyDescent="0.25">
      <c r="B1063" s="284"/>
      <c r="C1063" s="302"/>
      <c r="D1063" s="302"/>
      <c r="E1063" s="641" t="str">
        <f>[1]K_Summary!E1053</f>
        <v>Корекция на емисиите във връзка с HVC</v>
      </c>
      <c r="F1063" s="641"/>
      <c r="G1063" s="641"/>
      <c r="H1063" s="642" t="str">
        <f>[1]K_Summary!H1053</f>
        <v>t CO2 / година</v>
      </c>
      <c r="I1063" s="499" t="str">
        <f>[1]K_Summary!I1053</f>
        <v/>
      </c>
      <c r="J1063" s="499" t="str">
        <f>[1]K_Summary!J1053</f>
        <v/>
      </c>
      <c r="K1063" s="499" t="str">
        <f>[1]K_Summary!K1053</f>
        <v/>
      </c>
      <c r="L1063" s="499" t="str">
        <f>[1]K_Summary!L1053</f>
        <v/>
      </c>
      <c r="M1063" s="499" t="str">
        <f>[1]K_Summary!M1053</f>
        <v/>
      </c>
      <c r="N1063" s="626"/>
    </row>
    <row r="1064" spans="2:14" ht="12.75" customHeight="1" x14ac:dyDescent="0.25">
      <c r="B1064" s="284"/>
      <c r="C1064" s="302"/>
      <c r="D1064" s="302"/>
      <c r="E1064" s="625"/>
      <c r="F1064" s="625"/>
      <c r="G1064" s="625"/>
      <c r="H1064" s="625"/>
      <c r="I1064" s="644"/>
      <c r="J1064" s="644"/>
      <c r="K1064" s="644"/>
      <c r="L1064" s="644"/>
      <c r="M1064" s="644"/>
      <c r="N1064" s="626"/>
    </row>
    <row r="1065" spans="2:14" ht="12.75" customHeight="1" x14ac:dyDescent="0.25">
      <c r="B1065" s="284"/>
      <c r="C1065" s="302"/>
      <c r="D1065" s="302"/>
      <c r="E1065" s="641" t="str">
        <f>[1]K_Summary!E1055</f>
        <v>Корекция на емисиите във връзка с VCM</v>
      </c>
      <c r="F1065" s="641"/>
      <c r="G1065" s="641"/>
      <c r="H1065" s="642" t="str">
        <f>[1]K_Summary!H1055</f>
        <v>t CO2 / година</v>
      </c>
      <c r="I1065" s="499" t="str">
        <f>[1]K_Summary!I1055</f>
        <v/>
      </c>
      <c r="J1065" s="499" t="str">
        <f>[1]K_Summary!J1055</f>
        <v/>
      </c>
      <c r="K1065" s="499" t="str">
        <f>[1]K_Summary!K1055</f>
        <v/>
      </c>
      <c r="L1065" s="499" t="str">
        <f>[1]K_Summary!L1055</f>
        <v/>
      </c>
      <c r="M1065" s="499" t="str">
        <f>[1]K_Summary!M1055</f>
        <v/>
      </c>
      <c r="N1065" s="626"/>
    </row>
    <row r="1066" spans="2:14" ht="12.75" customHeight="1" x14ac:dyDescent="0.25">
      <c r="B1066" s="284"/>
      <c r="C1066" s="302"/>
      <c r="D1066" s="302"/>
      <c r="E1066" s="625"/>
      <c r="F1066" s="625"/>
      <c r="G1066" s="625"/>
      <c r="H1066" s="625"/>
      <c r="I1066" s="626"/>
      <c r="J1066" s="626"/>
      <c r="K1066" s="626"/>
      <c r="L1066" s="626"/>
      <c r="M1066" s="626"/>
      <c r="N1066" s="626"/>
    </row>
    <row r="1067" spans="2:14" ht="12.75" customHeight="1" thickBot="1" x14ac:dyDescent="0.3">
      <c r="B1067" s="284"/>
      <c r="C1067" s="302"/>
      <c r="D1067" s="302"/>
      <c r="E1067" s="646"/>
      <c r="F1067" s="364"/>
      <c r="G1067" s="364"/>
      <c r="H1067" s="364"/>
      <c r="I1067" s="364"/>
      <c r="J1067" s="364"/>
      <c r="K1067" s="364"/>
      <c r="L1067" s="364"/>
      <c r="M1067" s="364"/>
      <c r="N1067" s="364"/>
    </row>
    <row r="1068" spans="2:14" ht="12.75" customHeight="1" x14ac:dyDescent="0.25">
      <c r="B1068" s="284"/>
      <c r="C1068" s="581"/>
      <c r="D1068" s="581"/>
      <c r="E1068" s="581"/>
      <c r="F1068" s="581"/>
      <c r="G1068" s="581"/>
      <c r="H1068" s="581"/>
      <c r="I1068" s="581"/>
      <c r="J1068" s="581"/>
      <c r="K1068" s="581"/>
      <c r="L1068" s="581"/>
      <c r="M1068" s="581"/>
      <c r="N1068" s="581"/>
    </row>
    <row r="1069" spans="2:14" ht="12.75" customHeight="1" x14ac:dyDescent="0.3">
      <c r="B1069" s="284"/>
      <c r="C1069" s="357">
        <f>[1]K_Summary!C1059</f>
        <v>9</v>
      </c>
      <c r="D1069" s="590" t="str">
        <f>[1]K_Summary!D1059</f>
        <v>Подинсталация с продуктов показател 9:</v>
      </c>
      <c r="E1069" s="590"/>
      <c r="F1069" s="590"/>
      <c r="G1069" s="590"/>
      <c r="H1069" s="591"/>
      <c r="I1069" s="592" t="str">
        <f>[1]K_Summary!I1059</f>
        <v/>
      </c>
      <c r="J1069" s="593"/>
      <c r="K1069" s="593"/>
      <c r="L1069" s="593"/>
      <c r="M1069" s="593"/>
      <c r="N1069" s="594"/>
    </row>
    <row r="1070" spans="2:14" ht="12.75" customHeight="1" thickBot="1" x14ac:dyDescent="0.3">
      <c r="B1070" s="284"/>
      <c r="C1070" s="302"/>
      <c r="D1070" s="302"/>
      <c r="E1070" s="302"/>
      <c r="F1070" s="302"/>
      <c r="G1070" s="302"/>
      <c r="H1070" s="302"/>
      <c r="I1070" s="302"/>
      <c r="J1070" s="302"/>
      <c r="K1070" s="302"/>
      <c r="L1070" s="302"/>
      <c r="M1070" s="302"/>
      <c r="N1070" s="302"/>
    </row>
    <row r="1071" spans="2:14" ht="12.75" customHeight="1" x14ac:dyDescent="0.25">
      <c r="B1071" s="284"/>
      <c r="C1071" s="302"/>
      <c r="D1071" s="302"/>
      <c r="E1071" s="302"/>
      <c r="F1071" s="302"/>
      <c r="G1071" s="302"/>
      <c r="H1071" s="595" t="str">
        <f>[1]K_Summary!H1061</f>
        <v>Риск от ИВЕ</v>
      </c>
      <c r="I1071" s="302"/>
      <c r="J1071" s="596" t="str">
        <f>[1]K_Summary!J1061</f>
        <v>В/Е</v>
      </c>
      <c r="K1071" s="596" t="str">
        <f>[1]K_Summary!K1061</f>
        <v>№ на п-л</v>
      </c>
      <c r="L1071" s="597" t="str">
        <f>[1]K_Summary!L1061</f>
        <v>15(7).3?</v>
      </c>
      <c r="M1071" s="598" t="str">
        <f>[1]K_Summary!M1061</f>
        <v>Стойност на показател (мин/макс/действ.)</v>
      </c>
      <c r="N1071" s="599"/>
    </row>
    <row r="1072" spans="2:14" ht="12.75" customHeight="1" x14ac:dyDescent="0.25">
      <c r="B1072" s="284"/>
      <c r="C1072" s="302"/>
      <c r="D1072" s="302"/>
      <c r="E1072" s="361" t="str">
        <f>[1]K_Summary!E1062</f>
        <v/>
      </c>
      <c r="F1072" s="373"/>
      <c r="G1072" s="362"/>
      <c r="H1072" s="600" t="str">
        <f>[1]K_Summary!H1062</f>
        <v>Не е приложимо</v>
      </c>
      <c r="I1072" s="302"/>
      <c r="J1072" s="601" t="str">
        <f>[1]K_Summary!J1062</f>
        <v>Не е приложимо</v>
      </c>
      <c r="K1072" s="406" t="str">
        <f>[1]K_Summary!K1062</f>
        <v>Не е приложимо</v>
      </c>
      <c r="L1072" s="602" t="str">
        <f>[1]K_Summary!L1062</f>
        <v/>
      </c>
      <c r="M1072" s="603" t="str">
        <f>[1]K_Summary!M1062</f>
        <v>Не е приложимо</v>
      </c>
      <c r="N1072" s="604" t="str">
        <f>[1]K_Summary!N1062</f>
        <v>Квота за емисии/тона</v>
      </c>
    </row>
    <row r="1073" spans="2:19" ht="12.75" customHeight="1" x14ac:dyDescent="0.25">
      <c r="B1073" s="284"/>
      <c r="C1073" s="302"/>
      <c r="D1073" s="302"/>
      <c r="E1073" s="364"/>
      <c r="F1073" s="364"/>
      <c r="G1073" s="596" t="str">
        <f>[1]K_Summary!G1063</f>
        <v>топл. ен. извън СТЕ</v>
      </c>
      <c r="H1073" s="595" t="str">
        <f>[1]K_Summary!H1063</f>
        <v>CBAM</v>
      </c>
      <c r="I1073" s="597" t="str">
        <f>[1]K_Summary!I1063</f>
        <v>WGflare</v>
      </c>
      <c r="J1073" s="596" t="str">
        <f>[1]K_Summary!J1063</f>
        <v>HVC-Corr</v>
      </c>
      <c r="K1073" s="596" t="str">
        <f>[1]K_Summary!K1063</f>
        <v>VCM-F</v>
      </c>
      <c r="L1073" s="302"/>
      <c r="M1073" s="603" t="str">
        <f>[1]K_Summary!M1063</f>
        <v>Не е приложимо</v>
      </c>
      <c r="N1073" s="604" t="str">
        <f>[1]K_Summary!N1063</f>
        <v>Квота за емисии/тона</v>
      </c>
      <c r="R1073" s="605" t="str">
        <f>[1]K_Summary!R1063</f>
        <v>No. BM</v>
      </c>
      <c r="S1073" s="606" t="str">
        <f>[1]K_Summary!S1063</f>
        <v>Не е приложимо</v>
      </c>
    </row>
    <row r="1074" spans="2:19" ht="12.75" customHeight="1" thickBot="1" x14ac:dyDescent="0.3">
      <c r="B1074" s="284"/>
      <c r="C1074" s="302"/>
      <c r="D1074" s="302"/>
      <c r="E1074" s="607" t="str">
        <f>[1]K_Summary!E1064</f>
        <v>Специфични коефициенти:</v>
      </c>
      <c r="F1074" s="607"/>
      <c r="G1074" s="406" t="str">
        <f>[1]K_Summary!G1064</f>
        <v/>
      </c>
      <c r="H1074" s="600" t="str">
        <f>[1]K_Summary!H1064</f>
        <v>Не е приложимо</v>
      </c>
      <c r="I1074" s="608" t="str">
        <f>[1]K_Summary!I1064</f>
        <v/>
      </c>
      <c r="J1074" s="406" t="str">
        <f>[1]K_Summary!J1064</f>
        <v/>
      </c>
      <c r="K1074" s="609" t="str">
        <f>[1]K_Summary!K1064</f>
        <v/>
      </c>
      <c r="L1074" s="302"/>
      <c r="M1074" s="610" t="str">
        <f>[1]K_Summary!M1064</f>
        <v>Не е приложимо</v>
      </c>
      <c r="N1074" s="611" t="str">
        <f>[1]K_Summary!N1064</f>
        <v>Квота за емисии/тона</v>
      </c>
      <c r="P1074" s="612" t="b">
        <f>IF(ISNUMBER(K1072),INDEX(EUconst_BMlistBMvalues,MATCH(K1072,EUconst_BMlistMainNumberOfBM,0))&lt;&gt;M1074,FALSE)</f>
        <v>0</v>
      </c>
    </row>
    <row r="1075" spans="2:19" ht="12.75" customHeight="1" x14ac:dyDescent="0.25">
      <c r="B1075" s="284"/>
      <c r="C1075" s="302"/>
      <c r="D1075" s="302"/>
      <c r="E1075" s="302"/>
      <c r="F1075" s="302"/>
      <c r="G1075" s="302"/>
      <c r="H1075" s="302"/>
      <c r="I1075" s="302"/>
      <c r="J1075" s="302"/>
      <c r="K1075" s="302"/>
      <c r="L1075" s="302"/>
      <c r="M1075" s="302"/>
      <c r="N1075" s="302"/>
    </row>
    <row r="1076" spans="2:19" ht="12.75" customHeight="1" x14ac:dyDescent="0.25">
      <c r="B1076" s="284"/>
      <c r="C1076" s="302"/>
      <c r="D1076" s="302"/>
      <c r="E1076" s="498"/>
      <c r="F1076" s="498"/>
      <c r="G1076" s="380"/>
      <c r="H1076" s="613" t="str">
        <f>[1]K_Summary!H1066</f>
        <v>Единица мярка</v>
      </c>
      <c r="I1076" s="387">
        <f>[1]K_Summary!I1066</f>
        <v>2019</v>
      </c>
      <c r="J1076" s="387">
        <f>[1]K_Summary!J1066</f>
        <v>2020</v>
      </c>
      <c r="K1076" s="387">
        <f>[1]K_Summary!K1066</f>
        <v>2021</v>
      </c>
      <c r="L1076" s="387">
        <f>[1]K_Summary!L1066</f>
        <v>2022</v>
      </c>
      <c r="M1076" s="387">
        <f>[1]K_Summary!M1066</f>
        <v>2023</v>
      </c>
      <c r="N1076" s="302"/>
    </row>
    <row r="1077" spans="2:19" ht="12.75" customHeight="1" x14ac:dyDescent="0.25">
      <c r="B1077" s="284"/>
      <c r="C1077" s="302"/>
      <c r="D1077" s="302"/>
      <c r="E1077" s="614" t="str">
        <f>[1]K_Summary!E1067</f>
        <v>Отчетено HAL (историческо равнище на дейност)</v>
      </c>
      <c r="F1077" s="388"/>
      <c r="G1077" s="615"/>
      <c r="H1077" s="600" t="str">
        <f>[1]K_Summary!H1067</f>
        <v>тона</v>
      </c>
      <c r="I1077" s="406" t="str">
        <f>[1]K_Summary!I1067</f>
        <v/>
      </c>
      <c r="J1077" s="406" t="str">
        <f>[1]K_Summary!J1067</f>
        <v/>
      </c>
      <c r="K1077" s="406" t="str">
        <f>[1]K_Summary!K1067</f>
        <v/>
      </c>
      <c r="L1077" s="406" t="str">
        <f>[1]K_Summary!L1067</f>
        <v/>
      </c>
      <c r="M1077" s="406" t="str">
        <f>[1]K_Summary!M1067</f>
        <v/>
      </c>
      <c r="N1077" s="596" t="str">
        <f>[1]K_Summary!N1067</f>
        <v>Median</v>
      </c>
    </row>
    <row r="1078" spans="2:19" ht="12.75" customHeight="1" x14ac:dyDescent="0.25">
      <c r="B1078" s="284"/>
      <c r="C1078" s="302"/>
      <c r="D1078" s="302"/>
      <c r="E1078" s="614" t="str">
        <f>[1]K_Summary!E1068</f>
        <v>Стойности, използвани за изчислението на HAL:</v>
      </c>
      <c r="F1078" s="388"/>
      <c r="G1078" s="615"/>
      <c r="H1078" s="600" t="str">
        <f>[1]K_Summary!H1068</f>
        <v>тона</v>
      </c>
      <c r="I1078" s="406" t="str">
        <f>[1]K_Summary!I1068</f>
        <v/>
      </c>
      <c r="J1078" s="406" t="str">
        <f>[1]K_Summary!J1068</f>
        <v/>
      </c>
      <c r="K1078" s="406" t="str">
        <f>[1]K_Summary!K1068</f>
        <v/>
      </c>
      <c r="L1078" s="406" t="str">
        <f>[1]K_Summary!L1068</f>
        <v/>
      </c>
      <c r="M1078" s="406" t="str">
        <f>[1]K_Summary!M1068</f>
        <v/>
      </c>
      <c r="N1078" s="406" t="str">
        <f>[1]K_Summary!N1068</f>
        <v/>
      </c>
    </row>
    <row r="1079" spans="2:19" ht="12.75" customHeight="1" x14ac:dyDescent="0.25">
      <c r="B1079" s="284"/>
      <c r="C1079" s="302"/>
      <c r="D1079" s="302"/>
      <c r="E1079" s="360"/>
      <c r="F1079" s="360"/>
      <c r="G1079" s="360"/>
      <c r="H1079" s="360"/>
      <c r="I1079" s="360"/>
      <c r="J1079" s="360"/>
      <c r="K1079" s="360"/>
      <c r="L1079" s="360"/>
      <c r="M1079" s="364"/>
      <c r="N1079" s="364"/>
    </row>
    <row r="1080" spans="2:19" ht="12.75" customHeight="1" x14ac:dyDescent="0.25">
      <c r="B1080" s="284"/>
      <c r="C1080" s="302"/>
      <c r="D1080" s="302"/>
      <c r="E1080" s="616" t="str">
        <f>[1]K_Summary!E1070</f>
        <v>Съответно потребление на електроенергия</v>
      </c>
      <c r="F1080" s="616"/>
      <c r="G1080" s="616"/>
      <c r="H1080" s="617" t="str">
        <f>[1]K_Summary!H1070</f>
        <v>MWh / година</v>
      </c>
      <c r="I1080" s="618" t="str">
        <f>[1]K_Summary!I1070</f>
        <v/>
      </c>
      <c r="J1080" s="618" t="str">
        <f>[1]K_Summary!J1070</f>
        <v/>
      </c>
      <c r="K1080" s="618" t="str">
        <f>[1]K_Summary!K1070</f>
        <v/>
      </c>
      <c r="L1080" s="618" t="str">
        <f>[1]K_Summary!L1070</f>
        <v/>
      </c>
      <c r="M1080" s="618" t="str">
        <f>[1]K_Summary!M1070</f>
        <v/>
      </c>
      <c r="N1080" s="302"/>
    </row>
    <row r="1081" spans="2:19" ht="12.75" customHeight="1" x14ac:dyDescent="0.25">
      <c r="B1081" s="284"/>
      <c r="C1081" s="302"/>
      <c r="D1081" s="302"/>
      <c r="E1081" s="360"/>
      <c r="F1081" s="360"/>
      <c r="G1081" s="360"/>
      <c r="H1081" s="360"/>
      <c r="I1081" s="360"/>
      <c r="J1081" s="360"/>
      <c r="K1081" s="360"/>
      <c r="L1081" s="360"/>
      <c r="M1081" s="364"/>
      <c r="N1081" s="364"/>
    </row>
    <row r="1082" spans="2:19" ht="12.75" customHeight="1" thickBot="1" x14ac:dyDescent="0.3">
      <c r="B1082" s="284"/>
      <c r="C1082" s="364"/>
      <c r="D1082" s="302"/>
      <c r="E1082" s="360"/>
      <c r="F1082" s="619" t="str">
        <f>[1]K_Summary!F1072</f>
        <v>Общо HAL</v>
      </c>
      <c r="G1082" s="620"/>
      <c r="H1082" s="364"/>
      <c r="I1082" s="619" t="str">
        <f>[1]K_Summary!I1072</f>
        <v>Предв. разпр. за год. 1 (мин)</v>
      </c>
      <c r="J1082" s="620"/>
      <c r="K1082" s="619" t="str">
        <f>[1]K_Summary!K1072</f>
        <v>Предв. разпр. за год. 1 (макс)</v>
      </c>
      <c r="L1082" s="620"/>
      <c r="M1082" s="619" t="str">
        <f>[1]K_Summary!M1072</f>
        <v>Предв. разпр. за год. 1 (действ.)</v>
      </c>
      <c r="N1082" s="620"/>
    </row>
    <row r="1083" spans="2:19" ht="12.75" customHeight="1" thickBot="1" x14ac:dyDescent="0.3">
      <c r="B1083" s="284"/>
      <c r="C1083" s="364"/>
      <c r="D1083" s="364"/>
      <c r="E1083" s="360"/>
      <c r="F1083" s="621" t="str">
        <f>[1]K_Summary!F1073</f>
        <v/>
      </c>
      <c r="G1083" s="622" t="str">
        <f>[1]K_Summary!G1073</f>
        <v>тона / година</v>
      </c>
      <c r="H1083" s="364"/>
      <c r="I1083" s="623" t="str">
        <f>[1]K_Summary!I1073</f>
        <v/>
      </c>
      <c r="J1083" s="624" t="str">
        <f>[1]K_Summary!J1073</f>
        <v>Квота за емисии / година</v>
      </c>
      <c r="K1083" s="623" t="str">
        <f>[1]K_Summary!K1073</f>
        <v/>
      </c>
      <c r="L1083" s="624" t="str">
        <f>[1]K_Summary!L1073</f>
        <v>Квота за емисии / година</v>
      </c>
      <c r="M1083" s="623" t="str">
        <f>[1]K_Summary!M1073</f>
        <v/>
      </c>
      <c r="N1083" s="624" t="str">
        <f>[1]K_Summary!N1073</f>
        <v>Квота за емисии / година</v>
      </c>
    </row>
    <row r="1084" spans="2:19" ht="12.75" customHeight="1" x14ac:dyDescent="0.25">
      <c r="B1084" s="284"/>
      <c r="C1084" s="302"/>
      <c r="D1084" s="364"/>
      <c r="E1084" s="360"/>
      <c r="F1084" s="302"/>
      <c r="G1084" s="302"/>
      <c r="H1084" s="302"/>
      <c r="I1084" s="302"/>
      <c r="J1084" s="302"/>
      <c r="K1084" s="302"/>
      <c r="L1084" s="302"/>
      <c r="M1084" s="302"/>
      <c r="N1084" s="302"/>
    </row>
    <row r="1085" spans="2:19" ht="12.75" customHeight="1" x14ac:dyDescent="0.25">
      <c r="B1085" s="284"/>
      <c r="C1085" s="302"/>
      <c r="D1085" s="302"/>
      <c r="E1085" s="625"/>
      <c r="F1085" s="626"/>
      <c r="G1085" s="626"/>
      <c r="H1085" s="626"/>
      <c r="I1085" s="626"/>
      <c r="J1085" s="626"/>
      <c r="K1085" s="626"/>
      <c r="L1085" s="626"/>
      <c r="M1085" s="626"/>
      <c r="N1085" s="626"/>
    </row>
    <row r="1086" spans="2:19" ht="12.75" customHeight="1" thickBot="1" x14ac:dyDescent="0.3">
      <c r="B1086" s="284"/>
      <c r="C1086" s="302"/>
      <c r="D1086" s="302"/>
      <c r="E1086" s="625"/>
      <c r="F1086" s="626"/>
      <c r="G1086" s="626"/>
      <c r="H1086" s="627" t="str">
        <f>[1]K_Summary!H1076</f>
        <v>Единица мярка</v>
      </c>
      <c r="I1086" s="628">
        <f>[1]K_Summary!I1076</f>
        <v>2019</v>
      </c>
      <c r="J1086" s="629">
        <f>[1]K_Summary!J1076</f>
        <v>2020</v>
      </c>
      <c r="K1086" s="629">
        <f>[1]K_Summary!K1076</f>
        <v>2021</v>
      </c>
      <c r="L1086" s="629">
        <f>[1]K_Summary!L1076</f>
        <v>2022</v>
      </c>
      <c r="M1086" s="629">
        <f>[1]K_Summary!M1076</f>
        <v>2023</v>
      </c>
      <c r="N1086" s="626"/>
    </row>
    <row r="1087" spans="2:19" ht="12.75" customHeight="1" thickBot="1" x14ac:dyDescent="0.3">
      <c r="B1087" s="284"/>
      <c r="C1087" s="302"/>
      <c r="D1087" s="302"/>
      <c r="E1087" s="630" t="str">
        <f>[1]K_Summary!E1077</f>
        <v>Общо зададени емисии</v>
      </c>
      <c r="F1087" s="630"/>
      <c r="G1087" s="630"/>
      <c r="H1087" s="631" t="str">
        <f>[1]K_Summary!H1077</f>
        <v>t CO2e/година</v>
      </c>
      <c r="I1087" s="632" t="str">
        <f>[1]K_Summary!I1077</f>
        <v/>
      </c>
      <c r="J1087" s="633" t="str">
        <f>[1]K_Summary!J1077</f>
        <v/>
      </c>
      <c r="K1087" s="633" t="str">
        <f>[1]K_Summary!K1077</f>
        <v/>
      </c>
      <c r="L1087" s="633" t="str">
        <f>[1]K_Summary!L1077</f>
        <v/>
      </c>
      <c r="M1087" s="634" t="str">
        <f>[1]K_Summary!M1077</f>
        <v/>
      </c>
      <c r="N1087" s="626"/>
    </row>
    <row r="1088" spans="2:19" ht="12.75" customHeight="1" x14ac:dyDescent="0.25">
      <c r="B1088" s="284"/>
      <c r="C1088" s="302"/>
      <c r="D1088" s="302"/>
      <c r="E1088" s="625"/>
      <c r="F1088" s="625"/>
      <c r="G1088" s="625"/>
      <c r="H1088" s="625"/>
      <c r="I1088" s="635"/>
      <c r="J1088" s="635"/>
      <c r="K1088" s="635"/>
      <c r="L1088" s="635"/>
      <c r="M1088" s="635"/>
      <c r="N1088" s="625"/>
    </row>
    <row r="1089" spans="2:14" ht="12.75" customHeight="1" x14ac:dyDescent="0.25">
      <c r="B1089" s="284"/>
      <c r="C1089" s="302"/>
      <c r="D1089" s="302"/>
      <c r="E1089" s="636" t="str">
        <f>[1]K_Summary!E1079</f>
        <v>Обща вложена енергия</v>
      </c>
      <c r="F1089" s="636"/>
      <c r="G1089" s="636"/>
      <c r="H1089" s="637" t="str">
        <f>[1]K_Summary!H1079</f>
        <v>TJ / година</v>
      </c>
      <c r="I1089" s="482" t="str">
        <f>[1]K_Summary!I1079</f>
        <v/>
      </c>
      <c r="J1089" s="482" t="str">
        <f>[1]K_Summary!J1079</f>
        <v/>
      </c>
      <c r="K1089" s="482" t="str">
        <f>[1]K_Summary!K1079</f>
        <v/>
      </c>
      <c r="L1089" s="482" t="str">
        <f>[1]K_Summary!L1079</f>
        <v/>
      </c>
      <c r="M1089" s="482" t="str">
        <f>[1]K_Summary!M1079</f>
        <v/>
      </c>
      <c r="N1089" s="626"/>
    </row>
    <row r="1090" spans="2:14" ht="12.75" customHeight="1" x14ac:dyDescent="0.25">
      <c r="B1090" s="284"/>
      <c r="C1090" s="302"/>
      <c r="D1090" s="302"/>
      <c r="E1090" s="638" t="str">
        <f>[1]K_Summary!E1080</f>
        <v>Претеглен емисионен фактор</v>
      </c>
      <c r="F1090" s="638"/>
      <c r="G1090" s="638"/>
      <c r="H1090" s="639" t="str">
        <f>[1]K_Summary!H1080</f>
        <v>t CO2 / TJ</v>
      </c>
      <c r="I1090" s="484" t="str">
        <f>[1]K_Summary!I1080</f>
        <v/>
      </c>
      <c r="J1090" s="484" t="str">
        <f>[1]K_Summary!J1080</f>
        <v/>
      </c>
      <c r="K1090" s="484" t="str">
        <f>[1]K_Summary!K1080</f>
        <v/>
      </c>
      <c r="L1090" s="484" t="str">
        <f>[1]K_Summary!L1080</f>
        <v/>
      </c>
      <c r="M1090" s="484" t="str">
        <f>[1]K_Summary!M1080</f>
        <v/>
      </c>
      <c r="N1090" s="626"/>
    </row>
    <row r="1091" spans="2:14" ht="12.75" customHeight="1" x14ac:dyDescent="0.25">
      <c r="B1091" s="284"/>
      <c r="C1091" s="302"/>
      <c r="D1091" s="364"/>
      <c r="E1091" s="625"/>
      <c r="F1091" s="626"/>
      <c r="G1091" s="626"/>
      <c r="H1091" s="626"/>
      <c r="I1091" s="640"/>
      <c r="J1091" s="640"/>
      <c r="K1091" s="640"/>
      <c r="L1091" s="640"/>
      <c r="M1091" s="640"/>
      <c r="N1091" s="626"/>
    </row>
    <row r="1092" spans="2:14" ht="12.75" customHeight="1" x14ac:dyDescent="0.25">
      <c r="B1092" s="284"/>
      <c r="C1092" s="302"/>
      <c r="D1092" s="364"/>
      <c r="E1092" s="641" t="str">
        <f>[1]K_Summary!E1082</f>
        <v>Преки емисии</v>
      </c>
      <c r="F1092" s="641"/>
      <c r="G1092" s="641"/>
      <c r="H1092" s="642" t="str">
        <f>[1]K_Summary!H1082</f>
        <v>t CO2 / година</v>
      </c>
      <c r="I1092" s="499" t="str">
        <f>[1]K_Summary!I1082</f>
        <v/>
      </c>
      <c r="J1092" s="499" t="str">
        <f>[1]K_Summary!J1082</f>
        <v/>
      </c>
      <c r="K1092" s="499" t="str">
        <f>[1]K_Summary!K1082</f>
        <v/>
      </c>
      <c r="L1092" s="499" t="str">
        <f>[1]K_Summary!L1082</f>
        <v/>
      </c>
      <c r="M1092" s="499" t="str">
        <f>[1]K_Summary!M1082</f>
        <v/>
      </c>
      <c r="N1092" s="626"/>
    </row>
    <row r="1093" spans="2:14" ht="12.75" customHeight="1" x14ac:dyDescent="0.25">
      <c r="B1093" s="284"/>
      <c r="C1093" s="302"/>
      <c r="D1093" s="364"/>
      <c r="E1093" s="641" t="str">
        <f>[1]K_Summary!E1083</f>
        <v>Други потоци горива и материали пораждащи емисии — 1</v>
      </c>
      <c r="F1093" s="641"/>
      <c r="G1093" s="641"/>
      <c r="H1093" s="642" t="str">
        <f>[1]K_Summary!H1083</f>
        <v>t CO2 / година</v>
      </c>
      <c r="I1093" s="499" t="str">
        <f>[1]K_Summary!I1083</f>
        <v/>
      </c>
      <c r="J1093" s="499" t="str">
        <f>[1]K_Summary!J1083</f>
        <v/>
      </c>
      <c r="K1093" s="499" t="str">
        <f>[1]K_Summary!K1083</f>
        <v/>
      </c>
      <c r="L1093" s="499" t="str">
        <f>[1]K_Summary!L1083</f>
        <v/>
      </c>
      <c r="M1093" s="499" t="str">
        <f>[1]K_Summary!M1083</f>
        <v/>
      </c>
      <c r="N1093" s="626"/>
    </row>
    <row r="1094" spans="2:14" ht="12.75" customHeight="1" x14ac:dyDescent="0.25">
      <c r="B1094" s="284"/>
      <c r="C1094" s="302"/>
      <c r="D1094" s="364"/>
      <c r="E1094" s="641" t="str">
        <f>[1]K_Summary!E1084</f>
        <v>Други потоци горива и материали пораждащи емисии — 2</v>
      </c>
      <c r="F1094" s="641"/>
      <c r="G1094" s="641"/>
      <c r="H1094" s="642" t="str">
        <f>[1]K_Summary!H1084</f>
        <v>t CO2 / година</v>
      </c>
      <c r="I1094" s="499" t="str">
        <f>[1]K_Summary!I1084</f>
        <v/>
      </c>
      <c r="J1094" s="499" t="str">
        <f>[1]K_Summary!J1084</f>
        <v/>
      </c>
      <c r="K1094" s="499" t="str">
        <f>[1]K_Summary!K1084</f>
        <v/>
      </c>
      <c r="L1094" s="499" t="str">
        <f>[1]K_Summary!L1084</f>
        <v/>
      </c>
      <c r="M1094" s="499" t="str">
        <f>[1]K_Summary!M1084</f>
        <v/>
      </c>
      <c r="N1094" s="626"/>
    </row>
    <row r="1095" spans="2:14" ht="12.75" customHeight="1" x14ac:dyDescent="0.25">
      <c r="B1095" s="284"/>
      <c r="C1095" s="302"/>
      <c r="D1095" s="302"/>
      <c r="E1095" s="641" t="str">
        <f>[1]K_Summary!E1085</f>
        <v>Получени или подадени парникови газове</v>
      </c>
      <c r="F1095" s="641"/>
      <c r="G1095" s="641"/>
      <c r="H1095" s="642" t="str">
        <f>[1]K_Summary!H1085</f>
        <v>t CO2e/година</v>
      </c>
      <c r="I1095" s="499" t="str">
        <f>[1]K_Summary!I1085</f>
        <v/>
      </c>
      <c r="J1095" s="499" t="str">
        <f>[1]K_Summary!J1085</f>
        <v/>
      </c>
      <c r="K1095" s="499" t="str">
        <f>[1]K_Summary!K1085</f>
        <v/>
      </c>
      <c r="L1095" s="499" t="str">
        <f>[1]K_Summary!L1085</f>
        <v/>
      </c>
      <c r="M1095" s="499" t="str">
        <f>[1]K_Summary!M1085</f>
        <v/>
      </c>
      <c r="N1095" s="626"/>
    </row>
    <row r="1096" spans="2:14" ht="12.75" customHeight="1" x14ac:dyDescent="0.25">
      <c r="B1096" s="284"/>
      <c r="C1096" s="302"/>
      <c r="D1096" s="302"/>
      <c r="E1096" s="626"/>
      <c r="F1096" s="626"/>
      <c r="G1096" s="626"/>
      <c r="H1096" s="626"/>
      <c r="I1096" s="640"/>
      <c r="J1096" s="640"/>
      <c r="K1096" s="640"/>
      <c r="L1096" s="640"/>
      <c r="M1096" s="640"/>
      <c r="N1096" s="626"/>
    </row>
    <row r="1097" spans="2:14" ht="12.75" customHeight="1" x14ac:dyDescent="0.25">
      <c r="B1097" s="284"/>
      <c r="C1097" s="302"/>
      <c r="D1097" s="302"/>
      <c r="E1097" s="636" t="str">
        <f>[1]K_Summary!E1087</f>
        <v>Нетно количество получена топлинна енергия</v>
      </c>
      <c r="F1097" s="636"/>
      <c r="G1097" s="636"/>
      <c r="H1097" s="637" t="str">
        <f>[1]K_Summary!H1087</f>
        <v>TJ / година</v>
      </c>
      <c r="I1097" s="482" t="str">
        <f>[1]K_Summary!I1087</f>
        <v/>
      </c>
      <c r="J1097" s="482" t="str">
        <f>[1]K_Summary!J1087</f>
        <v/>
      </c>
      <c r="K1097" s="482" t="str">
        <f>[1]K_Summary!K1087</f>
        <v/>
      </c>
      <c r="L1097" s="482" t="str">
        <f>[1]K_Summary!L1087</f>
        <v/>
      </c>
      <c r="M1097" s="482" t="str">
        <f>[1]K_Summary!M1087</f>
        <v/>
      </c>
      <c r="N1097" s="626"/>
    </row>
    <row r="1098" spans="2:14" ht="12.75" customHeight="1" x14ac:dyDescent="0.25">
      <c r="B1098" s="284"/>
      <c r="C1098" s="302"/>
      <c r="D1098" s="302"/>
      <c r="E1098" s="638" t="str">
        <f>[1]K_Summary!E1088</f>
        <v>Специфичен EF (получена топлинна енергия)</v>
      </c>
      <c r="F1098" s="638"/>
      <c r="G1098" s="638"/>
      <c r="H1098" s="639" t="str">
        <f>[1]K_Summary!H1088</f>
        <v>t CO2 / TJ</v>
      </c>
      <c r="I1098" s="484" t="str">
        <f>[1]K_Summary!I1088</f>
        <v/>
      </c>
      <c r="J1098" s="484" t="str">
        <f>[1]K_Summary!J1088</f>
        <v/>
      </c>
      <c r="K1098" s="484" t="str">
        <f>[1]K_Summary!K1088</f>
        <v/>
      </c>
      <c r="L1098" s="484" t="str">
        <f>[1]K_Summary!L1088</f>
        <v/>
      </c>
      <c r="M1098" s="484" t="str">
        <f>[1]K_Summary!M1088</f>
        <v/>
      </c>
      <c r="N1098" s="626"/>
    </row>
    <row r="1099" spans="2:14" ht="12.75" customHeight="1" x14ac:dyDescent="0.25">
      <c r="B1099" s="284"/>
      <c r="C1099" s="302"/>
      <c r="D1099" s="302"/>
      <c r="E1099" s="625"/>
      <c r="F1099" s="626"/>
      <c r="G1099" s="626"/>
      <c r="H1099" s="626"/>
      <c r="I1099" s="640"/>
      <c r="J1099" s="640"/>
      <c r="K1099" s="640"/>
      <c r="L1099" s="640"/>
      <c r="M1099" s="640"/>
      <c r="N1099" s="626"/>
    </row>
    <row r="1100" spans="2:14" ht="12.75" customHeight="1" x14ac:dyDescent="0.25">
      <c r="B1100" s="284"/>
      <c r="C1100" s="302"/>
      <c r="D1100" s="302"/>
      <c r="E1100" s="641" t="str">
        <f>[1]K_Summary!E1090</f>
        <v>Нетно количество топлинна енергия, получена от пулп</v>
      </c>
      <c r="F1100" s="641"/>
      <c r="G1100" s="641"/>
      <c r="H1100" s="642" t="str">
        <f>[1]K_Summary!H1090</f>
        <v>TJ / година</v>
      </c>
      <c r="I1100" s="480" t="str">
        <f>[1]K_Summary!I1090</f>
        <v/>
      </c>
      <c r="J1100" s="480" t="str">
        <f>[1]K_Summary!J1090</f>
        <v/>
      </c>
      <c r="K1100" s="480" t="str">
        <f>[1]K_Summary!K1090</f>
        <v/>
      </c>
      <c r="L1100" s="480" t="str">
        <f>[1]K_Summary!L1090</f>
        <v/>
      </c>
      <c r="M1100" s="480" t="str">
        <f>[1]K_Summary!M1090</f>
        <v/>
      </c>
      <c r="N1100" s="626"/>
    </row>
    <row r="1101" spans="2:14" ht="12.75" customHeight="1" x14ac:dyDescent="0.25">
      <c r="B1101" s="284"/>
      <c r="C1101" s="302"/>
      <c r="D1101" s="302"/>
      <c r="E1101" s="641" t="str">
        <f>[1]K_Summary!E1091</f>
        <v>Нетно количество топлинна енергия, получена от подинсталации за азотна киселина</v>
      </c>
      <c r="F1101" s="641"/>
      <c r="G1101" s="641"/>
      <c r="H1101" s="642" t="str">
        <f>[1]K_Summary!H1091</f>
        <v>TJ / година</v>
      </c>
      <c r="I1101" s="480" t="str">
        <f>[1]K_Summary!I1091</f>
        <v/>
      </c>
      <c r="J1101" s="480" t="str">
        <f>[1]K_Summary!J1091</f>
        <v/>
      </c>
      <c r="K1101" s="480" t="str">
        <f>[1]K_Summary!K1091</f>
        <v/>
      </c>
      <c r="L1101" s="480" t="str">
        <f>[1]K_Summary!L1091</f>
        <v/>
      </c>
      <c r="M1101" s="480" t="str">
        <f>[1]K_Summary!M1091</f>
        <v/>
      </c>
      <c r="N1101" s="626"/>
    </row>
    <row r="1102" spans="2:14" ht="12.75" customHeight="1" x14ac:dyDescent="0.25">
      <c r="B1102" s="284"/>
      <c r="C1102" s="302"/>
      <c r="D1102" s="302"/>
      <c r="E1102" s="625"/>
      <c r="F1102" s="625"/>
      <c r="G1102" s="625"/>
      <c r="H1102" s="625"/>
      <c r="I1102" s="640"/>
      <c r="J1102" s="640"/>
      <c r="K1102" s="640"/>
      <c r="L1102" s="640"/>
      <c r="M1102" s="640"/>
      <c r="N1102" s="626"/>
    </row>
    <row r="1103" spans="2:14" ht="12.75" customHeight="1" x14ac:dyDescent="0.25">
      <c r="B1103" s="284"/>
      <c r="C1103" s="302"/>
      <c r="D1103" s="302"/>
      <c r="E1103" s="636" t="str">
        <f>[1]K_Summary!E1093</f>
        <v>Нетно количество подадена топлинна енергия</v>
      </c>
      <c r="F1103" s="636"/>
      <c r="G1103" s="636"/>
      <c r="H1103" s="637" t="str">
        <f>[1]K_Summary!H1093</f>
        <v>TJ / година</v>
      </c>
      <c r="I1103" s="482" t="str">
        <f>[1]K_Summary!I1093</f>
        <v/>
      </c>
      <c r="J1103" s="482" t="str">
        <f>[1]K_Summary!J1093</f>
        <v/>
      </c>
      <c r="K1103" s="482" t="str">
        <f>[1]K_Summary!K1093</f>
        <v/>
      </c>
      <c r="L1103" s="482" t="str">
        <f>[1]K_Summary!L1093</f>
        <v/>
      </c>
      <c r="M1103" s="482" t="str">
        <f>[1]K_Summary!M1093</f>
        <v/>
      </c>
      <c r="N1103" s="626"/>
    </row>
    <row r="1104" spans="2:14" ht="12.75" customHeight="1" x14ac:dyDescent="0.25">
      <c r="B1104" s="284"/>
      <c r="C1104" s="302"/>
      <c r="D1104" s="302"/>
      <c r="E1104" s="638" t="str">
        <f>[1]K_Summary!E1094</f>
        <v>Специфичен EF (подадена топлинна енергия)</v>
      </c>
      <c r="F1104" s="638"/>
      <c r="G1104" s="638"/>
      <c r="H1104" s="639" t="str">
        <f>[1]K_Summary!H1094</f>
        <v>t CO2 / TJ</v>
      </c>
      <c r="I1104" s="484" t="str">
        <f>[1]K_Summary!I1094</f>
        <v/>
      </c>
      <c r="J1104" s="484" t="str">
        <f>[1]K_Summary!J1094</f>
        <v/>
      </c>
      <c r="K1104" s="484" t="str">
        <f>[1]K_Summary!K1094</f>
        <v/>
      </c>
      <c r="L1104" s="484" t="str">
        <f>[1]K_Summary!L1094</f>
        <v/>
      </c>
      <c r="M1104" s="484" t="str">
        <f>[1]K_Summary!M1094</f>
        <v/>
      </c>
      <c r="N1104" s="626"/>
    </row>
    <row r="1105" spans="2:14" ht="12.75" customHeight="1" x14ac:dyDescent="0.25">
      <c r="B1105" s="284"/>
      <c r="C1105" s="302"/>
      <c r="D1105" s="302"/>
      <c r="E1105" s="625"/>
      <c r="F1105" s="625"/>
      <c r="G1105" s="625"/>
      <c r="H1105" s="625"/>
      <c r="I1105" s="640"/>
      <c r="J1105" s="640"/>
      <c r="K1105" s="640"/>
      <c r="L1105" s="640"/>
      <c r="M1105" s="640"/>
      <c r="N1105" s="626"/>
    </row>
    <row r="1106" spans="2:14" ht="12.75" customHeight="1" x14ac:dyDescent="0.25">
      <c r="B1106" s="284"/>
      <c r="C1106" s="302"/>
      <c r="D1106" s="302"/>
      <c r="E1106" s="636" t="str">
        <f>[1]K_Summary!E1096</f>
        <v>Произведен отпадъчен газ</v>
      </c>
      <c r="F1106" s="636"/>
      <c r="G1106" s="636"/>
      <c r="H1106" s="637" t="str">
        <f>[1]K_Summary!H1096</f>
        <v>TJ / година</v>
      </c>
      <c r="I1106" s="482" t="str">
        <f>[1]K_Summary!I1096</f>
        <v/>
      </c>
      <c r="J1106" s="482" t="str">
        <f>[1]K_Summary!J1096</f>
        <v/>
      </c>
      <c r="K1106" s="482" t="str">
        <f>[1]K_Summary!K1096</f>
        <v/>
      </c>
      <c r="L1106" s="482" t="str">
        <f>[1]K_Summary!L1096</f>
        <v/>
      </c>
      <c r="M1106" s="482" t="str">
        <f>[1]K_Summary!M1096</f>
        <v/>
      </c>
      <c r="N1106" s="626"/>
    </row>
    <row r="1107" spans="2:14" ht="12.75" customHeight="1" x14ac:dyDescent="0.25">
      <c r="B1107" s="284"/>
      <c r="C1107" s="302"/>
      <c r="D1107" s="302"/>
      <c r="E1107" s="638" t="str">
        <f>[1]K_Summary!E1097</f>
        <v>Специфичен EF (произведен отпадъчен газ)</v>
      </c>
      <c r="F1107" s="638"/>
      <c r="G1107" s="638"/>
      <c r="H1107" s="639" t="str">
        <f>[1]K_Summary!H1097</f>
        <v>t CO2 / TJ</v>
      </c>
      <c r="I1107" s="484" t="str">
        <f>[1]K_Summary!I1097</f>
        <v/>
      </c>
      <c r="J1107" s="484" t="str">
        <f>[1]K_Summary!J1097</f>
        <v/>
      </c>
      <c r="K1107" s="484" t="str">
        <f>[1]K_Summary!K1097</f>
        <v/>
      </c>
      <c r="L1107" s="484" t="str">
        <f>[1]K_Summary!L1097</f>
        <v/>
      </c>
      <c r="M1107" s="484" t="str">
        <f>[1]K_Summary!M1097</f>
        <v/>
      </c>
      <c r="N1107" s="626"/>
    </row>
    <row r="1108" spans="2:14" ht="12.75" customHeight="1" x14ac:dyDescent="0.25">
      <c r="B1108" s="284"/>
      <c r="C1108" s="302"/>
      <c r="D1108" s="302"/>
      <c r="E1108" s="636" t="str">
        <f>[1]K_Summary!E1098</f>
        <v>Консумиран отпадъчен газ</v>
      </c>
      <c r="F1108" s="636"/>
      <c r="G1108" s="636"/>
      <c r="H1108" s="637" t="str">
        <f>[1]K_Summary!H1098</f>
        <v>TJ / година</v>
      </c>
      <c r="I1108" s="482" t="str">
        <f>[1]K_Summary!I1098</f>
        <v/>
      </c>
      <c r="J1108" s="482" t="str">
        <f>[1]K_Summary!J1098</f>
        <v/>
      </c>
      <c r="K1108" s="482" t="str">
        <f>[1]K_Summary!K1098</f>
        <v/>
      </c>
      <c r="L1108" s="482" t="str">
        <f>[1]K_Summary!L1098</f>
        <v/>
      </c>
      <c r="M1108" s="482" t="str">
        <f>[1]K_Summary!M1098</f>
        <v/>
      </c>
      <c r="N1108" s="626"/>
    </row>
    <row r="1109" spans="2:14" ht="12.75" customHeight="1" x14ac:dyDescent="0.25">
      <c r="B1109" s="284"/>
      <c r="C1109" s="302"/>
      <c r="D1109" s="302"/>
      <c r="E1109" s="638" t="str">
        <f>[1]K_Summary!E1099</f>
        <v>Специфичен EF (консумиран отпадъчен газ)</v>
      </c>
      <c r="F1109" s="638"/>
      <c r="G1109" s="638"/>
      <c r="H1109" s="639" t="str">
        <f>[1]K_Summary!H1099</f>
        <v>t CO2 / TJ</v>
      </c>
      <c r="I1109" s="484" t="str">
        <f>[1]K_Summary!I1099</f>
        <v/>
      </c>
      <c r="J1109" s="484" t="str">
        <f>[1]K_Summary!J1099</f>
        <v/>
      </c>
      <c r="K1109" s="484" t="str">
        <f>[1]K_Summary!K1099</f>
        <v/>
      </c>
      <c r="L1109" s="484" t="str">
        <f>[1]K_Summary!L1099</f>
        <v/>
      </c>
      <c r="M1109" s="484" t="str">
        <f>[1]K_Summary!M1099</f>
        <v/>
      </c>
      <c r="N1109" s="626"/>
    </row>
    <row r="1110" spans="2:14" ht="12.75" customHeight="1" x14ac:dyDescent="0.25">
      <c r="B1110" s="284"/>
      <c r="C1110" s="302"/>
      <c r="D1110" s="302"/>
      <c r="E1110" s="636" t="str">
        <f>[1]K_Summary!E1100</f>
        <v>Изгорен във факел отпадъчен газ</v>
      </c>
      <c r="F1110" s="636"/>
      <c r="G1110" s="636"/>
      <c r="H1110" s="637" t="str">
        <f>[1]K_Summary!H1100</f>
        <v>TJ / година</v>
      </c>
      <c r="I1110" s="482" t="str">
        <f>[1]K_Summary!I1100</f>
        <v/>
      </c>
      <c r="J1110" s="482" t="str">
        <f>[1]K_Summary!J1100</f>
        <v/>
      </c>
      <c r="K1110" s="482" t="str">
        <f>[1]K_Summary!K1100</f>
        <v/>
      </c>
      <c r="L1110" s="482" t="str">
        <f>[1]K_Summary!L1100</f>
        <v/>
      </c>
      <c r="M1110" s="482" t="str">
        <f>[1]K_Summary!M1100</f>
        <v/>
      </c>
      <c r="N1110" s="626"/>
    </row>
    <row r="1111" spans="2:14" ht="12.75" customHeight="1" x14ac:dyDescent="0.25">
      <c r="B1111" s="284"/>
      <c r="C1111" s="302"/>
      <c r="D1111" s="302"/>
      <c r="E1111" s="638" t="str">
        <f>[1]K_Summary!E1101</f>
        <v>Специфичен EF (изгорен във факел отпадъчен газ)</v>
      </c>
      <c r="F1111" s="638"/>
      <c r="G1111" s="638"/>
      <c r="H1111" s="639" t="str">
        <f>[1]K_Summary!H1101</f>
        <v>t CO2 / TJ</v>
      </c>
      <c r="I1111" s="484" t="str">
        <f>[1]K_Summary!I1101</f>
        <v/>
      </c>
      <c r="J1111" s="484" t="str">
        <f>[1]K_Summary!J1101</f>
        <v/>
      </c>
      <c r="K1111" s="484" t="str">
        <f>[1]K_Summary!K1101</f>
        <v/>
      </c>
      <c r="L1111" s="484" t="str">
        <f>[1]K_Summary!L1101</f>
        <v/>
      </c>
      <c r="M1111" s="484" t="str">
        <f>[1]K_Summary!M1101</f>
        <v/>
      </c>
      <c r="N1111" s="626"/>
    </row>
    <row r="1112" spans="2:14" ht="12.75" customHeight="1" x14ac:dyDescent="0.25">
      <c r="B1112" s="284"/>
      <c r="C1112" s="302"/>
      <c r="D1112" s="302"/>
      <c r="E1112" s="636" t="str">
        <f>[1]K_Summary!E1102</f>
        <v>Получен отпадъчен газ</v>
      </c>
      <c r="F1112" s="636"/>
      <c r="G1112" s="636"/>
      <c r="H1112" s="637" t="str">
        <f>[1]K_Summary!H1102</f>
        <v>TJ / година</v>
      </c>
      <c r="I1112" s="482" t="str">
        <f>[1]K_Summary!I1102</f>
        <v/>
      </c>
      <c r="J1112" s="482" t="str">
        <f>[1]K_Summary!J1102</f>
        <v/>
      </c>
      <c r="K1112" s="482" t="str">
        <f>[1]K_Summary!K1102</f>
        <v/>
      </c>
      <c r="L1112" s="482" t="str">
        <f>[1]K_Summary!L1102</f>
        <v/>
      </c>
      <c r="M1112" s="482" t="str">
        <f>[1]K_Summary!M1102</f>
        <v/>
      </c>
      <c r="N1112" s="626"/>
    </row>
    <row r="1113" spans="2:14" ht="12.75" customHeight="1" x14ac:dyDescent="0.25">
      <c r="B1113" s="284"/>
      <c r="C1113" s="302"/>
      <c r="D1113" s="302"/>
      <c r="E1113" s="638" t="str">
        <f>[1]K_Summary!E1103</f>
        <v>Специфичен EF (получен отпадъчен газ)</v>
      </c>
      <c r="F1113" s="638"/>
      <c r="G1113" s="638"/>
      <c r="H1113" s="639" t="str">
        <f>[1]K_Summary!H1103</f>
        <v>t CO2 / TJ</v>
      </c>
      <c r="I1113" s="484" t="str">
        <f>[1]K_Summary!I1103</f>
        <v/>
      </c>
      <c r="J1113" s="484" t="str">
        <f>[1]K_Summary!J1103</f>
        <v/>
      </c>
      <c r="K1113" s="484" t="str">
        <f>[1]K_Summary!K1103</f>
        <v/>
      </c>
      <c r="L1113" s="484" t="str">
        <f>[1]K_Summary!L1103</f>
        <v/>
      </c>
      <c r="M1113" s="484" t="str">
        <f>[1]K_Summary!M1103</f>
        <v/>
      </c>
      <c r="N1113" s="626"/>
    </row>
    <row r="1114" spans="2:14" ht="12.75" customHeight="1" x14ac:dyDescent="0.25">
      <c r="B1114" s="284"/>
      <c r="C1114" s="302"/>
      <c r="D1114" s="302"/>
      <c r="E1114" s="636" t="str">
        <f>[1]K_Summary!E1104</f>
        <v>Подаден отпадъчен газ</v>
      </c>
      <c r="F1114" s="636"/>
      <c r="G1114" s="636"/>
      <c r="H1114" s="637" t="str">
        <f>[1]K_Summary!H1104</f>
        <v>TJ / година</v>
      </c>
      <c r="I1114" s="482" t="str">
        <f>[1]K_Summary!I1104</f>
        <v/>
      </c>
      <c r="J1114" s="482" t="str">
        <f>[1]K_Summary!J1104</f>
        <v/>
      </c>
      <c r="K1114" s="482" t="str">
        <f>[1]K_Summary!K1104</f>
        <v/>
      </c>
      <c r="L1114" s="482" t="str">
        <f>[1]K_Summary!L1104</f>
        <v/>
      </c>
      <c r="M1114" s="482" t="str">
        <f>[1]K_Summary!M1104</f>
        <v/>
      </c>
      <c r="N1114" s="626"/>
    </row>
    <row r="1115" spans="2:14" ht="12.75" customHeight="1" x14ac:dyDescent="0.25">
      <c r="B1115" s="284"/>
      <c r="C1115" s="302"/>
      <c r="D1115" s="302"/>
      <c r="E1115" s="638" t="str">
        <f>[1]K_Summary!E1105</f>
        <v>Специфичен EF (подаден отпадъчен газ)</v>
      </c>
      <c r="F1115" s="638"/>
      <c r="G1115" s="638"/>
      <c r="H1115" s="639" t="str">
        <f>[1]K_Summary!H1105</f>
        <v>t CO2 / TJ</v>
      </c>
      <c r="I1115" s="484" t="str">
        <f>[1]K_Summary!I1105</f>
        <v/>
      </c>
      <c r="J1115" s="484" t="str">
        <f>[1]K_Summary!J1105</f>
        <v/>
      </c>
      <c r="K1115" s="484" t="str">
        <f>[1]K_Summary!K1105</f>
        <v/>
      </c>
      <c r="L1115" s="484" t="str">
        <f>[1]K_Summary!L1105</f>
        <v/>
      </c>
      <c r="M1115" s="484" t="str">
        <f>[1]K_Summary!M1105</f>
        <v/>
      </c>
      <c r="N1115" s="626"/>
    </row>
    <row r="1116" spans="2:14" ht="12.75" customHeight="1" x14ac:dyDescent="0.25">
      <c r="B1116" s="284"/>
      <c r="C1116" s="302"/>
      <c r="D1116" s="302"/>
      <c r="E1116" s="625"/>
      <c r="F1116" s="625"/>
      <c r="G1116" s="625"/>
      <c r="H1116" s="625"/>
      <c r="I1116" s="640"/>
      <c r="J1116" s="640"/>
      <c r="K1116" s="640"/>
      <c r="L1116" s="640"/>
      <c r="M1116" s="640"/>
      <c r="N1116" s="626"/>
    </row>
    <row r="1117" spans="2:14" ht="12.75" customHeight="1" x14ac:dyDescent="0.25">
      <c r="B1117" s="284"/>
      <c r="C1117" s="302"/>
      <c r="D1117" s="302"/>
      <c r="E1117" s="641" t="str">
        <f>[1]K_Summary!E1107</f>
        <v>Произведена електроенергия</v>
      </c>
      <c r="F1117" s="641"/>
      <c r="G1117" s="641"/>
      <c r="H1117" s="642" t="str">
        <f>[1]K_Summary!H1107</f>
        <v>MWh / година</v>
      </c>
      <c r="I1117" s="480" t="str">
        <f>[1]K_Summary!I1107</f>
        <v/>
      </c>
      <c r="J1117" s="480" t="str">
        <f>[1]K_Summary!J1107</f>
        <v/>
      </c>
      <c r="K1117" s="480" t="str">
        <f>[1]K_Summary!K1107</f>
        <v/>
      </c>
      <c r="L1117" s="480" t="str">
        <f>[1]K_Summary!L1107</f>
        <v/>
      </c>
      <c r="M1117" s="480" t="str">
        <f>[1]K_Summary!M1107</f>
        <v/>
      </c>
      <c r="N1117" s="626"/>
    </row>
    <row r="1118" spans="2:14" ht="12.75" customHeight="1" x14ac:dyDescent="0.25">
      <c r="B1118" s="284"/>
      <c r="C1118" s="302"/>
      <c r="D1118" s="302"/>
      <c r="E1118" s="625"/>
      <c r="F1118" s="625"/>
      <c r="G1118" s="625"/>
      <c r="H1118" s="625"/>
      <c r="I1118" s="640"/>
      <c r="J1118" s="640"/>
      <c r="K1118" s="640"/>
      <c r="L1118" s="640"/>
      <c r="M1118" s="640"/>
      <c r="N1118" s="626"/>
    </row>
    <row r="1119" spans="2:14" ht="12.75" customHeight="1" x14ac:dyDescent="0.25">
      <c r="B1119" s="284"/>
      <c r="C1119" s="302"/>
      <c r="D1119" s="302"/>
      <c r="E1119" s="643" t="str">
        <f>[1]K_Summary!E1109</f>
        <v>Междинно получаване:</v>
      </c>
      <c r="F1119" s="625"/>
      <c r="G1119" s="625"/>
      <c r="H1119" s="625"/>
      <c r="I1119" s="640"/>
      <c r="J1119" s="640"/>
      <c r="K1119" s="640"/>
      <c r="L1119" s="640"/>
      <c r="M1119" s="640"/>
      <c r="N1119" s="626"/>
    </row>
    <row r="1120" spans="2:14" ht="12.75" customHeight="1" x14ac:dyDescent="0.25">
      <c r="B1120" s="284"/>
      <c r="C1120" s="302"/>
      <c r="D1120" s="302"/>
      <c r="E1120" s="381" t="str">
        <f>[1]K_Summary!E1110</f>
        <v/>
      </c>
      <c r="F1120" s="381"/>
      <c r="G1120" s="381"/>
      <c r="H1120" s="642" t="str">
        <f>[1]K_Summary!H1110</f>
        <v>тона</v>
      </c>
      <c r="I1120" s="499" t="str">
        <f>[1]K_Summary!I1110</f>
        <v/>
      </c>
      <c r="J1120" s="499" t="str">
        <f>[1]K_Summary!J1110</f>
        <v/>
      </c>
      <c r="K1120" s="499" t="str">
        <f>[1]K_Summary!K1110</f>
        <v/>
      </c>
      <c r="L1120" s="499" t="str">
        <f>[1]K_Summary!L1110</f>
        <v/>
      </c>
      <c r="M1120" s="499" t="str">
        <f>[1]K_Summary!M1110</f>
        <v/>
      </c>
      <c r="N1120" s="626"/>
    </row>
    <row r="1121" spans="2:14" ht="12.75" customHeight="1" x14ac:dyDescent="0.25">
      <c r="B1121" s="284"/>
      <c r="C1121" s="302"/>
      <c r="D1121" s="302"/>
      <c r="E1121" s="381" t="str">
        <f>[1]K_Summary!E1111</f>
        <v/>
      </c>
      <c r="F1121" s="381"/>
      <c r="G1121" s="381"/>
      <c r="H1121" s="642" t="str">
        <f>[1]K_Summary!H1111</f>
        <v>тона</v>
      </c>
      <c r="I1121" s="499" t="str">
        <f>[1]K_Summary!I1111</f>
        <v/>
      </c>
      <c r="J1121" s="499" t="str">
        <f>[1]K_Summary!J1111</f>
        <v/>
      </c>
      <c r="K1121" s="499" t="str">
        <f>[1]K_Summary!K1111</f>
        <v/>
      </c>
      <c r="L1121" s="499" t="str">
        <f>[1]K_Summary!L1111</f>
        <v/>
      </c>
      <c r="M1121" s="499" t="str">
        <f>[1]K_Summary!M1111</f>
        <v/>
      </c>
      <c r="N1121" s="626"/>
    </row>
    <row r="1122" spans="2:14" ht="12.75" customHeight="1" x14ac:dyDescent="0.25">
      <c r="B1122" s="284"/>
      <c r="C1122" s="302"/>
      <c r="D1122" s="302"/>
      <c r="E1122" s="643" t="str">
        <f>[1]K_Summary!E1112</f>
        <v>Междинно подаване:</v>
      </c>
      <c r="F1122" s="625"/>
      <c r="G1122" s="625"/>
      <c r="H1122" s="625"/>
      <c r="I1122" s="644"/>
      <c r="J1122" s="644"/>
      <c r="K1122" s="644"/>
      <c r="L1122" s="644"/>
      <c r="M1122" s="644"/>
      <c r="N1122" s="626"/>
    </row>
    <row r="1123" spans="2:14" ht="12.75" customHeight="1" x14ac:dyDescent="0.25">
      <c r="B1123" s="284"/>
      <c r="C1123" s="302"/>
      <c r="D1123" s="302"/>
      <c r="E1123" s="381" t="str">
        <f>[1]K_Summary!E1113</f>
        <v/>
      </c>
      <c r="F1123" s="381"/>
      <c r="G1123" s="381"/>
      <c r="H1123" s="642" t="str">
        <f>[1]K_Summary!H1113</f>
        <v>тона</v>
      </c>
      <c r="I1123" s="499" t="str">
        <f>[1]K_Summary!I1113</f>
        <v/>
      </c>
      <c r="J1123" s="499" t="str">
        <f>[1]K_Summary!J1113</f>
        <v/>
      </c>
      <c r="K1123" s="499" t="str">
        <f>[1]K_Summary!K1113</f>
        <v/>
      </c>
      <c r="L1123" s="499" t="str">
        <f>[1]K_Summary!L1113</f>
        <v/>
      </c>
      <c r="M1123" s="499" t="str">
        <f>[1]K_Summary!M1113</f>
        <v/>
      </c>
      <c r="N1123" s="626"/>
    </row>
    <row r="1124" spans="2:14" ht="12.75" customHeight="1" x14ac:dyDescent="0.25">
      <c r="B1124" s="284"/>
      <c r="C1124" s="302"/>
      <c r="D1124" s="302"/>
      <c r="E1124" s="381" t="str">
        <f>[1]K_Summary!E1114</f>
        <v/>
      </c>
      <c r="F1124" s="381"/>
      <c r="G1124" s="381"/>
      <c r="H1124" s="642" t="str">
        <f>[1]K_Summary!H1114</f>
        <v>тона</v>
      </c>
      <c r="I1124" s="499" t="str">
        <f>[1]K_Summary!I1114</f>
        <v/>
      </c>
      <c r="J1124" s="499" t="str">
        <f>[1]K_Summary!J1114</f>
        <v/>
      </c>
      <c r="K1124" s="499" t="str">
        <f>[1]K_Summary!K1114</f>
        <v/>
      </c>
      <c r="L1124" s="499" t="str">
        <f>[1]K_Summary!L1114</f>
        <v/>
      </c>
      <c r="M1124" s="499" t="str">
        <f>[1]K_Summary!M1114</f>
        <v/>
      </c>
      <c r="N1124" s="626"/>
    </row>
    <row r="1125" spans="2:14" ht="12.75" customHeight="1" x14ac:dyDescent="0.25">
      <c r="B1125" s="284"/>
      <c r="C1125" s="302"/>
      <c r="D1125" s="302"/>
      <c r="E1125" s="625"/>
      <c r="F1125" s="625"/>
      <c r="G1125" s="625"/>
      <c r="H1125" s="625"/>
      <c r="I1125" s="626"/>
      <c r="J1125" s="626"/>
      <c r="K1125" s="626"/>
      <c r="L1125" s="626"/>
      <c r="M1125" s="626"/>
      <c r="N1125" s="626"/>
    </row>
    <row r="1126" spans="2:14" ht="12.75" customHeight="1" x14ac:dyDescent="0.25">
      <c r="B1126" s="284"/>
      <c r="C1126" s="302"/>
      <c r="D1126" s="302"/>
      <c r="E1126" s="645" t="str">
        <f>[1]K_Summary!E1116</f>
        <v>Корекции за актуализиране на показателя при специфичен показател, когато е приложимо</v>
      </c>
      <c r="F1126" s="645"/>
      <c r="G1126" s="645"/>
      <c r="H1126" s="645"/>
      <c r="I1126" s="645"/>
      <c r="J1126" s="645"/>
      <c r="K1126" s="645"/>
      <c r="L1126" s="645"/>
      <c r="M1126" s="645"/>
      <c r="N1126" s="626"/>
    </row>
    <row r="1127" spans="2:14" ht="12.75" customHeight="1" x14ac:dyDescent="0.25">
      <c r="B1127" s="284"/>
      <c r="C1127" s="302"/>
      <c r="D1127" s="302"/>
      <c r="E1127" s="641" t="str">
        <f>[1]K_Summary!E1117</f>
        <v>Общо количество произведен пулп</v>
      </c>
      <c r="F1127" s="641"/>
      <c r="G1127" s="641"/>
      <c r="H1127" s="642" t="str">
        <f>[1]K_Summary!H1117</f>
        <v>тона</v>
      </c>
      <c r="I1127" s="499" t="str">
        <f>[1]K_Summary!I1117</f>
        <v/>
      </c>
      <c r="J1127" s="499" t="str">
        <f>[1]K_Summary!J1117</f>
        <v/>
      </c>
      <c r="K1127" s="499" t="str">
        <f>[1]K_Summary!K1117</f>
        <v/>
      </c>
      <c r="L1127" s="499" t="str">
        <f>[1]K_Summary!L1117</f>
        <v/>
      </c>
      <c r="M1127" s="499" t="str">
        <f>[1]K_Summary!M1117</f>
        <v/>
      </c>
      <c r="N1127" s="626"/>
    </row>
    <row r="1128" spans="2:14" ht="12.75" customHeight="1" x14ac:dyDescent="0.25">
      <c r="B1128" s="284"/>
      <c r="C1128" s="302"/>
      <c r="D1128" s="302"/>
      <c r="E1128" s="625"/>
      <c r="F1128" s="625"/>
      <c r="G1128" s="625"/>
      <c r="H1128" s="625"/>
      <c r="I1128" s="644"/>
      <c r="J1128" s="644"/>
      <c r="K1128" s="644"/>
      <c r="L1128" s="644"/>
      <c r="M1128" s="644"/>
      <c r="N1128" s="626"/>
    </row>
    <row r="1129" spans="2:14" ht="12.75" customHeight="1" x14ac:dyDescent="0.25">
      <c r="B1129" s="284"/>
      <c r="C1129" s="302"/>
      <c r="D1129" s="302"/>
      <c r="E1129" s="641" t="str">
        <f>[1]K_Summary!E1119</f>
        <v>Производство на водород (действително + теоретично)</v>
      </c>
      <c r="F1129" s="641"/>
      <c r="G1129" s="641"/>
      <c r="H1129" s="642" t="str">
        <f>[1]K_Summary!H1119</f>
        <v>тона</v>
      </c>
      <c r="I1129" s="499" t="str">
        <f>[1]K_Summary!I1119</f>
        <v/>
      </c>
      <c r="J1129" s="499" t="str">
        <f>[1]K_Summary!J1119</f>
        <v/>
      </c>
      <c r="K1129" s="499" t="str">
        <f>[1]K_Summary!K1119</f>
        <v/>
      </c>
      <c r="L1129" s="499" t="str">
        <f>[1]K_Summary!L1119</f>
        <v/>
      </c>
      <c r="M1129" s="499" t="str">
        <f>[1]K_Summary!M1119</f>
        <v/>
      </c>
      <c r="N1129" s="626"/>
    </row>
    <row r="1130" spans="2:14" ht="12.75" customHeight="1" x14ac:dyDescent="0.25">
      <c r="B1130" s="284"/>
      <c r="C1130" s="302"/>
      <c r="D1130" s="302"/>
      <c r="E1130" s="641" t="str">
        <f>[1]K_Summary!E1120</f>
        <v>Емисии във връзка с водород</v>
      </c>
      <c r="F1130" s="641"/>
      <c r="G1130" s="641"/>
      <c r="H1130" s="642" t="str">
        <f>[1]K_Summary!H1120</f>
        <v>t CO2 / година</v>
      </c>
      <c r="I1130" s="499" t="str">
        <f>[1]K_Summary!I1120</f>
        <v/>
      </c>
      <c r="J1130" s="499" t="str">
        <f>[1]K_Summary!J1120</f>
        <v/>
      </c>
      <c r="K1130" s="499" t="str">
        <f>[1]K_Summary!K1120</f>
        <v/>
      </c>
      <c r="L1130" s="499" t="str">
        <f>[1]K_Summary!L1120</f>
        <v/>
      </c>
      <c r="M1130" s="499" t="str">
        <f>[1]K_Summary!M1120</f>
        <v/>
      </c>
      <c r="N1130" s="626"/>
    </row>
    <row r="1131" spans="2:14" ht="12.75" customHeight="1" x14ac:dyDescent="0.25">
      <c r="B1131" s="284"/>
      <c r="C1131" s="302"/>
      <c r="D1131" s="302"/>
      <c r="E1131" s="625"/>
      <c r="F1131" s="625"/>
      <c r="G1131" s="625"/>
      <c r="H1131" s="625"/>
      <c r="I1131" s="644"/>
      <c r="J1131" s="644"/>
      <c r="K1131" s="644"/>
      <c r="L1131" s="644"/>
      <c r="M1131" s="644"/>
      <c r="N1131" s="626"/>
    </row>
    <row r="1132" spans="2:14" ht="12.75" customHeight="1" x14ac:dyDescent="0.25">
      <c r="B1132" s="284"/>
      <c r="C1132" s="302"/>
      <c r="D1132" s="302"/>
      <c r="E1132" s="641" t="str">
        <f>[1]K_Summary!E1122</f>
        <v>Корекция на емисиите във връзка с HVC</v>
      </c>
      <c r="F1132" s="641"/>
      <c r="G1132" s="641"/>
      <c r="H1132" s="642" t="str">
        <f>[1]K_Summary!H1122</f>
        <v>t CO2 / година</v>
      </c>
      <c r="I1132" s="499" t="str">
        <f>[1]K_Summary!I1122</f>
        <v/>
      </c>
      <c r="J1132" s="499" t="str">
        <f>[1]K_Summary!J1122</f>
        <v/>
      </c>
      <c r="K1132" s="499" t="str">
        <f>[1]K_Summary!K1122</f>
        <v/>
      </c>
      <c r="L1132" s="499" t="str">
        <f>[1]K_Summary!L1122</f>
        <v/>
      </c>
      <c r="M1132" s="499" t="str">
        <f>[1]K_Summary!M1122</f>
        <v/>
      </c>
      <c r="N1132" s="626"/>
    </row>
    <row r="1133" spans="2:14" ht="12.75" customHeight="1" x14ac:dyDescent="0.25">
      <c r="B1133" s="284"/>
      <c r="C1133" s="302"/>
      <c r="D1133" s="302"/>
      <c r="E1133" s="625"/>
      <c r="F1133" s="625"/>
      <c r="G1133" s="625"/>
      <c r="H1133" s="625"/>
      <c r="I1133" s="644"/>
      <c r="J1133" s="644"/>
      <c r="K1133" s="644"/>
      <c r="L1133" s="644"/>
      <c r="M1133" s="644"/>
      <c r="N1133" s="626"/>
    </row>
    <row r="1134" spans="2:14" ht="12.75" customHeight="1" x14ac:dyDescent="0.25">
      <c r="B1134" s="284"/>
      <c r="C1134" s="302"/>
      <c r="D1134" s="302"/>
      <c r="E1134" s="641" t="str">
        <f>[1]K_Summary!E1124</f>
        <v>Корекция на емисиите във връзка с VCM</v>
      </c>
      <c r="F1134" s="641"/>
      <c r="G1134" s="641"/>
      <c r="H1134" s="642" t="str">
        <f>[1]K_Summary!H1124</f>
        <v>t CO2 / година</v>
      </c>
      <c r="I1134" s="499" t="str">
        <f>[1]K_Summary!I1124</f>
        <v/>
      </c>
      <c r="J1134" s="499" t="str">
        <f>[1]K_Summary!J1124</f>
        <v/>
      </c>
      <c r="K1134" s="499" t="str">
        <f>[1]K_Summary!K1124</f>
        <v/>
      </c>
      <c r="L1134" s="499" t="str">
        <f>[1]K_Summary!L1124</f>
        <v/>
      </c>
      <c r="M1134" s="499" t="str">
        <f>[1]K_Summary!M1124</f>
        <v/>
      </c>
      <c r="N1134" s="626"/>
    </row>
    <row r="1135" spans="2:14" ht="12.75" customHeight="1" x14ac:dyDescent="0.25">
      <c r="B1135" s="284"/>
      <c r="C1135" s="302"/>
      <c r="D1135" s="302"/>
      <c r="E1135" s="625"/>
      <c r="F1135" s="625"/>
      <c r="G1135" s="625"/>
      <c r="H1135" s="625"/>
      <c r="I1135" s="626"/>
      <c r="J1135" s="626"/>
      <c r="K1135" s="626"/>
      <c r="L1135" s="626"/>
      <c r="M1135" s="626"/>
      <c r="N1135" s="626"/>
    </row>
    <row r="1136" spans="2:14" ht="12.75" customHeight="1" thickBot="1" x14ac:dyDescent="0.3">
      <c r="B1136" s="284"/>
      <c r="C1136" s="302"/>
      <c r="D1136" s="302"/>
      <c r="E1136" s="646"/>
      <c r="F1136" s="364"/>
      <c r="G1136" s="364"/>
      <c r="H1136" s="364"/>
      <c r="I1136" s="364"/>
      <c r="J1136" s="364"/>
      <c r="K1136" s="364"/>
      <c r="L1136" s="364"/>
      <c r="M1136" s="364"/>
      <c r="N1136" s="364"/>
    </row>
    <row r="1137" spans="2:19" ht="12.75" customHeight="1" x14ac:dyDescent="0.25">
      <c r="B1137" s="284"/>
      <c r="C1137" s="581"/>
      <c r="D1137" s="581"/>
      <c r="E1137" s="581"/>
      <c r="F1137" s="581"/>
      <c r="G1137" s="581"/>
      <c r="H1137" s="581"/>
      <c r="I1137" s="581"/>
      <c r="J1137" s="581"/>
      <c r="K1137" s="581"/>
      <c r="L1137" s="581"/>
      <c r="M1137" s="581"/>
      <c r="N1137" s="581"/>
    </row>
    <row r="1138" spans="2:19" ht="12.75" customHeight="1" x14ac:dyDescent="0.3">
      <c r="B1138" s="284"/>
      <c r="C1138" s="357">
        <f>[1]K_Summary!C1128</f>
        <v>10</v>
      </c>
      <c r="D1138" s="590" t="str">
        <f>[1]K_Summary!D1128</f>
        <v>Подинсталация с продуктов показател 10:</v>
      </c>
      <c r="E1138" s="590"/>
      <c r="F1138" s="590"/>
      <c r="G1138" s="590"/>
      <c r="H1138" s="591"/>
      <c r="I1138" s="592" t="str">
        <f>[1]K_Summary!I1128</f>
        <v/>
      </c>
      <c r="J1138" s="593"/>
      <c r="K1138" s="593"/>
      <c r="L1138" s="593"/>
      <c r="M1138" s="593"/>
      <c r="N1138" s="594"/>
    </row>
    <row r="1139" spans="2:19" ht="12.75" customHeight="1" thickBot="1" x14ac:dyDescent="0.3">
      <c r="B1139" s="284"/>
      <c r="C1139" s="302"/>
      <c r="D1139" s="302"/>
      <c r="E1139" s="302"/>
      <c r="F1139" s="302"/>
      <c r="G1139" s="302"/>
      <c r="H1139" s="302"/>
      <c r="I1139" s="302"/>
      <c r="J1139" s="302"/>
      <c r="K1139" s="302"/>
      <c r="L1139" s="302"/>
      <c r="M1139" s="302"/>
      <c r="N1139" s="302"/>
    </row>
    <row r="1140" spans="2:19" ht="12.75" customHeight="1" x14ac:dyDescent="0.25">
      <c r="B1140" s="284"/>
      <c r="C1140" s="302"/>
      <c r="D1140" s="302"/>
      <c r="E1140" s="302"/>
      <c r="F1140" s="302"/>
      <c r="G1140" s="302"/>
      <c r="H1140" s="595" t="str">
        <f>[1]K_Summary!H1130</f>
        <v>Риск от ИВЕ</v>
      </c>
      <c r="I1140" s="302"/>
      <c r="J1140" s="596" t="str">
        <f>[1]K_Summary!J1130</f>
        <v>В/Е</v>
      </c>
      <c r="K1140" s="596" t="str">
        <f>[1]K_Summary!K1130</f>
        <v>№ на п-л</v>
      </c>
      <c r="L1140" s="597" t="str">
        <f>[1]K_Summary!L1130</f>
        <v>15(7).3?</v>
      </c>
      <c r="M1140" s="598" t="str">
        <f>[1]K_Summary!M1130</f>
        <v>Стойност на показател (мин/макс/действ.)</v>
      </c>
      <c r="N1140" s="599"/>
    </row>
    <row r="1141" spans="2:19" ht="12.75" customHeight="1" x14ac:dyDescent="0.25">
      <c r="B1141" s="284"/>
      <c r="C1141" s="302"/>
      <c r="D1141" s="302"/>
      <c r="E1141" s="361" t="str">
        <f>[1]K_Summary!E1131</f>
        <v/>
      </c>
      <c r="F1141" s="373"/>
      <c r="G1141" s="362"/>
      <c r="H1141" s="600" t="str">
        <f>[1]K_Summary!H1131</f>
        <v>Не е приложимо</v>
      </c>
      <c r="I1141" s="302"/>
      <c r="J1141" s="601" t="str">
        <f>[1]K_Summary!J1131</f>
        <v>Не е приложимо</v>
      </c>
      <c r="K1141" s="406" t="str">
        <f>[1]K_Summary!K1131</f>
        <v>Не е приложимо</v>
      </c>
      <c r="L1141" s="602" t="str">
        <f>[1]K_Summary!L1131</f>
        <v/>
      </c>
      <c r="M1141" s="603" t="str">
        <f>[1]K_Summary!M1131</f>
        <v>Не е приложимо</v>
      </c>
      <c r="N1141" s="604" t="str">
        <f>[1]K_Summary!N1131</f>
        <v>Квота за емисии/тона</v>
      </c>
    </row>
    <row r="1142" spans="2:19" ht="12.75" customHeight="1" x14ac:dyDescent="0.25">
      <c r="B1142" s="284"/>
      <c r="C1142" s="302"/>
      <c r="D1142" s="302"/>
      <c r="E1142" s="364"/>
      <c r="F1142" s="364"/>
      <c r="G1142" s="596" t="str">
        <f>[1]K_Summary!G1132</f>
        <v>топл. ен. извън СТЕ</v>
      </c>
      <c r="H1142" s="595" t="str">
        <f>[1]K_Summary!H1132</f>
        <v>CBAM</v>
      </c>
      <c r="I1142" s="597" t="str">
        <f>[1]K_Summary!I1132</f>
        <v>WGflare</v>
      </c>
      <c r="J1142" s="596" t="str">
        <f>[1]K_Summary!J1132</f>
        <v>HVC-Corr</v>
      </c>
      <c r="K1142" s="596" t="str">
        <f>[1]K_Summary!K1132</f>
        <v>VCM-F</v>
      </c>
      <c r="L1142" s="302"/>
      <c r="M1142" s="603" t="str">
        <f>[1]K_Summary!M1132</f>
        <v>Не е приложимо</v>
      </c>
      <c r="N1142" s="604" t="str">
        <f>[1]K_Summary!N1132</f>
        <v>Квота за емисии/тона</v>
      </c>
      <c r="R1142" s="605" t="str">
        <f>[1]K_Summary!R1132</f>
        <v>No. BM</v>
      </c>
      <c r="S1142" s="606" t="str">
        <f>[1]K_Summary!S1132</f>
        <v>Не е приложимо</v>
      </c>
    </row>
    <row r="1143" spans="2:19" ht="12.75" customHeight="1" thickBot="1" x14ac:dyDescent="0.3">
      <c r="B1143" s="284"/>
      <c r="C1143" s="302"/>
      <c r="D1143" s="302"/>
      <c r="E1143" s="607" t="str">
        <f>[1]K_Summary!E1133</f>
        <v>Специфични коефициенти:</v>
      </c>
      <c r="F1143" s="607"/>
      <c r="G1143" s="406" t="str">
        <f>[1]K_Summary!G1133</f>
        <v/>
      </c>
      <c r="H1143" s="600" t="str">
        <f>[1]K_Summary!H1133</f>
        <v>Не е приложимо</v>
      </c>
      <c r="I1143" s="608" t="str">
        <f>[1]K_Summary!I1133</f>
        <v/>
      </c>
      <c r="J1143" s="406" t="str">
        <f>[1]K_Summary!J1133</f>
        <v/>
      </c>
      <c r="K1143" s="609" t="str">
        <f>[1]K_Summary!K1133</f>
        <v/>
      </c>
      <c r="L1143" s="302"/>
      <c r="M1143" s="610" t="str">
        <f>[1]K_Summary!M1133</f>
        <v>Не е приложимо</v>
      </c>
      <c r="N1143" s="611" t="str">
        <f>[1]K_Summary!N1133</f>
        <v>Квота за емисии/тона</v>
      </c>
      <c r="P1143" s="612" t="b">
        <f>IF(ISNUMBER(K1141),INDEX(EUconst_BMlistBMvalues,MATCH(K1141,EUconst_BMlistMainNumberOfBM,0))&lt;&gt;M1143,FALSE)</f>
        <v>0</v>
      </c>
    </row>
    <row r="1144" spans="2:19" ht="12.75" customHeight="1" x14ac:dyDescent="0.25">
      <c r="B1144" s="284"/>
      <c r="C1144" s="302"/>
      <c r="D1144" s="302"/>
      <c r="E1144" s="302"/>
      <c r="F1144" s="302"/>
      <c r="G1144" s="302"/>
      <c r="H1144" s="302"/>
      <c r="I1144" s="302"/>
      <c r="J1144" s="302"/>
      <c r="K1144" s="302"/>
      <c r="L1144" s="302"/>
      <c r="M1144" s="302"/>
      <c r="N1144" s="302"/>
    </row>
    <row r="1145" spans="2:19" ht="12.75" customHeight="1" x14ac:dyDescent="0.25">
      <c r="B1145" s="284"/>
      <c r="C1145" s="302"/>
      <c r="D1145" s="302"/>
      <c r="E1145" s="498"/>
      <c r="F1145" s="498"/>
      <c r="G1145" s="380"/>
      <c r="H1145" s="613" t="str">
        <f>[1]K_Summary!H1135</f>
        <v>Единица мярка</v>
      </c>
      <c r="I1145" s="387">
        <f>[1]K_Summary!I1135</f>
        <v>2019</v>
      </c>
      <c r="J1145" s="387">
        <f>[1]K_Summary!J1135</f>
        <v>2020</v>
      </c>
      <c r="K1145" s="387">
        <f>[1]K_Summary!K1135</f>
        <v>2021</v>
      </c>
      <c r="L1145" s="387">
        <f>[1]K_Summary!L1135</f>
        <v>2022</v>
      </c>
      <c r="M1145" s="387">
        <f>[1]K_Summary!M1135</f>
        <v>2023</v>
      </c>
      <c r="N1145" s="302"/>
    </row>
    <row r="1146" spans="2:19" ht="12.75" customHeight="1" x14ac:dyDescent="0.25">
      <c r="B1146" s="284"/>
      <c r="C1146" s="302"/>
      <c r="D1146" s="302"/>
      <c r="E1146" s="614" t="str">
        <f>[1]K_Summary!E1136</f>
        <v>Отчетено HAL (историческо равнище на дейност)</v>
      </c>
      <c r="F1146" s="388"/>
      <c r="G1146" s="615"/>
      <c r="H1146" s="600" t="str">
        <f>[1]K_Summary!H1136</f>
        <v>тона</v>
      </c>
      <c r="I1146" s="406" t="str">
        <f>[1]K_Summary!I1136</f>
        <v/>
      </c>
      <c r="J1146" s="406" t="str">
        <f>[1]K_Summary!J1136</f>
        <v/>
      </c>
      <c r="K1146" s="406" t="str">
        <f>[1]K_Summary!K1136</f>
        <v/>
      </c>
      <c r="L1146" s="406" t="str">
        <f>[1]K_Summary!L1136</f>
        <v/>
      </c>
      <c r="M1146" s="406" t="str">
        <f>[1]K_Summary!M1136</f>
        <v/>
      </c>
      <c r="N1146" s="596" t="str">
        <f>[1]K_Summary!N1136</f>
        <v>Median</v>
      </c>
    </row>
    <row r="1147" spans="2:19" ht="12.75" customHeight="1" x14ac:dyDescent="0.25">
      <c r="B1147" s="284"/>
      <c r="C1147" s="302"/>
      <c r="D1147" s="302"/>
      <c r="E1147" s="614" t="str">
        <f>[1]K_Summary!E1137</f>
        <v>Стойности, използвани за изчислението на HAL:</v>
      </c>
      <c r="F1147" s="388"/>
      <c r="G1147" s="615"/>
      <c r="H1147" s="600" t="str">
        <f>[1]K_Summary!H1137</f>
        <v>тона</v>
      </c>
      <c r="I1147" s="406" t="str">
        <f>[1]K_Summary!I1137</f>
        <v/>
      </c>
      <c r="J1147" s="406" t="str">
        <f>[1]K_Summary!J1137</f>
        <v/>
      </c>
      <c r="K1147" s="406" t="str">
        <f>[1]K_Summary!K1137</f>
        <v/>
      </c>
      <c r="L1147" s="406" t="str">
        <f>[1]K_Summary!L1137</f>
        <v/>
      </c>
      <c r="M1147" s="406" t="str">
        <f>[1]K_Summary!M1137</f>
        <v/>
      </c>
      <c r="N1147" s="406" t="str">
        <f>[1]K_Summary!N1137</f>
        <v/>
      </c>
    </row>
    <row r="1148" spans="2:19" ht="12.75" customHeight="1" x14ac:dyDescent="0.25">
      <c r="B1148" s="284"/>
      <c r="C1148" s="302"/>
      <c r="D1148" s="302"/>
      <c r="E1148" s="360"/>
      <c r="F1148" s="360"/>
      <c r="G1148" s="360"/>
      <c r="H1148" s="360"/>
      <c r="I1148" s="360"/>
      <c r="J1148" s="360"/>
      <c r="K1148" s="360"/>
      <c r="L1148" s="360"/>
      <c r="M1148" s="364"/>
      <c r="N1148" s="364"/>
    </row>
    <row r="1149" spans="2:19" ht="12.75" customHeight="1" x14ac:dyDescent="0.25">
      <c r="B1149" s="284"/>
      <c r="C1149" s="302"/>
      <c r="D1149" s="302"/>
      <c r="E1149" s="616" t="str">
        <f>[1]K_Summary!E1139</f>
        <v>Съответно потребление на електроенергия</v>
      </c>
      <c r="F1149" s="616"/>
      <c r="G1149" s="616"/>
      <c r="H1149" s="617" t="str">
        <f>[1]K_Summary!H1139</f>
        <v>MWh / година</v>
      </c>
      <c r="I1149" s="618" t="str">
        <f>[1]K_Summary!I1139</f>
        <v/>
      </c>
      <c r="J1149" s="618" t="str">
        <f>[1]K_Summary!J1139</f>
        <v/>
      </c>
      <c r="K1149" s="618" t="str">
        <f>[1]K_Summary!K1139</f>
        <v/>
      </c>
      <c r="L1149" s="618" t="str">
        <f>[1]K_Summary!L1139</f>
        <v/>
      </c>
      <c r="M1149" s="618" t="str">
        <f>[1]K_Summary!M1139</f>
        <v/>
      </c>
      <c r="N1149" s="302"/>
    </row>
    <row r="1150" spans="2:19" ht="12.75" customHeight="1" x14ac:dyDescent="0.25">
      <c r="B1150" s="284"/>
      <c r="C1150" s="302"/>
      <c r="D1150" s="302"/>
      <c r="E1150" s="360"/>
      <c r="F1150" s="360"/>
      <c r="G1150" s="360"/>
      <c r="H1150" s="360"/>
      <c r="I1150" s="360"/>
      <c r="J1150" s="360"/>
      <c r="K1150" s="360"/>
      <c r="L1150" s="360"/>
      <c r="M1150" s="364"/>
      <c r="N1150" s="364"/>
    </row>
    <row r="1151" spans="2:19" ht="12.75" customHeight="1" thickBot="1" x14ac:dyDescent="0.3">
      <c r="B1151" s="284"/>
      <c r="C1151" s="364"/>
      <c r="D1151" s="302"/>
      <c r="E1151" s="360"/>
      <c r="F1151" s="619" t="str">
        <f>[1]K_Summary!F1141</f>
        <v>Общо HAL</v>
      </c>
      <c r="G1151" s="620"/>
      <c r="H1151" s="364"/>
      <c r="I1151" s="619" t="str">
        <f>[1]K_Summary!I1141</f>
        <v>Предв. разпр. за год. 1 (мин)</v>
      </c>
      <c r="J1151" s="620"/>
      <c r="K1151" s="619" t="str">
        <f>[1]K_Summary!K1141</f>
        <v>Предв. разпр. за год. 1 (макс)</v>
      </c>
      <c r="L1151" s="620"/>
      <c r="M1151" s="619" t="str">
        <f>[1]K_Summary!M1141</f>
        <v>Предв. разпр. за год. 1 (действ.)</v>
      </c>
      <c r="N1151" s="620"/>
    </row>
    <row r="1152" spans="2:19" ht="12.75" customHeight="1" thickBot="1" x14ac:dyDescent="0.3">
      <c r="B1152" s="284"/>
      <c r="C1152" s="364"/>
      <c r="D1152" s="364"/>
      <c r="E1152" s="360"/>
      <c r="F1152" s="621" t="str">
        <f>[1]K_Summary!F1142</f>
        <v/>
      </c>
      <c r="G1152" s="622" t="str">
        <f>[1]K_Summary!G1142</f>
        <v>тона / година</v>
      </c>
      <c r="H1152" s="364"/>
      <c r="I1152" s="623" t="str">
        <f>[1]K_Summary!I1142</f>
        <v/>
      </c>
      <c r="J1152" s="624" t="str">
        <f>[1]K_Summary!J1142</f>
        <v>Квота за емисии / година</v>
      </c>
      <c r="K1152" s="623" t="str">
        <f>[1]K_Summary!K1142</f>
        <v/>
      </c>
      <c r="L1152" s="624" t="str">
        <f>[1]K_Summary!L1142</f>
        <v>Квота за емисии / година</v>
      </c>
      <c r="M1152" s="623" t="str">
        <f>[1]K_Summary!M1142</f>
        <v/>
      </c>
      <c r="N1152" s="624" t="str">
        <f>[1]K_Summary!N1142</f>
        <v>Квота за емисии / година</v>
      </c>
    </row>
    <row r="1153" spans="2:14" ht="12.75" customHeight="1" x14ac:dyDescent="0.25">
      <c r="B1153" s="284"/>
      <c r="C1153" s="302"/>
      <c r="D1153" s="364"/>
      <c r="E1153" s="360"/>
      <c r="F1153" s="302"/>
      <c r="G1153" s="302"/>
      <c r="H1153" s="302"/>
      <c r="I1153" s="302"/>
      <c r="J1153" s="302"/>
      <c r="K1153" s="302"/>
      <c r="L1153" s="302"/>
      <c r="M1153" s="302"/>
      <c r="N1153" s="302"/>
    </row>
    <row r="1154" spans="2:14" ht="12.75" customHeight="1" x14ac:dyDescent="0.25">
      <c r="B1154" s="284"/>
      <c r="C1154" s="302"/>
      <c r="D1154" s="302"/>
      <c r="E1154" s="625"/>
      <c r="F1154" s="626"/>
      <c r="G1154" s="626"/>
      <c r="H1154" s="626"/>
      <c r="I1154" s="626"/>
      <c r="J1154" s="626"/>
      <c r="K1154" s="626"/>
      <c r="L1154" s="626"/>
      <c r="M1154" s="626"/>
      <c r="N1154" s="626"/>
    </row>
    <row r="1155" spans="2:14" ht="12.75" customHeight="1" thickBot="1" x14ac:dyDescent="0.3">
      <c r="B1155" s="284"/>
      <c r="C1155" s="302"/>
      <c r="D1155" s="302"/>
      <c r="E1155" s="625"/>
      <c r="F1155" s="626"/>
      <c r="G1155" s="626"/>
      <c r="H1155" s="627" t="str">
        <f>[1]K_Summary!H1145</f>
        <v>Единица мярка</v>
      </c>
      <c r="I1155" s="628">
        <f>[1]K_Summary!I1145</f>
        <v>2019</v>
      </c>
      <c r="J1155" s="629">
        <f>[1]K_Summary!J1145</f>
        <v>2020</v>
      </c>
      <c r="K1155" s="629">
        <f>[1]K_Summary!K1145</f>
        <v>2021</v>
      </c>
      <c r="L1155" s="629">
        <f>[1]K_Summary!L1145</f>
        <v>2022</v>
      </c>
      <c r="M1155" s="629">
        <f>[1]K_Summary!M1145</f>
        <v>2023</v>
      </c>
      <c r="N1155" s="626"/>
    </row>
    <row r="1156" spans="2:14" ht="12.75" customHeight="1" thickBot="1" x14ac:dyDescent="0.3">
      <c r="B1156" s="284"/>
      <c r="C1156" s="302"/>
      <c r="D1156" s="302"/>
      <c r="E1156" s="630" t="str">
        <f>[1]K_Summary!E1146</f>
        <v>Общо зададени емисии</v>
      </c>
      <c r="F1156" s="630"/>
      <c r="G1156" s="630"/>
      <c r="H1156" s="631" t="str">
        <f>[1]K_Summary!H1146</f>
        <v>t CO2e/година</v>
      </c>
      <c r="I1156" s="632" t="str">
        <f>[1]K_Summary!I1146</f>
        <v/>
      </c>
      <c r="J1156" s="633" t="str">
        <f>[1]K_Summary!J1146</f>
        <v/>
      </c>
      <c r="K1156" s="633" t="str">
        <f>[1]K_Summary!K1146</f>
        <v/>
      </c>
      <c r="L1156" s="633" t="str">
        <f>[1]K_Summary!L1146</f>
        <v/>
      </c>
      <c r="M1156" s="634" t="str">
        <f>[1]K_Summary!M1146</f>
        <v/>
      </c>
      <c r="N1156" s="626"/>
    </row>
    <row r="1157" spans="2:14" ht="12.75" customHeight="1" x14ac:dyDescent="0.25">
      <c r="B1157" s="284"/>
      <c r="C1157" s="302"/>
      <c r="D1157" s="302"/>
      <c r="E1157" s="625"/>
      <c r="F1157" s="625"/>
      <c r="G1157" s="625"/>
      <c r="H1157" s="625"/>
      <c r="I1157" s="635"/>
      <c r="J1157" s="635"/>
      <c r="K1157" s="635"/>
      <c r="L1157" s="635"/>
      <c r="M1157" s="635"/>
      <c r="N1157" s="625"/>
    </row>
    <row r="1158" spans="2:14" ht="12.75" customHeight="1" x14ac:dyDescent="0.25">
      <c r="B1158" s="284"/>
      <c r="C1158" s="302"/>
      <c r="D1158" s="302"/>
      <c r="E1158" s="636" t="str">
        <f>[1]K_Summary!E1148</f>
        <v>Обща вложена енергия</v>
      </c>
      <c r="F1158" s="636"/>
      <c r="G1158" s="636"/>
      <c r="H1158" s="637" t="str">
        <f>[1]K_Summary!H1148</f>
        <v>TJ / година</v>
      </c>
      <c r="I1158" s="482" t="str">
        <f>[1]K_Summary!I1148</f>
        <v/>
      </c>
      <c r="J1158" s="482" t="str">
        <f>[1]K_Summary!J1148</f>
        <v/>
      </c>
      <c r="K1158" s="482" t="str">
        <f>[1]K_Summary!K1148</f>
        <v/>
      </c>
      <c r="L1158" s="482" t="str">
        <f>[1]K_Summary!L1148</f>
        <v/>
      </c>
      <c r="M1158" s="482" t="str">
        <f>[1]K_Summary!M1148</f>
        <v/>
      </c>
      <c r="N1158" s="626"/>
    </row>
    <row r="1159" spans="2:14" ht="12.75" customHeight="1" x14ac:dyDescent="0.25">
      <c r="B1159" s="284"/>
      <c r="C1159" s="302"/>
      <c r="D1159" s="302"/>
      <c r="E1159" s="638" t="str">
        <f>[1]K_Summary!E1149</f>
        <v>Претеглен емисионен фактор</v>
      </c>
      <c r="F1159" s="638"/>
      <c r="G1159" s="638"/>
      <c r="H1159" s="639" t="str">
        <f>[1]K_Summary!H1149</f>
        <v>t CO2 / TJ</v>
      </c>
      <c r="I1159" s="484" t="str">
        <f>[1]K_Summary!I1149</f>
        <v/>
      </c>
      <c r="J1159" s="484" t="str">
        <f>[1]K_Summary!J1149</f>
        <v/>
      </c>
      <c r="K1159" s="484" t="str">
        <f>[1]K_Summary!K1149</f>
        <v/>
      </c>
      <c r="L1159" s="484" t="str">
        <f>[1]K_Summary!L1149</f>
        <v/>
      </c>
      <c r="M1159" s="484" t="str">
        <f>[1]K_Summary!M1149</f>
        <v/>
      </c>
      <c r="N1159" s="626"/>
    </row>
    <row r="1160" spans="2:14" ht="12.75" customHeight="1" x14ac:dyDescent="0.25">
      <c r="B1160" s="284"/>
      <c r="C1160" s="302"/>
      <c r="D1160" s="364"/>
      <c r="E1160" s="625"/>
      <c r="F1160" s="626"/>
      <c r="G1160" s="626"/>
      <c r="H1160" s="626"/>
      <c r="I1160" s="640"/>
      <c r="J1160" s="640"/>
      <c r="K1160" s="640"/>
      <c r="L1160" s="640"/>
      <c r="M1160" s="640"/>
      <c r="N1160" s="626"/>
    </row>
    <row r="1161" spans="2:14" ht="12.75" customHeight="1" x14ac:dyDescent="0.25">
      <c r="B1161" s="284"/>
      <c r="C1161" s="302"/>
      <c r="D1161" s="364"/>
      <c r="E1161" s="641" t="str">
        <f>[1]K_Summary!E1151</f>
        <v>Преки емисии</v>
      </c>
      <c r="F1161" s="641"/>
      <c r="G1161" s="641"/>
      <c r="H1161" s="642" t="str">
        <f>[1]K_Summary!H1151</f>
        <v>t CO2 / година</v>
      </c>
      <c r="I1161" s="499" t="str">
        <f>[1]K_Summary!I1151</f>
        <v/>
      </c>
      <c r="J1161" s="499" t="str">
        <f>[1]K_Summary!J1151</f>
        <v/>
      </c>
      <c r="K1161" s="499" t="str">
        <f>[1]K_Summary!K1151</f>
        <v/>
      </c>
      <c r="L1161" s="499" t="str">
        <f>[1]K_Summary!L1151</f>
        <v/>
      </c>
      <c r="M1161" s="499" t="str">
        <f>[1]K_Summary!M1151</f>
        <v/>
      </c>
      <c r="N1161" s="626"/>
    </row>
    <row r="1162" spans="2:14" ht="12.75" customHeight="1" x14ac:dyDescent="0.25">
      <c r="B1162" s="284"/>
      <c r="C1162" s="302"/>
      <c r="D1162" s="364"/>
      <c r="E1162" s="641" t="str">
        <f>[1]K_Summary!E1152</f>
        <v>Други потоци горива и материали пораждащи емисии — 1</v>
      </c>
      <c r="F1162" s="641"/>
      <c r="G1162" s="641"/>
      <c r="H1162" s="642" t="str">
        <f>[1]K_Summary!H1152</f>
        <v>t CO2 / година</v>
      </c>
      <c r="I1162" s="499" t="str">
        <f>[1]K_Summary!I1152</f>
        <v/>
      </c>
      <c r="J1162" s="499" t="str">
        <f>[1]K_Summary!J1152</f>
        <v/>
      </c>
      <c r="K1162" s="499" t="str">
        <f>[1]K_Summary!K1152</f>
        <v/>
      </c>
      <c r="L1162" s="499" t="str">
        <f>[1]K_Summary!L1152</f>
        <v/>
      </c>
      <c r="M1162" s="499" t="str">
        <f>[1]K_Summary!M1152</f>
        <v/>
      </c>
      <c r="N1162" s="626"/>
    </row>
    <row r="1163" spans="2:14" ht="12.75" customHeight="1" x14ac:dyDescent="0.25">
      <c r="B1163" s="284"/>
      <c r="C1163" s="302"/>
      <c r="D1163" s="364"/>
      <c r="E1163" s="641" t="str">
        <f>[1]K_Summary!E1153</f>
        <v>Други потоци горива и материали пораждащи емисии — 2</v>
      </c>
      <c r="F1163" s="641"/>
      <c r="G1163" s="641"/>
      <c r="H1163" s="642" t="str">
        <f>[1]K_Summary!H1153</f>
        <v>t CO2 / година</v>
      </c>
      <c r="I1163" s="499" t="str">
        <f>[1]K_Summary!I1153</f>
        <v/>
      </c>
      <c r="J1163" s="499" t="str">
        <f>[1]K_Summary!J1153</f>
        <v/>
      </c>
      <c r="K1163" s="499" t="str">
        <f>[1]K_Summary!K1153</f>
        <v/>
      </c>
      <c r="L1163" s="499" t="str">
        <f>[1]K_Summary!L1153</f>
        <v/>
      </c>
      <c r="M1163" s="499" t="str">
        <f>[1]K_Summary!M1153</f>
        <v/>
      </c>
      <c r="N1163" s="626"/>
    </row>
    <row r="1164" spans="2:14" ht="12.75" customHeight="1" x14ac:dyDescent="0.25">
      <c r="B1164" s="284"/>
      <c r="C1164" s="302"/>
      <c r="D1164" s="302"/>
      <c r="E1164" s="641" t="str">
        <f>[1]K_Summary!E1154</f>
        <v>Получени или подадени парникови газове</v>
      </c>
      <c r="F1164" s="641"/>
      <c r="G1164" s="641"/>
      <c r="H1164" s="642" t="str">
        <f>[1]K_Summary!H1154</f>
        <v>t CO2e/година</v>
      </c>
      <c r="I1164" s="499" t="str">
        <f>[1]K_Summary!I1154</f>
        <v/>
      </c>
      <c r="J1164" s="499" t="str">
        <f>[1]K_Summary!J1154</f>
        <v/>
      </c>
      <c r="K1164" s="499" t="str">
        <f>[1]K_Summary!K1154</f>
        <v/>
      </c>
      <c r="L1164" s="499" t="str">
        <f>[1]K_Summary!L1154</f>
        <v/>
      </c>
      <c r="M1164" s="499" t="str">
        <f>[1]K_Summary!M1154</f>
        <v/>
      </c>
      <c r="N1164" s="626"/>
    </row>
    <row r="1165" spans="2:14" ht="12.75" customHeight="1" x14ac:dyDescent="0.25">
      <c r="B1165" s="284"/>
      <c r="C1165" s="302"/>
      <c r="D1165" s="302"/>
      <c r="E1165" s="626"/>
      <c r="F1165" s="626"/>
      <c r="G1165" s="626"/>
      <c r="H1165" s="626"/>
      <c r="I1165" s="640"/>
      <c r="J1165" s="640"/>
      <c r="K1165" s="640"/>
      <c r="L1165" s="640"/>
      <c r="M1165" s="640"/>
      <c r="N1165" s="626"/>
    </row>
    <row r="1166" spans="2:14" ht="12.75" customHeight="1" x14ac:dyDescent="0.25">
      <c r="B1166" s="284"/>
      <c r="C1166" s="302"/>
      <c r="D1166" s="302"/>
      <c r="E1166" s="636" t="str">
        <f>[1]K_Summary!E1156</f>
        <v>Нетно количество получена топлинна енергия</v>
      </c>
      <c r="F1166" s="636"/>
      <c r="G1166" s="636"/>
      <c r="H1166" s="637" t="str">
        <f>[1]K_Summary!H1156</f>
        <v>TJ / година</v>
      </c>
      <c r="I1166" s="482" t="str">
        <f>[1]K_Summary!I1156</f>
        <v/>
      </c>
      <c r="J1166" s="482" t="str">
        <f>[1]K_Summary!J1156</f>
        <v/>
      </c>
      <c r="K1166" s="482" t="str">
        <f>[1]K_Summary!K1156</f>
        <v/>
      </c>
      <c r="L1166" s="482" t="str">
        <f>[1]K_Summary!L1156</f>
        <v/>
      </c>
      <c r="M1166" s="482" t="str">
        <f>[1]K_Summary!M1156</f>
        <v/>
      </c>
      <c r="N1166" s="626"/>
    </row>
    <row r="1167" spans="2:14" ht="12.75" customHeight="1" x14ac:dyDescent="0.25">
      <c r="B1167" s="284"/>
      <c r="C1167" s="302"/>
      <c r="D1167" s="302"/>
      <c r="E1167" s="638" t="str">
        <f>[1]K_Summary!E1157</f>
        <v>Специфичен EF (получена топлинна енергия)</v>
      </c>
      <c r="F1167" s="638"/>
      <c r="G1167" s="638"/>
      <c r="H1167" s="639" t="str">
        <f>[1]K_Summary!H1157</f>
        <v>t CO2 / TJ</v>
      </c>
      <c r="I1167" s="484" t="str">
        <f>[1]K_Summary!I1157</f>
        <v/>
      </c>
      <c r="J1167" s="484" t="str">
        <f>[1]K_Summary!J1157</f>
        <v/>
      </c>
      <c r="K1167" s="484" t="str">
        <f>[1]K_Summary!K1157</f>
        <v/>
      </c>
      <c r="L1167" s="484" t="str">
        <f>[1]K_Summary!L1157</f>
        <v/>
      </c>
      <c r="M1167" s="484" t="str">
        <f>[1]K_Summary!M1157</f>
        <v/>
      </c>
      <c r="N1167" s="626"/>
    </row>
    <row r="1168" spans="2:14" ht="12.75" customHeight="1" x14ac:dyDescent="0.25">
      <c r="B1168" s="284"/>
      <c r="C1168" s="302"/>
      <c r="D1168" s="302"/>
      <c r="E1168" s="625"/>
      <c r="F1168" s="626"/>
      <c r="G1168" s="626"/>
      <c r="H1168" s="626"/>
      <c r="I1168" s="640"/>
      <c r="J1168" s="640"/>
      <c r="K1168" s="640"/>
      <c r="L1168" s="640"/>
      <c r="M1168" s="640"/>
      <c r="N1168" s="626"/>
    </row>
    <row r="1169" spans="2:14" ht="12.75" customHeight="1" x14ac:dyDescent="0.25">
      <c r="B1169" s="284"/>
      <c r="C1169" s="302"/>
      <c r="D1169" s="302"/>
      <c r="E1169" s="641" t="str">
        <f>[1]K_Summary!E1159</f>
        <v>Нетно количество топлинна енергия, получена от пулп</v>
      </c>
      <c r="F1169" s="641"/>
      <c r="G1169" s="641"/>
      <c r="H1169" s="642" t="str">
        <f>[1]K_Summary!H1159</f>
        <v>TJ / година</v>
      </c>
      <c r="I1169" s="480" t="str">
        <f>[1]K_Summary!I1159</f>
        <v/>
      </c>
      <c r="J1169" s="480" t="str">
        <f>[1]K_Summary!J1159</f>
        <v/>
      </c>
      <c r="K1169" s="480" t="str">
        <f>[1]K_Summary!K1159</f>
        <v/>
      </c>
      <c r="L1169" s="480" t="str">
        <f>[1]K_Summary!L1159</f>
        <v/>
      </c>
      <c r="M1169" s="480" t="str">
        <f>[1]K_Summary!M1159</f>
        <v/>
      </c>
      <c r="N1169" s="626"/>
    </row>
    <row r="1170" spans="2:14" ht="12.75" customHeight="1" x14ac:dyDescent="0.25">
      <c r="B1170" s="284"/>
      <c r="C1170" s="302"/>
      <c r="D1170" s="302"/>
      <c r="E1170" s="641" t="str">
        <f>[1]K_Summary!E1160</f>
        <v>Нетно количество топлинна енергия, получена от подинсталации за азотна киселина</v>
      </c>
      <c r="F1170" s="641"/>
      <c r="G1170" s="641"/>
      <c r="H1170" s="642" t="str">
        <f>[1]K_Summary!H1160</f>
        <v>TJ / година</v>
      </c>
      <c r="I1170" s="480" t="str">
        <f>[1]K_Summary!I1160</f>
        <v/>
      </c>
      <c r="J1170" s="480" t="str">
        <f>[1]K_Summary!J1160</f>
        <v/>
      </c>
      <c r="K1170" s="480" t="str">
        <f>[1]K_Summary!K1160</f>
        <v/>
      </c>
      <c r="L1170" s="480" t="str">
        <f>[1]K_Summary!L1160</f>
        <v/>
      </c>
      <c r="M1170" s="480" t="str">
        <f>[1]K_Summary!M1160</f>
        <v/>
      </c>
      <c r="N1170" s="626"/>
    </row>
    <row r="1171" spans="2:14" ht="12.75" customHeight="1" x14ac:dyDescent="0.25">
      <c r="B1171" s="284"/>
      <c r="C1171" s="302"/>
      <c r="D1171" s="302"/>
      <c r="E1171" s="625"/>
      <c r="F1171" s="625"/>
      <c r="G1171" s="625"/>
      <c r="H1171" s="625"/>
      <c r="I1171" s="640"/>
      <c r="J1171" s="640"/>
      <c r="K1171" s="640"/>
      <c r="L1171" s="640"/>
      <c r="M1171" s="640"/>
      <c r="N1171" s="626"/>
    </row>
    <row r="1172" spans="2:14" ht="12.75" customHeight="1" x14ac:dyDescent="0.25">
      <c r="B1172" s="284"/>
      <c r="C1172" s="302"/>
      <c r="D1172" s="302"/>
      <c r="E1172" s="636" t="str">
        <f>[1]K_Summary!E1162</f>
        <v>Нетно количество подадена топлинна енергия</v>
      </c>
      <c r="F1172" s="636"/>
      <c r="G1172" s="636"/>
      <c r="H1172" s="637" t="str">
        <f>[1]K_Summary!H1162</f>
        <v>TJ / година</v>
      </c>
      <c r="I1172" s="482" t="str">
        <f>[1]K_Summary!I1162</f>
        <v/>
      </c>
      <c r="J1172" s="482" t="str">
        <f>[1]K_Summary!J1162</f>
        <v/>
      </c>
      <c r="K1172" s="482" t="str">
        <f>[1]K_Summary!K1162</f>
        <v/>
      </c>
      <c r="L1172" s="482" t="str">
        <f>[1]K_Summary!L1162</f>
        <v/>
      </c>
      <c r="M1172" s="482" t="str">
        <f>[1]K_Summary!M1162</f>
        <v/>
      </c>
      <c r="N1172" s="626"/>
    </row>
    <row r="1173" spans="2:14" ht="12.75" customHeight="1" x14ac:dyDescent="0.25">
      <c r="B1173" s="284"/>
      <c r="C1173" s="302"/>
      <c r="D1173" s="302"/>
      <c r="E1173" s="638" t="str">
        <f>[1]K_Summary!E1163</f>
        <v>Специфичен EF (подадена топлинна енергия)</v>
      </c>
      <c r="F1173" s="638"/>
      <c r="G1173" s="638"/>
      <c r="H1173" s="639" t="str">
        <f>[1]K_Summary!H1163</f>
        <v>t CO2 / TJ</v>
      </c>
      <c r="I1173" s="484" t="str">
        <f>[1]K_Summary!I1163</f>
        <v/>
      </c>
      <c r="J1173" s="484" t="str">
        <f>[1]K_Summary!J1163</f>
        <v/>
      </c>
      <c r="K1173" s="484" t="str">
        <f>[1]K_Summary!K1163</f>
        <v/>
      </c>
      <c r="L1173" s="484" t="str">
        <f>[1]K_Summary!L1163</f>
        <v/>
      </c>
      <c r="M1173" s="484" t="str">
        <f>[1]K_Summary!M1163</f>
        <v/>
      </c>
      <c r="N1173" s="626"/>
    </row>
    <row r="1174" spans="2:14" ht="12.75" customHeight="1" x14ac:dyDescent="0.25">
      <c r="B1174" s="284"/>
      <c r="C1174" s="302"/>
      <c r="D1174" s="302"/>
      <c r="E1174" s="625"/>
      <c r="F1174" s="625"/>
      <c r="G1174" s="625"/>
      <c r="H1174" s="625"/>
      <c r="I1174" s="640"/>
      <c r="J1174" s="640"/>
      <c r="K1174" s="640"/>
      <c r="L1174" s="640"/>
      <c r="M1174" s="640"/>
      <c r="N1174" s="626"/>
    </row>
    <row r="1175" spans="2:14" ht="12.75" customHeight="1" x14ac:dyDescent="0.25">
      <c r="B1175" s="284"/>
      <c r="C1175" s="302"/>
      <c r="D1175" s="302"/>
      <c r="E1175" s="636" t="str">
        <f>[1]K_Summary!E1165</f>
        <v>Произведен отпадъчен газ</v>
      </c>
      <c r="F1175" s="636"/>
      <c r="G1175" s="636"/>
      <c r="H1175" s="637" t="str">
        <f>[1]K_Summary!H1165</f>
        <v>TJ / година</v>
      </c>
      <c r="I1175" s="482" t="str">
        <f>[1]K_Summary!I1165</f>
        <v/>
      </c>
      <c r="J1175" s="482" t="str">
        <f>[1]K_Summary!J1165</f>
        <v/>
      </c>
      <c r="K1175" s="482" t="str">
        <f>[1]K_Summary!K1165</f>
        <v/>
      </c>
      <c r="L1175" s="482" t="str">
        <f>[1]K_Summary!L1165</f>
        <v/>
      </c>
      <c r="M1175" s="482" t="str">
        <f>[1]K_Summary!M1165</f>
        <v/>
      </c>
      <c r="N1175" s="626"/>
    </row>
    <row r="1176" spans="2:14" ht="12.75" customHeight="1" x14ac:dyDescent="0.25">
      <c r="B1176" s="284"/>
      <c r="C1176" s="302"/>
      <c r="D1176" s="302"/>
      <c r="E1176" s="638" t="str">
        <f>[1]K_Summary!E1166</f>
        <v>Специфичен EF (произведен отпадъчен газ)</v>
      </c>
      <c r="F1176" s="638"/>
      <c r="G1176" s="638"/>
      <c r="H1176" s="639" t="str">
        <f>[1]K_Summary!H1166</f>
        <v>t CO2 / TJ</v>
      </c>
      <c r="I1176" s="484" t="str">
        <f>[1]K_Summary!I1166</f>
        <v/>
      </c>
      <c r="J1176" s="484" t="str">
        <f>[1]K_Summary!J1166</f>
        <v/>
      </c>
      <c r="K1176" s="484" t="str">
        <f>[1]K_Summary!K1166</f>
        <v/>
      </c>
      <c r="L1176" s="484" t="str">
        <f>[1]K_Summary!L1166</f>
        <v/>
      </c>
      <c r="M1176" s="484" t="str">
        <f>[1]K_Summary!M1166</f>
        <v/>
      </c>
      <c r="N1176" s="626"/>
    </row>
    <row r="1177" spans="2:14" ht="12.75" customHeight="1" x14ac:dyDescent="0.25">
      <c r="B1177" s="284"/>
      <c r="C1177" s="302"/>
      <c r="D1177" s="302"/>
      <c r="E1177" s="636" t="str">
        <f>[1]K_Summary!E1167</f>
        <v>Консумиран отпадъчен газ</v>
      </c>
      <c r="F1177" s="636"/>
      <c r="G1177" s="636"/>
      <c r="H1177" s="637" t="str">
        <f>[1]K_Summary!H1167</f>
        <v>TJ / година</v>
      </c>
      <c r="I1177" s="482" t="str">
        <f>[1]K_Summary!I1167</f>
        <v/>
      </c>
      <c r="J1177" s="482" t="str">
        <f>[1]K_Summary!J1167</f>
        <v/>
      </c>
      <c r="K1177" s="482" t="str">
        <f>[1]K_Summary!K1167</f>
        <v/>
      </c>
      <c r="L1177" s="482" t="str">
        <f>[1]K_Summary!L1167</f>
        <v/>
      </c>
      <c r="M1177" s="482" t="str">
        <f>[1]K_Summary!M1167</f>
        <v/>
      </c>
      <c r="N1177" s="626"/>
    </row>
    <row r="1178" spans="2:14" ht="12.75" customHeight="1" x14ac:dyDescent="0.25">
      <c r="B1178" s="284"/>
      <c r="C1178" s="302"/>
      <c r="D1178" s="302"/>
      <c r="E1178" s="638" t="str">
        <f>[1]K_Summary!E1168</f>
        <v>Специфичен EF (консумиран отпадъчен газ)</v>
      </c>
      <c r="F1178" s="638"/>
      <c r="G1178" s="638"/>
      <c r="H1178" s="639" t="str">
        <f>[1]K_Summary!H1168</f>
        <v>t CO2 / TJ</v>
      </c>
      <c r="I1178" s="484" t="str">
        <f>[1]K_Summary!I1168</f>
        <v/>
      </c>
      <c r="J1178" s="484" t="str">
        <f>[1]K_Summary!J1168</f>
        <v/>
      </c>
      <c r="K1178" s="484" t="str">
        <f>[1]K_Summary!K1168</f>
        <v/>
      </c>
      <c r="L1178" s="484" t="str">
        <f>[1]K_Summary!L1168</f>
        <v/>
      </c>
      <c r="M1178" s="484" t="str">
        <f>[1]K_Summary!M1168</f>
        <v/>
      </c>
      <c r="N1178" s="626"/>
    </row>
    <row r="1179" spans="2:14" ht="12.75" customHeight="1" x14ac:dyDescent="0.25">
      <c r="B1179" s="284"/>
      <c r="C1179" s="302"/>
      <c r="D1179" s="302"/>
      <c r="E1179" s="636" t="str">
        <f>[1]K_Summary!E1169</f>
        <v>Изгорен във факел отпадъчен газ</v>
      </c>
      <c r="F1179" s="636"/>
      <c r="G1179" s="636"/>
      <c r="H1179" s="637" t="str">
        <f>[1]K_Summary!H1169</f>
        <v>TJ / година</v>
      </c>
      <c r="I1179" s="482" t="str">
        <f>[1]K_Summary!I1169</f>
        <v/>
      </c>
      <c r="J1179" s="482" t="str">
        <f>[1]K_Summary!J1169</f>
        <v/>
      </c>
      <c r="K1179" s="482" t="str">
        <f>[1]K_Summary!K1169</f>
        <v/>
      </c>
      <c r="L1179" s="482" t="str">
        <f>[1]K_Summary!L1169</f>
        <v/>
      </c>
      <c r="M1179" s="482" t="str">
        <f>[1]K_Summary!M1169</f>
        <v/>
      </c>
      <c r="N1179" s="626"/>
    </row>
    <row r="1180" spans="2:14" ht="12.75" customHeight="1" x14ac:dyDescent="0.25">
      <c r="B1180" s="284"/>
      <c r="C1180" s="302"/>
      <c r="D1180" s="302"/>
      <c r="E1180" s="638" t="str">
        <f>[1]K_Summary!E1170</f>
        <v>Специфичен EF (изгорен във факел отпадъчен газ)</v>
      </c>
      <c r="F1180" s="638"/>
      <c r="G1180" s="638"/>
      <c r="H1180" s="639" t="str">
        <f>[1]K_Summary!H1170</f>
        <v>t CO2 / TJ</v>
      </c>
      <c r="I1180" s="484" t="str">
        <f>[1]K_Summary!I1170</f>
        <v/>
      </c>
      <c r="J1180" s="484" t="str">
        <f>[1]K_Summary!J1170</f>
        <v/>
      </c>
      <c r="K1180" s="484" t="str">
        <f>[1]K_Summary!K1170</f>
        <v/>
      </c>
      <c r="L1180" s="484" t="str">
        <f>[1]K_Summary!L1170</f>
        <v/>
      </c>
      <c r="M1180" s="484" t="str">
        <f>[1]K_Summary!M1170</f>
        <v/>
      </c>
      <c r="N1180" s="626"/>
    </row>
    <row r="1181" spans="2:14" ht="12.75" customHeight="1" x14ac:dyDescent="0.25">
      <c r="B1181" s="284"/>
      <c r="C1181" s="302"/>
      <c r="D1181" s="302"/>
      <c r="E1181" s="636" t="str">
        <f>[1]K_Summary!E1171</f>
        <v>Получен отпадъчен газ</v>
      </c>
      <c r="F1181" s="636"/>
      <c r="G1181" s="636"/>
      <c r="H1181" s="637" t="str">
        <f>[1]K_Summary!H1171</f>
        <v>TJ / година</v>
      </c>
      <c r="I1181" s="482" t="str">
        <f>[1]K_Summary!I1171</f>
        <v/>
      </c>
      <c r="J1181" s="482" t="str">
        <f>[1]K_Summary!J1171</f>
        <v/>
      </c>
      <c r="K1181" s="482" t="str">
        <f>[1]K_Summary!K1171</f>
        <v/>
      </c>
      <c r="L1181" s="482" t="str">
        <f>[1]K_Summary!L1171</f>
        <v/>
      </c>
      <c r="M1181" s="482" t="str">
        <f>[1]K_Summary!M1171</f>
        <v/>
      </c>
      <c r="N1181" s="626"/>
    </row>
    <row r="1182" spans="2:14" ht="12.75" customHeight="1" x14ac:dyDescent="0.25">
      <c r="B1182" s="284"/>
      <c r="C1182" s="302"/>
      <c r="D1182" s="302"/>
      <c r="E1182" s="638" t="str">
        <f>[1]K_Summary!E1172</f>
        <v>Специфичен EF (получен отпадъчен газ)</v>
      </c>
      <c r="F1182" s="638"/>
      <c r="G1182" s="638"/>
      <c r="H1182" s="639" t="str">
        <f>[1]K_Summary!H1172</f>
        <v>t CO2 / TJ</v>
      </c>
      <c r="I1182" s="484" t="str">
        <f>[1]K_Summary!I1172</f>
        <v/>
      </c>
      <c r="J1182" s="484" t="str">
        <f>[1]K_Summary!J1172</f>
        <v/>
      </c>
      <c r="K1182" s="484" t="str">
        <f>[1]K_Summary!K1172</f>
        <v/>
      </c>
      <c r="L1182" s="484" t="str">
        <f>[1]K_Summary!L1172</f>
        <v/>
      </c>
      <c r="M1182" s="484" t="str">
        <f>[1]K_Summary!M1172</f>
        <v/>
      </c>
      <c r="N1182" s="626"/>
    </row>
    <row r="1183" spans="2:14" ht="12.75" customHeight="1" x14ac:dyDescent="0.25">
      <c r="B1183" s="284"/>
      <c r="C1183" s="302"/>
      <c r="D1183" s="302"/>
      <c r="E1183" s="636" t="str">
        <f>[1]K_Summary!E1173</f>
        <v>Подаден отпадъчен газ</v>
      </c>
      <c r="F1183" s="636"/>
      <c r="G1183" s="636"/>
      <c r="H1183" s="637" t="str">
        <f>[1]K_Summary!H1173</f>
        <v>TJ / година</v>
      </c>
      <c r="I1183" s="482" t="str">
        <f>[1]K_Summary!I1173</f>
        <v/>
      </c>
      <c r="J1183" s="482" t="str">
        <f>[1]K_Summary!J1173</f>
        <v/>
      </c>
      <c r="K1183" s="482" t="str">
        <f>[1]K_Summary!K1173</f>
        <v/>
      </c>
      <c r="L1183" s="482" t="str">
        <f>[1]K_Summary!L1173</f>
        <v/>
      </c>
      <c r="M1183" s="482" t="str">
        <f>[1]K_Summary!M1173</f>
        <v/>
      </c>
      <c r="N1183" s="626"/>
    </row>
    <row r="1184" spans="2:14" ht="12.75" customHeight="1" x14ac:dyDescent="0.25">
      <c r="B1184" s="284"/>
      <c r="C1184" s="302"/>
      <c r="D1184" s="302"/>
      <c r="E1184" s="638" t="str">
        <f>[1]K_Summary!E1174</f>
        <v>Специфичен EF (подаден отпадъчен газ)</v>
      </c>
      <c r="F1184" s="638"/>
      <c r="G1184" s="638"/>
      <c r="H1184" s="639" t="str">
        <f>[1]K_Summary!H1174</f>
        <v>t CO2 / TJ</v>
      </c>
      <c r="I1184" s="484" t="str">
        <f>[1]K_Summary!I1174</f>
        <v/>
      </c>
      <c r="J1184" s="484" t="str">
        <f>[1]K_Summary!J1174</f>
        <v/>
      </c>
      <c r="K1184" s="484" t="str">
        <f>[1]K_Summary!K1174</f>
        <v/>
      </c>
      <c r="L1184" s="484" t="str">
        <f>[1]K_Summary!L1174</f>
        <v/>
      </c>
      <c r="M1184" s="484" t="str">
        <f>[1]K_Summary!M1174</f>
        <v/>
      </c>
      <c r="N1184" s="626"/>
    </row>
    <row r="1185" spans="2:14" ht="12.75" customHeight="1" x14ac:dyDescent="0.25">
      <c r="B1185" s="284"/>
      <c r="C1185" s="302"/>
      <c r="D1185" s="302"/>
      <c r="E1185" s="625"/>
      <c r="F1185" s="625"/>
      <c r="G1185" s="625"/>
      <c r="H1185" s="625"/>
      <c r="I1185" s="640"/>
      <c r="J1185" s="640"/>
      <c r="K1185" s="640"/>
      <c r="L1185" s="640"/>
      <c r="M1185" s="640"/>
      <c r="N1185" s="626"/>
    </row>
    <row r="1186" spans="2:14" ht="12.75" customHeight="1" x14ac:dyDescent="0.25">
      <c r="B1186" s="284"/>
      <c r="C1186" s="302"/>
      <c r="D1186" s="302"/>
      <c r="E1186" s="641" t="str">
        <f>[1]K_Summary!E1176</f>
        <v>Произведена електроенергия</v>
      </c>
      <c r="F1186" s="641"/>
      <c r="G1186" s="641"/>
      <c r="H1186" s="642" t="str">
        <f>[1]K_Summary!H1176</f>
        <v>MWh / година</v>
      </c>
      <c r="I1186" s="480" t="str">
        <f>[1]K_Summary!I1176</f>
        <v/>
      </c>
      <c r="J1186" s="480" t="str">
        <f>[1]K_Summary!J1176</f>
        <v/>
      </c>
      <c r="K1186" s="480" t="str">
        <f>[1]K_Summary!K1176</f>
        <v/>
      </c>
      <c r="L1186" s="480" t="str">
        <f>[1]K_Summary!L1176</f>
        <v/>
      </c>
      <c r="M1186" s="480" t="str">
        <f>[1]K_Summary!M1176</f>
        <v/>
      </c>
      <c r="N1186" s="626"/>
    </row>
    <row r="1187" spans="2:14" ht="12.75" customHeight="1" x14ac:dyDescent="0.25">
      <c r="B1187" s="284"/>
      <c r="C1187" s="302"/>
      <c r="D1187" s="302"/>
      <c r="E1187" s="625"/>
      <c r="F1187" s="625"/>
      <c r="G1187" s="625"/>
      <c r="H1187" s="625"/>
      <c r="I1187" s="640"/>
      <c r="J1187" s="640"/>
      <c r="K1187" s="640"/>
      <c r="L1187" s="640"/>
      <c r="M1187" s="640"/>
      <c r="N1187" s="626"/>
    </row>
    <row r="1188" spans="2:14" ht="12.75" customHeight="1" x14ac:dyDescent="0.25">
      <c r="B1188" s="284"/>
      <c r="C1188" s="302"/>
      <c r="D1188" s="302"/>
      <c r="E1188" s="643" t="str">
        <f>[1]K_Summary!E1178</f>
        <v>Междинно получаване:</v>
      </c>
      <c r="F1188" s="625"/>
      <c r="G1188" s="625"/>
      <c r="H1188" s="625"/>
      <c r="I1188" s="640"/>
      <c r="J1188" s="640"/>
      <c r="K1188" s="640"/>
      <c r="L1188" s="640"/>
      <c r="M1188" s="640"/>
      <c r="N1188" s="626"/>
    </row>
    <row r="1189" spans="2:14" ht="12.75" customHeight="1" x14ac:dyDescent="0.25">
      <c r="B1189" s="284"/>
      <c r="C1189" s="302"/>
      <c r="D1189" s="302"/>
      <c r="E1189" s="381" t="str">
        <f>[1]K_Summary!E1179</f>
        <v/>
      </c>
      <c r="F1189" s="381"/>
      <c r="G1189" s="381"/>
      <c r="H1189" s="642" t="str">
        <f>[1]K_Summary!H1179</f>
        <v>тона</v>
      </c>
      <c r="I1189" s="499" t="str">
        <f>[1]K_Summary!I1179</f>
        <v/>
      </c>
      <c r="J1189" s="499" t="str">
        <f>[1]K_Summary!J1179</f>
        <v/>
      </c>
      <c r="K1189" s="499" t="str">
        <f>[1]K_Summary!K1179</f>
        <v/>
      </c>
      <c r="L1189" s="499" t="str">
        <f>[1]K_Summary!L1179</f>
        <v/>
      </c>
      <c r="M1189" s="499" t="str">
        <f>[1]K_Summary!M1179</f>
        <v/>
      </c>
      <c r="N1189" s="626"/>
    </row>
    <row r="1190" spans="2:14" ht="12.75" customHeight="1" x14ac:dyDescent="0.25">
      <c r="B1190" s="284"/>
      <c r="C1190" s="302"/>
      <c r="D1190" s="302"/>
      <c r="E1190" s="381" t="str">
        <f>[1]K_Summary!E1180</f>
        <v/>
      </c>
      <c r="F1190" s="381"/>
      <c r="G1190" s="381"/>
      <c r="H1190" s="642" t="str">
        <f>[1]K_Summary!H1180</f>
        <v>тона</v>
      </c>
      <c r="I1190" s="499" t="str">
        <f>[1]K_Summary!I1180</f>
        <v/>
      </c>
      <c r="J1190" s="499" t="str">
        <f>[1]K_Summary!J1180</f>
        <v/>
      </c>
      <c r="K1190" s="499" t="str">
        <f>[1]K_Summary!K1180</f>
        <v/>
      </c>
      <c r="L1190" s="499" t="str">
        <f>[1]K_Summary!L1180</f>
        <v/>
      </c>
      <c r="M1190" s="499" t="str">
        <f>[1]K_Summary!M1180</f>
        <v/>
      </c>
      <c r="N1190" s="626"/>
    </row>
    <row r="1191" spans="2:14" ht="12.75" customHeight="1" x14ac:dyDescent="0.25">
      <c r="B1191" s="284"/>
      <c r="C1191" s="302"/>
      <c r="D1191" s="302"/>
      <c r="E1191" s="643" t="str">
        <f>[1]K_Summary!E1181</f>
        <v>Междинно подаване:</v>
      </c>
      <c r="F1191" s="625"/>
      <c r="G1191" s="625"/>
      <c r="H1191" s="625"/>
      <c r="I1191" s="644"/>
      <c r="J1191" s="644"/>
      <c r="K1191" s="644"/>
      <c r="L1191" s="644"/>
      <c r="M1191" s="644"/>
      <c r="N1191" s="626"/>
    </row>
    <row r="1192" spans="2:14" ht="12.75" customHeight="1" x14ac:dyDescent="0.25">
      <c r="B1192" s="284"/>
      <c r="C1192" s="302"/>
      <c r="D1192" s="302"/>
      <c r="E1192" s="381" t="str">
        <f>[1]K_Summary!E1182</f>
        <v/>
      </c>
      <c r="F1192" s="381"/>
      <c r="G1192" s="381"/>
      <c r="H1192" s="642" t="str">
        <f>[1]K_Summary!H1182</f>
        <v>тона</v>
      </c>
      <c r="I1192" s="499" t="str">
        <f>[1]K_Summary!I1182</f>
        <v/>
      </c>
      <c r="J1192" s="499" t="str">
        <f>[1]K_Summary!J1182</f>
        <v/>
      </c>
      <c r="K1192" s="499" t="str">
        <f>[1]K_Summary!K1182</f>
        <v/>
      </c>
      <c r="L1192" s="499" t="str">
        <f>[1]K_Summary!L1182</f>
        <v/>
      </c>
      <c r="M1192" s="499" t="str">
        <f>[1]K_Summary!M1182</f>
        <v/>
      </c>
      <c r="N1192" s="626"/>
    </row>
    <row r="1193" spans="2:14" ht="12.75" customHeight="1" x14ac:dyDescent="0.25">
      <c r="B1193" s="284"/>
      <c r="C1193" s="302"/>
      <c r="D1193" s="302"/>
      <c r="E1193" s="381" t="str">
        <f>[1]K_Summary!E1183</f>
        <v/>
      </c>
      <c r="F1193" s="381"/>
      <c r="G1193" s="381"/>
      <c r="H1193" s="642" t="str">
        <f>[1]K_Summary!H1183</f>
        <v>тона</v>
      </c>
      <c r="I1193" s="499" t="str">
        <f>[1]K_Summary!I1183</f>
        <v/>
      </c>
      <c r="J1193" s="499" t="str">
        <f>[1]K_Summary!J1183</f>
        <v/>
      </c>
      <c r="K1193" s="499" t="str">
        <f>[1]K_Summary!K1183</f>
        <v/>
      </c>
      <c r="L1193" s="499" t="str">
        <f>[1]K_Summary!L1183</f>
        <v/>
      </c>
      <c r="M1193" s="499" t="str">
        <f>[1]K_Summary!M1183</f>
        <v/>
      </c>
      <c r="N1193" s="626"/>
    </row>
    <row r="1194" spans="2:14" ht="12.75" customHeight="1" x14ac:dyDescent="0.25">
      <c r="B1194" s="284"/>
      <c r="C1194" s="302"/>
      <c r="D1194" s="302"/>
      <c r="E1194" s="625"/>
      <c r="F1194" s="625"/>
      <c r="G1194" s="625"/>
      <c r="H1194" s="625"/>
      <c r="I1194" s="626"/>
      <c r="J1194" s="626"/>
      <c r="K1194" s="626"/>
      <c r="L1194" s="626"/>
      <c r="M1194" s="626"/>
      <c r="N1194" s="626"/>
    </row>
    <row r="1195" spans="2:14" ht="12.75" customHeight="1" x14ac:dyDescent="0.25">
      <c r="B1195" s="284"/>
      <c r="C1195" s="302"/>
      <c r="D1195" s="302"/>
      <c r="E1195" s="645" t="str">
        <f>[1]K_Summary!E1185</f>
        <v>Корекции за актуализиране на показателя при специфичен показател, когато е приложимо</v>
      </c>
      <c r="F1195" s="645"/>
      <c r="G1195" s="645"/>
      <c r="H1195" s="645"/>
      <c r="I1195" s="645"/>
      <c r="J1195" s="645"/>
      <c r="K1195" s="645"/>
      <c r="L1195" s="645"/>
      <c r="M1195" s="645"/>
      <c r="N1195" s="626"/>
    </row>
    <row r="1196" spans="2:14" ht="12.75" customHeight="1" x14ac:dyDescent="0.25">
      <c r="B1196" s="284"/>
      <c r="C1196" s="302"/>
      <c r="D1196" s="302"/>
      <c r="E1196" s="641" t="str">
        <f>[1]K_Summary!E1186</f>
        <v>Общо количество произведен пулп</v>
      </c>
      <c r="F1196" s="641"/>
      <c r="G1196" s="641"/>
      <c r="H1196" s="642" t="str">
        <f>[1]K_Summary!H1186</f>
        <v>тона</v>
      </c>
      <c r="I1196" s="499" t="str">
        <f>[1]K_Summary!I1186</f>
        <v/>
      </c>
      <c r="J1196" s="499" t="str">
        <f>[1]K_Summary!J1186</f>
        <v/>
      </c>
      <c r="K1196" s="499" t="str">
        <f>[1]K_Summary!K1186</f>
        <v/>
      </c>
      <c r="L1196" s="499" t="str">
        <f>[1]K_Summary!L1186</f>
        <v/>
      </c>
      <c r="M1196" s="499" t="str">
        <f>[1]K_Summary!M1186</f>
        <v/>
      </c>
      <c r="N1196" s="626"/>
    </row>
    <row r="1197" spans="2:14" ht="12.75" customHeight="1" x14ac:dyDescent="0.25">
      <c r="B1197" s="284"/>
      <c r="C1197" s="302"/>
      <c r="D1197" s="302"/>
      <c r="E1197" s="625"/>
      <c r="F1197" s="625"/>
      <c r="G1197" s="625"/>
      <c r="H1197" s="625"/>
      <c r="I1197" s="644"/>
      <c r="J1197" s="644"/>
      <c r="K1197" s="644"/>
      <c r="L1197" s="644"/>
      <c r="M1197" s="644"/>
      <c r="N1197" s="626"/>
    </row>
    <row r="1198" spans="2:14" ht="12.75" customHeight="1" x14ac:dyDescent="0.25">
      <c r="B1198" s="284"/>
      <c r="C1198" s="302"/>
      <c r="D1198" s="302"/>
      <c r="E1198" s="641" t="str">
        <f>[1]K_Summary!E1188</f>
        <v>Производство на водород (действително + теоретично)</v>
      </c>
      <c r="F1198" s="641"/>
      <c r="G1198" s="641"/>
      <c r="H1198" s="642" t="str">
        <f>[1]K_Summary!H1188</f>
        <v>тона</v>
      </c>
      <c r="I1198" s="499" t="str">
        <f>[1]K_Summary!I1188</f>
        <v/>
      </c>
      <c r="J1198" s="499" t="str">
        <f>[1]K_Summary!J1188</f>
        <v/>
      </c>
      <c r="K1198" s="499" t="str">
        <f>[1]K_Summary!K1188</f>
        <v/>
      </c>
      <c r="L1198" s="499" t="str">
        <f>[1]K_Summary!L1188</f>
        <v/>
      </c>
      <c r="M1198" s="499" t="str">
        <f>[1]K_Summary!M1188</f>
        <v/>
      </c>
      <c r="N1198" s="626"/>
    </row>
    <row r="1199" spans="2:14" ht="12.75" customHeight="1" x14ac:dyDescent="0.25">
      <c r="B1199" s="284"/>
      <c r="C1199" s="302"/>
      <c r="D1199" s="302"/>
      <c r="E1199" s="641" t="str">
        <f>[1]K_Summary!E1189</f>
        <v>Емисии във връзка с водород</v>
      </c>
      <c r="F1199" s="641"/>
      <c r="G1199" s="641"/>
      <c r="H1199" s="642" t="str">
        <f>[1]K_Summary!H1189</f>
        <v>t CO2 / година</v>
      </c>
      <c r="I1199" s="499" t="str">
        <f>[1]K_Summary!I1189</f>
        <v/>
      </c>
      <c r="J1199" s="499" t="str">
        <f>[1]K_Summary!J1189</f>
        <v/>
      </c>
      <c r="K1199" s="499" t="str">
        <f>[1]K_Summary!K1189</f>
        <v/>
      </c>
      <c r="L1199" s="499" t="str">
        <f>[1]K_Summary!L1189</f>
        <v/>
      </c>
      <c r="M1199" s="499" t="str">
        <f>[1]K_Summary!M1189</f>
        <v/>
      </c>
      <c r="N1199" s="626"/>
    </row>
    <row r="1200" spans="2:14" ht="12.75" customHeight="1" x14ac:dyDescent="0.25">
      <c r="B1200" s="284"/>
      <c r="C1200" s="302"/>
      <c r="D1200" s="302"/>
      <c r="E1200" s="625"/>
      <c r="F1200" s="625"/>
      <c r="G1200" s="625"/>
      <c r="H1200" s="625"/>
      <c r="I1200" s="644"/>
      <c r="J1200" s="644"/>
      <c r="K1200" s="644"/>
      <c r="L1200" s="644"/>
      <c r="M1200" s="644"/>
      <c r="N1200" s="626"/>
    </row>
    <row r="1201" spans="2:14" ht="12.75" customHeight="1" x14ac:dyDescent="0.25">
      <c r="B1201" s="284"/>
      <c r="C1201" s="302"/>
      <c r="D1201" s="302"/>
      <c r="E1201" s="641" t="str">
        <f>[1]K_Summary!E1191</f>
        <v>Корекция на емисиите във връзка с HVC</v>
      </c>
      <c r="F1201" s="641"/>
      <c r="G1201" s="641"/>
      <c r="H1201" s="642" t="str">
        <f>[1]K_Summary!H1191</f>
        <v>t CO2 / година</v>
      </c>
      <c r="I1201" s="499" t="str">
        <f>[1]K_Summary!I1191</f>
        <v/>
      </c>
      <c r="J1201" s="499" t="str">
        <f>[1]K_Summary!J1191</f>
        <v/>
      </c>
      <c r="K1201" s="499" t="str">
        <f>[1]K_Summary!K1191</f>
        <v/>
      </c>
      <c r="L1201" s="499" t="str">
        <f>[1]K_Summary!L1191</f>
        <v/>
      </c>
      <c r="M1201" s="499" t="str">
        <f>[1]K_Summary!M1191</f>
        <v/>
      </c>
      <c r="N1201" s="626"/>
    </row>
    <row r="1202" spans="2:14" ht="12.75" customHeight="1" x14ac:dyDescent="0.25">
      <c r="B1202" s="284"/>
      <c r="C1202" s="302"/>
      <c r="D1202" s="302"/>
      <c r="E1202" s="625"/>
      <c r="F1202" s="625"/>
      <c r="G1202" s="625"/>
      <c r="H1202" s="625"/>
      <c r="I1202" s="644"/>
      <c r="J1202" s="644"/>
      <c r="K1202" s="644"/>
      <c r="L1202" s="644"/>
      <c r="M1202" s="644"/>
      <c r="N1202" s="626"/>
    </row>
    <row r="1203" spans="2:14" ht="12.75" customHeight="1" x14ac:dyDescent="0.25">
      <c r="B1203" s="284"/>
      <c r="C1203" s="302"/>
      <c r="D1203" s="302"/>
      <c r="E1203" s="641" t="str">
        <f>[1]K_Summary!E1193</f>
        <v>Корекция на емисиите във връзка с VCM</v>
      </c>
      <c r="F1203" s="641"/>
      <c r="G1203" s="641"/>
      <c r="H1203" s="642" t="str">
        <f>[1]K_Summary!H1193</f>
        <v>t CO2 / година</v>
      </c>
      <c r="I1203" s="499" t="str">
        <f>[1]K_Summary!I1193</f>
        <v/>
      </c>
      <c r="J1203" s="499" t="str">
        <f>[1]K_Summary!J1193</f>
        <v/>
      </c>
      <c r="K1203" s="499" t="str">
        <f>[1]K_Summary!K1193</f>
        <v/>
      </c>
      <c r="L1203" s="499" t="str">
        <f>[1]K_Summary!L1193</f>
        <v/>
      </c>
      <c r="M1203" s="499" t="str">
        <f>[1]K_Summary!M1193</f>
        <v/>
      </c>
      <c r="N1203" s="626"/>
    </row>
    <row r="1204" spans="2:14" ht="12.75" customHeight="1" x14ac:dyDescent="0.25">
      <c r="B1204" s="284"/>
      <c r="C1204" s="302"/>
      <c r="D1204" s="302"/>
      <c r="E1204" s="625"/>
      <c r="F1204" s="625"/>
      <c r="G1204" s="625"/>
      <c r="H1204" s="625"/>
      <c r="I1204" s="626"/>
      <c r="J1204" s="626"/>
      <c r="K1204" s="626"/>
      <c r="L1204" s="626"/>
      <c r="M1204" s="626"/>
      <c r="N1204" s="626"/>
    </row>
    <row r="1205" spans="2:14" ht="12.75" customHeight="1" x14ac:dyDescent="0.25">
      <c r="B1205" s="284"/>
      <c r="C1205" s="302"/>
      <c r="D1205" s="302"/>
      <c r="E1205" s="360"/>
      <c r="F1205" s="360"/>
      <c r="G1205" s="360"/>
      <c r="H1205" s="360"/>
      <c r="I1205" s="302"/>
      <c r="J1205" s="302"/>
      <c r="K1205" s="302"/>
      <c r="L1205" s="302"/>
      <c r="M1205" s="302"/>
      <c r="N1205" s="302"/>
    </row>
    <row r="1206" spans="2:14" ht="12.75" customHeight="1" thickBot="1" x14ac:dyDescent="0.3">
      <c r="B1206" s="284"/>
      <c r="C1206" s="302"/>
      <c r="D1206" s="302"/>
      <c r="E1206" s="360"/>
      <c r="F1206" s="302"/>
      <c r="G1206" s="647"/>
      <c r="H1206" s="302"/>
      <c r="I1206" s="302"/>
      <c r="J1206" s="302"/>
      <c r="K1206" s="302"/>
      <c r="L1206" s="302"/>
      <c r="M1206" s="302"/>
      <c r="N1206" s="302"/>
    </row>
    <row r="1207" spans="2:14" ht="12.75" customHeight="1" thickBot="1" x14ac:dyDescent="0.3">
      <c r="B1207" s="284"/>
      <c r="C1207" s="581"/>
      <c r="D1207" s="581"/>
      <c r="E1207" s="581"/>
      <c r="F1207" s="581"/>
      <c r="G1207" s="581"/>
      <c r="H1207" s="581"/>
      <c r="I1207" s="581"/>
      <c r="J1207" s="581"/>
      <c r="K1207" s="581"/>
      <c r="L1207" s="581"/>
      <c r="M1207" s="581"/>
      <c r="N1207" s="581"/>
    </row>
    <row r="1208" spans="2:14" ht="12.75" customHeight="1" thickBot="1" x14ac:dyDescent="0.3">
      <c r="B1208" s="284"/>
      <c r="C1208" s="581"/>
      <c r="D1208" s="581"/>
      <c r="E1208" s="581"/>
      <c r="F1208" s="581"/>
      <c r="G1208" s="581"/>
      <c r="H1208" s="581"/>
      <c r="I1208" s="581"/>
      <c r="J1208" s="581"/>
      <c r="K1208" s="581"/>
      <c r="L1208" s="581"/>
      <c r="M1208" s="581"/>
      <c r="N1208" s="581"/>
    </row>
    <row r="1209" spans="2:14" ht="12.75" customHeight="1" thickBot="1" x14ac:dyDescent="0.35">
      <c r="B1209" s="284"/>
      <c r="C1209" s="357">
        <f>[1]K_Summary!C1199</f>
        <v>11</v>
      </c>
      <c r="D1209" s="358" t="str">
        <f>[1]K_Summary!D1199</f>
        <v>Алтернативна подинсталация („Fall-Back sub-installation“) 1:</v>
      </c>
      <c r="E1209" s="358"/>
      <c r="F1209" s="358"/>
      <c r="G1209" s="358"/>
      <c r="H1209" s="648"/>
      <c r="I1209" s="649" t="str">
        <f>[1]K_Summary!I1199</f>
        <v>Подинсталация с топлинен показател (с риск от ИВЕ | извън МКВЕГ)</v>
      </c>
      <c r="J1209" s="650"/>
      <c r="K1209" s="650"/>
      <c r="L1209" s="651"/>
      <c r="M1209" s="652" t="str">
        <f>[1]K_Summary!M1199</f>
        <v/>
      </c>
      <c r="N1209" s="653"/>
    </row>
    <row r="1210" spans="2:14" ht="12.75" customHeight="1" thickBot="1" x14ac:dyDescent="0.3">
      <c r="B1210" s="284"/>
      <c r="C1210" s="302"/>
      <c r="D1210" s="302"/>
      <c r="E1210" s="302"/>
      <c r="F1210" s="302"/>
      <c r="G1210" s="302"/>
      <c r="H1210" s="302"/>
      <c r="I1210" s="302"/>
      <c r="J1210" s="302"/>
      <c r="K1210" s="302"/>
      <c r="L1210" s="302"/>
      <c r="M1210" s="302"/>
      <c r="N1210" s="302"/>
    </row>
    <row r="1211" spans="2:14" ht="12.75" customHeight="1" x14ac:dyDescent="0.25">
      <c r="B1211" s="284"/>
      <c r="C1211" s="302"/>
      <c r="D1211" s="302"/>
      <c r="E1211" s="302"/>
      <c r="F1211" s="302"/>
      <c r="G1211" s="302"/>
      <c r="H1211" s="595" t="str">
        <f>[1]K_Summary!H1201</f>
        <v>Риск от ИВЕ</v>
      </c>
      <c r="I1211" s="595" t="str">
        <f>[1]K_Summary!I1201</f>
        <v>В/Е</v>
      </c>
      <c r="J1211" s="595" t="str">
        <f>[1]K_Summary!J1201</f>
        <v>15(7).3?</v>
      </c>
      <c r="K1211" s="364"/>
      <c r="L1211" s="654" t="str">
        <f>[1]K_Summary!L1201</f>
        <v>№ на п-л</v>
      </c>
      <c r="M1211" s="598" t="str">
        <f>[1]K_Summary!M1201</f>
        <v>Стойност на показател (мин/макс/действ.)</v>
      </c>
      <c r="N1211" s="599"/>
    </row>
    <row r="1212" spans="2:14" ht="12.75" customHeight="1" x14ac:dyDescent="0.25">
      <c r="B1212" s="284"/>
      <c r="C1212" s="302"/>
      <c r="D1212" s="302"/>
      <c r="E1212" s="361" t="str">
        <f>[1]K_Summary!E1202</f>
        <v>Подинсталация с топлинен показател (с риск от ИВЕ | извън МКВЕГ)</v>
      </c>
      <c r="F1212" s="373"/>
      <c r="G1212" s="362"/>
      <c r="H1212" s="600" t="b">
        <f>[1]K_Summary!H1202</f>
        <v>1</v>
      </c>
      <c r="I1212" s="655" t="str">
        <f>[1]K_Summary!I1202</f>
        <v/>
      </c>
      <c r="J1212" s="600" t="str">
        <f>[1]K_Summary!J1202</f>
        <v/>
      </c>
      <c r="K1212" s="364"/>
      <c r="L1212" s="656">
        <f>[1]K_Summary!L1202</f>
        <v>1</v>
      </c>
      <c r="M1212" s="657" t="str">
        <f>[1]K_Summary!M1202</f>
        <v/>
      </c>
      <c r="N1212" s="604" t="str">
        <f>[1]K_Summary!N1202</f>
        <v>Квота за емисии/TJ</v>
      </c>
    </row>
    <row r="1213" spans="2:14" ht="12.75" customHeight="1" x14ac:dyDescent="0.25">
      <c r="B1213" s="284"/>
      <c r="C1213" s="302"/>
      <c r="D1213" s="364"/>
      <c r="E1213" s="364"/>
      <c r="F1213" s="364"/>
      <c r="G1213" s="364"/>
      <c r="H1213" s="595" t="str">
        <f>[1]K_Summary!H1203</f>
        <v>CBAM</v>
      </c>
      <c r="I1213" s="364"/>
      <c r="J1213" s="364"/>
      <c r="K1213" s="364"/>
      <c r="L1213" s="364"/>
      <c r="M1213" s="657" t="str">
        <f>[1]K_Summary!M1203</f>
        <v/>
      </c>
      <c r="N1213" s="604" t="str">
        <f>[1]K_Summary!N1203</f>
        <v>Квота за емисии/TJ</v>
      </c>
    </row>
    <row r="1214" spans="2:14" ht="12.75" customHeight="1" thickBot="1" x14ac:dyDescent="0.3">
      <c r="B1214" s="284"/>
      <c r="C1214" s="302"/>
      <c r="D1214" s="364"/>
      <c r="E1214" s="364"/>
      <c r="F1214" s="364"/>
      <c r="G1214" s="364"/>
      <c r="H1214" s="600" t="b">
        <f>[1]K_Summary!H1204</f>
        <v>0</v>
      </c>
      <c r="I1214" s="364"/>
      <c r="J1214" s="364"/>
      <c r="K1214" s="364"/>
      <c r="L1214" s="364"/>
      <c r="M1214" s="658" t="str">
        <f>[1]K_Summary!M1204</f>
        <v/>
      </c>
      <c r="N1214" s="611" t="str">
        <f>[1]K_Summary!N1204</f>
        <v>Квота за емисии/TJ</v>
      </c>
    </row>
    <row r="1215" spans="2:14" ht="12.75" customHeight="1" x14ac:dyDescent="0.25">
      <c r="B1215" s="284"/>
      <c r="C1215" s="302"/>
      <c r="D1215" s="302"/>
      <c r="E1215" s="302"/>
      <c r="F1215" s="302"/>
      <c r="G1215" s="302"/>
      <c r="H1215" s="302"/>
      <c r="I1215" s="302"/>
      <c r="J1215" s="302"/>
      <c r="K1215" s="302"/>
      <c r="L1215" s="302"/>
      <c r="M1215" s="302"/>
      <c r="N1215" s="302"/>
    </row>
    <row r="1216" spans="2:14" ht="12.75" customHeight="1" x14ac:dyDescent="0.25">
      <c r="B1216" s="284"/>
      <c r="C1216" s="302"/>
      <c r="D1216" s="302"/>
      <c r="E1216" s="498"/>
      <c r="F1216" s="498"/>
      <c r="G1216" s="380"/>
      <c r="H1216" s="595" t="str">
        <f>[1]K_Summary!H1206</f>
        <v>Единица мярка</v>
      </c>
      <c r="I1216" s="387">
        <f>[1]K_Summary!I1206</f>
        <v>2019</v>
      </c>
      <c r="J1216" s="387">
        <f>[1]K_Summary!J1206</f>
        <v>2020</v>
      </c>
      <c r="K1216" s="387">
        <f>[1]K_Summary!K1206</f>
        <v>2021</v>
      </c>
      <c r="L1216" s="387">
        <f>[1]K_Summary!L1206</f>
        <v>2022</v>
      </c>
      <c r="M1216" s="387">
        <f>[1]K_Summary!M1206</f>
        <v>2023</v>
      </c>
      <c r="N1216" s="302"/>
    </row>
    <row r="1217" spans="2:14" ht="12.75" customHeight="1" x14ac:dyDescent="0.25">
      <c r="B1217" s="284"/>
      <c r="C1217" s="302"/>
      <c r="D1217" s="302"/>
      <c r="E1217" s="614" t="str">
        <f>[1]K_Summary!E1207</f>
        <v>Отчетено HAL (историческо равнище на дейност)</v>
      </c>
      <c r="F1217" s="388"/>
      <c r="G1217" s="615"/>
      <c r="H1217" s="600" t="str">
        <f>[1]K_Summary!H1207</f>
        <v>TJ</v>
      </c>
      <c r="I1217" s="406" t="str">
        <f>[1]K_Summary!I1207</f>
        <v/>
      </c>
      <c r="J1217" s="406" t="str">
        <f>[1]K_Summary!J1207</f>
        <v/>
      </c>
      <c r="K1217" s="406" t="str">
        <f>[1]K_Summary!K1207</f>
        <v/>
      </c>
      <c r="L1217" s="406" t="str">
        <f>[1]K_Summary!L1207</f>
        <v/>
      </c>
      <c r="M1217" s="406" t="str">
        <f>[1]K_Summary!M1207</f>
        <v/>
      </c>
      <c r="N1217" s="596" t="str">
        <f>[1]K_Summary!N1207</f>
        <v>Median</v>
      </c>
    </row>
    <row r="1218" spans="2:14" ht="12.75" customHeight="1" x14ac:dyDescent="0.25">
      <c r="B1218" s="284"/>
      <c r="C1218" s="302"/>
      <c r="D1218" s="302"/>
      <c r="E1218" s="614" t="str">
        <f>[1]K_Summary!E1208</f>
        <v>Стойности, използвани за изчислението на HAL:</v>
      </c>
      <c r="F1218" s="388"/>
      <c r="G1218" s="615"/>
      <c r="H1218" s="600" t="str">
        <f>[1]K_Summary!H1208</f>
        <v>TJ</v>
      </c>
      <c r="I1218" s="659" t="str">
        <f>[1]K_Summary!I1208</f>
        <v/>
      </c>
      <c r="J1218" s="659" t="str">
        <f>[1]K_Summary!J1208</f>
        <v/>
      </c>
      <c r="K1218" s="659" t="str">
        <f>[1]K_Summary!K1208</f>
        <v/>
      </c>
      <c r="L1218" s="659" t="str">
        <f>[1]K_Summary!L1208</f>
        <v/>
      </c>
      <c r="M1218" s="659" t="str">
        <f>[1]K_Summary!M1208</f>
        <v/>
      </c>
      <c r="N1218" s="406" t="str">
        <f>[1]K_Summary!N1208</f>
        <v/>
      </c>
    </row>
    <row r="1219" spans="2:14" ht="12.75" customHeight="1" x14ac:dyDescent="0.25">
      <c r="B1219" s="284"/>
      <c r="C1219" s="302"/>
      <c r="D1219" s="302"/>
      <c r="E1219" s="302"/>
      <c r="F1219" s="302"/>
      <c r="G1219" s="302"/>
      <c r="H1219" s="302"/>
      <c r="I1219" s="302"/>
      <c r="J1219" s="302"/>
      <c r="K1219" s="302"/>
      <c r="L1219" s="302"/>
      <c r="M1219" s="302"/>
      <c r="N1219" s="302"/>
    </row>
    <row r="1220" spans="2:14" ht="12.75" customHeight="1" thickBot="1" x14ac:dyDescent="0.3">
      <c r="B1220" s="284"/>
      <c r="C1220" s="302"/>
      <c r="D1220" s="302"/>
      <c r="E1220" s="302"/>
      <c r="F1220" s="660" t="str">
        <f>[1]K_Summary!F1210</f>
        <v>Общо HAL</v>
      </c>
      <c r="G1220" s="620"/>
      <c r="H1220" s="302"/>
      <c r="I1220" s="619" t="str">
        <f>[1]K_Summary!I1210</f>
        <v>Предв. разпр. за год. 1 (мин)</v>
      </c>
      <c r="J1220" s="620"/>
      <c r="K1220" s="619" t="str">
        <f>[1]K_Summary!K1210</f>
        <v>Предв. разпр. за год. 1 (макс)</v>
      </c>
      <c r="L1220" s="620"/>
      <c r="M1220" s="619" t="str">
        <f>[1]K_Summary!M1210</f>
        <v>Предв. разпр. за год. 1 (действ.)</v>
      </c>
      <c r="N1220" s="620"/>
    </row>
    <row r="1221" spans="2:14" ht="12.75" customHeight="1" thickBot="1" x14ac:dyDescent="0.3">
      <c r="B1221" s="284"/>
      <c r="C1221" s="302"/>
      <c r="D1221" s="302"/>
      <c r="E1221" s="302"/>
      <c r="F1221" s="621" t="str">
        <f>[1]K_Summary!F1211</f>
        <v/>
      </c>
      <c r="G1221" s="624" t="str">
        <f>[1]K_Summary!G1211</f>
        <v>TJ / година</v>
      </c>
      <c r="H1221" s="302"/>
      <c r="I1221" s="623" t="str">
        <f>[1]K_Summary!I1211</f>
        <v/>
      </c>
      <c r="J1221" s="624" t="str">
        <f>[1]K_Summary!J1211</f>
        <v>Квота за емисии / година</v>
      </c>
      <c r="K1221" s="623" t="str">
        <f>[1]K_Summary!K1211</f>
        <v/>
      </c>
      <c r="L1221" s="624" t="str">
        <f>[1]K_Summary!L1211</f>
        <v>Квота за емисии / година</v>
      </c>
      <c r="M1221" s="623" t="str">
        <f>[1]K_Summary!M1211</f>
        <v/>
      </c>
      <c r="N1221" s="624" t="str">
        <f>[1]K_Summary!N1211</f>
        <v>Квота за емисии / година</v>
      </c>
    </row>
    <row r="1222" spans="2:14" ht="12.75" customHeight="1" x14ac:dyDescent="0.25">
      <c r="B1222" s="284"/>
      <c r="C1222" s="302"/>
      <c r="D1222" s="302"/>
      <c r="E1222" s="302"/>
      <c r="F1222" s="302"/>
      <c r="G1222" s="302"/>
      <c r="H1222" s="302"/>
      <c r="I1222" s="302"/>
      <c r="J1222" s="302"/>
      <c r="K1222" s="302"/>
      <c r="L1222" s="302"/>
      <c r="M1222" s="302"/>
      <c r="N1222" s="302"/>
    </row>
    <row r="1223" spans="2:14" ht="12.75" customHeight="1" x14ac:dyDescent="0.25">
      <c r="B1223" s="284"/>
      <c r="C1223" s="302"/>
      <c r="D1223" s="302"/>
      <c r="E1223" s="625"/>
      <c r="F1223" s="626"/>
      <c r="G1223" s="626"/>
      <c r="H1223" s="626"/>
      <c r="I1223" s="626"/>
      <c r="J1223" s="626"/>
      <c r="K1223" s="626"/>
      <c r="L1223" s="626"/>
      <c r="M1223" s="626"/>
      <c r="N1223" s="626"/>
    </row>
    <row r="1224" spans="2:14" ht="12.75" customHeight="1" thickBot="1" x14ac:dyDescent="0.3">
      <c r="B1224" s="284"/>
      <c r="C1224" s="302"/>
      <c r="D1224" s="302"/>
      <c r="E1224" s="625"/>
      <c r="F1224" s="626"/>
      <c r="G1224" s="626"/>
      <c r="H1224" s="627" t="str">
        <f>[1]K_Summary!H1214</f>
        <v>Единица мярка</v>
      </c>
      <c r="I1224" s="628">
        <f>[1]K_Summary!I1214</f>
        <v>2019</v>
      </c>
      <c r="J1224" s="629">
        <f>[1]K_Summary!J1214</f>
        <v>2020</v>
      </c>
      <c r="K1224" s="629">
        <f>[1]K_Summary!K1214</f>
        <v>2021</v>
      </c>
      <c r="L1224" s="629">
        <f>[1]K_Summary!L1214</f>
        <v>2022</v>
      </c>
      <c r="M1224" s="629">
        <f>[1]K_Summary!M1214</f>
        <v>2023</v>
      </c>
      <c r="N1224" s="626"/>
    </row>
    <row r="1225" spans="2:14" ht="12.75" customHeight="1" thickBot="1" x14ac:dyDescent="0.3">
      <c r="B1225" s="284"/>
      <c r="C1225" s="302"/>
      <c r="D1225" s="302"/>
      <c r="E1225" s="630" t="str">
        <f>[1]K_Summary!E1215</f>
        <v>Общо произведена топлинна енергия</v>
      </c>
      <c r="F1225" s="630"/>
      <c r="G1225" s="630"/>
      <c r="H1225" s="631" t="str">
        <f>[1]K_Summary!H1215</f>
        <v>TJ / година</v>
      </c>
      <c r="I1225" s="661" t="str">
        <f>[1]K_Summary!I1215</f>
        <v/>
      </c>
      <c r="J1225" s="662" t="str">
        <f>[1]K_Summary!J1215</f>
        <v/>
      </c>
      <c r="K1225" s="662" t="str">
        <f>[1]K_Summary!K1215</f>
        <v/>
      </c>
      <c r="L1225" s="662" t="str">
        <f>[1]K_Summary!L1215</f>
        <v/>
      </c>
      <c r="M1225" s="663" t="str">
        <f>[1]K_Summary!M1215</f>
        <v/>
      </c>
      <c r="N1225" s="626"/>
    </row>
    <row r="1226" spans="2:14" ht="12.75" customHeight="1" x14ac:dyDescent="0.25">
      <c r="B1226" s="284"/>
      <c r="C1226" s="302"/>
      <c r="D1226" s="302"/>
      <c r="E1226" s="641" t="str">
        <f>[1]K_Summary!E1216</f>
        <v>Топлинна енергия, произведена от електроенергия</v>
      </c>
      <c r="F1226" s="641"/>
      <c r="G1226" s="641"/>
      <c r="H1226" s="664" t="str">
        <f>[1]K_Summary!H1216</f>
        <v>TJ / година</v>
      </c>
      <c r="I1226" s="665" t="str">
        <f>[1]K_Summary!I1216</f>
        <v/>
      </c>
      <c r="J1226" s="665" t="str">
        <f>[1]K_Summary!J1216</f>
        <v/>
      </c>
      <c r="K1226" s="665" t="str">
        <f>[1]K_Summary!K1216</f>
        <v/>
      </c>
      <c r="L1226" s="665" t="str">
        <f>[1]K_Summary!L1216</f>
        <v/>
      </c>
      <c r="M1226" s="665" t="str">
        <f>[1]K_Summary!M1216</f>
        <v/>
      </c>
      <c r="N1226" s="626"/>
    </row>
    <row r="1227" spans="2:14" ht="12.75" customHeight="1" thickBot="1" x14ac:dyDescent="0.3">
      <c r="B1227" s="284"/>
      <c r="C1227" s="302"/>
      <c r="D1227" s="302"/>
      <c r="E1227" s="625"/>
      <c r="F1227" s="625"/>
      <c r="G1227" s="625"/>
      <c r="H1227" s="625"/>
      <c r="I1227" s="640"/>
      <c r="J1227" s="640"/>
      <c r="K1227" s="640"/>
      <c r="L1227" s="640"/>
      <c r="M1227" s="640"/>
      <c r="N1227" s="626"/>
    </row>
    <row r="1228" spans="2:14" ht="12.75" customHeight="1" thickBot="1" x14ac:dyDescent="0.3">
      <c r="B1228" s="284"/>
      <c r="C1228" s="302"/>
      <c r="D1228" s="302"/>
      <c r="E1228" s="630" t="str">
        <f>[1]K_Summary!E1218</f>
        <v>Общо зададени емисии</v>
      </c>
      <c r="F1228" s="630"/>
      <c r="G1228" s="630"/>
      <c r="H1228" s="631" t="str">
        <f>[1]K_Summary!H1218</f>
        <v>t CO2e/година</v>
      </c>
      <c r="I1228" s="661" t="str">
        <f>[1]K_Summary!I1218</f>
        <v/>
      </c>
      <c r="J1228" s="662" t="str">
        <f>[1]K_Summary!J1218</f>
        <v/>
      </c>
      <c r="K1228" s="662" t="str">
        <f>[1]K_Summary!K1218</f>
        <v/>
      </c>
      <c r="L1228" s="662" t="str">
        <f>[1]K_Summary!L1218</f>
        <v/>
      </c>
      <c r="M1228" s="663" t="str">
        <f>[1]K_Summary!M1218</f>
        <v/>
      </c>
      <c r="N1228" s="626"/>
    </row>
    <row r="1229" spans="2:14" ht="12.75" customHeight="1" x14ac:dyDescent="0.25">
      <c r="B1229" s="284"/>
      <c r="C1229" s="302"/>
      <c r="D1229" s="302"/>
      <c r="E1229" s="625"/>
      <c r="F1229" s="625"/>
      <c r="G1229" s="625"/>
      <c r="H1229" s="625"/>
      <c r="I1229" s="635"/>
      <c r="J1229" s="635"/>
      <c r="K1229" s="635"/>
      <c r="L1229" s="635"/>
      <c r="M1229" s="635"/>
      <c r="N1229" s="625"/>
    </row>
    <row r="1230" spans="2:14" ht="12.75" customHeight="1" x14ac:dyDescent="0.25">
      <c r="B1230" s="284"/>
      <c r="C1230" s="302"/>
      <c r="D1230" s="302"/>
      <c r="E1230" s="636" t="str">
        <f>[1]K_Summary!E1220</f>
        <v>Вложени горива</v>
      </c>
      <c r="F1230" s="636"/>
      <c r="G1230" s="636"/>
      <c r="H1230" s="637" t="str">
        <f>[1]K_Summary!H1220</f>
        <v>TJ / година</v>
      </c>
      <c r="I1230" s="482" t="str">
        <f>[1]K_Summary!I1220</f>
        <v/>
      </c>
      <c r="J1230" s="482" t="str">
        <f>[1]K_Summary!J1220</f>
        <v/>
      </c>
      <c r="K1230" s="482" t="str">
        <f>[1]K_Summary!K1220</f>
        <v/>
      </c>
      <c r="L1230" s="482" t="str">
        <f>[1]K_Summary!L1220</f>
        <v/>
      </c>
      <c r="M1230" s="482" t="str">
        <f>[1]K_Summary!M1220</f>
        <v/>
      </c>
      <c r="N1230" s="626"/>
    </row>
    <row r="1231" spans="2:14" ht="12.75" customHeight="1" x14ac:dyDescent="0.25">
      <c r="B1231" s="284"/>
      <c r="C1231" s="302"/>
      <c r="D1231" s="302"/>
      <c r="E1231" s="638" t="str">
        <f>[1]K_Summary!E1221</f>
        <v>Претеглен емисионен фактор</v>
      </c>
      <c r="F1231" s="638"/>
      <c r="G1231" s="638"/>
      <c r="H1231" s="639" t="str">
        <f>[1]K_Summary!H1221</f>
        <v>t CO2 / TJ</v>
      </c>
      <c r="I1231" s="484" t="str">
        <f>[1]K_Summary!I1221</f>
        <v/>
      </c>
      <c r="J1231" s="484" t="str">
        <f>[1]K_Summary!J1221</f>
        <v/>
      </c>
      <c r="K1231" s="484" t="str">
        <f>[1]K_Summary!K1221</f>
        <v/>
      </c>
      <c r="L1231" s="484" t="str">
        <f>[1]K_Summary!L1221</f>
        <v/>
      </c>
      <c r="M1231" s="484" t="str">
        <f>[1]K_Summary!M1221</f>
        <v/>
      </c>
      <c r="N1231" s="626"/>
    </row>
    <row r="1232" spans="2:14" ht="12.75" customHeight="1" x14ac:dyDescent="0.25">
      <c r="B1232" s="284"/>
      <c r="C1232" s="302"/>
      <c r="D1232" s="302"/>
      <c r="E1232" s="636" t="str">
        <f>[1]K_Summary!E1222</f>
        <v>Вложени горива от отпадъчни газове</v>
      </c>
      <c r="F1232" s="636"/>
      <c r="G1232" s="636"/>
      <c r="H1232" s="637" t="str">
        <f>[1]K_Summary!H1222</f>
        <v>TJ / година</v>
      </c>
      <c r="I1232" s="482" t="str">
        <f>[1]K_Summary!I1222</f>
        <v/>
      </c>
      <c r="J1232" s="482" t="str">
        <f>[1]K_Summary!J1222</f>
        <v/>
      </c>
      <c r="K1232" s="482" t="str">
        <f>[1]K_Summary!K1222</f>
        <v/>
      </c>
      <c r="L1232" s="482" t="str">
        <f>[1]K_Summary!L1222</f>
        <v/>
      </c>
      <c r="M1232" s="482" t="str">
        <f>[1]K_Summary!M1222</f>
        <v/>
      </c>
      <c r="N1232" s="626"/>
    </row>
    <row r="1233" spans="2:14" ht="12.75" customHeight="1" x14ac:dyDescent="0.25">
      <c r="B1233" s="284"/>
      <c r="C1233" s="302"/>
      <c r="D1233" s="302"/>
      <c r="E1233" s="638" t="str">
        <f>[1]K_Summary!E1223</f>
        <v>Претеглен емисионен фактор</v>
      </c>
      <c r="F1233" s="638"/>
      <c r="G1233" s="638"/>
      <c r="H1233" s="639" t="str">
        <f>[1]K_Summary!H1223</f>
        <v>t CO2 / TJ</v>
      </c>
      <c r="I1233" s="484" t="str">
        <f>[1]K_Summary!I1223</f>
        <v/>
      </c>
      <c r="J1233" s="484" t="str">
        <f>[1]K_Summary!J1223</f>
        <v/>
      </c>
      <c r="K1233" s="484" t="str">
        <f>[1]K_Summary!K1223</f>
        <v/>
      </c>
      <c r="L1233" s="484" t="str">
        <f>[1]K_Summary!L1223</f>
        <v/>
      </c>
      <c r="M1233" s="484" t="str">
        <f>[1]K_Summary!M1223</f>
        <v/>
      </c>
      <c r="N1233" s="626"/>
    </row>
    <row r="1234" spans="2:14" ht="12.75" customHeight="1" x14ac:dyDescent="0.25">
      <c r="B1234" s="284"/>
      <c r="C1234" s="302"/>
      <c r="D1234" s="302"/>
      <c r="E1234" s="636" t="str">
        <f>[1]K_Summary!E1224</f>
        <v>Вложена електроенергия за производството на топлинна енергия</v>
      </c>
      <c r="F1234" s="636"/>
      <c r="G1234" s="636"/>
      <c r="H1234" s="637" t="str">
        <f>[1]K_Summary!H1224</f>
        <v>TJ / година</v>
      </c>
      <c r="I1234" s="482" t="str">
        <f>[1]K_Summary!I1224</f>
        <v/>
      </c>
      <c r="J1234" s="482" t="str">
        <f>[1]K_Summary!J1224</f>
        <v/>
      </c>
      <c r="K1234" s="482" t="str">
        <f>[1]K_Summary!K1224</f>
        <v/>
      </c>
      <c r="L1234" s="482" t="str">
        <f>[1]K_Summary!L1224</f>
        <v/>
      </c>
      <c r="M1234" s="482" t="str">
        <f>[1]K_Summary!M1224</f>
        <v/>
      </c>
      <c r="N1234" s="626"/>
    </row>
    <row r="1235" spans="2:14" ht="12.75" customHeight="1" x14ac:dyDescent="0.25">
      <c r="B1235" s="284"/>
      <c r="C1235" s="302"/>
      <c r="D1235" s="302"/>
      <c r="E1235" s="638" t="str">
        <f>[1]K_Summary!E1225</f>
        <v>Претеглен емисионен фактор</v>
      </c>
      <c r="F1235" s="638"/>
      <c r="G1235" s="638"/>
      <c r="H1235" s="639" t="str">
        <f>[1]K_Summary!H1225</f>
        <v>t CO2 / TJ</v>
      </c>
      <c r="I1235" s="484" t="str">
        <f>[1]K_Summary!I1225</f>
        <v/>
      </c>
      <c r="J1235" s="484" t="str">
        <f>[1]K_Summary!J1225</f>
        <v/>
      </c>
      <c r="K1235" s="484" t="str">
        <f>[1]K_Summary!K1225</f>
        <v/>
      </c>
      <c r="L1235" s="484" t="str">
        <f>[1]K_Summary!L1225</f>
        <v/>
      </c>
      <c r="M1235" s="484" t="str">
        <f>[1]K_Summary!M1225</f>
        <v/>
      </c>
      <c r="N1235" s="626"/>
    </row>
    <row r="1236" spans="2:14" ht="12.75" customHeight="1" x14ac:dyDescent="0.25">
      <c r="B1236" s="284"/>
      <c r="C1236" s="302"/>
      <c r="D1236" s="302"/>
      <c r="E1236" s="636" t="str">
        <f>[1]K_Summary!E1226</f>
        <v>Друга вложена енергия (например екзотермична топлина)</v>
      </c>
      <c r="F1236" s="636"/>
      <c r="G1236" s="636"/>
      <c r="H1236" s="637" t="str">
        <f>[1]K_Summary!H1226</f>
        <v>TJ / година</v>
      </c>
      <c r="I1236" s="482" t="str">
        <f>[1]K_Summary!I1226</f>
        <v/>
      </c>
      <c r="J1236" s="482" t="str">
        <f>[1]K_Summary!J1226</f>
        <v/>
      </c>
      <c r="K1236" s="482" t="str">
        <f>[1]K_Summary!K1226</f>
        <v/>
      </c>
      <c r="L1236" s="482" t="str">
        <f>[1]K_Summary!L1226</f>
        <v/>
      </c>
      <c r="M1236" s="482" t="str">
        <f>[1]K_Summary!M1226</f>
        <v/>
      </c>
      <c r="N1236" s="626"/>
    </row>
    <row r="1237" spans="2:14" ht="12.75" customHeight="1" x14ac:dyDescent="0.25">
      <c r="B1237" s="284"/>
      <c r="C1237" s="302"/>
      <c r="D1237" s="302"/>
      <c r="E1237" s="638" t="str">
        <f>[1]K_Summary!E1227</f>
        <v>Претеглен емисионен фактор</v>
      </c>
      <c r="F1237" s="638"/>
      <c r="G1237" s="638"/>
      <c r="H1237" s="639" t="str">
        <f>[1]K_Summary!H1227</f>
        <v>t CO2 / TJ</v>
      </c>
      <c r="I1237" s="484" t="str">
        <f>[1]K_Summary!I1227</f>
        <v/>
      </c>
      <c r="J1237" s="484" t="str">
        <f>[1]K_Summary!J1227</f>
        <v/>
      </c>
      <c r="K1237" s="484" t="str">
        <f>[1]K_Summary!K1227</f>
        <v/>
      </c>
      <c r="L1237" s="484" t="str">
        <f>[1]K_Summary!L1227</f>
        <v/>
      </c>
      <c r="M1237" s="484" t="str">
        <f>[1]K_Summary!M1227</f>
        <v/>
      </c>
      <c r="N1237" s="626"/>
    </row>
    <row r="1238" spans="2:14" ht="12.75" customHeight="1" x14ac:dyDescent="0.25">
      <c r="B1238" s="284"/>
      <c r="C1238" s="302"/>
      <c r="D1238" s="302"/>
      <c r="E1238" s="641" t="str">
        <f>[1]K_Summary!E1228</f>
        <v>Обща вложена енергия (= i. + v. + vii.)</v>
      </c>
      <c r="F1238" s="641"/>
      <c r="G1238" s="641"/>
      <c r="H1238" s="642" t="str">
        <f>[1]K_Summary!H1228</f>
        <v>TJ / година</v>
      </c>
      <c r="I1238" s="480" t="str">
        <f>[1]K_Summary!I1228</f>
        <v/>
      </c>
      <c r="J1238" s="480" t="str">
        <f>[1]K_Summary!J1228</f>
        <v/>
      </c>
      <c r="K1238" s="480" t="str">
        <f>[1]K_Summary!K1228</f>
        <v/>
      </c>
      <c r="L1238" s="480" t="str">
        <f>[1]K_Summary!L1228</f>
        <v/>
      </c>
      <c r="M1238" s="480" t="str">
        <f>[1]K_Summary!M1228</f>
        <v/>
      </c>
      <c r="N1238" s="626"/>
    </row>
    <row r="1239" spans="2:14" ht="12.75" customHeight="1" x14ac:dyDescent="0.25">
      <c r="B1239" s="284"/>
      <c r="C1239" s="302"/>
      <c r="D1239" s="302"/>
      <c r="E1239" s="625"/>
      <c r="F1239" s="626"/>
      <c r="G1239" s="626"/>
      <c r="H1239" s="626"/>
      <c r="I1239" s="640"/>
      <c r="J1239" s="640"/>
      <c r="K1239" s="640"/>
      <c r="L1239" s="640"/>
      <c r="M1239" s="640"/>
      <c r="N1239" s="626"/>
    </row>
    <row r="1240" spans="2:14" ht="12.75" customHeight="1" x14ac:dyDescent="0.25">
      <c r="B1240" s="284"/>
      <c r="C1240" s="302"/>
      <c r="D1240" s="302"/>
      <c r="E1240" s="641" t="str">
        <f>[1]K_Summary!E1230</f>
        <v>Преки емисии</v>
      </c>
      <c r="F1240" s="641"/>
      <c r="G1240" s="641"/>
      <c r="H1240" s="642" t="str">
        <f>[1]K_Summary!H1230</f>
        <v>t CO2 / година</v>
      </c>
      <c r="I1240" s="480" t="str">
        <f>[1]K_Summary!I1230</f>
        <v/>
      </c>
      <c r="J1240" s="480" t="str">
        <f>[1]K_Summary!J1230</f>
        <v/>
      </c>
      <c r="K1240" s="480" t="str">
        <f>[1]K_Summary!K1230</f>
        <v/>
      </c>
      <c r="L1240" s="480" t="str">
        <f>[1]K_Summary!L1230</f>
        <v/>
      </c>
      <c r="M1240" s="480" t="str">
        <f>[1]K_Summary!M1230</f>
        <v/>
      </c>
      <c r="N1240" s="626"/>
    </row>
    <row r="1241" spans="2:14" ht="12.75" customHeight="1" x14ac:dyDescent="0.25">
      <c r="B1241" s="284"/>
      <c r="C1241" s="302"/>
      <c r="D1241" s="302"/>
      <c r="E1241" s="625"/>
      <c r="F1241" s="625"/>
      <c r="G1241" s="625"/>
      <c r="H1241" s="625"/>
      <c r="I1241" s="640"/>
      <c r="J1241" s="640"/>
      <c r="K1241" s="640"/>
      <c r="L1241" s="640"/>
      <c r="M1241" s="640"/>
      <c r="N1241" s="626"/>
    </row>
    <row r="1242" spans="2:14" ht="12.75" customHeight="1" x14ac:dyDescent="0.25">
      <c r="B1242" s="284"/>
      <c r="C1242" s="302"/>
      <c r="D1242" s="302"/>
      <c r="E1242" s="636" t="str">
        <f>[1]K_Summary!E1232</f>
        <v>Нетно к-во получена топлинна енергия (други)</v>
      </c>
      <c r="F1242" s="636"/>
      <c r="G1242" s="636"/>
      <c r="H1242" s="637" t="str">
        <f>[1]K_Summary!H1232</f>
        <v>TJ / година</v>
      </c>
      <c r="I1242" s="482" t="str">
        <f>[1]K_Summary!I1232</f>
        <v/>
      </c>
      <c r="J1242" s="482" t="str">
        <f>[1]K_Summary!J1232</f>
        <v/>
      </c>
      <c r="K1242" s="482" t="str">
        <f>[1]K_Summary!K1232</f>
        <v/>
      </c>
      <c r="L1242" s="482" t="str">
        <f>[1]K_Summary!L1232</f>
        <v/>
      </c>
      <c r="M1242" s="482" t="str">
        <f>[1]K_Summary!M1232</f>
        <v/>
      </c>
      <c r="N1242" s="626"/>
    </row>
    <row r="1243" spans="2:14" ht="12.75" customHeight="1" x14ac:dyDescent="0.25">
      <c r="B1243" s="284"/>
      <c r="C1243" s="302"/>
      <c r="D1243" s="302"/>
      <c r="E1243" s="638" t="str">
        <f>[1]K_Summary!E1233</f>
        <v>Специфичен EF (получена топлинна енергия)</v>
      </c>
      <c r="F1243" s="638"/>
      <c r="G1243" s="638"/>
      <c r="H1243" s="639" t="str">
        <f>[1]K_Summary!H1233</f>
        <v>t CO2 / TJ</v>
      </c>
      <c r="I1243" s="484" t="str">
        <f>[1]K_Summary!I1233</f>
        <v/>
      </c>
      <c r="J1243" s="484" t="str">
        <f>[1]K_Summary!J1233</f>
        <v/>
      </c>
      <c r="K1243" s="484" t="str">
        <f>[1]K_Summary!K1233</f>
        <v/>
      </c>
      <c r="L1243" s="484" t="str">
        <f>[1]K_Summary!L1233</f>
        <v/>
      </c>
      <c r="M1243" s="484" t="str">
        <f>[1]K_Summary!M1233</f>
        <v/>
      </c>
      <c r="N1243" s="626"/>
    </row>
    <row r="1244" spans="2:14" ht="12.75" customHeight="1" x14ac:dyDescent="0.25">
      <c r="B1244" s="284"/>
      <c r="C1244" s="302"/>
      <c r="D1244" s="302"/>
      <c r="E1244" s="636" t="str">
        <f>[1]K_Summary!E1234</f>
        <v>Нетно к-во получена топлинна енергия (прод. п-л)</v>
      </c>
      <c r="F1244" s="636"/>
      <c r="G1244" s="636"/>
      <c r="H1244" s="637" t="str">
        <f>[1]K_Summary!H1234</f>
        <v>TJ / година</v>
      </c>
      <c r="I1244" s="482" t="str">
        <f>[1]K_Summary!I1234</f>
        <v/>
      </c>
      <c r="J1244" s="482" t="str">
        <f>[1]K_Summary!J1234</f>
        <v/>
      </c>
      <c r="K1244" s="482" t="str">
        <f>[1]K_Summary!K1234</f>
        <v/>
      </c>
      <c r="L1244" s="482" t="str">
        <f>[1]K_Summary!L1234</f>
        <v/>
      </c>
      <c r="M1244" s="482" t="str">
        <f>[1]K_Summary!M1234</f>
        <v/>
      </c>
      <c r="N1244" s="626"/>
    </row>
    <row r="1245" spans="2:14" ht="12.75" customHeight="1" x14ac:dyDescent="0.25">
      <c r="B1245" s="284"/>
      <c r="C1245" s="302"/>
      <c r="D1245" s="302"/>
      <c r="E1245" s="638" t="str">
        <f>[1]K_Summary!E1235</f>
        <v>Специфичен EF (от продуктов показател)</v>
      </c>
      <c r="F1245" s="638"/>
      <c r="G1245" s="638"/>
      <c r="H1245" s="639" t="str">
        <f>[1]K_Summary!H1235</f>
        <v>t CO2 / TJ</v>
      </c>
      <c r="I1245" s="484" t="str">
        <f>[1]K_Summary!I1235</f>
        <v/>
      </c>
      <c r="J1245" s="484" t="str">
        <f>[1]K_Summary!J1235</f>
        <v/>
      </c>
      <c r="K1245" s="484" t="str">
        <f>[1]K_Summary!K1235</f>
        <v/>
      </c>
      <c r="L1245" s="484" t="str">
        <f>[1]K_Summary!L1235</f>
        <v/>
      </c>
      <c r="M1245" s="484" t="str">
        <f>[1]K_Summary!M1235</f>
        <v/>
      </c>
      <c r="N1245" s="626"/>
    </row>
    <row r="1246" spans="2:14" ht="12.75" customHeight="1" x14ac:dyDescent="0.25">
      <c r="B1246" s="284"/>
      <c r="C1246" s="302"/>
      <c r="D1246" s="302"/>
      <c r="E1246" s="636" t="str">
        <f>[1]K_Summary!E1236</f>
        <v>Нетно к-во получена топлинна енергия (пулп)</v>
      </c>
      <c r="F1246" s="636"/>
      <c r="G1246" s="636"/>
      <c r="H1246" s="637" t="str">
        <f>[1]K_Summary!H1236</f>
        <v>TJ / година</v>
      </c>
      <c r="I1246" s="482" t="str">
        <f>[1]K_Summary!I1236</f>
        <v/>
      </c>
      <c r="J1246" s="482" t="str">
        <f>[1]K_Summary!J1236</f>
        <v/>
      </c>
      <c r="K1246" s="482" t="str">
        <f>[1]K_Summary!K1236</f>
        <v/>
      </c>
      <c r="L1246" s="482" t="str">
        <f>[1]K_Summary!L1236</f>
        <v/>
      </c>
      <c r="M1246" s="482" t="str">
        <f>[1]K_Summary!M1236</f>
        <v/>
      </c>
      <c r="N1246" s="626"/>
    </row>
    <row r="1247" spans="2:14" ht="12.75" customHeight="1" x14ac:dyDescent="0.25">
      <c r="B1247" s="284"/>
      <c r="C1247" s="302"/>
      <c r="D1247" s="302"/>
      <c r="E1247" s="638" t="str">
        <f>[1]K_Summary!E1237</f>
        <v>Специфичен EF (от пулп)</v>
      </c>
      <c r="F1247" s="638"/>
      <c r="G1247" s="638"/>
      <c r="H1247" s="639" t="str">
        <f>[1]K_Summary!H1237</f>
        <v>t CO2 / TJ</v>
      </c>
      <c r="I1247" s="484" t="str">
        <f>[1]K_Summary!I1237</f>
        <v/>
      </c>
      <c r="J1247" s="484" t="str">
        <f>[1]K_Summary!J1237</f>
        <v/>
      </c>
      <c r="K1247" s="484" t="str">
        <f>[1]K_Summary!K1237</f>
        <v/>
      </c>
      <c r="L1247" s="484" t="str">
        <f>[1]K_Summary!L1237</f>
        <v/>
      </c>
      <c r="M1247" s="484" t="str">
        <f>[1]K_Summary!M1237</f>
        <v/>
      </c>
      <c r="N1247" s="626"/>
    </row>
    <row r="1248" spans="2:14" ht="12.75" customHeight="1" x14ac:dyDescent="0.25">
      <c r="B1248" s="284"/>
      <c r="C1248" s="302"/>
      <c r="D1248" s="302"/>
      <c r="E1248" s="636" t="str">
        <f>[1]K_Summary!E1238</f>
        <v>Нетно к-во получена топлинна енергия (горивен п-л)</v>
      </c>
      <c r="F1248" s="636"/>
      <c r="G1248" s="636"/>
      <c r="H1248" s="637" t="str">
        <f>[1]K_Summary!H1238</f>
        <v>TJ / година</v>
      </c>
      <c r="I1248" s="482" t="str">
        <f>[1]K_Summary!I1238</f>
        <v/>
      </c>
      <c r="J1248" s="482" t="str">
        <f>[1]K_Summary!J1238</f>
        <v/>
      </c>
      <c r="K1248" s="482" t="str">
        <f>[1]K_Summary!K1238</f>
        <v/>
      </c>
      <c r="L1248" s="482" t="str">
        <f>[1]K_Summary!L1238</f>
        <v/>
      </c>
      <c r="M1248" s="482" t="str">
        <f>[1]K_Summary!M1238</f>
        <v/>
      </c>
      <c r="N1248" s="626"/>
    </row>
    <row r="1249" spans="2:14" ht="12.75" customHeight="1" x14ac:dyDescent="0.25">
      <c r="B1249" s="284"/>
      <c r="C1249" s="302"/>
      <c r="D1249" s="302"/>
      <c r="E1249" s="638" t="str">
        <f>[1]K_Summary!E1239</f>
        <v>Специфичен EF (от горивен показател)</v>
      </c>
      <c r="F1249" s="638"/>
      <c r="G1249" s="638"/>
      <c r="H1249" s="639" t="str">
        <f>[1]K_Summary!H1239</f>
        <v>t CO2 / TJ</v>
      </c>
      <c r="I1249" s="484" t="str">
        <f>[1]K_Summary!I1239</f>
        <v/>
      </c>
      <c r="J1249" s="484" t="str">
        <f>[1]K_Summary!J1239</f>
        <v/>
      </c>
      <c r="K1249" s="484" t="str">
        <f>[1]K_Summary!K1239</f>
        <v/>
      </c>
      <c r="L1249" s="484" t="str">
        <f>[1]K_Summary!L1239</f>
        <v/>
      </c>
      <c r="M1249" s="484" t="str">
        <f>[1]K_Summary!M1239</f>
        <v/>
      </c>
      <c r="N1249" s="626"/>
    </row>
    <row r="1250" spans="2:14" ht="12.75" customHeight="1" x14ac:dyDescent="0.25">
      <c r="B1250" s="284"/>
      <c r="C1250" s="302"/>
      <c r="D1250" s="302"/>
      <c r="E1250" s="636" t="str">
        <f>[1]K_Summary!E1240</f>
        <v>Нетно к-во получена топлинна енергия (отпадъчни газове)</v>
      </c>
      <c r="F1250" s="636"/>
      <c r="G1250" s="636"/>
      <c r="H1250" s="637" t="str">
        <f>[1]K_Summary!H1240</f>
        <v>TJ / година</v>
      </c>
      <c r="I1250" s="482" t="str">
        <f>[1]K_Summary!I1240</f>
        <v/>
      </c>
      <c r="J1250" s="482" t="str">
        <f>[1]K_Summary!J1240</f>
        <v/>
      </c>
      <c r="K1250" s="482" t="str">
        <f>[1]K_Summary!K1240</f>
        <v/>
      </c>
      <c r="L1250" s="482" t="str">
        <f>[1]K_Summary!L1240</f>
        <v/>
      </c>
      <c r="M1250" s="482" t="str">
        <f>[1]K_Summary!M1240</f>
        <v/>
      </c>
      <c r="N1250" s="626"/>
    </row>
    <row r="1251" spans="2:14" ht="12.75" customHeight="1" x14ac:dyDescent="0.25">
      <c r="B1251" s="284"/>
      <c r="C1251" s="302"/>
      <c r="D1251" s="302"/>
      <c r="E1251" s="638" t="str">
        <f>[1]K_Summary!E1241</f>
        <v>Специфичен EF (от отпадъчен газ)</v>
      </c>
      <c r="F1251" s="638"/>
      <c r="G1251" s="638"/>
      <c r="H1251" s="639" t="str">
        <f>[1]K_Summary!H1241</f>
        <v>t CO2 / TJ</v>
      </c>
      <c r="I1251" s="484" t="str">
        <f>[1]K_Summary!I1241</f>
        <v/>
      </c>
      <c r="J1251" s="484" t="str">
        <f>[1]K_Summary!J1241</f>
        <v/>
      </c>
      <c r="K1251" s="484" t="str">
        <f>[1]K_Summary!K1241</f>
        <v/>
      </c>
      <c r="L1251" s="484" t="str">
        <f>[1]K_Summary!L1241</f>
        <v/>
      </c>
      <c r="M1251" s="484" t="str">
        <f>[1]K_Summary!M1241</f>
        <v/>
      </c>
      <c r="N1251" s="626"/>
    </row>
    <row r="1252" spans="2:14" ht="12.75" customHeight="1" x14ac:dyDescent="0.25">
      <c r="B1252" s="284"/>
      <c r="C1252" s="302"/>
      <c r="D1252" s="302"/>
      <c r="E1252" s="626"/>
      <c r="F1252" s="626"/>
      <c r="G1252" s="626"/>
      <c r="H1252" s="626"/>
      <c r="I1252" s="626"/>
      <c r="J1252" s="626"/>
      <c r="K1252" s="626"/>
      <c r="L1252" s="626"/>
      <c r="M1252" s="626"/>
      <c r="N1252" s="626"/>
    </row>
    <row r="1253" spans="2:14" ht="12.75" customHeight="1" thickBot="1" x14ac:dyDescent="0.3">
      <c r="B1253" s="284"/>
      <c r="C1253" s="302"/>
      <c r="D1253" s="302"/>
      <c r="E1253" s="302"/>
      <c r="F1253" s="302"/>
      <c r="G1253" s="302"/>
      <c r="H1253" s="364"/>
      <c r="I1253" s="364"/>
      <c r="J1253" s="364"/>
      <c r="K1253" s="364"/>
      <c r="L1253" s="364"/>
      <c r="M1253" s="302"/>
      <c r="N1253" s="302"/>
    </row>
    <row r="1254" spans="2:14" ht="12.75" customHeight="1" thickBot="1" x14ac:dyDescent="0.3">
      <c r="B1254" s="284"/>
      <c r="C1254" s="581"/>
      <c r="D1254" s="581"/>
      <c r="E1254" s="581"/>
      <c r="F1254" s="581"/>
      <c r="G1254" s="581"/>
      <c r="H1254" s="581"/>
      <c r="I1254" s="581"/>
      <c r="J1254" s="581"/>
      <c r="K1254" s="581"/>
      <c r="L1254" s="581"/>
      <c r="M1254" s="581"/>
      <c r="N1254" s="581"/>
    </row>
    <row r="1255" spans="2:14" ht="12.75" customHeight="1" thickBot="1" x14ac:dyDescent="0.35">
      <c r="B1255" s="284"/>
      <c r="C1255" s="357">
        <f>[1]K_Summary!C1245</f>
        <v>12</v>
      </c>
      <c r="D1255" s="358" t="str">
        <f>[1]K_Summary!D1245</f>
        <v>Алтернативна подинсталация („Fall-Back sub-installation“) 2:</v>
      </c>
      <c r="E1255" s="359"/>
      <c r="F1255" s="359"/>
      <c r="G1255" s="359"/>
      <c r="H1255" s="497"/>
      <c r="I1255" s="649" t="str">
        <f>[1]K_Summary!I1245</f>
        <v>Подинсталация с топлинен показател (без риск от ИВЕ | извън МКВЕГ)</v>
      </c>
      <c r="J1255" s="650"/>
      <c r="K1255" s="650"/>
      <c r="L1255" s="651"/>
      <c r="M1255" s="652" t="str">
        <f>[1]K_Summary!M1245</f>
        <v/>
      </c>
      <c r="N1255" s="653"/>
    </row>
    <row r="1256" spans="2:14" ht="12.75" customHeight="1" thickBot="1" x14ac:dyDescent="0.3">
      <c r="B1256" s="284"/>
      <c r="C1256" s="302"/>
      <c r="D1256" s="302"/>
      <c r="E1256" s="302"/>
      <c r="F1256" s="302"/>
      <c r="G1256" s="302"/>
      <c r="H1256" s="302"/>
      <c r="I1256" s="302"/>
      <c r="J1256" s="302"/>
      <c r="K1256" s="302"/>
      <c r="L1256" s="302"/>
      <c r="M1256" s="302"/>
      <c r="N1256" s="302"/>
    </row>
    <row r="1257" spans="2:14" ht="12.75" customHeight="1" x14ac:dyDescent="0.25">
      <c r="B1257" s="284"/>
      <c r="C1257" s="302"/>
      <c r="D1257" s="302"/>
      <c r="E1257" s="302"/>
      <c r="F1257" s="302"/>
      <c r="G1257" s="302"/>
      <c r="H1257" s="595" t="str">
        <f>[1]K_Summary!H1247</f>
        <v>Риск от ИВЕ</v>
      </c>
      <c r="I1257" s="595" t="str">
        <f>[1]K_Summary!I1247</f>
        <v>В/Е</v>
      </c>
      <c r="J1257" s="595" t="str">
        <f>[1]K_Summary!J1247</f>
        <v>15(7).3?</v>
      </c>
      <c r="K1257" s="364"/>
      <c r="L1257" s="654" t="str">
        <f>[1]K_Summary!L1247</f>
        <v>№ на п-л</v>
      </c>
      <c r="M1257" s="598" t="str">
        <f>[1]K_Summary!M1247</f>
        <v>Стойност на показател (мин/макс/действ.)</v>
      </c>
      <c r="N1257" s="599"/>
    </row>
    <row r="1258" spans="2:14" ht="12.75" customHeight="1" x14ac:dyDescent="0.25">
      <c r="B1258" s="284"/>
      <c r="C1258" s="302"/>
      <c r="D1258" s="302"/>
      <c r="E1258" s="361" t="str">
        <f>[1]K_Summary!E1248</f>
        <v>Подинсталация с топлинен показател (без риск от ИВЕ | извън МКВЕГ)</v>
      </c>
      <c r="F1258" s="373"/>
      <c r="G1258" s="362"/>
      <c r="H1258" s="600" t="b">
        <f>[1]K_Summary!H1248</f>
        <v>0</v>
      </c>
      <c r="I1258" s="655" t="str">
        <f>[1]K_Summary!I1248</f>
        <v/>
      </c>
      <c r="J1258" s="600" t="str">
        <f>[1]K_Summary!J1248</f>
        <v/>
      </c>
      <c r="K1258" s="364"/>
      <c r="L1258" s="656">
        <f>[1]K_Summary!L1248</f>
        <v>2</v>
      </c>
      <c r="M1258" s="657" t="str">
        <f>[1]K_Summary!M1248</f>
        <v/>
      </c>
      <c r="N1258" s="604" t="str">
        <f>[1]K_Summary!N1248</f>
        <v>Квота за емисии/TJ</v>
      </c>
    </row>
    <row r="1259" spans="2:14" ht="12.75" customHeight="1" x14ac:dyDescent="0.25">
      <c r="B1259" s="284"/>
      <c r="C1259" s="302"/>
      <c r="D1259" s="364"/>
      <c r="E1259" s="364"/>
      <c r="F1259" s="364"/>
      <c r="G1259" s="364"/>
      <c r="H1259" s="595" t="str">
        <f>[1]K_Summary!H1249</f>
        <v>CBAM</v>
      </c>
      <c r="I1259" s="364"/>
      <c r="J1259" s="364"/>
      <c r="K1259" s="364"/>
      <c r="L1259" s="364"/>
      <c r="M1259" s="657" t="str">
        <f>[1]K_Summary!M1249</f>
        <v/>
      </c>
      <c r="N1259" s="604" t="str">
        <f>[1]K_Summary!N1249</f>
        <v>Квота за емисии/TJ</v>
      </c>
    </row>
    <row r="1260" spans="2:14" ht="12.75" customHeight="1" thickBot="1" x14ac:dyDescent="0.3">
      <c r="B1260" s="284"/>
      <c r="C1260" s="302"/>
      <c r="D1260" s="364"/>
      <c r="E1260" s="364"/>
      <c r="F1260" s="364"/>
      <c r="G1260" s="364"/>
      <c r="H1260" s="600" t="b">
        <f>[1]K_Summary!H1250</f>
        <v>0</v>
      </c>
      <c r="I1260" s="364"/>
      <c r="J1260" s="364"/>
      <c r="K1260" s="364"/>
      <c r="L1260" s="364"/>
      <c r="M1260" s="658" t="str">
        <f>[1]K_Summary!M1250</f>
        <v/>
      </c>
      <c r="N1260" s="611" t="str">
        <f>[1]K_Summary!N1250</f>
        <v>Квота за емисии/TJ</v>
      </c>
    </row>
    <row r="1261" spans="2:14" ht="12.75" customHeight="1" x14ac:dyDescent="0.25">
      <c r="B1261" s="284"/>
      <c r="C1261" s="302"/>
      <c r="D1261" s="302"/>
      <c r="E1261" s="302"/>
      <c r="F1261" s="302"/>
      <c r="G1261" s="302"/>
      <c r="H1261" s="302"/>
      <c r="I1261" s="302"/>
      <c r="J1261" s="302"/>
      <c r="K1261" s="302"/>
      <c r="L1261" s="302"/>
      <c r="M1261" s="302"/>
      <c r="N1261" s="302"/>
    </row>
    <row r="1262" spans="2:14" ht="12.75" customHeight="1" x14ac:dyDescent="0.25">
      <c r="B1262" s="284"/>
      <c r="C1262" s="302"/>
      <c r="D1262" s="302"/>
      <c r="E1262" s="498"/>
      <c r="F1262" s="498"/>
      <c r="G1262" s="380"/>
      <c r="H1262" s="595" t="str">
        <f>[1]K_Summary!H1252</f>
        <v>Единица мярка</v>
      </c>
      <c r="I1262" s="387">
        <f>[1]K_Summary!I1252</f>
        <v>2019</v>
      </c>
      <c r="J1262" s="387">
        <f>[1]K_Summary!J1252</f>
        <v>2020</v>
      </c>
      <c r="K1262" s="387">
        <f>[1]K_Summary!K1252</f>
        <v>2021</v>
      </c>
      <c r="L1262" s="387">
        <f>[1]K_Summary!L1252</f>
        <v>2022</v>
      </c>
      <c r="M1262" s="387">
        <f>[1]K_Summary!M1252</f>
        <v>2023</v>
      </c>
      <c r="N1262" s="302"/>
    </row>
    <row r="1263" spans="2:14" ht="12.75" customHeight="1" x14ac:dyDescent="0.25">
      <c r="B1263" s="284"/>
      <c r="C1263" s="302"/>
      <c r="D1263" s="302"/>
      <c r="E1263" s="614" t="str">
        <f>[1]K_Summary!E1253</f>
        <v>Отчетено HAL (историческо равнище на дейност)</v>
      </c>
      <c r="F1263" s="388"/>
      <c r="G1263" s="615"/>
      <c r="H1263" s="600" t="str">
        <f>[1]K_Summary!H1253</f>
        <v>TJ</v>
      </c>
      <c r="I1263" s="406" t="str">
        <f>[1]K_Summary!I1253</f>
        <v/>
      </c>
      <c r="J1263" s="406" t="str">
        <f>[1]K_Summary!J1253</f>
        <v/>
      </c>
      <c r="K1263" s="406" t="str">
        <f>[1]K_Summary!K1253</f>
        <v/>
      </c>
      <c r="L1263" s="406" t="str">
        <f>[1]K_Summary!L1253</f>
        <v/>
      </c>
      <c r="M1263" s="406" t="str">
        <f>[1]K_Summary!M1253</f>
        <v/>
      </c>
      <c r="N1263" s="596" t="str">
        <f>[1]K_Summary!N1253</f>
        <v>Median</v>
      </c>
    </row>
    <row r="1264" spans="2:14" ht="12.75" customHeight="1" x14ac:dyDescent="0.25">
      <c r="B1264" s="284"/>
      <c r="C1264" s="302"/>
      <c r="D1264" s="302"/>
      <c r="E1264" s="614" t="str">
        <f>[1]K_Summary!E1254</f>
        <v>Стойности, използвани за изчислението на HAL:</v>
      </c>
      <c r="F1264" s="388"/>
      <c r="G1264" s="615"/>
      <c r="H1264" s="600" t="str">
        <f>[1]K_Summary!H1254</f>
        <v>TJ</v>
      </c>
      <c r="I1264" s="659" t="str">
        <f>[1]K_Summary!I1254</f>
        <v/>
      </c>
      <c r="J1264" s="659" t="str">
        <f>[1]K_Summary!J1254</f>
        <v/>
      </c>
      <c r="K1264" s="659" t="str">
        <f>[1]K_Summary!K1254</f>
        <v/>
      </c>
      <c r="L1264" s="659" t="str">
        <f>[1]K_Summary!L1254</f>
        <v/>
      </c>
      <c r="M1264" s="659" t="str">
        <f>[1]K_Summary!M1254</f>
        <v/>
      </c>
      <c r="N1264" s="406" t="str">
        <f>[1]K_Summary!N1254</f>
        <v/>
      </c>
    </row>
    <row r="1265" spans="2:14" ht="12.75" customHeight="1" x14ac:dyDescent="0.25">
      <c r="B1265" s="284"/>
      <c r="C1265" s="302"/>
      <c r="D1265" s="302"/>
      <c r="E1265" s="302"/>
      <c r="F1265" s="302"/>
      <c r="G1265" s="302"/>
      <c r="H1265" s="302"/>
      <c r="I1265" s="302"/>
      <c r="J1265" s="302"/>
      <c r="K1265" s="302"/>
      <c r="L1265" s="302"/>
      <c r="M1265" s="302"/>
      <c r="N1265" s="302"/>
    </row>
    <row r="1266" spans="2:14" ht="12.75" customHeight="1" thickBot="1" x14ac:dyDescent="0.3">
      <c r="B1266" s="284"/>
      <c r="C1266" s="302"/>
      <c r="D1266" s="302"/>
      <c r="E1266" s="302"/>
      <c r="F1266" s="660" t="str">
        <f>[1]K_Summary!F1256</f>
        <v>Общо HAL</v>
      </c>
      <c r="G1266" s="620"/>
      <c r="H1266" s="302"/>
      <c r="I1266" s="619" t="str">
        <f>[1]K_Summary!I1256</f>
        <v>Предв. разпр. за год. 1 (мин)</v>
      </c>
      <c r="J1266" s="620"/>
      <c r="K1266" s="619" t="str">
        <f>[1]K_Summary!K1256</f>
        <v>Предв. разпр. за год. 1 (макс)</v>
      </c>
      <c r="L1266" s="620"/>
      <c r="M1266" s="619" t="str">
        <f>[1]K_Summary!M1256</f>
        <v>Предв. разпр. за год. 1 (действ.)</v>
      </c>
      <c r="N1266" s="620"/>
    </row>
    <row r="1267" spans="2:14" ht="12.75" customHeight="1" thickBot="1" x14ac:dyDescent="0.3">
      <c r="B1267" s="284"/>
      <c r="C1267" s="302"/>
      <c r="D1267" s="302"/>
      <c r="E1267" s="302"/>
      <c r="F1267" s="621" t="str">
        <f>[1]K_Summary!F1257</f>
        <v/>
      </c>
      <c r="G1267" s="624" t="str">
        <f>[1]K_Summary!G1257</f>
        <v>TJ / година</v>
      </c>
      <c r="H1267" s="302"/>
      <c r="I1267" s="623" t="str">
        <f>[1]K_Summary!I1257</f>
        <v/>
      </c>
      <c r="J1267" s="624" t="str">
        <f>[1]K_Summary!J1257</f>
        <v>Квота за емисии / година</v>
      </c>
      <c r="K1267" s="623" t="str">
        <f>[1]K_Summary!K1257</f>
        <v/>
      </c>
      <c r="L1267" s="624" t="str">
        <f>[1]K_Summary!L1257</f>
        <v>Квота за емисии / година</v>
      </c>
      <c r="M1267" s="623" t="str">
        <f>[1]K_Summary!M1257</f>
        <v/>
      </c>
      <c r="N1267" s="624" t="str">
        <f>[1]K_Summary!N1257</f>
        <v>Квота за емисии / година</v>
      </c>
    </row>
    <row r="1268" spans="2:14" ht="12.75" customHeight="1" x14ac:dyDescent="0.25">
      <c r="B1268" s="284"/>
      <c r="C1268" s="302"/>
      <c r="D1268" s="302"/>
      <c r="E1268" s="302"/>
      <c r="F1268" s="302"/>
      <c r="G1268" s="302"/>
      <c r="H1268" s="302"/>
      <c r="I1268" s="302"/>
      <c r="J1268" s="302"/>
      <c r="K1268" s="302"/>
      <c r="L1268" s="302"/>
      <c r="M1268" s="302"/>
      <c r="N1268" s="302"/>
    </row>
    <row r="1269" spans="2:14" ht="12.75" customHeight="1" x14ac:dyDescent="0.25">
      <c r="B1269" s="284"/>
      <c r="C1269" s="302"/>
      <c r="D1269" s="302"/>
      <c r="E1269" s="625"/>
      <c r="F1269" s="626"/>
      <c r="G1269" s="626"/>
      <c r="H1269" s="626"/>
      <c r="I1269" s="626"/>
      <c r="J1269" s="626"/>
      <c r="K1269" s="626"/>
      <c r="L1269" s="626"/>
      <c r="M1269" s="626"/>
      <c r="N1269" s="626"/>
    </row>
    <row r="1270" spans="2:14" ht="12.75" customHeight="1" thickBot="1" x14ac:dyDescent="0.3">
      <c r="B1270" s="284"/>
      <c r="C1270" s="302"/>
      <c r="D1270" s="302"/>
      <c r="E1270" s="625"/>
      <c r="F1270" s="626"/>
      <c r="G1270" s="626"/>
      <c r="H1270" s="627" t="str">
        <f>[1]K_Summary!H1260</f>
        <v>Единица мярка</v>
      </c>
      <c r="I1270" s="666">
        <f>[1]K_Summary!I1260</f>
        <v>2019</v>
      </c>
      <c r="J1270" s="667">
        <f>[1]K_Summary!J1260</f>
        <v>2020</v>
      </c>
      <c r="K1270" s="667">
        <f>[1]K_Summary!K1260</f>
        <v>2021</v>
      </c>
      <c r="L1270" s="667">
        <f>[1]K_Summary!L1260</f>
        <v>2022</v>
      </c>
      <c r="M1270" s="667">
        <f>[1]K_Summary!M1260</f>
        <v>2023</v>
      </c>
      <c r="N1270" s="626"/>
    </row>
    <row r="1271" spans="2:14" ht="12.75" customHeight="1" thickBot="1" x14ac:dyDescent="0.3">
      <c r="B1271" s="284"/>
      <c r="C1271" s="302"/>
      <c r="D1271" s="302"/>
      <c r="E1271" s="630" t="str">
        <f>[1]K_Summary!E1261</f>
        <v>Общо произведена топлинна енергия</v>
      </c>
      <c r="F1271" s="630"/>
      <c r="G1271" s="630"/>
      <c r="H1271" s="631" t="str">
        <f>[1]K_Summary!H1261</f>
        <v>TJ / година</v>
      </c>
      <c r="I1271" s="661" t="str">
        <f>[1]K_Summary!I1261</f>
        <v/>
      </c>
      <c r="J1271" s="662" t="str">
        <f>[1]K_Summary!J1261</f>
        <v/>
      </c>
      <c r="K1271" s="662" t="str">
        <f>[1]K_Summary!K1261</f>
        <v/>
      </c>
      <c r="L1271" s="662" t="str">
        <f>[1]K_Summary!L1261</f>
        <v/>
      </c>
      <c r="M1271" s="663" t="str">
        <f>[1]K_Summary!M1261</f>
        <v/>
      </c>
      <c r="N1271" s="626"/>
    </row>
    <row r="1272" spans="2:14" ht="12.75" customHeight="1" x14ac:dyDescent="0.25">
      <c r="B1272" s="284"/>
      <c r="C1272" s="302"/>
      <c r="D1272" s="302"/>
      <c r="E1272" s="641" t="str">
        <f>[1]K_Summary!E1262</f>
        <v>Топлинна енергия, произведена от електроенергия</v>
      </c>
      <c r="F1272" s="641"/>
      <c r="G1272" s="641"/>
      <c r="H1272" s="664" t="str">
        <f>[1]K_Summary!H1262</f>
        <v>TJ / година</v>
      </c>
      <c r="I1272" s="665" t="str">
        <f>[1]K_Summary!I1262</f>
        <v/>
      </c>
      <c r="J1272" s="665" t="str">
        <f>[1]K_Summary!J1262</f>
        <v/>
      </c>
      <c r="K1272" s="665" t="str">
        <f>[1]K_Summary!K1262</f>
        <v/>
      </c>
      <c r="L1272" s="665" t="str">
        <f>[1]K_Summary!L1262</f>
        <v/>
      </c>
      <c r="M1272" s="665" t="str">
        <f>[1]K_Summary!M1262</f>
        <v/>
      </c>
      <c r="N1272" s="626"/>
    </row>
    <row r="1273" spans="2:14" ht="12.75" customHeight="1" thickBot="1" x14ac:dyDescent="0.3">
      <c r="B1273" s="284"/>
      <c r="C1273" s="302"/>
      <c r="D1273" s="302"/>
      <c r="E1273" s="625"/>
      <c r="F1273" s="625"/>
      <c r="G1273" s="625"/>
      <c r="H1273" s="625"/>
      <c r="I1273" s="640"/>
      <c r="J1273" s="640"/>
      <c r="K1273" s="640"/>
      <c r="L1273" s="640"/>
      <c r="M1273" s="640"/>
      <c r="N1273" s="626"/>
    </row>
    <row r="1274" spans="2:14" ht="12.75" customHeight="1" thickBot="1" x14ac:dyDescent="0.3">
      <c r="B1274" s="284"/>
      <c r="C1274" s="302"/>
      <c r="D1274" s="302"/>
      <c r="E1274" s="630" t="str">
        <f>[1]K_Summary!E1264</f>
        <v>Общо зададени емисии</v>
      </c>
      <c r="F1274" s="630"/>
      <c r="G1274" s="630"/>
      <c r="H1274" s="631" t="str">
        <f>[1]K_Summary!H1264</f>
        <v>t CO2e/година</v>
      </c>
      <c r="I1274" s="661" t="str">
        <f>[1]K_Summary!I1264</f>
        <v/>
      </c>
      <c r="J1274" s="662" t="str">
        <f>[1]K_Summary!J1264</f>
        <v/>
      </c>
      <c r="K1274" s="662" t="str">
        <f>[1]K_Summary!K1264</f>
        <v/>
      </c>
      <c r="L1274" s="662" t="str">
        <f>[1]K_Summary!L1264</f>
        <v/>
      </c>
      <c r="M1274" s="663" t="str">
        <f>[1]K_Summary!M1264</f>
        <v/>
      </c>
      <c r="N1274" s="626"/>
    </row>
    <row r="1275" spans="2:14" ht="12.75" customHeight="1" x14ac:dyDescent="0.25">
      <c r="B1275" s="284"/>
      <c r="C1275" s="302"/>
      <c r="D1275" s="302"/>
      <c r="E1275" s="625"/>
      <c r="F1275" s="625"/>
      <c r="G1275" s="625"/>
      <c r="H1275" s="625"/>
      <c r="I1275" s="635"/>
      <c r="J1275" s="635"/>
      <c r="K1275" s="635"/>
      <c r="L1275" s="635"/>
      <c r="M1275" s="635"/>
      <c r="N1275" s="625"/>
    </row>
    <row r="1276" spans="2:14" ht="12.75" customHeight="1" x14ac:dyDescent="0.25">
      <c r="B1276" s="284"/>
      <c r="C1276" s="302"/>
      <c r="D1276" s="302"/>
      <c r="E1276" s="636" t="str">
        <f>[1]K_Summary!E1266</f>
        <v>Вложени горива</v>
      </c>
      <c r="F1276" s="636"/>
      <c r="G1276" s="636"/>
      <c r="H1276" s="637" t="str">
        <f>[1]K_Summary!H1266</f>
        <v>TJ / година</v>
      </c>
      <c r="I1276" s="482" t="str">
        <f>[1]K_Summary!I1266</f>
        <v/>
      </c>
      <c r="J1276" s="482" t="str">
        <f>[1]K_Summary!J1266</f>
        <v/>
      </c>
      <c r="K1276" s="482" t="str">
        <f>[1]K_Summary!K1266</f>
        <v/>
      </c>
      <c r="L1276" s="482" t="str">
        <f>[1]K_Summary!L1266</f>
        <v/>
      </c>
      <c r="M1276" s="482" t="str">
        <f>[1]K_Summary!M1266</f>
        <v/>
      </c>
      <c r="N1276" s="626"/>
    </row>
    <row r="1277" spans="2:14" ht="12.75" customHeight="1" x14ac:dyDescent="0.25">
      <c r="B1277" s="284"/>
      <c r="C1277" s="302"/>
      <c r="D1277" s="302"/>
      <c r="E1277" s="638" t="str">
        <f>[1]K_Summary!E1267</f>
        <v>Претеглен емисионен фактор</v>
      </c>
      <c r="F1277" s="638"/>
      <c r="G1277" s="638"/>
      <c r="H1277" s="639" t="str">
        <f>[1]K_Summary!H1267</f>
        <v>t CO2 / TJ</v>
      </c>
      <c r="I1277" s="484" t="str">
        <f>[1]K_Summary!I1267</f>
        <v/>
      </c>
      <c r="J1277" s="484" t="str">
        <f>[1]K_Summary!J1267</f>
        <v/>
      </c>
      <c r="K1277" s="484" t="str">
        <f>[1]K_Summary!K1267</f>
        <v/>
      </c>
      <c r="L1277" s="484" t="str">
        <f>[1]K_Summary!L1267</f>
        <v/>
      </c>
      <c r="M1277" s="484" t="str">
        <f>[1]K_Summary!M1267</f>
        <v/>
      </c>
      <c r="N1277" s="626"/>
    </row>
    <row r="1278" spans="2:14" ht="12.75" customHeight="1" x14ac:dyDescent="0.25">
      <c r="B1278" s="284"/>
      <c r="C1278" s="302"/>
      <c r="D1278" s="302"/>
      <c r="E1278" s="636" t="str">
        <f>[1]K_Summary!E1268</f>
        <v>Вложени горива от отпадъчни газове</v>
      </c>
      <c r="F1278" s="636"/>
      <c r="G1278" s="636"/>
      <c r="H1278" s="637" t="str">
        <f>[1]K_Summary!H1268</f>
        <v>TJ / година</v>
      </c>
      <c r="I1278" s="482" t="str">
        <f>[1]K_Summary!I1268</f>
        <v/>
      </c>
      <c r="J1278" s="482" t="str">
        <f>[1]K_Summary!J1268</f>
        <v/>
      </c>
      <c r="K1278" s="482" t="str">
        <f>[1]K_Summary!K1268</f>
        <v/>
      </c>
      <c r="L1278" s="482" t="str">
        <f>[1]K_Summary!L1268</f>
        <v/>
      </c>
      <c r="M1278" s="482" t="str">
        <f>[1]K_Summary!M1268</f>
        <v/>
      </c>
      <c r="N1278" s="626"/>
    </row>
    <row r="1279" spans="2:14" ht="12.75" customHeight="1" x14ac:dyDescent="0.25">
      <c r="B1279" s="284"/>
      <c r="C1279" s="302"/>
      <c r="D1279" s="302"/>
      <c r="E1279" s="638" t="str">
        <f>[1]K_Summary!E1269</f>
        <v>Претеглен емисионен фактор</v>
      </c>
      <c r="F1279" s="638"/>
      <c r="G1279" s="638"/>
      <c r="H1279" s="639" t="str">
        <f>[1]K_Summary!H1269</f>
        <v>t CO2 / TJ</v>
      </c>
      <c r="I1279" s="484" t="str">
        <f>[1]K_Summary!I1269</f>
        <v/>
      </c>
      <c r="J1279" s="484" t="str">
        <f>[1]K_Summary!J1269</f>
        <v/>
      </c>
      <c r="K1279" s="484" t="str">
        <f>[1]K_Summary!K1269</f>
        <v/>
      </c>
      <c r="L1279" s="484" t="str">
        <f>[1]K_Summary!L1269</f>
        <v/>
      </c>
      <c r="M1279" s="484" t="str">
        <f>[1]K_Summary!M1269</f>
        <v/>
      </c>
      <c r="N1279" s="626"/>
    </row>
    <row r="1280" spans="2:14" ht="12.75" customHeight="1" x14ac:dyDescent="0.25">
      <c r="B1280" s="284"/>
      <c r="C1280" s="302"/>
      <c r="D1280" s="302"/>
      <c r="E1280" s="636" t="str">
        <f>[1]K_Summary!E1270</f>
        <v>Вложена електроенергия за производството на топлинна енергия</v>
      </c>
      <c r="F1280" s="636"/>
      <c r="G1280" s="636"/>
      <c r="H1280" s="637" t="str">
        <f>[1]K_Summary!H1270</f>
        <v>TJ / година</v>
      </c>
      <c r="I1280" s="482" t="str">
        <f>[1]K_Summary!I1270</f>
        <v/>
      </c>
      <c r="J1280" s="482" t="str">
        <f>[1]K_Summary!J1270</f>
        <v/>
      </c>
      <c r="K1280" s="482" t="str">
        <f>[1]K_Summary!K1270</f>
        <v/>
      </c>
      <c r="L1280" s="482" t="str">
        <f>[1]K_Summary!L1270</f>
        <v/>
      </c>
      <c r="M1280" s="482" t="str">
        <f>[1]K_Summary!M1270</f>
        <v/>
      </c>
      <c r="N1280" s="626"/>
    </row>
    <row r="1281" spans="2:14" ht="12.75" customHeight="1" x14ac:dyDescent="0.25">
      <c r="B1281" s="284"/>
      <c r="C1281" s="302"/>
      <c r="D1281" s="302"/>
      <c r="E1281" s="638" t="str">
        <f>[1]K_Summary!E1271</f>
        <v>Претеглен емисионен фактор</v>
      </c>
      <c r="F1281" s="638"/>
      <c r="G1281" s="638"/>
      <c r="H1281" s="639" t="str">
        <f>[1]K_Summary!H1271</f>
        <v>t CO2 / TJ</v>
      </c>
      <c r="I1281" s="484" t="str">
        <f>[1]K_Summary!I1271</f>
        <v/>
      </c>
      <c r="J1281" s="484" t="str">
        <f>[1]K_Summary!J1271</f>
        <v/>
      </c>
      <c r="K1281" s="484" t="str">
        <f>[1]K_Summary!K1271</f>
        <v/>
      </c>
      <c r="L1281" s="484" t="str">
        <f>[1]K_Summary!L1271</f>
        <v/>
      </c>
      <c r="M1281" s="484" t="str">
        <f>[1]K_Summary!M1271</f>
        <v/>
      </c>
      <c r="N1281" s="626"/>
    </row>
    <row r="1282" spans="2:14" ht="12.75" customHeight="1" x14ac:dyDescent="0.25">
      <c r="B1282" s="284"/>
      <c r="C1282" s="302"/>
      <c r="D1282" s="302"/>
      <c r="E1282" s="636" t="str">
        <f>[1]K_Summary!E1272</f>
        <v>Друга вложена енергия (например екзотермична топлина)</v>
      </c>
      <c r="F1282" s="636"/>
      <c r="G1282" s="636"/>
      <c r="H1282" s="637" t="str">
        <f>[1]K_Summary!H1272</f>
        <v>TJ / година</v>
      </c>
      <c r="I1282" s="482" t="str">
        <f>[1]K_Summary!I1272</f>
        <v/>
      </c>
      <c r="J1282" s="482" t="str">
        <f>[1]K_Summary!J1272</f>
        <v/>
      </c>
      <c r="K1282" s="482" t="str">
        <f>[1]K_Summary!K1272</f>
        <v/>
      </c>
      <c r="L1282" s="482" t="str">
        <f>[1]K_Summary!L1272</f>
        <v/>
      </c>
      <c r="M1282" s="482" t="str">
        <f>[1]K_Summary!M1272</f>
        <v/>
      </c>
      <c r="N1282" s="626"/>
    </row>
    <row r="1283" spans="2:14" ht="12.75" customHeight="1" x14ac:dyDescent="0.25">
      <c r="B1283" s="284"/>
      <c r="C1283" s="302"/>
      <c r="D1283" s="302"/>
      <c r="E1283" s="638" t="str">
        <f>[1]K_Summary!E1273</f>
        <v>Претеглен емисионен фактор</v>
      </c>
      <c r="F1283" s="638"/>
      <c r="G1283" s="638"/>
      <c r="H1283" s="639" t="str">
        <f>[1]K_Summary!H1273</f>
        <v>t CO2 / TJ</v>
      </c>
      <c r="I1283" s="484" t="str">
        <f>[1]K_Summary!I1273</f>
        <v/>
      </c>
      <c r="J1283" s="484" t="str">
        <f>[1]K_Summary!J1273</f>
        <v/>
      </c>
      <c r="K1283" s="484" t="str">
        <f>[1]K_Summary!K1273</f>
        <v/>
      </c>
      <c r="L1283" s="484" t="str">
        <f>[1]K_Summary!L1273</f>
        <v/>
      </c>
      <c r="M1283" s="484" t="str">
        <f>[1]K_Summary!M1273</f>
        <v/>
      </c>
      <c r="N1283" s="626"/>
    </row>
    <row r="1284" spans="2:14" ht="12.75" customHeight="1" x14ac:dyDescent="0.25">
      <c r="B1284" s="284"/>
      <c r="C1284" s="302"/>
      <c r="D1284" s="302"/>
      <c r="E1284" s="641" t="str">
        <f>[1]K_Summary!E1274</f>
        <v>Обща вложена енергия (= i. + v. + vii.)</v>
      </c>
      <c r="F1284" s="641"/>
      <c r="G1284" s="641"/>
      <c r="H1284" s="642" t="str">
        <f>[1]K_Summary!H1274</f>
        <v>TJ / година</v>
      </c>
      <c r="I1284" s="480" t="str">
        <f>[1]K_Summary!I1274</f>
        <v/>
      </c>
      <c r="J1284" s="480" t="str">
        <f>[1]K_Summary!J1274</f>
        <v/>
      </c>
      <c r="K1284" s="480" t="str">
        <f>[1]K_Summary!K1274</f>
        <v/>
      </c>
      <c r="L1284" s="480" t="str">
        <f>[1]K_Summary!L1274</f>
        <v/>
      </c>
      <c r="M1284" s="480" t="str">
        <f>[1]K_Summary!M1274</f>
        <v/>
      </c>
      <c r="N1284" s="626"/>
    </row>
    <row r="1285" spans="2:14" ht="12.75" customHeight="1" x14ac:dyDescent="0.25">
      <c r="B1285" s="284"/>
      <c r="C1285" s="302"/>
      <c r="D1285" s="302"/>
      <c r="E1285" s="625"/>
      <c r="F1285" s="626"/>
      <c r="G1285" s="626"/>
      <c r="H1285" s="626"/>
      <c r="I1285" s="640"/>
      <c r="J1285" s="640"/>
      <c r="K1285" s="640"/>
      <c r="L1285" s="640"/>
      <c r="M1285" s="640"/>
      <c r="N1285" s="626"/>
    </row>
    <row r="1286" spans="2:14" ht="12.75" customHeight="1" x14ac:dyDescent="0.25">
      <c r="B1286" s="284"/>
      <c r="C1286" s="302"/>
      <c r="D1286" s="302"/>
      <c r="E1286" s="641" t="str">
        <f>[1]K_Summary!E1276</f>
        <v>Преки емисии</v>
      </c>
      <c r="F1286" s="641"/>
      <c r="G1286" s="641"/>
      <c r="H1286" s="642" t="str">
        <f>[1]K_Summary!H1276</f>
        <v>t CO2 / година</v>
      </c>
      <c r="I1286" s="480" t="str">
        <f>[1]K_Summary!I1276</f>
        <v/>
      </c>
      <c r="J1286" s="480" t="str">
        <f>[1]K_Summary!J1276</f>
        <v/>
      </c>
      <c r="K1286" s="480" t="str">
        <f>[1]K_Summary!K1276</f>
        <v/>
      </c>
      <c r="L1286" s="480" t="str">
        <f>[1]K_Summary!L1276</f>
        <v/>
      </c>
      <c r="M1286" s="480" t="str">
        <f>[1]K_Summary!M1276</f>
        <v/>
      </c>
      <c r="N1286" s="626"/>
    </row>
    <row r="1287" spans="2:14" ht="12.75" customHeight="1" x14ac:dyDescent="0.25">
      <c r="B1287" s="284"/>
      <c r="C1287" s="302"/>
      <c r="D1287" s="302"/>
      <c r="E1287" s="625"/>
      <c r="F1287" s="625"/>
      <c r="G1287" s="625"/>
      <c r="H1287" s="625"/>
      <c r="I1287" s="640"/>
      <c r="J1287" s="640"/>
      <c r="K1287" s="640"/>
      <c r="L1287" s="640"/>
      <c r="M1287" s="640"/>
      <c r="N1287" s="626"/>
    </row>
    <row r="1288" spans="2:14" ht="12.75" customHeight="1" x14ac:dyDescent="0.25">
      <c r="B1288" s="284"/>
      <c r="C1288" s="302"/>
      <c r="D1288" s="302"/>
      <c r="E1288" s="636" t="str">
        <f>[1]K_Summary!E1278</f>
        <v>Нетно к-во получена топлинна енергия (други)</v>
      </c>
      <c r="F1288" s="636"/>
      <c r="G1288" s="636"/>
      <c r="H1288" s="637" t="str">
        <f>[1]K_Summary!H1278</f>
        <v>TJ / година</v>
      </c>
      <c r="I1288" s="482" t="str">
        <f>[1]K_Summary!I1278</f>
        <v/>
      </c>
      <c r="J1288" s="482" t="str">
        <f>[1]K_Summary!J1278</f>
        <v/>
      </c>
      <c r="K1288" s="482" t="str">
        <f>[1]K_Summary!K1278</f>
        <v/>
      </c>
      <c r="L1288" s="482" t="str">
        <f>[1]K_Summary!L1278</f>
        <v/>
      </c>
      <c r="M1288" s="482" t="str">
        <f>[1]K_Summary!M1278</f>
        <v/>
      </c>
      <c r="N1288" s="626"/>
    </row>
    <row r="1289" spans="2:14" ht="12.75" customHeight="1" x14ac:dyDescent="0.25">
      <c r="B1289" s="284"/>
      <c r="C1289" s="302"/>
      <c r="D1289" s="302"/>
      <c r="E1289" s="638" t="str">
        <f>[1]K_Summary!E1279</f>
        <v>Специфичен EF (получена топлинна енергия)</v>
      </c>
      <c r="F1289" s="638"/>
      <c r="G1289" s="638"/>
      <c r="H1289" s="639" t="str">
        <f>[1]K_Summary!H1279</f>
        <v>t CO2 / TJ</v>
      </c>
      <c r="I1289" s="484" t="str">
        <f>[1]K_Summary!I1279</f>
        <v/>
      </c>
      <c r="J1289" s="484" t="str">
        <f>[1]K_Summary!J1279</f>
        <v/>
      </c>
      <c r="K1289" s="484" t="str">
        <f>[1]K_Summary!K1279</f>
        <v/>
      </c>
      <c r="L1289" s="484" t="str">
        <f>[1]K_Summary!L1279</f>
        <v/>
      </c>
      <c r="M1289" s="484" t="str">
        <f>[1]K_Summary!M1279</f>
        <v/>
      </c>
      <c r="N1289" s="626"/>
    </row>
    <row r="1290" spans="2:14" ht="12.75" customHeight="1" x14ac:dyDescent="0.25">
      <c r="B1290" s="284"/>
      <c r="C1290" s="302"/>
      <c r="D1290" s="302"/>
      <c r="E1290" s="636" t="str">
        <f>[1]K_Summary!E1280</f>
        <v>Нетно к-во получена топлинна енергия (прод. п-л)</v>
      </c>
      <c r="F1290" s="636"/>
      <c r="G1290" s="636"/>
      <c r="H1290" s="637" t="str">
        <f>[1]K_Summary!H1280</f>
        <v>TJ / година</v>
      </c>
      <c r="I1290" s="482" t="str">
        <f>[1]K_Summary!I1280</f>
        <v/>
      </c>
      <c r="J1290" s="482" t="str">
        <f>[1]K_Summary!J1280</f>
        <v/>
      </c>
      <c r="K1290" s="482" t="str">
        <f>[1]K_Summary!K1280</f>
        <v/>
      </c>
      <c r="L1290" s="482" t="str">
        <f>[1]K_Summary!L1280</f>
        <v/>
      </c>
      <c r="M1290" s="482" t="str">
        <f>[1]K_Summary!M1280</f>
        <v/>
      </c>
      <c r="N1290" s="626"/>
    </row>
    <row r="1291" spans="2:14" ht="12.75" customHeight="1" x14ac:dyDescent="0.25">
      <c r="B1291" s="284"/>
      <c r="C1291" s="302"/>
      <c r="D1291" s="302"/>
      <c r="E1291" s="638" t="str">
        <f>[1]K_Summary!E1281</f>
        <v>Специфичен EF (от продуктов показател)</v>
      </c>
      <c r="F1291" s="638"/>
      <c r="G1291" s="638"/>
      <c r="H1291" s="639" t="str">
        <f>[1]K_Summary!H1281</f>
        <v>t CO2 / TJ</v>
      </c>
      <c r="I1291" s="484" t="str">
        <f>[1]K_Summary!I1281</f>
        <v/>
      </c>
      <c r="J1291" s="484" t="str">
        <f>[1]K_Summary!J1281</f>
        <v/>
      </c>
      <c r="K1291" s="484" t="str">
        <f>[1]K_Summary!K1281</f>
        <v/>
      </c>
      <c r="L1291" s="484" t="str">
        <f>[1]K_Summary!L1281</f>
        <v/>
      </c>
      <c r="M1291" s="484" t="str">
        <f>[1]K_Summary!M1281</f>
        <v/>
      </c>
      <c r="N1291" s="626"/>
    </row>
    <row r="1292" spans="2:14" ht="12.75" customHeight="1" x14ac:dyDescent="0.25">
      <c r="B1292" s="284"/>
      <c r="C1292" s="302"/>
      <c r="D1292" s="302"/>
      <c r="E1292" s="636" t="str">
        <f>[1]K_Summary!E1282</f>
        <v>Нетно к-во получена топлинна енергия (пулп)</v>
      </c>
      <c r="F1292" s="636"/>
      <c r="G1292" s="636"/>
      <c r="H1292" s="637" t="str">
        <f>[1]K_Summary!H1282</f>
        <v>TJ / година</v>
      </c>
      <c r="I1292" s="482" t="str">
        <f>[1]K_Summary!I1282</f>
        <v/>
      </c>
      <c r="J1292" s="482" t="str">
        <f>[1]K_Summary!J1282</f>
        <v/>
      </c>
      <c r="K1292" s="482" t="str">
        <f>[1]K_Summary!K1282</f>
        <v/>
      </c>
      <c r="L1292" s="482" t="str">
        <f>[1]K_Summary!L1282</f>
        <v/>
      </c>
      <c r="M1292" s="482" t="str">
        <f>[1]K_Summary!M1282</f>
        <v/>
      </c>
      <c r="N1292" s="626"/>
    </row>
    <row r="1293" spans="2:14" ht="12.75" customHeight="1" x14ac:dyDescent="0.25">
      <c r="B1293" s="284"/>
      <c r="C1293" s="302"/>
      <c r="D1293" s="302"/>
      <c r="E1293" s="638" t="str">
        <f>[1]K_Summary!E1283</f>
        <v>Специфичен EF (от пулп)</v>
      </c>
      <c r="F1293" s="638"/>
      <c r="G1293" s="638"/>
      <c r="H1293" s="639" t="str">
        <f>[1]K_Summary!H1283</f>
        <v>t CO2 / TJ</v>
      </c>
      <c r="I1293" s="484" t="str">
        <f>[1]K_Summary!I1283</f>
        <v/>
      </c>
      <c r="J1293" s="484" t="str">
        <f>[1]K_Summary!J1283</f>
        <v/>
      </c>
      <c r="K1293" s="484" t="str">
        <f>[1]K_Summary!K1283</f>
        <v/>
      </c>
      <c r="L1293" s="484" t="str">
        <f>[1]K_Summary!L1283</f>
        <v/>
      </c>
      <c r="M1293" s="484" t="str">
        <f>[1]K_Summary!M1283</f>
        <v/>
      </c>
      <c r="N1293" s="626"/>
    </row>
    <row r="1294" spans="2:14" ht="12.75" customHeight="1" x14ac:dyDescent="0.25">
      <c r="B1294" s="284"/>
      <c r="C1294" s="302"/>
      <c r="D1294" s="302"/>
      <c r="E1294" s="636" t="str">
        <f>[1]K_Summary!E1284</f>
        <v>Нетно к-во получена топлинна енергия (горивен п-л)</v>
      </c>
      <c r="F1294" s="636"/>
      <c r="G1294" s="636"/>
      <c r="H1294" s="637" t="str">
        <f>[1]K_Summary!H1284</f>
        <v>TJ / година</v>
      </c>
      <c r="I1294" s="482" t="str">
        <f>[1]K_Summary!I1284</f>
        <v/>
      </c>
      <c r="J1294" s="482" t="str">
        <f>[1]K_Summary!J1284</f>
        <v/>
      </c>
      <c r="K1294" s="482" t="str">
        <f>[1]K_Summary!K1284</f>
        <v/>
      </c>
      <c r="L1294" s="482" t="str">
        <f>[1]K_Summary!L1284</f>
        <v/>
      </c>
      <c r="M1294" s="482" t="str">
        <f>[1]K_Summary!M1284</f>
        <v/>
      </c>
      <c r="N1294" s="626"/>
    </row>
    <row r="1295" spans="2:14" ht="12.75" customHeight="1" x14ac:dyDescent="0.25">
      <c r="B1295" s="284"/>
      <c r="C1295" s="302"/>
      <c r="D1295" s="302"/>
      <c r="E1295" s="638" t="str">
        <f>[1]K_Summary!E1285</f>
        <v>Специфичен EF (от горивен показател)</v>
      </c>
      <c r="F1295" s="638"/>
      <c r="G1295" s="638"/>
      <c r="H1295" s="639" t="str">
        <f>[1]K_Summary!H1285</f>
        <v>t CO2 / TJ</v>
      </c>
      <c r="I1295" s="484" t="str">
        <f>[1]K_Summary!I1285</f>
        <v/>
      </c>
      <c r="J1295" s="484" t="str">
        <f>[1]K_Summary!J1285</f>
        <v/>
      </c>
      <c r="K1295" s="484" t="str">
        <f>[1]K_Summary!K1285</f>
        <v/>
      </c>
      <c r="L1295" s="484" t="str">
        <f>[1]K_Summary!L1285</f>
        <v/>
      </c>
      <c r="M1295" s="484" t="str">
        <f>[1]K_Summary!M1285</f>
        <v/>
      </c>
      <c r="N1295" s="626"/>
    </row>
    <row r="1296" spans="2:14" ht="12.75" customHeight="1" x14ac:dyDescent="0.25">
      <c r="B1296" s="284"/>
      <c r="C1296" s="302"/>
      <c r="D1296" s="302"/>
      <c r="E1296" s="636" t="str">
        <f>[1]K_Summary!E1286</f>
        <v>Нетно к-во получена топлинна енергия (отпадъчни газове)</v>
      </c>
      <c r="F1296" s="636"/>
      <c r="G1296" s="636"/>
      <c r="H1296" s="637" t="str">
        <f>[1]K_Summary!H1286</f>
        <v>TJ / година</v>
      </c>
      <c r="I1296" s="482" t="str">
        <f>[1]K_Summary!I1286</f>
        <v/>
      </c>
      <c r="J1296" s="482" t="str">
        <f>[1]K_Summary!J1286</f>
        <v/>
      </c>
      <c r="K1296" s="482" t="str">
        <f>[1]K_Summary!K1286</f>
        <v/>
      </c>
      <c r="L1296" s="482" t="str">
        <f>[1]K_Summary!L1286</f>
        <v/>
      </c>
      <c r="M1296" s="482" t="str">
        <f>[1]K_Summary!M1286</f>
        <v/>
      </c>
      <c r="N1296" s="626"/>
    </row>
    <row r="1297" spans="2:14" ht="12.75" customHeight="1" x14ac:dyDescent="0.25">
      <c r="B1297" s="284"/>
      <c r="C1297" s="302"/>
      <c r="D1297" s="302"/>
      <c r="E1297" s="638" t="str">
        <f>[1]K_Summary!E1287</f>
        <v>Специфичен EF (от отпадъчен газ)</v>
      </c>
      <c r="F1297" s="638"/>
      <c r="G1297" s="638"/>
      <c r="H1297" s="639" t="str">
        <f>[1]K_Summary!H1287</f>
        <v>t CO2 / TJ</v>
      </c>
      <c r="I1297" s="484" t="str">
        <f>[1]K_Summary!I1287</f>
        <v/>
      </c>
      <c r="J1297" s="484" t="str">
        <f>[1]K_Summary!J1287</f>
        <v/>
      </c>
      <c r="K1297" s="484" t="str">
        <f>[1]K_Summary!K1287</f>
        <v/>
      </c>
      <c r="L1297" s="484" t="str">
        <f>[1]K_Summary!L1287</f>
        <v/>
      </c>
      <c r="M1297" s="484" t="str">
        <f>[1]K_Summary!M1287</f>
        <v/>
      </c>
      <c r="N1297" s="626"/>
    </row>
    <row r="1298" spans="2:14" ht="12.75" customHeight="1" x14ac:dyDescent="0.25">
      <c r="B1298" s="284"/>
      <c r="C1298" s="302"/>
      <c r="D1298" s="302"/>
      <c r="E1298" s="626"/>
      <c r="F1298" s="626"/>
      <c r="G1298" s="626"/>
      <c r="H1298" s="626"/>
      <c r="I1298" s="626"/>
      <c r="J1298" s="626"/>
      <c r="K1298" s="626"/>
      <c r="L1298" s="626"/>
      <c r="M1298" s="626"/>
      <c r="N1298" s="626"/>
    </row>
    <row r="1299" spans="2:14" ht="12.75" customHeight="1" thickBot="1" x14ac:dyDescent="0.3">
      <c r="B1299" s="284"/>
      <c r="C1299" s="302"/>
      <c r="D1299" s="302"/>
      <c r="E1299" s="302"/>
      <c r="F1299" s="302"/>
      <c r="G1299" s="302"/>
      <c r="H1299" s="364"/>
      <c r="I1299" s="364"/>
      <c r="J1299" s="364"/>
      <c r="K1299" s="364"/>
      <c r="L1299" s="364"/>
      <c r="M1299" s="302"/>
      <c r="N1299" s="302"/>
    </row>
    <row r="1300" spans="2:14" ht="12.75" customHeight="1" thickBot="1" x14ac:dyDescent="0.3">
      <c r="B1300" s="284"/>
      <c r="C1300" s="581"/>
      <c r="D1300" s="581"/>
      <c r="E1300" s="581"/>
      <c r="F1300" s="581"/>
      <c r="G1300" s="581"/>
      <c r="H1300" s="581"/>
      <c r="I1300" s="581"/>
      <c r="J1300" s="581"/>
      <c r="K1300" s="581"/>
      <c r="L1300" s="581"/>
      <c r="M1300" s="581"/>
      <c r="N1300" s="581"/>
    </row>
    <row r="1301" spans="2:14" ht="12.75" customHeight="1" thickBot="1" x14ac:dyDescent="0.35">
      <c r="B1301" s="284"/>
      <c r="C1301" s="357">
        <f>[1]K_Summary!C1291</f>
        <v>13</v>
      </c>
      <c r="D1301" s="358" t="str">
        <f>[1]K_Summary!D1291</f>
        <v>Алтернативна подинсталация („Fall-Back sub-installation“) 3:</v>
      </c>
      <c r="E1301" s="359"/>
      <c r="F1301" s="359"/>
      <c r="G1301" s="359"/>
      <c r="H1301" s="497"/>
      <c r="I1301" s="649" t="str">
        <f>[1]K_Summary!I1291</f>
        <v>Подинсталация с топлинен показател (с риск от ИВЕ | в рамките на МКВЕГ)</v>
      </c>
      <c r="J1301" s="650"/>
      <c r="K1301" s="650"/>
      <c r="L1301" s="651"/>
      <c r="M1301" s="652" t="str">
        <f>[1]K_Summary!M1291</f>
        <v/>
      </c>
      <c r="N1301" s="653"/>
    </row>
    <row r="1302" spans="2:14" ht="12.75" customHeight="1" thickBot="1" x14ac:dyDescent="0.3">
      <c r="B1302" s="284"/>
      <c r="C1302" s="302"/>
      <c r="D1302" s="302"/>
      <c r="E1302" s="302"/>
      <c r="F1302" s="302"/>
      <c r="G1302" s="302"/>
      <c r="H1302" s="302"/>
      <c r="I1302" s="302"/>
      <c r="J1302" s="302"/>
      <c r="K1302" s="302"/>
      <c r="L1302" s="302"/>
      <c r="M1302" s="302"/>
      <c r="N1302" s="302"/>
    </row>
    <row r="1303" spans="2:14" ht="12.75" customHeight="1" x14ac:dyDescent="0.25">
      <c r="B1303" s="284"/>
      <c r="C1303" s="302"/>
      <c r="D1303" s="302"/>
      <c r="E1303" s="302"/>
      <c r="F1303" s="302"/>
      <c r="G1303" s="302"/>
      <c r="H1303" s="595" t="str">
        <f>[1]K_Summary!H1293</f>
        <v>Риск от ИВЕ</v>
      </c>
      <c r="I1303" s="595" t="str">
        <f>[1]K_Summary!I1293</f>
        <v>В/Е</v>
      </c>
      <c r="J1303" s="595" t="str">
        <f>[1]K_Summary!J1293</f>
        <v>15(7).3?</v>
      </c>
      <c r="K1303" s="364"/>
      <c r="L1303" s="654" t="str">
        <f>[1]K_Summary!L1293</f>
        <v>№ на п-л</v>
      </c>
      <c r="M1303" s="598" t="str">
        <f>[1]K_Summary!M1293</f>
        <v>Стойност на показател (мин/макс/действ.)</v>
      </c>
      <c r="N1303" s="599"/>
    </row>
    <row r="1304" spans="2:14" ht="12.75" customHeight="1" x14ac:dyDescent="0.25">
      <c r="B1304" s="284"/>
      <c r="C1304" s="302"/>
      <c r="D1304" s="302"/>
      <c r="E1304" s="361" t="str">
        <f>[1]K_Summary!E1294</f>
        <v>Подинсталация с топлинен показател (с риск от ИВЕ | в рамките на МКВЕГ)</v>
      </c>
      <c r="F1304" s="373"/>
      <c r="G1304" s="362"/>
      <c r="H1304" s="600" t="b">
        <f>[1]K_Summary!H1294</f>
        <v>1</v>
      </c>
      <c r="I1304" s="655" t="str">
        <f>[1]K_Summary!I1294</f>
        <v/>
      </c>
      <c r="J1304" s="600" t="str">
        <f>[1]K_Summary!J1294</f>
        <v/>
      </c>
      <c r="K1304" s="364"/>
      <c r="L1304" s="656">
        <f>[1]K_Summary!L1294</f>
        <v>3</v>
      </c>
      <c r="M1304" s="657" t="str">
        <f>[1]K_Summary!M1294</f>
        <v/>
      </c>
      <c r="N1304" s="604" t="str">
        <f>[1]K_Summary!N1294</f>
        <v>Квота за емисии/TJ</v>
      </c>
    </row>
    <row r="1305" spans="2:14" ht="12.75" customHeight="1" x14ac:dyDescent="0.25">
      <c r="B1305" s="284"/>
      <c r="C1305" s="302"/>
      <c r="D1305" s="364"/>
      <c r="E1305" s="364"/>
      <c r="F1305" s="364"/>
      <c r="G1305" s="364"/>
      <c r="H1305" s="595" t="str">
        <f>[1]K_Summary!H1295</f>
        <v>CBAM</v>
      </c>
      <c r="I1305" s="364"/>
      <c r="J1305" s="364"/>
      <c r="K1305" s="364"/>
      <c r="L1305" s="364"/>
      <c r="M1305" s="657" t="str">
        <f>[1]K_Summary!M1295</f>
        <v/>
      </c>
      <c r="N1305" s="604" t="str">
        <f>[1]K_Summary!N1295</f>
        <v>Квота за емисии/TJ</v>
      </c>
    </row>
    <row r="1306" spans="2:14" ht="12.75" customHeight="1" thickBot="1" x14ac:dyDescent="0.3">
      <c r="B1306" s="284"/>
      <c r="C1306" s="302"/>
      <c r="D1306" s="364"/>
      <c r="E1306" s="364"/>
      <c r="F1306" s="364"/>
      <c r="G1306" s="364"/>
      <c r="H1306" s="600" t="b">
        <f>[1]K_Summary!H1296</f>
        <v>1</v>
      </c>
      <c r="I1306" s="364"/>
      <c r="J1306" s="364"/>
      <c r="K1306" s="364"/>
      <c r="L1306" s="364"/>
      <c r="M1306" s="658" t="str">
        <f>[1]K_Summary!M1296</f>
        <v/>
      </c>
      <c r="N1306" s="611" t="str">
        <f>[1]K_Summary!N1296</f>
        <v>Квота за емисии/TJ</v>
      </c>
    </row>
    <row r="1307" spans="2:14" ht="12.75" customHeight="1" x14ac:dyDescent="0.25">
      <c r="B1307" s="284"/>
      <c r="C1307" s="302"/>
      <c r="D1307" s="302"/>
      <c r="E1307" s="302"/>
      <c r="F1307" s="302"/>
      <c r="G1307" s="302"/>
      <c r="H1307" s="302"/>
      <c r="I1307" s="302"/>
      <c r="J1307" s="302"/>
      <c r="K1307" s="302"/>
      <c r="L1307" s="302"/>
      <c r="M1307" s="302"/>
      <c r="N1307" s="302"/>
    </row>
    <row r="1308" spans="2:14" ht="12.75" customHeight="1" x14ac:dyDescent="0.25">
      <c r="B1308" s="284"/>
      <c r="C1308" s="302"/>
      <c r="D1308" s="302"/>
      <c r="E1308" s="498"/>
      <c r="F1308" s="498"/>
      <c r="G1308" s="380"/>
      <c r="H1308" s="595" t="str">
        <f>[1]K_Summary!H1298</f>
        <v>Единица мярка</v>
      </c>
      <c r="I1308" s="387">
        <f>[1]K_Summary!I1298</f>
        <v>2019</v>
      </c>
      <c r="J1308" s="387">
        <f>[1]K_Summary!J1298</f>
        <v>2020</v>
      </c>
      <c r="K1308" s="387">
        <f>[1]K_Summary!K1298</f>
        <v>2021</v>
      </c>
      <c r="L1308" s="387">
        <f>[1]K_Summary!L1298</f>
        <v>2022</v>
      </c>
      <c r="M1308" s="387">
        <f>[1]K_Summary!M1298</f>
        <v>2023</v>
      </c>
      <c r="N1308" s="302"/>
    </row>
    <row r="1309" spans="2:14" ht="12.75" customHeight="1" x14ac:dyDescent="0.25">
      <c r="B1309" s="284"/>
      <c r="C1309" s="302"/>
      <c r="D1309" s="302"/>
      <c r="E1309" s="614" t="str">
        <f>[1]K_Summary!E1299</f>
        <v>Отчетено HAL (историческо равнище на дейност)</v>
      </c>
      <c r="F1309" s="388"/>
      <c r="G1309" s="615"/>
      <c r="H1309" s="600" t="str">
        <f>[1]K_Summary!H1299</f>
        <v>TJ</v>
      </c>
      <c r="I1309" s="406" t="str">
        <f>[1]K_Summary!I1299</f>
        <v/>
      </c>
      <c r="J1309" s="406" t="str">
        <f>[1]K_Summary!J1299</f>
        <v/>
      </c>
      <c r="K1309" s="406" t="str">
        <f>[1]K_Summary!K1299</f>
        <v/>
      </c>
      <c r="L1309" s="406" t="str">
        <f>[1]K_Summary!L1299</f>
        <v/>
      </c>
      <c r="M1309" s="406" t="str">
        <f>[1]K_Summary!M1299</f>
        <v/>
      </c>
      <c r="N1309" s="596" t="str">
        <f>[1]K_Summary!N1299</f>
        <v>Median</v>
      </c>
    </row>
    <row r="1310" spans="2:14" ht="12.75" customHeight="1" x14ac:dyDescent="0.25">
      <c r="B1310" s="284"/>
      <c r="C1310" s="302"/>
      <c r="D1310" s="302"/>
      <c r="E1310" s="614" t="str">
        <f>[1]K_Summary!E1300</f>
        <v>Стойности, използвани за изчислението на HAL:</v>
      </c>
      <c r="F1310" s="388"/>
      <c r="G1310" s="615"/>
      <c r="H1310" s="600" t="str">
        <f>[1]K_Summary!H1300</f>
        <v>TJ</v>
      </c>
      <c r="I1310" s="659" t="str">
        <f>[1]K_Summary!I1300</f>
        <v/>
      </c>
      <c r="J1310" s="659" t="str">
        <f>[1]K_Summary!J1300</f>
        <v/>
      </c>
      <c r="K1310" s="659" t="str">
        <f>[1]K_Summary!K1300</f>
        <v/>
      </c>
      <c r="L1310" s="659" t="str">
        <f>[1]K_Summary!L1300</f>
        <v/>
      </c>
      <c r="M1310" s="659" t="str">
        <f>[1]K_Summary!M1300</f>
        <v/>
      </c>
      <c r="N1310" s="406" t="str">
        <f>[1]K_Summary!N1300</f>
        <v/>
      </c>
    </row>
    <row r="1311" spans="2:14" ht="12.75" customHeight="1" x14ac:dyDescent="0.25">
      <c r="B1311" s="284"/>
      <c r="C1311" s="302"/>
      <c r="D1311" s="302"/>
      <c r="E1311" s="302"/>
      <c r="F1311" s="302"/>
      <c r="G1311" s="302"/>
      <c r="H1311" s="302"/>
      <c r="I1311" s="302"/>
      <c r="J1311" s="302"/>
      <c r="K1311" s="302"/>
      <c r="L1311" s="302"/>
      <c r="M1311" s="302"/>
      <c r="N1311" s="302"/>
    </row>
    <row r="1312" spans="2:14" ht="12.75" customHeight="1" thickBot="1" x14ac:dyDescent="0.3">
      <c r="B1312" s="284"/>
      <c r="C1312" s="302"/>
      <c r="D1312" s="302"/>
      <c r="E1312" s="302"/>
      <c r="F1312" s="660" t="str">
        <f>[1]K_Summary!F1302</f>
        <v>Общо HAL</v>
      </c>
      <c r="G1312" s="620"/>
      <c r="H1312" s="302"/>
      <c r="I1312" s="619" t="str">
        <f>[1]K_Summary!I1302</f>
        <v>Предв. разпр. за год. 1 (мин)</v>
      </c>
      <c r="J1312" s="620"/>
      <c r="K1312" s="619" t="str">
        <f>[1]K_Summary!K1302</f>
        <v>Предв. разпр. за год. 1 (макс)</v>
      </c>
      <c r="L1312" s="620"/>
      <c r="M1312" s="619" t="str">
        <f>[1]K_Summary!M1302</f>
        <v>Предв. разпр. за год. 1 (действ.)</v>
      </c>
      <c r="N1312" s="620"/>
    </row>
    <row r="1313" spans="2:14" ht="12.75" customHeight="1" thickBot="1" x14ac:dyDescent="0.3">
      <c r="B1313" s="284"/>
      <c r="C1313" s="302"/>
      <c r="D1313" s="302"/>
      <c r="E1313" s="302"/>
      <c r="F1313" s="621" t="str">
        <f>[1]K_Summary!F1303</f>
        <v/>
      </c>
      <c r="G1313" s="624" t="str">
        <f>[1]K_Summary!G1303</f>
        <v>TJ / година</v>
      </c>
      <c r="H1313" s="302"/>
      <c r="I1313" s="623" t="str">
        <f>[1]K_Summary!I1303</f>
        <v/>
      </c>
      <c r="J1313" s="624" t="str">
        <f>[1]K_Summary!J1303</f>
        <v>Квота за емисии / година</v>
      </c>
      <c r="K1313" s="623" t="str">
        <f>[1]K_Summary!K1303</f>
        <v/>
      </c>
      <c r="L1313" s="624" t="str">
        <f>[1]K_Summary!L1303</f>
        <v>Квота за емисии / година</v>
      </c>
      <c r="M1313" s="623" t="str">
        <f>[1]K_Summary!M1303</f>
        <v/>
      </c>
      <c r="N1313" s="624" t="str">
        <f>[1]K_Summary!N1303</f>
        <v>Квота за емисии / година</v>
      </c>
    </row>
    <row r="1314" spans="2:14" ht="12.75" customHeight="1" x14ac:dyDescent="0.25">
      <c r="B1314" s="284"/>
      <c r="C1314" s="302"/>
      <c r="D1314" s="302"/>
      <c r="E1314" s="302"/>
      <c r="F1314" s="302"/>
      <c r="G1314" s="302"/>
      <c r="H1314" s="302"/>
      <c r="I1314" s="302"/>
      <c r="J1314" s="302"/>
      <c r="K1314" s="302"/>
      <c r="L1314" s="302"/>
      <c r="M1314" s="302"/>
      <c r="N1314" s="302"/>
    </row>
    <row r="1315" spans="2:14" ht="12.75" customHeight="1" x14ac:dyDescent="0.25">
      <c r="B1315" s="284"/>
      <c r="C1315" s="302"/>
      <c r="D1315" s="302"/>
      <c r="E1315" s="625"/>
      <c r="F1315" s="626"/>
      <c r="G1315" s="626"/>
      <c r="H1315" s="626"/>
      <c r="I1315" s="626"/>
      <c r="J1315" s="626"/>
      <c r="K1315" s="626"/>
      <c r="L1315" s="626"/>
      <c r="M1315" s="626"/>
      <c r="N1315" s="626"/>
    </row>
    <row r="1316" spans="2:14" ht="12.75" customHeight="1" thickBot="1" x14ac:dyDescent="0.3">
      <c r="B1316" s="284"/>
      <c r="C1316" s="302"/>
      <c r="D1316" s="302"/>
      <c r="E1316" s="625"/>
      <c r="F1316" s="626"/>
      <c r="G1316" s="626"/>
      <c r="H1316" s="627" t="str">
        <f>[1]K_Summary!H1306</f>
        <v>Единица мярка</v>
      </c>
      <c r="I1316" s="666">
        <f>[1]K_Summary!I1306</f>
        <v>2019</v>
      </c>
      <c r="J1316" s="667">
        <f>[1]K_Summary!J1306</f>
        <v>2020</v>
      </c>
      <c r="K1316" s="667">
        <f>[1]K_Summary!K1306</f>
        <v>2021</v>
      </c>
      <c r="L1316" s="667">
        <f>[1]K_Summary!L1306</f>
        <v>2022</v>
      </c>
      <c r="M1316" s="667">
        <f>[1]K_Summary!M1306</f>
        <v>2023</v>
      </c>
      <c r="N1316" s="626"/>
    </row>
    <row r="1317" spans="2:14" ht="12.75" customHeight="1" thickBot="1" x14ac:dyDescent="0.3">
      <c r="B1317" s="284"/>
      <c r="C1317" s="302"/>
      <c r="D1317" s="302"/>
      <c r="E1317" s="630" t="str">
        <f>[1]K_Summary!E1307</f>
        <v>Общо произведена топлинна енергия</v>
      </c>
      <c r="F1317" s="630"/>
      <c r="G1317" s="630"/>
      <c r="H1317" s="631" t="str">
        <f>[1]K_Summary!H1307</f>
        <v>TJ / година</v>
      </c>
      <c r="I1317" s="661" t="str">
        <f>[1]K_Summary!I1307</f>
        <v/>
      </c>
      <c r="J1317" s="662" t="str">
        <f>[1]K_Summary!J1307</f>
        <v/>
      </c>
      <c r="K1317" s="662" t="str">
        <f>[1]K_Summary!K1307</f>
        <v/>
      </c>
      <c r="L1317" s="662" t="str">
        <f>[1]K_Summary!L1307</f>
        <v/>
      </c>
      <c r="M1317" s="663" t="str">
        <f>[1]K_Summary!M1307</f>
        <v/>
      </c>
      <c r="N1317" s="626"/>
    </row>
    <row r="1318" spans="2:14" ht="12.75" customHeight="1" x14ac:dyDescent="0.25">
      <c r="B1318" s="284"/>
      <c r="C1318" s="302"/>
      <c r="D1318" s="302"/>
      <c r="E1318" s="641" t="str">
        <f>[1]K_Summary!E1308</f>
        <v>Топлинна енергия, произведена от електроенергия</v>
      </c>
      <c r="F1318" s="641"/>
      <c r="G1318" s="641"/>
      <c r="H1318" s="664" t="str">
        <f>[1]K_Summary!H1308</f>
        <v>TJ / година</v>
      </c>
      <c r="I1318" s="665" t="str">
        <f>[1]K_Summary!I1308</f>
        <v/>
      </c>
      <c r="J1318" s="665" t="str">
        <f>[1]K_Summary!J1308</f>
        <v/>
      </c>
      <c r="K1318" s="665" t="str">
        <f>[1]K_Summary!K1308</f>
        <v/>
      </c>
      <c r="L1318" s="665" t="str">
        <f>[1]K_Summary!L1308</f>
        <v/>
      </c>
      <c r="M1318" s="665" t="str">
        <f>[1]K_Summary!M1308</f>
        <v/>
      </c>
      <c r="N1318" s="626"/>
    </row>
    <row r="1319" spans="2:14" ht="12.75" customHeight="1" thickBot="1" x14ac:dyDescent="0.3">
      <c r="B1319" s="284"/>
      <c r="C1319" s="302"/>
      <c r="D1319" s="302"/>
      <c r="E1319" s="625"/>
      <c r="F1319" s="625"/>
      <c r="G1319" s="625"/>
      <c r="H1319" s="625"/>
      <c r="I1319" s="640"/>
      <c r="J1319" s="640"/>
      <c r="K1319" s="640"/>
      <c r="L1319" s="640"/>
      <c r="M1319" s="640"/>
      <c r="N1319" s="626"/>
    </row>
    <row r="1320" spans="2:14" ht="12.75" customHeight="1" thickBot="1" x14ac:dyDescent="0.3">
      <c r="B1320" s="284"/>
      <c r="C1320" s="302"/>
      <c r="D1320" s="302"/>
      <c r="E1320" s="630" t="str">
        <f>[1]K_Summary!E1310</f>
        <v>Общо зададени емисии</v>
      </c>
      <c r="F1320" s="630"/>
      <c r="G1320" s="630"/>
      <c r="H1320" s="631" t="str">
        <f>[1]K_Summary!H1310</f>
        <v>t CO2e/година</v>
      </c>
      <c r="I1320" s="661" t="str">
        <f>[1]K_Summary!I1310</f>
        <v/>
      </c>
      <c r="J1320" s="662" t="str">
        <f>[1]K_Summary!J1310</f>
        <v/>
      </c>
      <c r="K1320" s="662" t="str">
        <f>[1]K_Summary!K1310</f>
        <v/>
      </c>
      <c r="L1320" s="662" t="str">
        <f>[1]K_Summary!L1310</f>
        <v/>
      </c>
      <c r="M1320" s="663" t="str">
        <f>[1]K_Summary!M1310</f>
        <v/>
      </c>
      <c r="N1320" s="626"/>
    </row>
    <row r="1321" spans="2:14" ht="12.75" customHeight="1" x14ac:dyDescent="0.25">
      <c r="B1321" s="284"/>
      <c r="C1321" s="302"/>
      <c r="D1321" s="302"/>
      <c r="E1321" s="625"/>
      <c r="F1321" s="625"/>
      <c r="G1321" s="625"/>
      <c r="H1321" s="625"/>
      <c r="I1321" s="635"/>
      <c r="J1321" s="635"/>
      <c r="K1321" s="635"/>
      <c r="L1321" s="635"/>
      <c r="M1321" s="635"/>
      <c r="N1321" s="625"/>
    </row>
    <row r="1322" spans="2:14" ht="12.75" customHeight="1" x14ac:dyDescent="0.25">
      <c r="B1322" s="284"/>
      <c r="C1322" s="302"/>
      <c r="D1322" s="302"/>
      <c r="E1322" s="636" t="str">
        <f>[1]K_Summary!E1312</f>
        <v>Вложени горива</v>
      </c>
      <c r="F1322" s="636"/>
      <c r="G1322" s="636"/>
      <c r="H1322" s="637" t="str">
        <f>[1]K_Summary!H1312</f>
        <v>TJ / година</v>
      </c>
      <c r="I1322" s="482" t="str">
        <f>[1]K_Summary!I1312</f>
        <v/>
      </c>
      <c r="J1322" s="482" t="str">
        <f>[1]K_Summary!J1312</f>
        <v/>
      </c>
      <c r="K1322" s="482" t="str">
        <f>[1]K_Summary!K1312</f>
        <v/>
      </c>
      <c r="L1322" s="482" t="str">
        <f>[1]K_Summary!L1312</f>
        <v/>
      </c>
      <c r="M1322" s="482" t="str">
        <f>[1]K_Summary!M1312</f>
        <v/>
      </c>
      <c r="N1322" s="626"/>
    </row>
    <row r="1323" spans="2:14" ht="12.75" customHeight="1" x14ac:dyDescent="0.25">
      <c r="B1323" s="284"/>
      <c r="C1323" s="302"/>
      <c r="D1323" s="302"/>
      <c r="E1323" s="638" t="str">
        <f>[1]K_Summary!E1313</f>
        <v>Претеглен емисионен фактор</v>
      </c>
      <c r="F1323" s="638"/>
      <c r="G1323" s="638"/>
      <c r="H1323" s="639" t="str">
        <f>[1]K_Summary!H1313</f>
        <v>t CO2 / TJ</v>
      </c>
      <c r="I1323" s="484" t="str">
        <f>[1]K_Summary!I1313</f>
        <v/>
      </c>
      <c r="J1323" s="484" t="str">
        <f>[1]K_Summary!J1313</f>
        <v/>
      </c>
      <c r="K1323" s="484" t="str">
        <f>[1]K_Summary!K1313</f>
        <v/>
      </c>
      <c r="L1323" s="484" t="str">
        <f>[1]K_Summary!L1313</f>
        <v/>
      </c>
      <c r="M1323" s="484" t="str">
        <f>[1]K_Summary!M1313</f>
        <v/>
      </c>
      <c r="N1323" s="626"/>
    </row>
    <row r="1324" spans="2:14" ht="12.75" customHeight="1" x14ac:dyDescent="0.25">
      <c r="B1324" s="284"/>
      <c r="C1324" s="302"/>
      <c r="D1324" s="302"/>
      <c r="E1324" s="636" t="str">
        <f>[1]K_Summary!E1314</f>
        <v>Вложени горива от отпадъчни газове</v>
      </c>
      <c r="F1324" s="636"/>
      <c r="G1324" s="636"/>
      <c r="H1324" s="637" t="str">
        <f>[1]K_Summary!H1314</f>
        <v>TJ / година</v>
      </c>
      <c r="I1324" s="482" t="str">
        <f>[1]K_Summary!I1314</f>
        <v/>
      </c>
      <c r="J1324" s="482" t="str">
        <f>[1]K_Summary!J1314</f>
        <v/>
      </c>
      <c r="K1324" s="482" t="str">
        <f>[1]K_Summary!K1314</f>
        <v/>
      </c>
      <c r="L1324" s="482" t="str">
        <f>[1]K_Summary!L1314</f>
        <v/>
      </c>
      <c r="M1324" s="482" t="str">
        <f>[1]K_Summary!M1314</f>
        <v/>
      </c>
      <c r="N1324" s="626"/>
    </row>
    <row r="1325" spans="2:14" ht="12.75" customHeight="1" x14ac:dyDescent="0.25">
      <c r="B1325" s="284"/>
      <c r="C1325" s="302"/>
      <c r="D1325" s="302"/>
      <c r="E1325" s="638" t="str">
        <f>[1]K_Summary!E1315</f>
        <v>Претеглен емисионен фактор</v>
      </c>
      <c r="F1325" s="638"/>
      <c r="G1325" s="638"/>
      <c r="H1325" s="639" t="str">
        <f>[1]K_Summary!H1315</f>
        <v>t CO2 / TJ</v>
      </c>
      <c r="I1325" s="484" t="str">
        <f>[1]K_Summary!I1315</f>
        <v/>
      </c>
      <c r="J1325" s="484" t="str">
        <f>[1]K_Summary!J1315</f>
        <v/>
      </c>
      <c r="K1325" s="484" t="str">
        <f>[1]K_Summary!K1315</f>
        <v/>
      </c>
      <c r="L1325" s="484" t="str">
        <f>[1]K_Summary!L1315</f>
        <v/>
      </c>
      <c r="M1325" s="484" t="str">
        <f>[1]K_Summary!M1315</f>
        <v/>
      </c>
      <c r="N1325" s="626"/>
    </row>
    <row r="1326" spans="2:14" ht="12.75" customHeight="1" x14ac:dyDescent="0.25">
      <c r="B1326" s="284"/>
      <c r="C1326" s="302"/>
      <c r="D1326" s="302"/>
      <c r="E1326" s="636" t="str">
        <f>[1]K_Summary!E1316</f>
        <v>Вложена електроенергия за производството на топлинна енергия</v>
      </c>
      <c r="F1326" s="636"/>
      <c r="G1326" s="636"/>
      <c r="H1326" s="637" t="str">
        <f>[1]K_Summary!H1316</f>
        <v>TJ / година</v>
      </c>
      <c r="I1326" s="482" t="str">
        <f>[1]K_Summary!I1316</f>
        <v/>
      </c>
      <c r="J1326" s="482" t="str">
        <f>[1]K_Summary!J1316</f>
        <v/>
      </c>
      <c r="K1326" s="482" t="str">
        <f>[1]K_Summary!K1316</f>
        <v/>
      </c>
      <c r="L1326" s="482" t="str">
        <f>[1]K_Summary!L1316</f>
        <v/>
      </c>
      <c r="M1326" s="482" t="str">
        <f>[1]K_Summary!M1316</f>
        <v/>
      </c>
      <c r="N1326" s="626"/>
    </row>
    <row r="1327" spans="2:14" ht="12.75" customHeight="1" x14ac:dyDescent="0.25">
      <c r="B1327" s="284"/>
      <c r="C1327" s="302"/>
      <c r="D1327" s="302"/>
      <c r="E1327" s="638" t="str">
        <f>[1]K_Summary!E1317</f>
        <v>Претеглен емисионен фактор</v>
      </c>
      <c r="F1327" s="638"/>
      <c r="G1327" s="638"/>
      <c r="H1327" s="639" t="str">
        <f>[1]K_Summary!H1317</f>
        <v>t CO2 / TJ</v>
      </c>
      <c r="I1327" s="484" t="str">
        <f>[1]K_Summary!I1317</f>
        <v/>
      </c>
      <c r="J1327" s="484" t="str">
        <f>[1]K_Summary!J1317</f>
        <v/>
      </c>
      <c r="K1327" s="484" t="str">
        <f>[1]K_Summary!K1317</f>
        <v/>
      </c>
      <c r="L1327" s="484" t="str">
        <f>[1]K_Summary!L1317</f>
        <v/>
      </c>
      <c r="M1327" s="484" t="str">
        <f>[1]K_Summary!M1317</f>
        <v/>
      </c>
      <c r="N1327" s="626"/>
    </row>
    <row r="1328" spans="2:14" ht="12.75" customHeight="1" x14ac:dyDescent="0.25">
      <c r="B1328" s="284"/>
      <c r="C1328" s="302"/>
      <c r="D1328" s="302"/>
      <c r="E1328" s="636" t="str">
        <f>[1]K_Summary!E1318</f>
        <v>Друга вложена енергия (например екзотермична топлина)</v>
      </c>
      <c r="F1328" s="636"/>
      <c r="G1328" s="636"/>
      <c r="H1328" s="637" t="str">
        <f>[1]K_Summary!H1318</f>
        <v>TJ / година</v>
      </c>
      <c r="I1328" s="482" t="str">
        <f>[1]K_Summary!I1318</f>
        <v/>
      </c>
      <c r="J1328" s="482" t="str">
        <f>[1]K_Summary!J1318</f>
        <v/>
      </c>
      <c r="K1328" s="482" t="str">
        <f>[1]K_Summary!K1318</f>
        <v/>
      </c>
      <c r="L1328" s="482" t="str">
        <f>[1]K_Summary!L1318</f>
        <v/>
      </c>
      <c r="M1328" s="482" t="str">
        <f>[1]K_Summary!M1318</f>
        <v/>
      </c>
      <c r="N1328" s="626"/>
    </row>
    <row r="1329" spans="2:14" ht="12.75" customHeight="1" x14ac:dyDescent="0.25">
      <c r="B1329" s="284"/>
      <c r="C1329" s="302"/>
      <c r="D1329" s="302"/>
      <c r="E1329" s="638" t="str">
        <f>[1]K_Summary!E1319</f>
        <v>Претеглен емисионен фактор</v>
      </c>
      <c r="F1329" s="638"/>
      <c r="G1329" s="638"/>
      <c r="H1329" s="639" t="str">
        <f>[1]K_Summary!H1319</f>
        <v>t CO2 / TJ</v>
      </c>
      <c r="I1329" s="484" t="str">
        <f>[1]K_Summary!I1319</f>
        <v/>
      </c>
      <c r="J1329" s="484" t="str">
        <f>[1]K_Summary!J1319</f>
        <v/>
      </c>
      <c r="K1329" s="484" t="str">
        <f>[1]K_Summary!K1319</f>
        <v/>
      </c>
      <c r="L1329" s="484" t="str">
        <f>[1]K_Summary!L1319</f>
        <v/>
      </c>
      <c r="M1329" s="484" t="str">
        <f>[1]K_Summary!M1319</f>
        <v/>
      </c>
      <c r="N1329" s="626"/>
    </row>
    <row r="1330" spans="2:14" ht="12.75" customHeight="1" x14ac:dyDescent="0.25">
      <c r="B1330" s="284"/>
      <c r="C1330" s="302"/>
      <c r="D1330" s="302"/>
      <c r="E1330" s="641" t="str">
        <f>[1]K_Summary!E1320</f>
        <v>Обща вложена енергия (= i. + v. + vii.)</v>
      </c>
      <c r="F1330" s="641"/>
      <c r="G1330" s="641"/>
      <c r="H1330" s="642" t="str">
        <f>[1]K_Summary!H1320</f>
        <v>TJ / година</v>
      </c>
      <c r="I1330" s="480" t="str">
        <f>[1]K_Summary!I1320</f>
        <v/>
      </c>
      <c r="J1330" s="480" t="str">
        <f>[1]K_Summary!J1320</f>
        <v/>
      </c>
      <c r="K1330" s="480" t="str">
        <f>[1]K_Summary!K1320</f>
        <v/>
      </c>
      <c r="L1330" s="480" t="str">
        <f>[1]K_Summary!L1320</f>
        <v/>
      </c>
      <c r="M1330" s="480" t="str">
        <f>[1]K_Summary!M1320</f>
        <v/>
      </c>
      <c r="N1330" s="626"/>
    </row>
    <row r="1331" spans="2:14" ht="12.75" customHeight="1" x14ac:dyDescent="0.25">
      <c r="B1331" s="284"/>
      <c r="C1331" s="302"/>
      <c r="D1331" s="302"/>
      <c r="E1331" s="625"/>
      <c r="F1331" s="626"/>
      <c r="G1331" s="626"/>
      <c r="H1331" s="626"/>
      <c r="I1331" s="640"/>
      <c r="J1331" s="640"/>
      <c r="K1331" s="640"/>
      <c r="L1331" s="640"/>
      <c r="M1331" s="640"/>
      <c r="N1331" s="626"/>
    </row>
    <row r="1332" spans="2:14" ht="12.75" customHeight="1" x14ac:dyDescent="0.25">
      <c r="B1332" s="284"/>
      <c r="C1332" s="302"/>
      <c r="D1332" s="302"/>
      <c r="E1332" s="641" t="str">
        <f>[1]K_Summary!E1322</f>
        <v>Преки емисии</v>
      </c>
      <c r="F1332" s="641"/>
      <c r="G1332" s="641"/>
      <c r="H1332" s="642" t="str">
        <f>[1]K_Summary!H1322</f>
        <v>t CO2 / година</v>
      </c>
      <c r="I1332" s="480" t="str">
        <f>[1]K_Summary!I1322</f>
        <v/>
      </c>
      <c r="J1332" s="480" t="str">
        <f>[1]K_Summary!J1322</f>
        <v/>
      </c>
      <c r="K1332" s="480" t="str">
        <f>[1]K_Summary!K1322</f>
        <v/>
      </c>
      <c r="L1332" s="480" t="str">
        <f>[1]K_Summary!L1322</f>
        <v/>
      </c>
      <c r="M1332" s="480" t="str">
        <f>[1]K_Summary!M1322</f>
        <v/>
      </c>
      <c r="N1332" s="626"/>
    </row>
    <row r="1333" spans="2:14" ht="12.75" customHeight="1" x14ac:dyDescent="0.25">
      <c r="B1333" s="284"/>
      <c r="C1333" s="302"/>
      <c r="D1333" s="302"/>
      <c r="E1333" s="625"/>
      <c r="F1333" s="625"/>
      <c r="G1333" s="625"/>
      <c r="H1333" s="625"/>
      <c r="I1333" s="640"/>
      <c r="J1333" s="640"/>
      <c r="K1333" s="640"/>
      <c r="L1333" s="640"/>
      <c r="M1333" s="640"/>
      <c r="N1333" s="626"/>
    </row>
    <row r="1334" spans="2:14" ht="12.75" customHeight="1" x14ac:dyDescent="0.25">
      <c r="B1334" s="284"/>
      <c r="C1334" s="302"/>
      <c r="D1334" s="302"/>
      <c r="E1334" s="636" t="str">
        <f>[1]K_Summary!E1324</f>
        <v>Нетно к-во получена топлинна енергия (други)</v>
      </c>
      <c r="F1334" s="636"/>
      <c r="G1334" s="636"/>
      <c r="H1334" s="637" t="str">
        <f>[1]K_Summary!H1324</f>
        <v>TJ / година</v>
      </c>
      <c r="I1334" s="482" t="str">
        <f>[1]K_Summary!I1324</f>
        <v/>
      </c>
      <c r="J1334" s="482" t="str">
        <f>[1]K_Summary!J1324</f>
        <v/>
      </c>
      <c r="K1334" s="482" t="str">
        <f>[1]K_Summary!K1324</f>
        <v/>
      </c>
      <c r="L1334" s="482" t="str">
        <f>[1]K_Summary!L1324</f>
        <v/>
      </c>
      <c r="M1334" s="482" t="str">
        <f>[1]K_Summary!M1324</f>
        <v/>
      </c>
      <c r="N1334" s="626"/>
    </row>
    <row r="1335" spans="2:14" ht="12.75" customHeight="1" x14ac:dyDescent="0.25">
      <c r="B1335" s="284"/>
      <c r="C1335" s="302"/>
      <c r="D1335" s="302"/>
      <c r="E1335" s="638" t="str">
        <f>[1]K_Summary!E1325</f>
        <v>Специфичен EF (получена топлинна енергия)</v>
      </c>
      <c r="F1335" s="638"/>
      <c r="G1335" s="638"/>
      <c r="H1335" s="639" t="str">
        <f>[1]K_Summary!H1325</f>
        <v>t CO2 / TJ</v>
      </c>
      <c r="I1335" s="484" t="str">
        <f>[1]K_Summary!I1325</f>
        <v/>
      </c>
      <c r="J1335" s="484" t="str">
        <f>[1]K_Summary!J1325</f>
        <v/>
      </c>
      <c r="K1335" s="484" t="str">
        <f>[1]K_Summary!K1325</f>
        <v/>
      </c>
      <c r="L1335" s="484" t="str">
        <f>[1]K_Summary!L1325</f>
        <v/>
      </c>
      <c r="M1335" s="484" t="str">
        <f>[1]K_Summary!M1325</f>
        <v/>
      </c>
      <c r="N1335" s="626"/>
    </row>
    <row r="1336" spans="2:14" ht="12.75" customHeight="1" x14ac:dyDescent="0.25">
      <c r="B1336" s="284"/>
      <c r="C1336" s="302"/>
      <c r="D1336" s="302"/>
      <c r="E1336" s="636" t="str">
        <f>[1]K_Summary!E1326</f>
        <v>Нетно к-во получена топлинна енергия (прод. п-л)</v>
      </c>
      <c r="F1336" s="636"/>
      <c r="G1336" s="636"/>
      <c r="H1336" s="637" t="str">
        <f>[1]K_Summary!H1326</f>
        <v>TJ / година</v>
      </c>
      <c r="I1336" s="482" t="str">
        <f>[1]K_Summary!I1326</f>
        <v/>
      </c>
      <c r="J1336" s="482" t="str">
        <f>[1]K_Summary!J1326</f>
        <v/>
      </c>
      <c r="K1336" s="482" t="str">
        <f>[1]K_Summary!K1326</f>
        <v/>
      </c>
      <c r="L1336" s="482" t="str">
        <f>[1]K_Summary!L1326</f>
        <v/>
      </c>
      <c r="M1336" s="482" t="str">
        <f>[1]K_Summary!M1326</f>
        <v/>
      </c>
      <c r="N1336" s="626"/>
    </row>
    <row r="1337" spans="2:14" ht="12.75" customHeight="1" x14ac:dyDescent="0.25">
      <c r="B1337" s="284"/>
      <c r="C1337" s="302"/>
      <c r="D1337" s="302"/>
      <c r="E1337" s="638" t="str">
        <f>[1]K_Summary!E1327</f>
        <v>Специфичен EF (от продуктов показател)</v>
      </c>
      <c r="F1337" s="638"/>
      <c r="G1337" s="638"/>
      <c r="H1337" s="639" t="str">
        <f>[1]K_Summary!H1327</f>
        <v>t CO2 / TJ</v>
      </c>
      <c r="I1337" s="484" t="str">
        <f>[1]K_Summary!I1327</f>
        <v/>
      </c>
      <c r="J1337" s="484" t="str">
        <f>[1]K_Summary!J1327</f>
        <v/>
      </c>
      <c r="K1337" s="484" t="str">
        <f>[1]K_Summary!K1327</f>
        <v/>
      </c>
      <c r="L1337" s="484" t="str">
        <f>[1]K_Summary!L1327</f>
        <v/>
      </c>
      <c r="M1337" s="484" t="str">
        <f>[1]K_Summary!M1327</f>
        <v/>
      </c>
      <c r="N1337" s="626"/>
    </row>
    <row r="1338" spans="2:14" ht="12.75" customHeight="1" x14ac:dyDescent="0.25">
      <c r="B1338" s="284"/>
      <c r="C1338" s="302"/>
      <c r="D1338" s="302"/>
      <c r="E1338" s="636" t="str">
        <f>[1]K_Summary!E1328</f>
        <v>Нетно к-во получена топлинна енергия (пулп)</v>
      </c>
      <c r="F1338" s="636"/>
      <c r="G1338" s="636"/>
      <c r="H1338" s="637" t="str">
        <f>[1]K_Summary!H1328</f>
        <v>TJ / година</v>
      </c>
      <c r="I1338" s="482" t="str">
        <f>[1]K_Summary!I1328</f>
        <v/>
      </c>
      <c r="J1338" s="482" t="str">
        <f>[1]K_Summary!J1328</f>
        <v/>
      </c>
      <c r="K1338" s="482" t="str">
        <f>[1]K_Summary!K1328</f>
        <v/>
      </c>
      <c r="L1338" s="482" t="str">
        <f>[1]K_Summary!L1328</f>
        <v/>
      </c>
      <c r="M1338" s="482" t="str">
        <f>[1]K_Summary!M1328</f>
        <v/>
      </c>
      <c r="N1338" s="626"/>
    </row>
    <row r="1339" spans="2:14" ht="12.75" customHeight="1" x14ac:dyDescent="0.25">
      <c r="B1339" s="284"/>
      <c r="C1339" s="302"/>
      <c r="D1339" s="302"/>
      <c r="E1339" s="638" t="str">
        <f>[1]K_Summary!E1329</f>
        <v>Специфичен EF (от пулп)</v>
      </c>
      <c r="F1339" s="638"/>
      <c r="G1339" s="638"/>
      <c r="H1339" s="639" t="str">
        <f>[1]K_Summary!H1329</f>
        <v>t CO2 / TJ</v>
      </c>
      <c r="I1339" s="484" t="str">
        <f>[1]K_Summary!I1329</f>
        <v/>
      </c>
      <c r="J1339" s="484" t="str">
        <f>[1]K_Summary!J1329</f>
        <v/>
      </c>
      <c r="K1339" s="484" t="str">
        <f>[1]K_Summary!K1329</f>
        <v/>
      </c>
      <c r="L1339" s="484" t="str">
        <f>[1]K_Summary!L1329</f>
        <v/>
      </c>
      <c r="M1339" s="484" t="str">
        <f>[1]K_Summary!M1329</f>
        <v/>
      </c>
      <c r="N1339" s="626"/>
    </row>
    <row r="1340" spans="2:14" ht="12.75" customHeight="1" x14ac:dyDescent="0.25">
      <c r="B1340" s="284"/>
      <c r="C1340" s="302"/>
      <c r="D1340" s="302"/>
      <c r="E1340" s="636" t="str">
        <f>[1]K_Summary!E1330</f>
        <v>Нетно к-во получена топлинна енергия (горивен п-л)</v>
      </c>
      <c r="F1340" s="636"/>
      <c r="G1340" s="636"/>
      <c r="H1340" s="637" t="str">
        <f>[1]K_Summary!H1330</f>
        <v>TJ / година</v>
      </c>
      <c r="I1340" s="482" t="str">
        <f>[1]K_Summary!I1330</f>
        <v/>
      </c>
      <c r="J1340" s="482" t="str">
        <f>[1]K_Summary!J1330</f>
        <v/>
      </c>
      <c r="K1340" s="482" t="str">
        <f>[1]K_Summary!K1330</f>
        <v/>
      </c>
      <c r="L1340" s="482" t="str">
        <f>[1]K_Summary!L1330</f>
        <v/>
      </c>
      <c r="M1340" s="482" t="str">
        <f>[1]K_Summary!M1330</f>
        <v/>
      </c>
      <c r="N1340" s="626"/>
    </row>
    <row r="1341" spans="2:14" ht="12.75" customHeight="1" x14ac:dyDescent="0.25">
      <c r="B1341" s="284"/>
      <c r="C1341" s="302"/>
      <c r="D1341" s="302"/>
      <c r="E1341" s="638" t="str">
        <f>[1]K_Summary!E1331</f>
        <v>Специфичен EF (от горивен показател)</v>
      </c>
      <c r="F1341" s="638"/>
      <c r="G1341" s="638"/>
      <c r="H1341" s="639" t="str">
        <f>[1]K_Summary!H1331</f>
        <v>t CO2 / TJ</v>
      </c>
      <c r="I1341" s="484" t="str">
        <f>[1]K_Summary!I1331</f>
        <v/>
      </c>
      <c r="J1341" s="484" t="str">
        <f>[1]K_Summary!J1331</f>
        <v/>
      </c>
      <c r="K1341" s="484" t="str">
        <f>[1]K_Summary!K1331</f>
        <v/>
      </c>
      <c r="L1341" s="484" t="str">
        <f>[1]K_Summary!L1331</f>
        <v/>
      </c>
      <c r="M1341" s="484" t="str">
        <f>[1]K_Summary!M1331</f>
        <v/>
      </c>
      <c r="N1341" s="626"/>
    </row>
    <row r="1342" spans="2:14" ht="12.75" customHeight="1" x14ac:dyDescent="0.25">
      <c r="B1342" s="284"/>
      <c r="C1342" s="302"/>
      <c r="D1342" s="302"/>
      <c r="E1342" s="636" t="str">
        <f>[1]K_Summary!E1332</f>
        <v>Нетно к-во получена топлинна енергия (отпадъчни газове)</v>
      </c>
      <c r="F1342" s="636"/>
      <c r="G1342" s="636"/>
      <c r="H1342" s="637" t="str">
        <f>[1]K_Summary!H1332</f>
        <v>TJ / година</v>
      </c>
      <c r="I1342" s="482" t="str">
        <f>[1]K_Summary!I1332</f>
        <v/>
      </c>
      <c r="J1342" s="482" t="str">
        <f>[1]K_Summary!J1332</f>
        <v/>
      </c>
      <c r="K1342" s="482" t="str">
        <f>[1]K_Summary!K1332</f>
        <v/>
      </c>
      <c r="L1342" s="482" t="str">
        <f>[1]K_Summary!L1332</f>
        <v/>
      </c>
      <c r="M1342" s="482" t="str">
        <f>[1]K_Summary!M1332</f>
        <v/>
      </c>
      <c r="N1342" s="626"/>
    </row>
    <row r="1343" spans="2:14" ht="12.75" customHeight="1" x14ac:dyDescent="0.25">
      <c r="B1343" s="284"/>
      <c r="C1343" s="302"/>
      <c r="D1343" s="302"/>
      <c r="E1343" s="638" t="str">
        <f>[1]K_Summary!E1333</f>
        <v>Специфичен EF (от отпадъчен газ)</v>
      </c>
      <c r="F1343" s="638"/>
      <c r="G1343" s="638"/>
      <c r="H1343" s="639" t="str">
        <f>[1]K_Summary!H1333</f>
        <v>t CO2 / TJ</v>
      </c>
      <c r="I1343" s="484" t="str">
        <f>[1]K_Summary!I1333</f>
        <v/>
      </c>
      <c r="J1343" s="484" t="str">
        <f>[1]K_Summary!J1333</f>
        <v/>
      </c>
      <c r="K1343" s="484" t="str">
        <f>[1]K_Summary!K1333</f>
        <v/>
      </c>
      <c r="L1343" s="484" t="str">
        <f>[1]K_Summary!L1333</f>
        <v/>
      </c>
      <c r="M1343" s="484" t="str">
        <f>[1]K_Summary!M1333</f>
        <v/>
      </c>
      <c r="N1343" s="626"/>
    </row>
    <row r="1344" spans="2:14" ht="12.75" customHeight="1" x14ac:dyDescent="0.25">
      <c r="B1344" s="284"/>
      <c r="C1344" s="302"/>
      <c r="D1344" s="302"/>
      <c r="E1344" s="626"/>
      <c r="F1344" s="626"/>
      <c r="G1344" s="626"/>
      <c r="H1344" s="626"/>
      <c r="I1344" s="626"/>
      <c r="J1344" s="626"/>
      <c r="K1344" s="626"/>
      <c r="L1344" s="626"/>
      <c r="M1344" s="626"/>
      <c r="N1344" s="626"/>
    </row>
    <row r="1345" spans="2:14" ht="12.75" customHeight="1" thickBot="1" x14ac:dyDescent="0.3">
      <c r="B1345" s="284"/>
      <c r="C1345" s="302"/>
      <c r="D1345" s="302"/>
      <c r="E1345" s="302"/>
      <c r="F1345" s="302"/>
      <c r="G1345" s="302"/>
      <c r="H1345" s="364"/>
      <c r="I1345" s="364"/>
      <c r="J1345" s="364"/>
      <c r="K1345" s="364"/>
      <c r="L1345" s="364"/>
      <c r="M1345" s="302"/>
      <c r="N1345" s="302"/>
    </row>
    <row r="1346" spans="2:14" ht="12.75" customHeight="1" thickBot="1" x14ac:dyDescent="0.3">
      <c r="B1346" s="284"/>
      <c r="C1346" s="581"/>
      <c r="D1346" s="581"/>
      <c r="E1346" s="581"/>
      <c r="F1346" s="581"/>
      <c r="G1346" s="581"/>
      <c r="H1346" s="581"/>
      <c r="I1346" s="581"/>
      <c r="J1346" s="581"/>
      <c r="K1346" s="581"/>
      <c r="L1346" s="581"/>
      <c r="M1346" s="581"/>
      <c r="N1346" s="581"/>
    </row>
    <row r="1347" spans="2:14" ht="12.75" customHeight="1" thickBot="1" x14ac:dyDescent="0.35">
      <c r="B1347" s="284"/>
      <c r="C1347" s="357">
        <f>[1]K_Summary!C1337</f>
        <v>14</v>
      </c>
      <c r="D1347" s="358" t="str">
        <f>[1]K_Summary!D1337</f>
        <v>Алтернативна подинсталация („Fall-Back sub-installation“) 4:</v>
      </c>
      <c r="E1347" s="359"/>
      <c r="F1347" s="359"/>
      <c r="G1347" s="359"/>
      <c r="H1347" s="497"/>
      <c r="I1347" s="649" t="str">
        <f>[1]K_Summary!I1337</f>
        <v>Подинсталация на топлофикационна мрежа</v>
      </c>
      <c r="J1347" s="650"/>
      <c r="K1347" s="650"/>
      <c r="L1347" s="651"/>
      <c r="M1347" s="652" t="str">
        <f>[1]K_Summary!M1337</f>
        <v/>
      </c>
      <c r="N1347" s="653"/>
    </row>
    <row r="1348" spans="2:14" ht="12.75" customHeight="1" thickBot="1" x14ac:dyDescent="0.3">
      <c r="B1348" s="284"/>
      <c r="C1348" s="302"/>
      <c r="D1348" s="302"/>
      <c r="E1348" s="302"/>
      <c r="F1348" s="302"/>
      <c r="G1348" s="302"/>
      <c r="H1348" s="302"/>
      <c r="I1348" s="302"/>
      <c r="J1348" s="302"/>
      <c r="K1348" s="302"/>
      <c r="L1348" s="302"/>
      <c r="M1348" s="302"/>
      <c r="N1348" s="302"/>
    </row>
    <row r="1349" spans="2:14" ht="12.75" customHeight="1" x14ac:dyDescent="0.25">
      <c r="B1349" s="284"/>
      <c r="C1349" s="302"/>
      <c r="D1349" s="302"/>
      <c r="E1349" s="302"/>
      <c r="F1349" s="302"/>
      <c r="G1349" s="302"/>
      <c r="H1349" s="595" t="str">
        <f>[1]K_Summary!H1339</f>
        <v>Риск от ИВЕ</v>
      </c>
      <c r="I1349" s="595" t="str">
        <f>[1]K_Summary!I1339</f>
        <v>В/Е</v>
      </c>
      <c r="J1349" s="595" t="str">
        <f>[1]K_Summary!J1339</f>
        <v>15(7).3?</v>
      </c>
      <c r="K1349" s="364"/>
      <c r="L1349" s="654" t="str">
        <f>[1]K_Summary!L1339</f>
        <v>№ на п-л</v>
      </c>
      <c r="M1349" s="598" t="str">
        <f>[1]K_Summary!M1339</f>
        <v>Стойност на показател (мин/макс/действ.)</v>
      </c>
      <c r="N1349" s="599"/>
    </row>
    <row r="1350" spans="2:14" ht="12.75" customHeight="1" x14ac:dyDescent="0.25">
      <c r="B1350" s="284"/>
      <c r="C1350" s="302"/>
      <c r="D1350" s="302"/>
      <c r="E1350" s="361" t="str">
        <f>[1]K_Summary!E1340</f>
        <v>Подинсталация на топлофикационна мрежа</v>
      </c>
      <c r="F1350" s="373"/>
      <c r="G1350" s="362"/>
      <c r="H1350" s="600" t="b">
        <f>[1]K_Summary!H1340</f>
        <v>0</v>
      </c>
      <c r="I1350" s="655" t="str">
        <f>[1]K_Summary!I1340</f>
        <v/>
      </c>
      <c r="J1350" s="600" t="str">
        <f>[1]K_Summary!J1340</f>
        <v/>
      </c>
      <c r="K1350" s="364"/>
      <c r="L1350" s="656">
        <f>[1]K_Summary!L1340</f>
        <v>4</v>
      </c>
      <c r="M1350" s="657" t="str">
        <f>[1]K_Summary!M1340</f>
        <v/>
      </c>
      <c r="N1350" s="604" t="str">
        <f>[1]K_Summary!N1340</f>
        <v>Квота за емисии/TJ</v>
      </c>
    </row>
    <row r="1351" spans="2:14" ht="12.75" customHeight="1" x14ac:dyDescent="0.25">
      <c r="B1351" s="284"/>
      <c r="C1351" s="302"/>
      <c r="D1351" s="364"/>
      <c r="E1351" s="364"/>
      <c r="F1351" s="364"/>
      <c r="G1351" s="364"/>
      <c r="H1351" s="595" t="str">
        <f>[1]K_Summary!H1341</f>
        <v>CBAM</v>
      </c>
      <c r="I1351" s="364"/>
      <c r="J1351" s="364"/>
      <c r="K1351" s="364"/>
      <c r="L1351" s="364"/>
      <c r="M1351" s="657" t="str">
        <f>[1]K_Summary!M1341</f>
        <v/>
      </c>
      <c r="N1351" s="604" t="str">
        <f>[1]K_Summary!N1341</f>
        <v>Квота за емисии/TJ</v>
      </c>
    </row>
    <row r="1352" spans="2:14" ht="12.75" customHeight="1" thickBot="1" x14ac:dyDescent="0.3">
      <c r="B1352" s="284"/>
      <c r="C1352" s="302"/>
      <c r="D1352" s="364"/>
      <c r="E1352" s="364"/>
      <c r="F1352" s="364"/>
      <c r="G1352" s="364"/>
      <c r="H1352" s="600" t="b">
        <f>[1]K_Summary!H1342</f>
        <v>0</v>
      </c>
      <c r="I1352" s="364"/>
      <c r="J1352" s="364"/>
      <c r="K1352" s="364"/>
      <c r="L1352" s="364"/>
      <c r="M1352" s="658" t="str">
        <f>[1]K_Summary!M1342</f>
        <v/>
      </c>
      <c r="N1352" s="611" t="str">
        <f>[1]K_Summary!N1342</f>
        <v>Квота за емисии/TJ</v>
      </c>
    </row>
    <row r="1353" spans="2:14" ht="12.75" customHeight="1" x14ac:dyDescent="0.25">
      <c r="B1353" s="284"/>
      <c r="C1353" s="302"/>
      <c r="D1353" s="302"/>
      <c r="E1353" s="302"/>
      <c r="F1353" s="302"/>
      <c r="G1353" s="302"/>
      <c r="H1353" s="302"/>
      <c r="I1353" s="302"/>
      <c r="J1353" s="302"/>
      <c r="K1353" s="302"/>
      <c r="L1353" s="302"/>
      <c r="M1353" s="302"/>
      <c r="N1353" s="302"/>
    </row>
    <row r="1354" spans="2:14" ht="12.75" customHeight="1" x14ac:dyDescent="0.25">
      <c r="B1354" s="284"/>
      <c r="C1354" s="302"/>
      <c r="D1354" s="302"/>
      <c r="E1354" s="498"/>
      <c r="F1354" s="498"/>
      <c r="G1354" s="380"/>
      <c r="H1354" s="595" t="str">
        <f>[1]K_Summary!H1344</f>
        <v>Единица мярка</v>
      </c>
      <c r="I1354" s="387">
        <f>[1]K_Summary!I1344</f>
        <v>2019</v>
      </c>
      <c r="J1354" s="387">
        <f>[1]K_Summary!J1344</f>
        <v>2020</v>
      </c>
      <c r="K1354" s="387">
        <f>[1]K_Summary!K1344</f>
        <v>2021</v>
      </c>
      <c r="L1354" s="387">
        <f>[1]K_Summary!L1344</f>
        <v>2022</v>
      </c>
      <c r="M1354" s="387">
        <f>[1]K_Summary!M1344</f>
        <v>2023</v>
      </c>
      <c r="N1354" s="302"/>
    </row>
    <row r="1355" spans="2:14" ht="12.75" customHeight="1" x14ac:dyDescent="0.25">
      <c r="B1355" s="284"/>
      <c r="C1355" s="302"/>
      <c r="D1355" s="302"/>
      <c r="E1355" s="614" t="str">
        <f>[1]K_Summary!E1345</f>
        <v>Отчетено HAL (историческо равнище на дейност)</v>
      </c>
      <c r="F1355" s="388"/>
      <c r="G1355" s="615"/>
      <c r="H1355" s="600" t="str">
        <f>[1]K_Summary!H1345</f>
        <v>TJ</v>
      </c>
      <c r="I1355" s="406" t="str">
        <f>[1]K_Summary!I1345</f>
        <v/>
      </c>
      <c r="J1355" s="406" t="str">
        <f>[1]K_Summary!J1345</f>
        <v/>
      </c>
      <c r="K1355" s="406" t="str">
        <f>[1]K_Summary!K1345</f>
        <v/>
      </c>
      <c r="L1355" s="406" t="str">
        <f>[1]K_Summary!L1345</f>
        <v/>
      </c>
      <c r="M1355" s="406" t="str">
        <f>[1]K_Summary!M1345</f>
        <v/>
      </c>
      <c r="N1355" s="596" t="str">
        <f>[1]K_Summary!N1345</f>
        <v>Median</v>
      </c>
    </row>
    <row r="1356" spans="2:14" ht="12.75" customHeight="1" x14ac:dyDescent="0.25">
      <c r="B1356" s="284"/>
      <c r="C1356" s="302"/>
      <c r="D1356" s="302"/>
      <c r="E1356" s="614" t="str">
        <f>[1]K_Summary!E1346</f>
        <v>Стойности, използвани за изчислението на HAL:</v>
      </c>
      <c r="F1356" s="388"/>
      <c r="G1356" s="615"/>
      <c r="H1356" s="600" t="str">
        <f>[1]K_Summary!H1346</f>
        <v>TJ</v>
      </c>
      <c r="I1356" s="659" t="str">
        <f>[1]K_Summary!I1346</f>
        <v/>
      </c>
      <c r="J1356" s="659" t="str">
        <f>[1]K_Summary!J1346</f>
        <v/>
      </c>
      <c r="K1356" s="659" t="str">
        <f>[1]K_Summary!K1346</f>
        <v/>
      </c>
      <c r="L1356" s="659" t="str">
        <f>[1]K_Summary!L1346</f>
        <v/>
      </c>
      <c r="M1356" s="659" t="str">
        <f>[1]K_Summary!M1346</f>
        <v/>
      </c>
      <c r="N1356" s="406" t="str">
        <f>[1]K_Summary!N1346</f>
        <v/>
      </c>
    </row>
    <row r="1357" spans="2:14" ht="12.75" customHeight="1" x14ac:dyDescent="0.25">
      <c r="B1357" s="284"/>
      <c r="C1357" s="302"/>
      <c r="D1357" s="302"/>
      <c r="E1357" s="302"/>
      <c r="F1357" s="302"/>
      <c r="G1357" s="302"/>
      <c r="H1357" s="302"/>
      <c r="I1357" s="302"/>
      <c r="J1357" s="302"/>
      <c r="K1357" s="302"/>
      <c r="L1357" s="302"/>
      <c r="M1357" s="302"/>
      <c r="N1357" s="302"/>
    </row>
    <row r="1358" spans="2:14" ht="12.75" customHeight="1" thickBot="1" x14ac:dyDescent="0.3">
      <c r="B1358" s="284"/>
      <c r="C1358" s="302"/>
      <c r="D1358" s="302"/>
      <c r="E1358" s="302"/>
      <c r="F1358" s="660" t="str">
        <f>[1]K_Summary!F1348</f>
        <v>Общо HAL</v>
      </c>
      <c r="G1358" s="620"/>
      <c r="H1358" s="302"/>
      <c r="I1358" s="619" t="str">
        <f>[1]K_Summary!I1348</f>
        <v>Предв. разпр. за год. 1 (мин)</v>
      </c>
      <c r="J1358" s="620"/>
      <c r="K1358" s="619" t="str">
        <f>[1]K_Summary!K1348</f>
        <v>Предв. разпр. за год. 1 (макс)</v>
      </c>
      <c r="L1358" s="620"/>
      <c r="M1358" s="619" t="str">
        <f>[1]K_Summary!M1348</f>
        <v>Предв. разпр. за год. 1 (действ.)</v>
      </c>
      <c r="N1358" s="620"/>
    </row>
    <row r="1359" spans="2:14" ht="12.75" customHeight="1" thickBot="1" x14ac:dyDescent="0.3">
      <c r="B1359" s="284"/>
      <c r="C1359" s="302"/>
      <c r="D1359" s="302"/>
      <c r="E1359" s="302"/>
      <c r="F1359" s="621" t="str">
        <f>[1]K_Summary!F1349</f>
        <v/>
      </c>
      <c r="G1359" s="624" t="str">
        <f>[1]K_Summary!G1349</f>
        <v>TJ / година</v>
      </c>
      <c r="H1359" s="302"/>
      <c r="I1359" s="623" t="str">
        <f>[1]K_Summary!I1349</f>
        <v/>
      </c>
      <c r="J1359" s="624" t="str">
        <f>[1]K_Summary!J1349</f>
        <v>Квота за емисии / година</v>
      </c>
      <c r="K1359" s="623" t="str">
        <f>[1]K_Summary!K1349</f>
        <v/>
      </c>
      <c r="L1359" s="624" t="str">
        <f>[1]K_Summary!L1349</f>
        <v>Квота за емисии / година</v>
      </c>
      <c r="M1359" s="623" t="str">
        <f>[1]K_Summary!M1349</f>
        <v/>
      </c>
      <c r="N1359" s="624" t="str">
        <f>[1]K_Summary!N1349</f>
        <v>Квота за емисии / година</v>
      </c>
    </row>
    <row r="1360" spans="2:14" ht="12.75" customHeight="1" x14ac:dyDescent="0.25">
      <c r="B1360" s="284"/>
      <c r="C1360" s="302"/>
      <c r="D1360" s="302"/>
      <c r="E1360" s="302"/>
      <c r="F1360" s="302"/>
      <c r="G1360" s="302"/>
      <c r="H1360" s="302"/>
      <c r="I1360" s="302"/>
      <c r="J1360" s="302"/>
      <c r="K1360" s="302"/>
      <c r="L1360" s="302"/>
      <c r="M1360" s="302"/>
      <c r="N1360" s="302"/>
    </row>
    <row r="1361" spans="2:14" ht="12.75" customHeight="1" x14ac:dyDescent="0.25">
      <c r="B1361" s="284"/>
      <c r="C1361" s="302"/>
      <c r="D1361" s="302"/>
      <c r="E1361" s="625"/>
      <c r="F1361" s="626"/>
      <c r="G1361" s="626"/>
      <c r="H1361" s="626"/>
      <c r="I1361" s="626"/>
      <c r="J1361" s="626"/>
      <c r="K1361" s="626"/>
      <c r="L1361" s="626"/>
      <c r="M1361" s="626"/>
      <c r="N1361" s="626"/>
    </row>
    <row r="1362" spans="2:14" ht="12.75" customHeight="1" thickBot="1" x14ac:dyDescent="0.3">
      <c r="B1362" s="284"/>
      <c r="C1362" s="302"/>
      <c r="D1362" s="302"/>
      <c r="E1362" s="625"/>
      <c r="F1362" s="626"/>
      <c r="G1362" s="626"/>
      <c r="H1362" s="627" t="str">
        <f>[1]K_Summary!H1352</f>
        <v>Единица мярка</v>
      </c>
      <c r="I1362" s="666">
        <f>[1]K_Summary!I1352</f>
        <v>2019</v>
      </c>
      <c r="J1362" s="667">
        <f>[1]K_Summary!J1352</f>
        <v>2020</v>
      </c>
      <c r="K1362" s="667">
        <f>[1]K_Summary!K1352</f>
        <v>2021</v>
      </c>
      <c r="L1362" s="667">
        <f>[1]K_Summary!L1352</f>
        <v>2022</v>
      </c>
      <c r="M1362" s="667">
        <f>[1]K_Summary!M1352</f>
        <v>2023</v>
      </c>
      <c r="N1362" s="626"/>
    </row>
    <row r="1363" spans="2:14" ht="12.75" customHeight="1" thickBot="1" x14ac:dyDescent="0.3">
      <c r="B1363" s="284"/>
      <c r="C1363" s="302"/>
      <c r="D1363" s="302"/>
      <c r="E1363" s="630" t="str">
        <f>[1]K_Summary!E1353</f>
        <v>Общо произведена топлинна енергия</v>
      </c>
      <c r="F1363" s="630"/>
      <c r="G1363" s="630"/>
      <c r="H1363" s="631" t="str">
        <f>[1]K_Summary!H1353</f>
        <v>TJ / година</v>
      </c>
      <c r="I1363" s="661" t="str">
        <f>[1]K_Summary!I1353</f>
        <v/>
      </c>
      <c r="J1363" s="662" t="str">
        <f>[1]K_Summary!J1353</f>
        <v/>
      </c>
      <c r="K1363" s="662" t="str">
        <f>[1]K_Summary!K1353</f>
        <v/>
      </c>
      <c r="L1363" s="662" t="str">
        <f>[1]K_Summary!L1353</f>
        <v/>
      </c>
      <c r="M1363" s="663" t="str">
        <f>[1]K_Summary!M1353</f>
        <v/>
      </c>
      <c r="N1363" s="626"/>
    </row>
    <row r="1364" spans="2:14" ht="12.75" customHeight="1" x14ac:dyDescent="0.25">
      <c r="B1364" s="284"/>
      <c r="C1364" s="302"/>
      <c r="D1364" s="302"/>
      <c r="E1364" s="641" t="str">
        <f>[1]K_Summary!E1354</f>
        <v>Топлинна енергия, произведена от електроенергия</v>
      </c>
      <c r="F1364" s="641"/>
      <c r="G1364" s="641"/>
      <c r="H1364" s="664" t="str">
        <f>[1]K_Summary!H1354</f>
        <v>TJ / година</v>
      </c>
      <c r="I1364" s="665" t="str">
        <f>[1]K_Summary!I1354</f>
        <v/>
      </c>
      <c r="J1364" s="665" t="str">
        <f>[1]K_Summary!J1354</f>
        <v/>
      </c>
      <c r="K1364" s="665" t="str">
        <f>[1]K_Summary!K1354</f>
        <v/>
      </c>
      <c r="L1364" s="665" t="str">
        <f>[1]K_Summary!L1354</f>
        <v/>
      </c>
      <c r="M1364" s="665" t="str">
        <f>[1]K_Summary!M1354</f>
        <v/>
      </c>
      <c r="N1364" s="626"/>
    </row>
    <row r="1365" spans="2:14" ht="12.75" customHeight="1" thickBot="1" x14ac:dyDescent="0.3">
      <c r="B1365" s="284"/>
      <c r="C1365" s="302"/>
      <c r="D1365" s="302"/>
      <c r="E1365" s="625"/>
      <c r="F1365" s="625"/>
      <c r="G1365" s="625"/>
      <c r="H1365" s="625"/>
      <c r="I1365" s="640"/>
      <c r="J1365" s="640"/>
      <c r="K1365" s="640"/>
      <c r="L1365" s="640"/>
      <c r="M1365" s="640"/>
      <c r="N1365" s="626"/>
    </row>
    <row r="1366" spans="2:14" ht="12.75" customHeight="1" thickBot="1" x14ac:dyDescent="0.3">
      <c r="B1366" s="284"/>
      <c r="C1366" s="302"/>
      <c r="D1366" s="302"/>
      <c r="E1366" s="630" t="str">
        <f>[1]K_Summary!E1356</f>
        <v>Общо зададени емисии</v>
      </c>
      <c r="F1366" s="630"/>
      <c r="G1366" s="630"/>
      <c r="H1366" s="631" t="str">
        <f>[1]K_Summary!H1356</f>
        <v>t CO2e/година</v>
      </c>
      <c r="I1366" s="661" t="str">
        <f>[1]K_Summary!I1356</f>
        <v/>
      </c>
      <c r="J1366" s="662" t="str">
        <f>[1]K_Summary!J1356</f>
        <v/>
      </c>
      <c r="K1366" s="662" t="str">
        <f>[1]K_Summary!K1356</f>
        <v/>
      </c>
      <c r="L1366" s="662" t="str">
        <f>[1]K_Summary!L1356</f>
        <v/>
      </c>
      <c r="M1366" s="663" t="str">
        <f>[1]K_Summary!M1356</f>
        <v/>
      </c>
      <c r="N1366" s="626"/>
    </row>
    <row r="1367" spans="2:14" ht="12.75" customHeight="1" x14ac:dyDescent="0.25">
      <c r="B1367" s="284"/>
      <c r="C1367" s="302"/>
      <c r="D1367" s="302"/>
      <c r="E1367" s="625"/>
      <c r="F1367" s="625"/>
      <c r="G1367" s="625"/>
      <c r="H1367" s="625"/>
      <c r="I1367" s="635"/>
      <c r="J1367" s="635"/>
      <c r="K1367" s="635"/>
      <c r="L1367" s="635"/>
      <c r="M1367" s="635"/>
      <c r="N1367" s="625"/>
    </row>
    <row r="1368" spans="2:14" ht="12.75" customHeight="1" x14ac:dyDescent="0.25">
      <c r="B1368" s="284"/>
      <c r="C1368" s="302"/>
      <c r="D1368" s="302"/>
      <c r="E1368" s="636" t="str">
        <f>[1]K_Summary!E1358</f>
        <v>Вложени горива</v>
      </c>
      <c r="F1368" s="636"/>
      <c r="G1368" s="636"/>
      <c r="H1368" s="637" t="str">
        <f>[1]K_Summary!H1358</f>
        <v>TJ / година</v>
      </c>
      <c r="I1368" s="482" t="str">
        <f>[1]K_Summary!I1358</f>
        <v/>
      </c>
      <c r="J1368" s="482" t="str">
        <f>[1]K_Summary!J1358</f>
        <v/>
      </c>
      <c r="K1368" s="482" t="str">
        <f>[1]K_Summary!K1358</f>
        <v/>
      </c>
      <c r="L1368" s="482" t="str">
        <f>[1]K_Summary!L1358</f>
        <v/>
      </c>
      <c r="M1368" s="482" t="str">
        <f>[1]K_Summary!M1358</f>
        <v/>
      </c>
      <c r="N1368" s="626"/>
    </row>
    <row r="1369" spans="2:14" ht="12.75" customHeight="1" x14ac:dyDescent="0.25">
      <c r="B1369" s="284"/>
      <c r="C1369" s="302"/>
      <c r="D1369" s="302"/>
      <c r="E1369" s="638" t="str">
        <f>[1]K_Summary!E1359</f>
        <v>Претеглен емисионен фактор</v>
      </c>
      <c r="F1369" s="638"/>
      <c r="G1369" s="638"/>
      <c r="H1369" s="639" t="str">
        <f>[1]K_Summary!H1359</f>
        <v>t CO2 / TJ</v>
      </c>
      <c r="I1369" s="484" t="str">
        <f>[1]K_Summary!I1359</f>
        <v/>
      </c>
      <c r="J1369" s="484" t="str">
        <f>[1]K_Summary!J1359</f>
        <v/>
      </c>
      <c r="K1369" s="484" t="str">
        <f>[1]K_Summary!K1359</f>
        <v/>
      </c>
      <c r="L1369" s="484" t="str">
        <f>[1]K_Summary!L1359</f>
        <v/>
      </c>
      <c r="M1369" s="484" t="str">
        <f>[1]K_Summary!M1359</f>
        <v/>
      </c>
      <c r="N1369" s="626"/>
    </row>
    <row r="1370" spans="2:14" ht="12.75" customHeight="1" x14ac:dyDescent="0.25">
      <c r="B1370" s="284"/>
      <c r="C1370" s="302"/>
      <c r="D1370" s="302"/>
      <c r="E1370" s="636" t="str">
        <f>[1]K_Summary!E1360</f>
        <v>Вложени горива от отпадъчни газове</v>
      </c>
      <c r="F1370" s="636"/>
      <c r="G1370" s="636"/>
      <c r="H1370" s="637" t="str">
        <f>[1]K_Summary!H1360</f>
        <v>TJ / година</v>
      </c>
      <c r="I1370" s="482" t="str">
        <f>[1]K_Summary!I1360</f>
        <v/>
      </c>
      <c r="J1370" s="482" t="str">
        <f>[1]K_Summary!J1360</f>
        <v/>
      </c>
      <c r="K1370" s="482" t="str">
        <f>[1]K_Summary!K1360</f>
        <v/>
      </c>
      <c r="L1370" s="482" t="str">
        <f>[1]K_Summary!L1360</f>
        <v/>
      </c>
      <c r="M1370" s="482" t="str">
        <f>[1]K_Summary!M1360</f>
        <v/>
      </c>
      <c r="N1370" s="626"/>
    </row>
    <row r="1371" spans="2:14" ht="12.75" customHeight="1" x14ac:dyDescent="0.25">
      <c r="B1371" s="284"/>
      <c r="C1371" s="302"/>
      <c r="D1371" s="302"/>
      <c r="E1371" s="638" t="str">
        <f>[1]K_Summary!E1361</f>
        <v>Претеглен емисионен фактор</v>
      </c>
      <c r="F1371" s="638"/>
      <c r="G1371" s="638"/>
      <c r="H1371" s="639" t="str">
        <f>[1]K_Summary!H1361</f>
        <v>t CO2 / TJ</v>
      </c>
      <c r="I1371" s="484" t="str">
        <f>[1]K_Summary!I1361</f>
        <v/>
      </c>
      <c r="J1371" s="484" t="str">
        <f>[1]K_Summary!J1361</f>
        <v/>
      </c>
      <c r="K1371" s="484" t="str">
        <f>[1]K_Summary!K1361</f>
        <v/>
      </c>
      <c r="L1371" s="484" t="str">
        <f>[1]K_Summary!L1361</f>
        <v/>
      </c>
      <c r="M1371" s="484" t="str">
        <f>[1]K_Summary!M1361</f>
        <v/>
      </c>
      <c r="N1371" s="626"/>
    </row>
    <row r="1372" spans="2:14" ht="12.75" customHeight="1" x14ac:dyDescent="0.25">
      <c r="B1372" s="284"/>
      <c r="C1372" s="302"/>
      <c r="D1372" s="302"/>
      <c r="E1372" s="636" t="str">
        <f>[1]K_Summary!E1362</f>
        <v>Вложена електроенергия за производството на топлинна енергия</v>
      </c>
      <c r="F1372" s="636"/>
      <c r="G1372" s="636"/>
      <c r="H1372" s="637" t="str">
        <f>[1]K_Summary!H1362</f>
        <v>TJ / година</v>
      </c>
      <c r="I1372" s="482" t="str">
        <f>[1]K_Summary!I1362</f>
        <v/>
      </c>
      <c r="J1372" s="482" t="str">
        <f>[1]K_Summary!J1362</f>
        <v/>
      </c>
      <c r="K1372" s="482" t="str">
        <f>[1]K_Summary!K1362</f>
        <v/>
      </c>
      <c r="L1372" s="482" t="str">
        <f>[1]K_Summary!L1362</f>
        <v/>
      </c>
      <c r="M1372" s="482" t="str">
        <f>[1]K_Summary!M1362</f>
        <v/>
      </c>
      <c r="N1372" s="626"/>
    </row>
    <row r="1373" spans="2:14" ht="12.75" customHeight="1" x14ac:dyDescent="0.25">
      <c r="B1373" s="284"/>
      <c r="C1373" s="302"/>
      <c r="D1373" s="302"/>
      <c r="E1373" s="638" t="str">
        <f>[1]K_Summary!E1363</f>
        <v>Претеглен емисионен фактор</v>
      </c>
      <c r="F1373" s="638"/>
      <c r="G1373" s="638"/>
      <c r="H1373" s="639" t="str">
        <f>[1]K_Summary!H1363</f>
        <v>t CO2 / TJ</v>
      </c>
      <c r="I1373" s="484" t="str">
        <f>[1]K_Summary!I1363</f>
        <v/>
      </c>
      <c r="J1373" s="484" t="str">
        <f>[1]K_Summary!J1363</f>
        <v/>
      </c>
      <c r="K1373" s="484" t="str">
        <f>[1]K_Summary!K1363</f>
        <v/>
      </c>
      <c r="L1373" s="484" t="str">
        <f>[1]K_Summary!L1363</f>
        <v/>
      </c>
      <c r="M1373" s="484" t="str">
        <f>[1]K_Summary!M1363</f>
        <v/>
      </c>
      <c r="N1373" s="626"/>
    </row>
    <row r="1374" spans="2:14" ht="12.75" customHeight="1" x14ac:dyDescent="0.25">
      <c r="B1374" s="284"/>
      <c r="C1374" s="302"/>
      <c r="D1374" s="302"/>
      <c r="E1374" s="636" t="str">
        <f>[1]K_Summary!E1364</f>
        <v>Друга вложена енергия (например екзотермична топлина)</v>
      </c>
      <c r="F1374" s="636"/>
      <c r="G1374" s="636"/>
      <c r="H1374" s="637" t="str">
        <f>[1]K_Summary!H1364</f>
        <v>TJ / година</v>
      </c>
      <c r="I1374" s="482" t="str">
        <f>[1]K_Summary!I1364</f>
        <v/>
      </c>
      <c r="J1374" s="482" t="str">
        <f>[1]K_Summary!J1364</f>
        <v/>
      </c>
      <c r="K1374" s="482" t="str">
        <f>[1]K_Summary!K1364</f>
        <v/>
      </c>
      <c r="L1374" s="482" t="str">
        <f>[1]K_Summary!L1364</f>
        <v/>
      </c>
      <c r="M1374" s="482" t="str">
        <f>[1]K_Summary!M1364</f>
        <v/>
      </c>
      <c r="N1374" s="626"/>
    </row>
    <row r="1375" spans="2:14" ht="12.75" customHeight="1" x14ac:dyDescent="0.25">
      <c r="B1375" s="284"/>
      <c r="C1375" s="302"/>
      <c r="D1375" s="302"/>
      <c r="E1375" s="638" t="str">
        <f>[1]K_Summary!E1365</f>
        <v>Претеглен емисионен фактор</v>
      </c>
      <c r="F1375" s="638"/>
      <c r="G1375" s="638"/>
      <c r="H1375" s="639" t="str">
        <f>[1]K_Summary!H1365</f>
        <v>t CO2 / TJ</v>
      </c>
      <c r="I1375" s="484" t="str">
        <f>[1]K_Summary!I1365</f>
        <v/>
      </c>
      <c r="J1375" s="484" t="str">
        <f>[1]K_Summary!J1365</f>
        <v/>
      </c>
      <c r="K1375" s="484" t="str">
        <f>[1]K_Summary!K1365</f>
        <v/>
      </c>
      <c r="L1375" s="484" t="str">
        <f>[1]K_Summary!L1365</f>
        <v/>
      </c>
      <c r="M1375" s="484" t="str">
        <f>[1]K_Summary!M1365</f>
        <v/>
      </c>
      <c r="N1375" s="626"/>
    </row>
    <row r="1376" spans="2:14" ht="12.75" customHeight="1" x14ac:dyDescent="0.25">
      <c r="B1376" s="284"/>
      <c r="C1376" s="302"/>
      <c r="D1376" s="302"/>
      <c r="E1376" s="641" t="str">
        <f>[1]K_Summary!E1366</f>
        <v>Обща вложена енергия (= i. + v. + vii.)</v>
      </c>
      <c r="F1376" s="641"/>
      <c r="G1376" s="641"/>
      <c r="H1376" s="642" t="str">
        <f>[1]K_Summary!H1366</f>
        <v>TJ / година</v>
      </c>
      <c r="I1376" s="480" t="str">
        <f>[1]K_Summary!I1366</f>
        <v/>
      </c>
      <c r="J1376" s="480" t="str">
        <f>[1]K_Summary!J1366</f>
        <v/>
      </c>
      <c r="K1376" s="480" t="str">
        <f>[1]K_Summary!K1366</f>
        <v/>
      </c>
      <c r="L1376" s="480" t="str">
        <f>[1]K_Summary!L1366</f>
        <v/>
      </c>
      <c r="M1376" s="480" t="str">
        <f>[1]K_Summary!M1366</f>
        <v/>
      </c>
      <c r="N1376" s="626"/>
    </row>
    <row r="1377" spans="2:14" ht="12.75" customHeight="1" x14ac:dyDescent="0.25">
      <c r="B1377" s="284"/>
      <c r="C1377" s="302"/>
      <c r="D1377" s="302"/>
      <c r="E1377" s="625"/>
      <c r="F1377" s="626"/>
      <c r="G1377" s="626"/>
      <c r="H1377" s="626"/>
      <c r="I1377" s="640"/>
      <c r="J1377" s="640"/>
      <c r="K1377" s="640"/>
      <c r="L1377" s="640"/>
      <c r="M1377" s="640"/>
      <c r="N1377" s="626"/>
    </row>
    <row r="1378" spans="2:14" ht="12.75" customHeight="1" x14ac:dyDescent="0.25">
      <c r="B1378" s="284"/>
      <c r="C1378" s="302"/>
      <c r="D1378" s="302"/>
      <c r="E1378" s="641" t="str">
        <f>[1]K_Summary!E1368</f>
        <v>Преки емисии</v>
      </c>
      <c r="F1378" s="641"/>
      <c r="G1378" s="641"/>
      <c r="H1378" s="642" t="str">
        <f>[1]K_Summary!H1368</f>
        <v>t CO2 / година</v>
      </c>
      <c r="I1378" s="480" t="str">
        <f>[1]K_Summary!I1368</f>
        <v/>
      </c>
      <c r="J1378" s="480" t="str">
        <f>[1]K_Summary!J1368</f>
        <v/>
      </c>
      <c r="K1378" s="480" t="str">
        <f>[1]K_Summary!K1368</f>
        <v/>
      </c>
      <c r="L1378" s="480" t="str">
        <f>[1]K_Summary!L1368</f>
        <v/>
      </c>
      <c r="M1378" s="480" t="str">
        <f>[1]K_Summary!M1368</f>
        <v/>
      </c>
      <c r="N1378" s="626"/>
    </row>
    <row r="1379" spans="2:14" ht="12.75" customHeight="1" x14ac:dyDescent="0.25">
      <c r="B1379" s="284"/>
      <c r="C1379" s="302"/>
      <c r="D1379" s="302"/>
      <c r="E1379" s="625"/>
      <c r="F1379" s="625"/>
      <c r="G1379" s="625"/>
      <c r="H1379" s="625"/>
      <c r="I1379" s="640"/>
      <c r="J1379" s="640"/>
      <c r="K1379" s="640"/>
      <c r="L1379" s="640"/>
      <c r="M1379" s="640"/>
      <c r="N1379" s="626"/>
    </row>
    <row r="1380" spans="2:14" ht="12.75" customHeight="1" x14ac:dyDescent="0.25">
      <c r="B1380" s="284"/>
      <c r="C1380" s="302"/>
      <c r="D1380" s="302"/>
      <c r="E1380" s="636" t="str">
        <f>[1]K_Summary!E1370</f>
        <v>Нетно к-во получена топлинна енергия (други)</v>
      </c>
      <c r="F1380" s="636"/>
      <c r="G1380" s="636"/>
      <c r="H1380" s="637" t="str">
        <f>[1]K_Summary!H1370</f>
        <v>TJ / година</v>
      </c>
      <c r="I1380" s="482" t="str">
        <f>[1]K_Summary!I1370</f>
        <v/>
      </c>
      <c r="J1380" s="482" t="str">
        <f>[1]K_Summary!J1370</f>
        <v/>
      </c>
      <c r="K1380" s="482" t="str">
        <f>[1]K_Summary!K1370</f>
        <v/>
      </c>
      <c r="L1380" s="482" t="str">
        <f>[1]K_Summary!L1370</f>
        <v/>
      </c>
      <c r="M1380" s="482" t="str">
        <f>[1]K_Summary!M1370</f>
        <v/>
      </c>
      <c r="N1380" s="626"/>
    </row>
    <row r="1381" spans="2:14" ht="12.75" customHeight="1" x14ac:dyDescent="0.25">
      <c r="B1381" s="284"/>
      <c r="C1381" s="302"/>
      <c r="D1381" s="302"/>
      <c r="E1381" s="638" t="str">
        <f>[1]K_Summary!E1371</f>
        <v>Специфичен EF (получена топлинна енергия)</v>
      </c>
      <c r="F1381" s="638"/>
      <c r="G1381" s="638"/>
      <c r="H1381" s="639" t="str">
        <f>[1]K_Summary!H1371</f>
        <v>t CO2 / TJ</v>
      </c>
      <c r="I1381" s="484" t="str">
        <f>[1]K_Summary!I1371</f>
        <v/>
      </c>
      <c r="J1381" s="484" t="str">
        <f>[1]K_Summary!J1371</f>
        <v/>
      </c>
      <c r="K1381" s="484" t="str">
        <f>[1]K_Summary!K1371</f>
        <v/>
      </c>
      <c r="L1381" s="484" t="str">
        <f>[1]K_Summary!L1371</f>
        <v/>
      </c>
      <c r="M1381" s="484" t="str">
        <f>[1]K_Summary!M1371</f>
        <v/>
      </c>
      <c r="N1381" s="626"/>
    </row>
    <row r="1382" spans="2:14" ht="12.75" customHeight="1" x14ac:dyDescent="0.25">
      <c r="B1382" s="284"/>
      <c r="C1382" s="302"/>
      <c r="D1382" s="302"/>
      <c r="E1382" s="636" t="str">
        <f>[1]K_Summary!E1372</f>
        <v>Нетно к-во получена топлинна енергия (прод. п-л)</v>
      </c>
      <c r="F1382" s="636"/>
      <c r="G1382" s="636"/>
      <c r="H1382" s="637" t="str">
        <f>[1]K_Summary!H1372</f>
        <v>TJ / година</v>
      </c>
      <c r="I1382" s="482" t="str">
        <f>[1]K_Summary!I1372</f>
        <v/>
      </c>
      <c r="J1382" s="482" t="str">
        <f>[1]K_Summary!J1372</f>
        <v/>
      </c>
      <c r="K1382" s="482" t="str">
        <f>[1]K_Summary!K1372</f>
        <v/>
      </c>
      <c r="L1382" s="482" t="str">
        <f>[1]K_Summary!L1372</f>
        <v/>
      </c>
      <c r="M1382" s="482" t="str">
        <f>[1]K_Summary!M1372</f>
        <v/>
      </c>
      <c r="N1382" s="626"/>
    </row>
    <row r="1383" spans="2:14" ht="12.75" customHeight="1" x14ac:dyDescent="0.25">
      <c r="B1383" s="284"/>
      <c r="C1383" s="302"/>
      <c r="D1383" s="302"/>
      <c r="E1383" s="638" t="str">
        <f>[1]K_Summary!E1373</f>
        <v>Специфичен EF (от продуктов показател)</v>
      </c>
      <c r="F1383" s="638"/>
      <c r="G1383" s="638"/>
      <c r="H1383" s="639" t="str">
        <f>[1]K_Summary!H1373</f>
        <v>t CO2 / TJ</v>
      </c>
      <c r="I1383" s="484" t="str">
        <f>[1]K_Summary!I1373</f>
        <v/>
      </c>
      <c r="J1383" s="484" t="str">
        <f>[1]K_Summary!J1373</f>
        <v/>
      </c>
      <c r="K1383" s="484" t="str">
        <f>[1]K_Summary!K1373</f>
        <v/>
      </c>
      <c r="L1383" s="484" t="str">
        <f>[1]K_Summary!L1373</f>
        <v/>
      </c>
      <c r="M1383" s="484" t="str">
        <f>[1]K_Summary!M1373</f>
        <v/>
      </c>
      <c r="N1383" s="626"/>
    </row>
    <row r="1384" spans="2:14" ht="12.75" customHeight="1" x14ac:dyDescent="0.25">
      <c r="B1384" s="284"/>
      <c r="C1384" s="302"/>
      <c r="D1384" s="302"/>
      <c r="E1384" s="636" t="str">
        <f>[1]K_Summary!E1374</f>
        <v>Нетно к-во получена топлинна енергия (пулп)</v>
      </c>
      <c r="F1384" s="636"/>
      <c r="G1384" s="636"/>
      <c r="H1384" s="637" t="str">
        <f>[1]K_Summary!H1374</f>
        <v>TJ / година</v>
      </c>
      <c r="I1384" s="482" t="str">
        <f>[1]K_Summary!I1374</f>
        <v/>
      </c>
      <c r="J1384" s="482" t="str">
        <f>[1]K_Summary!J1374</f>
        <v/>
      </c>
      <c r="K1384" s="482" t="str">
        <f>[1]K_Summary!K1374</f>
        <v/>
      </c>
      <c r="L1384" s="482" t="str">
        <f>[1]K_Summary!L1374</f>
        <v/>
      </c>
      <c r="M1384" s="482" t="str">
        <f>[1]K_Summary!M1374</f>
        <v/>
      </c>
      <c r="N1384" s="626"/>
    </row>
    <row r="1385" spans="2:14" ht="12.75" customHeight="1" x14ac:dyDescent="0.25">
      <c r="B1385" s="284"/>
      <c r="C1385" s="302"/>
      <c r="D1385" s="302"/>
      <c r="E1385" s="638" t="str">
        <f>[1]K_Summary!E1375</f>
        <v>Специфичен EF (от пулп)</v>
      </c>
      <c r="F1385" s="638"/>
      <c r="G1385" s="638"/>
      <c r="H1385" s="639" t="str">
        <f>[1]K_Summary!H1375</f>
        <v>t CO2 / TJ</v>
      </c>
      <c r="I1385" s="484" t="str">
        <f>[1]K_Summary!I1375</f>
        <v/>
      </c>
      <c r="J1385" s="484" t="str">
        <f>[1]K_Summary!J1375</f>
        <v/>
      </c>
      <c r="K1385" s="484" t="str">
        <f>[1]K_Summary!K1375</f>
        <v/>
      </c>
      <c r="L1385" s="484" t="str">
        <f>[1]K_Summary!L1375</f>
        <v/>
      </c>
      <c r="M1385" s="484" t="str">
        <f>[1]K_Summary!M1375</f>
        <v/>
      </c>
      <c r="N1385" s="626"/>
    </row>
    <row r="1386" spans="2:14" ht="12.75" customHeight="1" x14ac:dyDescent="0.25">
      <c r="B1386" s="284"/>
      <c r="C1386" s="302"/>
      <c r="D1386" s="302"/>
      <c r="E1386" s="636" t="str">
        <f>[1]K_Summary!E1376</f>
        <v>Нетно к-во получена топлинна енергия (горивен п-л)</v>
      </c>
      <c r="F1386" s="636"/>
      <c r="G1386" s="636"/>
      <c r="H1386" s="637" t="str">
        <f>[1]K_Summary!H1376</f>
        <v>TJ / година</v>
      </c>
      <c r="I1386" s="482" t="str">
        <f>[1]K_Summary!I1376</f>
        <v/>
      </c>
      <c r="J1386" s="482" t="str">
        <f>[1]K_Summary!J1376</f>
        <v/>
      </c>
      <c r="K1386" s="482" t="str">
        <f>[1]K_Summary!K1376</f>
        <v/>
      </c>
      <c r="L1386" s="482" t="str">
        <f>[1]K_Summary!L1376</f>
        <v/>
      </c>
      <c r="M1386" s="482" t="str">
        <f>[1]K_Summary!M1376</f>
        <v/>
      </c>
      <c r="N1386" s="626"/>
    </row>
    <row r="1387" spans="2:14" ht="12.75" customHeight="1" x14ac:dyDescent="0.25">
      <c r="B1387" s="284"/>
      <c r="C1387" s="302"/>
      <c r="D1387" s="302"/>
      <c r="E1387" s="638" t="str">
        <f>[1]K_Summary!E1377</f>
        <v>Специфичен EF (от горивен показател)</v>
      </c>
      <c r="F1387" s="638"/>
      <c r="G1387" s="638"/>
      <c r="H1387" s="639" t="str">
        <f>[1]K_Summary!H1377</f>
        <v>t CO2 / TJ</v>
      </c>
      <c r="I1387" s="484" t="str">
        <f>[1]K_Summary!I1377</f>
        <v/>
      </c>
      <c r="J1387" s="484" t="str">
        <f>[1]K_Summary!J1377</f>
        <v/>
      </c>
      <c r="K1387" s="484" t="str">
        <f>[1]K_Summary!K1377</f>
        <v/>
      </c>
      <c r="L1387" s="484" t="str">
        <f>[1]K_Summary!L1377</f>
        <v/>
      </c>
      <c r="M1387" s="484" t="str">
        <f>[1]K_Summary!M1377</f>
        <v/>
      </c>
      <c r="N1387" s="626"/>
    </row>
    <row r="1388" spans="2:14" ht="12.75" customHeight="1" x14ac:dyDescent="0.25">
      <c r="B1388" s="284"/>
      <c r="C1388" s="302"/>
      <c r="D1388" s="302"/>
      <c r="E1388" s="636" t="str">
        <f>[1]K_Summary!E1378</f>
        <v>Нетно к-во получена топлинна енергия (отпадъчни газове)</v>
      </c>
      <c r="F1388" s="636"/>
      <c r="G1388" s="636"/>
      <c r="H1388" s="637" t="str">
        <f>[1]K_Summary!H1378</f>
        <v>TJ / година</v>
      </c>
      <c r="I1388" s="482" t="str">
        <f>[1]K_Summary!I1378</f>
        <v/>
      </c>
      <c r="J1388" s="482" t="str">
        <f>[1]K_Summary!J1378</f>
        <v/>
      </c>
      <c r="K1388" s="482" t="str">
        <f>[1]K_Summary!K1378</f>
        <v/>
      </c>
      <c r="L1388" s="482" t="str">
        <f>[1]K_Summary!L1378</f>
        <v/>
      </c>
      <c r="M1388" s="482" t="str">
        <f>[1]K_Summary!M1378</f>
        <v/>
      </c>
      <c r="N1388" s="626"/>
    </row>
    <row r="1389" spans="2:14" ht="12.75" customHeight="1" x14ac:dyDescent="0.25">
      <c r="B1389" s="284"/>
      <c r="C1389" s="302"/>
      <c r="D1389" s="302"/>
      <c r="E1389" s="638" t="str">
        <f>[1]K_Summary!E1379</f>
        <v>Специфичен EF (от отпадъчен газ)</v>
      </c>
      <c r="F1389" s="638"/>
      <c r="G1389" s="638"/>
      <c r="H1389" s="639" t="str">
        <f>[1]K_Summary!H1379</f>
        <v>t CO2 / TJ</v>
      </c>
      <c r="I1389" s="484" t="str">
        <f>[1]K_Summary!I1379</f>
        <v/>
      </c>
      <c r="J1389" s="484" t="str">
        <f>[1]K_Summary!J1379</f>
        <v/>
      </c>
      <c r="K1389" s="484" t="str">
        <f>[1]K_Summary!K1379</f>
        <v/>
      </c>
      <c r="L1389" s="484" t="str">
        <f>[1]K_Summary!L1379</f>
        <v/>
      </c>
      <c r="M1389" s="484" t="str">
        <f>[1]K_Summary!M1379</f>
        <v/>
      </c>
      <c r="N1389" s="626"/>
    </row>
    <row r="1390" spans="2:14" ht="12.75" customHeight="1" x14ac:dyDescent="0.25">
      <c r="B1390" s="284"/>
      <c r="C1390" s="302"/>
      <c r="D1390" s="302"/>
      <c r="E1390" s="626"/>
      <c r="F1390" s="626"/>
      <c r="G1390" s="626"/>
      <c r="H1390" s="626"/>
      <c r="I1390" s="626"/>
      <c r="J1390" s="626"/>
      <c r="K1390" s="626"/>
      <c r="L1390" s="626"/>
      <c r="M1390" s="626"/>
      <c r="N1390" s="626"/>
    </row>
    <row r="1391" spans="2:14" ht="12.75" customHeight="1" thickBot="1" x14ac:dyDescent="0.3">
      <c r="B1391" s="284"/>
      <c r="C1391" s="302"/>
      <c r="D1391" s="302"/>
      <c r="E1391" s="302"/>
      <c r="F1391" s="302"/>
      <c r="G1391" s="302"/>
      <c r="H1391" s="364"/>
      <c r="I1391" s="364"/>
      <c r="J1391" s="364"/>
      <c r="K1391" s="364"/>
      <c r="L1391" s="364"/>
      <c r="M1391" s="302"/>
      <c r="N1391" s="302"/>
    </row>
    <row r="1392" spans="2:14" ht="12.75" customHeight="1" thickBot="1" x14ac:dyDescent="0.3">
      <c r="B1392" s="284"/>
      <c r="C1392" s="581"/>
      <c r="D1392" s="581"/>
      <c r="E1392" s="581"/>
      <c r="F1392" s="581"/>
      <c r="G1392" s="581"/>
      <c r="H1392" s="581"/>
      <c r="I1392" s="581"/>
      <c r="J1392" s="581"/>
      <c r="K1392" s="581"/>
      <c r="L1392" s="581"/>
      <c r="M1392" s="581"/>
      <c r="N1392" s="581"/>
    </row>
    <row r="1393" spans="2:14" ht="12.75" customHeight="1" thickBot="1" x14ac:dyDescent="0.35">
      <c r="B1393" s="284"/>
      <c r="C1393" s="357">
        <f>[1]K_Summary!C1383</f>
        <v>15</v>
      </c>
      <c r="D1393" s="358" t="str">
        <f>[1]K_Summary!D1383</f>
        <v>Алтернативна подинсталация („Fall-Back sub-installation“) 5:</v>
      </c>
      <c r="E1393" s="359"/>
      <c r="F1393" s="359"/>
      <c r="G1393" s="359"/>
      <c r="H1393" s="497"/>
      <c r="I1393" s="649" t="str">
        <f>[1]K_Summary!I1383</f>
        <v>Подинсталация с горивен показател (с риск от ИВЕ | извън МКВЕГ)</v>
      </c>
      <c r="J1393" s="650"/>
      <c r="K1393" s="650"/>
      <c r="L1393" s="651"/>
      <c r="M1393" s="652" t="str">
        <f>[1]K_Summary!M1383</f>
        <v/>
      </c>
      <c r="N1393" s="653"/>
    </row>
    <row r="1394" spans="2:14" ht="12.75" customHeight="1" thickBot="1" x14ac:dyDescent="0.3">
      <c r="B1394" s="284"/>
      <c r="C1394" s="302"/>
      <c r="D1394" s="302"/>
      <c r="E1394" s="302"/>
      <c r="F1394" s="302"/>
      <c r="G1394" s="302"/>
      <c r="H1394" s="302"/>
      <c r="I1394" s="302"/>
      <c r="J1394" s="302"/>
      <c r="K1394" s="302"/>
      <c r="L1394" s="302"/>
      <c r="M1394" s="302"/>
      <c r="N1394" s="302"/>
    </row>
    <row r="1395" spans="2:14" ht="12.75" customHeight="1" x14ac:dyDescent="0.25">
      <c r="B1395" s="284"/>
      <c r="C1395" s="302"/>
      <c r="D1395" s="302"/>
      <c r="E1395" s="302"/>
      <c r="F1395" s="302"/>
      <c r="G1395" s="302"/>
      <c r="H1395" s="595" t="str">
        <f>[1]K_Summary!H1385</f>
        <v>Риск от ИВЕ</v>
      </c>
      <c r="I1395" s="595" t="str">
        <f>[1]K_Summary!I1385</f>
        <v>В/Е</v>
      </c>
      <c r="J1395" s="595" t="str">
        <f>[1]K_Summary!J1385</f>
        <v>15(7).3?</v>
      </c>
      <c r="K1395" s="364"/>
      <c r="L1395" s="654" t="str">
        <f>[1]K_Summary!L1385</f>
        <v>№ на п-л</v>
      </c>
      <c r="M1395" s="598" t="str">
        <f>[1]K_Summary!M1385</f>
        <v>Стойност на показател (мин/макс/действ.)</v>
      </c>
      <c r="N1395" s="599"/>
    </row>
    <row r="1396" spans="2:14" ht="12.75" customHeight="1" x14ac:dyDescent="0.25">
      <c r="B1396" s="284"/>
      <c r="C1396" s="302"/>
      <c r="D1396" s="302"/>
      <c r="E1396" s="361" t="str">
        <f>[1]K_Summary!E1386</f>
        <v>Подинсталация с горивен показател (с риск от ИВЕ | извън МКВЕГ)</v>
      </c>
      <c r="F1396" s="373"/>
      <c r="G1396" s="362"/>
      <c r="H1396" s="600" t="b">
        <f>[1]K_Summary!H1386</f>
        <v>1</v>
      </c>
      <c r="I1396" s="655" t="str">
        <f>[1]K_Summary!I1386</f>
        <v/>
      </c>
      <c r="J1396" s="600" t="str">
        <f>[1]K_Summary!J1386</f>
        <v/>
      </c>
      <c r="K1396" s="364"/>
      <c r="L1396" s="656">
        <f>[1]K_Summary!L1386</f>
        <v>5</v>
      </c>
      <c r="M1396" s="657" t="str">
        <f>[1]K_Summary!M1386</f>
        <v/>
      </c>
      <c r="N1396" s="604" t="str">
        <f>[1]K_Summary!N1386</f>
        <v>Квота за емисии/TJ</v>
      </c>
    </row>
    <row r="1397" spans="2:14" ht="12.75" customHeight="1" x14ac:dyDescent="0.25">
      <c r="B1397" s="284"/>
      <c r="C1397" s="302"/>
      <c r="D1397" s="364"/>
      <c r="E1397" s="364"/>
      <c r="F1397" s="364"/>
      <c r="G1397" s="364"/>
      <c r="H1397" s="595" t="str">
        <f>[1]K_Summary!H1387</f>
        <v>CBAM</v>
      </c>
      <c r="I1397" s="364"/>
      <c r="J1397" s="364"/>
      <c r="K1397" s="364"/>
      <c r="L1397" s="364"/>
      <c r="M1397" s="657" t="str">
        <f>[1]K_Summary!M1387</f>
        <v/>
      </c>
      <c r="N1397" s="604" t="str">
        <f>[1]K_Summary!N1387</f>
        <v>Квота за емисии/TJ</v>
      </c>
    </row>
    <row r="1398" spans="2:14" ht="12.75" customHeight="1" thickBot="1" x14ac:dyDescent="0.3">
      <c r="B1398" s="284"/>
      <c r="C1398" s="302"/>
      <c r="D1398" s="364"/>
      <c r="E1398" s="364"/>
      <c r="F1398" s="364"/>
      <c r="G1398" s="364"/>
      <c r="H1398" s="600" t="b">
        <f>[1]K_Summary!H1388</f>
        <v>0</v>
      </c>
      <c r="I1398" s="364"/>
      <c r="J1398" s="364"/>
      <c r="K1398" s="364"/>
      <c r="L1398" s="364"/>
      <c r="M1398" s="658" t="str">
        <f>[1]K_Summary!M1388</f>
        <v/>
      </c>
      <c r="N1398" s="611" t="str">
        <f>[1]K_Summary!N1388</f>
        <v>Квота за емисии/TJ</v>
      </c>
    </row>
    <row r="1399" spans="2:14" ht="12.75" customHeight="1" x14ac:dyDescent="0.25">
      <c r="B1399" s="284"/>
      <c r="C1399" s="302"/>
      <c r="D1399" s="302"/>
      <c r="E1399" s="302"/>
      <c r="F1399" s="302"/>
      <c r="G1399" s="302"/>
      <c r="H1399" s="302"/>
      <c r="I1399" s="302"/>
      <c r="J1399" s="302"/>
      <c r="K1399" s="302"/>
      <c r="L1399" s="302"/>
      <c r="M1399" s="302"/>
      <c r="N1399" s="302"/>
    </row>
    <row r="1400" spans="2:14" ht="12.75" customHeight="1" x14ac:dyDescent="0.25">
      <c r="B1400" s="284"/>
      <c r="C1400" s="302"/>
      <c r="D1400" s="302"/>
      <c r="E1400" s="498"/>
      <c r="F1400" s="498"/>
      <c r="G1400" s="380"/>
      <c r="H1400" s="595" t="str">
        <f>[1]K_Summary!H1390</f>
        <v>Единица мярка</v>
      </c>
      <c r="I1400" s="387">
        <f>[1]K_Summary!I1390</f>
        <v>2019</v>
      </c>
      <c r="J1400" s="387">
        <f>[1]K_Summary!J1390</f>
        <v>2020</v>
      </c>
      <c r="K1400" s="387">
        <f>[1]K_Summary!K1390</f>
        <v>2021</v>
      </c>
      <c r="L1400" s="387">
        <f>[1]K_Summary!L1390</f>
        <v>2022</v>
      </c>
      <c r="M1400" s="387">
        <f>[1]K_Summary!M1390</f>
        <v>2023</v>
      </c>
      <c r="N1400" s="302"/>
    </row>
    <row r="1401" spans="2:14" ht="12.75" customHeight="1" x14ac:dyDescent="0.25">
      <c r="B1401" s="284"/>
      <c r="C1401" s="302"/>
      <c r="D1401" s="302"/>
      <c r="E1401" s="614" t="str">
        <f>[1]K_Summary!E1391</f>
        <v>Отчетено HAL (историческо равнище на дейност)</v>
      </c>
      <c r="F1401" s="388"/>
      <c r="G1401" s="615"/>
      <c r="H1401" s="600" t="str">
        <f>[1]K_Summary!H1391</f>
        <v>TJ</v>
      </c>
      <c r="I1401" s="406" t="str">
        <f>[1]K_Summary!I1391</f>
        <v/>
      </c>
      <c r="J1401" s="406" t="str">
        <f>[1]K_Summary!J1391</f>
        <v/>
      </c>
      <c r="K1401" s="406" t="str">
        <f>[1]K_Summary!K1391</f>
        <v/>
      </c>
      <c r="L1401" s="406" t="str">
        <f>[1]K_Summary!L1391</f>
        <v/>
      </c>
      <c r="M1401" s="406" t="str">
        <f>[1]K_Summary!M1391</f>
        <v/>
      </c>
      <c r="N1401" s="596" t="str">
        <f>[1]K_Summary!N1391</f>
        <v>Median</v>
      </c>
    </row>
    <row r="1402" spans="2:14" ht="12.75" customHeight="1" x14ac:dyDescent="0.25">
      <c r="B1402" s="284"/>
      <c r="C1402" s="302"/>
      <c r="D1402" s="302"/>
      <c r="E1402" s="614" t="str">
        <f>[1]K_Summary!E1392</f>
        <v>Стойности, използвани за изчислението на HAL:</v>
      </c>
      <c r="F1402" s="388"/>
      <c r="G1402" s="615"/>
      <c r="H1402" s="600" t="str">
        <f>[1]K_Summary!H1392</f>
        <v>TJ</v>
      </c>
      <c r="I1402" s="659" t="str">
        <f>[1]K_Summary!I1392</f>
        <v/>
      </c>
      <c r="J1402" s="659" t="str">
        <f>[1]K_Summary!J1392</f>
        <v/>
      </c>
      <c r="K1402" s="659" t="str">
        <f>[1]K_Summary!K1392</f>
        <v/>
      </c>
      <c r="L1402" s="659" t="str">
        <f>[1]K_Summary!L1392</f>
        <v/>
      </c>
      <c r="M1402" s="659" t="str">
        <f>[1]K_Summary!M1392</f>
        <v/>
      </c>
      <c r="N1402" s="406" t="str">
        <f>[1]K_Summary!N1392</f>
        <v/>
      </c>
    </row>
    <row r="1403" spans="2:14" ht="12.75" customHeight="1" x14ac:dyDescent="0.25">
      <c r="B1403" s="284"/>
      <c r="C1403" s="302"/>
      <c r="D1403" s="302"/>
      <c r="E1403" s="302"/>
      <c r="F1403" s="302"/>
      <c r="G1403" s="302"/>
      <c r="H1403" s="302"/>
      <c r="I1403" s="302"/>
      <c r="J1403" s="302"/>
      <c r="K1403" s="302"/>
      <c r="L1403" s="302"/>
      <c r="M1403" s="302"/>
      <c r="N1403" s="302"/>
    </row>
    <row r="1404" spans="2:14" ht="12.75" customHeight="1" thickBot="1" x14ac:dyDescent="0.3">
      <c r="B1404" s="284"/>
      <c r="C1404" s="302"/>
      <c r="D1404" s="302"/>
      <c r="E1404" s="302"/>
      <c r="F1404" s="660" t="str">
        <f>[1]K_Summary!F1394</f>
        <v>Общо HAL</v>
      </c>
      <c r="G1404" s="620"/>
      <c r="H1404" s="302"/>
      <c r="I1404" s="619" t="str">
        <f>[1]K_Summary!I1394</f>
        <v>Предв. разпр. за год. 1 (мин)</v>
      </c>
      <c r="J1404" s="620"/>
      <c r="K1404" s="619" t="str">
        <f>[1]K_Summary!K1394</f>
        <v>Предв. разпр. за год. 1 (макс)</v>
      </c>
      <c r="L1404" s="620"/>
      <c r="M1404" s="619" t="str">
        <f>[1]K_Summary!M1394</f>
        <v>Предв. разпр. за год. 1 (действ.)</v>
      </c>
      <c r="N1404" s="620"/>
    </row>
    <row r="1405" spans="2:14" ht="12.75" customHeight="1" thickBot="1" x14ac:dyDescent="0.3">
      <c r="B1405" s="284"/>
      <c r="C1405" s="302"/>
      <c r="D1405" s="302"/>
      <c r="E1405" s="302"/>
      <c r="F1405" s="621" t="str">
        <f>[1]K_Summary!F1395</f>
        <v/>
      </c>
      <c r="G1405" s="624" t="str">
        <f>[1]K_Summary!G1395</f>
        <v>TJ / година</v>
      </c>
      <c r="H1405" s="302"/>
      <c r="I1405" s="623" t="str">
        <f>[1]K_Summary!I1395</f>
        <v/>
      </c>
      <c r="J1405" s="624" t="str">
        <f>[1]K_Summary!J1395</f>
        <v>Квота за емисии / година</v>
      </c>
      <c r="K1405" s="623" t="str">
        <f>[1]K_Summary!K1395</f>
        <v/>
      </c>
      <c r="L1405" s="624" t="str">
        <f>[1]K_Summary!L1395</f>
        <v>Квота за емисии / година</v>
      </c>
      <c r="M1405" s="623" t="str">
        <f>[1]K_Summary!M1395</f>
        <v/>
      </c>
      <c r="N1405" s="624" t="str">
        <f>[1]K_Summary!N1395</f>
        <v>Квота за емисии / година</v>
      </c>
    </row>
    <row r="1406" spans="2:14" ht="12.75" customHeight="1" x14ac:dyDescent="0.25">
      <c r="B1406" s="284"/>
      <c r="C1406" s="302"/>
      <c r="D1406" s="302"/>
      <c r="E1406" s="302"/>
      <c r="F1406" s="302"/>
      <c r="G1406" s="302"/>
      <c r="H1406" s="302"/>
      <c r="I1406" s="302"/>
      <c r="J1406" s="302"/>
      <c r="K1406" s="302"/>
      <c r="L1406" s="302"/>
      <c r="M1406" s="302"/>
      <c r="N1406" s="302"/>
    </row>
    <row r="1407" spans="2:14" ht="12.75" customHeight="1" x14ac:dyDescent="0.25">
      <c r="B1407" s="284"/>
      <c r="C1407" s="302"/>
      <c r="D1407" s="302"/>
      <c r="E1407" s="625"/>
      <c r="F1407" s="626"/>
      <c r="G1407" s="626"/>
      <c r="H1407" s="626"/>
      <c r="I1407" s="626"/>
      <c r="J1407" s="626"/>
      <c r="K1407" s="626"/>
      <c r="L1407" s="626"/>
      <c r="M1407" s="626"/>
      <c r="N1407" s="626"/>
    </row>
    <row r="1408" spans="2:14" ht="12.75" customHeight="1" thickBot="1" x14ac:dyDescent="0.3">
      <c r="B1408" s="284"/>
      <c r="C1408" s="302"/>
      <c r="D1408" s="302"/>
      <c r="E1408" s="625"/>
      <c r="F1408" s="626"/>
      <c r="G1408" s="626"/>
      <c r="H1408" s="627" t="str">
        <f>[1]K_Summary!H1398</f>
        <v>Единица мярка</v>
      </c>
      <c r="I1408" s="666">
        <f>[1]K_Summary!I1398</f>
        <v>2019</v>
      </c>
      <c r="J1408" s="667">
        <f>[1]K_Summary!J1398</f>
        <v>2020</v>
      </c>
      <c r="K1408" s="667">
        <f>[1]K_Summary!K1398</f>
        <v>2021</v>
      </c>
      <c r="L1408" s="667">
        <f>[1]K_Summary!L1398</f>
        <v>2022</v>
      </c>
      <c r="M1408" s="667">
        <f>[1]K_Summary!M1398</f>
        <v>2023</v>
      </c>
      <c r="N1408" s="626"/>
    </row>
    <row r="1409" spans="2:14" ht="12.75" customHeight="1" thickBot="1" x14ac:dyDescent="0.3">
      <c r="B1409" s="284"/>
      <c r="C1409" s="302"/>
      <c r="D1409" s="302"/>
      <c r="E1409" s="630" t="str">
        <f>[1]K_Summary!E1399</f>
        <v>Общо зададени емисии</v>
      </c>
      <c r="F1409" s="630"/>
      <c r="G1409" s="630"/>
      <c r="H1409" s="631" t="str">
        <f>[1]K_Summary!H1399</f>
        <v>t CO2e/година</v>
      </c>
      <c r="I1409" s="661" t="str">
        <f>[1]K_Summary!I1399</f>
        <v/>
      </c>
      <c r="J1409" s="662" t="str">
        <f>[1]K_Summary!J1399</f>
        <v/>
      </c>
      <c r="K1409" s="662" t="str">
        <f>[1]K_Summary!K1399</f>
        <v/>
      </c>
      <c r="L1409" s="662" t="str">
        <f>[1]K_Summary!L1399</f>
        <v/>
      </c>
      <c r="M1409" s="663" t="str">
        <f>[1]K_Summary!M1399</f>
        <v/>
      </c>
      <c r="N1409" s="626"/>
    </row>
    <row r="1410" spans="2:14" ht="12.75" customHeight="1" x14ac:dyDescent="0.25">
      <c r="B1410" s="284"/>
      <c r="C1410" s="302"/>
      <c r="D1410" s="302"/>
      <c r="E1410" s="625"/>
      <c r="F1410" s="625"/>
      <c r="G1410" s="625"/>
      <c r="H1410" s="625"/>
      <c r="I1410" s="635"/>
      <c r="J1410" s="635"/>
      <c r="K1410" s="635"/>
      <c r="L1410" s="635"/>
      <c r="M1410" s="635"/>
      <c r="N1410" s="625"/>
    </row>
    <row r="1411" spans="2:14" ht="12.75" customHeight="1" x14ac:dyDescent="0.25">
      <c r="B1411" s="284"/>
      <c r="C1411" s="302"/>
      <c r="D1411" s="302"/>
      <c r="E1411" s="636" t="str">
        <f>[1]K_Summary!E1401</f>
        <v>Обща вложена енергия</v>
      </c>
      <c r="F1411" s="636"/>
      <c r="G1411" s="636"/>
      <c r="H1411" s="637" t="str">
        <f>[1]K_Summary!H1401</f>
        <v>TJ / година</v>
      </c>
      <c r="I1411" s="482" t="str">
        <f>[1]K_Summary!I1401</f>
        <v/>
      </c>
      <c r="J1411" s="482" t="str">
        <f>[1]K_Summary!J1401</f>
        <v/>
      </c>
      <c r="K1411" s="482" t="str">
        <f>[1]K_Summary!K1401</f>
        <v/>
      </c>
      <c r="L1411" s="482" t="str">
        <f>[1]K_Summary!L1401</f>
        <v/>
      </c>
      <c r="M1411" s="482" t="str">
        <f>[1]K_Summary!M1401</f>
        <v/>
      </c>
      <c r="N1411" s="626"/>
    </row>
    <row r="1412" spans="2:14" ht="12.75" customHeight="1" x14ac:dyDescent="0.25">
      <c r="B1412" s="284"/>
      <c r="C1412" s="302"/>
      <c r="D1412" s="302"/>
      <c r="E1412" s="638" t="str">
        <f>[1]K_Summary!E1402</f>
        <v>Претеглен емисионен фактор</v>
      </c>
      <c r="F1412" s="638"/>
      <c r="G1412" s="638"/>
      <c r="H1412" s="639" t="str">
        <f>[1]K_Summary!H1402</f>
        <v>t CO2 / TJ</v>
      </c>
      <c r="I1412" s="484" t="str">
        <f>[1]K_Summary!I1402</f>
        <v/>
      </c>
      <c r="J1412" s="484" t="str">
        <f>[1]K_Summary!J1402</f>
        <v/>
      </c>
      <c r="K1412" s="484" t="str">
        <f>[1]K_Summary!K1402</f>
        <v/>
      </c>
      <c r="L1412" s="484" t="str">
        <f>[1]K_Summary!L1402</f>
        <v/>
      </c>
      <c r="M1412" s="484" t="str">
        <f>[1]K_Summary!M1402</f>
        <v/>
      </c>
      <c r="N1412" s="626"/>
    </row>
    <row r="1413" spans="2:14" ht="12.75" customHeight="1" x14ac:dyDescent="0.25">
      <c r="B1413" s="284"/>
      <c r="C1413" s="302"/>
      <c r="D1413" s="302"/>
      <c r="E1413" s="636" t="str">
        <f>[1]K_Summary!E1403</f>
        <v>Вложени горива от отпадъчни газове</v>
      </c>
      <c r="F1413" s="636"/>
      <c r="G1413" s="636"/>
      <c r="H1413" s="637" t="str">
        <f>[1]K_Summary!H1403</f>
        <v>TJ / година</v>
      </c>
      <c r="I1413" s="482" t="str">
        <f>[1]K_Summary!I1403</f>
        <v/>
      </c>
      <c r="J1413" s="482" t="str">
        <f>[1]K_Summary!J1403</f>
        <v/>
      </c>
      <c r="K1413" s="482" t="str">
        <f>[1]K_Summary!K1403</f>
        <v/>
      </c>
      <c r="L1413" s="482" t="str">
        <f>[1]K_Summary!L1403</f>
        <v/>
      </c>
      <c r="M1413" s="482" t="str">
        <f>[1]K_Summary!M1403</f>
        <v/>
      </c>
      <c r="N1413" s="626"/>
    </row>
    <row r="1414" spans="2:14" ht="12.75" customHeight="1" x14ac:dyDescent="0.25">
      <c r="B1414" s="284"/>
      <c r="C1414" s="302"/>
      <c r="D1414" s="302"/>
      <c r="E1414" s="638" t="str">
        <f>[1]K_Summary!E1404</f>
        <v>Претеглен емисионен фактор</v>
      </c>
      <c r="F1414" s="638"/>
      <c r="G1414" s="638"/>
      <c r="H1414" s="639" t="str">
        <f>[1]K_Summary!H1404</f>
        <v>t CO2 / TJ</v>
      </c>
      <c r="I1414" s="484" t="str">
        <f>[1]K_Summary!I1404</f>
        <v/>
      </c>
      <c r="J1414" s="484" t="str">
        <f>[1]K_Summary!J1404</f>
        <v/>
      </c>
      <c r="K1414" s="484" t="str">
        <f>[1]K_Summary!K1404</f>
        <v/>
      </c>
      <c r="L1414" s="484" t="str">
        <f>[1]K_Summary!L1404</f>
        <v/>
      </c>
      <c r="M1414" s="484" t="str">
        <f>[1]K_Summary!M1404</f>
        <v/>
      </c>
      <c r="N1414" s="626"/>
    </row>
    <row r="1415" spans="2:14" ht="12.75" customHeight="1" x14ac:dyDescent="0.25">
      <c r="B1415" s="284"/>
      <c r="C1415" s="302"/>
      <c r="D1415" s="302"/>
      <c r="E1415" s="636" t="str">
        <f>[1]K_Summary!E1405</f>
        <v>Вложена електроенергия за производството на топлинна енергия</v>
      </c>
      <c r="F1415" s="636"/>
      <c r="G1415" s="636"/>
      <c r="H1415" s="637" t="str">
        <f>[1]K_Summary!H1405</f>
        <v>TJ / година</v>
      </c>
      <c r="I1415" s="482" t="str">
        <f>[1]K_Summary!I1405</f>
        <v/>
      </c>
      <c r="J1415" s="482" t="str">
        <f>[1]K_Summary!J1405</f>
        <v/>
      </c>
      <c r="K1415" s="482" t="str">
        <f>[1]K_Summary!K1405</f>
        <v/>
      </c>
      <c r="L1415" s="482" t="str">
        <f>[1]K_Summary!L1405</f>
        <v/>
      </c>
      <c r="M1415" s="482" t="str">
        <f>[1]K_Summary!M1405</f>
        <v/>
      </c>
      <c r="N1415" s="626"/>
    </row>
    <row r="1416" spans="2:14" ht="12.75" customHeight="1" x14ac:dyDescent="0.25">
      <c r="B1416" s="284"/>
      <c r="C1416" s="302"/>
      <c r="D1416" s="302"/>
      <c r="E1416" s="638" t="str">
        <f>[1]K_Summary!E1406</f>
        <v>Претеглен емисионен фактор</v>
      </c>
      <c r="F1416" s="638"/>
      <c r="G1416" s="638"/>
      <c r="H1416" s="639" t="str">
        <f>[1]K_Summary!H1406</f>
        <v>t CO2 / TJ</v>
      </c>
      <c r="I1416" s="484" t="str">
        <f>[1]K_Summary!I1406</f>
        <v/>
      </c>
      <c r="J1416" s="484" t="str">
        <f>[1]K_Summary!J1406</f>
        <v/>
      </c>
      <c r="K1416" s="484" t="str">
        <f>[1]K_Summary!K1406</f>
        <v/>
      </c>
      <c r="L1416" s="484" t="str">
        <f>[1]K_Summary!L1406</f>
        <v/>
      </c>
      <c r="M1416" s="484" t="str">
        <f>[1]K_Summary!M1406</f>
        <v/>
      </c>
      <c r="N1416" s="626"/>
    </row>
    <row r="1417" spans="2:14" ht="12.75" customHeight="1" x14ac:dyDescent="0.25">
      <c r="B1417" s="284"/>
      <c r="C1417" s="302"/>
      <c r="D1417" s="302"/>
      <c r="E1417" s="625"/>
      <c r="F1417" s="626"/>
      <c r="G1417" s="626"/>
      <c r="H1417" s="626"/>
      <c r="I1417" s="640"/>
      <c r="J1417" s="640"/>
      <c r="K1417" s="640"/>
      <c r="L1417" s="640"/>
      <c r="M1417" s="640"/>
      <c r="N1417" s="626"/>
    </row>
    <row r="1418" spans="2:14" ht="12.75" customHeight="1" x14ac:dyDescent="0.25">
      <c r="B1418" s="284"/>
      <c r="C1418" s="302"/>
      <c r="D1418" s="302"/>
      <c r="E1418" s="641" t="str">
        <f>[1]K_Summary!E1408</f>
        <v>Преки емисии</v>
      </c>
      <c r="F1418" s="641"/>
      <c r="G1418" s="641"/>
      <c r="H1418" s="642" t="str">
        <f>[1]K_Summary!H1408</f>
        <v>t CO2 / година</v>
      </c>
      <c r="I1418" s="480" t="str">
        <f>[1]K_Summary!I1408</f>
        <v/>
      </c>
      <c r="J1418" s="480" t="str">
        <f>[1]K_Summary!J1408</f>
        <v/>
      </c>
      <c r="K1418" s="480" t="str">
        <f>[1]K_Summary!K1408</f>
        <v/>
      </c>
      <c r="L1418" s="480" t="str">
        <f>[1]K_Summary!L1408</f>
        <v/>
      </c>
      <c r="M1418" s="480" t="str">
        <f>[1]K_Summary!M1408</f>
        <v/>
      </c>
      <c r="N1418" s="626"/>
    </row>
    <row r="1419" spans="2:14" ht="12.75" customHeight="1" x14ac:dyDescent="0.25">
      <c r="B1419" s="284"/>
      <c r="C1419" s="302"/>
      <c r="D1419" s="302"/>
      <c r="E1419" s="625"/>
      <c r="F1419" s="625"/>
      <c r="G1419" s="625"/>
      <c r="H1419" s="625"/>
      <c r="I1419" s="640"/>
      <c r="J1419" s="640"/>
      <c r="K1419" s="640"/>
      <c r="L1419" s="640"/>
      <c r="M1419" s="640"/>
      <c r="N1419" s="626"/>
    </row>
    <row r="1420" spans="2:14" ht="12.75" customHeight="1" x14ac:dyDescent="0.25">
      <c r="B1420" s="284"/>
      <c r="C1420" s="302"/>
      <c r="D1420" s="302"/>
      <c r="E1420" s="641" t="str">
        <f>[1]K_Summary!E1410</f>
        <v>Нетно количество подадена топлинна енергия</v>
      </c>
      <c r="F1420" s="641"/>
      <c r="G1420" s="641"/>
      <c r="H1420" s="642" t="str">
        <f>[1]K_Summary!H1410</f>
        <v>TJ / година</v>
      </c>
      <c r="I1420" s="480" t="str">
        <f>[1]K_Summary!I1410</f>
        <v/>
      </c>
      <c r="J1420" s="480" t="str">
        <f>[1]K_Summary!J1410</f>
        <v/>
      </c>
      <c r="K1420" s="480" t="str">
        <f>[1]K_Summary!K1410</f>
        <v/>
      </c>
      <c r="L1420" s="480" t="str">
        <f>[1]K_Summary!L1410</f>
        <v/>
      </c>
      <c r="M1420" s="480" t="str">
        <f>[1]K_Summary!M1410</f>
        <v/>
      </c>
      <c r="N1420" s="626"/>
    </row>
    <row r="1421" spans="2:14" ht="12.75" customHeight="1" x14ac:dyDescent="0.25">
      <c r="B1421" s="284"/>
      <c r="C1421" s="302"/>
      <c r="D1421" s="302"/>
      <c r="E1421" s="641" t="str">
        <f>[1]K_Summary!E1411</f>
        <v>Специфичен EF (подадена топлинна енергия)</v>
      </c>
      <c r="F1421" s="641"/>
      <c r="G1421" s="641"/>
      <c r="H1421" s="642" t="str">
        <f>[1]K_Summary!H1411</f>
        <v>TJ / година</v>
      </c>
      <c r="I1421" s="480" t="str">
        <f>[1]K_Summary!I1411</f>
        <v/>
      </c>
      <c r="J1421" s="480" t="str">
        <f>[1]K_Summary!J1411</f>
        <v/>
      </c>
      <c r="K1421" s="480" t="str">
        <f>[1]K_Summary!K1411</f>
        <v/>
      </c>
      <c r="L1421" s="480" t="str">
        <f>[1]K_Summary!L1411</f>
        <v/>
      </c>
      <c r="M1421" s="480" t="str">
        <f>[1]K_Summary!M1411</f>
        <v/>
      </c>
      <c r="N1421" s="626"/>
    </row>
    <row r="1422" spans="2:14" ht="12.75" customHeight="1" x14ac:dyDescent="0.25">
      <c r="B1422" s="284"/>
      <c r="C1422" s="302"/>
      <c r="D1422" s="302"/>
      <c r="E1422" s="626"/>
      <c r="F1422" s="626"/>
      <c r="G1422" s="626"/>
      <c r="H1422" s="626"/>
      <c r="I1422" s="626"/>
      <c r="J1422" s="626"/>
      <c r="K1422" s="626"/>
      <c r="L1422" s="626"/>
      <c r="M1422" s="626"/>
      <c r="N1422" s="626"/>
    </row>
    <row r="1423" spans="2:14" ht="12.75" customHeight="1" thickBot="1" x14ac:dyDescent="0.3">
      <c r="B1423" s="284"/>
      <c r="C1423" s="302"/>
      <c r="D1423" s="302"/>
      <c r="E1423" s="302"/>
      <c r="F1423" s="302"/>
      <c r="G1423" s="302"/>
      <c r="H1423" s="364"/>
      <c r="I1423" s="364"/>
      <c r="J1423" s="364"/>
      <c r="K1423" s="364"/>
      <c r="L1423" s="364"/>
      <c r="M1423" s="302"/>
      <c r="N1423" s="302"/>
    </row>
    <row r="1424" spans="2:14" ht="12.75" customHeight="1" thickBot="1" x14ac:dyDescent="0.3">
      <c r="B1424" s="284"/>
      <c r="C1424" s="581"/>
      <c r="D1424" s="581"/>
      <c r="E1424" s="581"/>
      <c r="F1424" s="581"/>
      <c r="G1424" s="581"/>
      <c r="H1424" s="581"/>
      <c r="I1424" s="581"/>
      <c r="J1424" s="581"/>
      <c r="K1424" s="581"/>
      <c r="L1424" s="581"/>
      <c r="M1424" s="581"/>
      <c r="N1424" s="581"/>
    </row>
    <row r="1425" spans="2:14" ht="12.75" customHeight="1" thickBot="1" x14ac:dyDescent="0.35">
      <c r="B1425" s="284"/>
      <c r="C1425" s="357">
        <f>[1]K_Summary!C1415</f>
        <v>16</v>
      </c>
      <c r="D1425" s="358" t="str">
        <f>[1]K_Summary!D1415</f>
        <v>Алтернативна подинсталация („Fall-Back sub-installation“) 6:</v>
      </c>
      <c r="E1425" s="359"/>
      <c r="F1425" s="359"/>
      <c r="G1425" s="359"/>
      <c r="H1425" s="497"/>
      <c r="I1425" s="649" t="str">
        <f>[1]K_Summary!I1415</f>
        <v>Подинсталация с горивен показател (без риск от ИВЕ | извън МКВЕГ)</v>
      </c>
      <c r="J1425" s="650"/>
      <c r="K1425" s="650"/>
      <c r="L1425" s="651"/>
      <c r="M1425" s="652" t="str">
        <f>[1]K_Summary!M1415</f>
        <v/>
      </c>
      <c r="N1425" s="653"/>
    </row>
    <row r="1426" spans="2:14" ht="12.75" customHeight="1" thickBot="1" x14ac:dyDescent="0.3">
      <c r="B1426" s="284"/>
      <c r="C1426" s="302"/>
      <c r="D1426" s="302"/>
      <c r="E1426" s="302"/>
      <c r="F1426" s="302"/>
      <c r="G1426" s="302"/>
      <c r="H1426" s="302"/>
      <c r="I1426" s="302"/>
      <c r="J1426" s="302"/>
      <c r="K1426" s="302"/>
      <c r="L1426" s="302"/>
      <c r="M1426" s="302"/>
      <c r="N1426" s="302"/>
    </row>
    <row r="1427" spans="2:14" ht="12.75" customHeight="1" x14ac:dyDescent="0.25">
      <c r="B1427" s="284"/>
      <c r="C1427" s="302"/>
      <c r="D1427" s="302"/>
      <c r="E1427" s="302"/>
      <c r="F1427" s="302"/>
      <c r="G1427" s="302"/>
      <c r="H1427" s="595" t="str">
        <f>[1]K_Summary!H1417</f>
        <v>Риск от ИВЕ</v>
      </c>
      <c r="I1427" s="595" t="str">
        <f>[1]K_Summary!I1417</f>
        <v>В/Е</v>
      </c>
      <c r="J1427" s="595" t="str">
        <f>[1]K_Summary!J1417</f>
        <v>15(7).3?</v>
      </c>
      <c r="K1427" s="364"/>
      <c r="L1427" s="654" t="str">
        <f>[1]K_Summary!L1417</f>
        <v>№ на п-л</v>
      </c>
      <c r="M1427" s="598" t="str">
        <f>[1]K_Summary!M1417</f>
        <v>Стойност на показател (мин/макс/действ.)</v>
      </c>
      <c r="N1427" s="599"/>
    </row>
    <row r="1428" spans="2:14" ht="12.75" customHeight="1" x14ac:dyDescent="0.25">
      <c r="B1428" s="284"/>
      <c r="C1428" s="302"/>
      <c r="D1428" s="302"/>
      <c r="E1428" s="361" t="str">
        <f>[1]K_Summary!E1418</f>
        <v>Подинсталация с горивен показател (без риск от ИВЕ | извън МКВЕГ)</v>
      </c>
      <c r="F1428" s="373"/>
      <c r="G1428" s="362"/>
      <c r="H1428" s="600" t="b">
        <f>[1]K_Summary!H1418</f>
        <v>0</v>
      </c>
      <c r="I1428" s="655" t="str">
        <f>[1]K_Summary!I1418</f>
        <v/>
      </c>
      <c r="J1428" s="600" t="str">
        <f>[1]K_Summary!J1418</f>
        <v/>
      </c>
      <c r="K1428" s="364"/>
      <c r="L1428" s="656">
        <f>[1]K_Summary!L1418</f>
        <v>6</v>
      </c>
      <c r="M1428" s="657" t="str">
        <f>[1]K_Summary!M1418</f>
        <v/>
      </c>
      <c r="N1428" s="604" t="str">
        <f>[1]K_Summary!N1418</f>
        <v>Квота за емисии/TJ</v>
      </c>
    </row>
    <row r="1429" spans="2:14" ht="12.75" customHeight="1" x14ac:dyDescent="0.25">
      <c r="B1429" s="284"/>
      <c r="C1429" s="302"/>
      <c r="D1429" s="364"/>
      <c r="E1429" s="364"/>
      <c r="F1429" s="364"/>
      <c r="G1429" s="364"/>
      <c r="H1429" s="595" t="str">
        <f>[1]K_Summary!H1419</f>
        <v>CBAM</v>
      </c>
      <c r="I1429" s="364"/>
      <c r="J1429" s="364"/>
      <c r="K1429" s="364"/>
      <c r="L1429" s="364"/>
      <c r="M1429" s="657" t="str">
        <f>[1]K_Summary!M1419</f>
        <v/>
      </c>
      <c r="N1429" s="604" t="str">
        <f>[1]K_Summary!N1419</f>
        <v>Квота за емисии/TJ</v>
      </c>
    </row>
    <row r="1430" spans="2:14" ht="12.75" customHeight="1" thickBot="1" x14ac:dyDescent="0.3">
      <c r="B1430" s="284"/>
      <c r="C1430" s="302"/>
      <c r="D1430" s="364"/>
      <c r="E1430" s="364"/>
      <c r="F1430" s="364"/>
      <c r="G1430" s="364"/>
      <c r="H1430" s="600" t="b">
        <f>[1]K_Summary!H1420</f>
        <v>0</v>
      </c>
      <c r="I1430" s="364"/>
      <c r="J1430" s="364"/>
      <c r="K1430" s="364"/>
      <c r="L1430" s="364"/>
      <c r="M1430" s="658" t="str">
        <f>[1]K_Summary!M1420</f>
        <v/>
      </c>
      <c r="N1430" s="611" t="str">
        <f>[1]K_Summary!N1420</f>
        <v>Квота за емисии/TJ</v>
      </c>
    </row>
    <row r="1431" spans="2:14" ht="12.75" customHeight="1" x14ac:dyDescent="0.25">
      <c r="B1431" s="284"/>
      <c r="C1431" s="302"/>
      <c r="D1431" s="302"/>
      <c r="E1431" s="302"/>
      <c r="F1431" s="302"/>
      <c r="G1431" s="302"/>
      <c r="H1431" s="302"/>
      <c r="I1431" s="302"/>
      <c r="J1431" s="302"/>
      <c r="K1431" s="302"/>
      <c r="L1431" s="302"/>
      <c r="M1431" s="302"/>
      <c r="N1431" s="302"/>
    </row>
    <row r="1432" spans="2:14" ht="12.75" customHeight="1" x14ac:dyDescent="0.25">
      <c r="B1432" s="284"/>
      <c r="C1432" s="302"/>
      <c r="D1432" s="302"/>
      <c r="E1432" s="498"/>
      <c r="F1432" s="498"/>
      <c r="G1432" s="380"/>
      <c r="H1432" s="595" t="str">
        <f>[1]K_Summary!H1422</f>
        <v>Единица мярка</v>
      </c>
      <c r="I1432" s="387">
        <f>[1]K_Summary!I1422</f>
        <v>2019</v>
      </c>
      <c r="J1432" s="387">
        <f>[1]K_Summary!J1422</f>
        <v>2020</v>
      </c>
      <c r="K1432" s="387">
        <f>[1]K_Summary!K1422</f>
        <v>2021</v>
      </c>
      <c r="L1432" s="387">
        <f>[1]K_Summary!L1422</f>
        <v>2022</v>
      </c>
      <c r="M1432" s="387">
        <f>[1]K_Summary!M1422</f>
        <v>2023</v>
      </c>
      <c r="N1432" s="302"/>
    </row>
    <row r="1433" spans="2:14" ht="12.75" customHeight="1" x14ac:dyDescent="0.25">
      <c r="B1433" s="284"/>
      <c r="C1433" s="302"/>
      <c r="D1433" s="302"/>
      <c r="E1433" s="614" t="str">
        <f>[1]K_Summary!E1423</f>
        <v>Отчетено HAL (историческо равнище на дейност)</v>
      </c>
      <c r="F1433" s="388"/>
      <c r="G1433" s="615"/>
      <c r="H1433" s="600" t="str">
        <f>[1]K_Summary!H1423</f>
        <v>TJ</v>
      </c>
      <c r="I1433" s="406" t="str">
        <f>[1]K_Summary!I1423</f>
        <v/>
      </c>
      <c r="J1433" s="406" t="str">
        <f>[1]K_Summary!J1423</f>
        <v/>
      </c>
      <c r="K1433" s="406" t="str">
        <f>[1]K_Summary!K1423</f>
        <v/>
      </c>
      <c r="L1433" s="406" t="str">
        <f>[1]K_Summary!L1423</f>
        <v/>
      </c>
      <c r="M1433" s="406" t="str">
        <f>[1]K_Summary!M1423</f>
        <v/>
      </c>
      <c r="N1433" s="596" t="str">
        <f>[1]K_Summary!N1423</f>
        <v>Median</v>
      </c>
    </row>
    <row r="1434" spans="2:14" ht="12.75" customHeight="1" x14ac:dyDescent="0.25">
      <c r="B1434" s="284"/>
      <c r="C1434" s="302"/>
      <c r="D1434" s="302"/>
      <c r="E1434" s="614" t="str">
        <f>[1]K_Summary!E1424</f>
        <v>Стойности, използвани за изчислението на HAL:</v>
      </c>
      <c r="F1434" s="388"/>
      <c r="G1434" s="615"/>
      <c r="H1434" s="600" t="str">
        <f>[1]K_Summary!H1424</f>
        <v>TJ</v>
      </c>
      <c r="I1434" s="659" t="str">
        <f>[1]K_Summary!I1424</f>
        <v/>
      </c>
      <c r="J1434" s="659" t="str">
        <f>[1]K_Summary!J1424</f>
        <v/>
      </c>
      <c r="K1434" s="659" t="str">
        <f>[1]K_Summary!K1424</f>
        <v/>
      </c>
      <c r="L1434" s="659" t="str">
        <f>[1]K_Summary!L1424</f>
        <v/>
      </c>
      <c r="M1434" s="659" t="str">
        <f>[1]K_Summary!M1424</f>
        <v/>
      </c>
      <c r="N1434" s="406" t="str">
        <f>[1]K_Summary!N1424</f>
        <v/>
      </c>
    </row>
    <row r="1435" spans="2:14" ht="12.75" customHeight="1" x14ac:dyDescent="0.25">
      <c r="B1435" s="284"/>
      <c r="C1435" s="302"/>
      <c r="D1435" s="302"/>
      <c r="E1435" s="302"/>
      <c r="F1435" s="302"/>
      <c r="G1435" s="302"/>
      <c r="H1435" s="302"/>
      <c r="I1435" s="302"/>
      <c r="J1435" s="302"/>
      <c r="K1435" s="302"/>
      <c r="L1435" s="302"/>
      <c r="M1435" s="302"/>
      <c r="N1435" s="302"/>
    </row>
    <row r="1436" spans="2:14" ht="12.75" customHeight="1" thickBot="1" x14ac:dyDescent="0.3">
      <c r="B1436" s="284"/>
      <c r="C1436" s="302"/>
      <c r="D1436" s="302"/>
      <c r="E1436" s="302"/>
      <c r="F1436" s="660" t="str">
        <f>[1]K_Summary!F1426</f>
        <v>Общо HAL</v>
      </c>
      <c r="G1436" s="620"/>
      <c r="H1436" s="302"/>
      <c r="I1436" s="619" t="str">
        <f>[1]K_Summary!I1426</f>
        <v>Предв. разпр. за год. 1 (мин)</v>
      </c>
      <c r="J1436" s="620"/>
      <c r="K1436" s="619" t="str">
        <f>[1]K_Summary!K1426</f>
        <v>Предв. разпр. за год. 1 (макс)</v>
      </c>
      <c r="L1436" s="620"/>
      <c r="M1436" s="619" t="str">
        <f>[1]K_Summary!M1426</f>
        <v>Предв. разпр. за год. 1 (действ.)</v>
      </c>
      <c r="N1436" s="620"/>
    </row>
    <row r="1437" spans="2:14" ht="12.75" customHeight="1" thickBot="1" x14ac:dyDescent="0.3">
      <c r="B1437" s="284"/>
      <c r="C1437" s="302"/>
      <c r="D1437" s="302"/>
      <c r="E1437" s="302"/>
      <c r="F1437" s="621" t="str">
        <f>[1]K_Summary!F1427</f>
        <v/>
      </c>
      <c r="G1437" s="624" t="str">
        <f>[1]K_Summary!G1427</f>
        <v>TJ / година</v>
      </c>
      <c r="H1437" s="302"/>
      <c r="I1437" s="623" t="str">
        <f>[1]K_Summary!I1427</f>
        <v/>
      </c>
      <c r="J1437" s="624" t="str">
        <f>[1]K_Summary!J1427</f>
        <v>Квота за емисии / година</v>
      </c>
      <c r="K1437" s="623" t="str">
        <f>[1]K_Summary!K1427</f>
        <v/>
      </c>
      <c r="L1437" s="624" t="str">
        <f>[1]K_Summary!L1427</f>
        <v>Квота за емисии / година</v>
      </c>
      <c r="M1437" s="623" t="str">
        <f>[1]K_Summary!M1427</f>
        <v/>
      </c>
      <c r="N1437" s="624" t="str">
        <f>[1]K_Summary!N1427</f>
        <v>Квота за емисии / година</v>
      </c>
    </row>
    <row r="1438" spans="2:14" ht="12.75" customHeight="1" x14ac:dyDescent="0.25">
      <c r="B1438" s="284"/>
      <c r="C1438" s="302"/>
      <c r="D1438" s="302"/>
      <c r="E1438" s="302"/>
      <c r="F1438" s="302"/>
      <c r="G1438" s="302"/>
      <c r="H1438" s="302"/>
      <c r="I1438" s="302"/>
      <c r="J1438" s="302"/>
      <c r="K1438" s="302"/>
      <c r="L1438" s="302"/>
      <c r="M1438" s="302"/>
      <c r="N1438" s="302"/>
    </row>
    <row r="1439" spans="2:14" ht="12.75" customHeight="1" x14ac:dyDescent="0.25">
      <c r="B1439" s="284"/>
      <c r="C1439" s="302"/>
      <c r="D1439" s="302"/>
      <c r="E1439" s="625"/>
      <c r="F1439" s="626"/>
      <c r="G1439" s="626"/>
      <c r="H1439" s="626"/>
      <c r="I1439" s="626"/>
      <c r="J1439" s="626"/>
      <c r="K1439" s="626"/>
      <c r="L1439" s="626"/>
      <c r="M1439" s="626"/>
      <c r="N1439" s="626"/>
    </row>
    <row r="1440" spans="2:14" ht="12.75" customHeight="1" thickBot="1" x14ac:dyDescent="0.3">
      <c r="B1440" s="284"/>
      <c r="C1440" s="302"/>
      <c r="D1440" s="302"/>
      <c r="E1440" s="625"/>
      <c r="F1440" s="626"/>
      <c r="G1440" s="626"/>
      <c r="H1440" s="627" t="str">
        <f>[1]K_Summary!H1430</f>
        <v>Единица мярка</v>
      </c>
      <c r="I1440" s="666">
        <f>[1]K_Summary!I1430</f>
        <v>2019</v>
      </c>
      <c r="J1440" s="667">
        <f>[1]K_Summary!J1430</f>
        <v>2020</v>
      </c>
      <c r="K1440" s="667">
        <f>[1]K_Summary!K1430</f>
        <v>2021</v>
      </c>
      <c r="L1440" s="667">
        <f>[1]K_Summary!L1430</f>
        <v>2022</v>
      </c>
      <c r="M1440" s="667">
        <f>[1]K_Summary!M1430</f>
        <v>2023</v>
      </c>
      <c r="N1440" s="626"/>
    </row>
    <row r="1441" spans="2:14" ht="12.75" customHeight="1" thickBot="1" x14ac:dyDescent="0.3">
      <c r="B1441" s="284"/>
      <c r="C1441" s="302"/>
      <c r="D1441" s="302"/>
      <c r="E1441" s="630" t="str">
        <f>[1]K_Summary!E1431</f>
        <v>Общо зададени емисии</v>
      </c>
      <c r="F1441" s="630"/>
      <c r="G1441" s="630"/>
      <c r="H1441" s="631" t="str">
        <f>[1]K_Summary!H1431</f>
        <v>t CO2e/година</v>
      </c>
      <c r="I1441" s="661" t="str">
        <f>[1]K_Summary!I1431</f>
        <v/>
      </c>
      <c r="J1441" s="662" t="str">
        <f>[1]K_Summary!J1431</f>
        <v/>
      </c>
      <c r="K1441" s="662" t="str">
        <f>[1]K_Summary!K1431</f>
        <v/>
      </c>
      <c r="L1441" s="662" t="str">
        <f>[1]K_Summary!L1431</f>
        <v/>
      </c>
      <c r="M1441" s="663" t="str">
        <f>[1]K_Summary!M1431</f>
        <v/>
      </c>
      <c r="N1441" s="626"/>
    </row>
    <row r="1442" spans="2:14" ht="12.75" customHeight="1" x14ac:dyDescent="0.25">
      <c r="B1442" s="284"/>
      <c r="C1442" s="302"/>
      <c r="D1442" s="302"/>
      <c r="E1442" s="625"/>
      <c r="F1442" s="625"/>
      <c r="G1442" s="625"/>
      <c r="H1442" s="625"/>
      <c r="I1442" s="635"/>
      <c r="J1442" s="635"/>
      <c r="K1442" s="635"/>
      <c r="L1442" s="635"/>
      <c r="M1442" s="635"/>
      <c r="N1442" s="625"/>
    </row>
    <row r="1443" spans="2:14" ht="12.75" customHeight="1" x14ac:dyDescent="0.25">
      <c r="B1443" s="284"/>
      <c r="C1443" s="302"/>
      <c r="D1443" s="302"/>
      <c r="E1443" s="636" t="str">
        <f>[1]K_Summary!E1433</f>
        <v>Обща вложена енергия</v>
      </c>
      <c r="F1443" s="636"/>
      <c r="G1443" s="636"/>
      <c r="H1443" s="637" t="str">
        <f>[1]K_Summary!H1433</f>
        <v>TJ / година</v>
      </c>
      <c r="I1443" s="482" t="str">
        <f>[1]K_Summary!I1433</f>
        <v/>
      </c>
      <c r="J1443" s="482" t="str">
        <f>[1]K_Summary!J1433</f>
        <v/>
      </c>
      <c r="K1443" s="482" t="str">
        <f>[1]K_Summary!K1433</f>
        <v/>
      </c>
      <c r="L1443" s="482" t="str">
        <f>[1]K_Summary!L1433</f>
        <v/>
      </c>
      <c r="M1443" s="482" t="str">
        <f>[1]K_Summary!M1433</f>
        <v/>
      </c>
      <c r="N1443" s="626"/>
    </row>
    <row r="1444" spans="2:14" ht="12.75" customHeight="1" x14ac:dyDescent="0.25">
      <c r="B1444" s="284"/>
      <c r="C1444" s="302"/>
      <c r="D1444" s="302"/>
      <c r="E1444" s="638" t="str">
        <f>[1]K_Summary!E1434</f>
        <v>Претеглен емисионен фактор</v>
      </c>
      <c r="F1444" s="638"/>
      <c r="G1444" s="638"/>
      <c r="H1444" s="639" t="str">
        <f>[1]K_Summary!H1434</f>
        <v>t CO2 / TJ</v>
      </c>
      <c r="I1444" s="484" t="str">
        <f>[1]K_Summary!I1434</f>
        <v/>
      </c>
      <c r="J1444" s="484" t="str">
        <f>[1]K_Summary!J1434</f>
        <v/>
      </c>
      <c r="K1444" s="484" t="str">
        <f>[1]K_Summary!K1434</f>
        <v/>
      </c>
      <c r="L1444" s="484" t="str">
        <f>[1]K_Summary!L1434</f>
        <v/>
      </c>
      <c r="M1444" s="484" t="str">
        <f>[1]K_Summary!M1434</f>
        <v/>
      </c>
      <c r="N1444" s="626"/>
    </row>
    <row r="1445" spans="2:14" ht="12.75" customHeight="1" x14ac:dyDescent="0.25">
      <c r="B1445" s="284"/>
      <c r="C1445" s="302"/>
      <c r="D1445" s="302"/>
      <c r="E1445" s="636" t="str">
        <f>[1]K_Summary!E1435</f>
        <v>Вложени горива от отпадъчни газове</v>
      </c>
      <c r="F1445" s="636"/>
      <c r="G1445" s="636"/>
      <c r="H1445" s="637" t="str">
        <f>[1]K_Summary!H1435</f>
        <v>TJ / година</v>
      </c>
      <c r="I1445" s="482" t="str">
        <f>[1]K_Summary!I1435</f>
        <v/>
      </c>
      <c r="J1445" s="482" t="str">
        <f>[1]K_Summary!J1435</f>
        <v/>
      </c>
      <c r="K1445" s="482" t="str">
        <f>[1]K_Summary!K1435</f>
        <v/>
      </c>
      <c r="L1445" s="482" t="str">
        <f>[1]K_Summary!L1435</f>
        <v/>
      </c>
      <c r="M1445" s="482" t="str">
        <f>[1]K_Summary!M1435</f>
        <v/>
      </c>
      <c r="N1445" s="626"/>
    </row>
    <row r="1446" spans="2:14" ht="12.75" customHeight="1" x14ac:dyDescent="0.25">
      <c r="B1446" s="284"/>
      <c r="C1446" s="302"/>
      <c r="D1446" s="302"/>
      <c r="E1446" s="638" t="str">
        <f>[1]K_Summary!E1436</f>
        <v>Претеглен емисионен фактор</v>
      </c>
      <c r="F1446" s="638"/>
      <c r="G1446" s="638"/>
      <c r="H1446" s="639" t="str">
        <f>[1]K_Summary!H1436</f>
        <v>t CO2 / TJ</v>
      </c>
      <c r="I1446" s="484" t="str">
        <f>[1]K_Summary!I1436</f>
        <v/>
      </c>
      <c r="J1446" s="484" t="str">
        <f>[1]K_Summary!J1436</f>
        <v/>
      </c>
      <c r="K1446" s="484" t="str">
        <f>[1]K_Summary!K1436</f>
        <v/>
      </c>
      <c r="L1446" s="484" t="str">
        <f>[1]K_Summary!L1436</f>
        <v/>
      </c>
      <c r="M1446" s="484" t="str">
        <f>[1]K_Summary!M1436</f>
        <v/>
      </c>
      <c r="N1446" s="626"/>
    </row>
    <row r="1447" spans="2:14" ht="12.75" customHeight="1" x14ac:dyDescent="0.25">
      <c r="B1447" s="284"/>
      <c r="C1447" s="302"/>
      <c r="D1447" s="302"/>
      <c r="E1447" s="636" t="str">
        <f>[1]K_Summary!E1437</f>
        <v>Вложена електроенергия за производството на топлинна енергия</v>
      </c>
      <c r="F1447" s="636"/>
      <c r="G1447" s="636"/>
      <c r="H1447" s="637" t="str">
        <f>[1]K_Summary!H1437</f>
        <v>TJ / година</v>
      </c>
      <c r="I1447" s="482" t="str">
        <f>[1]K_Summary!I1437</f>
        <v/>
      </c>
      <c r="J1447" s="482" t="str">
        <f>[1]K_Summary!J1437</f>
        <v/>
      </c>
      <c r="K1447" s="482" t="str">
        <f>[1]K_Summary!K1437</f>
        <v/>
      </c>
      <c r="L1447" s="482" t="str">
        <f>[1]K_Summary!L1437</f>
        <v/>
      </c>
      <c r="M1447" s="482" t="str">
        <f>[1]K_Summary!M1437</f>
        <v/>
      </c>
      <c r="N1447" s="626"/>
    </row>
    <row r="1448" spans="2:14" ht="12.75" customHeight="1" x14ac:dyDescent="0.25">
      <c r="B1448" s="284"/>
      <c r="C1448" s="302"/>
      <c r="D1448" s="302"/>
      <c r="E1448" s="638" t="str">
        <f>[1]K_Summary!E1438</f>
        <v>Претеглен емисионен фактор</v>
      </c>
      <c r="F1448" s="638"/>
      <c r="G1448" s="638"/>
      <c r="H1448" s="639" t="str">
        <f>[1]K_Summary!H1438</f>
        <v>t CO2 / TJ</v>
      </c>
      <c r="I1448" s="484" t="str">
        <f>[1]K_Summary!I1438</f>
        <v/>
      </c>
      <c r="J1448" s="484" t="str">
        <f>[1]K_Summary!J1438</f>
        <v/>
      </c>
      <c r="K1448" s="484" t="str">
        <f>[1]K_Summary!K1438</f>
        <v/>
      </c>
      <c r="L1448" s="484" t="str">
        <f>[1]K_Summary!L1438</f>
        <v/>
      </c>
      <c r="M1448" s="484" t="str">
        <f>[1]K_Summary!M1438</f>
        <v/>
      </c>
      <c r="N1448" s="626"/>
    </row>
    <row r="1449" spans="2:14" ht="12.75" customHeight="1" x14ac:dyDescent="0.25">
      <c r="B1449" s="284"/>
      <c r="C1449" s="302"/>
      <c r="D1449" s="302"/>
      <c r="E1449" s="625"/>
      <c r="F1449" s="626"/>
      <c r="G1449" s="626"/>
      <c r="H1449" s="626"/>
      <c r="I1449" s="640"/>
      <c r="J1449" s="640"/>
      <c r="K1449" s="640"/>
      <c r="L1449" s="640"/>
      <c r="M1449" s="640"/>
      <c r="N1449" s="626"/>
    </row>
    <row r="1450" spans="2:14" ht="12.75" customHeight="1" x14ac:dyDescent="0.25">
      <c r="B1450" s="284"/>
      <c r="C1450" s="302"/>
      <c r="D1450" s="302"/>
      <c r="E1450" s="641" t="str">
        <f>[1]K_Summary!E1440</f>
        <v>Преки емисии</v>
      </c>
      <c r="F1450" s="641"/>
      <c r="G1450" s="641"/>
      <c r="H1450" s="642" t="str">
        <f>[1]K_Summary!H1440</f>
        <v>t CO2 / година</v>
      </c>
      <c r="I1450" s="480" t="str">
        <f>[1]K_Summary!I1440</f>
        <v/>
      </c>
      <c r="J1450" s="480" t="str">
        <f>[1]K_Summary!J1440</f>
        <v/>
      </c>
      <c r="K1450" s="480" t="str">
        <f>[1]K_Summary!K1440</f>
        <v/>
      </c>
      <c r="L1450" s="480" t="str">
        <f>[1]K_Summary!L1440</f>
        <v/>
      </c>
      <c r="M1450" s="480" t="str">
        <f>[1]K_Summary!M1440</f>
        <v/>
      </c>
      <c r="N1450" s="626"/>
    </row>
    <row r="1451" spans="2:14" ht="12.75" customHeight="1" x14ac:dyDescent="0.25">
      <c r="B1451" s="284"/>
      <c r="C1451" s="302"/>
      <c r="D1451" s="302"/>
      <c r="E1451" s="625"/>
      <c r="F1451" s="625"/>
      <c r="G1451" s="625"/>
      <c r="H1451" s="625"/>
      <c r="I1451" s="640"/>
      <c r="J1451" s="640"/>
      <c r="K1451" s="640"/>
      <c r="L1451" s="640"/>
      <c r="M1451" s="640"/>
      <c r="N1451" s="626"/>
    </row>
    <row r="1452" spans="2:14" ht="12.75" customHeight="1" x14ac:dyDescent="0.25">
      <c r="B1452" s="284"/>
      <c r="C1452" s="302"/>
      <c r="D1452" s="302"/>
      <c r="E1452" s="641" t="str">
        <f>[1]K_Summary!E1442</f>
        <v>Нетно количество подадена топлинна енергия</v>
      </c>
      <c r="F1452" s="641"/>
      <c r="G1452" s="641"/>
      <c r="H1452" s="642" t="str">
        <f>[1]K_Summary!H1442</f>
        <v>TJ / година</v>
      </c>
      <c r="I1452" s="480" t="str">
        <f>[1]K_Summary!I1442</f>
        <v/>
      </c>
      <c r="J1452" s="480" t="str">
        <f>[1]K_Summary!J1442</f>
        <v/>
      </c>
      <c r="K1452" s="480" t="str">
        <f>[1]K_Summary!K1442</f>
        <v/>
      </c>
      <c r="L1452" s="480" t="str">
        <f>[1]K_Summary!L1442</f>
        <v/>
      </c>
      <c r="M1452" s="480" t="str">
        <f>[1]K_Summary!M1442</f>
        <v/>
      </c>
      <c r="N1452" s="626"/>
    </row>
    <row r="1453" spans="2:14" ht="12.75" customHeight="1" x14ac:dyDescent="0.25">
      <c r="B1453" s="284"/>
      <c r="C1453" s="302"/>
      <c r="D1453" s="302"/>
      <c r="E1453" s="641" t="str">
        <f>[1]K_Summary!E1443</f>
        <v>Специфичен EF (подадена топлинна енергия)</v>
      </c>
      <c r="F1453" s="641"/>
      <c r="G1453" s="641"/>
      <c r="H1453" s="642" t="str">
        <f>[1]K_Summary!H1443</f>
        <v>TJ / година</v>
      </c>
      <c r="I1453" s="480" t="str">
        <f>[1]K_Summary!I1443</f>
        <v/>
      </c>
      <c r="J1453" s="480" t="str">
        <f>[1]K_Summary!J1443</f>
        <v/>
      </c>
      <c r="K1453" s="480" t="str">
        <f>[1]K_Summary!K1443</f>
        <v/>
      </c>
      <c r="L1453" s="480" t="str">
        <f>[1]K_Summary!L1443</f>
        <v/>
      </c>
      <c r="M1453" s="480" t="str">
        <f>[1]K_Summary!M1443</f>
        <v/>
      </c>
      <c r="N1453" s="626"/>
    </row>
    <row r="1454" spans="2:14" ht="12.75" customHeight="1" x14ac:dyDescent="0.25">
      <c r="B1454" s="284"/>
      <c r="C1454" s="302"/>
      <c r="D1454" s="302"/>
      <c r="E1454" s="626"/>
      <c r="F1454" s="626"/>
      <c r="G1454" s="626"/>
      <c r="H1454" s="626"/>
      <c r="I1454" s="626"/>
      <c r="J1454" s="626"/>
      <c r="K1454" s="626"/>
      <c r="L1454" s="626"/>
      <c r="M1454" s="626"/>
      <c r="N1454" s="626"/>
    </row>
    <row r="1455" spans="2:14" ht="12.75" customHeight="1" thickBot="1" x14ac:dyDescent="0.3">
      <c r="B1455" s="284"/>
      <c r="C1455" s="302"/>
      <c r="D1455" s="302"/>
      <c r="E1455" s="302"/>
      <c r="F1455" s="302"/>
      <c r="G1455" s="302"/>
      <c r="H1455" s="364"/>
      <c r="I1455" s="364"/>
      <c r="J1455" s="364"/>
      <c r="K1455" s="364"/>
      <c r="L1455" s="364"/>
      <c r="M1455" s="302"/>
      <c r="N1455" s="302"/>
    </row>
    <row r="1456" spans="2:14" ht="12.75" customHeight="1" thickBot="1" x14ac:dyDescent="0.3">
      <c r="B1456" s="284"/>
      <c r="C1456" s="581"/>
      <c r="D1456" s="581"/>
      <c r="E1456" s="581"/>
      <c r="F1456" s="581"/>
      <c r="G1456" s="581"/>
      <c r="H1456" s="581"/>
      <c r="I1456" s="581"/>
      <c r="J1456" s="581"/>
      <c r="K1456" s="581"/>
      <c r="L1456" s="581"/>
      <c r="M1456" s="581"/>
      <c r="N1456" s="581"/>
    </row>
    <row r="1457" spans="2:14" ht="12.75" customHeight="1" thickBot="1" x14ac:dyDescent="0.35">
      <c r="B1457" s="284"/>
      <c r="C1457" s="357">
        <f>[1]K_Summary!C1447</f>
        <v>17</v>
      </c>
      <c r="D1457" s="358" t="str">
        <f>[1]K_Summary!D1447</f>
        <v>Алтернативна подинсталация („Fall-Back sub-installation“) 7:</v>
      </c>
      <c r="E1457" s="359"/>
      <c r="F1457" s="359"/>
      <c r="G1457" s="359"/>
      <c r="H1457" s="497"/>
      <c r="I1457" s="649" t="str">
        <f>[1]K_Summary!I1447</f>
        <v>Подинсталация с горивен показател (с риск от ИВЕ | в рамките на МКВЕГ)</v>
      </c>
      <c r="J1457" s="650"/>
      <c r="K1457" s="650"/>
      <c r="L1457" s="651"/>
      <c r="M1457" s="652" t="str">
        <f>[1]K_Summary!M1447</f>
        <v/>
      </c>
      <c r="N1457" s="653"/>
    </row>
    <row r="1458" spans="2:14" ht="12.75" customHeight="1" thickBot="1" x14ac:dyDescent="0.3">
      <c r="B1458" s="284"/>
      <c r="C1458" s="302"/>
      <c r="D1458" s="302"/>
      <c r="E1458" s="302"/>
      <c r="F1458" s="302"/>
      <c r="G1458" s="302"/>
      <c r="H1458" s="302"/>
      <c r="I1458" s="302"/>
      <c r="J1458" s="302"/>
      <c r="K1458" s="302"/>
      <c r="L1458" s="302"/>
      <c r="M1458" s="302"/>
      <c r="N1458" s="302"/>
    </row>
    <row r="1459" spans="2:14" ht="12.75" customHeight="1" x14ac:dyDescent="0.25">
      <c r="B1459" s="284"/>
      <c r="C1459" s="302"/>
      <c r="D1459" s="302"/>
      <c r="E1459" s="302"/>
      <c r="F1459" s="302"/>
      <c r="G1459" s="302"/>
      <c r="H1459" s="595" t="str">
        <f>[1]K_Summary!H1449</f>
        <v>Риск от ИВЕ</v>
      </c>
      <c r="I1459" s="595" t="str">
        <f>[1]K_Summary!I1449</f>
        <v>В/Е</v>
      </c>
      <c r="J1459" s="595" t="str">
        <f>[1]K_Summary!J1449</f>
        <v>15(7).3?</v>
      </c>
      <c r="K1459" s="364"/>
      <c r="L1459" s="654" t="str">
        <f>[1]K_Summary!L1449</f>
        <v>№ на п-л</v>
      </c>
      <c r="M1459" s="598" t="str">
        <f>[1]K_Summary!M1449</f>
        <v>Стойност на показател (мин/макс/действ.)</v>
      </c>
      <c r="N1459" s="599"/>
    </row>
    <row r="1460" spans="2:14" ht="12.75" customHeight="1" x14ac:dyDescent="0.25">
      <c r="B1460" s="284"/>
      <c r="C1460" s="302"/>
      <c r="D1460" s="302"/>
      <c r="E1460" s="361" t="str">
        <f>[1]K_Summary!E1450</f>
        <v>Подинсталация с горивен показател (с риск от ИВЕ | в рамките на МКВЕГ)</v>
      </c>
      <c r="F1460" s="373"/>
      <c r="G1460" s="362"/>
      <c r="H1460" s="600" t="b">
        <f>[1]K_Summary!H1450</f>
        <v>1</v>
      </c>
      <c r="I1460" s="655" t="str">
        <f>[1]K_Summary!I1450</f>
        <v/>
      </c>
      <c r="J1460" s="600" t="str">
        <f>[1]K_Summary!J1450</f>
        <v/>
      </c>
      <c r="K1460" s="364"/>
      <c r="L1460" s="656">
        <f>[1]K_Summary!L1450</f>
        <v>7</v>
      </c>
      <c r="M1460" s="657" t="str">
        <f>[1]K_Summary!M1450</f>
        <v/>
      </c>
      <c r="N1460" s="604" t="str">
        <f>[1]K_Summary!N1450</f>
        <v>Квота за емисии/TJ</v>
      </c>
    </row>
    <row r="1461" spans="2:14" ht="12.75" customHeight="1" x14ac:dyDescent="0.25">
      <c r="B1461" s="284"/>
      <c r="C1461" s="302"/>
      <c r="D1461" s="364"/>
      <c r="E1461" s="364"/>
      <c r="F1461" s="364"/>
      <c r="G1461" s="364"/>
      <c r="H1461" s="595" t="str">
        <f>[1]K_Summary!H1451</f>
        <v>CBAM</v>
      </c>
      <c r="I1461" s="364"/>
      <c r="J1461" s="364"/>
      <c r="K1461" s="364"/>
      <c r="L1461" s="364"/>
      <c r="M1461" s="657" t="str">
        <f>[1]K_Summary!M1451</f>
        <v/>
      </c>
      <c r="N1461" s="604" t="str">
        <f>[1]K_Summary!N1451</f>
        <v>Квота за емисии/TJ</v>
      </c>
    </row>
    <row r="1462" spans="2:14" ht="12.75" customHeight="1" thickBot="1" x14ac:dyDescent="0.3">
      <c r="B1462" s="284"/>
      <c r="C1462" s="302"/>
      <c r="D1462" s="364"/>
      <c r="E1462" s="364"/>
      <c r="F1462" s="364"/>
      <c r="G1462" s="364"/>
      <c r="H1462" s="600" t="b">
        <f>[1]K_Summary!H1452</f>
        <v>1</v>
      </c>
      <c r="I1462" s="364"/>
      <c r="J1462" s="364"/>
      <c r="K1462" s="364"/>
      <c r="L1462" s="364"/>
      <c r="M1462" s="658" t="str">
        <f>[1]K_Summary!M1452</f>
        <v/>
      </c>
      <c r="N1462" s="611" t="str">
        <f>[1]K_Summary!N1452</f>
        <v>Квота за емисии/TJ</v>
      </c>
    </row>
    <row r="1463" spans="2:14" ht="12.75" customHeight="1" x14ac:dyDescent="0.25">
      <c r="B1463" s="284"/>
      <c r="C1463" s="302"/>
      <c r="D1463" s="302"/>
      <c r="E1463" s="302"/>
      <c r="F1463" s="302"/>
      <c r="G1463" s="302"/>
      <c r="H1463" s="302"/>
      <c r="I1463" s="302"/>
      <c r="J1463" s="302"/>
      <c r="K1463" s="302"/>
      <c r="L1463" s="302"/>
      <c r="M1463" s="302"/>
      <c r="N1463" s="302"/>
    </row>
    <row r="1464" spans="2:14" ht="12.75" customHeight="1" x14ac:dyDescent="0.25">
      <c r="B1464" s="284"/>
      <c r="C1464" s="302"/>
      <c r="D1464" s="302"/>
      <c r="E1464" s="498"/>
      <c r="F1464" s="498"/>
      <c r="G1464" s="380"/>
      <c r="H1464" s="595" t="str">
        <f>[1]K_Summary!H1454</f>
        <v>Единица мярка</v>
      </c>
      <c r="I1464" s="387">
        <f>[1]K_Summary!I1454</f>
        <v>2019</v>
      </c>
      <c r="J1464" s="387">
        <f>[1]K_Summary!J1454</f>
        <v>2020</v>
      </c>
      <c r="K1464" s="387">
        <f>[1]K_Summary!K1454</f>
        <v>2021</v>
      </c>
      <c r="L1464" s="387">
        <f>[1]K_Summary!L1454</f>
        <v>2022</v>
      </c>
      <c r="M1464" s="387">
        <f>[1]K_Summary!M1454</f>
        <v>2023</v>
      </c>
      <c r="N1464" s="302"/>
    </row>
    <row r="1465" spans="2:14" ht="12.75" customHeight="1" x14ac:dyDescent="0.25">
      <c r="B1465" s="284"/>
      <c r="C1465" s="302"/>
      <c r="D1465" s="302"/>
      <c r="E1465" s="614" t="str">
        <f>[1]K_Summary!E1455</f>
        <v>Отчетено HAL (историческо равнище на дейност)</v>
      </c>
      <c r="F1465" s="388"/>
      <c r="G1465" s="615"/>
      <c r="H1465" s="600" t="str">
        <f>[1]K_Summary!H1455</f>
        <v>TJ</v>
      </c>
      <c r="I1465" s="406" t="str">
        <f>[1]K_Summary!I1455</f>
        <v/>
      </c>
      <c r="J1465" s="406" t="str">
        <f>[1]K_Summary!J1455</f>
        <v/>
      </c>
      <c r="K1465" s="406" t="str">
        <f>[1]K_Summary!K1455</f>
        <v/>
      </c>
      <c r="L1465" s="406" t="str">
        <f>[1]K_Summary!L1455</f>
        <v/>
      </c>
      <c r="M1465" s="406" t="str">
        <f>[1]K_Summary!M1455</f>
        <v/>
      </c>
      <c r="N1465" s="596" t="str">
        <f>[1]K_Summary!N1455</f>
        <v>Median</v>
      </c>
    </row>
    <row r="1466" spans="2:14" ht="12.75" customHeight="1" x14ac:dyDescent="0.25">
      <c r="B1466" s="284"/>
      <c r="C1466" s="302"/>
      <c r="D1466" s="302"/>
      <c r="E1466" s="614" t="str">
        <f>[1]K_Summary!E1456</f>
        <v>Стойности, използвани за изчислението на HAL:</v>
      </c>
      <c r="F1466" s="388"/>
      <c r="G1466" s="615"/>
      <c r="H1466" s="600" t="str">
        <f>[1]K_Summary!H1456</f>
        <v>TJ</v>
      </c>
      <c r="I1466" s="659" t="str">
        <f>[1]K_Summary!I1456</f>
        <v/>
      </c>
      <c r="J1466" s="659" t="str">
        <f>[1]K_Summary!J1456</f>
        <v/>
      </c>
      <c r="K1466" s="659" t="str">
        <f>[1]K_Summary!K1456</f>
        <v/>
      </c>
      <c r="L1466" s="659" t="str">
        <f>[1]K_Summary!L1456</f>
        <v/>
      </c>
      <c r="M1466" s="659" t="str">
        <f>[1]K_Summary!M1456</f>
        <v/>
      </c>
      <c r="N1466" s="406" t="str">
        <f>[1]K_Summary!N1456</f>
        <v/>
      </c>
    </row>
    <row r="1467" spans="2:14" ht="12.75" customHeight="1" x14ac:dyDescent="0.25">
      <c r="B1467" s="284"/>
      <c r="C1467" s="302"/>
      <c r="D1467" s="302"/>
      <c r="E1467" s="302"/>
      <c r="F1467" s="302"/>
      <c r="G1467" s="302"/>
      <c r="H1467" s="302"/>
      <c r="I1467" s="302"/>
      <c r="J1467" s="302"/>
      <c r="K1467" s="302"/>
      <c r="L1467" s="302"/>
      <c r="M1467" s="302"/>
      <c r="N1467" s="302"/>
    </row>
    <row r="1468" spans="2:14" ht="12.75" customHeight="1" thickBot="1" x14ac:dyDescent="0.3">
      <c r="B1468" s="284"/>
      <c r="C1468" s="302"/>
      <c r="D1468" s="302"/>
      <c r="E1468" s="302"/>
      <c r="F1468" s="660" t="str">
        <f>[1]K_Summary!F1458</f>
        <v>Общо HAL</v>
      </c>
      <c r="G1468" s="620"/>
      <c r="H1468" s="302"/>
      <c r="I1468" s="619" t="str">
        <f>[1]K_Summary!I1458</f>
        <v>Предв. разпр. за год. 1 (мин)</v>
      </c>
      <c r="J1468" s="620"/>
      <c r="K1468" s="619" t="str">
        <f>[1]K_Summary!K1458</f>
        <v>Предв. разпр. за год. 1 (макс)</v>
      </c>
      <c r="L1468" s="620"/>
      <c r="M1468" s="619" t="str">
        <f>[1]K_Summary!M1458</f>
        <v>Предв. разпр. за год. 1 (действ.)</v>
      </c>
      <c r="N1468" s="620"/>
    </row>
    <row r="1469" spans="2:14" ht="12.75" customHeight="1" thickBot="1" x14ac:dyDescent="0.3">
      <c r="B1469" s="284"/>
      <c r="C1469" s="302"/>
      <c r="D1469" s="302"/>
      <c r="E1469" s="302"/>
      <c r="F1469" s="621" t="str">
        <f>[1]K_Summary!F1459</f>
        <v/>
      </c>
      <c r="G1469" s="624" t="str">
        <f>[1]K_Summary!G1459</f>
        <v>TJ / година</v>
      </c>
      <c r="H1469" s="302"/>
      <c r="I1469" s="623" t="str">
        <f>[1]K_Summary!I1459</f>
        <v/>
      </c>
      <c r="J1469" s="624" t="str">
        <f>[1]K_Summary!J1459</f>
        <v>Квота за емисии / година</v>
      </c>
      <c r="K1469" s="623" t="str">
        <f>[1]K_Summary!K1459</f>
        <v/>
      </c>
      <c r="L1469" s="624" t="str">
        <f>[1]K_Summary!L1459</f>
        <v>Квота за емисии / година</v>
      </c>
      <c r="M1469" s="623" t="str">
        <f>[1]K_Summary!M1459</f>
        <v/>
      </c>
      <c r="N1469" s="624" t="str">
        <f>[1]K_Summary!N1459</f>
        <v>Квота за емисии / година</v>
      </c>
    </row>
    <row r="1470" spans="2:14" ht="12.75" customHeight="1" x14ac:dyDescent="0.25">
      <c r="B1470" s="284"/>
      <c r="C1470" s="302"/>
      <c r="D1470" s="302"/>
      <c r="E1470" s="302"/>
      <c r="F1470" s="302"/>
      <c r="G1470" s="302"/>
      <c r="H1470" s="302"/>
      <c r="I1470" s="302"/>
      <c r="J1470" s="302"/>
      <c r="K1470" s="302"/>
      <c r="L1470" s="302"/>
      <c r="M1470" s="302"/>
      <c r="N1470" s="302"/>
    </row>
    <row r="1471" spans="2:14" ht="12.75" customHeight="1" x14ac:dyDescent="0.25">
      <c r="B1471" s="284"/>
      <c r="C1471" s="302"/>
      <c r="D1471" s="302"/>
      <c r="E1471" s="625"/>
      <c r="F1471" s="626"/>
      <c r="G1471" s="626"/>
      <c r="H1471" s="626"/>
      <c r="I1471" s="626"/>
      <c r="J1471" s="626"/>
      <c r="K1471" s="626"/>
      <c r="L1471" s="626"/>
      <c r="M1471" s="626"/>
      <c r="N1471" s="626"/>
    </row>
    <row r="1472" spans="2:14" ht="12.75" customHeight="1" thickBot="1" x14ac:dyDescent="0.3">
      <c r="B1472" s="284"/>
      <c r="C1472" s="302"/>
      <c r="D1472" s="302"/>
      <c r="E1472" s="625"/>
      <c r="F1472" s="626"/>
      <c r="G1472" s="626"/>
      <c r="H1472" s="627" t="str">
        <f>[1]K_Summary!H1462</f>
        <v>Единица мярка</v>
      </c>
      <c r="I1472" s="666">
        <f>[1]K_Summary!I1462</f>
        <v>2019</v>
      </c>
      <c r="J1472" s="667">
        <f>[1]K_Summary!J1462</f>
        <v>2020</v>
      </c>
      <c r="K1472" s="667">
        <f>[1]K_Summary!K1462</f>
        <v>2021</v>
      </c>
      <c r="L1472" s="667">
        <f>[1]K_Summary!L1462</f>
        <v>2022</v>
      </c>
      <c r="M1472" s="667">
        <f>[1]K_Summary!M1462</f>
        <v>2023</v>
      </c>
      <c r="N1472" s="626"/>
    </row>
    <row r="1473" spans="2:14" ht="12.75" customHeight="1" thickBot="1" x14ac:dyDescent="0.3">
      <c r="B1473" s="284"/>
      <c r="C1473" s="302"/>
      <c r="D1473" s="302"/>
      <c r="E1473" s="630" t="str">
        <f>[1]K_Summary!E1463</f>
        <v>Общо зададени емисии</v>
      </c>
      <c r="F1473" s="630"/>
      <c r="G1473" s="630"/>
      <c r="H1473" s="631" t="str">
        <f>[1]K_Summary!H1463</f>
        <v>t CO2e/година</v>
      </c>
      <c r="I1473" s="661" t="str">
        <f>[1]K_Summary!I1463</f>
        <v/>
      </c>
      <c r="J1473" s="662" t="str">
        <f>[1]K_Summary!J1463</f>
        <v/>
      </c>
      <c r="K1473" s="662" t="str">
        <f>[1]K_Summary!K1463</f>
        <v/>
      </c>
      <c r="L1473" s="662" t="str">
        <f>[1]K_Summary!L1463</f>
        <v/>
      </c>
      <c r="M1473" s="663" t="str">
        <f>[1]K_Summary!M1463</f>
        <v/>
      </c>
      <c r="N1473" s="626"/>
    </row>
    <row r="1474" spans="2:14" ht="12.75" customHeight="1" x14ac:dyDescent="0.25">
      <c r="B1474" s="284"/>
      <c r="C1474" s="302"/>
      <c r="D1474" s="302"/>
      <c r="E1474" s="625"/>
      <c r="F1474" s="625"/>
      <c r="G1474" s="625"/>
      <c r="H1474" s="625"/>
      <c r="I1474" s="635"/>
      <c r="J1474" s="635"/>
      <c r="K1474" s="635"/>
      <c r="L1474" s="635"/>
      <c r="M1474" s="635"/>
      <c r="N1474" s="625"/>
    </row>
    <row r="1475" spans="2:14" ht="12.75" customHeight="1" x14ac:dyDescent="0.25">
      <c r="B1475" s="284"/>
      <c r="C1475" s="302"/>
      <c r="D1475" s="302"/>
      <c r="E1475" s="636" t="str">
        <f>[1]K_Summary!E1465</f>
        <v>Обща вложена енергия</v>
      </c>
      <c r="F1475" s="636"/>
      <c r="G1475" s="636"/>
      <c r="H1475" s="637" t="str">
        <f>[1]K_Summary!H1465</f>
        <v>TJ / година</v>
      </c>
      <c r="I1475" s="482" t="str">
        <f>[1]K_Summary!I1465</f>
        <v/>
      </c>
      <c r="J1475" s="482" t="str">
        <f>[1]K_Summary!J1465</f>
        <v/>
      </c>
      <c r="K1475" s="482" t="str">
        <f>[1]K_Summary!K1465</f>
        <v/>
      </c>
      <c r="L1475" s="482" t="str">
        <f>[1]K_Summary!L1465</f>
        <v/>
      </c>
      <c r="M1475" s="482" t="str">
        <f>[1]K_Summary!M1465</f>
        <v/>
      </c>
      <c r="N1475" s="626"/>
    </row>
    <row r="1476" spans="2:14" ht="12.75" customHeight="1" x14ac:dyDescent="0.25">
      <c r="B1476" s="284"/>
      <c r="C1476" s="302"/>
      <c r="D1476" s="302"/>
      <c r="E1476" s="638" t="str">
        <f>[1]K_Summary!E1466</f>
        <v>Претеглен емисионен фактор</v>
      </c>
      <c r="F1476" s="638"/>
      <c r="G1476" s="638"/>
      <c r="H1476" s="639" t="str">
        <f>[1]K_Summary!H1466</f>
        <v>t CO2 / TJ</v>
      </c>
      <c r="I1476" s="484" t="str">
        <f>[1]K_Summary!I1466</f>
        <v/>
      </c>
      <c r="J1476" s="484" t="str">
        <f>[1]K_Summary!J1466</f>
        <v/>
      </c>
      <c r="K1476" s="484" t="str">
        <f>[1]K_Summary!K1466</f>
        <v/>
      </c>
      <c r="L1476" s="484" t="str">
        <f>[1]K_Summary!L1466</f>
        <v/>
      </c>
      <c r="M1476" s="484" t="str">
        <f>[1]K_Summary!M1466</f>
        <v/>
      </c>
      <c r="N1476" s="626"/>
    </row>
    <row r="1477" spans="2:14" ht="12.75" customHeight="1" x14ac:dyDescent="0.25">
      <c r="B1477" s="284"/>
      <c r="C1477" s="302"/>
      <c r="D1477" s="302"/>
      <c r="E1477" s="636" t="str">
        <f>[1]K_Summary!E1467</f>
        <v>Вложени горива от отпадъчни газове</v>
      </c>
      <c r="F1477" s="636"/>
      <c r="G1477" s="636"/>
      <c r="H1477" s="637" t="str">
        <f>[1]K_Summary!H1467</f>
        <v>TJ / година</v>
      </c>
      <c r="I1477" s="482" t="str">
        <f>[1]K_Summary!I1467</f>
        <v/>
      </c>
      <c r="J1477" s="482" t="str">
        <f>[1]K_Summary!J1467</f>
        <v/>
      </c>
      <c r="K1477" s="482" t="str">
        <f>[1]K_Summary!K1467</f>
        <v/>
      </c>
      <c r="L1477" s="482" t="str">
        <f>[1]K_Summary!L1467</f>
        <v/>
      </c>
      <c r="M1477" s="482" t="str">
        <f>[1]K_Summary!M1467</f>
        <v/>
      </c>
      <c r="N1477" s="626"/>
    </row>
    <row r="1478" spans="2:14" ht="12.75" customHeight="1" x14ac:dyDescent="0.25">
      <c r="B1478" s="284"/>
      <c r="C1478" s="302"/>
      <c r="D1478" s="302"/>
      <c r="E1478" s="638" t="str">
        <f>[1]K_Summary!E1468</f>
        <v>Претеглен емисионен фактор</v>
      </c>
      <c r="F1478" s="638"/>
      <c r="G1478" s="638"/>
      <c r="H1478" s="639" t="str">
        <f>[1]K_Summary!H1468</f>
        <v>t CO2 / TJ</v>
      </c>
      <c r="I1478" s="484" t="str">
        <f>[1]K_Summary!I1468</f>
        <v/>
      </c>
      <c r="J1478" s="484" t="str">
        <f>[1]K_Summary!J1468</f>
        <v/>
      </c>
      <c r="K1478" s="484" t="str">
        <f>[1]K_Summary!K1468</f>
        <v/>
      </c>
      <c r="L1478" s="484" t="str">
        <f>[1]K_Summary!L1468</f>
        <v/>
      </c>
      <c r="M1478" s="484" t="str">
        <f>[1]K_Summary!M1468</f>
        <v/>
      </c>
      <c r="N1478" s="626"/>
    </row>
    <row r="1479" spans="2:14" ht="12.75" customHeight="1" x14ac:dyDescent="0.25">
      <c r="B1479" s="284"/>
      <c r="C1479" s="302"/>
      <c r="D1479" s="302"/>
      <c r="E1479" s="636" t="str">
        <f>[1]K_Summary!E1469</f>
        <v>Вложена електроенергия за производството на топлинна енергия</v>
      </c>
      <c r="F1479" s="636"/>
      <c r="G1479" s="636"/>
      <c r="H1479" s="637" t="str">
        <f>[1]K_Summary!H1469</f>
        <v>TJ / година</v>
      </c>
      <c r="I1479" s="482" t="str">
        <f>[1]K_Summary!I1469</f>
        <v/>
      </c>
      <c r="J1479" s="482" t="str">
        <f>[1]K_Summary!J1469</f>
        <v/>
      </c>
      <c r="K1479" s="482" t="str">
        <f>[1]K_Summary!K1469</f>
        <v/>
      </c>
      <c r="L1479" s="482" t="str">
        <f>[1]K_Summary!L1469</f>
        <v/>
      </c>
      <c r="M1479" s="482" t="str">
        <f>[1]K_Summary!M1469</f>
        <v/>
      </c>
      <c r="N1479" s="626"/>
    </row>
    <row r="1480" spans="2:14" ht="12.75" customHeight="1" x14ac:dyDescent="0.25">
      <c r="B1480" s="284"/>
      <c r="C1480" s="302"/>
      <c r="D1480" s="302"/>
      <c r="E1480" s="638" t="str">
        <f>[1]K_Summary!E1470</f>
        <v>Претеглен емисионен фактор</v>
      </c>
      <c r="F1480" s="638"/>
      <c r="G1480" s="638"/>
      <c r="H1480" s="639" t="str">
        <f>[1]K_Summary!H1470</f>
        <v>t CO2 / TJ</v>
      </c>
      <c r="I1480" s="484" t="str">
        <f>[1]K_Summary!I1470</f>
        <v/>
      </c>
      <c r="J1480" s="484" t="str">
        <f>[1]K_Summary!J1470</f>
        <v/>
      </c>
      <c r="K1480" s="484" t="str">
        <f>[1]K_Summary!K1470</f>
        <v/>
      </c>
      <c r="L1480" s="484" t="str">
        <f>[1]K_Summary!L1470</f>
        <v/>
      </c>
      <c r="M1480" s="484" t="str">
        <f>[1]K_Summary!M1470</f>
        <v/>
      </c>
      <c r="N1480" s="626"/>
    </row>
    <row r="1481" spans="2:14" ht="12.75" customHeight="1" x14ac:dyDescent="0.25">
      <c r="B1481" s="284"/>
      <c r="C1481" s="302"/>
      <c r="D1481" s="302"/>
      <c r="E1481" s="625"/>
      <c r="F1481" s="626"/>
      <c r="G1481" s="626"/>
      <c r="H1481" s="626"/>
      <c r="I1481" s="640"/>
      <c r="J1481" s="640"/>
      <c r="K1481" s="640"/>
      <c r="L1481" s="640"/>
      <c r="M1481" s="640"/>
      <c r="N1481" s="626"/>
    </row>
    <row r="1482" spans="2:14" ht="12.75" customHeight="1" x14ac:dyDescent="0.25">
      <c r="B1482" s="284"/>
      <c r="C1482" s="302"/>
      <c r="D1482" s="302"/>
      <c r="E1482" s="641" t="str">
        <f>[1]K_Summary!E1472</f>
        <v>Преки емисии</v>
      </c>
      <c r="F1482" s="641"/>
      <c r="G1482" s="641"/>
      <c r="H1482" s="642" t="str">
        <f>[1]K_Summary!H1472</f>
        <v>t CO2 / година</v>
      </c>
      <c r="I1482" s="480" t="str">
        <f>[1]K_Summary!I1472</f>
        <v/>
      </c>
      <c r="J1482" s="480" t="str">
        <f>[1]K_Summary!J1472</f>
        <v/>
      </c>
      <c r="K1482" s="480" t="str">
        <f>[1]K_Summary!K1472</f>
        <v/>
      </c>
      <c r="L1482" s="480" t="str">
        <f>[1]K_Summary!L1472</f>
        <v/>
      </c>
      <c r="M1482" s="480" t="str">
        <f>[1]K_Summary!M1472</f>
        <v/>
      </c>
      <c r="N1482" s="626"/>
    </row>
    <row r="1483" spans="2:14" ht="12.75" customHeight="1" x14ac:dyDescent="0.25">
      <c r="B1483" s="284"/>
      <c r="C1483" s="302"/>
      <c r="D1483" s="302"/>
      <c r="E1483" s="625"/>
      <c r="F1483" s="625"/>
      <c r="G1483" s="625"/>
      <c r="H1483" s="625"/>
      <c r="I1483" s="640"/>
      <c r="J1483" s="640"/>
      <c r="K1483" s="640"/>
      <c r="L1483" s="640"/>
      <c r="M1483" s="640"/>
      <c r="N1483" s="626"/>
    </row>
    <row r="1484" spans="2:14" ht="12.75" customHeight="1" x14ac:dyDescent="0.25">
      <c r="B1484" s="284"/>
      <c r="C1484" s="302"/>
      <c r="D1484" s="302"/>
      <c r="E1484" s="641" t="str">
        <f>[1]K_Summary!E1474</f>
        <v>Нетно количество подадена топлинна енергия</v>
      </c>
      <c r="F1484" s="641"/>
      <c r="G1484" s="641"/>
      <c r="H1484" s="642" t="str">
        <f>[1]K_Summary!H1474</f>
        <v>TJ / година</v>
      </c>
      <c r="I1484" s="480" t="str">
        <f>[1]K_Summary!I1474</f>
        <v/>
      </c>
      <c r="J1484" s="480" t="str">
        <f>[1]K_Summary!J1474</f>
        <v/>
      </c>
      <c r="K1484" s="480" t="str">
        <f>[1]K_Summary!K1474</f>
        <v/>
      </c>
      <c r="L1484" s="480" t="str">
        <f>[1]K_Summary!L1474</f>
        <v/>
      </c>
      <c r="M1484" s="480" t="str">
        <f>[1]K_Summary!M1474</f>
        <v/>
      </c>
      <c r="N1484" s="626"/>
    </row>
    <row r="1485" spans="2:14" ht="12.75" customHeight="1" x14ac:dyDescent="0.25">
      <c r="B1485" s="284"/>
      <c r="C1485" s="302"/>
      <c r="D1485" s="302"/>
      <c r="E1485" s="641" t="str">
        <f>[1]K_Summary!E1475</f>
        <v>Специфичен EF (подадена топлинна енергия)</v>
      </c>
      <c r="F1485" s="641"/>
      <c r="G1485" s="641"/>
      <c r="H1485" s="642" t="str">
        <f>[1]K_Summary!H1475</f>
        <v>TJ / година</v>
      </c>
      <c r="I1485" s="480" t="str">
        <f>[1]K_Summary!I1475</f>
        <v/>
      </c>
      <c r="J1485" s="480" t="str">
        <f>[1]K_Summary!J1475</f>
        <v/>
      </c>
      <c r="K1485" s="480" t="str">
        <f>[1]K_Summary!K1475</f>
        <v/>
      </c>
      <c r="L1485" s="480" t="str">
        <f>[1]K_Summary!L1475</f>
        <v/>
      </c>
      <c r="M1485" s="480" t="str">
        <f>[1]K_Summary!M1475</f>
        <v/>
      </c>
      <c r="N1485" s="626"/>
    </row>
    <row r="1486" spans="2:14" ht="12.75" customHeight="1" x14ac:dyDescent="0.25">
      <c r="B1486" s="284"/>
      <c r="C1486" s="302"/>
      <c r="D1486" s="302"/>
      <c r="E1486" s="626"/>
      <c r="F1486" s="626"/>
      <c r="G1486" s="626"/>
      <c r="H1486" s="626"/>
      <c r="I1486" s="626"/>
      <c r="J1486" s="626"/>
      <c r="K1486" s="626"/>
      <c r="L1486" s="626"/>
      <c r="M1486" s="626"/>
      <c r="N1486" s="626"/>
    </row>
    <row r="1487" spans="2:14" ht="12.75" customHeight="1" thickBot="1" x14ac:dyDescent="0.3">
      <c r="B1487" s="284"/>
      <c r="C1487" s="302"/>
      <c r="D1487" s="302"/>
      <c r="E1487" s="302"/>
      <c r="F1487" s="302"/>
      <c r="G1487" s="302"/>
      <c r="H1487" s="364"/>
      <c r="I1487" s="364"/>
      <c r="J1487" s="364"/>
      <c r="K1487" s="364"/>
      <c r="L1487" s="364"/>
      <c r="M1487" s="302"/>
      <c r="N1487" s="302"/>
    </row>
    <row r="1488" spans="2:14" ht="12.75" customHeight="1" thickBot="1" x14ac:dyDescent="0.3">
      <c r="B1488" s="284"/>
      <c r="C1488" s="581"/>
      <c r="D1488" s="581"/>
      <c r="E1488" s="581"/>
      <c r="F1488" s="581"/>
      <c r="G1488" s="581"/>
      <c r="H1488" s="581"/>
      <c r="I1488" s="581"/>
      <c r="J1488" s="581"/>
      <c r="K1488" s="581"/>
      <c r="L1488" s="581"/>
      <c r="M1488" s="581"/>
      <c r="N1488" s="581"/>
    </row>
    <row r="1489" spans="2:14" ht="12.75" customHeight="1" thickBot="1" x14ac:dyDescent="0.35">
      <c r="B1489" s="284"/>
      <c r="C1489" s="357">
        <f>[1]K_Summary!C1479</f>
        <v>18</v>
      </c>
      <c r="D1489" s="358" t="str">
        <f>[1]K_Summary!D1479</f>
        <v>Алтернативна подинсталация („Fall-Back sub-installation“) 8:</v>
      </c>
      <c r="E1489" s="359"/>
      <c r="F1489" s="359"/>
      <c r="G1489" s="359"/>
      <c r="H1489" s="497"/>
      <c r="I1489" s="649" t="str">
        <f>[1]K_Summary!I1479</f>
        <v>Подинсталация с емисии от процеси (с риск от ИВЕ | извън МКВЕГ)</v>
      </c>
      <c r="J1489" s="650"/>
      <c r="K1489" s="650"/>
      <c r="L1489" s="651"/>
      <c r="M1489" s="652" t="str">
        <f>[1]K_Summary!M1479</f>
        <v/>
      </c>
      <c r="N1489" s="653"/>
    </row>
    <row r="1490" spans="2:14" ht="12.75" customHeight="1" thickBot="1" x14ac:dyDescent="0.3">
      <c r="B1490" s="284"/>
      <c r="C1490" s="302"/>
      <c r="D1490" s="302"/>
      <c r="E1490" s="302"/>
      <c r="F1490" s="302"/>
      <c r="G1490" s="302"/>
      <c r="H1490" s="302"/>
      <c r="I1490" s="302"/>
      <c r="J1490" s="302"/>
      <c r="K1490" s="302"/>
      <c r="L1490" s="302"/>
      <c r="M1490" s="302"/>
      <c r="N1490" s="302"/>
    </row>
    <row r="1491" spans="2:14" ht="12.75" customHeight="1" x14ac:dyDescent="0.25">
      <c r="B1491" s="284"/>
      <c r="C1491" s="302"/>
      <c r="D1491" s="302"/>
      <c r="E1491" s="302"/>
      <c r="F1491" s="302"/>
      <c r="G1491" s="302"/>
      <c r="H1491" s="595" t="str">
        <f>[1]K_Summary!H1481</f>
        <v>Риск от ИВЕ</v>
      </c>
      <c r="I1491" s="595" t="str">
        <f>[1]K_Summary!I1481</f>
        <v>В/Е</v>
      </c>
      <c r="J1491" s="595" t="str">
        <f>[1]K_Summary!J1481</f>
        <v>15(7).3?</v>
      </c>
      <c r="K1491" s="364"/>
      <c r="L1491" s="654" t="str">
        <f>[1]K_Summary!L1481</f>
        <v>№ на п-л</v>
      </c>
      <c r="M1491" s="598" t="str">
        <f>[1]K_Summary!M1481</f>
        <v>Стойност на показател (мин/макс/действ.)</v>
      </c>
      <c r="N1491" s="599"/>
    </row>
    <row r="1492" spans="2:14" ht="12.75" customHeight="1" x14ac:dyDescent="0.25">
      <c r="B1492" s="284"/>
      <c r="C1492" s="302"/>
      <c r="D1492" s="302"/>
      <c r="E1492" s="361" t="str">
        <f>[1]K_Summary!E1482</f>
        <v>Подинсталация с емисии от процеси (с риск от ИВЕ | извън МКВЕГ)</v>
      </c>
      <c r="F1492" s="373"/>
      <c r="G1492" s="362"/>
      <c r="H1492" s="600" t="b">
        <f>[1]K_Summary!H1482</f>
        <v>1</v>
      </c>
      <c r="I1492" s="655" t="str">
        <f>[1]K_Summary!I1482</f>
        <v/>
      </c>
      <c r="J1492" s="600" t="str">
        <f>[1]K_Summary!J1482</f>
        <v/>
      </c>
      <c r="K1492" s="364"/>
      <c r="L1492" s="656">
        <f>[1]K_Summary!L1482</f>
        <v>8</v>
      </c>
      <c r="M1492" s="657" t="str">
        <f>[1]K_Summary!M1482</f>
        <v/>
      </c>
      <c r="N1492" s="604" t="str">
        <f>[1]K_Summary!N1482</f>
        <v>Квота за емисии/t CO2e</v>
      </c>
    </row>
    <row r="1493" spans="2:14" ht="12.75" customHeight="1" x14ac:dyDescent="0.25">
      <c r="B1493" s="284"/>
      <c r="C1493" s="302"/>
      <c r="D1493" s="364"/>
      <c r="E1493" s="364"/>
      <c r="F1493" s="364"/>
      <c r="G1493" s="364"/>
      <c r="H1493" s="595" t="str">
        <f>[1]K_Summary!H1483</f>
        <v>CBAM</v>
      </c>
      <c r="I1493" s="364"/>
      <c r="J1493" s="364"/>
      <c r="K1493" s="364"/>
      <c r="L1493" s="364"/>
      <c r="M1493" s="657" t="str">
        <f>[1]K_Summary!M1483</f>
        <v/>
      </c>
      <c r="N1493" s="604" t="str">
        <f>[1]K_Summary!N1483</f>
        <v>Квота за емисии/t CO2e</v>
      </c>
    </row>
    <row r="1494" spans="2:14" ht="12.75" customHeight="1" thickBot="1" x14ac:dyDescent="0.3">
      <c r="B1494" s="284"/>
      <c r="C1494" s="302"/>
      <c r="D1494" s="364"/>
      <c r="E1494" s="364"/>
      <c r="F1494" s="364"/>
      <c r="G1494" s="364"/>
      <c r="H1494" s="600" t="b">
        <f>[1]K_Summary!H1484</f>
        <v>0</v>
      </c>
      <c r="I1494" s="364"/>
      <c r="J1494" s="364"/>
      <c r="K1494" s="364"/>
      <c r="L1494" s="364"/>
      <c r="M1494" s="658" t="str">
        <f>[1]K_Summary!M1484</f>
        <v/>
      </c>
      <c r="N1494" s="611" t="str">
        <f>[1]K_Summary!N1484</f>
        <v>Квота за емисии/t CO2e</v>
      </c>
    </row>
    <row r="1495" spans="2:14" ht="12.75" customHeight="1" x14ac:dyDescent="0.25">
      <c r="B1495" s="284"/>
      <c r="C1495" s="302"/>
      <c r="D1495" s="302"/>
      <c r="E1495" s="302"/>
      <c r="F1495" s="302"/>
      <c r="G1495" s="302"/>
      <c r="H1495" s="302"/>
      <c r="I1495" s="302"/>
      <c r="J1495" s="302"/>
      <c r="K1495" s="302"/>
      <c r="L1495" s="302"/>
      <c r="M1495" s="302"/>
      <c r="N1495" s="302"/>
    </row>
    <row r="1496" spans="2:14" ht="12.75" customHeight="1" x14ac:dyDescent="0.25">
      <c r="B1496" s="284"/>
      <c r="C1496" s="302"/>
      <c r="D1496" s="302"/>
      <c r="E1496" s="498"/>
      <c r="F1496" s="498"/>
      <c r="G1496" s="380"/>
      <c r="H1496" s="595" t="str">
        <f>[1]K_Summary!H1486</f>
        <v>Единица мярка</v>
      </c>
      <c r="I1496" s="387">
        <f>[1]K_Summary!I1486</f>
        <v>2019</v>
      </c>
      <c r="J1496" s="387">
        <f>[1]K_Summary!J1486</f>
        <v>2020</v>
      </c>
      <c r="K1496" s="387">
        <f>[1]K_Summary!K1486</f>
        <v>2021</v>
      </c>
      <c r="L1496" s="387">
        <f>[1]K_Summary!L1486</f>
        <v>2022</v>
      </c>
      <c r="M1496" s="387">
        <f>[1]K_Summary!M1486</f>
        <v>2023</v>
      </c>
      <c r="N1496" s="302"/>
    </row>
    <row r="1497" spans="2:14" ht="12.75" customHeight="1" x14ac:dyDescent="0.25">
      <c r="B1497" s="284"/>
      <c r="C1497" s="302"/>
      <c r="D1497" s="302"/>
      <c r="E1497" s="614" t="str">
        <f>[1]K_Summary!E1487</f>
        <v>Отчетено HAL (историческо равнище на дейност)</v>
      </c>
      <c r="F1497" s="388"/>
      <c r="G1497" s="615"/>
      <c r="H1497" s="600" t="str">
        <f>[1]K_Summary!H1487</f>
        <v>t CO2e</v>
      </c>
      <c r="I1497" s="406" t="str">
        <f>[1]K_Summary!I1487</f>
        <v/>
      </c>
      <c r="J1497" s="406" t="str">
        <f>[1]K_Summary!J1487</f>
        <v/>
      </c>
      <c r="K1497" s="406" t="str">
        <f>[1]K_Summary!K1487</f>
        <v/>
      </c>
      <c r="L1497" s="406" t="str">
        <f>[1]K_Summary!L1487</f>
        <v/>
      </c>
      <c r="M1497" s="406" t="str">
        <f>[1]K_Summary!M1487</f>
        <v/>
      </c>
      <c r="N1497" s="596" t="str">
        <f>[1]K_Summary!N1487</f>
        <v>Median</v>
      </c>
    </row>
    <row r="1498" spans="2:14" ht="12.75" customHeight="1" x14ac:dyDescent="0.25">
      <c r="B1498" s="284"/>
      <c r="C1498" s="302"/>
      <c r="D1498" s="302"/>
      <c r="E1498" s="614" t="str">
        <f>[1]K_Summary!E1488</f>
        <v>Стойности, използвани за изчислението на HAL:</v>
      </c>
      <c r="F1498" s="388"/>
      <c r="G1498" s="615"/>
      <c r="H1498" s="600" t="str">
        <f>[1]K_Summary!H1488</f>
        <v>t CO2e</v>
      </c>
      <c r="I1498" s="659" t="str">
        <f>[1]K_Summary!I1488</f>
        <v/>
      </c>
      <c r="J1498" s="659" t="str">
        <f>[1]K_Summary!J1488</f>
        <v/>
      </c>
      <c r="K1498" s="659" t="str">
        <f>[1]K_Summary!K1488</f>
        <v/>
      </c>
      <c r="L1498" s="659" t="str">
        <f>[1]K_Summary!L1488</f>
        <v/>
      </c>
      <c r="M1498" s="659" t="str">
        <f>[1]K_Summary!M1488</f>
        <v/>
      </c>
      <c r="N1498" s="406" t="str">
        <f>[1]K_Summary!N1488</f>
        <v/>
      </c>
    </row>
    <row r="1499" spans="2:14" ht="12.75" customHeight="1" x14ac:dyDescent="0.25">
      <c r="B1499" s="284"/>
      <c r="C1499" s="302"/>
      <c r="D1499" s="302"/>
      <c r="E1499" s="302"/>
      <c r="F1499" s="302"/>
      <c r="G1499" s="302"/>
      <c r="H1499" s="302"/>
      <c r="I1499" s="302"/>
      <c r="J1499" s="302"/>
      <c r="K1499" s="302"/>
      <c r="L1499" s="302"/>
      <c r="M1499" s="302"/>
      <c r="N1499" s="302"/>
    </row>
    <row r="1500" spans="2:14" ht="12.75" customHeight="1" thickBot="1" x14ac:dyDescent="0.3">
      <c r="B1500" s="284"/>
      <c r="C1500" s="302"/>
      <c r="D1500" s="302"/>
      <c r="E1500" s="302"/>
      <c r="F1500" s="660" t="str">
        <f>[1]K_Summary!F1490</f>
        <v>Общо HAL</v>
      </c>
      <c r="G1500" s="620"/>
      <c r="H1500" s="302"/>
      <c r="I1500" s="619" t="str">
        <f>[1]K_Summary!I1490</f>
        <v>Предв. разпр. за год. 1 (мин)</v>
      </c>
      <c r="J1500" s="620"/>
      <c r="K1500" s="619" t="str">
        <f>[1]K_Summary!K1490</f>
        <v>Предв. разпр. за год. 1 (макс)</v>
      </c>
      <c r="L1500" s="620"/>
      <c r="M1500" s="619" t="str">
        <f>[1]K_Summary!M1490</f>
        <v>Предв. разпр. за год. 1 (действ.)</v>
      </c>
      <c r="N1500" s="620"/>
    </row>
    <row r="1501" spans="2:14" ht="12.75" customHeight="1" thickBot="1" x14ac:dyDescent="0.3">
      <c r="B1501" s="284"/>
      <c r="C1501" s="302"/>
      <c r="D1501" s="302"/>
      <c r="E1501" s="302"/>
      <c r="F1501" s="621" t="str">
        <f>[1]K_Summary!F1491</f>
        <v/>
      </c>
      <c r="G1501" s="624" t="str">
        <f>[1]K_Summary!G1491</f>
        <v>t CO2e / година</v>
      </c>
      <c r="H1501" s="302"/>
      <c r="I1501" s="623" t="str">
        <f>[1]K_Summary!I1491</f>
        <v/>
      </c>
      <c r="J1501" s="624" t="str">
        <f>[1]K_Summary!J1491</f>
        <v>Квота за емисии / година</v>
      </c>
      <c r="K1501" s="623" t="str">
        <f>[1]K_Summary!K1491</f>
        <v/>
      </c>
      <c r="L1501" s="624" t="str">
        <f>[1]K_Summary!L1491</f>
        <v>Квота за емисии / година</v>
      </c>
      <c r="M1501" s="623" t="str">
        <f>[1]K_Summary!M1491</f>
        <v/>
      </c>
      <c r="N1501" s="624" t="str">
        <f>[1]K_Summary!N1491</f>
        <v>Квота за емисии / година</v>
      </c>
    </row>
    <row r="1502" spans="2:14" ht="12.75" customHeight="1" x14ac:dyDescent="0.25">
      <c r="B1502" s="284"/>
      <c r="C1502" s="302"/>
      <c r="D1502" s="302"/>
      <c r="E1502" s="302"/>
      <c r="F1502" s="302"/>
      <c r="G1502" s="302"/>
      <c r="H1502" s="302"/>
      <c r="I1502" s="302"/>
      <c r="J1502" s="302"/>
      <c r="K1502" s="302"/>
      <c r="L1502" s="302"/>
      <c r="M1502" s="302"/>
      <c r="N1502" s="302"/>
    </row>
    <row r="1503" spans="2:14" ht="12.75" customHeight="1" x14ac:dyDescent="0.25">
      <c r="B1503" s="284"/>
      <c r="C1503" s="302"/>
      <c r="D1503" s="302"/>
      <c r="E1503" s="625"/>
      <c r="F1503" s="626"/>
      <c r="G1503" s="626"/>
      <c r="H1503" s="626"/>
      <c r="I1503" s="626"/>
      <c r="J1503" s="626"/>
      <c r="K1503" s="626"/>
      <c r="L1503" s="626"/>
      <c r="M1503" s="626"/>
      <c r="N1503" s="626"/>
    </row>
    <row r="1504" spans="2:14" ht="12.75" customHeight="1" thickBot="1" x14ac:dyDescent="0.3">
      <c r="B1504" s="284"/>
      <c r="C1504" s="302"/>
      <c r="D1504" s="302"/>
      <c r="E1504" s="625"/>
      <c r="F1504" s="626"/>
      <c r="G1504" s="626"/>
      <c r="H1504" s="627" t="str">
        <f>[1]K_Summary!H1494</f>
        <v>Единица мярка</v>
      </c>
      <c r="I1504" s="666">
        <f>[1]K_Summary!I1494</f>
        <v>2019</v>
      </c>
      <c r="J1504" s="667">
        <f>[1]K_Summary!J1494</f>
        <v>2020</v>
      </c>
      <c r="K1504" s="667">
        <f>[1]K_Summary!K1494</f>
        <v>2021</v>
      </c>
      <c r="L1504" s="667">
        <f>[1]K_Summary!L1494</f>
        <v>2022</v>
      </c>
      <c r="M1504" s="667">
        <f>[1]K_Summary!M1494</f>
        <v>2023</v>
      </c>
      <c r="N1504" s="626"/>
    </row>
    <row r="1505" spans="2:14" ht="12.75" customHeight="1" thickBot="1" x14ac:dyDescent="0.3">
      <c r="B1505" s="284"/>
      <c r="C1505" s="302"/>
      <c r="D1505" s="302"/>
      <c r="E1505" s="630" t="str">
        <f>[1]K_Summary!E1495</f>
        <v>Общо зададени емисии</v>
      </c>
      <c r="F1505" s="630"/>
      <c r="G1505" s="630"/>
      <c r="H1505" s="631" t="str">
        <f>[1]K_Summary!H1495</f>
        <v>t CO2e/година</v>
      </c>
      <c r="I1505" s="661" t="str">
        <f>[1]K_Summary!I1495</f>
        <v/>
      </c>
      <c r="J1505" s="662" t="str">
        <f>[1]K_Summary!J1495</f>
        <v/>
      </c>
      <c r="K1505" s="662" t="str">
        <f>[1]K_Summary!K1495</f>
        <v/>
      </c>
      <c r="L1505" s="662" t="str">
        <f>[1]K_Summary!L1495</f>
        <v/>
      </c>
      <c r="M1505" s="663" t="str">
        <f>[1]K_Summary!M1495</f>
        <v/>
      </c>
      <c r="N1505" s="626"/>
    </row>
    <row r="1506" spans="2:14" ht="12.75" customHeight="1" x14ac:dyDescent="0.25">
      <c r="B1506" s="284"/>
      <c r="C1506" s="302"/>
      <c r="D1506" s="302"/>
      <c r="E1506" s="626"/>
      <c r="F1506" s="626"/>
      <c r="G1506" s="626"/>
      <c r="H1506" s="626"/>
      <c r="I1506" s="626"/>
      <c r="J1506" s="626"/>
      <c r="K1506" s="626"/>
      <c r="L1506" s="626"/>
      <c r="M1506" s="626"/>
      <c r="N1506" s="626"/>
    </row>
    <row r="1507" spans="2:14" ht="12.75" customHeight="1" thickBot="1" x14ac:dyDescent="0.3">
      <c r="B1507" s="284"/>
      <c r="C1507" s="302"/>
      <c r="D1507" s="302"/>
      <c r="E1507" s="302"/>
      <c r="F1507" s="302"/>
      <c r="G1507" s="302"/>
      <c r="H1507" s="364"/>
      <c r="I1507" s="364"/>
      <c r="J1507" s="364"/>
      <c r="K1507" s="364"/>
      <c r="L1507" s="364"/>
      <c r="M1507" s="302"/>
      <c r="N1507" s="302"/>
    </row>
    <row r="1508" spans="2:14" ht="12.75" customHeight="1" thickBot="1" x14ac:dyDescent="0.3">
      <c r="B1508" s="284"/>
      <c r="C1508" s="581"/>
      <c r="D1508" s="581"/>
      <c r="E1508" s="581"/>
      <c r="F1508" s="581"/>
      <c r="G1508" s="581"/>
      <c r="H1508" s="581"/>
      <c r="I1508" s="581"/>
      <c r="J1508" s="581"/>
      <c r="K1508" s="581"/>
      <c r="L1508" s="581"/>
      <c r="M1508" s="581"/>
      <c r="N1508" s="581"/>
    </row>
    <row r="1509" spans="2:14" ht="12.75" customHeight="1" thickBot="1" x14ac:dyDescent="0.35">
      <c r="B1509" s="284"/>
      <c r="C1509" s="357">
        <f>[1]K_Summary!C1499</f>
        <v>19</v>
      </c>
      <c r="D1509" s="358" t="str">
        <f>[1]K_Summary!D1499</f>
        <v>Алтернативна подинсталация („Fall-Back sub-installation“) 9:</v>
      </c>
      <c r="E1509" s="359"/>
      <c r="F1509" s="359"/>
      <c r="G1509" s="359"/>
      <c r="H1509" s="497"/>
      <c r="I1509" s="649" t="str">
        <f>[1]K_Summary!I1499</f>
        <v>Подинсталация с емисии от процеси (без риск от ИВЕ | извън МКВЕГ)</v>
      </c>
      <c r="J1509" s="650"/>
      <c r="K1509" s="650"/>
      <c r="L1509" s="651"/>
      <c r="M1509" s="652" t="str">
        <f>[1]K_Summary!M1499</f>
        <v/>
      </c>
      <c r="N1509" s="653"/>
    </row>
    <row r="1510" spans="2:14" ht="12.75" customHeight="1" thickBot="1" x14ac:dyDescent="0.3">
      <c r="B1510" s="284"/>
      <c r="C1510" s="302"/>
      <c r="D1510" s="302"/>
      <c r="E1510" s="302"/>
      <c r="F1510" s="302"/>
      <c r="G1510" s="302"/>
      <c r="H1510" s="302"/>
      <c r="I1510" s="302"/>
      <c r="J1510" s="302"/>
      <c r="K1510" s="302"/>
      <c r="L1510" s="302"/>
      <c r="M1510" s="302"/>
      <c r="N1510" s="302"/>
    </row>
    <row r="1511" spans="2:14" ht="12.75" customHeight="1" x14ac:dyDescent="0.25">
      <c r="B1511" s="284"/>
      <c r="C1511" s="302"/>
      <c r="D1511" s="302"/>
      <c r="E1511" s="302"/>
      <c r="F1511" s="302"/>
      <c r="G1511" s="302"/>
      <c r="H1511" s="595" t="str">
        <f>[1]K_Summary!H1501</f>
        <v>Риск от ИВЕ</v>
      </c>
      <c r="I1511" s="595" t="str">
        <f>[1]K_Summary!I1501</f>
        <v>В/Е</v>
      </c>
      <c r="J1511" s="595" t="str">
        <f>[1]K_Summary!J1501</f>
        <v>15(7).3?</v>
      </c>
      <c r="K1511" s="364"/>
      <c r="L1511" s="654" t="str">
        <f>[1]K_Summary!L1501</f>
        <v>№ на п-л</v>
      </c>
      <c r="M1511" s="598" t="str">
        <f>[1]K_Summary!M1501</f>
        <v>Стойност на показател (мин/макс/действ.)</v>
      </c>
      <c r="N1511" s="599"/>
    </row>
    <row r="1512" spans="2:14" ht="12.75" customHeight="1" x14ac:dyDescent="0.25">
      <c r="B1512" s="284"/>
      <c r="C1512" s="302"/>
      <c r="D1512" s="302"/>
      <c r="E1512" s="361" t="str">
        <f>[1]K_Summary!E1502</f>
        <v>Подинсталация с емисии от процеси (без риск от ИВЕ | извън МКВЕГ)</v>
      </c>
      <c r="F1512" s="373"/>
      <c r="G1512" s="362"/>
      <c r="H1512" s="600" t="b">
        <f>[1]K_Summary!H1502</f>
        <v>0</v>
      </c>
      <c r="I1512" s="655" t="str">
        <f>[1]K_Summary!I1502</f>
        <v/>
      </c>
      <c r="J1512" s="600" t="str">
        <f>[1]K_Summary!J1502</f>
        <v/>
      </c>
      <c r="K1512" s="364"/>
      <c r="L1512" s="656">
        <f>[1]K_Summary!L1502</f>
        <v>9</v>
      </c>
      <c r="M1512" s="657" t="str">
        <f>[1]K_Summary!M1502</f>
        <v/>
      </c>
      <c r="N1512" s="604" t="str">
        <f>[1]K_Summary!N1502</f>
        <v>Квота за емисии/t CO2e</v>
      </c>
    </row>
    <row r="1513" spans="2:14" ht="12.75" customHeight="1" x14ac:dyDescent="0.25">
      <c r="B1513" s="284"/>
      <c r="C1513" s="302"/>
      <c r="D1513" s="364"/>
      <c r="E1513" s="364"/>
      <c r="F1513" s="364"/>
      <c r="G1513" s="364"/>
      <c r="H1513" s="595" t="str">
        <f>[1]K_Summary!H1503</f>
        <v>CBAM</v>
      </c>
      <c r="I1513" s="364"/>
      <c r="J1513" s="364"/>
      <c r="K1513" s="364"/>
      <c r="L1513" s="364"/>
      <c r="M1513" s="657" t="str">
        <f>[1]K_Summary!M1503</f>
        <v/>
      </c>
      <c r="N1513" s="604" t="str">
        <f>[1]K_Summary!N1503</f>
        <v>Квота за емисии/t CO2e</v>
      </c>
    </row>
    <row r="1514" spans="2:14" ht="12.75" customHeight="1" thickBot="1" x14ac:dyDescent="0.3">
      <c r="B1514" s="284"/>
      <c r="C1514" s="302"/>
      <c r="D1514" s="364"/>
      <c r="E1514" s="364"/>
      <c r="F1514" s="364"/>
      <c r="G1514" s="364"/>
      <c r="H1514" s="600" t="b">
        <f>[1]K_Summary!H1504</f>
        <v>0</v>
      </c>
      <c r="I1514" s="364"/>
      <c r="J1514" s="364"/>
      <c r="K1514" s="364"/>
      <c r="L1514" s="364"/>
      <c r="M1514" s="658" t="str">
        <f>[1]K_Summary!M1504</f>
        <v/>
      </c>
      <c r="N1514" s="611" t="str">
        <f>[1]K_Summary!N1504</f>
        <v>Квота за емисии/t CO2e</v>
      </c>
    </row>
    <row r="1515" spans="2:14" ht="12.75" customHeight="1" x14ac:dyDescent="0.25">
      <c r="B1515" s="284"/>
      <c r="C1515" s="302"/>
      <c r="D1515" s="302"/>
      <c r="E1515" s="302"/>
      <c r="F1515" s="302"/>
      <c r="G1515" s="302"/>
      <c r="H1515" s="302"/>
      <c r="I1515" s="302"/>
      <c r="J1515" s="302"/>
      <c r="K1515" s="302"/>
      <c r="L1515" s="302"/>
      <c r="M1515" s="302"/>
      <c r="N1515" s="302"/>
    </row>
    <row r="1516" spans="2:14" ht="12.75" customHeight="1" x14ac:dyDescent="0.25">
      <c r="B1516" s="284"/>
      <c r="C1516" s="302"/>
      <c r="D1516" s="302"/>
      <c r="E1516" s="498"/>
      <c r="F1516" s="498"/>
      <c r="G1516" s="380"/>
      <c r="H1516" s="595" t="str">
        <f>[1]K_Summary!H1506</f>
        <v>Единица мярка</v>
      </c>
      <c r="I1516" s="387">
        <f>[1]K_Summary!I1506</f>
        <v>2019</v>
      </c>
      <c r="J1516" s="387">
        <f>[1]K_Summary!J1506</f>
        <v>2020</v>
      </c>
      <c r="K1516" s="387">
        <f>[1]K_Summary!K1506</f>
        <v>2021</v>
      </c>
      <c r="L1516" s="387">
        <f>[1]K_Summary!L1506</f>
        <v>2022</v>
      </c>
      <c r="M1516" s="387">
        <f>[1]K_Summary!M1506</f>
        <v>2023</v>
      </c>
      <c r="N1516" s="302"/>
    </row>
    <row r="1517" spans="2:14" ht="12.75" customHeight="1" x14ac:dyDescent="0.25">
      <c r="B1517" s="284"/>
      <c r="C1517" s="302"/>
      <c r="D1517" s="302"/>
      <c r="E1517" s="614" t="str">
        <f>[1]K_Summary!E1507</f>
        <v>Отчетено HAL (историческо равнище на дейност)</v>
      </c>
      <c r="F1517" s="388"/>
      <c r="G1517" s="615"/>
      <c r="H1517" s="600" t="str">
        <f>[1]K_Summary!H1507</f>
        <v>t CO2e</v>
      </c>
      <c r="I1517" s="406" t="str">
        <f>[1]K_Summary!I1507</f>
        <v/>
      </c>
      <c r="J1517" s="406" t="str">
        <f>[1]K_Summary!J1507</f>
        <v/>
      </c>
      <c r="K1517" s="406" t="str">
        <f>[1]K_Summary!K1507</f>
        <v/>
      </c>
      <c r="L1517" s="406" t="str">
        <f>[1]K_Summary!L1507</f>
        <v/>
      </c>
      <c r="M1517" s="406" t="str">
        <f>[1]K_Summary!M1507</f>
        <v/>
      </c>
      <c r="N1517" s="596" t="str">
        <f>[1]K_Summary!N1507</f>
        <v>Median</v>
      </c>
    </row>
    <row r="1518" spans="2:14" ht="12.75" customHeight="1" x14ac:dyDescent="0.25">
      <c r="B1518" s="284"/>
      <c r="C1518" s="302"/>
      <c r="D1518" s="302"/>
      <c r="E1518" s="614" t="str">
        <f>[1]K_Summary!E1508</f>
        <v>Стойности, използвани за изчислението на HAL:</v>
      </c>
      <c r="F1518" s="388"/>
      <c r="G1518" s="615"/>
      <c r="H1518" s="600" t="str">
        <f>[1]K_Summary!H1508</f>
        <v>t CO2e</v>
      </c>
      <c r="I1518" s="659" t="str">
        <f>[1]K_Summary!I1508</f>
        <v/>
      </c>
      <c r="J1518" s="659" t="str">
        <f>[1]K_Summary!J1508</f>
        <v/>
      </c>
      <c r="K1518" s="659" t="str">
        <f>[1]K_Summary!K1508</f>
        <v/>
      </c>
      <c r="L1518" s="659" t="str">
        <f>[1]K_Summary!L1508</f>
        <v/>
      </c>
      <c r="M1518" s="659" t="str">
        <f>[1]K_Summary!M1508</f>
        <v/>
      </c>
      <c r="N1518" s="406" t="str">
        <f>[1]K_Summary!N1508</f>
        <v/>
      </c>
    </row>
    <row r="1519" spans="2:14" ht="12.75" customHeight="1" x14ac:dyDescent="0.25">
      <c r="B1519" s="284"/>
      <c r="C1519" s="302"/>
      <c r="D1519" s="302"/>
      <c r="E1519" s="302"/>
      <c r="F1519" s="302"/>
      <c r="G1519" s="302"/>
      <c r="H1519" s="302"/>
      <c r="I1519" s="302"/>
      <c r="J1519" s="302"/>
      <c r="K1519" s="302"/>
      <c r="L1519" s="302"/>
      <c r="M1519" s="302"/>
      <c r="N1519" s="302"/>
    </row>
    <row r="1520" spans="2:14" ht="12.75" customHeight="1" thickBot="1" x14ac:dyDescent="0.3">
      <c r="B1520" s="284"/>
      <c r="C1520" s="302"/>
      <c r="D1520" s="302"/>
      <c r="E1520" s="302"/>
      <c r="F1520" s="660" t="str">
        <f>[1]K_Summary!F1510</f>
        <v>Общо HAL</v>
      </c>
      <c r="G1520" s="620"/>
      <c r="H1520" s="302"/>
      <c r="I1520" s="619" t="str">
        <f>[1]K_Summary!I1510</f>
        <v>Предв. разпр. за год. 1 (мин)</v>
      </c>
      <c r="J1520" s="620"/>
      <c r="K1520" s="619" t="str">
        <f>[1]K_Summary!K1510</f>
        <v>Предв. разпр. за год. 1 (макс)</v>
      </c>
      <c r="L1520" s="620"/>
      <c r="M1520" s="619" t="str">
        <f>[1]K_Summary!M1510</f>
        <v>Предв. разпр. за год. 1 (действ.)</v>
      </c>
      <c r="N1520" s="620"/>
    </row>
    <row r="1521" spans="2:14" ht="12.75" customHeight="1" thickBot="1" x14ac:dyDescent="0.3">
      <c r="B1521" s="284"/>
      <c r="C1521" s="302"/>
      <c r="D1521" s="302"/>
      <c r="E1521" s="302"/>
      <c r="F1521" s="621" t="str">
        <f>[1]K_Summary!F1511</f>
        <v/>
      </c>
      <c r="G1521" s="624" t="str">
        <f>[1]K_Summary!G1511</f>
        <v>t CO2e / година</v>
      </c>
      <c r="H1521" s="302"/>
      <c r="I1521" s="623" t="str">
        <f>[1]K_Summary!I1511</f>
        <v/>
      </c>
      <c r="J1521" s="624" t="str">
        <f>[1]K_Summary!J1511</f>
        <v>Квота за емисии / година</v>
      </c>
      <c r="K1521" s="623" t="str">
        <f>[1]K_Summary!K1511</f>
        <v/>
      </c>
      <c r="L1521" s="624" t="str">
        <f>[1]K_Summary!L1511</f>
        <v>Квота за емисии / година</v>
      </c>
      <c r="M1521" s="623" t="str">
        <f>[1]K_Summary!M1511</f>
        <v/>
      </c>
      <c r="N1521" s="624" t="str">
        <f>[1]K_Summary!N1511</f>
        <v>Квота за емисии / година</v>
      </c>
    </row>
    <row r="1522" spans="2:14" ht="12.75" customHeight="1" x14ac:dyDescent="0.25">
      <c r="B1522" s="284"/>
      <c r="C1522" s="302"/>
      <c r="D1522" s="302"/>
      <c r="E1522" s="302"/>
      <c r="F1522" s="302"/>
      <c r="G1522" s="302"/>
      <c r="H1522" s="302"/>
      <c r="I1522" s="302"/>
      <c r="J1522" s="302"/>
      <c r="K1522" s="302"/>
      <c r="L1522" s="302"/>
      <c r="M1522" s="302"/>
      <c r="N1522" s="302"/>
    </row>
    <row r="1523" spans="2:14" ht="12.75" customHeight="1" x14ac:dyDescent="0.25">
      <c r="B1523" s="284"/>
      <c r="C1523" s="302"/>
      <c r="D1523" s="302"/>
      <c r="E1523" s="625"/>
      <c r="F1523" s="626"/>
      <c r="G1523" s="626"/>
      <c r="H1523" s="626"/>
      <c r="I1523" s="626"/>
      <c r="J1523" s="626"/>
      <c r="K1523" s="626"/>
      <c r="L1523" s="626"/>
      <c r="M1523" s="626"/>
      <c r="N1523" s="626"/>
    </row>
    <row r="1524" spans="2:14" ht="12.75" customHeight="1" thickBot="1" x14ac:dyDescent="0.3">
      <c r="B1524" s="284"/>
      <c r="C1524" s="302"/>
      <c r="D1524" s="302"/>
      <c r="E1524" s="625"/>
      <c r="F1524" s="626"/>
      <c r="G1524" s="626"/>
      <c r="H1524" s="627" t="str">
        <f>[1]K_Summary!H1514</f>
        <v>Единица мярка</v>
      </c>
      <c r="I1524" s="666">
        <f>[1]K_Summary!I1514</f>
        <v>2019</v>
      </c>
      <c r="J1524" s="667">
        <f>[1]K_Summary!J1514</f>
        <v>2020</v>
      </c>
      <c r="K1524" s="667">
        <f>[1]K_Summary!K1514</f>
        <v>2021</v>
      </c>
      <c r="L1524" s="667">
        <f>[1]K_Summary!L1514</f>
        <v>2022</v>
      </c>
      <c r="M1524" s="667">
        <f>[1]K_Summary!M1514</f>
        <v>2023</v>
      </c>
      <c r="N1524" s="626"/>
    </row>
    <row r="1525" spans="2:14" ht="12.75" customHeight="1" thickBot="1" x14ac:dyDescent="0.3">
      <c r="B1525" s="284"/>
      <c r="C1525" s="302"/>
      <c r="D1525" s="302"/>
      <c r="E1525" s="630" t="str">
        <f>[1]K_Summary!E1515</f>
        <v>Общо зададени емисии</v>
      </c>
      <c r="F1525" s="630"/>
      <c r="G1525" s="630"/>
      <c r="H1525" s="631" t="str">
        <f>[1]K_Summary!H1515</f>
        <v>t CO2e/година</v>
      </c>
      <c r="I1525" s="661" t="str">
        <f>[1]K_Summary!I1515</f>
        <v/>
      </c>
      <c r="J1525" s="662" t="str">
        <f>[1]K_Summary!J1515</f>
        <v/>
      </c>
      <c r="K1525" s="662" t="str">
        <f>[1]K_Summary!K1515</f>
        <v/>
      </c>
      <c r="L1525" s="662" t="str">
        <f>[1]K_Summary!L1515</f>
        <v/>
      </c>
      <c r="M1525" s="663" t="str">
        <f>[1]K_Summary!M1515</f>
        <v/>
      </c>
      <c r="N1525" s="626"/>
    </row>
    <row r="1526" spans="2:14" ht="12.75" customHeight="1" x14ac:dyDescent="0.25">
      <c r="B1526" s="284"/>
      <c r="C1526" s="302"/>
      <c r="D1526" s="302"/>
      <c r="E1526" s="626"/>
      <c r="F1526" s="626"/>
      <c r="G1526" s="626"/>
      <c r="H1526" s="626"/>
      <c r="I1526" s="626"/>
      <c r="J1526" s="626"/>
      <c r="K1526" s="626"/>
      <c r="L1526" s="626"/>
      <c r="M1526" s="626"/>
      <c r="N1526" s="626"/>
    </row>
    <row r="1527" spans="2:14" ht="12.75" customHeight="1" thickBot="1" x14ac:dyDescent="0.3">
      <c r="B1527" s="284"/>
      <c r="C1527" s="302"/>
      <c r="D1527" s="302"/>
      <c r="E1527" s="302"/>
      <c r="F1527" s="302"/>
      <c r="G1527" s="302"/>
      <c r="H1527" s="302"/>
      <c r="I1527" s="302"/>
      <c r="J1527" s="302"/>
      <c r="K1527" s="302"/>
      <c r="L1527" s="302"/>
      <c r="M1527" s="302"/>
      <c r="N1527" s="302"/>
    </row>
    <row r="1528" spans="2:14" ht="12.75" customHeight="1" thickBot="1" x14ac:dyDescent="0.3">
      <c r="B1528" s="284"/>
      <c r="C1528" s="581"/>
      <c r="D1528" s="581"/>
      <c r="E1528" s="581"/>
      <c r="F1528" s="581"/>
      <c r="G1528" s="581"/>
      <c r="H1528" s="581"/>
      <c r="I1528" s="581"/>
      <c r="J1528" s="581"/>
      <c r="K1528" s="581"/>
      <c r="L1528" s="581"/>
      <c r="M1528" s="581"/>
      <c r="N1528" s="581"/>
    </row>
    <row r="1529" spans="2:14" ht="12.75" customHeight="1" thickBot="1" x14ac:dyDescent="0.35">
      <c r="B1529" s="284"/>
      <c r="C1529" s="357">
        <f>[1]K_Summary!C1519</f>
        <v>20</v>
      </c>
      <c r="D1529" s="358" t="str">
        <f>[1]K_Summary!D1519</f>
        <v>Алтернативна подинсталация („Fall-Back sub-installation“) 10:</v>
      </c>
      <c r="E1529" s="359"/>
      <c r="F1529" s="359"/>
      <c r="G1529" s="359"/>
      <c r="H1529" s="497"/>
      <c r="I1529" s="649" t="str">
        <f>[1]K_Summary!I1519</f>
        <v>Подинсталация с емисии от процеси (с риск от ИВЕ | в рамките на МКВЕГ)</v>
      </c>
      <c r="J1529" s="650"/>
      <c r="K1529" s="650"/>
      <c r="L1529" s="651"/>
      <c r="M1529" s="652" t="str">
        <f>[1]K_Summary!M1519</f>
        <v/>
      </c>
      <c r="N1529" s="653"/>
    </row>
    <row r="1530" spans="2:14" ht="12.75" customHeight="1" thickBot="1" x14ac:dyDescent="0.3">
      <c r="B1530" s="284"/>
      <c r="C1530" s="302"/>
      <c r="D1530" s="302"/>
      <c r="E1530" s="302"/>
      <c r="F1530" s="302"/>
      <c r="G1530" s="302"/>
      <c r="H1530" s="302"/>
      <c r="I1530" s="302"/>
      <c r="J1530" s="302"/>
      <c r="K1530" s="302"/>
      <c r="L1530" s="302"/>
      <c r="M1530" s="302"/>
      <c r="N1530" s="302"/>
    </row>
    <row r="1531" spans="2:14" ht="12.75" customHeight="1" x14ac:dyDescent="0.25">
      <c r="B1531" s="284"/>
      <c r="C1531" s="302"/>
      <c r="D1531" s="302"/>
      <c r="E1531" s="302"/>
      <c r="F1531" s="302"/>
      <c r="G1531" s="302"/>
      <c r="H1531" s="595" t="str">
        <f>[1]K_Summary!H1521</f>
        <v>Риск от ИВЕ</v>
      </c>
      <c r="I1531" s="595" t="str">
        <f>[1]K_Summary!I1521</f>
        <v>В/Е</v>
      </c>
      <c r="J1531" s="595" t="str">
        <f>[1]K_Summary!J1521</f>
        <v>15(7).3?</v>
      </c>
      <c r="K1531" s="364"/>
      <c r="L1531" s="654" t="str">
        <f>[1]K_Summary!L1521</f>
        <v>№ на п-л</v>
      </c>
      <c r="M1531" s="598" t="str">
        <f>[1]K_Summary!M1521</f>
        <v>Стойност на показател (мин/макс/действ.)</v>
      </c>
      <c r="N1531" s="599"/>
    </row>
    <row r="1532" spans="2:14" ht="12.75" customHeight="1" x14ac:dyDescent="0.25">
      <c r="B1532" s="284"/>
      <c r="C1532" s="302"/>
      <c r="D1532" s="302"/>
      <c r="E1532" s="361" t="str">
        <f>[1]K_Summary!E1522</f>
        <v>Подинсталация с емисии от процеси (с риск от ИВЕ | в рамките на МКВЕГ)</v>
      </c>
      <c r="F1532" s="373"/>
      <c r="G1532" s="362"/>
      <c r="H1532" s="600" t="b">
        <f>[1]K_Summary!H1522</f>
        <v>1</v>
      </c>
      <c r="I1532" s="655" t="str">
        <f>[1]K_Summary!I1522</f>
        <v/>
      </c>
      <c r="J1532" s="600" t="str">
        <f>[1]K_Summary!J1522</f>
        <v/>
      </c>
      <c r="K1532" s="364"/>
      <c r="L1532" s="656">
        <f>[1]K_Summary!L1522</f>
        <v>10</v>
      </c>
      <c r="M1532" s="657" t="str">
        <f>[1]K_Summary!M1522</f>
        <v/>
      </c>
      <c r="N1532" s="604" t="str">
        <f>[1]K_Summary!N1522</f>
        <v>Квота за емисии/t CO2e</v>
      </c>
    </row>
    <row r="1533" spans="2:14" ht="12.75" customHeight="1" x14ac:dyDescent="0.25">
      <c r="B1533" s="284"/>
      <c r="C1533" s="302"/>
      <c r="D1533" s="364"/>
      <c r="E1533" s="364"/>
      <c r="F1533" s="364"/>
      <c r="G1533" s="364"/>
      <c r="H1533" s="595" t="str">
        <f>[1]K_Summary!H1523</f>
        <v>CBAM</v>
      </c>
      <c r="I1533" s="364"/>
      <c r="J1533" s="364"/>
      <c r="K1533" s="364"/>
      <c r="L1533" s="364"/>
      <c r="M1533" s="657" t="str">
        <f>[1]K_Summary!M1523</f>
        <v/>
      </c>
      <c r="N1533" s="604" t="str">
        <f>[1]K_Summary!N1523</f>
        <v>Квота за емисии/t CO2e</v>
      </c>
    </row>
    <row r="1534" spans="2:14" ht="12.75" customHeight="1" thickBot="1" x14ac:dyDescent="0.3">
      <c r="B1534" s="284"/>
      <c r="C1534" s="302"/>
      <c r="D1534" s="364"/>
      <c r="E1534" s="364"/>
      <c r="F1534" s="364"/>
      <c r="G1534" s="364"/>
      <c r="H1534" s="600" t="b">
        <f>[1]K_Summary!H1524</f>
        <v>1</v>
      </c>
      <c r="I1534" s="364"/>
      <c r="J1534" s="364"/>
      <c r="K1534" s="364"/>
      <c r="L1534" s="364"/>
      <c r="M1534" s="658" t="str">
        <f>[1]K_Summary!M1524</f>
        <v/>
      </c>
      <c r="N1534" s="611" t="str">
        <f>[1]K_Summary!N1524</f>
        <v>Квота за емисии/t CO2e</v>
      </c>
    </row>
    <row r="1535" spans="2:14" ht="12.75" customHeight="1" x14ac:dyDescent="0.25">
      <c r="B1535" s="284"/>
      <c r="C1535" s="302"/>
      <c r="D1535" s="302"/>
      <c r="E1535" s="302"/>
      <c r="F1535" s="302"/>
      <c r="G1535" s="302"/>
      <c r="H1535" s="302"/>
      <c r="I1535" s="302"/>
      <c r="J1535" s="302"/>
      <c r="K1535" s="302"/>
      <c r="L1535" s="302"/>
      <c r="M1535" s="302"/>
      <c r="N1535" s="302"/>
    </row>
    <row r="1536" spans="2:14" ht="12.75" customHeight="1" x14ac:dyDescent="0.25">
      <c r="B1536" s="284"/>
      <c r="C1536" s="302"/>
      <c r="D1536" s="302"/>
      <c r="E1536" s="498"/>
      <c r="F1536" s="498"/>
      <c r="G1536" s="380"/>
      <c r="H1536" s="595" t="str">
        <f>[1]K_Summary!H1526</f>
        <v>Единица мярка</v>
      </c>
      <c r="I1536" s="387">
        <f>[1]K_Summary!I1526</f>
        <v>2019</v>
      </c>
      <c r="J1536" s="387">
        <f>[1]K_Summary!J1526</f>
        <v>2020</v>
      </c>
      <c r="K1536" s="387">
        <f>[1]K_Summary!K1526</f>
        <v>2021</v>
      </c>
      <c r="L1536" s="387">
        <f>[1]K_Summary!L1526</f>
        <v>2022</v>
      </c>
      <c r="M1536" s="387">
        <f>[1]K_Summary!M1526</f>
        <v>2023</v>
      </c>
      <c r="N1536" s="302"/>
    </row>
    <row r="1537" spans="2:14" ht="12.75" customHeight="1" x14ac:dyDescent="0.25">
      <c r="B1537" s="284"/>
      <c r="C1537" s="302"/>
      <c r="D1537" s="302"/>
      <c r="E1537" s="614" t="str">
        <f>[1]K_Summary!E1527</f>
        <v>Отчетено HAL (историческо равнище на дейност)</v>
      </c>
      <c r="F1537" s="388"/>
      <c r="G1537" s="615"/>
      <c r="H1537" s="600" t="str">
        <f>[1]K_Summary!H1527</f>
        <v>t CO2e</v>
      </c>
      <c r="I1537" s="406" t="str">
        <f>[1]K_Summary!I1527</f>
        <v/>
      </c>
      <c r="J1537" s="406" t="str">
        <f>[1]K_Summary!J1527</f>
        <v/>
      </c>
      <c r="K1537" s="406" t="str">
        <f>[1]K_Summary!K1527</f>
        <v/>
      </c>
      <c r="L1537" s="406" t="str">
        <f>[1]K_Summary!L1527</f>
        <v/>
      </c>
      <c r="M1537" s="406" t="str">
        <f>[1]K_Summary!M1527</f>
        <v/>
      </c>
      <c r="N1537" s="596" t="str">
        <f>[1]K_Summary!N1527</f>
        <v>Median</v>
      </c>
    </row>
    <row r="1538" spans="2:14" ht="12.75" customHeight="1" x14ac:dyDescent="0.25">
      <c r="B1538" s="284"/>
      <c r="C1538" s="302"/>
      <c r="D1538" s="302"/>
      <c r="E1538" s="614" t="str">
        <f>[1]K_Summary!E1528</f>
        <v>Стойности, използвани за изчислението на HAL:</v>
      </c>
      <c r="F1538" s="388"/>
      <c r="G1538" s="615"/>
      <c r="H1538" s="600" t="str">
        <f>[1]K_Summary!H1528</f>
        <v>t CO2e</v>
      </c>
      <c r="I1538" s="659" t="str">
        <f>[1]K_Summary!I1528</f>
        <v/>
      </c>
      <c r="J1538" s="659" t="str">
        <f>[1]K_Summary!J1528</f>
        <v/>
      </c>
      <c r="K1538" s="659" t="str">
        <f>[1]K_Summary!K1528</f>
        <v/>
      </c>
      <c r="L1538" s="659" t="str">
        <f>[1]K_Summary!L1528</f>
        <v/>
      </c>
      <c r="M1538" s="659" t="str">
        <f>[1]K_Summary!M1528</f>
        <v/>
      </c>
      <c r="N1538" s="406" t="str">
        <f>[1]K_Summary!N1528</f>
        <v/>
      </c>
    </row>
    <row r="1539" spans="2:14" ht="12.75" customHeight="1" x14ac:dyDescent="0.25">
      <c r="B1539" s="284"/>
      <c r="C1539" s="302"/>
      <c r="D1539" s="302"/>
      <c r="E1539" s="302"/>
      <c r="F1539" s="302"/>
      <c r="G1539" s="302"/>
      <c r="H1539" s="302"/>
      <c r="I1539" s="302"/>
      <c r="J1539" s="302"/>
      <c r="K1539" s="302"/>
      <c r="L1539" s="302"/>
      <c r="M1539" s="302"/>
      <c r="N1539" s="302"/>
    </row>
    <row r="1540" spans="2:14" ht="12.75" customHeight="1" thickBot="1" x14ac:dyDescent="0.3">
      <c r="B1540" s="284"/>
      <c r="C1540" s="302"/>
      <c r="D1540" s="302"/>
      <c r="E1540" s="302"/>
      <c r="F1540" s="660" t="str">
        <f>[1]K_Summary!F1530</f>
        <v>Общо HAL</v>
      </c>
      <c r="G1540" s="620"/>
      <c r="H1540" s="302"/>
      <c r="I1540" s="619" t="str">
        <f>[1]K_Summary!I1530</f>
        <v>Предв. разпр. за год. 1 (мин)</v>
      </c>
      <c r="J1540" s="620"/>
      <c r="K1540" s="619" t="str">
        <f>[1]K_Summary!K1530</f>
        <v>Предв. разпр. за год. 1 (макс)</v>
      </c>
      <c r="L1540" s="620"/>
      <c r="M1540" s="619" t="str">
        <f>[1]K_Summary!M1530</f>
        <v>Предв. разпр. за год. 1 (действ.)</v>
      </c>
      <c r="N1540" s="620"/>
    </row>
    <row r="1541" spans="2:14" ht="12.75" customHeight="1" thickBot="1" x14ac:dyDescent="0.3">
      <c r="B1541" s="284"/>
      <c r="C1541" s="302"/>
      <c r="D1541" s="302"/>
      <c r="E1541" s="302"/>
      <c r="F1541" s="621" t="str">
        <f>[1]K_Summary!F1531</f>
        <v/>
      </c>
      <c r="G1541" s="624" t="str">
        <f>[1]K_Summary!G1531</f>
        <v>t CO2e / година</v>
      </c>
      <c r="H1541" s="302"/>
      <c r="I1541" s="623" t="str">
        <f>[1]K_Summary!I1531</f>
        <v/>
      </c>
      <c r="J1541" s="624" t="str">
        <f>[1]K_Summary!J1531</f>
        <v>Квота за емисии / година</v>
      </c>
      <c r="K1541" s="623" t="str">
        <f>[1]K_Summary!K1531</f>
        <v/>
      </c>
      <c r="L1541" s="624" t="str">
        <f>[1]K_Summary!L1531</f>
        <v>Квота за емисии / година</v>
      </c>
      <c r="M1541" s="623" t="str">
        <f>[1]K_Summary!M1531</f>
        <v/>
      </c>
      <c r="N1541" s="624" t="str">
        <f>[1]K_Summary!N1531</f>
        <v>Квота за емисии / година</v>
      </c>
    </row>
    <row r="1542" spans="2:14" ht="12.75" customHeight="1" x14ac:dyDescent="0.25">
      <c r="B1542" s="284"/>
      <c r="C1542" s="302"/>
      <c r="D1542" s="302"/>
      <c r="E1542" s="302"/>
      <c r="F1542" s="302"/>
      <c r="G1542" s="302"/>
      <c r="H1542" s="302"/>
      <c r="I1542" s="302"/>
      <c r="J1542" s="302"/>
      <c r="K1542" s="302"/>
      <c r="L1542" s="302"/>
      <c r="M1542" s="302"/>
      <c r="N1542" s="302"/>
    </row>
    <row r="1543" spans="2:14" ht="12.75" customHeight="1" x14ac:dyDescent="0.25">
      <c r="B1543" s="284"/>
      <c r="C1543" s="302"/>
      <c r="D1543" s="302"/>
      <c r="E1543" s="625"/>
      <c r="F1543" s="626"/>
      <c r="G1543" s="626"/>
      <c r="H1543" s="626"/>
      <c r="I1543" s="626"/>
      <c r="J1543" s="626"/>
      <c r="K1543" s="626"/>
      <c r="L1543" s="626"/>
      <c r="M1543" s="626"/>
      <c r="N1543" s="626"/>
    </row>
    <row r="1544" spans="2:14" ht="12.75" customHeight="1" thickBot="1" x14ac:dyDescent="0.3">
      <c r="B1544" s="284"/>
      <c r="C1544" s="302"/>
      <c r="D1544" s="302"/>
      <c r="E1544" s="625"/>
      <c r="F1544" s="626"/>
      <c r="G1544" s="626"/>
      <c r="H1544" s="627" t="str">
        <f>[1]K_Summary!H1534</f>
        <v>Единица мярка</v>
      </c>
      <c r="I1544" s="666">
        <f>[1]K_Summary!I1534</f>
        <v>2019</v>
      </c>
      <c r="J1544" s="667">
        <f>[1]K_Summary!J1534</f>
        <v>2020</v>
      </c>
      <c r="K1544" s="667">
        <f>[1]K_Summary!K1534</f>
        <v>2021</v>
      </c>
      <c r="L1544" s="667">
        <f>[1]K_Summary!L1534</f>
        <v>2022</v>
      </c>
      <c r="M1544" s="667">
        <f>[1]K_Summary!M1534</f>
        <v>2023</v>
      </c>
      <c r="N1544" s="626"/>
    </row>
    <row r="1545" spans="2:14" ht="12.75" customHeight="1" thickBot="1" x14ac:dyDescent="0.3">
      <c r="B1545" s="284"/>
      <c r="C1545" s="302"/>
      <c r="D1545" s="302"/>
      <c r="E1545" s="630" t="str">
        <f>[1]K_Summary!E1535</f>
        <v>Общо зададени емисии</v>
      </c>
      <c r="F1545" s="630"/>
      <c r="G1545" s="630"/>
      <c r="H1545" s="631" t="str">
        <f>[1]K_Summary!H1535</f>
        <v>t CO2e/година</v>
      </c>
      <c r="I1545" s="661" t="str">
        <f>[1]K_Summary!I1535</f>
        <v/>
      </c>
      <c r="J1545" s="662" t="str">
        <f>[1]K_Summary!J1535</f>
        <v/>
      </c>
      <c r="K1545" s="662" t="str">
        <f>[1]K_Summary!K1535</f>
        <v/>
      </c>
      <c r="L1545" s="662" t="str">
        <f>[1]K_Summary!L1535</f>
        <v/>
      </c>
      <c r="M1545" s="663" t="str">
        <f>[1]K_Summary!M1535</f>
        <v/>
      </c>
      <c r="N1545" s="626"/>
    </row>
    <row r="1546" spans="2:14" ht="12.75" customHeight="1" x14ac:dyDescent="0.25">
      <c r="B1546" s="284"/>
      <c r="C1546" s="302"/>
      <c r="D1546" s="302"/>
      <c r="E1546" s="626"/>
      <c r="F1546" s="626"/>
      <c r="G1546" s="626"/>
      <c r="H1546" s="626"/>
      <c r="I1546" s="626"/>
      <c r="J1546" s="626"/>
      <c r="K1546" s="626"/>
      <c r="L1546" s="626"/>
      <c r="M1546" s="626"/>
      <c r="N1546" s="626"/>
    </row>
    <row r="1547" spans="2:14" ht="12.75" customHeight="1" x14ac:dyDescent="0.25">
      <c r="B1547" s="284"/>
      <c r="C1547" s="302"/>
      <c r="D1547" s="302"/>
      <c r="E1547" s="302"/>
      <c r="F1547" s="302"/>
      <c r="G1547" s="302"/>
      <c r="H1547" s="302"/>
      <c r="I1547" s="302"/>
      <c r="J1547" s="302"/>
      <c r="K1547" s="302"/>
      <c r="L1547" s="302"/>
      <c r="M1547" s="302"/>
      <c r="N1547" s="302"/>
    </row>
    <row r="1548" spans="2:14" ht="12.75" customHeight="1" x14ac:dyDescent="0.35">
      <c r="B1548" s="284"/>
      <c r="C1548" s="327" t="str">
        <f>[1]K_Summary!C1538</f>
        <v>V</v>
      </c>
      <c r="D1548" s="356" t="str">
        <f>[1]K_Summary!D1538</f>
        <v>Изчисляване на предварителното годишно количество на квотите за емисии, разпределени безплатно</v>
      </c>
      <c r="E1548" s="356"/>
      <c r="F1548" s="356"/>
      <c r="G1548" s="356"/>
      <c r="H1548" s="356"/>
      <c r="I1548" s="356"/>
      <c r="J1548" s="356"/>
      <c r="K1548" s="356"/>
      <c r="L1548" s="356"/>
      <c r="M1548" s="356"/>
      <c r="N1548" s="356"/>
    </row>
    <row r="1549" spans="2:14" ht="12.75" customHeight="1" x14ac:dyDescent="0.25">
      <c r="B1549" s="284"/>
      <c r="C1549" s="302"/>
      <c r="D1549" s="302"/>
      <c r="E1549" s="302"/>
      <c r="F1549" s="302"/>
      <c r="G1549" s="302"/>
      <c r="H1549" s="302"/>
      <c r="I1549" s="302"/>
      <c r="J1549" s="302"/>
      <c r="K1549" s="302"/>
      <c r="L1549" s="302"/>
      <c r="M1549" s="302"/>
      <c r="N1549" s="302"/>
    </row>
    <row r="1550" spans="2:14" ht="12.75" customHeight="1" x14ac:dyDescent="0.25">
      <c r="B1550" s="284"/>
      <c r="C1550" s="284"/>
      <c r="D1550" s="302"/>
      <c r="E1550" s="425" t="str">
        <f>[1]K_Summary!E1540</f>
        <v>В настоящия раздел можете да видите обобщение на стойностите за предварителното разпределение на квоти съответно за периода 2021—2025 г. или 2026—2030 г., приложими за тази инсталация, които се базират на данните, показани в предходните раздели въз основа на Вашите данни. Показаната информация не съдържа проверки за пълнота. Затова данните може да се считат за верни само ако сте се уверили, че са изпълнени следните условия:</v>
      </c>
      <c r="F1550" s="359"/>
      <c r="G1550" s="359"/>
      <c r="H1550" s="359"/>
      <c r="I1550" s="359"/>
      <c r="J1550" s="359"/>
      <c r="K1550" s="359"/>
      <c r="L1550" s="359"/>
      <c r="M1550" s="359"/>
      <c r="N1550" s="359"/>
    </row>
    <row r="1551" spans="2:14" ht="12.75" customHeight="1" x14ac:dyDescent="0.25">
      <c r="B1551" s="284"/>
      <c r="C1551" s="284"/>
      <c r="D1551" s="302"/>
      <c r="E1551" s="427" t="str">
        <f>[1]K_Summary!E1541</f>
        <v>-</v>
      </c>
      <c r="F1551" s="425" t="str">
        <f>[1]K_Summary!F1541</f>
        <v>Работен лист „A_InstallationData“ (Данни за инсталацията) е попълнен изцяло, особено раздели A.II (базов период и условия за допустимост) и A.III (списък на подинсталациите)</v>
      </c>
      <c r="G1551" s="425"/>
      <c r="H1551" s="425"/>
      <c r="I1551" s="425"/>
      <c r="J1551" s="425"/>
      <c r="K1551" s="425"/>
      <c r="L1551" s="425"/>
      <c r="M1551" s="425"/>
      <c r="N1551" s="425"/>
    </row>
    <row r="1552" spans="2:14" ht="12.75" customHeight="1" x14ac:dyDescent="0.25">
      <c r="B1552" s="284"/>
      <c r="C1552" s="284"/>
      <c r="D1552" s="302"/>
      <c r="E1552" s="427" t="str">
        <f>[1]K_Summary!E1542</f>
        <v>-</v>
      </c>
      <c r="F1552" s="425" t="str">
        <f>[1]K_Summary!F1542</f>
        <v>Попълнени са данните за всички приложими базови години и съответните раздели от работни листове F и G.</v>
      </c>
      <c r="G1552" s="425"/>
      <c r="H1552" s="425"/>
      <c r="I1552" s="425"/>
      <c r="J1552" s="425"/>
      <c r="K1552" s="425"/>
      <c r="L1552" s="425"/>
      <c r="M1552" s="425"/>
      <c r="N1552" s="425"/>
    </row>
    <row r="1553" spans="2:14" ht="12.75" customHeight="1" x14ac:dyDescent="0.25">
      <c r="B1553" s="284"/>
      <c r="C1553" s="284"/>
      <c r="D1553" s="302"/>
      <c r="E1553" s="427" t="str">
        <f>[1]K_Summary!E1543</f>
        <v>-</v>
      </c>
      <c r="F1553" s="425" t="str">
        <f>[1]K_Summary!F1543</f>
        <v>Не се показват съобщения за грешки в съответните раздели на тези работни листове.</v>
      </c>
      <c r="G1553" s="425"/>
      <c r="H1553" s="425"/>
      <c r="I1553" s="425"/>
      <c r="J1553" s="425"/>
      <c r="K1553" s="425"/>
      <c r="L1553" s="425"/>
      <c r="M1553" s="425"/>
      <c r="N1553" s="425"/>
    </row>
    <row r="1554" spans="2:14" ht="12.75" customHeight="1" x14ac:dyDescent="0.25">
      <c r="B1554" s="284"/>
      <c r="C1554" s="284"/>
      <c r="D1554" s="302"/>
      <c r="E1554" s="425" t="str">
        <f>[1]K_Summary!E1544</f>
        <v>Важно е да се знае какво е взето предвид при изчисляването, за да се разбере, че тази информация е с предварителен характер.</v>
      </c>
      <c r="F1554" s="359"/>
      <c r="G1554" s="359"/>
      <c r="H1554" s="359"/>
      <c r="I1554" s="359"/>
      <c r="J1554" s="359"/>
      <c r="K1554" s="359"/>
      <c r="L1554" s="359"/>
      <c r="M1554" s="359"/>
      <c r="N1554" s="359"/>
    </row>
    <row r="1555" spans="2:14" ht="12.75" customHeight="1" x14ac:dyDescent="0.25">
      <c r="B1555" s="284"/>
      <c r="C1555" s="284"/>
      <c r="D1555" s="302"/>
      <c r="E1555" s="427" t="str">
        <f>[1]K_Summary!E1545</f>
        <v>-</v>
      </c>
      <c r="F1555" s="425" t="str">
        <f>[1]K_Summary!F1545</f>
        <v>В зависимост от данните, които сте въвели в раздел A.II.2 (избран базов период), A.III (данни за подинсталацията) и работни листове F и G, в раздел IV от настоящия работен лист, ще видите кои базови години са използвани за изчисляване на историческите равнища на дейност (HAL), за които се прилагат показатели.</v>
      </c>
      <c r="G1555" s="425"/>
      <c r="H1555" s="425"/>
      <c r="I1555" s="425"/>
      <c r="J1555" s="425"/>
      <c r="K1555" s="425"/>
      <c r="L1555" s="425"/>
      <c r="M1555" s="425"/>
      <c r="N1555" s="425"/>
    </row>
    <row r="1556" spans="2:14" ht="12.75" customHeight="1" x14ac:dyDescent="0.25">
      <c r="B1556" s="284"/>
      <c r="C1556" s="284"/>
      <c r="D1556" s="302"/>
      <c r="E1556" s="427" t="str">
        <f>[1]K_Summary!E1546</f>
        <v>-</v>
      </c>
      <c r="F1556" s="425" t="str">
        <f>[1]K_Summary!F1546</f>
        <v>Тъй като в момента на подаване на данните при компетентния орган актуализираните стойности на показателите не са известни, можете да получите представа за порядъка на очакваните квоти, като в точка 1.a по-долу изберете или „минималните“, или „максималните“ стойности на показателите.</v>
      </c>
      <c r="G1556" s="359"/>
      <c r="H1556" s="359"/>
      <c r="I1556" s="359"/>
      <c r="J1556" s="359"/>
      <c r="K1556" s="359"/>
      <c r="L1556" s="359"/>
      <c r="M1556" s="359"/>
      <c r="N1556" s="359"/>
    </row>
    <row r="1557" spans="2:14" ht="12.75" customHeight="1" x14ac:dyDescent="0.25">
      <c r="B1557" s="284"/>
      <c r="C1557" s="284"/>
      <c r="D1557" s="302"/>
      <c r="E1557" s="427" t="str">
        <f>[1]K_Summary!E1547</f>
        <v>-</v>
      </c>
      <c r="F1557" s="425" t="str">
        <f>[1]K_Summary!F1547</f>
        <v>При изчислението се взема предвид всяка подинсталация, ако тя е изложена на значителен риск от изтичане на въглеродни емисии или ако това не е така.</v>
      </c>
      <c r="G1557" s="425"/>
      <c r="H1557" s="425"/>
      <c r="I1557" s="425"/>
      <c r="J1557" s="425"/>
      <c r="K1557" s="425"/>
      <c r="L1557" s="425"/>
      <c r="M1557" s="425"/>
      <c r="N1557" s="425"/>
    </row>
    <row r="1558" spans="2:14" ht="12.75" customHeight="1" x14ac:dyDescent="0.25">
      <c r="B1558" s="284"/>
      <c r="C1558" s="284"/>
      <c r="D1558" s="302"/>
      <c r="E1558" s="427" t="str">
        <f>[1]K_Summary!E1548</f>
        <v>-</v>
      </c>
      <c r="F1558" s="425" t="str">
        <f>[1]K_Summary!F1548</f>
        <v>При изчислението за всяка подинсталация се взема предвид дали тя е обхваната от МКВЕГ или не.</v>
      </c>
      <c r="G1558" s="425"/>
      <c r="H1558" s="425"/>
      <c r="I1558" s="425"/>
      <c r="J1558" s="425"/>
      <c r="K1558" s="425"/>
      <c r="L1558" s="425"/>
      <c r="M1558" s="425"/>
      <c r="N1558" s="425"/>
    </row>
    <row r="1559" spans="2:14" ht="12.75" customHeight="1" x14ac:dyDescent="0.25">
      <c r="B1559" s="284"/>
      <c r="C1559" s="284"/>
      <c r="D1559" s="302"/>
      <c r="E1559" s="427" t="str">
        <f>[1]K_Summary!E1549</f>
        <v>-</v>
      </c>
      <c r="F1559" s="425" t="str">
        <f>[1]K_Summary!F1549</f>
        <v>Предварителното разпределение на квоти на всички останали инсталации (тези, които не попадат в приложното поле на член 10a, параграф 3 на Директивата за СТЕ на ЕС) трябва да се умножат по междуотрасловия корекционен коефициент, както е определено в член 14, параграф 6 от ПБР. Този коефициент се изчислява от Европейската комисия, след като всички държави членки са изпратили своите национални мерки за изпълнение (НМИ) и са публикувани новите стойности на показателите.</v>
      </c>
      <c r="G1559" s="425"/>
      <c r="H1559" s="425"/>
      <c r="I1559" s="425"/>
      <c r="J1559" s="425"/>
      <c r="K1559" s="425"/>
      <c r="L1559" s="425"/>
      <c r="M1559" s="425"/>
      <c r="N1559" s="425"/>
    </row>
    <row r="1560" spans="2:14" ht="12.75" customHeight="1" x14ac:dyDescent="0.25">
      <c r="B1560" s="284"/>
      <c r="C1560" s="284"/>
      <c r="D1560" s="302"/>
      <c r="E1560" s="427" t="str">
        <f>[1]K_Summary!E1550</f>
        <v>-</v>
      </c>
      <c r="F1560" s="425" t="str">
        <f>[1]K_Summary!F1550</f>
        <v>За да могат операторите да разберат по-лесно как се изчислява разпределянето на квоти, по-долу е показано ПРЕДВАРИТЕЛНОТО разпределяне (т. е. разпределянето преди прилагането на междуотрасловия корекционен коефициент или на линейния коефициент). При подаване на данни до компетентния орган междуотрасловият корекционен коефициент не се вписва.</v>
      </c>
      <c r="G1560" s="425"/>
      <c r="H1560" s="425"/>
      <c r="I1560" s="425"/>
      <c r="J1560" s="425"/>
      <c r="K1560" s="425"/>
      <c r="L1560" s="425"/>
      <c r="M1560" s="425"/>
      <c r="N1560" s="425"/>
    </row>
    <row r="1561" spans="2:14" ht="12.75" customHeight="1" x14ac:dyDescent="0.25">
      <c r="B1561" s="284"/>
      <c r="C1561" s="284"/>
      <c r="D1561" s="302"/>
      <c r="E1561" s="427" t="str">
        <f>[1]K_Summary!E1551</f>
        <v>-</v>
      </c>
      <c r="F1561" s="425" t="str">
        <f>[1]K_Summary!F1551</f>
        <v>В този образец обаче може да се впише стойност за междуотрасловия корекционен коефициент. Тази функция може да се използва от оператора само за негова информация. Резултатите в никакъв случай не са правно задължителни.</v>
      </c>
      <c r="G1561" s="425"/>
      <c r="H1561" s="425"/>
      <c r="I1561" s="425"/>
      <c r="J1561" s="425"/>
      <c r="K1561" s="425"/>
      <c r="L1561" s="425"/>
      <c r="M1561" s="425"/>
      <c r="N1561" s="425"/>
    </row>
    <row r="1562" spans="2:14" ht="12.75" customHeight="1" thickBot="1" x14ac:dyDescent="0.3">
      <c r="B1562" s="284"/>
      <c r="C1562" s="284"/>
      <c r="D1562" s="302"/>
      <c r="E1562" s="427"/>
      <c r="F1562" s="425"/>
      <c r="G1562" s="425"/>
      <c r="H1562" s="425"/>
      <c r="I1562" s="425"/>
      <c r="J1562" s="425"/>
      <c r="K1562" s="425"/>
      <c r="L1562" s="425"/>
      <c r="M1562" s="425"/>
      <c r="N1562" s="425"/>
    </row>
    <row r="1563" spans="2:14" ht="12.75" customHeight="1" thickBot="1" x14ac:dyDescent="0.3">
      <c r="B1563" s="284"/>
      <c r="C1563" s="290"/>
      <c r="D1563" s="587" t="str">
        <f>[1]K_Summary!D1553</f>
        <v>Заявление за отказ от отговорност: Съгласно член 16, параграф 1 от ПБР, държавите членки са длъжни да изчислят и определят броя на квотите за емисии за безплатно разпределяне от 2021 г. нататък за всяка инсталация, кандидатстваща за безплатно разпределение на квоти. Показаните тук резултати са само с информативна цел. Не се предоставя никаква гаранция, изрична или по подразбиране, по отношение на точността, пълнотата или надеждността на получения резултат. От резултата, получен с помощта на настоящия електронен формуляр, не произтичат права на определено количество квоти за емисии. По отношение на точността на изчислението, моля, вижте и текста за отказ от отговорност от работен лист „Guidelines and conditions“ („Насоки и условия“).</v>
      </c>
      <c r="E1563" s="588"/>
      <c r="F1563" s="588"/>
      <c r="G1563" s="588"/>
      <c r="H1563" s="588"/>
      <c r="I1563" s="588"/>
      <c r="J1563" s="588"/>
      <c r="K1563" s="588"/>
      <c r="L1563" s="588"/>
      <c r="M1563" s="588"/>
      <c r="N1563" s="589"/>
    </row>
    <row r="1564" spans="2:14" ht="12.75" customHeight="1" x14ac:dyDescent="0.25">
      <c r="B1564" s="284"/>
      <c r="C1564" s="302"/>
      <c r="D1564" s="302"/>
      <c r="E1564" s="302"/>
      <c r="F1564" s="302"/>
      <c r="G1564" s="302"/>
      <c r="H1564" s="302"/>
      <c r="I1564" s="302"/>
      <c r="J1564" s="302"/>
      <c r="K1564" s="302"/>
      <c r="L1564" s="302"/>
      <c r="M1564" s="302"/>
      <c r="N1564" s="302"/>
    </row>
    <row r="1565" spans="2:14" ht="12.75" customHeight="1" x14ac:dyDescent="0.3">
      <c r="B1565" s="284"/>
      <c r="C1565" s="357">
        <f>[1]K_Summary!C1555</f>
        <v>1</v>
      </c>
      <c r="D1565" s="358" t="str">
        <f>[1]K_Summary!D1555</f>
        <v>Общо предварително годишно количество на квотите за емисии, разпределени безплатно:</v>
      </c>
      <c r="E1565" s="359"/>
      <c r="F1565" s="359"/>
      <c r="G1565" s="359"/>
      <c r="H1565" s="359"/>
      <c r="I1565" s="359"/>
      <c r="J1565" s="359"/>
      <c r="K1565" s="359"/>
      <c r="L1565" s="359"/>
      <c r="M1565" s="359"/>
      <c r="N1565" s="359"/>
    </row>
    <row r="1566" spans="2:14" ht="12.75" customHeight="1" x14ac:dyDescent="0.25">
      <c r="B1566" s="284"/>
      <c r="C1566" s="284"/>
      <c r="D1566" s="302"/>
      <c r="E1566" s="425" t="str">
        <f>[1]K_Summary!E1556</f>
        <v>Показаните тук количества отразяват изчисляването на предварителния годишен брой квоти за емисии, разпределени безплатно съгласно член 16, параграфи 1—7 от ПБР, т. е. вече е приложен посочения в приложение V от ПБР коефициент (наричан по-долу „коефициент за отчитане на изтичане на въглеродни емисии“). Съгласно член 16, параграф 3 от ПБР при подинсталациите на топлофикационни мрежи този коефициент ще бъде 0,3 за всички години.</v>
      </c>
      <c r="F1566" s="359"/>
      <c r="G1566" s="359"/>
      <c r="H1566" s="359"/>
      <c r="I1566" s="359"/>
      <c r="J1566" s="359"/>
      <c r="K1566" s="359"/>
      <c r="L1566" s="359"/>
      <c r="M1566" s="359"/>
      <c r="N1566" s="359"/>
    </row>
    <row r="1567" spans="2:14" ht="12.75" customHeight="1" x14ac:dyDescent="0.25">
      <c r="B1567" s="284"/>
      <c r="C1567" s="284"/>
      <c r="D1567" s="302"/>
      <c r="E1567" s="668" t="str">
        <f>[1]K_Summary!E1557</f>
        <v>В случай че за дадена подинсталация изчисленото предварително годишно количество квоти за безплатно разпределяне има отрицателна стойност, тя се коригира на нула.</v>
      </c>
      <c r="F1567" s="669"/>
      <c r="G1567" s="669"/>
      <c r="H1567" s="669"/>
      <c r="I1567" s="669"/>
      <c r="J1567" s="669"/>
      <c r="K1567" s="669"/>
      <c r="L1567" s="669"/>
      <c r="M1567" s="669"/>
      <c r="N1567" s="669"/>
    </row>
    <row r="1568" spans="2:14" ht="12.75" customHeight="1" x14ac:dyDescent="0.25">
      <c r="B1568" s="284"/>
      <c r="C1568" s="302"/>
      <c r="D1568" s="302"/>
      <c r="E1568" s="302"/>
      <c r="F1568" s="302"/>
      <c r="G1568" s="302"/>
      <c r="H1568" s="302"/>
      <c r="I1568" s="302"/>
      <c r="J1568" s="302"/>
      <c r="K1568" s="302"/>
      <c r="L1568" s="302"/>
      <c r="M1568" s="302"/>
      <c r="N1568" s="302"/>
    </row>
    <row r="1569" spans="2:14" ht="12.75" customHeight="1" x14ac:dyDescent="0.25">
      <c r="B1569" s="284"/>
      <c r="C1569" s="647"/>
      <c r="D1569" s="300" t="str">
        <f>[1]K_Summary!D1559</f>
        <v>(a)</v>
      </c>
      <c r="E1569" s="313" t="str">
        <f>[1]K_Summary!E1559</f>
        <v>Изчисление на минималните, максималните и действителните предварителни квоти?</v>
      </c>
      <c r="F1569" s="313"/>
      <c r="G1569" s="313"/>
      <c r="H1569" s="313"/>
      <c r="I1569" s="313"/>
      <c r="J1569" s="313"/>
      <c r="K1569" s="386"/>
      <c r="L1569" s="83"/>
      <c r="M1569" s="302"/>
      <c r="N1569" s="302"/>
    </row>
    <row r="1570" spans="2:14" ht="12.75" customHeight="1" x14ac:dyDescent="0.25">
      <c r="B1570" s="284"/>
      <c r="C1570" s="284"/>
      <c r="D1570" s="302"/>
      <c r="E1570" s="425" t="str">
        <f>[1]K_Summary!E1560</f>
        <v>В зависимост от избраното тук ще се покажат индикативните минимални, максимални и действителни предварителни квоти, както е определено в раздел IV по-горе.</v>
      </c>
      <c r="F1570" s="359"/>
      <c r="G1570" s="359"/>
      <c r="H1570" s="359"/>
      <c r="I1570" s="359"/>
      <c r="J1570" s="359"/>
      <c r="K1570" s="359"/>
      <c r="L1570" s="359"/>
      <c r="M1570" s="359"/>
      <c r="N1570" s="359"/>
    </row>
    <row r="1571" spans="2:14" ht="12.75" customHeight="1" x14ac:dyDescent="0.25">
      <c r="B1571" s="284"/>
      <c r="C1571" s="284"/>
      <c r="D1571" s="302"/>
      <c r="E1571" s="425" t="str">
        <f>[1]K_Summary!E1561</f>
        <v>Имайте предвид, че действителното разпределение на квоти може да се изчисли само след публикуването на новите стойности на показателите. Преди това по-долу няма да се извършват никакви изчисления, ако е избрана опцията „действителни“.</v>
      </c>
      <c r="F1571" s="359"/>
      <c r="G1571" s="359"/>
      <c r="H1571" s="359"/>
      <c r="I1571" s="359"/>
      <c r="J1571" s="359"/>
      <c r="K1571" s="359"/>
      <c r="L1571" s="359"/>
      <c r="M1571" s="359"/>
      <c r="N1571" s="359"/>
    </row>
    <row r="1572" spans="2:14" ht="12.75" customHeight="1" x14ac:dyDescent="0.25">
      <c r="B1572" s="284"/>
      <c r="C1572" s="284"/>
      <c r="D1572" s="302"/>
      <c r="E1572" s="425" t="str">
        <f>[1]K_Summary!E1562</f>
        <v>Ако това поле не е попълнено, по подразбиране при всички изчисления по-долу ще се използват минималните предварителни квоти.</v>
      </c>
      <c r="F1572" s="359"/>
      <c r="G1572" s="359"/>
      <c r="H1572" s="359"/>
      <c r="I1572" s="359"/>
      <c r="J1572" s="359"/>
      <c r="K1572" s="359"/>
      <c r="L1572" s="359"/>
      <c r="M1572" s="359"/>
      <c r="N1572" s="359"/>
    </row>
    <row r="1573" spans="2:14" ht="12.75" customHeight="1" x14ac:dyDescent="0.25">
      <c r="B1573" s="284"/>
      <c r="C1573" s="302"/>
      <c r="D1573" s="302"/>
      <c r="E1573" s="302"/>
      <c r="F1573" s="302"/>
      <c r="G1573" s="302"/>
      <c r="H1573" s="302"/>
      <c r="I1573" s="302"/>
      <c r="J1573" s="302"/>
      <c r="K1573" s="302"/>
      <c r="L1573" s="302"/>
      <c r="M1573" s="302"/>
      <c r="N1573" s="302"/>
    </row>
    <row r="1574" spans="2:14" ht="12.75" customHeight="1" x14ac:dyDescent="0.25">
      <c r="B1574" s="284"/>
      <c r="C1574" s="647"/>
      <c r="D1574" s="300" t="str">
        <f>[1]K_Summary!D1564</f>
        <v>(b)</v>
      </c>
      <c r="E1574" s="313" t="str">
        <f>[1]K_Summary!E1564</f>
        <v>Изчислителни коефициенти:</v>
      </c>
      <c r="F1574" s="313"/>
      <c r="G1574" s="313"/>
      <c r="H1574" s="298"/>
      <c r="I1574" s="556"/>
      <c r="J1574" s="556"/>
      <c r="K1574" s="329"/>
      <c r="L1574" s="302"/>
      <c r="M1574" s="302"/>
      <c r="N1574" s="302"/>
    </row>
    <row r="1575" spans="2:14" ht="12.75" customHeight="1" x14ac:dyDescent="0.25">
      <c r="B1575" s="284"/>
      <c r="C1575" s="302"/>
      <c r="D1575" s="302"/>
      <c r="E1575" s="498"/>
      <c r="F1575" s="498"/>
      <c r="G1575" s="498"/>
      <c r="H1575" s="380"/>
      <c r="I1575" s="387">
        <f>[1]K_Summary!I1565</f>
        <v>2026</v>
      </c>
      <c r="J1575" s="387">
        <f>[1]K_Summary!J1565</f>
        <v>2027</v>
      </c>
      <c r="K1575" s="387">
        <f>[1]K_Summary!K1565</f>
        <v>2028</v>
      </c>
      <c r="L1575" s="387">
        <f>[1]K_Summary!L1565</f>
        <v>2029</v>
      </c>
      <c r="M1575" s="387">
        <f>[1]K_Summary!M1565</f>
        <v>2030</v>
      </c>
      <c r="N1575" s="302"/>
    </row>
    <row r="1576" spans="2:14" ht="12.75" customHeight="1" x14ac:dyDescent="0.25">
      <c r="B1576" s="284"/>
      <c r="C1576" s="302"/>
      <c r="D1576" s="302"/>
      <c r="E1576" s="607" t="str">
        <f>[1]K_Summary!E1566</f>
        <v>Коефициент за отчитане на ИВЕ за сектори, които не са изложени на риск</v>
      </c>
      <c r="F1576" s="607"/>
      <c r="G1576" s="607"/>
      <c r="H1576" s="607"/>
      <c r="I1576" s="670">
        <f>[1]K_Summary!I1566</f>
        <v>0.3</v>
      </c>
      <c r="J1576" s="670">
        <f>[1]K_Summary!J1566</f>
        <v>0.22499999999999998</v>
      </c>
      <c r="K1576" s="670">
        <f>[1]K_Summary!K1566</f>
        <v>0.14999999999999997</v>
      </c>
      <c r="L1576" s="670">
        <f>[1]K_Summary!L1566</f>
        <v>7.4999999999999969E-2</v>
      </c>
      <c r="M1576" s="670">
        <f>[1]K_Summary!M1566</f>
        <v>0</v>
      </c>
      <c r="N1576" s="302"/>
    </row>
    <row r="1577" spans="2:14" ht="12.75" customHeight="1" x14ac:dyDescent="0.25">
      <c r="B1577" s="284"/>
      <c r="C1577" s="302"/>
      <c r="D1577" s="302"/>
      <c r="E1577" s="607" t="str">
        <f>[1]K_Summary!E1567</f>
        <v>Коефициент за отчитане на ИВЕ за топлофикационни мрежи</v>
      </c>
      <c r="F1577" s="607"/>
      <c r="G1577" s="607"/>
      <c r="H1577" s="607"/>
      <c r="I1577" s="670">
        <f>[1]K_Summary!I1567</f>
        <v>0.3</v>
      </c>
      <c r="J1577" s="670">
        <f>[1]K_Summary!J1567</f>
        <v>0.3</v>
      </c>
      <c r="K1577" s="670">
        <f>[1]K_Summary!K1567</f>
        <v>0.3</v>
      </c>
      <c r="L1577" s="670">
        <f>[1]K_Summary!L1567</f>
        <v>0.3</v>
      </c>
      <c r="M1577" s="670">
        <f>[1]K_Summary!M1567</f>
        <v>0.3</v>
      </c>
      <c r="N1577" s="302"/>
    </row>
    <row r="1578" spans="2:14" ht="12.75" customHeight="1" x14ac:dyDescent="0.25">
      <c r="B1578" s="284"/>
      <c r="C1578" s="302"/>
      <c r="D1578" s="302"/>
      <c r="E1578" s="425" t="str">
        <f>[1]K_Summary!E1568</f>
        <v>Забележка: За сектори, изложени на риск от ИВЕ, коефициентът за отчитане на ИВЕ е 1,0000 за всички години.</v>
      </c>
      <c r="F1578" s="425"/>
      <c r="G1578" s="425"/>
      <c r="H1578" s="425"/>
      <c r="I1578" s="425"/>
      <c r="J1578" s="425"/>
      <c r="K1578" s="425"/>
      <c r="L1578" s="425"/>
      <c r="M1578" s="425"/>
      <c r="N1578" s="425"/>
    </row>
    <row r="1579" spans="2:14" ht="12.75" customHeight="1" x14ac:dyDescent="0.25">
      <c r="B1579" s="284"/>
      <c r="C1579" s="302"/>
      <c r="D1579" s="302"/>
      <c r="E1579" s="607" t="str">
        <f>[1]K_Summary!E1569</f>
        <v>Коефициент за емисии от процеси</v>
      </c>
      <c r="F1579" s="607"/>
      <c r="G1579" s="607"/>
      <c r="H1579" s="607"/>
      <c r="I1579" s="670">
        <f>[1]K_Summary!I1569</f>
        <v>0.97</v>
      </c>
      <c r="J1579" s="670">
        <f>[1]K_Summary!J1569</f>
        <v>0.97</v>
      </c>
      <c r="K1579" s="670">
        <f>[1]K_Summary!K1569</f>
        <v>0.91</v>
      </c>
      <c r="L1579" s="670">
        <f>[1]K_Summary!L1569</f>
        <v>0.91</v>
      </c>
      <c r="M1579" s="670">
        <f>[1]K_Summary!M1569</f>
        <v>0.91</v>
      </c>
      <c r="N1579" s="302"/>
    </row>
    <row r="1580" spans="2:14" ht="12.75" customHeight="1" x14ac:dyDescent="0.25">
      <c r="B1580" s="284"/>
      <c r="C1580" s="302"/>
      <c r="D1580" s="302"/>
      <c r="E1580" s="302"/>
      <c r="F1580" s="302"/>
      <c r="G1580" s="302"/>
      <c r="H1580" s="302"/>
      <c r="I1580" s="302"/>
      <c r="J1580" s="302"/>
      <c r="K1580" s="302"/>
      <c r="L1580" s="302"/>
      <c r="M1580" s="302"/>
      <c r="N1580" s="302"/>
    </row>
    <row r="1581" spans="2:14" ht="12.75" customHeight="1" x14ac:dyDescent="0.25">
      <c r="B1581" s="284"/>
      <c r="C1581" s="647"/>
      <c r="D1581" s="300" t="str">
        <f>[1]K_Summary!D1571</f>
        <v>(c)</v>
      </c>
      <c r="E1581" s="313" t="str">
        <f>[1]K_Summary!E1571</f>
        <v>CBAM factors:</v>
      </c>
      <c r="F1581" s="313"/>
      <c r="G1581" s="313"/>
      <c r="H1581" s="298"/>
      <c r="I1581" s="556"/>
      <c r="J1581" s="556"/>
      <c r="K1581" s="329"/>
      <c r="L1581" s="302"/>
      <c r="M1581" s="302"/>
      <c r="N1581" s="302"/>
    </row>
    <row r="1582" spans="2:14" ht="12.75" customHeight="1" x14ac:dyDescent="0.25">
      <c r="B1582" s="284"/>
      <c r="C1582" s="302"/>
      <c r="D1582" s="302"/>
      <c r="E1582" s="498"/>
      <c r="F1582" s="498"/>
      <c r="G1582" s="498"/>
      <c r="H1582" s="380"/>
      <c r="I1582" s="387">
        <f>[1]K_Summary!I1572</f>
        <v>2026</v>
      </c>
      <c r="J1582" s="387">
        <f>[1]K_Summary!J1572</f>
        <v>2027</v>
      </c>
      <c r="K1582" s="387">
        <f>[1]K_Summary!K1572</f>
        <v>2028</v>
      </c>
      <c r="L1582" s="387">
        <f>[1]K_Summary!L1572</f>
        <v>2029</v>
      </c>
      <c r="M1582" s="387">
        <f>[1]K_Summary!M1572</f>
        <v>2030</v>
      </c>
      <c r="N1582" s="302"/>
    </row>
    <row r="1583" spans="2:14" ht="12.75" customHeight="1" x14ac:dyDescent="0.25">
      <c r="B1583" s="284"/>
      <c r="C1583" s="302"/>
      <c r="D1583" s="302"/>
      <c r="E1583" s="607" t="str">
        <f>[1]K_Summary!E1573</f>
        <v>Коефициенти по МКВЕГ за продукти, обхванати от МКВЕГ</v>
      </c>
      <c r="F1583" s="607"/>
      <c r="G1583" s="607"/>
      <c r="H1583" s="607"/>
      <c r="I1583" s="670">
        <f>[1]K_Summary!I1573</f>
        <v>0.97499999999999998</v>
      </c>
      <c r="J1583" s="670">
        <f>[1]K_Summary!J1573</f>
        <v>0.95</v>
      </c>
      <c r="K1583" s="670">
        <f>[1]K_Summary!K1573</f>
        <v>0.9</v>
      </c>
      <c r="L1583" s="670">
        <f>[1]K_Summary!L1573</f>
        <v>0.77500000000000002</v>
      </c>
      <c r="M1583" s="670">
        <f>[1]K_Summary!M1573</f>
        <v>0.51500000000000001</v>
      </c>
      <c r="N1583" s="302"/>
    </row>
    <row r="1584" spans="2:14" ht="12.75" customHeight="1" x14ac:dyDescent="0.25">
      <c r="B1584" s="284"/>
      <c r="C1584" s="302"/>
      <c r="D1584" s="302"/>
      <c r="E1584" s="302"/>
      <c r="F1584" s="302"/>
      <c r="G1584" s="302"/>
      <c r="H1584" s="302"/>
      <c r="I1584" s="302"/>
      <c r="J1584" s="302"/>
      <c r="K1584" s="302"/>
      <c r="L1584" s="302"/>
      <c r="M1584" s="302"/>
      <c r="N1584" s="302"/>
    </row>
    <row r="1585" spans="2:14" ht="12.75" customHeight="1" x14ac:dyDescent="0.25">
      <c r="B1585" s="284"/>
      <c r="C1585" s="647"/>
      <c r="D1585" s="300" t="str">
        <f>[1]K_Summary!D1575</f>
        <v>(d)</v>
      </c>
      <c r="E1585" s="313" t="str">
        <f>[1]K_Summary!E1575</f>
        <v>Изчисление съгласно член 16, параграфи 1—7 от ПБР:</v>
      </c>
      <c r="F1585" s="313"/>
      <c r="G1585" s="313"/>
      <c r="H1585" s="298"/>
      <c r="I1585" s="556"/>
      <c r="J1585" s="556"/>
      <c r="K1585" s="329"/>
      <c r="L1585" s="302"/>
      <c r="M1585" s="302"/>
      <c r="N1585" s="302"/>
    </row>
    <row r="1586" spans="2:14" ht="12.75" customHeight="1" x14ac:dyDescent="0.25">
      <c r="B1586" s="284"/>
      <c r="C1586" s="302"/>
      <c r="D1586" s="302"/>
      <c r="E1586" s="302"/>
      <c r="F1586" s="302"/>
      <c r="G1586" s="302"/>
      <c r="H1586" s="302"/>
      <c r="I1586" s="302"/>
      <c r="J1586" s="302"/>
      <c r="K1586" s="302"/>
      <c r="L1586" s="302"/>
      <c r="M1586" s="302"/>
      <c r="N1586" s="302"/>
    </row>
    <row r="1587" spans="2:14" ht="12.75" customHeight="1" x14ac:dyDescent="0.25">
      <c r="B1587" s="284"/>
      <c r="C1587" s="302"/>
      <c r="D1587" s="389" t="str">
        <f>[1]K_Summary!D1577</f>
        <v>Подинсталация</v>
      </c>
      <c r="E1587" s="389"/>
      <c r="F1587" s="389"/>
      <c r="G1587" s="389"/>
      <c r="H1587" s="671"/>
      <c r="I1587" s="387">
        <f>[1]K_Summary!I1577</f>
        <v>2026</v>
      </c>
      <c r="J1587" s="387">
        <f>[1]K_Summary!J1577</f>
        <v>2027</v>
      </c>
      <c r="K1587" s="387">
        <f>[1]K_Summary!K1577</f>
        <v>2028</v>
      </c>
      <c r="L1587" s="387">
        <f>[1]K_Summary!L1577</f>
        <v>2029</v>
      </c>
      <c r="M1587" s="387">
        <f>[1]K_Summary!M1577</f>
        <v>2030</v>
      </c>
      <c r="N1587" s="672" t="str">
        <f>[1]K_Summary!N1577</f>
        <v>Стойност &lt; от средната стойност за 10-те %?</v>
      </c>
    </row>
    <row r="1588" spans="2:14" ht="12.75" customHeight="1" x14ac:dyDescent="0.25">
      <c r="B1588" s="284"/>
      <c r="C1588" s="301">
        <f>[1]K_Summary!C1578</f>
        <v>1</v>
      </c>
      <c r="D1588" s="607" t="str">
        <f>[1]K_Summary!D1578</f>
        <v/>
      </c>
      <c r="E1588" s="607"/>
      <c r="F1588" s="607"/>
      <c r="G1588" s="607"/>
      <c r="H1588" s="607"/>
      <c r="I1588" s="659" t="str">
        <f>[1]K_Summary!I1578</f>
        <v/>
      </c>
      <c r="J1588" s="659" t="str">
        <f>[1]K_Summary!J1578</f>
        <v/>
      </c>
      <c r="K1588" s="659" t="str">
        <f>[1]K_Summary!K1578</f>
        <v/>
      </c>
      <c r="L1588" s="659" t="str">
        <f>[1]K_Summary!L1578</f>
        <v/>
      </c>
      <c r="M1588" s="659" t="str">
        <f>[1]K_Summary!M1578</f>
        <v/>
      </c>
      <c r="N1588" s="478" t="str">
        <f>[1]K_Summary!N1578</f>
        <v/>
      </c>
    </row>
    <row r="1589" spans="2:14" ht="12.75" customHeight="1" x14ac:dyDescent="0.25">
      <c r="B1589" s="284"/>
      <c r="C1589" s="301">
        <f>[1]K_Summary!C1579</f>
        <v>2</v>
      </c>
      <c r="D1589" s="607" t="str">
        <f>[1]K_Summary!D1579</f>
        <v/>
      </c>
      <c r="E1589" s="607"/>
      <c r="F1589" s="607"/>
      <c r="G1589" s="607"/>
      <c r="H1589" s="607"/>
      <c r="I1589" s="659" t="str">
        <f>[1]K_Summary!I1579</f>
        <v/>
      </c>
      <c r="J1589" s="659" t="str">
        <f>[1]K_Summary!J1579</f>
        <v/>
      </c>
      <c r="K1589" s="659" t="str">
        <f>[1]K_Summary!K1579</f>
        <v/>
      </c>
      <c r="L1589" s="659" t="str">
        <f>[1]K_Summary!L1579</f>
        <v/>
      </c>
      <c r="M1589" s="659" t="str">
        <f>[1]K_Summary!M1579</f>
        <v/>
      </c>
      <c r="N1589" s="478" t="str">
        <f>[1]K_Summary!N1579</f>
        <v/>
      </c>
    </row>
    <row r="1590" spans="2:14" ht="12.75" customHeight="1" x14ac:dyDescent="0.25">
      <c r="B1590" s="284"/>
      <c r="C1590" s="301">
        <f>[1]K_Summary!C1580</f>
        <v>3</v>
      </c>
      <c r="D1590" s="607" t="str">
        <f>[1]K_Summary!D1580</f>
        <v/>
      </c>
      <c r="E1590" s="607"/>
      <c r="F1590" s="607"/>
      <c r="G1590" s="607"/>
      <c r="H1590" s="607"/>
      <c r="I1590" s="659" t="str">
        <f>[1]K_Summary!I1580</f>
        <v/>
      </c>
      <c r="J1590" s="659" t="str">
        <f>[1]K_Summary!J1580</f>
        <v/>
      </c>
      <c r="K1590" s="659" t="str">
        <f>[1]K_Summary!K1580</f>
        <v/>
      </c>
      <c r="L1590" s="659" t="str">
        <f>[1]K_Summary!L1580</f>
        <v/>
      </c>
      <c r="M1590" s="659" t="str">
        <f>[1]K_Summary!M1580</f>
        <v/>
      </c>
      <c r="N1590" s="478" t="str">
        <f>[1]K_Summary!N1580</f>
        <v/>
      </c>
    </row>
    <row r="1591" spans="2:14" ht="12.75" customHeight="1" x14ac:dyDescent="0.25">
      <c r="B1591" s="284"/>
      <c r="C1591" s="301">
        <f>[1]K_Summary!C1581</f>
        <v>4</v>
      </c>
      <c r="D1591" s="607" t="str">
        <f>[1]K_Summary!D1581</f>
        <v/>
      </c>
      <c r="E1591" s="607"/>
      <c r="F1591" s="607"/>
      <c r="G1591" s="607"/>
      <c r="H1591" s="607"/>
      <c r="I1591" s="659" t="str">
        <f>[1]K_Summary!I1581</f>
        <v/>
      </c>
      <c r="J1591" s="659" t="str">
        <f>[1]K_Summary!J1581</f>
        <v/>
      </c>
      <c r="K1591" s="659" t="str">
        <f>[1]K_Summary!K1581</f>
        <v/>
      </c>
      <c r="L1591" s="659" t="str">
        <f>[1]K_Summary!L1581</f>
        <v/>
      </c>
      <c r="M1591" s="659" t="str">
        <f>[1]K_Summary!M1581</f>
        <v/>
      </c>
      <c r="N1591" s="478" t="str">
        <f>[1]K_Summary!N1581</f>
        <v/>
      </c>
    </row>
    <row r="1592" spans="2:14" ht="12.75" customHeight="1" x14ac:dyDescent="0.25">
      <c r="B1592" s="284"/>
      <c r="C1592" s="301">
        <f>[1]K_Summary!C1582</f>
        <v>5</v>
      </c>
      <c r="D1592" s="607" t="str">
        <f>[1]K_Summary!D1582</f>
        <v/>
      </c>
      <c r="E1592" s="607"/>
      <c r="F1592" s="607"/>
      <c r="G1592" s="607"/>
      <c r="H1592" s="607"/>
      <c r="I1592" s="659" t="str">
        <f>[1]K_Summary!I1582</f>
        <v/>
      </c>
      <c r="J1592" s="659" t="str">
        <f>[1]K_Summary!J1582</f>
        <v/>
      </c>
      <c r="K1592" s="659" t="str">
        <f>[1]K_Summary!K1582</f>
        <v/>
      </c>
      <c r="L1592" s="659" t="str">
        <f>[1]K_Summary!L1582</f>
        <v/>
      </c>
      <c r="M1592" s="659" t="str">
        <f>[1]K_Summary!M1582</f>
        <v/>
      </c>
      <c r="N1592" s="478" t="str">
        <f>[1]K_Summary!N1582</f>
        <v/>
      </c>
    </row>
    <row r="1593" spans="2:14" ht="12.75" customHeight="1" x14ac:dyDescent="0.25">
      <c r="B1593" s="284"/>
      <c r="C1593" s="301">
        <f>[1]K_Summary!C1583</f>
        <v>6</v>
      </c>
      <c r="D1593" s="607" t="str">
        <f>[1]K_Summary!D1583</f>
        <v/>
      </c>
      <c r="E1593" s="607"/>
      <c r="F1593" s="607"/>
      <c r="G1593" s="607"/>
      <c r="H1593" s="607"/>
      <c r="I1593" s="659" t="str">
        <f>[1]K_Summary!I1583</f>
        <v/>
      </c>
      <c r="J1593" s="659" t="str">
        <f>[1]K_Summary!J1583</f>
        <v/>
      </c>
      <c r="K1593" s="659" t="str">
        <f>[1]K_Summary!K1583</f>
        <v/>
      </c>
      <c r="L1593" s="659" t="str">
        <f>[1]K_Summary!L1583</f>
        <v/>
      </c>
      <c r="M1593" s="659" t="str">
        <f>[1]K_Summary!M1583</f>
        <v/>
      </c>
      <c r="N1593" s="478" t="str">
        <f>[1]K_Summary!N1583</f>
        <v/>
      </c>
    </row>
    <row r="1594" spans="2:14" ht="12.75" customHeight="1" x14ac:dyDescent="0.25">
      <c r="B1594" s="284"/>
      <c r="C1594" s="301">
        <f>[1]K_Summary!C1584</f>
        <v>7</v>
      </c>
      <c r="D1594" s="607" t="str">
        <f>[1]K_Summary!D1584</f>
        <v/>
      </c>
      <c r="E1594" s="607"/>
      <c r="F1594" s="607"/>
      <c r="G1594" s="607"/>
      <c r="H1594" s="607"/>
      <c r="I1594" s="659" t="str">
        <f>[1]K_Summary!I1584</f>
        <v/>
      </c>
      <c r="J1594" s="659" t="str">
        <f>[1]K_Summary!J1584</f>
        <v/>
      </c>
      <c r="K1594" s="659" t="str">
        <f>[1]K_Summary!K1584</f>
        <v/>
      </c>
      <c r="L1594" s="659" t="str">
        <f>[1]K_Summary!L1584</f>
        <v/>
      </c>
      <c r="M1594" s="659" t="str">
        <f>[1]K_Summary!M1584</f>
        <v/>
      </c>
      <c r="N1594" s="478" t="str">
        <f>[1]K_Summary!N1584</f>
        <v/>
      </c>
    </row>
    <row r="1595" spans="2:14" ht="12.75" customHeight="1" x14ac:dyDescent="0.25">
      <c r="B1595" s="284"/>
      <c r="C1595" s="301">
        <f>[1]K_Summary!C1585</f>
        <v>8</v>
      </c>
      <c r="D1595" s="607" t="str">
        <f>[1]K_Summary!D1585</f>
        <v/>
      </c>
      <c r="E1595" s="607"/>
      <c r="F1595" s="607"/>
      <c r="G1595" s="607"/>
      <c r="H1595" s="607"/>
      <c r="I1595" s="659" t="str">
        <f>[1]K_Summary!I1585</f>
        <v/>
      </c>
      <c r="J1595" s="659" t="str">
        <f>[1]K_Summary!J1585</f>
        <v/>
      </c>
      <c r="K1595" s="659" t="str">
        <f>[1]K_Summary!K1585</f>
        <v/>
      </c>
      <c r="L1595" s="659" t="str">
        <f>[1]K_Summary!L1585</f>
        <v/>
      </c>
      <c r="M1595" s="659" t="str">
        <f>[1]K_Summary!M1585</f>
        <v/>
      </c>
      <c r="N1595" s="478" t="str">
        <f>[1]K_Summary!N1585</f>
        <v/>
      </c>
    </row>
    <row r="1596" spans="2:14" ht="12.75" customHeight="1" x14ac:dyDescent="0.25">
      <c r="B1596" s="284"/>
      <c r="C1596" s="301">
        <f>[1]K_Summary!C1586</f>
        <v>9</v>
      </c>
      <c r="D1596" s="607" t="str">
        <f>[1]K_Summary!D1586</f>
        <v/>
      </c>
      <c r="E1596" s="607"/>
      <c r="F1596" s="607"/>
      <c r="G1596" s="607"/>
      <c r="H1596" s="607"/>
      <c r="I1596" s="659" t="str">
        <f>[1]K_Summary!I1586</f>
        <v/>
      </c>
      <c r="J1596" s="659" t="str">
        <f>[1]K_Summary!J1586</f>
        <v/>
      </c>
      <c r="K1596" s="659" t="str">
        <f>[1]K_Summary!K1586</f>
        <v/>
      </c>
      <c r="L1596" s="659" t="str">
        <f>[1]K_Summary!L1586</f>
        <v/>
      </c>
      <c r="M1596" s="659" t="str">
        <f>[1]K_Summary!M1586</f>
        <v/>
      </c>
      <c r="N1596" s="478" t="str">
        <f>[1]K_Summary!N1586</f>
        <v/>
      </c>
    </row>
    <row r="1597" spans="2:14" ht="12.75" customHeight="1" thickBot="1" x14ac:dyDescent="0.3">
      <c r="B1597" s="284"/>
      <c r="C1597" s="673">
        <f>[1]K_Summary!C1587</f>
        <v>10</v>
      </c>
      <c r="D1597" s="674" t="str">
        <f>[1]K_Summary!D1587</f>
        <v/>
      </c>
      <c r="E1597" s="674"/>
      <c r="F1597" s="674"/>
      <c r="G1597" s="674"/>
      <c r="H1597" s="674"/>
      <c r="I1597" s="675" t="str">
        <f>[1]K_Summary!I1587</f>
        <v/>
      </c>
      <c r="J1597" s="675" t="str">
        <f>[1]K_Summary!J1587</f>
        <v/>
      </c>
      <c r="K1597" s="675" t="str">
        <f>[1]K_Summary!K1587</f>
        <v/>
      </c>
      <c r="L1597" s="675" t="str">
        <f>[1]K_Summary!L1587</f>
        <v/>
      </c>
      <c r="M1597" s="675" t="str">
        <f>[1]K_Summary!M1587</f>
        <v/>
      </c>
      <c r="N1597" s="675" t="str">
        <f>[1]K_Summary!N1587</f>
        <v/>
      </c>
    </row>
    <row r="1598" spans="2:14" ht="12.75" customHeight="1" x14ac:dyDescent="0.25">
      <c r="B1598" s="284"/>
      <c r="C1598" s="301">
        <f>[1]K_Summary!C1588</f>
        <v>11</v>
      </c>
      <c r="D1598" s="676" t="str">
        <f>[1]K_Summary!D1588</f>
        <v>Подинсталация с топлинен показател (с риск от ИВЕ | извън МКВЕГ)</v>
      </c>
      <c r="E1598" s="676"/>
      <c r="F1598" s="676"/>
      <c r="G1598" s="676"/>
      <c r="H1598" s="676"/>
      <c r="I1598" s="459" t="str">
        <f>[1]K_Summary!I1588</f>
        <v/>
      </c>
      <c r="J1598" s="459" t="str">
        <f>[1]K_Summary!J1588</f>
        <v/>
      </c>
      <c r="K1598" s="459" t="str">
        <f>[1]K_Summary!K1588</f>
        <v/>
      </c>
      <c r="L1598" s="459" t="str">
        <f>[1]K_Summary!L1588</f>
        <v/>
      </c>
      <c r="M1598" s="459" t="str">
        <f>[1]K_Summary!M1588</f>
        <v/>
      </c>
      <c r="N1598" s="478" t="str">
        <f>[1]K_Summary!N1588</f>
        <v/>
      </c>
    </row>
    <row r="1599" spans="2:14" ht="12.75" customHeight="1" x14ac:dyDescent="0.25">
      <c r="B1599" s="284"/>
      <c r="C1599" s="301">
        <f>[1]K_Summary!C1589</f>
        <v>12</v>
      </c>
      <c r="D1599" s="607" t="str">
        <f>[1]K_Summary!D1589</f>
        <v>Подинсталация с топлинен показател (без риск от ИВЕ | извън МКВЕГ)</v>
      </c>
      <c r="E1599" s="607"/>
      <c r="F1599" s="607"/>
      <c r="G1599" s="607"/>
      <c r="H1599" s="607"/>
      <c r="I1599" s="659" t="str">
        <f>[1]K_Summary!I1589</f>
        <v/>
      </c>
      <c r="J1599" s="659" t="str">
        <f>[1]K_Summary!J1589</f>
        <v/>
      </c>
      <c r="K1599" s="659" t="str">
        <f>[1]K_Summary!K1589</f>
        <v/>
      </c>
      <c r="L1599" s="659" t="str">
        <f>[1]K_Summary!L1589</f>
        <v/>
      </c>
      <c r="M1599" s="659" t="str">
        <f>[1]K_Summary!M1589</f>
        <v/>
      </c>
      <c r="N1599" s="478" t="str">
        <f>[1]K_Summary!N1589</f>
        <v/>
      </c>
    </row>
    <row r="1600" spans="2:14" ht="12.75" customHeight="1" x14ac:dyDescent="0.25">
      <c r="B1600" s="284"/>
      <c r="C1600" s="301">
        <f>[1]K_Summary!C1590</f>
        <v>13</v>
      </c>
      <c r="D1600" s="607" t="str">
        <f>[1]K_Summary!D1590</f>
        <v>Подинсталация с топлинен показател (с риск от ИВЕ | в рамките на МКВЕГ)</v>
      </c>
      <c r="E1600" s="607"/>
      <c r="F1600" s="607"/>
      <c r="G1600" s="607"/>
      <c r="H1600" s="607"/>
      <c r="I1600" s="659" t="str">
        <f>[1]K_Summary!I1590</f>
        <v/>
      </c>
      <c r="J1600" s="659" t="str">
        <f>[1]K_Summary!J1590</f>
        <v/>
      </c>
      <c r="K1600" s="659" t="str">
        <f>[1]K_Summary!K1590</f>
        <v/>
      </c>
      <c r="L1600" s="659" t="str">
        <f>[1]K_Summary!L1590</f>
        <v/>
      </c>
      <c r="M1600" s="659" t="str">
        <f>[1]K_Summary!M1590</f>
        <v/>
      </c>
      <c r="N1600" s="478" t="str">
        <f>[1]K_Summary!N1590</f>
        <v/>
      </c>
    </row>
    <row r="1601" spans="2:14" ht="12.75" customHeight="1" x14ac:dyDescent="0.25">
      <c r="B1601" s="284"/>
      <c r="C1601" s="301">
        <f>[1]K_Summary!C1591</f>
        <v>14</v>
      </c>
      <c r="D1601" s="607" t="str">
        <f>[1]K_Summary!D1591</f>
        <v>Подинсталация на топлофикационна мрежа</v>
      </c>
      <c r="E1601" s="607"/>
      <c r="F1601" s="607"/>
      <c r="G1601" s="607"/>
      <c r="H1601" s="607"/>
      <c r="I1601" s="659" t="str">
        <f>[1]K_Summary!I1591</f>
        <v/>
      </c>
      <c r="J1601" s="659" t="str">
        <f>[1]K_Summary!J1591</f>
        <v/>
      </c>
      <c r="K1601" s="659" t="str">
        <f>[1]K_Summary!K1591</f>
        <v/>
      </c>
      <c r="L1601" s="659" t="str">
        <f>[1]K_Summary!L1591</f>
        <v/>
      </c>
      <c r="M1601" s="659" t="str">
        <f>[1]K_Summary!M1591</f>
        <v/>
      </c>
      <c r="N1601" s="478" t="str">
        <f>[1]K_Summary!N1591</f>
        <v/>
      </c>
    </row>
    <row r="1602" spans="2:14" ht="12.75" customHeight="1" x14ac:dyDescent="0.25">
      <c r="B1602" s="284"/>
      <c r="C1602" s="301">
        <f>[1]K_Summary!C1592</f>
        <v>15</v>
      </c>
      <c r="D1602" s="607" t="str">
        <f>[1]K_Summary!D1592</f>
        <v>Подинсталация с горивен показател (с риск от ИВЕ | извън МКВЕГ)</v>
      </c>
      <c r="E1602" s="607"/>
      <c r="F1602" s="607"/>
      <c r="G1602" s="607"/>
      <c r="H1602" s="607"/>
      <c r="I1602" s="659" t="str">
        <f>[1]K_Summary!I1592</f>
        <v/>
      </c>
      <c r="J1602" s="659" t="str">
        <f>[1]K_Summary!J1592</f>
        <v/>
      </c>
      <c r="K1602" s="659" t="str">
        <f>[1]K_Summary!K1592</f>
        <v/>
      </c>
      <c r="L1602" s="659" t="str">
        <f>[1]K_Summary!L1592</f>
        <v/>
      </c>
      <c r="M1602" s="659" t="str">
        <f>[1]K_Summary!M1592</f>
        <v/>
      </c>
      <c r="N1602" s="478" t="str">
        <f>[1]K_Summary!N1592</f>
        <v/>
      </c>
    </row>
    <row r="1603" spans="2:14" ht="12.75" customHeight="1" x14ac:dyDescent="0.25">
      <c r="B1603" s="284"/>
      <c r="C1603" s="301">
        <f>[1]K_Summary!C1593</f>
        <v>16</v>
      </c>
      <c r="D1603" s="607" t="str">
        <f>[1]K_Summary!D1593</f>
        <v>Подинсталация с горивен показател (без риск от ИВЕ | извън МКВЕГ)</v>
      </c>
      <c r="E1603" s="607"/>
      <c r="F1603" s="607"/>
      <c r="G1603" s="607"/>
      <c r="H1603" s="607"/>
      <c r="I1603" s="659" t="str">
        <f>[1]K_Summary!I1593</f>
        <v/>
      </c>
      <c r="J1603" s="659" t="str">
        <f>[1]K_Summary!J1593</f>
        <v/>
      </c>
      <c r="K1603" s="659" t="str">
        <f>[1]K_Summary!K1593</f>
        <v/>
      </c>
      <c r="L1603" s="659" t="str">
        <f>[1]K_Summary!L1593</f>
        <v/>
      </c>
      <c r="M1603" s="659" t="str">
        <f>[1]K_Summary!M1593</f>
        <v/>
      </c>
      <c r="N1603" s="478" t="str">
        <f>[1]K_Summary!N1593</f>
        <v/>
      </c>
    </row>
    <row r="1604" spans="2:14" ht="12.75" customHeight="1" x14ac:dyDescent="0.25">
      <c r="B1604" s="284"/>
      <c r="C1604" s="301">
        <f>[1]K_Summary!C1594</f>
        <v>17</v>
      </c>
      <c r="D1604" s="607" t="str">
        <f>[1]K_Summary!D1594</f>
        <v>Подинсталация с горивен показател (с риск от ИВЕ | в рамките на МКВЕГ)</v>
      </c>
      <c r="E1604" s="607"/>
      <c r="F1604" s="607"/>
      <c r="G1604" s="607"/>
      <c r="H1604" s="607"/>
      <c r="I1604" s="659" t="str">
        <f>[1]K_Summary!I1594</f>
        <v/>
      </c>
      <c r="J1604" s="659" t="str">
        <f>[1]K_Summary!J1594</f>
        <v/>
      </c>
      <c r="K1604" s="659" t="str">
        <f>[1]K_Summary!K1594</f>
        <v/>
      </c>
      <c r="L1604" s="659" t="str">
        <f>[1]K_Summary!L1594</f>
        <v/>
      </c>
      <c r="M1604" s="659" t="str">
        <f>[1]K_Summary!M1594</f>
        <v/>
      </c>
      <c r="N1604" s="478" t="str">
        <f>[1]K_Summary!N1594</f>
        <v/>
      </c>
    </row>
    <row r="1605" spans="2:14" ht="12.75" customHeight="1" x14ac:dyDescent="0.25">
      <c r="B1605" s="284"/>
      <c r="C1605" s="301">
        <f>[1]K_Summary!C1595</f>
        <v>18</v>
      </c>
      <c r="D1605" s="607" t="str">
        <f>[1]K_Summary!D1595</f>
        <v>Подинсталация с емисии от процеси (с риск от ИВЕ | извън МКВЕГ)</v>
      </c>
      <c r="E1605" s="607"/>
      <c r="F1605" s="607"/>
      <c r="G1605" s="607"/>
      <c r="H1605" s="607"/>
      <c r="I1605" s="659" t="str">
        <f>[1]K_Summary!I1595</f>
        <v/>
      </c>
      <c r="J1605" s="659" t="str">
        <f>[1]K_Summary!J1595</f>
        <v/>
      </c>
      <c r="K1605" s="659" t="str">
        <f>[1]K_Summary!K1595</f>
        <v/>
      </c>
      <c r="L1605" s="659" t="str">
        <f>[1]K_Summary!L1595</f>
        <v/>
      </c>
      <c r="M1605" s="659" t="str">
        <f>[1]K_Summary!M1595</f>
        <v/>
      </c>
      <c r="N1605" s="302"/>
    </row>
    <row r="1606" spans="2:14" ht="12.75" customHeight="1" x14ac:dyDescent="0.25">
      <c r="B1606" s="284"/>
      <c r="C1606" s="301">
        <f>[1]K_Summary!C1596</f>
        <v>19</v>
      </c>
      <c r="D1606" s="607" t="str">
        <f>[1]K_Summary!D1596</f>
        <v>Подинсталация с емисии от процеси (без риск от ИВЕ | извън МКВЕГ)</v>
      </c>
      <c r="E1606" s="607"/>
      <c r="F1606" s="607"/>
      <c r="G1606" s="607"/>
      <c r="H1606" s="607"/>
      <c r="I1606" s="677" t="str">
        <f>[1]K_Summary!I1596</f>
        <v/>
      </c>
      <c r="J1606" s="677" t="str">
        <f>[1]K_Summary!J1596</f>
        <v/>
      </c>
      <c r="K1606" s="677" t="str">
        <f>[1]K_Summary!K1596</f>
        <v/>
      </c>
      <c r="L1606" s="677" t="str">
        <f>[1]K_Summary!L1596</f>
        <v/>
      </c>
      <c r="M1606" s="677" t="str">
        <f>[1]K_Summary!M1596</f>
        <v/>
      </c>
      <c r="N1606" s="302"/>
    </row>
    <row r="1607" spans="2:14" ht="12.75" customHeight="1" thickBot="1" x14ac:dyDescent="0.3">
      <c r="B1607" s="284"/>
      <c r="C1607" s="678">
        <f>[1]K_Summary!C1597</f>
        <v>20</v>
      </c>
      <c r="D1607" s="679" t="str">
        <f>[1]K_Summary!D1597</f>
        <v>Подинсталация с емисии от процеси (с риск от ИВЕ | в рамките на МКВЕГ)</v>
      </c>
      <c r="E1607" s="679"/>
      <c r="F1607" s="679"/>
      <c r="G1607" s="679"/>
      <c r="H1607" s="679"/>
      <c r="I1607" s="675" t="str">
        <f>[1]K_Summary!I1597</f>
        <v/>
      </c>
      <c r="J1607" s="675" t="str">
        <f>[1]K_Summary!J1597</f>
        <v/>
      </c>
      <c r="K1607" s="675" t="str">
        <f>[1]K_Summary!K1597</f>
        <v/>
      </c>
      <c r="L1607" s="675" t="str">
        <f>[1]K_Summary!L1597</f>
        <v/>
      </c>
      <c r="M1607" s="675" t="str">
        <f>[1]K_Summary!M1597</f>
        <v/>
      </c>
      <c r="N1607" s="302"/>
    </row>
    <row r="1608" spans="2:14" ht="12.75" customHeight="1" x14ac:dyDescent="0.25">
      <c r="B1608" s="284"/>
      <c r="C1608" s="302"/>
      <c r="D1608" s="680" t="str">
        <f>[1]K_Summary!D1598</f>
        <v>Общо предварително безплатно разпределение на квоти за емисии</v>
      </c>
      <c r="E1608" s="680"/>
      <c r="F1608" s="680"/>
      <c r="G1608" s="680"/>
      <c r="H1608" s="680"/>
      <c r="I1608" s="681" t="str">
        <f>[1]K_Summary!I1598</f>
        <v/>
      </c>
      <c r="J1608" s="681" t="str">
        <f>[1]K_Summary!J1598</f>
        <v/>
      </c>
      <c r="K1608" s="681" t="str">
        <f>[1]K_Summary!K1598</f>
        <v/>
      </c>
      <c r="L1608" s="681" t="str">
        <f>[1]K_Summary!L1598</f>
        <v/>
      </c>
      <c r="M1608" s="681" t="str">
        <f>[1]K_Summary!M1598</f>
        <v/>
      </c>
      <c r="N1608" s="302"/>
    </row>
    <row r="1609" spans="2:14" ht="12.75" customHeight="1" x14ac:dyDescent="0.25">
      <c r="B1609" s="284"/>
      <c r="C1609" s="302"/>
      <c r="D1609" s="302"/>
      <c r="E1609" s="302"/>
      <c r="F1609" s="302"/>
      <c r="G1609" s="302"/>
      <c r="H1609" s="302"/>
      <c r="I1609" s="302"/>
      <c r="J1609" s="302"/>
      <c r="K1609" s="302"/>
      <c r="L1609" s="302"/>
      <c r="M1609" s="302"/>
      <c r="N1609" s="302"/>
    </row>
    <row r="1610" spans="2:14" ht="12.75" customHeight="1" x14ac:dyDescent="0.3">
      <c r="B1610" s="284"/>
      <c r="C1610" s="357">
        <f>[1]K_Summary!C1600</f>
        <v>2</v>
      </c>
      <c r="D1610" s="358" t="str">
        <f>[1]K_Summary!D1600</f>
        <v>Индикативно очаквано крайно количество безплатни квоти:</v>
      </c>
      <c r="E1610" s="298"/>
      <c r="F1610" s="298"/>
      <c r="G1610" s="298"/>
      <c r="H1610" s="298"/>
      <c r="I1610" s="556"/>
      <c r="J1610" s="556"/>
      <c r="K1610" s="329"/>
      <c r="L1610" s="302"/>
      <c r="M1610" s="302"/>
      <c r="N1610" s="302"/>
    </row>
    <row r="1611" spans="2:14" ht="12.75" customHeight="1" x14ac:dyDescent="0.25">
      <c r="B1611" s="284"/>
      <c r="C1611" s="302"/>
      <c r="D1611" s="302"/>
      <c r="E1611" s="302"/>
      <c r="F1611" s="302"/>
      <c r="G1611" s="302"/>
      <c r="H1611" s="302"/>
      <c r="I1611" s="302"/>
      <c r="J1611" s="302"/>
      <c r="K1611" s="302"/>
      <c r="L1611" s="302"/>
      <c r="M1611" s="302"/>
      <c r="N1611" s="302"/>
    </row>
    <row r="1612" spans="2:14" ht="12.75" customHeight="1" x14ac:dyDescent="0.25">
      <c r="B1612" s="284"/>
      <c r="C1612" s="647"/>
      <c r="D1612" s="300" t="str">
        <f>[1]K_Summary!D1602</f>
        <v>(a)</v>
      </c>
      <c r="E1612" s="313" t="str">
        <f>[1]K_Summary!E1602</f>
        <v>Прилага ли се намаление с 20 % съгласно обвързаността с условия?</v>
      </c>
      <c r="F1612" s="313"/>
      <c r="G1612" s="313"/>
      <c r="H1612" s="298"/>
      <c r="I1612" s="556"/>
      <c r="J1612" s="556"/>
      <c r="K1612" s="329"/>
      <c r="L1612" s="364"/>
      <c r="M1612" s="478" t="b">
        <f>[1]K_Summary!M1602</f>
        <v>0</v>
      </c>
      <c r="N1612" s="302"/>
    </row>
    <row r="1613" spans="2:14" ht="12.75" customHeight="1" x14ac:dyDescent="0.25">
      <c r="B1613" s="284"/>
      <c r="C1613" s="302"/>
      <c r="D1613" s="302"/>
      <c r="E1613" s="425" t="str">
        <f>[1]K_Summary!E1603</f>
        <v>Резултатът се показва автоматично въз основа на въведените данни в раздели A.II.2 и A.II.3. Ако се прилага някоя от тези обвързаности с условия, разпределяното количество квоти се намалява с 20 %.</v>
      </c>
      <c r="F1613" s="359"/>
      <c r="G1613" s="359"/>
      <c r="H1613" s="359"/>
      <c r="I1613" s="359"/>
      <c r="J1613" s="359"/>
      <c r="K1613" s="359"/>
      <c r="L1613" s="359"/>
      <c r="M1613" s="359"/>
      <c r="N1613" s="359"/>
    </row>
    <row r="1614" spans="2:14" ht="12.75" customHeight="1" x14ac:dyDescent="0.25">
      <c r="B1614" s="284"/>
      <c r="C1614" s="302"/>
      <c r="D1614" s="302"/>
      <c r="E1614" s="302"/>
      <c r="F1614" s="302"/>
      <c r="G1614" s="302"/>
      <c r="H1614" s="302"/>
      <c r="I1614" s="302"/>
      <c r="J1614" s="302"/>
      <c r="K1614" s="302"/>
      <c r="L1614" s="302"/>
      <c r="M1614" s="302"/>
      <c r="N1614" s="302"/>
    </row>
    <row r="1615" spans="2:14" ht="12.75" customHeight="1" x14ac:dyDescent="0.25">
      <c r="B1615" s="284"/>
      <c r="C1615" s="284"/>
      <c r="D1615" s="300" t="str">
        <f>[1]K_Summary!D1605</f>
        <v>(b)</v>
      </c>
      <c r="E1615" s="313" t="str">
        <f>[1]K_Summary!E1605</f>
        <v>Междуотраслов корекционен коефициент (МКК) съгласно член 14, параграф 6 от ПБР:</v>
      </c>
      <c r="F1615" s="298"/>
      <c r="G1615" s="298"/>
      <c r="H1615" s="298"/>
      <c r="I1615" s="298"/>
      <c r="J1615" s="298"/>
      <c r="K1615" s="298"/>
      <c r="L1615" s="298"/>
      <c r="M1615" s="298"/>
      <c r="N1615" s="298"/>
    </row>
    <row r="1616" spans="2:14" ht="12.75" customHeight="1" x14ac:dyDescent="0.25">
      <c r="B1616" s="284"/>
      <c r="C1616" s="284"/>
      <c r="D1616" s="302"/>
      <c r="E1616" s="425" t="str">
        <f>[1]K_Summary!E1606</f>
        <v>Както беше пояснено по-горе, за Ваша информация тук можете да въведете стойности за единния междуотраслов корекционен коефициент съгласно член 10а, параграф 5 от Директивата за СТЕ на ЕС. Докато Комисията публикува окончателната стойност съгласно член 14, параграф 6 от ПБР, стойността по подразбиране е 1.</v>
      </c>
      <c r="F1616" s="359"/>
      <c r="G1616" s="359"/>
      <c r="H1616" s="359"/>
      <c r="I1616" s="359"/>
      <c r="J1616" s="359"/>
      <c r="K1616" s="359"/>
      <c r="L1616" s="359"/>
      <c r="M1616" s="359"/>
      <c r="N1616" s="359"/>
    </row>
    <row r="1617" spans="2:14" ht="12.75" customHeight="1" x14ac:dyDescent="0.25">
      <c r="B1617" s="284"/>
      <c r="C1617" s="284"/>
      <c r="D1617" s="302"/>
      <c r="E1617" s="668" t="str">
        <f>[1]K_Summary!E1607</f>
        <v>При подаването на настоящия отчет до компетентния орган с цел установяване на националните мерки за изпълнение се уверете, че тук не са въведени никакви данни.</v>
      </c>
      <c r="F1617" s="669"/>
      <c r="G1617" s="669"/>
      <c r="H1617" s="669"/>
      <c r="I1617" s="669"/>
      <c r="J1617" s="669"/>
      <c r="K1617" s="669"/>
      <c r="L1617" s="669"/>
      <c r="M1617" s="669"/>
      <c r="N1617" s="669"/>
    </row>
    <row r="1618" spans="2:14" ht="12.75" customHeight="1" x14ac:dyDescent="0.25">
      <c r="B1618" s="284"/>
      <c r="C1618" s="284"/>
      <c r="D1618" s="302"/>
      <c r="E1618" s="668" t="str">
        <f>[1]K_Summary!E1608</f>
        <v>В съответствие с член 16, параграф 8 МКК винаги трябва да бъде 1 за инсталации, чиито подинсталации са под средната стойност за най-ефективните 10 % за съответния им показател и допринасят за повече от 60 % от предварителното разпределяне на квоти. Тази информация обаче ще бъде известна едва след като бъдат определени новите стойности на показателите.</v>
      </c>
      <c r="F1618" s="669"/>
      <c r="G1618" s="669"/>
      <c r="H1618" s="669"/>
      <c r="I1618" s="669"/>
      <c r="J1618" s="669"/>
      <c r="K1618" s="669"/>
      <c r="L1618" s="669"/>
      <c r="M1618" s="669"/>
      <c r="N1618" s="669"/>
    </row>
    <row r="1619" spans="2:14" ht="12.75" customHeight="1" x14ac:dyDescent="0.25">
      <c r="B1619" s="284"/>
      <c r="C1619" s="302"/>
      <c r="D1619" s="682" t="str">
        <f>[1]K_Summary!D1609</f>
        <v>i.</v>
      </c>
      <c r="E1619" s="388" t="str">
        <f>[1]K_Summary!E1609</f>
        <v>През 2021—2022 г. инсталацията има подинсталации, които са сред 10-те % с най-висока ефективност по отношение на парниковите газове?</v>
      </c>
      <c r="F1619" s="388"/>
      <c r="G1619" s="388"/>
      <c r="H1619" s="388"/>
      <c r="I1619" s="388"/>
      <c r="J1619" s="388"/>
      <c r="K1619" s="388"/>
      <c r="L1619" s="615"/>
      <c r="M1619" s="478" t="str">
        <f>[1]K_Summary!M1609</f>
        <v/>
      </c>
      <c r="N1619" s="425"/>
    </row>
    <row r="1620" spans="2:14" ht="12.75" customHeight="1" x14ac:dyDescent="0.25">
      <c r="B1620" s="284"/>
      <c r="C1620" s="302"/>
      <c r="D1620" s="682" t="str">
        <f>[1]K_Summary!D1610</f>
        <v>ii.</v>
      </c>
      <c r="E1620" s="388" t="str">
        <f>[1]K_Summary!E1610</f>
        <v>Подинсталациите по подточка i. допринасят за следния дял от предварителното разпределяне на квоти:</v>
      </c>
      <c r="F1620" s="554"/>
      <c r="G1620" s="554"/>
      <c r="H1620" s="554"/>
      <c r="I1620" s="554"/>
      <c r="J1620" s="554"/>
      <c r="K1620" s="554"/>
      <c r="L1620" s="683"/>
      <c r="M1620" s="269" t="str">
        <f>[1]K_Summary!M1610</f>
        <v/>
      </c>
      <c r="N1620" s="425"/>
    </row>
    <row r="1621" spans="2:14" ht="12.75" customHeight="1" x14ac:dyDescent="0.25">
      <c r="B1621" s="284"/>
      <c r="C1621" s="302"/>
      <c r="D1621" s="682"/>
      <c r="E1621" s="425"/>
      <c r="F1621" s="425"/>
      <c r="G1621" s="425"/>
      <c r="H1621" s="425"/>
      <c r="I1621" s="425"/>
      <c r="J1621" s="425"/>
      <c r="K1621" s="425"/>
      <c r="L1621" s="425"/>
      <c r="M1621" s="425"/>
      <c r="N1621" s="425"/>
    </row>
    <row r="1622" spans="2:14" ht="12.75" customHeight="1" x14ac:dyDescent="0.25">
      <c r="B1622" s="284"/>
      <c r="C1622" s="302"/>
      <c r="D1622" s="682"/>
      <c r="E1622" s="498"/>
      <c r="F1622" s="498"/>
      <c r="G1622" s="498"/>
      <c r="H1622" s="380"/>
      <c r="I1622" s="387">
        <f>[1]K_Summary!I1612</f>
        <v>2026</v>
      </c>
      <c r="J1622" s="387">
        <f>[1]K_Summary!J1612</f>
        <v>2027</v>
      </c>
      <c r="K1622" s="387">
        <f>[1]K_Summary!K1612</f>
        <v>2028</v>
      </c>
      <c r="L1622" s="387">
        <f>[1]K_Summary!L1612</f>
        <v>2029</v>
      </c>
      <c r="M1622" s="387">
        <f>[1]K_Summary!M1612</f>
        <v>2030</v>
      </c>
      <c r="N1622" s="302"/>
    </row>
    <row r="1623" spans="2:14" ht="12.75" customHeight="1" x14ac:dyDescent="0.25">
      <c r="B1623" s="284"/>
      <c r="C1623" s="302"/>
      <c r="D1623" s="682" t="str">
        <f>[1]K_Summary!D1613</f>
        <v>iii.</v>
      </c>
      <c r="E1623" s="607" t="str">
        <f>[1]K_Summary!E1613</f>
        <v>МКК</v>
      </c>
      <c r="F1623" s="607"/>
      <c r="G1623" s="607"/>
      <c r="H1623" s="607"/>
      <c r="I1623" s="684">
        <f>[1]K_Summary!I1613</f>
        <v>0</v>
      </c>
      <c r="J1623" s="684">
        <f>[1]K_Summary!J1613</f>
        <v>0</v>
      </c>
      <c r="K1623" s="684">
        <f>[1]K_Summary!K1613</f>
        <v>0</v>
      </c>
      <c r="L1623" s="684">
        <f>[1]K_Summary!L1613</f>
        <v>0</v>
      </c>
      <c r="M1623" s="684">
        <f>[1]K_Summary!M1613</f>
        <v>0</v>
      </c>
      <c r="N1623" s="302"/>
    </row>
    <row r="1624" spans="2:14" ht="12.75" customHeight="1" x14ac:dyDescent="0.25">
      <c r="B1624" s="284"/>
      <c r="C1624" s="302"/>
      <c r="D1624" s="682" t="str">
        <f>[1]K_Summary!D1614</f>
        <v>iv.</v>
      </c>
      <c r="E1624" s="607" t="str">
        <f>[1]K_Summary!E1614</f>
        <v>Стойност, използвана при изчислението</v>
      </c>
      <c r="F1624" s="607"/>
      <c r="G1624" s="607"/>
      <c r="H1624" s="607"/>
      <c r="I1624" s="685">
        <f>[1]K_Summary!I1614</f>
        <v>1</v>
      </c>
      <c r="J1624" s="685">
        <f>[1]K_Summary!J1614</f>
        <v>1</v>
      </c>
      <c r="K1624" s="685">
        <f>[1]K_Summary!K1614</f>
        <v>1</v>
      </c>
      <c r="L1624" s="685">
        <f>[1]K_Summary!L1614</f>
        <v>1</v>
      </c>
      <c r="M1624" s="685">
        <f>[1]K_Summary!M1614</f>
        <v>1</v>
      </c>
      <c r="N1624" s="302"/>
    </row>
    <row r="1625" spans="2:14" ht="12.75" customHeight="1" x14ac:dyDescent="0.25">
      <c r="B1625" s="284"/>
      <c r="C1625" s="302"/>
      <c r="D1625" s="302"/>
      <c r="E1625" s="302"/>
      <c r="F1625" s="302"/>
      <c r="G1625" s="302"/>
      <c r="H1625" s="302"/>
      <c r="I1625" s="302"/>
      <c r="J1625" s="302"/>
      <c r="K1625" s="302"/>
      <c r="L1625" s="302"/>
      <c r="M1625" s="302"/>
      <c r="N1625" s="302"/>
    </row>
    <row r="1626" spans="2:14" ht="12.75" customHeight="1" x14ac:dyDescent="0.25">
      <c r="B1626" s="284"/>
      <c r="C1626" s="647"/>
      <c r="D1626" s="300" t="str">
        <f>[1]K_Summary!D1616</f>
        <v>(c)</v>
      </c>
      <c r="E1626" s="313" t="str">
        <f>[1]K_Summary!E1616</f>
        <v>Изчисление съгласно член 16, параграф 8 от ПБР:</v>
      </c>
      <c r="F1626" s="313"/>
      <c r="G1626" s="313"/>
      <c r="H1626" s="298"/>
      <c r="I1626" s="556"/>
      <c r="J1626" s="556"/>
      <c r="K1626" s="329"/>
      <c r="L1626" s="302"/>
      <c r="M1626" s="302"/>
      <c r="N1626" s="302"/>
    </row>
    <row r="1627" spans="2:14" ht="12.75" customHeight="1" x14ac:dyDescent="0.25">
      <c r="B1627" s="284"/>
      <c r="C1627" s="284"/>
      <c r="D1627" s="302"/>
      <c r="E1627" s="425" t="str">
        <f>[1]K_Summary!E1617</f>
        <v>Показаните тук количества отразяват изчисленията на общото крайно количество квоти, които се разпределят безплатно в съответствие с член 16, параграф 8 от ПБР, т.е. стойности за разпределяне, при които се вземат предвид приложимите приспадания и междуотрасловия корекционен коефициент, ако е целесъобразно (т.е. резултата от буква б) по-горе). Тези стойности обаче не могат да се смятат за крайни, защото към момента на събиране на тези данни все още не е известен междуотрасловият корекционен коефициент.</v>
      </c>
      <c r="F1627" s="359"/>
      <c r="G1627" s="359"/>
      <c r="H1627" s="359"/>
      <c r="I1627" s="359"/>
      <c r="J1627" s="359"/>
      <c r="K1627" s="359"/>
      <c r="L1627" s="359"/>
      <c r="M1627" s="359"/>
      <c r="N1627" s="359"/>
    </row>
    <row r="1628" spans="2:14" ht="12.75" customHeight="1" x14ac:dyDescent="0.25">
      <c r="B1628" s="284"/>
      <c r="C1628" s="302"/>
      <c r="D1628" s="302"/>
      <c r="E1628" s="302"/>
      <c r="F1628" s="302"/>
      <c r="G1628" s="302"/>
      <c r="H1628" s="302"/>
      <c r="I1628" s="302"/>
      <c r="J1628" s="302"/>
      <c r="K1628" s="302"/>
      <c r="L1628" s="302"/>
      <c r="M1628" s="302"/>
      <c r="N1628" s="302"/>
    </row>
    <row r="1629" spans="2:14" ht="12.75" customHeight="1" x14ac:dyDescent="0.25">
      <c r="B1629" s="284"/>
      <c r="C1629" s="302"/>
      <c r="D1629" s="389" t="str">
        <f>[1]K_Summary!D1619</f>
        <v>Подинсталация</v>
      </c>
      <c r="E1629" s="389"/>
      <c r="F1629" s="389"/>
      <c r="G1629" s="389"/>
      <c r="H1629" s="671"/>
      <c r="I1629" s="387">
        <f>[1]K_Summary!I1619</f>
        <v>2026</v>
      </c>
      <c r="J1629" s="387">
        <f>[1]K_Summary!J1619</f>
        <v>2027</v>
      </c>
      <c r="K1629" s="387">
        <f>[1]K_Summary!K1619</f>
        <v>2028</v>
      </c>
      <c r="L1629" s="387">
        <f>[1]K_Summary!L1619</f>
        <v>2029</v>
      </c>
      <c r="M1629" s="387">
        <f>[1]K_Summary!M1619</f>
        <v>2030</v>
      </c>
      <c r="N1629" s="302"/>
    </row>
    <row r="1630" spans="2:14" ht="12.75" customHeight="1" x14ac:dyDescent="0.25">
      <c r="B1630" s="284"/>
      <c r="C1630" s="301">
        <f>[1]K_Summary!C1620</f>
        <v>1</v>
      </c>
      <c r="D1630" s="607" t="str">
        <f>[1]K_Summary!D1620</f>
        <v/>
      </c>
      <c r="E1630" s="607"/>
      <c r="F1630" s="607"/>
      <c r="G1630" s="607"/>
      <c r="H1630" s="607"/>
      <c r="I1630" s="659" t="str">
        <f>[1]K_Summary!I1620</f>
        <v/>
      </c>
      <c r="J1630" s="659" t="str">
        <f>[1]K_Summary!J1620</f>
        <v/>
      </c>
      <c r="K1630" s="659" t="str">
        <f>[1]K_Summary!K1620</f>
        <v/>
      </c>
      <c r="L1630" s="659" t="str">
        <f>[1]K_Summary!L1620</f>
        <v/>
      </c>
      <c r="M1630" s="659" t="str">
        <f>[1]K_Summary!M1620</f>
        <v/>
      </c>
      <c r="N1630" s="302"/>
    </row>
    <row r="1631" spans="2:14" ht="12.75" customHeight="1" x14ac:dyDescent="0.25">
      <c r="B1631" s="284"/>
      <c r="C1631" s="301">
        <f>[1]K_Summary!C1621</f>
        <v>2</v>
      </c>
      <c r="D1631" s="607" t="str">
        <f>[1]K_Summary!D1621</f>
        <v/>
      </c>
      <c r="E1631" s="607"/>
      <c r="F1631" s="607"/>
      <c r="G1631" s="607"/>
      <c r="H1631" s="607"/>
      <c r="I1631" s="659" t="str">
        <f>[1]K_Summary!I1621</f>
        <v/>
      </c>
      <c r="J1631" s="659" t="str">
        <f>[1]K_Summary!J1621</f>
        <v/>
      </c>
      <c r="K1631" s="659" t="str">
        <f>[1]K_Summary!K1621</f>
        <v/>
      </c>
      <c r="L1631" s="659" t="str">
        <f>[1]K_Summary!L1621</f>
        <v/>
      </c>
      <c r="M1631" s="659" t="str">
        <f>[1]K_Summary!M1621</f>
        <v/>
      </c>
      <c r="N1631" s="302"/>
    </row>
    <row r="1632" spans="2:14" ht="12.75" customHeight="1" x14ac:dyDescent="0.25">
      <c r="B1632" s="284"/>
      <c r="C1632" s="301">
        <f>[1]K_Summary!C1622</f>
        <v>3</v>
      </c>
      <c r="D1632" s="607" t="str">
        <f>[1]K_Summary!D1622</f>
        <v/>
      </c>
      <c r="E1632" s="607"/>
      <c r="F1632" s="607"/>
      <c r="G1632" s="607"/>
      <c r="H1632" s="607"/>
      <c r="I1632" s="659" t="str">
        <f>[1]K_Summary!I1622</f>
        <v/>
      </c>
      <c r="J1632" s="659" t="str">
        <f>[1]K_Summary!J1622</f>
        <v/>
      </c>
      <c r="K1632" s="659" t="str">
        <f>[1]K_Summary!K1622</f>
        <v/>
      </c>
      <c r="L1632" s="659" t="str">
        <f>[1]K_Summary!L1622</f>
        <v/>
      </c>
      <c r="M1632" s="659" t="str">
        <f>[1]K_Summary!M1622</f>
        <v/>
      </c>
      <c r="N1632" s="302"/>
    </row>
    <row r="1633" spans="2:14" ht="12.75" customHeight="1" x14ac:dyDescent="0.25">
      <c r="B1633" s="284"/>
      <c r="C1633" s="301">
        <f>[1]K_Summary!C1623</f>
        <v>4</v>
      </c>
      <c r="D1633" s="607" t="str">
        <f>[1]K_Summary!D1623</f>
        <v/>
      </c>
      <c r="E1633" s="607"/>
      <c r="F1633" s="607"/>
      <c r="G1633" s="607"/>
      <c r="H1633" s="607"/>
      <c r="I1633" s="659" t="str">
        <f>[1]K_Summary!I1623</f>
        <v/>
      </c>
      <c r="J1633" s="659" t="str">
        <f>[1]K_Summary!J1623</f>
        <v/>
      </c>
      <c r="K1633" s="659" t="str">
        <f>[1]K_Summary!K1623</f>
        <v/>
      </c>
      <c r="L1633" s="659" t="str">
        <f>[1]K_Summary!L1623</f>
        <v/>
      </c>
      <c r="M1633" s="659" t="str">
        <f>[1]K_Summary!M1623</f>
        <v/>
      </c>
      <c r="N1633" s="302"/>
    </row>
    <row r="1634" spans="2:14" ht="12.75" customHeight="1" x14ac:dyDescent="0.25">
      <c r="B1634" s="284"/>
      <c r="C1634" s="301">
        <f>[1]K_Summary!C1624</f>
        <v>5</v>
      </c>
      <c r="D1634" s="607" t="str">
        <f>[1]K_Summary!D1624</f>
        <v/>
      </c>
      <c r="E1634" s="607"/>
      <c r="F1634" s="607"/>
      <c r="G1634" s="607"/>
      <c r="H1634" s="607"/>
      <c r="I1634" s="659" t="str">
        <f>[1]K_Summary!I1624</f>
        <v/>
      </c>
      <c r="J1634" s="659" t="str">
        <f>[1]K_Summary!J1624</f>
        <v/>
      </c>
      <c r="K1634" s="659" t="str">
        <f>[1]K_Summary!K1624</f>
        <v/>
      </c>
      <c r="L1634" s="659" t="str">
        <f>[1]K_Summary!L1624</f>
        <v/>
      </c>
      <c r="M1634" s="659" t="str">
        <f>[1]K_Summary!M1624</f>
        <v/>
      </c>
      <c r="N1634" s="302"/>
    </row>
    <row r="1635" spans="2:14" ht="12.75" customHeight="1" x14ac:dyDescent="0.25">
      <c r="B1635" s="284"/>
      <c r="C1635" s="301">
        <f>[1]K_Summary!C1625</f>
        <v>6</v>
      </c>
      <c r="D1635" s="607" t="str">
        <f>[1]K_Summary!D1625</f>
        <v/>
      </c>
      <c r="E1635" s="607"/>
      <c r="F1635" s="607"/>
      <c r="G1635" s="607"/>
      <c r="H1635" s="607"/>
      <c r="I1635" s="659" t="str">
        <f>[1]K_Summary!I1625</f>
        <v/>
      </c>
      <c r="J1635" s="659" t="str">
        <f>[1]K_Summary!J1625</f>
        <v/>
      </c>
      <c r="K1635" s="659" t="str">
        <f>[1]K_Summary!K1625</f>
        <v/>
      </c>
      <c r="L1635" s="659" t="str">
        <f>[1]K_Summary!L1625</f>
        <v/>
      </c>
      <c r="M1635" s="659" t="str">
        <f>[1]K_Summary!M1625</f>
        <v/>
      </c>
      <c r="N1635" s="302"/>
    </row>
    <row r="1636" spans="2:14" ht="12.75" customHeight="1" x14ac:dyDescent="0.25">
      <c r="B1636" s="284"/>
      <c r="C1636" s="301">
        <f>[1]K_Summary!C1626</f>
        <v>7</v>
      </c>
      <c r="D1636" s="607" t="str">
        <f>[1]K_Summary!D1626</f>
        <v/>
      </c>
      <c r="E1636" s="607"/>
      <c r="F1636" s="607"/>
      <c r="G1636" s="607"/>
      <c r="H1636" s="607"/>
      <c r="I1636" s="659" t="str">
        <f>[1]K_Summary!I1626</f>
        <v/>
      </c>
      <c r="J1636" s="659" t="str">
        <f>[1]K_Summary!J1626</f>
        <v/>
      </c>
      <c r="K1636" s="659" t="str">
        <f>[1]K_Summary!K1626</f>
        <v/>
      </c>
      <c r="L1636" s="659" t="str">
        <f>[1]K_Summary!L1626</f>
        <v/>
      </c>
      <c r="M1636" s="659" t="str">
        <f>[1]K_Summary!M1626</f>
        <v/>
      </c>
      <c r="N1636" s="302"/>
    </row>
    <row r="1637" spans="2:14" ht="12.75" customHeight="1" x14ac:dyDescent="0.25">
      <c r="B1637" s="284"/>
      <c r="C1637" s="301">
        <f>[1]K_Summary!C1627</f>
        <v>8</v>
      </c>
      <c r="D1637" s="607" t="str">
        <f>[1]K_Summary!D1627</f>
        <v/>
      </c>
      <c r="E1637" s="607"/>
      <c r="F1637" s="607"/>
      <c r="G1637" s="607"/>
      <c r="H1637" s="607"/>
      <c r="I1637" s="659" t="str">
        <f>[1]K_Summary!I1627</f>
        <v/>
      </c>
      <c r="J1637" s="659" t="str">
        <f>[1]K_Summary!J1627</f>
        <v/>
      </c>
      <c r="K1637" s="659" t="str">
        <f>[1]K_Summary!K1627</f>
        <v/>
      </c>
      <c r="L1637" s="659" t="str">
        <f>[1]K_Summary!L1627</f>
        <v/>
      </c>
      <c r="M1637" s="659" t="str">
        <f>[1]K_Summary!M1627</f>
        <v/>
      </c>
      <c r="N1637" s="302"/>
    </row>
    <row r="1638" spans="2:14" ht="12.75" customHeight="1" x14ac:dyDescent="0.25">
      <c r="B1638" s="284"/>
      <c r="C1638" s="301">
        <f>[1]K_Summary!C1628</f>
        <v>9</v>
      </c>
      <c r="D1638" s="607" t="str">
        <f>[1]K_Summary!D1628</f>
        <v/>
      </c>
      <c r="E1638" s="607"/>
      <c r="F1638" s="607"/>
      <c r="G1638" s="607"/>
      <c r="H1638" s="607"/>
      <c r="I1638" s="659" t="str">
        <f>[1]K_Summary!I1628</f>
        <v/>
      </c>
      <c r="J1638" s="659" t="str">
        <f>[1]K_Summary!J1628</f>
        <v/>
      </c>
      <c r="K1638" s="659" t="str">
        <f>[1]K_Summary!K1628</f>
        <v/>
      </c>
      <c r="L1638" s="659" t="str">
        <f>[1]K_Summary!L1628</f>
        <v/>
      </c>
      <c r="M1638" s="659" t="str">
        <f>[1]K_Summary!M1628</f>
        <v/>
      </c>
      <c r="N1638" s="302"/>
    </row>
    <row r="1639" spans="2:14" ht="12.75" customHeight="1" thickBot="1" x14ac:dyDescent="0.3">
      <c r="B1639" s="284"/>
      <c r="C1639" s="673">
        <f>[1]K_Summary!C1629</f>
        <v>10</v>
      </c>
      <c r="D1639" s="674" t="str">
        <f>[1]K_Summary!D1629</f>
        <v/>
      </c>
      <c r="E1639" s="674"/>
      <c r="F1639" s="674"/>
      <c r="G1639" s="674"/>
      <c r="H1639" s="674"/>
      <c r="I1639" s="675" t="str">
        <f>[1]K_Summary!I1629</f>
        <v/>
      </c>
      <c r="J1639" s="675" t="str">
        <f>[1]K_Summary!J1629</f>
        <v/>
      </c>
      <c r="K1639" s="675" t="str">
        <f>[1]K_Summary!K1629</f>
        <v/>
      </c>
      <c r="L1639" s="675" t="str">
        <f>[1]K_Summary!L1629</f>
        <v/>
      </c>
      <c r="M1639" s="675" t="str">
        <f>[1]K_Summary!M1629</f>
        <v/>
      </c>
      <c r="N1639" s="302"/>
    </row>
    <row r="1640" spans="2:14" ht="12.75" customHeight="1" x14ac:dyDescent="0.25">
      <c r="B1640" s="284"/>
      <c r="C1640" s="301">
        <f>[1]K_Summary!C1630</f>
        <v>11</v>
      </c>
      <c r="D1640" s="676" t="str">
        <f>[1]K_Summary!D1630</f>
        <v>Подинсталация с топлинен показател (с риск от ИВЕ | извън МКВЕГ)</v>
      </c>
      <c r="E1640" s="676"/>
      <c r="F1640" s="676"/>
      <c r="G1640" s="676"/>
      <c r="H1640" s="676"/>
      <c r="I1640" s="459" t="str">
        <f>[1]K_Summary!I1630</f>
        <v/>
      </c>
      <c r="J1640" s="459" t="str">
        <f>[1]K_Summary!J1630</f>
        <v/>
      </c>
      <c r="K1640" s="459" t="str">
        <f>[1]K_Summary!K1630</f>
        <v/>
      </c>
      <c r="L1640" s="459" t="str">
        <f>[1]K_Summary!L1630</f>
        <v/>
      </c>
      <c r="M1640" s="459" t="str">
        <f>[1]K_Summary!M1630</f>
        <v/>
      </c>
      <c r="N1640" s="302"/>
    </row>
    <row r="1641" spans="2:14" ht="12.75" customHeight="1" x14ac:dyDescent="0.25">
      <c r="B1641" s="284"/>
      <c r="C1641" s="301">
        <f>[1]K_Summary!C1631</f>
        <v>12</v>
      </c>
      <c r="D1641" s="607" t="str">
        <f>[1]K_Summary!D1631</f>
        <v>Подинсталация с топлинен показател (без риск от ИВЕ | извън МКВЕГ)</v>
      </c>
      <c r="E1641" s="607"/>
      <c r="F1641" s="607"/>
      <c r="G1641" s="607"/>
      <c r="H1641" s="607"/>
      <c r="I1641" s="659" t="str">
        <f>[1]K_Summary!I1631</f>
        <v/>
      </c>
      <c r="J1641" s="659" t="str">
        <f>[1]K_Summary!J1631</f>
        <v/>
      </c>
      <c r="K1641" s="659" t="str">
        <f>[1]K_Summary!K1631</f>
        <v/>
      </c>
      <c r="L1641" s="659" t="str">
        <f>[1]K_Summary!L1631</f>
        <v/>
      </c>
      <c r="M1641" s="659" t="str">
        <f>[1]K_Summary!M1631</f>
        <v/>
      </c>
      <c r="N1641" s="302"/>
    </row>
    <row r="1642" spans="2:14" ht="12.75" customHeight="1" x14ac:dyDescent="0.25">
      <c r="B1642" s="284"/>
      <c r="C1642" s="301">
        <f>[1]K_Summary!C1632</f>
        <v>13</v>
      </c>
      <c r="D1642" s="607" t="str">
        <f>[1]K_Summary!D1632</f>
        <v>Подинсталация с топлинен показател (с риск от ИВЕ | в рамките на МКВЕГ)</v>
      </c>
      <c r="E1642" s="607"/>
      <c r="F1642" s="607"/>
      <c r="G1642" s="607"/>
      <c r="H1642" s="607"/>
      <c r="I1642" s="659" t="str">
        <f>[1]K_Summary!I1632</f>
        <v/>
      </c>
      <c r="J1642" s="659" t="str">
        <f>[1]K_Summary!J1632</f>
        <v/>
      </c>
      <c r="K1642" s="659" t="str">
        <f>[1]K_Summary!K1632</f>
        <v/>
      </c>
      <c r="L1642" s="659" t="str">
        <f>[1]K_Summary!L1632</f>
        <v/>
      </c>
      <c r="M1642" s="659" t="str">
        <f>[1]K_Summary!M1632</f>
        <v/>
      </c>
      <c r="N1642" s="302"/>
    </row>
    <row r="1643" spans="2:14" ht="12.75" customHeight="1" x14ac:dyDescent="0.25">
      <c r="B1643" s="284"/>
      <c r="C1643" s="301">
        <f>[1]K_Summary!C1633</f>
        <v>14</v>
      </c>
      <c r="D1643" s="607" t="str">
        <f>[1]K_Summary!D1633</f>
        <v>Подинсталация на топлофикационна мрежа</v>
      </c>
      <c r="E1643" s="607"/>
      <c r="F1643" s="607"/>
      <c r="G1643" s="607"/>
      <c r="H1643" s="607"/>
      <c r="I1643" s="659" t="str">
        <f>[1]K_Summary!I1633</f>
        <v/>
      </c>
      <c r="J1643" s="659" t="str">
        <f>[1]K_Summary!J1633</f>
        <v/>
      </c>
      <c r="K1643" s="659" t="str">
        <f>[1]K_Summary!K1633</f>
        <v/>
      </c>
      <c r="L1643" s="659" t="str">
        <f>[1]K_Summary!L1633</f>
        <v/>
      </c>
      <c r="M1643" s="659" t="str">
        <f>[1]K_Summary!M1633</f>
        <v/>
      </c>
      <c r="N1643" s="302"/>
    </row>
    <row r="1644" spans="2:14" ht="12.75" customHeight="1" x14ac:dyDescent="0.25">
      <c r="B1644" s="284"/>
      <c r="C1644" s="301">
        <f>[1]K_Summary!C1634</f>
        <v>15</v>
      </c>
      <c r="D1644" s="607" t="str">
        <f>[1]K_Summary!D1634</f>
        <v>Подинсталация с горивен показател (с риск от ИВЕ | извън МКВЕГ)</v>
      </c>
      <c r="E1644" s="607"/>
      <c r="F1644" s="607"/>
      <c r="G1644" s="607"/>
      <c r="H1644" s="607"/>
      <c r="I1644" s="659" t="str">
        <f>[1]K_Summary!I1634</f>
        <v/>
      </c>
      <c r="J1644" s="659" t="str">
        <f>[1]K_Summary!J1634</f>
        <v/>
      </c>
      <c r="K1644" s="659" t="str">
        <f>[1]K_Summary!K1634</f>
        <v/>
      </c>
      <c r="L1644" s="659" t="str">
        <f>[1]K_Summary!L1634</f>
        <v/>
      </c>
      <c r="M1644" s="659" t="str">
        <f>[1]K_Summary!M1634</f>
        <v/>
      </c>
      <c r="N1644" s="302"/>
    </row>
    <row r="1645" spans="2:14" ht="12.75" customHeight="1" x14ac:dyDescent="0.25">
      <c r="B1645" s="284"/>
      <c r="C1645" s="301">
        <f>[1]K_Summary!C1635</f>
        <v>16</v>
      </c>
      <c r="D1645" s="607" t="str">
        <f>[1]K_Summary!D1635</f>
        <v>Подинсталация с горивен показател (без риск от ИВЕ | извън МКВЕГ)</v>
      </c>
      <c r="E1645" s="607"/>
      <c r="F1645" s="607"/>
      <c r="G1645" s="607"/>
      <c r="H1645" s="607"/>
      <c r="I1645" s="659" t="str">
        <f>[1]K_Summary!I1635</f>
        <v/>
      </c>
      <c r="J1645" s="659" t="str">
        <f>[1]K_Summary!J1635</f>
        <v/>
      </c>
      <c r="K1645" s="659" t="str">
        <f>[1]K_Summary!K1635</f>
        <v/>
      </c>
      <c r="L1645" s="659" t="str">
        <f>[1]K_Summary!L1635</f>
        <v/>
      </c>
      <c r="M1645" s="659" t="str">
        <f>[1]K_Summary!M1635</f>
        <v/>
      </c>
      <c r="N1645" s="302"/>
    </row>
    <row r="1646" spans="2:14" ht="12.75" customHeight="1" x14ac:dyDescent="0.25">
      <c r="B1646" s="284"/>
      <c r="C1646" s="301">
        <f>[1]K_Summary!C1636</f>
        <v>17</v>
      </c>
      <c r="D1646" s="607" t="str">
        <f>[1]K_Summary!D1636</f>
        <v>Подинсталация с горивен показател (с риск от ИВЕ | в рамките на МКВЕГ)</v>
      </c>
      <c r="E1646" s="607"/>
      <c r="F1646" s="607"/>
      <c r="G1646" s="607"/>
      <c r="H1646" s="607"/>
      <c r="I1646" s="659" t="str">
        <f>[1]K_Summary!I1636</f>
        <v/>
      </c>
      <c r="J1646" s="659" t="str">
        <f>[1]K_Summary!J1636</f>
        <v/>
      </c>
      <c r="K1646" s="659" t="str">
        <f>[1]K_Summary!K1636</f>
        <v/>
      </c>
      <c r="L1646" s="659" t="str">
        <f>[1]K_Summary!L1636</f>
        <v/>
      </c>
      <c r="M1646" s="659" t="str">
        <f>[1]K_Summary!M1636</f>
        <v/>
      </c>
      <c r="N1646" s="302"/>
    </row>
    <row r="1647" spans="2:14" ht="12.75" customHeight="1" x14ac:dyDescent="0.25">
      <c r="B1647" s="284"/>
      <c r="C1647" s="301">
        <f>[1]K_Summary!C1637</f>
        <v>18</v>
      </c>
      <c r="D1647" s="607" t="str">
        <f>[1]K_Summary!D1637</f>
        <v>Подинсталация с емисии от процеси (с риск от ИВЕ | извън МКВЕГ)</v>
      </c>
      <c r="E1647" s="607"/>
      <c r="F1647" s="607"/>
      <c r="G1647" s="607"/>
      <c r="H1647" s="607"/>
      <c r="I1647" s="659" t="str">
        <f>[1]K_Summary!I1637</f>
        <v/>
      </c>
      <c r="J1647" s="659" t="str">
        <f>[1]K_Summary!J1637</f>
        <v/>
      </c>
      <c r="K1647" s="659" t="str">
        <f>[1]K_Summary!K1637</f>
        <v/>
      </c>
      <c r="L1647" s="659" t="str">
        <f>[1]K_Summary!L1637</f>
        <v/>
      </c>
      <c r="M1647" s="659" t="str">
        <f>[1]K_Summary!M1637</f>
        <v/>
      </c>
      <c r="N1647" s="302"/>
    </row>
    <row r="1648" spans="2:14" ht="12.75" customHeight="1" x14ac:dyDescent="0.25">
      <c r="B1648" s="284"/>
      <c r="C1648" s="301">
        <f>[1]K_Summary!C1638</f>
        <v>19</v>
      </c>
      <c r="D1648" s="607" t="str">
        <f>[1]K_Summary!D1638</f>
        <v>Подинсталация с емисии от процеси (без риск от ИВЕ | извън МКВЕГ)</v>
      </c>
      <c r="E1648" s="607"/>
      <c r="F1648" s="607"/>
      <c r="G1648" s="607"/>
      <c r="H1648" s="607"/>
      <c r="I1648" s="677" t="str">
        <f>[1]K_Summary!I1638</f>
        <v/>
      </c>
      <c r="J1648" s="677" t="str">
        <f>[1]K_Summary!J1638</f>
        <v/>
      </c>
      <c r="K1648" s="677" t="str">
        <f>[1]K_Summary!K1638</f>
        <v/>
      </c>
      <c r="L1648" s="677" t="str">
        <f>[1]K_Summary!L1638</f>
        <v/>
      </c>
      <c r="M1648" s="677" t="str">
        <f>[1]K_Summary!M1638</f>
        <v/>
      </c>
      <c r="N1648" s="302"/>
    </row>
    <row r="1649" spans="2:14" ht="12.75" customHeight="1" thickBot="1" x14ac:dyDescent="0.3">
      <c r="B1649" s="284"/>
      <c r="C1649" s="678">
        <f>[1]K_Summary!C1639</f>
        <v>20</v>
      </c>
      <c r="D1649" s="679" t="str">
        <f>[1]K_Summary!D1639</f>
        <v>Подинсталация с емисии от процеси (с риск от ИВЕ | в рамките на МКВЕГ)</v>
      </c>
      <c r="E1649" s="679"/>
      <c r="F1649" s="679"/>
      <c r="G1649" s="679"/>
      <c r="H1649" s="679"/>
      <c r="I1649" s="675" t="str">
        <f>[1]K_Summary!I1639</f>
        <v/>
      </c>
      <c r="J1649" s="675" t="str">
        <f>[1]K_Summary!J1639</f>
        <v/>
      </c>
      <c r="K1649" s="675" t="str">
        <f>[1]K_Summary!K1639</f>
        <v/>
      </c>
      <c r="L1649" s="675" t="str">
        <f>[1]K_Summary!L1639</f>
        <v/>
      </c>
      <c r="M1649" s="675" t="str">
        <f>[1]K_Summary!M1639</f>
        <v/>
      </c>
      <c r="N1649" s="302"/>
    </row>
    <row r="1650" spans="2:14" ht="12.75" customHeight="1" x14ac:dyDescent="0.25">
      <c r="B1650" s="284"/>
      <c r="C1650" s="302"/>
      <c r="D1650" s="680" t="str">
        <f>[1]K_Summary!D1640</f>
        <v>Общо предварително безплатно разпределение на квоти за емисии</v>
      </c>
      <c r="E1650" s="680"/>
      <c r="F1650" s="680"/>
      <c r="G1650" s="680"/>
      <c r="H1650" s="680"/>
      <c r="I1650" s="681" t="str">
        <f>[1]K_Summary!I1640</f>
        <v/>
      </c>
      <c r="J1650" s="681" t="str">
        <f>[1]K_Summary!J1640</f>
        <v/>
      </c>
      <c r="K1650" s="681" t="str">
        <f>[1]K_Summary!K1640</f>
        <v/>
      </c>
      <c r="L1650" s="681" t="str">
        <f>[1]K_Summary!L1640</f>
        <v/>
      </c>
      <c r="M1650" s="681" t="str">
        <f>[1]K_Summary!M1640</f>
        <v/>
      </c>
      <c r="N1650" s="302"/>
    </row>
    <row r="1651" spans="2:14" ht="12.75" customHeight="1" x14ac:dyDescent="0.25">
      <c r="B1651" s="284"/>
      <c r="C1651" s="284"/>
      <c r="D1651" s="284"/>
      <c r="E1651" s="284"/>
      <c r="F1651" s="284"/>
      <c r="G1651" s="284"/>
      <c r="H1651" s="284"/>
      <c r="I1651" s="284"/>
      <c r="J1651" s="284"/>
      <c r="K1651" s="284"/>
      <c r="L1651" s="284"/>
      <c r="M1651" s="284"/>
      <c r="N1651" s="284"/>
    </row>
    <row r="1652" spans="2:14" ht="13" thickBot="1" x14ac:dyDescent="0.3">
      <c r="C1652" s="686"/>
      <c r="D1652" s="686"/>
      <c r="E1652" s="686"/>
      <c r="F1652" s="686"/>
      <c r="G1652" s="686"/>
      <c r="H1652" s="686"/>
      <c r="I1652" s="686"/>
      <c r="J1652" s="686"/>
      <c r="K1652" s="686"/>
      <c r="L1652" s="686"/>
      <c r="M1652" s="686"/>
      <c r="N1652" s="686"/>
    </row>
    <row r="1653" spans="2:14" ht="13" thickTop="1" x14ac:dyDescent="0.25"/>
    <row r="1654" spans="2:14" ht="18" customHeight="1" x14ac:dyDescent="0.25">
      <c r="C1654" s="297"/>
      <c r="D1654" s="2259" t="str">
        <f>Translations!$B$1217</f>
        <v>Допълнителни данни от лист А на образеца с НМИ:</v>
      </c>
      <c r="E1654" s="2249"/>
      <c r="F1654" s="2249"/>
      <c r="G1654" s="2249"/>
      <c r="H1654" s="2249"/>
      <c r="I1654" s="2249"/>
      <c r="J1654" s="2249"/>
      <c r="K1654" s="2249"/>
      <c r="L1654" s="2249"/>
      <c r="M1654" s="2249"/>
      <c r="N1654" s="2249"/>
    </row>
    <row r="1655" spans="2:14" x14ac:dyDescent="0.25">
      <c r="C1655" s="284"/>
      <c r="D1655" s="284"/>
      <c r="E1655" s="284"/>
      <c r="F1655" s="284"/>
      <c r="G1655" s="284"/>
      <c r="H1655" s="284"/>
      <c r="I1655" s="284"/>
      <c r="J1655" s="284"/>
      <c r="K1655" s="284"/>
      <c r="L1655" s="284"/>
      <c r="M1655" s="336"/>
      <c r="N1655" s="336"/>
    </row>
    <row r="1656" spans="2:14" ht="15.75" customHeight="1" x14ac:dyDescent="0.35">
      <c r="C1656" s="327" t="s">
        <v>1048</v>
      </c>
      <c r="D1656" s="2245" t="str">
        <f>Translations!$B$74</f>
        <v>Идентификация на инсталацията</v>
      </c>
      <c r="E1656" s="2245"/>
      <c r="F1656" s="2245"/>
      <c r="G1656" s="2245"/>
      <c r="H1656" s="2245"/>
      <c r="I1656" s="2245"/>
      <c r="J1656" s="2245"/>
      <c r="K1656" s="2245"/>
      <c r="L1656" s="2245"/>
      <c r="M1656" s="2245"/>
      <c r="N1656" s="2245"/>
    </row>
    <row r="1657" spans="2:14" x14ac:dyDescent="0.25">
      <c r="C1657" s="284"/>
      <c r="D1657" s="284"/>
      <c r="E1657" s="284"/>
      <c r="F1657" s="284"/>
      <c r="G1657" s="284"/>
      <c r="H1657" s="284"/>
      <c r="I1657" s="284"/>
      <c r="J1657" s="284"/>
      <c r="K1657" s="284"/>
      <c r="L1657" s="284"/>
      <c r="M1657" s="336"/>
      <c r="N1657" s="336"/>
    </row>
    <row r="1658" spans="2:14" ht="12.75" customHeight="1" x14ac:dyDescent="0.25">
      <c r="C1658" s="302"/>
      <c r="D1658" s="300" t="s">
        <v>906</v>
      </c>
      <c r="E1658" s="2226" t="str">
        <f>Translations!$B$80</f>
        <v>Уникален идентификатор, предоставен от компетентния орган:</v>
      </c>
      <c r="F1658" s="2226"/>
      <c r="G1658" s="2226"/>
      <c r="H1658" s="2226"/>
      <c r="I1658" s="2317"/>
      <c r="J1658" s="2296" t="str">
        <f>IF([1]A_InstallationData!J20="","",[1]A_InstallationData!J20)</f>
        <v/>
      </c>
      <c r="K1658" s="2297"/>
      <c r="L1658" s="2297"/>
      <c r="M1658" s="2297"/>
      <c r="N1658" s="2298"/>
    </row>
    <row r="1659" spans="2:14" x14ac:dyDescent="0.25">
      <c r="C1659" s="284"/>
      <c r="D1659" s="284"/>
      <c r="E1659" s="284"/>
      <c r="F1659" s="284"/>
      <c r="G1659" s="284"/>
      <c r="H1659" s="284"/>
      <c r="I1659" s="284"/>
      <c r="J1659" s="284"/>
      <c r="K1659" s="284"/>
      <c r="L1659" s="284"/>
      <c r="M1659" s="336"/>
      <c r="N1659" s="336"/>
    </row>
    <row r="1660" spans="2:14" ht="12.75" customHeight="1" x14ac:dyDescent="0.25">
      <c r="C1660" s="302"/>
      <c r="D1660" s="300" t="s">
        <v>54</v>
      </c>
      <c r="E1660" s="2226" t="str">
        <f>Translations!$B$84</f>
        <v>Идентификационен код на инсталацията от регистъра:</v>
      </c>
      <c r="F1660" s="2249"/>
      <c r="G1660" s="2249"/>
      <c r="H1660" s="2249"/>
      <c r="I1660" s="2295"/>
      <c r="J1660" s="2296" t="str">
        <f>IF([1]A_InstallationData!J25="","",[1]A_InstallationData!J25)</f>
        <v/>
      </c>
      <c r="K1660" s="2297"/>
      <c r="L1660" s="2297"/>
      <c r="M1660" s="2297"/>
      <c r="N1660" s="2298"/>
    </row>
    <row r="1661" spans="2:14" x14ac:dyDescent="0.25">
      <c r="C1661" s="284"/>
      <c r="D1661" s="284"/>
      <c r="E1661" s="284"/>
      <c r="F1661" s="284"/>
      <c r="G1661" s="284"/>
      <c r="H1661" s="284"/>
      <c r="I1661" s="284"/>
      <c r="J1661" s="284"/>
      <c r="K1661" s="284"/>
      <c r="L1661" s="284"/>
      <c r="M1661" s="336"/>
      <c r="N1661" s="336"/>
    </row>
    <row r="1662" spans="2:14" ht="12.75" customHeight="1" x14ac:dyDescent="0.25">
      <c r="C1662" s="302"/>
      <c r="D1662" s="300" t="s">
        <v>273</v>
      </c>
      <c r="E1662" s="2226" t="str">
        <f>Translations!$B$86</f>
        <v>Информация за разрешителното за емисии на парникови газове:</v>
      </c>
      <c r="F1662" s="2249"/>
      <c r="G1662" s="2249"/>
      <c r="H1662" s="2249"/>
      <c r="I1662" s="2249"/>
      <c r="J1662" s="2249"/>
      <c r="K1662" s="2249"/>
      <c r="L1662" s="2249"/>
      <c r="M1662" s="2249"/>
      <c r="N1662" s="2249"/>
    </row>
    <row r="1663" spans="2:14" ht="12.75" customHeight="1" x14ac:dyDescent="0.25">
      <c r="C1663" s="302"/>
      <c r="D1663" s="377"/>
      <c r="E1663" s="313"/>
      <c r="F1663" s="2314" t="str">
        <f>Translations!$B$89</f>
        <v>Наименование на компетентния орган:</v>
      </c>
      <c r="G1663" s="2315"/>
      <c r="H1663" s="2315"/>
      <c r="I1663" s="2316"/>
      <c r="J1663" s="2296" t="str">
        <f>IF([1]A_InstallationData!J34="","",[1]A_InstallationData!J34)</f>
        <v/>
      </c>
      <c r="K1663" s="2297"/>
      <c r="L1663" s="2297"/>
      <c r="M1663" s="2297"/>
      <c r="N1663" s="2298"/>
    </row>
    <row r="1664" spans="2:14" ht="12.75" customHeight="1" x14ac:dyDescent="0.25">
      <c r="C1664" s="302"/>
      <c r="D1664" s="300" t="s">
        <v>489</v>
      </c>
      <c r="E1664" s="2226" t="str">
        <f>Translations!$B$100</f>
        <v>Данни за оператора:</v>
      </c>
      <c r="F1664" s="2249"/>
      <c r="G1664" s="2249"/>
      <c r="H1664" s="2249"/>
      <c r="I1664" s="2249"/>
      <c r="J1664" s="2249"/>
      <c r="K1664" s="2249"/>
      <c r="L1664" s="2249"/>
      <c r="M1664" s="2249"/>
      <c r="N1664" s="2249"/>
    </row>
    <row r="1665" spans="3:14" ht="12.75" customHeight="1" x14ac:dyDescent="0.25">
      <c r="C1665" s="302"/>
      <c r="D1665" s="377"/>
      <c r="E1665" s="313"/>
      <c r="F1665" s="687" t="s">
        <v>6</v>
      </c>
      <c r="G1665" s="2304" t="str">
        <f>Translations!$B$102</f>
        <v>Наименование на оператора:</v>
      </c>
      <c r="H1665" s="2305"/>
      <c r="I1665" s="2306"/>
      <c r="J1665" s="2307" t="str">
        <f>IF([1]A_InstallationData!J58="","",[1]A_InstallationData!J58)</f>
        <v/>
      </c>
      <c r="K1665" s="2308"/>
      <c r="L1665" s="2308"/>
      <c r="M1665" s="2308"/>
      <c r="N1665" s="2308"/>
    </row>
    <row r="1666" spans="3:14" ht="12.75" customHeight="1" x14ac:dyDescent="0.25">
      <c r="C1666" s="302"/>
      <c r="D1666" s="377"/>
      <c r="E1666" s="313"/>
      <c r="F1666" s="687" t="s">
        <v>7</v>
      </c>
      <c r="G1666" s="2309" t="str">
        <f>Translations!$B$103</f>
        <v>Улица, номер:</v>
      </c>
      <c r="H1666" s="2310"/>
      <c r="I1666" s="2311"/>
      <c r="J1666" s="2312" t="str">
        <f>IF([1]A_InstallationData!J59="","",[1]A_InstallationData!J59)</f>
        <v/>
      </c>
      <c r="K1666" s="2313"/>
      <c r="L1666" s="2313"/>
      <c r="M1666" s="2313"/>
      <c r="N1666" s="2313"/>
    </row>
    <row r="1667" spans="3:14" ht="13" x14ac:dyDescent="0.25">
      <c r="C1667" s="302"/>
      <c r="D1667" s="377"/>
      <c r="E1667" s="313"/>
      <c r="F1667" s="687" t="s">
        <v>8</v>
      </c>
      <c r="G1667" s="2309" t="str">
        <f>Translations!$B$104</f>
        <v>Пощенски код:</v>
      </c>
      <c r="H1667" s="2310"/>
      <c r="I1667" s="2311"/>
      <c r="J1667" s="2312" t="str">
        <f>IF([1]A_InstallationData!J60="","",[1]A_InstallationData!J60)</f>
        <v/>
      </c>
      <c r="K1667" s="2313"/>
      <c r="L1667" s="2313"/>
      <c r="M1667" s="2313"/>
      <c r="N1667" s="2313"/>
    </row>
    <row r="1668" spans="3:14" ht="13" x14ac:dyDescent="0.25">
      <c r="C1668" s="302"/>
      <c r="D1668" s="377"/>
      <c r="E1668" s="313"/>
      <c r="F1668" s="687" t="s">
        <v>18</v>
      </c>
      <c r="G1668" s="2309" t="str">
        <f>Translations!$B$105</f>
        <v>Град:</v>
      </c>
      <c r="H1668" s="2310"/>
      <c r="I1668" s="2311"/>
      <c r="J1668" s="2312" t="str">
        <f>IF([1]A_InstallationData!J61="","",[1]A_InstallationData!J61)</f>
        <v/>
      </c>
      <c r="K1668" s="2313"/>
      <c r="L1668" s="2313"/>
      <c r="M1668" s="2313"/>
      <c r="N1668" s="2313"/>
    </row>
    <row r="1669" spans="3:14" ht="13" x14ac:dyDescent="0.25">
      <c r="C1669" s="302"/>
      <c r="D1669" s="377"/>
      <c r="E1669" s="313"/>
      <c r="F1669" s="687" t="s">
        <v>810</v>
      </c>
      <c r="G1669" s="2309" t="str">
        <f>Translations!$B$106</f>
        <v>Държава:</v>
      </c>
      <c r="H1669" s="2310"/>
      <c r="I1669" s="2311"/>
      <c r="J1669" s="2312" t="str">
        <f>IF([1]A_InstallationData!J62="","",[1]A_InstallationData!J62)</f>
        <v/>
      </c>
      <c r="K1669" s="2313"/>
      <c r="L1669" s="2313"/>
      <c r="M1669" s="2313"/>
      <c r="N1669" s="2313"/>
    </row>
    <row r="1670" spans="3:14" ht="12.75" customHeight="1" x14ac:dyDescent="0.25">
      <c r="C1670" s="302"/>
      <c r="D1670" s="377"/>
      <c r="E1670" s="313"/>
      <c r="F1670" s="687" t="s">
        <v>811</v>
      </c>
      <c r="G1670" s="2309" t="str">
        <f>Translations!$B$107</f>
        <v>Наименование на упълномощен представител:</v>
      </c>
      <c r="H1670" s="2310"/>
      <c r="I1670" s="2311"/>
      <c r="J1670" s="2312" t="str">
        <f>IF([1]A_InstallationData!J63="","",[1]A_InstallationData!J63)</f>
        <v/>
      </c>
      <c r="K1670" s="2313"/>
      <c r="L1670" s="2313"/>
      <c r="M1670" s="2313"/>
      <c r="N1670" s="2313"/>
    </row>
    <row r="1671" spans="3:14" ht="13" x14ac:dyDescent="0.25">
      <c r="C1671" s="302"/>
      <c r="D1671" s="377"/>
      <c r="E1671" s="313"/>
      <c r="F1671" s="687" t="s">
        <v>812</v>
      </c>
      <c r="G1671" s="2309" t="str">
        <f>Translations!$B$108</f>
        <v>Електронна поща:</v>
      </c>
      <c r="H1671" s="2310"/>
      <c r="I1671" s="2311"/>
      <c r="J1671" s="2312" t="str">
        <f>IF([1]A_InstallationData!J64="","",[1]A_InstallationData!J64)</f>
        <v/>
      </c>
      <c r="K1671" s="2313"/>
      <c r="L1671" s="2313"/>
      <c r="M1671" s="2313"/>
      <c r="N1671" s="2313"/>
    </row>
    <row r="1672" spans="3:14" ht="13" x14ac:dyDescent="0.25">
      <c r="C1672" s="302"/>
      <c r="D1672" s="377"/>
      <c r="E1672" s="313"/>
      <c r="F1672" s="687" t="s">
        <v>813</v>
      </c>
      <c r="G1672" s="2309" t="str">
        <f>Translations!$B$109</f>
        <v>Телефон:</v>
      </c>
      <c r="H1672" s="2310"/>
      <c r="I1672" s="2311"/>
      <c r="J1672" s="2312" t="str">
        <f>IF([1]A_InstallationData!J65="","",[1]A_InstallationData!J65)</f>
        <v/>
      </c>
      <c r="K1672" s="2313"/>
      <c r="L1672" s="2313"/>
      <c r="M1672" s="2313"/>
      <c r="N1672" s="2313"/>
    </row>
    <row r="1673" spans="3:14" ht="13" x14ac:dyDescent="0.25">
      <c r="C1673" s="302"/>
      <c r="D1673" s="377"/>
      <c r="E1673" s="313"/>
      <c r="F1673" s="687" t="s">
        <v>814</v>
      </c>
      <c r="G1673" s="2318" t="str">
        <f>Translations!$B$110</f>
        <v>Факс:</v>
      </c>
      <c r="H1673" s="2319"/>
      <c r="I1673" s="2320"/>
      <c r="J1673" s="2321" t="str">
        <f>IF([1]A_InstallationData!J66="","",[1]A_InstallationData!J66)</f>
        <v/>
      </c>
      <c r="K1673" s="2322"/>
      <c r="L1673" s="2322"/>
      <c r="M1673" s="2322"/>
      <c r="N1673" s="2322"/>
    </row>
    <row r="1674" spans="3:14" x14ac:dyDescent="0.25">
      <c r="C1674" s="284"/>
      <c r="D1674" s="284"/>
      <c r="E1674" s="284"/>
      <c r="F1674" s="284"/>
      <c r="G1674" s="284"/>
      <c r="H1674" s="284"/>
      <c r="I1674" s="284"/>
      <c r="J1674" s="284"/>
      <c r="K1674" s="284"/>
      <c r="L1674" s="284"/>
      <c r="M1674" s="336"/>
      <c r="N1674" s="336"/>
    </row>
    <row r="1675" spans="3:14" ht="12.75" customHeight="1" x14ac:dyDescent="0.25">
      <c r="C1675" s="302"/>
      <c r="D1675" s="300" t="s">
        <v>490</v>
      </c>
      <c r="E1675" s="2226" t="str">
        <f>Translations!$B$111</f>
        <v>Адрес на инсталацията:</v>
      </c>
      <c r="F1675" s="2249"/>
      <c r="G1675" s="2249"/>
      <c r="H1675" s="2249"/>
      <c r="I1675" s="2249"/>
      <c r="J1675" s="2249"/>
      <c r="K1675" s="2249"/>
      <c r="L1675" s="2249"/>
      <c r="M1675" s="2249"/>
      <c r="N1675" s="2249"/>
    </row>
    <row r="1676" spans="3:14" ht="12.75" customHeight="1" x14ac:dyDescent="0.25">
      <c r="C1676" s="302"/>
      <c r="D1676" s="377"/>
      <c r="E1676" s="313"/>
      <c r="F1676" s="687" t="s">
        <v>6</v>
      </c>
      <c r="G1676" s="2304" t="str">
        <f>Translations!$B$103</f>
        <v>Улица, номер:</v>
      </c>
      <c r="H1676" s="2305"/>
      <c r="I1676" s="2306"/>
      <c r="J1676" s="2307" t="str">
        <f>IF([1]A_InstallationData!J69="","",[1]A_InstallationData!J69)</f>
        <v/>
      </c>
      <c r="K1676" s="2308"/>
      <c r="L1676" s="2308"/>
      <c r="M1676" s="2308"/>
      <c r="N1676" s="2308"/>
    </row>
    <row r="1677" spans="3:14" ht="13" x14ac:dyDescent="0.25">
      <c r="C1677" s="302"/>
      <c r="D1677" s="377"/>
      <c r="E1677" s="313"/>
      <c r="F1677" s="687" t="s">
        <v>7</v>
      </c>
      <c r="G1677" s="2309" t="str">
        <f>Translations!$B$104</f>
        <v>Пощенски код:</v>
      </c>
      <c r="H1677" s="2310"/>
      <c r="I1677" s="2311"/>
      <c r="J1677" s="2312" t="str">
        <f>IF([1]A_InstallationData!J70="","",[1]A_InstallationData!J70)</f>
        <v/>
      </c>
      <c r="K1677" s="2313"/>
      <c r="L1677" s="2313"/>
      <c r="M1677" s="2313"/>
      <c r="N1677" s="2313"/>
    </row>
    <row r="1678" spans="3:14" ht="13" x14ac:dyDescent="0.25">
      <c r="C1678" s="302"/>
      <c r="D1678" s="377"/>
      <c r="E1678" s="313"/>
      <c r="F1678" s="687" t="s">
        <v>8</v>
      </c>
      <c r="G1678" s="2309" t="str">
        <f>Translations!$B$105</f>
        <v>Град:</v>
      </c>
      <c r="H1678" s="2310"/>
      <c r="I1678" s="2311"/>
      <c r="J1678" s="2312" t="str">
        <f>IF([1]A_InstallationData!J71="","",[1]A_InstallationData!J71)</f>
        <v/>
      </c>
      <c r="K1678" s="2313"/>
      <c r="L1678" s="2313"/>
      <c r="M1678" s="2313"/>
      <c r="N1678" s="2313"/>
    </row>
    <row r="1679" spans="3:14" ht="13" x14ac:dyDescent="0.25">
      <c r="C1679" s="302"/>
      <c r="D1679" s="377"/>
      <c r="E1679" s="313"/>
      <c r="F1679" s="687" t="s">
        <v>18</v>
      </c>
      <c r="G1679" s="2318" t="str">
        <f>Translations!$B$106</f>
        <v>Държава:</v>
      </c>
      <c r="H1679" s="2319"/>
      <c r="I1679" s="2320"/>
      <c r="J1679" s="2321" t="str">
        <f>IF([1]A_InstallationData!J72="","",[1]A_InstallationData!J72)</f>
        <v/>
      </c>
      <c r="K1679" s="2322"/>
      <c r="L1679" s="2322"/>
      <c r="M1679" s="2322"/>
      <c r="N1679" s="2322"/>
    </row>
    <row r="1680" spans="3:14" ht="15" customHeight="1" x14ac:dyDescent="0.3">
      <c r="C1680" s="357">
        <v>2</v>
      </c>
      <c r="D1680" s="2323" t="str">
        <f>Translations!$B$112</f>
        <v>Лица за връзка:</v>
      </c>
      <c r="E1680" s="2249"/>
      <c r="F1680" s="2249"/>
      <c r="G1680" s="2249"/>
      <c r="H1680" s="2249"/>
      <c r="I1680" s="2249"/>
      <c r="J1680" s="2249"/>
      <c r="K1680" s="2249"/>
      <c r="L1680" s="2249"/>
      <c r="M1680" s="2249"/>
      <c r="N1680" s="2249"/>
    </row>
    <row r="1681" spans="3:14" ht="12.75" customHeight="1" x14ac:dyDescent="0.25">
      <c r="C1681" s="302"/>
      <c r="D1681" s="300" t="s">
        <v>408</v>
      </c>
      <c r="E1681" s="2226" t="str">
        <f>Translations!$B$114</f>
        <v>Упълномощен представител на оператора, който отговаря за инсталацията:</v>
      </c>
      <c r="F1681" s="2249"/>
      <c r="G1681" s="2249"/>
      <c r="H1681" s="2249"/>
      <c r="I1681" s="2249"/>
      <c r="J1681" s="2249"/>
      <c r="K1681" s="2249"/>
      <c r="L1681" s="2249"/>
      <c r="M1681" s="2249"/>
      <c r="N1681" s="2249"/>
    </row>
    <row r="1682" spans="3:14" ht="13" x14ac:dyDescent="0.25">
      <c r="C1682" s="302"/>
      <c r="D1682" s="377"/>
      <c r="E1682" s="313"/>
      <c r="F1682" s="687" t="s">
        <v>6</v>
      </c>
      <c r="G1682" s="2304" t="str">
        <f>Translations!$B$115</f>
        <v>Име:</v>
      </c>
      <c r="H1682" s="2305"/>
      <c r="I1682" s="2306"/>
      <c r="J1682" s="2307" t="str">
        <f>IF([1]A_InstallationData!J78="","",[1]A_InstallationData!J78)</f>
        <v/>
      </c>
      <c r="K1682" s="2308"/>
      <c r="L1682" s="2308"/>
      <c r="M1682" s="2308"/>
      <c r="N1682" s="2308"/>
    </row>
    <row r="1683" spans="3:14" ht="13" x14ac:dyDescent="0.25">
      <c r="C1683" s="302"/>
      <c r="D1683" s="377"/>
      <c r="E1683" s="313"/>
      <c r="F1683" s="687" t="s">
        <v>7</v>
      </c>
      <c r="G1683" s="2309" t="str">
        <f>Translations!$B$108</f>
        <v>Електронна поща:</v>
      </c>
      <c r="H1683" s="2310"/>
      <c r="I1683" s="2311"/>
      <c r="J1683" s="2312" t="str">
        <f>IF([1]A_InstallationData!J79="","",[1]A_InstallationData!J79)</f>
        <v/>
      </c>
      <c r="K1683" s="2313"/>
      <c r="L1683" s="2313"/>
      <c r="M1683" s="2313"/>
      <c r="N1683" s="2313"/>
    </row>
    <row r="1684" spans="3:14" ht="13" x14ac:dyDescent="0.25">
      <c r="C1684" s="302"/>
      <c r="D1684" s="377"/>
      <c r="E1684" s="313"/>
      <c r="F1684" s="687" t="s">
        <v>8</v>
      </c>
      <c r="G1684" s="2309" t="str">
        <f>Translations!$B$109</f>
        <v>Телефон:</v>
      </c>
      <c r="H1684" s="2310"/>
      <c r="I1684" s="2311"/>
      <c r="J1684" s="2312" t="str">
        <f>IF([1]A_InstallationData!J80="","",[1]A_InstallationData!J80)</f>
        <v/>
      </c>
      <c r="K1684" s="2313"/>
      <c r="L1684" s="2313"/>
      <c r="M1684" s="2313"/>
      <c r="N1684" s="2313"/>
    </row>
    <row r="1685" spans="3:14" ht="13" x14ac:dyDescent="0.25">
      <c r="C1685" s="302"/>
      <c r="D1685" s="377"/>
      <c r="E1685" s="313"/>
      <c r="F1685" s="687" t="s">
        <v>18</v>
      </c>
      <c r="G1685" s="2318" t="str">
        <f>Translations!$B$110</f>
        <v>Факс:</v>
      </c>
      <c r="H1685" s="2319"/>
      <c r="I1685" s="2320"/>
      <c r="J1685" s="2321" t="str">
        <f>IF([1]A_InstallationData!J81="","",[1]A_InstallationData!J81)</f>
        <v/>
      </c>
      <c r="K1685" s="2322"/>
      <c r="L1685" s="2322"/>
      <c r="M1685" s="2322"/>
      <c r="N1685" s="2322"/>
    </row>
    <row r="1686" spans="3:14" x14ac:dyDescent="0.25">
      <c r="C1686" s="284"/>
      <c r="D1686" s="284"/>
      <c r="E1686" s="284"/>
      <c r="F1686" s="284"/>
      <c r="G1686" s="284"/>
      <c r="H1686" s="284"/>
      <c r="I1686" s="284"/>
      <c r="J1686" s="284"/>
      <c r="K1686" s="284"/>
      <c r="L1686" s="284"/>
      <c r="M1686" s="336"/>
      <c r="N1686" s="336"/>
    </row>
    <row r="1687" spans="3:14" ht="15.75" customHeight="1" x14ac:dyDescent="0.35">
      <c r="C1687" s="327" t="s">
        <v>10</v>
      </c>
      <c r="D1687" s="2245" t="str">
        <f>Translations!$B$159</f>
        <v>Списък на техническите връзки</v>
      </c>
      <c r="E1687" s="2245"/>
      <c r="F1687" s="2245"/>
      <c r="G1687" s="2245"/>
      <c r="H1687" s="2245"/>
      <c r="I1687" s="2245"/>
      <c r="J1687" s="2245"/>
      <c r="K1687" s="2245"/>
      <c r="L1687" s="2245"/>
      <c r="M1687" s="2245"/>
      <c r="N1687" s="2245"/>
    </row>
    <row r="1688" spans="3:14" x14ac:dyDescent="0.25">
      <c r="C1688" s="284"/>
      <c r="D1688" s="284"/>
      <c r="E1688" s="284"/>
      <c r="F1688" s="284"/>
      <c r="G1688" s="284"/>
      <c r="H1688" s="284"/>
      <c r="I1688" s="284"/>
      <c r="J1688" s="284"/>
      <c r="K1688" s="284"/>
      <c r="L1688" s="284"/>
      <c r="M1688" s="336"/>
      <c r="N1688" s="336"/>
    </row>
    <row r="1689" spans="3:14" ht="12.75" customHeight="1" x14ac:dyDescent="0.25">
      <c r="C1689" s="302"/>
      <c r="D1689" s="300" t="s">
        <v>408</v>
      </c>
      <c r="E1689" s="2226" t="str">
        <f>Translations!$B$160</f>
        <v>Моля, въведете тук информацията, необходима за определяне на техническите връзки на Вашата инсталация:</v>
      </c>
      <c r="F1689" s="2249"/>
      <c r="G1689" s="2249"/>
      <c r="H1689" s="2249"/>
      <c r="I1689" s="2249"/>
      <c r="J1689" s="2249"/>
      <c r="K1689" s="2249"/>
      <c r="L1689" s="2249"/>
      <c r="M1689" s="2249"/>
      <c r="N1689" s="2249"/>
    </row>
    <row r="1690" spans="3:14" ht="12.75" customHeight="1" x14ac:dyDescent="0.3">
      <c r="C1690" s="302"/>
      <c r="D1690" s="301"/>
      <c r="E1690" s="688" t="str">
        <f>Translations!$B$151</f>
        <v>№</v>
      </c>
      <c r="F1690" s="2324" t="str">
        <f>Translations!$B$182</f>
        <v>Наименование на инсталацията или партньора</v>
      </c>
      <c r="G1690" s="2325"/>
      <c r="H1690" s="2326"/>
      <c r="I1690" s="2324" t="str">
        <f>Translations!$B$183</f>
        <v>Вид партньор</v>
      </c>
      <c r="J1690" s="2326"/>
      <c r="K1690" s="2324" t="str">
        <f>Translations!$B$184</f>
        <v>Вид връзка</v>
      </c>
      <c r="L1690" s="2326"/>
      <c r="M1690" s="2324" t="str">
        <f>Translations!$B$185</f>
        <v>Посока на потока</v>
      </c>
      <c r="N1690" s="2325"/>
    </row>
    <row r="1691" spans="3:14" x14ac:dyDescent="0.25">
      <c r="C1691" s="302"/>
      <c r="D1691" s="301"/>
      <c r="E1691" s="689">
        <v>1</v>
      </c>
      <c r="F1691" s="2307" t="str">
        <f>IF([1]A_InstallationData!F336="","",[1]A_InstallationData!F336)</f>
        <v/>
      </c>
      <c r="G1691" s="2308"/>
      <c r="H1691" s="2333"/>
      <c r="I1691" s="2307" t="str">
        <f>IF([1]A_InstallationData!I336="","",[1]A_InstallationData!I336)</f>
        <v/>
      </c>
      <c r="J1691" s="2334"/>
      <c r="K1691" s="2307" t="str">
        <f>IF([1]A_InstallationData!K336="","",[1]A_InstallationData!K336)</f>
        <v/>
      </c>
      <c r="L1691" s="2333"/>
      <c r="M1691" s="2335" t="str">
        <f>IF([1]A_InstallationData!M336="","",[1]A_InstallationData!M336)</f>
        <v/>
      </c>
      <c r="N1691" s="2336"/>
    </row>
    <row r="1692" spans="3:14" x14ac:dyDescent="0.25">
      <c r="C1692" s="302"/>
      <c r="D1692" s="301"/>
      <c r="E1692" s="690">
        <v>2</v>
      </c>
      <c r="F1692" s="2327" t="str">
        <f>IF([1]A_InstallationData!F337="","",[1]A_InstallationData!F337)</f>
        <v/>
      </c>
      <c r="G1692" s="2328"/>
      <c r="H1692" s="2329"/>
      <c r="I1692" s="2327" t="str">
        <f>IF([1]A_InstallationData!I337="","",[1]A_InstallationData!I337)</f>
        <v/>
      </c>
      <c r="J1692" s="2330"/>
      <c r="K1692" s="2327" t="str">
        <f>IF([1]A_InstallationData!K337="","",[1]A_InstallationData!K337)</f>
        <v/>
      </c>
      <c r="L1692" s="2329"/>
      <c r="M1692" s="2331" t="str">
        <f>IF([1]A_InstallationData!M337="","",[1]A_InstallationData!M337)</f>
        <v/>
      </c>
      <c r="N1692" s="2332"/>
    </row>
    <row r="1693" spans="3:14" x14ac:dyDescent="0.25">
      <c r="C1693" s="302"/>
      <c r="D1693" s="301"/>
      <c r="E1693" s="690">
        <v>3</v>
      </c>
      <c r="F1693" s="2327" t="str">
        <f>IF([1]A_InstallationData!F338="","",[1]A_InstallationData!F338)</f>
        <v/>
      </c>
      <c r="G1693" s="2328"/>
      <c r="H1693" s="2329"/>
      <c r="I1693" s="2327" t="str">
        <f>IF([1]A_InstallationData!I338="","",[1]A_InstallationData!I338)</f>
        <v/>
      </c>
      <c r="J1693" s="2330"/>
      <c r="K1693" s="2327" t="str">
        <f>IF([1]A_InstallationData!K338="","",[1]A_InstallationData!K338)</f>
        <v/>
      </c>
      <c r="L1693" s="2329"/>
      <c r="M1693" s="2331" t="str">
        <f>IF([1]A_InstallationData!M338="","",[1]A_InstallationData!M338)</f>
        <v/>
      </c>
      <c r="N1693" s="2332"/>
    </row>
    <row r="1694" spans="3:14" ht="12.75" customHeight="1" x14ac:dyDescent="0.25">
      <c r="C1694" s="302"/>
      <c r="D1694" s="301"/>
      <c r="E1694" s="690">
        <v>4</v>
      </c>
      <c r="F1694" s="2327" t="str">
        <f>IF([1]A_InstallationData!F339="","",[1]A_InstallationData!F339)</f>
        <v/>
      </c>
      <c r="G1694" s="2328"/>
      <c r="H1694" s="2329"/>
      <c r="I1694" s="2327" t="str">
        <f>IF([1]A_InstallationData!I339="","",[1]A_InstallationData!I339)</f>
        <v/>
      </c>
      <c r="J1694" s="2330"/>
      <c r="K1694" s="2327" t="str">
        <f>IF([1]A_InstallationData!K339="","",[1]A_InstallationData!K339)</f>
        <v/>
      </c>
      <c r="L1694" s="2329"/>
      <c r="M1694" s="2331" t="str">
        <f>IF([1]A_InstallationData!M339="","",[1]A_InstallationData!M339)</f>
        <v/>
      </c>
      <c r="N1694" s="2332"/>
    </row>
    <row r="1695" spans="3:14" x14ac:dyDescent="0.25">
      <c r="C1695" s="302"/>
      <c r="D1695" s="301"/>
      <c r="E1695" s="690">
        <v>5</v>
      </c>
      <c r="F1695" s="2327" t="str">
        <f>IF([1]A_InstallationData!F340="","",[1]A_InstallationData!F340)</f>
        <v/>
      </c>
      <c r="G1695" s="2328"/>
      <c r="H1695" s="2329"/>
      <c r="I1695" s="2327" t="str">
        <f>IF([1]A_InstallationData!I340="","",[1]A_InstallationData!I340)</f>
        <v/>
      </c>
      <c r="J1695" s="2330"/>
      <c r="K1695" s="2327" t="str">
        <f>IF([1]A_InstallationData!K340="","",[1]A_InstallationData!K340)</f>
        <v/>
      </c>
      <c r="L1695" s="2329"/>
      <c r="M1695" s="2331" t="str">
        <f>IF([1]A_InstallationData!M340="","",[1]A_InstallationData!M340)</f>
        <v/>
      </c>
      <c r="N1695" s="2332"/>
    </row>
    <row r="1696" spans="3:14" x14ac:dyDescent="0.25">
      <c r="C1696" s="302"/>
      <c r="D1696" s="301"/>
      <c r="E1696" s="690">
        <v>6</v>
      </c>
      <c r="F1696" s="2327" t="str">
        <f>IF([1]A_InstallationData!F341="","",[1]A_InstallationData!F341)</f>
        <v/>
      </c>
      <c r="G1696" s="2328"/>
      <c r="H1696" s="2329"/>
      <c r="I1696" s="2327" t="str">
        <f>IF([1]A_InstallationData!I341="","",[1]A_InstallationData!I341)</f>
        <v/>
      </c>
      <c r="J1696" s="2330"/>
      <c r="K1696" s="2327" t="str">
        <f>IF([1]A_InstallationData!K341="","",[1]A_InstallationData!K341)</f>
        <v/>
      </c>
      <c r="L1696" s="2329"/>
      <c r="M1696" s="2331" t="str">
        <f>IF([1]A_InstallationData!M341="","",[1]A_InstallationData!M341)</f>
        <v/>
      </c>
      <c r="N1696" s="2332"/>
    </row>
    <row r="1697" spans="3:14" x14ac:dyDescent="0.25">
      <c r="C1697" s="302"/>
      <c r="D1697" s="301"/>
      <c r="E1697" s="690">
        <v>7</v>
      </c>
      <c r="F1697" s="2327" t="str">
        <f>IF([1]A_InstallationData!F342="","",[1]A_InstallationData!F342)</f>
        <v/>
      </c>
      <c r="G1697" s="2328"/>
      <c r="H1697" s="2329"/>
      <c r="I1697" s="2327" t="str">
        <f>IF([1]A_InstallationData!I342="","",[1]A_InstallationData!I342)</f>
        <v/>
      </c>
      <c r="J1697" s="2330"/>
      <c r="K1697" s="2327" t="str">
        <f>IF([1]A_InstallationData!K342="","",[1]A_InstallationData!K342)</f>
        <v/>
      </c>
      <c r="L1697" s="2329"/>
      <c r="M1697" s="2331" t="str">
        <f>IF([1]A_InstallationData!M342="","",[1]A_InstallationData!M342)</f>
        <v/>
      </c>
      <c r="N1697" s="2332"/>
    </row>
    <row r="1698" spans="3:14" x14ac:dyDescent="0.25">
      <c r="C1698" s="302"/>
      <c r="D1698" s="301"/>
      <c r="E1698" s="690">
        <v>8</v>
      </c>
      <c r="F1698" s="2327" t="str">
        <f>IF([1]A_InstallationData!F343="","",[1]A_InstallationData!F343)</f>
        <v/>
      </c>
      <c r="G1698" s="2328"/>
      <c r="H1698" s="2329"/>
      <c r="I1698" s="2327" t="str">
        <f>IF([1]A_InstallationData!I343="","",[1]A_InstallationData!I343)</f>
        <v/>
      </c>
      <c r="J1698" s="2330"/>
      <c r="K1698" s="2327" t="str">
        <f>IF([1]A_InstallationData!K343="","",[1]A_InstallationData!K343)</f>
        <v/>
      </c>
      <c r="L1698" s="2329"/>
      <c r="M1698" s="2331" t="str">
        <f>IF([1]A_InstallationData!M343="","",[1]A_InstallationData!M343)</f>
        <v/>
      </c>
      <c r="N1698" s="2332"/>
    </row>
    <row r="1699" spans="3:14" x14ac:dyDescent="0.25">
      <c r="C1699" s="302"/>
      <c r="D1699" s="301"/>
      <c r="E1699" s="690">
        <v>9</v>
      </c>
      <c r="F1699" s="2327" t="str">
        <f>IF([1]A_InstallationData!F344="","",[1]A_InstallationData!F344)</f>
        <v/>
      </c>
      <c r="G1699" s="2328"/>
      <c r="H1699" s="2329"/>
      <c r="I1699" s="2327" t="str">
        <f>IF([1]A_InstallationData!I344="","",[1]A_InstallationData!I344)</f>
        <v/>
      </c>
      <c r="J1699" s="2330"/>
      <c r="K1699" s="2327" t="str">
        <f>IF([1]A_InstallationData!K344="","",[1]A_InstallationData!K344)</f>
        <v/>
      </c>
      <c r="L1699" s="2329"/>
      <c r="M1699" s="2331" t="str">
        <f>IF([1]A_InstallationData!M344="","",[1]A_InstallationData!M344)</f>
        <v/>
      </c>
      <c r="N1699" s="2332"/>
    </row>
    <row r="1700" spans="3:14" x14ac:dyDescent="0.25">
      <c r="C1700" s="302"/>
      <c r="D1700" s="301"/>
      <c r="E1700" s="691">
        <v>10</v>
      </c>
      <c r="F1700" s="2337" t="str">
        <f>IF([1]A_InstallationData!F345="","",[1]A_InstallationData!F345)</f>
        <v/>
      </c>
      <c r="G1700" s="2338"/>
      <c r="H1700" s="2339"/>
      <c r="I1700" s="2337" t="str">
        <f>IF([1]A_InstallationData!I345="","",[1]A_InstallationData!I345)</f>
        <v/>
      </c>
      <c r="J1700" s="2340"/>
      <c r="K1700" s="2337" t="str">
        <f>IF([1]A_InstallationData!K345="","",[1]A_InstallationData!K345)</f>
        <v/>
      </c>
      <c r="L1700" s="2339"/>
      <c r="M1700" s="2341" t="str">
        <f>IF([1]A_InstallationData!M345="","",[1]A_InstallationData!M345)</f>
        <v/>
      </c>
      <c r="N1700" s="2342"/>
    </row>
    <row r="1701" spans="3:14" x14ac:dyDescent="0.25">
      <c r="C1701" s="302"/>
      <c r="D1701" s="301"/>
      <c r="E1701" s="407"/>
      <c r="F1701" s="407"/>
      <c r="G1701" s="407"/>
      <c r="H1701" s="407"/>
      <c r="I1701" s="407"/>
      <c r="J1701" s="407"/>
      <c r="K1701" s="407"/>
      <c r="L1701" s="407"/>
      <c r="M1701" s="407"/>
      <c r="N1701" s="407"/>
    </row>
    <row r="1702" spans="3:14" ht="12.75" customHeight="1" x14ac:dyDescent="0.25">
      <c r="C1702" s="302"/>
      <c r="D1702" s="300" t="s">
        <v>901</v>
      </c>
      <c r="E1702" s="2226" t="str">
        <f>Translations!$B$186</f>
        <v>Моля въведете тук допълнителна информация относно тези свързани инсталации, ако това е необходимо:</v>
      </c>
      <c r="F1702" s="2249"/>
      <c r="G1702" s="2249"/>
      <c r="H1702" s="2249"/>
      <c r="I1702" s="2249"/>
      <c r="J1702" s="2249"/>
      <c r="K1702" s="2249"/>
      <c r="L1702" s="2249"/>
      <c r="M1702" s="2249"/>
      <c r="N1702" s="2249"/>
    </row>
    <row r="1703" spans="3:14" ht="12.75" customHeight="1" x14ac:dyDescent="0.3">
      <c r="C1703" s="302"/>
      <c r="D1703" s="302"/>
      <c r="E1703" s="692" t="str">
        <f>Translations!$B$151</f>
        <v>№</v>
      </c>
      <c r="F1703" s="2324" t="str">
        <f>Translations!$B$189</f>
        <v>Идентификатор на инсталацията, използван в регистъра</v>
      </c>
      <c r="G1703" s="2326"/>
      <c r="H1703" s="2324" t="str">
        <f>Translations!$B$190</f>
        <v>Име на лицето за контакти</v>
      </c>
      <c r="I1703" s="2326"/>
      <c r="J1703" s="2345" t="str">
        <f>Translations!$B$191</f>
        <v>Електронна поща</v>
      </c>
      <c r="K1703" s="2325"/>
      <c r="L1703" s="2326"/>
      <c r="M1703" s="2324" t="str">
        <f>Translations!$B$192</f>
        <v>телефонен номер</v>
      </c>
      <c r="N1703" s="2346"/>
    </row>
    <row r="1704" spans="3:14" ht="13" x14ac:dyDescent="0.25">
      <c r="C1704" s="302"/>
      <c r="D1704" s="302"/>
      <c r="E1704" s="693">
        <v>1</v>
      </c>
      <c r="F1704" s="2347" t="str">
        <f>IF([1]A_InstallationData!F351="","",[1]A_InstallationData!F351)</f>
        <v/>
      </c>
      <c r="G1704" s="2348"/>
      <c r="H1704" s="2307" t="str">
        <f>IF([1]A_InstallationData!H351="","",[1]A_InstallationData!H351)</f>
        <v/>
      </c>
      <c r="I1704" s="2333"/>
      <c r="J1704" s="2307" t="str">
        <f>IF([1]A_InstallationData!J351="","",[1]A_InstallationData!J351)</f>
        <v/>
      </c>
      <c r="K1704" s="2308"/>
      <c r="L1704" s="2333"/>
      <c r="M1704" s="2307" t="str">
        <f>IF([1]A_InstallationData!M351="","",[1]A_InstallationData!M351)</f>
        <v/>
      </c>
      <c r="N1704" s="2308"/>
    </row>
    <row r="1705" spans="3:14" ht="13" x14ac:dyDescent="0.25">
      <c r="C1705" s="302"/>
      <c r="D1705" s="302"/>
      <c r="E1705" s="690">
        <v>2</v>
      </c>
      <c r="F1705" s="2343" t="str">
        <f>IF([1]A_InstallationData!F352="","",[1]A_InstallationData!F352)</f>
        <v/>
      </c>
      <c r="G1705" s="2344"/>
      <c r="H1705" s="2327" t="str">
        <f>IF([1]A_InstallationData!H352="","",[1]A_InstallationData!H352)</f>
        <v/>
      </c>
      <c r="I1705" s="2329"/>
      <c r="J1705" s="2327" t="str">
        <f>IF([1]A_InstallationData!J352="","",[1]A_InstallationData!J352)</f>
        <v/>
      </c>
      <c r="K1705" s="2328"/>
      <c r="L1705" s="2329"/>
      <c r="M1705" s="2312" t="str">
        <f>IF([1]A_InstallationData!M352="","",[1]A_InstallationData!M352)</f>
        <v/>
      </c>
      <c r="N1705" s="2313"/>
    </row>
    <row r="1706" spans="3:14" ht="13" x14ac:dyDescent="0.25">
      <c r="C1706" s="302"/>
      <c r="D1706" s="302"/>
      <c r="E1706" s="690">
        <v>3</v>
      </c>
      <c r="F1706" s="2343" t="str">
        <f>IF([1]A_InstallationData!F353="","",[1]A_InstallationData!F353)</f>
        <v/>
      </c>
      <c r="G1706" s="2344"/>
      <c r="H1706" s="2327" t="str">
        <f>IF([1]A_InstallationData!H353="","",[1]A_InstallationData!H353)</f>
        <v/>
      </c>
      <c r="I1706" s="2329"/>
      <c r="J1706" s="2327" t="str">
        <f>IF([1]A_InstallationData!J353="","",[1]A_InstallationData!J353)</f>
        <v/>
      </c>
      <c r="K1706" s="2328"/>
      <c r="L1706" s="2329"/>
      <c r="M1706" s="2312" t="str">
        <f>IF([1]A_InstallationData!M353="","",[1]A_InstallationData!M353)</f>
        <v/>
      </c>
      <c r="N1706" s="2313"/>
    </row>
    <row r="1707" spans="3:14" ht="13" x14ac:dyDescent="0.25">
      <c r="C1707" s="302"/>
      <c r="D1707" s="302"/>
      <c r="E1707" s="690">
        <v>4</v>
      </c>
      <c r="F1707" s="2343" t="str">
        <f>IF([1]A_InstallationData!F354="","",[1]A_InstallationData!F354)</f>
        <v/>
      </c>
      <c r="G1707" s="2344"/>
      <c r="H1707" s="2327" t="str">
        <f>IF([1]A_InstallationData!H354="","",[1]A_InstallationData!H354)</f>
        <v/>
      </c>
      <c r="I1707" s="2329"/>
      <c r="J1707" s="2327" t="str">
        <f>IF([1]A_InstallationData!J354="","",[1]A_InstallationData!J354)</f>
        <v/>
      </c>
      <c r="K1707" s="2328"/>
      <c r="L1707" s="2329"/>
      <c r="M1707" s="2312" t="str">
        <f>IF([1]A_InstallationData!M354="","",[1]A_InstallationData!M354)</f>
        <v/>
      </c>
      <c r="N1707" s="2313"/>
    </row>
    <row r="1708" spans="3:14" ht="13" x14ac:dyDescent="0.25">
      <c r="C1708" s="302"/>
      <c r="D1708" s="302"/>
      <c r="E1708" s="690">
        <v>5</v>
      </c>
      <c r="F1708" s="2343" t="str">
        <f>IF([1]A_InstallationData!F355="","",[1]A_InstallationData!F355)</f>
        <v/>
      </c>
      <c r="G1708" s="2344"/>
      <c r="H1708" s="2327" t="str">
        <f>IF([1]A_InstallationData!H355="","",[1]A_InstallationData!H355)</f>
        <v/>
      </c>
      <c r="I1708" s="2329"/>
      <c r="J1708" s="2327" t="str">
        <f>IF([1]A_InstallationData!J355="","",[1]A_InstallationData!J355)</f>
        <v/>
      </c>
      <c r="K1708" s="2328"/>
      <c r="L1708" s="2329"/>
      <c r="M1708" s="2312" t="str">
        <f>IF([1]A_InstallationData!M355="","",[1]A_InstallationData!M355)</f>
        <v/>
      </c>
      <c r="N1708" s="2313"/>
    </row>
    <row r="1709" spans="3:14" ht="13" x14ac:dyDescent="0.25">
      <c r="C1709" s="302"/>
      <c r="D1709" s="302"/>
      <c r="E1709" s="690">
        <v>6</v>
      </c>
      <c r="F1709" s="2343" t="str">
        <f>IF([1]A_InstallationData!F356="","",[1]A_InstallationData!F356)</f>
        <v/>
      </c>
      <c r="G1709" s="2344"/>
      <c r="H1709" s="2327" t="str">
        <f>IF([1]A_InstallationData!H356="","",[1]A_InstallationData!H356)</f>
        <v/>
      </c>
      <c r="I1709" s="2329"/>
      <c r="J1709" s="2327" t="str">
        <f>IF([1]A_InstallationData!J356="","",[1]A_InstallationData!J356)</f>
        <v/>
      </c>
      <c r="K1709" s="2328"/>
      <c r="L1709" s="2329"/>
      <c r="M1709" s="2312" t="str">
        <f>IF([1]A_InstallationData!M356="","",[1]A_InstallationData!M356)</f>
        <v/>
      </c>
      <c r="N1709" s="2313"/>
    </row>
    <row r="1710" spans="3:14" ht="13" x14ac:dyDescent="0.25">
      <c r="C1710" s="302"/>
      <c r="D1710" s="302"/>
      <c r="E1710" s="690">
        <v>7</v>
      </c>
      <c r="F1710" s="2343" t="str">
        <f>IF([1]A_InstallationData!F357="","",[1]A_InstallationData!F357)</f>
        <v/>
      </c>
      <c r="G1710" s="2344"/>
      <c r="H1710" s="2327" t="str">
        <f>IF([1]A_InstallationData!H357="","",[1]A_InstallationData!H357)</f>
        <v/>
      </c>
      <c r="I1710" s="2329"/>
      <c r="J1710" s="2327" t="str">
        <f>IF([1]A_InstallationData!J357="","",[1]A_InstallationData!J357)</f>
        <v/>
      </c>
      <c r="K1710" s="2328"/>
      <c r="L1710" s="2329"/>
      <c r="M1710" s="2312" t="str">
        <f>IF([1]A_InstallationData!M357="","",[1]A_InstallationData!M357)</f>
        <v/>
      </c>
      <c r="N1710" s="2313"/>
    </row>
    <row r="1711" spans="3:14" ht="13" x14ac:dyDescent="0.25">
      <c r="C1711" s="302"/>
      <c r="D1711" s="302"/>
      <c r="E1711" s="690">
        <v>8</v>
      </c>
      <c r="F1711" s="2343" t="str">
        <f>IF([1]A_InstallationData!F358="","",[1]A_InstallationData!F358)</f>
        <v/>
      </c>
      <c r="G1711" s="2344"/>
      <c r="H1711" s="2327" t="str">
        <f>IF([1]A_InstallationData!H358="","",[1]A_InstallationData!H358)</f>
        <v/>
      </c>
      <c r="I1711" s="2329"/>
      <c r="J1711" s="2327" t="str">
        <f>IF([1]A_InstallationData!J358="","",[1]A_InstallationData!J358)</f>
        <v/>
      </c>
      <c r="K1711" s="2328"/>
      <c r="L1711" s="2329"/>
      <c r="M1711" s="2312" t="str">
        <f>IF([1]A_InstallationData!M358="","",[1]A_InstallationData!M358)</f>
        <v/>
      </c>
      <c r="N1711" s="2313"/>
    </row>
    <row r="1712" spans="3:14" ht="13" x14ac:dyDescent="0.25">
      <c r="C1712" s="302"/>
      <c r="D1712" s="302"/>
      <c r="E1712" s="690">
        <v>9</v>
      </c>
      <c r="F1712" s="2343" t="str">
        <f>IF([1]A_InstallationData!F359="","",[1]A_InstallationData!F359)</f>
        <v/>
      </c>
      <c r="G1712" s="2344"/>
      <c r="H1712" s="2327" t="str">
        <f>IF([1]A_InstallationData!H359="","",[1]A_InstallationData!H359)</f>
        <v/>
      </c>
      <c r="I1712" s="2329"/>
      <c r="J1712" s="2327" t="str">
        <f>IF([1]A_InstallationData!J359="","",[1]A_InstallationData!J359)</f>
        <v/>
      </c>
      <c r="K1712" s="2328"/>
      <c r="L1712" s="2329"/>
      <c r="M1712" s="2312" t="str">
        <f>IF([1]A_InstallationData!M359="","",[1]A_InstallationData!M359)</f>
        <v/>
      </c>
      <c r="N1712" s="2313"/>
    </row>
    <row r="1713" spans="3:14" ht="13" x14ac:dyDescent="0.25">
      <c r="C1713" s="302"/>
      <c r="D1713" s="302"/>
      <c r="E1713" s="691">
        <v>10</v>
      </c>
      <c r="F1713" s="2349" t="str">
        <f>IF([1]A_InstallationData!F360="","",[1]A_InstallationData!F360)</f>
        <v/>
      </c>
      <c r="G1713" s="2350"/>
      <c r="H1713" s="2337" t="str">
        <f>IF([1]A_InstallationData!H360="","",[1]A_InstallationData!H360)</f>
        <v/>
      </c>
      <c r="I1713" s="2339"/>
      <c r="J1713" s="2337" t="str">
        <f>IF([1]A_InstallationData!J360="","",[1]A_InstallationData!J360)</f>
        <v/>
      </c>
      <c r="K1713" s="2338"/>
      <c r="L1713" s="2339"/>
      <c r="M1713" s="2321" t="str">
        <f>IF([1]A_InstallationData!M360="","",[1]A_InstallationData!M360)</f>
        <v/>
      </c>
      <c r="N1713" s="2322"/>
    </row>
  </sheetData>
  <sheetProtection formatCells="0" formatColumns="0" formatRows="0"/>
  <mergeCells count="150">
    <mergeCell ref="F1709:G1709"/>
    <mergeCell ref="H1709:I1709"/>
    <mergeCell ref="J1709:L1709"/>
    <mergeCell ref="M1709:N1709"/>
    <mergeCell ref="F1710:G1710"/>
    <mergeCell ref="H1710:I1710"/>
    <mergeCell ref="J1710:L1710"/>
    <mergeCell ref="M1710:N1710"/>
    <mergeCell ref="F1713:G1713"/>
    <mergeCell ref="H1713:I1713"/>
    <mergeCell ref="J1713:L1713"/>
    <mergeCell ref="M1713:N1713"/>
    <mergeCell ref="F1711:G1711"/>
    <mergeCell ref="H1711:I1711"/>
    <mergeCell ref="J1711:L1711"/>
    <mergeCell ref="M1711:N1711"/>
    <mergeCell ref="F1712:G1712"/>
    <mergeCell ref="H1712:I1712"/>
    <mergeCell ref="J1712:L1712"/>
    <mergeCell ref="M1712:N1712"/>
    <mergeCell ref="F1708:G1708"/>
    <mergeCell ref="H1708:I1708"/>
    <mergeCell ref="J1708:L1708"/>
    <mergeCell ref="M1708:N1708"/>
    <mergeCell ref="F1705:G1705"/>
    <mergeCell ref="H1705:I1705"/>
    <mergeCell ref="J1705:L1705"/>
    <mergeCell ref="M1705:N1705"/>
    <mergeCell ref="F1706:G1706"/>
    <mergeCell ref="H1706:I1706"/>
    <mergeCell ref="J1706:L1706"/>
    <mergeCell ref="M1706:N1706"/>
    <mergeCell ref="F1695:H1695"/>
    <mergeCell ref="I1695:J1695"/>
    <mergeCell ref="K1695:L1695"/>
    <mergeCell ref="M1695:N1695"/>
    <mergeCell ref="F1696:H1696"/>
    <mergeCell ref="I1696:J1696"/>
    <mergeCell ref="K1696:L1696"/>
    <mergeCell ref="M1696:N1696"/>
    <mergeCell ref="F1707:G1707"/>
    <mergeCell ref="H1707:I1707"/>
    <mergeCell ref="J1707:L1707"/>
    <mergeCell ref="M1707:N1707"/>
    <mergeCell ref="E1702:N1702"/>
    <mergeCell ref="F1703:G1703"/>
    <mergeCell ref="H1703:I1703"/>
    <mergeCell ref="J1703:L1703"/>
    <mergeCell ref="M1703:N1703"/>
    <mergeCell ref="F1704:G1704"/>
    <mergeCell ref="H1704:I1704"/>
    <mergeCell ref="J1704:L1704"/>
    <mergeCell ref="M1704:N1704"/>
    <mergeCell ref="F1699:H1699"/>
    <mergeCell ref="I1699:J1699"/>
    <mergeCell ref="K1699:L1699"/>
    <mergeCell ref="M1699:N1699"/>
    <mergeCell ref="F1700:H1700"/>
    <mergeCell ref="I1700:J1700"/>
    <mergeCell ref="K1700:L1700"/>
    <mergeCell ref="M1700:N1700"/>
    <mergeCell ref="F1697:H1697"/>
    <mergeCell ref="I1697:J1697"/>
    <mergeCell ref="K1697:L1697"/>
    <mergeCell ref="M1697:N1697"/>
    <mergeCell ref="F1698:H1698"/>
    <mergeCell ref="I1698:J1698"/>
    <mergeCell ref="K1698:L1698"/>
    <mergeCell ref="M1698:N1698"/>
    <mergeCell ref="F1694:H1694"/>
    <mergeCell ref="I1694:J1694"/>
    <mergeCell ref="K1694:L1694"/>
    <mergeCell ref="M1694:N1694"/>
    <mergeCell ref="F1691:H1691"/>
    <mergeCell ref="I1691:J1691"/>
    <mergeCell ref="K1691:L1691"/>
    <mergeCell ref="M1691:N1691"/>
    <mergeCell ref="F1692:H1692"/>
    <mergeCell ref="I1692:J1692"/>
    <mergeCell ref="K1692:L1692"/>
    <mergeCell ref="M1692:N1692"/>
    <mergeCell ref="F1693:H1693"/>
    <mergeCell ref="I1693:J1693"/>
    <mergeCell ref="K1693:L1693"/>
    <mergeCell ref="M1693:N1693"/>
    <mergeCell ref="G1685:I1685"/>
    <mergeCell ref="J1685:N1685"/>
    <mergeCell ref="D1687:N1687"/>
    <mergeCell ref="E1689:N1689"/>
    <mergeCell ref="F1690:H1690"/>
    <mergeCell ref="I1690:J1690"/>
    <mergeCell ref="K1690:L1690"/>
    <mergeCell ref="M1690:N1690"/>
    <mergeCell ref="J1684:N1684"/>
    <mergeCell ref="G1678:I1678"/>
    <mergeCell ref="J1678:N1678"/>
    <mergeCell ref="G1679:I1679"/>
    <mergeCell ref="J1679:N1679"/>
    <mergeCell ref="D1680:N1680"/>
    <mergeCell ref="E1681:N1681"/>
    <mergeCell ref="G1671:I1671"/>
    <mergeCell ref="J1671:N1671"/>
    <mergeCell ref="G1672:I1672"/>
    <mergeCell ref="J1672:N1672"/>
    <mergeCell ref="G1673:I1673"/>
    <mergeCell ref="J1673:N1673"/>
    <mergeCell ref="E1675:N1675"/>
    <mergeCell ref="G1676:I1676"/>
    <mergeCell ref="J1676:N1676"/>
    <mergeCell ref="G1677:I1677"/>
    <mergeCell ref="J1677:N1677"/>
    <mergeCell ref="G1682:I1682"/>
    <mergeCell ref="J1682:N1682"/>
    <mergeCell ref="G1683:I1683"/>
    <mergeCell ref="J1683:N1683"/>
    <mergeCell ref="G1684:I1684"/>
    <mergeCell ref="D1654:N1654"/>
    <mergeCell ref="G1670:I1670"/>
    <mergeCell ref="J1670:N1670"/>
    <mergeCell ref="F1663:I1663"/>
    <mergeCell ref="J1663:N1663"/>
    <mergeCell ref="E1664:N1664"/>
    <mergeCell ref="G1665:I1665"/>
    <mergeCell ref="J1665:N1665"/>
    <mergeCell ref="G1666:I1666"/>
    <mergeCell ref="J1666:N1666"/>
    <mergeCell ref="G1667:I1667"/>
    <mergeCell ref="J1667:N1667"/>
    <mergeCell ref="G1668:I1668"/>
    <mergeCell ref="J1668:N1668"/>
    <mergeCell ref="G1669:I1669"/>
    <mergeCell ref="J1669:N1669"/>
    <mergeCell ref="D1656:N1656"/>
    <mergeCell ref="E1658:I1658"/>
    <mergeCell ref="J1658:N1658"/>
    <mergeCell ref="E4:N4"/>
    <mergeCell ref="H5:K5"/>
    <mergeCell ref="F6:N6"/>
    <mergeCell ref="F7:N7"/>
    <mergeCell ref="F8:N8"/>
    <mergeCell ref="E1660:I1660"/>
    <mergeCell ref="J1660:N1660"/>
    <mergeCell ref="E1662:N1662"/>
    <mergeCell ref="F15:M15"/>
    <mergeCell ref="F9:N9"/>
    <mergeCell ref="F10:N10"/>
    <mergeCell ref="F11:N11"/>
    <mergeCell ref="F12:N12"/>
    <mergeCell ref="F13:N13"/>
    <mergeCell ref="F14:N14"/>
  </mergeCells>
  <conditionalFormatting sqref="E58">
    <cfRule type="cellIs" dxfId="895" priority="190" stopIfTrue="1" operator="equal">
      <formula>EUconst_ERR_Mandatory_ef</formula>
    </cfRule>
  </conditionalFormatting>
  <conditionalFormatting sqref="E59">
    <cfRule type="cellIs" dxfId="894" priority="191" stopIfTrue="1" operator="equal">
      <formula>EUconst_ERR_Mandatory_g</formula>
    </cfRule>
  </conditionalFormatting>
  <conditionalFormatting sqref="I102:M103">
    <cfRule type="expression" dxfId="893" priority="34" stopIfTrue="1">
      <formula>$S102</formula>
    </cfRule>
  </conditionalFormatting>
  <conditionalFormatting sqref="I125:M145 I148:M168">
    <cfRule type="expression" dxfId="892" priority="189" stopIfTrue="1">
      <formula>I125=EUconst_NA</formula>
    </cfRule>
  </conditionalFormatting>
  <conditionalFormatting sqref="I260:M276">
    <cfRule type="expression" dxfId="891" priority="188" stopIfTrue="1">
      <formula>I260=0</formula>
    </cfRule>
  </conditionalFormatting>
  <conditionalFormatting sqref="I528:M528">
    <cfRule type="expression" dxfId="890" priority="146" stopIfTrue="1">
      <formula>I528=0</formula>
    </cfRule>
  </conditionalFormatting>
  <conditionalFormatting sqref="I535:M535">
    <cfRule type="expression" dxfId="889" priority="185" stopIfTrue="1">
      <formula>I535=EUconst_NA</formula>
    </cfRule>
  </conditionalFormatting>
  <conditionalFormatting sqref="I535:M573">
    <cfRule type="expression" dxfId="888" priority="186" stopIfTrue="1">
      <formula>I535=0</formula>
    </cfRule>
  </conditionalFormatting>
  <conditionalFormatting sqref="I575:M582">
    <cfRule type="expression" dxfId="887" priority="116" stopIfTrue="1">
      <formula>I575=0</formula>
    </cfRule>
  </conditionalFormatting>
  <conditionalFormatting sqref="I597:M597">
    <cfRule type="expression" dxfId="886" priority="32" stopIfTrue="1">
      <formula>I597=0</formula>
    </cfRule>
  </conditionalFormatting>
  <conditionalFormatting sqref="I604:M604">
    <cfRule type="expression" dxfId="885" priority="112" stopIfTrue="1">
      <formula>I604=EUconst_NA</formula>
    </cfRule>
  </conditionalFormatting>
  <conditionalFormatting sqref="I604:M642">
    <cfRule type="expression" dxfId="884" priority="113" stopIfTrue="1">
      <formula>I604=0</formula>
    </cfRule>
  </conditionalFormatting>
  <conditionalFormatting sqref="I644:M651">
    <cfRule type="expression" dxfId="883" priority="107" stopIfTrue="1">
      <formula>I644=0</formula>
    </cfRule>
  </conditionalFormatting>
  <conditionalFormatting sqref="I666:M666">
    <cfRule type="expression" dxfId="882" priority="30" stopIfTrue="1">
      <formula>I666=0</formula>
    </cfRule>
  </conditionalFormatting>
  <conditionalFormatting sqref="I673:M673">
    <cfRule type="expression" dxfId="881" priority="103" stopIfTrue="1">
      <formula>I673=EUconst_NA</formula>
    </cfRule>
  </conditionalFormatting>
  <conditionalFormatting sqref="I673:M711">
    <cfRule type="expression" dxfId="880" priority="104" stopIfTrue="1">
      <formula>I673=0</formula>
    </cfRule>
  </conditionalFormatting>
  <conditionalFormatting sqref="I713:M720">
    <cfRule type="expression" dxfId="879" priority="98" stopIfTrue="1">
      <formula>I713=0</formula>
    </cfRule>
  </conditionalFormatting>
  <conditionalFormatting sqref="I735:M735">
    <cfRule type="expression" dxfId="878" priority="28" stopIfTrue="1">
      <formula>I735=0</formula>
    </cfRule>
  </conditionalFormatting>
  <conditionalFormatting sqref="I742:M742">
    <cfRule type="expression" dxfId="877" priority="94" stopIfTrue="1">
      <formula>I742=EUconst_NA</formula>
    </cfRule>
  </conditionalFormatting>
  <conditionalFormatting sqref="I742:M780">
    <cfRule type="expression" dxfId="876" priority="95" stopIfTrue="1">
      <formula>I742=0</formula>
    </cfRule>
  </conditionalFormatting>
  <conditionalFormatting sqref="I782:M789">
    <cfRule type="expression" dxfId="875" priority="89" stopIfTrue="1">
      <formula>I782=0</formula>
    </cfRule>
  </conditionalFormatting>
  <conditionalFormatting sqref="I804:M804">
    <cfRule type="expression" dxfId="874" priority="26" stopIfTrue="1">
      <formula>I804=0</formula>
    </cfRule>
  </conditionalFormatting>
  <conditionalFormatting sqref="I811:M811">
    <cfRule type="expression" dxfId="873" priority="85" stopIfTrue="1">
      <formula>I811=EUconst_NA</formula>
    </cfRule>
  </conditionalFormatting>
  <conditionalFormatting sqref="I811:M849">
    <cfRule type="expression" dxfId="872" priority="86" stopIfTrue="1">
      <formula>I811=0</formula>
    </cfRule>
  </conditionalFormatting>
  <conditionalFormatting sqref="I851:M858">
    <cfRule type="expression" dxfId="871" priority="80" stopIfTrue="1">
      <formula>I851=0</formula>
    </cfRule>
  </conditionalFormatting>
  <conditionalFormatting sqref="I873:M873">
    <cfRule type="expression" dxfId="870" priority="24" stopIfTrue="1">
      <formula>I873=0</formula>
    </cfRule>
  </conditionalFormatting>
  <conditionalFormatting sqref="I880:M880">
    <cfRule type="expression" dxfId="869" priority="76" stopIfTrue="1">
      <formula>I880=EUconst_NA</formula>
    </cfRule>
  </conditionalFormatting>
  <conditionalFormatting sqref="I880:M918">
    <cfRule type="expression" dxfId="868" priority="77" stopIfTrue="1">
      <formula>I880=0</formula>
    </cfRule>
  </conditionalFormatting>
  <conditionalFormatting sqref="I920:M927">
    <cfRule type="expression" dxfId="867" priority="71" stopIfTrue="1">
      <formula>I920=0</formula>
    </cfRule>
  </conditionalFormatting>
  <conditionalFormatting sqref="I942:M942">
    <cfRule type="expression" dxfId="866" priority="22" stopIfTrue="1">
      <formula>I942=0</formula>
    </cfRule>
  </conditionalFormatting>
  <conditionalFormatting sqref="I949:M949">
    <cfRule type="expression" dxfId="865" priority="67" stopIfTrue="1">
      <formula>I949=EUconst_NA</formula>
    </cfRule>
  </conditionalFormatting>
  <conditionalFormatting sqref="I949:M987">
    <cfRule type="expression" dxfId="864" priority="68" stopIfTrue="1">
      <formula>I949=0</formula>
    </cfRule>
  </conditionalFormatting>
  <conditionalFormatting sqref="I989:M996">
    <cfRule type="expression" dxfId="863" priority="62" stopIfTrue="1">
      <formula>I989=0</formula>
    </cfRule>
  </conditionalFormatting>
  <conditionalFormatting sqref="I1011:M1011">
    <cfRule type="expression" dxfId="862" priority="20" stopIfTrue="1">
      <formula>I1011=0</formula>
    </cfRule>
  </conditionalFormatting>
  <conditionalFormatting sqref="I1018:M1018">
    <cfRule type="expression" dxfId="861" priority="58" stopIfTrue="1">
      <formula>I1018=EUconst_NA</formula>
    </cfRule>
  </conditionalFormatting>
  <conditionalFormatting sqref="I1018:M1056">
    <cfRule type="expression" dxfId="860" priority="59" stopIfTrue="1">
      <formula>I1018=0</formula>
    </cfRule>
  </conditionalFormatting>
  <conditionalFormatting sqref="I1058:M1065">
    <cfRule type="expression" dxfId="859" priority="53" stopIfTrue="1">
      <formula>I1058=0</formula>
    </cfRule>
  </conditionalFormatting>
  <conditionalFormatting sqref="I1080:M1080">
    <cfRule type="expression" dxfId="858" priority="18" stopIfTrue="1">
      <formula>I1080=0</formula>
    </cfRule>
  </conditionalFormatting>
  <conditionalFormatting sqref="I1087:M1087">
    <cfRule type="expression" dxfId="857" priority="49" stopIfTrue="1">
      <formula>I1087=EUconst_NA</formula>
    </cfRule>
  </conditionalFormatting>
  <conditionalFormatting sqref="I1087:M1125">
    <cfRule type="expression" dxfId="856" priority="50" stopIfTrue="1">
      <formula>I1087=0</formula>
    </cfRule>
  </conditionalFormatting>
  <conditionalFormatting sqref="I1127:M1134">
    <cfRule type="expression" dxfId="855" priority="44" stopIfTrue="1">
      <formula>I1127=0</formula>
    </cfRule>
  </conditionalFormatting>
  <conditionalFormatting sqref="I1149:M1149">
    <cfRule type="expression" dxfId="854" priority="16" stopIfTrue="1">
      <formula>I1149=0</formula>
    </cfRule>
  </conditionalFormatting>
  <conditionalFormatting sqref="I1156:M1156">
    <cfRule type="expression" dxfId="853" priority="40" stopIfTrue="1">
      <formula>I1156=EUconst_NA</formula>
    </cfRule>
  </conditionalFormatting>
  <conditionalFormatting sqref="I1156:M1194">
    <cfRule type="expression" dxfId="852" priority="41" stopIfTrue="1">
      <formula>I1156=0</formula>
    </cfRule>
  </conditionalFormatting>
  <conditionalFormatting sqref="I1196:M1203">
    <cfRule type="expression" dxfId="851" priority="35" stopIfTrue="1">
      <formula>I1196=0</formula>
    </cfRule>
  </conditionalFormatting>
  <conditionalFormatting sqref="I1225:M1227">
    <cfRule type="expression" dxfId="850" priority="123" stopIfTrue="1">
      <formula>I1225=0</formula>
    </cfRule>
  </conditionalFormatting>
  <conditionalFormatting sqref="I1228:M1228">
    <cfRule type="expression" dxfId="849" priority="181" stopIfTrue="1">
      <formula>I1228=EUconst_NA</formula>
    </cfRule>
    <cfRule type="expression" dxfId="848" priority="182" stopIfTrue="1">
      <formula>I1228=0</formula>
    </cfRule>
  </conditionalFormatting>
  <conditionalFormatting sqref="I1230:M1251">
    <cfRule type="expression" dxfId="847" priority="13" stopIfTrue="1">
      <formula>I1230=0</formula>
    </cfRule>
  </conditionalFormatting>
  <conditionalFormatting sqref="I1271:M1273">
    <cfRule type="expression" dxfId="846" priority="121" stopIfTrue="1">
      <formula>I1271=0</formula>
    </cfRule>
  </conditionalFormatting>
  <conditionalFormatting sqref="I1274:M1274">
    <cfRule type="expression" dxfId="845" priority="175" stopIfTrue="1">
      <formula>I1274=EUconst_NA</formula>
    </cfRule>
    <cfRule type="expression" dxfId="844" priority="176" stopIfTrue="1">
      <formula>I1274=0</formula>
    </cfRule>
  </conditionalFormatting>
  <conditionalFormatting sqref="I1276:M1297">
    <cfRule type="expression" dxfId="843" priority="7" stopIfTrue="1">
      <formula>I1276=0</formula>
    </cfRule>
  </conditionalFormatting>
  <conditionalFormatting sqref="I1317:M1319">
    <cfRule type="expression" dxfId="842" priority="119" stopIfTrue="1">
      <formula>I1317=0</formula>
    </cfRule>
  </conditionalFormatting>
  <conditionalFormatting sqref="I1320:M1320">
    <cfRule type="expression" dxfId="841" priority="140" stopIfTrue="1">
      <formula>I1320=EUconst_NA</formula>
    </cfRule>
    <cfRule type="expression" dxfId="840" priority="141" stopIfTrue="1">
      <formula>I1320=0</formula>
    </cfRule>
  </conditionalFormatting>
  <conditionalFormatting sqref="I1322:M1343">
    <cfRule type="expression" dxfId="839" priority="4" stopIfTrue="1">
      <formula>I1322=0</formula>
    </cfRule>
  </conditionalFormatting>
  <conditionalFormatting sqref="I1363:M1365">
    <cfRule type="expression" dxfId="838" priority="117" stopIfTrue="1">
      <formula>I1363=0</formula>
    </cfRule>
  </conditionalFormatting>
  <conditionalFormatting sqref="I1366:M1366">
    <cfRule type="expression" dxfId="837" priority="169" stopIfTrue="1">
      <formula>I1366=EUconst_NA</formula>
    </cfRule>
    <cfRule type="expression" dxfId="836" priority="170" stopIfTrue="1">
      <formula>I1366=0</formula>
    </cfRule>
  </conditionalFormatting>
  <conditionalFormatting sqref="I1368:M1389">
    <cfRule type="expression" dxfId="835" priority="1" stopIfTrue="1">
      <formula>I1368=0</formula>
    </cfRule>
  </conditionalFormatting>
  <conditionalFormatting sqref="I1409:M1409">
    <cfRule type="expression" dxfId="834" priority="164" stopIfTrue="1">
      <formula>I1409=0</formula>
    </cfRule>
    <cfRule type="expression" dxfId="833" priority="163" stopIfTrue="1">
      <formula>I1409=EUconst_NA</formula>
    </cfRule>
  </conditionalFormatting>
  <conditionalFormatting sqref="I1411:M1421">
    <cfRule type="expression" dxfId="832" priority="12" stopIfTrue="1">
      <formula>I1411=0</formula>
    </cfRule>
  </conditionalFormatting>
  <conditionalFormatting sqref="I1441:M1441">
    <cfRule type="expression" dxfId="831" priority="158" stopIfTrue="1">
      <formula>I1441=0</formula>
    </cfRule>
    <cfRule type="expression" dxfId="830" priority="157" stopIfTrue="1">
      <formula>I1441=EUconst_NA</formula>
    </cfRule>
  </conditionalFormatting>
  <conditionalFormatting sqref="I1443:M1453">
    <cfRule type="expression" dxfId="829" priority="11" stopIfTrue="1">
      <formula>I1443=0</formula>
    </cfRule>
  </conditionalFormatting>
  <conditionalFormatting sqref="I1473:M1473">
    <cfRule type="expression" dxfId="828" priority="132" stopIfTrue="1">
      <formula>I1473=EUconst_NA</formula>
    </cfRule>
    <cfRule type="expression" dxfId="827" priority="133" stopIfTrue="1">
      <formula>I1473=0</formula>
    </cfRule>
  </conditionalFormatting>
  <conditionalFormatting sqref="I1475:M1485">
    <cfRule type="expression" dxfId="826" priority="10" stopIfTrue="1">
      <formula>I1475=0</formula>
    </cfRule>
  </conditionalFormatting>
  <conditionalFormatting sqref="I1505:M1505">
    <cfRule type="expression" dxfId="825" priority="155" stopIfTrue="1">
      <formula>I1505=0</formula>
    </cfRule>
    <cfRule type="expression" dxfId="824" priority="154" stopIfTrue="1">
      <formula>I1505=EUconst_NA</formula>
    </cfRule>
  </conditionalFormatting>
  <conditionalFormatting sqref="I1525:M1525">
    <cfRule type="expression" dxfId="823" priority="152" stopIfTrue="1">
      <formula>I1525=EUconst_NA</formula>
    </cfRule>
    <cfRule type="expression" dxfId="822" priority="153" stopIfTrue="1">
      <formula>I1525=0</formula>
    </cfRule>
  </conditionalFormatting>
  <conditionalFormatting sqref="I1545:M1545">
    <cfRule type="expression" dxfId="821" priority="128" stopIfTrue="1">
      <formula>I1545=EUconst_NA</formula>
    </cfRule>
    <cfRule type="expression" dxfId="820" priority="129" stopIfTrue="1">
      <formula>I1545=0</formula>
    </cfRule>
  </conditionalFormatting>
  <conditionalFormatting sqref="I1623:M1623">
    <cfRule type="expression" dxfId="819" priority="151" stopIfTrue="1">
      <formula>NOT(ISBLANK(I1623))</formula>
    </cfRule>
  </conditionalFormatting>
  <hyperlinks>
    <hyperlink ref="F14:N14" location="JUMP_A_II" display="You should now see NIMs data below in this sheet and can go back to section A.II and continue." xr:uid="{00000000-0004-0000-0200-000000000000}"/>
  </hyperlinks>
  <pageMargins left="0.78740157480314965" right="0.78740157480314965" top="0.78740157480314965" bottom="0.78740157480314965" header="0.51181102362204722" footer="0.51181102362204722"/>
  <pageSetup paperSize="9" scale="64" fitToHeight="30" orientation="portrait" r:id="rId1"/>
  <headerFooter alignWithMargins="0">
    <oddHeader>&amp;L&amp;F; &amp;A&amp;R&amp;D; &amp;T</oddHeader>
    <oddFooter>&amp;C&amp;P / &amp;N</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tabColor indexed="11"/>
  </sheetPr>
  <dimension ref="A1:Y450"/>
  <sheetViews>
    <sheetView zoomScaleNormal="100" zoomScaleSheetLayoutView="25" workbookViewId="0">
      <pane ySplit="4" topLeftCell="A5" activePane="bottomLeft" state="frozen"/>
      <selection pane="bottomLeft" activeCell="B2" sqref="B2:D4"/>
    </sheetView>
  </sheetViews>
  <sheetFormatPr defaultColWidth="11.453125" defaultRowHeight="12.5" x14ac:dyDescent="0.25"/>
  <cols>
    <col min="1" max="1" width="5.1796875" style="349" hidden="1" customWidth="1"/>
    <col min="2" max="2" width="2.7265625" style="349" customWidth="1"/>
    <col min="3" max="4" width="4.7265625" style="349" customWidth="1"/>
    <col min="5" max="5" width="30.7265625" style="349" customWidth="1"/>
    <col min="6" max="14" width="12.7265625" style="349" customWidth="1"/>
    <col min="15" max="15" width="4.7265625" style="349" customWidth="1"/>
    <col min="16" max="16" width="25.7265625" style="349" customWidth="1"/>
    <col min="17" max="17" width="12.7265625" style="349" hidden="1" customWidth="1"/>
    <col min="18" max="25" width="11.453125" style="349" hidden="1" customWidth="1"/>
    <col min="26" max="16384" width="11.453125" style="349"/>
  </cols>
  <sheetData>
    <row r="1" spans="1:25" s="694" customFormat="1" ht="13" hidden="1" thickBot="1" x14ac:dyDescent="0.3">
      <c r="A1" s="694" t="s">
        <v>312</v>
      </c>
      <c r="Q1" s="343" t="s">
        <v>312</v>
      </c>
      <c r="R1" s="343" t="s">
        <v>312</v>
      </c>
      <c r="S1" s="343" t="s">
        <v>312</v>
      </c>
      <c r="T1" s="343" t="s">
        <v>312</v>
      </c>
      <c r="U1" s="343" t="s">
        <v>312</v>
      </c>
      <c r="V1" s="343" t="s">
        <v>312</v>
      </c>
      <c r="W1" s="343" t="s">
        <v>312</v>
      </c>
      <c r="X1" s="343" t="s">
        <v>312</v>
      </c>
      <c r="Y1" s="343" t="s">
        <v>312</v>
      </c>
    </row>
    <row r="2" spans="1:25" ht="13.5" thickBot="1" x14ac:dyDescent="0.35">
      <c r="A2" s="694"/>
      <c r="B2" s="2468" t="str">
        <f>Translations!$B$65</f>
        <v>А.</v>
      </c>
      <c r="C2" s="2469"/>
      <c r="D2" s="2470"/>
      <c r="E2" s="2351" t="str">
        <f>Translations!$B$2</f>
        <v>Навигационно меню:</v>
      </c>
      <c r="F2" s="2352"/>
      <c r="G2" s="2466" t="str">
        <f>Translations!$B$16</f>
        <v>Съдържание</v>
      </c>
      <c r="H2" s="2233"/>
      <c r="I2" s="2233" t="str">
        <f>Translations!$B$17</f>
        <v>Предходен лист</v>
      </c>
      <c r="J2" s="2233"/>
      <c r="K2" s="2233" t="str">
        <f>Translations!$B$3</f>
        <v>Следващ лист</v>
      </c>
      <c r="L2" s="2233"/>
      <c r="M2" s="2233" t="str">
        <f>Translations!$B$4</f>
        <v>Обобщение</v>
      </c>
      <c r="N2" s="2233"/>
      <c r="O2" s="336"/>
      <c r="P2" s="2511" t="str">
        <f>Translations!$B$1218</f>
        <v>Колона за коментари 
(напр. каквито и да е било промени)</v>
      </c>
      <c r="Q2" s="695"/>
      <c r="R2" s="343"/>
      <c r="S2" s="343"/>
      <c r="T2" s="343"/>
      <c r="U2" s="343"/>
      <c r="V2" s="343"/>
      <c r="W2" s="343"/>
      <c r="X2" s="343"/>
      <c r="Y2" s="343"/>
    </row>
    <row r="3" spans="1:25" ht="13.5" thickBot="1" x14ac:dyDescent="0.3">
      <c r="A3" s="694"/>
      <c r="B3" s="2471"/>
      <c r="C3" s="2472"/>
      <c r="D3" s="2473"/>
      <c r="E3" s="2233" t="str">
        <f>Translations!$B$5</f>
        <v>Начало на листа</v>
      </c>
      <c r="F3" s="2477"/>
      <c r="G3" s="2478" t="str">
        <f>Translations!$B$1219</f>
        <v>Подробна отчетна информация</v>
      </c>
      <c r="H3" s="2467"/>
      <c r="I3" s="2467" t="str">
        <f>Translations!$B$1220</f>
        <v>Данни за НМИ</v>
      </c>
      <c r="J3" s="2467"/>
      <c r="K3" s="2467" t="str">
        <f>Translations!$B$66</f>
        <v>Идентификатор на инсталацията</v>
      </c>
      <c r="L3" s="2467"/>
      <c r="M3" s="2467" t="str">
        <f>Translations!$B$67</f>
        <v>Лица за връзка</v>
      </c>
      <c r="N3" s="2467"/>
      <c r="O3" s="336"/>
      <c r="P3" s="2512"/>
      <c r="Q3" s="695"/>
      <c r="R3" s="343"/>
      <c r="S3" s="343"/>
      <c r="T3" s="343"/>
      <c r="U3" s="343"/>
      <c r="V3" s="343"/>
      <c r="W3" s="343"/>
      <c r="X3" s="343"/>
      <c r="Y3" s="343"/>
    </row>
    <row r="4" spans="1:25" ht="13.5" customHeight="1" thickBot="1" x14ac:dyDescent="0.3">
      <c r="A4" s="694"/>
      <c r="B4" s="2474"/>
      <c r="C4" s="2475"/>
      <c r="D4" s="2476"/>
      <c r="E4" s="2233" t="str">
        <f>Translations!$B$6</f>
        <v>Край на листа</v>
      </c>
      <c r="F4" s="2233"/>
      <c r="G4" s="2479" t="str">
        <f>Translations!$B$68</f>
        <v>Проверяващ орган</v>
      </c>
      <c r="H4" s="2480"/>
      <c r="I4" s="2480" t="str">
        <f>Translations!$B$69</f>
        <v>Допълнителна информация</v>
      </c>
      <c r="J4" s="2480"/>
      <c r="K4" s="2480" t="str">
        <f>Translations!$B$1433</f>
        <v>Прилагане и обвързаност с условия</v>
      </c>
      <c r="L4" s="2480"/>
      <c r="M4" s="2480" t="str">
        <f>Translations!$B$72</f>
        <v>Технически връзки</v>
      </c>
      <c r="N4" s="2480"/>
      <c r="O4" s="336"/>
      <c r="P4" s="2513"/>
      <c r="Q4" s="695"/>
      <c r="R4" s="343"/>
      <c r="S4" s="343"/>
      <c r="T4" s="343"/>
      <c r="U4" s="343"/>
      <c r="V4" s="343"/>
      <c r="W4" s="343"/>
      <c r="X4" s="343"/>
      <c r="Y4" s="343"/>
    </row>
    <row r="5" spans="1:25" x14ac:dyDescent="0.25">
      <c r="A5" s="694"/>
      <c r="B5" s="284"/>
      <c r="C5" s="335"/>
      <c r="D5" s="284"/>
      <c r="E5" s="284"/>
      <c r="F5" s="287"/>
      <c r="G5" s="287"/>
      <c r="H5" s="287"/>
      <c r="I5" s="284"/>
      <c r="J5" s="284"/>
      <c r="K5" s="284"/>
      <c r="L5" s="284"/>
      <c r="M5" s="336"/>
      <c r="N5" s="336"/>
      <c r="O5" s="336"/>
      <c r="P5" s="302"/>
      <c r="Q5" s="695"/>
      <c r="R5" s="343"/>
      <c r="S5" s="343"/>
      <c r="T5" s="343"/>
      <c r="U5" s="343"/>
      <c r="V5" s="343"/>
      <c r="W5" s="343"/>
      <c r="X5" s="343"/>
      <c r="Y5" s="343"/>
    </row>
    <row r="6" spans="1:25" ht="23.25" customHeight="1" x14ac:dyDescent="0.25">
      <c r="A6" s="694"/>
      <c r="B6" s="284"/>
      <c r="C6" s="297" t="s">
        <v>692</v>
      </c>
      <c r="D6" s="2259" t="str">
        <f>Translations!$B$73</f>
        <v>Лист „InstallationData“ („Данни за инсталацията“) — ОБЩА ИНФОРМАЦИЯ ЗА ТОЗИ ДОКЛАД</v>
      </c>
      <c r="E6" s="2249"/>
      <c r="F6" s="2249"/>
      <c r="G6" s="2249"/>
      <c r="H6" s="2249"/>
      <c r="I6" s="2249"/>
      <c r="J6" s="2249"/>
      <c r="K6" s="2249"/>
      <c r="L6" s="2249"/>
      <c r="M6" s="2249"/>
      <c r="N6" s="2249"/>
      <c r="O6" s="336"/>
      <c r="P6" s="302"/>
      <c r="Q6" s="696" t="s">
        <v>232</v>
      </c>
      <c r="R6" s="696" t="s">
        <v>232</v>
      </c>
      <c r="S6" s="696" t="s">
        <v>232</v>
      </c>
      <c r="T6" s="696" t="s">
        <v>232</v>
      </c>
      <c r="U6" s="696" t="s">
        <v>232</v>
      </c>
      <c r="V6" s="696" t="s">
        <v>232</v>
      </c>
      <c r="W6" s="696" t="s">
        <v>232</v>
      </c>
      <c r="X6" s="696" t="s">
        <v>232</v>
      </c>
      <c r="Y6" s="696" t="s">
        <v>232</v>
      </c>
    </row>
    <row r="7" spans="1:25" ht="12.75" customHeight="1" x14ac:dyDescent="0.25">
      <c r="A7" s="694"/>
      <c r="B7" s="284"/>
      <c r="C7" s="284"/>
      <c r="D7" s="284"/>
      <c r="E7" s="284"/>
      <c r="F7" s="284"/>
      <c r="G7" s="284"/>
      <c r="H7" s="284"/>
      <c r="I7" s="284"/>
      <c r="J7" s="284"/>
      <c r="K7" s="284"/>
      <c r="L7" s="284"/>
      <c r="M7" s="284"/>
      <c r="N7" s="284"/>
      <c r="O7" s="336"/>
      <c r="P7" s="302"/>
      <c r="Q7" s="697" t="s">
        <v>740</v>
      </c>
      <c r="R7" s="697" t="s">
        <v>740</v>
      </c>
      <c r="S7" s="697" t="s">
        <v>740</v>
      </c>
      <c r="T7" s="697" t="s">
        <v>740</v>
      </c>
      <c r="U7" s="697" t="s">
        <v>740</v>
      </c>
      <c r="V7" s="697" t="s">
        <v>740</v>
      </c>
      <c r="W7" s="697" t="s">
        <v>740</v>
      </c>
      <c r="X7" s="697" t="s">
        <v>740</v>
      </c>
      <c r="Y7" s="697" t="s">
        <v>740</v>
      </c>
    </row>
    <row r="8" spans="1:25" ht="5.15" customHeight="1" x14ac:dyDescent="0.25">
      <c r="A8" s="694"/>
      <c r="B8" s="284"/>
      <c r="C8" s="284"/>
      <c r="D8" s="284"/>
      <c r="E8" s="284"/>
      <c r="F8" s="284"/>
      <c r="G8" s="284"/>
      <c r="H8" s="284"/>
      <c r="I8" s="284"/>
      <c r="J8" s="284"/>
      <c r="K8" s="284"/>
      <c r="L8" s="284"/>
      <c r="M8" s="336"/>
      <c r="N8" s="336"/>
      <c r="O8" s="336"/>
      <c r="P8" s="302"/>
      <c r="Q8" s="695"/>
      <c r="R8" s="343"/>
      <c r="S8" s="343"/>
      <c r="T8" s="343"/>
      <c r="U8" s="343"/>
      <c r="V8" s="343"/>
      <c r="W8" s="343"/>
      <c r="X8" s="343"/>
      <c r="Y8" s="343"/>
    </row>
    <row r="9" spans="1:25" ht="15.5" x14ac:dyDescent="0.35">
      <c r="A9" s="694"/>
      <c r="B9" s="284"/>
      <c r="C9" s="327" t="s">
        <v>1048</v>
      </c>
      <c r="D9" s="2245" t="str">
        <f>Translations!$B$1219</f>
        <v>Подробна отчетна информация</v>
      </c>
      <c r="E9" s="2245"/>
      <c r="F9" s="2245"/>
      <c r="G9" s="2245"/>
      <c r="H9" s="2245"/>
      <c r="I9" s="2245"/>
      <c r="J9" s="2245"/>
      <c r="K9" s="2245"/>
      <c r="L9" s="2245"/>
      <c r="M9" s="2245"/>
      <c r="N9" s="2245"/>
      <c r="O9" s="336"/>
      <c r="P9" s="302"/>
      <c r="Q9" s="695"/>
      <c r="R9" s="343"/>
      <c r="S9" s="343"/>
      <c r="T9" s="343"/>
      <c r="U9" s="343"/>
      <c r="V9" s="343"/>
      <c r="W9" s="343"/>
      <c r="X9" s="343"/>
      <c r="Y9" s="343"/>
    </row>
    <row r="10" spans="1:25" ht="12.75" customHeight="1" thickBot="1" x14ac:dyDescent="0.35">
      <c r="A10" s="694"/>
      <c r="B10" s="698"/>
      <c r="C10" s="357"/>
      <c r="D10" s="2323"/>
      <c r="E10" s="2323"/>
      <c r="F10" s="2323"/>
      <c r="G10" s="2323"/>
      <c r="H10" s="2323"/>
      <c r="I10" s="2323"/>
      <c r="J10" s="2323"/>
      <c r="K10" s="2323"/>
      <c r="L10" s="2323"/>
      <c r="M10" s="2323"/>
      <c r="N10" s="2323"/>
      <c r="O10" s="336"/>
      <c r="P10" s="302"/>
      <c r="Q10" s="343"/>
      <c r="R10" s="343"/>
      <c r="S10" s="343"/>
      <c r="T10" s="343"/>
      <c r="U10" s="343"/>
      <c r="V10" s="343"/>
      <c r="W10" s="343"/>
      <c r="X10" s="343"/>
      <c r="Y10" s="343"/>
    </row>
    <row r="11" spans="1:25" s="706" customFormat="1" ht="25.5" customHeight="1" thickBot="1" x14ac:dyDescent="0.3">
      <c r="A11" s="699"/>
      <c r="B11" s="700"/>
      <c r="C11" s="700"/>
      <c r="D11" s="701" t="s">
        <v>408</v>
      </c>
      <c r="E11" s="2353" t="str">
        <f>Translations!$B$1221</f>
        <v>Година на подаване на настоящия доклад:</v>
      </c>
      <c r="F11" s="2354"/>
      <c r="G11" s="2354"/>
      <c r="H11" s="2354"/>
      <c r="I11" s="2458"/>
      <c r="J11" s="2486">
        <v>2026</v>
      </c>
      <c r="K11" s="2487"/>
      <c r="L11" s="2488"/>
      <c r="M11" s="700"/>
      <c r="N11" s="700"/>
      <c r="O11" s="702"/>
      <c r="P11" s="302"/>
      <c r="Q11" s="703" t="s">
        <v>1964</v>
      </c>
      <c r="R11" s="704">
        <v>2</v>
      </c>
      <c r="S11" s="703"/>
      <c r="T11" s="343"/>
      <c r="U11" s="703" t="s">
        <v>1846</v>
      </c>
      <c r="V11" s="704">
        <f>MAX($J$11,2021+(CNTR_SubPeriod-1)*5)</f>
        <v>2026</v>
      </c>
      <c r="W11" s="705"/>
      <c r="X11" s="705"/>
      <c r="Y11" s="705"/>
    </row>
    <row r="12" spans="1:25" ht="12.75" customHeight="1" x14ac:dyDescent="0.25">
      <c r="A12" s="694"/>
      <c r="B12" s="698"/>
      <c r="C12" s="698"/>
      <c r="D12" s="698"/>
      <c r="E12" s="2484" t="str">
        <f>Translations!$B$1434</f>
        <v>Година на докладване означава действителната година, през която е подаден докладът. Например за докладване на равнищата на дейност през 2024 г. и 2025 г. следва да бъде избрана годината „2026“.</v>
      </c>
      <c r="F12" s="2485"/>
      <c r="G12" s="2485"/>
      <c r="H12" s="2485"/>
      <c r="I12" s="2485"/>
      <c r="J12" s="2485"/>
      <c r="K12" s="2485"/>
      <c r="L12" s="2485"/>
      <c r="M12" s="2485"/>
      <c r="N12" s="2485"/>
      <c r="O12" s="336"/>
      <c r="P12" s="302"/>
      <c r="Q12" s="343"/>
      <c r="R12" s="343"/>
      <c r="S12" s="343"/>
      <c r="T12" s="343"/>
      <c r="U12" s="343"/>
      <c r="V12" s="343"/>
      <c r="W12" s="343"/>
      <c r="X12" s="343"/>
      <c r="Y12" s="343"/>
    </row>
    <row r="13" spans="1:25" ht="5.15" customHeight="1" thickBot="1" x14ac:dyDescent="0.3">
      <c r="A13" s="694"/>
      <c r="B13" s="284"/>
      <c r="C13" s="284"/>
      <c r="D13" s="284"/>
      <c r="E13" s="284"/>
      <c r="F13" s="284"/>
      <c r="G13" s="284"/>
      <c r="H13" s="284"/>
      <c r="I13" s="284"/>
      <c r="J13" s="284"/>
      <c r="K13" s="284"/>
      <c r="L13" s="284"/>
      <c r="M13" s="336"/>
      <c r="N13" s="336"/>
      <c r="O13" s="336"/>
      <c r="P13" s="302"/>
      <c r="Q13" s="695"/>
      <c r="R13" s="343"/>
      <c r="S13" s="343"/>
      <c r="T13" s="343"/>
      <c r="U13" s="343"/>
      <c r="V13" s="343"/>
      <c r="W13" s="343"/>
      <c r="X13" s="343"/>
      <c r="Y13" s="343"/>
    </row>
    <row r="14" spans="1:25" ht="13.5" thickBot="1" x14ac:dyDescent="0.3">
      <c r="A14" s="694"/>
      <c r="B14" s="698"/>
      <c r="C14" s="698"/>
      <c r="D14" s="701" t="s">
        <v>901</v>
      </c>
      <c r="E14" s="2353" t="str">
        <f>Translations!$B$95</f>
        <v>Тази инсталация е работеща:</v>
      </c>
      <c r="F14" s="2354"/>
      <c r="G14" s="2354"/>
      <c r="H14" s="2354"/>
      <c r="I14" s="2354"/>
      <c r="J14" s="2361"/>
      <c r="K14" s="2362"/>
      <c r="L14" s="2363"/>
      <c r="M14" s="698"/>
      <c r="N14" s="698"/>
      <c r="O14" s="336"/>
      <c r="P14" s="302"/>
      <c r="Q14" s="703" t="s">
        <v>1970</v>
      </c>
      <c r="R14" s="704" t="b">
        <f>IF(J14&lt;&gt;"",J14,TRUE)</f>
        <v>1</v>
      </c>
      <c r="S14" s="343"/>
      <c r="T14" s="343"/>
      <c r="U14" s="343"/>
      <c r="V14" s="343"/>
      <c r="W14" s="343"/>
      <c r="X14" s="343"/>
      <c r="Y14" s="343"/>
    </row>
    <row r="15" spans="1:25" x14ac:dyDescent="0.25">
      <c r="A15" s="694"/>
      <c r="B15" s="698"/>
      <c r="C15" s="698"/>
      <c r="D15" s="302"/>
      <c r="E15" s="2358" t="str">
        <f>Translations!$B$96</f>
        <v>Една инсталация е работеща, ако е получила първо разрешително за емисии на парникови газове на или преди:</v>
      </c>
      <c r="F15" s="2249"/>
      <c r="G15" s="2249"/>
      <c r="H15" s="2249"/>
      <c r="I15" s="2249"/>
      <c r="J15" s="2249"/>
      <c r="K15" s="2249"/>
      <c r="L15" s="2249"/>
      <c r="M15" s="2249"/>
      <c r="N15" s="2249"/>
      <c r="O15" s="336"/>
      <c r="P15" s="302"/>
      <c r="Q15" s="343"/>
      <c r="R15" s="343"/>
      <c r="S15" s="343"/>
      <c r="T15" s="343"/>
      <c r="U15" s="343"/>
      <c r="V15" s="343"/>
      <c r="W15" s="343"/>
      <c r="X15" s="343"/>
      <c r="Y15" s="343"/>
    </row>
    <row r="16" spans="1:25" hidden="1" x14ac:dyDescent="0.25">
      <c r="A16" s="694" t="s">
        <v>312</v>
      </c>
      <c r="B16" s="698"/>
      <c r="C16" s="698"/>
      <c r="D16" s="302"/>
      <c r="E16" s="427" t="s">
        <v>1052</v>
      </c>
      <c r="F16" s="2358" t="str">
        <f>Translations!$B$97</f>
        <v>30 юни 2019 г. за периода 2021—2025 г. или</v>
      </c>
      <c r="G16" s="2249"/>
      <c r="H16" s="2249"/>
      <c r="I16" s="2249"/>
      <c r="J16" s="2249"/>
      <c r="K16" s="2249"/>
      <c r="L16" s="2249"/>
      <c r="M16" s="2249"/>
      <c r="N16" s="2249"/>
      <c r="O16" s="336"/>
      <c r="P16" s="302"/>
      <c r="Q16" s="343"/>
      <c r="R16" s="343"/>
      <c r="S16" s="343"/>
      <c r="T16" s="343"/>
      <c r="U16" s="343"/>
      <c r="V16" s="343"/>
      <c r="W16" s="343"/>
      <c r="X16" s="343"/>
      <c r="Y16" s="343"/>
    </row>
    <row r="17" spans="1:25" x14ac:dyDescent="0.25">
      <c r="A17" s="694"/>
      <c r="B17" s="698"/>
      <c r="C17" s="698"/>
      <c r="D17" s="302"/>
      <c r="E17" s="427" t="s">
        <v>1052</v>
      </c>
      <c r="F17" s="2358" t="str">
        <f>Translations!$B$98</f>
        <v>30 юни 2024 г. за периода 2026—2030 г.</v>
      </c>
      <c r="G17" s="2249"/>
      <c r="H17" s="2249"/>
      <c r="I17" s="2249"/>
      <c r="J17" s="2249"/>
      <c r="K17" s="2249"/>
      <c r="L17" s="2249"/>
      <c r="M17" s="2249"/>
      <c r="N17" s="2249"/>
      <c r="O17" s="336"/>
      <c r="P17" s="302"/>
      <c r="Q17" s="343"/>
      <c r="R17" s="343"/>
      <c r="S17" s="343"/>
      <c r="T17" s="343"/>
      <c r="U17" s="343"/>
      <c r="V17" s="343"/>
      <c r="W17" s="343"/>
      <c r="X17" s="343"/>
      <c r="Y17" s="343"/>
    </row>
    <row r="18" spans="1:25" x14ac:dyDescent="0.25">
      <c r="A18" s="694"/>
      <c r="B18" s="698"/>
      <c r="C18" s="698"/>
      <c r="D18" s="302"/>
      <c r="E18" s="2358" t="str">
        <f>Translations!$B$99</f>
        <v>Всички инсталации, които не са работещи съгласно критериите по-горе, се смятат от компетентния орган за „нови участници“.</v>
      </c>
      <c r="F18" s="2249"/>
      <c r="G18" s="2249"/>
      <c r="H18" s="2249"/>
      <c r="I18" s="2249"/>
      <c r="J18" s="2249"/>
      <c r="K18" s="2249"/>
      <c r="L18" s="2249"/>
      <c r="M18" s="2249"/>
      <c r="N18" s="2249"/>
      <c r="O18" s="336"/>
      <c r="P18" s="302"/>
      <c r="Q18" s="343"/>
      <c r="R18" s="343"/>
      <c r="S18" s="343"/>
      <c r="T18" s="343"/>
      <c r="U18" s="343"/>
      <c r="V18" s="343"/>
      <c r="W18" s="343"/>
      <c r="X18" s="343"/>
      <c r="Y18" s="343"/>
    </row>
    <row r="19" spans="1:25" ht="13" x14ac:dyDescent="0.25">
      <c r="A19" s="694"/>
      <c r="B19" s="698"/>
      <c r="C19" s="698"/>
      <c r="D19" s="302"/>
      <c r="E19" s="2459" t="str">
        <f>Translations!$B$1222</f>
        <v>As a consequence, installations which are not incumbents will be treated as new entrants in this report.</v>
      </c>
      <c r="F19" s="2460"/>
      <c r="G19" s="2460"/>
      <c r="H19" s="2460"/>
      <c r="I19" s="2460"/>
      <c r="J19" s="2460"/>
      <c r="K19" s="2460"/>
      <c r="L19" s="2460"/>
      <c r="M19" s="2460"/>
      <c r="N19" s="2460"/>
      <c r="O19" s="336"/>
      <c r="P19" s="302"/>
      <c r="Q19" s="343"/>
      <c r="R19" s="343"/>
      <c r="S19" s="343"/>
      <c r="T19" s="343"/>
      <c r="U19" s="343"/>
      <c r="V19" s="343"/>
      <c r="W19" s="343"/>
      <c r="X19" s="343"/>
      <c r="Y19" s="343"/>
    </row>
    <row r="20" spans="1:25" ht="5.15" customHeight="1" thickBot="1" x14ac:dyDescent="0.3">
      <c r="A20" s="694"/>
      <c r="B20" s="698"/>
      <c r="C20" s="698"/>
      <c r="D20" s="698"/>
      <c r="E20" s="698"/>
      <c r="F20" s="698"/>
      <c r="G20" s="698"/>
      <c r="H20" s="698"/>
      <c r="I20" s="698"/>
      <c r="J20" s="698"/>
      <c r="K20" s="698"/>
      <c r="L20" s="698"/>
      <c r="M20" s="698"/>
      <c r="N20" s="698"/>
      <c r="O20" s="336"/>
      <c r="P20" s="302"/>
      <c r="Q20" s="343"/>
      <c r="R20" s="343"/>
      <c r="S20" s="343"/>
      <c r="T20" s="343"/>
      <c r="U20" s="343"/>
      <c r="V20" s="343"/>
      <c r="W20" s="343"/>
      <c r="X20" s="343"/>
      <c r="Y20" s="343"/>
    </row>
    <row r="21" spans="1:25" ht="13.5" thickBot="1" x14ac:dyDescent="0.3">
      <c r="A21" s="694"/>
      <c r="B21" s="698"/>
      <c r="C21" s="698"/>
      <c r="D21" s="701" t="s">
        <v>46</v>
      </c>
      <c r="E21" s="2353" t="str">
        <f>Translations!$B$1223</f>
        <v>Инсталацията или която и да е подинсталация е спряна от експлоатация:</v>
      </c>
      <c r="F21" s="2354"/>
      <c r="G21" s="2354"/>
      <c r="H21" s="2354"/>
      <c r="I21" s="2354"/>
      <c r="J21" s="2355"/>
      <c r="K21" s="2356"/>
      <c r="L21" s="2357"/>
      <c r="M21" s="698"/>
      <c r="N21" s="698"/>
      <c r="O21" s="336"/>
      <c r="P21" s="181"/>
      <c r="Q21" s="703" t="s">
        <v>1971</v>
      </c>
      <c r="R21" s="704" t="b">
        <f>IF(J21&lt;&gt;"",J21,TRUE)</f>
        <v>1</v>
      </c>
      <c r="S21" s="343"/>
      <c r="T21" s="343"/>
      <c r="U21" s="343"/>
      <c r="V21" s="343"/>
      <c r="W21" s="343"/>
      <c r="X21" s="343"/>
      <c r="Y21" s="343"/>
    </row>
    <row r="22" spans="1:25" ht="25.5" customHeight="1" x14ac:dyDescent="0.25">
      <c r="A22" s="694"/>
      <c r="B22" s="698"/>
      <c r="C22" s="698"/>
      <c r="D22" s="302"/>
      <c r="E22" s="2358" t="str">
        <f>Translations!$B$1224</f>
        <v>Това включва спиране на цялата инсталация (по смисъла на член 26 от правилата за безплатно разпределяне на квоти) или на която и да е подинсталация (по смисъла на член 5, параграф 4 от ALC-R) след последното заявление по НМИ, а не само през последната календарна година.</v>
      </c>
      <c r="F22" s="2249"/>
      <c r="G22" s="2249"/>
      <c r="H22" s="2249"/>
      <c r="I22" s="2249"/>
      <c r="J22" s="2249"/>
      <c r="K22" s="2249"/>
      <c r="L22" s="2249"/>
      <c r="M22" s="2249"/>
      <c r="N22" s="2249"/>
      <c r="O22" s="336"/>
      <c r="P22" s="302"/>
      <c r="Q22" s="343"/>
      <c r="R22" s="343"/>
      <c r="S22" s="343"/>
      <c r="T22" s="343"/>
      <c r="U22" s="343"/>
      <c r="V22" s="343"/>
      <c r="W22" s="343"/>
      <c r="X22" s="343"/>
      <c r="Y22" s="343"/>
    </row>
    <row r="23" spans="1:25" ht="12.75" customHeight="1" x14ac:dyDescent="0.25">
      <c r="A23" s="694"/>
      <c r="B23" s="698"/>
      <c r="C23" s="698"/>
      <c r="D23" s="302"/>
      <c r="E23" s="2358" t="str">
        <f>Translations!$B$1225</f>
        <v>В случай на спряна експлоатация на цялата инсталация, моля, посочете датата на спиране за всяка подинсталация в лист „B+C_SubInstallations“ („B+C_Подинсталации“), раздел I.</v>
      </c>
      <c r="F23" s="2249"/>
      <c r="G23" s="2249"/>
      <c r="H23" s="2249"/>
      <c r="I23" s="2249"/>
      <c r="J23" s="2249"/>
      <c r="K23" s="2249"/>
      <c r="L23" s="2249"/>
      <c r="M23" s="2249"/>
      <c r="N23" s="2249"/>
      <c r="O23" s="336"/>
      <c r="P23" s="302"/>
      <c r="Q23" s="343"/>
      <c r="R23" s="343"/>
      <c r="S23" s="343"/>
      <c r="T23" s="343"/>
      <c r="U23" s="343"/>
      <c r="V23" s="343"/>
      <c r="W23" s="343"/>
      <c r="X23" s="343"/>
      <c r="Y23" s="343"/>
    </row>
    <row r="24" spans="1:25" x14ac:dyDescent="0.25">
      <c r="A24" s="694"/>
      <c r="B24" s="698"/>
      <c r="C24" s="698"/>
      <c r="D24" s="698"/>
      <c r="E24" s="698"/>
      <c r="F24" s="698"/>
      <c r="G24" s="698"/>
      <c r="H24" s="698"/>
      <c r="I24" s="698"/>
      <c r="J24" s="698"/>
      <c r="K24" s="698"/>
      <c r="L24" s="698"/>
      <c r="M24" s="698"/>
      <c r="N24" s="698"/>
      <c r="O24" s="336"/>
      <c r="P24" s="302"/>
      <c r="Q24" s="343"/>
      <c r="R24" s="343"/>
      <c r="S24" s="343"/>
      <c r="T24" s="343"/>
      <c r="U24" s="343"/>
      <c r="V24" s="343"/>
      <c r="W24" s="343"/>
      <c r="X24" s="343"/>
      <c r="Y24" s="343"/>
    </row>
    <row r="25" spans="1:25" ht="15.5" x14ac:dyDescent="0.35">
      <c r="A25" s="694"/>
      <c r="B25" s="284"/>
      <c r="C25" s="327" t="s">
        <v>900</v>
      </c>
      <c r="D25" s="2245" t="str">
        <f>Translations!$B$1226</f>
        <v>Данни от доклада с базови данни за НМИ</v>
      </c>
      <c r="E25" s="2245"/>
      <c r="F25" s="2245"/>
      <c r="G25" s="2245"/>
      <c r="H25" s="2245"/>
      <c r="I25" s="2245"/>
      <c r="J25" s="2245"/>
      <c r="K25" s="2245"/>
      <c r="L25" s="2245"/>
      <c r="M25" s="2245"/>
      <c r="N25" s="2245"/>
      <c r="O25" s="336"/>
      <c r="P25" s="302"/>
      <c r="Q25" s="695"/>
      <c r="R25" s="343"/>
      <c r="S25" s="343"/>
      <c r="T25" s="343"/>
      <c r="U25" s="343"/>
      <c r="V25" s="343"/>
      <c r="W25" s="343"/>
      <c r="X25" s="343"/>
      <c r="Y25" s="343"/>
    </row>
    <row r="26" spans="1:25" ht="13" thickBot="1" x14ac:dyDescent="0.3">
      <c r="A26" s="694"/>
      <c r="B26" s="698"/>
      <c r="C26" s="698"/>
      <c r="D26" s="698"/>
      <c r="E26" s="698"/>
      <c r="F26" s="698"/>
      <c r="G26" s="698"/>
      <c r="H26" s="698"/>
      <c r="I26" s="698"/>
      <c r="J26" s="698"/>
      <c r="K26" s="698"/>
      <c r="L26" s="698"/>
      <c r="M26" s="698"/>
      <c r="N26" s="698"/>
      <c r="O26" s="336"/>
      <c r="P26" s="302"/>
      <c r="Q26" s="343"/>
      <c r="R26" s="343"/>
      <c r="S26" s="343"/>
      <c r="T26" s="343"/>
      <c r="U26" s="343"/>
      <c r="V26" s="343"/>
      <c r="W26" s="343"/>
      <c r="X26" s="343"/>
      <c r="Y26" s="343"/>
    </row>
    <row r="27" spans="1:25" ht="5.15" customHeight="1" x14ac:dyDescent="0.25">
      <c r="A27" s="694"/>
      <c r="B27" s="698"/>
      <c r="C27" s="698"/>
      <c r="D27" s="707"/>
      <c r="E27" s="708"/>
      <c r="F27" s="708"/>
      <c r="G27" s="708"/>
      <c r="H27" s="708"/>
      <c r="I27" s="708"/>
      <c r="J27" s="708"/>
      <c r="K27" s="708"/>
      <c r="L27" s="708"/>
      <c r="M27" s="708"/>
      <c r="N27" s="709"/>
      <c r="O27" s="336"/>
      <c r="P27" s="302"/>
      <c r="Q27" s="343"/>
      <c r="R27" s="343"/>
      <c r="S27" s="343"/>
      <c r="T27" s="343"/>
      <c r="U27" s="343"/>
      <c r="V27" s="343"/>
      <c r="W27" s="343"/>
      <c r="X27" s="343"/>
      <c r="Y27" s="343"/>
    </row>
    <row r="28" spans="1:25" x14ac:dyDescent="0.25">
      <c r="A28" s="694"/>
      <c r="B28" s="698"/>
      <c r="C28" s="698"/>
      <c r="D28" s="344"/>
      <c r="E28" s="2358" t="str">
        <f>Translations!$B$1227</f>
        <v>Част от информацията, необходима в този доклад, вече е била предоставена в заявлението по НМИ. Това се отнася за информация за инсталацията (този лист), както и за съответните подинсталации, включително на параметрите, които са от значение за разпределението (лист „B+C_SubInstallations“ („B+C_Подинсталации“)), например историческото равнище на дейност (HAL).</v>
      </c>
      <c r="F28" s="2249"/>
      <c r="G28" s="2249"/>
      <c r="H28" s="2249"/>
      <c r="I28" s="2249"/>
      <c r="J28" s="2249"/>
      <c r="K28" s="2249"/>
      <c r="L28" s="2249"/>
      <c r="M28" s="2249"/>
      <c r="N28" s="2371"/>
      <c r="O28" s="336"/>
      <c r="P28" s="710"/>
      <c r="Q28" s="343"/>
      <c r="R28" s="343"/>
      <c r="S28" s="343"/>
      <c r="T28" s="343"/>
      <c r="U28" s="343"/>
      <c r="V28" s="343"/>
      <c r="W28" s="343"/>
      <c r="X28" s="343"/>
      <c r="Y28" s="343"/>
    </row>
    <row r="29" spans="1:25" x14ac:dyDescent="0.25">
      <c r="A29" s="694"/>
      <c r="B29" s="698"/>
      <c r="C29" s="698"/>
      <c r="D29" s="344"/>
      <c r="E29" s="2358" t="str">
        <f>Translations!$B$1228</f>
        <v>За да попълните тук тази информация, настоящият образец предлага две възможности, които могат да бъдат избрани от падащия списък по-долу.</v>
      </c>
      <c r="F29" s="2249"/>
      <c r="G29" s="2249"/>
      <c r="H29" s="2249"/>
      <c r="I29" s="2249"/>
      <c r="J29" s="2249"/>
      <c r="K29" s="2249"/>
      <c r="L29" s="2249"/>
      <c r="M29" s="2249"/>
      <c r="N29" s="2371"/>
      <c r="O29" s="336"/>
      <c r="P29" s="302"/>
      <c r="Q29" s="343"/>
      <c r="R29" s="343"/>
      <c r="S29" s="343"/>
      <c r="T29" s="343"/>
      <c r="U29" s="343"/>
      <c r="V29" s="343"/>
      <c r="W29" s="343"/>
      <c r="X29" s="343"/>
      <c r="Y29" s="711" t="s">
        <v>1148</v>
      </c>
    </row>
    <row r="30" spans="1:25" ht="5.15" customHeight="1" thickBot="1" x14ac:dyDescent="0.3">
      <c r="A30" s="694"/>
      <c r="B30" s="698"/>
      <c r="C30" s="698"/>
      <c r="D30" s="712"/>
      <c r="E30" s="698"/>
      <c r="F30" s="698"/>
      <c r="G30" s="698"/>
      <c r="H30" s="698"/>
      <c r="I30" s="698"/>
      <c r="J30" s="698"/>
      <c r="K30" s="698"/>
      <c r="L30" s="698"/>
      <c r="M30" s="698"/>
      <c r="N30" s="713"/>
      <c r="O30" s="336"/>
      <c r="P30" s="302"/>
      <c r="Q30" s="343"/>
      <c r="R30" s="343"/>
      <c r="S30" s="343"/>
      <c r="T30" s="343"/>
      <c r="U30" s="343"/>
      <c r="V30" s="343"/>
      <c r="W30" s="343"/>
      <c r="X30" s="343"/>
      <c r="Y30" s="343"/>
    </row>
    <row r="31" spans="1:25" s="364" customFormat="1" ht="13.5" thickBot="1" x14ac:dyDescent="0.35">
      <c r="A31" s="711"/>
      <c r="B31" s="284"/>
      <c r="C31" s="284"/>
      <c r="D31" s="344"/>
      <c r="E31" s="2463" t="str">
        <f>Translations!$B$1229</f>
        <v>Метод, използван за въвеждане на данни за НМИ:</v>
      </c>
      <c r="F31" s="2463"/>
      <c r="G31" s="2463"/>
      <c r="H31" s="2463"/>
      <c r="I31" s="2464"/>
      <c r="J31" s="2372"/>
      <c r="K31" s="2373"/>
      <c r="L31" s="2374"/>
      <c r="M31" s="284"/>
      <c r="N31" s="714"/>
      <c r="O31" s="336"/>
      <c r="P31" s="181"/>
      <c r="Q31" s="715" t="str">
        <f>IF(OR(ISBLANK(J31),CNTR_Incumbent=FALSE),EUconst_NA,MATCH(J31,EUconst_LinkManual,0))</f>
        <v>Не е приложимо</v>
      </c>
      <c r="R31" s="695" t="s">
        <v>1823</v>
      </c>
      <c r="S31" s="343"/>
      <c r="T31" s="711"/>
      <c r="U31" s="343"/>
      <c r="V31" s="343"/>
      <c r="W31" s="343"/>
      <c r="X31" s="343"/>
      <c r="Y31" s="716" t="b">
        <f>AND(J14&lt;&gt;"",J14=FALSE)</f>
        <v>0</v>
      </c>
    </row>
    <row r="32" spans="1:25" s="364" customFormat="1" ht="5.15" customHeight="1" x14ac:dyDescent="0.25">
      <c r="A32" s="711"/>
      <c r="B32" s="284"/>
      <c r="C32" s="284"/>
      <c r="D32" s="344"/>
      <c r="E32" s="2358"/>
      <c r="F32" s="2249"/>
      <c r="G32" s="2249"/>
      <c r="H32" s="2249"/>
      <c r="I32" s="2249"/>
      <c r="J32" s="2249"/>
      <c r="K32" s="2249"/>
      <c r="L32" s="2249"/>
      <c r="M32" s="2249"/>
      <c r="N32" s="2371"/>
      <c r="O32" s="336"/>
      <c r="P32" s="302"/>
      <c r="Q32" s="343"/>
      <c r="R32" s="343"/>
      <c r="S32" s="343"/>
      <c r="T32" s="711"/>
      <c r="U32" s="343"/>
      <c r="V32" s="343"/>
      <c r="W32" s="343"/>
      <c r="X32" s="343"/>
      <c r="Y32" s="343"/>
    </row>
    <row r="33" spans="1:25" ht="12.75" customHeight="1" x14ac:dyDescent="0.25">
      <c r="A33" s="694"/>
      <c r="B33" s="284"/>
      <c r="C33" s="284"/>
      <c r="D33" s="344"/>
      <c r="E33" s="717" t="str">
        <f>INDEX(EUconst_LinkManual,1)</f>
        <v>Електронна препратка към файл с националните мерки за изпълнение (НМИ)</v>
      </c>
      <c r="F33" s="2359" t="str">
        <f>Translations!$B$1230</f>
        <v>Тук информацията за НМИ се събира, като просто се реферира към Вашия файл с доклада с базови данни за НМИ чрез функционалността „Редактиране на връзки“ в раздел „Данни“ на лентата с инструменти на Excel.</v>
      </c>
      <c r="G33" s="2359"/>
      <c r="H33" s="2359"/>
      <c r="I33" s="2359"/>
      <c r="J33" s="2359"/>
      <c r="K33" s="2359"/>
      <c r="L33" s="2359"/>
      <c r="M33" s="2359"/>
      <c r="N33" s="2360"/>
      <c r="O33" s="336"/>
      <c r="P33" s="302"/>
      <c r="Q33" s="343"/>
      <c r="R33" s="343"/>
      <c r="S33" s="343"/>
      <c r="T33" s="343"/>
      <c r="U33" s="343"/>
      <c r="V33" s="343"/>
      <c r="W33" s="343"/>
      <c r="X33" s="343"/>
      <c r="Y33" s="343"/>
    </row>
    <row r="34" spans="1:25" ht="12.75" customHeight="1" x14ac:dyDescent="0.25">
      <c r="A34" s="694"/>
      <c r="B34" s="284"/>
      <c r="C34" s="284"/>
      <c r="D34" s="344"/>
      <c r="E34" s="345"/>
      <c r="F34" s="2293" t="str">
        <f>Translations!$B$1231</f>
        <v>Клетки с данни за ръчно въвеждане ще бъдат незадължителни, когато е приложимо.</v>
      </c>
      <c r="G34" s="2293"/>
      <c r="H34" s="2293"/>
      <c r="I34" s="2293"/>
      <c r="J34" s="2293"/>
      <c r="K34" s="2293"/>
      <c r="L34" s="2293"/>
      <c r="M34" s="2293"/>
      <c r="N34" s="2294"/>
      <c r="O34" s="336"/>
      <c r="P34" s="302"/>
      <c r="Q34" s="343"/>
      <c r="R34" s="343"/>
      <c r="S34" s="343"/>
      <c r="T34" s="343"/>
      <c r="U34" s="343"/>
      <c r="V34" s="343"/>
      <c r="W34" s="343"/>
      <c r="X34" s="343"/>
      <c r="Y34" s="343"/>
    </row>
    <row r="35" spans="1:25" ht="12.75" customHeight="1" x14ac:dyDescent="0.25">
      <c r="A35" s="694"/>
      <c r="B35" s="284"/>
      <c r="C35" s="284"/>
      <c r="D35" s="344"/>
      <c r="E35" s="345"/>
      <c r="F35" s="2302" t="str">
        <f>Translations!$B$1232</f>
        <v>Допълнителни указания могат да бъдат намерени в лист „NIMs summary“ („Обобщение на НМИ“) в настоящия образец.</v>
      </c>
      <c r="G35" s="2302"/>
      <c r="H35" s="2302"/>
      <c r="I35" s="2302"/>
      <c r="J35" s="2302"/>
      <c r="K35" s="2302"/>
      <c r="L35" s="2302"/>
      <c r="M35" s="2302"/>
      <c r="N35" s="347"/>
      <c r="O35" s="336"/>
      <c r="P35" s="302"/>
      <c r="Q35" s="343"/>
      <c r="R35" s="343"/>
      <c r="S35" s="343"/>
      <c r="T35" s="343"/>
      <c r="U35" s="343"/>
      <c r="V35" s="343"/>
      <c r="W35" s="343"/>
      <c r="X35" s="343"/>
      <c r="Y35" s="343"/>
    </row>
    <row r="36" spans="1:25" ht="5.15" customHeight="1" x14ac:dyDescent="0.25">
      <c r="A36" s="694"/>
      <c r="B36" s="284"/>
      <c r="C36" s="284"/>
      <c r="D36" s="344"/>
      <c r="E36" s="345"/>
      <c r="F36" s="2293"/>
      <c r="G36" s="2293"/>
      <c r="H36" s="2293"/>
      <c r="I36" s="2293"/>
      <c r="J36" s="2293"/>
      <c r="K36" s="2293"/>
      <c r="L36" s="2293"/>
      <c r="M36" s="2293"/>
      <c r="N36" s="2294"/>
      <c r="O36" s="336"/>
      <c r="P36" s="302"/>
      <c r="Q36" s="343"/>
      <c r="R36" s="343"/>
      <c r="S36" s="343"/>
      <c r="T36" s="343"/>
      <c r="U36" s="343"/>
      <c r="V36" s="343"/>
      <c r="W36" s="343"/>
      <c r="X36" s="343"/>
      <c r="Y36" s="343"/>
    </row>
    <row r="37" spans="1:25" ht="12.75" customHeight="1" x14ac:dyDescent="0.25">
      <c r="A37" s="694"/>
      <c r="B37" s="698"/>
      <c r="C37" s="698"/>
      <c r="D37" s="344"/>
      <c r="E37" s="717" t="str">
        <f>INDEX(EUconst_LinkManual,2)</f>
        <v>Ръчно въвеждане</v>
      </c>
      <c r="F37" s="2359" t="str">
        <f>Translations!$B$1233</f>
        <v>Тук трябва да въведете ръчно цялата информация и всички данни, както и всяка друга информация.</v>
      </c>
      <c r="G37" s="2359"/>
      <c r="H37" s="2359"/>
      <c r="I37" s="2359"/>
      <c r="J37" s="2359"/>
      <c r="K37" s="2359"/>
      <c r="L37" s="2359"/>
      <c r="M37" s="2359"/>
      <c r="N37" s="2360"/>
      <c r="O37" s="336"/>
      <c r="P37" s="302"/>
      <c r="Q37" s="343"/>
      <c r="R37" s="343"/>
      <c r="S37" s="343"/>
      <c r="T37" s="343"/>
      <c r="U37" s="343"/>
      <c r="V37" s="343"/>
      <c r="W37" s="343"/>
      <c r="X37" s="343"/>
      <c r="Y37" s="343"/>
    </row>
    <row r="38" spans="1:25" ht="12.75" customHeight="1" x14ac:dyDescent="0.25">
      <c r="A38" s="694"/>
      <c r="B38" s="698"/>
      <c r="C38" s="698"/>
      <c r="D38" s="344"/>
      <c r="E38" s="345"/>
      <c r="F38" s="2293" t="str">
        <f>Translations!$B$1234</f>
        <v>Клетките, които съдържат електронни препратки към файла с НМИ, ще бъдат оцветени в сиво.</v>
      </c>
      <c r="G38" s="2293"/>
      <c r="H38" s="2293"/>
      <c r="I38" s="2293"/>
      <c r="J38" s="2293"/>
      <c r="K38" s="2293"/>
      <c r="L38" s="2293"/>
      <c r="M38" s="2293"/>
      <c r="N38" s="2294"/>
      <c r="O38" s="336"/>
      <c r="P38" s="302"/>
      <c r="Q38" s="343"/>
      <c r="R38" s="343"/>
      <c r="S38" s="343"/>
      <c r="T38" s="343"/>
      <c r="U38" s="343"/>
      <c r="V38" s="343"/>
      <c r="W38" s="343"/>
      <c r="X38" s="343"/>
      <c r="Y38" s="343"/>
    </row>
    <row r="39" spans="1:25" ht="5.15" customHeight="1" x14ac:dyDescent="0.25">
      <c r="A39" s="694"/>
      <c r="B39" s="698"/>
      <c r="C39" s="698"/>
      <c r="D39" s="344"/>
      <c r="E39" s="718"/>
      <c r="F39" s="719"/>
      <c r="G39" s="719"/>
      <c r="H39" s="719"/>
      <c r="I39" s="719"/>
      <c r="J39" s="719"/>
      <c r="K39" s="719"/>
      <c r="L39" s="719"/>
      <c r="M39" s="719"/>
      <c r="N39" s="720"/>
      <c r="O39" s="336"/>
      <c r="P39" s="302"/>
      <c r="Q39" s="343"/>
      <c r="R39" s="343"/>
      <c r="S39" s="343"/>
      <c r="T39" s="343"/>
      <c r="U39" s="343"/>
      <c r="V39" s="343"/>
      <c r="W39" s="343"/>
      <c r="X39" s="343"/>
      <c r="Y39" s="343"/>
    </row>
    <row r="40" spans="1:25" ht="12.75" customHeight="1" x14ac:dyDescent="0.25">
      <c r="A40" s="694"/>
      <c r="B40" s="284"/>
      <c r="C40" s="284"/>
      <c r="D40" s="344"/>
      <c r="E40" s="2359" t="str">
        <f>Translations!$B$1235</f>
        <v>В зависимост от избраната от Вас възможност клетките в този лист ще имат следния формат, като информацията се съдържа в лист „NIMs summary“ („Обобщение на НМИ“):</v>
      </c>
      <c r="F40" s="2359"/>
      <c r="G40" s="2359"/>
      <c r="H40" s="2359"/>
      <c r="I40" s="2359"/>
      <c r="J40" s="2359"/>
      <c r="K40" s="2359"/>
      <c r="L40" s="2359"/>
      <c r="M40" s="2359"/>
      <c r="N40" s="2360"/>
      <c r="O40" s="336"/>
      <c r="P40" s="302"/>
      <c r="Q40" s="343"/>
      <c r="R40" s="343"/>
      <c r="S40" s="343"/>
      <c r="T40" s="343"/>
      <c r="U40" s="343"/>
      <c r="V40" s="343"/>
      <c r="W40" s="343"/>
      <c r="X40" s="343"/>
      <c r="Y40" s="343"/>
    </row>
    <row r="41" spans="1:25" ht="12.75" customHeight="1" x14ac:dyDescent="0.25">
      <c r="A41" s="694"/>
      <c r="B41" s="284"/>
      <c r="C41" s="284"/>
      <c r="D41" s="344"/>
      <c r="E41" s="345"/>
      <c r="F41" s="2375" t="str">
        <f>Translations!$B$1236</f>
        <v>Електронни препратки към данни във файла с НМИ:</v>
      </c>
      <c r="G41" s="2375"/>
      <c r="H41" s="2375"/>
      <c r="I41" s="2375"/>
      <c r="J41" s="2376"/>
      <c r="K41" s="2457"/>
      <c r="L41" s="2457"/>
      <c r="M41" s="346"/>
      <c r="N41" s="347"/>
      <c r="O41" s="336"/>
      <c r="P41" s="302"/>
      <c r="Q41" s="343"/>
      <c r="R41" s="343"/>
      <c r="S41" s="343"/>
      <c r="T41" s="343"/>
      <c r="U41" s="343"/>
      <c r="V41" s="343"/>
      <c r="W41" s="343"/>
      <c r="X41" s="343"/>
      <c r="Y41" s="716" t="b">
        <f>CTRL_InputMethodNIMsvalues=2</f>
        <v>0</v>
      </c>
    </row>
    <row r="42" spans="1:25" ht="12.75" customHeight="1" x14ac:dyDescent="0.25">
      <c r="A42" s="694"/>
      <c r="B42" s="284"/>
      <c r="C42" s="284"/>
      <c r="D42" s="344"/>
      <c r="E42" s="345"/>
      <c r="F42" s="2375" t="str">
        <f>Translations!$B$1237</f>
        <v>Ръчно въвеждане (ако е избрано) или ръчна корекция, в случай че данните за НМИ вече не са верни:</v>
      </c>
      <c r="G42" s="2375"/>
      <c r="H42" s="2375"/>
      <c r="I42" s="2375"/>
      <c r="J42" s="2376"/>
      <c r="K42" s="2461"/>
      <c r="L42" s="2461"/>
      <c r="M42" s="346"/>
      <c r="N42" s="347"/>
      <c r="O42" s="336"/>
      <c r="P42" s="302"/>
      <c r="Q42" s="343"/>
      <c r="R42" s="343"/>
      <c r="S42" s="343"/>
      <c r="T42" s="343"/>
      <c r="U42" s="343"/>
      <c r="V42" s="343"/>
      <c r="W42" s="343"/>
      <c r="X42" s="343"/>
      <c r="Y42" s="716" t="b">
        <f>CTRL_InputMethodNIMsvalues=1</f>
        <v>0</v>
      </c>
    </row>
    <row r="43" spans="1:25" ht="12.75" customHeight="1" x14ac:dyDescent="0.25">
      <c r="A43" s="694"/>
      <c r="B43" s="284"/>
      <c r="C43" s="284"/>
      <c r="D43" s="344"/>
      <c r="E43" s="345"/>
      <c r="F43" s="2375" t="str">
        <f>Translations!$B$1238</f>
        <v>Данни, използвани в настоящия доклад:</v>
      </c>
      <c r="G43" s="2375"/>
      <c r="H43" s="2375"/>
      <c r="I43" s="2375"/>
      <c r="J43" s="2376"/>
      <c r="K43" s="2462"/>
      <c r="L43" s="2462"/>
      <c r="M43" s="346"/>
      <c r="N43" s="347"/>
      <c r="O43" s="336"/>
      <c r="P43" s="302"/>
      <c r="Q43" s="343"/>
      <c r="R43" s="343"/>
      <c r="S43" s="343"/>
      <c r="T43" s="343"/>
      <c r="U43" s="343"/>
      <c r="V43" s="343"/>
      <c r="W43" s="343"/>
      <c r="X43" s="343"/>
      <c r="Y43" s="343"/>
    </row>
    <row r="44" spans="1:25" ht="5.15" customHeight="1" x14ac:dyDescent="0.25">
      <c r="A44" s="694"/>
      <c r="B44" s="284"/>
      <c r="C44" s="284"/>
      <c r="D44" s="344"/>
      <c r="E44" s="345"/>
      <c r="F44" s="2293"/>
      <c r="G44" s="2293"/>
      <c r="H44" s="2293"/>
      <c r="I44" s="2293"/>
      <c r="J44" s="2293"/>
      <c r="K44" s="2293"/>
      <c r="L44" s="2293"/>
      <c r="M44" s="2293"/>
      <c r="N44" s="2294"/>
      <c r="O44" s="336"/>
      <c r="P44" s="302"/>
      <c r="Q44" s="343"/>
      <c r="R44" s="343"/>
      <c r="S44" s="343"/>
      <c r="T44" s="343"/>
      <c r="U44" s="343"/>
      <c r="V44" s="343"/>
      <c r="W44" s="343"/>
      <c r="X44" s="343"/>
      <c r="Y44" s="343"/>
    </row>
    <row r="45" spans="1:25" ht="5.15" customHeight="1" thickBot="1" x14ac:dyDescent="0.3">
      <c r="A45" s="694"/>
      <c r="B45" s="698"/>
      <c r="C45" s="698"/>
      <c r="D45" s="721"/>
      <c r="E45" s="722"/>
      <c r="F45" s="722"/>
      <c r="G45" s="722"/>
      <c r="H45" s="722"/>
      <c r="I45" s="722"/>
      <c r="J45" s="722"/>
      <c r="K45" s="722"/>
      <c r="L45" s="722"/>
      <c r="M45" s="722"/>
      <c r="N45" s="723"/>
      <c r="O45" s="336"/>
      <c r="P45" s="302"/>
      <c r="Q45" s="343"/>
      <c r="R45" s="343"/>
      <c r="S45" s="343"/>
      <c r="T45" s="343"/>
      <c r="U45" s="343"/>
      <c r="V45" s="343"/>
      <c r="W45" s="343"/>
      <c r="X45" s="343"/>
      <c r="Y45" s="343"/>
    </row>
    <row r="46" spans="1:25" ht="12.75" customHeight="1" x14ac:dyDescent="0.25">
      <c r="A46" s="694"/>
      <c r="B46" s="698"/>
      <c r="C46" s="698"/>
      <c r="D46" s="698"/>
      <c r="E46" s="698"/>
      <c r="F46" s="698"/>
      <c r="G46" s="698"/>
      <c r="H46" s="698"/>
      <c r="I46" s="698"/>
      <c r="J46" s="698"/>
      <c r="K46" s="698"/>
      <c r="L46" s="698"/>
      <c r="M46" s="698"/>
      <c r="N46" s="698"/>
      <c r="O46" s="698"/>
      <c r="P46" s="698"/>
      <c r="Q46" s="343"/>
      <c r="R46" s="343"/>
      <c r="S46" s="343"/>
      <c r="T46" s="343"/>
      <c r="U46" s="343"/>
      <c r="V46" s="343"/>
      <c r="W46" s="343"/>
      <c r="X46" s="343"/>
      <c r="Y46" s="343"/>
    </row>
    <row r="47" spans="1:25" ht="15.5" x14ac:dyDescent="0.35">
      <c r="A47" s="694"/>
      <c r="B47" s="284"/>
      <c r="C47" s="327" t="s">
        <v>908</v>
      </c>
      <c r="D47" s="2245" t="str">
        <f>Translations!$B$74</f>
        <v>Идентификация на инсталацията</v>
      </c>
      <c r="E47" s="2245"/>
      <c r="F47" s="2245"/>
      <c r="G47" s="2245"/>
      <c r="H47" s="2245"/>
      <c r="I47" s="2245"/>
      <c r="J47" s="2245"/>
      <c r="K47" s="2245"/>
      <c r="L47" s="2245"/>
      <c r="M47" s="2245"/>
      <c r="N47" s="2245"/>
      <c r="O47" s="336"/>
      <c r="P47" s="302"/>
      <c r="Q47" s="695"/>
      <c r="R47" s="343"/>
      <c r="S47" s="343"/>
      <c r="T47" s="343"/>
      <c r="U47" s="343"/>
      <c r="V47" s="343"/>
      <c r="W47" s="343"/>
      <c r="X47" s="343"/>
      <c r="Y47" s="343"/>
    </row>
    <row r="48" spans="1:25" ht="5.15" customHeight="1" x14ac:dyDescent="0.25">
      <c r="A48" s="694"/>
      <c r="B48" s="698"/>
      <c r="C48" s="698"/>
      <c r="D48" s="698"/>
      <c r="E48" s="698"/>
      <c r="F48" s="698"/>
      <c r="G48" s="698"/>
      <c r="H48" s="698"/>
      <c r="I48" s="698"/>
      <c r="J48" s="698"/>
      <c r="K48" s="698"/>
      <c r="L48" s="698"/>
      <c r="M48" s="698"/>
      <c r="N48" s="698"/>
      <c r="O48" s="336"/>
      <c r="P48" s="302"/>
      <c r="Q48" s="343"/>
      <c r="R48" s="343"/>
      <c r="S48" s="343"/>
      <c r="T48" s="343"/>
      <c r="U48" s="343"/>
      <c r="V48" s="343"/>
      <c r="W48" s="343"/>
      <c r="X48" s="343"/>
      <c r="Y48" s="343"/>
    </row>
    <row r="49" spans="1:25" ht="14" x14ac:dyDescent="0.3">
      <c r="A49" s="694"/>
      <c r="B49" s="698"/>
      <c r="C49" s="357">
        <v>1</v>
      </c>
      <c r="D49" s="2323" t="str">
        <f>Translations!$B$75</f>
        <v>Обща информация:</v>
      </c>
      <c r="E49" s="2249"/>
      <c r="F49" s="2249"/>
      <c r="G49" s="2249"/>
      <c r="H49" s="2249"/>
      <c r="I49" s="2249"/>
      <c r="J49" s="2249"/>
      <c r="K49" s="2249"/>
      <c r="L49" s="2249"/>
      <c r="M49" s="2249"/>
      <c r="N49" s="2249"/>
      <c r="O49" s="698"/>
      <c r="P49" s="302"/>
      <c r="Q49" s="343"/>
      <c r="R49" s="343"/>
      <c r="S49" s="343"/>
      <c r="T49" s="343"/>
      <c r="U49" s="343"/>
      <c r="V49" s="343"/>
      <c r="W49" s="343"/>
      <c r="X49" s="343"/>
      <c r="Y49" s="343"/>
    </row>
    <row r="50" spans="1:25" ht="5.15" customHeight="1" x14ac:dyDescent="0.25">
      <c r="A50" s="694"/>
      <c r="B50" s="284"/>
      <c r="C50" s="284"/>
      <c r="D50" s="284"/>
      <c r="E50" s="284"/>
      <c r="F50" s="284"/>
      <c r="G50" s="284"/>
      <c r="H50" s="284"/>
      <c r="I50" s="284"/>
      <c r="J50" s="284"/>
      <c r="K50" s="284"/>
      <c r="L50" s="284"/>
      <c r="M50" s="336"/>
      <c r="N50" s="336"/>
      <c r="O50" s="336"/>
      <c r="P50" s="302"/>
      <c r="Q50" s="695"/>
      <c r="R50" s="343"/>
      <c r="S50" s="343"/>
      <c r="T50" s="343"/>
      <c r="U50" s="343"/>
      <c r="V50" s="343"/>
      <c r="W50" s="343"/>
      <c r="X50" s="343"/>
      <c r="Y50" s="343"/>
    </row>
    <row r="51" spans="1:25" ht="13" x14ac:dyDescent="0.25">
      <c r="A51" s="694"/>
      <c r="B51" s="698"/>
      <c r="C51" s="698"/>
      <c r="D51" s="724" t="s">
        <v>408</v>
      </c>
      <c r="E51" s="2226" t="str">
        <f>Translations!$B$78</f>
        <v>Държава членка, в която се намира инсталацията:</v>
      </c>
      <c r="F51" s="2249"/>
      <c r="G51" s="2249"/>
      <c r="H51" s="2249"/>
      <c r="I51" s="2295"/>
      <c r="J51" s="2399" t="str">
        <f>c_NIMsSummary!M22</f>
        <v/>
      </c>
      <c r="K51" s="2400"/>
      <c r="L51" s="2400"/>
      <c r="M51" s="2400"/>
      <c r="N51" s="2401"/>
      <c r="O51" s="698"/>
      <c r="P51" s="725"/>
      <c r="Q51" s="343"/>
      <c r="R51" s="343"/>
      <c r="S51" s="343"/>
      <c r="T51" s="343"/>
      <c r="U51" s="343"/>
      <c r="V51" s="343"/>
      <c r="W51" s="343"/>
      <c r="X51" s="343"/>
      <c r="Y51" s="716" t="b">
        <f>OR(CNTR_Incumbent=FALSE,CTRL_InputMethodNIMsvalues=2)</f>
        <v>0</v>
      </c>
    </row>
    <row r="52" spans="1:25" ht="13" x14ac:dyDescent="0.25">
      <c r="A52" s="694"/>
      <c r="B52" s="698"/>
      <c r="C52" s="698"/>
      <c r="D52" s="724"/>
      <c r="E52" s="724"/>
      <c r="F52" s="724"/>
      <c r="G52" s="724"/>
      <c r="H52" s="724"/>
      <c r="I52" s="724"/>
      <c r="J52" s="2378"/>
      <c r="K52" s="2379"/>
      <c r="L52" s="2379"/>
      <c r="M52" s="2379"/>
      <c r="N52" s="2380"/>
      <c r="O52" s="698"/>
      <c r="P52" s="181"/>
      <c r="Q52" s="343"/>
      <c r="R52" s="343"/>
      <c r="S52" s="343"/>
      <c r="T52" s="343"/>
      <c r="U52" s="343"/>
      <c r="V52" s="343"/>
      <c r="W52" s="343"/>
      <c r="X52" s="343"/>
      <c r="Y52" s="716" t="b">
        <f>CTRL_InputMethodNIMsvalues=1</f>
        <v>0</v>
      </c>
    </row>
    <row r="53" spans="1:25" ht="13" x14ac:dyDescent="0.25">
      <c r="A53" s="694"/>
      <c r="B53" s="698"/>
      <c r="C53" s="698"/>
      <c r="D53" s="724"/>
      <c r="E53" s="724"/>
      <c r="F53" s="724"/>
      <c r="G53" s="724"/>
      <c r="H53" s="724"/>
      <c r="I53" s="724"/>
      <c r="J53" s="2296" t="str">
        <f>IF(J52="",IF(AND(COUNTIF(EUconst_MSlist,J51)=0,J51&lt;&gt;""),EUconst_ERR_LinkToNIMs,J51),J52)</f>
        <v/>
      </c>
      <c r="K53" s="2297"/>
      <c r="L53" s="2297"/>
      <c r="M53" s="2297"/>
      <c r="N53" s="2298"/>
      <c r="O53" s="698"/>
      <c r="Q53" s="343"/>
      <c r="R53" s="343"/>
      <c r="S53" s="343"/>
      <c r="T53" s="343"/>
      <c r="U53" s="343"/>
      <c r="V53" s="343"/>
      <c r="W53" s="343"/>
      <c r="X53" s="343"/>
      <c r="Y53" s="343"/>
    </row>
    <row r="54" spans="1:25" x14ac:dyDescent="0.25">
      <c r="A54" s="694"/>
      <c r="B54" s="698"/>
      <c r="C54" s="698"/>
      <c r="D54" s="302"/>
      <c r="E54" s="2358" t="str">
        <f>Translations!$B$79</f>
        <v>Тук „държава членка“ означава: Държава, която участва в СТЕ на ЕС, т.е. държава — членка на ЕС, както и Исландия, Лихтенщайн и Норвегия.</v>
      </c>
      <c r="F54" s="2249"/>
      <c r="G54" s="2249"/>
      <c r="H54" s="2249"/>
      <c r="I54" s="2249"/>
      <c r="J54" s="2249"/>
      <c r="K54" s="2249"/>
      <c r="L54" s="2249"/>
      <c r="M54" s="2249"/>
      <c r="N54" s="2249"/>
      <c r="O54" s="698"/>
      <c r="P54" s="302"/>
      <c r="Q54" s="343"/>
      <c r="R54" s="343"/>
      <c r="S54" s="343"/>
      <c r="T54" s="343"/>
      <c r="U54" s="343"/>
      <c r="V54" s="343"/>
      <c r="W54" s="343"/>
      <c r="X54" s="343"/>
      <c r="Y54" s="343"/>
    </row>
    <row r="55" spans="1:25" x14ac:dyDescent="0.25">
      <c r="A55" s="694"/>
      <c r="B55" s="698"/>
      <c r="C55" s="698"/>
      <c r="D55" s="698"/>
      <c r="E55" s="698"/>
      <c r="F55" s="698"/>
      <c r="G55" s="698"/>
      <c r="H55" s="698"/>
      <c r="I55" s="698"/>
      <c r="J55" s="698"/>
      <c r="K55" s="698"/>
      <c r="L55" s="698"/>
      <c r="M55" s="698"/>
      <c r="N55" s="698"/>
      <c r="O55" s="698"/>
      <c r="P55" s="302"/>
      <c r="Q55" s="343"/>
      <c r="R55" s="343"/>
      <c r="S55" s="343"/>
      <c r="T55" s="343"/>
      <c r="U55" s="343"/>
      <c r="V55" s="343"/>
      <c r="W55" s="343"/>
      <c r="X55" s="343"/>
      <c r="Y55" s="343"/>
    </row>
    <row r="56" spans="1:25" ht="13" x14ac:dyDescent="0.25">
      <c r="A56" s="694"/>
      <c r="B56" s="698"/>
      <c r="C56" s="698"/>
      <c r="D56" s="724" t="s">
        <v>901</v>
      </c>
      <c r="E56" s="2226" t="str">
        <f>Translations!$B$1239</f>
        <v>Идентификационен код на инсталацията от регистъра (EUTL):</v>
      </c>
      <c r="F56" s="2249"/>
      <c r="G56" s="2249"/>
      <c r="H56" s="2249"/>
      <c r="I56" s="2295"/>
      <c r="J56" s="2481" t="str">
        <f>c_NIMsSummary!J1660</f>
        <v/>
      </c>
      <c r="K56" s="2482"/>
      <c r="L56" s="2482"/>
      <c r="M56" s="2482"/>
      <c r="N56" s="2483"/>
      <c r="O56" s="698"/>
      <c r="P56" s="302"/>
      <c r="Q56" s="343"/>
      <c r="R56" s="343"/>
      <c r="S56" s="343"/>
      <c r="T56" s="343"/>
      <c r="U56" s="343"/>
      <c r="V56" s="343"/>
      <c r="W56" s="343"/>
      <c r="X56" s="343"/>
      <c r="Y56" s="716" t="b">
        <f>OR(CNTR_Incumbent=FALSE,CTRL_InputMethodNIMsvalues=2)</f>
        <v>0</v>
      </c>
    </row>
    <row r="57" spans="1:25" ht="13" x14ac:dyDescent="0.25">
      <c r="A57" s="694"/>
      <c r="B57" s="698"/>
      <c r="C57" s="698"/>
      <c r="D57" s="724"/>
      <c r="E57" s="726"/>
      <c r="F57" s="726"/>
      <c r="G57" s="726"/>
      <c r="H57" s="726"/>
      <c r="I57" s="726"/>
      <c r="J57" s="2378"/>
      <c r="K57" s="2379"/>
      <c r="L57" s="2379"/>
      <c r="M57" s="2379"/>
      <c r="N57" s="2380"/>
      <c r="O57" s="698"/>
      <c r="P57" s="181"/>
      <c r="Q57" s="343"/>
      <c r="R57" s="343"/>
      <c r="S57" s="343"/>
      <c r="T57" s="343"/>
      <c r="U57" s="343"/>
      <c r="V57" s="343"/>
      <c r="W57" s="343"/>
      <c r="X57" s="343"/>
      <c r="Y57" s="716" t="b">
        <f>CTRL_InputMethodNIMsvalues=1</f>
        <v>0</v>
      </c>
    </row>
    <row r="58" spans="1:25" x14ac:dyDescent="0.25">
      <c r="A58" s="694"/>
      <c r="B58" s="698"/>
      <c r="C58" s="698"/>
      <c r="D58" s="698"/>
      <c r="E58" s="2358" t="str">
        <f>Translations!$B$1240</f>
        <v>Обикновено това е естествено число, използвано в регистъра (EUTL).</v>
      </c>
      <c r="F58" s="2249"/>
      <c r="G58" s="2249"/>
      <c r="H58" s="2249"/>
      <c r="I58" s="2249"/>
      <c r="J58" s="2249"/>
      <c r="K58" s="2249"/>
      <c r="L58" s="2249"/>
      <c r="M58" s="2249"/>
      <c r="N58" s="2249"/>
      <c r="O58" s="698"/>
      <c r="P58" s="302"/>
      <c r="Q58" s="343"/>
      <c r="R58" s="343"/>
      <c r="S58" s="343"/>
      <c r="T58" s="343"/>
      <c r="U58" s="343"/>
      <c r="V58" s="343"/>
      <c r="W58" s="343"/>
      <c r="X58" s="343"/>
      <c r="Y58" s="343"/>
    </row>
    <row r="59" spans="1:25" ht="38.25" customHeight="1" x14ac:dyDescent="0.25">
      <c r="A59" s="694"/>
      <c r="B59" s="698"/>
      <c r="C59" s="698"/>
      <c r="D59" s="698"/>
      <c r="E59" s="2358" t="str">
        <f>Translations!$B$1241</f>
        <v>Заедно с държавата членка, избрана в а), с въвеждането на този идентификационен номер от регистъра (уникален идентификационен номер) във в) по-долу автоматично ще се покаже уникалният идентификационен номер. Така например, ако инсталацията с идентификационен номер от регистъра 123456 се намира в Белгия, това ще изведе номер „BE000000000123456“. Ако инсталацията Ви е получила безплатно разпределение през предходния етап на СТЕ на ЕС, моля, проверете дали уникалният идентификационен номер е същият като използвания през предходния етап.</v>
      </c>
      <c r="F59" s="2249"/>
      <c r="G59" s="2249"/>
      <c r="H59" s="2249"/>
      <c r="I59" s="2249"/>
      <c r="J59" s="2249"/>
      <c r="K59" s="2249"/>
      <c r="L59" s="2249"/>
      <c r="M59" s="2249"/>
      <c r="N59" s="2249"/>
      <c r="O59" s="698"/>
      <c r="P59" s="302"/>
      <c r="Q59" s="695"/>
      <c r="R59" s="343"/>
      <c r="S59" s="343"/>
      <c r="T59" s="343"/>
      <c r="U59" s="343"/>
      <c r="V59" s="343"/>
      <c r="W59" s="343"/>
      <c r="X59" s="343"/>
      <c r="Y59" s="343"/>
    </row>
    <row r="60" spans="1:25" ht="5.15" customHeight="1" x14ac:dyDescent="0.25">
      <c r="A60" s="694"/>
      <c r="B60" s="284"/>
      <c r="C60" s="284"/>
      <c r="D60" s="284"/>
      <c r="E60" s="284"/>
      <c r="F60" s="284"/>
      <c r="G60" s="284"/>
      <c r="H60" s="284"/>
      <c r="I60" s="284"/>
      <c r="J60" s="284"/>
      <c r="K60" s="284"/>
      <c r="L60" s="284"/>
      <c r="M60" s="336"/>
      <c r="N60" s="336"/>
      <c r="O60" s="336"/>
      <c r="P60" s="302"/>
      <c r="Q60" s="695"/>
      <c r="R60" s="343"/>
      <c r="S60" s="343"/>
      <c r="T60" s="343"/>
      <c r="U60" s="343"/>
      <c r="V60" s="343"/>
      <c r="W60" s="343"/>
      <c r="X60" s="343"/>
      <c r="Y60" s="343"/>
    </row>
    <row r="61" spans="1:25" ht="13" x14ac:dyDescent="0.25">
      <c r="A61" s="694"/>
      <c r="B61" s="698"/>
      <c r="C61" s="698"/>
      <c r="D61" s="300" t="s">
        <v>46</v>
      </c>
      <c r="E61" s="2226" t="str">
        <f>Translations!$B$85</f>
        <v>Уникален идентификационен номер за уведомяване на Комисията:</v>
      </c>
      <c r="F61" s="2249"/>
      <c r="G61" s="2249"/>
      <c r="H61" s="2249"/>
      <c r="I61" s="2295"/>
      <c r="J61" s="2296" t="str">
        <f>IF(AND(NOT(ISBLANK(J53)),ISNUMBER(J57)),CONCATENATE(INDEX(EUconst_MSlistEUTLcodes,MATCH(J53,EUconst_MSlist,0)),TEXT(J57,"000000000000000")),IF(J56="","",CONCATENATE(INDEX(EUconst_MSlistEUTLcodes,MATCH(J53,EUconst_MSlist,0)),TEXT(J56,"000000000000000"))))</f>
        <v/>
      </c>
      <c r="K61" s="2297"/>
      <c r="L61" s="2297"/>
      <c r="M61" s="2297"/>
      <c r="N61" s="2298"/>
      <c r="O61" s="336"/>
      <c r="P61" s="302"/>
      <c r="Q61" s="727" t="s">
        <v>1428</v>
      </c>
      <c r="R61" s="711"/>
      <c r="S61" s="343"/>
      <c r="T61" s="343"/>
      <c r="U61" s="343"/>
      <c r="V61" s="343"/>
      <c r="W61" s="343"/>
      <c r="X61" s="343"/>
      <c r="Y61" s="343"/>
    </row>
    <row r="62" spans="1:25" ht="5.15" customHeight="1" x14ac:dyDescent="0.25">
      <c r="A62" s="694"/>
      <c r="B62" s="284"/>
      <c r="C62" s="284"/>
      <c r="D62" s="284"/>
      <c r="E62" s="284"/>
      <c r="F62" s="284"/>
      <c r="G62" s="284"/>
      <c r="H62" s="284"/>
      <c r="I62" s="284"/>
      <c r="J62" s="284"/>
      <c r="K62" s="284"/>
      <c r="L62" s="284"/>
      <c r="M62" s="336"/>
      <c r="N62" s="336"/>
      <c r="O62" s="336"/>
      <c r="P62" s="302"/>
      <c r="Q62" s="695"/>
      <c r="R62" s="343"/>
      <c r="S62" s="343"/>
      <c r="T62" s="343"/>
      <c r="U62" s="343"/>
      <c r="V62" s="343"/>
      <c r="W62" s="343"/>
      <c r="X62" s="343"/>
      <c r="Y62" s="343"/>
    </row>
    <row r="63" spans="1:25" ht="13" x14ac:dyDescent="0.25">
      <c r="A63" s="694"/>
      <c r="B63" s="698"/>
      <c r="C63" s="698"/>
      <c r="D63" s="724" t="s">
        <v>906</v>
      </c>
      <c r="E63" s="2226" t="str">
        <f>Translations!$B$80</f>
        <v>Уникален идентификатор, предоставен от компетентния орган:</v>
      </c>
      <c r="F63" s="2249"/>
      <c r="G63" s="2249"/>
      <c r="H63" s="2249"/>
      <c r="I63" s="2295"/>
      <c r="J63" s="2399" t="str">
        <f>c_NIMsSummary!J1658</f>
        <v/>
      </c>
      <c r="K63" s="2400"/>
      <c r="L63" s="2400"/>
      <c r="M63" s="2400"/>
      <c r="N63" s="2401"/>
      <c r="Q63" s="343"/>
      <c r="R63" s="343"/>
      <c r="S63" s="343"/>
      <c r="T63" s="343"/>
      <c r="U63" s="343"/>
      <c r="V63" s="343"/>
      <c r="W63" s="343"/>
      <c r="X63" s="343"/>
      <c r="Y63" s="716" t="b">
        <f>OR(CNTR_Incumbent=FALSE,CTRL_InputMethodNIMsvalues=2)</f>
        <v>0</v>
      </c>
    </row>
    <row r="64" spans="1:25" ht="13" x14ac:dyDescent="0.25">
      <c r="A64" s="694"/>
      <c r="B64" s="698"/>
      <c r="C64" s="698"/>
      <c r="D64" s="724"/>
      <c r="E64" s="726"/>
      <c r="F64" s="726"/>
      <c r="G64" s="726"/>
      <c r="H64" s="726"/>
      <c r="I64" s="726"/>
      <c r="J64" s="2387"/>
      <c r="K64" s="2388"/>
      <c r="L64" s="2388"/>
      <c r="M64" s="2388"/>
      <c r="N64" s="2389"/>
      <c r="O64" s="698"/>
      <c r="P64" s="181"/>
      <c r="Q64" s="343"/>
      <c r="R64" s="343"/>
      <c r="S64" s="343"/>
      <c r="T64" s="343"/>
      <c r="U64" s="343"/>
      <c r="V64" s="343"/>
      <c r="W64" s="343"/>
      <c r="X64" s="343"/>
      <c r="Y64" s="716" t="b">
        <f>CTRL_InputMethodNIMsvalues=1</f>
        <v>0</v>
      </c>
    </row>
    <row r="65" spans="1:25" ht="13" x14ac:dyDescent="0.25">
      <c r="A65" s="694"/>
      <c r="B65" s="698"/>
      <c r="C65" s="698"/>
      <c r="D65" s="724"/>
      <c r="E65" s="726"/>
      <c r="F65" s="726"/>
      <c r="G65" s="726"/>
      <c r="H65" s="726"/>
      <c r="I65" s="726"/>
      <c r="J65" s="2296" t="str">
        <f>IF(J64="",J63,J64)</f>
        <v/>
      </c>
      <c r="K65" s="2297"/>
      <c r="L65" s="2297"/>
      <c r="M65" s="2297"/>
      <c r="N65" s="2298"/>
      <c r="O65" s="698"/>
      <c r="P65" s="302"/>
      <c r="Q65" s="343"/>
      <c r="R65" s="343"/>
      <c r="S65" s="343"/>
      <c r="T65" s="343"/>
      <c r="U65" s="343"/>
      <c r="V65" s="343"/>
      <c r="W65" s="343"/>
      <c r="X65" s="343"/>
      <c r="Y65" s="343"/>
    </row>
    <row r="66" spans="1:25" x14ac:dyDescent="0.25">
      <c r="A66" s="694"/>
      <c r="B66" s="698"/>
      <c r="C66" s="698"/>
      <c r="D66" s="698"/>
      <c r="E66" s="2358" t="str">
        <f>Translations!$B$81</f>
        <v>Това е идентификационният номер, който компетентният орган използва за кореспонденция с инсталацията, напр. с цел безплатно разпределение на квоти през по-ранни периоди.</v>
      </c>
      <c r="F66" s="2249"/>
      <c r="G66" s="2249"/>
      <c r="H66" s="2249"/>
      <c r="I66" s="2249"/>
      <c r="J66" s="2249"/>
      <c r="K66" s="2249"/>
      <c r="L66" s="2249"/>
      <c r="M66" s="2249"/>
      <c r="N66" s="2249"/>
      <c r="O66" s="698"/>
      <c r="P66" s="302"/>
      <c r="Q66" s="343"/>
      <c r="R66" s="343"/>
      <c r="S66" s="343"/>
      <c r="T66" s="343"/>
      <c r="U66" s="343"/>
      <c r="V66" s="343"/>
      <c r="W66" s="343"/>
      <c r="X66" s="343"/>
      <c r="Y66" s="343"/>
    </row>
    <row r="67" spans="1:25" ht="12.75" customHeight="1" x14ac:dyDescent="0.25">
      <c r="A67" s="694"/>
      <c r="B67" s="698"/>
      <c r="C67" s="698"/>
      <c r="D67" s="698"/>
      <c r="E67" s="2358" t="str">
        <f>Translations!$B$82</f>
        <v>При инсталации, които досега не са включвани в СТЕ на ЕС, от операторите се изисква да се обърнат към компетентния орган, за да получат такъв идентификационен номер.</v>
      </c>
      <c r="F67" s="2249"/>
      <c r="G67" s="2249"/>
      <c r="H67" s="2249"/>
      <c r="I67" s="2249"/>
      <c r="J67" s="2249"/>
      <c r="K67" s="2249"/>
      <c r="L67" s="2249"/>
      <c r="M67" s="2249"/>
      <c r="N67" s="2249"/>
      <c r="O67" s="698"/>
      <c r="P67" s="302"/>
      <c r="Q67" s="343"/>
      <c r="R67" s="343"/>
      <c r="S67" s="343"/>
      <c r="T67" s="343"/>
      <c r="U67" s="343"/>
      <c r="V67" s="343"/>
      <c r="W67" s="343"/>
      <c r="X67" s="343"/>
      <c r="Y67" s="343"/>
    </row>
    <row r="68" spans="1:25" ht="12.75" customHeight="1" x14ac:dyDescent="0.25">
      <c r="A68" s="694"/>
      <c r="B68" s="698"/>
      <c r="C68" s="698"/>
      <c r="D68" s="698"/>
      <c r="E68" s="2358" t="str">
        <f>Translations!$B$83</f>
        <v xml:space="preserve">Компетентните органи трябва да осигурят уникален идентификационен номер, преди да изпратят каквито и да било данни към Европейската комисия. </v>
      </c>
      <c r="F68" s="2249"/>
      <c r="G68" s="2249"/>
      <c r="H68" s="2249"/>
      <c r="I68" s="2249"/>
      <c r="J68" s="2249"/>
      <c r="K68" s="2249"/>
      <c r="L68" s="2249"/>
      <c r="M68" s="2249"/>
      <c r="N68" s="2249"/>
      <c r="O68" s="698"/>
      <c r="P68" s="302"/>
      <c r="Q68" s="343"/>
      <c r="R68" s="343"/>
      <c r="S68" s="343"/>
      <c r="T68" s="343"/>
      <c r="U68" s="343"/>
      <c r="V68" s="343"/>
      <c r="W68" s="343"/>
      <c r="X68" s="343"/>
      <c r="Y68" s="343"/>
    </row>
    <row r="69" spans="1:25" ht="5.15" customHeight="1" x14ac:dyDescent="0.25">
      <c r="A69" s="694"/>
      <c r="B69" s="284"/>
      <c r="C69" s="284"/>
      <c r="D69" s="284"/>
      <c r="E69" s="284"/>
      <c r="F69" s="284"/>
      <c r="G69" s="284"/>
      <c r="H69" s="284"/>
      <c r="I69" s="284"/>
      <c r="J69" s="284"/>
      <c r="K69" s="284"/>
      <c r="L69" s="284"/>
      <c r="M69" s="336"/>
      <c r="N69" s="336"/>
      <c r="O69" s="336"/>
      <c r="P69" s="302"/>
      <c r="Q69" s="695"/>
      <c r="R69" s="343"/>
      <c r="S69" s="343"/>
      <c r="T69" s="343"/>
      <c r="U69" s="343"/>
      <c r="V69" s="343"/>
      <c r="W69" s="343"/>
      <c r="X69" s="343"/>
      <c r="Y69" s="343"/>
    </row>
    <row r="70" spans="1:25" ht="13" x14ac:dyDescent="0.25">
      <c r="A70" s="694"/>
      <c r="B70" s="698"/>
      <c r="C70" s="698"/>
      <c r="D70" s="300" t="s">
        <v>54</v>
      </c>
      <c r="E70" s="2226" t="str">
        <f>Translations!$B$76</f>
        <v>Наименование на инсталацията:</v>
      </c>
      <c r="F70" s="2249"/>
      <c r="G70" s="2249"/>
      <c r="H70" s="2249"/>
      <c r="I70" s="2295"/>
      <c r="J70" s="2399" t="str">
        <f>c_NIMsSummary!H23</f>
        <v/>
      </c>
      <c r="K70" s="2400"/>
      <c r="L70" s="2400"/>
      <c r="M70" s="2400"/>
      <c r="N70" s="2401"/>
      <c r="O70" s="698"/>
      <c r="P70" s="302"/>
      <c r="Q70" s="343"/>
      <c r="R70" s="343"/>
      <c r="S70" s="343"/>
      <c r="T70" s="343"/>
      <c r="U70" s="343"/>
      <c r="V70" s="343"/>
      <c r="W70" s="343"/>
      <c r="X70" s="343"/>
      <c r="Y70" s="716" t="b">
        <f>OR(CNTR_Incumbent=FALSE,CTRL_InputMethodNIMsvalues=2)</f>
        <v>0</v>
      </c>
    </row>
    <row r="71" spans="1:25" ht="13" x14ac:dyDescent="0.25">
      <c r="A71" s="694"/>
      <c r="B71" s="698"/>
      <c r="C71" s="698"/>
      <c r="D71" s="300"/>
      <c r="E71" s="728"/>
      <c r="F71" s="728"/>
      <c r="G71" s="728"/>
      <c r="H71" s="728"/>
      <c r="I71" s="728"/>
      <c r="J71" s="2387"/>
      <c r="K71" s="2388"/>
      <c r="L71" s="2388"/>
      <c r="M71" s="2388"/>
      <c r="N71" s="2389"/>
      <c r="O71" s="698"/>
      <c r="P71" s="181"/>
      <c r="Q71" s="343"/>
      <c r="R71" s="343"/>
      <c r="S71" s="343"/>
      <c r="T71" s="343"/>
      <c r="U71" s="343"/>
      <c r="V71" s="343"/>
      <c r="W71" s="343"/>
      <c r="X71" s="343"/>
      <c r="Y71" s="716" t="b">
        <f>CTRL_InputMethodNIMsvalues=1</f>
        <v>0</v>
      </c>
    </row>
    <row r="72" spans="1:25" ht="13" x14ac:dyDescent="0.25">
      <c r="A72" s="694"/>
      <c r="B72" s="698"/>
      <c r="C72" s="698"/>
      <c r="D72" s="300"/>
      <c r="E72" s="728"/>
      <c r="F72" s="728"/>
      <c r="G72" s="728"/>
      <c r="H72" s="728"/>
      <c r="I72" s="728"/>
      <c r="J72" s="2296" t="str">
        <f>IF(J71="",J70,J71)</f>
        <v/>
      </c>
      <c r="K72" s="2297"/>
      <c r="L72" s="2297"/>
      <c r="M72" s="2297"/>
      <c r="N72" s="2298"/>
      <c r="O72" s="698"/>
      <c r="P72" s="302"/>
      <c r="Q72" s="343"/>
      <c r="R72" s="343"/>
      <c r="S72" s="343"/>
      <c r="T72" s="343"/>
      <c r="U72" s="343"/>
      <c r="V72" s="343"/>
      <c r="W72" s="343"/>
      <c r="X72" s="343"/>
      <c r="Y72" s="343"/>
    </row>
    <row r="73" spans="1:25" x14ac:dyDescent="0.25">
      <c r="A73" s="694"/>
      <c r="B73" s="698"/>
      <c r="C73" s="698"/>
      <c r="D73" s="302"/>
      <c r="E73" s="2358" t="str">
        <f>Translations!$B$77</f>
        <v>Това име трябва да съответства на вече използваното име за кореспонденция с компетентния орган.</v>
      </c>
      <c r="F73" s="2249"/>
      <c r="G73" s="2249"/>
      <c r="H73" s="2249"/>
      <c r="I73" s="2249"/>
      <c r="J73" s="2249"/>
      <c r="K73" s="2249"/>
      <c r="L73" s="2249"/>
      <c r="M73" s="2249"/>
      <c r="N73" s="2249"/>
      <c r="O73" s="698"/>
      <c r="P73" s="302"/>
      <c r="Q73" s="343"/>
      <c r="R73" s="343"/>
      <c r="S73" s="343"/>
      <c r="T73" s="343"/>
      <c r="U73" s="343"/>
      <c r="V73" s="343"/>
      <c r="W73" s="343"/>
      <c r="X73" s="343"/>
      <c r="Y73" s="343"/>
    </row>
    <row r="74" spans="1:25" ht="5.15" customHeight="1" x14ac:dyDescent="0.25">
      <c r="A74" s="694"/>
      <c r="B74" s="284"/>
      <c r="C74" s="284"/>
      <c r="D74" s="284"/>
      <c r="E74" s="284"/>
      <c r="F74" s="284"/>
      <c r="G74" s="284"/>
      <c r="H74" s="284"/>
      <c r="I74" s="284"/>
      <c r="J74" s="284"/>
      <c r="K74" s="284"/>
      <c r="L74" s="284"/>
      <c r="M74" s="336"/>
      <c r="N74" s="336"/>
      <c r="O74" s="336"/>
      <c r="P74" s="302"/>
      <c r="Q74" s="695"/>
      <c r="R74" s="343"/>
      <c r="S74" s="343"/>
      <c r="T74" s="343"/>
      <c r="U74" s="343"/>
      <c r="V74" s="343"/>
      <c r="W74" s="343"/>
      <c r="X74" s="343"/>
      <c r="Y74" s="343"/>
    </row>
    <row r="75" spans="1:25" s="364" customFormat="1" ht="13" x14ac:dyDescent="0.25">
      <c r="A75" s="729"/>
      <c r="B75" s="302"/>
      <c r="C75" s="302"/>
      <c r="D75" s="724" t="s">
        <v>273</v>
      </c>
      <c r="E75" s="2226" t="str">
        <f>Translations!$B$94</f>
        <v>Дата на въвеждане на инсталацията в експлоатация:</v>
      </c>
      <c r="F75" s="2249"/>
      <c r="G75" s="2249"/>
      <c r="H75" s="2249"/>
      <c r="I75" s="2295"/>
      <c r="J75" s="730" t="str">
        <f>c_NIMsSummary!H29</f>
        <v/>
      </c>
      <c r="Q75" s="711"/>
      <c r="R75" s="711"/>
      <c r="S75" s="711"/>
      <c r="T75" s="711"/>
      <c r="U75" s="711"/>
      <c r="V75" s="711"/>
      <c r="W75" s="711"/>
      <c r="X75" s="343"/>
      <c r="Y75" s="716" t="b">
        <f>CTRL_InputMethodNIMsvalues=2</f>
        <v>0</v>
      </c>
    </row>
    <row r="76" spans="1:25" s="364" customFormat="1" ht="13" x14ac:dyDescent="0.25">
      <c r="A76" s="729"/>
      <c r="B76" s="302"/>
      <c r="C76" s="302"/>
      <c r="D76" s="724"/>
      <c r="E76" s="724"/>
      <c r="F76" s="724"/>
      <c r="G76" s="724"/>
      <c r="H76" s="724"/>
      <c r="I76" s="724"/>
      <c r="J76" s="178"/>
      <c r="K76" s="368"/>
      <c r="L76" s="368"/>
      <c r="M76" s="302"/>
      <c r="N76" s="302"/>
      <c r="O76" s="336"/>
      <c r="P76" s="181"/>
      <c r="Q76" s="711"/>
      <c r="R76" s="711"/>
      <c r="S76" s="711"/>
      <c r="T76" s="711"/>
      <c r="U76" s="711"/>
      <c r="V76" s="711"/>
      <c r="W76" s="711"/>
      <c r="X76" s="343"/>
      <c r="Y76" s="716" t="b">
        <f>AND(J14&lt;&gt;"",J14=FALSE)</f>
        <v>0</v>
      </c>
    </row>
    <row r="77" spans="1:25" s="364" customFormat="1" ht="13" x14ac:dyDescent="0.25">
      <c r="A77" s="729"/>
      <c r="B77" s="302"/>
      <c r="C77" s="302"/>
      <c r="D77" s="724"/>
      <c r="E77" s="724"/>
      <c r="F77" s="724"/>
      <c r="G77" s="724"/>
      <c r="H77" s="724"/>
      <c r="I77" s="724"/>
      <c r="J77" s="731" t="str">
        <f>IF(J76="",J75,J76)</f>
        <v/>
      </c>
      <c r="K77" s="368"/>
      <c r="L77" s="368"/>
      <c r="M77" s="302"/>
      <c r="N77" s="302"/>
      <c r="O77" s="336"/>
      <c r="P77" s="302"/>
      <c r="Q77" s="711"/>
      <c r="R77" s="711"/>
      <c r="S77" s="711"/>
      <c r="T77" s="711"/>
      <c r="U77" s="711"/>
      <c r="V77" s="711"/>
      <c r="W77" s="711"/>
      <c r="X77" s="732"/>
      <c r="Y77" s="343"/>
    </row>
    <row r="78" spans="1:25" s="364" customFormat="1" x14ac:dyDescent="0.25">
      <c r="A78" s="729"/>
      <c r="B78" s="302"/>
      <c r="C78" s="302"/>
      <c r="D78" s="302"/>
      <c r="E78" s="2358" t="str">
        <f>Translations!$B$1242</f>
        <v>Въвеждането на тези данни е от значение само ако инсталацията е „нов участник“.</v>
      </c>
      <c r="F78" s="2249"/>
      <c r="G78" s="2249"/>
      <c r="H78" s="2249"/>
      <c r="I78" s="2249"/>
      <c r="J78" s="2249"/>
      <c r="K78" s="2249"/>
      <c r="L78" s="2249"/>
      <c r="M78" s="2249"/>
      <c r="N78" s="2249"/>
      <c r="O78" s="336"/>
      <c r="P78" s="302"/>
      <c r="Q78" s="711"/>
      <c r="R78" s="711"/>
      <c r="S78" s="711"/>
      <c r="T78" s="711"/>
      <c r="U78" s="711"/>
      <c r="V78" s="711"/>
      <c r="W78" s="711"/>
      <c r="X78" s="711"/>
      <c r="Y78" s="343"/>
    </row>
    <row r="79" spans="1:25" ht="5.15" customHeight="1" x14ac:dyDescent="0.25">
      <c r="A79" s="694"/>
      <c r="B79" s="284"/>
      <c r="C79" s="284"/>
      <c r="D79" s="284"/>
      <c r="E79" s="284"/>
      <c r="F79" s="284"/>
      <c r="G79" s="284"/>
      <c r="H79" s="284"/>
      <c r="I79" s="284"/>
      <c r="J79" s="284"/>
      <c r="K79" s="284"/>
      <c r="L79" s="284"/>
      <c r="M79" s="336"/>
      <c r="N79" s="336"/>
      <c r="O79" s="336"/>
      <c r="P79" s="302"/>
      <c r="Q79" s="695"/>
      <c r="R79" s="343"/>
      <c r="S79" s="343"/>
      <c r="T79" s="343"/>
      <c r="U79" s="343"/>
      <c r="V79" s="343"/>
      <c r="W79" s="343"/>
      <c r="X79" s="343"/>
      <c r="Y79" s="343"/>
    </row>
    <row r="80" spans="1:25" ht="13" x14ac:dyDescent="0.25">
      <c r="A80" s="694"/>
      <c r="B80" s="698"/>
      <c r="C80" s="698"/>
      <c r="D80" s="300" t="s">
        <v>277</v>
      </c>
      <c r="E80" s="2226" t="str">
        <f>Translations!$B$1243</f>
        <v>Най-скорошна версия на плана на методиката за мониторинг (ПММ):</v>
      </c>
      <c r="F80" s="2249"/>
      <c r="G80" s="2249"/>
      <c r="H80" s="2249"/>
      <c r="I80" s="2295"/>
      <c r="J80" s="42"/>
      <c r="K80" s="368"/>
      <c r="L80" s="368"/>
      <c r="M80" s="698"/>
      <c r="N80" s="698"/>
      <c r="O80" s="336"/>
      <c r="P80" s="181"/>
      <c r="Q80" s="343"/>
      <c r="R80" s="343"/>
      <c r="S80" s="343"/>
      <c r="T80" s="343"/>
      <c r="U80" s="343"/>
      <c r="V80" s="343"/>
      <c r="W80" s="343"/>
      <c r="X80" s="343"/>
      <c r="Y80" s="343"/>
    </row>
    <row r="81" spans="1:25" x14ac:dyDescent="0.25">
      <c r="A81" s="694"/>
      <c r="B81" s="698"/>
      <c r="C81" s="698"/>
      <c r="D81" s="302"/>
      <c r="E81" s="2358" t="str">
        <f>Translations!$B$1244</f>
        <v>Моля да предоставите тук най-новата версия на ПММ, определящ методиката за мониторинг, на която се основава докладът за тази година.</v>
      </c>
      <c r="F81" s="2249"/>
      <c r="G81" s="2249"/>
      <c r="H81" s="2249"/>
      <c r="I81" s="2249"/>
      <c r="J81" s="2249"/>
      <c r="K81" s="2249"/>
      <c r="L81" s="2249"/>
      <c r="M81" s="2249"/>
      <c r="N81" s="2249"/>
      <c r="O81" s="336"/>
      <c r="P81" s="302"/>
      <c r="Q81" s="343"/>
      <c r="R81" s="343"/>
      <c r="S81" s="343"/>
      <c r="T81" s="343"/>
      <c r="U81" s="343"/>
      <c r="V81" s="343"/>
      <c r="W81" s="343"/>
      <c r="X81" s="343"/>
      <c r="Y81" s="343"/>
    </row>
    <row r="82" spans="1:25" ht="5.15" customHeight="1" x14ac:dyDescent="0.25">
      <c r="A82" s="694"/>
      <c r="B82" s="284"/>
      <c r="C82" s="284"/>
      <c r="D82" s="284"/>
      <c r="E82" s="284"/>
      <c r="F82" s="284"/>
      <c r="G82" s="284"/>
      <c r="H82" s="284"/>
      <c r="I82" s="284"/>
      <c r="J82" s="284"/>
      <c r="K82" s="284"/>
      <c r="L82" s="284"/>
      <c r="M82" s="336"/>
      <c r="N82" s="336"/>
      <c r="O82" s="336"/>
      <c r="P82" s="302"/>
      <c r="Q82" s="695"/>
      <c r="R82" s="343"/>
      <c r="S82" s="343"/>
      <c r="T82" s="343"/>
      <c r="U82" s="343"/>
      <c r="V82" s="343"/>
      <c r="W82" s="343"/>
      <c r="X82" s="343"/>
      <c r="Y82" s="343"/>
    </row>
    <row r="83" spans="1:25" ht="13" x14ac:dyDescent="0.25">
      <c r="A83" s="694"/>
      <c r="B83" s="698"/>
      <c r="C83" s="698"/>
      <c r="D83" s="300" t="s">
        <v>279</v>
      </c>
      <c r="E83" s="2226" t="str">
        <f>Translations!$B$86</f>
        <v>Информация за разрешителното за емисии на парникови газове:</v>
      </c>
      <c r="F83" s="2249"/>
      <c r="G83" s="2249"/>
      <c r="H83" s="2249"/>
      <c r="I83" s="2249"/>
      <c r="J83" s="2249"/>
      <c r="K83" s="2249"/>
      <c r="L83" s="2249"/>
      <c r="M83" s="2249"/>
      <c r="N83" s="2249"/>
      <c r="O83" s="336"/>
      <c r="P83" s="302"/>
      <c r="Q83" s="343"/>
      <c r="R83" s="343"/>
      <c r="S83" s="343"/>
      <c r="T83" s="343"/>
      <c r="U83" s="343"/>
      <c r="V83" s="343"/>
      <c r="W83" s="343"/>
      <c r="X83" s="343"/>
      <c r="Y83" s="343"/>
    </row>
    <row r="84" spans="1:25" x14ac:dyDescent="0.25">
      <c r="A84" s="694"/>
      <c r="B84" s="698"/>
      <c r="C84" s="698"/>
      <c r="D84" s="698"/>
      <c r="E84" s="2358" t="str">
        <f>Translations!$B$87</f>
        <v>Тук посочете информация за разрешителното за емисии на парникови газове (= разрешителното, използвано съгласно член 5 и член 6 от Директивата за СТЕ на ЕС).</v>
      </c>
      <c r="F84" s="2249"/>
      <c r="G84" s="2249"/>
      <c r="H84" s="2249"/>
      <c r="I84" s="2249"/>
      <c r="J84" s="2249"/>
      <c r="K84" s="2249"/>
      <c r="L84" s="2249"/>
      <c r="M84" s="2249"/>
      <c r="N84" s="2249"/>
      <c r="O84" s="336"/>
      <c r="P84" s="302"/>
      <c r="Q84" s="343"/>
      <c r="R84" s="343"/>
      <c r="S84" s="343"/>
      <c r="T84" s="343"/>
      <c r="U84" s="343"/>
      <c r="V84" s="343"/>
      <c r="W84" s="343"/>
      <c r="X84" s="343"/>
      <c r="Y84" s="343"/>
    </row>
    <row r="85" spans="1:25" x14ac:dyDescent="0.25">
      <c r="A85" s="694"/>
      <c r="B85" s="698"/>
      <c r="C85" s="698"/>
      <c r="D85" s="698"/>
      <c r="E85" s="2358" t="str">
        <f>Translations!$B$88</f>
        <v>Държавите членки могат да не изискват тази информация задължително, ако компетентният орган вече разполага с нея.</v>
      </c>
      <c r="F85" s="2249"/>
      <c r="G85" s="2249"/>
      <c r="H85" s="2249"/>
      <c r="I85" s="2249"/>
      <c r="J85" s="2249"/>
      <c r="K85" s="2249"/>
      <c r="L85" s="2249"/>
      <c r="M85" s="2249"/>
      <c r="N85" s="2249"/>
      <c r="O85" s="336"/>
      <c r="P85" s="302"/>
      <c r="Q85" s="343"/>
      <c r="R85" s="343"/>
      <c r="S85" s="343"/>
      <c r="T85" s="343"/>
      <c r="U85" s="343"/>
      <c r="V85" s="343"/>
      <c r="W85" s="343"/>
      <c r="X85" s="343"/>
      <c r="Y85" s="343"/>
    </row>
    <row r="86" spans="1:25" ht="13" x14ac:dyDescent="0.25">
      <c r="A86" s="694"/>
      <c r="B86" s="698"/>
      <c r="C86" s="698"/>
      <c r="D86" s="377"/>
      <c r="E86" s="728"/>
      <c r="F86" s="2465" t="str">
        <f>Translations!$B$89</f>
        <v>Наименование на компетентния орган:</v>
      </c>
      <c r="G86" s="2249"/>
      <c r="H86" s="2249"/>
      <c r="I86" s="2295"/>
      <c r="J86" s="2399" t="str">
        <f>c_NIMsSummary!J1663</f>
        <v/>
      </c>
      <c r="K86" s="2400"/>
      <c r="L86" s="2400"/>
      <c r="M86" s="2400"/>
      <c r="N86" s="2401"/>
      <c r="O86" s="336"/>
      <c r="P86" s="181"/>
      <c r="Q86" s="343"/>
      <c r="R86" s="343"/>
      <c r="S86" s="343"/>
      <c r="T86" s="343"/>
      <c r="U86" s="343"/>
      <c r="V86" s="343"/>
      <c r="W86" s="343"/>
      <c r="X86" s="343"/>
      <c r="Y86" s="716" t="b">
        <f>OR(CNTR_Incumbent=FALSE,CTRL_InputMethodNIMsvalues=2)</f>
        <v>0</v>
      </c>
    </row>
    <row r="87" spans="1:25" ht="13" x14ac:dyDescent="0.25">
      <c r="A87" s="694"/>
      <c r="B87" s="698"/>
      <c r="C87" s="698"/>
      <c r="D87" s="377"/>
      <c r="E87" s="728"/>
      <c r="F87" s="728"/>
      <c r="G87" s="728"/>
      <c r="H87" s="728"/>
      <c r="I87" s="728"/>
      <c r="J87" s="2387"/>
      <c r="K87" s="2388"/>
      <c r="L87" s="2388"/>
      <c r="M87" s="2388"/>
      <c r="N87" s="2389"/>
      <c r="O87" s="336"/>
      <c r="P87" s="302"/>
      <c r="Q87" s="343"/>
      <c r="R87" s="343"/>
      <c r="S87" s="343"/>
      <c r="T87" s="343"/>
      <c r="U87" s="343"/>
      <c r="V87" s="343"/>
      <c r="W87" s="343"/>
      <c r="X87" s="343"/>
      <c r="Y87" s="716" t="b">
        <f>CTRL_InputMethodNIMsvalues=1</f>
        <v>0</v>
      </c>
    </row>
    <row r="88" spans="1:25" ht="13" x14ac:dyDescent="0.25">
      <c r="A88" s="694"/>
      <c r="B88" s="698"/>
      <c r="C88" s="698"/>
      <c r="D88" s="377"/>
      <c r="E88" s="728"/>
      <c r="F88" s="728"/>
      <c r="G88" s="728"/>
      <c r="H88" s="728"/>
      <c r="I88" s="728"/>
      <c r="J88" s="2496" t="str">
        <f>IF(J87="",J86,J87)</f>
        <v/>
      </c>
      <c r="K88" s="2297"/>
      <c r="L88" s="2297"/>
      <c r="M88" s="2297"/>
      <c r="N88" s="2298"/>
      <c r="O88" s="336"/>
      <c r="P88" s="302"/>
      <c r="Q88" s="343"/>
      <c r="R88" s="343"/>
      <c r="S88" s="343"/>
      <c r="T88" s="343"/>
      <c r="U88" s="343"/>
      <c r="V88" s="343"/>
      <c r="W88" s="343"/>
      <c r="X88" s="343"/>
      <c r="Y88" s="343"/>
    </row>
    <row r="89" spans="1:25" ht="5.15" customHeight="1" x14ac:dyDescent="0.25">
      <c r="A89" s="694"/>
      <c r="B89" s="284"/>
      <c r="C89" s="284"/>
      <c r="D89" s="284"/>
      <c r="E89" s="284"/>
      <c r="F89" s="284"/>
      <c r="G89" s="284"/>
      <c r="H89" s="284"/>
      <c r="I89" s="284"/>
      <c r="J89" s="284"/>
      <c r="K89" s="284"/>
      <c r="L89" s="284"/>
      <c r="M89" s="336"/>
      <c r="N89" s="336"/>
      <c r="O89" s="336"/>
      <c r="P89" s="302"/>
      <c r="Q89" s="695"/>
      <c r="R89" s="343"/>
      <c r="S89" s="343"/>
      <c r="T89" s="343"/>
      <c r="U89" s="343"/>
      <c r="V89" s="343"/>
      <c r="W89" s="343"/>
      <c r="X89" s="343"/>
      <c r="Y89" s="343"/>
    </row>
    <row r="90" spans="1:25" ht="13" x14ac:dyDescent="0.25">
      <c r="A90" s="694"/>
      <c r="B90" s="698"/>
      <c r="C90" s="698"/>
      <c r="D90" s="724"/>
      <c r="E90" s="728"/>
      <c r="F90" s="2495" t="str">
        <f>Translations!$B$90</f>
        <v>Първо разрешително за емисии на парникови газове, получено при първото включване на инсталацията в СТЕ:</v>
      </c>
      <c r="G90" s="2256"/>
      <c r="H90" s="2256"/>
      <c r="I90" s="2256"/>
      <c r="J90" s="2256"/>
      <c r="K90" s="2256"/>
      <c r="L90" s="2256"/>
      <c r="M90" s="2256"/>
      <c r="N90" s="2256"/>
      <c r="O90" s="336"/>
      <c r="P90" s="302"/>
      <c r="Q90" s="343"/>
      <c r="R90" s="343"/>
      <c r="S90" s="343"/>
      <c r="T90" s="343"/>
      <c r="U90" s="343"/>
      <c r="V90" s="343"/>
      <c r="W90" s="343"/>
      <c r="X90" s="343"/>
      <c r="Y90" s="343"/>
    </row>
    <row r="91" spans="1:25" x14ac:dyDescent="0.25">
      <c r="A91" s="694"/>
      <c r="B91" s="698"/>
      <c r="C91" s="698"/>
      <c r="D91" s="377"/>
      <c r="E91" s="687" t="s">
        <v>6</v>
      </c>
      <c r="F91" s="2304" t="str">
        <f>Translations!$B$91</f>
        <v>Идентификационен номер на разрешителното:</v>
      </c>
      <c r="G91" s="2305"/>
      <c r="H91" s="2305"/>
      <c r="I91" s="2306"/>
      <c r="J91" s="2390"/>
      <c r="K91" s="2391"/>
      <c r="L91" s="2391"/>
      <c r="M91" s="2391"/>
      <c r="N91" s="2392"/>
      <c r="O91" s="336"/>
      <c r="P91" s="181"/>
      <c r="Q91" s="343"/>
      <c r="R91" s="343"/>
      <c r="S91" s="343"/>
      <c r="T91" s="343"/>
      <c r="U91" s="343"/>
      <c r="V91" s="343"/>
      <c r="W91" s="343"/>
      <c r="X91" s="343"/>
      <c r="Y91" s="343"/>
    </row>
    <row r="92" spans="1:25" x14ac:dyDescent="0.25">
      <c r="A92" s="694"/>
      <c r="B92" s="698"/>
      <c r="C92" s="698"/>
      <c r="D92" s="377"/>
      <c r="E92" s="687" t="s">
        <v>7</v>
      </c>
      <c r="F92" s="2318" t="str">
        <f>Translations!$B$92</f>
        <v>Дата на издаване:</v>
      </c>
      <c r="G92" s="2319"/>
      <c r="H92" s="2319"/>
      <c r="I92" s="2320"/>
      <c r="J92" s="2381"/>
      <c r="K92" s="2382"/>
      <c r="L92" s="2382"/>
      <c r="M92" s="2382"/>
      <c r="N92" s="2383"/>
      <c r="O92" s="336"/>
      <c r="P92" s="181"/>
      <c r="Q92" s="343"/>
      <c r="R92" s="343"/>
      <c r="S92" s="343"/>
      <c r="T92" s="343"/>
      <c r="U92" s="343"/>
      <c r="V92" s="343"/>
      <c r="W92" s="343"/>
      <c r="X92" s="343"/>
      <c r="Y92" s="343"/>
    </row>
    <row r="93" spans="1:25" ht="5.15" customHeight="1" x14ac:dyDescent="0.25">
      <c r="A93" s="694"/>
      <c r="B93" s="284"/>
      <c r="C93" s="284"/>
      <c r="D93" s="284"/>
      <c r="E93" s="733"/>
      <c r="F93" s="284"/>
      <c r="G93" s="284"/>
      <c r="H93" s="284"/>
      <c r="I93" s="284"/>
      <c r="J93" s="284"/>
      <c r="K93" s="284"/>
      <c r="L93" s="284"/>
      <c r="M93" s="336"/>
      <c r="N93" s="336"/>
      <c r="O93" s="336"/>
      <c r="P93" s="302"/>
      <c r="Q93" s="695"/>
      <c r="R93" s="343"/>
      <c r="S93" s="343"/>
      <c r="T93" s="343"/>
      <c r="U93" s="343"/>
      <c r="V93" s="343"/>
      <c r="W93" s="343"/>
      <c r="X93" s="343"/>
      <c r="Y93" s="343"/>
    </row>
    <row r="94" spans="1:25" ht="13" x14ac:dyDescent="0.25">
      <c r="A94" s="694"/>
      <c r="B94" s="698"/>
      <c r="C94" s="698"/>
      <c r="D94" s="724"/>
      <c r="E94" s="687"/>
      <c r="F94" s="2495" t="str">
        <f>Translations!$B$93</f>
        <v>Последна актуализация на разрешителното, ако е приложимо:</v>
      </c>
      <c r="G94" s="2256"/>
      <c r="H94" s="2256"/>
      <c r="I94" s="2256"/>
      <c r="J94" s="2256"/>
      <c r="K94" s="2256"/>
      <c r="L94" s="2256"/>
      <c r="M94" s="2256"/>
      <c r="N94" s="2256"/>
      <c r="O94" s="336"/>
      <c r="P94" s="302"/>
      <c r="Q94" s="343"/>
      <c r="R94" s="343"/>
      <c r="S94" s="343"/>
      <c r="T94" s="343"/>
      <c r="U94" s="343"/>
      <c r="V94" s="343"/>
      <c r="W94" s="343"/>
      <c r="X94" s="343"/>
      <c r="Y94" s="343"/>
    </row>
    <row r="95" spans="1:25" x14ac:dyDescent="0.25">
      <c r="A95" s="694"/>
      <c r="B95" s="698"/>
      <c r="C95" s="698"/>
      <c r="D95" s="377"/>
      <c r="E95" s="687" t="s">
        <v>8</v>
      </c>
      <c r="F95" s="2304" t="str">
        <f>Translations!$B$91</f>
        <v>Идентификационен номер на разрешителното:</v>
      </c>
      <c r="G95" s="2305"/>
      <c r="H95" s="2305"/>
      <c r="I95" s="2306"/>
      <c r="J95" s="2492"/>
      <c r="K95" s="2493"/>
      <c r="L95" s="2493"/>
      <c r="M95" s="2493"/>
      <c r="N95" s="2494"/>
      <c r="O95" s="336"/>
      <c r="P95" s="181"/>
      <c r="Q95" s="343"/>
      <c r="R95" s="343"/>
      <c r="S95" s="343"/>
      <c r="T95" s="343"/>
      <c r="U95" s="343"/>
      <c r="V95" s="343"/>
      <c r="W95" s="343"/>
      <c r="X95" s="343"/>
      <c r="Y95" s="343"/>
    </row>
    <row r="96" spans="1:25" x14ac:dyDescent="0.25">
      <c r="A96" s="694"/>
      <c r="B96" s="698"/>
      <c r="C96" s="698"/>
      <c r="D96" s="377"/>
      <c r="E96" s="687" t="s">
        <v>18</v>
      </c>
      <c r="F96" s="2318" t="str">
        <f>Translations!$B$92</f>
        <v>Дата на издаване:</v>
      </c>
      <c r="G96" s="2319"/>
      <c r="H96" s="2319"/>
      <c r="I96" s="2320"/>
      <c r="J96" s="2381"/>
      <c r="K96" s="2382"/>
      <c r="L96" s="2382"/>
      <c r="M96" s="2382"/>
      <c r="N96" s="2383"/>
      <c r="O96" s="336"/>
      <c r="P96" s="181"/>
      <c r="Q96" s="343"/>
      <c r="R96" s="343"/>
      <c r="S96" s="343"/>
      <c r="T96" s="343"/>
      <c r="U96" s="343"/>
      <c r="V96" s="343"/>
      <c r="W96" s="343"/>
      <c r="X96" s="343"/>
      <c r="Y96" s="343"/>
    </row>
    <row r="97" spans="1:25" ht="5.15" customHeight="1" x14ac:dyDescent="0.25">
      <c r="A97" s="694"/>
      <c r="B97" s="284"/>
      <c r="C97" s="284"/>
      <c r="D97" s="284"/>
      <c r="E97" s="284"/>
      <c r="F97" s="284"/>
      <c r="G97" s="284"/>
      <c r="H97" s="284"/>
      <c r="I97" s="284"/>
      <c r="J97" s="284"/>
      <c r="K97" s="284"/>
      <c r="L97" s="284"/>
      <c r="M97" s="336"/>
      <c r="N97" s="336"/>
      <c r="O97" s="336"/>
      <c r="P97" s="302"/>
      <c r="Q97" s="695"/>
      <c r="R97" s="343"/>
      <c r="S97" s="343"/>
      <c r="T97" s="343"/>
      <c r="U97" s="343"/>
      <c r="V97" s="343"/>
      <c r="W97" s="343"/>
      <c r="X97" s="343"/>
      <c r="Y97" s="343"/>
    </row>
    <row r="98" spans="1:25" ht="13" x14ac:dyDescent="0.25">
      <c r="A98" s="694"/>
      <c r="B98" s="698"/>
      <c r="C98" s="698"/>
      <c r="D98" s="724" t="s">
        <v>489</v>
      </c>
      <c r="E98" s="2520" t="str">
        <f>Translations!$B$100</f>
        <v>Данни за оператора:</v>
      </c>
      <c r="F98" s="2249"/>
      <c r="G98" s="2249"/>
      <c r="H98" s="2249"/>
      <c r="I98" s="2249"/>
      <c r="J98" s="2249"/>
      <c r="K98" s="2249"/>
      <c r="L98" s="2249"/>
      <c r="M98" s="2249"/>
      <c r="N98" s="2249"/>
      <c r="O98" s="336"/>
      <c r="P98" s="302"/>
      <c r="Q98" s="343"/>
      <c r="R98" s="343"/>
      <c r="S98" s="343"/>
      <c r="T98" s="343"/>
      <c r="U98" s="343"/>
      <c r="V98" s="343"/>
      <c r="W98" s="343"/>
      <c r="X98" s="343"/>
      <c r="Y98" s="343"/>
    </row>
    <row r="99" spans="1:25" ht="25.5" customHeight="1" x14ac:dyDescent="0.25">
      <c r="A99" s="694"/>
      <c r="B99" s="698"/>
      <c r="C99" s="698"/>
      <c r="D99" s="302"/>
      <c r="E99" s="2293" t="str">
        <f>Translations!$B$101</f>
        <v>Операторът е [физическо или юридическо] лице, което експлоатира или контролира инсталация или, когато това е предвидено в националното законодателство, на което са делегирани решаващите икономически правомощия във връзка с техническото функциониране на инсталацията.</v>
      </c>
      <c r="F99" s="2497"/>
      <c r="G99" s="2497"/>
      <c r="H99" s="2497"/>
      <c r="I99" s="2497"/>
      <c r="J99" s="2497"/>
      <c r="K99" s="2497"/>
      <c r="L99" s="2497"/>
      <c r="M99" s="2497"/>
      <c r="N99" s="2497"/>
      <c r="O99" s="336"/>
      <c r="P99" s="302"/>
      <c r="Q99" s="343"/>
      <c r="R99" s="343"/>
      <c r="S99" s="343"/>
      <c r="T99" s="343"/>
      <c r="U99" s="343"/>
      <c r="V99" s="343"/>
      <c r="W99" s="343"/>
      <c r="X99" s="343"/>
      <c r="Y99" s="343"/>
    </row>
    <row r="100" spans="1:25" ht="13" x14ac:dyDescent="0.25">
      <c r="A100" s="694"/>
      <c r="B100" s="698"/>
      <c r="C100" s="698"/>
      <c r="D100" s="377"/>
      <c r="E100" s="728"/>
      <c r="F100" s="687" t="s">
        <v>6</v>
      </c>
      <c r="G100" s="2304" t="str">
        <f>Translations!$B$102</f>
        <v>Наименование на оператора:</v>
      </c>
      <c r="H100" s="2305"/>
      <c r="I100" s="2306"/>
      <c r="J100" s="2395" t="str">
        <f>c_NIMsSummary!J1665</f>
        <v/>
      </c>
      <c r="K100" s="2396"/>
      <c r="L100" s="2396"/>
      <c r="M100" s="2396"/>
      <c r="N100" s="2397"/>
      <c r="O100" s="336"/>
      <c r="P100" s="302"/>
      <c r="Q100" s="343"/>
      <c r="R100" s="343"/>
      <c r="S100" s="343"/>
      <c r="T100" s="343"/>
      <c r="U100" s="343"/>
      <c r="V100" s="343"/>
      <c r="W100" s="343"/>
      <c r="X100" s="343"/>
      <c r="Y100" s="716" t="b">
        <f t="shared" ref="Y100:Y108" si="0">OR(CNTR_Incumbent=FALSE,CTRL_InputMethodNIMsvalues=2)</f>
        <v>0</v>
      </c>
    </row>
    <row r="101" spans="1:25" ht="13" x14ac:dyDescent="0.25">
      <c r="A101" s="694"/>
      <c r="B101" s="698"/>
      <c r="C101" s="698"/>
      <c r="D101" s="377"/>
      <c r="E101" s="728"/>
      <c r="F101" s="687" t="s">
        <v>7</v>
      </c>
      <c r="G101" s="2489" t="str">
        <f>Translations!$B$103</f>
        <v>Улица, номер:</v>
      </c>
      <c r="H101" s="2490"/>
      <c r="I101" s="2491"/>
      <c r="J101" s="2451" t="str">
        <f>c_NIMsSummary!J1666</f>
        <v/>
      </c>
      <c r="K101" s="2452"/>
      <c r="L101" s="2452"/>
      <c r="M101" s="2452"/>
      <c r="N101" s="2453"/>
      <c r="O101" s="336"/>
      <c r="P101" s="302"/>
      <c r="Q101" s="343"/>
      <c r="R101" s="343"/>
      <c r="S101" s="343"/>
      <c r="T101" s="343"/>
      <c r="U101" s="343"/>
      <c r="V101" s="343"/>
      <c r="W101" s="343"/>
      <c r="X101" s="343"/>
      <c r="Y101" s="716" t="b">
        <f t="shared" si="0"/>
        <v>0</v>
      </c>
    </row>
    <row r="102" spans="1:25" ht="13" x14ac:dyDescent="0.25">
      <c r="A102" s="694"/>
      <c r="B102" s="698"/>
      <c r="C102" s="698"/>
      <c r="D102" s="377"/>
      <c r="E102" s="728"/>
      <c r="F102" s="687" t="s">
        <v>8</v>
      </c>
      <c r="G102" s="2309" t="str">
        <f>Translations!$B$104</f>
        <v>Пощенски код:</v>
      </c>
      <c r="H102" s="2310"/>
      <c r="I102" s="2311"/>
      <c r="J102" s="2451" t="str">
        <f>c_NIMsSummary!J1667</f>
        <v/>
      </c>
      <c r="K102" s="2452"/>
      <c r="L102" s="2452"/>
      <c r="M102" s="2452"/>
      <c r="N102" s="2453"/>
      <c r="O102" s="336"/>
      <c r="P102" s="302"/>
      <c r="Q102" s="343"/>
      <c r="R102" s="343"/>
      <c r="S102" s="343"/>
      <c r="T102" s="343"/>
      <c r="U102" s="343"/>
      <c r="V102" s="343"/>
      <c r="W102" s="343"/>
      <c r="X102" s="343"/>
      <c r="Y102" s="716" t="b">
        <f t="shared" si="0"/>
        <v>0</v>
      </c>
    </row>
    <row r="103" spans="1:25" ht="13" x14ac:dyDescent="0.25">
      <c r="A103" s="694"/>
      <c r="B103" s="698"/>
      <c r="C103" s="698"/>
      <c r="D103" s="377"/>
      <c r="E103" s="728"/>
      <c r="F103" s="687" t="s">
        <v>18</v>
      </c>
      <c r="G103" s="2309" t="str">
        <f>Translations!$B$105</f>
        <v>Град:</v>
      </c>
      <c r="H103" s="2310"/>
      <c r="I103" s="2311"/>
      <c r="J103" s="2451" t="str">
        <f>c_NIMsSummary!J1668</f>
        <v/>
      </c>
      <c r="K103" s="2452"/>
      <c r="L103" s="2452"/>
      <c r="M103" s="2452"/>
      <c r="N103" s="2453"/>
      <c r="O103" s="336"/>
      <c r="P103" s="302"/>
      <c r="Q103" s="343"/>
      <c r="R103" s="343"/>
      <c r="S103" s="343"/>
      <c r="T103" s="343"/>
      <c r="U103" s="343"/>
      <c r="V103" s="343"/>
      <c r="W103" s="343"/>
      <c r="X103" s="343"/>
      <c r="Y103" s="716" t="b">
        <f t="shared" si="0"/>
        <v>0</v>
      </c>
    </row>
    <row r="104" spans="1:25" ht="13" x14ac:dyDescent="0.25">
      <c r="A104" s="694"/>
      <c r="B104" s="698"/>
      <c r="C104" s="698"/>
      <c r="D104" s="377"/>
      <c r="E104" s="728"/>
      <c r="F104" s="687" t="s">
        <v>810</v>
      </c>
      <c r="G104" s="2309" t="str">
        <f>Translations!$B$106</f>
        <v>Държава:</v>
      </c>
      <c r="H104" s="2310"/>
      <c r="I104" s="2311"/>
      <c r="J104" s="2451" t="str">
        <f>c_NIMsSummary!J1669</f>
        <v/>
      </c>
      <c r="K104" s="2452"/>
      <c r="L104" s="2452"/>
      <c r="M104" s="2452"/>
      <c r="N104" s="2453"/>
      <c r="O104" s="336"/>
      <c r="P104" s="302"/>
      <c r="Q104" s="343"/>
      <c r="R104" s="343"/>
      <c r="S104" s="343"/>
      <c r="T104" s="343"/>
      <c r="U104" s="343"/>
      <c r="V104" s="343"/>
      <c r="W104" s="343"/>
      <c r="X104" s="343"/>
      <c r="Y104" s="716" t="b">
        <f t="shared" si="0"/>
        <v>0</v>
      </c>
    </row>
    <row r="105" spans="1:25" ht="13" x14ac:dyDescent="0.25">
      <c r="A105" s="694"/>
      <c r="B105" s="698"/>
      <c r="C105" s="698"/>
      <c r="D105" s="377"/>
      <c r="E105" s="728"/>
      <c r="F105" s="687" t="s">
        <v>811</v>
      </c>
      <c r="G105" s="2309" t="str">
        <f>Translations!$B$107</f>
        <v>Наименование на упълномощен представител:</v>
      </c>
      <c r="H105" s="2310"/>
      <c r="I105" s="2311"/>
      <c r="J105" s="2451" t="str">
        <f>c_NIMsSummary!J1670</f>
        <v/>
      </c>
      <c r="K105" s="2452"/>
      <c r="L105" s="2452"/>
      <c r="M105" s="2452"/>
      <c r="N105" s="2453"/>
      <c r="O105" s="336"/>
      <c r="P105" s="302"/>
      <c r="Q105" s="343"/>
      <c r="R105" s="343"/>
      <c r="S105" s="343"/>
      <c r="T105" s="343"/>
      <c r="U105" s="343"/>
      <c r="V105" s="343"/>
      <c r="W105" s="343"/>
      <c r="X105" s="343"/>
      <c r="Y105" s="716" t="b">
        <f t="shared" si="0"/>
        <v>0</v>
      </c>
    </row>
    <row r="106" spans="1:25" ht="13" x14ac:dyDescent="0.25">
      <c r="A106" s="694"/>
      <c r="B106" s="698"/>
      <c r="C106" s="698"/>
      <c r="D106" s="377"/>
      <c r="E106" s="728"/>
      <c r="F106" s="687" t="s">
        <v>812</v>
      </c>
      <c r="G106" s="2309" t="str">
        <f>Translations!$B$108</f>
        <v>Електронна поща:</v>
      </c>
      <c r="H106" s="2310"/>
      <c r="I106" s="2311"/>
      <c r="J106" s="2451" t="str">
        <f>c_NIMsSummary!J1671</f>
        <v/>
      </c>
      <c r="K106" s="2452"/>
      <c r="L106" s="2452"/>
      <c r="M106" s="2452"/>
      <c r="N106" s="2453"/>
      <c r="O106" s="336"/>
      <c r="P106" s="302"/>
      <c r="Q106" s="343"/>
      <c r="R106" s="343"/>
      <c r="S106" s="343"/>
      <c r="T106" s="343"/>
      <c r="U106" s="343"/>
      <c r="V106" s="343"/>
      <c r="W106" s="343"/>
      <c r="X106" s="343"/>
      <c r="Y106" s="716" t="b">
        <f t="shared" si="0"/>
        <v>0</v>
      </c>
    </row>
    <row r="107" spans="1:25" ht="13" x14ac:dyDescent="0.25">
      <c r="A107" s="694"/>
      <c r="B107" s="698"/>
      <c r="C107" s="698"/>
      <c r="D107" s="377"/>
      <c r="E107" s="728"/>
      <c r="F107" s="687" t="s">
        <v>813</v>
      </c>
      <c r="G107" s="2309" t="str">
        <f>Translations!$B$109</f>
        <v>Телефон:</v>
      </c>
      <c r="H107" s="2310"/>
      <c r="I107" s="2311"/>
      <c r="J107" s="2451" t="str">
        <f>c_NIMsSummary!J1672</f>
        <v/>
      </c>
      <c r="K107" s="2452"/>
      <c r="L107" s="2452"/>
      <c r="M107" s="2452"/>
      <c r="N107" s="2453"/>
      <c r="O107" s="336"/>
      <c r="P107" s="302"/>
      <c r="Q107" s="343"/>
      <c r="R107" s="343"/>
      <c r="S107" s="343"/>
      <c r="T107" s="343"/>
      <c r="U107" s="343"/>
      <c r="V107" s="343"/>
      <c r="W107" s="343"/>
      <c r="X107" s="343"/>
      <c r="Y107" s="716" t="b">
        <f t="shared" si="0"/>
        <v>0</v>
      </c>
    </row>
    <row r="108" spans="1:25" ht="13" x14ac:dyDescent="0.25">
      <c r="A108" s="694"/>
      <c r="B108" s="698"/>
      <c r="C108" s="698"/>
      <c r="D108" s="377"/>
      <c r="E108" s="728"/>
      <c r="F108" s="687" t="s">
        <v>814</v>
      </c>
      <c r="G108" s="2318" t="str">
        <f>Translations!$B$110</f>
        <v>Факс:</v>
      </c>
      <c r="H108" s="2319"/>
      <c r="I108" s="2320"/>
      <c r="J108" s="2521" t="str">
        <f>c_NIMsSummary!J1673</f>
        <v/>
      </c>
      <c r="K108" s="2522"/>
      <c r="L108" s="2522"/>
      <c r="M108" s="2522"/>
      <c r="N108" s="2523"/>
      <c r="O108" s="336"/>
      <c r="P108" s="302"/>
      <c r="Q108" s="343"/>
      <c r="R108" s="343"/>
      <c r="S108" s="343"/>
      <c r="T108" s="343"/>
      <c r="U108" s="343"/>
      <c r="V108" s="343"/>
      <c r="W108" s="343"/>
      <c r="X108" s="343"/>
      <c r="Y108" s="716" t="b">
        <f t="shared" si="0"/>
        <v>0</v>
      </c>
    </row>
    <row r="109" spans="1:25" ht="5.15" customHeight="1" x14ac:dyDescent="0.25">
      <c r="A109" s="694"/>
      <c r="B109" s="284"/>
      <c r="C109" s="284"/>
      <c r="D109" s="284"/>
      <c r="E109" s="284"/>
      <c r="F109" s="284"/>
      <c r="G109" s="284"/>
      <c r="H109" s="284"/>
      <c r="I109" s="284"/>
      <c r="J109" s="284"/>
      <c r="K109" s="284"/>
      <c r="L109" s="284"/>
      <c r="M109" s="336"/>
      <c r="N109" s="336"/>
      <c r="O109" s="336"/>
      <c r="P109" s="302"/>
      <c r="Q109" s="695"/>
      <c r="R109" s="343"/>
      <c r="S109" s="343"/>
      <c r="T109" s="343"/>
      <c r="U109" s="343"/>
      <c r="V109" s="343"/>
      <c r="W109" s="343"/>
      <c r="X109" s="343"/>
      <c r="Y109" s="343"/>
    </row>
    <row r="110" spans="1:25" ht="13" x14ac:dyDescent="0.25">
      <c r="A110" s="694"/>
      <c r="B110" s="698"/>
      <c r="C110" s="698"/>
      <c r="D110" s="377"/>
      <c r="E110" s="728"/>
      <c r="F110" s="687" t="s">
        <v>6</v>
      </c>
      <c r="G110" s="2304" t="str">
        <f>Translations!$B$102</f>
        <v>Наименование на оператора:</v>
      </c>
      <c r="H110" s="2305"/>
      <c r="I110" s="2306"/>
      <c r="J110" s="2390"/>
      <c r="K110" s="2391"/>
      <c r="L110" s="2391"/>
      <c r="M110" s="2391"/>
      <c r="N110" s="2392"/>
      <c r="O110" s="336"/>
      <c r="P110" s="181"/>
      <c r="Q110" s="343"/>
      <c r="R110" s="343"/>
      <c r="S110" s="343"/>
      <c r="T110" s="343"/>
      <c r="U110" s="343"/>
      <c r="V110" s="343"/>
      <c r="W110" s="343"/>
      <c r="X110" s="343"/>
      <c r="Y110" s="716" t="b">
        <f t="shared" ref="Y110:Y117" si="1">CTRL_InputMethodNIMsvalues=1</f>
        <v>0</v>
      </c>
    </row>
    <row r="111" spans="1:25" ht="13" x14ac:dyDescent="0.25">
      <c r="A111" s="694"/>
      <c r="B111" s="698"/>
      <c r="C111" s="698"/>
      <c r="D111" s="377"/>
      <c r="E111" s="728"/>
      <c r="F111" s="687" t="s">
        <v>7</v>
      </c>
      <c r="G111" s="2489" t="str">
        <f>Translations!$B$103</f>
        <v>Улица, номер:</v>
      </c>
      <c r="H111" s="2490"/>
      <c r="I111" s="2491"/>
      <c r="J111" s="2368"/>
      <c r="K111" s="2369"/>
      <c r="L111" s="2369"/>
      <c r="M111" s="2369"/>
      <c r="N111" s="2370"/>
      <c r="O111" s="336"/>
      <c r="P111" s="181"/>
      <c r="Q111" s="343"/>
      <c r="R111" s="343"/>
      <c r="S111" s="343"/>
      <c r="T111" s="343"/>
      <c r="U111" s="343"/>
      <c r="V111" s="343"/>
      <c r="W111" s="343"/>
      <c r="X111" s="343"/>
      <c r="Y111" s="716" t="b">
        <f t="shared" si="1"/>
        <v>0</v>
      </c>
    </row>
    <row r="112" spans="1:25" ht="13" x14ac:dyDescent="0.25">
      <c r="A112" s="694"/>
      <c r="B112" s="698"/>
      <c r="C112" s="698"/>
      <c r="D112" s="377"/>
      <c r="E112" s="728"/>
      <c r="F112" s="687" t="s">
        <v>8</v>
      </c>
      <c r="G112" s="2309" t="str">
        <f>Translations!$B$104</f>
        <v>Пощенски код:</v>
      </c>
      <c r="H112" s="2310"/>
      <c r="I112" s="2311"/>
      <c r="J112" s="2368"/>
      <c r="K112" s="2369"/>
      <c r="L112" s="2369"/>
      <c r="M112" s="2369"/>
      <c r="N112" s="2370"/>
      <c r="O112" s="336"/>
      <c r="P112" s="181"/>
      <c r="Q112" s="343"/>
      <c r="R112" s="343"/>
      <c r="S112" s="343"/>
      <c r="T112" s="343"/>
      <c r="U112" s="343"/>
      <c r="V112" s="343"/>
      <c r="W112" s="343"/>
      <c r="X112" s="343"/>
      <c r="Y112" s="716" t="b">
        <f t="shared" si="1"/>
        <v>0</v>
      </c>
    </row>
    <row r="113" spans="1:25" ht="13" x14ac:dyDescent="0.25">
      <c r="A113" s="694"/>
      <c r="B113" s="698"/>
      <c r="C113" s="698"/>
      <c r="D113" s="377"/>
      <c r="E113" s="728"/>
      <c r="F113" s="687" t="s">
        <v>18</v>
      </c>
      <c r="G113" s="2309" t="str">
        <f>Translations!$B$105</f>
        <v>Град:</v>
      </c>
      <c r="H113" s="2310"/>
      <c r="I113" s="2311"/>
      <c r="J113" s="2368"/>
      <c r="K113" s="2369"/>
      <c r="L113" s="2369"/>
      <c r="M113" s="2369"/>
      <c r="N113" s="2370"/>
      <c r="O113" s="336"/>
      <c r="P113" s="181"/>
      <c r="Q113" s="343"/>
      <c r="R113" s="343"/>
      <c r="S113" s="343"/>
      <c r="T113" s="343"/>
      <c r="U113" s="343"/>
      <c r="V113" s="343"/>
      <c r="W113" s="343"/>
      <c r="X113" s="343"/>
      <c r="Y113" s="716" t="b">
        <f t="shared" si="1"/>
        <v>0</v>
      </c>
    </row>
    <row r="114" spans="1:25" ht="13" x14ac:dyDescent="0.25">
      <c r="A114" s="694"/>
      <c r="B114" s="698"/>
      <c r="C114" s="698"/>
      <c r="D114" s="377"/>
      <c r="E114" s="728"/>
      <c r="F114" s="687" t="s">
        <v>810</v>
      </c>
      <c r="G114" s="2309" t="str">
        <f>Translations!$B$106</f>
        <v>Държава:</v>
      </c>
      <c r="H114" s="2310"/>
      <c r="I114" s="2311"/>
      <c r="J114" s="2368"/>
      <c r="K114" s="2369"/>
      <c r="L114" s="2369"/>
      <c r="M114" s="2369"/>
      <c r="N114" s="2370"/>
      <c r="O114" s="336"/>
      <c r="P114" s="181"/>
      <c r="Q114" s="343"/>
      <c r="R114" s="343"/>
      <c r="S114" s="343"/>
      <c r="T114" s="343"/>
      <c r="U114" s="343"/>
      <c r="V114" s="343"/>
      <c r="W114" s="343"/>
      <c r="X114" s="343"/>
      <c r="Y114" s="716" t="b">
        <f t="shared" si="1"/>
        <v>0</v>
      </c>
    </row>
    <row r="115" spans="1:25" ht="13" x14ac:dyDescent="0.25">
      <c r="A115" s="694"/>
      <c r="B115" s="698"/>
      <c r="C115" s="698"/>
      <c r="D115" s="377"/>
      <c r="E115" s="728"/>
      <c r="F115" s="687" t="s">
        <v>811</v>
      </c>
      <c r="G115" s="2309" t="str">
        <f>Translations!$B$107</f>
        <v>Наименование на упълномощен представител:</v>
      </c>
      <c r="H115" s="2310"/>
      <c r="I115" s="2311"/>
      <c r="J115" s="2368"/>
      <c r="K115" s="2369"/>
      <c r="L115" s="2369"/>
      <c r="M115" s="2369"/>
      <c r="N115" s="2370"/>
      <c r="O115" s="336"/>
      <c r="P115" s="181"/>
      <c r="Q115" s="343"/>
      <c r="R115" s="343"/>
      <c r="S115" s="343"/>
      <c r="T115" s="343"/>
      <c r="U115" s="343"/>
      <c r="V115" s="343"/>
      <c r="W115" s="343"/>
      <c r="X115" s="343"/>
      <c r="Y115" s="716" t="b">
        <f t="shared" si="1"/>
        <v>0</v>
      </c>
    </row>
    <row r="116" spans="1:25" ht="13" x14ac:dyDescent="0.25">
      <c r="A116" s="694"/>
      <c r="B116" s="698"/>
      <c r="C116" s="698"/>
      <c r="D116" s="377"/>
      <c r="E116" s="728"/>
      <c r="F116" s="687" t="s">
        <v>812</v>
      </c>
      <c r="G116" s="2309" t="str">
        <f>Translations!$B$108</f>
        <v>Електронна поща:</v>
      </c>
      <c r="H116" s="2310"/>
      <c r="I116" s="2311"/>
      <c r="J116" s="2368"/>
      <c r="K116" s="2369"/>
      <c r="L116" s="2369"/>
      <c r="M116" s="2369"/>
      <c r="N116" s="2370"/>
      <c r="O116" s="336"/>
      <c r="P116" s="181"/>
      <c r="Q116" s="343"/>
      <c r="R116" s="343"/>
      <c r="S116" s="343"/>
      <c r="T116" s="343"/>
      <c r="U116" s="343"/>
      <c r="V116" s="343"/>
      <c r="W116" s="343"/>
      <c r="X116" s="343"/>
      <c r="Y116" s="716" t="b">
        <f t="shared" si="1"/>
        <v>0</v>
      </c>
    </row>
    <row r="117" spans="1:25" ht="13" x14ac:dyDescent="0.25">
      <c r="A117" s="694"/>
      <c r="B117" s="698"/>
      <c r="C117" s="698"/>
      <c r="D117" s="377"/>
      <c r="E117" s="728"/>
      <c r="F117" s="687" t="s">
        <v>813</v>
      </c>
      <c r="G117" s="2309" t="str">
        <f>Translations!$B$109</f>
        <v>Телефон:</v>
      </c>
      <c r="H117" s="2310"/>
      <c r="I117" s="2311"/>
      <c r="J117" s="2368"/>
      <c r="K117" s="2369"/>
      <c r="L117" s="2369"/>
      <c r="M117" s="2369"/>
      <c r="N117" s="2370"/>
      <c r="O117" s="336"/>
      <c r="P117" s="181"/>
      <c r="Q117" s="343"/>
      <c r="R117" s="343"/>
      <c r="S117" s="343"/>
      <c r="T117" s="343"/>
      <c r="U117" s="343"/>
      <c r="V117" s="343"/>
      <c r="W117" s="343"/>
      <c r="X117" s="343"/>
      <c r="Y117" s="716" t="b">
        <f t="shared" si="1"/>
        <v>0</v>
      </c>
    </row>
    <row r="118" spans="1:25" ht="13" x14ac:dyDescent="0.25">
      <c r="A118" s="694"/>
      <c r="B118" s="698"/>
      <c r="C118" s="698"/>
      <c r="D118" s="377"/>
      <c r="E118" s="728"/>
      <c r="F118" s="687" t="s">
        <v>814</v>
      </c>
      <c r="G118" s="2318" t="str">
        <f>Translations!$B$110</f>
        <v>Факс:</v>
      </c>
      <c r="H118" s="2319"/>
      <c r="I118" s="2320"/>
      <c r="J118" s="2381"/>
      <c r="K118" s="2382"/>
      <c r="L118" s="2382"/>
      <c r="M118" s="2382"/>
      <c r="N118" s="2383"/>
      <c r="O118" s="336"/>
      <c r="P118" s="181"/>
      <c r="Q118" s="343"/>
      <c r="R118" s="343"/>
      <c r="S118" s="343"/>
      <c r="T118" s="343"/>
      <c r="U118" s="343"/>
      <c r="V118" s="343"/>
      <c r="W118" s="343"/>
      <c r="X118" s="343"/>
      <c r="Y118" s="343"/>
    </row>
    <row r="119" spans="1:25" ht="5.15" customHeight="1" x14ac:dyDescent="0.25">
      <c r="A119" s="694"/>
      <c r="B119" s="284"/>
      <c r="C119" s="284"/>
      <c r="D119" s="284"/>
      <c r="E119" s="284"/>
      <c r="F119" s="284"/>
      <c r="G119" s="284"/>
      <c r="H119" s="284"/>
      <c r="I119" s="284"/>
      <c r="J119" s="284"/>
      <c r="K119" s="284"/>
      <c r="L119" s="284"/>
      <c r="M119" s="336"/>
      <c r="N119" s="336"/>
      <c r="O119" s="336"/>
      <c r="P119" s="302"/>
      <c r="Q119" s="695"/>
      <c r="R119" s="343"/>
      <c r="S119" s="343"/>
      <c r="T119" s="343"/>
      <c r="U119" s="343"/>
      <c r="V119" s="343"/>
      <c r="W119" s="343"/>
      <c r="X119" s="343"/>
      <c r="Y119" s="343"/>
    </row>
    <row r="120" spans="1:25" ht="13" x14ac:dyDescent="0.25">
      <c r="A120" s="694"/>
      <c r="B120" s="698"/>
      <c r="C120" s="698"/>
      <c r="D120" s="377"/>
      <c r="E120" s="728"/>
      <c r="F120" s="687" t="s">
        <v>6</v>
      </c>
      <c r="G120" s="2304" t="str">
        <f>Translations!$B$102</f>
        <v>Наименование на оператора:</v>
      </c>
      <c r="H120" s="2305"/>
      <c r="I120" s="2306"/>
      <c r="J120" s="2307" t="str">
        <f>IF(J110="",J100,J110)</f>
        <v/>
      </c>
      <c r="K120" s="2308"/>
      <c r="L120" s="2308"/>
      <c r="M120" s="2308"/>
      <c r="N120" s="2333"/>
      <c r="O120" s="336"/>
      <c r="P120" s="302"/>
      <c r="Q120" s="343"/>
      <c r="R120" s="343"/>
      <c r="S120" s="343"/>
      <c r="T120" s="343"/>
      <c r="U120" s="343"/>
      <c r="V120" s="343"/>
      <c r="W120" s="343"/>
      <c r="X120" s="343"/>
      <c r="Y120" s="343"/>
    </row>
    <row r="121" spans="1:25" ht="13" x14ac:dyDescent="0.25">
      <c r="A121" s="694"/>
      <c r="B121" s="698"/>
      <c r="C121" s="698"/>
      <c r="D121" s="377"/>
      <c r="E121" s="728"/>
      <c r="F121" s="687" t="s">
        <v>7</v>
      </c>
      <c r="G121" s="2489" t="str">
        <f>Translations!$B$103</f>
        <v>Улица, номер:</v>
      </c>
      <c r="H121" s="2490"/>
      <c r="I121" s="2491"/>
      <c r="J121" s="2539" t="str">
        <f t="shared" ref="J121:J128" si="2">IF(J111="",J101,J111)</f>
        <v/>
      </c>
      <c r="K121" s="2540"/>
      <c r="L121" s="2540"/>
      <c r="M121" s="2540"/>
      <c r="N121" s="2541"/>
      <c r="O121" s="336"/>
      <c r="P121" s="302"/>
      <c r="Q121" s="343"/>
      <c r="R121" s="343"/>
      <c r="S121" s="343"/>
      <c r="T121" s="343"/>
      <c r="U121" s="343"/>
      <c r="V121" s="343"/>
      <c r="W121" s="343"/>
      <c r="X121" s="343"/>
      <c r="Y121" s="343"/>
    </row>
    <row r="122" spans="1:25" ht="13" x14ac:dyDescent="0.25">
      <c r="A122" s="694"/>
      <c r="B122" s="698"/>
      <c r="C122" s="698"/>
      <c r="D122" s="377"/>
      <c r="E122" s="728"/>
      <c r="F122" s="687" t="s">
        <v>8</v>
      </c>
      <c r="G122" s="2309" t="str">
        <f>Translations!$B$104</f>
        <v>Пощенски код:</v>
      </c>
      <c r="H122" s="2310"/>
      <c r="I122" s="2311"/>
      <c r="J122" s="2312" t="str">
        <f t="shared" si="2"/>
        <v/>
      </c>
      <c r="K122" s="2313"/>
      <c r="L122" s="2313"/>
      <c r="M122" s="2313"/>
      <c r="N122" s="2393"/>
      <c r="O122" s="336"/>
      <c r="P122" s="302"/>
      <c r="Q122" s="343"/>
      <c r="R122" s="343"/>
      <c r="S122" s="343"/>
      <c r="T122" s="343"/>
      <c r="U122" s="343"/>
      <c r="V122" s="343"/>
      <c r="W122" s="343"/>
      <c r="X122" s="343"/>
      <c r="Y122" s="343"/>
    </row>
    <row r="123" spans="1:25" ht="13" x14ac:dyDescent="0.25">
      <c r="A123" s="694"/>
      <c r="B123" s="698"/>
      <c r="C123" s="698"/>
      <c r="D123" s="377"/>
      <c r="E123" s="728"/>
      <c r="F123" s="687" t="s">
        <v>18</v>
      </c>
      <c r="G123" s="2309" t="str">
        <f>Translations!$B$105</f>
        <v>Град:</v>
      </c>
      <c r="H123" s="2310"/>
      <c r="I123" s="2311"/>
      <c r="J123" s="2312" t="str">
        <f t="shared" si="2"/>
        <v/>
      </c>
      <c r="K123" s="2313"/>
      <c r="L123" s="2313"/>
      <c r="M123" s="2313"/>
      <c r="N123" s="2393"/>
      <c r="O123" s="336"/>
      <c r="P123" s="302"/>
      <c r="Q123" s="343"/>
      <c r="R123" s="343"/>
      <c r="S123" s="343"/>
      <c r="T123" s="343"/>
      <c r="U123" s="343"/>
      <c r="V123" s="343"/>
      <c r="W123" s="343"/>
      <c r="X123" s="343"/>
      <c r="Y123" s="343"/>
    </row>
    <row r="124" spans="1:25" ht="13" x14ac:dyDescent="0.25">
      <c r="A124" s="694"/>
      <c r="B124" s="698"/>
      <c r="C124" s="698"/>
      <c r="D124" s="377"/>
      <c r="E124" s="728"/>
      <c r="F124" s="687" t="s">
        <v>810</v>
      </c>
      <c r="G124" s="2309" t="str">
        <f>Translations!$B$106</f>
        <v>Държава:</v>
      </c>
      <c r="H124" s="2310"/>
      <c r="I124" s="2311"/>
      <c r="J124" s="2312" t="str">
        <f t="shared" si="2"/>
        <v/>
      </c>
      <c r="K124" s="2313"/>
      <c r="L124" s="2313"/>
      <c r="M124" s="2313"/>
      <c r="N124" s="2393"/>
      <c r="O124" s="336"/>
      <c r="P124" s="302"/>
      <c r="Q124" s="343"/>
      <c r="R124" s="343"/>
      <c r="S124" s="343"/>
      <c r="T124" s="343"/>
      <c r="U124" s="343"/>
      <c r="V124" s="343"/>
      <c r="W124" s="343"/>
      <c r="X124" s="343"/>
      <c r="Y124" s="343"/>
    </row>
    <row r="125" spans="1:25" ht="13" x14ac:dyDescent="0.25">
      <c r="A125" s="694"/>
      <c r="B125" s="698"/>
      <c r="C125" s="698"/>
      <c r="D125" s="377"/>
      <c r="E125" s="728"/>
      <c r="F125" s="687" t="s">
        <v>811</v>
      </c>
      <c r="G125" s="2309" t="str">
        <f>Translations!$B$107</f>
        <v>Наименование на упълномощен представител:</v>
      </c>
      <c r="H125" s="2310"/>
      <c r="I125" s="2311"/>
      <c r="J125" s="2312" t="str">
        <f t="shared" si="2"/>
        <v/>
      </c>
      <c r="K125" s="2313"/>
      <c r="L125" s="2313"/>
      <c r="M125" s="2313"/>
      <c r="N125" s="2393"/>
      <c r="O125" s="336"/>
      <c r="P125" s="302"/>
      <c r="Q125" s="343"/>
      <c r="R125" s="343"/>
      <c r="S125" s="343"/>
      <c r="T125" s="343"/>
      <c r="U125" s="343"/>
      <c r="V125" s="343"/>
      <c r="W125" s="343"/>
      <c r="X125" s="343"/>
      <c r="Y125" s="343"/>
    </row>
    <row r="126" spans="1:25" ht="13" x14ac:dyDescent="0.25">
      <c r="A126" s="694"/>
      <c r="B126" s="698"/>
      <c r="C126" s="698"/>
      <c r="D126" s="377"/>
      <c r="E126" s="728"/>
      <c r="F126" s="687" t="s">
        <v>812</v>
      </c>
      <c r="G126" s="2309" t="str">
        <f>Translations!$B$108</f>
        <v>Електронна поща:</v>
      </c>
      <c r="H126" s="2310"/>
      <c r="I126" s="2311"/>
      <c r="J126" s="2312" t="str">
        <f t="shared" si="2"/>
        <v/>
      </c>
      <c r="K126" s="2313"/>
      <c r="L126" s="2313"/>
      <c r="M126" s="2313"/>
      <c r="N126" s="2393"/>
      <c r="O126" s="336"/>
      <c r="P126" s="302"/>
      <c r="Q126" s="343"/>
      <c r="R126" s="343"/>
      <c r="S126" s="343"/>
      <c r="T126" s="343"/>
      <c r="U126" s="343"/>
      <c r="V126" s="343"/>
      <c r="W126" s="343"/>
      <c r="X126" s="343"/>
      <c r="Y126" s="343"/>
    </row>
    <row r="127" spans="1:25" ht="13" x14ac:dyDescent="0.25">
      <c r="A127" s="694"/>
      <c r="B127" s="698"/>
      <c r="C127" s="698"/>
      <c r="D127" s="377"/>
      <c r="E127" s="728"/>
      <c r="F127" s="687" t="s">
        <v>813</v>
      </c>
      <c r="G127" s="2309" t="str">
        <f>Translations!$B$109</f>
        <v>Телефон:</v>
      </c>
      <c r="H127" s="2310"/>
      <c r="I127" s="2311"/>
      <c r="J127" s="2312" t="str">
        <f t="shared" si="2"/>
        <v/>
      </c>
      <c r="K127" s="2313"/>
      <c r="L127" s="2313"/>
      <c r="M127" s="2313"/>
      <c r="N127" s="2393"/>
      <c r="O127" s="336"/>
      <c r="P127" s="302"/>
      <c r="Q127" s="343"/>
      <c r="R127" s="343"/>
      <c r="S127" s="343"/>
      <c r="T127" s="343"/>
      <c r="U127" s="343"/>
      <c r="V127" s="343"/>
      <c r="W127" s="343"/>
      <c r="X127" s="343"/>
      <c r="Y127" s="343"/>
    </row>
    <row r="128" spans="1:25" ht="13" x14ac:dyDescent="0.25">
      <c r="A128" s="694"/>
      <c r="B128" s="698"/>
      <c r="C128" s="698"/>
      <c r="D128" s="377"/>
      <c r="E128" s="728"/>
      <c r="F128" s="687" t="s">
        <v>814</v>
      </c>
      <c r="G128" s="2318" t="str">
        <f>Translations!$B$110</f>
        <v>Факс:</v>
      </c>
      <c r="H128" s="2319"/>
      <c r="I128" s="2320"/>
      <c r="J128" s="2321" t="str">
        <f t="shared" si="2"/>
        <v/>
      </c>
      <c r="K128" s="2322"/>
      <c r="L128" s="2322"/>
      <c r="M128" s="2322"/>
      <c r="N128" s="2456"/>
      <c r="O128" s="336"/>
      <c r="P128" s="302"/>
      <c r="Q128" s="343"/>
      <c r="R128" s="343"/>
      <c r="S128" s="343"/>
      <c r="T128" s="343"/>
      <c r="U128" s="343"/>
      <c r="V128" s="343"/>
      <c r="W128" s="343"/>
      <c r="X128" s="343"/>
      <c r="Y128" s="343"/>
    </row>
    <row r="129" spans="1:25" ht="5.15" customHeight="1" x14ac:dyDescent="0.25">
      <c r="A129" s="694"/>
      <c r="B129" s="284"/>
      <c r="C129" s="284"/>
      <c r="D129" s="284"/>
      <c r="E129" s="284"/>
      <c r="F129" s="284"/>
      <c r="G129" s="284"/>
      <c r="H129" s="284"/>
      <c r="I129" s="284"/>
      <c r="J129" s="284"/>
      <c r="K129" s="284"/>
      <c r="L129" s="284"/>
      <c r="M129" s="336"/>
      <c r="N129" s="336"/>
      <c r="O129" s="336"/>
      <c r="P129" s="302"/>
      <c r="Q129" s="695"/>
      <c r="R129" s="343"/>
      <c r="S129" s="343"/>
      <c r="T129" s="343"/>
      <c r="U129" s="343"/>
      <c r="V129" s="343"/>
      <c r="W129" s="343"/>
      <c r="X129" s="343"/>
      <c r="Y129" s="343"/>
    </row>
    <row r="130" spans="1:25" ht="13" x14ac:dyDescent="0.25">
      <c r="A130" s="694"/>
      <c r="B130" s="698"/>
      <c r="C130" s="698"/>
      <c r="D130" s="724" t="s">
        <v>490</v>
      </c>
      <c r="E130" s="2520" t="str">
        <f>Translations!$B$111</f>
        <v>Адрес на инсталацията:</v>
      </c>
      <c r="F130" s="2249"/>
      <c r="G130" s="2249"/>
      <c r="H130" s="2249"/>
      <c r="I130" s="2249"/>
      <c r="J130" s="2249"/>
      <c r="K130" s="2249"/>
      <c r="L130" s="2249"/>
      <c r="M130" s="2249"/>
      <c r="N130" s="2249"/>
      <c r="O130" s="336"/>
      <c r="P130" s="302"/>
      <c r="Q130" s="343"/>
      <c r="R130" s="343"/>
      <c r="S130" s="343"/>
      <c r="T130" s="343"/>
      <c r="U130" s="343"/>
      <c r="V130" s="343"/>
      <c r="W130" s="343"/>
      <c r="X130" s="343"/>
      <c r="Y130" s="343"/>
    </row>
    <row r="131" spans="1:25" ht="13" x14ac:dyDescent="0.25">
      <c r="A131" s="694"/>
      <c r="B131" s="698"/>
      <c r="C131" s="698"/>
      <c r="D131" s="377"/>
      <c r="E131" s="728"/>
      <c r="F131" s="687" t="s">
        <v>6</v>
      </c>
      <c r="G131" s="2304" t="str">
        <f>Translations!$B$103</f>
        <v>Улица, номер:</v>
      </c>
      <c r="H131" s="2305"/>
      <c r="I131" s="2306"/>
      <c r="J131" s="2395" t="str">
        <f>c_NIMsSummary!J1676</f>
        <v/>
      </c>
      <c r="K131" s="2396"/>
      <c r="L131" s="2396"/>
      <c r="M131" s="2396"/>
      <c r="N131" s="2397"/>
      <c r="O131" s="336"/>
      <c r="P131" s="302"/>
      <c r="Q131" s="343"/>
      <c r="R131" s="343"/>
      <c r="S131" s="343"/>
      <c r="T131" s="343"/>
      <c r="U131" s="343"/>
      <c r="V131" s="343"/>
      <c r="W131" s="343"/>
      <c r="X131" s="343"/>
      <c r="Y131" s="716" t="b">
        <f>OR(CNTR_Incumbent=FALSE,CTRL_InputMethodNIMsvalues=2)</f>
        <v>0</v>
      </c>
    </row>
    <row r="132" spans="1:25" ht="13" x14ac:dyDescent="0.25">
      <c r="A132" s="694"/>
      <c r="B132" s="698"/>
      <c r="C132" s="698"/>
      <c r="D132" s="377"/>
      <c r="E132" s="728"/>
      <c r="F132" s="687" t="s">
        <v>7</v>
      </c>
      <c r="G132" s="2309" t="str">
        <f>Translations!$B$104</f>
        <v>Пощенски код:</v>
      </c>
      <c r="H132" s="2310"/>
      <c r="I132" s="2311"/>
      <c r="J132" s="2451" t="str">
        <f>c_NIMsSummary!J1677</f>
        <v/>
      </c>
      <c r="K132" s="2452"/>
      <c r="L132" s="2452"/>
      <c r="M132" s="2452"/>
      <c r="N132" s="2453"/>
      <c r="O132" s="336"/>
      <c r="P132" s="302"/>
      <c r="Q132" s="343"/>
      <c r="R132" s="343"/>
      <c r="S132" s="343"/>
      <c r="T132" s="343"/>
      <c r="U132" s="343"/>
      <c r="V132" s="343"/>
      <c r="W132" s="343"/>
      <c r="X132" s="343"/>
      <c r="Y132" s="716" t="b">
        <f>OR(CNTR_Incumbent=FALSE,CTRL_InputMethodNIMsvalues=2)</f>
        <v>0</v>
      </c>
    </row>
    <row r="133" spans="1:25" ht="13" x14ac:dyDescent="0.25">
      <c r="A133" s="694"/>
      <c r="B133" s="698"/>
      <c r="C133" s="698"/>
      <c r="D133" s="377"/>
      <c r="E133" s="728"/>
      <c r="F133" s="687" t="s">
        <v>8</v>
      </c>
      <c r="G133" s="2309" t="str">
        <f>Translations!$B$105</f>
        <v>Град:</v>
      </c>
      <c r="H133" s="2310"/>
      <c r="I133" s="2311"/>
      <c r="J133" s="2451" t="str">
        <f>c_NIMsSummary!J1678</f>
        <v/>
      </c>
      <c r="K133" s="2452"/>
      <c r="L133" s="2452"/>
      <c r="M133" s="2452"/>
      <c r="N133" s="2453"/>
      <c r="O133" s="336"/>
      <c r="P133" s="302"/>
      <c r="Q133" s="343"/>
      <c r="R133" s="343"/>
      <c r="S133" s="343"/>
      <c r="T133" s="343"/>
      <c r="U133" s="343"/>
      <c r="V133" s="343"/>
      <c r="W133" s="343"/>
      <c r="X133" s="343"/>
      <c r="Y133" s="716" t="b">
        <f>OR(CNTR_Incumbent=FALSE,CTRL_InputMethodNIMsvalues=2)</f>
        <v>0</v>
      </c>
    </row>
    <row r="134" spans="1:25" ht="13" x14ac:dyDescent="0.25">
      <c r="A134" s="694"/>
      <c r="B134" s="698"/>
      <c r="C134" s="698"/>
      <c r="D134" s="377"/>
      <c r="E134" s="728"/>
      <c r="F134" s="687" t="s">
        <v>18</v>
      </c>
      <c r="G134" s="2318" t="str">
        <f>Translations!$B$106</f>
        <v>Държава:</v>
      </c>
      <c r="H134" s="2319"/>
      <c r="I134" s="2320"/>
      <c r="J134" s="2521" t="str">
        <f>c_NIMsSummary!J1679</f>
        <v/>
      </c>
      <c r="K134" s="2522"/>
      <c r="L134" s="2522"/>
      <c r="M134" s="2522"/>
      <c r="N134" s="2523"/>
      <c r="O134" s="336"/>
      <c r="P134" s="302"/>
      <c r="Q134" s="343"/>
      <c r="R134" s="343"/>
      <c r="S134" s="343"/>
      <c r="T134" s="343"/>
      <c r="U134" s="343"/>
      <c r="V134" s="343"/>
      <c r="W134" s="343"/>
      <c r="X134" s="343"/>
      <c r="Y134" s="716" t="b">
        <f>OR(CNTR_Incumbent=FALSE,CTRL_InputMethodNIMsvalues=2)</f>
        <v>0</v>
      </c>
    </row>
    <row r="135" spans="1:25" ht="5.15" customHeight="1" x14ac:dyDescent="0.25">
      <c r="A135" s="694"/>
      <c r="B135" s="284"/>
      <c r="C135" s="284"/>
      <c r="D135" s="284"/>
      <c r="E135" s="284"/>
      <c r="F135" s="284"/>
      <c r="G135" s="284"/>
      <c r="H135" s="284"/>
      <c r="I135" s="284"/>
      <c r="J135" s="284"/>
      <c r="K135" s="284"/>
      <c r="L135" s="284"/>
      <c r="M135" s="336"/>
      <c r="N135" s="336"/>
      <c r="O135" s="336"/>
      <c r="P135" s="302"/>
      <c r="Q135" s="695"/>
      <c r="R135" s="343"/>
      <c r="S135" s="343"/>
      <c r="T135" s="343"/>
      <c r="U135" s="343"/>
      <c r="V135" s="343"/>
      <c r="W135" s="343"/>
      <c r="X135" s="343"/>
      <c r="Y135" s="343"/>
    </row>
    <row r="136" spans="1:25" ht="13" x14ac:dyDescent="0.25">
      <c r="A136" s="694"/>
      <c r="B136" s="698"/>
      <c r="C136" s="698"/>
      <c r="D136" s="377"/>
      <c r="E136" s="728"/>
      <c r="F136" s="687" t="s">
        <v>6</v>
      </c>
      <c r="G136" s="2304" t="str">
        <f>Translations!$B$103</f>
        <v>Улица, номер:</v>
      </c>
      <c r="H136" s="2305"/>
      <c r="I136" s="2306"/>
      <c r="J136" s="2390"/>
      <c r="K136" s="2391"/>
      <c r="L136" s="2391"/>
      <c r="M136" s="2391"/>
      <c r="N136" s="2392"/>
      <c r="O136" s="336"/>
      <c r="P136" s="181"/>
      <c r="Q136" s="343"/>
      <c r="R136" s="343"/>
      <c r="S136" s="343"/>
      <c r="T136" s="343"/>
      <c r="U136" s="343"/>
      <c r="V136" s="343"/>
      <c r="W136" s="343"/>
      <c r="X136" s="343"/>
      <c r="Y136" s="716" t="b">
        <f>CTRL_InputMethodNIMsvalues=1</f>
        <v>0</v>
      </c>
    </row>
    <row r="137" spans="1:25" ht="13" x14ac:dyDescent="0.25">
      <c r="A137" s="694"/>
      <c r="B137" s="698"/>
      <c r="C137" s="698"/>
      <c r="D137" s="377"/>
      <c r="E137" s="728"/>
      <c r="F137" s="687" t="s">
        <v>7</v>
      </c>
      <c r="G137" s="2309" t="str">
        <f>Translations!$B$104</f>
        <v>Пощенски код:</v>
      </c>
      <c r="H137" s="2310"/>
      <c r="I137" s="2311"/>
      <c r="J137" s="2368"/>
      <c r="K137" s="2369"/>
      <c r="L137" s="2369"/>
      <c r="M137" s="2369"/>
      <c r="N137" s="2370"/>
      <c r="O137" s="336"/>
      <c r="P137" s="181"/>
      <c r="Q137" s="343"/>
      <c r="R137" s="343"/>
      <c r="S137" s="343"/>
      <c r="T137" s="343"/>
      <c r="U137" s="343"/>
      <c r="V137" s="343"/>
      <c r="W137" s="343"/>
      <c r="X137" s="343"/>
      <c r="Y137" s="716" t="b">
        <f>CTRL_InputMethodNIMsvalues=1</f>
        <v>0</v>
      </c>
    </row>
    <row r="138" spans="1:25" ht="13" x14ac:dyDescent="0.25">
      <c r="A138" s="694"/>
      <c r="B138" s="698"/>
      <c r="C138" s="698"/>
      <c r="D138" s="377"/>
      <c r="E138" s="728"/>
      <c r="F138" s="687" t="s">
        <v>8</v>
      </c>
      <c r="G138" s="2309" t="str">
        <f>Translations!$B$105</f>
        <v>Град:</v>
      </c>
      <c r="H138" s="2310"/>
      <c r="I138" s="2311"/>
      <c r="J138" s="2368"/>
      <c r="K138" s="2369"/>
      <c r="L138" s="2369"/>
      <c r="M138" s="2369"/>
      <c r="N138" s="2370"/>
      <c r="O138" s="336"/>
      <c r="P138" s="181"/>
      <c r="Q138" s="343"/>
      <c r="R138" s="343"/>
      <c r="S138" s="343"/>
      <c r="T138" s="343"/>
      <c r="U138" s="343"/>
      <c r="V138" s="343"/>
      <c r="W138" s="343"/>
      <c r="X138" s="343"/>
      <c r="Y138" s="716" t="b">
        <f>CTRL_InputMethodNIMsvalues=1</f>
        <v>0</v>
      </c>
    </row>
    <row r="139" spans="1:25" ht="13" x14ac:dyDescent="0.25">
      <c r="A139" s="694"/>
      <c r="B139" s="698"/>
      <c r="C139" s="698"/>
      <c r="D139" s="377"/>
      <c r="E139" s="728"/>
      <c r="F139" s="687" t="s">
        <v>18</v>
      </c>
      <c r="G139" s="2318" t="str">
        <f>Translations!$B$106</f>
        <v>Държава:</v>
      </c>
      <c r="H139" s="2319"/>
      <c r="I139" s="2320"/>
      <c r="J139" s="2381"/>
      <c r="K139" s="2382"/>
      <c r="L139" s="2382"/>
      <c r="M139" s="2382"/>
      <c r="N139" s="2383"/>
      <c r="O139" s="336"/>
      <c r="P139" s="181"/>
      <c r="Q139" s="343"/>
      <c r="R139" s="343"/>
      <c r="S139" s="343"/>
      <c r="T139" s="343"/>
      <c r="U139" s="343"/>
      <c r="V139" s="343"/>
      <c r="W139" s="343"/>
      <c r="X139" s="343"/>
      <c r="Y139" s="343"/>
    </row>
    <row r="140" spans="1:25" ht="5.15" customHeight="1" x14ac:dyDescent="0.25">
      <c r="A140" s="694"/>
      <c r="B140" s="284"/>
      <c r="C140" s="284"/>
      <c r="D140" s="284"/>
      <c r="E140" s="284"/>
      <c r="F140" s="284"/>
      <c r="G140" s="284"/>
      <c r="H140" s="284"/>
      <c r="I140" s="284"/>
      <c r="J140" s="284"/>
      <c r="K140" s="284"/>
      <c r="L140" s="284"/>
      <c r="M140" s="336"/>
      <c r="N140" s="336"/>
      <c r="O140" s="336"/>
      <c r="P140" s="302"/>
      <c r="Q140" s="695"/>
      <c r="R140" s="343"/>
      <c r="S140" s="343"/>
      <c r="T140" s="343"/>
      <c r="U140" s="343"/>
      <c r="V140" s="343"/>
      <c r="W140" s="343"/>
      <c r="X140" s="343"/>
      <c r="Y140" s="343"/>
    </row>
    <row r="141" spans="1:25" ht="13" x14ac:dyDescent="0.25">
      <c r="A141" s="694"/>
      <c r="B141" s="698"/>
      <c r="C141" s="698"/>
      <c r="D141" s="377"/>
      <c r="E141" s="728"/>
      <c r="F141" s="687" t="s">
        <v>6</v>
      </c>
      <c r="G141" s="2304" t="str">
        <f>Translations!$B$103</f>
        <v>Улица, номер:</v>
      </c>
      <c r="H141" s="2305"/>
      <c r="I141" s="2306"/>
      <c r="J141" s="2307" t="str">
        <f>IF(J136="",J131,J136)</f>
        <v/>
      </c>
      <c r="K141" s="2308"/>
      <c r="L141" s="2308"/>
      <c r="M141" s="2308"/>
      <c r="N141" s="2333"/>
      <c r="O141" s="336"/>
      <c r="P141" s="302"/>
      <c r="Q141" s="343"/>
      <c r="R141" s="343"/>
      <c r="S141" s="343"/>
      <c r="T141" s="343"/>
      <c r="U141" s="343"/>
      <c r="V141" s="343"/>
      <c r="W141" s="343"/>
      <c r="X141" s="343"/>
      <c r="Y141" s="343"/>
    </row>
    <row r="142" spans="1:25" ht="13" x14ac:dyDescent="0.25">
      <c r="A142" s="694"/>
      <c r="B142" s="698"/>
      <c r="C142" s="698"/>
      <c r="D142" s="377"/>
      <c r="E142" s="728"/>
      <c r="F142" s="687" t="s">
        <v>7</v>
      </c>
      <c r="G142" s="2309" t="str">
        <f>Translations!$B$104</f>
        <v>Пощенски код:</v>
      </c>
      <c r="H142" s="2310"/>
      <c r="I142" s="2311"/>
      <c r="J142" s="2312" t="str">
        <f>IF(J137="",J132,J137)</f>
        <v/>
      </c>
      <c r="K142" s="2313"/>
      <c r="L142" s="2313"/>
      <c r="M142" s="2313"/>
      <c r="N142" s="2393"/>
      <c r="O142" s="336"/>
      <c r="P142" s="302"/>
      <c r="Q142" s="343"/>
      <c r="R142" s="343"/>
      <c r="S142" s="343"/>
      <c r="T142" s="343"/>
      <c r="U142" s="343"/>
      <c r="V142" s="343"/>
      <c r="W142" s="343"/>
      <c r="X142" s="343"/>
      <c r="Y142" s="343"/>
    </row>
    <row r="143" spans="1:25" ht="13" x14ac:dyDescent="0.25">
      <c r="A143" s="694"/>
      <c r="B143" s="698"/>
      <c r="C143" s="698"/>
      <c r="D143" s="377"/>
      <c r="E143" s="728"/>
      <c r="F143" s="687" t="s">
        <v>8</v>
      </c>
      <c r="G143" s="2309" t="str">
        <f>Translations!$B$105</f>
        <v>Град:</v>
      </c>
      <c r="H143" s="2310"/>
      <c r="I143" s="2311"/>
      <c r="J143" s="2312" t="str">
        <f>IF(J138="",J133,J138)</f>
        <v/>
      </c>
      <c r="K143" s="2313"/>
      <c r="L143" s="2313"/>
      <c r="M143" s="2313"/>
      <c r="N143" s="2393"/>
      <c r="O143" s="336"/>
      <c r="P143" s="302"/>
      <c r="Q143" s="343"/>
      <c r="R143" s="343"/>
      <c r="S143" s="343"/>
      <c r="T143" s="343"/>
      <c r="U143" s="343"/>
      <c r="V143" s="343"/>
      <c r="W143" s="343"/>
      <c r="X143" s="343"/>
      <c r="Y143" s="343"/>
    </row>
    <row r="144" spans="1:25" ht="13" x14ac:dyDescent="0.25">
      <c r="A144" s="694"/>
      <c r="B144" s="698"/>
      <c r="C144" s="698"/>
      <c r="D144" s="377"/>
      <c r="E144" s="728"/>
      <c r="F144" s="687" t="s">
        <v>18</v>
      </c>
      <c r="G144" s="2318" t="str">
        <f>Translations!$B$106</f>
        <v>Държава:</v>
      </c>
      <c r="H144" s="2319"/>
      <c r="I144" s="2320"/>
      <c r="J144" s="2321" t="str">
        <f>IF(J139="",J134,J139)</f>
        <v/>
      </c>
      <c r="K144" s="2322"/>
      <c r="L144" s="2322"/>
      <c r="M144" s="2322"/>
      <c r="N144" s="2456"/>
      <c r="O144" s="336"/>
      <c r="P144" s="302"/>
      <c r="Q144" s="343"/>
      <c r="R144" s="343"/>
      <c r="S144" s="343"/>
      <c r="T144" s="343"/>
      <c r="U144" s="343"/>
      <c r="V144" s="343"/>
      <c r="W144" s="343"/>
      <c r="X144" s="343"/>
      <c r="Y144" s="343"/>
    </row>
    <row r="145" spans="1:25" ht="5.15" customHeight="1" x14ac:dyDescent="0.25">
      <c r="A145" s="694"/>
      <c r="B145" s="284"/>
      <c r="C145" s="284"/>
      <c r="D145" s="284"/>
      <c r="E145" s="284"/>
      <c r="F145" s="284"/>
      <c r="G145" s="284"/>
      <c r="H145" s="284"/>
      <c r="I145" s="284"/>
      <c r="J145" s="284"/>
      <c r="K145" s="284"/>
      <c r="L145" s="284"/>
      <c r="M145" s="336"/>
      <c r="N145" s="336"/>
      <c r="O145" s="336"/>
      <c r="P145" s="302"/>
      <c r="Q145" s="695"/>
      <c r="R145" s="343"/>
      <c r="S145" s="343"/>
      <c r="T145" s="343"/>
      <c r="U145" s="343"/>
      <c r="V145" s="343"/>
      <c r="W145" s="343"/>
      <c r="X145" s="343"/>
      <c r="Y145" s="343"/>
    </row>
    <row r="146" spans="1:25" ht="12.75" customHeight="1" x14ac:dyDescent="0.25">
      <c r="A146" s="694"/>
      <c r="B146" s="284"/>
      <c r="C146" s="284"/>
      <c r="D146" s="300" t="s">
        <v>492</v>
      </c>
      <c r="E146" s="2226" t="str">
        <f>Translations!$B$1245</f>
        <v>Информация за групата:</v>
      </c>
      <c r="F146" s="2249"/>
      <c r="G146" s="2249"/>
      <c r="H146" s="2249"/>
      <c r="I146" s="2249"/>
      <c r="J146" s="2249"/>
      <c r="K146" s="2249"/>
      <c r="L146" s="2249"/>
      <c r="M146" s="2249"/>
      <c r="N146" s="2249"/>
      <c r="O146" s="336"/>
      <c r="P146" s="302"/>
      <c r="Q146" s="695"/>
      <c r="R146" s="343"/>
      <c r="S146" s="343"/>
      <c r="T146" s="343"/>
      <c r="U146" s="343"/>
      <c r="V146" s="343"/>
      <c r="W146" s="343"/>
      <c r="X146" s="343"/>
      <c r="Y146" s="343"/>
    </row>
    <row r="147" spans="1:25" ht="12.75" customHeight="1" x14ac:dyDescent="0.25">
      <c r="A147" s="694"/>
      <c r="B147" s="284"/>
      <c r="C147" s="284"/>
      <c r="D147" s="300"/>
      <c r="E147" s="2358" t="str">
        <f>Translations!$B$1246</f>
        <v xml:space="preserve">„Групата“ включва предприятието майка и всички негови дъщерни предприятия (тези предприятия, които са контролирани от предприятието майка). </v>
      </c>
      <c r="F147" s="2249"/>
      <c r="G147" s="2249"/>
      <c r="H147" s="2249"/>
      <c r="I147" s="2249"/>
      <c r="J147" s="2249"/>
      <c r="K147" s="2249"/>
      <c r="L147" s="2249"/>
      <c r="M147" s="2249"/>
      <c r="N147" s="2249"/>
      <c r="O147" s="336"/>
      <c r="P147" s="302"/>
      <c r="Q147" s="695"/>
      <c r="R147" s="343"/>
      <c r="S147" s="343"/>
      <c r="T147" s="343"/>
      <c r="U147" s="343"/>
      <c r="V147" s="343"/>
      <c r="W147" s="343"/>
      <c r="X147" s="343"/>
      <c r="Y147" s="343"/>
    </row>
    <row r="148" spans="1:25" ht="38.9" customHeight="1" x14ac:dyDescent="0.25">
      <c r="A148" s="694"/>
      <c r="B148" s="284"/>
      <c r="C148" s="284"/>
      <c r="D148" s="300"/>
      <c r="E148" s="2358" t="str">
        <f>Translations!$B$1247</f>
        <v>Член 22 от Директива 2013/34/ЕС съдържа допълнителни елементи, характеризиращи отношенията между предприятието майка и дъщерното предприятие (например: предприятието майка притежава мнозинството от гласовете на акционерите или съдружниците в дъщерното предприятие; предприятието майка има право да назначава или освобождава мнозинството от членовете на административния, управителния или надзорния орган на дъщерното предприятие и същевременно е акционер или съдружник в това предприятие и т.н.).</v>
      </c>
      <c r="F148" s="2249"/>
      <c r="G148" s="2249"/>
      <c r="H148" s="2249"/>
      <c r="I148" s="2249"/>
      <c r="J148" s="2249"/>
      <c r="K148" s="2249"/>
      <c r="L148" s="2249"/>
      <c r="M148" s="2249"/>
      <c r="N148" s="2249"/>
      <c r="O148" s="336"/>
      <c r="P148" s="302"/>
      <c r="Q148" s="695"/>
      <c r="R148" s="343"/>
      <c r="S148" s="343"/>
      <c r="T148" s="343"/>
      <c r="U148" s="343"/>
      <c r="V148" s="343"/>
      <c r="W148" s="343"/>
      <c r="X148" s="343"/>
      <c r="Y148" s="343"/>
    </row>
    <row r="149" spans="1:25" s="706" customFormat="1" ht="12.75" customHeight="1" x14ac:dyDescent="0.25">
      <c r="A149" s="699"/>
      <c r="B149" s="290"/>
      <c r="C149" s="290"/>
      <c r="D149" s="701"/>
      <c r="E149" s="2542" t="str">
        <f>Translations!$B$1248</f>
        <v>https://eur-lex.europa.eu/eli/dir/2013/34/oj</v>
      </c>
      <c r="F149" s="2543"/>
      <c r="G149" s="2543"/>
      <c r="H149" s="2543"/>
      <c r="I149" s="2543"/>
      <c r="J149" s="2543"/>
      <c r="K149" s="2543"/>
      <c r="L149" s="2543"/>
      <c r="M149" s="2543"/>
      <c r="N149" s="2543"/>
      <c r="O149" s="702"/>
      <c r="P149" s="702"/>
      <c r="Q149" s="703"/>
      <c r="R149" s="705"/>
      <c r="S149" s="705"/>
      <c r="T149" s="705"/>
      <c r="U149" s="705"/>
      <c r="V149" s="705"/>
      <c r="W149" s="705"/>
      <c r="X149" s="705"/>
      <c r="Y149" s="705"/>
    </row>
    <row r="150" spans="1:25" ht="12.75" customHeight="1" x14ac:dyDescent="0.25">
      <c r="A150" s="694"/>
      <c r="B150" s="284"/>
      <c r="C150" s="284"/>
      <c r="D150" s="284"/>
      <c r="E150" s="284"/>
      <c r="F150" s="687" t="s">
        <v>6</v>
      </c>
      <c r="G150" s="2547" t="str">
        <f>Translations!$B$1249</f>
        <v>Предприятие майка</v>
      </c>
      <c r="H150" s="2548"/>
      <c r="I150" s="2548"/>
      <c r="J150" s="2545"/>
      <c r="K150" s="2546"/>
      <c r="L150" s="2546"/>
      <c r="M150" s="2546"/>
      <c r="N150" s="2546"/>
      <c r="O150" s="336"/>
      <c r="P150" s="181"/>
      <c r="Q150" s="695"/>
      <c r="R150" s="343"/>
      <c r="S150" s="343"/>
      <c r="T150" s="343"/>
      <c r="U150" s="343"/>
      <c r="V150" s="343"/>
      <c r="W150" s="343"/>
      <c r="X150" s="343"/>
      <c r="Y150" s="343"/>
    </row>
    <row r="151" spans="1:25" ht="25.5" customHeight="1" x14ac:dyDescent="0.25">
      <c r="A151" s="694"/>
      <c r="B151" s="284"/>
      <c r="C151" s="284"/>
      <c r="D151" s="284"/>
      <c r="E151" s="284"/>
      <c r="F151" s="687" t="s">
        <v>7</v>
      </c>
      <c r="G151" s="2384" t="str">
        <f>Translations!$B$1250</f>
        <v>Дъщерно предприятие, на което принадлежи настоящата инсталация, ако е приложимо</v>
      </c>
      <c r="H151" s="2385"/>
      <c r="I151" s="2386"/>
      <c r="J151" s="2545"/>
      <c r="K151" s="2546"/>
      <c r="L151" s="2546"/>
      <c r="M151" s="2546"/>
      <c r="N151" s="2546"/>
      <c r="O151" s="336"/>
      <c r="P151" s="181"/>
      <c r="Q151" s="695"/>
      <c r="R151" s="343"/>
      <c r="S151" s="343"/>
      <c r="T151" s="343"/>
      <c r="U151" s="343"/>
      <c r="V151" s="343"/>
      <c r="W151" s="343"/>
      <c r="X151" s="343"/>
      <c r="Y151" s="343"/>
    </row>
    <row r="152" spans="1:25" ht="12.75" customHeight="1" x14ac:dyDescent="0.25">
      <c r="A152" s="694"/>
      <c r="B152" s="284"/>
      <c r="C152" s="284"/>
      <c r="D152" s="284"/>
      <c r="E152" s="284"/>
      <c r="F152" s="687" t="s">
        <v>8</v>
      </c>
      <c r="G152" s="2454" t="str">
        <f>Translations!$B$1251</f>
        <v>Други инсталации в ЕС на същата група (идентификационен номер от регистъра), ако е приложимо</v>
      </c>
      <c r="H152" s="2455"/>
      <c r="I152" s="735">
        <v>1</v>
      </c>
      <c r="J152" s="2544"/>
      <c r="K152" s="2544"/>
      <c r="L152" s="2544"/>
      <c r="M152" s="2544"/>
      <c r="N152" s="2544"/>
      <c r="O152" s="336"/>
      <c r="P152" s="181"/>
      <c r="Q152" s="695"/>
      <c r="R152" s="343"/>
      <c r="S152" s="343"/>
      <c r="T152" s="343"/>
      <c r="U152" s="343"/>
      <c r="V152" s="343"/>
      <c r="W152" s="343"/>
      <c r="X152" s="343"/>
      <c r="Y152" s="343"/>
    </row>
    <row r="153" spans="1:25" ht="12.75" customHeight="1" x14ac:dyDescent="0.25">
      <c r="A153" s="694"/>
      <c r="B153" s="284"/>
      <c r="C153" s="284"/>
      <c r="D153" s="284"/>
      <c r="E153" s="284"/>
      <c r="F153" s="284"/>
      <c r="G153" s="2454"/>
      <c r="H153" s="2455"/>
      <c r="I153" s="736">
        <v>2</v>
      </c>
      <c r="J153" s="2450"/>
      <c r="K153" s="2450"/>
      <c r="L153" s="2450"/>
      <c r="M153" s="2450"/>
      <c r="N153" s="2450"/>
      <c r="O153" s="336"/>
      <c r="P153" s="181"/>
      <c r="Q153" s="695"/>
      <c r="R153" s="343"/>
      <c r="S153" s="343"/>
      <c r="T153" s="343"/>
      <c r="U153" s="343"/>
      <c r="V153" s="343"/>
      <c r="W153" s="343"/>
      <c r="X153" s="343"/>
      <c r="Y153" s="343"/>
    </row>
    <row r="154" spans="1:25" ht="12.75" customHeight="1" x14ac:dyDescent="0.25">
      <c r="A154" s="694"/>
      <c r="B154" s="284"/>
      <c r="C154" s="284"/>
      <c r="D154" s="284"/>
      <c r="E154" s="284"/>
      <c r="F154" s="284"/>
      <c r="G154" s="2454"/>
      <c r="H154" s="2455"/>
      <c r="I154" s="736">
        <v>3</v>
      </c>
      <c r="J154" s="2450"/>
      <c r="K154" s="2450"/>
      <c r="L154" s="2450"/>
      <c r="M154" s="2450"/>
      <c r="N154" s="2450"/>
      <c r="O154" s="336"/>
      <c r="P154" s="181"/>
      <c r="Q154" s="695"/>
      <c r="R154" s="343"/>
      <c r="S154" s="343"/>
      <c r="T154" s="343"/>
      <c r="U154" s="343"/>
      <c r="V154" s="343"/>
      <c r="W154" s="343"/>
      <c r="X154" s="343"/>
      <c r="Y154" s="343"/>
    </row>
    <row r="155" spans="1:25" ht="12.75" customHeight="1" x14ac:dyDescent="0.25">
      <c r="A155" s="694"/>
      <c r="B155" s="284"/>
      <c r="C155" s="284"/>
      <c r="D155" s="284"/>
      <c r="E155" s="284"/>
      <c r="F155" s="284"/>
      <c r="G155" s="2454"/>
      <c r="H155" s="2455"/>
      <c r="I155" s="736">
        <v>4</v>
      </c>
      <c r="J155" s="2450"/>
      <c r="K155" s="2450"/>
      <c r="L155" s="2450"/>
      <c r="M155" s="2450"/>
      <c r="N155" s="2450"/>
      <c r="O155" s="336"/>
      <c r="P155" s="181"/>
      <c r="Q155" s="695"/>
      <c r="R155" s="343"/>
      <c r="S155" s="343"/>
      <c r="T155" s="343"/>
      <c r="U155" s="343"/>
      <c r="V155" s="343"/>
      <c r="W155" s="343"/>
      <c r="X155" s="343"/>
      <c r="Y155" s="343"/>
    </row>
    <row r="156" spans="1:25" ht="12.75" customHeight="1" x14ac:dyDescent="0.25">
      <c r="A156" s="694"/>
      <c r="B156" s="284"/>
      <c r="C156" s="284"/>
      <c r="D156" s="284"/>
      <c r="E156" s="284"/>
      <c r="F156" s="284"/>
      <c r="G156" s="2454"/>
      <c r="H156" s="2455"/>
      <c r="I156" s="736">
        <v>5</v>
      </c>
      <c r="J156" s="2450"/>
      <c r="K156" s="2450"/>
      <c r="L156" s="2450"/>
      <c r="M156" s="2450"/>
      <c r="N156" s="2450"/>
      <c r="O156" s="336"/>
      <c r="P156" s="181"/>
      <c r="Q156" s="695"/>
      <c r="R156" s="343"/>
      <c r="S156" s="343"/>
      <c r="T156" s="343"/>
      <c r="U156" s="343"/>
      <c r="V156" s="343"/>
      <c r="W156" s="343"/>
      <c r="X156" s="343"/>
      <c r="Y156" s="343"/>
    </row>
    <row r="157" spans="1:25" ht="12.75" customHeight="1" x14ac:dyDescent="0.25">
      <c r="A157" s="694"/>
      <c r="B157" s="284"/>
      <c r="C157" s="284"/>
      <c r="D157" s="284"/>
      <c r="E157" s="284"/>
      <c r="F157" s="284"/>
      <c r="G157" s="2454"/>
      <c r="H157" s="2455"/>
      <c r="I157" s="736">
        <v>6</v>
      </c>
      <c r="J157" s="2450"/>
      <c r="K157" s="2450"/>
      <c r="L157" s="2450"/>
      <c r="M157" s="2450"/>
      <c r="N157" s="2450"/>
      <c r="O157" s="336"/>
      <c r="P157" s="181"/>
      <c r="Q157" s="695"/>
      <c r="R157" s="343"/>
      <c r="S157" s="343"/>
      <c r="T157" s="343"/>
      <c r="U157" s="343"/>
      <c r="V157" s="343"/>
      <c r="W157" s="343"/>
      <c r="X157" s="343"/>
      <c r="Y157" s="343"/>
    </row>
    <row r="158" spans="1:25" ht="12.75" customHeight="1" x14ac:dyDescent="0.25">
      <c r="A158" s="694"/>
      <c r="B158" s="284"/>
      <c r="C158" s="284"/>
      <c r="D158" s="284"/>
      <c r="E158" s="284"/>
      <c r="F158" s="284"/>
      <c r="G158" s="2454"/>
      <c r="H158" s="2455"/>
      <c r="I158" s="736">
        <v>7</v>
      </c>
      <c r="J158" s="2450"/>
      <c r="K158" s="2450"/>
      <c r="L158" s="2450"/>
      <c r="M158" s="2450"/>
      <c r="N158" s="2450"/>
      <c r="O158" s="336"/>
      <c r="P158" s="181"/>
      <c r="Q158" s="695"/>
      <c r="R158" s="343"/>
      <c r="S158" s="343"/>
      <c r="T158" s="343"/>
      <c r="U158" s="343"/>
      <c r="V158" s="343"/>
      <c r="W158" s="343"/>
      <c r="X158" s="343"/>
      <c r="Y158" s="343"/>
    </row>
    <row r="159" spans="1:25" ht="12.75" customHeight="1" x14ac:dyDescent="0.25">
      <c r="A159" s="694"/>
      <c r="B159" s="284"/>
      <c r="C159" s="284"/>
      <c r="D159" s="284"/>
      <c r="E159" s="284"/>
      <c r="F159" s="284"/>
      <c r="G159" s="2454"/>
      <c r="H159" s="2455"/>
      <c r="I159" s="736">
        <v>8</v>
      </c>
      <c r="J159" s="2450"/>
      <c r="K159" s="2450"/>
      <c r="L159" s="2450"/>
      <c r="M159" s="2450"/>
      <c r="N159" s="2450"/>
      <c r="O159" s="336"/>
      <c r="P159" s="181"/>
      <c r="Q159" s="695"/>
      <c r="R159" s="343"/>
      <c r="S159" s="343"/>
      <c r="T159" s="343"/>
      <c r="U159" s="343"/>
      <c r="V159" s="343"/>
      <c r="W159" s="343"/>
      <c r="X159" s="343"/>
      <c r="Y159" s="343"/>
    </row>
    <row r="160" spans="1:25" ht="12.75" customHeight="1" x14ac:dyDescent="0.25">
      <c r="A160" s="694"/>
      <c r="B160" s="284"/>
      <c r="C160" s="284"/>
      <c r="D160" s="284"/>
      <c r="E160" s="284"/>
      <c r="F160" s="284"/>
      <c r="G160" s="2454"/>
      <c r="H160" s="2455"/>
      <c r="I160" s="736">
        <v>9</v>
      </c>
      <c r="J160" s="2450"/>
      <c r="K160" s="2450"/>
      <c r="L160" s="2450"/>
      <c r="M160" s="2450"/>
      <c r="N160" s="2450"/>
      <c r="O160" s="336"/>
      <c r="P160" s="181"/>
      <c r="Q160" s="695"/>
      <c r="R160" s="343"/>
      <c r="S160" s="343"/>
      <c r="T160" s="343"/>
      <c r="U160" s="343"/>
      <c r="V160" s="343"/>
      <c r="W160" s="343"/>
      <c r="X160" s="343"/>
      <c r="Y160" s="343"/>
    </row>
    <row r="161" spans="1:25" ht="12.75" customHeight="1" x14ac:dyDescent="0.25">
      <c r="A161" s="694"/>
      <c r="B161" s="284"/>
      <c r="C161" s="284"/>
      <c r="D161" s="284"/>
      <c r="E161" s="284"/>
      <c r="F161" s="284"/>
      <c r="G161" s="2454"/>
      <c r="H161" s="2455"/>
      <c r="I161" s="737">
        <v>10</v>
      </c>
      <c r="J161" s="2398"/>
      <c r="K161" s="2398"/>
      <c r="L161" s="2398"/>
      <c r="M161" s="2398"/>
      <c r="N161" s="2398"/>
      <c r="O161" s="336"/>
      <c r="P161" s="181"/>
      <c r="Q161" s="695"/>
      <c r="R161" s="343"/>
      <c r="S161" s="343"/>
      <c r="T161" s="343"/>
      <c r="U161" s="343"/>
      <c r="V161" s="343"/>
      <c r="W161" s="343"/>
      <c r="X161" s="343"/>
      <c r="Y161" s="343"/>
    </row>
    <row r="162" spans="1:25" ht="5.15" customHeight="1" x14ac:dyDescent="0.25">
      <c r="A162" s="694"/>
      <c r="B162" s="284"/>
      <c r="C162" s="284"/>
      <c r="D162" s="284"/>
      <c r="E162" s="284"/>
      <c r="F162" s="284"/>
      <c r="G162" s="284"/>
      <c r="H162" s="284"/>
      <c r="I162" s="284"/>
      <c r="J162" s="284"/>
      <c r="K162" s="284"/>
      <c r="L162" s="284"/>
      <c r="M162" s="336"/>
      <c r="N162" s="336"/>
      <c r="O162" s="336"/>
      <c r="P162" s="302"/>
      <c r="Q162" s="695"/>
      <c r="R162" s="343"/>
      <c r="S162" s="343"/>
      <c r="T162" s="343"/>
      <c r="U162" s="343"/>
      <c r="V162" s="343"/>
      <c r="W162" s="343"/>
      <c r="X162" s="343"/>
      <c r="Y162" s="343"/>
    </row>
    <row r="163" spans="1:25" ht="14" x14ac:dyDescent="0.3">
      <c r="A163" s="694"/>
      <c r="B163" s="698"/>
      <c r="C163" s="357">
        <v>2</v>
      </c>
      <c r="D163" s="2323" t="str">
        <f>Translations!$B$112</f>
        <v>Лица за връзка:</v>
      </c>
      <c r="E163" s="2249"/>
      <c r="F163" s="2249"/>
      <c r="G163" s="2249"/>
      <c r="H163" s="2249"/>
      <c r="I163" s="2249"/>
      <c r="J163" s="2249"/>
      <c r="K163" s="2249"/>
      <c r="L163" s="2249"/>
      <c r="M163" s="2249"/>
      <c r="N163" s="2249"/>
      <c r="O163" s="336"/>
      <c r="P163" s="302"/>
      <c r="Q163" s="343"/>
      <c r="R163" s="343"/>
      <c r="S163" s="343"/>
      <c r="T163" s="343"/>
      <c r="U163" s="343"/>
      <c r="V163" s="343"/>
      <c r="W163" s="343"/>
      <c r="X163" s="343"/>
      <c r="Y163" s="343"/>
    </row>
    <row r="164" spans="1:25" x14ac:dyDescent="0.25">
      <c r="A164" s="694"/>
      <c r="B164" s="698"/>
      <c r="C164" s="698"/>
      <c r="D164" s="698"/>
      <c r="E164" s="2358" t="str">
        <f>Translations!$B$113</f>
        <v>Тук посочете лица, с които компетентният орган може да се свърже при въпроси относно този доклад, включително във връзка с неговата проверка.</v>
      </c>
      <c r="F164" s="2249"/>
      <c r="G164" s="2249"/>
      <c r="H164" s="2249"/>
      <c r="I164" s="2249"/>
      <c r="J164" s="2249"/>
      <c r="K164" s="2249"/>
      <c r="L164" s="2249"/>
      <c r="M164" s="2249"/>
      <c r="N164" s="2249"/>
      <c r="O164" s="336"/>
      <c r="P164" s="302"/>
      <c r="Q164" s="343"/>
      <c r="R164" s="343"/>
      <c r="S164" s="343"/>
      <c r="T164" s="343"/>
      <c r="U164" s="343"/>
      <c r="V164" s="343"/>
      <c r="W164" s="343"/>
      <c r="X164" s="343"/>
      <c r="Y164" s="343"/>
    </row>
    <row r="165" spans="1:25" ht="5.15" customHeight="1" x14ac:dyDescent="0.25">
      <c r="A165" s="694"/>
      <c r="B165" s="284"/>
      <c r="C165" s="284"/>
      <c r="D165" s="284"/>
      <c r="E165" s="284"/>
      <c r="F165" s="284"/>
      <c r="G165" s="284"/>
      <c r="H165" s="284"/>
      <c r="I165" s="284"/>
      <c r="J165" s="284"/>
      <c r="K165" s="284"/>
      <c r="L165" s="284"/>
      <c r="M165" s="336"/>
      <c r="N165" s="336"/>
      <c r="O165" s="336"/>
      <c r="P165" s="302"/>
      <c r="Q165" s="695"/>
      <c r="R165" s="343"/>
      <c r="S165" s="343"/>
      <c r="T165" s="343"/>
      <c r="U165" s="343"/>
      <c r="V165" s="343"/>
      <c r="W165" s="343"/>
      <c r="X165" s="343"/>
      <c r="Y165" s="343"/>
    </row>
    <row r="166" spans="1:25" ht="13" x14ac:dyDescent="0.25">
      <c r="A166" s="694"/>
      <c r="B166" s="698"/>
      <c r="C166" s="698"/>
      <c r="D166" s="724" t="s">
        <v>408</v>
      </c>
      <c r="E166" s="2226" t="str">
        <f>Translations!$B$114</f>
        <v>Упълномощен представител на оператора, който отговаря за инсталацията:</v>
      </c>
      <c r="F166" s="2249"/>
      <c r="G166" s="2249"/>
      <c r="H166" s="2249"/>
      <c r="I166" s="2249"/>
      <c r="J166" s="2249"/>
      <c r="K166" s="2249"/>
      <c r="L166" s="2249"/>
      <c r="M166" s="2249"/>
      <c r="N166" s="2249"/>
      <c r="O166" s="336"/>
      <c r="P166" s="302"/>
      <c r="Q166" s="343"/>
      <c r="R166" s="343"/>
      <c r="S166" s="343"/>
      <c r="T166" s="343"/>
      <c r="U166" s="343"/>
      <c r="V166" s="343"/>
      <c r="W166" s="343"/>
      <c r="X166" s="343"/>
      <c r="Y166" s="343"/>
    </row>
    <row r="167" spans="1:25" ht="13" x14ac:dyDescent="0.25">
      <c r="A167" s="694"/>
      <c r="B167" s="698"/>
      <c r="C167" s="698"/>
      <c r="D167" s="377"/>
      <c r="E167" s="728"/>
      <c r="F167" s="687" t="s">
        <v>6</v>
      </c>
      <c r="G167" s="2304" t="str">
        <f>Translations!$B$115</f>
        <v>Име:</v>
      </c>
      <c r="H167" s="2305"/>
      <c r="I167" s="2306"/>
      <c r="J167" s="2395" t="str">
        <f>c_NIMsSummary!J1682</f>
        <v/>
      </c>
      <c r="K167" s="2396"/>
      <c r="L167" s="2396"/>
      <c r="M167" s="2396"/>
      <c r="N167" s="2397"/>
      <c r="O167" s="336"/>
      <c r="P167" s="302"/>
      <c r="Q167" s="343"/>
      <c r="R167" s="343"/>
      <c r="S167" s="343"/>
      <c r="T167" s="343"/>
      <c r="U167" s="343"/>
      <c r="V167" s="343"/>
      <c r="W167" s="343"/>
      <c r="X167" s="343"/>
      <c r="Y167" s="716" t="b">
        <f>OR(CNTR_Incumbent=FALSE,CTRL_InputMethodNIMsvalues=2)</f>
        <v>0</v>
      </c>
    </row>
    <row r="168" spans="1:25" ht="13" x14ac:dyDescent="0.25">
      <c r="A168" s="694"/>
      <c r="B168" s="698"/>
      <c r="C168" s="698"/>
      <c r="D168" s="377"/>
      <c r="E168" s="728"/>
      <c r="F168" s="687" t="s">
        <v>7</v>
      </c>
      <c r="G168" s="2309" t="str">
        <f>Translations!$B$108</f>
        <v>Електронна поща:</v>
      </c>
      <c r="H168" s="2310"/>
      <c r="I168" s="2311"/>
      <c r="J168" s="2451" t="str">
        <f>c_NIMsSummary!J1683</f>
        <v/>
      </c>
      <c r="K168" s="2452"/>
      <c r="L168" s="2452"/>
      <c r="M168" s="2452"/>
      <c r="N168" s="2453"/>
      <c r="O168" s="336"/>
      <c r="P168" s="302"/>
      <c r="Q168" s="343"/>
      <c r="R168" s="343"/>
      <c r="S168" s="343"/>
      <c r="T168" s="343"/>
      <c r="U168" s="343"/>
      <c r="V168" s="343"/>
      <c r="W168" s="343"/>
      <c r="X168" s="343"/>
      <c r="Y168" s="716" t="b">
        <f>OR(CNTR_Incumbent=FALSE,CTRL_InputMethodNIMsvalues=2)</f>
        <v>0</v>
      </c>
    </row>
    <row r="169" spans="1:25" ht="13" x14ac:dyDescent="0.25">
      <c r="A169" s="694"/>
      <c r="B169" s="698"/>
      <c r="C169" s="698"/>
      <c r="D169" s="377"/>
      <c r="E169" s="728"/>
      <c r="F169" s="687" t="s">
        <v>8</v>
      </c>
      <c r="G169" s="2309" t="str">
        <f>Translations!$B$109</f>
        <v>Телефон:</v>
      </c>
      <c r="H169" s="2310"/>
      <c r="I169" s="2311"/>
      <c r="J169" s="2451" t="str">
        <f>c_NIMsSummary!J1684</f>
        <v/>
      </c>
      <c r="K169" s="2452"/>
      <c r="L169" s="2452"/>
      <c r="M169" s="2452"/>
      <c r="N169" s="2453"/>
      <c r="O169" s="336"/>
      <c r="P169" s="302"/>
      <c r="Q169" s="343"/>
      <c r="R169" s="343"/>
      <c r="S169" s="343"/>
      <c r="T169" s="343"/>
      <c r="U169" s="343"/>
      <c r="V169" s="343"/>
      <c r="W169" s="343"/>
      <c r="X169" s="343"/>
      <c r="Y169" s="716" t="b">
        <f>OR(CNTR_Incumbent=FALSE,CTRL_InputMethodNIMsvalues=2)</f>
        <v>0</v>
      </c>
    </row>
    <row r="170" spans="1:25" ht="13" x14ac:dyDescent="0.25">
      <c r="A170" s="694"/>
      <c r="B170" s="698"/>
      <c r="C170" s="698"/>
      <c r="D170" s="377"/>
      <c r="E170" s="728"/>
      <c r="F170" s="687" t="s">
        <v>18</v>
      </c>
      <c r="G170" s="2318" t="str">
        <f>Translations!$B$110</f>
        <v>Факс:</v>
      </c>
      <c r="H170" s="2319"/>
      <c r="I170" s="2320"/>
      <c r="J170" s="2521" t="str">
        <f>c_NIMsSummary!J1685</f>
        <v/>
      </c>
      <c r="K170" s="2522"/>
      <c r="L170" s="2522"/>
      <c r="M170" s="2522"/>
      <c r="N170" s="2523"/>
      <c r="O170" s="336"/>
      <c r="P170" s="302"/>
      <c r="Q170" s="343"/>
      <c r="R170" s="343"/>
      <c r="S170" s="343"/>
      <c r="T170" s="343"/>
      <c r="U170" s="343"/>
      <c r="V170" s="343"/>
      <c r="W170" s="343"/>
      <c r="X170" s="343"/>
      <c r="Y170" s="716" t="b">
        <f>OR(CNTR_Incumbent=FALSE,CTRL_InputMethodNIMsvalues=2)</f>
        <v>0</v>
      </c>
    </row>
    <row r="171" spans="1:25" ht="5.15" customHeight="1" x14ac:dyDescent="0.25">
      <c r="A171" s="694"/>
      <c r="B171" s="284"/>
      <c r="C171" s="284"/>
      <c r="D171" s="284"/>
      <c r="E171" s="284"/>
      <c r="F171" s="284"/>
      <c r="G171" s="284"/>
      <c r="H171" s="284"/>
      <c r="I171" s="284"/>
      <c r="J171" s="284"/>
      <c r="K171" s="284"/>
      <c r="L171" s="284"/>
      <c r="M171" s="336"/>
      <c r="N171" s="336"/>
      <c r="O171" s="336"/>
      <c r="P171" s="302"/>
      <c r="Q171" s="695"/>
      <c r="R171" s="343"/>
      <c r="S171" s="343"/>
      <c r="T171" s="343"/>
      <c r="U171" s="343"/>
      <c r="V171" s="343"/>
      <c r="W171" s="343"/>
      <c r="X171" s="343"/>
      <c r="Y171" s="343"/>
    </row>
    <row r="172" spans="1:25" ht="13" x14ac:dyDescent="0.25">
      <c r="A172" s="694"/>
      <c r="B172" s="698"/>
      <c r="C172" s="698"/>
      <c r="D172" s="377"/>
      <c r="E172" s="728"/>
      <c r="F172" s="687" t="s">
        <v>6</v>
      </c>
      <c r="G172" s="2304" t="str">
        <f>Translations!$B$115</f>
        <v>Име:</v>
      </c>
      <c r="H172" s="2305"/>
      <c r="I172" s="2306"/>
      <c r="J172" s="2390"/>
      <c r="K172" s="2391"/>
      <c r="L172" s="2391"/>
      <c r="M172" s="2391"/>
      <c r="N172" s="2392"/>
      <c r="O172" s="336"/>
      <c r="P172" s="181"/>
      <c r="Q172" s="343"/>
      <c r="R172" s="343"/>
      <c r="S172" s="343"/>
      <c r="T172" s="343"/>
      <c r="U172" s="343"/>
      <c r="V172" s="343"/>
      <c r="W172" s="343"/>
      <c r="X172" s="343"/>
      <c r="Y172" s="716" t="b">
        <f>CTRL_InputMethodNIMsvalues=1</f>
        <v>0</v>
      </c>
    </row>
    <row r="173" spans="1:25" ht="13" x14ac:dyDescent="0.25">
      <c r="A173" s="694"/>
      <c r="B173" s="698"/>
      <c r="C173" s="698"/>
      <c r="D173" s="377"/>
      <c r="E173" s="728"/>
      <c r="F173" s="687" t="s">
        <v>7</v>
      </c>
      <c r="G173" s="2309" t="str">
        <f>Translations!$B$108</f>
        <v>Електронна поща:</v>
      </c>
      <c r="H173" s="2310"/>
      <c r="I173" s="2311"/>
      <c r="J173" s="2368"/>
      <c r="K173" s="2369"/>
      <c r="L173" s="2369"/>
      <c r="M173" s="2369"/>
      <c r="N173" s="2370"/>
      <c r="O173" s="336"/>
      <c r="P173" s="181"/>
      <c r="Q173" s="343"/>
      <c r="R173" s="343"/>
      <c r="S173" s="343"/>
      <c r="T173" s="343"/>
      <c r="U173" s="343"/>
      <c r="V173" s="343"/>
      <c r="W173" s="343"/>
      <c r="X173" s="343"/>
      <c r="Y173" s="716" t="b">
        <f>CTRL_InputMethodNIMsvalues=1</f>
        <v>0</v>
      </c>
    </row>
    <row r="174" spans="1:25" ht="13" x14ac:dyDescent="0.25">
      <c r="A174" s="694"/>
      <c r="B174" s="698"/>
      <c r="C174" s="698"/>
      <c r="D174" s="377"/>
      <c r="E174" s="728"/>
      <c r="F174" s="687" t="s">
        <v>8</v>
      </c>
      <c r="G174" s="2309" t="str">
        <f>Translations!$B$109</f>
        <v>Телефон:</v>
      </c>
      <c r="H174" s="2310"/>
      <c r="I174" s="2311"/>
      <c r="J174" s="2368"/>
      <c r="K174" s="2369"/>
      <c r="L174" s="2369"/>
      <c r="M174" s="2369"/>
      <c r="N174" s="2370"/>
      <c r="O174" s="336"/>
      <c r="P174" s="181"/>
      <c r="Q174" s="343"/>
      <c r="R174" s="343"/>
      <c r="S174" s="343"/>
      <c r="T174" s="343"/>
      <c r="U174" s="343"/>
      <c r="V174" s="343"/>
      <c r="W174" s="343"/>
      <c r="X174" s="343"/>
      <c r="Y174" s="716" t="b">
        <f>CTRL_InputMethodNIMsvalues=1</f>
        <v>0</v>
      </c>
    </row>
    <row r="175" spans="1:25" ht="13" x14ac:dyDescent="0.25">
      <c r="A175" s="694"/>
      <c r="B175" s="698"/>
      <c r="C175" s="698"/>
      <c r="D175" s="377"/>
      <c r="E175" s="728"/>
      <c r="F175" s="687" t="s">
        <v>18</v>
      </c>
      <c r="G175" s="2318" t="str">
        <f>Translations!$B$110</f>
        <v>Факс:</v>
      </c>
      <c r="H175" s="2319"/>
      <c r="I175" s="2320"/>
      <c r="J175" s="2381"/>
      <c r="K175" s="2382"/>
      <c r="L175" s="2382"/>
      <c r="M175" s="2382"/>
      <c r="N175" s="2383"/>
      <c r="O175" s="336"/>
      <c r="P175" s="181"/>
      <c r="Q175" s="343"/>
      <c r="R175" s="343"/>
      <c r="S175" s="343"/>
      <c r="T175" s="343"/>
      <c r="U175" s="343"/>
      <c r="V175" s="343"/>
      <c r="W175" s="343"/>
      <c r="X175" s="343"/>
      <c r="Y175" s="716" t="b">
        <f>CTRL_InputMethodNIMsvalues=1</f>
        <v>0</v>
      </c>
    </row>
    <row r="176" spans="1:25" ht="5.15" customHeight="1" x14ac:dyDescent="0.25">
      <c r="A176" s="694"/>
      <c r="B176" s="284"/>
      <c r="C176" s="284"/>
      <c r="D176" s="284"/>
      <c r="E176" s="284"/>
      <c r="F176" s="284"/>
      <c r="G176" s="284"/>
      <c r="H176" s="284"/>
      <c r="I176" s="284"/>
      <c r="J176" s="284"/>
      <c r="K176" s="284"/>
      <c r="L176" s="284"/>
      <c r="M176" s="336"/>
      <c r="N176" s="336"/>
      <c r="O176" s="336"/>
      <c r="P176" s="302"/>
      <c r="Q176" s="695"/>
      <c r="R176" s="343"/>
      <c r="S176" s="343"/>
      <c r="T176" s="343"/>
      <c r="U176" s="343"/>
      <c r="V176" s="343"/>
      <c r="W176" s="343"/>
      <c r="X176" s="343"/>
      <c r="Y176" s="343"/>
    </row>
    <row r="177" spans="1:25" ht="13" x14ac:dyDescent="0.25">
      <c r="A177" s="694"/>
      <c r="B177" s="698"/>
      <c r="C177" s="698"/>
      <c r="D177" s="377"/>
      <c r="E177" s="728"/>
      <c r="F177" s="687" t="s">
        <v>6</v>
      </c>
      <c r="G177" s="2304" t="str">
        <f>Translations!$B$115</f>
        <v>Име:</v>
      </c>
      <c r="H177" s="2305"/>
      <c r="I177" s="2306"/>
      <c r="J177" s="2307" t="str">
        <f>IF(J172="",J167,J172)</f>
        <v/>
      </c>
      <c r="K177" s="2308"/>
      <c r="L177" s="2308"/>
      <c r="M177" s="2308"/>
      <c r="N177" s="2333"/>
      <c r="O177" s="336"/>
      <c r="P177" s="302"/>
      <c r="Q177" s="343"/>
      <c r="R177" s="343"/>
      <c r="S177" s="343"/>
      <c r="T177" s="343"/>
      <c r="U177" s="343"/>
      <c r="V177" s="343"/>
      <c r="W177" s="343"/>
      <c r="X177" s="343"/>
      <c r="Y177" s="343"/>
    </row>
    <row r="178" spans="1:25" ht="13" x14ac:dyDescent="0.25">
      <c r="A178" s="694"/>
      <c r="B178" s="698"/>
      <c r="C178" s="698"/>
      <c r="D178" s="377"/>
      <c r="E178" s="728"/>
      <c r="F178" s="687" t="s">
        <v>7</v>
      </c>
      <c r="G178" s="2309" t="str">
        <f>Translations!$B$108</f>
        <v>Електронна поща:</v>
      </c>
      <c r="H178" s="2310"/>
      <c r="I178" s="2311"/>
      <c r="J178" s="2312" t="str">
        <f>IF(J173="",J168,J173)</f>
        <v/>
      </c>
      <c r="K178" s="2313"/>
      <c r="L178" s="2313"/>
      <c r="M178" s="2313"/>
      <c r="N178" s="2393"/>
      <c r="O178" s="336"/>
      <c r="P178" s="302"/>
      <c r="Q178" s="343"/>
      <c r="R178" s="343"/>
      <c r="S178" s="343"/>
      <c r="T178" s="343"/>
      <c r="U178" s="343"/>
      <c r="V178" s="343"/>
      <c r="W178" s="343"/>
      <c r="X178" s="343"/>
      <c r="Y178" s="343"/>
    </row>
    <row r="179" spans="1:25" ht="13" x14ac:dyDescent="0.25">
      <c r="A179" s="694"/>
      <c r="B179" s="698"/>
      <c r="C179" s="698"/>
      <c r="D179" s="377"/>
      <c r="E179" s="728"/>
      <c r="F179" s="687" t="s">
        <v>8</v>
      </c>
      <c r="G179" s="2309" t="str">
        <f>Translations!$B$109</f>
        <v>Телефон:</v>
      </c>
      <c r="H179" s="2310"/>
      <c r="I179" s="2311"/>
      <c r="J179" s="2312" t="str">
        <f>IF(J174="",J169,J174)</f>
        <v/>
      </c>
      <c r="K179" s="2313"/>
      <c r="L179" s="2313"/>
      <c r="M179" s="2313"/>
      <c r="N179" s="2393"/>
      <c r="O179" s="336"/>
      <c r="P179" s="302"/>
      <c r="Q179" s="343"/>
      <c r="R179" s="343"/>
      <c r="S179" s="343"/>
      <c r="T179" s="343"/>
      <c r="U179" s="343"/>
      <c r="V179" s="343"/>
      <c r="W179" s="343"/>
      <c r="X179" s="343"/>
      <c r="Y179" s="343"/>
    </row>
    <row r="180" spans="1:25" ht="13" x14ac:dyDescent="0.25">
      <c r="A180" s="694"/>
      <c r="B180" s="698"/>
      <c r="C180" s="698"/>
      <c r="D180" s="377"/>
      <c r="E180" s="728"/>
      <c r="F180" s="687" t="s">
        <v>18</v>
      </c>
      <c r="G180" s="2318" t="str">
        <f>Translations!$B$110</f>
        <v>Факс:</v>
      </c>
      <c r="H180" s="2319"/>
      <c r="I180" s="2320"/>
      <c r="J180" s="2321" t="str">
        <f>IF(J175="",J170,J175)</f>
        <v/>
      </c>
      <c r="K180" s="2322"/>
      <c r="L180" s="2322"/>
      <c r="M180" s="2322"/>
      <c r="N180" s="2456"/>
      <c r="O180" s="336"/>
      <c r="P180" s="302"/>
      <c r="Q180" s="343"/>
      <c r="R180" s="343"/>
      <c r="S180" s="343"/>
      <c r="T180" s="343"/>
      <c r="U180" s="343"/>
      <c r="V180" s="343"/>
      <c r="W180" s="343"/>
      <c r="X180" s="343"/>
      <c r="Y180" s="343"/>
    </row>
    <row r="181" spans="1:25" ht="5.15" customHeight="1" x14ac:dyDescent="0.25">
      <c r="A181" s="694"/>
      <c r="B181" s="284"/>
      <c r="C181" s="284"/>
      <c r="D181" s="284"/>
      <c r="E181" s="284"/>
      <c r="F181" s="284"/>
      <c r="G181" s="284"/>
      <c r="H181" s="284"/>
      <c r="I181" s="284"/>
      <c r="J181" s="284"/>
      <c r="K181" s="284"/>
      <c r="L181" s="284"/>
      <c r="M181" s="336"/>
      <c r="N181" s="336"/>
      <c r="O181" s="336"/>
      <c r="P181" s="302"/>
      <c r="Q181" s="695"/>
      <c r="R181" s="343"/>
      <c r="S181" s="343"/>
      <c r="T181" s="343"/>
      <c r="U181" s="343"/>
      <c r="V181" s="343"/>
      <c r="W181" s="343"/>
      <c r="X181" s="343"/>
      <c r="Y181" s="343"/>
    </row>
    <row r="182" spans="1:25" ht="13" x14ac:dyDescent="0.25">
      <c r="A182" s="694"/>
      <c r="B182" s="698"/>
      <c r="C182" s="698"/>
      <c r="D182" s="724" t="s">
        <v>901</v>
      </c>
      <c r="E182" s="2226" t="str">
        <f>Translations!$B$116</f>
        <v>Основно лице за връзка по технически въпроси, свързани с данните за инсталацията, ако е различно от а):</v>
      </c>
      <c r="F182" s="2249"/>
      <c r="G182" s="2249"/>
      <c r="H182" s="2249"/>
      <c r="I182" s="2249"/>
      <c r="J182" s="2249"/>
      <c r="K182" s="2249"/>
      <c r="L182" s="2249"/>
      <c r="M182" s="2249"/>
      <c r="N182" s="2249"/>
      <c r="O182" s="336"/>
      <c r="P182" s="302"/>
      <c r="Q182" s="343"/>
      <c r="R182" s="343"/>
      <c r="S182" s="343"/>
      <c r="T182" s="343"/>
      <c r="U182" s="343"/>
      <c r="V182" s="343"/>
      <c r="W182" s="343"/>
      <c r="X182" s="343"/>
      <c r="Y182" s="343"/>
    </row>
    <row r="183" spans="1:25" ht="13" x14ac:dyDescent="0.25">
      <c r="A183" s="694"/>
      <c r="B183" s="698"/>
      <c r="C183" s="698"/>
      <c r="D183" s="377"/>
      <c r="E183" s="728"/>
      <c r="F183" s="687" t="s">
        <v>6</v>
      </c>
      <c r="G183" s="2304" t="str">
        <f>Translations!$B$115</f>
        <v>Име:</v>
      </c>
      <c r="H183" s="2305"/>
      <c r="I183" s="2306"/>
      <c r="J183" s="2492"/>
      <c r="K183" s="2493"/>
      <c r="L183" s="2493"/>
      <c r="M183" s="2493"/>
      <c r="N183" s="2494"/>
      <c r="O183" s="336"/>
      <c r="P183" s="181"/>
      <c r="Q183" s="343"/>
      <c r="R183" s="343"/>
      <c r="S183" s="343"/>
      <c r="T183" s="343"/>
      <c r="U183" s="343"/>
      <c r="V183" s="343"/>
      <c r="W183" s="343"/>
      <c r="X183" s="343"/>
      <c r="Y183" s="343"/>
    </row>
    <row r="184" spans="1:25" ht="13" x14ac:dyDescent="0.25">
      <c r="A184" s="694"/>
      <c r="B184" s="698"/>
      <c r="C184" s="698"/>
      <c r="D184" s="377"/>
      <c r="E184" s="728"/>
      <c r="F184" s="687" t="s">
        <v>7</v>
      </c>
      <c r="G184" s="2309" t="str">
        <f>Translations!$B$108</f>
        <v>Електронна поща:</v>
      </c>
      <c r="H184" s="2310"/>
      <c r="I184" s="2311"/>
      <c r="J184" s="2549"/>
      <c r="K184" s="2550"/>
      <c r="L184" s="2550"/>
      <c r="M184" s="2550"/>
      <c r="N184" s="2551"/>
      <c r="O184" s="336"/>
      <c r="P184" s="181"/>
      <c r="Q184" s="343"/>
      <c r="R184" s="343"/>
      <c r="S184" s="343"/>
      <c r="T184" s="343"/>
      <c r="U184" s="343"/>
      <c r="V184" s="343"/>
      <c r="W184" s="343"/>
      <c r="X184" s="343"/>
      <c r="Y184" s="343"/>
    </row>
    <row r="185" spans="1:25" ht="13" x14ac:dyDescent="0.25">
      <c r="A185" s="694"/>
      <c r="B185" s="698"/>
      <c r="C185" s="698"/>
      <c r="D185" s="377"/>
      <c r="E185" s="728"/>
      <c r="F185" s="687" t="s">
        <v>8</v>
      </c>
      <c r="G185" s="2309" t="str">
        <f>Translations!$B$109</f>
        <v>Телефон:</v>
      </c>
      <c r="H185" s="2310"/>
      <c r="I185" s="2311"/>
      <c r="J185" s="2549"/>
      <c r="K185" s="2550"/>
      <c r="L185" s="2550"/>
      <c r="M185" s="2550"/>
      <c r="N185" s="2551"/>
      <c r="O185" s="336"/>
      <c r="P185" s="181"/>
      <c r="Q185" s="343"/>
      <c r="R185" s="343"/>
      <c r="S185" s="343"/>
      <c r="T185" s="343"/>
      <c r="U185" s="343"/>
      <c r="V185" s="343"/>
      <c r="W185" s="343"/>
      <c r="X185" s="343"/>
      <c r="Y185" s="343"/>
    </row>
    <row r="186" spans="1:25" ht="13" x14ac:dyDescent="0.25">
      <c r="A186" s="694"/>
      <c r="B186" s="698"/>
      <c r="C186" s="698"/>
      <c r="D186" s="377"/>
      <c r="E186" s="728"/>
      <c r="F186" s="687" t="s">
        <v>18</v>
      </c>
      <c r="G186" s="2318" t="str">
        <f>Translations!$B$110</f>
        <v>Факс:</v>
      </c>
      <c r="H186" s="2319"/>
      <c r="I186" s="2320"/>
      <c r="J186" s="2381"/>
      <c r="K186" s="2382"/>
      <c r="L186" s="2382"/>
      <c r="M186" s="2382"/>
      <c r="N186" s="2383"/>
      <c r="O186" s="336"/>
      <c r="P186" s="181"/>
      <c r="Q186" s="343"/>
      <c r="R186" s="343"/>
      <c r="S186" s="343"/>
      <c r="T186" s="343"/>
      <c r="U186" s="343"/>
      <c r="V186" s="343"/>
      <c r="W186" s="343"/>
      <c r="X186" s="343"/>
      <c r="Y186" s="343"/>
    </row>
    <row r="187" spans="1:25" ht="5.15" customHeight="1" x14ac:dyDescent="0.25">
      <c r="A187" s="694"/>
      <c r="B187" s="284"/>
      <c r="C187" s="284"/>
      <c r="D187" s="284"/>
      <c r="E187" s="284"/>
      <c r="F187" s="284"/>
      <c r="G187" s="284"/>
      <c r="H187" s="284"/>
      <c r="I187" s="284"/>
      <c r="J187" s="284"/>
      <c r="K187" s="284"/>
      <c r="L187" s="284"/>
      <c r="M187" s="336"/>
      <c r="N187" s="336"/>
      <c r="O187" s="336"/>
      <c r="P187" s="302"/>
      <c r="Q187" s="695"/>
      <c r="R187" s="343"/>
      <c r="S187" s="343"/>
      <c r="T187" s="343"/>
      <c r="U187" s="343"/>
      <c r="V187" s="343"/>
      <c r="W187" s="343"/>
      <c r="X187" s="343"/>
      <c r="Y187" s="343"/>
    </row>
    <row r="188" spans="1:25" ht="14" x14ac:dyDescent="0.3">
      <c r="A188" s="694"/>
      <c r="B188" s="698"/>
      <c r="C188" s="357">
        <v>3</v>
      </c>
      <c r="D188" s="2323" t="str">
        <f>Translations!$B$1252</f>
        <v>Проверяващ орган, ангажиран за този доклад:</v>
      </c>
      <c r="E188" s="2249"/>
      <c r="F188" s="2249"/>
      <c r="G188" s="2249"/>
      <c r="H188" s="2249"/>
      <c r="I188" s="2249"/>
      <c r="J188" s="2249"/>
      <c r="K188" s="2249"/>
      <c r="L188" s="2249"/>
      <c r="M188" s="2249"/>
      <c r="N188" s="2249"/>
      <c r="O188" s="336"/>
      <c r="P188" s="302"/>
      <c r="Q188" s="343"/>
      <c r="R188" s="343"/>
      <c r="S188" s="343"/>
      <c r="T188" s="343"/>
      <c r="U188" s="343"/>
      <c r="V188" s="343"/>
      <c r="W188" s="343"/>
      <c r="X188" s="343"/>
      <c r="Y188" s="343"/>
    </row>
    <row r="189" spans="1:25" ht="5.15" customHeight="1" x14ac:dyDescent="0.25">
      <c r="A189" s="694"/>
      <c r="B189" s="284"/>
      <c r="C189" s="284"/>
      <c r="D189" s="284"/>
      <c r="E189" s="284"/>
      <c r="F189" s="284"/>
      <c r="G189" s="284"/>
      <c r="H189" s="284"/>
      <c r="I189" s="284"/>
      <c r="J189" s="284"/>
      <c r="K189" s="284"/>
      <c r="L189" s="284"/>
      <c r="M189" s="336"/>
      <c r="N189" s="336"/>
      <c r="O189" s="336"/>
      <c r="P189" s="302"/>
      <c r="Q189" s="695"/>
      <c r="R189" s="343"/>
      <c r="S189" s="343"/>
      <c r="T189" s="343"/>
      <c r="U189" s="343"/>
      <c r="V189" s="343"/>
      <c r="W189" s="343"/>
      <c r="X189" s="343"/>
      <c r="Y189" s="343"/>
    </row>
    <row r="190" spans="1:25" ht="13" x14ac:dyDescent="0.25">
      <c r="A190" s="694"/>
      <c r="B190" s="698"/>
      <c r="C190" s="698"/>
      <c r="D190" s="313" t="s">
        <v>408</v>
      </c>
      <c r="E190" s="2226" t="str">
        <f>Translations!$B$1253</f>
        <v>Наименование и адрес на проверяващия орган:</v>
      </c>
      <c r="F190" s="2249"/>
      <c r="G190" s="2249"/>
      <c r="H190" s="2249"/>
      <c r="I190" s="2249"/>
      <c r="J190" s="2249"/>
      <c r="K190" s="2249"/>
      <c r="L190" s="2249"/>
      <c r="M190" s="2249"/>
      <c r="N190" s="2249"/>
      <c r="O190" s="336"/>
      <c r="P190" s="302"/>
      <c r="Q190" s="343"/>
      <c r="R190" s="343"/>
      <c r="S190" s="343"/>
      <c r="T190" s="343"/>
      <c r="U190" s="343"/>
      <c r="V190" s="343"/>
      <c r="W190" s="343"/>
      <c r="X190" s="343"/>
      <c r="Y190" s="343"/>
    </row>
    <row r="191" spans="1:25" ht="13" x14ac:dyDescent="0.25">
      <c r="A191" s="694"/>
      <c r="B191" s="698"/>
      <c r="C191" s="698"/>
      <c r="D191" s="738"/>
      <c r="E191" s="313"/>
      <c r="F191" s="687" t="s">
        <v>6</v>
      </c>
      <c r="G191" s="2304" t="str">
        <f>Translations!$B$117</f>
        <v>Наименование на дружеството:</v>
      </c>
      <c r="H191" s="2304"/>
      <c r="I191" s="2377"/>
      <c r="J191" s="2390"/>
      <c r="K191" s="2391"/>
      <c r="L191" s="2391"/>
      <c r="M191" s="2391"/>
      <c r="N191" s="2392"/>
      <c r="O191" s="336"/>
      <c r="P191" s="181"/>
      <c r="Q191" s="343"/>
      <c r="R191" s="343"/>
      <c r="S191" s="343"/>
      <c r="T191" s="343"/>
      <c r="U191" s="343"/>
      <c r="V191" s="343"/>
      <c r="W191" s="343"/>
      <c r="X191" s="343"/>
      <c r="Y191" s="343"/>
    </row>
    <row r="192" spans="1:25" x14ac:dyDescent="0.25">
      <c r="A192" s="694"/>
      <c r="B192" s="698"/>
      <c r="C192" s="698"/>
      <c r="D192" s="738"/>
      <c r="E192" s="298"/>
      <c r="F192" s="687" t="s">
        <v>7</v>
      </c>
      <c r="G192" s="2309" t="str">
        <f>Translations!$B$103</f>
        <v>Улица, номер:</v>
      </c>
      <c r="H192" s="2310"/>
      <c r="I192" s="2311"/>
      <c r="J192" s="2368"/>
      <c r="K192" s="2369"/>
      <c r="L192" s="2369"/>
      <c r="M192" s="2369"/>
      <c r="N192" s="2370"/>
      <c r="O192" s="336"/>
      <c r="P192" s="181"/>
      <c r="Q192" s="343"/>
      <c r="R192" s="343"/>
      <c r="S192" s="343"/>
      <c r="T192" s="343"/>
      <c r="U192" s="343"/>
      <c r="V192" s="343"/>
      <c r="W192" s="343"/>
      <c r="X192" s="343"/>
      <c r="Y192" s="343"/>
    </row>
    <row r="193" spans="1:25" x14ac:dyDescent="0.25">
      <c r="A193" s="694"/>
      <c r="B193" s="698"/>
      <c r="C193" s="698"/>
      <c r="D193" s="377"/>
      <c r="E193" s="298"/>
      <c r="F193" s="687" t="s">
        <v>8</v>
      </c>
      <c r="G193" s="2309" t="str">
        <f>Translations!$B$105</f>
        <v>Град:</v>
      </c>
      <c r="H193" s="2310"/>
      <c r="I193" s="2311"/>
      <c r="J193" s="2368"/>
      <c r="K193" s="2369"/>
      <c r="L193" s="2369"/>
      <c r="M193" s="2369"/>
      <c r="N193" s="2370"/>
      <c r="O193" s="336"/>
      <c r="P193" s="181"/>
      <c r="Q193" s="343"/>
      <c r="R193" s="343"/>
      <c r="S193" s="343"/>
      <c r="T193" s="343"/>
      <c r="U193" s="343"/>
      <c r="V193" s="343"/>
      <c r="W193" s="343"/>
      <c r="X193" s="343"/>
      <c r="Y193" s="343"/>
    </row>
    <row r="194" spans="1:25" x14ac:dyDescent="0.25">
      <c r="A194" s="694"/>
      <c r="B194" s="698"/>
      <c r="C194" s="698"/>
      <c r="D194" s="377"/>
      <c r="E194" s="298"/>
      <c r="F194" s="687" t="s">
        <v>18</v>
      </c>
      <c r="G194" s="2309" t="str">
        <f>Translations!$B$118</f>
        <v>Пощенски код:</v>
      </c>
      <c r="H194" s="2310"/>
      <c r="I194" s="2311"/>
      <c r="J194" s="2368"/>
      <c r="K194" s="2369"/>
      <c r="L194" s="2369"/>
      <c r="M194" s="2369"/>
      <c r="N194" s="2370"/>
      <c r="O194" s="336"/>
      <c r="P194" s="181"/>
      <c r="Q194" s="343"/>
      <c r="R194" s="343"/>
      <c r="S194" s="343"/>
      <c r="T194" s="343"/>
      <c r="U194" s="343"/>
      <c r="V194" s="343"/>
      <c r="W194" s="343"/>
      <c r="X194" s="343"/>
      <c r="Y194" s="343"/>
    </row>
    <row r="195" spans="1:25" x14ac:dyDescent="0.25">
      <c r="A195" s="694"/>
      <c r="B195" s="698"/>
      <c r="C195" s="698"/>
      <c r="D195" s="377"/>
      <c r="E195" s="298"/>
      <c r="F195" s="687" t="s">
        <v>810</v>
      </c>
      <c r="G195" s="2394" t="str">
        <f>Translations!$B$106</f>
        <v>Държава:</v>
      </c>
      <c r="H195" s="2319"/>
      <c r="I195" s="2320"/>
      <c r="J195" s="2517"/>
      <c r="K195" s="2518"/>
      <c r="L195" s="2518"/>
      <c r="M195" s="2518"/>
      <c r="N195" s="2519"/>
      <c r="O195" s="336"/>
      <c r="P195" s="181"/>
      <c r="Q195" s="343"/>
      <c r="R195" s="343"/>
      <c r="S195" s="343"/>
      <c r="T195" s="343"/>
      <c r="U195" s="343"/>
      <c r="V195" s="343"/>
      <c r="W195" s="343"/>
      <c r="X195" s="343"/>
      <c r="Y195" s="343"/>
    </row>
    <row r="196" spans="1:25" ht="5.15" customHeight="1" x14ac:dyDescent="0.25">
      <c r="A196" s="694"/>
      <c r="B196" s="284"/>
      <c r="C196" s="284"/>
      <c r="D196" s="284"/>
      <c r="E196" s="284"/>
      <c r="F196" s="284"/>
      <c r="G196" s="336"/>
      <c r="H196" s="336"/>
      <c r="I196" s="284"/>
      <c r="J196" s="284"/>
      <c r="K196" s="284"/>
      <c r="L196" s="284"/>
      <c r="M196" s="336"/>
      <c r="N196" s="336"/>
      <c r="O196" s="336"/>
      <c r="P196" s="302"/>
      <c r="Q196" s="695"/>
      <c r="R196" s="343"/>
      <c r="S196" s="343"/>
      <c r="T196" s="343"/>
      <c r="U196" s="343"/>
      <c r="V196" s="343"/>
      <c r="W196" s="343"/>
      <c r="X196" s="343"/>
      <c r="Y196" s="343"/>
    </row>
    <row r="197" spans="1:25" ht="13" x14ac:dyDescent="0.25">
      <c r="A197" s="694"/>
      <c r="B197" s="698"/>
      <c r="C197" s="698"/>
      <c r="D197" s="313" t="s">
        <v>901</v>
      </c>
      <c r="E197" s="2226" t="str">
        <f>Translations!$B$119</f>
        <v>Упълномощен представител на проверяващия орган:</v>
      </c>
      <c r="F197" s="2249"/>
      <c r="G197" s="2249"/>
      <c r="H197" s="2249"/>
      <c r="I197" s="2249"/>
      <c r="J197" s="2249"/>
      <c r="K197" s="2249"/>
      <c r="L197" s="2249"/>
      <c r="M197" s="2249"/>
      <c r="N197" s="2249"/>
      <c r="O197" s="336"/>
      <c r="P197" s="302"/>
      <c r="Q197" s="343"/>
      <c r="R197" s="343"/>
      <c r="S197" s="343"/>
      <c r="T197" s="343"/>
      <c r="U197" s="343"/>
      <c r="V197" s="343"/>
      <c r="W197" s="343"/>
      <c r="X197" s="343"/>
      <c r="Y197" s="343"/>
    </row>
    <row r="198" spans="1:25" x14ac:dyDescent="0.25">
      <c r="A198" s="694"/>
      <c r="B198" s="698"/>
      <c r="C198" s="698"/>
      <c r="D198" s="377"/>
      <c r="E198" s="2358" t="str">
        <f>Translations!$B$120</f>
        <v>Посоченото лице трябва да е запознато с настоящия доклад. За предпочитане е това да бъде главният проверител по този доклад.</v>
      </c>
      <c r="F198" s="2249"/>
      <c r="G198" s="2249"/>
      <c r="H198" s="2249"/>
      <c r="I198" s="2249"/>
      <c r="J198" s="2249"/>
      <c r="K198" s="2249"/>
      <c r="L198" s="2249"/>
      <c r="M198" s="2249"/>
      <c r="N198" s="2249"/>
      <c r="O198" s="336"/>
      <c r="P198" s="302"/>
      <c r="Q198" s="343"/>
      <c r="R198" s="343"/>
      <c r="S198" s="343"/>
      <c r="T198" s="343"/>
      <c r="U198" s="343"/>
      <c r="V198" s="343"/>
      <c r="W198" s="343"/>
      <c r="X198" s="343"/>
      <c r="Y198" s="343"/>
    </row>
    <row r="199" spans="1:25" x14ac:dyDescent="0.25">
      <c r="A199" s="694"/>
      <c r="B199" s="698"/>
      <c r="C199" s="698"/>
      <c r="D199" s="377"/>
      <c r="E199" s="298"/>
      <c r="F199" s="687" t="s">
        <v>6</v>
      </c>
      <c r="G199" s="2304" t="str">
        <f>Translations!$B$115</f>
        <v>Име:</v>
      </c>
      <c r="H199" s="2304"/>
      <c r="I199" s="2377"/>
      <c r="J199" s="2390"/>
      <c r="K199" s="2391"/>
      <c r="L199" s="2391"/>
      <c r="M199" s="2391"/>
      <c r="N199" s="2392"/>
      <c r="O199" s="336"/>
      <c r="P199" s="181"/>
      <c r="Q199" s="343"/>
      <c r="R199" s="343"/>
      <c r="S199" s="343"/>
      <c r="T199" s="343"/>
      <c r="U199" s="343"/>
      <c r="V199" s="343"/>
      <c r="W199" s="343"/>
      <c r="X199" s="343"/>
      <c r="Y199" s="343"/>
    </row>
    <row r="200" spans="1:25" x14ac:dyDescent="0.25">
      <c r="A200" s="694"/>
      <c r="B200" s="698"/>
      <c r="C200" s="698"/>
      <c r="D200" s="738"/>
      <c r="E200" s="298"/>
      <c r="F200" s="687" t="s">
        <v>7</v>
      </c>
      <c r="G200" s="2309" t="str">
        <f>Translations!$B$121</f>
        <v>Адрес по електронната поща:</v>
      </c>
      <c r="H200" s="2309"/>
      <c r="I200" s="2367"/>
      <c r="J200" s="2368"/>
      <c r="K200" s="2369"/>
      <c r="L200" s="2369"/>
      <c r="M200" s="2369"/>
      <c r="N200" s="2370"/>
      <c r="O200" s="336"/>
      <c r="P200" s="181"/>
      <c r="Q200" s="343"/>
      <c r="R200" s="343"/>
      <c r="S200" s="343"/>
      <c r="T200" s="343"/>
      <c r="U200" s="343"/>
      <c r="V200" s="343"/>
      <c r="W200" s="343"/>
      <c r="X200" s="343"/>
      <c r="Y200" s="343"/>
    </row>
    <row r="201" spans="1:25" x14ac:dyDescent="0.25">
      <c r="A201" s="694"/>
      <c r="B201" s="698"/>
      <c r="C201" s="698"/>
      <c r="D201" s="738"/>
      <c r="E201" s="298"/>
      <c r="F201" s="687" t="s">
        <v>8</v>
      </c>
      <c r="G201" s="2309" t="str">
        <f>Translations!$B$122</f>
        <v>Телефонен номер:</v>
      </c>
      <c r="H201" s="2309"/>
      <c r="I201" s="2367"/>
      <c r="J201" s="2368"/>
      <c r="K201" s="2369"/>
      <c r="L201" s="2369"/>
      <c r="M201" s="2369"/>
      <c r="N201" s="2370"/>
      <c r="O201" s="336"/>
      <c r="P201" s="181"/>
      <c r="Q201" s="343"/>
      <c r="R201" s="343"/>
      <c r="S201" s="343"/>
      <c r="T201" s="343"/>
      <c r="U201" s="343"/>
      <c r="V201" s="343"/>
      <c r="W201" s="343"/>
      <c r="X201" s="343"/>
      <c r="Y201" s="343"/>
    </row>
    <row r="202" spans="1:25" ht="13" x14ac:dyDescent="0.25">
      <c r="A202" s="694"/>
      <c r="B202" s="698"/>
      <c r="C202" s="698"/>
      <c r="D202" s="377"/>
      <c r="E202" s="728"/>
      <c r="F202" s="687" t="s">
        <v>18</v>
      </c>
      <c r="G202" s="2318" t="str">
        <f>Translations!$B$110</f>
        <v>Факс:</v>
      </c>
      <c r="H202" s="2319"/>
      <c r="I202" s="2320"/>
      <c r="J202" s="2381"/>
      <c r="K202" s="2382"/>
      <c r="L202" s="2382"/>
      <c r="M202" s="2382"/>
      <c r="N202" s="2383"/>
      <c r="O202" s="336"/>
      <c r="P202" s="181"/>
      <c r="Q202" s="343"/>
      <c r="R202" s="343"/>
      <c r="S202" s="343"/>
      <c r="T202" s="343"/>
      <c r="U202" s="343"/>
      <c r="V202" s="343"/>
      <c r="W202" s="343"/>
      <c r="X202" s="343"/>
      <c r="Y202" s="343"/>
    </row>
    <row r="203" spans="1:25" ht="5.15" customHeight="1" x14ac:dyDescent="0.25">
      <c r="A203" s="694"/>
      <c r="B203" s="284"/>
      <c r="C203" s="284"/>
      <c r="D203" s="284"/>
      <c r="E203" s="284"/>
      <c r="F203" s="284"/>
      <c r="G203" s="284"/>
      <c r="H203" s="284"/>
      <c r="I203" s="284"/>
      <c r="J203" s="284"/>
      <c r="K203" s="284"/>
      <c r="L203" s="284"/>
      <c r="M203" s="336"/>
      <c r="N203" s="336"/>
      <c r="O203" s="336"/>
      <c r="P203" s="302"/>
      <c r="Q203" s="695"/>
      <c r="R203" s="343"/>
      <c r="S203" s="343"/>
      <c r="T203" s="343"/>
      <c r="U203" s="343"/>
      <c r="V203" s="343"/>
      <c r="W203" s="343"/>
      <c r="X203" s="343"/>
      <c r="Y203" s="343"/>
    </row>
    <row r="204" spans="1:25" ht="12.75" customHeight="1" x14ac:dyDescent="0.25">
      <c r="A204" s="694"/>
      <c r="B204" s="698"/>
      <c r="C204" s="698"/>
      <c r="D204" s="313" t="s">
        <v>46</v>
      </c>
      <c r="E204" s="2226" t="str">
        <f>Translations!$B$123</f>
        <v>Информация за акредитацията на проверяващия орган:</v>
      </c>
      <c r="F204" s="2249"/>
      <c r="G204" s="2249"/>
      <c r="H204" s="2249"/>
      <c r="I204" s="2249"/>
      <c r="J204" s="2249"/>
      <c r="K204" s="2249"/>
      <c r="L204" s="2249"/>
      <c r="M204" s="2249"/>
      <c r="N204" s="2249"/>
      <c r="O204" s="336"/>
      <c r="P204" s="302"/>
      <c r="Q204" s="343"/>
      <c r="R204" s="343"/>
      <c r="S204" s="343"/>
      <c r="T204" s="343"/>
      <c r="U204" s="343"/>
      <c r="V204" s="343"/>
      <c r="W204" s="343"/>
      <c r="X204" s="343"/>
      <c r="Y204" s="343"/>
    </row>
    <row r="205" spans="1:25" ht="13" x14ac:dyDescent="0.25">
      <c r="A205" s="694"/>
      <c r="B205" s="698"/>
      <c r="C205" s="698"/>
      <c r="D205" s="738"/>
      <c r="E205" s="313"/>
      <c r="F205" s="687" t="s">
        <v>6</v>
      </c>
      <c r="G205" s="2304" t="str">
        <f>Translations!$B$124</f>
        <v>Акредитираща държава членка:</v>
      </c>
      <c r="H205" s="2304"/>
      <c r="I205" s="2377"/>
      <c r="J205" s="2390"/>
      <c r="K205" s="2391"/>
      <c r="L205" s="2391"/>
      <c r="M205" s="2391"/>
      <c r="N205" s="2392"/>
      <c r="O205" s="336"/>
      <c r="P205" s="181"/>
      <c r="Q205" s="343"/>
      <c r="R205" s="343"/>
      <c r="S205" s="343"/>
      <c r="T205" s="343"/>
      <c r="U205" s="343"/>
      <c r="V205" s="343"/>
      <c r="W205" s="343"/>
      <c r="X205" s="343"/>
      <c r="Y205" s="343"/>
    </row>
    <row r="206" spans="1:25" ht="13" x14ac:dyDescent="0.25">
      <c r="A206" s="694"/>
      <c r="B206" s="698"/>
      <c r="C206" s="698"/>
      <c r="D206" s="738"/>
      <c r="E206" s="313"/>
      <c r="F206" s="687" t="s">
        <v>7</v>
      </c>
      <c r="G206" s="2309" t="str">
        <f>Translations!$B$125</f>
        <v>Наименование на националния орган по акредитация:</v>
      </c>
      <c r="H206" s="2309"/>
      <c r="I206" s="2367"/>
      <c r="J206" s="2368"/>
      <c r="K206" s="2369"/>
      <c r="L206" s="2369"/>
      <c r="M206" s="2369"/>
      <c r="N206" s="2370"/>
      <c r="O206" s="336"/>
      <c r="P206" s="181"/>
      <c r="Q206" s="343"/>
      <c r="R206" s="343"/>
      <c r="S206" s="343"/>
      <c r="T206" s="343"/>
      <c r="U206" s="343"/>
      <c r="V206" s="343"/>
      <c r="W206" s="343"/>
      <c r="X206" s="343"/>
      <c r="Y206" s="343"/>
    </row>
    <row r="207" spans="1:25" ht="25.5" customHeight="1" x14ac:dyDescent="0.25">
      <c r="A207" s="694"/>
      <c r="B207" s="698"/>
      <c r="C207" s="698"/>
      <c r="D207" s="738"/>
      <c r="E207" s="313"/>
      <c r="F207" s="687" t="s">
        <v>8</v>
      </c>
      <c r="G207" s="2394" t="str">
        <f>Translations!$B$126</f>
        <v>Регистрационен номер, издаден от органа по акредитация:</v>
      </c>
      <c r="H207" s="2394"/>
      <c r="I207" s="2514"/>
      <c r="J207" s="2517"/>
      <c r="K207" s="2518"/>
      <c r="L207" s="2518"/>
      <c r="M207" s="2518"/>
      <c r="N207" s="2519"/>
      <c r="O207" s="336"/>
      <c r="P207" s="181"/>
      <c r="Q207" s="343"/>
      <c r="R207" s="343"/>
      <c r="S207" s="343"/>
      <c r="T207" s="343"/>
      <c r="U207" s="343"/>
      <c r="V207" s="343"/>
      <c r="W207" s="343"/>
      <c r="X207" s="343"/>
      <c r="Y207" s="343"/>
    </row>
    <row r="208" spans="1:25" ht="5.15" customHeight="1" x14ac:dyDescent="0.25">
      <c r="A208" s="694"/>
      <c r="B208" s="284"/>
      <c r="C208" s="284"/>
      <c r="D208" s="284"/>
      <c r="E208" s="284"/>
      <c r="F208" s="284"/>
      <c r="G208" s="336"/>
      <c r="H208" s="336"/>
      <c r="I208" s="284"/>
      <c r="J208" s="284"/>
      <c r="K208" s="284"/>
      <c r="L208" s="284"/>
      <c r="M208" s="336"/>
      <c r="N208" s="336"/>
      <c r="O208" s="336"/>
      <c r="P208" s="302"/>
      <c r="Q208" s="695"/>
      <c r="R208" s="343"/>
      <c r="S208" s="343"/>
      <c r="T208" s="343"/>
      <c r="U208" s="343"/>
      <c r="V208" s="343"/>
      <c r="W208" s="343"/>
      <c r="X208" s="343"/>
      <c r="Y208" s="343"/>
    </row>
    <row r="209" spans="1:25" ht="14" x14ac:dyDescent="0.3">
      <c r="A209" s="694"/>
      <c r="B209" s="698"/>
      <c r="C209" s="357">
        <v>4</v>
      </c>
      <c r="D209" s="2323" t="str">
        <f>Translations!$B$127</f>
        <v>Допълнителни данни за инсталацията:</v>
      </c>
      <c r="E209" s="2249"/>
      <c r="F209" s="2249"/>
      <c r="G209" s="2249"/>
      <c r="H209" s="2249"/>
      <c r="I209" s="2249"/>
      <c r="J209" s="2249"/>
      <c r="K209" s="2249"/>
      <c r="L209" s="2249"/>
      <c r="M209" s="2249"/>
      <c r="N209" s="2249"/>
      <c r="O209" s="336"/>
      <c r="P209" s="302"/>
      <c r="Q209" s="343"/>
      <c r="R209" s="343"/>
      <c r="S209" s="343"/>
      <c r="T209" s="343"/>
      <c r="U209" s="343"/>
      <c r="V209" s="343"/>
      <c r="W209" s="343"/>
      <c r="X209" s="343"/>
      <c r="Y209" s="343"/>
    </row>
    <row r="210" spans="1:25" ht="5.15" customHeight="1" x14ac:dyDescent="0.25">
      <c r="A210" s="694"/>
      <c r="B210" s="284"/>
      <c r="C210" s="284"/>
      <c r="D210" s="284"/>
      <c r="E210" s="284"/>
      <c r="F210" s="284"/>
      <c r="G210" s="284"/>
      <c r="H210" s="284"/>
      <c r="I210" s="284"/>
      <c r="J210" s="284"/>
      <c r="K210" s="284"/>
      <c r="L210" s="284"/>
      <c r="M210" s="336"/>
      <c r="N210" s="336"/>
      <c r="O210" s="336"/>
      <c r="P210" s="302"/>
      <c r="Q210" s="695"/>
      <c r="R210" s="343"/>
      <c r="S210" s="343"/>
      <c r="T210" s="343"/>
      <c r="U210" s="343"/>
      <c r="V210" s="343"/>
      <c r="W210" s="343"/>
      <c r="X210" s="343"/>
      <c r="Y210" s="343"/>
    </row>
    <row r="211" spans="1:25" ht="13" x14ac:dyDescent="0.25">
      <c r="A211" s="694"/>
      <c r="B211" s="698"/>
      <c r="C211" s="698"/>
      <c r="D211" s="724" t="s">
        <v>408</v>
      </c>
      <c r="E211" s="2226" t="str">
        <f>Translations!$B$128</f>
        <v>Дейности в съответствие с приложение I към Директивата за СТЕ на ЕС:</v>
      </c>
      <c r="F211" s="2249"/>
      <c r="G211" s="2249"/>
      <c r="H211" s="2249"/>
      <c r="I211" s="2249"/>
      <c r="J211" s="2249"/>
      <c r="K211" s="2249"/>
      <c r="L211" s="2249"/>
      <c r="M211" s="2249"/>
      <c r="N211" s="2249"/>
      <c r="O211" s="336"/>
      <c r="P211" s="302"/>
      <c r="Q211" s="343"/>
      <c r="R211" s="343"/>
      <c r="S211" s="343"/>
      <c r="T211" s="343"/>
      <c r="U211" s="343"/>
      <c r="V211" s="343"/>
      <c r="W211" s="343"/>
      <c r="X211" s="343"/>
      <c r="Y211" s="343"/>
    </row>
    <row r="212" spans="1:25" x14ac:dyDescent="0.25">
      <c r="A212" s="694"/>
      <c r="B212" s="698"/>
      <c r="C212" s="698"/>
      <c r="D212" s="302"/>
      <c r="E212" s="2358" t="str">
        <f>Translations!$B$129</f>
        <v>Тази информация е важна за компетентните органи заради евентуални промени спрямо предходни етапи на СТЕ.</v>
      </c>
      <c r="F212" s="2249"/>
      <c r="G212" s="2249"/>
      <c r="H212" s="2249"/>
      <c r="I212" s="2249"/>
      <c r="J212" s="2249"/>
      <c r="K212" s="2249"/>
      <c r="L212" s="2249"/>
      <c r="M212" s="2249"/>
      <c r="N212" s="2249"/>
      <c r="O212" s="336"/>
      <c r="P212" s="302"/>
      <c r="Q212" s="343"/>
      <c r="R212" s="343"/>
      <c r="S212" s="343"/>
      <c r="T212" s="343"/>
      <c r="U212" s="343"/>
      <c r="V212" s="343"/>
      <c r="W212" s="343"/>
      <c r="X212" s="343"/>
      <c r="Y212" s="343"/>
    </row>
    <row r="213" spans="1:25" x14ac:dyDescent="0.25">
      <c r="A213" s="694"/>
      <c r="B213" s="698"/>
      <c r="C213" s="698"/>
      <c r="D213" s="302"/>
      <c r="E213" s="2358" t="str">
        <f>Translations!$B$130</f>
        <v>Доколкото е възможно, моля, подредете списъка по отношение на преките емисии, като започнете с дейността, която предизвиква най-много преки емисии.</v>
      </c>
      <c r="F213" s="2249"/>
      <c r="G213" s="2249"/>
      <c r="H213" s="2249"/>
      <c r="I213" s="2249"/>
      <c r="J213" s="2249"/>
      <c r="K213" s="2249"/>
      <c r="L213" s="2249"/>
      <c r="M213" s="2249"/>
      <c r="N213" s="2249"/>
      <c r="O213" s="336"/>
      <c r="P213" s="302"/>
      <c r="Q213" s="343"/>
      <c r="R213" s="343"/>
      <c r="S213" s="343"/>
      <c r="T213" s="343"/>
      <c r="U213" s="343"/>
      <c r="V213" s="343"/>
      <c r="W213" s="343"/>
      <c r="X213" s="343"/>
      <c r="Y213" s="343"/>
    </row>
    <row r="214" spans="1:25" ht="13" x14ac:dyDescent="0.25">
      <c r="A214" s="694"/>
      <c r="B214" s="698"/>
      <c r="C214" s="698"/>
      <c r="D214" s="377"/>
      <c r="E214" s="739" t="str">
        <f>Translations!$B$131</f>
        <v>Номер</v>
      </c>
      <c r="F214" s="389" t="str">
        <f>Translations!$B$132</f>
        <v>Наименование на дейността (приложение I към Директивата за СТЕ)</v>
      </c>
      <c r="G214" s="498"/>
      <c r="H214" s="740"/>
      <c r="I214" s="740"/>
      <c r="J214" s="741"/>
      <c r="K214" s="741"/>
      <c r="L214" s="741"/>
      <c r="M214" s="742"/>
      <c r="N214" s="742"/>
      <c r="O214" s="336"/>
      <c r="P214" s="302"/>
      <c r="Q214" s="343"/>
      <c r="R214" s="343"/>
      <c r="S214" s="343"/>
      <c r="T214" s="343"/>
      <c r="U214" s="343"/>
      <c r="V214" s="343"/>
      <c r="W214" s="343"/>
      <c r="X214" s="343"/>
      <c r="Y214" s="343"/>
    </row>
    <row r="215" spans="1:25" ht="13" x14ac:dyDescent="0.25">
      <c r="A215" s="694"/>
      <c r="B215" s="698"/>
      <c r="C215" s="698"/>
      <c r="D215" s="377"/>
      <c r="E215" s="743">
        <v>1</v>
      </c>
      <c r="F215" s="2498" t="str">
        <f>c_NIMsSummary!F34</f>
        <v/>
      </c>
      <c r="G215" s="2499"/>
      <c r="H215" s="2499"/>
      <c r="I215" s="2499"/>
      <c r="J215" s="2499"/>
      <c r="K215" s="2499"/>
      <c r="L215" s="2499"/>
      <c r="M215" s="2499"/>
      <c r="N215" s="2500"/>
      <c r="O215" s="336"/>
      <c r="P215" s="302"/>
      <c r="Q215" s="343"/>
      <c r="R215" s="343"/>
      <c r="S215" s="343"/>
      <c r="T215" s="343"/>
      <c r="U215" s="343"/>
      <c r="V215" s="343"/>
      <c r="W215" s="343"/>
      <c r="X215" s="343"/>
      <c r="Y215" s="716" t="b">
        <f t="shared" ref="Y215:Y220" si="3">OR(CNTR_Incumbent=FALSE,CTRL_InputMethodNIMsvalues=2)</f>
        <v>0</v>
      </c>
    </row>
    <row r="216" spans="1:25" ht="13" x14ac:dyDescent="0.25">
      <c r="A216" s="694"/>
      <c r="B216" s="698"/>
      <c r="C216" s="698"/>
      <c r="D216" s="377"/>
      <c r="E216" s="744">
        <f>E215+1</f>
        <v>2</v>
      </c>
      <c r="F216" s="2364" t="str">
        <f>c_NIMsSummary!F35</f>
        <v/>
      </c>
      <c r="G216" s="2365"/>
      <c r="H216" s="2365"/>
      <c r="I216" s="2365"/>
      <c r="J216" s="2365"/>
      <c r="K216" s="2365"/>
      <c r="L216" s="2365"/>
      <c r="M216" s="2365"/>
      <c r="N216" s="2366"/>
      <c r="O216" s="336"/>
      <c r="P216" s="302"/>
      <c r="Q216" s="343"/>
      <c r="R216" s="343"/>
      <c r="S216" s="343"/>
      <c r="T216" s="343"/>
      <c r="U216" s="343"/>
      <c r="V216" s="343"/>
      <c r="W216" s="343"/>
      <c r="X216" s="343"/>
      <c r="Y216" s="716" t="b">
        <f t="shared" si="3"/>
        <v>0</v>
      </c>
    </row>
    <row r="217" spans="1:25" ht="13" x14ac:dyDescent="0.25">
      <c r="A217" s="694"/>
      <c r="B217" s="698"/>
      <c r="C217" s="698"/>
      <c r="D217" s="377"/>
      <c r="E217" s="744">
        <f>E216+1</f>
        <v>3</v>
      </c>
      <c r="F217" s="2364" t="str">
        <f>c_NIMsSummary!F36</f>
        <v/>
      </c>
      <c r="G217" s="2365"/>
      <c r="H217" s="2365"/>
      <c r="I217" s="2365"/>
      <c r="J217" s="2365"/>
      <c r="K217" s="2365"/>
      <c r="L217" s="2365"/>
      <c r="M217" s="2365"/>
      <c r="N217" s="2366"/>
      <c r="O217" s="336"/>
      <c r="P217" s="302"/>
      <c r="Q217" s="343"/>
      <c r="R217" s="343"/>
      <c r="S217" s="343"/>
      <c r="T217" s="343"/>
      <c r="U217" s="343"/>
      <c r="V217" s="343"/>
      <c r="W217" s="343"/>
      <c r="X217" s="343"/>
      <c r="Y217" s="716" t="b">
        <f t="shared" si="3"/>
        <v>0</v>
      </c>
    </row>
    <row r="218" spans="1:25" ht="13" x14ac:dyDescent="0.25">
      <c r="A218" s="694"/>
      <c r="B218" s="698"/>
      <c r="C218" s="698"/>
      <c r="D218" s="377"/>
      <c r="E218" s="744">
        <f>E217+1</f>
        <v>4</v>
      </c>
      <c r="F218" s="2364" t="str">
        <f>c_NIMsSummary!F37</f>
        <v/>
      </c>
      <c r="G218" s="2365"/>
      <c r="H218" s="2365"/>
      <c r="I218" s="2365"/>
      <c r="J218" s="2365"/>
      <c r="K218" s="2365"/>
      <c r="L218" s="2365"/>
      <c r="M218" s="2365"/>
      <c r="N218" s="2366"/>
      <c r="O218" s="336"/>
      <c r="P218" s="302"/>
      <c r="Q218" s="343"/>
      <c r="R218" s="343"/>
      <c r="S218" s="343"/>
      <c r="T218" s="343"/>
      <c r="U218" s="343"/>
      <c r="V218" s="343"/>
      <c r="W218" s="343"/>
      <c r="X218" s="343"/>
      <c r="Y218" s="716" t="b">
        <f t="shared" si="3"/>
        <v>0</v>
      </c>
    </row>
    <row r="219" spans="1:25" ht="13" x14ac:dyDescent="0.25">
      <c r="A219" s="694"/>
      <c r="B219" s="698"/>
      <c r="C219" s="698"/>
      <c r="D219" s="377"/>
      <c r="E219" s="744">
        <f>E218+1</f>
        <v>5</v>
      </c>
      <c r="F219" s="2364" t="str">
        <f>c_NIMsSummary!F38</f>
        <v/>
      </c>
      <c r="G219" s="2365"/>
      <c r="H219" s="2365"/>
      <c r="I219" s="2365"/>
      <c r="J219" s="2365"/>
      <c r="K219" s="2365"/>
      <c r="L219" s="2365"/>
      <c r="M219" s="2365"/>
      <c r="N219" s="2366"/>
      <c r="O219" s="336"/>
      <c r="P219" s="302"/>
      <c r="Q219" s="343"/>
      <c r="R219" s="343"/>
      <c r="S219" s="343"/>
      <c r="T219" s="343"/>
      <c r="U219" s="343"/>
      <c r="V219" s="343"/>
      <c r="W219" s="343"/>
      <c r="X219" s="343"/>
      <c r="Y219" s="716" t="b">
        <f t="shared" si="3"/>
        <v>0</v>
      </c>
    </row>
    <row r="220" spans="1:25" ht="13" x14ac:dyDescent="0.25">
      <c r="A220" s="694"/>
      <c r="B220" s="698"/>
      <c r="C220" s="698"/>
      <c r="D220" s="377"/>
      <c r="E220" s="745">
        <v>6</v>
      </c>
      <c r="F220" s="2504" t="str">
        <f>c_NIMsSummary!F39</f>
        <v/>
      </c>
      <c r="G220" s="2505"/>
      <c r="H220" s="2505"/>
      <c r="I220" s="2505"/>
      <c r="J220" s="2505"/>
      <c r="K220" s="2505"/>
      <c r="L220" s="2505"/>
      <c r="M220" s="2505"/>
      <c r="N220" s="2506"/>
      <c r="O220" s="336"/>
      <c r="P220" s="302"/>
      <c r="Q220" s="343"/>
      <c r="R220" s="343"/>
      <c r="S220" s="343"/>
      <c r="T220" s="343"/>
      <c r="U220" s="343"/>
      <c r="V220" s="343"/>
      <c r="W220" s="343"/>
      <c r="X220" s="343"/>
      <c r="Y220" s="716" t="b">
        <f t="shared" si="3"/>
        <v>0</v>
      </c>
    </row>
    <row r="221" spans="1:25" ht="13" x14ac:dyDescent="0.25">
      <c r="A221" s="694"/>
      <c r="B221" s="698"/>
      <c r="C221" s="698"/>
      <c r="D221" s="377"/>
      <c r="E221" s="743">
        <v>1</v>
      </c>
      <c r="F221" s="2507"/>
      <c r="G221" s="2508"/>
      <c r="H221" s="2508"/>
      <c r="I221" s="2508"/>
      <c r="J221" s="2508"/>
      <c r="K221" s="2508"/>
      <c r="L221" s="2508"/>
      <c r="M221" s="2508"/>
      <c r="N221" s="2509"/>
      <c r="O221" s="336"/>
      <c r="P221" s="181"/>
      <c r="Q221" s="343"/>
      <c r="R221" s="343"/>
      <c r="S221" s="343"/>
      <c r="T221" s="343"/>
      <c r="U221" s="343"/>
      <c r="V221" s="343"/>
      <c r="W221" s="343"/>
      <c r="X221" s="343"/>
      <c r="Y221" s="716" t="b">
        <f t="shared" ref="Y221:Y226" si="4">CTRL_InputMethodNIMsvalues=1</f>
        <v>0</v>
      </c>
    </row>
    <row r="222" spans="1:25" ht="13" x14ac:dyDescent="0.25">
      <c r="A222" s="694"/>
      <c r="B222" s="698"/>
      <c r="C222" s="698"/>
      <c r="D222" s="377"/>
      <c r="E222" s="744">
        <f>E221+1</f>
        <v>2</v>
      </c>
      <c r="F222" s="2434"/>
      <c r="G222" s="2435"/>
      <c r="H222" s="2435"/>
      <c r="I222" s="2435"/>
      <c r="J222" s="2435"/>
      <c r="K222" s="2435"/>
      <c r="L222" s="2435"/>
      <c r="M222" s="2435"/>
      <c r="N222" s="2436"/>
      <c r="O222" s="336"/>
      <c r="P222" s="181"/>
      <c r="Q222" s="343"/>
      <c r="R222" s="343"/>
      <c r="S222" s="343"/>
      <c r="T222" s="343"/>
      <c r="U222" s="343"/>
      <c r="V222" s="343"/>
      <c r="W222" s="343"/>
      <c r="X222" s="343"/>
      <c r="Y222" s="716" t="b">
        <f t="shared" si="4"/>
        <v>0</v>
      </c>
    </row>
    <row r="223" spans="1:25" ht="13" x14ac:dyDescent="0.25">
      <c r="A223" s="694"/>
      <c r="B223" s="698"/>
      <c r="C223" s="698"/>
      <c r="D223" s="377"/>
      <c r="E223" s="744">
        <f>E222+1</f>
        <v>3</v>
      </c>
      <c r="F223" s="2434"/>
      <c r="G223" s="2435"/>
      <c r="H223" s="2435"/>
      <c r="I223" s="2435"/>
      <c r="J223" s="2435"/>
      <c r="K223" s="2435"/>
      <c r="L223" s="2435"/>
      <c r="M223" s="2435"/>
      <c r="N223" s="2436"/>
      <c r="O223" s="336"/>
      <c r="P223" s="181"/>
      <c r="Q223" s="343"/>
      <c r="R223" s="343"/>
      <c r="S223" s="343"/>
      <c r="T223" s="343"/>
      <c r="U223" s="343"/>
      <c r="V223" s="343"/>
      <c r="W223" s="343"/>
      <c r="X223" s="343"/>
      <c r="Y223" s="716" t="b">
        <f t="shared" si="4"/>
        <v>0</v>
      </c>
    </row>
    <row r="224" spans="1:25" ht="13" x14ac:dyDescent="0.25">
      <c r="A224" s="694"/>
      <c r="B224" s="698"/>
      <c r="C224" s="698"/>
      <c r="D224" s="377"/>
      <c r="E224" s="744">
        <f>E223+1</f>
        <v>4</v>
      </c>
      <c r="F224" s="2434"/>
      <c r="G224" s="2435"/>
      <c r="H224" s="2435"/>
      <c r="I224" s="2435"/>
      <c r="J224" s="2435"/>
      <c r="K224" s="2435"/>
      <c r="L224" s="2435"/>
      <c r="M224" s="2435"/>
      <c r="N224" s="2436"/>
      <c r="O224" s="336"/>
      <c r="P224" s="181"/>
      <c r="Q224" s="343"/>
      <c r="R224" s="343"/>
      <c r="S224" s="343"/>
      <c r="T224" s="343"/>
      <c r="U224" s="343"/>
      <c r="V224" s="343"/>
      <c r="W224" s="343"/>
      <c r="X224" s="343"/>
      <c r="Y224" s="716" t="b">
        <f t="shared" si="4"/>
        <v>0</v>
      </c>
    </row>
    <row r="225" spans="1:25" ht="13" x14ac:dyDescent="0.25">
      <c r="A225" s="694"/>
      <c r="B225" s="698"/>
      <c r="C225" s="698"/>
      <c r="D225" s="377"/>
      <c r="E225" s="744">
        <f>E224+1</f>
        <v>5</v>
      </c>
      <c r="F225" s="2434"/>
      <c r="G225" s="2435"/>
      <c r="H225" s="2435"/>
      <c r="I225" s="2435"/>
      <c r="J225" s="2435"/>
      <c r="K225" s="2435"/>
      <c r="L225" s="2435"/>
      <c r="M225" s="2435"/>
      <c r="N225" s="2436"/>
      <c r="O225" s="336"/>
      <c r="P225" s="181"/>
      <c r="Q225" s="343"/>
      <c r="R225" s="343"/>
      <c r="S225" s="343"/>
      <c r="T225" s="343"/>
      <c r="U225" s="343"/>
      <c r="V225" s="343"/>
      <c r="W225" s="343"/>
      <c r="X225" s="343"/>
      <c r="Y225" s="716" t="b">
        <f t="shared" si="4"/>
        <v>0</v>
      </c>
    </row>
    <row r="226" spans="1:25" ht="13.5" thickBot="1" x14ac:dyDescent="0.3">
      <c r="A226" s="694"/>
      <c r="B226" s="698"/>
      <c r="C226" s="698"/>
      <c r="D226" s="377"/>
      <c r="E226" s="745">
        <v>6</v>
      </c>
      <c r="F226" s="2501"/>
      <c r="G226" s="2502"/>
      <c r="H226" s="2502"/>
      <c r="I226" s="2502"/>
      <c r="J226" s="2502"/>
      <c r="K226" s="2502"/>
      <c r="L226" s="2502"/>
      <c r="M226" s="2502"/>
      <c r="N226" s="2503"/>
      <c r="O226" s="336"/>
      <c r="P226" s="181"/>
      <c r="Q226" s="343" t="s">
        <v>787</v>
      </c>
      <c r="R226" s="343"/>
      <c r="S226" s="343"/>
      <c r="T226" s="343"/>
      <c r="U226" s="343"/>
      <c r="V226" s="343"/>
      <c r="W226" s="343"/>
      <c r="X226" s="343"/>
      <c r="Y226" s="716" t="b">
        <f t="shared" si="4"/>
        <v>0</v>
      </c>
    </row>
    <row r="227" spans="1:25" ht="13" x14ac:dyDescent="0.25">
      <c r="A227" s="694"/>
      <c r="B227" s="698"/>
      <c r="C227" s="698"/>
      <c r="D227" s="377"/>
      <c r="E227" s="743">
        <v>1</v>
      </c>
      <c r="F227" s="2335" t="str">
        <f t="shared" ref="F227:F232" si="5">IF(F221="",IF(AND(F215&lt;&gt;"",COUNTIF(EUconst_AnnexIActivities,F215)=0),EUconst_ERR_LinkToNIMs,F215),F221)</f>
        <v/>
      </c>
      <c r="G227" s="2515">
        <f t="shared" ref="G227:N227" si="6">IF(G226="",G225,G226)</f>
        <v>0</v>
      </c>
      <c r="H227" s="2515">
        <f t="shared" si="6"/>
        <v>0</v>
      </c>
      <c r="I227" s="2515">
        <f t="shared" si="6"/>
        <v>0</v>
      </c>
      <c r="J227" s="2515">
        <f t="shared" si="6"/>
        <v>0</v>
      </c>
      <c r="K227" s="2515">
        <f t="shared" si="6"/>
        <v>0</v>
      </c>
      <c r="L227" s="2515">
        <f t="shared" si="6"/>
        <v>0</v>
      </c>
      <c r="M227" s="2515">
        <f t="shared" si="6"/>
        <v>0</v>
      </c>
      <c r="N227" s="2516">
        <f t="shared" si="6"/>
        <v>0</v>
      </c>
      <c r="O227" s="336"/>
      <c r="P227" s="302"/>
      <c r="Q227" s="746" t="str">
        <f t="shared" ref="Q227:Q232" si="7">IF(F227="","",MATCH(F227,EUconst_AnnexIActivities,0))</f>
        <v/>
      </c>
      <c r="R227" s="343"/>
      <c r="S227" s="343"/>
      <c r="T227" s="343"/>
      <c r="U227" s="343"/>
      <c r="V227" s="343"/>
      <c r="W227" s="343"/>
      <c r="X227" s="343"/>
      <c r="Y227" s="343"/>
    </row>
    <row r="228" spans="1:25" ht="13" x14ac:dyDescent="0.25">
      <c r="A228" s="694"/>
      <c r="B228" s="698"/>
      <c r="C228" s="698"/>
      <c r="D228" s="377"/>
      <c r="E228" s="744">
        <f>E227+1</f>
        <v>2</v>
      </c>
      <c r="F228" s="2331" t="str">
        <f t="shared" si="5"/>
        <v/>
      </c>
      <c r="G228" s="2431">
        <f t="shared" ref="G228:N228" si="8">IF(G227="",G226,G227)</f>
        <v>0</v>
      </c>
      <c r="H228" s="2431">
        <f t="shared" si="8"/>
        <v>0</v>
      </c>
      <c r="I228" s="2431">
        <f t="shared" si="8"/>
        <v>0</v>
      </c>
      <c r="J228" s="2431">
        <f t="shared" si="8"/>
        <v>0</v>
      </c>
      <c r="K228" s="2431">
        <f t="shared" si="8"/>
        <v>0</v>
      </c>
      <c r="L228" s="2431">
        <f t="shared" si="8"/>
        <v>0</v>
      </c>
      <c r="M228" s="2431">
        <f t="shared" si="8"/>
        <v>0</v>
      </c>
      <c r="N228" s="2432">
        <f t="shared" si="8"/>
        <v>0</v>
      </c>
      <c r="O228" s="336"/>
      <c r="P228" s="302"/>
      <c r="Q228" s="747" t="str">
        <f t="shared" si="7"/>
        <v/>
      </c>
      <c r="R228" s="343"/>
      <c r="S228" s="343"/>
      <c r="T228" s="343"/>
      <c r="U228" s="343"/>
      <c r="V228" s="343"/>
      <c r="W228" s="343"/>
      <c r="X228" s="343"/>
      <c r="Y228" s="343"/>
    </row>
    <row r="229" spans="1:25" ht="13" x14ac:dyDescent="0.25">
      <c r="A229" s="694"/>
      <c r="B229" s="698"/>
      <c r="C229" s="698"/>
      <c r="D229" s="377"/>
      <c r="E229" s="744">
        <f>E228+1</f>
        <v>3</v>
      </c>
      <c r="F229" s="2331" t="str">
        <f t="shared" si="5"/>
        <v/>
      </c>
      <c r="G229" s="2431">
        <f t="shared" ref="G229:N229" si="9">IF(G228="",G227,G228)</f>
        <v>0</v>
      </c>
      <c r="H229" s="2431">
        <f t="shared" si="9"/>
        <v>0</v>
      </c>
      <c r="I229" s="2431">
        <f t="shared" si="9"/>
        <v>0</v>
      </c>
      <c r="J229" s="2431">
        <f t="shared" si="9"/>
        <v>0</v>
      </c>
      <c r="K229" s="2431">
        <f t="shared" si="9"/>
        <v>0</v>
      </c>
      <c r="L229" s="2431">
        <f t="shared" si="9"/>
        <v>0</v>
      </c>
      <c r="M229" s="2431">
        <f t="shared" si="9"/>
        <v>0</v>
      </c>
      <c r="N229" s="2432">
        <f t="shared" si="9"/>
        <v>0</v>
      </c>
      <c r="O229" s="336"/>
      <c r="P229" s="302"/>
      <c r="Q229" s="747" t="str">
        <f t="shared" si="7"/>
        <v/>
      </c>
      <c r="R229" s="343"/>
      <c r="S229" s="343"/>
      <c r="T229" s="343"/>
      <c r="U229" s="343"/>
      <c r="V229" s="343"/>
      <c r="W229" s="343"/>
      <c r="X229" s="343"/>
      <c r="Y229" s="343"/>
    </row>
    <row r="230" spans="1:25" ht="13" x14ac:dyDescent="0.25">
      <c r="A230" s="694"/>
      <c r="B230" s="698"/>
      <c r="C230" s="698"/>
      <c r="D230" s="377"/>
      <c r="E230" s="744">
        <f>E229+1</f>
        <v>4</v>
      </c>
      <c r="F230" s="2331" t="str">
        <f t="shared" si="5"/>
        <v/>
      </c>
      <c r="G230" s="2431">
        <f t="shared" ref="G230:N230" si="10">IF(G229="",G228,G229)</f>
        <v>0</v>
      </c>
      <c r="H230" s="2431">
        <f t="shared" si="10"/>
        <v>0</v>
      </c>
      <c r="I230" s="2431">
        <f t="shared" si="10"/>
        <v>0</v>
      </c>
      <c r="J230" s="2431">
        <f t="shared" si="10"/>
        <v>0</v>
      </c>
      <c r="K230" s="2431">
        <f t="shared" si="10"/>
        <v>0</v>
      </c>
      <c r="L230" s="2431">
        <f t="shared" si="10"/>
        <v>0</v>
      </c>
      <c r="M230" s="2431">
        <f t="shared" si="10"/>
        <v>0</v>
      </c>
      <c r="N230" s="2432">
        <f t="shared" si="10"/>
        <v>0</v>
      </c>
      <c r="O230" s="336"/>
      <c r="P230" s="302"/>
      <c r="Q230" s="747" t="str">
        <f t="shared" si="7"/>
        <v/>
      </c>
      <c r="R230" s="343"/>
      <c r="S230" s="343"/>
      <c r="T230" s="343"/>
      <c r="U230" s="343"/>
      <c r="V230" s="343"/>
      <c r="W230" s="343"/>
      <c r="X230" s="343"/>
      <c r="Y230" s="343"/>
    </row>
    <row r="231" spans="1:25" ht="13" x14ac:dyDescent="0.25">
      <c r="A231" s="694"/>
      <c r="B231" s="698"/>
      <c r="C231" s="698"/>
      <c r="D231" s="377"/>
      <c r="E231" s="744">
        <f>E230+1</f>
        <v>5</v>
      </c>
      <c r="F231" s="2331" t="str">
        <f t="shared" si="5"/>
        <v/>
      </c>
      <c r="G231" s="2431">
        <f t="shared" ref="G231:N231" si="11">IF(G230="",G229,G230)</f>
        <v>0</v>
      </c>
      <c r="H231" s="2431">
        <f t="shared" si="11"/>
        <v>0</v>
      </c>
      <c r="I231" s="2431">
        <f t="shared" si="11"/>
        <v>0</v>
      </c>
      <c r="J231" s="2431">
        <f t="shared" si="11"/>
        <v>0</v>
      </c>
      <c r="K231" s="2431">
        <f t="shared" si="11"/>
        <v>0</v>
      </c>
      <c r="L231" s="2431">
        <f t="shared" si="11"/>
        <v>0</v>
      </c>
      <c r="M231" s="2431">
        <f t="shared" si="11"/>
        <v>0</v>
      </c>
      <c r="N231" s="2432">
        <f t="shared" si="11"/>
        <v>0</v>
      </c>
      <c r="O231" s="336"/>
      <c r="P231" s="302"/>
      <c r="Q231" s="747" t="str">
        <f t="shared" si="7"/>
        <v/>
      </c>
      <c r="R231" s="343"/>
      <c r="S231" s="343"/>
      <c r="T231" s="343"/>
      <c r="U231" s="343"/>
      <c r="V231" s="343"/>
      <c r="W231" s="343"/>
      <c r="X231" s="343"/>
      <c r="Y231" s="343"/>
    </row>
    <row r="232" spans="1:25" ht="13.5" thickBot="1" x14ac:dyDescent="0.3">
      <c r="A232" s="694"/>
      <c r="B232" s="698"/>
      <c r="C232" s="698"/>
      <c r="D232" s="377"/>
      <c r="E232" s="745">
        <v>6</v>
      </c>
      <c r="F232" s="2341" t="str">
        <f t="shared" si="5"/>
        <v/>
      </c>
      <c r="G232" s="2530">
        <f t="shared" ref="G232:N232" si="12">IF(G231="",G230,G231)</f>
        <v>0</v>
      </c>
      <c r="H232" s="2530">
        <f t="shared" si="12"/>
        <v>0</v>
      </c>
      <c r="I232" s="2530">
        <f t="shared" si="12"/>
        <v>0</v>
      </c>
      <c r="J232" s="2530">
        <f t="shared" si="12"/>
        <v>0</v>
      </c>
      <c r="K232" s="2530">
        <f t="shared" si="12"/>
        <v>0</v>
      </c>
      <c r="L232" s="2530">
        <f t="shared" si="12"/>
        <v>0</v>
      </c>
      <c r="M232" s="2530">
        <f t="shared" si="12"/>
        <v>0</v>
      </c>
      <c r="N232" s="2531">
        <f t="shared" si="12"/>
        <v>0</v>
      </c>
      <c r="O232" s="336"/>
      <c r="P232" s="302"/>
      <c r="Q232" s="748" t="str">
        <f t="shared" si="7"/>
        <v/>
      </c>
      <c r="R232" s="343"/>
      <c r="S232" s="343"/>
      <c r="T232" s="343"/>
      <c r="U232" s="343"/>
      <c r="V232" s="343"/>
      <c r="W232" s="343"/>
      <c r="X232" s="343"/>
      <c r="Y232" s="343"/>
    </row>
    <row r="233" spans="1:25" ht="5.15" customHeight="1" x14ac:dyDescent="0.25">
      <c r="A233" s="694"/>
      <c r="B233" s="698"/>
      <c r="C233" s="698"/>
      <c r="D233" s="377"/>
      <c r="E233" s="728"/>
      <c r="F233" s="302"/>
      <c r="G233" s="302"/>
      <c r="H233" s="336"/>
      <c r="I233" s="336"/>
      <c r="J233" s="368"/>
      <c r="K233" s="368"/>
      <c r="L233" s="368"/>
      <c r="M233" s="698"/>
      <c r="N233" s="698"/>
      <c r="O233" s="336"/>
      <c r="P233" s="302"/>
      <c r="Q233" s="343"/>
      <c r="R233" s="343"/>
      <c r="S233" s="343"/>
      <c r="T233" s="343"/>
      <c r="U233" s="343"/>
      <c r="V233" s="343"/>
      <c r="W233" s="343"/>
      <c r="X233" s="343"/>
      <c r="Y233" s="343"/>
    </row>
    <row r="234" spans="1:25" ht="13" x14ac:dyDescent="0.25">
      <c r="A234" s="694"/>
      <c r="B234" s="698"/>
      <c r="C234" s="698"/>
      <c r="D234" s="724" t="s">
        <v>901</v>
      </c>
      <c r="E234" s="2226" t="str">
        <f>Translations!$B$133</f>
        <v>Под кой код от Статистическата класификация на икономическите дейности в ЕС дружеството Ви е докладвало добавена стойност за целите на структурна икономическа статистика?</v>
      </c>
      <c r="F234" s="2249"/>
      <c r="G234" s="2249"/>
      <c r="H234" s="2249"/>
      <c r="I234" s="2249"/>
      <c r="J234" s="2249"/>
      <c r="K234" s="2249"/>
      <c r="L234" s="2249"/>
      <c r="M234" s="2249"/>
      <c r="N234" s="2249"/>
      <c r="O234" s="336"/>
      <c r="P234" s="302"/>
      <c r="Q234" s="343"/>
      <c r="R234" s="343"/>
      <c r="S234" s="343"/>
      <c r="T234" s="343"/>
      <c r="U234" s="343"/>
      <c r="V234" s="343"/>
      <c r="W234" s="343"/>
      <c r="X234" s="343"/>
      <c r="Y234" s="343"/>
    </row>
    <row r="235" spans="1:25" x14ac:dyDescent="0.25">
      <c r="A235" s="694"/>
      <c r="B235" s="698"/>
      <c r="C235" s="698"/>
      <c r="D235" s="302"/>
      <c r="E235" s="2358" t="str">
        <f>Translations!$B$134</f>
        <v>Ако не знаете каква стойност да въведете тук, моля, свържете се с националната статистическа служба във Вашата държава.</v>
      </c>
      <c r="F235" s="2249"/>
      <c r="G235" s="2249"/>
      <c r="H235" s="2249"/>
      <c r="I235" s="2249"/>
      <c r="J235" s="2249"/>
      <c r="K235" s="2249"/>
      <c r="L235" s="2249"/>
      <c r="M235" s="2249"/>
      <c r="N235" s="2249"/>
      <c r="O235" s="336"/>
      <c r="P235" s="302"/>
      <c r="Q235" s="343"/>
      <c r="R235" s="343"/>
      <c r="S235" s="343"/>
      <c r="T235" s="343"/>
      <c r="U235" s="343"/>
      <c r="V235" s="343"/>
      <c r="W235" s="343"/>
      <c r="X235" s="343"/>
      <c r="Y235" s="343"/>
    </row>
    <row r="236" spans="1:25" ht="12.75" customHeight="1" x14ac:dyDescent="0.25">
      <c r="A236" s="694"/>
      <c r="B236" s="698"/>
      <c r="C236" s="698"/>
      <c r="D236" s="302"/>
      <c r="E236" s="2358" t="str">
        <f>Translations!$B$135</f>
        <v xml:space="preserve">Можете да намерите NACE rev 2.0 на адрес: </v>
      </c>
      <c r="F236" s="2249"/>
      <c r="G236" s="2249"/>
      <c r="H236" s="2249"/>
      <c r="I236" s="2249"/>
      <c r="J236" s="2249"/>
      <c r="K236" s="2249"/>
      <c r="L236" s="2249"/>
      <c r="M236" s="2249"/>
      <c r="N236" s="2249"/>
      <c r="O236" s="336"/>
      <c r="P236" s="302"/>
      <c r="Q236" s="343"/>
      <c r="R236" s="343"/>
      <c r="S236" s="343"/>
      <c r="T236" s="343"/>
      <c r="U236" s="343"/>
      <c r="V236" s="343"/>
      <c r="W236" s="343"/>
      <c r="X236" s="343"/>
      <c r="Y236" s="343"/>
    </row>
    <row r="237" spans="1:25" ht="12.75" customHeight="1" x14ac:dyDescent="0.25">
      <c r="A237" s="694"/>
      <c r="B237" s="698"/>
      <c r="C237" s="698"/>
      <c r="D237" s="302"/>
      <c r="E237" s="2510" t="str">
        <f>Translations!$B$136</f>
        <v>http://ec.europa.eu/eurostat/ramon/nomenclatures/index.cfm?TargetUrl=LST_CLS_DLD&amp;StrNom=NACE_REV2&amp;StrLanguageCode=EN&amp;StrLayoutCode=HIERARCHIC</v>
      </c>
      <c r="F237" s="2510"/>
      <c r="G237" s="2510"/>
      <c r="H237" s="2510"/>
      <c r="I237" s="2510"/>
      <c r="J237" s="2510"/>
      <c r="K237" s="2510"/>
      <c r="L237" s="2510"/>
      <c r="M237" s="2510"/>
      <c r="N237" s="2510"/>
      <c r="O237" s="336"/>
      <c r="P237" s="302"/>
      <c r="Q237" s="343"/>
      <c r="R237" s="343"/>
      <c r="S237" s="343"/>
      <c r="T237" s="343"/>
      <c r="U237" s="343"/>
      <c r="V237" s="343"/>
      <c r="W237" s="343"/>
      <c r="X237" s="343"/>
      <c r="Y237" s="343"/>
    </row>
    <row r="238" spans="1:25" ht="13" x14ac:dyDescent="0.25">
      <c r="A238" s="694"/>
      <c r="B238" s="698"/>
      <c r="C238" s="698"/>
      <c r="D238" s="302"/>
      <c r="E238" s="2459" t="str">
        <f>Translations!$B$137</f>
        <v>Кодовете по NACE се въвеждат като 4-цифрени низове във вида „nnnn“, т.е. без точки или други разделителни знаци между тях.</v>
      </c>
      <c r="F238" s="2460"/>
      <c r="G238" s="2460"/>
      <c r="H238" s="2460"/>
      <c r="I238" s="2460"/>
      <c r="J238" s="2460"/>
      <c r="K238" s="2460"/>
      <c r="L238" s="2460"/>
      <c r="M238" s="2460"/>
      <c r="N238" s="2460"/>
      <c r="O238" s="336"/>
      <c r="P238" s="302"/>
      <c r="Q238" s="343"/>
      <c r="R238" s="343"/>
      <c r="S238" s="343"/>
      <c r="T238" s="343"/>
      <c r="U238" s="343"/>
      <c r="V238" s="343"/>
      <c r="W238" s="343"/>
      <c r="X238" s="343"/>
      <c r="Y238" s="343"/>
    </row>
    <row r="239" spans="1:25" x14ac:dyDescent="0.25">
      <c r="A239" s="694"/>
      <c r="B239" s="698"/>
      <c r="C239" s="698"/>
      <c r="D239" s="302"/>
      <c r="E239" s="2358" t="str">
        <f>Translations!$B$138</f>
        <v>Ако не въведете точно 4 цифри, ще се покаже съобщение за грешка.</v>
      </c>
      <c r="F239" s="2249"/>
      <c r="G239" s="2249"/>
      <c r="H239" s="2249"/>
      <c r="I239" s="2249"/>
      <c r="J239" s="2249"/>
      <c r="K239" s="2249"/>
      <c r="L239" s="2249"/>
      <c r="M239" s="2249"/>
      <c r="N239" s="2249"/>
      <c r="O239" s="336"/>
      <c r="P239" s="302"/>
      <c r="Q239" s="343"/>
      <c r="R239" s="343"/>
      <c r="S239" s="343"/>
      <c r="T239" s="343"/>
      <c r="U239" s="343"/>
      <c r="V239" s="343"/>
      <c r="W239" s="343"/>
      <c r="X239" s="343"/>
      <c r="Y239" s="343"/>
    </row>
    <row r="240" spans="1:25" ht="12.75" customHeight="1" x14ac:dyDescent="0.25">
      <c r="A240" s="694"/>
      <c r="B240" s="698"/>
      <c r="C240" s="698"/>
      <c r="D240" s="377"/>
      <c r="E240" s="2533" t="str">
        <f>Translations!$B$139</f>
        <v>Код по NACE, посочен въз основа на класификацията на NACE, rev 2:</v>
      </c>
      <c r="F240" s="2533"/>
      <c r="G240" s="2533"/>
      <c r="H240" s="2533"/>
      <c r="I240" s="2533"/>
      <c r="J240" s="2533"/>
      <c r="K240" s="2534"/>
      <c r="L240" s="2437" t="str">
        <f>c_NIMsSummary!H31</f>
        <v/>
      </c>
      <c r="M240" s="2437"/>
      <c r="N240" s="2437"/>
      <c r="O240" s="336"/>
      <c r="Q240" s="343"/>
      <c r="R240" s="343"/>
      <c r="S240" s="343"/>
      <c r="T240" s="343"/>
      <c r="U240" s="343"/>
      <c r="V240" s="343"/>
      <c r="W240" s="343"/>
      <c r="X240" s="343"/>
      <c r="Y240" s="716" t="b">
        <f>OR(CNTR_Incumbent=FALSE,CTRL_InputMethodNIMsvalues=2)</f>
        <v>0</v>
      </c>
    </row>
    <row r="241" spans="1:25" x14ac:dyDescent="0.25">
      <c r="A241" s="694"/>
      <c r="B241" s="698"/>
      <c r="C241" s="698"/>
      <c r="D241" s="377"/>
      <c r="E241" s="360"/>
      <c r="F241" s="360"/>
      <c r="G241" s="360"/>
      <c r="H241" s="360"/>
      <c r="I241" s="360"/>
      <c r="J241" s="360"/>
      <c r="K241" s="360"/>
      <c r="L241" s="2535"/>
      <c r="M241" s="2535"/>
      <c r="N241" s="2535"/>
      <c r="O241" s="336"/>
      <c r="P241" s="181"/>
      <c r="Q241" s="343"/>
      <c r="R241" s="343"/>
      <c r="S241" s="343"/>
      <c r="T241" s="343"/>
      <c r="U241" s="343"/>
      <c r="V241" s="343"/>
      <c r="W241" s="343"/>
      <c r="X241" s="343"/>
      <c r="Y241" s="716" t="b">
        <f>CTRL_InputMethodNIMsvalues=1</f>
        <v>0</v>
      </c>
    </row>
    <row r="242" spans="1:25" x14ac:dyDescent="0.25">
      <c r="A242" s="694"/>
      <c r="B242" s="698"/>
      <c r="C242" s="698"/>
      <c r="D242" s="377"/>
      <c r="E242" s="360"/>
      <c r="F242" s="360"/>
      <c r="G242" s="360"/>
      <c r="H242" s="360"/>
      <c r="I242" s="360"/>
      <c r="J242" s="360"/>
      <c r="K242" s="360"/>
      <c r="L242" s="2524" t="str">
        <f>IF(L241="",L240,L241)</f>
        <v/>
      </c>
      <c r="M242" s="2524"/>
      <c r="N242" s="2524"/>
      <c r="O242" s="336"/>
      <c r="P242" s="302"/>
      <c r="Q242" s="727" t="s">
        <v>1427</v>
      </c>
      <c r="R242" s="343"/>
      <c r="S242" s="750"/>
      <c r="T242" s="343"/>
      <c r="U242" s="343"/>
      <c r="V242" s="343"/>
      <c r="W242" s="343"/>
      <c r="X242" s="343"/>
      <c r="Y242" s="343"/>
    </row>
    <row r="243" spans="1:25" ht="5.15" customHeight="1" x14ac:dyDescent="0.25">
      <c r="A243" s="694"/>
      <c r="B243" s="698"/>
      <c r="C243" s="698"/>
      <c r="D243" s="377"/>
      <c r="E243" s="728"/>
      <c r="F243" s="302"/>
      <c r="G243" s="302"/>
      <c r="H243" s="336"/>
      <c r="I243" s="336"/>
      <c r="J243" s="368"/>
      <c r="K243" s="368"/>
      <c r="L243" s="368"/>
      <c r="M243" s="698"/>
      <c r="N243" s="698"/>
      <c r="O243" s="336"/>
      <c r="P243" s="302"/>
      <c r="Q243" s="343"/>
      <c r="R243" s="343"/>
      <c r="S243" s="343"/>
      <c r="T243" s="343"/>
      <c r="U243" s="343"/>
      <c r="V243" s="343"/>
      <c r="W243" s="343"/>
      <c r="X243" s="343"/>
      <c r="Y243" s="343"/>
    </row>
    <row r="244" spans="1:25" ht="13" x14ac:dyDescent="0.25">
      <c r="A244" s="694"/>
      <c r="B244" s="698"/>
      <c r="C244" s="698"/>
      <c r="D244" s="724" t="s">
        <v>46</v>
      </c>
      <c r="E244" s="2226" t="str">
        <f>Translations!$B$140</f>
        <v>Моля, посочете идентификационния код на инсталацията от ЕРИПЗ, ако е приложимо:</v>
      </c>
      <c r="F244" s="2249"/>
      <c r="G244" s="2249"/>
      <c r="H244" s="2249"/>
      <c r="I244" s="2249"/>
      <c r="J244" s="2249"/>
      <c r="K244" s="2295"/>
      <c r="L244" s="2437" t="str">
        <f>c_NIMsSummary!M31</f>
        <v/>
      </c>
      <c r="M244" s="2437"/>
      <c r="N244" s="2437"/>
      <c r="O244" s="336"/>
      <c r="Q244" s="343"/>
      <c r="R244" s="343"/>
      <c r="S244" s="343"/>
      <c r="T244" s="343"/>
      <c r="U244" s="343"/>
      <c r="V244" s="343"/>
      <c r="W244" s="343"/>
      <c r="X244" s="343"/>
      <c r="Y244" s="716" t="b">
        <f>OR(CNTR_Incumbent=FALSE,CTRL_InputMethodNIMsvalues=2)</f>
        <v>0</v>
      </c>
    </row>
    <row r="245" spans="1:25" x14ac:dyDescent="0.25">
      <c r="A245" s="694"/>
      <c r="B245" s="698"/>
      <c r="C245" s="698"/>
      <c r="D245" s="368"/>
      <c r="E245" s="368"/>
      <c r="F245" s="368"/>
      <c r="G245" s="368"/>
      <c r="H245" s="368"/>
      <c r="I245" s="368"/>
      <c r="J245" s="368"/>
      <c r="K245" s="368"/>
      <c r="L245" s="2438"/>
      <c r="M245" s="2438"/>
      <c r="N245" s="2438"/>
      <c r="O245" s="336"/>
      <c r="P245" s="181"/>
      <c r="Q245" s="343"/>
      <c r="R245" s="343"/>
      <c r="S245" s="343"/>
      <c r="T245" s="343"/>
      <c r="U245" s="343"/>
      <c r="V245" s="343"/>
      <c r="W245" s="343"/>
      <c r="X245" s="343"/>
      <c r="Y245" s="716" t="b">
        <f>CTRL_InputMethodNIMsvalues=1</f>
        <v>0</v>
      </c>
    </row>
    <row r="246" spans="1:25" x14ac:dyDescent="0.25">
      <c r="A246" s="694"/>
      <c r="B246" s="698"/>
      <c r="C246" s="698"/>
      <c r="D246" s="368"/>
      <c r="E246" s="368"/>
      <c r="F246" s="368"/>
      <c r="G246" s="368"/>
      <c r="H246" s="368"/>
      <c r="I246" s="368"/>
      <c r="J246" s="368"/>
      <c r="K246" s="368"/>
      <c r="L246" s="2524" t="str">
        <f>IF(L245="",L244,L245)</f>
        <v/>
      </c>
      <c r="M246" s="2524"/>
      <c r="N246" s="2524"/>
      <c r="O246" s="336"/>
      <c r="P246" s="302"/>
      <c r="Q246" s="343"/>
      <c r="R246" s="343"/>
      <c r="S246" s="343"/>
      <c r="T246" s="343"/>
      <c r="U246" s="343"/>
      <c r="V246" s="343"/>
      <c r="W246" s="343"/>
      <c r="X246" s="343"/>
      <c r="Y246" s="343"/>
    </row>
    <row r="247" spans="1:25" x14ac:dyDescent="0.25">
      <c r="A247" s="694"/>
      <c r="B247" s="698"/>
      <c r="C247" s="698"/>
      <c r="D247" s="302"/>
      <c r="E247" s="2358" t="str">
        <f>Translations!$B$141</f>
        <v>ЕРИПЗ е Европейският регистър за изпускането и преноса на замърсители.</v>
      </c>
      <c r="F247" s="2249"/>
      <c r="G247" s="2249"/>
      <c r="H247" s="2249"/>
      <c r="I247" s="2249"/>
      <c r="J247" s="2249"/>
      <c r="K247" s="2249"/>
      <c r="L247" s="2249"/>
      <c r="M247" s="2249"/>
      <c r="N247" s="2249"/>
      <c r="O247" s="336"/>
      <c r="P247" s="302"/>
      <c r="Q247" s="343"/>
      <c r="R247" s="343"/>
      <c r="S247" s="343"/>
      <c r="T247" s="343"/>
      <c r="U247" s="343"/>
      <c r="V247" s="343"/>
      <c r="W247" s="343"/>
      <c r="X247" s="343"/>
      <c r="Y247" s="343"/>
    </row>
    <row r="248" spans="1:25" x14ac:dyDescent="0.25">
      <c r="A248" s="694"/>
      <c r="B248" s="698"/>
      <c r="C248" s="698"/>
      <c r="D248" s="302"/>
      <c r="E248" s="2358" t="str">
        <f>Translations!$B$142</f>
        <v>Тази информация е полезна за компетентните власти във връзка с проверките на съответствието и взаимната съгласуваност на източниците на екологична информация.</v>
      </c>
      <c r="F248" s="2249"/>
      <c r="G248" s="2249"/>
      <c r="H248" s="2249"/>
      <c r="I248" s="2249"/>
      <c r="J248" s="2249"/>
      <c r="K248" s="2249"/>
      <c r="L248" s="2249"/>
      <c r="M248" s="2249"/>
      <c r="N248" s="2249"/>
      <c r="O248" s="336"/>
      <c r="P248" s="302"/>
      <c r="Q248" s="343"/>
      <c r="R248" s="343"/>
      <c r="S248" s="343"/>
      <c r="T248" s="343"/>
      <c r="U248" s="343"/>
      <c r="V248" s="343"/>
      <c r="W248" s="343"/>
      <c r="X248" s="343"/>
      <c r="Y248" s="343"/>
    </row>
    <row r="249" spans="1:25" ht="13" x14ac:dyDescent="0.25">
      <c r="A249" s="694"/>
      <c r="B249" s="698"/>
      <c r="C249" s="698"/>
      <c r="D249" s="377"/>
      <c r="E249" s="728"/>
      <c r="F249" s="302"/>
      <c r="G249" s="302"/>
      <c r="H249" s="368"/>
      <c r="I249" s="368"/>
      <c r="J249" s="368"/>
      <c r="K249" s="368"/>
      <c r="L249" s="368"/>
      <c r="M249" s="698"/>
      <c r="N249" s="698"/>
      <c r="O249" s="336"/>
      <c r="P249" s="302"/>
      <c r="Q249" s="343"/>
      <c r="R249" s="343"/>
      <c r="S249" s="343"/>
      <c r="T249" s="343"/>
      <c r="U249" s="343"/>
      <c r="V249" s="343"/>
      <c r="W249" s="343"/>
      <c r="X249" s="343"/>
      <c r="Y249" s="343"/>
    </row>
    <row r="250" spans="1:25" ht="15.5" x14ac:dyDescent="0.35">
      <c r="A250" s="694"/>
      <c r="B250" s="284"/>
      <c r="C250" s="327" t="s">
        <v>10</v>
      </c>
      <c r="D250" s="2245" t="str">
        <f>Translations!$B$1254</f>
        <v>Информация за настоящия доклад за равнището на дейност</v>
      </c>
      <c r="E250" s="2245"/>
      <c r="F250" s="2245"/>
      <c r="G250" s="2245"/>
      <c r="H250" s="2245"/>
      <c r="I250" s="2245"/>
      <c r="J250" s="2245"/>
      <c r="K250" s="2245"/>
      <c r="L250" s="2245"/>
      <c r="M250" s="2245"/>
      <c r="N250" s="2245"/>
      <c r="O250" s="336"/>
      <c r="P250" s="302"/>
      <c r="Q250" s="695"/>
      <c r="R250" s="343"/>
      <c r="S250" s="343"/>
      <c r="T250" s="343"/>
      <c r="U250" s="343"/>
      <c r="V250" s="343"/>
      <c r="W250" s="343"/>
      <c r="X250" s="343"/>
      <c r="Y250" s="343"/>
    </row>
    <row r="251" spans="1:25" ht="5.15" customHeight="1" x14ac:dyDescent="0.25">
      <c r="A251" s="694"/>
      <c r="B251" s="284"/>
      <c r="C251" s="284"/>
      <c r="D251" s="284"/>
      <c r="E251" s="284"/>
      <c r="F251" s="284"/>
      <c r="G251" s="284"/>
      <c r="H251" s="284"/>
      <c r="I251" s="284"/>
      <c r="J251" s="284"/>
      <c r="K251" s="284"/>
      <c r="L251" s="284"/>
      <c r="M251" s="336"/>
      <c r="N251" s="336"/>
      <c r="O251" s="336"/>
      <c r="P251" s="302"/>
      <c r="Q251" s="695"/>
      <c r="R251" s="343"/>
      <c r="S251" s="343"/>
      <c r="T251" s="343"/>
      <c r="U251" s="343"/>
      <c r="V251" s="343"/>
      <c r="W251" s="343"/>
      <c r="X251" s="343"/>
      <c r="Y251" s="343"/>
    </row>
    <row r="252" spans="1:25" ht="15" customHeight="1" x14ac:dyDescent="0.3">
      <c r="A252" s="694"/>
      <c r="B252" s="698"/>
      <c r="C252" s="357">
        <v>1</v>
      </c>
      <c r="D252" s="2449" t="str">
        <f>Translations!$B$1435</f>
        <v>Заявка за безплатно разпределяне на квоти:</v>
      </c>
      <c r="E252" s="2249"/>
      <c r="F252" s="2249"/>
      <c r="G252" s="2249"/>
      <c r="H252" s="2249"/>
      <c r="I252" s="2249"/>
      <c r="J252" s="2249"/>
      <c r="K252" s="2249"/>
      <c r="L252" s="2249"/>
      <c r="M252" s="2249"/>
      <c r="N252" s="2249"/>
      <c r="O252" s="336"/>
      <c r="P252" s="302"/>
      <c r="Q252" s="343"/>
      <c r="R252" s="343"/>
      <c r="S252" s="343"/>
      <c r="T252" s="343"/>
      <c r="U252" s="343"/>
      <c r="V252" s="343"/>
      <c r="W252" s="343"/>
      <c r="X252" s="343"/>
      <c r="Y252" s="343"/>
    </row>
    <row r="253" spans="1:25" ht="5.15" customHeight="1" thickBot="1" x14ac:dyDescent="0.3">
      <c r="A253" s="694"/>
      <c r="B253" s="284"/>
      <c r="C253" s="284"/>
      <c r="D253" s="284"/>
      <c r="E253" s="284"/>
      <c r="F253" s="284"/>
      <c r="G253" s="284"/>
      <c r="H253" s="284"/>
      <c r="I253" s="284"/>
      <c r="J253" s="284"/>
      <c r="K253" s="284"/>
      <c r="L253" s="284"/>
      <c r="M253" s="336"/>
      <c r="N253" s="336"/>
      <c r="O253" s="336"/>
      <c r="P253" s="302"/>
      <c r="Q253" s="695"/>
      <c r="R253" s="343"/>
      <c r="S253" s="343"/>
      <c r="T253" s="343"/>
      <c r="U253" s="343"/>
      <c r="V253" s="343"/>
      <c r="W253" s="343"/>
      <c r="X253" s="343"/>
      <c r="Y253" s="343"/>
    </row>
    <row r="254" spans="1:25" x14ac:dyDescent="0.25">
      <c r="A254" s="729"/>
      <c r="B254" s="698"/>
      <c r="C254" s="707"/>
      <c r="D254" s="708"/>
      <c r="E254" s="708"/>
      <c r="F254" s="708"/>
      <c r="G254" s="708"/>
      <c r="H254" s="708"/>
      <c r="I254" s="708"/>
      <c r="J254" s="708"/>
      <c r="K254" s="708"/>
      <c r="L254" s="708"/>
      <c r="M254" s="708"/>
      <c r="N254" s="708"/>
      <c r="O254" s="341"/>
      <c r="P254" s="302"/>
      <c r="Q254" s="343"/>
      <c r="R254" s="343"/>
      <c r="S254" s="343"/>
      <c r="T254" s="343"/>
      <c r="U254" s="343"/>
      <c r="V254" s="343"/>
      <c r="W254" s="343"/>
      <c r="X254" s="343"/>
      <c r="Y254" s="343"/>
    </row>
    <row r="255" spans="1:25" ht="13" x14ac:dyDescent="0.25">
      <c r="A255" s="729"/>
      <c r="B255" s="698"/>
      <c r="C255" s="712"/>
      <c r="D255" s="300" t="s">
        <v>408</v>
      </c>
      <c r="E255" s="2226" t="str">
        <f>Translations!$B$1255</f>
        <v>Потвърждение на допустимостта за безплатно разпределяне на квоти:</v>
      </c>
      <c r="F255" s="2249"/>
      <c r="G255" s="2249"/>
      <c r="H255" s="2249"/>
      <c r="I255" s="2249"/>
      <c r="J255" s="2249"/>
      <c r="K255" s="2249"/>
      <c r="L255" s="2249"/>
      <c r="M255" s="2249"/>
      <c r="N255" s="2249"/>
      <c r="O255" s="751"/>
      <c r="P255" s="302"/>
      <c r="Q255" s="343"/>
      <c r="R255" s="343"/>
      <c r="S255" s="343"/>
      <c r="T255" s="343"/>
      <c r="U255" s="343"/>
      <c r="V255" s="343"/>
      <c r="W255" s="343"/>
      <c r="X255" s="343"/>
      <c r="Y255" s="343"/>
    </row>
    <row r="256" spans="1:25" ht="5.15" customHeight="1" x14ac:dyDescent="0.25">
      <c r="A256" s="729"/>
      <c r="B256" s="284"/>
      <c r="C256" s="342"/>
      <c r="D256" s="284"/>
      <c r="E256" s="284"/>
      <c r="F256" s="284"/>
      <c r="G256" s="284"/>
      <c r="H256" s="284"/>
      <c r="I256" s="284"/>
      <c r="J256" s="284"/>
      <c r="K256" s="284"/>
      <c r="L256" s="284"/>
      <c r="M256" s="336"/>
      <c r="N256" s="336"/>
      <c r="O256" s="751"/>
      <c r="P256" s="302"/>
      <c r="Q256" s="695"/>
      <c r="R256" s="343"/>
      <c r="S256" s="343"/>
      <c r="T256" s="343"/>
      <c r="U256" s="343"/>
      <c r="V256" s="343"/>
      <c r="W256" s="343"/>
      <c r="X256" s="343"/>
      <c r="Y256" s="343"/>
    </row>
    <row r="257" spans="1:25" ht="15" customHeight="1" x14ac:dyDescent="0.25">
      <c r="A257" s="729"/>
      <c r="B257" s="698"/>
      <c r="C257" s="712"/>
      <c r="D257" s="698"/>
      <c r="E257" s="2448" t="str">
        <f>Translations!$B$1425</f>
        <v>Моля, потвърдете тук, че подавате заявление за безплатно разпределяне на квоти съгласно член 10а:</v>
      </c>
      <c r="F257" s="2448"/>
      <c r="G257" s="2448"/>
      <c r="H257" s="2448"/>
      <c r="I257" s="2448"/>
      <c r="J257" s="2448"/>
      <c r="K257" s="2448"/>
      <c r="L257" s="2448"/>
      <c r="M257" s="2448"/>
      <c r="N257" s="2448"/>
      <c r="O257" s="751"/>
      <c r="P257" s="302"/>
      <c r="Q257" s="343"/>
      <c r="R257" s="343"/>
      <c r="S257" s="343"/>
      <c r="T257" s="343"/>
      <c r="U257" s="343"/>
      <c r="V257" s="343"/>
      <c r="W257" s="343"/>
      <c r="X257" s="343"/>
      <c r="Y257" s="343"/>
    </row>
    <row r="258" spans="1:25" x14ac:dyDescent="0.25">
      <c r="A258" s="694"/>
      <c r="B258" s="698"/>
      <c r="C258" s="712"/>
      <c r="D258" s="698"/>
      <c r="E258" s="2445"/>
      <c r="F258" s="2446"/>
      <c r="G258" s="2446"/>
      <c r="H258" s="2446"/>
      <c r="I258" s="2446"/>
      <c r="J258" s="2446"/>
      <c r="K258" s="2446"/>
      <c r="L258" s="2446"/>
      <c r="M258" s="2446"/>
      <c r="N258" s="2447"/>
      <c r="O258" s="751"/>
      <c r="P258" s="302"/>
      <c r="Q258" s="343"/>
      <c r="R258" s="343"/>
      <c r="S258" s="343"/>
      <c r="T258" s="343"/>
      <c r="U258" s="343"/>
      <c r="V258" s="343"/>
      <c r="W258" s="343"/>
      <c r="X258" s="343"/>
      <c r="Y258" s="343"/>
    </row>
    <row r="259" spans="1:25" ht="5.15" customHeight="1" x14ac:dyDescent="0.25">
      <c r="A259" s="694"/>
      <c r="B259" s="698"/>
      <c r="C259" s="712"/>
      <c r="D259" s="698"/>
      <c r="E259" s="698"/>
      <c r="F259" s="698"/>
      <c r="G259" s="698"/>
      <c r="H259" s="698"/>
      <c r="I259" s="698"/>
      <c r="J259" s="698"/>
      <c r="K259" s="698"/>
      <c r="L259" s="698"/>
      <c r="M259" s="698"/>
      <c r="N259" s="698"/>
      <c r="O259" s="751"/>
      <c r="P259" s="302"/>
      <c r="Q259" s="343"/>
      <c r="R259" s="343"/>
      <c r="S259" s="343"/>
      <c r="T259" s="343"/>
      <c r="U259" s="343"/>
      <c r="V259" s="343"/>
      <c r="W259" s="343"/>
      <c r="X259" s="343"/>
      <c r="Y259" s="343"/>
    </row>
    <row r="260" spans="1:25" ht="13" x14ac:dyDescent="0.25">
      <c r="A260" s="694"/>
      <c r="B260" s="698"/>
      <c r="C260" s="712"/>
      <c r="D260" s="300" t="s">
        <v>901</v>
      </c>
      <c r="E260" s="2226" t="str">
        <f>Translations!$B$144</f>
        <v>Съгласие за използване на съдържащите се в настоящия файл данни:</v>
      </c>
      <c r="F260" s="2249"/>
      <c r="G260" s="2249"/>
      <c r="H260" s="2249"/>
      <c r="I260" s="2249"/>
      <c r="J260" s="2249"/>
      <c r="K260" s="2249"/>
      <c r="L260" s="2249"/>
      <c r="M260" s="2249"/>
      <c r="N260" s="2249"/>
      <c r="O260" s="751"/>
      <c r="P260" s="302"/>
      <c r="Q260" s="343"/>
      <c r="R260" s="343"/>
      <c r="S260" s="343"/>
      <c r="T260" s="343"/>
      <c r="U260" s="343"/>
      <c r="V260" s="343"/>
      <c r="W260" s="343"/>
      <c r="X260" s="343"/>
      <c r="Y260" s="343"/>
    </row>
    <row r="261" spans="1:25" ht="51" customHeight="1" x14ac:dyDescent="0.25">
      <c r="A261" s="694"/>
      <c r="B261" s="698"/>
      <c r="C261" s="712"/>
      <c r="D261" s="698"/>
      <c r="E261" s="2448" t="str">
        <f>Translations!$B$145</f>
        <v>Съдържащите се в настоящия файл данни ще бъдат използвани от компетентния орган за определяне на безплатните квоти по член 10а от Директивата за СТЕ на ЕС, както и от Европейската комисия с цел актуализиране на стойностите на параметрите. Освен това при поискване тези данни ще бъдат съобщени, изцяло или частично, на Европейската комисия във връзка с проверяването на националните изпълнителни мерки по член 11, параграф 1 от Директивата за СТЕ на ЕС.</v>
      </c>
      <c r="F261" s="2448"/>
      <c r="G261" s="2448"/>
      <c r="H261" s="2448"/>
      <c r="I261" s="2448"/>
      <c r="J261" s="2448"/>
      <c r="K261" s="2448"/>
      <c r="L261" s="2448"/>
      <c r="M261" s="2448"/>
      <c r="N261" s="2448"/>
      <c r="O261" s="751"/>
      <c r="P261" s="302"/>
      <c r="Q261" s="343"/>
      <c r="R261" s="343"/>
      <c r="S261" s="343"/>
      <c r="T261" s="343"/>
      <c r="U261" s="343"/>
      <c r="V261" s="343"/>
      <c r="W261" s="343"/>
      <c r="X261" s="343"/>
      <c r="Y261" s="343"/>
    </row>
    <row r="262" spans="1:25" ht="15" customHeight="1" x14ac:dyDescent="0.25">
      <c r="A262" s="694"/>
      <c r="B262" s="698"/>
      <c r="C262" s="712"/>
      <c r="D262" s="698"/>
      <c r="E262" s="2448" t="str">
        <f>Translations!$B$1426</f>
        <v>Ако операторът потвърди буква е) по-горе, автоматично се приема, че това също потвърждава съгласието за използване на данните, съдържащи се в този файл.</v>
      </c>
      <c r="F262" s="2448"/>
      <c r="G262" s="2448"/>
      <c r="H262" s="2448"/>
      <c r="I262" s="2448"/>
      <c r="J262" s="2448"/>
      <c r="K262" s="2448"/>
      <c r="L262" s="2448"/>
      <c r="M262" s="2448"/>
      <c r="N262" s="2448"/>
      <c r="O262" s="751"/>
      <c r="P262" s="302"/>
      <c r="Q262" s="343"/>
      <c r="R262" s="343"/>
      <c r="S262" s="343"/>
      <c r="T262" s="343"/>
      <c r="U262" s="343"/>
      <c r="V262" s="343"/>
      <c r="W262" s="343"/>
      <c r="X262" s="343"/>
      <c r="Y262" s="343"/>
    </row>
    <row r="263" spans="1:25" x14ac:dyDescent="0.25">
      <c r="A263" s="694"/>
      <c r="B263" s="698"/>
      <c r="C263" s="712"/>
      <c r="D263" s="698"/>
      <c r="E263" s="2536" t="str">
        <f>IF(E258="","",EUconst_ConfirmAllowUseOfData)</f>
        <v/>
      </c>
      <c r="F263" s="2537"/>
      <c r="G263" s="2537"/>
      <c r="H263" s="2537"/>
      <c r="I263" s="2537"/>
      <c r="J263" s="2537"/>
      <c r="K263" s="2537"/>
      <c r="L263" s="2537"/>
      <c r="M263" s="2537"/>
      <c r="N263" s="2538"/>
      <c r="O263" s="751"/>
      <c r="P263" s="302"/>
      <c r="Q263" s="343"/>
      <c r="R263" s="343"/>
      <c r="S263" s="343"/>
      <c r="T263" s="343"/>
      <c r="U263" s="343"/>
      <c r="V263" s="343"/>
      <c r="W263" s="343"/>
      <c r="X263" s="343"/>
      <c r="Y263" s="343"/>
    </row>
    <row r="264" spans="1:25" ht="5.15" customHeight="1" thickBot="1" x14ac:dyDescent="0.3">
      <c r="A264" s="694"/>
      <c r="B264" s="284"/>
      <c r="C264" s="352"/>
      <c r="D264" s="353"/>
      <c r="E264" s="353"/>
      <c r="F264" s="353"/>
      <c r="G264" s="353"/>
      <c r="H264" s="353"/>
      <c r="I264" s="353"/>
      <c r="J264" s="353"/>
      <c r="K264" s="353"/>
      <c r="L264" s="353"/>
      <c r="M264" s="354"/>
      <c r="N264" s="354"/>
      <c r="O264" s="355"/>
      <c r="P264" s="302"/>
      <c r="Q264" s="695"/>
      <c r="R264" s="343"/>
      <c r="S264" s="343"/>
      <c r="T264" s="343"/>
      <c r="U264" s="343"/>
      <c r="V264" s="343"/>
      <c r="W264" s="343"/>
      <c r="X264" s="343"/>
      <c r="Y264" s="343"/>
    </row>
    <row r="265" spans="1:25" ht="12.75" customHeight="1" x14ac:dyDescent="0.25">
      <c r="A265" s="694"/>
      <c r="B265" s="284"/>
      <c r="C265" s="284"/>
      <c r="D265" s="284"/>
      <c r="E265" s="284"/>
      <c r="F265" s="284"/>
      <c r="G265" s="284"/>
      <c r="H265" s="284"/>
      <c r="I265" s="284"/>
      <c r="J265" s="284"/>
      <c r="K265" s="284"/>
      <c r="L265" s="284"/>
      <c r="M265" s="336"/>
      <c r="N265" s="336"/>
      <c r="O265" s="336"/>
      <c r="P265" s="302"/>
      <c r="Q265" s="695"/>
      <c r="R265" s="343"/>
      <c r="S265" s="343"/>
      <c r="T265" s="343"/>
      <c r="U265" s="343"/>
      <c r="V265" s="343"/>
      <c r="W265" s="343"/>
      <c r="X265" s="343"/>
      <c r="Y265" s="343"/>
    </row>
    <row r="266" spans="1:25" ht="15" customHeight="1" x14ac:dyDescent="0.3">
      <c r="A266" s="694"/>
      <c r="B266" s="698"/>
      <c r="C266" s="357">
        <v>2</v>
      </c>
      <c r="D266" s="2449" t="str">
        <f>Translations!$B$1436</f>
        <v>Обвързаност с условия 1: Неизпълнени препоръки във връзка с мерки за подобряване на енергийната ефективност</v>
      </c>
      <c r="E266" s="2249"/>
      <c r="F266" s="2249"/>
      <c r="G266" s="2249"/>
      <c r="H266" s="2249"/>
      <c r="I266" s="2249"/>
      <c r="J266" s="2249"/>
      <c r="K266" s="2249"/>
      <c r="L266" s="2249"/>
      <c r="M266" s="2249"/>
      <c r="N266" s="2249"/>
      <c r="O266" s="336"/>
      <c r="P266" s="302"/>
      <c r="Q266" s="343"/>
      <c r="R266" s="343"/>
      <c r="S266" s="343"/>
      <c r="T266" s="343"/>
      <c r="U266" s="343"/>
      <c r="V266" s="343"/>
      <c r="W266" s="343"/>
      <c r="X266" s="343"/>
      <c r="Y266" s="343"/>
    </row>
    <row r="267" spans="1:25" ht="25.5" customHeight="1" x14ac:dyDescent="0.25">
      <c r="A267" s="729"/>
      <c r="B267" s="698"/>
      <c r="C267" s="698"/>
      <c r="D267" s="724"/>
      <c r="E267" s="2433" t="str">
        <f>Translations!$B$1437</f>
        <v>В съответствие с член 22а, параграф 1 от ПБР безплатното разпределяне на квоти се намалява с 20 %, ако не са изпълнени всички съответни препоръки от доклада от енергийния одит или сертифицираната система за енергийно управление съгласно член 8 от Директива 2012/27/ЕС (Директивата за енергийната ефективност).</v>
      </c>
      <c r="F267" s="2433"/>
      <c r="G267" s="2433"/>
      <c r="H267" s="2433"/>
      <c r="I267" s="2433"/>
      <c r="J267" s="2433"/>
      <c r="K267" s="2433"/>
      <c r="L267" s="2433"/>
      <c r="M267" s="2433"/>
      <c r="N267" s="2433"/>
      <c r="O267" s="336"/>
      <c r="Q267" s="343"/>
      <c r="R267" s="343"/>
      <c r="S267" s="343"/>
      <c r="T267" s="343"/>
      <c r="U267" s="343"/>
      <c r="V267" s="343"/>
      <c r="W267" s="343"/>
      <c r="X267" s="343"/>
      <c r="Y267" s="716"/>
    </row>
    <row r="268" spans="1:25" ht="25.5" customHeight="1" x14ac:dyDescent="0.25">
      <c r="A268" s="729"/>
      <c r="B268" s="698"/>
      <c r="C268" s="698"/>
      <c r="D268" s="724"/>
      <c r="E268" s="752" t="str">
        <f>Translations!$B$1438</f>
        <v>Базов период</v>
      </c>
      <c r="F268" s="2358" t="str">
        <f>Translations!$B$1439</f>
        <v>Изборът на „ВЯРНО“ за базовия период означава, че е приложена обвързаността с условия и безплатното разпределяне на квоти ще бъде намалено с 20 %. Ако случаят е „НЕВЯРНО“, вписванията за всички останали години автоматично стават безпредметни и обвързаността с условия не се прилага през нито една година.</v>
      </c>
      <c r="G268" s="2249"/>
      <c r="H268" s="2249"/>
      <c r="I268" s="2249"/>
      <c r="J268" s="2249"/>
      <c r="K268" s="2249"/>
      <c r="L268" s="2249"/>
      <c r="M268" s="2249"/>
      <c r="N268" s="2249"/>
      <c r="O268" s="336"/>
      <c r="P268" s="302"/>
      <c r="Q268" s="343"/>
      <c r="R268" s="343"/>
      <c r="S268" s="343"/>
      <c r="T268" s="343"/>
      <c r="U268" s="343"/>
      <c r="V268" s="343"/>
      <c r="W268" s="343"/>
      <c r="X268" s="343"/>
      <c r="Y268" s="716"/>
    </row>
    <row r="269" spans="1:25" ht="38.25" customHeight="1" x14ac:dyDescent="0.25">
      <c r="A269" s="729"/>
      <c r="B269" s="698"/>
      <c r="C269" s="698"/>
      <c r="D269" s="724"/>
      <c r="E269" s="753" t="str">
        <f>Translations!$B$1440</f>
        <v>Години след базовия период</v>
      </c>
      <c r="F269" s="2552" t="str">
        <f>Translations!$B$1441</f>
        <v>Ако обвързаността с условия е приложена през базовия период, съгласно член 3а от ALC-R е възможно да се възстанови безплатното разпределяне на квоти през следващите години, след като бъдат предприети всички оставащи мерки за енергийна ефективност. Моля, изберете „НЕВЯРНО“ за първата година, когато всички условия, изброени в член 3а, параграф 2 от ALC-R, са изпълнени и обвързаността с условия вече не се прилага, и всички следващи години автоматично ще преминат на „НЕВЯРНО“.</v>
      </c>
      <c r="G269" s="2553"/>
      <c r="H269" s="2553"/>
      <c r="I269" s="2553"/>
      <c r="J269" s="2553"/>
      <c r="K269" s="2553"/>
      <c r="L269" s="2553"/>
      <c r="M269" s="2553"/>
      <c r="N269" s="2553"/>
      <c r="O269" s="336"/>
      <c r="P269" s="302"/>
      <c r="Q269" s="343"/>
      <c r="R269" s="343"/>
      <c r="S269" s="754"/>
      <c r="T269" s="754"/>
      <c r="U269" s="343"/>
      <c r="V269" s="343"/>
      <c r="W269" s="343"/>
      <c r="X269" s="711"/>
      <c r="Y269" s="716"/>
    </row>
    <row r="270" spans="1:25" ht="25.5" customHeight="1" x14ac:dyDescent="0.25">
      <c r="A270" s="729"/>
      <c r="B270" s="698"/>
      <c r="C270" s="698"/>
      <c r="D270" s="724"/>
      <c r="E270" s="755"/>
      <c r="F270" s="2554" t="str">
        <f>Translations!$B$1442</f>
        <v>Например, ако всички неизпълнени препоръки са изцяло изпълнени или са приложени еквивалентни мерки и всички условия в член 3а, параграф 2 от ALC-R са изпълнени към момента на подаване на проверения доклад за равнището на дейност, който трябва да бъде представен до 31 март 2026 г., моля, изберете „НЕВЯРНО“, считано от 2026 г.</v>
      </c>
      <c r="G270" s="2490"/>
      <c r="H270" s="2490"/>
      <c r="I270" s="2490"/>
      <c r="J270" s="2490"/>
      <c r="K270" s="2490"/>
      <c r="L270" s="2490"/>
      <c r="M270" s="2490"/>
      <c r="N270" s="2490"/>
      <c r="O270" s="336"/>
      <c r="P270" s="302"/>
      <c r="Q270" s="343"/>
      <c r="R270" s="343"/>
      <c r="S270" s="754"/>
      <c r="T270" s="754"/>
      <c r="U270" s="343"/>
      <c r="V270" s="343"/>
      <c r="W270" s="343"/>
      <c r="X270" s="711"/>
      <c r="Y270" s="343"/>
    </row>
    <row r="271" spans="1:25" ht="5.15" customHeight="1" x14ac:dyDescent="0.25">
      <c r="A271" s="729"/>
      <c r="B271" s="698"/>
      <c r="C271" s="698"/>
      <c r="D271" s="698"/>
      <c r="E271" s="698"/>
      <c r="F271" s="698"/>
      <c r="G271" s="698"/>
      <c r="H271" s="698"/>
      <c r="I271" s="698"/>
      <c r="J271" s="698"/>
      <c r="K271" s="698"/>
      <c r="L271" s="698"/>
      <c r="M271" s="698"/>
      <c r="N271" s="698"/>
      <c r="O271" s="336"/>
      <c r="P271" s="302"/>
      <c r="Q271" s="343"/>
      <c r="R271" s="343"/>
      <c r="S271" s="343"/>
      <c r="T271" s="343"/>
      <c r="U271" s="343"/>
      <c r="V271" s="343"/>
      <c r="W271" s="343"/>
      <c r="X271" s="711"/>
      <c r="Y271" s="343"/>
    </row>
    <row r="272" spans="1:25" ht="12.75" customHeight="1" x14ac:dyDescent="0.3">
      <c r="A272" s="729"/>
      <c r="B272" s="284"/>
      <c r="C272" s="284"/>
      <c r="D272" s="284"/>
      <c r="E272" s="284"/>
      <c r="F272" s="284"/>
      <c r="G272" s="698"/>
      <c r="H272" s="698"/>
      <c r="I272" s="756" t="str">
        <f>Translations!$B$1438</f>
        <v>Базов период</v>
      </c>
      <c r="J272" s="757">
        <f t="shared" ref="J272:N272" si="13">J$412</f>
        <v>2026</v>
      </c>
      <c r="K272" s="758">
        <f t="shared" si="13"/>
        <v>2027</v>
      </c>
      <c r="L272" s="391">
        <f t="shared" si="13"/>
        <v>2028</v>
      </c>
      <c r="M272" s="391">
        <f t="shared" si="13"/>
        <v>2029</v>
      </c>
      <c r="N272" s="391">
        <f t="shared" si="13"/>
        <v>2030</v>
      </c>
      <c r="O272" s="336"/>
      <c r="P272" s="302"/>
      <c r="Q272" s="695"/>
      <c r="R272" s="343"/>
      <c r="S272" s="343"/>
      <c r="T272" s="343"/>
      <c r="U272" s="343"/>
      <c r="V272" s="343"/>
      <c r="W272" s="343"/>
      <c r="X272" s="343"/>
      <c r="Y272" s="343"/>
    </row>
    <row r="273" spans="1:25" ht="12.75" customHeight="1" x14ac:dyDescent="0.3">
      <c r="A273" s="729"/>
      <c r="B273" s="284"/>
      <c r="C273" s="284"/>
      <c r="D273" s="284"/>
      <c r="E273" s="759" t="str">
        <f>Translations!$B$1443</f>
        <v>Прилага се обвързаността с условия:</v>
      </c>
      <c r="F273" s="284"/>
      <c r="G273" s="698"/>
      <c r="H273" s="698"/>
      <c r="I273" s="760" t="str">
        <f>IF(AND(CTRL_InputMethodNIMsvalues&lt;&gt;"",CTRL_InputMethodNIMsvalues=1),c_NIMsSummary!I65,"")</f>
        <v/>
      </c>
      <c r="J273" s="761" t="str">
        <f>""</f>
        <v/>
      </c>
      <c r="K273" s="762" t="str">
        <f>""</f>
        <v/>
      </c>
      <c r="L273" s="762" t="str">
        <f>""</f>
        <v/>
      </c>
      <c r="M273" s="762" t="str">
        <f>""</f>
        <v/>
      </c>
      <c r="N273" s="762" t="str">
        <f>""</f>
        <v/>
      </c>
      <c r="O273" s="336"/>
      <c r="P273" s="302"/>
      <c r="Q273" s="695"/>
      <c r="R273" s="343"/>
      <c r="S273" s="343"/>
      <c r="T273" s="343"/>
      <c r="U273" s="343"/>
      <c r="V273" s="343"/>
      <c r="W273" s="343"/>
      <c r="X273" s="343"/>
      <c r="Y273" s="716" t="b">
        <f>OR(CNTR_Incumbent=FALSE,CTRL_InputMethodNIMsvalues=2)</f>
        <v>0</v>
      </c>
    </row>
    <row r="274" spans="1:25" ht="12.75" customHeight="1" x14ac:dyDescent="0.25">
      <c r="A274" s="729"/>
      <c r="B274" s="284"/>
      <c r="C274" s="284"/>
      <c r="D274" s="284"/>
      <c r="E274" s="284"/>
      <c r="F274" s="284"/>
      <c r="G274" s="698"/>
      <c r="H274" s="363"/>
      <c r="I274" s="265"/>
      <c r="J274" s="266"/>
      <c r="K274" s="81"/>
      <c r="L274" s="81"/>
      <c r="M274" s="81"/>
      <c r="N274" s="81"/>
      <c r="O274" s="336"/>
      <c r="P274" s="181"/>
      <c r="Q274" s="695"/>
      <c r="R274" s="343"/>
      <c r="S274" s="343"/>
      <c r="T274" s="343"/>
      <c r="U274" s="343"/>
      <c r="V274" s="343"/>
      <c r="W274" s="343"/>
      <c r="X274" s="716" t="b">
        <f>I273&lt;&gt;""</f>
        <v>0</v>
      </c>
      <c r="Y274" s="716" t="b">
        <f>I275=FALSE</f>
        <v>0</v>
      </c>
    </row>
    <row r="275" spans="1:25" ht="12.75" customHeight="1" x14ac:dyDescent="0.25">
      <c r="A275" s="729"/>
      <c r="B275" s="284"/>
      <c r="C275" s="284"/>
      <c r="D275" s="284"/>
      <c r="E275" s="284"/>
      <c r="F275" s="284"/>
      <c r="G275" s="698"/>
      <c r="H275" s="698"/>
      <c r="I275" s="763" t="str">
        <f>IF(I274="",I273,I274)</f>
        <v/>
      </c>
      <c r="J275" s="764" t="str">
        <f>IF(J274="",IF(COUNTIF($I275:I275,FALSE)&gt;0,FALSE,IF($I275="","",TRUE)),J274)</f>
        <v/>
      </c>
      <c r="K275" s="765" t="str">
        <f>IF(K274="",IF(COUNTIF($I275:J275,FALSE)&gt;0,FALSE,IF($I275="","",TRUE)),K274)</f>
        <v/>
      </c>
      <c r="L275" s="765" t="str">
        <f>IF(L274="",IF(COUNTIF($I275:K275,FALSE)&gt;0,FALSE,IF($I275="","",TRUE)),L274)</f>
        <v/>
      </c>
      <c r="M275" s="765" t="str">
        <f>IF(M274="",IF(COUNTIF($I275:L275,FALSE)&gt;0,FALSE,IF($I275="","",TRUE)),M274)</f>
        <v/>
      </c>
      <c r="N275" s="765" t="str">
        <f>IF(N274="",IF(COUNTIF($I275:M275,FALSE)&gt;0,FALSE,IF($I275="","",TRUE)),N274)</f>
        <v/>
      </c>
      <c r="O275" s="336"/>
      <c r="P275" s="302"/>
      <c r="Q275" s="727" t="s">
        <v>2175</v>
      </c>
      <c r="R275" s="343"/>
      <c r="S275" s="343"/>
      <c r="T275" s="343"/>
      <c r="U275" s="343"/>
      <c r="V275" s="343"/>
      <c r="W275" s="343"/>
      <c r="X275" s="343"/>
      <c r="Y275" s="343"/>
    </row>
    <row r="276" spans="1:25" x14ac:dyDescent="0.25">
      <c r="A276" s="729"/>
      <c r="B276" s="698"/>
      <c r="C276" s="698"/>
      <c r="D276" s="698"/>
      <c r="E276" s="698"/>
      <c r="F276" s="698"/>
      <c r="G276" s="698"/>
      <c r="H276" s="698"/>
      <c r="I276" s="698"/>
      <c r="J276" s="698"/>
      <c r="K276" s="698"/>
      <c r="L276" s="698"/>
      <c r="M276" s="698"/>
      <c r="N276" s="698"/>
      <c r="O276" s="336"/>
      <c r="P276" s="302"/>
      <c r="Q276" s="343"/>
      <c r="R276" s="343"/>
      <c r="S276" s="343"/>
      <c r="T276" s="343"/>
      <c r="U276" s="343"/>
      <c r="V276" s="343"/>
      <c r="W276" s="343"/>
      <c r="X276" s="711"/>
      <c r="Y276" s="716"/>
    </row>
    <row r="277" spans="1:25" ht="14" x14ac:dyDescent="0.3">
      <c r="A277" s="729"/>
      <c r="B277" s="698"/>
      <c r="C277" s="357">
        <v>3</v>
      </c>
      <c r="D277" s="2449" t="str">
        <f>Translations!$B$1444</f>
        <v>Обвързаност с условия 2: оператори с резултат, &gt; от 80-ия процентил</v>
      </c>
      <c r="E277" s="2249"/>
      <c r="F277" s="2249"/>
      <c r="G277" s="2249"/>
      <c r="H277" s="2249"/>
      <c r="I277" s="2249"/>
      <c r="J277" s="2249"/>
      <c r="K277" s="2249"/>
      <c r="L277" s="2249"/>
      <c r="M277" s="2249"/>
      <c r="N277" s="2249"/>
      <c r="O277" s="336"/>
      <c r="Q277" s="343"/>
      <c r="R277" s="343"/>
      <c r="S277" s="343"/>
      <c r="T277" s="343"/>
      <c r="U277" s="343"/>
      <c r="V277" s="343"/>
      <c r="W277" s="343"/>
      <c r="X277" s="343"/>
      <c r="Y277" s="716"/>
    </row>
    <row r="278" spans="1:25" ht="25.5" customHeight="1" x14ac:dyDescent="0.25">
      <c r="A278" s="729"/>
      <c r="B278" s="698"/>
      <c r="C278" s="698"/>
      <c r="D278" s="724"/>
      <c r="E278" s="2433" t="str">
        <f>Translations!$B$1445</f>
        <v>Съгласно член 22б, параграф 1 и 2 от ПБР безплатното разпределяне на квоти се намалява с 20 %, ако нивата на емисиите на парникови газове на подинсталация с продуктов показател са били по-високи от 80-ия процентил от нивата на емисиите за съответните продуктови показатели през 2016 г. и 2017 г., освен ако не е представен план за неутралност по отношение на климата, съдържащ ключови етапи и цели, които са постигнати по-късно.</v>
      </c>
      <c r="F278" s="2433"/>
      <c r="G278" s="2433"/>
      <c r="H278" s="2433"/>
      <c r="I278" s="2433"/>
      <c r="J278" s="2433"/>
      <c r="K278" s="2433"/>
      <c r="L278" s="2433"/>
      <c r="M278" s="2433"/>
      <c r="N278" s="2433"/>
      <c r="O278" s="336"/>
      <c r="Q278" s="343"/>
      <c r="R278" s="343"/>
      <c r="S278" s="343"/>
      <c r="T278" s="343"/>
      <c r="U278" s="343"/>
      <c r="V278" s="343"/>
      <c r="W278" s="343"/>
      <c r="X278" s="343"/>
      <c r="Y278" s="716"/>
    </row>
    <row r="279" spans="1:25" ht="38.25" customHeight="1" x14ac:dyDescent="0.25">
      <c r="A279" s="729"/>
      <c r="B279" s="698"/>
      <c r="C279" s="698"/>
      <c r="D279" s="724"/>
      <c r="E279" s="752" t="str">
        <f>Translations!$B$1446</f>
        <v>Приложима?</v>
      </c>
      <c r="F279" s="2358" t="str">
        <f>Translations!$B$1447</f>
        <v>Изборът на „ВЯРНО“ за базовия период означава, че обвързаността с условия е била приложима, т.е. подинсталациите с продуктов показател са отговаряли на критериите. Ако случаят е „НЕВЯРНО“, всички други вписвания автоматично стават безпредметни и обвързаността с условия не се прилага през нито една година.</v>
      </c>
      <c r="G279" s="2249"/>
      <c r="H279" s="2249"/>
      <c r="I279" s="2249"/>
      <c r="J279" s="2249"/>
      <c r="K279" s="2249"/>
      <c r="L279" s="2249"/>
      <c r="M279" s="2249"/>
      <c r="N279" s="2249"/>
      <c r="O279" s="336"/>
      <c r="P279" s="302"/>
      <c r="Q279" s="343"/>
      <c r="R279" s="343"/>
      <c r="S279" s="343"/>
      <c r="T279" s="343"/>
      <c r="U279" s="343"/>
      <c r="V279" s="343"/>
      <c r="W279" s="343"/>
      <c r="X279" s="343"/>
      <c r="Y279" s="716"/>
    </row>
    <row r="280" spans="1:25" ht="38.25" customHeight="1" x14ac:dyDescent="0.25">
      <c r="A280" s="729"/>
      <c r="B280" s="698"/>
      <c r="C280" s="698"/>
      <c r="D280" s="724"/>
      <c r="E280" s="753" t="str">
        <f>Translations!$B$1448</f>
        <v>Приложена?</v>
      </c>
      <c r="F280" s="2552" t="str">
        <f>Translations!$B$1449</f>
        <v>Изборът на „ВЯРНО“ означава, че за базовия период (НМИ) е била приложена обвързаността с условия, т.е. или не е представен план за неутралност по отношение на климата, или не е в съответствие с Акта за плановете за неутралност по отношение на климата, т.е. прилага се намаление на разпределянето с 20 %. „НЕВЯРНО“ означава, че нивата на емисиите са били по-високи от 80-ия процентил, но разпределянето не е било намалено, тъй като е бил подаден съответстващ план за неутралност по отношение на климата.</v>
      </c>
      <c r="G280" s="2552"/>
      <c r="H280" s="2552"/>
      <c r="I280" s="2552"/>
      <c r="J280" s="2552"/>
      <c r="K280" s="2552"/>
      <c r="L280" s="2552"/>
      <c r="M280" s="2552"/>
      <c r="N280" s="2552"/>
      <c r="O280" s="336"/>
      <c r="P280" s="302"/>
      <c r="Q280" s="343"/>
      <c r="R280" s="343"/>
      <c r="S280" s="343"/>
      <c r="T280" s="343"/>
      <c r="U280" s="343"/>
      <c r="V280" s="343"/>
      <c r="W280" s="343"/>
      <c r="X280" s="343"/>
      <c r="Y280" s="716"/>
    </row>
    <row r="281" spans="1:25" ht="51" customHeight="1" x14ac:dyDescent="0.25">
      <c r="A281" s="729"/>
      <c r="B281" s="698"/>
      <c r="C281" s="698"/>
      <c r="D281" s="724"/>
      <c r="E281" s="766" t="str">
        <f>Translations!$B$1450</f>
        <v>Период 2026—2030 г.</v>
      </c>
      <c r="F281" s="2555" t="str">
        <f>Translations!$B$1451</f>
        <v>Съгласно член 3в от ALC-R пълният размер на безплатното разпределяне на квоти може да бъде запазен само ако ключовите етапи и целите, определени в плана за неутралност по отношение на климата, са изпълнени и потвърдени от проверен доклад за неутралност по отношение на климата. Моля, изберете „НЕВЯРНО“ за периода 2026—2030 г., ако обвързаността с условия (т.е. приспадането от 20 %) не се прилага, т.е. ако ключовите етапи и целите са изпълнени, както е показано в проверения доклад за неутралност по отношение на климата, представен до 31 март 2026 г. Ако е избрано „ВЯРНО“, тъй като ключовите етапи и целите не са постигнати, безплатното разпределяне на квоти ще бъде намалено с 20 % за всички години от периода 2026—2030 г.</v>
      </c>
      <c r="G281" s="2555"/>
      <c r="H281" s="2555"/>
      <c r="I281" s="2555"/>
      <c r="J281" s="2555"/>
      <c r="K281" s="2555"/>
      <c r="L281" s="2555"/>
      <c r="M281" s="2555"/>
      <c r="N281" s="2555"/>
      <c r="O281" s="336"/>
      <c r="P281" s="302"/>
      <c r="Q281" s="343"/>
      <c r="R281" s="343"/>
      <c r="S281" s="754"/>
      <c r="T281" s="754"/>
      <c r="U281" s="343"/>
      <c r="V281" s="343"/>
      <c r="W281" s="343"/>
      <c r="X281" s="711"/>
      <c r="Y281" s="716"/>
    </row>
    <row r="282" spans="1:25" ht="5.15" customHeight="1" x14ac:dyDescent="0.25">
      <c r="A282" s="729"/>
      <c r="B282" s="698"/>
      <c r="C282" s="698"/>
      <c r="D282" s="698"/>
      <c r="E282" s="698"/>
      <c r="F282" s="698"/>
      <c r="G282" s="698"/>
      <c r="H282" s="698"/>
      <c r="I282" s="698"/>
      <c r="J282" s="698"/>
      <c r="K282" s="698"/>
      <c r="L282" s="698"/>
      <c r="M282" s="698"/>
      <c r="N282" s="698"/>
      <c r="O282" s="336"/>
      <c r="P282" s="302"/>
      <c r="Q282" s="343"/>
      <c r="R282" s="343"/>
      <c r="S282" s="343"/>
      <c r="T282" s="343"/>
      <c r="U282" s="343"/>
      <c r="V282" s="343"/>
      <c r="W282" s="343"/>
      <c r="X282" s="711"/>
      <c r="Y282" s="343"/>
    </row>
    <row r="283" spans="1:25" ht="12.75" customHeight="1" x14ac:dyDescent="0.3">
      <c r="A283" s="729"/>
      <c r="B283" s="284"/>
      <c r="C283" s="284"/>
      <c r="D283" s="284"/>
      <c r="E283" s="284"/>
      <c r="F283" s="284"/>
      <c r="G283" s="698"/>
      <c r="H283" s="756" t="str">
        <f>Translations!$B$1446</f>
        <v>Приложима?</v>
      </c>
      <c r="I283" s="756" t="str">
        <f>Translations!$B$1448</f>
        <v>Приложена?</v>
      </c>
      <c r="J283" s="757">
        <f t="shared" ref="J283:N283" si="14">J$412</f>
        <v>2026</v>
      </c>
      <c r="K283" s="758">
        <f t="shared" si="14"/>
        <v>2027</v>
      </c>
      <c r="L283" s="391">
        <f t="shared" si="14"/>
        <v>2028</v>
      </c>
      <c r="M283" s="391">
        <f t="shared" si="14"/>
        <v>2029</v>
      </c>
      <c r="N283" s="391">
        <f t="shared" si="14"/>
        <v>2030</v>
      </c>
      <c r="O283" s="336"/>
      <c r="P283" s="302"/>
      <c r="Q283" s="695"/>
      <c r="R283" s="343"/>
      <c r="S283" s="343"/>
      <c r="T283" s="343"/>
      <c r="U283" s="343"/>
      <c r="V283" s="343"/>
      <c r="W283" s="343"/>
      <c r="X283" s="343"/>
      <c r="Y283" s="343"/>
    </row>
    <row r="284" spans="1:25" ht="12.75" customHeight="1" x14ac:dyDescent="0.3">
      <c r="A284" s="729"/>
      <c r="B284" s="284"/>
      <c r="C284" s="284"/>
      <c r="D284" s="284"/>
      <c r="E284" s="759" t="str">
        <f>Translations!$B$1443</f>
        <v>Прилага се обвързаността с условия:</v>
      </c>
      <c r="F284" s="284"/>
      <c r="G284" s="698"/>
      <c r="H284" s="760" t="str">
        <f>IF(AND(CTRL_InputMethodNIMsvalues&lt;&gt;"",CTRL_InputMethodNIMsvalues=1),c_NIMsSummary!M79,"")</f>
        <v/>
      </c>
      <c r="I284" s="767" t="str">
        <f>IF(AND(CTRL_InputMethodNIMsvalues&lt;&gt;"",CTRL_InputMethodNIMsvalues=1),c_NIMsSummary!I66,"")</f>
        <v/>
      </c>
      <c r="J284" s="2566" t="str">
        <f>""</f>
        <v/>
      </c>
      <c r="K284" s="2567"/>
      <c r="L284" s="2567"/>
      <c r="M284" s="2567"/>
      <c r="N284" s="2567"/>
      <c r="O284" s="336"/>
      <c r="P284" s="302"/>
      <c r="Q284" s="695"/>
      <c r="R284" s="343"/>
      <c r="S284" s="343"/>
      <c r="T284" s="343"/>
      <c r="U284" s="343"/>
      <c r="V284" s="343"/>
      <c r="W284" s="343"/>
      <c r="X284" s="343"/>
      <c r="Y284" s="716" t="b">
        <f>OR(CNTR_Incumbent=FALSE,CTRL_InputMethodNIMsvalues=2)</f>
        <v>0</v>
      </c>
    </row>
    <row r="285" spans="1:25" ht="12.75" customHeight="1" x14ac:dyDescent="0.25">
      <c r="A285" s="729"/>
      <c r="B285" s="284"/>
      <c r="C285" s="284"/>
      <c r="D285" s="284"/>
      <c r="E285" s="284"/>
      <c r="F285" s="284"/>
      <c r="G285" s="698"/>
      <c r="H285" s="265"/>
      <c r="I285" s="276"/>
      <c r="J285" s="2564"/>
      <c r="K285" s="2565"/>
      <c r="L285" s="2565"/>
      <c r="M285" s="2565"/>
      <c r="N285" s="2565"/>
      <c r="O285" s="336"/>
      <c r="P285" s="181"/>
      <c r="Q285" s="695"/>
      <c r="R285" s="343"/>
      <c r="S285" s="343"/>
      <c r="T285" s="343"/>
      <c r="U285" s="343"/>
      <c r="V285" s="343"/>
      <c r="W285" s="716" t="b">
        <f>H284&lt;&gt;""</f>
        <v>0</v>
      </c>
      <c r="X285" s="716" t="b">
        <f>H286=FALSE</f>
        <v>0</v>
      </c>
      <c r="Y285" s="716" t="b">
        <f>OR(H286=FALSE,I286=TRUE)</f>
        <v>0</v>
      </c>
    </row>
    <row r="286" spans="1:25" ht="12.75" customHeight="1" x14ac:dyDescent="0.25">
      <c r="A286" s="729"/>
      <c r="B286" s="284"/>
      <c r="C286" s="284"/>
      <c r="D286" s="284"/>
      <c r="E286" s="284"/>
      <c r="F286" s="284"/>
      <c r="G286" s="698"/>
      <c r="H286" s="763" t="str">
        <f>IF(H285="",H284,H285)</f>
        <v/>
      </c>
      <c r="I286" s="768" t="str">
        <f>IF(I285="",IF(I284="",H286,I284),I285)</f>
        <v/>
      </c>
      <c r="J286" s="496" t="str">
        <f>IF($J285="",IF(AND($H286=TRUE,OR($I286="",$I286=TRUE)),TRUE,IF($H286="","",FALSE)),$J285)</f>
        <v/>
      </c>
      <c r="K286" s="765" t="str">
        <f t="shared" ref="K286:N286" si="15">IF($J285="",IF(AND($H286=TRUE,OR($I286="",$I286=TRUE)),TRUE,IF($H286="","",FALSE)),$J285)</f>
        <v/>
      </c>
      <c r="L286" s="765" t="str">
        <f t="shared" si="15"/>
        <v/>
      </c>
      <c r="M286" s="765" t="str">
        <f t="shared" si="15"/>
        <v/>
      </c>
      <c r="N286" s="765" t="str">
        <f t="shared" si="15"/>
        <v/>
      </c>
      <c r="O286" s="336"/>
      <c r="P286" s="302"/>
      <c r="Q286" s="727" t="s">
        <v>2182</v>
      </c>
      <c r="R286" s="343"/>
      <c r="S286" s="343"/>
      <c r="T286" s="343"/>
      <c r="U286" s="343"/>
      <c r="V286" s="343"/>
      <c r="W286" s="343"/>
      <c r="X286" s="343"/>
      <c r="Y286" s="343"/>
    </row>
    <row r="287" spans="1:25" x14ac:dyDescent="0.25">
      <c r="A287" s="729"/>
      <c r="B287" s="698"/>
      <c r="C287" s="698"/>
      <c r="D287" s="698"/>
      <c r="E287" s="302"/>
      <c r="F287" s="698"/>
      <c r="G287" s="698"/>
      <c r="H287" s="698"/>
      <c r="I287" s="698"/>
      <c r="J287" s="698"/>
      <c r="K287" s="698"/>
      <c r="L287" s="698"/>
      <c r="M287" s="698"/>
      <c r="N287" s="698"/>
      <c r="O287" s="336"/>
      <c r="P287" s="302"/>
      <c r="Q287" s="343"/>
      <c r="R287" s="343"/>
      <c r="S287" s="343"/>
      <c r="T287" s="343"/>
      <c r="U287" s="343"/>
      <c r="V287" s="343"/>
      <c r="W287" s="343"/>
      <c r="X287" s="343"/>
      <c r="Y287" s="716"/>
    </row>
    <row r="288" spans="1:25" ht="5.15" customHeight="1" x14ac:dyDescent="0.25">
      <c r="A288" s="729"/>
      <c r="B288" s="284"/>
      <c r="C288" s="284"/>
      <c r="D288" s="284"/>
      <c r="E288" s="284"/>
      <c r="F288" s="284"/>
      <c r="G288" s="284"/>
      <c r="H288" s="284"/>
      <c r="I288" s="284"/>
      <c r="J288" s="284"/>
      <c r="K288" s="284"/>
      <c r="L288" s="284"/>
      <c r="M288" s="336"/>
      <c r="N288" s="336"/>
      <c r="O288" s="336"/>
      <c r="P288" s="302"/>
      <c r="Q288" s="695"/>
      <c r="R288" s="343"/>
      <c r="S288" s="343"/>
      <c r="T288" s="343"/>
      <c r="U288" s="343"/>
      <c r="V288" s="343"/>
      <c r="W288" s="343"/>
      <c r="X288" s="343"/>
      <c r="Y288" s="343"/>
    </row>
    <row r="289" spans="1:25" ht="14" x14ac:dyDescent="0.3">
      <c r="A289" s="729"/>
      <c r="B289" s="698"/>
      <c r="C289" s="357">
        <v>4</v>
      </c>
      <c r="D289" s="2449" t="str">
        <f>Translations!$B$1452</f>
        <v>Обвързаност с условия 3: + 30 % за топлофикационна мрежа</v>
      </c>
      <c r="E289" s="2249"/>
      <c r="F289" s="2249"/>
      <c r="G289" s="2249"/>
      <c r="H289" s="2249"/>
      <c r="I289" s="2249"/>
      <c r="J289" s="2249"/>
      <c r="K289" s="2249"/>
      <c r="L289" s="2249"/>
      <c r="M289" s="2249"/>
      <c r="N289" s="2249"/>
      <c r="O289" s="336"/>
      <c r="P289" s="302"/>
      <c r="Q289" s="343"/>
      <c r="R289" s="343"/>
      <c r="S289" s="343"/>
      <c r="T289" s="343"/>
      <c r="U289" s="343"/>
      <c r="V289" s="343"/>
      <c r="W289" s="343"/>
      <c r="X289" s="343"/>
      <c r="Y289" s="343"/>
    </row>
    <row r="290" spans="1:25" ht="25.5" customHeight="1" x14ac:dyDescent="0.25">
      <c r="A290" s="729"/>
      <c r="B290" s="698"/>
      <c r="C290" s="698"/>
      <c r="D290" s="698"/>
      <c r="E290" s="2433" t="str">
        <f>Translations!$B$1453</f>
        <v>В съответствие с член 22б, параграф 3 от ПБР инсталацията или топлофикационното дружество, намиращи се в държава членка, която отговаря на критериите, посочени в член 10б, параграф 4, втора алинея от Директивата за СТЕ, може да подаде заявление за допълнителни 30 % безплатни квоти за подинсталацията на топлофикационна мрежа, ако са изпълнени условията, посочени в член 22б, параграф 3, букви а)—е).</v>
      </c>
      <c r="F290" s="2433"/>
      <c r="G290" s="2433"/>
      <c r="H290" s="2433"/>
      <c r="I290" s="2433"/>
      <c r="J290" s="2433"/>
      <c r="K290" s="2433"/>
      <c r="L290" s="2433"/>
      <c r="M290" s="2433"/>
      <c r="N290" s="2433"/>
      <c r="O290" s="336"/>
      <c r="P290" s="302"/>
      <c r="Q290" s="343"/>
      <c r="R290" s="343"/>
      <c r="S290" s="343"/>
      <c r="T290" s="343"/>
      <c r="U290" s="343"/>
      <c r="V290" s="343"/>
      <c r="W290" s="343"/>
      <c r="X290" s="343"/>
      <c r="Y290" s="343"/>
    </row>
    <row r="291" spans="1:25" ht="25.5" customHeight="1" x14ac:dyDescent="0.25">
      <c r="A291" s="729"/>
      <c r="B291" s="284"/>
      <c r="C291" s="284"/>
      <c r="D291" s="284"/>
      <c r="E291" s="2433" t="str">
        <f>Translations!$B$1454</f>
        <v>Поради това вписванията в настоящия доклад са от значение само в случай че инсталацията има подинсталация на топлофикационна мрежа, посочена в лист Б, раздел I.2. Ако е приложимо, вписванията, свързани с тази обвързаност с условия, ще трябва да бъдат направени в лист Б, раздел I.3.</v>
      </c>
      <c r="F291" s="2433"/>
      <c r="G291" s="2433"/>
      <c r="H291" s="2433"/>
      <c r="I291" s="2433"/>
      <c r="J291" s="2433"/>
      <c r="K291" s="2433"/>
      <c r="L291" s="2433"/>
      <c r="M291" s="2433"/>
      <c r="N291" s="2433"/>
      <c r="O291" s="336"/>
      <c r="P291" s="302"/>
      <c r="Q291" s="695"/>
      <c r="R291" s="343"/>
      <c r="S291" s="343"/>
      <c r="T291" s="343"/>
      <c r="U291" s="343"/>
      <c r="V291" s="343"/>
      <c r="W291" s="343"/>
      <c r="X291" s="343"/>
      <c r="Y291" s="343"/>
    </row>
    <row r="292" spans="1:25" ht="12.75" customHeight="1" x14ac:dyDescent="0.25">
      <c r="A292" s="729"/>
      <c r="B292" s="284"/>
      <c r="C292" s="284"/>
      <c r="D292" s="284"/>
      <c r="E292" s="769"/>
      <c r="F292" s="769"/>
      <c r="G292" s="769"/>
      <c r="H292" s="769"/>
      <c r="I292" s="769"/>
      <c r="J292" s="769"/>
      <c r="K292" s="769"/>
      <c r="L292" s="769"/>
      <c r="M292" s="769"/>
      <c r="N292" s="769"/>
      <c r="O292" s="336"/>
      <c r="P292" s="302"/>
      <c r="Q292" s="695"/>
      <c r="R292" s="343"/>
      <c r="S292" s="343"/>
      <c r="T292" s="343"/>
      <c r="U292" s="343"/>
      <c r="V292" s="343"/>
      <c r="W292" s="343"/>
      <c r="X292" s="343"/>
      <c r="Y292" s="343"/>
    </row>
    <row r="293" spans="1:25" ht="14" x14ac:dyDescent="0.3">
      <c r="A293" s="729"/>
      <c r="B293" s="698"/>
      <c r="C293" s="357">
        <v>5</v>
      </c>
      <c r="D293" s="2449" t="str">
        <f>Translations!$B$1455</f>
        <v>Обвързаност с условия 4: Инсталация, която е под средната стойност на 10-те % най-ефективни инсталации</v>
      </c>
      <c r="E293" s="2249"/>
      <c r="F293" s="2249"/>
      <c r="G293" s="2249"/>
      <c r="H293" s="2249"/>
      <c r="I293" s="2249"/>
      <c r="J293" s="2249"/>
      <c r="K293" s="2249"/>
      <c r="L293" s="2249"/>
      <c r="M293" s="2249"/>
      <c r="N293" s="2249"/>
      <c r="O293" s="336"/>
      <c r="Q293" s="343"/>
      <c r="R293" s="343"/>
      <c r="S293" s="343"/>
      <c r="T293" s="343"/>
      <c r="U293" s="343"/>
      <c r="V293" s="343"/>
      <c r="W293" s="343"/>
      <c r="X293" s="343"/>
      <c r="Y293" s="716"/>
    </row>
    <row r="294" spans="1:25" x14ac:dyDescent="0.25">
      <c r="A294" s="729"/>
      <c r="B294" s="698"/>
      <c r="C294" s="698"/>
      <c r="D294" s="698"/>
      <c r="E294" s="2433" t="str">
        <f>Translations!$B$1456</f>
        <v>Вписванията в този доклад ще бъдат от значение само след изброяване на всички съответни подинсталации в работен лист Б, раздел I.2. Информацията, свързана с тази обвързаност с условия, впоследствие ще е от значение в лист Б, раздел I.4.</v>
      </c>
      <c r="F294" s="2433"/>
      <c r="G294" s="2433"/>
      <c r="H294" s="2433"/>
      <c r="I294" s="2433"/>
      <c r="J294" s="2433"/>
      <c r="K294" s="2433"/>
      <c r="L294" s="2433"/>
      <c r="M294" s="2433"/>
      <c r="N294" s="2433"/>
      <c r="O294" s="336"/>
      <c r="Q294" s="343"/>
      <c r="R294" s="343"/>
      <c r="S294" s="343"/>
      <c r="T294" s="343"/>
      <c r="U294" s="343"/>
      <c r="V294" s="343"/>
      <c r="W294" s="343"/>
      <c r="X294" s="343"/>
      <c r="Y294" s="716"/>
    </row>
    <row r="295" spans="1:25" x14ac:dyDescent="0.25">
      <c r="A295" s="694"/>
      <c r="B295" s="698"/>
      <c r="C295" s="698"/>
      <c r="D295" s="698"/>
      <c r="E295" s="698"/>
      <c r="F295" s="698"/>
      <c r="G295" s="698"/>
      <c r="H295" s="698"/>
      <c r="I295" s="698"/>
      <c r="J295" s="698"/>
      <c r="K295" s="698"/>
      <c r="L295" s="698"/>
      <c r="M295" s="698"/>
      <c r="N295" s="698"/>
      <c r="O295" s="336"/>
      <c r="P295" s="302"/>
      <c r="Q295" s="343"/>
      <c r="R295" s="343"/>
      <c r="S295" s="343"/>
      <c r="T295" s="343"/>
      <c r="U295" s="343"/>
      <c r="V295" s="343"/>
      <c r="W295" s="343"/>
      <c r="X295" s="343"/>
      <c r="Y295" s="343"/>
    </row>
    <row r="296" spans="1:25" ht="15.5" x14ac:dyDescent="0.35">
      <c r="A296" s="694"/>
      <c r="B296" s="284"/>
      <c r="C296" s="327" t="s">
        <v>654</v>
      </c>
      <c r="D296" s="2245" t="str">
        <f>Translations!$B$159</f>
        <v>Списък на техническите връзки</v>
      </c>
      <c r="E296" s="2245"/>
      <c r="F296" s="2245"/>
      <c r="G296" s="2245"/>
      <c r="H296" s="2245"/>
      <c r="I296" s="2245"/>
      <c r="J296" s="2245"/>
      <c r="K296" s="2245"/>
      <c r="L296" s="2245"/>
      <c r="M296" s="2245"/>
      <c r="N296" s="2245"/>
      <c r="O296" s="336"/>
      <c r="P296" s="302"/>
      <c r="Q296" s="695"/>
      <c r="R296" s="343"/>
      <c r="S296" s="343"/>
      <c r="T296" s="343"/>
      <c r="U296" s="343"/>
      <c r="V296" s="343"/>
      <c r="W296" s="343"/>
      <c r="X296" s="343"/>
      <c r="Y296" s="343"/>
    </row>
    <row r="297" spans="1:25" ht="5.15" customHeight="1" x14ac:dyDescent="0.25">
      <c r="A297" s="694"/>
      <c r="B297" s="284"/>
      <c r="C297" s="284"/>
      <c r="D297" s="284"/>
      <c r="E297" s="284"/>
      <c r="F297" s="284"/>
      <c r="G297" s="284"/>
      <c r="H297" s="284"/>
      <c r="I297" s="284"/>
      <c r="J297" s="284"/>
      <c r="K297" s="284"/>
      <c r="L297" s="284"/>
      <c r="M297" s="336"/>
      <c r="N297" s="336"/>
      <c r="O297" s="336"/>
      <c r="P297" s="302"/>
      <c r="Q297" s="695"/>
      <c r="R297" s="343"/>
      <c r="S297" s="343"/>
      <c r="T297" s="343"/>
      <c r="U297" s="343"/>
      <c r="V297" s="343"/>
      <c r="W297" s="343"/>
      <c r="X297" s="343"/>
      <c r="Y297" s="343"/>
    </row>
    <row r="298" spans="1:25" ht="13" x14ac:dyDescent="0.25">
      <c r="A298" s="694"/>
      <c r="B298" s="698"/>
      <c r="C298" s="698"/>
      <c r="D298" s="724" t="s">
        <v>408</v>
      </c>
      <c r="E298" s="2226" t="str">
        <f>Translations!$B$160</f>
        <v>Моля, въведете тук информацията, необходима за определяне на техническите връзки на Вашата инсталация:</v>
      </c>
      <c r="F298" s="2249"/>
      <c r="G298" s="2249"/>
      <c r="H298" s="2249"/>
      <c r="I298" s="2249"/>
      <c r="J298" s="2249"/>
      <c r="K298" s="2249"/>
      <c r="L298" s="2249"/>
      <c r="M298" s="2249"/>
      <c r="N298" s="2249"/>
      <c r="O298" s="336"/>
      <c r="P298" s="302"/>
      <c r="Q298" s="343"/>
      <c r="R298" s="343"/>
      <c r="S298" s="343"/>
      <c r="T298" s="343"/>
      <c r="U298" s="343"/>
      <c r="V298" s="343"/>
      <c r="W298" s="343"/>
      <c r="X298" s="343"/>
      <c r="Y298" s="343"/>
    </row>
    <row r="299" spans="1:25" s="364" customFormat="1" x14ac:dyDescent="0.25">
      <c r="A299" s="729"/>
      <c r="B299" s="302"/>
      <c r="C299" s="302"/>
      <c r="D299" s="302"/>
      <c r="E299" s="2293" t="str">
        <f>Translations!$B$1256</f>
        <v>Имайте предвид, че в този раздел не следва да се въвеждат никакви данни. В зависимост от Вашия избор в раздел А.II този раздел или ще бъде попълнен автоматично, или няма да е от значение.</v>
      </c>
      <c r="F299" s="2240"/>
      <c r="G299" s="2240"/>
      <c r="H299" s="2240"/>
      <c r="I299" s="2240"/>
      <c r="J299" s="2240"/>
      <c r="K299" s="2240"/>
      <c r="L299" s="2240"/>
      <c r="M299" s="2240"/>
      <c r="N299" s="2240"/>
      <c r="O299" s="698"/>
      <c r="P299" s="302"/>
      <c r="Q299" s="729"/>
      <c r="R299" s="729"/>
      <c r="S299" s="729"/>
      <c r="T299" s="770"/>
      <c r="U299" s="343"/>
      <c r="V299" s="343"/>
      <c r="W299" s="343"/>
      <c r="X299" s="343"/>
      <c r="Y299" s="343"/>
    </row>
    <row r="300" spans="1:25" ht="5.15" customHeight="1" x14ac:dyDescent="0.25">
      <c r="A300" s="694"/>
      <c r="B300" s="284"/>
      <c r="C300" s="284"/>
      <c r="D300" s="287"/>
      <c r="E300" s="284"/>
      <c r="F300" s="284"/>
      <c r="G300" s="284"/>
      <c r="H300" s="284"/>
      <c r="I300" s="284"/>
      <c r="J300" s="284"/>
      <c r="K300" s="284"/>
      <c r="L300" s="284"/>
      <c r="M300" s="336"/>
      <c r="N300" s="336"/>
      <c r="O300" s="336"/>
      <c r="P300" s="302"/>
      <c r="Q300" s="695"/>
      <c r="R300" s="343"/>
      <c r="S300" s="343"/>
      <c r="T300" s="343"/>
      <c r="U300" s="343"/>
      <c r="V300" s="343"/>
      <c r="W300" s="343"/>
      <c r="X300" s="343"/>
      <c r="Y300" s="343"/>
    </row>
    <row r="301" spans="1:25" ht="12.75" customHeight="1" x14ac:dyDescent="0.3">
      <c r="A301" s="694"/>
      <c r="B301" s="284"/>
      <c r="C301" s="284"/>
      <c r="D301" s="287"/>
      <c r="E301" s="688" t="str">
        <f>Translations!$B$151</f>
        <v>№</v>
      </c>
      <c r="F301" s="2324" t="str">
        <f>Translations!$B$182</f>
        <v>Наименование на инсталацията или партньора</v>
      </c>
      <c r="G301" s="2325"/>
      <c r="H301" s="2326"/>
      <c r="I301" s="2324" t="str">
        <f>Translations!$B$183</f>
        <v>Вид партньор</v>
      </c>
      <c r="J301" s="2326"/>
      <c r="K301" s="2324" t="str">
        <f>Translations!$B$184</f>
        <v>Вид връзка</v>
      </c>
      <c r="L301" s="2326"/>
      <c r="M301" s="2324" t="str">
        <f>Translations!$B$185</f>
        <v>Посока на потока</v>
      </c>
      <c r="N301" s="2325"/>
      <c r="O301" s="336"/>
      <c r="P301" s="302"/>
      <c r="Q301" s="695"/>
      <c r="R301" s="343"/>
      <c r="S301" s="343"/>
      <c r="T301" s="343"/>
      <c r="U301" s="343"/>
      <c r="V301" s="343"/>
      <c r="W301" s="343"/>
      <c r="X301" s="343"/>
      <c r="Y301" s="343"/>
    </row>
    <row r="302" spans="1:25" ht="12.75" customHeight="1" x14ac:dyDescent="0.25">
      <c r="A302" s="694"/>
      <c r="B302" s="284"/>
      <c r="C302" s="284"/>
      <c r="D302" s="287"/>
      <c r="E302" s="689">
        <v>1</v>
      </c>
      <c r="F302" s="2527" t="str">
        <f>c_NIMsSummary!F1691</f>
        <v/>
      </c>
      <c r="G302" s="2528"/>
      <c r="H302" s="2529"/>
      <c r="I302" s="2527" t="str">
        <f>c_NIMsSummary!I1691</f>
        <v/>
      </c>
      <c r="J302" s="2532"/>
      <c r="K302" s="2527" t="str">
        <f>c_NIMsSummary!K1691</f>
        <v/>
      </c>
      <c r="L302" s="2529">
        <f>c_NIMsSummary!L1691</f>
        <v>0</v>
      </c>
      <c r="M302" s="2556" t="str">
        <f>c_NIMsSummary!M1691</f>
        <v/>
      </c>
      <c r="N302" s="2557"/>
      <c r="O302" s="336"/>
      <c r="P302" s="302"/>
      <c r="Q302" s="695"/>
      <c r="R302" s="343"/>
      <c r="S302" s="343"/>
      <c r="T302" s="343"/>
      <c r="U302" s="343"/>
      <c r="V302" s="343"/>
      <c r="W302" s="343"/>
      <c r="X302" s="343"/>
      <c r="Y302" s="716" t="b">
        <f t="shared" ref="Y302:Y311" si="16">OR(CNTR_Incumbent=FALSE,CTRL_InputMethodNIMsvalues=2)</f>
        <v>0</v>
      </c>
    </row>
    <row r="303" spans="1:25" ht="12.75" customHeight="1" x14ac:dyDescent="0.25">
      <c r="A303" s="694"/>
      <c r="B303" s="284"/>
      <c r="C303" s="284"/>
      <c r="D303" s="287"/>
      <c r="E303" s="690">
        <v>2</v>
      </c>
      <c r="F303" s="2439" t="str">
        <f>c_NIMsSummary!F1692</f>
        <v/>
      </c>
      <c r="G303" s="2443"/>
      <c r="H303" s="2440"/>
      <c r="I303" s="2439" t="str">
        <f>c_NIMsSummary!I1692</f>
        <v/>
      </c>
      <c r="J303" s="2444"/>
      <c r="K303" s="2439" t="str">
        <f>c_NIMsSummary!K1692</f>
        <v/>
      </c>
      <c r="L303" s="2440">
        <f>c_NIMsSummary!L1692</f>
        <v>0</v>
      </c>
      <c r="M303" s="2441" t="str">
        <f>c_NIMsSummary!M1692</f>
        <v/>
      </c>
      <c r="N303" s="2442"/>
      <c r="O303" s="336"/>
      <c r="P303" s="302"/>
      <c r="Q303" s="695"/>
      <c r="R303" s="343"/>
      <c r="S303" s="343"/>
      <c r="T303" s="343"/>
      <c r="U303" s="343"/>
      <c r="V303" s="343"/>
      <c r="W303" s="343"/>
      <c r="X303" s="343"/>
      <c r="Y303" s="716" t="b">
        <f t="shared" si="16"/>
        <v>0</v>
      </c>
    </row>
    <row r="304" spans="1:25" ht="12.75" customHeight="1" x14ac:dyDescent="0.25">
      <c r="A304" s="694"/>
      <c r="B304" s="284"/>
      <c r="C304" s="284"/>
      <c r="D304" s="287"/>
      <c r="E304" s="690">
        <v>3</v>
      </c>
      <c r="F304" s="2439" t="str">
        <f>c_NIMsSummary!F1693</f>
        <v/>
      </c>
      <c r="G304" s="2443"/>
      <c r="H304" s="2440"/>
      <c r="I304" s="2439" t="str">
        <f>c_NIMsSummary!I1693</f>
        <v/>
      </c>
      <c r="J304" s="2444"/>
      <c r="K304" s="2439" t="str">
        <f>c_NIMsSummary!K1693</f>
        <v/>
      </c>
      <c r="L304" s="2440">
        <f>c_NIMsSummary!L1693</f>
        <v>0</v>
      </c>
      <c r="M304" s="2441" t="str">
        <f>c_NIMsSummary!M1693</f>
        <v/>
      </c>
      <c r="N304" s="2442"/>
      <c r="O304" s="336"/>
      <c r="P304" s="302"/>
      <c r="Q304" s="695"/>
      <c r="R304" s="343"/>
      <c r="S304" s="343"/>
      <c r="T304" s="343"/>
      <c r="U304" s="343"/>
      <c r="V304" s="343"/>
      <c r="W304" s="343"/>
      <c r="X304" s="343"/>
      <c r="Y304" s="716" t="b">
        <f t="shared" si="16"/>
        <v>0</v>
      </c>
    </row>
    <row r="305" spans="1:25" ht="12.75" customHeight="1" x14ac:dyDescent="0.25">
      <c r="A305" s="694"/>
      <c r="B305" s="284"/>
      <c r="C305" s="284"/>
      <c r="D305" s="287"/>
      <c r="E305" s="690">
        <v>4</v>
      </c>
      <c r="F305" s="2439" t="str">
        <f>c_NIMsSummary!F1694</f>
        <v/>
      </c>
      <c r="G305" s="2443"/>
      <c r="H305" s="2440"/>
      <c r="I305" s="2439" t="str">
        <f>c_NIMsSummary!I1694</f>
        <v/>
      </c>
      <c r="J305" s="2444"/>
      <c r="K305" s="2439" t="str">
        <f>c_NIMsSummary!K1694</f>
        <v/>
      </c>
      <c r="L305" s="2440">
        <f>c_NIMsSummary!L1694</f>
        <v>0</v>
      </c>
      <c r="M305" s="2441" t="str">
        <f>c_NIMsSummary!M1694</f>
        <v/>
      </c>
      <c r="N305" s="2442"/>
      <c r="O305" s="336"/>
      <c r="P305" s="302"/>
      <c r="Q305" s="695"/>
      <c r="R305" s="343"/>
      <c r="S305" s="343"/>
      <c r="T305" s="343"/>
      <c r="U305" s="343"/>
      <c r="V305" s="343"/>
      <c r="W305" s="343"/>
      <c r="X305" s="343"/>
      <c r="Y305" s="716" t="b">
        <f t="shared" si="16"/>
        <v>0</v>
      </c>
    </row>
    <row r="306" spans="1:25" ht="12.75" customHeight="1" x14ac:dyDescent="0.25">
      <c r="A306" s="694"/>
      <c r="B306" s="284"/>
      <c r="C306" s="284"/>
      <c r="D306" s="287"/>
      <c r="E306" s="690">
        <v>5</v>
      </c>
      <c r="F306" s="2439" t="str">
        <f>c_NIMsSummary!F1695</f>
        <v/>
      </c>
      <c r="G306" s="2443"/>
      <c r="H306" s="2440"/>
      <c r="I306" s="2439" t="str">
        <f>c_NIMsSummary!I1695</f>
        <v/>
      </c>
      <c r="J306" s="2444"/>
      <c r="K306" s="2439" t="str">
        <f>c_NIMsSummary!K1695</f>
        <v/>
      </c>
      <c r="L306" s="2440">
        <f>c_NIMsSummary!L1695</f>
        <v>0</v>
      </c>
      <c r="M306" s="2441" t="str">
        <f>c_NIMsSummary!M1695</f>
        <v/>
      </c>
      <c r="N306" s="2442"/>
      <c r="O306" s="336"/>
      <c r="P306" s="302"/>
      <c r="Q306" s="695"/>
      <c r="R306" s="343"/>
      <c r="S306" s="343"/>
      <c r="T306" s="343"/>
      <c r="U306" s="343"/>
      <c r="V306" s="343"/>
      <c r="W306" s="343"/>
      <c r="X306" s="343"/>
      <c r="Y306" s="716" t="b">
        <f t="shared" si="16"/>
        <v>0</v>
      </c>
    </row>
    <row r="307" spans="1:25" ht="12.75" customHeight="1" x14ac:dyDescent="0.25">
      <c r="A307" s="694"/>
      <c r="B307" s="284"/>
      <c r="C307" s="284"/>
      <c r="D307" s="287"/>
      <c r="E307" s="690">
        <v>6</v>
      </c>
      <c r="F307" s="2439" t="str">
        <f>c_NIMsSummary!F1696</f>
        <v/>
      </c>
      <c r="G307" s="2443"/>
      <c r="H307" s="2440"/>
      <c r="I307" s="2439" t="str">
        <f>c_NIMsSummary!I1696</f>
        <v/>
      </c>
      <c r="J307" s="2444"/>
      <c r="K307" s="2439" t="str">
        <f>c_NIMsSummary!K1696</f>
        <v/>
      </c>
      <c r="L307" s="2440">
        <f>c_NIMsSummary!L1696</f>
        <v>0</v>
      </c>
      <c r="M307" s="2441" t="str">
        <f>c_NIMsSummary!M1696</f>
        <v/>
      </c>
      <c r="N307" s="2442"/>
      <c r="O307" s="336"/>
      <c r="P307" s="302"/>
      <c r="Q307" s="695"/>
      <c r="R307" s="343"/>
      <c r="S307" s="343"/>
      <c r="T307" s="343"/>
      <c r="U307" s="343"/>
      <c r="V307" s="343"/>
      <c r="W307" s="343"/>
      <c r="X307" s="343"/>
      <c r="Y307" s="716" t="b">
        <f t="shared" si="16"/>
        <v>0</v>
      </c>
    </row>
    <row r="308" spans="1:25" ht="12.75" customHeight="1" x14ac:dyDescent="0.25">
      <c r="A308" s="694"/>
      <c r="B308" s="284"/>
      <c r="C308" s="284"/>
      <c r="D308" s="287"/>
      <c r="E308" s="690">
        <v>7</v>
      </c>
      <c r="F308" s="2439" t="str">
        <f>c_NIMsSummary!F1697</f>
        <v/>
      </c>
      <c r="G308" s="2443"/>
      <c r="H308" s="2440"/>
      <c r="I308" s="2439" t="str">
        <f>c_NIMsSummary!I1697</f>
        <v/>
      </c>
      <c r="J308" s="2444"/>
      <c r="K308" s="2439" t="str">
        <f>c_NIMsSummary!K1697</f>
        <v/>
      </c>
      <c r="L308" s="2440">
        <f>c_NIMsSummary!L1697</f>
        <v>0</v>
      </c>
      <c r="M308" s="2441" t="str">
        <f>c_NIMsSummary!M1697</f>
        <v/>
      </c>
      <c r="N308" s="2442"/>
      <c r="O308" s="336"/>
      <c r="P308" s="302"/>
      <c r="Q308" s="695"/>
      <c r="R308" s="343"/>
      <c r="S308" s="343"/>
      <c r="T308" s="343"/>
      <c r="U308" s="343"/>
      <c r="V308" s="343"/>
      <c r="W308" s="343"/>
      <c r="X308" s="343"/>
      <c r="Y308" s="716" t="b">
        <f t="shared" si="16"/>
        <v>0</v>
      </c>
    </row>
    <row r="309" spans="1:25" ht="12.75" customHeight="1" x14ac:dyDescent="0.25">
      <c r="A309" s="694"/>
      <c r="B309" s="284"/>
      <c r="C309" s="284"/>
      <c r="D309" s="287"/>
      <c r="E309" s="690">
        <v>8</v>
      </c>
      <c r="F309" s="2439" t="str">
        <f>c_NIMsSummary!F1698</f>
        <v/>
      </c>
      <c r="G309" s="2443"/>
      <c r="H309" s="2440"/>
      <c r="I309" s="2439" t="str">
        <f>c_NIMsSummary!I1698</f>
        <v/>
      </c>
      <c r="J309" s="2444"/>
      <c r="K309" s="2439" t="str">
        <f>c_NIMsSummary!K1698</f>
        <v/>
      </c>
      <c r="L309" s="2440">
        <f>c_NIMsSummary!L1698</f>
        <v>0</v>
      </c>
      <c r="M309" s="2441" t="str">
        <f>c_NIMsSummary!M1698</f>
        <v/>
      </c>
      <c r="N309" s="2442"/>
      <c r="O309" s="336"/>
      <c r="P309" s="302"/>
      <c r="Q309" s="695"/>
      <c r="R309" s="343"/>
      <c r="S309" s="343"/>
      <c r="T309" s="343"/>
      <c r="U309" s="343"/>
      <c r="V309" s="343"/>
      <c r="W309" s="343"/>
      <c r="X309" s="343"/>
      <c r="Y309" s="716" t="b">
        <f t="shared" si="16"/>
        <v>0</v>
      </c>
    </row>
    <row r="310" spans="1:25" ht="12.75" customHeight="1" x14ac:dyDescent="0.25">
      <c r="A310" s="694"/>
      <c r="B310" s="284"/>
      <c r="C310" s="284"/>
      <c r="D310" s="287"/>
      <c r="E310" s="690">
        <v>9</v>
      </c>
      <c r="F310" s="2439" t="str">
        <f>c_NIMsSummary!F1699</f>
        <v/>
      </c>
      <c r="G310" s="2443"/>
      <c r="H310" s="2440"/>
      <c r="I310" s="2439" t="str">
        <f>c_NIMsSummary!I1699</f>
        <v/>
      </c>
      <c r="J310" s="2444"/>
      <c r="K310" s="2439" t="str">
        <f>c_NIMsSummary!K1699</f>
        <v/>
      </c>
      <c r="L310" s="2440">
        <f>c_NIMsSummary!L1699</f>
        <v>0</v>
      </c>
      <c r="M310" s="2441" t="str">
        <f>c_NIMsSummary!M1699</f>
        <v/>
      </c>
      <c r="N310" s="2442"/>
      <c r="O310" s="336"/>
      <c r="P310" s="302"/>
      <c r="Q310" s="695"/>
      <c r="R310" s="343"/>
      <c r="S310" s="343"/>
      <c r="T310" s="343"/>
      <c r="U310" s="343"/>
      <c r="V310" s="343"/>
      <c r="W310" s="343"/>
      <c r="X310" s="343"/>
      <c r="Y310" s="716" t="b">
        <f t="shared" si="16"/>
        <v>0</v>
      </c>
    </row>
    <row r="311" spans="1:25" ht="12.75" customHeight="1" x14ac:dyDescent="0.25">
      <c r="A311" s="694"/>
      <c r="B311" s="284"/>
      <c r="C311" s="284"/>
      <c r="D311" s="287"/>
      <c r="E311" s="691">
        <v>10</v>
      </c>
      <c r="F311" s="2558" t="str">
        <f>c_NIMsSummary!F1700</f>
        <v/>
      </c>
      <c r="G311" s="2559"/>
      <c r="H311" s="2560"/>
      <c r="I311" s="2558" t="str">
        <f>c_NIMsSummary!I1700</f>
        <v/>
      </c>
      <c r="J311" s="2561"/>
      <c r="K311" s="2558" t="str">
        <f>c_NIMsSummary!K1700</f>
        <v/>
      </c>
      <c r="L311" s="2560">
        <f>c_NIMsSummary!L1700</f>
        <v>0</v>
      </c>
      <c r="M311" s="2562" t="str">
        <f>c_NIMsSummary!M1700</f>
        <v/>
      </c>
      <c r="N311" s="2563"/>
      <c r="O311" s="336"/>
      <c r="P311" s="302"/>
      <c r="Q311" s="695"/>
      <c r="R311" s="343"/>
      <c r="S311" s="343"/>
      <c r="T311" s="343"/>
      <c r="U311" s="343"/>
      <c r="V311" s="343"/>
      <c r="W311" s="343"/>
      <c r="X311" s="343"/>
      <c r="Y311" s="716" t="b">
        <f t="shared" si="16"/>
        <v>0</v>
      </c>
    </row>
    <row r="312" spans="1:25" ht="5.15" customHeight="1" x14ac:dyDescent="0.25">
      <c r="A312" s="694"/>
      <c r="B312" s="284"/>
      <c r="C312" s="284"/>
      <c r="D312" s="287"/>
      <c r="E312" s="407"/>
      <c r="F312" s="407"/>
      <c r="G312" s="407"/>
      <c r="H312" s="407"/>
      <c r="I312" s="407"/>
      <c r="J312" s="407"/>
      <c r="K312" s="407"/>
      <c r="L312" s="407"/>
      <c r="M312" s="407"/>
      <c r="N312" s="407"/>
      <c r="O312" s="336"/>
      <c r="P312" s="302"/>
      <c r="Q312" s="695"/>
      <c r="R312" s="343"/>
      <c r="S312" s="343"/>
      <c r="T312" s="343"/>
      <c r="U312" s="343"/>
      <c r="V312" s="343"/>
      <c r="W312" s="343"/>
      <c r="X312" s="343"/>
      <c r="Y312" s="343"/>
    </row>
    <row r="313" spans="1:25" ht="25.5" customHeight="1" x14ac:dyDescent="0.3">
      <c r="A313" s="694"/>
      <c r="B313" s="284"/>
      <c r="C313" s="284"/>
      <c r="D313" s="287"/>
      <c r="E313" s="692" t="str">
        <f>Translations!$B$151</f>
        <v>№</v>
      </c>
      <c r="F313" s="2324" t="str">
        <f>Translations!$B$189</f>
        <v>Идентификатор на инсталацията, използван в регистъра</v>
      </c>
      <c r="G313" s="2326"/>
      <c r="H313" s="2324" t="str">
        <f>Translations!$B$190</f>
        <v>Име на лицето за контакти</v>
      </c>
      <c r="I313" s="2326"/>
      <c r="J313" s="2345" t="str">
        <f>Translations!$B$191</f>
        <v>Електронна поща</v>
      </c>
      <c r="K313" s="2325"/>
      <c r="L313" s="2326"/>
      <c r="M313" s="2324" t="str">
        <f>Translations!$B$192</f>
        <v>телефонен номер</v>
      </c>
      <c r="N313" s="2346"/>
      <c r="O313" s="336"/>
      <c r="P313" s="302"/>
      <c r="Q313" s="695"/>
      <c r="R313" s="343"/>
      <c r="S313" s="343"/>
      <c r="T313" s="343"/>
      <c r="U313" s="343"/>
      <c r="V313" s="343"/>
      <c r="W313" s="343"/>
      <c r="X313" s="343"/>
      <c r="Y313" s="343"/>
    </row>
    <row r="314" spans="1:25" ht="12.75" customHeight="1" x14ac:dyDescent="0.25">
      <c r="A314" s="694"/>
      <c r="B314" s="284"/>
      <c r="C314" s="284"/>
      <c r="D314" s="287"/>
      <c r="E314" s="693">
        <v>1</v>
      </c>
      <c r="F314" s="2572" t="str">
        <f>c_NIMsSummary!F1704</f>
        <v/>
      </c>
      <c r="G314" s="2573"/>
      <c r="H314" s="2527" t="str">
        <f>c_NIMsSummary!H1704</f>
        <v/>
      </c>
      <c r="I314" s="2529"/>
      <c r="J314" s="2527" t="str">
        <f>c_NIMsSummary!J1704</f>
        <v/>
      </c>
      <c r="K314" s="2528"/>
      <c r="L314" s="2529"/>
      <c r="M314" s="2527" t="str">
        <f>c_NIMsSummary!M1704</f>
        <v/>
      </c>
      <c r="N314" s="2528"/>
      <c r="O314" s="336"/>
      <c r="P314" s="302"/>
      <c r="Q314" s="695"/>
      <c r="R314" s="343"/>
      <c r="S314" s="343"/>
      <c r="T314" s="343"/>
      <c r="U314" s="343"/>
      <c r="V314" s="343"/>
      <c r="W314" s="343"/>
      <c r="X314" s="343"/>
      <c r="Y314" s="716" t="b">
        <f t="shared" ref="Y314:Y323" si="17">OR(CNTR_Incumbent=FALSE,CTRL_InputMethodNIMsvalues=2)</f>
        <v>0</v>
      </c>
    </row>
    <row r="315" spans="1:25" ht="12.75" customHeight="1" x14ac:dyDescent="0.25">
      <c r="A315" s="694"/>
      <c r="B315" s="284"/>
      <c r="C315" s="284"/>
      <c r="D315" s="287"/>
      <c r="E315" s="690">
        <v>2</v>
      </c>
      <c r="F315" s="2568" t="str">
        <f>c_NIMsSummary!F1705</f>
        <v/>
      </c>
      <c r="G315" s="2569"/>
      <c r="H315" s="2439" t="str">
        <f>c_NIMsSummary!H1705</f>
        <v/>
      </c>
      <c r="I315" s="2440"/>
      <c r="J315" s="2439" t="str">
        <f>c_NIMsSummary!J1705</f>
        <v/>
      </c>
      <c r="K315" s="2443"/>
      <c r="L315" s="2440"/>
      <c r="M315" s="2570" t="str">
        <f>c_NIMsSummary!M1705</f>
        <v/>
      </c>
      <c r="N315" s="2571"/>
      <c r="O315" s="336"/>
      <c r="P315" s="302"/>
      <c r="Q315" s="695"/>
      <c r="R315" s="343"/>
      <c r="S315" s="343"/>
      <c r="T315" s="343"/>
      <c r="U315" s="343"/>
      <c r="V315" s="343"/>
      <c r="W315" s="343"/>
      <c r="X315" s="343"/>
      <c r="Y315" s="716" t="b">
        <f t="shared" si="17"/>
        <v>0</v>
      </c>
    </row>
    <row r="316" spans="1:25" ht="12.75" customHeight="1" x14ac:dyDescent="0.25">
      <c r="A316" s="694"/>
      <c r="B316" s="284"/>
      <c r="C316" s="284"/>
      <c r="D316" s="287"/>
      <c r="E316" s="690">
        <v>3</v>
      </c>
      <c r="F316" s="2568" t="str">
        <f>c_NIMsSummary!F1706</f>
        <v/>
      </c>
      <c r="G316" s="2569"/>
      <c r="H316" s="2439" t="str">
        <f>c_NIMsSummary!H1706</f>
        <v/>
      </c>
      <c r="I316" s="2440"/>
      <c r="J316" s="2439" t="str">
        <f>c_NIMsSummary!J1706</f>
        <v/>
      </c>
      <c r="K316" s="2443"/>
      <c r="L316" s="2440"/>
      <c r="M316" s="2570" t="str">
        <f>c_NIMsSummary!M1706</f>
        <v/>
      </c>
      <c r="N316" s="2571"/>
      <c r="O316" s="336"/>
      <c r="P316" s="302"/>
      <c r="Q316" s="695"/>
      <c r="R316" s="343"/>
      <c r="S316" s="343"/>
      <c r="T316" s="343"/>
      <c r="U316" s="343"/>
      <c r="V316" s="343"/>
      <c r="W316" s="343"/>
      <c r="X316" s="343"/>
      <c r="Y316" s="716" t="b">
        <f t="shared" si="17"/>
        <v>0</v>
      </c>
    </row>
    <row r="317" spans="1:25" ht="12.75" customHeight="1" x14ac:dyDescent="0.25">
      <c r="A317" s="694"/>
      <c r="B317" s="284"/>
      <c r="C317" s="284"/>
      <c r="D317" s="287"/>
      <c r="E317" s="690">
        <v>4</v>
      </c>
      <c r="F317" s="2568" t="str">
        <f>c_NIMsSummary!F1707</f>
        <v/>
      </c>
      <c r="G317" s="2569"/>
      <c r="H317" s="2439" t="str">
        <f>c_NIMsSummary!H1707</f>
        <v/>
      </c>
      <c r="I317" s="2440"/>
      <c r="J317" s="2439" t="str">
        <f>c_NIMsSummary!J1707</f>
        <v/>
      </c>
      <c r="K317" s="2443"/>
      <c r="L317" s="2440"/>
      <c r="M317" s="2570" t="str">
        <f>c_NIMsSummary!M1707</f>
        <v/>
      </c>
      <c r="N317" s="2571"/>
      <c r="O317" s="336"/>
      <c r="P317" s="302"/>
      <c r="Q317" s="695"/>
      <c r="R317" s="343"/>
      <c r="S317" s="343"/>
      <c r="T317" s="343"/>
      <c r="U317" s="343"/>
      <c r="V317" s="343"/>
      <c r="W317" s="343"/>
      <c r="X317" s="343"/>
      <c r="Y317" s="716" t="b">
        <f t="shared" si="17"/>
        <v>0</v>
      </c>
    </row>
    <row r="318" spans="1:25" ht="12.75" customHeight="1" x14ac:dyDescent="0.25">
      <c r="A318" s="694"/>
      <c r="B318" s="284"/>
      <c r="C318" s="284"/>
      <c r="D318" s="287"/>
      <c r="E318" s="690">
        <v>5</v>
      </c>
      <c r="F318" s="2568" t="str">
        <f>c_NIMsSummary!F1708</f>
        <v/>
      </c>
      <c r="G318" s="2569"/>
      <c r="H318" s="2439" t="str">
        <f>c_NIMsSummary!H1708</f>
        <v/>
      </c>
      <c r="I318" s="2440"/>
      <c r="J318" s="2439" t="str">
        <f>c_NIMsSummary!J1708</f>
        <v/>
      </c>
      <c r="K318" s="2443"/>
      <c r="L318" s="2440"/>
      <c r="M318" s="2570" t="str">
        <f>c_NIMsSummary!M1708</f>
        <v/>
      </c>
      <c r="N318" s="2571"/>
      <c r="O318" s="336"/>
      <c r="P318" s="302"/>
      <c r="Q318" s="695"/>
      <c r="R318" s="343"/>
      <c r="S318" s="343"/>
      <c r="T318" s="343"/>
      <c r="U318" s="343"/>
      <c r="V318" s="343"/>
      <c r="W318" s="343"/>
      <c r="X318" s="343"/>
      <c r="Y318" s="716" t="b">
        <f t="shared" si="17"/>
        <v>0</v>
      </c>
    </row>
    <row r="319" spans="1:25" ht="12.75" customHeight="1" x14ac:dyDescent="0.25">
      <c r="A319" s="694"/>
      <c r="B319" s="284"/>
      <c r="C319" s="284"/>
      <c r="D319" s="287"/>
      <c r="E319" s="690">
        <v>6</v>
      </c>
      <c r="F319" s="2568" t="str">
        <f>c_NIMsSummary!F1709</f>
        <v/>
      </c>
      <c r="G319" s="2569"/>
      <c r="H319" s="2439" t="str">
        <f>c_NIMsSummary!H1709</f>
        <v/>
      </c>
      <c r="I319" s="2440"/>
      <c r="J319" s="2439" t="str">
        <f>c_NIMsSummary!J1709</f>
        <v/>
      </c>
      <c r="K319" s="2443"/>
      <c r="L319" s="2440"/>
      <c r="M319" s="2570" t="str">
        <f>c_NIMsSummary!M1709</f>
        <v/>
      </c>
      <c r="N319" s="2571"/>
      <c r="O319" s="336"/>
      <c r="P319" s="302"/>
      <c r="Q319" s="695"/>
      <c r="R319" s="343"/>
      <c r="S319" s="343"/>
      <c r="T319" s="343"/>
      <c r="U319" s="343"/>
      <c r="V319" s="343"/>
      <c r="W319" s="343"/>
      <c r="X319" s="343"/>
      <c r="Y319" s="716" t="b">
        <f t="shared" si="17"/>
        <v>0</v>
      </c>
    </row>
    <row r="320" spans="1:25" ht="12.75" customHeight="1" x14ac:dyDescent="0.25">
      <c r="A320" s="694"/>
      <c r="B320" s="284"/>
      <c r="C320" s="284"/>
      <c r="D320" s="287"/>
      <c r="E320" s="690">
        <v>7</v>
      </c>
      <c r="F320" s="2568" t="str">
        <f>c_NIMsSummary!F1710</f>
        <v/>
      </c>
      <c r="G320" s="2569"/>
      <c r="H320" s="2439" t="str">
        <f>c_NIMsSummary!H1710</f>
        <v/>
      </c>
      <c r="I320" s="2440"/>
      <c r="J320" s="2439" t="str">
        <f>c_NIMsSummary!J1710</f>
        <v/>
      </c>
      <c r="K320" s="2443"/>
      <c r="L320" s="2440"/>
      <c r="M320" s="2570" t="str">
        <f>c_NIMsSummary!M1710</f>
        <v/>
      </c>
      <c r="N320" s="2571"/>
      <c r="O320" s="336"/>
      <c r="P320" s="302"/>
      <c r="Q320" s="695"/>
      <c r="R320" s="343"/>
      <c r="S320" s="343"/>
      <c r="T320" s="343"/>
      <c r="U320" s="343"/>
      <c r="V320" s="343"/>
      <c r="W320" s="343"/>
      <c r="X320" s="343"/>
      <c r="Y320" s="716" t="b">
        <f t="shared" si="17"/>
        <v>0</v>
      </c>
    </row>
    <row r="321" spans="1:25" ht="12.75" customHeight="1" x14ac:dyDescent="0.25">
      <c r="A321" s="694"/>
      <c r="B321" s="284"/>
      <c r="C321" s="284"/>
      <c r="D321" s="287"/>
      <c r="E321" s="690">
        <v>8</v>
      </c>
      <c r="F321" s="2568" t="str">
        <f>c_NIMsSummary!F1711</f>
        <v/>
      </c>
      <c r="G321" s="2569"/>
      <c r="H321" s="2439" t="str">
        <f>c_NIMsSummary!H1711</f>
        <v/>
      </c>
      <c r="I321" s="2440"/>
      <c r="J321" s="2439" t="str">
        <f>c_NIMsSummary!J1711</f>
        <v/>
      </c>
      <c r="K321" s="2443"/>
      <c r="L321" s="2440"/>
      <c r="M321" s="2570" t="str">
        <f>c_NIMsSummary!M1711</f>
        <v/>
      </c>
      <c r="N321" s="2571"/>
      <c r="O321" s="336"/>
      <c r="P321" s="302"/>
      <c r="Q321" s="695"/>
      <c r="R321" s="343"/>
      <c r="S321" s="343"/>
      <c r="T321" s="343"/>
      <c r="U321" s="343"/>
      <c r="V321" s="343"/>
      <c r="W321" s="343"/>
      <c r="X321" s="343"/>
      <c r="Y321" s="716" t="b">
        <f t="shared" si="17"/>
        <v>0</v>
      </c>
    </row>
    <row r="322" spans="1:25" ht="12.75" customHeight="1" x14ac:dyDescent="0.25">
      <c r="A322" s="694"/>
      <c r="B322" s="284"/>
      <c r="C322" s="284"/>
      <c r="D322" s="287"/>
      <c r="E322" s="690">
        <v>9</v>
      </c>
      <c r="F322" s="2568" t="str">
        <f>c_NIMsSummary!F1712</f>
        <v/>
      </c>
      <c r="G322" s="2569"/>
      <c r="H322" s="2439" t="str">
        <f>c_NIMsSummary!H1712</f>
        <v/>
      </c>
      <c r="I322" s="2440"/>
      <c r="J322" s="2439" t="str">
        <f>c_NIMsSummary!J1712</f>
        <v/>
      </c>
      <c r="K322" s="2443"/>
      <c r="L322" s="2440"/>
      <c r="M322" s="2570" t="str">
        <f>c_NIMsSummary!M1712</f>
        <v/>
      </c>
      <c r="N322" s="2571"/>
      <c r="O322" s="336"/>
      <c r="P322" s="302"/>
      <c r="Q322" s="695"/>
      <c r="R322" s="343"/>
      <c r="S322" s="343"/>
      <c r="T322" s="343"/>
      <c r="U322" s="343"/>
      <c r="V322" s="343"/>
      <c r="W322" s="343"/>
      <c r="X322" s="343"/>
      <c r="Y322" s="716" t="b">
        <f t="shared" si="17"/>
        <v>0</v>
      </c>
    </row>
    <row r="323" spans="1:25" ht="12.75" customHeight="1" x14ac:dyDescent="0.25">
      <c r="A323" s="694"/>
      <c r="B323" s="284"/>
      <c r="C323" s="284"/>
      <c r="D323" s="287"/>
      <c r="E323" s="691">
        <v>10</v>
      </c>
      <c r="F323" s="2574" t="str">
        <f>c_NIMsSummary!F1713</f>
        <v/>
      </c>
      <c r="G323" s="2575"/>
      <c r="H323" s="2558" t="str">
        <f>c_NIMsSummary!H1713</f>
        <v/>
      </c>
      <c r="I323" s="2560"/>
      <c r="J323" s="2558" t="str">
        <f>c_NIMsSummary!J1713</f>
        <v/>
      </c>
      <c r="K323" s="2559"/>
      <c r="L323" s="2560"/>
      <c r="M323" s="2576" t="str">
        <f>c_NIMsSummary!M1713</f>
        <v/>
      </c>
      <c r="N323" s="2577"/>
      <c r="O323" s="336"/>
      <c r="P323" s="302"/>
      <c r="Q323" s="695"/>
      <c r="R323" s="343"/>
      <c r="S323" s="343"/>
      <c r="T323" s="343"/>
      <c r="U323" s="343"/>
      <c r="V323" s="343"/>
      <c r="W323" s="343"/>
      <c r="X323" s="343"/>
      <c r="Y323" s="716" t="b">
        <f t="shared" si="17"/>
        <v>0</v>
      </c>
    </row>
    <row r="324" spans="1:25" ht="5.15" customHeight="1" x14ac:dyDescent="0.25">
      <c r="A324" s="694"/>
      <c r="B324" s="284"/>
      <c r="C324" s="284"/>
      <c r="D324" s="287"/>
      <c r="E324" s="284"/>
      <c r="F324" s="284"/>
      <c r="G324" s="284"/>
      <c r="H324" s="284"/>
      <c r="I324" s="284"/>
      <c r="J324" s="284"/>
      <c r="K324" s="284"/>
      <c r="L324" s="284"/>
      <c r="M324" s="336"/>
      <c r="N324" s="336"/>
      <c r="O324" s="336"/>
      <c r="P324" s="302"/>
      <c r="Q324" s="729"/>
      <c r="R324" s="729"/>
      <c r="S324" s="729"/>
      <c r="T324" s="729"/>
      <c r="U324" s="343"/>
      <c r="V324" s="343"/>
      <c r="W324" s="343"/>
      <c r="X324" s="343"/>
      <c r="Y324" s="343"/>
    </row>
    <row r="325" spans="1:25" ht="13" x14ac:dyDescent="0.25">
      <c r="A325" s="694"/>
      <c r="B325" s="698"/>
      <c r="C325" s="698"/>
      <c r="D325" s="300" t="s">
        <v>901</v>
      </c>
      <c r="E325" s="2226" t="str">
        <f>Translations!$B$160</f>
        <v>Моля, въведете тук информацията, необходима за определяне на техническите връзки на Вашата инсталация:</v>
      </c>
      <c r="F325" s="2249"/>
      <c r="G325" s="2249"/>
      <c r="H325" s="2249"/>
      <c r="I325" s="2249"/>
      <c r="J325" s="2249"/>
      <c r="K325" s="2249"/>
      <c r="L325" s="2249"/>
      <c r="M325" s="2249"/>
      <c r="N325" s="2249"/>
      <c r="O325" s="336"/>
      <c r="P325" s="302"/>
      <c r="Q325" s="343"/>
      <c r="R325" s="343"/>
      <c r="S325" s="343"/>
      <c r="T325" s="343"/>
      <c r="U325" s="343"/>
      <c r="V325" s="343"/>
      <c r="W325" s="343"/>
      <c r="X325" s="343"/>
      <c r="Y325" s="343"/>
    </row>
    <row r="326" spans="1:25" ht="25.5" customHeight="1" x14ac:dyDescent="0.25">
      <c r="A326" s="694"/>
      <c r="B326" s="698"/>
      <c r="C326" s="698"/>
      <c r="D326" s="301"/>
      <c r="E326" s="2300" t="str">
        <f>Translations!$B$1257</f>
        <v>Ако сте избрали „Ръчно въвеждане“ в раздел А.II., въвеждането на данни тук е задължително. В противен случай този раздел е незадължителен и въвеждането на данни е необходимо само ако информацията в а) по-горе вече не е вярна.</v>
      </c>
      <c r="F326" s="2578"/>
      <c r="G326" s="2578"/>
      <c r="H326" s="2578"/>
      <c r="I326" s="2578"/>
      <c r="J326" s="2578"/>
      <c r="K326" s="2578"/>
      <c r="L326" s="2578"/>
      <c r="M326" s="2578"/>
      <c r="N326" s="2578"/>
      <c r="O326" s="336"/>
      <c r="P326" s="302"/>
      <c r="Q326" s="343"/>
      <c r="R326" s="343"/>
      <c r="S326" s="343"/>
      <c r="T326" s="343"/>
      <c r="U326" s="343"/>
      <c r="V326" s="343"/>
      <c r="W326" s="343"/>
      <c r="X326" s="343"/>
      <c r="Y326" s="343"/>
    </row>
    <row r="327" spans="1:25" x14ac:dyDescent="0.25">
      <c r="A327" s="694"/>
      <c r="B327" s="698"/>
      <c r="C327" s="698"/>
      <c r="D327" s="301"/>
      <c r="E327" s="2293" t="str">
        <f>Translations!$B$161</f>
        <v>Тази информация е необходима на компетентния орган за осигуряване на съответствието на подадените данни, както и за недопускане на двойно отчитане на данни във връзка с предоставянето на емисии.</v>
      </c>
      <c r="F327" s="2240"/>
      <c r="G327" s="2240"/>
      <c r="H327" s="2240"/>
      <c r="I327" s="2240"/>
      <c r="J327" s="2240"/>
      <c r="K327" s="2240"/>
      <c r="L327" s="2240"/>
      <c r="M327" s="2240"/>
      <c r="N327" s="2240"/>
      <c r="O327" s="336"/>
      <c r="P327" s="302"/>
      <c r="Q327" s="343"/>
      <c r="R327" s="343"/>
      <c r="S327" s="343"/>
      <c r="T327" s="343"/>
      <c r="U327" s="343"/>
      <c r="V327" s="343"/>
      <c r="W327" s="343"/>
      <c r="X327" s="343"/>
      <c r="Y327" s="343"/>
    </row>
    <row r="328" spans="1:25" x14ac:dyDescent="0.25">
      <c r="A328" s="694"/>
      <c r="B328" s="698"/>
      <c r="C328" s="698"/>
      <c r="D328" s="301"/>
      <c r="E328" s="2293" t="str">
        <f>Translations!$B$162</f>
        <v>Необходими са само случаите на прехвърляне на измерима топлинна енергия, отпадни газове или „прехвърлен CO2“, както е определено в Регламента относно мониторинга и докладването.</v>
      </c>
      <c r="F328" s="2240"/>
      <c r="G328" s="2240"/>
      <c r="H328" s="2240"/>
      <c r="I328" s="2240"/>
      <c r="J328" s="2240"/>
      <c r="K328" s="2240"/>
      <c r="L328" s="2240"/>
      <c r="M328" s="2240"/>
      <c r="N328" s="2240"/>
      <c r="O328" s="336"/>
      <c r="P328" s="302"/>
      <c r="Q328" s="343"/>
      <c r="R328" s="343"/>
      <c r="S328" s="343"/>
      <c r="T328" s="343"/>
      <c r="U328" s="343"/>
      <c r="V328" s="343"/>
      <c r="W328" s="343"/>
      <c r="X328" s="343"/>
      <c r="Y328" s="343"/>
    </row>
    <row r="329" spans="1:25" x14ac:dyDescent="0.25">
      <c r="A329" s="694"/>
      <c r="B329" s="698"/>
      <c r="C329" s="698"/>
      <c r="D329" s="301"/>
      <c r="E329" s="2293" t="str">
        <f>Translations!$B$163</f>
        <v>„Входящ поток“ („Import“) означава, че нещо влиза в границите на разглежданата инсталация, „изходящ поток“ („export“) означава, че нещо излиза от тях.</v>
      </c>
      <c r="F329" s="2240"/>
      <c r="G329" s="2240"/>
      <c r="H329" s="2240"/>
      <c r="I329" s="2240"/>
      <c r="J329" s="2240"/>
      <c r="K329" s="2240"/>
      <c r="L329" s="2240"/>
      <c r="M329" s="2240"/>
      <c r="N329" s="2240"/>
      <c r="O329" s="336"/>
      <c r="P329" s="302"/>
      <c r="Q329" s="343"/>
      <c r="R329" s="343"/>
      <c r="S329" s="343"/>
      <c r="T329" s="343"/>
      <c r="U329" s="343"/>
      <c r="V329" s="343"/>
      <c r="W329" s="343"/>
      <c r="X329" s="343"/>
      <c r="Y329" s="343"/>
    </row>
    <row r="330" spans="1:25" x14ac:dyDescent="0.25">
      <c r="A330" s="694"/>
      <c r="B330" s="698"/>
      <c r="C330" s="698"/>
      <c r="D330" s="301"/>
      <c r="E330" s="2293" t="str">
        <f>Translations!$B$164</f>
        <v>Материалните и/или енергийни потоци между подинсталациите не са от значение, с изключение на оползотворяването на топлина от производството на азотна киселина.</v>
      </c>
      <c r="F330" s="2240"/>
      <c r="G330" s="2240"/>
      <c r="H330" s="2240"/>
      <c r="I330" s="2240"/>
      <c r="J330" s="2240"/>
      <c r="K330" s="2240"/>
      <c r="L330" s="2240"/>
      <c r="M330" s="2240"/>
      <c r="N330" s="2240"/>
      <c r="O330" s="336"/>
      <c r="P330" s="302"/>
      <c r="Q330" s="343"/>
      <c r="R330" s="343"/>
      <c r="S330" s="343"/>
      <c r="T330" s="343"/>
      <c r="U330" s="343"/>
      <c r="V330" s="343"/>
      <c r="W330" s="343"/>
      <c r="X330" s="343"/>
      <c r="Y330" s="343"/>
    </row>
    <row r="331" spans="1:25" x14ac:dyDescent="0.25">
      <c r="A331" s="694"/>
      <c r="B331" s="698"/>
      <c r="C331" s="698"/>
      <c r="D331" s="301"/>
      <c r="E331" s="2293" t="str">
        <f>Translations!$B$165</f>
        <v>В графа „Вид обект“ могат да се изберат следните опции:</v>
      </c>
      <c r="F331" s="2240"/>
      <c r="G331" s="2240"/>
      <c r="H331" s="2240"/>
      <c r="I331" s="2240"/>
      <c r="J331" s="2240"/>
      <c r="K331" s="2240"/>
      <c r="L331" s="2240"/>
      <c r="M331" s="2240"/>
      <c r="N331" s="2240"/>
      <c r="O331" s="336"/>
      <c r="P331" s="302"/>
      <c r="Q331" s="343"/>
      <c r="R331" s="343"/>
      <c r="S331" s="343"/>
      <c r="T331" s="343"/>
      <c r="U331" s="343"/>
      <c r="V331" s="343"/>
      <c r="W331" s="343"/>
      <c r="X331" s="343"/>
      <c r="Y331" s="343"/>
    </row>
    <row r="332" spans="1:25" x14ac:dyDescent="0.25">
      <c r="A332" s="694"/>
      <c r="B332" s="698"/>
      <c r="C332" s="698"/>
      <c r="D332" s="301"/>
      <c r="E332" s="427" t="s">
        <v>1052</v>
      </c>
      <c r="F332" s="2358" t="str">
        <f>Translations!$B$166</f>
        <v>Инсталация в обхвата на Схемата за търговия с емисии (ETS)</v>
      </c>
      <c r="G332" s="2249"/>
      <c r="H332" s="2249"/>
      <c r="I332" s="2249"/>
      <c r="J332" s="2249"/>
      <c r="K332" s="2249"/>
      <c r="L332" s="2249"/>
      <c r="M332" s="2249"/>
      <c r="N332" s="2249"/>
      <c r="O332" s="336"/>
      <c r="P332" s="302"/>
      <c r="Q332" s="343"/>
      <c r="R332" s="343"/>
      <c r="S332" s="343"/>
      <c r="T332" s="343"/>
      <c r="U332" s="343"/>
      <c r="V332" s="343"/>
      <c r="W332" s="343"/>
      <c r="X332" s="343"/>
      <c r="Y332" s="343"/>
    </row>
    <row r="333" spans="1:25" x14ac:dyDescent="0.25">
      <c r="A333" s="694"/>
      <c r="B333" s="698"/>
      <c r="C333" s="698"/>
      <c r="D333" s="301"/>
      <c r="E333" s="427" t="s">
        <v>1052</v>
      </c>
      <c r="F333" s="2358" t="str">
        <f>Translations!$B$1457</f>
        <v>Инсталация за изгаряне на битови отпадъци (т.е. има само задължение за мониторинг)</v>
      </c>
      <c r="G333" s="2249"/>
      <c r="H333" s="2249"/>
      <c r="I333" s="2249"/>
      <c r="J333" s="2249"/>
      <c r="K333" s="2249"/>
      <c r="L333" s="2249"/>
      <c r="M333" s="2249"/>
      <c r="N333" s="2249"/>
      <c r="O333" s="336"/>
      <c r="P333" s="302"/>
      <c r="Q333" s="343"/>
      <c r="R333" s="343"/>
      <c r="S333" s="343"/>
      <c r="T333" s="343"/>
      <c r="U333" s="343"/>
      <c r="V333" s="343"/>
      <c r="W333" s="343"/>
      <c r="X333" s="343"/>
      <c r="Y333" s="343"/>
    </row>
    <row r="334" spans="1:25" x14ac:dyDescent="0.25">
      <c r="A334" s="694"/>
      <c r="B334" s="698"/>
      <c r="C334" s="698"/>
      <c r="D334" s="301"/>
      <c r="E334" s="427" t="s">
        <v>1052</v>
      </c>
      <c r="F334" s="2358" t="str">
        <f>Translations!$B$167</f>
        <v>Инсталация извън обхвата на Схемата за търговия с емисии (ETS)</v>
      </c>
      <c r="G334" s="2249"/>
      <c r="H334" s="2249"/>
      <c r="I334" s="2249"/>
      <c r="J334" s="2249"/>
      <c r="K334" s="2249"/>
      <c r="L334" s="2249"/>
      <c r="M334" s="2249"/>
      <c r="N334" s="2249"/>
      <c r="O334" s="336"/>
      <c r="P334" s="302"/>
      <c r="Q334" s="343"/>
      <c r="R334" s="343"/>
      <c r="S334" s="343"/>
      <c r="T334" s="343"/>
      <c r="U334" s="343"/>
      <c r="V334" s="343"/>
      <c r="W334" s="343"/>
      <c r="X334" s="343"/>
      <c r="Y334" s="343"/>
    </row>
    <row r="335" spans="1:25" x14ac:dyDescent="0.25">
      <c r="A335" s="694"/>
      <c r="B335" s="698"/>
      <c r="C335" s="698"/>
      <c r="D335" s="301"/>
      <c r="E335" s="427" t="s">
        <v>1052</v>
      </c>
      <c r="F335" s="2358" t="str">
        <f>Translations!$B$168</f>
        <v>Инсталация, произвеждаща азотна киселина</v>
      </c>
      <c r="G335" s="2249"/>
      <c r="H335" s="2249"/>
      <c r="I335" s="2249"/>
      <c r="J335" s="2249"/>
      <c r="K335" s="2249"/>
      <c r="L335" s="2249"/>
      <c r="M335" s="2249"/>
      <c r="N335" s="2249"/>
      <c r="O335" s="336"/>
      <c r="P335" s="302"/>
      <c r="Q335" s="343"/>
      <c r="R335" s="343"/>
      <c r="S335" s="343"/>
      <c r="T335" s="343"/>
      <c r="U335" s="343"/>
      <c r="V335" s="343"/>
      <c r="W335" s="343"/>
      <c r="X335" s="343"/>
      <c r="Y335" s="343"/>
    </row>
    <row r="336" spans="1:25" x14ac:dyDescent="0.25">
      <c r="A336" s="694"/>
      <c r="B336" s="698"/>
      <c r="C336" s="698"/>
      <c r="D336" s="301"/>
      <c r="E336" s="427" t="s">
        <v>1052</v>
      </c>
      <c r="F336" s="2358" t="str">
        <f>Translations!$B$169</f>
        <v>Топлопреносна мрежа</v>
      </c>
      <c r="G336" s="2249"/>
      <c r="H336" s="2249"/>
      <c r="I336" s="2249"/>
      <c r="J336" s="2249"/>
      <c r="K336" s="2249"/>
      <c r="L336" s="2249"/>
      <c r="M336" s="2249"/>
      <c r="N336" s="2249"/>
      <c r="O336" s="336"/>
      <c r="P336" s="302"/>
      <c r="Q336" s="343"/>
      <c r="R336" s="343"/>
      <c r="S336" s="343"/>
      <c r="T336" s="343"/>
      <c r="U336" s="343"/>
      <c r="V336" s="343"/>
      <c r="W336" s="343"/>
      <c r="X336" s="343"/>
      <c r="Y336" s="343"/>
    </row>
    <row r="337" spans="1:25" ht="13" x14ac:dyDescent="0.25">
      <c r="A337" s="694"/>
      <c r="B337" s="698"/>
      <c r="C337" s="698"/>
      <c r="D337" s="301"/>
      <c r="E337" s="2300" t="str">
        <f>Translations!$B$170</f>
        <v>Специален случай: Производство на азотна киселина:</v>
      </c>
      <c r="F337" s="2578"/>
      <c r="G337" s="2578"/>
      <c r="H337" s="2578"/>
      <c r="I337" s="2578"/>
      <c r="J337" s="2578"/>
      <c r="K337" s="2578"/>
      <c r="L337" s="2578"/>
      <c r="M337" s="2578"/>
      <c r="N337" s="2578"/>
      <c r="O337" s="336"/>
      <c r="P337" s="302"/>
      <c r="Q337" s="343"/>
      <c r="R337" s="343"/>
      <c r="S337" s="343"/>
      <c r="T337" s="343"/>
      <c r="U337" s="343"/>
      <c r="V337" s="343"/>
      <c r="W337" s="343"/>
      <c r="X337" s="343"/>
      <c r="Y337" s="343"/>
    </row>
    <row r="338" spans="1:25" x14ac:dyDescent="0.25">
      <c r="A338" s="694"/>
      <c r="B338" s="698"/>
      <c r="C338" s="698"/>
      <c r="D338" s="301"/>
      <c r="E338" s="427" t="s">
        <v>1052</v>
      </c>
      <c r="F338" s="2358" t="str">
        <f>Translations!$B$171</f>
        <v>Ако Вашата инсталация използва топлина от производството на азотна киселина, моля изберете тази опция.</v>
      </c>
      <c r="G338" s="2249"/>
      <c r="H338" s="2249"/>
      <c r="I338" s="2249"/>
      <c r="J338" s="2249"/>
      <c r="K338" s="2249"/>
      <c r="L338" s="2249"/>
      <c r="M338" s="2249"/>
      <c r="N338" s="2249"/>
      <c r="O338" s="336"/>
      <c r="P338" s="302"/>
      <c r="Q338" s="343"/>
      <c r="R338" s="343"/>
      <c r="S338" s="343"/>
      <c r="T338" s="343"/>
      <c r="U338" s="343"/>
      <c r="V338" s="343"/>
      <c r="W338" s="343"/>
      <c r="X338" s="343"/>
      <c r="Y338" s="343"/>
    </row>
    <row r="339" spans="1:25" x14ac:dyDescent="0.25">
      <c r="A339" s="694"/>
      <c r="B339" s="698"/>
      <c r="C339" s="698"/>
      <c r="D339" s="301"/>
      <c r="E339" s="427" t="s">
        <v>1052</v>
      </c>
      <c r="F339" s="2358" t="str">
        <f>Translations!$B$172</f>
        <v>Моля да отбележите този факт дори и ако производството на азотна киселина става в рамките на Вашата инсталация, а не само ако Вашата инсталация е свързана с подобна инсталация.</v>
      </c>
      <c r="G339" s="2249"/>
      <c r="H339" s="2249"/>
      <c r="I339" s="2249"/>
      <c r="J339" s="2249"/>
      <c r="K339" s="2249"/>
      <c r="L339" s="2249"/>
      <c r="M339" s="2249"/>
      <c r="N339" s="2249"/>
      <c r="O339" s="336"/>
      <c r="P339" s="302"/>
      <c r="Q339" s="343"/>
      <c r="R339" s="343"/>
      <c r="S339" s="343"/>
      <c r="T339" s="343"/>
      <c r="U339" s="343"/>
      <c r="V339" s="343"/>
      <c r="W339" s="343"/>
      <c r="X339" s="343"/>
      <c r="Y339" s="343"/>
    </row>
    <row r="340" spans="1:25" x14ac:dyDescent="0.25">
      <c r="A340" s="694"/>
      <c r="B340" s="698"/>
      <c r="C340" s="698"/>
      <c r="D340" s="301"/>
      <c r="E340" s="427" t="s">
        <v>1052</v>
      </c>
      <c r="F340" s="2358" t="str">
        <f>Translations!$B$173</f>
        <v>Тази информация има значение за топлинния баланс (работен лист „E_EnergyFlows“, раздел II)</v>
      </c>
      <c r="G340" s="2249"/>
      <c r="H340" s="2249"/>
      <c r="I340" s="2249"/>
      <c r="J340" s="2249"/>
      <c r="K340" s="2249"/>
      <c r="L340" s="2249"/>
      <c r="M340" s="2249"/>
      <c r="N340" s="2249"/>
      <c r="O340" s="336"/>
      <c r="P340" s="302"/>
      <c r="Q340" s="343"/>
      <c r="R340" s="343"/>
      <c r="S340" s="343"/>
      <c r="T340" s="343"/>
      <c r="U340" s="343"/>
      <c r="V340" s="343"/>
      <c r="W340" s="343"/>
      <c r="X340" s="343"/>
      <c r="Y340" s="343"/>
    </row>
    <row r="341" spans="1:25" x14ac:dyDescent="0.25">
      <c r="A341" s="694"/>
      <c r="B341" s="698"/>
      <c r="C341" s="698"/>
      <c r="D341" s="301"/>
      <c r="E341" s="2293" t="str">
        <f>Translations!$B$174</f>
        <v>Опциите за видове връзки са:</v>
      </c>
      <c r="F341" s="2240"/>
      <c r="G341" s="2240"/>
      <c r="H341" s="2240"/>
      <c r="I341" s="2240"/>
      <c r="J341" s="2240"/>
      <c r="K341" s="2240"/>
      <c r="L341" s="2240"/>
      <c r="M341" s="2240"/>
      <c r="N341" s="2240"/>
      <c r="O341" s="336"/>
      <c r="P341" s="302"/>
      <c r="Q341" s="343"/>
      <c r="R341" s="343"/>
      <c r="S341" s="343"/>
      <c r="T341" s="343"/>
      <c r="U341" s="343"/>
      <c r="V341" s="343"/>
      <c r="W341" s="343"/>
      <c r="X341" s="343"/>
      <c r="Y341" s="343"/>
    </row>
    <row r="342" spans="1:25" x14ac:dyDescent="0.25">
      <c r="A342" s="694"/>
      <c r="B342" s="698"/>
      <c r="C342" s="698"/>
      <c r="D342" s="301"/>
      <c r="E342" s="427" t="s">
        <v>1052</v>
      </c>
      <c r="F342" s="2358" t="str">
        <f>Translations!$B$175</f>
        <v>Измерима топлинна енергия</v>
      </c>
      <c r="G342" s="2249"/>
      <c r="H342" s="2249"/>
      <c r="I342" s="2249"/>
      <c r="J342" s="2249"/>
      <c r="K342" s="2249"/>
      <c r="L342" s="2249"/>
      <c r="M342" s="2249"/>
      <c r="N342" s="2249"/>
      <c r="O342" s="336"/>
      <c r="P342" s="302"/>
      <c r="Q342" s="343"/>
      <c r="R342" s="343"/>
      <c r="S342" s="343"/>
      <c r="T342" s="343"/>
      <c r="U342" s="343"/>
      <c r="V342" s="343"/>
      <c r="W342" s="343"/>
      <c r="X342" s="343"/>
      <c r="Y342" s="343"/>
    </row>
    <row r="343" spans="1:25" x14ac:dyDescent="0.25">
      <c r="A343" s="694"/>
      <c r="B343" s="698"/>
      <c r="C343" s="698"/>
      <c r="D343" s="301"/>
      <c r="E343" s="427" t="s">
        <v>1052</v>
      </c>
      <c r="F343" s="2358" t="str">
        <f>Translations!$B$176</f>
        <v>Отпаден газ</v>
      </c>
      <c r="G343" s="2249"/>
      <c r="H343" s="2249"/>
      <c r="I343" s="2249"/>
      <c r="J343" s="2249"/>
      <c r="K343" s="2249"/>
      <c r="L343" s="2249"/>
      <c r="M343" s="2249"/>
      <c r="N343" s="2249"/>
      <c r="O343" s="336"/>
      <c r="P343" s="302"/>
      <c r="Q343" s="343"/>
      <c r="R343" s="343"/>
      <c r="S343" s="343"/>
      <c r="T343" s="343"/>
      <c r="U343" s="343"/>
      <c r="V343" s="343"/>
      <c r="W343" s="343"/>
      <c r="X343" s="343"/>
      <c r="Y343" s="343"/>
    </row>
    <row r="344" spans="1:25" x14ac:dyDescent="0.25">
      <c r="A344" s="694"/>
      <c r="B344" s="698"/>
      <c r="C344" s="698"/>
      <c r="D344" s="301"/>
      <c r="E344" s="427" t="s">
        <v>1052</v>
      </c>
      <c r="F344" s="2358" t="str">
        <f>Translations!$B$177</f>
        <v>Прехвърлен CO2</v>
      </c>
      <c r="G344" s="2249"/>
      <c r="H344" s="2249"/>
      <c r="I344" s="2249"/>
      <c r="J344" s="2249"/>
      <c r="K344" s="2249"/>
      <c r="L344" s="2249"/>
      <c r="M344" s="2249"/>
      <c r="N344" s="2249"/>
      <c r="O344" s="336"/>
      <c r="P344" s="302"/>
      <c r="Q344" s="343"/>
      <c r="R344" s="343"/>
      <c r="S344" s="343"/>
      <c r="T344" s="343"/>
      <c r="U344" s="343"/>
      <c r="V344" s="343"/>
      <c r="W344" s="343"/>
      <c r="X344" s="343"/>
      <c r="Y344" s="343"/>
    </row>
    <row r="345" spans="1:25" ht="12.75" customHeight="1" x14ac:dyDescent="0.25">
      <c r="A345" s="694"/>
      <c r="B345" s="698"/>
      <c r="C345" s="698"/>
      <c r="D345" s="301"/>
      <c r="E345" s="427" t="s">
        <v>1052</v>
      </c>
      <c r="F345" s="2358" t="str">
        <f>Translations!$B$178</f>
        <v>Междинни продукти, обхванати от производствени показатели (раздели 1.6 и 3.1, параграф л) от приложение IV към ПБР)</v>
      </c>
      <c r="G345" s="2249"/>
      <c r="H345" s="2249"/>
      <c r="I345" s="2249"/>
      <c r="J345" s="2249"/>
      <c r="K345" s="2249"/>
      <c r="L345" s="2249"/>
      <c r="M345" s="2249"/>
      <c r="N345" s="2249"/>
      <c r="O345" s="336"/>
      <c r="P345" s="302"/>
      <c r="Q345" s="343"/>
      <c r="R345" s="343"/>
      <c r="S345" s="343"/>
      <c r="T345" s="343"/>
      <c r="U345" s="343"/>
      <c r="V345" s="343"/>
      <c r="W345" s="343"/>
      <c r="X345" s="343"/>
      <c r="Y345" s="343"/>
    </row>
    <row r="346" spans="1:25" x14ac:dyDescent="0.25">
      <c r="A346" s="694"/>
      <c r="B346" s="698"/>
      <c r="C346" s="698"/>
      <c r="D346" s="301"/>
      <c r="E346" s="2293" t="str">
        <f>Translations!$B$179</f>
        <v>Опциите за посока на потоците са (от гледна точка на разглежданата инсталация):</v>
      </c>
      <c r="F346" s="2240"/>
      <c r="G346" s="2240"/>
      <c r="H346" s="2240"/>
      <c r="I346" s="2240"/>
      <c r="J346" s="2240"/>
      <c r="K346" s="2240"/>
      <c r="L346" s="2240"/>
      <c r="M346" s="2240"/>
      <c r="N346" s="2240"/>
      <c r="O346" s="336"/>
      <c r="P346" s="302"/>
      <c r="Q346" s="343"/>
      <c r="R346" s="343"/>
      <c r="S346" s="343"/>
      <c r="T346" s="343"/>
      <c r="U346" s="343"/>
      <c r="V346" s="343"/>
      <c r="W346" s="343"/>
      <c r="X346" s="343"/>
      <c r="Y346" s="343"/>
    </row>
    <row r="347" spans="1:25" x14ac:dyDescent="0.25">
      <c r="A347" s="694"/>
      <c r="B347" s="698"/>
      <c r="C347" s="698"/>
      <c r="D347" s="301"/>
      <c r="E347" s="427" t="s">
        <v>1052</v>
      </c>
      <c r="F347" s="2358" t="str">
        <f>Translations!$B$180</f>
        <v>Входящ поток (към разглежданата инсталация)</v>
      </c>
      <c r="G347" s="2249"/>
      <c r="H347" s="2249"/>
      <c r="I347" s="2249"/>
      <c r="J347" s="2249"/>
      <c r="K347" s="2249"/>
      <c r="L347" s="2249"/>
      <c r="M347" s="2249"/>
      <c r="N347" s="2249"/>
      <c r="O347" s="336"/>
      <c r="P347" s="302"/>
      <c r="Q347" s="343"/>
      <c r="R347" s="343"/>
      <c r="S347" s="343"/>
      <c r="T347" s="343"/>
      <c r="U347" s="343"/>
      <c r="V347" s="343"/>
      <c r="W347" s="343"/>
      <c r="X347" s="343"/>
      <c r="Y347" s="343"/>
    </row>
    <row r="348" spans="1:25" x14ac:dyDescent="0.25">
      <c r="A348" s="694"/>
      <c r="B348" s="698"/>
      <c r="C348" s="698"/>
      <c r="D348" s="301"/>
      <c r="E348" s="427" t="s">
        <v>1052</v>
      </c>
      <c r="F348" s="2358" t="str">
        <f>Translations!$B$181</f>
        <v>Изходящ поток (от разглежданата инсталация)</v>
      </c>
      <c r="G348" s="2249"/>
      <c r="H348" s="2249"/>
      <c r="I348" s="2249"/>
      <c r="J348" s="2249"/>
      <c r="K348" s="2249"/>
      <c r="L348" s="2249"/>
      <c r="M348" s="2249"/>
      <c r="N348" s="2249"/>
      <c r="O348" s="336"/>
      <c r="P348" s="302"/>
      <c r="Q348" s="343"/>
      <c r="R348" s="343"/>
      <c r="S348" s="343"/>
      <c r="T348" s="343"/>
      <c r="U348" s="343"/>
      <c r="V348" s="343"/>
      <c r="W348" s="343"/>
      <c r="X348" s="343"/>
      <c r="Y348" s="343"/>
    </row>
    <row r="349" spans="1:25" ht="5.15" customHeight="1" x14ac:dyDescent="0.25">
      <c r="A349" s="694"/>
      <c r="B349" s="284"/>
      <c r="C349" s="284"/>
      <c r="D349" s="287"/>
      <c r="E349" s="284"/>
      <c r="F349" s="284"/>
      <c r="G349" s="284"/>
      <c r="H349" s="284"/>
      <c r="I349" s="284"/>
      <c r="J349" s="284"/>
      <c r="K349" s="284"/>
      <c r="L349" s="284"/>
      <c r="M349" s="336"/>
      <c r="N349" s="336"/>
      <c r="O349" s="336"/>
      <c r="P349" s="302"/>
      <c r="Q349" s="729"/>
      <c r="R349" s="729"/>
      <c r="S349" s="729"/>
      <c r="T349" s="729"/>
      <c r="U349" s="343"/>
      <c r="V349" s="343"/>
      <c r="W349" s="343"/>
      <c r="X349" s="343"/>
      <c r="Y349" s="343"/>
    </row>
    <row r="350" spans="1:25" s="364" customFormat="1" ht="13.5" thickBot="1" x14ac:dyDescent="0.35">
      <c r="A350" s="729"/>
      <c r="B350" s="302"/>
      <c r="C350" s="302"/>
      <c r="D350" s="301"/>
      <c r="E350" s="688" t="str">
        <f>Translations!$B$151</f>
        <v>№</v>
      </c>
      <c r="F350" s="2324" t="str">
        <f>Translations!$B$182</f>
        <v>Наименование на инсталацията или партньора</v>
      </c>
      <c r="G350" s="2325"/>
      <c r="H350" s="2326"/>
      <c r="I350" s="2324" t="str">
        <f>Translations!$B$183</f>
        <v>Вид партньор</v>
      </c>
      <c r="J350" s="2326"/>
      <c r="K350" s="2324" t="str">
        <f>Translations!$B$184</f>
        <v>Вид връзка</v>
      </c>
      <c r="L350" s="2326"/>
      <c r="M350" s="2324" t="str">
        <f>Translations!$B$185</f>
        <v>Посока на потока</v>
      </c>
      <c r="N350" s="2325"/>
      <c r="P350" s="302"/>
      <c r="Q350" s="750"/>
      <c r="R350" s="343"/>
      <c r="S350" s="772" t="s">
        <v>1950</v>
      </c>
      <c r="T350" s="711"/>
      <c r="U350" s="711"/>
      <c r="V350" s="711"/>
      <c r="W350" s="711"/>
      <c r="X350" s="711"/>
      <c r="Y350" s="711"/>
    </row>
    <row r="351" spans="1:25" x14ac:dyDescent="0.25">
      <c r="A351" s="694"/>
      <c r="B351" s="698"/>
      <c r="C351" s="698"/>
      <c r="D351" s="773"/>
      <c r="E351" s="774">
        <v>1</v>
      </c>
      <c r="F351" s="2419"/>
      <c r="G351" s="2420"/>
      <c r="H351" s="2421"/>
      <c r="I351" s="2422"/>
      <c r="J351" s="2423"/>
      <c r="K351" s="2422"/>
      <c r="L351" s="2421"/>
      <c r="M351" s="2525"/>
      <c r="N351" s="2526"/>
      <c r="O351" s="336"/>
      <c r="P351" s="181"/>
      <c r="Q351" s="775"/>
      <c r="R351" s="343"/>
      <c r="S351" s="776" t="str">
        <f t="shared" ref="S351:S360" si="18">IF(ISBLANK(I351),"",OR(MATCH(I351,EUconst_ConnectedEntityTypes,0)=1,MATCH(I351,EUconst_ConnectedEntityTypes,0)=3))</f>
        <v/>
      </c>
      <c r="T351" s="343"/>
      <c r="U351" s="343"/>
      <c r="V351" s="343"/>
      <c r="W351" s="343"/>
      <c r="X351" s="343"/>
      <c r="Y351" s="716" t="b">
        <f t="shared" ref="Y351:Y360" si="19">CTRL_InputMethodNIMsvalues=1</f>
        <v>0</v>
      </c>
    </row>
    <row r="352" spans="1:25" x14ac:dyDescent="0.25">
      <c r="A352" s="694"/>
      <c r="B352" s="698"/>
      <c r="C352" s="698"/>
      <c r="D352" s="773"/>
      <c r="E352" s="777">
        <f t="shared" ref="E352:E360" si="20">E351+1</f>
        <v>2</v>
      </c>
      <c r="F352" s="2413"/>
      <c r="G352" s="2406"/>
      <c r="H352" s="2405"/>
      <c r="I352" s="2404"/>
      <c r="J352" s="2426"/>
      <c r="K352" s="2404"/>
      <c r="L352" s="2405"/>
      <c r="M352" s="2411"/>
      <c r="N352" s="2412"/>
      <c r="O352" s="336"/>
      <c r="P352" s="181"/>
      <c r="Q352" s="775"/>
      <c r="R352" s="343"/>
      <c r="S352" s="778" t="str">
        <f t="shared" si="18"/>
        <v/>
      </c>
      <c r="T352" s="343"/>
      <c r="U352" s="343"/>
      <c r="V352" s="343"/>
      <c r="W352" s="343"/>
      <c r="X352" s="343"/>
      <c r="Y352" s="716" t="b">
        <f t="shared" si="19"/>
        <v>0</v>
      </c>
    </row>
    <row r="353" spans="1:25" x14ac:dyDescent="0.25">
      <c r="A353" s="694"/>
      <c r="B353" s="698"/>
      <c r="C353" s="698"/>
      <c r="D353" s="773"/>
      <c r="E353" s="777">
        <f t="shared" si="20"/>
        <v>3</v>
      </c>
      <c r="F353" s="2404"/>
      <c r="G353" s="2406"/>
      <c r="H353" s="2405"/>
      <c r="I353" s="2404"/>
      <c r="J353" s="2426"/>
      <c r="K353" s="2404"/>
      <c r="L353" s="2405"/>
      <c r="M353" s="2411"/>
      <c r="N353" s="2412"/>
      <c r="O353" s="336"/>
      <c r="P353" s="181"/>
      <c r="Q353" s="775"/>
      <c r="R353" s="343"/>
      <c r="S353" s="778" t="str">
        <f t="shared" si="18"/>
        <v/>
      </c>
      <c r="T353" s="343"/>
      <c r="U353" s="343"/>
      <c r="V353" s="343"/>
      <c r="W353" s="343"/>
      <c r="X353" s="343"/>
      <c r="Y353" s="716" t="b">
        <f t="shared" si="19"/>
        <v>0</v>
      </c>
    </row>
    <row r="354" spans="1:25" x14ac:dyDescent="0.25">
      <c r="A354" s="694"/>
      <c r="B354" s="698"/>
      <c r="C354" s="698"/>
      <c r="D354" s="773"/>
      <c r="E354" s="777">
        <f t="shared" si="20"/>
        <v>4</v>
      </c>
      <c r="F354" s="2413"/>
      <c r="G354" s="2406"/>
      <c r="H354" s="2405"/>
      <c r="I354" s="2404"/>
      <c r="J354" s="2426"/>
      <c r="K354" s="2404"/>
      <c r="L354" s="2405"/>
      <c r="M354" s="2411"/>
      <c r="N354" s="2412"/>
      <c r="O354" s="336"/>
      <c r="P354" s="181"/>
      <c r="Q354" s="775"/>
      <c r="R354" s="343"/>
      <c r="S354" s="778" t="str">
        <f t="shared" si="18"/>
        <v/>
      </c>
      <c r="T354" s="343"/>
      <c r="U354" s="343"/>
      <c r="V354" s="343"/>
      <c r="W354" s="343"/>
      <c r="X354" s="343"/>
      <c r="Y354" s="716" t="b">
        <f t="shared" si="19"/>
        <v>0</v>
      </c>
    </row>
    <row r="355" spans="1:25" x14ac:dyDescent="0.25">
      <c r="A355" s="694"/>
      <c r="B355" s="698"/>
      <c r="C355" s="698"/>
      <c r="D355" s="773"/>
      <c r="E355" s="777">
        <f t="shared" si="20"/>
        <v>5</v>
      </c>
      <c r="F355" s="2404"/>
      <c r="G355" s="2406"/>
      <c r="H355" s="2405"/>
      <c r="I355" s="2404"/>
      <c r="J355" s="2426"/>
      <c r="K355" s="2404"/>
      <c r="L355" s="2405"/>
      <c r="M355" s="2411"/>
      <c r="N355" s="2412"/>
      <c r="O355" s="336"/>
      <c r="P355" s="181"/>
      <c r="Q355" s="775"/>
      <c r="R355" s="343"/>
      <c r="S355" s="778" t="str">
        <f t="shared" si="18"/>
        <v/>
      </c>
      <c r="T355" s="343"/>
      <c r="U355" s="343"/>
      <c r="V355" s="343"/>
      <c r="W355" s="343"/>
      <c r="X355" s="343"/>
      <c r="Y355" s="716" t="b">
        <f t="shared" si="19"/>
        <v>0</v>
      </c>
    </row>
    <row r="356" spans="1:25" x14ac:dyDescent="0.25">
      <c r="A356" s="694"/>
      <c r="B356" s="698"/>
      <c r="C356" s="698"/>
      <c r="D356" s="773"/>
      <c r="E356" s="777">
        <f t="shared" si="20"/>
        <v>6</v>
      </c>
      <c r="F356" s="2404"/>
      <c r="G356" s="2406"/>
      <c r="H356" s="2405"/>
      <c r="I356" s="2404"/>
      <c r="J356" s="2426"/>
      <c r="K356" s="2404"/>
      <c r="L356" s="2405"/>
      <c r="M356" s="2411"/>
      <c r="N356" s="2412"/>
      <c r="O356" s="336"/>
      <c r="P356" s="181"/>
      <c r="Q356" s="775"/>
      <c r="R356" s="343"/>
      <c r="S356" s="778" t="str">
        <f t="shared" si="18"/>
        <v/>
      </c>
      <c r="T356" s="343"/>
      <c r="U356" s="343"/>
      <c r="V356" s="343"/>
      <c r="W356" s="343"/>
      <c r="X356" s="343"/>
      <c r="Y356" s="716" t="b">
        <f t="shared" si="19"/>
        <v>0</v>
      </c>
    </row>
    <row r="357" spans="1:25" x14ac:dyDescent="0.25">
      <c r="A357" s="694"/>
      <c r="B357" s="698"/>
      <c r="C357" s="698"/>
      <c r="D357" s="773"/>
      <c r="E357" s="777">
        <f t="shared" si="20"/>
        <v>7</v>
      </c>
      <c r="F357" s="2404"/>
      <c r="G357" s="2406"/>
      <c r="H357" s="2405"/>
      <c r="I357" s="2404"/>
      <c r="J357" s="2426"/>
      <c r="K357" s="2404"/>
      <c r="L357" s="2405"/>
      <c r="M357" s="2411"/>
      <c r="N357" s="2412"/>
      <c r="O357" s="336"/>
      <c r="P357" s="181"/>
      <c r="Q357" s="775"/>
      <c r="R357" s="343"/>
      <c r="S357" s="778" t="str">
        <f t="shared" si="18"/>
        <v/>
      </c>
      <c r="T357" s="343"/>
      <c r="U357" s="343"/>
      <c r="V357" s="343"/>
      <c r="W357" s="343"/>
      <c r="X357" s="343"/>
      <c r="Y357" s="716" t="b">
        <f t="shared" si="19"/>
        <v>0</v>
      </c>
    </row>
    <row r="358" spans="1:25" x14ac:dyDescent="0.25">
      <c r="A358" s="694"/>
      <c r="B358" s="698"/>
      <c r="C358" s="698"/>
      <c r="D358" s="773"/>
      <c r="E358" s="777">
        <f t="shared" si="20"/>
        <v>8</v>
      </c>
      <c r="F358" s="2413"/>
      <c r="G358" s="2406"/>
      <c r="H358" s="2405"/>
      <c r="I358" s="2404"/>
      <c r="J358" s="2426"/>
      <c r="K358" s="2404"/>
      <c r="L358" s="2405"/>
      <c r="M358" s="2411"/>
      <c r="N358" s="2412"/>
      <c r="O358" s="336"/>
      <c r="P358" s="181"/>
      <c r="Q358" s="775"/>
      <c r="R358" s="343"/>
      <c r="S358" s="778" t="str">
        <f t="shared" si="18"/>
        <v/>
      </c>
      <c r="T358" s="343"/>
      <c r="U358" s="343"/>
      <c r="V358" s="343"/>
      <c r="W358" s="343"/>
      <c r="X358" s="343"/>
      <c r="Y358" s="716" t="b">
        <f t="shared" si="19"/>
        <v>0</v>
      </c>
    </row>
    <row r="359" spans="1:25" x14ac:dyDescent="0.25">
      <c r="A359" s="694"/>
      <c r="B359" s="698"/>
      <c r="C359" s="698"/>
      <c r="D359" s="773"/>
      <c r="E359" s="777">
        <f t="shared" si="20"/>
        <v>9</v>
      </c>
      <c r="F359" s="2404"/>
      <c r="G359" s="2406"/>
      <c r="H359" s="2405"/>
      <c r="I359" s="2404"/>
      <c r="J359" s="2426"/>
      <c r="K359" s="2404"/>
      <c r="L359" s="2405"/>
      <c r="M359" s="2411"/>
      <c r="N359" s="2412"/>
      <c r="O359" s="336"/>
      <c r="P359" s="181"/>
      <c r="Q359" s="775"/>
      <c r="R359" s="343"/>
      <c r="S359" s="778" t="str">
        <f t="shared" si="18"/>
        <v/>
      </c>
      <c r="T359" s="343"/>
      <c r="U359" s="343"/>
      <c r="V359" s="343"/>
      <c r="W359" s="343"/>
      <c r="X359" s="343"/>
      <c r="Y359" s="716" t="b">
        <f t="shared" si="19"/>
        <v>0</v>
      </c>
    </row>
    <row r="360" spans="1:25" ht="13" thickBot="1" x14ac:dyDescent="0.3">
      <c r="A360" s="694"/>
      <c r="B360" s="698"/>
      <c r="C360" s="698"/>
      <c r="D360" s="773"/>
      <c r="E360" s="779">
        <f t="shared" si="20"/>
        <v>10</v>
      </c>
      <c r="F360" s="2418"/>
      <c r="G360" s="2417"/>
      <c r="H360" s="2403"/>
      <c r="I360" s="2402"/>
      <c r="J360" s="2414"/>
      <c r="K360" s="2402"/>
      <c r="L360" s="2403"/>
      <c r="M360" s="2424"/>
      <c r="N360" s="2425"/>
      <c r="O360" s="336"/>
      <c r="P360" s="181"/>
      <c r="Q360" s="775"/>
      <c r="R360" s="343"/>
      <c r="S360" s="780" t="str">
        <f t="shared" si="18"/>
        <v/>
      </c>
      <c r="T360" s="343"/>
      <c r="U360" s="343"/>
      <c r="V360" s="343"/>
      <c r="W360" s="343"/>
      <c r="X360" s="343"/>
      <c r="Y360" s="716" t="b">
        <f t="shared" si="19"/>
        <v>0</v>
      </c>
    </row>
    <row r="361" spans="1:25" x14ac:dyDescent="0.25">
      <c r="A361" s="694"/>
      <c r="B361" s="698"/>
      <c r="C361" s="698"/>
      <c r="D361" s="773"/>
      <c r="E361" s="781"/>
      <c r="F361" s="781"/>
      <c r="G361" s="781"/>
      <c r="H361" s="781"/>
      <c r="I361" s="781"/>
      <c r="J361" s="781"/>
      <c r="K361" s="781"/>
      <c r="L361" s="781"/>
      <c r="M361" s="781"/>
      <c r="N361" s="781"/>
      <c r="O361" s="336"/>
      <c r="P361" s="302"/>
      <c r="Q361" s="343"/>
      <c r="R361" s="343"/>
      <c r="S361" s="343"/>
      <c r="T361" s="343"/>
      <c r="U361" s="343"/>
      <c r="V361" s="343"/>
      <c r="W361" s="343"/>
      <c r="X361" s="343"/>
      <c r="Y361" s="343"/>
    </row>
    <row r="362" spans="1:25" ht="13" x14ac:dyDescent="0.25">
      <c r="A362" s="694"/>
      <c r="B362" s="698"/>
      <c r="C362" s="698"/>
      <c r="D362" s="724"/>
      <c r="E362" s="2226" t="str">
        <f>Translations!$B$186</f>
        <v>Моля въведете тук допълнителна информация относно тези свързани инсталации, ако това е необходимо:</v>
      </c>
      <c r="F362" s="2249"/>
      <c r="G362" s="2249"/>
      <c r="H362" s="2249"/>
      <c r="I362" s="2249"/>
      <c r="J362" s="2249"/>
      <c r="K362" s="2249"/>
      <c r="L362" s="2249"/>
      <c r="M362" s="2249"/>
      <c r="N362" s="2249"/>
      <c r="O362" s="336"/>
      <c r="P362" s="302"/>
      <c r="Q362" s="343"/>
      <c r="R362" s="343"/>
      <c r="S362" s="343"/>
      <c r="T362" s="343"/>
      <c r="U362" s="343"/>
      <c r="V362" s="343"/>
      <c r="W362" s="343"/>
      <c r="X362" s="343"/>
      <c r="Y362" s="343"/>
    </row>
    <row r="363" spans="1:25" ht="25.5" customHeight="1" x14ac:dyDescent="0.25">
      <c r="A363" s="694"/>
      <c r="B363" s="698"/>
      <c r="C363" s="698"/>
      <c r="D363" s="302"/>
      <c r="E363" s="2358" t="str">
        <f>Translations!$B$187</f>
        <v>Ако свързаната инсталация влиза в СТЕ на ЕС и е била обхваната от нея преди 30 юни 2019 г. за първия период на разпределение на квоти и преди 30 юни 2024 г. — за втория период на разпределение, задължително трябва да се посочи нейният идентификатор.</v>
      </c>
      <c r="F363" s="2249"/>
      <c r="G363" s="2249"/>
      <c r="H363" s="2249"/>
      <c r="I363" s="2249"/>
      <c r="J363" s="2249"/>
      <c r="K363" s="2249"/>
      <c r="L363" s="2249"/>
      <c r="M363" s="2249"/>
      <c r="N363" s="2249"/>
      <c r="O363" s="336"/>
      <c r="P363" s="302"/>
      <c r="Q363" s="343"/>
      <c r="R363" s="343"/>
      <c r="S363" s="343"/>
      <c r="T363" s="343"/>
      <c r="U363" s="343"/>
      <c r="V363" s="343"/>
      <c r="W363" s="343"/>
      <c r="X363" s="343"/>
      <c r="Y363" s="343"/>
    </row>
    <row r="364" spans="1:25" ht="12.75" customHeight="1" x14ac:dyDescent="0.25">
      <c r="A364" s="694"/>
      <c r="B364" s="698"/>
      <c r="C364" s="698"/>
      <c r="D364" s="302"/>
      <c r="E364" s="2358" t="str">
        <f>Translations!$B$188</f>
        <v>Посочването на данни за връзка относно обекти, които не влизат в Схемата на ЕС за търговия с емисии, е задължително.</v>
      </c>
      <c r="F364" s="2358"/>
      <c r="G364" s="2358"/>
      <c r="H364" s="2358"/>
      <c r="I364" s="2358"/>
      <c r="J364" s="2358"/>
      <c r="K364" s="2358"/>
      <c r="L364" s="2358"/>
      <c r="M364" s="2358"/>
      <c r="N364" s="2358"/>
      <c r="O364" s="336"/>
      <c r="P364" s="302"/>
      <c r="Q364" s="343"/>
      <c r="R364" s="343"/>
      <c r="S364" s="343"/>
      <c r="T364" s="343"/>
      <c r="U364" s="343"/>
      <c r="V364" s="343"/>
      <c r="W364" s="343"/>
      <c r="X364" s="343"/>
      <c r="Y364" s="343"/>
    </row>
    <row r="365" spans="1:25" ht="25.5" customHeight="1" thickBot="1" x14ac:dyDescent="0.35">
      <c r="A365" s="694"/>
      <c r="B365" s="698"/>
      <c r="C365" s="698"/>
      <c r="D365" s="698"/>
      <c r="E365" s="692" t="str">
        <f>Translations!$B$151</f>
        <v>№</v>
      </c>
      <c r="F365" s="2324" t="str">
        <f>Translations!$B$189</f>
        <v>Идентификатор на инсталацията, използван в регистъра</v>
      </c>
      <c r="G365" s="2326"/>
      <c r="H365" s="2324" t="str">
        <f>Translations!$B$190</f>
        <v>Име на лицето за контакти</v>
      </c>
      <c r="I365" s="2326"/>
      <c r="J365" s="2345" t="str">
        <f>Translations!$B$191</f>
        <v>Електронна поща</v>
      </c>
      <c r="K365" s="2325"/>
      <c r="L365" s="2326"/>
      <c r="M365" s="2324" t="str">
        <f>Translations!$B$192</f>
        <v>телефонен номер</v>
      </c>
      <c r="N365" s="2346"/>
      <c r="O365" s="336"/>
      <c r="P365" s="302"/>
      <c r="Q365" s="343"/>
      <c r="R365" s="782" t="s">
        <v>1949</v>
      </c>
      <c r="S365" s="343"/>
      <c r="T365" s="343"/>
      <c r="U365" s="343"/>
      <c r="V365" s="343"/>
      <c r="W365" s="343"/>
      <c r="X365" s="343"/>
      <c r="Y365" s="343"/>
    </row>
    <row r="366" spans="1:25" ht="13" x14ac:dyDescent="0.25">
      <c r="A366" s="694"/>
      <c r="B366" s="698"/>
      <c r="C366" s="698"/>
      <c r="D366" s="698"/>
      <c r="E366" s="783">
        <v>1</v>
      </c>
      <c r="F366" s="2429"/>
      <c r="G366" s="2430"/>
      <c r="H366" s="2419"/>
      <c r="I366" s="2421"/>
      <c r="J366" s="2422"/>
      <c r="K366" s="2420"/>
      <c r="L366" s="2421"/>
      <c r="M366" s="2427"/>
      <c r="N366" s="2428"/>
      <c r="O366" s="336"/>
      <c r="P366" s="181"/>
      <c r="Q366" s="343"/>
      <c r="R366" s="776" t="b">
        <f>COUNTA(F351:N351,F366:N366)&gt;0</f>
        <v>0</v>
      </c>
      <c r="S366" s="343"/>
      <c r="T366" s="343"/>
      <c r="U366" s="343"/>
      <c r="V366" s="343"/>
      <c r="W366" s="343"/>
      <c r="X366" s="343"/>
      <c r="Y366" s="716" t="b">
        <f t="shared" ref="Y366:Y375" si="21">CTRL_InputMethodNIMsvalues=1</f>
        <v>0</v>
      </c>
    </row>
    <row r="367" spans="1:25" ht="13" x14ac:dyDescent="0.25">
      <c r="A367" s="694"/>
      <c r="B367" s="698"/>
      <c r="C367" s="698"/>
      <c r="D367" s="698"/>
      <c r="E367" s="777">
        <f t="shared" ref="E367:E375" si="22">E366+1</f>
        <v>2</v>
      </c>
      <c r="F367" s="2407"/>
      <c r="G367" s="2408"/>
      <c r="H367" s="2404"/>
      <c r="I367" s="2405"/>
      <c r="J367" s="2404"/>
      <c r="K367" s="2406"/>
      <c r="L367" s="2405"/>
      <c r="M367" s="2409"/>
      <c r="N367" s="2410"/>
      <c r="O367" s="336"/>
      <c r="P367" s="181"/>
      <c r="Q367" s="343"/>
      <c r="R367" s="778" t="b">
        <f t="shared" ref="R367:R375" si="23">COUNTA(F352:N352,F367:N367)&gt;0</f>
        <v>0</v>
      </c>
      <c r="S367" s="343"/>
      <c r="T367" s="343"/>
      <c r="U367" s="343"/>
      <c r="V367" s="343"/>
      <c r="W367" s="343"/>
      <c r="X367" s="343"/>
      <c r="Y367" s="716" t="b">
        <f t="shared" si="21"/>
        <v>0</v>
      </c>
    </row>
    <row r="368" spans="1:25" ht="13" x14ac:dyDescent="0.25">
      <c r="A368" s="694"/>
      <c r="B368" s="698"/>
      <c r="C368" s="698"/>
      <c r="D368" s="698"/>
      <c r="E368" s="777">
        <f t="shared" si="22"/>
        <v>3</v>
      </c>
      <c r="F368" s="2407"/>
      <c r="G368" s="2408"/>
      <c r="H368" s="2404"/>
      <c r="I368" s="2405"/>
      <c r="J368" s="2404"/>
      <c r="K368" s="2406"/>
      <c r="L368" s="2405"/>
      <c r="M368" s="2409"/>
      <c r="N368" s="2410"/>
      <c r="O368" s="336"/>
      <c r="P368" s="181"/>
      <c r="Q368" s="343"/>
      <c r="R368" s="778" t="b">
        <f t="shared" si="23"/>
        <v>0</v>
      </c>
      <c r="S368" s="343"/>
      <c r="T368" s="343"/>
      <c r="U368" s="343"/>
      <c r="V368" s="343"/>
      <c r="W368" s="343"/>
      <c r="X368" s="343"/>
      <c r="Y368" s="716" t="b">
        <f t="shared" si="21"/>
        <v>0</v>
      </c>
    </row>
    <row r="369" spans="1:25" ht="13" x14ac:dyDescent="0.25">
      <c r="A369" s="694"/>
      <c r="B369" s="698"/>
      <c r="C369" s="698"/>
      <c r="D369" s="698"/>
      <c r="E369" s="777">
        <f t="shared" si="22"/>
        <v>4</v>
      </c>
      <c r="F369" s="2407"/>
      <c r="G369" s="2408"/>
      <c r="H369" s="2404"/>
      <c r="I369" s="2405"/>
      <c r="J369" s="2404"/>
      <c r="K369" s="2406"/>
      <c r="L369" s="2405"/>
      <c r="M369" s="2409"/>
      <c r="N369" s="2410"/>
      <c r="O369" s="336"/>
      <c r="P369" s="181"/>
      <c r="Q369" s="343"/>
      <c r="R369" s="778" t="b">
        <f t="shared" si="23"/>
        <v>0</v>
      </c>
      <c r="S369" s="343"/>
      <c r="T369" s="343"/>
      <c r="U369" s="343"/>
      <c r="V369" s="343"/>
      <c r="W369" s="343"/>
      <c r="X369" s="343"/>
      <c r="Y369" s="716" t="b">
        <f t="shared" si="21"/>
        <v>0</v>
      </c>
    </row>
    <row r="370" spans="1:25" ht="13" x14ac:dyDescent="0.25">
      <c r="A370" s="694"/>
      <c r="B370" s="698"/>
      <c r="C370" s="698"/>
      <c r="D370" s="698"/>
      <c r="E370" s="777">
        <f t="shared" si="22"/>
        <v>5</v>
      </c>
      <c r="F370" s="2407"/>
      <c r="G370" s="2408"/>
      <c r="H370" s="2404"/>
      <c r="I370" s="2405"/>
      <c r="J370" s="2404"/>
      <c r="K370" s="2406"/>
      <c r="L370" s="2405"/>
      <c r="M370" s="2409"/>
      <c r="N370" s="2410"/>
      <c r="O370" s="336"/>
      <c r="P370" s="181"/>
      <c r="Q370" s="343"/>
      <c r="R370" s="778" t="b">
        <f t="shared" si="23"/>
        <v>0</v>
      </c>
      <c r="S370" s="343"/>
      <c r="T370" s="343"/>
      <c r="U370" s="343"/>
      <c r="V370" s="343"/>
      <c r="W370" s="343"/>
      <c r="X370" s="343"/>
      <c r="Y370" s="716" t="b">
        <f t="shared" si="21"/>
        <v>0</v>
      </c>
    </row>
    <row r="371" spans="1:25" ht="13" x14ac:dyDescent="0.25">
      <c r="A371" s="694"/>
      <c r="B371" s="698"/>
      <c r="C371" s="698"/>
      <c r="D371" s="698"/>
      <c r="E371" s="777">
        <f t="shared" si="22"/>
        <v>6</v>
      </c>
      <c r="F371" s="2407"/>
      <c r="G371" s="2408"/>
      <c r="H371" s="2404"/>
      <c r="I371" s="2405"/>
      <c r="J371" s="2404"/>
      <c r="K371" s="2406"/>
      <c r="L371" s="2405"/>
      <c r="M371" s="2409"/>
      <c r="N371" s="2410"/>
      <c r="O371" s="336"/>
      <c r="P371" s="181"/>
      <c r="Q371" s="343"/>
      <c r="R371" s="778" t="b">
        <f t="shared" si="23"/>
        <v>0</v>
      </c>
      <c r="S371" s="343"/>
      <c r="T371" s="343"/>
      <c r="U371" s="343"/>
      <c r="V371" s="343"/>
      <c r="W371" s="343"/>
      <c r="X371" s="343"/>
      <c r="Y371" s="716" t="b">
        <f t="shared" si="21"/>
        <v>0</v>
      </c>
    </row>
    <row r="372" spans="1:25" ht="13" x14ac:dyDescent="0.25">
      <c r="A372" s="694"/>
      <c r="B372" s="698"/>
      <c r="C372" s="698"/>
      <c r="D372" s="698"/>
      <c r="E372" s="777">
        <f t="shared" si="22"/>
        <v>7</v>
      </c>
      <c r="F372" s="2407"/>
      <c r="G372" s="2408"/>
      <c r="H372" s="2404"/>
      <c r="I372" s="2405"/>
      <c r="J372" s="2404"/>
      <c r="K372" s="2406"/>
      <c r="L372" s="2405"/>
      <c r="M372" s="2409"/>
      <c r="N372" s="2410"/>
      <c r="O372" s="336"/>
      <c r="P372" s="181"/>
      <c r="Q372" s="343"/>
      <c r="R372" s="778" t="b">
        <f t="shared" si="23"/>
        <v>0</v>
      </c>
      <c r="S372" s="343"/>
      <c r="T372" s="343"/>
      <c r="U372" s="343"/>
      <c r="V372" s="343"/>
      <c r="W372" s="343"/>
      <c r="X372" s="343"/>
      <c r="Y372" s="716" t="b">
        <f t="shared" si="21"/>
        <v>0</v>
      </c>
    </row>
    <row r="373" spans="1:25" ht="13" x14ac:dyDescent="0.25">
      <c r="A373" s="694"/>
      <c r="B373" s="698"/>
      <c r="C373" s="698"/>
      <c r="D373" s="698"/>
      <c r="E373" s="777">
        <f t="shared" si="22"/>
        <v>8</v>
      </c>
      <c r="F373" s="2407"/>
      <c r="G373" s="2408"/>
      <c r="H373" s="2404"/>
      <c r="I373" s="2405"/>
      <c r="J373" s="2404"/>
      <c r="K373" s="2406"/>
      <c r="L373" s="2405"/>
      <c r="M373" s="2409"/>
      <c r="N373" s="2410"/>
      <c r="O373" s="336"/>
      <c r="P373" s="181"/>
      <c r="Q373" s="343"/>
      <c r="R373" s="778" t="b">
        <f t="shared" si="23"/>
        <v>0</v>
      </c>
      <c r="S373" s="343"/>
      <c r="T373" s="343"/>
      <c r="U373" s="343"/>
      <c r="V373" s="343"/>
      <c r="W373" s="343"/>
      <c r="X373" s="343"/>
      <c r="Y373" s="716" t="b">
        <f t="shared" si="21"/>
        <v>0</v>
      </c>
    </row>
    <row r="374" spans="1:25" ht="13" x14ac:dyDescent="0.25">
      <c r="A374" s="694"/>
      <c r="B374" s="698"/>
      <c r="C374" s="698"/>
      <c r="D374" s="698"/>
      <c r="E374" s="777">
        <f t="shared" si="22"/>
        <v>9</v>
      </c>
      <c r="F374" s="2407"/>
      <c r="G374" s="2408"/>
      <c r="H374" s="2404"/>
      <c r="I374" s="2405"/>
      <c r="J374" s="2404"/>
      <c r="K374" s="2406"/>
      <c r="L374" s="2405"/>
      <c r="M374" s="2409"/>
      <c r="N374" s="2410"/>
      <c r="O374" s="336"/>
      <c r="P374" s="181"/>
      <c r="Q374" s="343"/>
      <c r="R374" s="778" t="b">
        <f t="shared" si="23"/>
        <v>0</v>
      </c>
      <c r="S374" s="343"/>
      <c r="T374" s="343"/>
      <c r="U374" s="343"/>
      <c r="V374" s="343"/>
      <c r="W374" s="343"/>
      <c r="X374" s="343"/>
      <c r="Y374" s="716" t="b">
        <f t="shared" si="21"/>
        <v>0</v>
      </c>
    </row>
    <row r="375" spans="1:25" ht="13.5" thickBot="1" x14ac:dyDescent="0.3">
      <c r="A375" s="694"/>
      <c r="B375" s="698"/>
      <c r="C375" s="698"/>
      <c r="D375" s="698"/>
      <c r="E375" s="779">
        <f t="shared" si="22"/>
        <v>10</v>
      </c>
      <c r="F375" s="2415"/>
      <c r="G375" s="2416"/>
      <c r="H375" s="2402"/>
      <c r="I375" s="2403"/>
      <c r="J375" s="2402"/>
      <c r="K375" s="2417"/>
      <c r="L375" s="2403"/>
      <c r="M375" s="2581"/>
      <c r="N375" s="2582"/>
      <c r="O375" s="336"/>
      <c r="P375" s="181"/>
      <c r="Q375" s="343"/>
      <c r="R375" s="780" t="b">
        <f t="shared" si="23"/>
        <v>0</v>
      </c>
      <c r="S375" s="343"/>
      <c r="T375" s="343"/>
      <c r="U375" s="343"/>
      <c r="V375" s="343"/>
      <c r="W375" s="343"/>
      <c r="X375" s="343"/>
      <c r="Y375" s="716" t="b">
        <f t="shared" si="21"/>
        <v>0</v>
      </c>
    </row>
    <row r="376" spans="1:25" ht="5.15" customHeight="1" x14ac:dyDescent="0.25">
      <c r="A376" s="694"/>
      <c r="B376" s="284"/>
      <c r="C376" s="284"/>
      <c r="D376" s="287"/>
      <c r="E376" s="284"/>
      <c r="F376" s="284"/>
      <c r="G376" s="284"/>
      <c r="H376" s="284"/>
      <c r="I376" s="284"/>
      <c r="J376" s="284"/>
      <c r="K376" s="284"/>
      <c r="L376" s="284"/>
      <c r="M376" s="336"/>
      <c r="N376" s="336"/>
      <c r="O376" s="336"/>
      <c r="P376" s="302"/>
      <c r="Q376" s="695"/>
      <c r="R376" s="343"/>
      <c r="S376" s="343"/>
      <c r="T376" s="343"/>
      <c r="U376" s="343"/>
      <c r="V376" s="343"/>
      <c r="W376" s="343"/>
      <c r="X376" s="343"/>
      <c r="Y376" s="343"/>
    </row>
    <row r="377" spans="1:25" ht="13" x14ac:dyDescent="0.25">
      <c r="A377" s="694"/>
      <c r="B377" s="698"/>
      <c r="C377" s="698"/>
      <c r="D377" s="300" t="s">
        <v>46</v>
      </c>
      <c r="E377" s="2226" t="str">
        <f>Translations!$B$1258</f>
        <v>Резултат: Технически връзки</v>
      </c>
      <c r="F377" s="2249"/>
      <c r="G377" s="2249"/>
      <c r="H377" s="2249"/>
      <c r="I377" s="2249"/>
      <c r="J377" s="2249"/>
      <c r="K377" s="2249"/>
      <c r="L377" s="2249"/>
      <c r="M377" s="2249"/>
      <c r="N377" s="2249"/>
      <c r="O377" s="336"/>
      <c r="P377" s="302"/>
      <c r="Q377" s="343"/>
      <c r="R377" s="343"/>
      <c r="S377" s="343"/>
      <c r="T377" s="343"/>
      <c r="U377" s="343"/>
      <c r="V377" s="343"/>
      <c r="W377" s="343"/>
      <c r="X377" s="343"/>
      <c r="Y377" s="343"/>
    </row>
    <row r="378" spans="1:25" ht="5.15" customHeight="1" x14ac:dyDescent="0.25">
      <c r="A378" s="694"/>
      <c r="B378" s="698"/>
      <c r="C378" s="698"/>
      <c r="D378" s="302"/>
      <c r="E378" s="284"/>
      <c r="F378" s="284"/>
      <c r="G378" s="284"/>
      <c r="H378" s="284"/>
      <c r="I378" s="284"/>
      <c r="J378" s="284"/>
      <c r="K378" s="284"/>
      <c r="L378" s="284"/>
      <c r="M378" s="336"/>
      <c r="N378" s="336"/>
      <c r="O378" s="336"/>
      <c r="P378" s="302"/>
      <c r="Q378" s="343"/>
      <c r="R378" s="343"/>
      <c r="S378" s="343"/>
      <c r="T378" s="343"/>
      <c r="U378" s="343"/>
      <c r="V378" s="343"/>
      <c r="W378" s="343"/>
      <c r="X378" s="343"/>
      <c r="Y378" s="343"/>
    </row>
    <row r="379" spans="1:25" ht="12.75" customHeight="1" thickBot="1" x14ac:dyDescent="0.35">
      <c r="A379" s="694"/>
      <c r="B379" s="698"/>
      <c r="C379" s="698"/>
      <c r="D379" s="302"/>
      <c r="E379" s="688" t="str">
        <f>Translations!$B$151</f>
        <v>№</v>
      </c>
      <c r="F379" s="2579" t="str">
        <f>Translations!$B$182</f>
        <v>Наименование на инсталацията или партньора</v>
      </c>
      <c r="G379" s="2497"/>
      <c r="H379" s="2580"/>
      <c r="I379" s="2579" t="str">
        <f>Translations!$B$183</f>
        <v>Вид партньор</v>
      </c>
      <c r="J379" s="2580"/>
      <c r="K379" s="2579" t="str">
        <f>Translations!$B$184</f>
        <v>Вид връзка</v>
      </c>
      <c r="L379" s="2580"/>
      <c r="M379" s="2579" t="str">
        <f>Translations!$B$185</f>
        <v>Посока на потока</v>
      </c>
      <c r="N379" s="2497"/>
      <c r="O379" s="336"/>
      <c r="P379" s="302"/>
      <c r="Q379" s="343"/>
      <c r="R379" s="750" t="s">
        <v>289</v>
      </c>
      <c r="S379" s="772" t="s">
        <v>1950</v>
      </c>
      <c r="T379" s="343"/>
      <c r="U379" s="343"/>
      <c r="V379" s="343"/>
      <c r="W379" s="343"/>
      <c r="X379" s="343"/>
      <c r="Y379" s="343"/>
    </row>
    <row r="380" spans="1:25" ht="12.75" customHeight="1" x14ac:dyDescent="0.25">
      <c r="A380" s="694"/>
      <c r="B380" s="698"/>
      <c r="C380" s="698"/>
      <c r="D380" s="302"/>
      <c r="E380" s="774">
        <v>1</v>
      </c>
      <c r="F380" s="2307" t="str">
        <f t="shared" ref="F380:F389" si="24">IF(F351="",F302,F351)</f>
        <v/>
      </c>
      <c r="G380" s="2308"/>
      <c r="H380" s="2333"/>
      <c r="I380" s="2307" t="str">
        <f t="shared" ref="I380:I389" si="25">IF(I351="",IF(AND(I302&lt;&gt;"",COUNTIF(EUconst_ConnectedEntityTypes,I302)=0),EUconst_ERR_LinkToNIMs,I302),I351)</f>
        <v/>
      </c>
      <c r="J380" s="2334"/>
      <c r="K380" s="2307" t="str">
        <f t="shared" ref="K380:K389" si="26">IF(K351="",IF(AND(K302&lt;&gt;"",COUNTIF(EUconst_ConnectionTypes,K302)=0),EUconst_ERR_LinkToNIMs,K302),K351)</f>
        <v/>
      </c>
      <c r="L380" s="2333"/>
      <c r="M380" s="2335" t="str">
        <f t="shared" ref="M380:M389" si="27">IF(M351="",IF(AND(M302&lt;&gt;"",COUNTIF(EUconst_ConnectionTransferTypes,M302)=0),EUconst_ERR_LinkToNIMs,M302),M351)</f>
        <v/>
      </c>
      <c r="N380" s="2336"/>
      <c r="O380" s="336"/>
      <c r="P380" s="302"/>
      <c r="Q380" s="343"/>
      <c r="R380" s="776" t="str">
        <f>IF(F380&lt;&gt;"",ROWS($F$380:F380)-COUNTIF($F$380:F380,""),"")</f>
        <v/>
      </c>
      <c r="S380" s="776" t="str">
        <f t="shared" ref="S380:S389" si="28">IF(I380="","",OR(MATCH(I380,EUconst_ConnectedEntityTypes,0)=1,MATCH(I380,EUconst_ConnectedEntityTypes,0)=3))</f>
        <v/>
      </c>
      <c r="T380" s="343"/>
      <c r="U380" s="343"/>
      <c r="V380" s="343"/>
      <c r="W380" s="343"/>
      <c r="X380" s="343"/>
      <c r="Y380" s="343"/>
    </row>
    <row r="381" spans="1:25" ht="12.75" customHeight="1" x14ac:dyDescent="0.25">
      <c r="A381" s="694"/>
      <c r="B381" s="698"/>
      <c r="C381" s="698"/>
      <c r="D381" s="302"/>
      <c r="E381" s="777">
        <f t="shared" ref="E381:E389" si="29">E380+1</f>
        <v>2</v>
      </c>
      <c r="F381" s="2327" t="str">
        <f t="shared" si="24"/>
        <v/>
      </c>
      <c r="G381" s="2328"/>
      <c r="H381" s="2329"/>
      <c r="I381" s="2327" t="str">
        <f t="shared" si="25"/>
        <v/>
      </c>
      <c r="J381" s="2330"/>
      <c r="K381" s="2327" t="str">
        <f t="shared" si="26"/>
        <v/>
      </c>
      <c r="L381" s="2329"/>
      <c r="M381" s="2331" t="str">
        <f t="shared" si="27"/>
        <v/>
      </c>
      <c r="N381" s="2332"/>
      <c r="O381" s="336"/>
      <c r="P381" s="302"/>
      <c r="Q381" s="343"/>
      <c r="R381" s="778" t="str">
        <f>IF(F381&lt;&gt;"",ROWS($F$380:F381)-COUNTIF($F$380:F381,""),"")</f>
        <v/>
      </c>
      <c r="S381" s="778" t="str">
        <f t="shared" si="28"/>
        <v/>
      </c>
      <c r="T381" s="343"/>
      <c r="U381" s="343"/>
      <c r="V381" s="343"/>
      <c r="W381" s="343"/>
      <c r="X381" s="343"/>
      <c r="Y381" s="343"/>
    </row>
    <row r="382" spans="1:25" ht="12.75" customHeight="1" x14ac:dyDescent="0.25">
      <c r="A382" s="694"/>
      <c r="B382" s="698"/>
      <c r="C382" s="698"/>
      <c r="D382" s="302"/>
      <c r="E382" s="777">
        <f t="shared" si="29"/>
        <v>3</v>
      </c>
      <c r="F382" s="2327" t="str">
        <f t="shared" si="24"/>
        <v/>
      </c>
      <c r="G382" s="2328"/>
      <c r="H382" s="2329"/>
      <c r="I382" s="2327" t="str">
        <f t="shared" si="25"/>
        <v/>
      </c>
      <c r="J382" s="2330"/>
      <c r="K382" s="2327" t="str">
        <f t="shared" si="26"/>
        <v/>
      </c>
      <c r="L382" s="2329"/>
      <c r="M382" s="2331" t="str">
        <f t="shared" si="27"/>
        <v/>
      </c>
      <c r="N382" s="2332"/>
      <c r="O382" s="336"/>
      <c r="P382" s="302"/>
      <c r="Q382" s="343"/>
      <c r="R382" s="778" t="str">
        <f>IF(F382&lt;&gt;"",ROWS($F$380:F382)-COUNTIF($F$380:F382,""),"")</f>
        <v/>
      </c>
      <c r="S382" s="778" t="str">
        <f t="shared" si="28"/>
        <v/>
      </c>
      <c r="T382" s="343"/>
      <c r="U382" s="343"/>
      <c r="V382" s="343"/>
      <c r="W382" s="343"/>
      <c r="X382" s="343"/>
      <c r="Y382" s="343"/>
    </row>
    <row r="383" spans="1:25" ht="12.75" customHeight="1" x14ac:dyDescent="0.25">
      <c r="A383" s="694"/>
      <c r="B383" s="698"/>
      <c r="C383" s="698"/>
      <c r="D383" s="302"/>
      <c r="E383" s="777">
        <f t="shared" si="29"/>
        <v>4</v>
      </c>
      <c r="F383" s="2327" t="str">
        <f t="shared" si="24"/>
        <v/>
      </c>
      <c r="G383" s="2328"/>
      <c r="H383" s="2329"/>
      <c r="I383" s="2327" t="str">
        <f t="shared" si="25"/>
        <v/>
      </c>
      <c r="J383" s="2330"/>
      <c r="K383" s="2327" t="str">
        <f t="shared" si="26"/>
        <v/>
      </c>
      <c r="L383" s="2329"/>
      <c r="M383" s="2331" t="str">
        <f t="shared" si="27"/>
        <v/>
      </c>
      <c r="N383" s="2332"/>
      <c r="O383" s="336"/>
      <c r="P383" s="302"/>
      <c r="Q383" s="343"/>
      <c r="R383" s="778" t="str">
        <f>IF(F383&lt;&gt;"",ROWS($F$380:F383)-COUNTIF($F$380:F383,""),"")</f>
        <v/>
      </c>
      <c r="S383" s="778" t="str">
        <f t="shared" si="28"/>
        <v/>
      </c>
      <c r="T383" s="343"/>
      <c r="U383" s="343"/>
      <c r="V383" s="343"/>
      <c r="W383" s="343"/>
      <c r="X383" s="343"/>
      <c r="Y383" s="343"/>
    </row>
    <row r="384" spans="1:25" ht="12.75" customHeight="1" x14ac:dyDescent="0.25">
      <c r="A384" s="694"/>
      <c r="B384" s="698"/>
      <c r="C384" s="698"/>
      <c r="D384" s="302"/>
      <c r="E384" s="777">
        <f t="shared" si="29"/>
        <v>5</v>
      </c>
      <c r="F384" s="2327" t="str">
        <f t="shared" si="24"/>
        <v/>
      </c>
      <c r="G384" s="2328"/>
      <c r="H384" s="2329"/>
      <c r="I384" s="2327" t="str">
        <f t="shared" si="25"/>
        <v/>
      </c>
      <c r="J384" s="2330"/>
      <c r="K384" s="2327" t="str">
        <f t="shared" si="26"/>
        <v/>
      </c>
      <c r="L384" s="2329"/>
      <c r="M384" s="2331" t="str">
        <f t="shared" si="27"/>
        <v/>
      </c>
      <c r="N384" s="2332"/>
      <c r="O384" s="336"/>
      <c r="P384" s="302"/>
      <c r="Q384" s="343"/>
      <c r="R384" s="778" t="str">
        <f>IF(F384&lt;&gt;"",ROWS($F$380:F384)-COUNTIF($F$380:F384,""),"")</f>
        <v/>
      </c>
      <c r="S384" s="778" t="str">
        <f t="shared" si="28"/>
        <v/>
      </c>
      <c r="T384" s="343"/>
      <c r="U384" s="343"/>
      <c r="V384" s="343"/>
      <c r="W384" s="343"/>
      <c r="X384" s="343"/>
      <c r="Y384" s="343"/>
    </row>
    <row r="385" spans="1:25" ht="12.75" customHeight="1" x14ac:dyDescent="0.25">
      <c r="A385" s="694"/>
      <c r="B385" s="698"/>
      <c r="C385" s="698"/>
      <c r="D385" s="302"/>
      <c r="E385" s="777">
        <f t="shared" si="29"/>
        <v>6</v>
      </c>
      <c r="F385" s="2327" t="str">
        <f t="shared" si="24"/>
        <v/>
      </c>
      <c r="G385" s="2328"/>
      <c r="H385" s="2329"/>
      <c r="I385" s="2327" t="str">
        <f t="shared" si="25"/>
        <v/>
      </c>
      <c r="J385" s="2330"/>
      <c r="K385" s="2327" t="str">
        <f t="shared" si="26"/>
        <v/>
      </c>
      <c r="L385" s="2329"/>
      <c r="M385" s="2331" t="str">
        <f t="shared" si="27"/>
        <v/>
      </c>
      <c r="N385" s="2332"/>
      <c r="O385" s="336"/>
      <c r="P385" s="302"/>
      <c r="Q385" s="343"/>
      <c r="R385" s="778" t="str">
        <f>IF(F385&lt;&gt;"",ROWS($F$380:F385)-COUNTIF($F$380:F385,""),"")</f>
        <v/>
      </c>
      <c r="S385" s="778" t="str">
        <f t="shared" si="28"/>
        <v/>
      </c>
      <c r="T385" s="343"/>
      <c r="U385" s="343"/>
      <c r="V385" s="343"/>
      <c r="W385" s="343"/>
      <c r="X385" s="343"/>
      <c r="Y385" s="343"/>
    </row>
    <row r="386" spans="1:25" ht="12.75" customHeight="1" x14ac:dyDescent="0.25">
      <c r="A386" s="694"/>
      <c r="B386" s="698"/>
      <c r="C386" s="698"/>
      <c r="D386" s="302"/>
      <c r="E386" s="777">
        <f t="shared" si="29"/>
        <v>7</v>
      </c>
      <c r="F386" s="2327" t="str">
        <f t="shared" si="24"/>
        <v/>
      </c>
      <c r="G386" s="2328"/>
      <c r="H386" s="2329"/>
      <c r="I386" s="2327" t="str">
        <f t="shared" si="25"/>
        <v/>
      </c>
      <c r="J386" s="2330"/>
      <c r="K386" s="2327" t="str">
        <f t="shared" si="26"/>
        <v/>
      </c>
      <c r="L386" s="2329"/>
      <c r="M386" s="2331" t="str">
        <f t="shared" si="27"/>
        <v/>
      </c>
      <c r="N386" s="2332"/>
      <c r="O386" s="336"/>
      <c r="P386" s="302"/>
      <c r="Q386" s="343"/>
      <c r="R386" s="778" t="str">
        <f>IF(F386&lt;&gt;"",ROWS($F$380:F386)-COUNTIF($F$380:F386,""),"")</f>
        <v/>
      </c>
      <c r="S386" s="778" t="str">
        <f t="shared" si="28"/>
        <v/>
      </c>
      <c r="T386" s="343"/>
      <c r="U386" s="343"/>
      <c r="V386" s="343"/>
      <c r="W386" s="343"/>
      <c r="X386" s="343"/>
      <c r="Y386" s="343"/>
    </row>
    <row r="387" spans="1:25" ht="12.75" customHeight="1" x14ac:dyDescent="0.25">
      <c r="A387" s="694"/>
      <c r="B387" s="698"/>
      <c r="C387" s="698"/>
      <c r="D387" s="302"/>
      <c r="E387" s="777">
        <f t="shared" si="29"/>
        <v>8</v>
      </c>
      <c r="F387" s="2327" t="str">
        <f t="shared" si="24"/>
        <v/>
      </c>
      <c r="G387" s="2328"/>
      <c r="H387" s="2329"/>
      <c r="I387" s="2327" t="str">
        <f t="shared" si="25"/>
        <v/>
      </c>
      <c r="J387" s="2330"/>
      <c r="K387" s="2327" t="str">
        <f t="shared" si="26"/>
        <v/>
      </c>
      <c r="L387" s="2329"/>
      <c r="M387" s="2331" t="str">
        <f t="shared" si="27"/>
        <v/>
      </c>
      <c r="N387" s="2332"/>
      <c r="O387" s="336"/>
      <c r="P387" s="302"/>
      <c r="Q387" s="343"/>
      <c r="R387" s="778" t="str">
        <f>IF(F387&lt;&gt;"",ROWS($F$380:F387)-COUNTIF($F$380:F387,""),"")</f>
        <v/>
      </c>
      <c r="S387" s="778" t="str">
        <f t="shared" si="28"/>
        <v/>
      </c>
      <c r="T387" s="343"/>
      <c r="U387" s="343"/>
      <c r="V387" s="343"/>
      <c r="W387" s="343"/>
      <c r="X387" s="343"/>
      <c r="Y387" s="343"/>
    </row>
    <row r="388" spans="1:25" ht="12.75" customHeight="1" x14ac:dyDescent="0.25">
      <c r="A388" s="694"/>
      <c r="B388" s="698"/>
      <c r="C388" s="698"/>
      <c r="D388" s="302"/>
      <c r="E388" s="777">
        <f t="shared" si="29"/>
        <v>9</v>
      </c>
      <c r="F388" s="2327" t="str">
        <f t="shared" si="24"/>
        <v/>
      </c>
      <c r="G388" s="2328"/>
      <c r="H388" s="2329"/>
      <c r="I388" s="2327" t="str">
        <f t="shared" si="25"/>
        <v/>
      </c>
      <c r="J388" s="2330"/>
      <c r="K388" s="2327" t="str">
        <f t="shared" si="26"/>
        <v/>
      </c>
      <c r="L388" s="2329"/>
      <c r="M388" s="2331" t="str">
        <f t="shared" si="27"/>
        <v/>
      </c>
      <c r="N388" s="2332"/>
      <c r="O388" s="336"/>
      <c r="P388" s="302"/>
      <c r="Q388" s="343"/>
      <c r="R388" s="778" t="str">
        <f>IF(F388&lt;&gt;"",ROWS($F$380:F388)-COUNTIF($F$380:F388,""),"")</f>
        <v/>
      </c>
      <c r="S388" s="778" t="str">
        <f t="shared" si="28"/>
        <v/>
      </c>
      <c r="T388" s="343"/>
      <c r="U388" s="343"/>
      <c r="V388" s="343"/>
      <c r="W388" s="343"/>
      <c r="X388" s="343"/>
      <c r="Y388" s="343"/>
    </row>
    <row r="389" spans="1:25" ht="12.75" customHeight="1" thickBot="1" x14ac:dyDescent="0.3">
      <c r="A389" s="694"/>
      <c r="B389" s="698"/>
      <c r="C389" s="698"/>
      <c r="D389" s="302"/>
      <c r="E389" s="779">
        <f t="shared" si="29"/>
        <v>10</v>
      </c>
      <c r="F389" s="2337" t="str">
        <f t="shared" si="24"/>
        <v/>
      </c>
      <c r="G389" s="2338"/>
      <c r="H389" s="2339"/>
      <c r="I389" s="2337" t="str">
        <f t="shared" si="25"/>
        <v/>
      </c>
      <c r="J389" s="2340"/>
      <c r="K389" s="2337" t="str">
        <f t="shared" si="26"/>
        <v/>
      </c>
      <c r="L389" s="2339"/>
      <c r="M389" s="2341" t="str">
        <f t="shared" si="27"/>
        <v/>
      </c>
      <c r="N389" s="2342"/>
      <c r="O389" s="336"/>
      <c r="P389" s="302"/>
      <c r="Q389" s="343"/>
      <c r="R389" s="780" t="str">
        <f>IF(F389&lt;&gt;"",ROWS($F$380:F389)-COUNTIF($F$380:F389,""),"")</f>
        <v/>
      </c>
      <c r="S389" s="780" t="str">
        <f t="shared" si="28"/>
        <v/>
      </c>
      <c r="T389" s="343"/>
      <c r="U389" s="343"/>
      <c r="V389" s="343"/>
      <c r="W389" s="343"/>
      <c r="X389" s="343"/>
      <c r="Y389" s="343"/>
    </row>
    <row r="390" spans="1:25" ht="12.75" customHeight="1" x14ac:dyDescent="0.25">
      <c r="A390" s="694"/>
      <c r="B390" s="698"/>
      <c r="C390" s="698"/>
      <c r="D390" s="302"/>
      <c r="E390" s="407"/>
      <c r="F390" s="407"/>
      <c r="G390" s="407"/>
      <c r="H390" s="407"/>
      <c r="I390" s="407"/>
      <c r="J390" s="407"/>
      <c r="K390" s="407"/>
      <c r="L390" s="407"/>
      <c r="M390" s="407"/>
      <c r="N390" s="407"/>
      <c r="O390" s="336"/>
      <c r="P390" s="302"/>
      <c r="Q390" s="343"/>
      <c r="R390" s="343"/>
      <c r="S390" s="343"/>
      <c r="T390" s="343"/>
      <c r="U390" s="343"/>
      <c r="V390" s="343"/>
      <c r="W390" s="343"/>
      <c r="X390" s="343"/>
      <c r="Y390" s="343"/>
    </row>
    <row r="391" spans="1:25" ht="25.5" customHeight="1" x14ac:dyDescent="0.3">
      <c r="A391" s="694"/>
      <c r="B391" s="698"/>
      <c r="C391" s="698"/>
      <c r="D391" s="302"/>
      <c r="E391" s="692" t="str">
        <f>Translations!$B$151</f>
        <v>№</v>
      </c>
      <c r="F391" s="2324" t="str">
        <f>Translations!$B$189</f>
        <v>Идентификатор на инсталацията, използван в регистъра</v>
      </c>
      <c r="G391" s="2326"/>
      <c r="H391" s="2324" t="str">
        <f>Translations!$B$190</f>
        <v>Име на лицето за контакти</v>
      </c>
      <c r="I391" s="2326"/>
      <c r="J391" s="2345" t="str">
        <f>Translations!$B$191</f>
        <v>Електронна поща</v>
      </c>
      <c r="K391" s="2325"/>
      <c r="L391" s="2326"/>
      <c r="M391" s="2324" t="str">
        <f>Translations!$B$192</f>
        <v>телефонен номер</v>
      </c>
      <c r="N391" s="2346"/>
      <c r="O391" s="336"/>
      <c r="P391" s="302"/>
      <c r="Q391" s="343"/>
      <c r="R391" s="343"/>
      <c r="S391" s="343"/>
      <c r="T391" s="343"/>
      <c r="U391" s="343"/>
      <c r="V391" s="343"/>
      <c r="W391" s="343"/>
      <c r="X391" s="343"/>
      <c r="Y391" s="343"/>
    </row>
    <row r="392" spans="1:25" ht="12.75" customHeight="1" x14ac:dyDescent="0.25">
      <c r="A392" s="694"/>
      <c r="B392" s="698"/>
      <c r="C392" s="698"/>
      <c r="D392" s="302"/>
      <c r="E392" s="783">
        <v>1</v>
      </c>
      <c r="F392" s="2347" t="str">
        <f t="shared" ref="F392:F401" si="30">IF(F366="",F314,F366)</f>
        <v/>
      </c>
      <c r="G392" s="2348"/>
      <c r="H392" s="2307" t="str">
        <f t="shared" ref="H392:H401" si="31">IF(H366="",H314,H366)</f>
        <v/>
      </c>
      <c r="I392" s="2333"/>
      <c r="J392" s="2307" t="str">
        <f t="shared" ref="J392:J401" si="32">IF(J366="",J314,J366)</f>
        <v/>
      </c>
      <c r="K392" s="2308"/>
      <c r="L392" s="2333"/>
      <c r="M392" s="2307" t="str">
        <f t="shared" ref="M392:M401" si="33">IF(M366="",M314,M366)</f>
        <v/>
      </c>
      <c r="N392" s="2308"/>
      <c r="O392" s="336"/>
      <c r="P392" s="302"/>
      <c r="Q392" s="343"/>
      <c r="R392" s="343"/>
      <c r="S392" s="343"/>
      <c r="T392" s="343"/>
      <c r="U392" s="343"/>
      <c r="V392" s="343"/>
      <c r="W392" s="343"/>
      <c r="X392" s="343"/>
      <c r="Y392" s="343"/>
    </row>
    <row r="393" spans="1:25" ht="12.75" customHeight="1" x14ac:dyDescent="0.25">
      <c r="A393" s="694"/>
      <c r="B393" s="698"/>
      <c r="C393" s="698"/>
      <c r="D393" s="302"/>
      <c r="E393" s="777">
        <f t="shared" ref="E393:E401" si="34">E392+1</f>
        <v>2</v>
      </c>
      <c r="F393" s="2343" t="str">
        <f t="shared" si="30"/>
        <v/>
      </c>
      <c r="G393" s="2344"/>
      <c r="H393" s="2327" t="str">
        <f t="shared" si="31"/>
        <v/>
      </c>
      <c r="I393" s="2329"/>
      <c r="J393" s="2327" t="str">
        <f t="shared" si="32"/>
        <v/>
      </c>
      <c r="K393" s="2328"/>
      <c r="L393" s="2329"/>
      <c r="M393" s="2312" t="str">
        <f t="shared" si="33"/>
        <v/>
      </c>
      <c r="N393" s="2313"/>
      <c r="O393" s="336"/>
      <c r="P393" s="302"/>
      <c r="Q393" s="343"/>
      <c r="R393" s="343"/>
      <c r="S393" s="343"/>
      <c r="T393" s="343"/>
      <c r="U393" s="343"/>
      <c r="V393" s="343"/>
      <c r="W393" s="343"/>
      <c r="X393" s="343"/>
      <c r="Y393" s="343"/>
    </row>
    <row r="394" spans="1:25" ht="12.75" customHeight="1" x14ac:dyDescent="0.25">
      <c r="A394" s="694"/>
      <c r="B394" s="698"/>
      <c r="C394" s="698"/>
      <c r="D394" s="302"/>
      <c r="E394" s="777">
        <f t="shared" si="34"/>
        <v>3</v>
      </c>
      <c r="F394" s="2343" t="str">
        <f t="shared" si="30"/>
        <v/>
      </c>
      <c r="G394" s="2344"/>
      <c r="H394" s="2327" t="str">
        <f t="shared" si="31"/>
        <v/>
      </c>
      <c r="I394" s="2329"/>
      <c r="J394" s="2327" t="str">
        <f t="shared" si="32"/>
        <v/>
      </c>
      <c r="K394" s="2328"/>
      <c r="L394" s="2329"/>
      <c r="M394" s="2312" t="str">
        <f t="shared" si="33"/>
        <v/>
      </c>
      <c r="N394" s="2313"/>
      <c r="O394" s="336"/>
      <c r="P394" s="302"/>
      <c r="Q394" s="343"/>
      <c r="R394" s="343"/>
      <c r="S394" s="343"/>
      <c r="T394" s="343"/>
      <c r="U394" s="343"/>
      <c r="V394" s="343"/>
      <c r="W394" s="343"/>
      <c r="X394" s="343"/>
      <c r="Y394" s="343"/>
    </row>
    <row r="395" spans="1:25" ht="12.75" customHeight="1" x14ac:dyDescent="0.25">
      <c r="A395" s="694"/>
      <c r="B395" s="698"/>
      <c r="C395" s="698"/>
      <c r="D395" s="302"/>
      <c r="E395" s="777">
        <f t="shared" si="34"/>
        <v>4</v>
      </c>
      <c r="F395" s="2343" t="str">
        <f t="shared" si="30"/>
        <v/>
      </c>
      <c r="G395" s="2344"/>
      <c r="H395" s="2327" t="str">
        <f t="shared" si="31"/>
        <v/>
      </c>
      <c r="I395" s="2329"/>
      <c r="J395" s="2327" t="str">
        <f t="shared" si="32"/>
        <v/>
      </c>
      <c r="K395" s="2328"/>
      <c r="L395" s="2329"/>
      <c r="M395" s="2312" t="str">
        <f t="shared" si="33"/>
        <v/>
      </c>
      <c r="N395" s="2313"/>
      <c r="O395" s="336"/>
      <c r="P395" s="302"/>
      <c r="Q395" s="343"/>
      <c r="R395" s="343"/>
      <c r="S395" s="343"/>
      <c r="T395" s="343"/>
      <c r="U395" s="343"/>
      <c r="V395" s="343"/>
      <c r="W395" s="343"/>
      <c r="X395" s="343"/>
      <c r="Y395" s="343"/>
    </row>
    <row r="396" spans="1:25" ht="12.75" customHeight="1" x14ac:dyDescent="0.25">
      <c r="A396" s="694"/>
      <c r="B396" s="698"/>
      <c r="C396" s="698"/>
      <c r="D396" s="302"/>
      <c r="E396" s="777">
        <f t="shared" si="34"/>
        <v>5</v>
      </c>
      <c r="F396" s="2343" t="str">
        <f t="shared" si="30"/>
        <v/>
      </c>
      <c r="G396" s="2344"/>
      <c r="H396" s="2327" t="str">
        <f t="shared" si="31"/>
        <v/>
      </c>
      <c r="I396" s="2329"/>
      <c r="J396" s="2327" t="str">
        <f t="shared" si="32"/>
        <v/>
      </c>
      <c r="K396" s="2328"/>
      <c r="L396" s="2329"/>
      <c r="M396" s="2312" t="str">
        <f t="shared" si="33"/>
        <v/>
      </c>
      <c r="N396" s="2313"/>
      <c r="O396" s="336"/>
      <c r="P396" s="302"/>
      <c r="Q396" s="343"/>
      <c r="R396" s="343"/>
      <c r="S396" s="343"/>
      <c r="T396" s="343"/>
      <c r="U396" s="343"/>
      <c r="V396" s="343"/>
      <c r="W396" s="343"/>
      <c r="X396" s="343"/>
      <c r="Y396" s="343"/>
    </row>
    <row r="397" spans="1:25" ht="12.75" customHeight="1" x14ac:dyDescent="0.25">
      <c r="A397" s="694"/>
      <c r="B397" s="698"/>
      <c r="C397" s="698"/>
      <c r="D397" s="302"/>
      <c r="E397" s="777">
        <f t="shared" si="34"/>
        <v>6</v>
      </c>
      <c r="F397" s="2343" t="str">
        <f t="shared" si="30"/>
        <v/>
      </c>
      <c r="G397" s="2344"/>
      <c r="H397" s="2327" t="str">
        <f t="shared" si="31"/>
        <v/>
      </c>
      <c r="I397" s="2329"/>
      <c r="J397" s="2327" t="str">
        <f t="shared" si="32"/>
        <v/>
      </c>
      <c r="K397" s="2328"/>
      <c r="L397" s="2329"/>
      <c r="M397" s="2312" t="str">
        <f t="shared" si="33"/>
        <v/>
      </c>
      <c r="N397" s="2313"/>
      <c r="O397" s="336"/>
      <c r="P397" s="302"/>
      <c r="Q397" s="343"/>
      <c r="R397" s="343"/>
      <c r="S397" s="343"/>
      <c r="T397" s="343"/>
      <c r="U397" s="343"/>
      <c r="V397" s="343"/>
      <c r="W397" s="343"/>
      <c r="X397" s="343"/>
      <c r="Y397" s="343"/>
    </row>
    <row r="398" spans="1:25" ht="12.75" customHeight="1" x14ac:dyDescent="0.25">
      <c r="A398" s="694"/>
      <c r="B398" s="698"/>
      <c r="C398" s="698"/>
      <c r="D398" s="302"/>
      <c r="E398" s="777">
        <f t="shared" si="34"/>
        <v>7</v>
      </c>
      <c r="F398" s="2343" t="str">
        <f t="shared" si="30"/>
        <v/>
      </c>
      <c r="G398" s="2344"/>
      <c r="H398" s="2327" t="str">
        <f t="shared" si="31"/>
        <v/>
      </c>
      <c r="I398" s="2329"/>
      <c r="J398" s="2327" t="str">
        <f t="shared" si="32"/>
        <v/>
      </c>
      <c r="K398" s="2328"/>
      <c r="L398" s="2329"/>
      <c r="M398" s="2312" t="str">
        <f t="shared" si="33"/>
        <v/>
      </c>
      <c r="N398" s="2313"/>
      <c r="O398" s="336"/>
      <c r="P398" s="302"/>
      <c r="Q398" s="343"/>
      <c r="R398" s="343"/>
      <c r="S398" s="343"/>
      <c r="T398" s="343"/>
      <c r="U398" s="343"/>
      <c r="V398" s="343"/>
      <c r="W398" s="343"/>
      <c r="X398" s="343"/>
      <c r="Y398" s="343"/>
    </row>
    <row r="399" spans="1:25" ht="12.75" customHeight="1" x14ac:dyDescent="0.25">
      <c r="A399" s="694"/>
      <c r="B399" s="698"/>
      <c r="C399" s="698"/>
      <c r="D399" s="302"/>
      <c r="E399" s="777">
        <f t="shared" si="34"/>
        <v>8</v>
      </c>
      <c r="F399" s="2343" t="str">
        <f t="shared" si="30"/>
        <v/>
      </c>
      <c r="G399" s="2344"/>
      <c r="H399" s="2327" t="str">
        <f t="shared" si="31"/>
        <v/>
      </c>
      <c r="I399" s="2329"/>
      <c r="J399" s="2327" t="str">
        <f t="shared" si="32"/>
        <v/>
      </c>
      <c r="K399" s="2328"/>
      <c r="L399" s="2329"/>
      <c r="M399" s="2312" t="str">
        <f t="shared" si="33"/>
        <v/>
      </c>
      <c r="N399" s="2313"/>
      <c r="O399" s="336"/>
      <c r="P399" s="302"/>
      <c r="Q399" s="343"/>
      <c r="R399" s="343"/>
      <c r="S399" s="343"/>
      <c r="T399" s="343"/>
      <c r="U399" s="343"/>
      <c r="V399" s="343"/>
      <c r="W399" s="343"/>
      <c r="X399" s="343"/>
      <c r="Y399" s="343"/>
    </row>
    <row r="400" spans="1:25" ht="12.75" customHeight="1" x14ac:dyDescent="0.25">
      <c r="A400" s="694"/>
      <c r="B400" s="698"/>
      <c r="C400" s="698"/>
      <c r="D400" s="302"/>
      <c r="E400" s="777">
        <f t="shared" si="34"/>
        <v>9</v>
      </c>
      <c r="F400" s="2343" t="str">
        <f t="shared" si="30"/>
        <v/>
      </c>
      <c r="G400" s="2344"/>
      <c r="H400" s="2327" t="str">
        <f t="shared" si="31"/>
        <v/>
      </c>
      <c r="I400" s="2329"/>
      <c r="J400" s="2327" t="str">
        <f t="shared" si="32"/>
        <v/>
      </c>
      <c r="K400" s="2328"/>
      <c r="L400" s="2329"/>
      <c r="M400" s="2312" t="str">
        <f t="shared" si="33"/>
        <v/>
      </c>
      <c r="N400" s="2313"/>
      <c r="O400" s="336"/>
      <c r="P400" s="302"/>
      <c r="Q400" s="343"/>
      <c r="R400" s="343"/>
      <c r="S400" s="343"/>
      <c r="T400" s="343"/>
      <c r="U400" s="343"/>
      <c r="V400" s="343"/>
      <c r="W400" s="343"/>
      <c r="X400" s="343"/>
      <c r="Y400" s="343"/>
    </row>
    <row r="401" spans="1:25" ht="12.75" customHeight="1" x14ac:dyDescent="0.25">
      <c r="A401" s="694"/>
      <c r="B401" s="698"/>
      <c r="C401" s="698"/>
      <c r="D401" s="302"/>
      <c r="E401" s="779">
        <f t="shared" si="34"/>
        <v>10</v>
      </c>
      <c r="F401" s="2349" t="str">
        <f t="shared" si="30"/>
        <v/>
      </c>
      <c r="G401" s="2350"/>
      <c r="H401" s="2337" t="str">
        <f t="shared" si="31"/>
        <v/>
      </c>
      <c r="I401" s="2339"/>
      <c r="J401" s="2337" t="str">
        <f t="shared" si="32"/>
        <v/>
      </c>
      <c r="K401" s="2338"/>
      <c r="L401" s="2339"/>
      <c r="M401" s="2321" t="str">
        <f t="shared" si="33"/>
        <v/>
      </c>
      <c r="N401" s="2322"/>
      <c r="O401" s="336"/>
      <c r="P401" s="302"/>
      <c r="Q401" s="343"/>
      <c r="R401" s="343"/>
      <c r="S401" s="343"/>
      <c r="T401" s="343"/>
      <c r="U401" s="343"/>
      <c r="V401" s="343"/>
      <c r="W401" s="343"/>
      <c r="X401" s="343"/>
      <c r="Y401" s="343"/>
    </row>
    <row r="402" spans="1:25" ht="5.15" customHeight="1" x14ac:dyDescent="0.25">
      <c r="A402" s="694"/>
      <c r="B402" s="698"/>
      <c r="C402" s="698"/>
      <c r="D402" s="302"/>
      <c r="E402" s="284"/>
      <c r="F402" s="284"/>
      <c r="G402" s="284"/>
      <c r="H402" s="284"/>
      <c r="I402" s="284"/>
      <c r="J402" s="284"/>
      <c r="K402" s="284"/>
      <c r="L402" s="284"/>
      <c r="M402" s="336"/>
      <c r="N402" s="336"/>
      <c r="O402" s="336"/>
      <c r="P402" s="302"/>
      <c r="Q402" s="343"/>
      <c r="R402" s="343"/>
      <c r="S402" s="343"/>
      <c r="T402" s="343"/>
      <c r="U402" s="343"/>
      <c r="V402" s="343"/>
      <c r="W402" s="343"/>
      <c r="X402" s="343"/>
      <c r="Y402" s="343"/>
    </row>
    <row r="403" spans="1:25" ht="5.15" customHeight="1" x14ac:dyDescent="0.25">
      <c r="A403" s="694"/>
      <c r="B403" s="284"/>
      <c r="C403" s="284"/>
      <c r="D403" s="287"/>
      <c r="E403" s="284"/>
      <c r="F403" s="284"/>
      <c r="G403" s="284"/>
      <c r="H403" s="284"/>
      <c r="I403" s="284"/>
      <c r="J403" s="284"/>
      <c r="K403" s="284"/>
      <c r="L403" s="284"/>
      <c r="M403" s="336"/>
      <c r="N403" s="336"/>
      <c r="O403" s="336"/>
      <c r="P403" s="302"/>
      <c r="Q403" s="729"/>
      <c r="R403" s="729"/>
      <c r="S403" s="729"/>
      <c r="T403" s="729"/>
      <c r="U403" s="343"/>
      <c r="V403" s="343"/>
      <c r="W403" s="343"/>
      <c r="X403" s="343"/>
      <c r="Y403" s="343"/>
    </row>
    <row r="404" spans="1:25" x14ac:dyDescent="0.25">
      <c r="A404" s="694"/>
      <c r="B404" s="698"/>
      <c r="C404" s="698"/>
      <c r="D404" s="2263" t="str">
        <f>Translations!$B$64</f>
        <v xml:space="preserve">&lt;&lt;&lt; Щракнете тук за да продължите към следващия лист &gt;&gt;&gt; </v>
      </c>
      <c r="E404" s="2263"/>
      <c r="F404" s="2263"/>
      <c r="G404" s="2263"/>
      <c r="H404" s="2263"/>
      <c r="I404" s="2263"/>
      <c r="J404" s="2263"/>
      <c r="K404" s="2263"/>
      <c r="L404" s="2263"/>
      <c r="M404" s="2263"/>
      <c r="N404" s="2263"/>
      <c r="O404" s="336"/>
      <c r="P404" s="302"/>
      <c r="Q404" s="343"/>
      <c r="R404" s="343"/>
      <c r="S404" s="343"/>
      <c r="T404" s="343"/>
      <c r="U404" s="343"/>
      <c r="V404" s="343"/>
      <c r="W404" s="343"/>
      <c r="X404" s="343"/>
      <c r="Y404" s="343"/>
    </row>
    <row r="405" spans="1:25" x14ac:dyDescent="0.25">
      <c r="A405" s="694"/>
      <c r="B405" s="698"/>
      <c r="C405" s="698"/>
      <c r="D405" s="698"/>
      <c r="E405" s="698"/>
      <c r="F405" s="698"/>
      <c r="G405" s="698"/>
      <c r="H405" s="698"/>
      <c r="I405" s="698"/>
      <c r="J405" s="698"/>
      <c r="K405" s="698"/>
      <c r="L405" s="698"/>
      <c r="M405" s="698"/>
      <c r="N405" s="698"/>
      <c r="O405" s="336"/>
      <c r="P405" s="302"/>
      <c r="Q405" s="343"/>
      <c r="R405" s="343"/>
      <c r="S405" s="343"/>
      <c r="T405" s="343"/>
      <c r="U405" s="343"/>
      <c r="V405" s="343"/>
      <c r="W405" s="343"/>
      <c r="X405" s="343"/>
      <c r="Y405" s="343"/>
    </row>
    <row r="406" spans="1:25" hidden="1" x14ac:dyDescent="0.25">
      <c r="A406" s="694" t="s">
        <v>312</v>
      </c>
      <c r="B406" s="694" t="s">
        <v>898</v>
      </c>
      <c r="C406" s="694" t="s">
        <v>898</v>
      </c>
      <c r="D406" s="694" t="s">
        <v>898</v>
      </c>
      <c r="E406" s="694" t="s">
        <v>898</v>
      </c>
      <c r="F406" s="694" t="s">
        <v>898</v>
      </c>
      <c r="G406" s="694" t="s">
        <v>898</v>
      </c>
      <c r="H406" s="694" t="s">
        <v>898</v>
      </c>
      <c r="I406" s="694" t="s">
        <v>898</v>
      </c>
      <c r="J406" s="694" t="s">
        <v>898</v>
      </c>
      <c r="K406" s="694" t="s">
        <v>898</v>
      </c>
      <c r="L406" s="694" t="s">
        <v>898</v>
      </c>
      <c r="M406" s="694" t="s">
        <v>898</v>
      </c>
      <c r="N406" s="694" t="s">
        <v>898</v>
      </c>
      <c r="O406" s="694" t="s">
        <v>898</v>
      </c>
      <c r="P406" s="694" t="s">
        <v>898</v>
      </c>
      <c r="Q406" s="343" t="s">
        <v>898</v>
      </c>
      <c r="R406" s="343" t="s">
        <v>898</v>
      </c>
      <c r="S406" s="343" t="s">
        <v>898</v>
      </c>
      <c r="T406" s="343" t="s">
        <v>898</v>
      </c>
      <c r="U406" s="343" t="s">
        <v>898</v>
      </c>
      <c r="V406" s="343" t="s">
        <v>898</v>
      </c>
      <c r="W406" s="343" t="s">
        <v>898</v>
      </c>
      <c r="X406" s="343" t="s">
        <v>898</v>
      </c>
      <c r="Y406" s="343" t="s">
        <v>898</v>
      </c>
    </row>
    <row r="407" spans="1:25" hidden="1" x14ac:dyDescent="0.25">
      <c r="A407" s="694" t="s">
        <v>312</v>
      </c>
      <c r="B407" s="725"/>
      <c r="C407" s="725"/>
      <c r="D407" s="725"/>
      <c r="E407" s="725"/>
      <c r="F407" s="725"/>
      <c r="G407" s="725"/>
      <c r="H407" s="725"/>
      <c r="I407" s="725"/>
      <c r="J407" s="725"/>
      <c r="K407" s="725"/>
      <c r="L407" s="725"/>
      <c r="M407" s="725"/>
      <c r="N407" s="725"/>
      <c r="O407" s="725"/>
      <c r="P407" s="725"/>
      <c r="Q407" s="343"/>
      <c r="R407" s="343"/>
      <c r="S407" s="343"/>
      <c r="T407" s="343"/>
      <c r="U407" s="343"/>
      <c r="V407" s="343"/>
      <c r="W407" s="343"/>
      <c r="X407" s="343"/>
      <c r="Y407" s="343"/>
    </row>
    <row r="408" spans="1:25" ht="13.5" hidden="1" thickBot="1" x14ac:dyDescent="0.3">
      <c r="A408" s="694" t="s">
        <v>312</v>
      </c>
      <c r="B408" s="725"/>
      <c r="C408" s="725"/>
      <c r="D408" s="669" t="s">
        <v>899</v>
      </c>
      <c r="E408" s="725"/>
      <c r="F408" s="725"/>
      <c r="G408" s="725"/>
      <c r="H408" s="725"/>
      <c r="I408" s="725" t="s">
        <v>383</v>
      </c>
      <c r="J408" s="725"/>
      <c r="K408" s="725"/>
      <c r="L408" s="725"/>
      <c r="M408" s="725"/>
      <c r="N408" s="725"/>
      <c r="O408" s="725"/>
      <c r="P408" s="725"/>
      <c r="Q408" s="343"/>
      <c r="R408" s="343"/>
      <c r="S408" s="343"/>
      <c r="T408" s="343"/>
      <c r="U408" s="343"/>
      <c r="V408" s="343"/>
      <c r="W408" s="343"/>
      <c r="X408" s="343"/>
      <c r="Y408" s="343"/>
    </row>
    <row r="409" spans="1:25" ht="13" hidden="1" x14ac:dyDescent="0.25">
      <c r="A409" s="694" t="s">
        <v>312</v>
      </c>
      <c r="B409" s="725"/>
      <c r="C409" s="725"/>
      <c r="D409" s="669"/>
      <c r="E409" s="784" t="s">
        <v>559</v>
      </c>
      <c r="F409" s="785"/>
      <c r="G409" s="785"/>
      <c r="H409" s="785"/>
      <c r="I409" s="785"/>
      <c r="J409" s="785"/>
      <c r="K409" s="785"/>
      <c r="L409" s="785"/>
      <c r="M409" s="785"/>
      <c r="N409" s="786"/>
      <c r="O409" s="725"/>
      <c r="P409" s="725"/>
      <c r="Q409" s="343"/>
      <c r="R409" s="343"/>
      <c r="S409" s="343"/>
      <c r="T409" s="343"/>
      <c r="U409" s="343"/>
      <c r="V409" s="343"/>
      <c r="W409" s="343"/>
      <c r="X409" s="343"/>
      <c r="Y409" s="343"/>
    </row>
    <row r="410" spans="1:25" hidden="1" x14ac:dyDescent="0.25">
      <c r="A410" s="694" t="s">
        <v>312</v>
      </c>
      <c r="B410" s="725"/>
      <c r="C410" s="725"/>
      <c r="D410" s="725"/>
      <c r="E410" s="787" t="s">
        <v>902</v>
      </c>
      <c r="F410" s="788"/>
      <c r="G410" s="788"/>
      <c r="H410" s="789"/>
      <c r="I410" s="789"/>
      <c r="J410" s="789">
        <v>1</v>
      </c>
      <c r="K410" s="789">
        <v>2</v>
      </c>
      <c r="L410" s="789">
        <v>3</v>
      </c>
      <c r="M410" s="789">
        <v>4</v>
      </c>
      <c r="N410" s="790">
        <v>5</v>
      </c>
      <c r="O410" s="725"/>
      <c r="P410" s="725"/>
      <c r="Q410" s="343"/>
      <c r="R410" s="343"/>
      <c r="S410" s="343"/>
      <c r="T410" s="343"/>
      <c r="U410" s="343"/>
      <c r="V410" s="343"/>
      <c r="W410" s="343"/>
      <c r="X410" s="343"/>
      <c r="Y410" s="343"/>
    </row>
    <row r="411" spans="1:25" hidden="1" x14ac:dyDescent="0.25">
      <c r="A411" s="694" t="s">
        <v>312</v>
      </c>
      <c r="B411" s="725"/>
      <c r="C411" s="725"/>
      <c r="D411" s="725"/>
      <c r="E411" s="791" t="s">
        <v>1163</v>
      </c>
      <c r="F411" s="788"/>
      <c r="G411" s="788"/>
      <c r="H411" s="789">
        <f>I411-1</f>
        <v>2019</v>
      </c>
      <c r="I411" s="789">
        <f>J411-1</f>
        <v>2020</v>
      </c>
      <c r="J411" s="789">
        <f>INDEX(EUconst_ReportingYears,J410)</f>
        <v>2021</v>
      </c>
      <c r="K411" s="789">
        <f>INDEX(EUconst_ReportingYears,K410)</f>
        <v>2022</v>
      </c>
      <c r="L411" s="789">
        <f>INDEX(EUconst_ReportingYears,L410)</f>
        <v>2023</v>
      </c>
      <c r="M411" s="789">
        <f>INDEX(EUconst_ReportingYears,M410)</f>
        <v>2024</v>
      </c>
      <c r="N411" s="790">
        <f>INDEX(EUconst_ReportingYears,N410)</f>
        <v>2025</v>
      </c>
      <c r="O411" s="725"/>
      <c r="P411" s="725"/>
      <c r="Q411" s="343"/>
      <c r="R411" s="343"/>
      <c r="S411" s="343"/>
      <c r="T411" s="343"/>
      <c r="U411" s="343"/>
      <c r="V411" s="343"/>
      <c r="W411" s="343"/>
      <c r="X411" s="343"/>
      <c r="Y411" s="343"/>
    </row>
    <row r="412" spans="1:25" hidden="1" x14ac:dyDescent="0.25">
      <c r="A412" s="694" t="s">
        <v>312</v>
      </c>
      <c r="B412" s="725"/>
      <c r="C412" s="725"/>
      <c r="D412" s="725"/>
      <c r="E412" s="791" t="s">
        <v>1162</v>
      </c>
      <c r="F412" s="792"/>
      <c r="G412" s="792"/>
      <c r="H412" s="793">
        <f>I412-1</f>
        <v>2024</v>
      </c>
      <c r="I412" s="793">
        <f>J412-1</f>
        <v>2025</v>
      </c>
      <c r="J412" s="793">
        <f>IF(CNTR_SubPeriod=EUconst_NA,J411,INDEX(EUconst_ReportingYears,J410)+(CNTR_SubPeriod-1)*5)</f>
        <v>2026</v>
      </c>
      <c r="K412" s="793">
        <f>IF(CNTR_SubPeriod=EUconst_NA,K411,INDEX(EUconst_ReportingYears,K410)+(CNTR_SubPeriod-1)*5)</f>
        <v>2027</v>
      </c>
      <c r="L412" s="793">
        <f>IF(CNTR_SubPeriod=EUconst_NA,L411,INDEX(EUconst_ReportingYears,L410)+(CNTR_SubPeriod-1)*5)</f>
        <v>2028</v>
      </c>
      <c r="M412" s="793">
        <f>IF(CNTR_SubPeriod=EUconst_NA,M411,INDEX(EUconst_ReportingYears,M410)+(CNTR_SubPeriod-1)*5)</f>
        <v>2029</v>
      </c>
      <c r="N412" s="794">
        <f>IF(CNTR_SubPeriod=EUconst_NA,N411,INDEX(EUconst_ReportingYears,N410)+(CNTR_SubPeriod-1)*5)</f>
        <v>2030</v>
      </c>
      <c r="O412" s="725"/>
      <c r="P412" s="725"/>
      <c r="Q412" s="343"/>
      <c r="R412" s="343"/>
      <c r="S412" s="343"/>
      <c r="T412" s="343"/>
      <c r="U412" s="343"/>
      <c r="V412" s="343"/>
      <c r="W412" s="343"/>
      <c r="X412" s="343"/>
      <c r="Y412" s="343"/>
    </row>
    <row r="413" spans="1:25" hidden="1" x14ac:dyDescent="0.25">
      <c r="A413" s="694" t="s">
        <v>312</v>
      </c>
      <c r="B413" s="725"/>
      <c r="C413" s="725"/>
      <c r="D413" s="725"/>
      <c r="E413" s="791" t="s">
        <v>558</v>
      </c>
      <c r="F413" s="792"/>
      <c r="G413" s="792"/>
      <c r="H413" s="792"/>
      <c r="I413" s="792"/>
      <c r="J413" s="793">
        <v>2</v>
      </c>
      <c r="K413" s="793">
        <v>2</v>
      </c>
      <c r="L413" s="793">
        <v>2</v>
      </c>
      <c r="M413" s="793">
        <v>2</v>
      </c>
      <c r="N413" s="794">
        <v>2</v>
      </c>
      <c r="O413" s="725"/>
      <c r="P413" s="725"/>
      <c r="Q413" s="343"/>
      <c r="R413" s="343"/>
      <c r="S413" s="343"/>
      <c r="T413" s="343"/>
      <c r="U413" s="343"/>
      <c r="V413" s="343"/>
      <c r="W413" s="343"/>
      <c r="X413" s="343"/>
      <c r="Y413" s="343"/>
    </row>
    <row r="414" spans="1:25" hidden="1" x14ac:dyDescent="0.25">
      <c r="A414" s="694" t="s">
        <v>312</v>
      </c>
      <c r="B414" s="725"/>
      <c r="C414" s="725"/>
      <c r="D414" s="725"/>
      <c r="E414" s="791" t="s">
        <v>2546</v>
      </c>
      <c r="F414" s="792"/>
      <c r="G414" s="792"/>
      <c r="H414" s="795" t="b">
        <v>1</v>
      </c>
      <c r="I414" s="795" t="b">
        <v>1</v>
      </c>
      <c r="J414" s="795" t="b">
        <v>1</v>
      </c>
      <c r="K414" s="795" t="b">
        <v>1</v>
      </c>
      <c r="L414" s="795" t="b">
        <v>1</v>
      </c>
      <c r="M414" s="795" t="b">
        <v>1</v>
      </c>
      <c r="N414" s="796" t="b">
        <v>1</v>
      </c>
      <c r="O414" s="725"/>
      <c r="P414" s="725"/>
      <c r="Q414" s="343"/>
      <c r="R414" s="343"/>
      <c r="S414" s="343"/>
      <c r="T414" s="343"/>
      <c r="U414" s="343"/>
      <c r="V414" s="343"/>
      <c r="W414" s="343"/>
      <c r="X414" s="343"/>
      <c r="Y414" s="343"/>
    </row>
    <row r="415" spans="1:25" ht="13" hidden="1" thickBot="1" x14ac:dyDescent="0.3">
      <c r="A415" s="694" t="s">
        <v>312</v>
      </c>
      <c r="B415" s="725"/>
      <c r="C415" s="725"/>
      <c r="D415" s="725"/>
      <c r="E415" s="797" t="s">
        <v>557</v>
      </c>
      <c r="F415" s="798"/>
      <c r="G415" s="798"/>
      <c r="H415" s="799" t="b">
        <f t="shared" ref="H415:N415" si="35">IF(CNTR_HasEntries_A_I,H412&lt;=MAX(CNTR_ReportingYear,2021+(CNTR_SubPeriod-1)*5),TRUE)</f>
        <v>1</v>
      </c>
      <c r="I415" s="799" t="b">
        <f t="shared" si="35"/>
        <v>1</v>
      </c>
      <c r="J415" s="799" t="b">
        <f t="shared" si="35"/>
        <v>1</v>
      </c>
      <c r="K415" s="799" t="b">
        <f t="shared" si="35"/>
        <v>1</v>
      </c>
      <c r="L415" s="799" t="b">
        <f t="shared" si="35"/>
        <v>1</v>
      </c>
      <c r="M415" s="799" t="b">
        <f t="shared" si="35"/>
        <v>1</v>
      </c>
      <c r="N415" s="800" t="b">
        <f t="shared" si="35"/>
        <v>1</v>
      </c>
      <c r="O415" s="725"/>
      <c r="P415" s="725"/>
      <c r="Q415" s="343"/>
      <c r="R415" s="343"/>
      <c r="S415" s="343"/>
      <c r="T415" s="343"/>
      <c r="U415" s="343"/>
      <c r="V415" s="343"/>
      <c r="W415" s="343"/>
      <c r="X415" s="343"/>
      <c r="Y415" s="343"/>
    </row>
    <row r="416" spans="1:25" ht="13.5" hidden="1" thickBot="1" x14ac:dyDescent="0.3">
      <c r="A416" s="694" t="s">
        <v>312</v>
      </c>
      <c r="B416" s="725"/>
      <c r="C416" s="725"/>
      <c r="D416" s="725"/>
      <c r="E416" s="725"/>
      <c r="F416" s="725"/>
      <c r="G416" s="725"/>
      <c r="H416" s="725"/>
      <c r="I416" s="669"/>
      <c r="J416" s="669"/>
      <c r="K416" s="669"/>
      <c r="L416" s="669"/>
      <c r="M416" s="669"/>
      <c r="N416" s="669"/>
      <c r="O416" s="725"/>
      <c r="P416" s="725"/>
      <c r="Q416" s="343"/>
      <c r="R416" s="343"/>
      <c r="S416" s="343"/>
      <c r="T416" s="343"/>
      <c r="U416" s="343"/>
      <c r="V416" s="343"/>
      <c r="W416" s="343"/>
      <c r="X416" s="343"/>
      <c r="Y416" s="343"/>
    </row>
    <row r="417" spans="1:25" ht="13.5" hidden="1" thickBot="1" x14ac:dyDescent="0.3">
      <c r="A417" s="694" t="s">
        <v>312</v>
      </c>
      <c r="B417" s="725"/>
      <c r="C417" s="725"/>
      <c r="D417" s="725"/>
      <c r="E417" s="669" t="s">
        <v>820</v>
      </c>
      <c r="F417" s="725"/>
      <c r="G417" s="801" t="b">
        <f>0&lt;(COUNTA(J21,J52,J57,J64,J71))</f>
        <v>0</v>
      </c>
      <c r="H417" s="725" t="s">
        <v>821</v>
      </c>
      <c r="I417" s="669"/>
      <c r="J417" s="669"/>
      <c r="K417" s="669"/>
      <c r="L417" s="669"/>
      <c r="M417" s="669"/>
      <c r="N417" s="669"/>
      <c r="O417" s="725"/>
      <c r="P417" s="725"/>
      <c r="Q417" s="343"/>
      <c r="R417" s="343"/>
      <c r="S417" s="343"/>
      <c r="T417" s="343"/>
      <c r="U417" s="343"/>
      <c r="V417" s="343"/>
      <c r="W417" s="343"/>
      <c r="X417" s="343"/>
      <c r="Y417" s="343"/>
    </row>
    <row r="418" spans="1:25" ht="13" hidden="1" x14ac:dyDescent="0.25">
      <c r="A418" s="694" t="s">
        <v>312</v>
      </c>
      <c r="B418" s="725"/>
      <c r="C418" s="725"/>
      <c r="D418" s="725"/>
      <c r="E418" s="725"/>
      <c r="F418" s="725"/>
      <c r="G418" s="802"/>
      <c r="H418" s="725"/>
      <c r="I418" s="669"/>
      <c r="J418" s="669"/>
      <c r="K418" s="669"/>
      <c r="L418" s="669"/>
      <c r="M418" s="669"/>
      <c r="N418" s="669"/>
      <c r="O418" s="725"/>
      <c r="P418" s="725"/>
      <c r="Q418" s="343"/>
      <c r="R418" s="343"/>
      <c r="S418" s="343"/>
      <c r="T418" s="343"/>
      <c r="U418" s="343"/>
      <c r="V418" s="343"/>
      <c r="W418" s="343"/>
      <c r="X418" s="343"/>
      <c r="Y418" s="343"/>
    </row>
    <row r="419" spans="1:25" hidden="1" x14ac:dyDescent="0.25">
      <c r="A419" s="694" t="s">
        <v>312</v>
      </c>
      <c r="B419" s="725"/>
      <c r="C419" s="725"/>
      <c r="D419" s="725"/>
      <c r="E419" s="725"/>
      <c r="F419" s="725"/>
      <c r="G419" s="725"/>
      <c r="H419" s="725"/>
      <c r="I419" s="725"/>
      <c r="J419" s="725"/>
      <c r="K419" s="725"/>
      <c r="L419" s="725"/>
      <c r="M419" s="725"/>
      <c r="N419" s="725"/>
      <c r="O419" s="725"/>
      <c r="P419" s="725"/>
      <c r="Q419" s="343"/>
      <c r="R419" s="343"/>
      <c r="S419" s="343"/>
      <c r="T419" s="343"/>
      <c r="U419" s="343"/>
      <c r="V419" s="343"/>
      <c r="W419" s="343"/>
      <c r="X419" s="343"/>
      <c r="Y419" s="343"/>
    </row>
    <row r="420" spans="1:25" ht="13.5" hidden="1" thickBot="1" x14ac:dyDescent="0.3">
      <c r="A420" s="694" t="s">
        <v>312</v>
      </c>
      <c r="B420" s="725"/>
      <c r="C420" s="725"/>
      <c r="D420" s="725"/>
      <c r="E420" s="669" t="s">
        <v>638</v>
      </c>
      <c r="F420" s="725"/>
      <c r="G420" s="725"/>
      <c r="H420" s="725"/>
      <c r="I420" s="725"/>
      <c r="J420" s="725"/>
      <c r="K420" s="725"/>
      <c r="L420" s="725"/>
      <c r="M420" s="725"/>
      <c r="N420" s="725"/>
      <c r="O420" s="725"/>
      <c r="P420" s="725"/>
      <c r="Q420" s="343"/>
      <c r="R420" s="343"/>
      <c r="S420" s="343"/>
      <c r="T420" s="343"/>
      <c r="U420" s="343"/>
      <c r="V420" s="343"/>
      <c r="W420" s="343"/>
      <c r="X420" s="343"/>
      <c r="Y420" s="343"/>
    </row>
    <row r="421" spans="1:25" hidden="1" x14ac:dyDescent="0.25">
      <c r="A421" s="694" t="s">
        <v>312</v>
      </c>
      <c r="B421" s="725"/>
      <c r="C421" s="725"/>
      <c r="D421" s="725"/>
      <c r="E421" s="803"/>
      <c r="F421" s="804" t="s">
        <v>639</v>
      </c>
      <c r="G421" s="805" t="s">
        <v>640</v>
      </c>
      <c r="H421" s="804" t="s">
        <v>641</v>
      </c>
      <c r="I421" s="804"/>
      <c r="J421" s="806" t="s">
        <v>1412</v>
      </c>
      <c r="K421" s="807" t="str">
        <f>Translations!$B$183</f>
        <v>Вид партньор</v>
      </c>
      <c r="L421" s="808"/>
      <c r="M421" s="804"/>
      <c r="N421" s="809"/>
      <c r="O421" s="725"/>
      <c r="P421" s="725"/>
      <c r="Q421" s="343"/>
      <c r="R421" s="343"/>
      <c r="S421" s="343"/>
      <c r="T421" s="343"/>
      <c r="U421" s="343"/>
      <c r="V421" s="343"/>
      <c r="W421" s="343"/>
      <c r="X421" s="343"/>
      <c r="Y421" s="343"/>
    </row>
    <row r="422" spans="1:25" ht="13" hidden="1" x14ac:dyDescent="0.25">
      <c r="A422" s="694" t="s">
        <v>312</v>
      </c>
      <c r="B422" s="725"/>
      <c r="C422" s="725"/>
      <c r="D422" s="725"/>
      <c r="E422" s="787">
        <v>0</v>
      </c>
      <c r="F422" s="810"/>
      <c r="G422" s="811"/>
      <c r="H422" s="812" t="str">
        <f>EUconst_WithinInst</f>
        <v>В рамките на инсталацията</v>
      </c>
      <c r="I422" s="810"/>
      <c r="J422" s="788"/>
      <c r="K422" s="788"/>
      <c r="L422" s="813"/>
      <c r="M422" s="810"/>
      <c r="N422" s="814"/>
      <c r="O422" s="725"/>
      <c r="P422" s="725"/>
      <c r="Q422" s="343"/>
      <c r="R422" s="343"/>
      <c r="S422" s="343"/>
      <c r="T422" s="343"/>
      <c r="U422" s="343"/>
      <c r="V422" s="343"/>
      <c r="W422" s="343"/>
      <c r="X422" s="343"/>
      <c r="Y422" s="343"/>
    </row>
    <row r="423" spans="1:25" hidden="1" x14ac:dyDescent="0.25">
      <c r="A423" s="694" t="s">
        <v>312</v>
      </c>
      <c r="B423" s="725"/>
      <c r="C423" s="725"/>
      <c r="D423" s="725"/>
      <c r="E423" s="815">
        <v>1</v>
      </c>
      <c r="F423" s="816" t="str">
        <f>IF(ISNUMBER(MATCH($E423,A_InstallationData!$R$380:$R$389,0)),MATCH($E423,A_InstallationData!$R$380:$R$389,0),EUconst_NA)</f>
        <v>Не е приложимо</v>
      </c>
      <c r="G423" s="817" t="str">
        <f>IFERROR(IF(AND(ISNUMBER($F423),NOT(ISBLANK(INDEX(A_InstallationData!$K$380:$K$389,$F423)))),INDEX(EUconst_ConnectionShortTypes,MATCH(INDEX(A_InstallationData!$K$380:$K$389,$F423),EUconst_ConnectionTypes,0)),EUconst_NA),EUconst_ERR_LinkToNIMs)</f>
        <v>Не е приложимо</v>
      </c>
      <c r="H423" s="818" t="str">
        <f>IF(NOT(ISNUMBER(F423)),EUconst_NA,CONCATENATE(INDEX(A_InstallationData!$F$380:$F$389,$F423),": ",G423," ",IF(ISBLANK(INDEX(A_InstallationData!$M$380:$M$389,$F423)),EUconst_NA,INDEX(A_InstallationData!$M$380:$M$389,$F423))))</f>
        <v>Не е приложимо</v>
      </c>
      <c r="I423" s="725"/>
      <c r="J423" s="819" t="str">
        <f>IF(ISNUMBER($F423),IF(ISBLANK(INDEX(A_InstallationData!$F$392:$F$401,$F423)),"",INDEX(A_InstallationData!$F$392:$F$401,$F423)),"")</f>
        <v/>
      </c>
      <c r="K423" s="819" t="str">
        <f>IF(ISNUMBER($F423),IF(ISBLANK(INDEX(A_InstallationData!$I$380:$I$389,$F423)),"",INDEX(A_InstallationData!$I$380:$I$389,$F423)),"")</f>
        <v/>
      </c>
      <c r="L423" s="820"/>
      <c r="M423" s="725"/>
      <c r="N423" s="821"/>
      <c r="O423" s="725"/>
      <c r="P423" s="725"/>
      <c r="Q423" s="343"/>
      <c r="R423" s="343"/>
      <c r="S423" s="343"/>
      <c r="T423" s="343"/>
      <c r="U423" s="343"/>
      <c r="V423" s="343"/>
      <c r="W423" s="343"/>
      <c r="X423" s="343"/>
      <c r="Y423" s="343"/>
    </row>
    <row r="424" spans="1:25" hidden="1" x14ac:dyDescent="0.25">
      <c r="A424" s="694" t="s">
        <v>312</v>
      </c>
      <c r="B424" s="725"/>
      <c r="C424" s="725"/>
      <c r="D424" s="725"/>
      <c r="E424" s="815">
        <f>E423+1</f>
        <v>2</v>
      </c>
      <c r="F424" s="816" t="str">
        <f>IF(ISNUMBER(MATCH($E424,A_InstallationData!$R$380:$R$389,0)),MATCH($E424,A_InstallationData!$R$380:$R$389,0),EUconst_NA)</f>
        <v>Не е приложимо</v>
      </c>
      <c r="G424" s="817" t="str">
        <f>IFERROR(IF(AND(ISNUMBER($F424),NOT(ISBLANK(INDEX(A_InstallationData!$K$380:$K$389,$F424)))),INDEX(EUconst_ConnectionShortTypes,MATCH(INDEX(A_InstallationData!$K$380:$K$389,$F424),EUconst_ConnectionTypes,0)),EUconst_NA),EUconst_ERR_LinkToNIMs)</f>
        <v>Не е приложимо</v>
      </c>
      <c r="H424" s="818" t="str">
        <f>IF(NOT(ISNUMBER(F424)),EUconst_NA,CONCATENATE(INDEX(A_InstallationData!$F$380:$F$389,$F424),": ",G424," ",IF(ISBLANK(INDEX(A_InstallationData!$M$380:$M$389,$F424)),EUconst_NA,INDEX(A_InstallationData!$M$380:$M$389,$F424))))</f>
        <v>Не е приложимо</v>
      </c>
      <c r="I424" s="725"/>
      <c r="J424" s="819" t="str">
        <f>IF(ISNUMBER($F424),IF(ISBLANK(INDEX(A_InstallationData!$F$392:$F$401,$F424)),"",INDEX(A_InstallationData!$F$392:$F$401,$F424)),"")</f>
        <v/>
      </c>
      <c r="K424" s="819" t="str">
        <f>IF(ISNUMBER($F424),IF(ISBLANK(INDEX(A_InstallationData!$I$380:$I$389,$F424)),"",INDEX(A_InstallationData!$I$380:$I$389,$F424)),"")</f>
        <v/>
      </c>
      <c r="L424" s="820"/>
      <c r="M424" s="725"/>
      <c r="N424" s="821"/>
      <c r="O424" s="725"/>
      <c r="P424" s="725"/>
      <c r="Q424" s="343"/>
      <c r="R424" s="343"/>
      <c r="S424" s="343"/>
      <c r="T424" s="343"/>
      <c r="U424" s="343"/>
      <c r="V424" s="343"/>
      <c r="W424" s="343"/>
      <c r="X424" s="343"/>
      <c r="Y424" s="343"/>
    </row>
    <row r="425" spans="1:25" hidden="1" x14ac:dyDescent="0.25">
      <c r="A425" s="694" t="s">
        <v>312</v>
      </c>
      <c r="B425" s="725"/>
      <c r="C425" s="725"/>
      <c r="D425" s="725"/>
      <c r="E425" s="815">
        <f t="shared" ref="E425:E432" si="36">E424+1</f>
        <v>3</v>
      </c>
      <c r="F425" s="816" t="str">
        <f>IF(ISNUMBER(MATCH($E425,A_InstallationData!$R$380:$R$389,0)),MATCH($E425,A_InstallationData!$R$380:$R$389,0),EUconst_NA)</f>
        <v>Не е приложимо</v>
      </c>
      <c r="G425" s="817" t="str">
        <f>IFERROR(IF(AND(ISNUMBER($F425),NOT(ISBLANK(INDEX(A_InstallationData!$K$380:$K$389,$F425)))),INDEX(EUconst_ConnectionShortTypes,MATCH(INDEX(A_InstallationData!$K$380:$K$389,$F425),EUconst_ConnectionTypes,0)),EUconst_NA),EUconst_ERR_LinkToNIMs)</f>
        <v>Не е приложимо</v>
      </c>
      <c r="H425" s="818" t="str">
        <f>IF(NOT(ISNUMBER(F425)),EUconst_NA,CONCATENATE(INDEX(A_InstallationData!$F$380:$F$389,$F425),": ",G425," ",IF(ISBLANK(INDEX(A_InstallationData!$M$380:$M$389,$F425)),EUconst_NA,INDEX(A_InstallationData!$M$380:$M$389,$F425))))</f>
        <v>Не е приложимо</v>
      </c>
      <c r="I425" s="725"/>
      <c r="J425" s="819" t="str">
        <f>IF(ISNUMBER($F425),IF(ISBLANK(INDEX(A_InstallationData!$F$392:$F$401,$F425)),"",INDEX(A_InstallationData!$F$392:$F$401,$F425)),"")</f>
        <v/>
      </c>
      <c r="K425" s="819" t="str">
        <f>IF(ISNUMBER($F425),IF(ISBLANK(INDEX(A_InstallationData!$I$380:$I$389,$F425)),"",INDEX(A_InstallationData!$I$380:$I$389,$F425)),"")</f>
        <v/>
      </c>
      <c r="L425" s="820"/>
      <c r="M425" s="725"/>
      <c r="N425" s="821"/>
      <c r="O425" s="725"/>
      <c r="P425" s="725"/>
      <c r="Q425" s="343"/>
      <c r="R425" s="343"/>
      <c r="S425" s="343"/>
      <c r="T425" s="343"/>
      <c r="U425" s="343"/>
      <c r="V425" s="343"/>
      <c r="W425" s="343"/>
      <c r="X425" s="343"/>
      <c r="Y425" s="343"/>
    </row>
    <row r="426" spans="1:25" hidden="1" x14ac:dyDescent="0.25">
      <c r="A426" s="694" t="s">
        <v>312</v>
      </c>
      <c r="B426" s="725"/>
      <c r="C426" s="725"/>
      <c r="D426" s="725"/>
      <c r="E426" s="815">
        <f t="shared" si="36"/>
        <v>4</v>
      </c>
      <c r="F426" s="816" t="str">
        <f>IF(ISNUMBER(MATCH($E426,A_InstallationData!$R$380:$R$389,0)),MATCH($E426,A_InstallationData!$R$380:$R$389,0),EUconst_NA)</f>
        <v>Не е приложимо</v>
      </c>
      <c r="G426" s="817" t="str">
        <f>IFERROR(IF(AND(ISNUMBER($F426),NOT(ISBLANK(INDEX(A_InstallationData!$K$380:$K$389,$F426)))),INDEX(EUconst_ConnectionShortTypes,MATCH(INDEX(A_InstallationData!$K$380:$K$389,$F426),EUconst_ConnectionTypes,0)),EUconst_NA),EUconst_ERR_LinkToNIMs)</f>
        <v>Не е приложимо</v>
      </c>
      <c r="H426" s="818" t="str">
        <f>IF(NOT(ISNUMBER(F426)),EUconst_NA,CONCATENATE(INDEX(A_InstallationData!$F$380:$F$389,$F426),": ",G426," ",IF(ISBLANK(INDEX(A_InstallationData!$M$380:$M$389,$F426)),EUconst_NA,INDEX(A_InstallationData!$M$380:$M$389,$F426))))</f>
        <v>Не е приложимо</v>
      </c>
      <c r="I426" s="725"/>
      <c r="J426" s="819" t="str">
        <f>IF(ISNUMBER($F426),IF(ISBLANK(INDEX(A_InstallationData!$F$392:$F$401,$F426)),"",INDEX(A_InstallationData!$F$392:$F$401,$F426)),"")</f>
        <v/>
      </c>
      <c r="K426" s="819" t="str">
        <f>IF(ISNUMBER($F426),IF(ISBLANK(INDEX(A_InstallationData!$I$380:$I$389,$F426)),"",INDEX(A_InstallationData!$I$380:$I$389,$F426)),"")</f>
        <v/>
      </c>
      <c r="L426" s="820"/>
      <c r="M426" s="725"/>
      <c r="N426" s="821"/>
      <c r="O426" s="725"/>
      <c r="P426" s="725"/>
      <c r="Q426" s="343"/>
      <c r="R426" s="343"/>
      <c r="S426" s="343"/>
      <c r="T426" s="343"/>
      <c r="U426" s="343"/>
      <c r="V426" s="343"/>
      <c r="W426" s="343"/>
      <c r="X426" s="343"/>
      <c r="Y426" s="343"/>
    </row>
    <row r="427" spans="1:25" hidden="1" x14ac:dyDescent="0.25">
      <c r="A427" s="694" t="s">
        <v>312</v>
      </c>
      <c r="B427" s="725"/>
      <c r="C427" s="725"/>
      <c r="D427" s="725"/>
      <c r="E427" s="815">
        <f t="shared" si="36"/>
        <v>5</v>
      </c>
      <c r="F427" s="816" t="str">
        <f>IF(ISNUMBER(MATCH($E427,A_InstallationData!$R$380:$R$389,0)),MATCH($E427,A_InstallationData!$R$380:$R$389,0),EUconst_NA)</f>
        <v>Не е приложимо</v>
      </c>
      <c r="G427" s="817" t="str">
        <f>IFERROR(IF(AND(ISNUMBER($F427),NOT(ISBLANK(INDEX(A_InstallationData!$K$380:$K$389,$F427)))),INDEX(EUconst_ConnectionShortTypes,MATCH(INDEX(A_InstallationData!$K$380:$K$389,$F427),EUconst_ConnectionTypes,0)),EUconst_NA),EUconst_ERR_LinkToNIMs)</f>
        <v>Не е приложимо</v>
      </c>
      <c r="H427" s="818" t="str">
        <f>IF(NOT(ISNUMBER(F427)),EUconst_NA,CONCATENATE(INDEX(A_InstallationData!$F$380:$F$389,$F427),": ",G427," ",IF(ISBLANK(INDEX(A_InstallationData!$M$380:$M$389,$F427)),EUconst_NA,INDEX(A_InstallationData!$M$380:$M$389,$F427))))</f>
        <v>Не е приложимо</v>
      </c>
      <c r="I427" s="725"/>
      <c r="J427" s="819" t="str">
        <f>IF(ISNUMBER($F427),IF(ISBLANK(INDEX(A_InstallationData!$F$392:$F$401,$F427)),"",INDEX(A_InstallationData!$F$392:$F$401,$F427)),"")</f>
        <v/>
      </c>
      <c r="K427" s="819" t="str">
        <f>IF(ISNUMBER($F427),IF(ISBLANK(INDEX(A_InstallationData!$I$380:$I$389,$F427)),"",INDEX(A_InstallationData!$I$380:$I$389,$F427)),"")</f>
        <v/>
      </c>
      <c r="L427" s="820"/>
      <c r="M427" s="725"/>
      <c r="N427" s="821"/>
      <c r="O427" s="725"/>
      <c r="P427" s="725"/>
      <c r="Q427" s="343"/>
      <c r="R427" s="343"/>
      <c r="S427" s="343"/>
      <c r="T427" s="343"/>
      <c r="U427" s="343"/>
      <c r="V427" s="343"/>
      <c r="W427" s="343"/>
      <c r="X427" s="343"/>
      <c r="Y427" s="343"/>
    </row>
    <row r="428" spans="1:25" hidden="1" x14ac:dyDescent="0.25">
      <c r="A428" s="694" t="s">
        <v>312</v>
      </c>
      <c r="B428" s="725"/>
      <c r="C428" s="725"/>
      <c r="D428" s="725"/>
      <c r="E428" s="815">
        <f t="shared" si="36"/>
        <v>6</v>
      </c>
      <c r="F428" s="816" t="str">
        <f>IF(ISNUMBER(MATCH($E428,A_InstallationData!$R$380:$R$389,0)),MATCH($E428,A_InstallationData!$R$380:$R$389,0),EUconst_NA)</f>
        <v>Не е приложимо</v>
      </c>
      <c r="G428" s="817" t="str">
        <f>IFERROR(IF(AND(ISNUMBER($F428),NOT(ISBLANK(INDEX(A_InstallationData!$K$380:$K$389,$F428)))),INDEX(EUconst_ConnectionShortTypes,MATCH(INDEX(A_InstallationData!$K$380:$K$389,$F428),EUconst_ConnectionTypes,0)),EUconst_NA),EUconst_ERR_LinkToNIMs)</f>
        <v>Не е приложимо</v>
      </c>
      <c r="H428" s="818" t="str">
        <f>IF(NOT(ISNUMBER(F428)),EUconst_NA,CONCATENATE(INDEX(A_InstallationData!$F$380:$F$389,$F428),": ",G428," ",IF(ISBLANK(INDEX(A_InstallationData!$M$380:$M$389,$F428)),EUconst_NA,INDEX(A_InstallationData!$M$380:$M$389,$F428))))</f>
        <v>Не е приложимо</v>
      </c>
      <c r="I428" s="725"/>
      <c r="J428" s="819" t="str">
        <f>IF(ISNUMBER($F428),IF(ISBLANK(INDEX(A_InstallationData!$F$392:$F$401,$F428)),"",INDEX(A_InstallationData!$F$392:$F$401,$F428)),"")</f>
        <v/>
      </c>
      <c r="K428" s="819" t="str">
        <f>IF(ISNUMBER($F428),IF(ISBLANK(INDEX(A_InstallationData!$I$380:$I$389,$F428)),"",INDEX(A_InstallationData!$I$380:$I$389,$F428)),"")</f>
        <v/>
      </c>
      <c r="L428" s="820"/>
      <c r="M428" s="725"/>
      <c r="N428" s="821"/>
      <c r="O428" s="725"/>
      <c r="P428" s="725"/>
      <c r="Q428" s="343"/>
      <c r="R428" s="343"/>
      <c r="S428" s="343"/>
      <c r="T428" s="343"/>
      <c r="U428" s="343"/>
      <c r="V428" s="343"/>
      <c r="W428" s="343"/>
      <c r="X428" s="343"/>
      <c r="Y428" s="343"/>
    </row>
    <row r="429" spans="1:25" hidden="1" x14ac:dyDescent="0.25">
      <c r="A429" s="694" t="s">
        <v>312</v>
      </c>
      <c r="B429" s="725"/>
      <c r="C429" s="725"/>
      <c r="D429" s="725"/>
      <c r="E429" s="815">
        <f t="shared" si="36"/>
        <v>7</v>
      </c>
      <c r="F429" s="816" t="str">
        <f>IF(ISNUMBER(MATCH($E429,A_InstallationData!$R$380:$R$389,0)),MATCH($E429,A_InstallationData!$R$380:$R$389,0),EUconst_NA)</f>
        <v>Не е приложимо</v>
      </c>
      <c r="G429" s="817" t="str">
        <f>IFERROR(IF(AND(ISNUMBER($F429),NOT(ISBLANK(INDEX(A_InstallationData!$K$380:$K$389,$F429)))),INDEX(EUconst_ConnectionShortTypes,MATCH(INDEX(A_InstallationData!$K$380:$K$389,$F429),EUconst_ConnectionTypes,0)),EUconst_NA),EUconst_ERR_LinkToNIMs)</f>
        <v>Не е приложимо</v>
      </c>
      <c r="H429" s="818" t="str">
        <f>IF(NOT(ISNUMBER(F429)),EUconst_NA,CONCATENATE(INDEX(A_InstallationData!$F$380:$F$389,$F429),": ",G429," ",IF(ISBLANK(INDEX(A_InstallationData!$M$380:$M$389,$F429)),EUconst_NA,INDEX(A_InstallationData!$M$380:$M$389,$F429))))</f>
        <v>Не е приложимо</v>
      </c>
      <c r="I429" s="725"/>
      <c r="J429" s="819" t="str">
        <f>IF(ISNUMBER($F429),IF(ISBLANK(INDEX(A_InstallationData!$F$392:$F$401,$F429)),"",INDEX(A_InstallationData!$F$392:$F$401,$F429)),"")</f>
        <v/>
      </c>
      <c r="K429" s="819" t="str">
        <f>IF(ISNUMBER($F429),IF(ISBLANK(INDEX(A_InstallationData!$I$380:$I$389,$F429)),"",INDEX(A_InstallationData!$I$380:$I$389,$F429)),"")</f>
        <v/>
      </c>
      <c r="L429" s="820"/>
      <c r="M429" s="725"/>
      <c r="N429" s="821"/>
      <c r="O429" s="725"/>
      <c r="P429" s="725"/>
      <c r="Q429" s="343"/>
      <c r="R429" s="343"/>
      <c r="S429" s="343"/>
      <c r="T429" s="343"/>
      <c r="U429" s="343"/>
      <c r="V429" s="343"/>
      <c r="W429" s="343"/>
      <c r="X429" s="343"/>
      <c r="Y429" s="343"/>
    </row>
    <row r="430" spans="1:25" hidden="1" x14ac:dyDescent="0.25">
      <c r="A430" s="694" t="s">
        <v>312</v>
      </c>
      <c r="B430" s="725"/>
      <c r="C430" s="725"/>
      <c r="D430" s="725"/>
      <c r="E430" s="815">
        <f t="shared" si="36"/>
        <v>8</v>
      </c>
      <c r="F430" s="816" t="str">
        <f>IF(ISNUMBER(MATCH($E430,A_InstallationData!$R$380:$R$389,0)),MATCH($E430,A_InstallationData!$R$380:$R$389,0),EUconst_NA)</f>
        <v>Не е приложимо</v>
      </c>
      <c r="G430" s="817" t="str">
        <f>IFERROR(IF(AND(ISNUMBER($F430),NOT(ISBLANK(INDEX(A_InstallationData!$K$380:$K$389,$F430)))),INDEX(EUconst_ConnectionShortTypes,MATCH(INDEX(A_InstallationData!$K$380:$K$389,$F430),EUconst_ConnectionTypes,0)),EUconst_NA),EUconst_ERR_LinkToNIMs)</f>
        <v>Не е приложимо</v>
      </c>
      <c r="H430" s="818" t="str">
        <f>IF(NOT(ISNUMBER(F430)),EUconst_NA,CONCATENATE(INDEX(A_InstallationData!$F$380:$F$389,$F430),": ",G430," ",IF(ISBLANK(INDEX(A_InstallationData!$M$380:$M$389,$F430)),EUconst_NA,INDEX(A_InstallationData!$M$380:$M$389,$F430))))</f>
        <v>Не е приложимо</v>
      </c>
      <c r="I430" s="725"/>
      <c r="J430" s="819" t="str">
        <f>IF(ISNUMBER($F430),IF(ISBLANK(INDEX(A_InstallationData!$F$392:$F$401,$F430)),"",INDEX(A_InstallationData!$F$392:$F$401,$F430)),"")</f>
        <v/>
      </c>
      <c r="K430" s="819" t="str">
        <f>IF(ISNUMBER($F430),IF(ISBLANK(INDEX(A_InstallationData!$I$380:$I$389,$F430)),"",INDEX(A_InstallationData!$I$380:$I$389,$F430)),"")</f>
        <v/>
      </c>
      <c r="L430" s="820"/>
      <c r="M430" s="725"/>
      <c r="N430" s="821"/>
      <c r="O430" s="725"/>
      <c r="P430" s="725"/>
      <c r="Q430" s="343"/>
      <c r="R430" s="343"/>
      <c r="S430" s="343"/>
      <c r="T430" s="343"/>
      <c r="U430" s="343"/>
      <c r="V430" s="343"/>
      <c r="W430" s="343"/>
      <c r="X430" s="343"/>
      <c r="Y430" s="343"/>
    </row>
    <row r="431" spans="1:25" hidden="1" x14ac:dyDescent="0.25">
      <c r="A431" s="694" t="s">
        <v>312</v>
      </c>
      <c r="B431" s="725"/>
      <c r="C431" s="725"/>
      <c r="D431" s="725"/>
      <c r="E431" s="815">
        <f t="shared" si="36"/>
        <v>9</v>
      </c>
      <c r="F431" s="816" t="str">
        <f>IF(ISNUMBER(MATCH($E431,A_InstallationData!$R$380:$R$389,0)),MATCH($E431,A_InstallationData!$R$380:$R$389,0),EUconst_NA)</f>
        <v>Не е приложимо</v>
      </c>
      <c r="G431" s="817" t="str">
        <f>IFERROR(IF(AND(ISNUMBER($F431),NOT(ISBLANK(INDEX(A_InstallationData!$K$380:$K$389,$F431)))),INDEX(EUconst_ConnectionShortTypes,MATCH(INDEX(A_InstallationData!$K$380:$K$389,$F431),EUconst_ConnectionTypes,0)),EUconst_NA),EUconst_ERR_LinkToNIMs)</f>
        <v>Не е приложимо</v>
      </c>
      <c r="H431" s="818" t="str">
        <f>IF(NOT(ISNUMBER(F431)),EUconst_NA,CONCATENATE(INDEX(A_InstallationData!$F$380:$F$389,$F431),": ",G431," ",IF(ISBLANK(INDEX(A_InstallationData!$M$380:$M$389,$F431)),EUconst_NA,INDEX(A_InstallationData!$M$380:$M$389,$F431))))</f>
        <v>Не е приложимо</v>
      </c>
      <c r="I431" s="725"/>
      <c r="J431" s="819" t="str">
        <f>IF(ISNUMBER($F431),IF(ISBLANK(INDEX(A_InstallationData!$F$392:$F$401,$F431)),"",INDEX(A_InstallationData!$F$392:$F$401,$F431)),"")</f>
        <v/>
      </c>
      <c r="K431" s="819" t="str">
        <f>IF(ISNUMBER($F431),IF(ISBLANK(INDEX(A_InstallationData!$I$380:$I$389,$F431)),"",INDEX(A_InstallationData!$I$380:$I$389,$F431)),"")</f>
        <v/>
      </c>
      <c r="L431" s="820"/>
      <c r="M431" s="725"/>
      <c r="N431" s="821"/>
      <c r="O431" s="725"/>
      <c r="P431" s="725"/>
      <c r="Q431" s="343"/>
      <c r="R431" s="343"/>
      <c r="S431" s="343"/>
      <c r="T431" s="343"/>
      <c r="U431" s="343"/>
      <c r="V431" s="343"/>
      <c r="W431" s="343"/>
      <c r="X431" s="343"/>
      <c r="Y431" s="343"/>
    </row>
    <row r="432" spans="1:25" ht="13" hidden="1" thickBot="1" x14ac:dyDescent="0.3">
      <c r="A432" s="694" t="s">
        <v>312</v>
      </c>
      <c r="B432" s="725"/>
      <c r="C432" s="725"/>
      <c r="D432" s="725"/>
      <c r="E432" s="822">
        <f t="shared" si="36"/>
        <v>10</v>
      </c>
      <c r="F432" s="823" t="str">
        <f>IF(ISNUMBER(MATCH($E432,A_InstallationData!$R$380:$R$389,0)),MATCH($E432,A_InstallationData!$R$380:$R$389,0),EUconst_NA)</f>
        <v>Не е приложимо</v>
      </c>
      <c r="G432" s="824" t="str">
        <f>IFERROR(IF(AND(ISNUMBER($F432),NOT(ISBLANK(INDEX(A_InstallationData!$K$380:$K$389,$F432)))),INDEX(EUconst_ConnectionShortTypes,MATCH(INDEX(A_InstallationData!$K$380:$K$389,$F432),EUconst_ConnectionTypes,0)),EUconst_NA),EUconst_ERR_LinkToNIMs)</f>
        <v>Не е приложимо</v>
      </c>
      <c r="H432" s="825" t="str">
        <f>IF(NOT(ISNUMBER(F432)),EUconst_NA,CONCATENATE(INDEX(A_InstallationData!$F$380:$F$389,$F432),": ",G432," ",IF(ISBLANK(INDEX(A_InstallationData!$M$380:$M$389,$F432)),EUconst_NA,INDEX(A_InstallationData!$M$380:$M$389,$F432))))</f>
        <v>Не е приложимо</v>
      </c>
      <c r="I432" s="826"/>
      <c r="J432" s="827" t="str">
        <f>IF(ISNUMBER($F432),IF(ISBLANK(INDEX(A_InstallationData!$F$392:$F$401,$F432)),"",INDEX(A_InstallationData!$F$392:$F$401,$F432)),"")</f>
        <v/>
      </c>
      <c r="K432" s="827" t="str">
        <f>IF(ISNUMBER($F432),IF(ISBLANK(INDEX(A_InstallationData!$I$380:$I$389,$F432)),"",INDEX(A_InstallationData!$I$380:$I$389,$F432)),"")</f>
        <v/>
      </c>
      <c r="L432" s="828"/>
      <c r="M432" s="826"/>
      <c r="N432" s="829"/>
      <c r="O432" s="725"/>
      <c r="P432" s="725"/>
      <c r="Q432" s="343"/>
      <c r="R432" s="343"/>
      <c r="S432" s="343"/>
      <c r="T432" s="343"/>
      <c r="U432" s="343"/>
      <c r="V432" s="343"/>
      <c r="W432" s="343"/>
      <c r="X432" s="343"/>
      <c r="Y432" s="343"/>
    </row>
    <row r="433" spans="1:25" hidden="1" x14ac:dyDescent="0.25">
      <c r="A433" s="694" t="s">
        <v>312</v>
      </c>
      <c r="B433" s="725"/>
      <c r="C433" s="725"/>
      <c r="D433" s="725"/>
      <c r="E433" s="725"/>
      <c r="F433" s="725"/>
      <c r="G433" s="725"/>
      <c r="H433" s="725"/>
      <c r="I433" s="725"/>
      <c r="J433" s="725"/>
      <c r="K433" s="725"/>
      <c r="L433" s="725"/>
      <c r="M433" s="725"/>
      <c r="N433" s="725"/>
      <c r="O433" s="725"/>
      <c r="P433" s="725"/>
      <c r="Q433" s="343"/>
      <c r="R433" s="343"/>
      <c r="S433" s="343"/>
      <c r="T433" s="343"/>
      <c r="U433" s="343"/>
      <c r="V433" s="343"/>
      <c r="W433" s="343"/>
      <c r="X433" s="343"/>
      <c r="Y433" s="343"/>
    </row>
    <row r="434" spans="1:25" hidden="1" x14ac:dyDescent="0.25">
      <c r="A434" s="694" t="s">
        <v>312</v>
      </c>
      <c r="B434" s="725"/>
      <c r="C434" s="725"/>
      <c r="D434" s="725"/>
      <c r="E434" s="725" t="s">
        <v>816</v>
      </c>
      <c r="F434" s="725"/>
      <c r="G434" s="725"/>
      <c r="H434" s="725"/>
      <c r="I434" s="725"/>
      <c r="J434" s="725"/>
      <c r="K434" s="725"/>
      <c r="L434" s="725"/>
      <c r="M434" s="725"/>
      <c r="N434" s="725"/>
      <c r="O434" s="725"/>
      <c r="P434" s="725"/>
      <c r="Q434" s="343"/>
      <c r="R434" s="343"/>
      <c r="S434" s="343"/>
      <c r="T434" s="343"/>
      <c r="U434" s="343"/>
      <c r="V434" s="343"/>
      <c r="W434" s="343"/>
      <c r="X434" s="343"/>
      <c r="Y434" s="343"/>
    </row>
    <row r="435" spans="1:25" hidden="1" x14ac:dyDescent="0.25">
      <c r="A435" s="694" t="s">
        <v>312</v>
      </c>
      <c r="B435" s="725"/>
      <c r="C435" s="725"/>
      <c r="D435" s="725"/>
      <c r="E435" s="725" t="s">
        <v>817</v>
      </c>
      <c r="F435" s="725"/>
      <c r="G435" s="830" t="b">
        <f>COUNTA(A_InstallationData!$F$351:$F$360)&gt;0</f>
        <v>0</v>
      </c>
      <c r="H435" s="725"/>
      <c r="I435" s="725"/>
      <c r="J435" s="725"/>
      <c r="K435" s="725"/>
      <c r="L435" s="725"/>
      <c r="M435" s="725"/>
      <c r="N435" s="725"/>
      <c r="O435" s="725"/>
      <c r="P435" s="725"/>
      <c r="Q435" s="343"/>
      <c r="R435" s="343"/>
      <c r="S435" s="343"/>
      <c r="T435" s="343"/>
      <c r="U435" s="343"/>
      <c r="V435" s="343"/>
      <c r="W435" s="343"/>
      <c r="X435" s="343"/>
      <c r="Y435" s="343"/>
    </row>
    <row r="436" spans="1:25" hidden="1" x14ac:dyDescent="0.25">
      <c r="A436" s="694" t="s">
        <v>312</v>
      </c>
      <c r="B436" s="725"/>
      <c r="C436" s="725"/>
      <c r="D436" s="725"/>
      <c r="E436" s="725"/>
      <c r="F436" s="725"/>
      <c r="G436" s="725"/>
      <c r="H436" s="725"/>
      <c r="I436" s="725"/>
      <c r="J436" s="725"/>
      <c r="K436" s="725"/>
      <c r="L436" s="725"/>
      <c r="M436" s="725"/>
      <c r="N436" s="725"/>
      <c r="O436" s="725"/>
      <c r="P436" s="725"/>
      <c r="Q436" s="343"/>
      <c r="R436" s="343"/>
      <c r="S436" s="343"/>
      <c r="T436" s="343"/>
      <c r="U436" s="343"/>
      <c r="V436" s="343"/>
      <c r="W436" s="343"/>
      <c r="X436" s="343"/>
      <c r="Y436" s="343"/>
    </row>
    <row r="437" spans="1:25" hidden="1" x14ac:dyDescent="0.25">
      <c r="A437" s="694" t="s">
        <v>312</v>
      </c>
      <c r="B437" s="725"/>
      <c r="C437" s="725"/>
      <c r="D437" s="725"/>
      <c r="E437" s="725"/>
      <c r="F437" s="725"/>
      <c r="G437" s="725"/>
      <c r="H437" s="725"/>
      <c r="I437" s="725"/>
      <c r="J437" s="725"/>
      <c r="K437" s="725"/>
      <c r="L437" s="725"/>
      <c r="M437" s="725"/>
      <c r="N437" s="725"/>
      <c r="O437" s="725"/>
      <c r="P437" s="725"/>
      <c r="Q437" s="343"/>
      <c r="R437" s="343"/>
      <c r="S437" s="343"/>
      <c r="T437" s="343"/>
      <c r="U437" s="343"/>
      <c r="V437" s="343"/>
      <c r="W437" s="343"/>
      <c r="X437" s="343"/>
      <c r="Y437" s="343"/>
    </row>
    <row r="438" spans="1:25" hidden="1" x14ac:dyDescent="0.25">
      <c r="A438" s="694" t="s">
        <v>312</v>
      </c>
      <c r="B438" s="725"/>
      <c r="C438" s="725"/>
      <c r="D438" s="725"/>
      <c r="E438" s="725" t="s">
        <v>818</v>
      </c>
      <c r="F438" s="725"/>
      <c r="G438" s="725"/>
      <c r="H438" s="725"/>
      <c r="I438" s="725"/>
      <c r="J438" s="725"/>
      <c r="K438" s="725"/>
      <c r="L438" s="725"/>
      <c r="M438" s="725"/>
      <c r="N438" s="725"/>
      <c r="O438" s="725"/>
      <c r="P438" s="725"/>
      <c r="Q438" s="343"/>
      <c r="R438" s="343"/>
      <c r="S438" s="343"/>
      <c r="T438" s="343"/>
      <c r="U438" s="343"/>
      <c r="V438" s="343"/>
      <c r="W438" s="343"/>
      <c r="X438" s="343"/>
      <c r="Y438" s="343"/>
    </row>
    <row r="439" spans="1:25" hidden="1" x14ac:dyDescent="0.25">
      <c r="A439" s="694" t="s">
        <v>312</v>
      </c>
      <c r="B439" s="725"/>
      <c r="C439" s="725"/>
      <c r="D439" s="725"/>
      <c r="E439" s="725"/>
      <c r="F439" s="647" t="s">
        <v>2052</v>
      </c>
      <c r="G439" s="830"/>
      <c r="H439" s="725" t="s">
        <v>917</v>
      </c>
      <c r="I439" s="725"/>
      <c r="J439" s="725"/>
      <c r="K439" s="725"/>
      <c r="L439" s="725"/>
      <c r="M439" s="725"/>
      <c r="N439" s="725"/>
      <c r="O439" s="725"/>
      <c r="P439" s="725"/>
      <c r="Q439" s="343"/>
      <c r="R439" s="343"/>
      <c r="S439" s="343"/>
      <c r="T439" s="343"/>
      <c r="U439" s="343"/>
      <c r="V439" s="343"/>
      <c r="W439" s="343"/>
      <c r="X439" s="343"/>
      <c r="Y439" s="343"/>
    </row>
    <row r="440" spans="1:25" hidden="1" x14ac:dyDescent="0.25">
      <c r="A440" s="694" t="s">
        <v>312</v>
      </c>
      <c r="B440" s="725"/>
      <c r="C440" s="725"/>
      <c r="D440" s="725"/>
      <c r="E440" s="725"/>
      <c r="F440" s="647" t="s">
        <v>2053</v>
      </c>
      <c r="G440" s="830" t="b">
        <f>IF(CNTR_HasEntries_A_I,COUNTA(J11,J21)&lt;2,FALSE)</f>
        <v>0</v>
      </c>
      <c r="H440" s="725"/>
      <c r="I440" s="725"/>
      <c r="J440" s="725"/>
      <c r="K440" s="725"/>
      <c r="L440" s="725"/>
      <c r="M440" s="725"/>
      <c r="N440" s="725"/>
      <c r="O440" s="725"/>
      <c r="P440" s="725"/>
      <c r="Q440" s="343"/>
      <c r="R440" s="343"/>
      <c r="S440" s="343"/>
      <c r="T440" s="343"/>
      <c r="U440" s="343"/>
      <c r="V440" s="343"/>
      <c r="W440" s="343"/>
      <c r="X440" s="343"/>
      <c r="Y440" s="343"/>
    </row>
    <row r="441" spans="1:25" hidden="1" x14ac:dyDescent="0.25">
      <c r="A441" s="694" t="s">
        <v>312</v>
      </c>
      <c r="B441" s="725"/>
      <c r="C441" s="725"/>
      <c r="D441" s="725"/>
      <c r="E441" s="725"/>
      <c r="F441" s="647" t="s">
        <v>2054</v>
      </c>
      <c r="G441" s="830" t="b">
        <f>IF(CNTR_HasEntries_A_I,AND(Y31=FALSE,J31=""),FALSE)</f>
        <v>0</v>
      </c>
      <c r="H441" s="725"/>
      <c r="I441" s="725"/>
      <c r="J441" s="725"/>
      <c r="K441" s="725"/>
      <c r="L441" s="725"/>
      <c r="M441" s="725"/>
      <c r="N441" s="725"/>
      <c r="O441" s="725"/>
      <c r="P441" s="725"/>
      <c r="Q441" s="343"/>
      <c r="R441" s="343"/>
      <c r="S441" s="343"/>
      <c r="T441" s="343"/>
      <c r="U441" s="343"/>
      <c r="V441" s="343"/>
      <c r="W441" s="343"/>
      <c r="X441" s="343"/>
      <c r="Y441" s="343"/>
    </row>
    <row r="442" spans="1:25" hidden="1" x14ac:dyDescent="0.25">
      <c r="A442" s="694" t="s">
        <v>312</v>
      </c>
      <c r="B442" s="725"/>
      <c r="C442" s="725"/>
      <c r="D442" s="725"/>
      <c r="E442" s="725"/>
      <c r="F442" s="647" t="s">
        <v>2055</v>
      </c>
      <c r="G442" s="830" t="b">
        <f>IF(CNTR_HasEntries_A_I,OR(J53="",J53=EUconst_ERR_LinkToNIMs,CNTR_UniqueID="",J72="",J80="",J88="",J120=""),FALSE)</f>
        <v>0</v>
      </c>
      <c r="H442" s="725"/>
      <c r="I442" s="725"/>
      <c r="J442" s="725"/>
      <c r="K442" s="725"/>
      <c r="L442" s="725"/>
      <c r="M442" s="725"/>
      <c r="N442" s="725"/>
      <c r="O442" s="725"/>
      <c r="P442" s="725"/>
      <c r="Q442" s="343"/>
      <c r="R442" s="343"/>
      <c r="S442" s="343"/>
      <c r="T442" s="343"/>
      <c r="U442" s="343"/>
      <c r="V442" s="343"/>
      <c r="W442" s="343"/>
      <c r="X442" s="343"/>
      <c r="Y442" s="343"/>
    </row>
    <row r="443" spans="1:25" hidden="1" x14ac:dyDescent="0.25">
      <c r="A443" s="694" t="s">
        <v>312</v>
      </c>
      <c r="B443" s="725"/>
      <c r="C443" s="725"/>
      <c r="D443" s="725"/>
      <c r="E443" s="725"/>
      <c r="F443" s="647" t="s">
        <v>2057</v>
      </c>
      <c r="G443" s="830" t="b">
        <f>IF(CNTR_HasEntries_A_I,OR(J177="",J178="",J179=""),FALSE)</f>
        <v>0</v>
      </c>
      <c r="H443" s="725"/>
      <c r="I443" s="725"/>
      <c r="J443" s="725"/>
      <c r="K443" s="725"/>
      <c r="L443" s="725"/>
      <c r="M443" s="725"/>
      <c r="N443" s="725"/>
      <c r="O443" s="725"/>
      <c r="P443" s="725"/>
      <c r="Q443" s="343"/>
      <c r="R443" s="343"/>
      <c r="S443" s="343"/>
      <c r="T443" s="343"/>
      <c r="U443" s="343"/>
      <c r="V443" s="343"/>
      <c r="W443" s="343"/>
      <c r="X443" s="343"/>
      <c r="Y443" s="343"/>
    </row>
    <row r="444" spans="1:25" hidden="1" x14ac:dyDescent="0.25">
      <c r="A444" s="694" t="s">
        <v>312</v>
      </c>
      <c r="B444" s="725"/>
      <c r="C444" s="725"/>
      <c r="D444" s="725"/>
      <c r="E444" s="725"/>
      <c r="F444" s="647" t="s">
        <v>2058</v>
      </c>
      <c r="G444" s="830" t="b">
        <f>IF(CNTR_HasEntries_A_I,OR(J191="",J199="",J205="",J206="",J207=""),FALSE)</f>
        <v>0</v>
      </c>
      <c r="H444" s="725"/>
      <c r="I444" s="725"/>
      <c r="J444" s="725"/>
      <c r="K444" s="725"/>
      <c r="L444" s="725"/>
      <c r="M444" s="725"/>
      <c r="N444" s="725"/>
      <c r="O444" s="725"/>
      <c r="P444" s="725"/>
      <c r="Q444" s="343"/>
      <c r="R444" s="343"/>
      <c r="S444" s="343"/>
      <c r="T444" s="343"/>
      <c r="U444" s="343"/>
      <c r="V444" s="343"/>
      <c r="W444" s="343"/>
      <c r="X444" s="343"/>
      <c r="Y444" s="343"/>
    </row>
    <row r="445" spans="1:25" hidden="1" x14ac:dyDescent="0.25">
      <c r="A445" s="694" t="s">
        <v>312</v>
      </c>
      <c r="B445" s="725"/>
      <c r="C445" s="725"/>
      <c r="D445" s="725"/>
      <c r="E445" s="725"/>
      <c r="F445" s="647" t="s">
        <v>2056</v>
      </c>
      <c r="G445" s="830" t="b">
        <f>IF(CNTR_HasEntries_A_I,OR(F227="",COUNTIF(F227:N233,EUconst_ERR_LinkToNIMs)&gt;0),FALSE)</f>
        <v>0</v>
      </c>
      <c r="H445" s="725"/>
      <c r="I445" s="725"/>
      <c r="J445" s="725"/>
      <c r="K445" s="725"/>
      <c r="L445" s="725"/>
      <c r="M445" s="725"/>
      <c r="N445" s="725"/>
      <c r="O445" s="725"/>
      <c r="P445" s="725"/>
      <c r="Q445" s="343"/>
      <c r="R445" s="343"/>
      <c r="S445" s="343"/>
      <c r="T445" s="343"/>
      <c r="U445" s="343"/>
      <c r="V445" s="343"/>
      <c r="W445" s="343"/>
      <c r="X445" s="343"/>
      <c r="Y445" s="343"/>
    </row>
    <row r="446" spans="1:25" ht="13" hidden="1" thickBot="1" x14ac:dyDescent="0.3">
      <c r="A446" s="694" t="s">
        <v>312</v>
      </c>
      <c r="B446" s="725"/>
      <c r="C446" s="725"/>
      <c r="D446" s="725"/>
      <c r="E446" s="725"/>
      <c r="F446" s="647" t="s">
        <v>2059</v>
      </c>
      <c r="G446" s="830" t="b">
        <f>OR(COUNTIF(F380:N389,EUconst_ERR_LinkToNIMs)&gt;0,COUNTIF(F392:N401,EUconst_ERR_LinkToNIMs)&gt;0)</f>
        <v>0</v>
      </c>
      <c r="H446" s="725"/>
      <c r="I446" s="725"/>
      <c r="J446" s="725"/>
      <c r="K446" s="725"/>
      <c r="L446" s="725"/>
      <c r="M446" s="725"/>
      <c r="N446" s="725"/>
      <c r="O446" s="725"/>
      <c r="P446" s="725"/>
      <c r="Q446" s="343"/>
      <c r="R446" s="343"/>
      <c r="S446" s="343"/>
      <c r="T446" s="343"/>
      <c r="U446" s="343"/>
      <c r="V446" s="343"/>
      <c r="W446" s="343"/>
      <c r="X446" s="343"/>
      <c r="Y446" s="343"/>
    </row>
    <row r="447" spans="1:25" ht="13.5" hidden="1" thickBot="1" x14ac:dyDescent="0.3">
      <c r="A447" s="694" t="s">
        <v>312</v>
      </c>
      <c r="B447" s="725"/>
      <c r="C447" s="725"/>
      <c r="D447" s="725"/>
      <c r="E447" s="725"/>
      <c r="F447" s="669" t="s">
        <v>819</v>
      </c>
      <c r="G447" s="384" t="b">
        <f>OR(G439:G441)</f>
        <v>0</v>
      </c>
      <c r="H447" s="725"/>
      <c r="I447" s="725"/>
      <c r="J447" s="725"/>
      <c r="K447" s="725"/>
      <c r="L447" s="725"/>
      <c r="M447" s="725"/>
      <c r="N447" s="725"/>
      <c r="O447" s="725"/>
      <c r="P447" s="725"/>
      <c r="Q447" s="343"/>
      <c r="R447" s="343"/>
      <c r="S447" s="343"/>
      <c r="T447" s="343"/>
      <c r="U447" s="343"/>
      <c r="V447" s="343"/>
      <c r="W447" s="343"/>
      <c r="X447" s="343"/>
      <c r="Y447" s="343"/>
    </row>
    <row r="448" spans="1:25" hidden="1" x14ac:dyDescent="0.25">
      <c r="A448" s="694" t="s">
        <v>312</v>
      </c>
      <c r="B448" s="725"/>
      <c r="C448" s="725"/>
      <c r="D448" s="725"/>
      <c r="E448" s="725"/>
      <c r="F448" s="725"/>
      <c r="G448" s="725"/>
      <c r="H448" s="725"/>
      <c r="I448" s="725"/>
      <c r="J448" s="725"/>
      <c r="K448" s="725"/>
      <c r="L448" s="725"/>
      <c r="M448" s="725"/>
      <c r="N448" s="725"/>
      <c r="O448" s="725"/>
      <c r="P448" s="725"/>
      <c r="Q448" s="343"/>
      <c r="R448" s="343"/>
      <c r="S448" s="343"/>
      <c r="T448" s="343"/>
      <c r="U448" s="343"/>
      <c r="V448" s="343"/>
      <c r="W448" s="343"/>
      <c r="X448" s="343"/>
      <c r="Y448" s="343"/>
    </row>
    <row r="449" spans="1:25" hidden="1" x14ac:dyDescent="0.25">
      <c r="A449" s="694" t="s">
        <v>312</v>
      </c>
      <c r="B449" s="725"/>
      <c r="C449" s="725"/>
      <c r="D449" s="725"/>
      <c r="E449" s="725"/>
      <c r="F449" s="725"/>
      <c r="G449" s="725"/>
      <c r="H449" s="725"/>
      <c r="I449" s="725"/>
      <c r="J449" s="725"/>
      <c r="K449" s="725"/>
      <c r="L449" s="725"/>
      <c r="M449" s="725"/>
      <c r="N449" s="725"/>
      <c r="O449" s="725"/>
      <c r="P449" s="725"/>
      <c r="Q449" s="343"/>
      <c r="R449" s="343"/>
      <c r="S449" s="343"/>
      <c r="T449" s="343"/>
      <c r="U449" s="343"/>
      <c r="V449" s="343"/>
      <c r="W449" s="343"/>
      <c r="X449" s="343"/>
      <c r="Y449" s="343"/>
    </row>
    <row r="450" spans="1:25" x14ac:dyDescent="0.25">
      <c r="A450" s="694"/>
      <c r="P450" s="725"/>
      <c r="Q450" s="343"/>
      <c r="R450" s="343"/>
      <c r="S450" s="343"/>
      <c r="T450" s="343"/>
      <c r="U450" s="343"/>
      <c r="V450" s="343"/>
      <c r="W450" s="343"/>
      <c r="X450" s="343"/>
      <c r="Y450" s="343"/>
    </row>
  </sheetData>
  <sheetProtection sheet="1" objects="1" scenarios="1" formatCells="0" formatColumns="0" formatRows="0"/>
  <mergeCells count="626">
    <mergeCell ref="D252:N252"/>
    <mergeCell ref="F398:G398"/>
    <mergeCell ref="H398:I398"/>
    <mergeCell ref="J398:L398"/>
    <mergeCell ref="M398:N398"/>
    <mergeCell ref="M397:N397"/>
    <mergeCell ref="F394:G394"/>
    <mergeCell ref="H394:I394"/>
    <mergeCell ref="J394:L394"/>
    <mergeCell ref="M394:N394"/>
    <mergeCell ref="F395:G395"/>
    <mergeCell ref="H395:I395"/>
    <mergeCell ref="J395:L395"/>
    <mergeCell ref="M395:N395"/>
    <mergeCell ref="F396:G396"/>
    <mergeCell ref="H396:I396"/>
    <mergeCell ref="J396:L396"/>
    <mergeCell ref="M396:N396"/>
    <mergeCell ref="F397:G397"/>
    <mergeCell ref="H397:I397"/>
    <mergeCell ref="J397:L397"/>
    <mergeCell ref="F392:G392"/>
    <mergeCell ref="H392:I392"/>
    <mergeCell ref="J392:L392"/>
    <mergeCell ref="F401:G401"/>
    <mergeCell ref="H401:I401"/>
    <mergeCell ref="J401:L401"/>
    <mergeCell ref="M401:N401"/>
    <mergeCell ref="F399:G399"/>
    <mergeCell ref="H399:I399"/>
    <mergeCell ref="J399:L399"/>
    <mergeCell ref="M399:N399"/>
    <mergeCell ref="F400:G400"/>
    <mergeCell ref="H400:I400"/>
    <mergeCell ref="J400:L400"/>
    <mergeCell ref="M400:N400"/>
    <mergeCell ref="M392:N392"/>
    <mergeCell ref="F393:G393"/>
    <mergeCell ref="H393:I393"/>
    <mergeCell ref="J393:L393"/>
    <mergeCell ref="M393:N393"/>
    <mergeCell ref="F389:H389"/>
    <mergeCell ref="I389:J389"/>
    <mergeCell ref="K389:L389"/>
    <mergeCell ref="M389:N389"/>
    <mergeCell ref="F391:G391"/>
    <mergeCell ref="H391:I391"/>
    <mergeCell ref="J391:L391"/>
    <mergeCell ref="M391:N391"/>
    <mergeCell ref="F387:H387"/>
    <mergeCell ref="I387:J387"/>
    <mergeCell ref="K387:L387"/>
    <mergeCell ref="M387:N387"/>
    <mergeCell ref="F388:H388"/>
    <mergeCell ref="I388:J388"/>
    <mergeCell ref="K388:L388"/>
    <mergeCell ref="M388:N388"/>
    <mergeCell ref="F380:H380"/>
    <mergeCell ref="I380:J380"/>
    <mergeCell ref="K380:L380"/>
    <mergeCell ref="M380:N380"/>
    <mergeCell ref="F385:H385"/>
    <mergeCell ref="I385:J385"/>
    <mergeCell ref="K385:L385"/>
    <mergeCell ref="M385:N385"/>
    <mergeCell ref="F386:H386"/>
    <mergeCell ref="I386:J386"/>
    <mergeCell ref="K386:L386"/>
    <mergeCell ref="M386:N386"/>
    <mergeCell ref="F383:H383"/>
    <mergeCell ref="I383:J383"/>
    <mergeCell ref="K383:L383"/>
    <mergeCell ref="M383:N383"/>
    <mergeCell ref="F384:H384"/>
    <mergeCell ref="I384:J384"/>
    <mergeCell ref="K384:L384"/>
    <mergeCell ref="M384:N384"/>
    <mergeCell ref="F335:N335"/>
    <mergeCell ref="F339:N339"/>
    <mergeCell ref="F379:H379"/>
    <mergeCell ref="I379:J379"/>
    <mergeCell ref="K379:L379"/>
    <mergeCell ref="M379:N379"/>
    <mergeCell ref="E377:N377"/>
    <mergeCell ref="J366:L366"/>
    <mergeCell ref="M370:N370"/>
    <mergeCell ref="M371:N371"/>
    <mergeCell ref="J372:L372"/>
    <mergeCell ref="M372:N372"/>
    <mergeCell ref="F370:G370"/>
    <mergeCell ref="H374:I374"/>
    <mergeCell ref="J365:L365"/>
    <mergeCell ref="M375:N375"/>
    <mergeCell ref="J368:L368"/>
    <mergeCell ref="M368:N368"/>
    <mergeCell ref="H371:I371"/>
    <mergeCell ref="J371:L371"/>
    <mergeCell ref="M357:N357"/>
    <mergeCell ref="K354:L354"/>
    <mergeCell ref="K357:L357"/>
    <mergeCell ref="E327:N327"/>
    <mergeCell ref="F357:H357"/>
    <mergeCell ref="F342:N342"/>
    <mergeCell ref="F355:H355"/>
    <mergeCell ref="M354:N354"/>
    <mergeCell ref="I354:J354"/>
    <mergeCell ref="I355:J355"/>
    <mergeCell ref="F353:H353"/>
    <mergeCell ref="K355:L355"/>
    <mergeCell ref="I357:J357"/>
    <mergeCell ref="M356:N356"/>
    <mergeCell ref="I356:J356"/>
    <mergeCell ref="F356:H356"/>
    <mergeCell ref="F354:H354"/>
    <mergeCell ref="M355:N355"/>
    <mergeCell ref="E331:N331"/>
    <mergeCell ref="F332:N332"/>
    <mergeCell ref="K356:L356"/>
    <mergeCell ref="F334:N334"/>
    <mergeCell ref="K350:L350"/>
    <mergeCell ref="E337:N337"/>
    <mergeCell ref="F322:G322"/>
    <mergeCell ref="H322:I322"/>
    <mergeCell ref="J322:L322"/>
    <mergeCell ref="M322:N322"/>
    <mergeCell ref="F323:G323"/>
    <mergeCell ref="H323:I323"/>
    <mergeCell ref="J323:L323"/>
    <mergeCell ref="M323:N323"/>
    <mergeCell ref="F333:N333"/>
    <mergeCell ref="E325:N325"/>
    <mergeCell ref="E326:N326"/>
    <mergeCell ref="F320:G320"/>
    <mergeCell ref="H320:I320"/>
    <mergeCell ref="J320:L320"/>
    <mergeCell ref="M320:N320"/>
    <mergeCell ref="F321:G321"/>
    <mergeCell ref="H321:I321"/>
    <mergeCell ref="J321:L321"/>
    <mergeCell ref="M321:N321"/>
    <mergeCell ref="F318:G318"/>
    <mergeCell ref="H318:I318"/>
    <mergeCell ref="J318:L318"/>
    <mergeCell ref="M318:N318"/>
    <mergeCell ref="F319:G319"/>
    <mergeCell ref="H319:I319"/>
    <mergeCell ref="J319:L319"/>
    <mergeCell ref="M319:N319"/>
    <mergeCell ref="F317:G317"/>
    <mergeCell ref="H317:I317"/>
    <mergeCell ref="J317:L317"/>
    <mergeCell ref="M317:N317"/>
    <mergeCell ref="F314:G314"/>
    <mergeCell ref="H314:I314"/>
    <mergeCell ref="J314:L314"/>
    <mergeCell ref="M314:N314"/>
    <mergeCell ref="F315:G315"/>
    <mergeCell ref="H315:I315"/>
    <mergeCell ref="J315:L315"/>
    <mergeCell ref="M315:N315"/>
    <mergeCell ref="F313:G313"/>
    <mergeCell ref="H313:I313"/>
    <mergeCell ref="J313:L313"/>
    <mergeCell ref="M313:N313"/>
    <mergeCell ref="F310:H310"/>
    <mergeCell ref="I310:J310"/>
    <mergeCell ref="K310:L310"/>
    <mergeCell ref="M310:N310"/>
    <mergeCell ref="F316:G316"/>
    <mergeCell ref="H316:I316"/>
    <mergeCell ref="J316:L316"/>
    <mergeCell ref="M316:N316"/>
    <mergeCell ref="F308:H308"/>
    <mergeCell ref="I308:J308"/>
    <mergeCell ref="K308:L308"/>
    <mergeCell ref="M308:N308"/>
    <mergeCell ref="D277:N277"/>
    <mergeCell ref="D289:N289"/>
    <mergeCell ref="D293:N293"/>
    <mergeCell ref="F311:H311"/>
    <mergeCell ref="I311:J311"/>
    <mergeCell ref="K311:L311"/>
    <mergeCell ref="M311:N311"/>
    <mergeCell ref="E291:N291"/>
    <mergeCell ref="J285:N285"/>
    <mergeCell ref="J284:N284"/>
    <mergeCell ref="E267:N267"/>
    <mergeCell ref="F268:N268"/>
    <mergeCell ref="F269:N269"/>
    <mergeCell ref="F270:N270"/>
    <mergeCell ref="E278:N278"/>
    <mergeCell ref="K309:L309"/>
    <mergeCell ref="M309:N309"/>
    <mergeCell ref="E294:N294"/>
    <mergeCell ref="F279:N279"/>
    <mergeCell ref="F281:N281"/>
    <mergeCell ref="F280:N280"/>
    <mergeCell ref="K303:L303"/>
    <mergeCell ref="M303:N303"/>
    <mergeCell ref="F301:H301"/>
    <mergeCell ref="I301:J301"/>
    <mergeCell ref="K301:L301"/>
    <mergeCell ref="M301:N301"/>
    <mergeCell ref="E299:N299"/>
    <mergeCell ref="K302:L302"/>
    <mergeCell ref="M302:N302"/>
    <mergeCell ref="F307:H307"/>
    <mergeCell ref="I307:J307"/>
    <mergeCell ref="K307:L307"/>
    <mergeCell ref="M307:N307"/>
    <mergeCell ref="G177:I177"/>
    <mergeCell ref="J177:N177"/>
    <mergeCell ref="J185:N185"/>
    <mergeCell ref="G193:I193"/>
    <mergeCell ref="E190:N190"/>
    <mergeCell ref="G192:I192"/>
    <mergeCell ref="D188:N188"/>
    <mergeCell ref="J201:N201"/>
    <mergeCell ref="G194:I194"/>
    <mergeCell ref="J192:N192"/>
    <mergeCell ref="G185:I185"/>
    <mergeCell ref="G184:I184"/>
    <mergeCell ref="J184:N184"/>
    <mergeCell ref="J200:N200"/>
    <mergeCell ref="J195:N195"/>
    <mergeCell ref="E198:N198"/>
    <mergeCell ref="G178:I178"/>
    <mergeCell ref="J178:N178"/>
    <mergeCell ref="G179:I179"/>
    <mergeCell ref="J179:N179"/>
    <mergeCell ref="G180:I180"/>
    <mergeCell ref="J180:N180"/>
    <mergeCell ref="E149:N149"/>
    <mergeCell ref="J154:N154"/>
    <mergeCell ref="J152:N152"/>
    <mergeCell ref="E147:N147"/>
    <mergeCell ref="J175:N175"/>
    <mergeCell ref="J172:N172"/>
    <mergeCell ref="E164:N164"/>
    <mergeCell ref="J151:N151"/>
    <mergeCell ref="G150:I150"/>
    <mergeCell ref="J150:N150"/>
    <mergeCell ref="G168:I168"/>
    <mergeCell ref="J168:N168"/>
    <mergeCell ref="J153:N153"/>
    <mergeCell ref="J157:N157"/>
    <mergeCell ref="J158:N158"/>
    <mergeCell ref="J160:N160"/>
    <mergeCell ref="J167:N167"/>
    <mergeCell ref="G169:I169"/>
    <mergeCell ref="G170:I170"/>
    <mergeCell ref="J170:N170"/>
    <mergeCell ref="G172:I172"/>
    <mergeCell ref="G175:I175"/>
    <mergeCell ref="G167:I167"/>
    <mergeCell ref="J169:N169"/>
    <mergeCell ref="G143:I143"/>
    <mergeCell ref="J143:N143"/>
    <mergeCell ref="J137:N137"/>
    <mergeCell ref="G137:I137"/>
    <mergeCell ref="G127:I127"/>
    <mergeCell ref="J127:N127"/>
    <mergeCell ref="G128:I128"/>
    <mergeCell ref="J128:N128"/>
    <mergeCell ref="G131:I131"/>
    <mergeCell ref="J131:N131"/>
    <mergeCell ref="G138:I138"/>
    <mergeCell ref="J138:N138"/>
    <mergeCell ref="E130:N130"/>
    <mergeCell ref="G124:I124"/>
    <mergeCell ref="J124:N124"/>
    <mergeCell ref="G120:I120"/>
    <mergeCell ref="J120:N120"/>
    <mergeCell ref="G121:I121"/>
    <mergeCell ref="J121:N121"/>
    <mergeCell ref="G122:I122"/>
    <mergeCell ref="J122:N122"/>
    <mergeCell ref="G132:I132"/>
    <mergeCell ref="J132:N132"/>
    <mergeCell ref="G107:I107"/>
    <mergeCell ref="J103:N103"/>
    <mergeCell ref="J112:N112"/>
    <mergeCell ref="E329:N329"/>
    <mergeCell ref="E328:N328"/>
    <mergeCell ref="J134:N134"/>
    <mergeCell ref="E262:N262"/>
    <mergeCell ref="F302:H302"/>
    <mergeCell ref="F232:N232"/>
    <mergeCell ref="I302:J302"/>
    <mergeCell ref="F231:N231"/>
    <mergeCell ref="L246:N246"/>
    <mergeCell ref="E240:K240"/>
    <mergeCell ref="L241:N241"/>
    <mergeCell ref="E244:K244"/>
    <mergeCell ref="E261:N261"/>
    <mergeCell ref="E263:N263"/>
    <mergeCell ref="E260:N260"/>
    <mergeCell ref="F304:H304"/>
    <mergeCell ref="I304:J304"/>
    <mergeCell ref="G118:I118"/>
    <mergeCell ref="J118:N118"/>
    <mergeCell ref="G123:I123"/>
    <mergeCell ref="J123:N123"/>
    <mergeCell ref="G202:I202"/>
    <mergeCell ref="L242:N242"/>
    <mergeCell ref="F225:N225"/>
    <mergeCell ref="M353:N353"/>
    <mergeCell ref="F305:H305"/>
    <mergeCell ref="I305:J305"/>
    <mergeCell ref="K305:L305"/>
    <mergeCell ref="M305:N305"/>
    <mergeCell ref="F306:H306"/>
    <mergeCell ref="I306:J306"/>
    <mergeCell ref="K306:L306"/>
    <mergeCell ref="M306:N306"/>
    <mergeCell ref="F336:N336"/>
    <mergeCell ref="K353:L353"/>
    <mergeCell ref="F352:H352"/>
    <mergeCell ref="K352:L352"/>
    <mergeCell ref="F338:N338"/>
    <mergeCell ref="M351:N351"/>
    <mergeCell ref="F340:N340"/>
    <mergeCell ref="F343:N343"/>
    <mergeCell ref="F347:N347"/>
    <mergeCell ref="E341:N341"/>
    <mergeCell ref="I352:J352"/>
    <mergeCell ref="I353:J353"/>
    <mergeCell ref="P2:P4"/>
    <mergeCell ref="J53:N53"/>
    <mergeCell ref="F230:N230"/>
    <mergeCell ref="G173:I173"/>
    <mergeCell ref="E212:N212"/>
    <mergeCell ref="J183:N183"/>
    <mergeCell ref="G207:I207"/>
    <mergeCell ref="J194:N194"/>
    <mergeCell ref="D209:N209"/>
    <mergeCell ref="F227:N227"/>
    <mergeCell ref="G200:I200"/>
    <mergeCell ref="J207:N207"/>
    <mergeCell ref="F224:N224"/>
    <mergeCell ref="F222:N222"/>
    <mergeCell ref="E213:N213"/>
    <mergeCell ref="E80:I80"/>
    <mergeCell ref="E98:N98"/>
    <mergeCell ref="J108:N108"/>
    <mergeCell ref="J104:N104"/>
    <mergeCell ref="J101:N101"/>
    <mergeCell ref="G116:I116"/>
    <mergeCell ref="J116:N116"/>
    <mergeCell ref="G117:I117"/>
    <mergeCell ref="J117:N117"/>
    <mergeCell ref="F215:N215"/>
    <mergeCell ref="F216:N216"/>
    <mergeCell ref="G206:I206"/>
    <mergeCell ref="E235:N235"/>
    <mergeCell ref="J206:N206"/>
    <mergeCell ref="E204:N204"/>
    <mergeCell ref="E238:N238"/>
    <mergeCell ref="J205:N205"/>
    <mergeCell ref="F226:N226"/>
    <mergeCell ref="F219:N219"/>
    <mergeCell ref="F220:N220"/>
    <mergeCell ref="F221:N221"/>
    <mergeCell ref="E211:N211"/>
    <mergeCell ref="E237:N237"/>
    <mergeCell ref="F228:N228"/>
    <mergeCell ref="E234:N234"/>
    <mergeCell ref="E85:N85"/>
    <mergeCell ref="G105:I105"/>
    <mergeCell ref="J106:N106"/>
    <mergeCell ref="G103:I103"/>
    <mergeCell ref="J102:N102"/>
    <mergeCell ref="J95:N95"/>
    <mergeCell ref="F92:I92"/>
    <mergeCell ref="F94:N94"/>
    <mergeCell ref="J86:N86"/>
    <mergeCell ref="J88:N88"/>
    <mergeCell ref="F96:I96"/>
    <mergeCell ref="F90:N90"/>
    <mergeCell ref="J91:N91"/>
    <mergeCell ref="J92:N92"/>
    <mergeCell ref="F95:I95"/>
    <mergeCell ref="G104:I104"/>
    <mergeCell ref="F91:I91"/>
    <mergeCell ref="E99:N99"/>
    <mergeCell ref="G100:I100"/>
    <mergeCell ref="G101:I101"/>
    <mergeCell ref="E148:N148"/>
    <mergeCell ref="G142:I142"/>
    <mergeCell ref="G108:I108"/>
    <mergeCell ref="G106:I106"/>
    <mergeCell ref="G136:I136"/>
    <mergeCell ref="J136:N136"/>
    <mergeCell ref="G133:I133"/>
    <mergeCell ref="J133:N133"/>
    <mergeCell ref="G134:I134"/>
    <mergeCell ref="G115:I115"/>
    <mergeCell ref="J115:N115"/>
    <mergeCell ref="G110:I110"/>
    <mergeCell ref="J110:N110"/>
    <mergeCell ref="G113:I113"/>
    <mergeCell ref="J113:N113"/>
    <mergeCell ref="G114:I114"/>
    <mergeCell ref="J114:N114"/>
    <mergeCell ref="J111:N111"/>
    <mergeCell ref="G112:I112"/>
    <mergeCell ref="G111:I111"/>
    <mergeCell ref="G125:I125"/>
    <mergeCell ref="J125:N125"/>
    <mergeCell ref="G126:I126"/>
    <mergeCell ref="J126:N126"/>
    <mergeCell ref="I2:J2"/>
    <mergeCell ref="K2:L2"/>
    <mergeCell ref="E4:F4"/>
    <mergeCell ref="F86:I86"/>
    <mergeCell ref="E59:N59"/>
    <mergeCell ref="G2:H2"/>
    <mergeCell ref="M3:N3"/>
    <mergeCell ref="E58:N58"/>
    <mergeCell ref="D47:N47"/>
    <mergeCell ref="B2:D4"/>
    <mergeCell ref="M2:N2"/>
    <mergeCell ref="E3:F3"/>
    <mergeCell ref="G3:H3"/>
    <mergeCell ref="I3:J3"/>
    <mergeCell ref="K3:L3"/>
    <mergeCell ref="G4:H4"/>
    <mergeCell ref="I4:J4"/>
    <mergeCell ref="K4:L4"/>
    <mergeCell ref="M4:N4"/>
    <mergeCell ref="J56:N56"/>
    <mergeCell ref="J51:N51"/>
    <mergeCell ref="D25:N25"/>
    <mergeCell ref="E12:N12"/>
    <mergeCell ref="J11:L11"/>
    <mergeCell ref="E15:N15"/>
    <mergeCell ref="E54:N54"/>
    <mergeCell ref="E18:N18"/>
    <mergeCell ref="F42:J42"/>
    <mergeCell ref="K41:L41"/>
    <mergeCell ref="D6:N6"/>
    <mergeCell ref="E56:I56"/>
    <mergeCell ref="E11:I11"/>
    <mergeCell ref="D10:N10"/>
    <mergeCell ref="D9:N9"/>
    <mergeCell ref="E19:N19"/>
    <mergeCell ref="K42:L42"/>
    <mergeCell ref="F16:N16"/>
    <mergeCell ref="F17:N17"/>
    <mergeCell ref="E14:I14"/>
    <mergeCell ref="D49:N49"/>
    <mergeCell ref="E51:I51"/>
    <mergeCell ref="J52:N52"/>
    <mergeCell ref="F33:N33"/>
    <mergeCell ref="K43:L43"/>
    <mergeCell ref="E31:I31"/>
    <mergeCell ref="E23:N23"/>
    <mergeCell ref="F37:N37"/>
    <mergeCell ref="J174:N174"/>
    <mergeCell ref="J155:N155"/>
    <mergeCell ref="G102:I102"/>
    <mergeCell ref="G141:I141"/>
    <mergeCell ref="J141:N141"/>
    <mergeCell ref="J139:N139"/>
    <mergeCell ref="J96:N96"/>
    <mergeCell ref="E166:N166"/>
    <mergeCell ref="E70:I70"/>
    <mergeCell ref="J159:N159"/>
    <mergeCell ref="J156:N156"/>
    <mergeCell ref="J71:N71"/>
    <mergeCell ref="J105:N105"/>
    <mergeCell ref="J107:N107"/>
    <mergeCell ref="D163:N163"/>
    <mergeCell ref="G174:I174"/>
    <mergeCell ref="G152:H161"/>
    <mergeCell ref="E81:N81"/>
    <mergeCell ref="J72:N72"/>
    <mergeCell ref="E83:N83"/>
    <mergeCell ref="E146:N146"/>
    <mergeCell ref="G139:I139"/>
    <mergeCell ref="G144:I144"/>
    <mergeCell ref="J144:N144"/>
    <mergeCell ref="E247:N247"/>
    <mergeCell ref="F229:N229"/>
    <mergeCell ref="E290:N290"/>
    <mergeCell ref="F223:N223"/>
    <mergeCell ref="E239:N239"/>
    <mergeCell ref="E236:N236"/>
    <mergeCell ref="E330:N330"/>
    <mergeCell ref="L244:N244"/>
    <mergeCell ref="L245:N245"/>
    <mergeCell ref="E255:N255"/>
    <mergeCell ref="E298:N298"/>
    <mergeCell ref="D296:N296"/>
    <mergeCell ref="K304:L304"/>
    <mergeCell ref="M304:N304"/>
    <mergeCell ref="F309:H309"/>
    <mergeCell ref="I309:J309"/>
    <mergeCell ref="E258:N258"/>
    <mergeCell ref="E248:N248"/>
    <mergeCell ref="D250:N250"/>
    <mergeCell ref="E257:N257"/>
    <mergeCell ref="L240:N240"/>
    <mergeCell ref="D266:N266"/>
    <mergeCell ref="F303:H303"/>
    <mergeCell ref="I303:J303"/>
    <mergeCell ref="D404:N404"/>
    <mergeCell ref="M373:N373"/>
    <mergeCell ref="F372:G372"/>
    <mergeCell ref="H372:I372"/>
    <mergeCell ref="I358:J358"/>
    <mergeCell ref="J367:L367"/>
    <mergeCell ref="I359:J359"/>
    <mergeCell ref="E364:N364"/>
    <mergeCell ref="M366:N366"/>
    <mergeCell ref="E363:N363"/>
    <mergeCell ref="J374:L374"/>
    <mergeCell ref="H365:I365"/>
    <mergeCell ref="F365:G365"/>
    <mergeCell ref="H367:I367"/>
    <mergeCell ref="F366:G366"/>
    <mergeCell ref="F368:G368"/>
    <mergeCell ref="F381:H381"/>
    <mergeCell ref="I381:J381"/>
    <mergeCell ref="K381:L381"/>
    <mergeCell ref="M381:N381"/>
    <mergeCell ref="F382:H382"/>
    <mergeCell ref="I382:J382"/>
    <mergeCell ref="K382:L382"/>
    <mergeCell ref="M382:N382"/>
    <mergeCell ref="M374:N374"/>
    <mergeCell ref="H370:I370"/>
    <mergeCell ref="F351:H351"/>
    <mergeCell ref="E346:N346"/>
    <mergeCell ref="F344:N344"/>
    <mergeCell ref="F345:N345"/>
    <mergeCell ref="I351:J351"/>
    <mergeCell ref="M350:N350"/>
    <mergeCell ref="F350:H350"/>
    <mergeCell ref="I350:J350"/>
    <mergeCell ref="M352:N352"/>
    <mergeCell ref="F348:N348"/>
    <mergeCell ref="K351:L351"/>
    <mergeCell ref="M365:N365"/>
    <mergeCell ref="M360:N360"/>
    <mergeCell ref="J370:L370"/>
    <mergeCell ref="H368:I368"/>
    <mergeCell ref="H369:I369"/>
    <mergeCell ref="F369:G369"/>
    <mergeCell ref="J369:L369"/>
    <mergeCell ref="F371:G371"/>
    <mergeCell ref="F373:G373"/>
    <mergeCell ref="F359:H359"/>
    <mergeCell ref="H366:I366"/>
    <mergeCell ref="J61:N61"/>
    <mergeCell ref="E66:N66"/>
    <mergeCell ref="E68:N68"/>
    <mergeCell ref="E63:I63"/>
    <mergeCell ref="J63:N63"/>
    <mergeCell ref="J65:N65"/>
    <mergeCell ref="H375:I375"/>
    <mergeCell ref="H373:I373"/>
    <mergeCell ref="J373:L373"/>
    <mergeCell ref="F374:G374"/>
    <mergeCell ref="M369:N369"/>
    <mergeCell ref="M359:N359"/>
    <mergeCell ref="F358:H358"/>
    <mergeCell ref="K359:L359"/>
    <mergeCell ref="M358:N358"/>
    <mergeCell ref="E362:N362"/>
    <mergeCell ref="I360:J360"/>
    <mergeCell ref="K360:L360"/>
    <mergeCell ref="F367:G367"/>
    <mergeCell ref="K358:L358"/>
    <mergeCell ref="F375:G375"/>
    <mergeCell ref="J375:L375"/>
    <mergeCell ref="F360:H360"/>
    <mergeCell ref="M367:N367"/>
    <mergeCell ref="J57:N57"/>
    <mergeCell ref="E67:N67"/>
    <mergeCell ref="J202:N202"/>
    <mergeCell ref="J186:N186"/>
    <mergeCell ref="G191:I191"/>
    <mergeCell ref="G151:I151"/>
    <mergeCell ref="J173:N173"/>
    <mergeCell ref="J87:N87"/>
    <mergeCell ref="J64:N64"/>
    <mergeCell ref="E84:N84"/>
    <mergeCell ref="J191:N191"/>
    <mergeCell ref="G186:I186"/>
    <mergeCell ref="E73:N73"/>
    <mergeCell ref="G199:I199"/>
    <mergeCell ref="J142:N142"/>
    <mergeCell ref="G195:I195"/>
    <mergeCell ref="J100:N100"/>
    <mergeCell ref="J161:N161"/>
    <mergeCell ref="J199:N199"/>
    <mergeCell ref="G183:I183"/>
    <mergeCell ref="E182:N182"/>
    <mergeCell ref="E78:N78"/>
    <mergeCell ref="E61:I61"/>
    <mergeCell ref="J70:N70"/>
    <mergeCell ref="E2:F2"/>
    <mergeCell ref="E21:I21"/>
    <mergeCell ref="J21:L21"/>
    <mergeCell ref="E22:N22"/>
    <mergeCell ref="E40:N40"/>
    <mergeCell ref="F38:N38"/>
    <mergeCell ref="J14:L14"/>
    <mergeCell ref="F34:N34"/>
    <mergeCell ref="F218:N218"/>
    <mergeCell ref="G201:I201"/>
    <mergeCell ref="E197:N197"/>
    <mergeCell ref="J193:N193"/>
    <mergeCell ref="F217:N217"/>
    <mergeCell ref="E28:N28"/>
    <mergeCell ref="J31:L31"/>
    <mergeCell ref="E29:N29"/>
    <mergeCell ref="E32:N32"/>
    <mergeCell ref="F41:J41"/>
    <mergeCell ref="F36:N36"/>
    <mergeCell ref="F35:M35"/>
    <mergeCell ref="F43:J43"/>
    <mergeCell ref="F44:N44"/>
    <mergeCell ref="G205:I205"/>
    <mergeCell ref="E75:I75"/>
  </mergeCells>
  <phoneticPr fontId="34" type="noConversion"/>
  <conditionalFormatting sqref="B2:D4">
    <cfRule type="expression" dxfId="818" priority="139" stopIfTrue="1">
      <formula>CNTR_HasErrors_A</formula>
    </cfRule>
  </conditionalFormatting>
  <conditionalFormatting sqref="D27:N40 D41:K43 M41:N43 D44:N45">
    <cfRule type="expression" dxfId="817" priority="48" stopIfTrue="1">
      <formula>$Y$31</formula>
    </cfRule>
  </conditionalFormatting>
  <conditionalFormatting sqref="F366:G375">
    <cfRule type="expression" dxfId="816" priority="90" stopIfTrue="1">
      <formula>($S351=FALSE)</formula>
    </cfRule>
  </conditionalFormatting>
  <conditionalFormatting sqref="F215:N220">
    <cfRule type="expression" dxfId="815" priority="36" stopIfTrue="1">
      <formula>$Y215</formula>
    </cfRule>
  </conditionalFormatting>
  <conditionalFormatting sqref="F221:N226">
    <cfRule type="expression" dxfId="814" priority="47" stopIfTrue="1">
      <formula>$Y221</formula>
    </cfRule>
  </conditionalFormatting>
  <conditionalFormatting sqref="F227:N232">
    <cfRule type="containsText" dxfId="813" priority="35" stopIfTrue="1" operator="containsText" text="!">
      <formula>NOT(ISERROR(SEARCH("!",F227)))</formula>
    </cfRule>
  </conditionalFormatting>
  <conditionalFormatting sqref="F302:N311 F314:N323">
    <cfRule type="expression" dxfId="812" priority="40" stopIfTrue="1">
      <formula>$Y302</formula>
    </cfRule>
  </conditionalFormatting>
  <conditionalFormatting sqref="F366:N375 F351:N360">
    <cfRule type="expression" dxfId="811" priority="93" stopIfTrue="1">
      <formula>$Y351</formula>
    </cfRule>
  </conditionalFormatting>
  <conditionalFormatting sqref="F366:N375">
    <cfRule type="expression" dxfId="810" priority="55" stopIfTrue="1">
      <formula>AND(CNTR_ExistConnectionEntries,ISBLANK($F351))</formula>
    </cfRule>
  </conditionalFormatting>
  <conditionalFormatting sqref="G3:H3">
    <cfRule type="expression" dxfId="809" priority="51" stopIfTrue="1">
      <formula>$G$440</formula>
    </cfRule>
  </conditionalFormatting>
  <conditionalFormatting sqref="G4:H4">
    <cfRule type="expression" dxfId="808" priority="17" stopIfTrue="1">
      <formula>$G$444</formula>
    </cfRule>
  </conditionalFormatting>
  <conditionalFormatting sqref="H285">
    <cfRule type="expression" dxfId="807" priority="3" stopIfTrue="1">
      <formula>$W285</formula>
    </cfRule>
  </conditionalFormatting>
  <conditionalFormatting sqref="H284:I284">
    <cfRule type="expression" dxfId="806" priority="2">
      <formula>$Y284</formula>
    </cfRule>
  </conditionalFormatting>
  <conditionalFormatting sqref="H286:N286">
    <cfRule type="cellIs" dxfId="805" priority="1" operator="equal">
      <formula>TRUE</formula>
    </cfRule>
  </conditionalFormatting>
  <conditionalFormatting sqref="H366:N375">
    <cfRule type="expression" dxfId="804" priority="92" stopIfTrue="1">
      <formula>($S351=FALSE)</formula>
    </cfRule>
  </conditionalFormatting>
  <conditionalFormatting sqref="I273">
    <cfRule type="expression" dxfId="803" priority="10">
      <formula>$Y273</formula>
    </cfRule>
  </conditionalFormatting>
  <conditionalFormatting sqref="I274">
    <cfRule type="expression" dxfId="802" priority="11" stopIfTrue="1">
      <formula>$X274</formula>
    </cfRule>
  </conditionalFormatting>
  <conditionalFormatting sqref="I285">
    <cfRule type="expression" dxfId="801" priority="6" stopIfTrue="1">
      <formula>$X285</formula>
    </cfRule>
  </conditionalFormatting>
  <conditionalFormatting sqref="I3:J3">
    <cfRule type="expression" dxfId="800" priority="20" stopIfTrue="1">
      <formula>$G$441</formula>
    </cfRule>
  </conditionalFormatting>
  <conditionalFormatting sqref="I4:J4">
    <cfRule type="expression" dxfId="799" priority="16" stopIfTrue="1">
      <formula>$G$445</formula>
    </cfRule>
  </conditionalFormatting>
  <conditionalFormatting sqref="I275:N275">
    <cfRule type="cellIs" dxfId="798" priority="9" operator="equal">
      <formula>TRUE</formula>
    </cfRule>
  </conditionalFormatting>
  <conditionalFormatting sqref="I380:N389">
    <cfRule type="containsText" dxfId="797" priority="34" stopIfTrue="1" operator="containsText" text="!">
      <formula>NOT(ISERROR(SEARCH("!",I380)))</formula>
    </cfRule>
  </conditionalFormatting>
  <conditionalFormatting sqref="J57 J71 L241">
    <cfRule type="expression" dxfId="796" priority="85" stopIfTrue="1">
      <formula>$Y57</formula>
    </cfRule>
  </conditionalFormatting>
  <conditionalFormatting sqref="J64">
    <cfRule type="expression" dxfId="795" priority="32" stopIfTrue="1">
      <formula>$Y64</formula>
    </cfRule>
  </conditionalFormatting>
  <conditionalFormatting sqref="J75">
    <cfRule type="expression" dxfId="794" priority="63" stopIfTrue="1">
      <formula>$Y75</formula>
    </cfRule>
  </conditionalFormatting>
  <conditionalFormatting sqref="J76">
    <cfRule type="expression" dxfId="793" priority="615" stopIfTrue="1">
      <formula>$Y$76</formula>
    </cfRule>
  </conditionalFormatting>
  <conditionalFormatting sqref="J87">
    <cfRule type="expression" dxfId="792" priority="29" stopIfTrue="1">
      <formula>$Y87</formula>
    </cfRule>
  </conditionalFormatting>
  <conditionalFormatting sqref="J110:J117">
    <cfRule type="expression" dxfId="791" priority="27" stopIfTrue="1">
      <formula>$Y110</formula>
    </cfRule>
  </conditionalFormatting>
  <conditionalFormatting sqref="J136:J138">
    <cfRule type="expression" dxfId="790" priority="26" stopIfTrue="1">
      <formula>$Y136</formula>
    </cfRule>
  </conditionalFormatting>
  <conditionalFormatting sqref="J172:J174">
    <cfRule type="expression" dxfId="789" priority="25" stopIfTrue="1">
      <formula>$Y172</formula>
    </cfRule>
  </conditionalFormatting>
  <conditionalFormatting sqref="J285">
    <cfRule type="expression" dxfId="788" priority="7" stopIfTrue="1">
      <formula>$Y285</formula>
    </cfRule>
  </conditionalFormatting>
  <conditionalFormatting sqref="J51:N52">
    <cfRule type="expression" dxfId="787" priority="50" stopIfTrue="1">
      <formula>$Y51</formula>
    </cfRule>
  </conditionalFormatting>
  <conditionalFormatting sqref="J53:N53">
    <cfRule type="containsText" dxfId="786" priority="21" stopIfTrue="1" operator="containsText" text="!">
      <formula>NOT(ISERROR(SEARCH("!",J53)))</formula>
    </cfRule>
  </conditionalFormatting>
  <conditionalFormatting sqref="J56:N56">
    <cfRule type="expression" dxfId="785" priority="72" stopIfTrue="1">
      <formula>$Y56</formula>
    </cfRule>
  </conditionalFormatting>
  <conditionalFormatting sqref="J63:N63">
    <cfRule type="expression" dxfId="784" priority="31" stopIfTrue="1">
      <formula>$Y63</formula>
    </cfRule>
  </conditionalFormatting>
  <conditionalFormatting sqref="J70:N70">
    <cfRule type="expression" dxfId="783" priority="71" stopIfTrue="1">
      <formula>$Y70</formula>
    </cfRule>
  </conditionalFormatting>
  <conditionalFormatting sqref="J86:N86">
    <cfRule type="expression" dxfId="782" priority="28" stopIfTrue="1">
      <formula>$Y86</formula>
    </cfRule>
  </conditionalFormatting>
  <conditionalFormatting sqref="J91:N92">
    <cfRule type="expression" dxfId="781" priority="138" stopIfTrue="1">
      <formula>(MSconst_RequirePermitInfo=FALSE)</formula>
    </cfRule>
  </conditionalFormatting>
  <conditionalFormatting sqref="J100:N108">
    <cfRule type="expression" dxfId="780" priority="24" stopIfTrue="1">
      <formula>$Y100</formula>
    </cfRule>
  </conditionalFormatting>
  <conditionalFormatting sqref="J120:N120">
    <cfRule type="expression" dxfId="779" priority="43" stopIfTrue="1">
      <formula>$Y120</formula>
    </cfRule>
  </conditionalFormatting>
  <conditionalFormatting sqref="J131:N134">
    <cfRule type="expression" dxfId="778" priority="23" stopIfTrue="1">
      <formula>$Y131</formula>
    </cfRule>
  </conditionalFormatting>
  <conditionalFormatting sqref="J141:N141">
    <cfRule type="expression" dxfId="777" priority="42" stopIfTrue="1">
      <formula>$Y141</formula>
    </cfRule>
  </conditionalFormatting>
  <conditionalFormatting sqref="J167:N170">
    <cfRule type="expression" dxfId="776" priority="22" stopIfTrue="1">
      <formula>$Y167</formula>
    </cfRule>
  </conditionalFormatting>
  <conditionalFormatting sqref="J177:N177">
    <cfRule type="expression" dxfId="775" priority="41" stopIfTrue="1">
      <formula>$Y177</formula>
    </cfRule>
  </conditionalFormatting>
  <conditionalFormatting sqref="J272:N272 J283:N283">
    <cfRule type="expression" dxfId="774" priority="14" stopIfTrue="1">
      <formula>INDEX($AL:$AL,MATCH(MAX(INDIRECT(ADDRESS(1,3)&amp;":"&amp;ADDRESS(ROW(#REF!),3))),$C:$C,0))</formula>
    </cfRule>
  </conditionalFormatting>
  <conditionalFormatting sqref="J274:N274">
    <cfRule type="expression" dxfId="773" priority="12" stopIfTrue="1">
      <formula>$Y274</formula>
    </cfRule>
  </conditionalFormatting>
  <conditionalFormatting sqref="K41">
    <cfRule type="expression" dxfId="772" priority="67" stopIfTrue="1">
      <formula>$Y41</formula>
    </cfRule>
  </conditionalFormatting>
  <conditionalFormatting sqref="K42">
    <cfRule type="expression" dxfId="771" priority="66" stopIfTrue="1">
      <formula>$Y42</formula>
    </cfRule>
  </conditionalFormatting>
  <conditionalFormatting sqref="K3:L3">
    <cfRule type="expression" dxfId="770" priority="19" stopIfTrue="1">
      <formula>$G$442</formula>
    </cfRule>
  </conditionalFormatting>
  <conditionalFormatting sqref="K4:L4">
    <cfRule type="expression" dxfId="769" priority="53" stopIfTrue="1">
      <formula>$G$439</formula>
    </cfRule>
  </conditionalFormatting>
  <conditionalFormatting sqref="L245">
    <cfRule type="expression" dxfId="768" priority="57" stopIfTrue="1">
      <formula>$Y245</formula>
    </cfRule>
  </conditionalFormatting>
  <conditionalFormatting sqref="L240:N240">
    <cfRule type="expression" dxfId="767" priority="60" stopIfTrue="1">
      <formula>$Y240</formula>
    </cfRule>
  </conditionalFormatting>
  <conditionalFormatting sqref="L244:N244">
    <cfRule type="expression" dxfId="766" priority="56" stopIfTrue="1">
      <formula>$Y244</formula>
    </cfRule>
  </conditionalFormatting>
  <conditionalFormatting sqref="M3:N3">
    <cfRule type="expression" dxfId="765" priority="18" stopIfTrue="1">
      <formula>$G$443</formula>
    </cfRule>
  </conditionalFormatting>
  <conditionalFormatting sqref="M4:N4">
    <cfRule type="expression" dxfId="764" priority="15" stopIfTrue="1">
      <formula>$G$446</formula>
    </cfRule>
  </conditionalFormatting>
  <dataValidations count="14">
    <dataValidation type="list" allowBlank="1" showInputMessage="1" showErrorMessage="1" sqref="J21 J14:L14 I274:N274 H285:J285" xr:uid="{00000000-0002-0000-0300-000000000000}">
      <formula1>Euconst_TrueFalse</formula1>
    </dataValidation>
    <dataValidation type="list" allowBlank="1" showInputMessage="1" showErrorMessage="1" sqref="E258:N258" xr:uid="{00000000-0002-0000-0300-000001000000}">
      <formula1>EUconst_ConfirmApplicationForAlloc</formula1>
    </dataValidation>
    <dataValidation type="list" allowBlank="1" showInputMessage="1" showErrorMessage="1" sqref="F221:N226" xr:uid="{00000000-0002-0000-0300-000002000000}">
      <formula1>EUconst_AnnexIActivities</formula1>
    </dataValidation>
    <dataValidation type="list" allowBlank="1" showInputMessage="1" showErrorMessage="1" sqref="J205:N205 J104:N104 J139:N139 J195:N195 J52:N52 J114:N114 J124:N124 J134:N134 J144:N144" xr:uid="{00000000-0002-0000-0300-000003000000}">
      <formula1>EUconst_MSlist</formula1>
    </dataValidation>
    <dataValidation type="list" allowBlank="1" showInputMessage="1" showErrorMessage="1" sqref="J11" xr:uid="{00000000-0002-0000-0300-000004000000}">
      <formula1>EUconst_AllYears</formula1>
    </dataValidation>
    <dataValidation type="whole" allowBlank="1" showErrorMessage="1" error="! EUTL ID as natural number !" sqref="J57:N57" xr:uid="{00000000-0002-0000-0300-000005000000}">
      <formula1>0</formula1>
      <formula2>1000000000000000</formula2>
    </dataValidation>
    <dataValidation type="list" allowBlank="1" showInputMessage="1" showErrorMessage="1" sqref="J31" xr:uid="{00000000-0002-0000-0300-000006000000}">
      <formula1>EUconst_LinkManual</formula1>
    </dataValidation>
    <dataValidation errorStyle="warning" operator="equal" allowBlank="1" showInputMessage="1" sqref="L245:N245" xr:uid="{00000000-0002-0000-0300-000007000000}"/>
    <dataValidation errorStyle="warning" operator="equal" allowBlank="1" showInputMessage="1" showErrorMessage="1" sqref="L240:N240 L242 S242 L244:N244" xr:uid="{00000000-0002-0000-0300-000008000000}"/>
    <dataValidation type="list" allowBlank="1" showInputMessage="1" showErrorMessage="1" sqref="I351:J360" xr:uid="{00000000-0002-0000-0300-000009000000}">
      <formula1>EUconst_ConnectedEntityTypes</formula1>
    </dataValidation>
    <dataValidation type="list" allowBlank="1" showInputMessage="1" showErrorMessage="1" sqref="K351:L360" xr:uid="{00000000-0002-0000-0300-00000A000000}">
      <formula1>EUconst_ConnectionTypes</formula1>
    </dataValidation>
    <dataValidation type="list" allowBlank="1" showInputMessage="1" showErrorMessage="1" sqref="M351:N360" xr:uid="{00000000-0002-0000-0300-00000B000000}">
      <formula1>EUconst_ConnectionTransferTypes</formula1>
    </dataValidation>
    <dataValidation type="date" allowBlank="1" showInputMessage="1" showErrorMessage="1" error="! Date format not recognised !" sqref="J76" xr:uid="{00000000-0002-0000-0300-00000C000000}">
      <formula1>1</formula1>
      <formula2>47848</formula2>
    </dataValidation>
    <dataValidation type="textLength" errorStyle="warning" operator="equal" allowBlank="1" showInputMessage="1" showErrorMessage="1" error="! NACE code should be 4-digit number !" sqref="L241:N241" xr:uid="{00000000-0002-0000-0300-00000D000000}">
      <formula1>4</formula1>
    </dataValidation>
  </dataValidations>
  <hyperlinks>
    <hyperlink ref="E237" r:id="rId1" display="http://ec.europa.eu/eurostat/ramon/nomenclatures/index.cfm?TargetUrl=LST_CLS_DLD&amp;StrNom=NACE_REV2&amp;StrLanguageCode=EN&amp;StrLayoutCode=HIERARCHIC" xr:uid="{00000000-0004-0000-0300-000000000000}"/>
    <hyperlink ref="G2:H2" location="JUMP_TOC_Home" display="Table of contents" xr:uid="{00000000-0004-0000-0300-000001000000}"/>
    <hyperlink ref="M2:N2" location="JUMP_K_I" display="Summary" xr:uid="{00000000-0004-0000-0300-000002000000}"/>
    <hyperlink ref="E3:F3" location="JUMP_A_I" display="JUMP_A_I" xr:uid="{00000000-0004-0000-0300-000003000000}"/>
    <hyperlink ref="E4:F4" location="JUMP_A_Bottom" display="End of sheet" xr:uid="{00000000-0004-0000-0300-000004000000}"/>
    <hyperlink ref="I2:J2" location="JUMP_Guidelines_Home" display="Previous sheet" xr:uid="{00000000-0004-0000-0300-000005000000}"/>
    <hyperlink ref="M4:N4" location="JUMP_A_V" display="JUMP_A_V" xr:uid="{00000000-0004-0000-0300-000006000000}"/>
    <hyperlink ref="K2:L2" location="JUMP_BY1_Top" display="JUMP_BY1_Top" xr:uid="{00000000-0004-0000-0300-000007000000}"/>
    <hyperlink ref="D404:N404" location="JUMP_BY1_Top" display="JUMP_BY1_Top" xr:uid="{00000000-0004-0000-0300-000008000000}"/>
    <hyperlink ref="E149" r:id="rId2" display="https://eur-lex.europa.eu/eli/dir/2013/34/oj" xr:uid="{00000000-0004-0000-0300-000009000000}"/>
    <hyperlink ref="F46:N46" location="JUMP_K_III2" display="Upon entries made below, the attributable emissions are calculated in section K.III.2 of the summary sheet." xr:uid="{00000000-0004-0000-0300-00000A000000}"/>
    <hyperlink ref="F35:M35" location="JUMP_NIMsSummary" display="Further instructions can be found in the &quot;NIMs summary&quot; sheet of this template." xr:uid="{00000000-0004-0000-0300-00000B000000}"/>
    <hyperlink ref="J7:K7" location="JUMP_A_II2" display="Baseline period" xr:uid="{00000000-0004-0000-0300-00000C000000}"/>
    <hyperlink ref="K4:L4" location="JUMP_A_II1" display="Eligibility" xr:uid="{00000000-0004-0000-0300-00000D000000}"/>
    <hyperlink ref="F7:G7" location="JUMP_A_II2" display="Baseline period" xr:uid="{00000000-0004-0000-0300-00000E000000}"/>
    <hyperlink ref="I4:J4" location="JUMP_A_I4" display="Further information" xr:uid="{00000000-0004-0000-0300-00000F000000}"/>
    <hyperlink ref="G4:H4" location="JUMP_A_I3" display="Verifier" xr:uid="{00000000-0004-0000-0300-000010000000}"/>
    <hyperlink ref="M3:N3" location="JUMP_A_I2" display="Contact persons" xr:uid="{00000000-0004-0000-0300-000011000000}"/>
    <hyperlink ref="K3:L3" location="JUMP_A_I1" display="Installation ID" xr:uid="{00000000-0004-0000-0300-000012000000}"/>
    <hyperlink ref="G3:H3" location="JUMP_A_II2" display="Baseline period" xr:uid="{00000000-0004-0000-0300-000013000000}"/>
    <hyperlink ref="I3:J3" location="JUMP_A_II" display="NIMs data" xr:uid="{00000000-0004-0000-0300-000014000000}"/>
  </hyperlinks>
  <pageMargins left="0.78740157480314965" right="0.78740157480314965" top="0.78740157480314965" bottom="0.78740157480314965" header="0.51181102362204722" footer="0.51181102362204722"/>
  <pageSetup paperSize="9" scale="48" fitToHeight="10" orientation="portrait" r:id="rId3"/>
  <headerFooter alignWithMargins="0">
    <oddHeader>&amp;L&amp;F; &amp;A&amp;R&amp;D; &amp;T</oddHeader>
    <oddFooter>&amp;C&amp;P / &amp;N</oddFooter>
  </headerFooter>
  <rowBreaks count="3" manualBreakCount="3">
    <brk id="128" min="2" max="15" man="1"/>
    <brk id="207" min="2" max="15" man="1"/>
    <brk id="295" min="2" max="15" man="1"/>
  </rowBreaks>
  <legacy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tabColor rgb="FFCCFFCC"/>
    <pageSetUpPr fitToPage="1"/>
  </sheetPr>
  <dimension ref="A1:AA204"/>
  <sheetViews>
    <sheetView zoomScaleNormal="100" zoomScaleSheetLayoutView="85" workbookViewId="0">
      <pane ySplit="4" topLeftCell="A5" activePane="bottomLeft" state="frozen"/>
      <selection pane="bottomLeft" activeCell="B2" sqref="B2:D4"/>
    </sheetView>
  </sheetViews>
  <sheetFormatPr defaultColWidth="11.453125" defaultRowHeight="12.5" x14ac:dyDescent="0.25"/>
  <cols>
    <col min="1" max="1" width="3.453125" style="326" hidden="1" customWidth="1"/>
    <col min="2" max="2" width="3.453125" style="326" customWidth="1"/>
    <col min="3" max="3" width="6.1796875" style="974" customWidth="1"/>
    <col min="4" max="4" width="4.54296875" style="326" customWidth="1"/>
    <col min="5" max="5" width="30.7265625" style="326" customWidth="1"/>
    <col min="6" max="8" width="12.54296875" style="326" customWidth="1"/>
    <col min="9" max="13" width="12.7265625" style="326" customWidth="1"/>
    <col min="14" max="14" width="12.54296875" style="326" customWidth="1"/>
    <col min="15" max="15" width="4.54296875" style="326" customWidth="1"/>
    <col min="16" max="16" width="25.54296875" style="326" customWidth="1"/>
    <col min="17" max="27" width="11.453125" style="833" hidden="1" customWidth="1"/>
    <col min="28" max="16384" width="11.453125" style="326"/>
  </cols>
  <sheetData>
    <row r="1" spans="1:27" ht="13" hidden="1" thickBot="1" x14ac:dyDescent="0.3">
      <c r="A1" s="695" t="s">
        <v>312</v>
      </c>
      <c r="B1" s="831"/>
      <c r="C1" s="832"/>
      <c r="D1" s="831"/>
      <c r="E1" s="831"/>
      <c r="F1" s="831"/>
      <c r="G1" s="831"/>
      <c r="H1" s="831"/>
      <c r="I1" s="831"/>
      <c r="J1" s="831"/>
      <c r="K1" s="831"/>
      <c r="L1" s="831"/>
      <c r="M1" s="831"/>
      <c r="N1" s="831"/>
      <c r="O1" s="833"/>
      <c r="P1" s="833"/>
      <c r="Q1" s="833" t="s">
        <v>312</v>
      </c>
      <c r="R1" s="833" t="s">
        <v>312</v>
      </c>
      <c r="S1" s="833" t="s">
        <v>312</v>
      </c>
      <c r="T1" s="833" t="s">
        <v>312</v>
      </c>
      <c r="U1" s="833" t="s">
        <v>312</v>
      </c>
      <c r="V1" s="833" t="s">
        <v>312</v>
      </c>
      <c r="W1" s="833" t="s">
        <v>312</v>
      </c>
      <c r="X1" s="833" t="s">
        <v>312</v>
      </c>
      <c r="Y1" s="833" t="s">
        <v>312</v>
      </c>
      <c r="Z1" s="833" t="s">
        <v>312</v>
      </c>
      <c r="AA1" s="833" t="s">
        <v>312</v>
      </c>
    </row>
    <row r="2" spans="1:27" ht="13.5" customHeight="1" thickBot="1" x14ac:dyDescent="0.35">
      <c r="A2" s="833"/>
      <c r="B2" s="2468" t="str">
        <f>Translations!$B$1259</f>
        <v>„B+C_SubInstallations“ („B+C_Подинсталации“)</v>
      </c>
      <c r="C2" s="2469"/>
      <c r="D2" s="2470"/>
      <c r="E2" s="2351" t="str">
        <f>Translations!$B$2</f>
        <v>Навигационно меню:</v>
      </c>
      <c r="F2" s="2352"/>
      <c r="G2" s="2466" t="str">
        <f>Translations!$B$16</f>
        <v>Съдържание</v>
      </c>
      <c r="H2" s="2233"/>
      <c r="I2" s="2233" t="str">
        <f>Translations!$B$17</f>
        <v>Предходен лист</v>
      </c>
      <c r="J2" s="2233"/>
      <c r="K2" s="2233" t="str">
        <f>Translations!$B$3</f>
        <v>Следващ лист</v>
      </c>
      <c r="L2" s="2233"/>
      <c r="M2" s="2233" t="str">
        <f>Translations!$B$4</f>
        <v>Обобщение</v>
      </c>
      <c r="N2" s="2233"/>
      <c r="O2" s="336"/>
      <c r="P2" s="2511" t="str">
        <f>Translations!$B$1218</f>
        <v>Колона за коментари 
(напр. каквито и да е било промени)</v>
      </c>
    </row>
    <row r="3" spans="1:27" ht="13.5" customHeight="1" thickBot="1" x14ac:dyDescent="0.3">
      <c r="A3" s="833"/>
      <c r="B3" s="2471"/>
      <c r="C3" s="2472"/>
      <c r="D3" s="2473"/>
      <c r="E3" s="2233" t="str">
        <f>Translations!$B$5</f>
        <v>Начало на листа</v>
      </c>
      <c r="F3" s="2477"/>
      <c r="G3" s="2478" t="str">
        <f>Translations!$B$71</f>
        <v>Подинсталации</v>
      </c>
      <c r="H3" s="2467"/>
      <c r="I3" s="2626" t="str">
        <f>Translations!$B$1458</f>
        <v>Обвързвания с условия</v>
      </c>
      <c r="J3" s="2627"/>
      <c r="K3" s="2467" t="str">
        <f>Translations!$B$1260</f>
        <v>Първоначално разпределение във връзка с НМИ</v>
      </c>
      <c r="L3" s="2467"/>
      <c r="M3" s="2480"/>
      <c r="N3" s="2480"/>
      <c r="O3" s="336"/>
      <c r="P3" s="2512"/>
    </row>
    <row r="4" spans="1:27" ht="13.5" customHeight="1" thickBot="1" x14ac:dyDescent="0.3">
      <c r="A4" s="833"/>
      <c r="B4" s="2474"/>
      <c r="C4" s="2475"/>
      <c r="D4" s="2476"/>
      <c r="E4" s="2233" t="str">
        <f>Translations!$B$6</f>
        <v>Край на листа</v>
      </c>
      <c r="F4" s="2233"/>
      <c r="G4" s="2479"/>
      <c r="H4" s="2480"/>
      <c r="I4" s="2628"/>
      <c r="J4" s="2629"/>
      <c r="K4" s="2628"/>
      <c r="L4" s="2629"/>
      <c r="M4" s="2480"/>
      <c r="N4" s="2480"/>
      <c r="O4" s="336"/>
      <c r="P4" s="2513"/>
    </row>
    <row r="5" spans="1:27" s="349" customFormat="1" x14ac:dyDescent="0.25">
      <c r="A5" s="694"/>
      <c r="B5" s="284"/>
      <c r="C5" s="335"/>
      <c r="D5" s="284"/>
      <c r="E5" s="284"/>
      <c r="F5" s="287"/>
      <c r="G5" s="287"/>
      <c r="H5" s="287"/>
      <c r="I5" s="284"/>
      <c r="J5" s="284"/>
      <c r="K5" s="284"/>
      <c r="L5" s="284"/>
      <c r="M5" s="336"/>
      <c r="N5" s="336"/>
      <c r="O5" s="336"/>
      <c r="P5" s="302"/>
      <c r="Q5" s="770"/>
      <c r="R5" s="770"/>
      <c r="S5" s="770"/>
      <c r="T5" s="770"/>
      <c r="U5" s="770"/>
      <c r="V5" s="770"/>
      <c r="W5" s="770"/>
      <c r="X5" s="770"/>
      <c r="Y5" s="770"/>
      <c r="Z5" s="343"/>
      <c r="AA5" s="343"/>
    </row>
    <row r="6" spans="1:27" s="349" customFormat="1" ht="23.25" customHeight="1" x14ac:dyDescent="0.25">
      <c r="A6" s="694"/>
      <c r="B6" s="284"/>
      <c r="C6" s="297" t="s">
        <v>1604</v>
      </c>
      <c r="D6" s="2259" t="str">
        <f>Translations!$B$1261</f>
        <v>Лист „B+C_SubInstallations“ („B+C_Подинсталации“) — ИДЕНТИФИКАЦИЯ НА ПОДИНСТАЛАЦИИ И ПЪРВОНАЧАЛНО РАЗПРЕДЕЛЕНИЕ</v>
      </c>
      <c r="E6" s="2249"/>
      <c r="F6" s="2249"/>
      <c r="G6" s="2249"/>
      <c r="H6" s="2249"/>
      <c r="I6" s="2249"/>
      <c r="J6" s="2249"/>
      <c r="K6" s="2249"/>
      <c r="L6" s="2249"/>
      <c r="M6" s="2249"/>
      <c r="N6" s="2249"/>
      <c r="O6" s="336"/>
      <c r="P6" s="302"/>
      <c r="Q6" s="834" t="s">
        <v>232</v>
      </c>
      <c r="R6" s="834" t="s">
        <v>232</v>
      </c>
      <c r="S6" s="834" t="s">
        <v>232</v>
      </c>
      <c r="T6" s="834" t="s">
        <v>232</v>
      </c>
      <c r="U6" s="834" t="s">
        <v>232</v>
      </c>
      <c r="V6" s="834" t="s">
        <v>232</v>
      </c>
      <c r="W6" s="834" t="s">
        <v>232</v>
      </c>
      <c r="X6" s="834" t="s">
        <v>232</v>
      </c>
      <c r="Y6" s="834" t="s">
        <v>232</v>
      </c>
      <c r="Z6" s="834" t="s">
        <v>232</v>
      </c>
      <c r="AA6" s="834" t="s">
        <v>232</v>
      </c>
    </row>
    <row r="7" spans="1:27" s="349" customFormat="1" ht="13" customHeight="1" x14ac:dyDescent="0.25">
      <c r="A7" s="694"/>
      <c r="B7" s="698"/>
      <c r="C7" s="835"/>
      <c r="D7" s="835"/>
      <c r="E7" s="835"/>
      <c r="F7" s="835"/>
      <c r="G7" s="835"/>
      <c r="H7" s="835"/>
      <c r="I7" s="835"/>
      <c r="J7" s="835"/>
      <c r="K7" s="835"/>
      <c r="L7" s="835"/>
      <c r="M7" s="835"/>
      <c r="N7" s="835"/>
      <c r="O7" s="698"/>
      <c r="P7" s="302"/>
      <c r="Q7" s="836" t="s">
        <v>740</v>
      </c>
      <c r="R7" s="836" t="s">
        <v>740</v>
      </c>
      <c r="S7" s="836" t="s">
        <v>740</v>
      </c>
      <c r="T7" s="836" t="s">
        <v>740</v>
      </c>
      <c r="U7" s="836" t="s">
        <v>740</v>
      </c>
      <c r="V7" s="836" t="s">
        <v>740</v>
      </c>
      <c r="W7" s="836" t="s">
        <v>740</v>
      </c>
      <c r="X7" s="836" t="s">
        <v>740</v>
      </c>
      <c r="Y7" s="836" t="s">
        <v>740</v>
      </c>
      <c r="Z7" s="836" t="s">
        <v>740</v>
      </c>
      <c r="AA7" s="836" t="s">
        <v>740</v>
      </c>
    </row>
    <row r="8" spans="1:27" s="349" customFormat="1" ht="15.5" x14ac:dyDescent="0.35">
      <c r="A8" s="694"/>
      <c r="B8" s="284"/>
      <c r="C8" s="327" t="s">
        <v>1048</v>
      </c>
      <c r="D8" s="2245" t="str">
        <f>Translations!$B$146</f>
        <v>Списък на подинсталациите</v>
      </c>
      <c r="E8" s="2245"/>
      <c r="F8" s="2245"/>
      <c r="G8" s="2245"/>
      <c r="H8" s="2245"/>
      <c r="I8" s="2245"/>
      <c r="J8" s="2245"/>
      <c r="K8" s="2245"/>
      <c r="L8" s="2245"/>
      <c r="M8" s="2245"/>
      <c r="N8" s="2245"/>
      <c r="O8" s="336"/>
      <c r="P8" s="302"/>
      <c r="Q8" s="695"/>
      <c r="R8" s="343"/>
      <c r="S8" s="343"/>
      <c r="T8" s="343"/>
      <c r="U8" s="343"/>
      <c r="V8" s="343"/>
      <c r="W8" s="343"/>
      <c r="X8" s="343"/>
      <c r="Y8" s="343"/>
      <c r="Z8" s="343"/>
      <c r="AA8" s="343"/>
    </row>
    <row r="9" spans="1:27" s="349" customFormat="1" ht="5.15" customHeight="1" x14ac:dyDescent="0.25">
      <c r="A9" s="694"/>
      <c r="B9" s="284"/>
      <c r="C9" s="284"/>
      <c r="D9" s="284"/>
      <c r="E9" s="284"/>
      <c r="F9" s="284"/>
      <c r="G9" s="284"/>
      <c r="H9" s="284"/>
      <c r="I9" s="284"/>
      <c r="J9" s="284"/>
      <c r="K9" s="284"/>
      <c r="L9" s="284"/>
      <c r="M9" s="336"/>
      <c r="N9" s="336"/>
      <c r="O9" s="336"/>
      <c r="P9" s="302"/>
      <c r="Q9" s="695"/>
      <c r="R9" s="343"/>
      <c r="S9" s="343"/>
      <c r="T9" s="343"/>
      <c r="U9" s="343"/>
      <c r="V9" s="343"/>
      <c r="W9" s="343"/>
      <c r="X9" s="343"/>
      <c r="Y9" s="343"/>
      <c r="Z9" s="343"/>
      <c r="AA9" s="343"/>
    </row>
    <row r="10" spans="1:27" s="349" customFormat="1" ht="14" x14ac:dyDescent="0.3">
      <c r="A10" s="694"/>
      <c r="B10" s="698"/>
      <c r="C10" s="357">
        <v>1</v>
      </c>
      <c r="D10" s="2323" t="str">
        <f>Translations!$B$147</f>
        <v>Подинсталации с продуктов показател</v>
      </c>
      <c r="E10" s="2249"/>
      <c r="F10" s="2249"/>
      <c r="G10" s="2249"/>
      <c r="H10" s="2249"/>
      <c r="I10" s="2249"/>
      <c r="J10" s="2249"/>
      <c r="K10" s="2249"/>
      <c r="L10" s="2249"/>
      <c r="M10" s="2249"/>
      <c r="N10" s="2249"/>
      <c r="O10" s="336"/>
      <c r="P10" s="302"/>
      <c r="Q10" s="343"/>
      <c r="R10" s="343"/>
      <c r="S10" s="343"/>
      <c r="T10" s="343"/>
      <c r="U10" s="343"/>
      <c r="V10" s="343"/>
      <c r="W10" s="343"/>
      <c r="X10" s="343"/>
      <c r="Y10" s="343"/>
      <c r="Z10" s="343"/>
      <c r="AA10" s="343"/>
    </row>
    <row r="11" spans="1:27" s="349" customFormat="1" ht="5.15" customHeight="1" x14ac:dyDescent="0.25">
      <c r="A11" s="694"/>
      <c r="B11" s="284"/>
      <c r="C11" s="284"/>
      <c r="D11" s="284"/>
      <c r="E11" s="284"/>
      <c r="F11" s="284"/>
      <c r="G11" s="284"/>
      <c r="H11" s="284"/>
      <c r="I11" s="284"/>
      <c r="J11" s="284"/>
      <c r="K11" s="284"/>
      <c r="L11" s="284"/>
      <c r="M11" s="336"/>
      <c r="N11" s="336"/>
      <c r="O11" s="336"/>
      <c r="P11" s="302"/>
      <c r="Q11" s="695"/>
      <c r="R11" s="343"/>
      <c r="S11" s="343"/>
      <c r="T11" s="343"/>
      <c r="U11" s="343"/>
      <c r="V11" s="343"/>
      <c r="W11" s="343"/>
      <c r="X11" s="343"/>
      <c r="Y11" s="343"/>
      <c r="Z11" s="343"/>
      <c r="AA11" s="343"/>
    </row>
    <row r="12" spans="1:27" s="349" customFormat="1" ht="13" x14ac:dyDescent="0.25">
      <c r="A12" s="694"/>
      <c r="B12" s="698"/>
      <c r="C12" s="698"/>
      <c r="D12" s="728"/>
      <c r="E12" s="2226" t="str">
        <f>Translations!$B$148</f>
        <v>Тук изберете присъстващите във Вашата инсталация подинсталации с продуктов показател, ако има такива:</v>
      </c>
      <c r="F12" s="2249"/>
      <c r="G12" s="2249"/>
      <c r="H12" s="2249"/>
      <c r="I12" s="2249"/>
      <c r="J12" s="2249"/>
      <c r="K12" s="2249"/>
      <c r="L12" s="2249"/>
      <c r="M12" s="2249"/>
      <c r="N12" s="2249"/>
      <c r="O12" s="336"/>
      <c r="P12" s="302"/>
      <c r="Q12" s="343"/>
      <c r="R12" s="343"/>
      <c r="S12" s="343"/>
      <c r="T12" s="343"/>
      <c r="U12" s="343"/>
      <c r="V12" s="343"/>
      <c r="W12" s="343"/>
      <c r="X12" s="343"/>
      <c r="Y12" s="343"/>
      <c r="Z12" s="343"/>
      <c r="AA12" s="343"/>
    </row>
    <row r="13" spans="1:27" s="349" customFormat="1" ht="12.75" customHeight="1" x14ac:dyDescent="0.25">
      <c r="A13" s="694"/>
      <c r="B13" s="698"/>
      <c r="C13" s="698"/>
      <c r="D13" s="302"/>
      <c r="E13" s="2623" t="str">
        <f>Translations!$B$149</f>
        <v>За всеки вид продукт може да бъде избрана само една подинсталация. Подобните продукти, които попадат в обхвата на един и същ продуктов показател от приложение I към ПБР, се обединяват.</v>
      </c>
      <c r="F13" s="2623"/>
      <c r="G13" s="2623"/>
      <c r="H13" s="2623"/>
      <c r="I13" s="2623"/>
      <c r="J13" s="2623"/>
      <c r="K13" s="2623"/>
      <c r="L13" s="2623"/>
      <c r="M13" s="2623"/>
      <c r="N13" s="2623"/>
      <c r="O13" s="336"/>
      <c r="P13" s="302"/>
      <c r="Q13" s="343"/>
      <c r="R13" s="343"/>
      <c r="S13" s="343"/>
      <c r="T13" s="343"/>
      <c r="U13" s="343"/>
      <c r="V13" s="343"/>
      <c r="W13" s="343"/>
      <c r="X13" s="343"/>
      <c r="Y13" s="343"/>
      <c r="Z13" s="343"/>
      <c r="AA13" s="343"/>
    </row>
    <row r="14" spans="1:27" s="349" customFormat="1" ht="25.5" customHeight="1" x14ac:dyDescent="0.25">
      <c r="A14" s="694"/>
      <c r="B14" s="698"/>
      <c r="C14" s="698"/>
      <c r="D14" s="728"/>
      <c r="E14" s="837" t="str">
        <f>Translations!$B$1262</f>
        <v>Подинсталации (колона Е)</v>
      </c>
      <c r="F14" s="838" t="str">
        <f>Translations!$B$1263</f>
        <v>Работеща инсталация</v>
      </c>
      <c r="G14" s="2622" t="str">
        <f>Translations!$B$1264</f>
        <v>Ако сте избрали да съберете информация за НМИ посредством електронната препратка към доклада с базови данни в раздел А.II., всички приложими подинсталации с продуктов показател се появяват автоматично. В противен случай тази колона ще бъде оцветена в сиво.</v>
      </c>
      <c r="H14" s="2622"/>
      <c r="I14" s="2622"/>
      <c r="J14" s="2622"/>
      <c r="K14" s="2622"/>
      <c r="L14" s="2622"/>
      <c r="M14" s="2622"/>
      <c r="N14" s="2622"/>
      <c r="O14" s="336"/>
      <c r="P14" s="302"/>
      <c r="Q14" s="343"/>
      <c r="R14" s="343"/>
      <c r="S14" s="343"/>
      <c r="T14" s="343"/>
      <c r="U14" s="343"/>
      <c r="V14" s="343"/>
      <c r="W14" s="343"/>
      <c r="X14" s="343"/>
      <c r="Y14" s="343"/>
      <c r="Z14" s="343"/>
      <c r="AA14" s="343"/>
    </row>
    <row r="15" spans="1:27" s="349" customFormat="1" ht="12.75" customHeight="1" x14ac:dyDescent="0.25">
      <c r="A15" s="694"/>
      <c r="B15" s="698"/>
      <c r="C15" s="698"/>
      <c r="D15" s="728"/>
      <c r="E15" s="839"/>
      <c r="F15" s="838" t="str">
        <f>Translations!$B$1265</f>
        <v>Нови участници</v>
      </c>
      <c r="G15" s="2622" t="str">
        <f>Translations!$B$1266</f>
        <v>Тази колона не се отнася за нови участници.</v>
      </c>
      <c r="H15" s="2622"/>
      <c r="I15" s="2622"/>
      <c r="J15" s="2622"/>
      <c r="K15" s="2622"/>
      <c r="L15" s="2622"/>
      <c r="M15" s="2622"/>
      <c r="N15" s="2622"/>
      <c r="O15" s="336"/>
      <c r="P15" s="302"/>
      <c r="Q15" s="343"/>
      <c r="R15" s="343"/>
      <c r="S15" s="343"/>
      <c r="T15" s="343"/>
      <c r="U15" s="343"/>
      <c r="V15" s="343"/>
      <c r="W15" s="343"/>
      <c r="X15" s="343"/>
      <c r="Y15" s="343"/>
      <c r="Z15" s="343"/>
      <c r="AA15" s="343"/>
    </row>
    <row r="16" spans="1:27" s="349" customFormat="1" ht="25.5" customHeight="1" x14ac:dyDescent="0.25">
      <c r="A16" s="694"/>
      <c r="B16" s="698"/>
      <c r="C16" s="698"/>
      <c r="D16" s="728"/>
      <c r="E16" s="837" t="str">
        <f>Translations!$B$1267</f>
        <v>Подинсталации (колона G)</v>
      </c>
      <c r="F16" s="838" t="str">
        <f>Translations!$B$1263</f>
        <v>Работеща инсталация</v>
      </c>
      <c r="G16" s="2622" t="str">
        <f>Translations!$B$1459</f>
        <v>Данните тук са от значение само ако сте избрали „Ръчно въвеждане“ в раздел А.II. или за нови подинсталации, въведени в експлоатация след 30 юни 2024 г. (т.е. не са били включени в заявлението по НМИ).</v>
      </c>
      <c r="H16" s="2622"/>
      <c r="I16" s="2622"/>
      <c r="J16" s="2622"/>
      <c r="K16" s="2622"/>
      <c r="L16" s="2622"/>
      <c r="M16" s="2622"/>
      <c r="N16" s="2622"/>
      <c r="O16" s="336"/>
      <c r="P16" s="302"/>
      <c r="Q16" s="343"/>
      <c r="R16" s="343"/>
      <c r="S16" s="343"/>
      <c r="T16" s="343"/>
      <c r="U16" s="343"/>
      <c r="V16" s="343"/>
      <c r="W16" s="343"/>
      <c r="X16" s="343"/>
      <c r="Y16" s="343"/>
      <c r="Z16" s="343"/>
      <c r="AA16" s="343"/>
    </row>
    <row r="17" spans="1:27" s="349" customFormat="1" ht="12.75" customHeight="1" x14ac:dyDescent="0.25">
      <c r="A17" s="694"/>
      <c r="B17" s="698"/>
      <c r="C17" s="698"/>
      <c r="D17" s="728"/>
      <c r="E17" s="839"/>
      <c r="F17" s="838" t="str">
        <f>Translations!$B$1265</f>
        <v>Нови участници</v>
      </c>
      <c r="G17" s="2622" t="str">
        <f>Translations!$B$1268</f>
        <v>Моля, изберете всички съответни подинсталации, които вече са въведени в експлоатация.</v>
      </c>
      <c r="H17" s="2622"/>
      <c r="I17" s="2622"/>
      <c r="J17" s="2622"/>
      <c r="K17" s="2622"/>
      <c r="L17" s="2622"/>
      <c r="M17" s="2622"/>
      <c r="N17" s="2622"/>
      <c r="O17" s="336"/>
      <c r="P17" s="302"/>
      <c r="Q17" s="343"/>
      <c r="R17" s="343"/>
      <c r="S17" s="343"/>
      <c r="T17" s="343"/>
      <c r="U17" s="343"/>
      <c r="V17" s="343"/>
      <c r="W17" s="343"/>
      <c r="X17" s="343"/>
      <c r="Y17" s="343"/>
      <c r="Z17" s="343"/>
      <c r="AA17" s="343"/>
    </row>
    <row r="18" spans="1:27" s="349" customFormat="1" ht="25.5" customHeight="1" x14ac:dyDescent="0.25">
      <c r="A18" s="694"/>
      <c r="B18" s="698"/>
      <c r="C18" s="698"/>
      <c r="D18" s="728"/>
      <c r="E18" s="837" t="str">
        <f>Translations!$B$153</f>
        <v>Влизане в експлоатация</v>
      </c>
      <c r="F18" s="838" t="str">
        <f>Translations!$B$1263</f>
        <v>Работеща инсталация</v>
      </c>
      <c r="G18" s="2622" t="str">
        <f>Translations!$B$1460</f>
        <v>Това е първият ден, в който подинсталацията има равнище на дейност над нула. Тази дата влияе на разпределянето само ако е 1 януари 2018 г. или по-късна. Затова данните тук са задължителни само ако подинсталацията е въведена в експлоатация след тази дата.</v>
      </c>
      <c r="H18" s="2622"/>
      <c r="I18" s="2622"/>
      <c r="J18" s="2622"/>
      <c r="K18" s="2622"/>
      <c r="L18" s="2622"/>
      <c r="M18" s="2622"/>
      <c r="N18" s="2622"/>
      <c r="O18" s="336"/>
      <c r="P18" s="302"/>
      <c r="Q18" s="343"/>
      <c r="R18" s="343"/>
      <c r="S18" s="343"/>
      <c r="T18" s="343"/>
      <c r="U18" s="343"/>
      <c r="V18" s="343"/>
      <c r="W18" s="343"/>
      <c r="X18" s="343"/>
      <c r="Y18" s="343"/>
      <c r="Z18" s="343"/>
      <c r="AA18" s="343"/>
    </row>
    <row r="19" spans="1:27" s="349" customFormat="1" ht="20" x14ac:dyDescent="0.25">
      <c r="A19" s="694"/>
      <c r="B19" s="698"/>
      <c r="C19" s="698"/>
      <c r="D19" s="728"/>
      <c r="E19" s="839"/>
      <c r="F19" s="838" t="str">
        <f>Translations!$B$1265</f>
        <v>Нови участници</v>
      </c>
      <c r="G19" s="2622" t="str">
        <f>Translations!$B$1269</f>
        <v xml:space="preserve">Това е първият ден, в който подинсталацията има равнище на дейност над нула. </v>
      </c>
      <c r="H19" s="2622"/>
      <c r="I19" s="2622"/>
      <c r="J19" s="2622"/>
      <c r="K19" s="2622"/>
      <c r="L19" s="2622"/>
      <c r="M19" s="2622"/>
      <c r="N19" s="2622"/>
      <c r="O19" s="336"/>
      <c r="P19" s="302"/>
      <c r="Q19" s="343"/>
      <c r="R19" s="343"/>
      <c r="S19" s="343"/>
      <c r="T19" s="343"/>
      <c r="U19" s="343"/>
      <c r="V19" s="343"/>
      <c r="W19" s="343"/>
      <c r="X19" s="343"/>
      <c r="Y19" s="343"/>
      <c r="Z19" s="343"/>
      <c r="AA19" s="343"/>
    </row>
    <row r="20" spans="1:27" s="349" customFormat="1" ht="13" x14ac:dyDescent="0.25">
      <c r="A20" s="694"/>
      <c r="B20" s="698"/>
      <c r="C20" s="698"/>
      <c r="D20" s="728"/>
      <c r="E20" s="839" t="str">
        <f>Translations!$B$1270</f>
        <v>Дата на спиране на експлоатацията</v>
      </c>
      <c r="F20" s="2623" t="str">
        <f>Translations!$B$1271</f>
        <v>Ако подинсталацията е спряна от експлоатация, това следва да е последният ден, в който подинсталацията е имала равнище на дейност над нула.</v>
      </c>
      <c r="G20" s="2623"/>
      <c r="H20" s="2623"/>
      <c r="I20" s="2623"/>
      <c r="J20" s="2623"/>
      <c r="K20" s="2623"/>
      <c r="L20" s="2623"/>
      <c r="M20" s="2623"/>
      <c r="N20" s="2623"/>
      <c r="O20" s="336"/>
      <c r="P20" s="302"/>
      <c r="Q20" s="343"/>
      <c r="R20" s="343"/>
      <c r="S20" s="343"/>
      <c r="T20" s="343"/>
      <c r="U20" s="343"/>
      <c r="V20" s="343"/>
      <c r="W20" s="343"/>
      <c r="X20" s="343"/>
      <c r="Y20" s="343"/>
      <c r="Z20" s="343"/>
      <c r="AA20" s="343"/>
    </row>
    <row r="21" spans="1:27" s="349" customFormat="1" ht="20" x14ac:dyDescent="0.25">
      <c r="A21" s="694"/>
      <c r="B21" s="698"/>
      <c r="C21" s="698"/>
      <c r="D21" s="728"/>
      <c r="E21" s="839" t="str">
        <f>Translations!$B$1272</f>
        <v>Причина за спиране на експлоатацията</v>
      </c>
      <c r="F21" s="2623" t="str">
        <f>Translations!$B$1273</f>
        <v>Моля, изберете причина за спиране на експлоатацията, ако е относимо.</v>
      </c>
      <c r="G21" s="2623"/>
      <c r="H21" s="2623"/>
      <c r="I21" s="2623"/>
      <c r="J21" s="2623"/>
      <c r="K21" s="2623"/>
      <c r="L21" s="2623"/>
      <c r="M21" s="2623"/>
      <c r="N21" s="2623"/>
      <c r="O21" s="336"/>
      <c r="P21" s="302"/>
      <c r="Q21" s="343"/>
      <c r="R21" s="343"/>
      <c r="S21" s="343"/>
      <c r="T21" s="343"/>
      <c r="U21" s="343"/>
      <c r="V21" s="343"/>
      <c r="W21" s="343"/>
      <c r="X21" s="343"/>
      <c r="Y21" s="343"/>
      <c r="Z21" s="343"/>
      <c r="AA21" s="343"/>
    </row>
    <row r="22" spans="1:27" s="349" customFormat="1" ht="20" x14ac:dyDescent="0.25">
      <c r="A22" s="694"/>
      <c r="B22" s="698"/>
      <c r="C22" s="698"/>
      <c r="D22" s="728"/>
      <c r="E22" s="839" t="str">
        <f>Translations!$B$1274</f>
        <v>Състояние на изместването на въглеродни емисии</v>
      </c>
      <c r="F22" s="2623" t="str">
        <f>Translations!$B$1275</f>
        <v>Състоянието относно излагането на значителен риск от изместване на въглеродни емисии („ИВЕ“) се определя въз основа на Делегирано решение (ЕС) 2019/708 на Комисията.</v>
      </c>
      <c r="G22" s="2623"/>
      <c r="H22" s="2623"/>
      <c r="I22" s="2623"/>
      <c r="J22" s="2623"/>
      <c r="K22" s="2623"/>
      <c r="L22" s="2623"/>
      <c r="M22" s="2623"/>
      <c r="N22" s="2623"/>
      <c r="O22" s="336"/>
      <c r="P22" s="302"/>
      <c r="Q22" s="343"/>
      <c r="R22" s="343"/>
      <c r="S22" s="343"/>
      <c r="T22" s="343"/>
      <c r="U22" s="343"/>
      <c r="V22" s="343"/>
      <c r="W22" s="343"/>
      <c r="X22" s="343"/>
      <c r="Y22" s="343"/>
      <c r="Z22" s="343"/>
      <c r="AA22" s="343"/>
    </row>
    <row r="23" spans="1:27" s="349" customFormat="1" ht="13" x14ac:dyDescent="0.25">
      <c r="A23" s="694"/>
      <c r="B23" s="698"/>
      <c r="C23" s="698"/>
      <c r="D23" s="728"/>
      <c r="E23" s="839" t="str">
        <f>Translations!$B$1461</f>
        <v>Статус по МКВЕГ</v>
      </c>
      <c r="F23" s="2623" t="str">
        <f>Translations!$B$1462</f>
        <v>Статуса по отношение на статуса по МКВЕГ въз основа на кодовете по КН, изброени в приложение I към Регламент (ЕС) 2023/956.</v>
      </c>
      <c r="G23" s="2623"/>
      <c r="H23" s="2623"/>
      <c r="I23" s="2623"/>
      <c r="J23" s="2623"/>
      <c r="K23" s="2623"/>
      <c r="L23" s="2623"/>
      <c r="M23" s="2623"/>
      <c r="N23" s="2623"/>
      <c r="O23" s="336"/>
      <c r="P23" s="302"/>
      <c r="Q23" s="343"/>
      <c r="R23" s="343"/>
      <c r="S23" s="343"/>
      <c r="T23" s="343"/>
      <c r="U23" s="343"/>
      <c r="V23" s="343"/>
      <c r="W23" s="343"/>
      <c r="X23" s="343"/>
      <c r="Y23" s="343"/>
      <c r="Z23" s="343"/>
      <c r="AA23" s="343"/>
    </row>
    <row r="24" spans="1:27" s="706" customFormat="1" ht="20.149999999999999" customHeight="1" x14ac:dyDescent="0.25">
      <c r="A24" s="699"/>
      <c r="B24" s="700"/>
      <c r="C24" s="700"/>
      <c r="D24" s="702"/>
      <c r="E24" s="2650" t="str">
        <f>Translations!$B$150</f>
        <v>Моля имайте предвид, че правилното въвеждане на данни тук е от съществено значение за всички по-нататъшни входни данни за подинсталациите.</v>
      </c>
      <c r="F24" s="2650"/>
      <c r="G24" s="2650"/>
      <c r="H24" s="2650"/>
      <c r="I24" s="2650"/>
      <c r="J24" s="2650"/>
      <c r="K24" s="2650"/>
      <c r="L24" s="2650"/>
      <c r="M24" s="2650"/>
      <c r="N24" s="2650"/>
      <c r="O24" s="702"/>
      <c r="P24" s="702"/>
      <c r="Q24" s="705"/>
      <c r="R24" s="705"/>
      <c r="S24" s="705"/>
      <c r="T24" s="705"/>
      <c r="U24" s="705"/>
      <c r="V24" s="705"/>
      <c r="W24" s="705"/>
      <c r="X24" s="840"/>
      <c r="Y24" s="705"/>
      <c r="Z24" s="705"/>
      <c r="AA24" s="705"/>
    </row>
    <row r="25" spans="1:27" s="349" customFormat="1" ht="5.15" customHeight="1" thickBot="1" x14ac:dyDescent="0.3">
      <c r="A25" s="694"/>
      <c r="B25" s="284"/>
      <c r="C25" s="284"/>
      <c r="D25" s="284"/>
      <c r="E25" s="284"/>
      <c r="F25" s="284"/>
      <c r="G25" s="284"/>
      <c r="H25" s="284"/>
      <c r="I25" s="284"/>
      <c r="J25" s="284"/>
      <c r="K25" s="284"/>
      <c r="L25" s="284"/>
      <c r="M25" s="336"/>
      <c r="N25" s="336"/>
      <c r="O25" s="336"/>
      <c r="P25" s="302"/>
      <c r="Q25" s="695"/>
      <c r="R25" s="343"/>
      <c r="S25" s="343"/>
      <c r="T25" s="343"/>
      <c r="U25" s="343"/>
      <c r="V25" s="343"/>
      <c r="W25" s="343"/>
      <c r="X25" s="343"/>
      <c r="Y25" s="343"/>
      <c r="Z25" s="343"/>
      <c r="AA25" s="343"/>
    </row>
    <row r="26" spans="1:27" s="349" customFormat="1" ht="38.9" customHeight="1" thickBot="1" x14ac:dyDescent="0.35">
      <c r="A26" s="694"/>
      <c r="B26" s="698"/>
      <c r="C26" s="698"/>
      <c r="D26" s="841" t="str">
        <f>Translations!$B$151</f>
        <v>№</v>
      </c>
      <c r="E26" s="2614" t="str">
        <f>Translations!$B$1276</f>
        <v>Подинсталация (електронна препратка)</v>
      </c>
      <c r="F26" s="2615"/>
      <c r="G26" s="2614" t="str">
        <f>Translations!$B$1277</f>
        <v>Подинсталация (ръчно)</v>
      </c>
      <c r="H26" s="2641"/>
      <c r="I26" s="842" t="str">
        <f>Translations!$B$153</f>
        <v>Влизане в експлоатация</v>
      </c>
      <c r="J26" s="843" t="str">
        <f>Translations!$B$1278</f>
        <v>Дата на спиране на експлоатацията, ако е относимо</v>
      </c>
      <c r="K26" s="844" t="str">
        <f>Translations!$B$1272</f>
        <v>Причина за спиране на експлоатацията</v>
      </c>
      <c r="L26" s="845" t="str">
        <f>Translations!$B$154</f>
        <v>Има ли риск от ИВЕ?</v>
      </c>
      <c r="M26" s="845" t="str">
        <f>Translations!$B$1463</f>
        <v>В рамките на МКВЕГ?</v>
      </c>
      <c r="N26" s="846"/>
      <c r="O26" s="336"/>
      <c r="P26" s="302"/>
      <c r="Q26" s="847" t="s">
        <v>848</v>
      </c>
      <c r="R26" s="847" t="s">
        <v>289</v>
      </c>
      <c r="S26" s="847" t="str">
        <f>Translations!$B$934</f>
        <v>Единица мярка</v>
      </c>
      <c r="T26" s="847" t="s">
        <v>938</v>
      </c>
      <c r="U26" s="848" t="s">
        <v>1872</v>
      </c>
      <c r="V26" s="849" t="s">
        <v>1972</v>
      </c>
      <c r="W26" s="727" t="s">
        <v>1879</v>
      </c>
      <c r="X26" s="727" t="s">
        <v>1875</v>
      </c>
      <c r="Y26" s="727" t="s">
        <v>1876</v>
      </c>
      <c r="Z26" s="727" t="s">
        <v>1877</v>
      </c>
      <c r="AA26" s="727" t="s">
        <v>1878</v>
      </c>
    </row>
    <row r="27" spans="1:27" s="349" customFormat="1" ht="12.75" customHeight="1" x14ac:dyDescent="0.25">
      <c r="A27" s="694"/>
      <c r="B27" s="698"/>
      <c r="C27" s="698"/>
      <c r="D27" s="850">
        <v>1</v>
      </c>
      <c r="E27" s="2630" t="str">
        <f>IFERROR(IF(CTRL_InputMethodNIMsvalues=1,INDEX(EUconst_BMlistNames,MATCH(INDEX(c_NIMsSummary!$S$517:$S$1206,MATCH(D27,c_NIMsSummary!$C$517:$C$1206,0)+4),EUconst_BMlistNumberOfBM,0)),""),"")</f>
        <v/>
      </c>
      <c r="F27" s="2631"/>
      <c r="G27" s="2648"/>
      <c r="H27" s="2649"/>
      <c r="I27" s="168"/>
      <c r="J27" s="169"/>
      <c r="K27" s="170"/>
      <c r="L27" s="851" t="str">
        <f t="shared" ref="L27:L36" si="0">IF(Q27=EUconst_NA,EUconst_NA,INDEX(EUconst_BMlistCLstatus,MATCH(Q27,EUconst_BMlistNumberOfBM,0)))</f>
        <v>Не е приложимо</v>
      </c>
      <c r="M27" s="851" t="str">
        <f t="shared" ref="M27:M36" si="1">IF(Q27=EUconst_NA,EUconst_NA,INDEX(EUconst_BMlistCBAMstatus,MATCH(Q27,EUconst_BMlistNumberOfBM,0)))</f>
        <v>Не е приложимо</v>
      </c>
      <c r="N27" s="852" t="str">
        <f t="shared" ref="N27:N36" si="2">IF(U27="","",IF(COUNTIF(CNTR_AnnexIActivities,INDEX(EUconst_BMlistNumberOfActivity,MATCH(Q27,EUconst_BMlistNumberOfBM,0)))=0,EUconst_ERR_ActivityMissing,""))</f>
        <v/>
      </c>
      <c r="O27" s="336"/>
      <c r="P27" s="181"/>
      <c r="Q27" s="776" t="str">
        <f t="shared" ref="Q27:Q36" si="3">IF(AND($E27="",$G27=""),EUconst_NA,INDEX(EUconst_BMlistNumberOfBM,MATCH(IF($G27="",$E27,$G27),EUconst_BMlistNames,0)))</f>
        <v>Не е приложимо</v>
      </c>
      <c r="R27" s="776" t="str">
        <f>IF(ISNUMBER(Q27),COUNT(Q$27:Q27),"")</f>
        <v/>
      </c>
      <c r="S27" s="853" t="str">
        <f t="shared" ref="S27:S36" si="4">IF(Q27=EUconst_NA,EUconst_Tons,INDEX(EUconst_BMlistUnits,MATCH(Q27,EUconst_BMlistNumberOfBM,0)))</f>
        <v>тона</v>
      </c>
      <c r="T27" s="776" t="str">
        <f>IF(U27="","",COUNTIF($U$27:$U$36,U27))</f>
        <v/>
      </c>
      <c r="U27" s="854" t="str">
        <f>IF(G27="",IF(E27="","",E27),G27)</f>
        <v/>
      </c>
      <c r="V27" s="343"/>
      <c r="W27" s="855">
        <f>IF(OR(CTRL_InputMethodNIMsvalues=2,CNTR_Incumbent=FALSE),0,2)</f>
        <v>2</v>
      </c>
      <c r="X27" s="855">
        <f t="shared" ref="X27:X36" si="5">IF(AND(CNTR_Incumbent,CTRL_InputMethodNIMsvalues&lt;&gt;2,E27&lt;&gt;""),0,IF(AND(CNTR_Incumbent,CTRL_InputMethodNIMsvalues=1,E27=""),1,2))</f>
        <v>2</v>
      </c>
      <c r="Y27" s="855">
        <f t="shared" ref="Y27:Y36" si="6">IF(CNTR_HasEntries_A_I,IF(AND(G27="",U27=""),0,IF(AND(CNTR_Incumbent,G27=""),1,2)),2)</f>
        <v>2</v>
      </c>
      <c r="Z27" s="855">
        <f t="shared" ref="Z27:Z36" si="7">IF(CNTR_HasEntries_A_I,IF(AND(CNTR_Cessation,U27&lt;&gt;""),2,0),2)</f>
        <v>2</v>
      </c>
      <c r="AA27" s="856">
        <f t="shared" ref="AA27:AA36" si="8">Z27</f>
        <v>2</v>
      </c>
    </row>
    <row r="28" spans="1:27" s="349" customFormat="1" ht="12.75" customHeight="1" x14ac:dyDescent="0.25">
      <c r="A28" s="694"/>
      <c r="B28" s="698"/>
      <c r="C28" s="698"/>
      <c r="D28" s="857">
        <f t="shared" ref="D28:D36" si="9">D27+1</f>
        <v>2</v>
      </c>
      <c r="E28" s="2620" t="str">
        <f>IFERROR(IF(CTRL_InputMethodNIMsvalues=1,INDEX(EUconst_BMlistNames,MATCH(INDEX(c_NIMsSummary!$S$517:$S$1206,MATCH(D28,c_NIMsSummary!$C$517:$C$1206,0)+4),EUconst_BMlistNumberOfBM,0)),""),"")</f>
        <v/>
      </c>
      <c r="F28" s="2621"/>
      <c r="G28" s="2624"/>
      <c r="H28" s="2625"/>
      <c r="I28" s="162"/>
      <c r="J28" s="164"/>
      <c r="K28" s="166"/>
      <c r="L28" s="858" t="str">
        <f t="shared" si="0"/>
        <v>Не е приложимо</v>
      </c>
      <c r="M28" s="858" t="str">
        <f t="shared" si="1"/>
        <v>Не е приложимо</v>
      </c>
      <c r="N28" s="859" t="str">
        <f t="shared" si="2"/>
        <v/>
      </c>
      <c r="O28" s="336"/>
      <c r="P28" s="181"/>
      <c r="Q28" s="778" t="str">
        <f t="shared" si="3"/>
        <v>Не е приложимо</v>
      </c>
      <c r="R28" s="778" t="str">
        <f>IF(ISNUMBER(Q28),COUNT(Q$27:Q28),"")</f>
        <v/>
      </c>
      <c r="S28" s="860" t="str">
        <f t="shared" si="4"/>
        <v>тона</v>
      </c>
      <c r="T28" s="778" t="str">
        <f t="shared" ref="T28:T36" si="10">IF(U28="","",COUNTIF($U$27:$U$36,U28))</f>
        <v/>
      </c>
      <c r="U28" s="861" t="str">
        <f t="shared" ref="U28:U36" si="11">IF(G28="",IF(E28="","",E28),G28)</f>
        <v/>
      </c>
      <c r="V28" s="343"/>
      <c r="W28" s="856">
        <f t="shared" ref="W28:W36" si="12">W27</f>
        <v>2</v>
      </c>
      <c r="X28" s="856">
        <f t="shared" si="5"/>
        <v>2</v>
      </c>
      <c r="Y28" s="856">
        <f t="shared" si="6"/>
        <v>2</v>
      </c>
      <c r="Z28" s="856">
        <f t="shared" si="7"/>
        <v>2</v>
      </c>
      <c r="AA28" s="856">
        <f t="shared" si="8"/>
        <v>2</v>
      </c>
    </row>
    <row r="29" spans="1:27" s="349" customFormat="1" x14ac:dyDescent="0.25">
      <c r="A29" s="694"/>
      <c r="B29" s="698"/>
      <c r="C29" s="698"/>
      <c r="D29" s="857">
        <f t="shared" si="9"/>
        <v>3</v>
      </c>
      <c r="E29" s="2620" t="str">
        <f>IFERROR(IF(CTRL_InputMethodNIMsvalues=1,INDEX(EUconst_BMlistNames,MATCH(INDEX(c_NIMsSummary!$S$517:$S$1206,MATCH(D29,c_NIMsSummary!$C$517:$C$1206,0)+4),EUconst_BMlistNumberOfBM,0)),""),"")</f>
        <v/>
      </c>
      <c r="F29" s="2621"/>
      <c r="G29" s="2624"/>
      <c r="H29" s="2625"/>
      <c r="I29" s="162"/>
      <c r="J29" s="164"/>
      <c r="K29" s="166"/>
      <c r="L29" s="858" t="str">
        <f t="shared" si="0"/>
        <v>Не е приложимо</v>
      </c>
      <c r="M29" s="858" t="str">
        <f t="shared" si="1"/>
        <v>Не е приложимо</v>
      </c>
      <c r="N29" s="859" t="str">
        <f t="shared" si="2"/>
        <v/>
      </c>
      <c r="O29" s="336"/>
      <c r="P29" s="181"/>
      <c r="Q29" s="778" t="str">
        <f t="shared" si="3"/>
        <v>Не е приложимо</v>
      </c>
      <c r="R29" s="778" t="str">
        <f>IF(ISNUMBER(Q29),COUNT(Q$27:Q29),"")</f>
        <v/>
      </c>
      <c r="S29" s="860" t="str">
        <f t="shared" si="4"/>
        <v>тона</v>
      </c>
      <c r="T29" s="778" t="str">
        <f t="shared" si="10"/>
        <v/>
      </c>
      <c r="U29" s="861" t="str">
        <f t="shared" si="11"/>
        <v/>
      </c>
      <c r="V29" s="343"/>
      <c r="W29" s="856">
        <f t="shared" si="12"/>
        <v>2</v>
      </c>
      <c r="X29" s="856">
        <f t="shared" si="5"/>
        <v>2</v>
      </c>
      <c r="Y29" s="856">
        <f t="shared" si="6"/>
        <v>2</v>
      </c>
      <c r="Z29" s="856">
        <f t="shared" si="7"/>
        <v>2</v>
      </c>
      <c r="AA29" s="856">
        <f t="shared" si="8"/>
        <v>2</v>
      </c>
    </row>
    <row r="30" spans="1:27" s="349" customFormat="1" ht="12.75" customHeight="1" x14ac:dyDescent="0.25">
      <c r="A30" s="694"/>
      <c r="B30" s="698"/>
      <c r="C30" s="698"/>
      <c r="D30" s="857">
        <f t="shared" si="9"/>
        <v>4</v>
      </c>
      <c r="E30" s="2620" t="str">
        <f>IFERROR(IF(CTRL_InputMethodNIMsvalues=1,INDEX(EUconst_BMlistNames,MATCH(INDEX(c_NIMsSummary!$S$517:$S$1206,MATCH(D30,c_NIMsSummary!$C$517:$C$1206,0)+4),EUconst_BMlistNumberOfBM,0)),""),"")</f>
        <v/>
      </c>
      <c r="F30" s="2621"/>
      <c r="G30" s="2624"/>
      <c r="H30" s="2625"/>
      <c r="I30" s="162"/>
      <c r="J30" s="164"/>
      <c r="K30" s="166"/>
      <c r="L30" s="858" t="str">
        <f t="shared" si="0"/>
        <v>Не е приложимо</v>
      </c>
      <c r="M30" s="858" t="str">
        <f t="shared" si="1"/>
        <v>Не е приложимо</v>
      </c>
      <c r="N30" s="859" t="str">
        <f t="shared" si="2"/>
        <v/>
      </c>
      <c r="O30" s="336"/>
      <c r="P30" s="181"/>
      <c r="Q30" s="778" t="str">
        <f t="shared" si="3"/>
        <v>Не е приложимо</v>
      </c>
      <c r="R30" s="778" t="str">
        <f>IF(ISNUMBER(Q30),COUNT(Q$27:Q30),"")</f>
        <v/>
      </c>
      <c r="S30" s="860" t="str">
        <f t="shared" si="4"/>
        <v>тона</v>
      </c>
      <c r="T30" s="778" t="str">
        <f t="shared" si="10"/>
        <v/>
      </c>
      <c r="U30" s="861" t="str">
        <f t="shared" si="11"/>
        <v/>
      </c>
      <c r="V30" s="343"/>
      <c r="W30" s="856">
        <f t="shared" si="12"/>
        <v>2</v>
      </c>
      <c r="X30" s="856">
        <f t="shared" si="5"/>
        <v>2</v>
      </c>
      <c r="Y30" s="856">
        <f t="shared" si="6"/>
        <v>2</v>
      </c>
      <c r="Z30" s="856">
        <f t="shared" si="7"/>
        <v>2</v>
      </c>
      <c r="AA30" s="856">
        <f t="shared" si="8"/>
        <v>2</v>
      </c>
    </row>
    <row r="31" spans="1:27" s="349" customFormat="1" x14ac:dyDescent="0.25">
      <c r="A31" s="694"/>
      <c r="B31" s="698"/>
      <c r="C31" s="698"/>
      <c r="D31" s="857">
        <f t="shared" si="9"/>
        <v>5</v>
      </c>
      <c r="E31" s="2620" t="str">
        <f>IFERROR(IF(CTRL_InputMethodNIMsvalues=1,INDEX(EUconst_BMlistNames,MATCH(INDEX(c_NIMsSummary!$S$517:$S$1206,MATCH(D31,c_NIMsSummary!$C$517:$C$1206,0)+4),EUconst_BMlistNumberOfBM,0)),""),"")</f>
        <v/>
      </c>
      <c r="F31" s="2621"/>
      <c r="G31" s="2624"/>
      <c r="H31" s="2625"/>
      <c r="I31" s="162"/>
      <c r="J31" s="164"/>
      <c r="K31" s="166"/>
      <c r="L31" s="858" t="str">
        <f t="shared" si="0"/>
        <v>Не е приложимо</v>
      </c>
      <c r="M31" s="858" t="str">
        <f t="shared" si="1"/>
        <v>Не е приложимо</v>
      </c>
      <c r="N31" s="859" t="str">
        <f t="shared" si="2"/>
        <v/>
      </c>
      <c r="O31" s="336"/>
      <c r="P31" s="181"/>
      <c r="Q31" s="778" t="str">
        <f t="shared" si="3"/>
        <v>Не е приложимо</v>
      </c>
      <c r="R31" s="778" t="str">
        <f>IF(ISNUMBER(Q31),COUNT(Q$27:Q31),"")</f>
        <v/>
      </c>
      <c r="S31" s="860" t="str">
        <f t="shared" si="4"/>
        <v>тона</v>
      </c>
      <c r="T31" s="778" t="str">
        <f t="shared" si="10"/>
        <v/>
      </c>
      <c r="U31" s="861" t="str">
        <f t="shared" si="11"/>
        <v/>
      </c>
      <c r="V31" s="343"/>
      <c r="W31" s="856">
        <f t="shared" si="12"/>
        <v>2</v>
      </c>
      <c r="X31" s="856">
        <f t="shared" si="5"/>
        <v>2</v>
      </c>
      <c r="Y31" s="856">
        <f t="shared" si="6"/>
        <v>2</v>
      </c>
      <c r="Z31" s="856">
        <f t="shared" si="7"/>
        <v>2</v>
      </c>
      <c r="AA31" s="856">
        <f t="shared" si="8"/>
        <v>2</v>
      </c>
    </row>
    <row r="32" spans="1:27" s="349" customFormat="1" x14ac:dyDescent="0.25">
      <c r="A32" s="694"/>
      <c r="B32" s="698"/>
      <c r="C32" s="698"/>
      <c r="D32" s="857">
        <f t="shared" si="9"/>
        <v>6</v>
      </c>
      <c r="E32" s="2620" t="str">
        <f>IFERROR(IF(CTRL_InputMethodNIMsvalues=1,INDEX(EUconst_BMlistNames,MATCH(INDEX(c_NIMsSummary!$S$517:$S$1206,MATCH(D32,c_NIMsSummary!$C$517:$C$1206,0)+4),EUconst_BMlistNumberOfBM,0)),""),"")</f>
        <v/>
      </c>
      <c r="F32" s="2621"/>
      <c r="G32" s="2624"/>
      <c r="H32" s="2625"/>
      <c r="I32" s="162"/>
      <c r="J32" s="164"/>
      <c r="K32" s="166"/>
      <c r="L32" s="858" t="str">
        <f t="shared" si="0"/>
        <v>Не е приложимо</v>
      </c>
      <c r="M32" s="858" t="str">
        <f t="shared" si="1"/>
        <v>Не е приложимо</v>
      </c>
      <c r="N32" s="859" t="str">
        <f t="shared" si="2"/>
        <v/>
      </c>
      <c r="O32" s="336"/>
      <c r="P32" s="181"/>
      <c r="Q32" s="778" t="str">
        <f t="shared" si="3"/>
        <v>Не е приложимо</v>
      </c>
      <c r="R32" s="778" t="str">
        <f>IF(ISNUMBER(Q32),COUNT(Q$27:Q32),"")</f>
        <v/>
      </c>
      <c r="S32" s="860" t="str">
        <f t="shared" si="4"/>
        <v>тона</v>
      </c>
      <c r="T32" s="778" t="str">
        <f t="shared" si="10"/>
        <v/>
      </c>
      <c r="U32" s="861" t="str">
        <f t="shared" si="11"/>
        <v/>
      </c>
      <c r="V32" s="343"/>
      <c r="W32" s="856">
        <f t="shared" si="12"/>
        <v>2</v>
      </c>
      <c r="X32" s="856">
        <f t="shared" si="5"/>
        <v>2</v>
      </c>
      <c r="Y32" s="856">
        <f t="shared" si="6"/>
        <v>2</v>
      </c>
      <c r="Z32" s="856">
        <f t="shared" si="7"/>
        <v>2</v>
      </c>
      <c r="AA32" s="856">
        <f t="shared" si="8"/>
        <v>2</v>
      </c>
    </row>
    <row r="33" spans="1:27" s="349" customFormat="1" x14ac:dyDescent="0.25">
      <c r="A33" s="694"/>
      <c r="B33" s="698"/>
      <c r="C33" s="698"/>
      <c r="D33" s="857">
        <f t="shared" si="9"/>
        <v>7</v>
      </c>
      <c r="E33" s="2620" t="str">
        <f>IFERROR(IF(CTRL_InputMethodNIMsvalues=1,INDEX(EUconst_BMlistNames,MATCH(INDEX(c_NIMsSummary!$S$517:$S$1206,MATCH(D33,c_NIMsSummary!$C$517:$C$1206,0)+4),EUconst_BMlistNumberOfBM,0)),""),"")</f>
        <v/>
      </c>
      <c r="F33" s="2621"/>
      <c r="G33" s="2624"/>
      <c r="H33" s="2625"/>
      <c r="I33" s="162"/>
      <c r="J33" s="164"/>
      <c r="K33" s="166"/>
      <c r="L33" s="858" t="str">
        <f t="shared" si="0"/>
        <v>Не е приложимо</v>
      </c>
      <c r="M33" s="858" t="str">
        <f t="shared" si="1"/>
        <v>Не е приложимо</v>
      </c>
      <c r="N33" s="859" t="str">
        <f t="shared" si="2"/>
        <v/>
      </c>
      <c r="O33" s="336"/>
      <c r="P33" s="181"/>
      <c r="Q33" s="778" t="str">
        <f t="shared" si="3"/>
        <v>Не е приложимо</v>
      </c>
      <c r="R33" s="778" t="str">
        <f>IF(ISNUMBER(Q33),COUNT(Q$27:Q33),"")</f>
        <v/>
      </c>
      <c r="S33" s="860" t="str">
        <f t="shared" si="4"/>
        <v>тона</v>
      </c>
      <c r="T33" s="778" t="str">
        <f t="shared" si="10"/>
        <v/>
      </c>
      <c r="U33" s="861" t="str">
        <f t="shared" si="11"/>
        <v/>
      </c>
      <c r="V33" s="343"/>
      <c r="W33" s="856">
        <f t="shared" si="12"/>
        <v>2</v>
      </c>
      <c r="X33" s="856">
        <f t="shared" si="5"/>
        <v>2</v>
      </c>
      <c r="Y33" s="856">
        <f t="shared" si="6"/>
        <v>2</v>
      </c>
      <c r="Z33" s="856">
        <f t="shared" si="7"/>
        <v>2</v>
      </c>
      <c r="AA33" s="856">
        <f t="shared" si="8"/>
        <v>2</v>
      </c>
    </row>
    <row r="34" spans="1:27" s="349" customFormat="1" x14ac:dyDescent="0.25">
      <c r="A34" s="694"/>
      <c r="B34" s="698"/>
      <c r="C34" s="698"/>
      <c r="D34" s="857">
        <f t="shared" si="9"/>
        <v>8</v>
      </c>
      <c r="E34" s="2620" t="str">
        <f>IFERROR(IF(CTRL_InputMethodNIMsvalues=1,INDEX(EUconst_BMlistNames,MATCH(INDEX(c_NIMsSummary!$S$517:$S$1206,MATCH(D34,c_NIMsSummary!$C$517:$C$1206,0)+4),EUconst_BMlistNumberOfBM,0)),""),"")</f>
        <v/>
      </c>
      <c r="F34" s="2621"/>
      <c r="G34" s="2624"/>
      <c r="H34" s="2625"/>
      <c r="I34" s="162"/>
      <c r="J34" s="164"/>
      <c r="K34" s="166"/>
      <c r="L34" s="858" t="str">
        <f t="shared" si="0"/>
        <v>Не е приложимо</v>
      </c>
      <c r="M34" s="858" t="str">
        <f t="shared" si="1"/>
        <v>Не е приложимо</v>
      </c>
      <c r="N34" s="859" t="str">
        <f t="shared" si="2"/>
        <v/>
      </c>
      <c r="O34" s="336"/>
      <c r="P34" s="181"/>
      <c r="Q34" s="778" t="str">
        <f t="shared" si="3"/>
        <v>Не е приложимо</v>
      </c>
      <c r="R34" s="778" t="str">
        <f>IF(ISNUMBER(Q34),COUNT(Q$27:Q34),"")</f>
        <v/>
      </c>
      <c r="S34" s="860" t="str">
        <f t="shared" si="4"/>
        <v>тона</v>
      </c>
      <c r="T34" s="778" t="str">
        <f t="shared" si="10"/>
        <v/>
      </c>
      <c r="U34" s="861" t="str">
        <f t="shared" si="11"/>
        <v/>
      </c>
      <c r="V34" s="343"/>
      <c r="W34" s="856">
        <f t="shared" si="12"/>
        <v>2</v>
      </c>
      <c r="X34" s="856">
        <f t="shared" si="5"/>
        <v>2</v>
      </c>
      <c r="Y34" s="856">
        <f t="shared" si="6"/>
        <v>2</v>
      </c>
      <c r="Z34" s="856">
        <f t="shared" si="7"/>
        <v>2</v>
      </c>
      <c r="AA34" s="856">
        <f t="shared" si="8"/>
        <v>2</v>
      </c>
    </row>
    <row r="35" spans="1:27" s="349" customFormat="1" x14ac:dyDescent="0.25">
      <c r="A35" s="694"/>
      <c r="B35" s="698"/>
      <c r="C35" s="698"/>
      <c r="D35" s="857">
        <f t="shared" si="9"/>
        <v>9</v>
      </c>
      <c r="E35" s="2620" t="str">
        <f>IFERROR(IF(CTRL_InputMethodNIMsvalues=1,INDEX(EUconst_BMlistNames,MATCH(INDEX(c_NIMsSummary!$S$517:$S$1206,MATCH(D35,c_NIMsSummary!$C$517:$C$1206,0)+4),EUconst_BMlistNumberOfBM,0)),""),"")</f>
        <v/>
      </c>
      <c r="F35" s="2621"/>
      <c r="G35" s="2624"/>
      <c r="H35" s="2625"/>
      <c r="I35" s="162"/>
      <c r="J35" s="164"/>
      <c r="K35" s="166"/>
      <c r="L35" s="858" t="str">
        <f t="shared" si="0"/>
        <v>Не е приложимо</v>
      </c>
      <c r="M35" s="858" t="str">
        <f t="shared" si="1"/>
        <v>Не е приложимо</v>
      </c>
      <c r="N35" s="859" t="str">
        <f t="shared" si="2"/>
        <v/>
      </c>
      <c r="O35" s="336"/>
      <c r="P35" s="181"/>
      <c r="Q35" s="778" t="str">
        <f t="shared" si="3"/>
        <v>Не е приложимо</v>
      </c>
      <c r="R35" s="778" t="str">
        <f>IF(ISNUMBER(Q35),COUNT(Q$27:Q35),"")</f>
        <v/>
      </c>
      <c r="S35" s="860" t="str">
        <f t="shared" si="4"/>
        <v>тона</v>
      </c>
      <c r="T35" s="778" t="str">
        <f t="shared" si="10"/>
        <v/>
      </c>
      <c r="U35" s="861" t="str">
        <f t="shared" si="11"/>
        <v/>
      </c>
      <c r="V35" s="343"/>
      <c r="W35" s="856">
        <f t="shared" si="12"/>
        <v>2</v>
      </c>
      <c r="X35" s="856">
        <f t="shared" si="5"/>
        <v>2</v>
      </c>
      <c r="Y35" s="856">
        <f t="shared" si="6"/>
        <v>2</v>
      </c>
      <c r="Z35" s="856">
        <f t="shared" si="7"/>
        <v>2</v>
      </c>
      <c r="AA35" s="856">
        <f t="shared" si="8"/>
        <v>2</v>
      </c>
    </row>
    <row r="36" spans="1:27" s="349" customFormat="1" ht="13" thickBot="1" x14ac:dyDescent="0.3">
      <c r="A36" s="694"/>
      <c r="B36" s="698"/>
      <c r="C36" s="698"/>
      <c r="D36" s="862">
        <f t="shared" si="9"/>
        <v>10</v>
      </c>
      <c r="E36" s="2642" t="str">
        <f>IFERROR(IF(CTRL_InputMethodNIMsvalues=1,INDEX(EUconst_BMlistNames,MATCH(INDEX(c_NIMsSummary!$S$517:$S$1206,MATCH(D36,c_NIMsSummary!$C$517:$C$1206,0)+4),EUconst_BMlistNumberOfBM,0)),""),"")</f>
        <v/>
      </c>
      <c r="F36" s="2643"/>
      <c r="G36" s="2644"/>
      <c r="H36" s="2645"/>
      <c r="I36" s="163"/>
      <c r="J36" s="165"/>
      <c r="K36" s="167"/>
      <c r="L36" s="863" t="str">
        <f t="shared" si="0"/>
        <v>Не е приложимо</v>
      </c>
      <c r="M36" s="863" t="str">
        <f t="shared" si="1"/>
        <v>Не е приложимо</v>
      </c>
      <c r="N36" s="864" t="str">
        <f t="shared" si="2"/>
        <v/>
      </c>
      <c r="O36" s="336"/>
      <c r="P36" s="181"/>
      <c r="Q36" s="780" t="str">
        <f t="shared" si="3"/>
        <v>Не е приложимо</v>
      </c>
      <c r="R36" s="780" t="str">
        <f>IF(ISNUMBER(Q36),COUNT(Q$27:Q36),"")</f>
        <v/>
      </c>
      <c r="S36" s="865" t="str">
        <f t="shared" si="4"/>
        <v>тона</v>
      </c>
      <c r="T36" s="780" t="str">
        <f t="shared" si="10"/>
        <v/>
      </c>
      <c r="U36" s="866" t="str">
        <f t="shared" si="11"/>
        <v/>
      </c>
      <c r="V36" s="343"/>
      <c r="W36" s="856">
        <f t="shared" si="12"/>
        <v>2</v>
      </c>
      <c r="X36" s="856">
        <f t="shared" si="5"/>
        <v>2</v>
      </c>
      <c r="Y36" s="856">
        <f t="shared" si="6"/>
        <v>2</v>
      </c>
      <c r="Z36" s="856">
        <f t="shared" si="7"/>
        <v>2</v>
      </c>
      <c r="AA36" s="856">
        <f t="shared" si="8"/>
        <v>2</v>
      </c>
    </row>
    <row r="37" spans="1:27" s="349" customFormat="1" x14ac:dyDescent="0.25">
      <c r="A37" s="694"/>
      <c r="B37" s="698"/>
      <c r="C37" s="698"/>
      <c r="D37" s="813"/>
      <c r="E37" s="2636" t="str">
        <f>IF(MAX(T27:T36)&gt;1,EUconst_ERR_DoubleBMentry,"")</f>
        <v/>
      </c>
      <c r="F37" s="2637"/>
      <c r="G37" s="2637"/>
      <c r="H37" s="2637"/>
      <c r="I37" s="2637"/>
      <c r="J37" s="2637"/>
      <c r="K37" s="2638"/>
      <c r="L37" s="698"/>
      <c r="M37" s="698"/>
      <c r="N37" s="698"/>
      <c r="O37" s="336"/>
      <c r="P37" s="302"/>
      <c r="Q37" s="343"/>
      <c r="R37" s="867"/>
      <c r="S37" s="343"/>
      <c r="T37" s="343"/>
      <c r="U37" s="343"/>
      <c r="V37" s="343"/>
      <c r="W37" s="343"/>
      <c r="X37" s="343"/>
      <c r="Y37" s="343"/>
      <c r="Z37" s="343"/>
      <c r="AA37" s="343"/>
    </row>
    <row r="38" spans="1:27" s="349" customFormat="1" ht="5.15" customHeight="1" x14ac:dyDescent="0.25">
      <c r="A38" s="694"/>
      <c r="B38" s="698"/>
      <c r="C38" s="698"/>
      <c r="D38" s="698"/>
      <c r="E38" s="698"/>
      <c r="F38" s="698"/>
      <c r="G38" s="698"/>
      <c r="H38" s="698"/>
      <c r="I38" s="698"/>
      <c r="J38" s="698"/>
      <c r="K38" s="698"/>
      <c r="L38" s="698"/>
      <c r="M38" s="698"/>
      <c r="N38" s="698"/>
      <c r="O38" s="336"/>
      <c r="P38" s="302"/>
      <c r="Q38" s="343"/>
      <c r="R38" s="868"/>
      <c r="S38" s="343"/>
      <c r="T38" s="343"/>
      <c r="U38" s="343"/>
      <c r="V38" s="343"/>
      <c r="W38" s="343"/>
      <c r="X38" s="343"/>
      <c r="Y38" s="343"/>
      <c r="Z38" s="343"/>
      <c r="AA38" s="343"/>
    </row>
    <row r="39" spans="1:27" s="349" customFormat="1" x14ac:dyDescent="0.25">
      <c r="A39" s="694"/>
      <c r="B39" s="698"/>
      <c r="C39" s="698"/>
      <c r="D39" s="2617" t="str">
        <f>IF(CNTR_HasEntries_A_I,IF(AND(A_InstallationData!E258&lt;&gt;"",MAX(R27:R66)&lt;1),EUconst_ERR_MissingSubInstEntry,""),"")</f>
        <v/>
      </c>
      <c r="E39" s="2618"/>
      <c r="F39" s="2618"/>
      <c r="G39" s="2618"/>
      <c r="H39" s="2618"/>
      <c r="I39" s="2618"/>
      <c r="J39" s="2618"/>
      <c r="K39" s="2618"/>
      <c r="L39" s="2618"/>
      <c r="M39" s="2618"/>
      <c r="N39" s="2619"/>
      <c r="O39" s="336"/>
      <c r="P39" s="302"/>
      <c r="Q39" s="343"/>
      <c r="R39" s="868"/>
      <c r="S39" s="343"/>
      <c r="T39" s="732" t="s">
        <v>2102</v>
      </c>
      <c r="U39" s="727" t="b">
        <f>AND(COUNT(Q27:Q66)&gt;0,COUNT(J27:J66)=COUNT(Q27:Q66))</f>
        <v>0</v>
      </c>
      <c r="V39" s="343"/>
      <c r="W39" s="343"/>
      <c r="X39" s="343"/>
      <c r="Y39" s="343"/>
      <c r="Z39" s="343"/>
      <c r="AA39" s="343"/>
    </row>
    <row r="40" spans="1:27" s="349" customFormat="1" x14ac:dyDescent="0.25">
      <c r="A40" s="729"/>
      <c r="B40" s="698"/>
      <c r="C40" s="698"/>
      <c r="D40" s="698"/>
      <c r="E40" s="698"/>
      <c r="F40" s="698"/>
      <c r="G40" s="698"/>
      <c r="H40" s="698"/>
      <c r="I40" s="698"/>
      <c r="J40" s="698"/>
      <c r="K40" s="698"/>
      <c r="L40" s="698"/>
      <c r="M40" s="698"/>
      <c r="N40" s="698"/>
      <c r="O40" s="336"/>
      <c r="P40" s="302"/>
      <c r="Q40" s="343"/>
      <c r="R40" s="868"/>
      <c r="S40" s="343"/>
      <c r="T40" s="343"/>
      <c r="U40" s="343"/>
      <c r="V40" s="343"/>
      <c r="W40" s="343"/>
      <c r="X40" s="343"/>
      <c r="Y40" s="343"/>
      <c r="Z40" s="343"/>
      <c r="AA40" s="343"/>
    </row>
    <row r="41" spans="1:27" s="349" customFormat="1" ht="14" x14ac:dyDescent="0.3">
      <c r="A41" s="694"/>
      <c r="B41" s="698"/>
      <c r="C41" s="357">
        <v>2</v>
      </c>
      <c r="D41" s="2323" t="str">
        <f>Translations!$B$155</f>
        <v>Подинсталации с алтернативни подходи („fall-back approaches“)</v>
      </c>
      <c r="E41" s="2249"/>
      <c r="F41" s="2249"/>
      <c r="G41" s="2249"/>
      <c r="H41" s="2249"/>
      <c r="I41" s="2249"/>
      <c r="J41" s="2249"/>
      <c r="K41" s="2249"/>
      <c r="L41" s="2249"/>
      <c r="M41" s="2249"/>
      <c r="N41" s="2249"/>
      <c r="O41" s="336"/>
      <c r="P41" s="302"/>
      <c r="Q41" s="343"/>
      <c r="R41" s="868"/>
      <c r="S41" s="343"/>
      <c r="T41" s="343"/>
      <c r="U41" s="343"/>
      <c r="V41" s="343"/>
      <c r="W41" s="343"/>
      <c r="X41" s="343"/>
      <c r="Y41" s="343"/>
      <c r="Z41" s="343"/>
      <c r="AA41" s="343"/>
    </row>
    <row r="42" spans="1:27" s="349" customFormat="1" ht="13" x14ac:dyDescent="0.25">
      <c r="A42" s="694"/>
      <c r="B42" s="698"/>
      <c r="C42" s="698"/>
      <c r="D42" s="728"/>
      <c r="E42" s="2226" t="str">
        <f>Translations!$B$156</f>
        <v>Моля, посочете тук присъстващите във Вашата инсталация алтернативни подинсталации („fall-back sub-installations“), ако има такива:</v>
      </c>
      <c r="F42" s="2249"/>
      <c r="G42" s="2249"/>
      <c r="H42" s="2249"/>
      <c r="I42" s="2249"/>
      <c r="J42" s="2249"/>
      <c r="K42" s="2249"/>
      <c r="L42" s="2249"/>
      <c r="M42" s="2249"/>
      <c r="N42" s="2249"/>
      <c r="O42" s="336"/>
      <c r="P42" s="302"/>
      <c r="Q42" s="343"/>
      <c r="R42" s="868"/>
      <c r="S42" s="343"/>
      <c r="T42" s="343"/>
      <c r="U42" s="343"/>
      <c r="V42" s="343"/>
      <c r="W42" s="343"/>
      <c r="X42" s="343"/>
      <c r="Y42" s="343"/>
      <c r="Z42" s="343"/>
      <c r="AA42" s="343"/>
    </row>
    <row r="43" spans="1:27" s="349" customFormat="1" ht="13" x14ac:dyDescent="0.25">
      <c r="A43" s="694"/>
      <c r="B43" s="698"/>
      <c r="C43" s="698"/>
      <c r="D43" s="302"/>
      <c r="E43" s="2459" t="str">
        <f>Translations!$B$157</f>
        <v>Моля, изберете за всеки вид подинсталация, дали присъства във Вашата инсталация или не. Не оставяйте непопълнени жълти клетки.</v>
      </c>
      <c r="F43" s="2460"/>
      <c r="G43" s="2460"/>
      <c r="H43" s="2460"/>
      <c r="I43" s="2460"/>
      <c r="J43" s="2460"/>
      <c r="K43" s="2460"/>
      <c r="L43" s="2460"/>
      <c r="M43" s="2460"/>
      <c r="N43" s="2460"/>
      <c r="O43" s="336"/>
      <c r="P43" s="302"/>
      <c r="Q43" s="343"/>
      <c r="R43" s="868"/>
      <c r="S43" s="343"/>
      <c r="T43" s="343"/>
      <c r="U43" s="343"/>
      <c r="V43" s="343"/>
      <c r="W43" s="343"/>
      <c r="X43" s="343"/>
      <c r="Y43" s="343"/>
      <c r="Z43" s="343"/>
      <c r="AA43" s="343"/>
    </row>
    <row r="44" spans="1:27" s="349" customFormat="1" ht="25.5" customHeight="1" x14ac:dyDescent="0.25">
      <c r="A44" s="694"/>
      <c r="B44" s="698"/>
      <c r="C44" s="698"/>
      <c r="D44" s="728"/>
      <c r="E44" s="837" t="str">
        <f>Translations!$B$1267</f>
        <v>Подинсталации (колона G)</v>
      </c>
      <c r="F44" s="838" t="str">
        <f>Translations!$B$1263</f>
        <v>Работеща инсталация</v>
      </c>
      <c r="G44" s="2622" t="str">
        <f>Translations!$B$1264</f>
        <v>Ако сте избрали да съберете информация за НМИ посредством електронната препратка към доклада с базови данни в раздел А.II., всички приложими подинсталации с продуктов показател се появяват автоматично. В противен случай тази колона ще бъде оцветена в сиво.</v>
      </c>
      <c r="H44" s="2622"/>
      <c r="I44" s="2622"/>
      <c r="J44" s="2622"/>
      <c r="K44" s="2622"/>
      <c r="L44" s="2622"/>
      <c r="M44" s="2622"/>
      <c r="N44" s="2622"/>
      <c r="O44" s="336"/>
      <c r="P44" s="302"/>
      <c r="Q44" s="343"/>
      <c r="R44" s="868"/>
      <c r="S44" s="343"/>
      <c r="T44" s="343"/>
      <c r="U44" s="343"/>
      <c r="V44" s="343"/>
      <c r="W44" s="343"/>
      <c r="X44" s="343"/>
      <c r="Y44" s="343"/>
      <c r="Z44" s="343"/>
      <c r="AA44" s="343"/>
    </row>
    <row r="45" spans="1:27" s="349" customFormat="1" ht="12.75" customHeight="1" x14ac:dyDescent="0.25">
      <c r="A45" s="694"/>
      <c r="B45" s="698"/>
      <c r="C45" s="698"/>
      <c r="D45" s="728"/>
      <c r="E45" s="839"/>
      <c r="F45" s="838" t="str">
        <f>Translations!$B$1265</f>
        <v>Нови участници</v>
      </c>
      <c r="G45" s="2622" t="str">
        <f>Translations!$B$1266</f>
        <v>Тази колона не се отнася за нови участници.</v>
      </c>
      <c r="H45" s="2622"/>
      <c r="I45" s="2622"/>
      <c r="J45" s="2622"/>
      <c r="K45" s="2622"/>
      <c r="L45" s="2622"/>
      <c r="M45" s="2622"/>
      <c r="N45" s="2622"/>
      <c r="O45" s="336"/>
      <c r="P45" s="302"/>
      <c r="Q45" s="343"/>
      <c r="R45" s="868"/>
      <c r="S45" s="343"/>
      <c r="T45" s="343"/>
      <c r="U45" s="343"/>
      <c r="V45" s="343"/>
      <c r="W45" s="343"/>
      <c r="X45" s="343"/>
      <c r="Y45" s="343"/>
      <c r="Z45" s="343"/>
      <c r="AA45" s="343"/>
    </row>
    <row r="46" spans="1:27" s="349" customFormat="1" ht="25.5" customHeight="1" x14ac:dyDescent="0.25">
      <c r="A46" s="694"/>
      <c r="B46" s="698"/>
      <c r="C46" s="698"/>
      <c r="D46" s="728"/>
      <c r="E46" s="837" t="str">
        <f>Translations!$B$1279</f>
        <v>Подинсталации (колона H)</v>
      </c>
      <c r="F46" s="838" t="str">
        <f>Translations!$B$1263</f>
        <v>Работеща инсталация</v>
      </c>
      <c r="G46" s="2622" t="str">
        <f>Translations!$B$1459</f>
        <v>Данните тук са от значение само ако сте избрали „Ръчно въвеждане“ в раздел А.II. или за нови подинсталации, въведени в експлоатация след 30 юни 2024 г. (т.е. не са били включени в заявлението по НМИ).</v>
      </c>
      <c r="H46" s="2622"/>
      <c r="I46" s="2622"/>
      <c r="J46" s="2622"/>
      <c r="K46" s="2622"/>
      <c r="L46" s="2622"/>
      <c r="M46" s="2622"/>
      <c r="N46" s="2622"/>
      <c r="O46" s="336"/>
      <c r="P46" s="302"/>
      <c r="Q46" s="343"/>
      <c r="R46" s="868"/>
      <c r="S46" s="343"/>
      <c r="T46" s="343"/>
      <c r="U46" s="343"/>
      <c r="V46" s="343"/>
      <c r="W46" s="343"/>
      <c r="X46" s="343"/>
      <c r="Y46" s="343"/>
      <c r="Z46" s="343"/>
      <c r="AA46" s="343"/>
    </row>
    <row r="47" spans="1:27" s="349" customFormat="1" ht="12.75" customHeight="1" x14ac:dyDescent="0.25">
      <c r="A47" s="694"/>
      <c r="B47" s="698"/>
      <c r="C47" s="698"/>
      <c r="D47" s="728"/>
      <c r="E47" s="839"/>
      <c r="F47" s="838" t="str">
        <f>Translations!$B$1265</f>
        <v>Нови участници</v>
      </c>
      <c r="G47" s="2622" t="str">
        <f>Translations!$B$1268</f>
        <v>Моля, изберете всички съответни подинсталации, които вече са въведени в експлоатация.</v>
      </c>
      <c r="H47" s="2622"/>
      <c r="I47" s="2622"/>
      <c r="J47" s="2622"/>
      <c r="K47" s="2622"/>
      <c r="L47" s="2622"/>
      <c r="M47" s="2622"/>
      <c r="N47" s="2622"/>
      <c r="O47" s="336"/>
      <c r="P47" s="302"/>
      <c r="Q47" s="343"/>
      <c r="R47" s="868"/>
      <c r="S47" s="343"/>
      <c r="T47" s="343"/>
      <c r="U47" s="343"/>
      <c r="V47" s="343"/>
      <c r="W47" s="343"/>
      <c r="X47" s="343"/>
      <c r="Y47" s="343"/>
      <c r="Z47" s="343"/>
      <c r="AA47" s="343"/>
    </row>
    <row r="48" spans="1:27" s="349" customFormat="1" ht="25.5" customHeight="1" x14ac:dyDescent="0.25">
      <c r="A48" s="694"/>
      <c r="B48" s="698"/>
      <c r="C48" s="698"/>
      <c r="D48" s="728"/>
      <c r="E48" s="837" t="str">
        <f>Translations!$B$153</f>
        <v>Влизане в експлоатация</v>
      </c>
      <c r="F48" s="838" t="str">
        <f>Translations!$B$1263</f>
        <v>Работеща инсталация</v>
      </c>
      <c r="G48" s="2622" t="str">
        <f>Translations!$B$1460</f>
        <v>Това е първият ден, в който подинсталацията има равнище на дейност над нула. Тази дата влияе на разпределянето само ако е 1 януари 2018 г. или по-късна. Затова данните тук са задължителни само ако подинсталацията е въведена в експлоатация след тази дата.</v>
      </c>
      <c r="H48" s="2622"/>
      <c r="I48" s="2622"/>
      <c r="J48" s="2622"/>
      <c r="K48" s="2622"/>
      <c r="L48" s="2622"/>
      <c r="M48" s="2622"/>
      <c r="N48" s="2622"/>
      <c r="O48" s="336"/>
      <c r="P48" s="302"/>
      <c r="Q48" s="343"/>
      <c r="R48" s="868"/>
      <c r="S48" s="343"/>
      <c r="T48" s="343"/>
      <c r="U48" s="343"/>
      <c r="V48" s="343"/>
      <c r="W48" s="343"/>
      <c r="X48" s="343"/>
      <c r="Y48" s="343"/>
      <c r="Z48" s="343"/>
      <c r="AA48" s="343"/>
    </row>
    <row r="49" spans="1:27" s="349" customFormat="1" ht="20" x14ac:dyDescent="0.25">
      <c r="A49" s="694"/>
      <c r="B49" s="698"/>
      <c r="C49" s="698"/>
      <c r="D49" s="728"/>
      <c r="E49" s="839"/>
      <c r="F49" s="838" t="str">
        <f>Translations!$B$1265</f>
        <v>Нови участници</v>
      </c>
      <c r="G49" s="2622" t="str">
        <f>Translations!$B$1269</f>
        <v xml:space="preserve">Това е първият ден, в който подинсталацията има равнище на дейност над нула. </v>
      </c>
      <c r="H49" s="2622"/>
      <c r="I49" s="2622"/>
      <c r="J49" s="2622"/>
      <c r="K49" s="2622"/>
      <c r="L49" s="2622"/>
      <c r="M49" s="2622"/>
      <c r="N49" s="2622"/>
      <c r="O49" s="336"/>
      <c r="P49" s="302"/>
      <c r="Q49" s="343"/>
      <c r="R49" s="868"/>
      <c r="S49" s="343"/>
      <c r="T49" s="343"/>
      <c r="U49" s="343"/>
      <c r="V49" s="343"/>
      <c r="W49" s="343"/>
      <c r="X49" s="343"/>
      <c r="Y49" s="343"/>
      <c r="Z49" s="343"/>
      <c r="AA49" s="343"/>
    </row>
    <row r="50" spans="1:27" s="349" customFormat="1" ht="13" x14ac:dyDescent="0.25">
      <c r="A50" s="694"/>
      <c r="B50" s="698"/>
      <c r="C50" s="698"/>
      <c r="D50" s="728"/>
      <c r="E50" s="839" t="str">
        <f>Translations!$B$1270</f>
        <v>Дата на спиране на експлоатацията</v>
      </c>
      <c r="F50" s="2623" t="str">
        <f>Translations!$B$1271</f>
        <v>Ако подинсталацията е спряна от експлоатация, това следва да е последният ден, в който подинсталацията е имала равнище на дейност над нула.</v>
      </c>
      <c r="G50" s="2623"/>
      <c r="H50" s="2623"/>
      <c r="I50" s="2623"/>
      <c r="J50" s="2623"/>
      <c r="K50" s="2623"/>
      <c r="L50" s="2623"/>
      <c r="M50" s="2623"/>
      <c r="N50" s="2623"/>
      <c r="O50" s="336"/>
      <c r="P50" s="302"/>
      <c r="Q50" s="343"/>
      <c r="R50" s="868"/>
      <c r="S50" s="343"/>
      <c r="T50" s="343"/>
      <c r="U50" s="343"/>
      <c r="V50" s="343"/>
      <c r="W50" s="343"/>
      <c r="X50" s="343"/>
      <c r="Y50" s="343"/>
      <c r="Z50" s="343"/>
      <c r="AA50" s="343"/>
    </row>
    <row r="51" spans="1:27" s="349" customFormat="1" ht="20" x14ac:dyDescent="0.25">
      <c r="A51" s="694"/>
      <c r="B51" s="698"/>
      <c r="C51" s="698"/>
      <c r="D51" s="728"/>
      <c r="E51" s="839" t="str">
        <f>Translations!$B$1272</f>
        <v>Причина за спиране на експлоатацията</v>
      </c>
      <c r="F51" s="2623" t="str">
        <f>Translations!$B$1273</f>
        <v>Моля, изберете причина за спиране на експлоатацията, ако е относимо.</v>
      </c>
      <c r="G51" s="2623"/>
      <c r="H51" s="2623"/>
      <c r="I51" s="2623"/>
      <c r="J51" s="2623"/>
      <c r="K51" s="2623"/>
      <c r="L51" s="2623"/>
      <c r="M51" s="2623"/>
      <c r="N51" s="2623"/>
      <c r="O51" s="336"/>
      <c r="P51" s="302"/>
      <c r="Q51" s="343"/>
      <c r="R51" s="868"/>
      <c r="S51" s="343"/>
      <c r="T51" s="343"/>
      <c r="U51" s="343"/>
      <c r="V51" s="343"/>
      <c r="W51" s="343"/>
      <c r="X51" s="343"/>
      <c r="Y51" s="343"/>
      <c r="Z51" s="343"/>
      <c r="AA51" s="343"/>
    </row>
    <row r="52" spans="1:27" s="349" customFormat="1" ht="20" x14ac:dyDescent="0.25">
      <c r="A52" s="694"/>
      <c r="B52" s="698"/>
      <c r="C52" s="698"/>
      <c r="D52" s="728"/>
      <c r="E52" s="839" t="str">
        <f>Translations!$B$1274</f>
        <v>Състояние на изместването на въглеродни емисии</v>
      </c>
      <c r="F52" s="2623" t="str">
        <f>Translations!$B$1275</f>
        <v>Състоянието относно излагането на значителен риск от изместване на въглеродни емисии („ИВЕ“) се определя въз основа на Делегирано решение (ЕС) 2019/708 на Комисията.</v>
      </c>
      <c r="G52" s="2623"/>
      <c r="H52" s="2623"/>
      <c r="I52" s="2623"/>
      <c r="J52" s="2623"/>
      <c r="K52" s="2623"/>
      <c r="L52" s="2623"/>
      <c r="M52" s="2623"/>
      <c r="N52" s="2623"/>
      <c r="O52" s="336"/>
      <c r="P52" s="302"/>
      <c r="Q52" s="343"/>
      <c r="R52" s="868"/>
      <c r="S52" s="343"/>
      <c r="T52" s="343"/>
      <c r="U52" s="343"/>
      <c r="V52" s="343"/>
      <c r="W52" s="343"/>
      <c r="X52" s="343"/>
      <c r="Y52" s="343"/>
      <c r="Z52" s="343"/>
      <c r="AA52" s="343"/>
    </row>
    <row r="53" spans="1:27" s="349" customFormat="1" ht="13" x14ac:dyDescent="0.25">
      <c r="A53" s="694"/>
      <c r="B53" s="698"/>
      <c r="C53" s="698"/>
      <c r="D53" s="728"/>
      <c r="E53" s="839" t="str">
        <f>Translations!$B$1461</f>
        <v>Статус по МКВЕГ</v>
      </c>
      <c r="F53" s="2623" t="str">
        <f>Translations!$B$1462</f>
        <v>Статуса по отношение на статуса по МКВЕГ въз основа на кодовете по КН, изброени в приложение I към Регламент (ЕС) 2023/956.</v>
      </c>
      <c r="G53" s="2623"/>
      <c r="H53" s="2623"/>
      <c r="I53" s="2623"/>
      <c r="J53" s="2623"/>
      <c r="K53" s="2623"/>
      <c r="L53" s="2623"/>
      <c r="M53" s="2623"/>
      <c r="N53" s="2623"/>
      <c r="O53" s="336"/>
      <c r="P53" s="302"/>
      <c r="Q53" s="343"/>
      <c r="R53" s="868"/>
      <c r="S53" s="343"/>
      <c r="T53" s="343"/>
      <c r="U53" s="343"/>
      <c r="V53" s="343"/>
      <c r="W53" s="343"/>
      <c r="X53" s="343"/>
      <c r="Y53" s="343"/>
      <c r="Z53" s="343"/>
      <c r="AA53" s="343"/>
    </row>
    <row r="54" spans="1:27" s="349" customFormat="1" ht="12.75" customHeight="1" x14ac:dyDescent="0.25">
      <c r="A54" s="694"/>
      <c r="B54" s="698"/>
      <c r="C54" s="698"/>
      <c r="D54" s="302"/>
      <c r="E54" s="2459" t="str">
        <f>Translations!$B$150</f>
        <v>Моля имайте предвид, че правилното въвеждане на данни тук е от съществено значение за всички по-нататъшни входни данни за подинсталациите.</v>
      </c>
      <c r="F54" s="2460"/>
      <c r="G54" s="2460"/>
      <c r="H54" s="2460"/>
      <c r="I54" s="2460"/>
      <c r="J54" s="2460"/>
      <c r="K54" s="2460"/>
      <c r="L54" s="2460"/>
      <c r="M54" s="2460"/>
      <c r="N54" s="2460"/>
      <c r="O54" s="336"/>
      <c r="P54" s="302"/>
      <c r="Q54" s="343"/>
      <c r="R54" s="868"/>
      <c r="S54" s="343"/>
      <c r="T54" s="343"/>
      <c r="U54" s="343"/>
      <c r="V54" s="343"/>
      <c r="W54" s="343"/>
      <c r="X54" s="343"/>
      <c r="Y54" s="343"/>
      <c r="Z54" s="343"/>
      <c r="AA54" s="343"/>
    </row>
    <row r="55" spans="1:27" s="349" customFormat="1" ht="5.15" customHeight="1" thickBot="1" x14ac:dyDescent="0.3">
      <c r="A55" s="694"/>
      <c r="B55" s="284"/>
      <c r="C55" s="284"/>
      <c r="D55" s="284"/>
      <c r="E55" s="284"/>
      <c r="F55" s="284"/>
      <c r="G55" s="284"/>
      <c r="H55" s="284"/>
      <c r="I55" s="284"/>
      <c r="J55" s="284"/>
      <c r="K55" s="284"/>
      <c r="L55" s="284"/>
      <c r="M55" s="336"/>
      <c r="N55" s="336"/>
      <c r="O55" s="336"/>
      <c r="P55" s="302"/>
      <c r="Q55" s="695"/>
      <c r="R55" s="868"/>
      <c r="S55" s="343"/>
      <c r="T55" s="343"/>
      <c r="U55" s="343"/>
      <c r="V55" s="343"/>
      <c r="W55" s="343"/>
      <c r="X55" s="343"/>
      <c r="Y55" s="343"/>
      <c r="Z55" s="343"/>
      <c r="AA55" s="343"/>
    </row>
    <row r="56" spans="1:27" s="349" customFormat="1" ht="38.9" customHeight="1" thickBot="1" x14ac:dyDescent="0.35">
      <c r="A56" s="694"/>
      <c r="B56" s="698"/>
      <c r="C56" s="698"/>
      <c r="D56" s="869" t="str">
        <f>Translations!$B$151</f>
        <v>№</v>
      </c>
      <c r="E56" s="2639" t="str">
        <f>Translations!$B$158</f>
        <v>Вид подинсталация</v>
      </c>
      <c r="F56" s="2640"/>
      <c r="G56" s="845" t="str">
        <f>Translations!$B$1280</f>
        <v>от значение? (електронна препратка)</v>
      </c>
      <c r="H56" s="845" t="str">
        <f>Translations!$B$1281</f>
        <v>от значение? (ръчно)</v>
      </c>
      <c r="I56" s="842" t="str">
        <f>Translations!$B$153</f>
        <v>Влизане в експлоатация</v>
      </c>
      <c r="J56" s="843" t="str">
        <f>Translations!$B$1278</f>
        <v>Дата на спиране на експлоатацията, ако е относимо</v>
      </c>
      <c r="K56" s="844" t="str">
        <f>Translations!$B$1272</f>
        <v>Причина за спиране на експлоатацията</v>
      </c>
      <c r="L56" s="870" t="str">
        <f>Translations!$B$154</f>
        <v>Има ли риск от ИВЕ?</v>
      </c>
      <c r="M56" s="845" t="str">
        <f>Translations!$B$1463</f>
        <v>В рамките на МКВЕГ?</v>
      </c>
      <c r="N56" s="698"/>
      <c r="O56" s="336"/>
      <c r="P56" s="302"/>
      <c r="Q56" s="871" t="s">
        <v>848</v>
      </c>
      <c r="R56" s="871" t="s">
        <v>289</v>
      </c>
      <c r="S56" s="871" t="str">
        <f>Translations!$B$934</f>
        <v>Единица мярка</v>
      </c>
      <c r="T56" s="871" t="s">
        <v>1874</v>
      </c>
      <c r="U56" s="848" t="s">
        <v>1872</v>
      </c>
      <c r="V56" s="849" t="s">
        <v>1972</v>
      </c>
      <c r="W56" s="727" t="s">
        <v>1973</v>
      </c>
      <c r="X56" s="727" t="s">
        <v>1974</v>
      </c>
      <c r="Y56" s="727" t="s">
        <v>1876</v>
      </c>
      <c r="Z56" s="727" t="s">
        <v>1877</v>
      </c>
      <c r="AA56" s="727" t="s">
        <v>1878</v>
      </c>
    </row>
    <row r="57" spans="1:27" s="349" customFormat="1" ht="12.75" customHeight="1" x14ac:dyDescent="0.25">
      <c r="A57" s="694"/>
      <c r="B57" s="698"/>
      <c r="C57" s="698"/>
      <c r="D57" s="850">
        <v>11</v>
      </c>
      <c r="E57" s="2607" t="str">
        <f t="shared" ref="E57:E66" si="13">INDEX(EUconst_FallBackListNames,D57-10)</f>
        <v>Подинсталация с топлинен показател (с риск от ИВЕ | извън МКВЕГ)</v>
      </c>
      <c r="F57" s="2659"/>
      <c r="G57" s="872" t="str">
        <f>IF(OR(CTRL_InputMethodNIMsvalues&lt;&gt;1,INDEX(c_NIMsSummary!$M$1208:$M$1548,MATCH($D57,c_NIMsSummary!$C$1208:$C$1548,0))=""),"",SUM(INDEX(c_NIMsSummary!$M$1208:$M$1548,MATCH($D57,c_NIMsSummary!$C$1208:$C$1548,0)+3))&gt;0)</f>
        <v/>
      </c>
      <c r="H57" s="174"/>
      <c r="I57" s="168"/>
      <c r="J57" s="169"/>
      <c r="K57" s="170"/>
      <c r="L57" s="873" t="b">
        <f t="shared" ref="L57:L66" si="14">INDEX(EUconst_FallBackListCLstatus,MATCH($E57,EUconst_FallBackListNames,0))</f>
        <v>1</v>
      </c>
      <c r="M57" s="873" t="b">
        <f t="shared" ref="M57:M66" si="15">INDEX(EUconst_FallBackListCBAMstatus,MATCH($E57,EUconst_FallBackListNames,0))</f>
        <v>0</v>
      </c>
      <c r="N57" s="773"/>
      <c r="O57" s="336"/>
      <c r="P57" s="181"/>
      <c r="Q57" s="874" t="str">
        <f t="shared" ref="Q57:Q66" si="16">IF(AND($H57="",$G57=""),EUconst_NA,IF(IF($H57="",IF($G57="","",$G57),$H57),INDEX(EUconst_FallBackListNumber,MATCH($E57,EUconst_FallBackListNames,0)),EUconst_NA))</f>
        <v>Не е приложимо</v>
      </c>
      <c r="R57" s="776" t="str">
        <f>IF(ISNUMBER(Q57),COUNT(Q$57:Q57)+MAX($R$27:$R$36),"")</f>
        <v/>
      </c>
      <c r="S57" s="874" t="str">
        <f t="shared" ref="S57:S66" si="17">INDEX(EUconst_FallBackListUnits,MATCH($E57,EUconst_FallBackListNames,0))</f>
        <v>TJ</v>
      </c>
      <c r="T57" s="874" t="str">
        <f>IF(H57="",IF(G57="","",G57),H57)</f>
        <v/>
      </c>
      <c r="U57" s="854" t="str">
        <f>IF(E57="",IF(G57="","",G57),E57)</f>
        <v>Подинсталация с топлинен показател (с риск от ИВЕ | извън МКВЕГ)</v>
      </c>
      <c r="V57" s="343"/>
      <c r="W57" s="855">
        <f>IF(OR(CTRL_InputMethodNIMsvalues=2,CNTR_Incumbent=FALSE),0,2)</f>
        <v>2</v>
      </c>
      <c r="X57" s="855">
        <f t="shared" ref="X57:X66" si="18">IF(AND(CNTR_Incumbent,CTRL_InputMethodNIMsvalues&lt;&gt;2,G57=TRUE),0,IF(AND(CNTR_Incumbent,CTRL_InputMethodNIMsvalues=1,G57&lt;&gt;""),1,2))</f>
        <v>2</v>
      </c>
      <c r="Y57" s="855">
        <f t="shared" ref="Y57:Y66" si="19">IF(CNTR_HasEntries_A_I,IF(AND(H57&lt;&gt;TRUE,T57&lt;&gt;TRUE),0,IF(AND(CNTR_Incumbent,H57=""),1,2)),2)</f>
        <v>2</v>
      </c>
      <c r="Z57" s="855">
        <f t="shared" ref="Z57:Z66" si="20">IF(CNTR_HasEntries_A_I,IF(AND(CNTR_Cessation,T57=TRUE),2,0),2)</f>
        <v>2</v>
      </c>
      <c r="AA57" s="875">
        <f t="shared" ref="AA57:AA66" si="21">Z57</f>
        <v>2</v>
      </c>
    </row>
    <row r="58" spans="1:27" s="349" customFormat="1" ht="12.75" customHeight="1" x14ac:dyDescent="0.25">
      <c r="A58" s="694"/>
      <c r="B58" s="698"/>
      <c r="C58" s="698"/>
      <c r="D58" s="876">
        <f t="shared" ref="D58:D61" si="22">D57+1</f>
        <v>12</v>
      </c>
      <c r="E58" s="877" t="str">
        <f t="shared" ref="E58:E60" si="23">INDEX(EUconst_FallBackListNames,D58-10)</f>
        <v>Подинсталация с топлинен показател (без риск от ИВЕ | извън МКВЕГ)</v>
      </c>
      <c r="F58" s="878"/>
      <c r="G58" s="872" t="str">
        <f>IF(OR(CTRL_InputMethodNIMsvalues&lt;&gt;1,INDEX(c_NIMsSummary!$M$1208:$M$1548,MATCH($D58,c_NIMsSummary!$C$1208:$C$1548,0))=""),"",SUM(INDEX(c_NIMsSummary!$M$1208:$M$1548,MATCH($D58,c_NIMsSummary!$C$1208:$C$1548,0)+3))&gt;0)</f>
        <v/>
      </c>
      <c r="H58" s="174"/>
      <c r="I58" s="168"/>
      <c r="J58" s="169"/>
      <c r="K58" s="170"/>
      <c r="L58" s="873" t="b">
        <f t="shared" si="14"/>
        <v>0</v>
      </c>
      <c r="M58" s="873" t="b">
        <f t="shared" si="15"/>
        <v>0</v>
      </c>
      <c r="N58" s="773"/>
      <c r="O58" s="336"/>
      <c r="P58" s="181"/>
      <c r="Q58" s="879" t="str">
        <f t="shared" si="16"/>
        <v>Не е приложимо</v>
      </c>
      <c r="R58" s="880" t="str">
        <f>IF(ISNUMBER(Q58),COUNT(Q$57:Q58)+MAX($R$27:$R$36),"")</f>
        <v/>
      </c>
      <c r="S58" s="879" t="str">
        <f t="shared" si="17"/>
        <v>TJ</v>
      </c>
      <c r="T58" s="879" t="str">
        <f t="shared" ref="T58:T60" si="24">IF(H58="",IF(G58="","",G58),H58)</f>
        <v/>
      </c>
      <c r="U58" s="881" t="str">
        <f t="shared" ref="U58:U60" si="25">IF(E58="",IF(G58="","",G58),E58)</f>
        <v>Подинсталация с топлинен показател (без риск от ИВЕ | извън МКВЕГ)</v>
      </c>
      <c r="V58" s="343"/>
      <c r="W58" s="855">
        <f>IF(OR(CTRL_InputMethodNIMsvalues=2,CNTR_Incumbent=FALSE),0,2)</f>
        <v>2</v>
      </c>
      <c r="X58" s="855">
        <f t="shared" ref="X58:X60" si="26">IF(AND(CNTR_Incumbent,CTRL_InputMethodNIMsvalues&lt;&gt;2,G58=TRUE),0,IF(AND(CNTR_Incumbent,CTRL_InputMethodNIMsvalues=1,G58&lt;&gt;""),1,2))</f>
        <v>2</v>
      </c>
      <c r="Y58" s="855">
        <f t="shared" ref="Y58:Y60" si="27">IF(CNTR_HasEntries_A_I,IF(AND(H58&lt;&gt;TRUE,T58&lt;&gt;TRUE),0,IF(AND(CNTR_Incumbent,H58=""),1,2)),2)</f>
        <v>2</v>
      </c>
      <c r="Z58" s="855">
        <f t="shared" ref="Z58:Z60" si="28">IF(CNTR_HasEntries_A_I,IF(AND(CNTR_Cessation,T58=TRUE),2,0),2)</f>
        <v>2</v>
      </c>
      <c r="AA58" s="875">
        <f t="shared" ref="AA58:AA60" si="29">Z58</f>
        <v>2</v>
      </c>
    </row>
    <row r="59" spans="1:27" s="349" customFormat="1" ht="12.75" customHeight="1" x14ac:dyDescent="0.25">
      <c r="A59" s="694"/>
      <c r="B59" s="698"/>
      <c r="C59" s="698"/>
      <c r="D59" s="876">
        <f t="shared" si="22"/>
        <v>13</v>
      </c>
      <c r="E59" s="877" t="str">
        <f t="shared" si="23"/>
        <v>Подинсталация с топлинен показател (с риск от ИВЕ | в рамките на МКВЕГ)</v>
      </c>
      <c r="F59" s="878"/>
      <c r="G59" s="872" t="str">
        <f>IF(OR(CTRL_InputMethodNIMsvalues&lt;&gt;1,INDEX(c_NIMsSummary!$M$1208:$M$1548,MATCH($D59,c_NIMsSummary!$C$1208:$C$1548,0))=""),"",SUM(INDEX(c_NIMsSummary!$M$1208:$M$1548,MATCH($D59,c_NIMsSummary!$C$1208:$C$1548,0)+3))&gt;0)</f>
        <v/>
      </c>
      <c r="H59" s="174"/>
      <c r="I59" s="168"/>
      <c r="J59" s="169"/>
      <c r="K59" s="170"/>
      <c r="L59" s="873" t="b">
        <f t="shared" si="14"/>
        <v>1</v>
      </c>
      <c r="M59" s="873" t="b">
        <f t="shared" si="15"/>
        <v>1</v>
      </c>
      <c r="N59" s="773"/>
      <c r="O59" s="336"/>
      <c r="P59" s="181"/>
      <c r="Q59" s="879" t="str">
        <f t="shared" si="16"/>
        <v>Не е приложимо</v>
      </c>
      <c r="R59" s="880" t="str">
        <f>IF(ISNUMBER(Q59),COUNT(Q$57:Q59)+MAX($R$27:$R$36),"")</f>
        <v/>
      </c>
      <c r="S59" s="879" t="str">
        <f t="shared" si="17"/>
        <v>TJ</v>
      </c>
      <c r="T59" s="879" t="str">
        <f t="shared" si="24"/>
        <v/>
      </c>
      <c r="U59" s="881" t="str">
        <f t="shared" si="25"/>
        <v>Подинсталация с топлинен показател (с риск от ИВЕ | в рамките на МКВЕГ)</v>
      </c>
      <c r="V59" s="343"/>
      <c r="W59" s="855">
        <f>IF(OR(CTRL_InputMethodNIMsvalues=2,CNTR_Incumbent=FALSE),0,2)</f>
        <v>2</v>
      </c>
      <c r="X59" s="855">
        <f t="shared" si="26"/>
        <v>2</v>
      </c>
      <c r="Y59" s="855">
        <f t="shared" si="27"/>
        <v>2</v>
      </c>
      <c r="Z59" s="855">
        <f t="shared" si="28"/>
        <v>2</v>
      </c>
      <c r="AA59" s="875">
        <f t="shared" si="29"/>
        <v>2</v>
      </c>
    </row>
    <row r="60" spans="1:27" s="349" customFormat="1" ht="12.75" customHeight="1" x14ac:dyDescent="0.25">
      <c r="A60" s="694"/>
      <c r="B60" s="698"/>
      <c r="C60" s="698"/>
      <c r="D60" s="876">
        <f t="shared" si="22"/>
        <v>14</v>
      </c>
      <c r="E60" s="877" t="str">
        <f t="shared" si="23"/>
        <v>Подинсталация на топлофикационна мрежа</v>
      </c>
      <c r="F60" s="878"/>
      <c r="G60" s="872" t="str">
        <f>IF(OR(CTRL_InputMethodNIMsvalues&lt;&gt;1,INDEX(c_NIMsSummary!$M$1208:$M$1548,MATCH($D60,c_NIMsSummary!$C$1208:$C$1548,0))=""),"",SUM(INDEX(c_NIMsSummary!$M$1208:$M$1548,MATCH($D60,c_NIMsSummary!$C$1208:$C$1548,0)+3))&gt;0)</f>
        <v/>
      </c>
      <c r="H60" s="174"/>
      <c r="I60" s="168"/>
      <c r="J60" s="169"/>
      <c r="K60" s="170"/>
      <c r="L60" s="873" t="b">
        <f t="shared" si="14"/>
        <v>0</v>
      </c>
      <c r="M60" s="873" t="b">
        <f t="shared" si="15"/>
        <v>0</v>
      </c>
      <c r="N60" s="773"/>
      <c r="O60" s="336"/>
      <c r="P60" s="181"/>
      <c r="Q60" s="879" t="str">
        <f t="shared" si="16"/>
        <v>Не е приложимо</v>
      </c>
      <c r="R60" s="880" t="str">
        <f>IF(ISNUMBER(Q60),COUNT(Q$57:Q60)+MAX($R$27:$R$36),"")</f>
        <v/>
      </c>
      <c r="S60" s="879" t="str">
        <f t="shared" si="17"/>
        <v>TJ</v>
      </c>
      <c r="T60" s="879" t="str">
        <f t="shared" si="24"/>
        <v/>
      </c>
      <c r="U60" s="881" t="str">
        <f t="shared" si="25"/>
        <v>Подинсталация на топлофикационна мрежа</v>
      </c>
      <c r="V60" s="343"/>
      <c r="W60" s="855">
        <f>IF(OR(CTRL_InputMethodNIMsvalues=2,CNTR_Incumbent=FALSE),0,2)</f>
        <v>2</v>
      </c>
      <c r="X60" s="855">
        <f t="shared" si="26"/>
        <v>2</v>
      </c>
      <c r="Y60" s="855">
        <f t="shared" si="27"/>
        <v>2</v>
      </c>
      <c r="Z60" s="855">
        <f t="shared" si="28"/>
        <v>2</v>
      </c>
      <c r="AA60" s="875">
        <f t="shared" si="29"/>
        <v>2</v>
      </c>
    </row>
    <row r="61" spans="1:27" s="349" customFormat="1" ht="12.75" customHeight="1" x14ac:dyDescent="0.25">
      <c r="A61" s="694"/>
      <c r="B61" s="698"/>
      <c r="C61" s="698"/>
      <c r="D61" s="857">
        <f t="shared" si="22"/>
        <v>15</v>
      </c>
      <c r="E61" s="2602" t="str">
        <f t="shared" si="13"/>
        <v>Подинсталация с горивен показател (с риск от ИВЕ | извън МКВЕГ)</v>
      </c>
      <c r="F61" s="2632"/>
      <c r="G61" s="882" t="str">
        <f>IF(OR(CTRL_InputMethodNIMsvalues&lt;&gt;1,INDEX(c_NIMsSummary!$M$1208:$M$1548,MATCH($D61,c_NIMsSummary!$C$1208:$C$1548,0))=""),"",SUM(INDEX(c_NIMsSummary!$M$1208:$M$1548,MATCH($D61,c_NIMsSummary!$C$1208:$C$1548,0)+3))&gt;0)</f>
        <v/>
      </c>
      <c r="H61" s="171"/>
      <c r="I61" s="162"/>
      <c r="J61" s="164"/>
      <c r="K61" s="166"/>
      <c r="L61" s="883" t="b">
        <f t="shared" si="14"/>
        <v>1</v>
      </c>
      <c r="M61" s="873" t="b">
        <f t="shared" si="15"/>
        <v>0</v>
      </c>
      <c r="N61" s="773"/>
      <c r="O61" s="336"/>
      <c r="P61" s="181"/>
      <c r="Q61" s="778" t="str">
        <f t="shared" si="16"/>
        <v>Не е приложимо</v>
      </c>
      <c r="R61" s="778" t="str">
        <f>IF(ISNUMBER(Q61),COUNT(Q$57:Q61)+MAX($R$27:$R$36),"")</f>
        <v/>
      </c>
      <c r="S61" s="778" t="str">
        <f t="shared" si="17"/>
        <v>TJ</v>
      </c>
      <c r="T61" s="778" t="str">
        <f t="shared" ref="T61:T66" si="30">IF(H61="",IF(G61="","",G61),H61)</f>
        <v/>
      </c>
      <c r="U61" s="861" t="str">
        <f t="shared" ref="U61:U66" si="31">IF(E61="",IF(G61="","",G61),E61)</f>
        <v>Подинсталация с горивен показател (с риск от ИВЕ | извън МКВЕГ)</v>
      </c>
      <c r="V61" s="343"/>
      <c r="W61" s="856">
        <f>W57</f>
        <v>2</v>
      </c>
      <c r="X61" s="856">
        <f t="shared" si="18"/>
        <v>2</v>
      </c>
      <c r="Y61" s="856">
        <f t="shared" si="19"/>
        <v>2</v>
      </c>
      <c r="Z61" s="856">
        <f t="shared" si="20"/>
        <v>2</v>
      </c>
      <c r="AA61" s="875">
        <f t="shared" si="21"/>
        <v>2</v>
      </c>
    </row>
    <row r="62" spans="1:27" s="349" customFormat="1" ht="12.75" customHeight="1" x14ac:dyDescent="0.25">
      <c r="A62" s="694"/>
      <c r="B62" s="698"/>
      <c r="C62" s="698"/>
      <c r="D62" s="857">
        <f>D61+1</f>
        <v>16</v>
      </c>
      <c r="E62" s="2602" t="str">
        <f t="shared" si="13"/>
        <v>Подинсталация с горивен показател (без риск от ИВЕ | извън МКВЕГ)</v>
      </c>
      <c r="F62" s="2632"/>
      <c r="G62" s="882" t="str">
        <f>IF(OR(CTRL_InputMethodNIMsvalues&lt;&gt;1,INDEX(c_NIMsSummary!$M$1208:$M$1548,MATCH($D62,c_NIMsSummary!$C$1208:$C$1548,0))=""),"",SUM(INDEX(c_NIMsSummary!$M$1208:$M$1548,MATCH($D62,c_NIMsSummary!$C$1208:$C$1548,0)+3))&gt;0)</f>
        <v/>
      </c>
      <c r="H62" s="171"/>
      <c r="I62" s="162"/>
      <c r="J62" s="164"/>
      <c r="K62" s="166"/>
      <c r="L62" s="883" t="b">
        <f t="shared" si="14"/>
        <v>0</v>
      </c>
      <c r="M62" s="873" t="b">
        <f t="shared" si="15"/>
        <v>0</v>
      </c>
      <c r="N62" s="773"/>
      <c r="O62" s="336"/>
      <c r="P62" s="181"/>
      <c r="Q62" s="778" t="str">
        <f t="shared" si="16"/>
        <v>Не е приложимо</v>
      </c>
      <c r="R62" s="778" t="str">
        <f>IF(ISNUMBER(Q62),COUNT(Q$57:Q62)+MAX($R$27:$R$36),"")</f>
        <v/>
      </c>
      <c r="S62" s="778" t="str">
        <f t="shared" si="17"/>
        <v>TJ</v>
      </c>
      <c r="T62" s="778" t="str">
        <f t="shared" si="30"/>
        <v/>
      </c>
      <c r="U62" s="861" t="str">
        <f t="shared" si="31"/>
        <v>Подинсталация с горивен показател (без риск от ИВЕ | извън МКВЕГ)</v>
      </c>
      <c r="V62" s="343"/>
      <c r="W62" s="856">
        <f t="shared" ref="W62:W66" si="32">W61</f>
        <v>2</v>
      </c>
      <c r="X62" s="856">
        <f t="shared" si="18"/>
        <v>2</v>
      </c>
      <c r="Y62" s="856">
        <f t="shared" si="19"/>
        <v>2</v>
      </c>
      <c r="Z62" s="856">
        <f t="shared" si="20"/>
        <v>2</v>
      </c>
      <c r="AA62" s="875">
        <f t="shared" si="21"/>
        <v>2</v>
      </c>
    </row>
    <row r="63" spans="1:27" s="349" customFormat="1" ht="12.75" customHeight="1" x14ac:dyDescent="0.25">
      <c r="A63" s="694"/>
      <c r="B63" s="698"/>
      <c r="C63" s="698"/>
      <c r="D63" s="857">
        <f>D62+1</f>
        <v>17</v>
      </c>
      <c r="E63" s="2602" t="str">
        <f t="shared" si="13"/>
        <v>Подинсталация с горивен показател (с риск от ИВЕ | в рамките на МКВЕГ)</v>
      </c>
      <c r="F63" s="2632"/>
      <c r="G63" s="882" t="str">
        <f>IF(OR(CTRL_InputMethodNIMsvalues&lt;&gt;1,INDEX(c_NIMsSummary!$M$1208:$M$1548,MATCH($D63,c_NIMsSummary!$C$1208:$C$1548,0))=""),"",SUM(INDEX(c_NIMsSummary!$M$1208:$M$1548,MATCH($D63,c_NIMsSummary!$C$1208:$C$1548,0)+3))&gt;0)</f>
        <v/>
      </c>
      <c r="H63" s="171"/>
      <c r="I63" s="162"/>
      <c r="J63" s="164"/>
      <c r="K63" s="166"/>
      <c r="L63" s="883" t="b">
        <f t="shared" si="14"/>
        <v>1</v>
      </c>
      <c r="M63" s="883" t="b">
        <f t="shared" si="15"/>
        <v>1</v>
      </c>
      <c r="N63" s="773"/>
      <c r="O63" s="336"/>
      <c r="P63" s="181"/>
      <c r="Q63" s="778" t="str">
        <f t="shared" si="16"/>
        <v>Не е приложимо</v>
      </c>
      <c r="R63" s="778" t="str">
        <f>IF(ISNUMBER(Q63),COUNT(Q$57:Q63)+MAX($R$27:$R$36),"")</f>
        <v/>
      </c>
      <c r="S63" s="778" t="str">
        <f t="shared" si="17"/>
        <v>TJ</v>
      </c>
      <c r="T63" s="778" t="str">
        <f t="shared" si="30"/>
        <v/>
      </c>
      <c r="U63" s="861" t="str">
        <f t="shared" si="31"/>
        <v>Подинсталация с горивен показател (с риск от ИВЕ | в рамките на МКВЕГ)</v>
      </c>
      <c r="V63" s="343"/>
      <c r="W63" s="856">
        <f t="shared" si="32"/>
        <v>2</v>
      </c>
      <c r="X63" s="856">
        <f t="shared" si="18"/>
        <v>2</v>
      </c>
      <c r="Y63" s="856">
        <f t="shared" si="19"/>
        <v>2</v>
      </c>
      <c r="Z63" s="856">
        <f t="shared" si="20"/>
        <v>2</v>
      </c>
      <c r="AA63" s="875">
        <f t="shared" si="21"/>
        <v>2</v>
      </c>
    </row>
    <row r="64" spans="1:27" s="349" customFormat="1" ht="12.75" customHeight="1" x14ac:dyDescent="0.25">
      <c r="A64" s="694"/>
      <c r="B64" s="698"/>
      <c r="C64" s="698"/>
      <c r="D64" s="857">
        <f>D63+1</f>
        <v>18</v>
      </c>
      <c r="E64" s="2602" t="str">
        <f t="shared" si="13"/>
        <v>Подинсталация с емисии от процеси (с риск от ИВЕ | извън МКВЕГ)</v>
      </c>
      <c r="F64" s="2632"/>
      <c r="G64" s="882" t="str">
        <f>IF(OR(CTRL_InputMethodNIMsvalues&lt;&gt;1,INDEX(c_NIMsSummary!$M$1208:$M$1548,MATCH($D64,c_NIMsSummary!$C$1208:$C$1548,0))=""),"",SUM(INDEX(c_NIMsSummary!$M$1208:$M$1548,MATCH($D64,c_NIMsSummary!$C$1208:$C$1548,0)+3))&gt;0)</f>
        <v/>
      </c>
      <c r="H64" s="171"/>
      <c r="I64" s="162"/>
      <c r="J64" s="164"/>
      <c r="K64" s="166"/>
      <c r="L64" s="883" t="b">
        <f t="shared" si="14"/>
        <v>1</v>
      </c>
      <c r="M64" s="883" t="b">
        <f t="shared" si="15"/>
        <v>0</v>
      </c>
      <c r="N64" s="773"/>
      <c r="O64" s="336"/>
      <c r="P64" s="181"/>
      <c r="Q64" s="778" t="str">
        <f t="shared" si="16"/>
        <v>Не е приложимо</v>
      </c>
      <c r="R64" s="778" t="str">
        <f>IF(ISNUMBER(Q64),COUNT(Q$57:Q64)+MAX($R$27:$R$36),"")</f>
        <v/>
      </c>
      <c r="S64" s="778" t="str">
        <f t="shared" si="17"/>
        <v>t CO2e</v>
      </c>
      <c r="T64" s="778" t="str">
        <f t="shared" si="30"/>
        <v/>
      </c>
      <c r="U64" s="861" t="str">
        <f t="shared" si="31"/>
        <v>Подинсталация с емисии от процеси (с риск от ИВЕ | извън МКВЕГ)</v>
      </c>
      <c r="V64" s="343"/>
      <c r="W64" s="856">
        <f t="shared" si="32"/>
        <v>2</v>
      </c>
      <c r="X64" s="856">
        <f t="shared" si="18"/>
        <v>2</v>
      </c>
      <c r="Y64" s="856">
        <f t="shared" si="19"/>
        <v>2</v>
      </c>
      <c r="Z64" s="856">
        <f t="shared" si="20"/>
        <v>2</v>
      </c>
      <c r="AA64" s="875">
        <f t="shared" si="21"/>
        <v>2</v>
      </c>
    </row>
    <row r="65" spans="1:27" s="349" customFormat="1" ht="12.75" customHeight="1" x14ac:dyDescent="0.25">
      <c r="A65" s="694"/>
      <c r="B65" s="698"/>
      <c r="C65" s="698"/>
      <c r="D65" s="857">
        <f>D64+1</f>
        <v>19</v>
      </c>
      <c r="E65" s="2602" t="str">
        <f t="shared" si="13"/>
        <v>Подинсталация с емисии от процеси (без риск от ИВЕ | извън МКВЕГ)</v>
      </c>
      <c r="F65" s="2632"/>
      <c r="G65" s="884" t="str">
        <f>IF(OR(CTRL_InputMethodNIMsvalues&lt;&gt;1,INDEX(c_NIMsSummary!$M$1208:$M$1548,MATCH($D65,c_NIMsSummary!$C$1208:$C$1548,0))=""),"",SUM(INDEX(c_NIMsSummary!$M$1208:$M$1548,MATCH($D65,c_NIMsSummary!$C$1208:$C$1548,0)+3))&gt;0)</f>
        <v/>
      </c>
      <c r="H65" s="172"/>
      <c r="I65" s="162"/>
      <c r="J65" s="164"/>
      <c r="K65" s="166"/>
      <c r="L65" s="883" t="b">
        <f t="shared" si="14"/>
        <v>0</v>
      </c>
      <c r="M65" s="883" t="b">
        <f t="shared" si="15"/>
        <v>0</v>
      </c>
      <c r="N65" s="773"/>
      <c r="O65" s="336"/>
      <c r="P65" s="181"/>
      <c r="Q65" s="778" t="str">
        <f t="shared" si="16"/>
        <v>Не е приложимо</v>
      </c>
      <c r="R65" s="778" t="str">
        <f>IF(ISNUMBER(Q65),COUNT(Q$57:Q65)+MAX($R$27:$R$36),"")</f>
        <v/>
      </c>
      <c r="S65" s="778" t="str">
        <f t="shared" si="17"/>
        <v>t CO2e</v>
      </c>
      <c r="T65" s="778" t="str">
        <f t="shared" si="30"/>
        <v/>
      </c>
      <c r="U65" s="861" t="str">
        <f t="shared" si="31"/>
        <v>Подинсталация с емисии от процеси (без риск от ИВЕ | извън МКВЕГ)</v>
      </c>
      <c r="V65" s="343"/>
      <c r="W65" s="856">
        <f t="shared" si="32"/>
        <v>2</v>
      </c>
      <c r="X65" s="856">
        <f t="shared" si="18"/>
        <v>2</v>
      </c>
      <c r="Y65" s="856">
        <f t="shared" si="19"/>
        <v>2</v>
      </c>
      <c r="Z65" s="856">
        <f t="shared" si="20"/>
        <v>2</v>
      </c>
      <c r="AA65" s="875">
        <f t="shared" si="21"/>
        <v>2</v>
      </c>
    </row>
    <row r="66" spans="1:27" s="349" customFormat="1" ht="13.5" customHeight="1" thickBot="1" x14ac:dyDescent="0.3">
      <c r="A66" s="694"/>
      <c r="B66" s="698"/>
      <c r="C66" s="698"/>
      <c r="D66" s="862">
        <f>D65+1</f>
        <v>20</v>
      </c>
      <c r="E66" s="2603" t="str">
        <f t="shared" si="13"/>
        <v>Подинсталация с емисии от процеси (с риск от ИВЕ | в рамките на МКВЕГ)</v>
      </c>
      <c r="F66" s="2660"/>
      <c r="G66" s="885" t="str">
        <f>IF(OR(CTRL_InputMethodNIMsvalues&lt;&gt;1,INDEX(c_NIMsSummary!$M$1208:$M$1548,MATCH($D66,c_NIMsSummary!$C$1208:$C$1548,0))=""),"",SUM(INDEX(c_NIMsSummary!$M$1208:$M$1548,MATCH($D66,c_NIMsSummary!$C$1208:$C$1548,0)+3))&gt;0)</f>
        <v/>
      </c>
      <c r="H66" s="173"/>
      <c r="I66" s="163"/>
      <c r="J66" s="165"/>
      <c r="K66" s="167"/>
      <c r="L66" s="886" t="b">
        <f t="shared" si="14"/>
        <v>1</v>
      </c>
      <c r="M66" s="886" t="b">
        <f t="shared" si="15"/>
        <v>1</v>
      </c>
      <c r="N66" s="773"/>
      <c r="O66" s="336"/>
      <c r="P66" s="181"/>
      <c r="Q66" s="780" t="str">
        <f t="shared" si="16"/>
        <v>Не е приложимо</v>
      </c>
      <c r="R66" s="780" t="str">
        <f>IF(ISNUMBER(Q66),COUNT(Q$57:Q66)+MAX($R$27:$R$36),"")</f>
        <v/>
      </c>
      <c r="S66" s="780" t="str">
        <f t="shared" si="17"/>
        <v>t CO2e</v>
      </c>
      <c r="T66" s="780" t="str">
        <f t="shared" si="30"/>
        <v/>
      </c>
      <c r="U66" s="866" t="str">
        <f t="shared" si="31"/>
        <v>Подинсталация с емисии от процеси (с риск от ИВЕ | в рамките на МКВЕГ)</v>
      </c>
      <c r="V66" s="343"/>
      <c r="W66" s="856">
        <f t="shared" si="32"/>
        <v>2</v>
      </c>
      <c r="X66" s="856">
        <f t="shared" si="18"/>
        <v>2</v>
      </c>
      <c r="Y66" s="856">
        <f t="shared" si="19"/>
        <v>2</v>
      </c>
      <c r="Z66" s="856">
        <f t="shared" si="20"/>
        <v>2</v>
      </c>
      <c r="AA66" s="875">
        <f t="shared" si="21"/>
        <v>2</v>
      </c>
    </row>
    <row r="67" spans="1:27" s="349" customFormat="1" x14ac:dyDescent="0.25">
      <c r="A67" s="694"/>
      <c r="B67" s="698"/>
      <c r="C67" s="698"/>
      <c r="D67" s="813"/>
      <c r="E67" s="2661" t="str">
        <f>IF(CNTR_HasEntries_A_I,IF(COUNTIF(CNTR_FallBackSubInstRelevant,"")&gt;0,EUconst_ERR_MissingFallBackEntry,""),"")</f>
        <v/>
      </c>
      <c r="F67" s="2662"/>
      <c r="G67" s="2662"/>
      <c r="H67" s="2662"/>
      <c r="I67" s="2662"/>
      <c r="J67" s="2662"/>
      <c r="K67" s="2663"/>
      <c r="L67" s="698"/>
      <c r="M67" s="698"/>
      <c r="N67" s="698"/>
      <c r="O67" s="336"/>
      <c r="P67" s="302"/>
      <c r="Q67" s="343"/>
      <c r="R67" s="343"/>
      <c r="S67" s="343"/>
      <c r="T67" s="343"/>
      <c r="U67" s="343"/>
      <c r="V67" s="343"/>
      <c r="W67" s="343"/>
      <c r="X67" s="343"/>
      <c r="Y67" s="343"/>
      <c r="Z67" s="343"/>
      <c r="AA67" s="343"/>
    </row>
    <row r="68" spans="1:27" s="349" customFormat="1" ht="5.15" customHeight="1" x14ac:dyDescent="0.25">
      <c r="A68" s="694"/>
      <c r="B68" s="698"/>
      <c r="C68" s="698"/>
      <c r="D68" s="698"/>
      <c r="E68" s="698"/>
      <c r="F68" s="698"/>
      <c r="G68" s="698"/>
      <c r="H68" s="698"/>
      <c r="I68" s="698"/>
      <c r="J68" s="698"/>
      <c r="K68" s="698"/>
      <c r="L68" s="698"/>
      <c r="M68" s="698"/>
      <c r="N68" s="698"/>
      <c r="O68" s="336"/>
      <c r="P68" s="302"/>
      <c r="Q68" s="343"/>
      <c r="R68" s="343"/>
      <c r="S68" s="343"/>
      <c r="T68" s="343"/>
      <c r="U68" s="343"/>
      <c r="V68" s="343"/>
      <c r="W68" s="343"/>
      <c r="X68" s="343"/>
      <c r="Y68" s="343"/>
      <c r="Z68" s="343"/>
      <c r="AA68" s="343"/>
    </row>
    <row r="69" spans="1:27" s="349" customFormat="1" x14ac:dyDescent="0.25">
      <c r="A69" s="694"/>
      <c r="B69" s="698"/>
      <c r="C69" s="698"/>
      <c r="D69" s="2617" t="str">
        <f>D39</f>
        <v/>
      </c>
      <c r="E69" s="2618"/>
      <c r="F69" s="2618"/>
      <c r="G69" s="2618"/>
      <c r="H69" s="2618"/>
      <c r="I69" s="2618"/>
      <c r="J69" s="2618"/>
      <c r="K69" s="2618"/>
      <c r="L69" s="2618"/>
      <c r="M69" s="2618"/>
      <c r="N69" s="2619"/>
      <c r="O69" s="336"/>
      <c r="P69" s="302"/>
      <c r="Q69" s="343"/>
      <c r="R69" s="343"/>
      <c r="S69" s="343"/>
      <c r="T69" s="343"/>
      <c r="U69" s="343"/>
      <c r="V69" s="343"/>
      <c r="W69" s="343"/>
      <c r="X69" s="343"/>
      <c r="Y69" s="343"/>
      <c r="Z69" s="343"/>
      <c r="AA69" s="343"/>
    </row>
    <row r="70" spans="1:27" s="349" customFormat="1" x14ac:dyDescent="0.25">
      <c r="A70" s="729"/>
      <c r="B70" s="698"/>
      <c r="C70" s="698"/>
      <c r="D70" s="698"/>
      <c r="E70" s="698"/>
      <c r="F70" s="698"/>
      <c r="G70" s="698"/>
      <c r="H70" s="698"/>
      <c r="I70" s="698"/>
      <c r="J70" s="698"/>
      <c r="K70" s="698"/>
      <c r="L70" s="698"/>
      <c r="M70" s="698"/>
      <c r="N70" s="698"/>
      <c r="O70" s="336"/>
      <c r="P70" s="302"/>
      <c r="Q70" s="695"/>
      <c r="R70" s="343"/>
      <c r="S70" s="343"/>
      <c r="T70" s="343"/>
      <c r="U70" s="343"/>
      <c r="V70" s="343"/>
      <c r="W70" s="343"/>
      <c r="X70" s="343"/>
      <c r="Y70" s="343"/>
      <c r="Z70" s="343"/>
      <c r="AA70" s="343"/>
    </row>
    <row r="71" spans="1:27" s="349" customFormat="1" ht="15" customHeight="1" x14ac:dyDescent="0.3">
      <c r="A71" s="694"/>
      <c r="B71" s="698"/>
      <c r="C71" s="357">
        <v>3</v>
      </c>
      <c r="D71" s="2449" t="str">
        <f>Translations!$B$1452</f>
        <v>Обвързаност с условия 3: + 30 % за топлофикационна мрежа</v>
      </c>
      <c r="E71" s="2249"/>
      <c r="F71" s="2249"/>
      <c r="G71" s="2249"/>
      <c r="H71" s="2249"/>
      <c r="I71" s="2249"/>
      <c r="J71" s="2249"/>
      <c r="K71" s="2249"/>
      <c r="L71" s="2249"/>
      <c r="M71" s="2249"/>
      <c r="N71" s="2249"/>
      <c r="O71" s="336"/>
      <c r="P71" s="302"/>
      <c r="Q71" s="695"/>
      <c r="R71" s="343"/>
      <c r="S71" s="343"/>
      <c r="T71" s="343"/>
      <c r="U71" s="343"/>
      <c r="V71" s="343"/>
      <c r="W71" s="343"/>
      <c r="X71" s="343"/>
      <c r="Y71" s="343"/>
      <c r="Z71" s="343"/>
      <c r="AA71" s="343"/>
    </row>
    <row r="72" spans="1:27" s="349" customFormat="1" ht="25.5" customHeight="1" x14ac:dyDescent="0.25">
      <c r="A72" s="694"/>
      <c r="B72" s="698"/>
      <c r="C72" s="698"/>
      <c r="D72" s="728"/>
      <c r="E72" s="2433" t="str">
        <f>Translations!$B$1453</f>
        <v>В съответствие с член 22б, параграф 3 от ПБР инсталацията или топлофикационното дружество, намиращи се в държава членка, която отговаря на критериите, посочени в член 10б, параграф 4, втора алинея от Директивата за СТЕ, може да подаде заявление за допълнителни 30 % безплатни квоти за подинсталацията на топлофикационна мрежа, ако са изпълнени условията, посочени в член 22б, параграф 3, букви а)—е).</v>
      </c>
      <c r="F72" s="2433"/>
      <c r="G72" s="2433"/>
      <c r="H72" s="2433"/>
      <c r="I72" s="2433"/>
      <c r="J72" s="2433"/>
      <c r="K72" s="2433"/>
      <c r="L72" s="2433"/>
      <c r="M72" s="2433"/>
      <c r="N72" s="2433"/>
      <c r="O72" s="336"/>
      <c r="P72" s="302"/>
      <c r="Q72" s="695"/>
      <c r="R72" s="343"/>
      <c r="S72" s="343"/>
      <c r="T72" s="343"/>
      <c r="U72" s="343"/>
      <c r="V72" s="343"/>
      <c r="W72" s="343"/>
      <c r="X72" s="343"/>
      <c r="Y72" s="343"/>
      <c r="Z72" s="343"/>
      <c r="AA72" s="343"/>
    </row>
    <row r="73" spans="1:27" s="349" customFormat="1" ht="25.5" customHeight="1" x14ac:dyDescent="0.25">
      <c r="A73" s="694"/>
      <c r="B73" s="698"/>
      <c r="C73" s="698"/>
      <c r="D73" s="302"/>
      <c r="E73" s="2433" t="str">
        <f>Translations!$B$1464</f>
        <v>Моля, изберете „ВЯРНО“, ако са изпълнени всички условия, посочени в член 3г от ALC-R, и могат да бъдат издадени допълнителните 30 %. За допълнителни насоки, моля, направете справка с Ръководство № 11, по-специално раздел 2.4 от него.</v>
      </c>
      <c r="F73" s="2433"/>
      <c r="G73" s="2433"/>
      <c r="H73" s="2433"/>
      <c r="I73" s="2433"/>
      <c r="J73" s="2433"/>
      <c r="K73" s="2433"/>
      <c r="L73" s="2433"/>
      <c r="M73" s="2433"/>
      <c r="N73" s="2433"/>
      <c r="O73" s="336"/>
      <c r="P73" s="302"/>
      <c r="Q73" s="695"/>
      <c r="R73" s="343"/>
      <c r="S73" s="343"/>
      <c r="T73" s="343"/>
      <c r="U73" s="343"/>
      <c r="V73" s="343"/>
      <c r="W73" s="343"/>
      <c r="X73" s="343"/>
      <c r="Y73" s="343"/>
      <c r="Z73" s="343"/>
      <c r="AA73" s="343"/>
    </row>
    <row r="74" spans="1:27" s="349" customFormat="1" ht="5.15" customHeight="1" x14ac:dyDescent="0.25">
      <c r="A74" s="694"/>
      <c r="B74" s="698"/>
      <c r="C74" s="698"/>
      <c r="D74" s="302"/>
      <c r="E74" s="302"/>
      <c r="F74" s="302"/>
      <c r="G74" s="302"/>
      <c r="H74" s="302"/>
      <c r="I74" s="302"/>
      <c r="J74" s="302"/>
      <c r="K74" s="302"/>
      <c r="L74" s="302"/>
      <c r="M74" s="302"/>
      <c r="N74" s="302"/>
      <c r="O74" s="336"/>
      <c r="P74" s="302"/>
      <c r="Q74" s="695"/>
      <c r="R74" s="343"/>
      <c r="S74" s="343"/>
      <c r="T74" s="343"/>
      <c r="U74" s="343"/>
      <c r="V74" s="343"/>
      <c r="W74" s="343"/>
      <c r="X74" s="343"/>
      <c r="Y74" s="343"/>
      <c r="Z74" s="343"/>
      <c r="AA74" s="343"/>
    </row>
    <row r="75" spans="1:27" s="349" customFormat="1" x14ac:dyDescent="0.25">
      <c r="A75" s="694"/>
      <c r="B75" s="698"/>
      <c r="C75" s="698"/>
      <c r="D75" s="302"/>
      <c r="E75" s="302"/>
      <c r="F75" s="302"/>
      <c r="G75" s="302"/>
      <c r="H75" s="302"/>
      <c r="I75" s="302"/>
      <c r="J75" s="302"/>
      <c r="K75" s="302"/>
      <c r="L75" s="2535"/>
      <c r="M75" s="2535"/>
      <c r="N75" s="2535"/>
      <c r="O75" s="336"/>
      <c r="P75" s="181"/>
      <c r="Q75" s="695"/>
      <c r="R75" s="343"/>
      <c r="S75" s="711" t="s">
        <v>2190</v>
      </c>
      <c r="T75" s="716" t="b">
        <f>AND(CNTR_HasEntries_A_I,OR(T60=FALSE,COUNTIF(EUconst_MSDHConditionalityList,A_InstallationData!J53)=0))</f>
        <v>0</v>
      </c>
      <c r="U75" s="343"/>
      <c r="V75" s="343"/>
      <c r="W75" s="343"/>
      <c r="X75" s="343"/>
      <c r="Y75" s="887" t="b">
        <f>OR(AND(CNTR_HasEntries_A_I,X76&gt;CNTR_ReportingYear),$T75)</f>
        <v>0</v>
      </c>
      <c r="Z75" s="343"/>
      <c r="AA75" s="343"/>
    </row>
    <row r="76" spans="1:27" s="349" customFormat="1" hidden="1" x14ac:dyDescent="0.25">
      <c r="A76" s="729" t="s">
        <v>312</v>
      </c>
      <c r="B76" s="698"/>
      <c r="C76" s="698"/>
      <c r="D76" s="302"/>
      <c r="E76" s="284"/>
      <c r="F76" s="284"/>
      <c r="G76" s="698"/>
      <c r="H76" s="698"/>
      <c r="I76" s="888"/>
      <c r="J76" s="765" t="b">
        <f>IF($L75="",FALSE,$L75)</f>
        <v>0</v>
      </c>
      <c r="K76" s="765" t="b">
        <f t="shared" ref="K76:N76" si="33">IF($L75="",FALSE,$L75)</f>
        <v>0</v>
      </c>
      <c r="L76" s="765" t="b">
        <f t="shared" si="33"/>
        <v>0</v>
      </c>
      <c r="M76" s="765" t="b">
        <f t="shared" si="33"/>
        <v>0</v>
      </c>
      <c r="N76" s="765" t="b">
        <f t="shared" si="33"/>
        <v>0</v>
      </c>
      <c r="O76" s="336"/>
      <c r="P76" s="302"/>
      <c r="Q76" s="727" t="s">
        <v>2194</v>
      </c>
      <c r="R76" s="343"/>
      <c r="S76" s="343"/>
      <c r="T76" s="343"/>
      <c r="U76" s="343"/>
      <c r="V76" s="716">
        <f>A_InstallationData!J412</f>
        <v>2026</v>
      </c>
      <c r="W76" s="716">
        <f>A_InstallationData!K412</f>
        <v>2027</v>
      </c>
      <c r="X76" s="716">
        <f>A_InstallationData!L412</f>
        <v>2028</v>
      </c>
      <c r="Y76" s="716">
        <f>A_InstallationData!M412</f>
        <v>2029</v>
      </c>
      <c r="Z76" s="716">
        <f>A_InstallationData!N412</f>
        <v>2030</v>
      </c>
      <c r="AA76" s="343"/>
    </row>
    <row r="77" spans="1:27" s="349" customFormat="1" x14ac:dyDescent="0.25">
      <c r="A77" s="729"/>
      <c r="B77" s="698"/>
      <c r="C77" s="698"/>
      <c r="D77" s="698"/>
      <c r="E77" s="698"/>
      <c r="F77" s="698"/>
      <c r="G77" s="698"/>
      <c r="H77" s="698"/>
      <c r="I77" s="698"/>
      <c r="J77" s="302"/>
      <c r="K77" s="698"/>
      <c r="L77" s="698"/>
      <c r="M77" s="698"/>
      <c r="N77" s="698"/>
      <c r="O77" s="336"/>
      <c r="P77" s="302"/>
      <c r="Q77" s="695"/>
      <c r="R77" s="343"/>
      <c r="S77" s="343"/>
      <c r="T77" s="343"/>
      <c r="U77" s="343"/>
      <c r="V77" s="343"/>
      <c r="W77" s="343"/>
      <c r="X77" s="343"/>
      <c r="Y77" s="343"/>
      <c r="Z77" s="343"/>
      <c r="AA77" s="343"/>
    </row>
    <row r="78" spans="1:27" s="349" customFormat="1" ht="15" customHeight="1" x14ac:dyDescent="0.3">
      <c r="A78" s="694"/>
      <c r="B78" s="698"/>
      <c r="C78" s="357">
        <v>4</v>
      </c>
      <c r="D78" s="2449" t="str">
        <f>Translations!$B$1455</f>
        <v>Обвързаност с условия 4: Инсталация, която е под средната стойност на 10-те % най-ефективни инсталации</v>
      </c>
      <c r="E78" s="2249"/>
      <c r="F78" s="2249"/>
      <c r="G78" s="2249"/>
      <c r="H78" s="2249"/>
      <c r="I78" s="2249"/>
      <c r="J78" s="2249"/>
      <c r="K78" s="2249"/>
      <c r="L78" s="2249"/>
      <c r="M78" s="2249"/>
      <c r="N78" s="2249"/>
      <c r="O78" s="336"/>
      <c r="P78" s="302"/>
      <c r="Q78" s="695"/>
      <c r="R78" s="343"/>
      <c r="S78" s="343"/>
      <c r="T78" s="343"/>
      <c r="U78" s="343"/>
      <c r="V78" s="343"/>
      <c r="W78" s="343"/>
      <c r="X78" s="343"/>
      <c r="Y78" s="343"/>
      <c r="Z78" s="343"/>
      <c r="AA78" s="343"/>
    </row>
    <row r="79" spans="1:27" s="349" customFormat="1" ht="38.25" customHeight="1" x14ac:dyDescent="0.25">
      <c r="A79" s="694"/>
      <c r="B79" s="698"/>
      <c r="C79" s="698"/>
      <c r="D79" s="728"/>
      <c r="E79" s="2433" t="str">
        <f>Translations!$B$1465</f>
        <v>В колона И посочете дали съответните подинсталации са имали нива на емисии на парникови газове под средната стойност за най-ефективните 10 % подинсталации за съответните показатели през периода 2021—2022 г. Имайте предвид, че на този въпрос може да се отговори едва след като бъдат определени актуализираните стойности на показателите. Дотогава тази колона е защрихована в сиво. Поради това следвайте инструкциите на вашия компетентен орган след първоначалното представяне на настоящия доклад с базови данни.</v>
      </c>
      <c r="F79" s="2497"/>
      <c r="G79" s="2497"/>
      <c r="H79" s="2497"/>
      <c r="I79" s="2497"/>
      <c r="J79" s="2497"/>
      <c r="K79" s="2497"/>
      <c r="L79" s="2497"/>
      <c r="M79" s="2497"/>
      <c r="N79" s="2497"/>
      <c r="O79" s="336"/>
      <c r="P79" s="302"/>
      <c r="Q79" s="695"/>
      <c r="R79" s="343"/>
      <c r="S79" s="343"/>
      <c r="T79" s="343"/>
      <c r="U79" s="343"/>
      <c r="V79" s="343"/>
      <c r="W79" s="343"/>
      <c r="X79" s="343"/>
      <c r="Y79" s="343"/>
      <c r="Z79" s="343"/>
      <c r="AA79" s="343"/>
    </row>
    <row r="80" spans="1:27" s="349" customFormat="1" ht="5.15" customHeight="1" x14ac:dyDescent="0.25">
      <c r="A80" s="694"/>
      <c r="B80" s="698"/>
      <c r="C80" s="698"/>
      <c r="D80" s="302"/>
      <c r="E80" s="769"/>
      <c r="F80" s="769"/>
      <c r="G80" s="769"/>
      <c r="H80" s="769"/>
      <c r="I80" s="769"/>
      <c r="J80" s="769"/>
      <c r="K80" s="769"/>
      <c r="L80" s="769"/>
      <c r="M80" s="769"/>
      <c r="N80" s="769"/>
      <c r="O80" s="336"/>
      <c r="P80" s="302"/>
      <c r="Q80" s="695"/>
      <c r="R80" s="343"/>
      <c r="S80" s="343"/>
      <c r="T80" s="343"/>
      <c r="U80" s="343"/>
      <c r="V80" s="343"/>
      <c r="W80" s="343"/>
      <c r="X80" s="343"/>
      <c r="Y80" s="343"/>
      <c r="Z80" s="343"/>
      <c r="AA80" s="343"/>
    </row>
    <row r="81" spans="1:27" s="349" customFormat="1" x14ac:dyDescent="0.25">
      <c r="A81" s="694"/>
      <c r="B81" s="698"/>
      <c r="C81" s="698"/>
      <c r="D81" s="302"/>
      <c r="E81" s="769"/>
      <c r="F81" s="769"/>
      <c r="G81" s="769"/>
      <c r="H81" s="769"/>
      <c r="I81" s="769"/>
      <c r="J81" s="769"/>
      <c r="K81" s="769"/>
      <c r="L81" s="2437" t="str">
        <f>IF(CTRL_InputMethodNIMsvalues&lt;&gt;1,"",COUNTIF(c_NIMsSummary!N1588:N1604,TRUE)&gt;0)</f>
        <v/>
      </c>
      <c r="M81" s="2437"/>
      <c r="N81" s="2437"/>
      <c r="O81" s="336"/>
      <c r="Q81" s="343"/>
      <c r="R81" s="343"/>
      <c r="S81" s="343"/>
      <c r="T81" s="343"/>
      <c r="U81" s="343"/>
      <c r="V81" s="343"/>
      <c r="W81" s="343"/>
      <c r="X81" s="343"/>
      <c r="Y81" s="716" t="b">
        <f>OR(CNTR_Incumbent=FALSE,CTRL_InputMethodNIMsvalues=2)</f>
        <v>0</v>
      </c>
      <c r="Z81" s="343"/>
      <c r="AA81" s="343"/>
    </row>
    <row r="82" spans="1:27" s="349" customFormat="1" x14ac:dyDescent="0.25">
      <c r="A82" s="694"/>
      <c r="B82" s="698"/>
      <c r="C82" s="698"/>
      <c r="D82" s="302"/>
      <c r="E82" s="769"/>
      <c r="F82" s="769"/>
      <c r="G82" s="769"/>
      <c r="H82" s="769"/>
      <c r="I82" s="769"/>
      <c r="J82" s="769"/>
      <c r="K82" s="769"/>
      <c r="L82" s="2656"/>
      <c r="M82" s="2657"/>
      <c r="N82" s="2658"/>
      <c r="O82" s="336"/>
      <c r="P82" s="181"/>
      <c r="Q82" s="343"/>
      <c r="R82" s="343"/>
      <c r="S82" s="343"/>
      <c r="T82" s="343"/>
      <c r="U82" s="343"/>
      <c r="V82" s="343"/>
      <c r="W82" s="343"/>
      <c r="X82" s="716" t="b">
        <f>AND(CNTR_HasEntries_A_I,COUNTA(U27:U36)-COUNTBLANK(U27:U36)=0)</f>
        <v>0</v>
      </c>
      <c r="Y82" s="716" t="b">
        <f>OR(CTRL_InputMethodNIMsvalues=1,X82)</f>
        <v>0</v>
      </c>
      <c r="Z82" s="343"/>
      <c r="AA82" s="343"/>
    </row>
    <row r="83" spans="1:27" s="349" customFormat="1" x14ac:dyDescent="0.25">
      <c r="A83" s="694"/>
      <c r="B83" s="698"/>
      <c r="C83" s="698"/>
      <c r="D83" s="302"/>
      <c r="E83" s="769"/>
      <c r="F83" s="769"/>
      <c r="G83" s="769"/>
      <c r="H83" s="769"/>
      <c r="I83" s="769"/>
      <c r="J83" s="769"/>
      <c r="K83" s="769"/>
      <c r="L83" s="2524" t="str">
        <f>IF(X82,FALSE,IF(L82="",L81,L82))</f>
        <v/>
      </c>
      <c r="M83" s="2524"/>
      <c r="N83" s="2524"/>
      <c r="O83" s="336"/>
      <c r="P83" s="302"/>
      <c r="Q83" s="727" t="s">
        <v>2195</v>
      </c>
      <c r="R83" s="343"/>
      <c r="S83" s="750"/>
      <c r="T83" s="343"/>
      <c r="U83" s="343"/>
      <c r="V83" s="343"/>
      <c r="W83" s="343"/>
      <c r="X83" s="343"/>
      <c r="Y83" s="343"/>
      <c r="Z83" s="343"/>
      <c r="AA83" s="343"/>
    </row>
    <row r="84" spans="1:27" s="349" customFormat="1" x14ac:dyDescent="0.25">
      <c r="A84" s="694"/>
      <c r="B84" s="698"/>
      <c r="C84" s="698"/>
      <c r="D84" s="698"/>
      <c r="E84" s="698"/>
      <c r="F84" s="698"/>
      <c r="G84" s="698"/>
      <c r="H84" s="698"/>
      <c r="I84" s="698"/>
      <c r="J84" s="698"/>
      <c r="K84" s="698"/>
      <c r="L84" s="698"/>
      <c r="M84" s="698"/>
      <c r="N84" s="698"/>
      <c r="O84" s="336"/>
      <c r="P84" s="302"/>
      <c r="Q84" s="695"/>
      <c r="R84" s="343"/>
      <c r="S84" s="343"/>
      <c r="T84" s="343"/>
      <c r="U84" s="343"/>
      <c r="V84" s="343"/>
      <c r="W84" s="343"/>
      <c r="X84" s="343"/>
      <c r="Y84" s="343"/>
      <c r="Z84" s="343"/>
      <c r="AA84" s="343"/>
    </row>
    <row r="85" spans="1:27" s="349" customFormat="1" ht="15.5" x14ac:dyDescent="0.35">
      <c r="A85" s="729"/>
      <c r="B85" s="284"/>
      <c r="C85" s="327" t="s">
        <v>900</v>
      </c>
      <c r="D85" s="2245" t="str">
        <f>Translations!$B$1282</f>
        <v>Първоначално разпределение</v>
      </c>
      <c r="E85" s="2245"/>
      <c r="F85" s="2245"/>
      <c r="G85" s="2245"/>
      <c r="H85" s="2245"/>
      <c r="I85" s="2245"/>
      <c r="J85" s="2245"/>
      <c r="K85" s="2245"/>
      <c r="L85" s="2245"/>
      <c r="M85" s="2245"/>
      <c r="N85" s="2245"/>
      <c r="O85" s="336"/>
      <c r="P85" s="302"/>
      <c r="Q85" s="695"/>
      <c r="R85" s="343"/>
      <c r="S85" s="343"/>
      <c r="T85" s="343"/>
      <c r="U85" s="343"/>
      <c r="V85" s="343"/>
      <c r="W85" s="343"/>
      <c r="X85" s="343"/>
      <c r="Y85" s="343"/>
      <c r="Z85" s="343"/>
      <c r="AA85" s="343"/>
    </row>
    <row r="86" spans="1:27" s="364" customFormat="1" ht="5.15" customHeight="1" x14ac:dyDescent="0.3">
      <c r="A86" s="729"/>
      <c r="B86" s="284"/>
      <c r="C86" s="284"/>
      <c r="D86" s="302"/>
      <c r="E86" s="2459"/>
      <c r="F86" s="2460"/>
      <c r="G86" s="2460"/>
      <c r="H86" s="2460"/>
      <c r="I86" s="2460"/>
      <c r="J86" s="2460"/>
      <c r="K86" s="2460"/>
      <c r="L86" s="2460"/>
      <c r="M86" s="2460"/>
      <c r="N86" s="2460"/>
      <c r="O86" s="336"/>
      <c r="P86" s="302"/>
      <c r="Q86" s="343"/>
      <c r="R86" s="343"/>
      <c r="S86" s="889"/>
      <c r="T86" s="343"/>
      <c r="U86" s="343"/>
      <c r="V86" s="343"/>
      <c r="W86" s="343"/>
      <c r="X86" s="343"/>
      <c r="Y86" s="343"/>
      <c r="Z86" s="711"/>
      <c r="AA86" s="711"/>
    </row>
    <row r="87" spans="1:27" s="349" customFormat="1" ht="13" x14ac:dyDescent="0.25">
      <c r="A87" s="729"/>
      <c r="B87" s="698"/>
      <c r="C87" s="698"/>
      <c r="D87" s="724" t="s">
        <v>408</v>
      </c>
      <c r="E87" s="2226" t="str">
        <f>Translations!$B$1283</f>
        <v>Първоначално разпределение от файла с доклада с базови данни за НМИ</v>
      </c>
      <c r="F87" s="2249"/>
      <c r="G87" s="2249"/>
      <c r="H87" s="2249"/>
      <c r="I87" s="2249"/>
      <c r="J87" s="2249"/>
      <c r="K87" s="2249"/>
      <c r="L87" s="2249"/>
      <c r="M87" s="2249"/>
      <c r="N87" s="2249"/>
      <c r="O87" s="336"/>
      <c r="P87" s="302"/>
      <c r="Q87" s="343"/>
      <c r="R87" s="343"/>
      <c r="S87" s="343"/>
      <c r="T87" s="343"/>
      <c r="U87" s="343"/>
      <c r="V87" s="343"/>
      <c r="W87" s="343"/>
      <c r="X87" s="343"/>
      <c r="Y87" s="343"/>
      <c r="Z87" s="343"/>
      <c r="AA87" s="343"/>
    </row>
    <row r="88" spans="1:27" s="349" customFormat="1" x14ac:dyDescent="0.25">
      <c r="A88" s="729"/>
      <c r="B88" s="698"/>
      <c r="C88" s="698"/>
      <c r="D88" s="301"/>
      <c r="E88" s="2293" t="str">
        <f>Translations!$B$1256</f>
        <v>Имайте предвид, че в този раздел не следва да се въвеждат никакви данни. В зависимост от Вашия избор в раздел А.II този раздел или ще бъде попълнен автоматично, или няма да е от значение.</v>
      </c>
      <c r="F88" s="2240"/>
      <c r="G88" s="2240"/>
      <c r="H88" s="2240"/>
      <c r="I88" s="2240"/>
      <c r="J88" s="2240"/>
      <c r="K88" s="2240"/>
      <c r="L88" s="2240"/>
      <c r="M88" s="2240"/>
      <c r="N88" s="2240"/>
      <c r="O88" s="336"/>
      <c r="P88" s="302"/>
      <c r="Q88" s="343"/>
      <c r="R88" s="343"/>
      <c r="S88" s="343"/>
      <c r="T88" s="343"/>
      <c r="U88" s="343"/>
      <c r="V88" s="343"/>
      <c r="W88" s="343"/>
      <c r="X88" s="343"/>
      <c r="Y88" s="343"/>
      <c r="Z88" s="343"/>
      <c r="AA88" s="343"/>
    </row>
    <row r="89" spans="1:27" s="349" customFormat="1" ht="25.5" customHeight="1" x14ac:dyDescent="0.3">
      <c r="A89" s="729"/>
      <c r="B89" s="698"/>
      <c r="C89" s="698"/>
      <c r="D89" s="2601" t="str">
        <f>Translations!$B$151</f>
        <v>№</v>
      </c>
      <c r="E89" s="2599" t="str">
        <f>Translations!$B$152</f>
        <v>Вид продукт</v>
      </c>
      <c r="F89" s="2600"/>
      <c r="G89" s="2600"/>
      <c r="H89" s="2601"/>
      <c r="I89" s="891" t="str">
        <f>Translations!$B$1284</f>
        <v>HAL</v>
      </c>
      <c r="J89" s="891" t="str">
        <f>Translations!$B$949</f>
        <v>топл. ен. извън СТЕ</v>
      </c>
      <c r="K89" s="891" t="str">
        <f>Translations!$B$1285</f>
        <v>Отпадни газове, изгорени във факел</v>
      </c>
      <c r="L89" s="891"/>
      <c r="M89" s="891" t="s">
        <v>1892</v>
      </c>
      <c r="N89" s="892" t="s">
        <v>1443</v>
      </c>
      <c r="O89" s="336"/>
      <c r="P89" s="302"/>
      <c r="Q89" s="343"/>
      <c r="R89" s="343"/>
      <c r="S89" s="711"/>
      <c r="T89" s="343"/>
      <c r="U89" s="343"/>
      <c r="V89" s="343"/>
      <c r="W89" s="343"/>
      <c r="X89" s="343"/>
      <c r="Y89" s="343"/>
      <c r="Z89" s="343"/>
      <c r="AA89" s="343"/>
    </row>
    <row r="90" spans="1:27" s="349" customFormat="1" ht="25" x14ac:dyDescent="0.25">
      <c r="A90" s="729"/>
      <c r="B90" s="698"/>
      <c r="C90" s="698"/>
      <c r="D90" s="2633"/>
      <c r="E90" s="2614"/>
      <c r="F90" s="2615"/>
      <c r="G90" s="2615"/>
      <c r="H90" s="2616"/>
      <c r="I90" s="893"/>
      <c r="J90" s="894" t="str">
        <f>EUconst_EUA</f>
        <v>Квота за емисии</v>
      </c>
      <c r="K90" s="894" t="str">
        <f>EUconst_EUA</f>
        <v>Квота за емисии</v>
      </c>
      <c r="L90" s="895"/>
      <c r="M90" s="894" t="str">
        <f>EUconst_EUA</f>
        <v>Квота за емисии</v>
      </c>
      <c r="N90" s="896" t="s">
        <v>1052</v>
      </c>
      <c r="O90" s="295"/>
      <c r="P90" s="302"/>
      <c r="Q90" s="343"/>
      <c r="R90" s="343"/>
      <c r="S90" s="897" t="s">
        <v>737</v>
      </c>
      <c r="T90" s="343"/>
      <c r="U90" s="343"/>
      <c r="V90" s="343"/>
      <c r="W90" s="343"/>
      <c r="X90" s="343"/>
      <c r="Y90" s="343"/>
      <c r="Z90" s="343"/>
      <c r="AA90" s="343"/>
    </row>
    <row r="91" spans="1:27" s="349" customFormat="1" x14ac:dyDescent="0.25">
      <c r="A91" s="729"/>
      <c r="B91" s="698"/>
      <c r="C91" s="698"/>
      <c r="D91" s="850">
        <v>1</v>
      </c>
      <c r="E91" s="2583" t="str">
        <f t="shared" ref="E91:E100" si="34">E27</f>
        <v/>
      </c>
      <c r="F91" s="2584"/>
      <c r="G91" s="2584"/>
      <c r="H91" s="2585"/>
      <c r="I91" s="898" t="str" cm="1">
        <f t="array" ref="I91">IF(CTRL_InputMethodNIMsvalues&lt;&gt;1,"",INDEX(c_NIMsSummary!$F$517:$F$1206,MATCH($D91,c_NIMsSummary!$C$517:$C$1206,0)+14))</f>
        <v/>
      </c>
      <c r="J91" s="898" t="str" cm="1">
        <f t="array" ref="J91">IF(CTRL_InputMethodNIMsvalues&lt;&gt;1,"",INDEX(c_NIMsSummary!$G$517:$G$1206,MATCH($D91,c_NIMsSummary!$C$517:$C$1206,0)+5))</f>
        <v/>
      </c>
      <c r="K91" s="898" t="str" cm="1">
        <f t="array" ref="K91">IF(CTRL_InputMethodNIMsvalues&lt;&gt;1,"",INDEX(c_NIMsSummary!$I$517:$I$1206,MATCH($D91,c_NIMsSummary!$C$517:$C$1206,0)+5))</f>
        <v/>
      </c>
      <c r="L91" s="899"/>
      <c r="M91" s="898" t="str" cm="1">
        <f t="array" ref="M91">IF(CTRL_InputMethodNIMsvalues&lt;&gt;1,"",INDEX(c_NIMsSummary!$J$517:$J$1206,MATCH($D91,c_NIMsSummary!$C$517:$C$1206,0)+5))</f>
        <v/>
      </c>
      <c r="N91" s="900" t="str" cm="1">
        <f t="array" ref="N91">IF(CTRL_InputMethodNIMsvalues&lt;&gt;1,"",INDEX(c_NIMsSummary!$K$517:$K$1206,MATCH($D91,c_NIMsSummary!$C$517:$C$1206,0)+5))</f>
        <v/>
      </c>
      <c r="O91" s="336"/>
      <c r="P91" s="181"/>
      <c r="Q91" s="343"/>
      <c r="R91" s="343"/>
      <c r="S91" s="901" t="b">
        <f>OR(CTRL_InputMethodNIMsvalues=2,CNTR_Incumbent=FALSE)</f>
        <v>0</v>
      </c>
      <c r="T91" s="343"/>
      <c r="U91" s="343"/>
      <c r="V91" s="343"/>
      <c r="W91" s="343"/>
      <c r="X91" s="343"/>
      <c r="Y91" s="343"/>
      <c r="Z91" s="343"/>
      <c r="AA91" s="343"/>
    </row>
    <row r="92" spans="1:27" s="349" customFormat="1" x14ac:dyDescent="0.25">
      <c r="A92" s="729"/>
      <c r="B92" s="698"/>
      <c r="C92" s="698"/>
      <c r="D92" s="857">
        <f t="shared" ref="D92:D100" si="35">D91+1</f>
        <v>2</v>
      </c>
      <c r="E92" s="2646" t="str">
        <f t="shared" si="34"/>
        <v/>
      </c>
      <c r="F92" s="2647"/>
      <c r="G92" s="2647"/>
      <c r="H92" s="2588"/>
      <c r="I92" s="902" t="str" cm="1">
        <f t="array" ref="I92">IF(CTRL_InputMethodNIMsvalues&lt;&gt;1,"",INDEX(c_NIMsSummary!$F$517:$F$1206,MATCH($D92,c_NIMsSummary!$C$517:$C$1206,0)+14))</f>
        <v/>
      </c>
      <c r="J92" s="902" t="str" cm="1">
        <f t="array" ref="J92">IF(CTRL_InputMethodNIMsvalues&lt;&gt;1,"",INDEX(c_NIMsSummary!$G$517:$G$1206,MATCH($D92,c_NIMsSummary!$C$517:$C$1206,0)+5))</f>
        <v/>
      </c>
      <c r="K92" s="902" t="str" cm="1">
        <f t="array" ref="K92">IF(CTRL_InputMethodNIMsvalues&lt;&gt;1,"",INDEX(c_NIMsSummary!$I$517:$I$1206,MATCH($D92,c_NIMsSummary!$C$517:$C$1206,0)+5))</f>
        <v/>
      </c>
      <c r="L92" s="903"/>
      <c r="M92" s="902" t="str" cm="1">
        <f t="array" ref="M92">IF(CTRL_InputMethodNIMsvalues&lt;&gt;1,"",INDEX(c_NIMsSummary!$J$517:$J$1206,MATCH($D92,c_NIMsSummary!$C$517:$C$1206,0)+5))</f>
        <v/>
      </c>
      <c r="N92" s="904" t="str" cm="1">
        <f t="array" ref="N92">IF(CTRL_InputMethodNIMsvalues&lt;&gt;1,"",INDEX(c_NIMsSummary!$K$517:$K$1206,MATCH($D92,c_NIMsSummary!$C$517:$C$1206,0)+5))</f>
        <v/>
      </c>
      <c r="O92" s="336"/>
      <c r="P92" s="181"/>
      <c r="Q92" s="343"/>
      <c r="R92" s="711"/>
      <c r="S92" s="716" t="b">
        <f>S91</f>
        <v>0</v>
      </c>
      <c r="T92" s="343"/>
      <c r="U92" s="343"/>
      <c r="V92" s="343"/>
      <c r="W92" s="343"/>
      <c r="X92" s="343"/>
      <c r="Y92" s="343"/>
      <c r="Z92" s="343"/>
      <c r="AA92" s="343"/>
    </row>
    <row r="93" spans="1:27" s="349" customFormat="1" x14ac:dyDescent="0.25">
      <c r="A93" s="729"/>
      <c r="B93" s="698"/>
      <c r="C93" s="698"/>
      <c r="D93" s="857">
        <f t="shared" si="35"/>
        <v>3</v>
      </c>
      <c r="E93" s="2646" t="str">
        <f t="shared" si="34"/>
        <v/>
      </c>
      <c r="F93" s="2647"/>
      <c r="G93" s="2647"/>
      <c r="H93" s="2588"/>
      <c r="I93" s="902" t="str" cm="1">
        <f t="array" ref="I93">IF(CTRL_InputMethodNIMsvalues&lt;&gt;1,"",INDEX(c_NIMsSummary!$F$517:$F$1206,MATCH($D93,c_NIMsSummary!$C$517:$C$1206,0)+14))</f>
        <v/>
      </c>
      <c r="J93" s="902" t="str" cm="1">
        <f t="array" ref="J93">IF(CTRL_InputMethodNIMsvalues&lt;&gt;1,"",INDEX(c_NIMsSummary!$G$517:$G$1206,MATCH($D93,c_NIMsSummary!$C$517:$C$1206,0)+5))</f>
        <v/>
      </c>
      <c r="K93" s="902" t="str" cm="1">
        <f t="array" ref="K93">IF(CTRL_InputMethodNIMsvalues&lt;&gt;1,"",INDEX(c_NIMsSummary!$I$517:$I$1206,MATCH($D93,c_NIMsSummary!$C$517:$C$1206,0)+5))</f>
        <v/>
      </c>
      <c r="L93" s="903"/>
      <c r="M93" s="902" t="str" cm="1">
        <f t="array" ref="M93">IF(CTRL_InputMethodNIMsvalues&lt;&gt;1,"",INDEX(c_NIMsSummary!$J$517:$J$1206,MATCH($D93,c_NIMsSummary!$C$517:$C$1206,0)+5))</f>
        <v/>
      </c>
      <c r="N93" s="904" t="str" cm="1">
        <f t="array" ref="N93">IF(CTRL_InputMethodNIMsvalues&lt;&gt;1,"",INDEX(c_NIMsSummary!$K$517:$K$1206,MATCH($D93,c_NIMsSummary!$C$517:$C$1206,0)+5))</f>
        <v/>
      </c>
      <c r="O93" s="336"/>
      <c r="P93" s="181"/>
      <c r="Q93" s="343"/>
      <c r="R93" s="711"/>
      <c r="S93" s="716" t="b">
        <f t="shared" ref="S93:S100" si="36">S92</f>
        <v>0</v>
      </c>
      <c r="T93" s="343"/>
      <c r="U93" s="343"/>
      <c r="V93" s="343"/>
      <c r="W93" s="343"/>
      <c r="X93" s="343"/>
      <c r="Y93" s="343"/>
      <c r="Z93" s="343"/>
      <c r="AA93" s="343"/>
    </row>
    <row r="94" spans="1:27" s="349" customFormat="1" x14ac:dyDescent="0.25">
      <c r="A94" s="729"/>
      <c r="B94" s="698"/>
      <c r="C94" s="698"/>
      <c r="D94" s="857">
        <f t="shared" si="35"/>
        <v>4</v>
      </c>
      <c r="E94" s="2646" t="str">
        <f t="shared" si="34"/>
        <v/>
      </c>
      <c r="F94" s="2647"/>
      <c r="G94" s="2647"/>
      <c r="H94" s="2588"/>
      <c r="I94" s="902" t="str" cm="1">
        <f t="array" ref="I94">IF(CTRL_InputMethodNIMsvalues&lt;&gt;1,"",INDEX(c_NIMsSummary!$F$517:$F$1206,MATCH($D94,c_NIMsSummary!$C$517:$C$1206,0)+14))</f>
        <v/>
      </c>
      <c r="J94" s="902" t="str" cm="1">
        <f t="array" ref="J94">IF(CTRL_InputMethodNIMsvalues&lt;&gt;1,"",INDEX(c_NIMsSummary!$G$517:$G$1206,MATCH($D94,c_NIMsSummary!$C$517:$C$1206,0)+5))</f>
        <v/>
      </c>
      <c r="K94" s="902" t="str" cm="1">
        <f t="array" ref="K94">IF(CTRL_InputMethodNIMsvalues&lt;&gt;1,"",INDEX(c_NIMsSummary!$I$517:$I$1206,MATCH($D94,c_NIMsSummary!$C$517:$C$1206,0)+5))</f>
        <v/>
      </c>
      <c r="L94" s="903"/>
      <c r="M94" s="902" t="str" cm="1">
        <f t="array" ref="M94">IF(CTRL_InputMethodNIMsvalues&lt;&gt;1,"",INDEX(c_NIMsSummary!$J$517:$J$1206,MATCH($D94,c_NIMsSummary!$C$517:$C$1206,0)+5))</f>
        <v/>
      </c>
      <c r="N94" s="904" t="str" cm="1">
        <f t="array" ref="N94">IF(CTRL_InputMethodNIMsvalues&lt;&gt;1,"",INDEX(c_NIMsSummary!$K$517:$K$1206,MATCH($D94,c_NIMsSummary!$C$517:$C$1206,0)+5))</f>
        <v/>
      </c>
      <c r="O94" s="336"/>
      <c r="P94" s="181"/>
      <c r="Q94" s="343"/>
      <c r="R94" s="711"/>
      <c r="S94" s="716" t="b">
        <f t="shared" si="36"/>
        <v>0</v>
      </c>
      <c r="T94" s="343"/>
      <c r="U94" s="343"/>
      <c r="V94" s="343"/>
      <c r="W94" s="343"/>
      <c r="X94" s="343"/>
      <c r="Y94" s="343"/>
      <c r="Z94" s="343"/>
      <c r="AA94" s="343"/>
    </row>
    <row r="95" spans="1:27" s="349" customFormat="1" x14ac:dyDescent="0.25">
      <c r="A95" s="729"/>
      <c r="B95" s="698"/>
      <c r="C95" s="698"/>
      <c r="D95" s="857">
        <f t="shared" si="35"/>
        <v>5</v>
      </c>
      <c r="E95" s="2646" t="str">
        <f t="shared" si="34"/>
        <v/>
      </c>
      <c r="F95" s="2647"/>
      <c r="G95" s="2647"/>
      <c r="H95" s="2588"/>
      <c r="I95" s="902" t="str" cm="1">
        <f t="array" ref="I95">IF(CTRL_InputMethodNIMsvalues&lt;&gt;1,"",INDEX(c_NIMsSummary!$F$517:$F$1206,MATCH($D95,c_NIMsSummary!$C$517:$C$1206,0)+14))</f>
        <v/>
      </c>
      <c r="J95" s="902" t="str" cm="1">
        <f t="array" ref="J95">IF(CTRL_InputMethodNIMsvalues&lt;&gt;1,"",INDEX(c_NIMsSummary!$G$517:$G$1206,MATCH($D95,c_NIMsSummary!$C$517:$C$1206,0)+5))</f>
        <v/>
      </c>
      <c r="K95" s="902" t="str" cm="1">
        <f t="array" ref="K95">IF(CTRL_InputMethodNIMsvalues&lt;&gt;1,"",INDEX(c_NIMsSummary!$I$517:$I$1206,MATCH($D95,c_NIMsSummary!$C$517:$C$1206,0)+5))</f>
        <v/>
      </c>
      <c r="L95" s="903"/>
      <c r="M95" s="902" t="str" cm="1">
        <f t="array" ref="M95">IF(CTRL_InputMethodNIMsvalues&lt;&gt;1,"",INDEX(c_NIMsSummary!$J$517:$J$1206,MATCH($D95,c_NIMsSummary!$C$517:$C$1206,0)+5))</f>
        <v/>
      </c>
      <c r="N95" s="904" t="str" cm="1">
        <f t="array" ref="N95">IF(CTRL_InputMethodNIMsvalues&lt;&gt;1,"",INDEX(c_NIMsSummary!$K$517:$K$1206,MATCH($D95,c_NIMsSummary!$C$517:$C$1206,0)+5))</f>
        <v/>
      </c>
      <c r="O95" s="336"/>
      <c r="P95" s="181"/>
      <c r="Q95" s="343"/>
      <c r="R95" s="711"/>
      <c r="S95" s="716" t="b">
        <f t="shared" si="36"/>
        <v>0</v>
      </c>
      <c r="T95" s="343"/>
      <c r="U95" s="343"/>
      <c r="V95" s="343"/>
      <c r="W95" s="343"/>
      <c r="X95" s="343"/>
      <c r="Y95" s="343"/>
      <c r="Z95" s="343"/>
      <c r="AA95" s="343"/>
    </row>
    <row r="96" spans="1:27" s="349" customFormat="1" x14ac:dyDescent="0.25">
      <c r="A96" s="729"/>
      <c r="B96" s="698"/>
      <c r="C96" s="698"/>
      <c r="D96" s="857">
        <f t="shared" si="35"/>
        <v>6</v>
      </c>
      <c r="E96" s="2646" t="str">
        <f t="shared" si="34"/>
        <v/>
      </c>
      <c r="F96" s="2647"/>
      <c r="G96" s="2647"/>
      <c r="H96" s="2588"/>
      <c r="I96" s="902" t="str" cm="1">
        <f t="array" ref="I96">IF(CTRL_InputMethodNIMsvalues&lt;&gt;1,"",INDEX(c_NIMsSummary!$F$517:$F$1206,MATCH($D96,c_NIMsSummary!$C$517:$C$1206,0)+14))</f>
        <v/>
      </c>
      <c r="J96" s="902" t="str" cm="1">
        <f t="array" ref="J96">IF(CTRL_InputMethodNIMsvalues&lt;&gt;1,"",INDEX(c_NIMsSummary!$G$517:$G$1206,MATCH($D96,c_NIMsSummary!$C$517:$C$1206,0)+5))</f>
        <v/>
      </c>
      <c r="K96" s="902" t="str" cm="1">
        <f t="array" ref="K96">IF(CTRL_InputMethodNIMsvalues&lt;&gt;1,"",INDEX(c_NIMsSummary!$I$517:$I$1206,MATCH($D96,c_NIMsSummary!$C$517:$C$1206,0)+5))</f>
        <v/>
      </c>
      <c r="L96" s="903"/>
      <c r="M96" s="902" t="str" cm="1">
        <f t="array" ref="M96">IF(CTRL_InputMethodNIMsvalues&lt;&gt;1,"",INDEX(c_NIMsSummary!$J$517:$J$1206,MATCH($D96,c_NIMsSummary!$C$517:$C$1206,0)+5))</f>
        <v/>
      </c>
      <c r="N96" s="904" t="str" cm="1">
        <f t="array" ref="N96">IF(CTRL_InputMethodNIMsvalues&lt;&gt;1,"",INDEX(c_NIMsSummary!$K$517:$K$1206,MATCH($D96,c_NIMsSummary!$C$517:$C$1206,0)+5))</f>
        <v/>
      </c>
      <c r="O96" s="336"/>
      <c r="P96" s="181"/>
      <c r="Q96" s="343"/>
      <c r="R96" s="711"/>
      <c r="S96" s="716" t="b">
        <f t="shared" si="36"/>
        <v>0</v>
      </c>
      <c r="T96" s="343"/>
      <c r="U96" s="343"/>
      <c r="V96" s="343"/>
      <c r="W96" s="343"/>
      <c r="X96" s="343"/>
      <c r="Y96" s="343"/>
      <c r="Z96" s="343"/>
      <c r="AA96" s="343"/>
    </row>
    <row r="97" spans="1:27" s="349" customFormat="1" x14ac:dyDescent="0.25">
      <c r="A97" s="729"/>
      <c r="B97" s="698"/>
      <c r="C97" s="698"/>
      <c r="D97" s="857">
        <f t="shared" si="35"/>
        <v>7</v>
      </c>
      <c r="E97" s="2646" t="str">
        <f t="shared" si="34"/>
        <v/>
      </c>
      <c r="F97" s="2647"/>
      <c r="G97" s="2647"/>
      <c r="H97" s="2588"/>
      <c r="I97" s="902" t="str" cm="1">
        <f t="array" ref="I97">IF(CTRL_InputMethodNIMsvalues&lt;&gt;1,"",INDEX(c_NIMsSummary!$F$517:$F$1206,MATCH($D97,c_NIMsSummary!$C$517:$C$1206,0)+14))</f>
        <v/>
      </c>
      <c r="J97" s="902" t="str" cm="1">
        <f t="array" ref="J97">IF(CTRL_InputMethodNIMsvalues&lt;&gt;1,"",INDEX(c_NIMsSummary!$G$517:$G$1206,MATCH($D97,c_NIMsSummary!$C$517:$C$1206,0)+5))</f>
        <v/>
      </c>
      <c r="K97" s="902" t="str" cm="1">
        <f t="array" ref="K97">IF(CTRL_InputMethodNIMsvalues&lt;&gt;1,"",INDEX(c_NIMsSummary!$I$517:$I$1206,MATCH($D97,c_NIMsSummary!$C$517:$C$1206,0)+5))</f>
        <v/>
      </c>
      <c r="L97" s="903"/>
      <c r="M97" s="902" t="str" cm="1">
        <f t="array" ref="M97">IF(CTRL_InputMethodNIMsvalues&lt;&gt;1,"",INDEX(c_NIMsSummary!$J$517:$J$1206,MATCH($D97,c_NIMsSummary!$C$517:$C$1206,0)+5))</f>
        <v/>
      </c>
      <c r="N97" s="904" t="str" cm="1">
        <f t="array" ref="N97">IF(CTRL_InputMethodNIMsvalues&lt;&gt;1,"",INDEX(c_NIMsSummary!$K$517:$K$1206,MATCH($D97,c_NIMsSummary!$C$517:$C$1206,0)+5))</f>
        <v/>
      </c>
      <c r="O97" s="336"/>
      <c r="P97" s="181"/>
      <c r="Q97" s="343"/>
      <c r="R97" s="711"/>
      <c r="S97" s="716" t="b">
        <f t="shared" si="36"/>
        <v>0</v>
      </c>
      <c r="T97" s="343"/>
      <c r="U97" s="343"/>
      <c r="V97" s="343"/>
      <c r="W97" s="343"/>
      <c r="X97" s="343"/>
      <c r="Y97" s="343"/>
      <c r="Z97" s="343"/>
      <c r="AA97" s="343"/>
    </row>
    <row r="98" spans="1:27" s="349" customFormat="1" x14ac:dyDescent="0.25">
      <c r="A98" s="729"/>
      <c r="B98" s="698"/>
      <c r="C98" s="698"/>
      <c r="D98" s="857">
        <f t="shared" si="35"/>
        <v>8</v>
      </c>
      <c r="E98" s="2646" t="str">
        <f t="shared" si="34"/>
        <v/>
      </c>
      <c r="F98" s="2647"/>
      <c r="G98" s="2647"/>
      <c r="H98" s="2588"/>
      <c r="I98" s="902" t="str" cm="1">
        <f t="array" ref="I98">IF(CTRL_InputMethodNIMsvalues&lt;&gt;1,"",INDEX(c_NIMsSummary!$F$517:$F$1206,MATCH($D98,c_NIMsSummary!$C$517:$C$1206,0)+14))</f>
        <v/>
      </c>
      <c r="J98" s="902" t="str" cm="1">
        <f t="array" ref="J98">IF(CTRL_InputMethodNIMsvalues&lt;&gt;1,"",INDEX(c_NIMsSummary!$G$517:$G$1206,MATCH($D98,c_NIMsSummary!$C$517:$C$1206,0)+5))</f>
        <v/>
      </c>
      <c r="K98" s="902" t="str" cm="1">
        <f t="array" ref="K98">IF(CTRL_InputMethodNIMsvalues&lt;&gt;1,"",INDEX(c_NIMsSummary!$I$517:$I$1206,MATCH($D98,c_NIMsSummary!$C$517:$C$1206,0)+5))</f>
        <v/>
      </c>
      <c r="L98" s="903"/>
      <c r="M98" s="902" t="str" cm="1">
        <f t="array" ref="M98">IF(CTRL_InputMethodNIMsvalues&lt;&gt;1,"",INDEX(c_NIMsSummary!$J$517:$J$1206,MATCH($D98,c_NIMsSummary!$C$517:$C$1206,0)+5))</f>
        <v/>
      </c>
      <c r="N98" s="904" t="str" cm="1">
        <f t="array" ref="N98">IF(CTRL_InputMethodNIMsvalues&lt;&gt;1,"",INDEX(c_NIMsSummary!$K$517:$K$1206,MATCH($D98,c_NIMsSummary!$C$517:$C$1206,0)+5))</f>
        <v/>
      </c>
      <c r="O98" s="336"/>
      <c r="P98" s="181"/>
      <c r="Q98" s="343"/>
      <c r="R98" s="711"/>
      <c r="S98" s="716" t="b">
        <f t="shared" si="36"/>
        <v>0</v>
      </c>
      <c r="T98" s="343"/>
      <c r="U98" s="343"/>
      <c r="V98" s="343"/>
      <c r="W98" s="343"/>
      <c r="X98" s="343"/>
      <c r="Y98" s="343"/>
      <c r="Z98" s="343"/>
      <c r="AA98" s="343"/>
    </row>
    <row r="99" spans="1:27" s="349" customFormat="1" x14ac:dyDescent="0.25">
      <c r="A99" s="729"/>
      <c r="B99" s="698"/>
      <c r="C99" s="698"/>
      <c r="D99" s="857">
        <f t="shared" si="35"/>
        <v>9</v>
      </c>
      <c r="E99" s="2646" t="str">
        <f t="shared" si="34"/>
        <v/>
      </c>
      <c r="F99" s="2647"/>
      <c r="G99" s="2647"/>
      <c r="H99" s="2588"/>
      <c r="I99" s="902" t="str" cm="1">
        <f t="array" ref="I99">IF(CTRL_InputMethodNIMsvalues&lt;&gt;1,"",INDEX(c_NIMsSummary!$F$517:$F$1206,MATCH($D99,c_NIMsSummary!$C$517:$C$1206,0)+14))</f>
        <v/>
      </c>
      <c r="J99" s="902" t="str" cm="1">
        <f t="array" ref="J99">IF(CTRL_InputMethodNIMsvalues&lt;&gt;1,"",INDEX(c_NIMsSummary!$G$517:$G$1206,MATCH($D99,c_NIMsSummary!$C$517:$C$1206,0)+5))</f>
        <v/>
      </c>
      <c r="K99" s="902" t="str" cm="1">
        <f t="array" ref="K99">IF(CTRL_InputMethodNIMsvalues&lt;&gt;1,"",INDEX(c_NIMsSummary!$I$517:$I$1206,MATCH($D99,c_NIMsSummary!$C$517:$C$1206,0)+5))</f>
        <v/>
      </c>
      <c r="L99" s="903"/>
      <c r="M99" s="902" t="str" cm="1">
        <f t="array" ref="M99">IF(CTRL_InputMethodNIMsvalues&lt;&gt;1,"",INDEX(c_NIMsSummary!$J$517:$J$1206,MATCH($D99,c_NIMsSummary!$C$517:$C$1206,0)+5))</f>
        <v/>
      </c>
      <c r="N99" s="904" t="str" cm="1">
        <f t="array" ref="N99">IF(CTRL_InputMethodNIMsvalues&lt;&gt;1,"",INDEX(c_NIMsSummary!$K$517:$K$1206,MATCH($D99,c_NIMsSummary!$C$517:$C$1206,0)+5))</f>
        <v/>
      </c>
      <c r="O99" s="336"/>
      <c r="P99" s="181"/>
      <c r="Q99" s="343"/>
      <c r="R99" s="711"/>
      <c r="S99" s="716" t="b">
        <f t="shared" si="36"/>
        <v>0</v>
      </c>
      <c r="T99" s="343"/>
      <c r="U99" s="343"/>
      <c r="V99" s="343"/>
      <c r="W99" s="343"/>
      <c r="X99" s="343"/>
      <c r="Y99" s="343"/>
      <c r="Z99" s="343"/>
      <c r="AA99" s="343"/>
    </row>
    <row r="100" spans="1:27" s="349" customFormat="1" x14ac:dyDescent="0.25">
      <c r="A100" s="729"/>
      <c r="B100" s="698"/>
      <c r="C100" s="698"/>
      <c r="D100" s="862">
        <f t="shared" si="35"/>
        <v>10</v>
      </c>
      <c r="E100" s="2654" t="str">
        <f t="shared" si="34"/>
        <v/>
      </c>
      <c r="F100" s="2655"/>
      <c r="G100" s="2655"/>
      <c r="H100" s="2605"/>
      <c r="I100" s="905" t="str" cm="1">
        <f t="array" ref="I100">IF(CTRL_InputMethodNIMsvalues&lt;&gt;1,"",INDEX(c_NIMsSummary!$F$517:$F$1206,MATCH($D100,c_NIMsSummary!$C$517:$C$1206,0)+14))</f>
        <v/>
      </c>
      <c r="J100" s="905" t="str" cm="1">
        <f t="array" ref="J100">IF(CTRL_InputMethodNIMsvalues&lt;&gt;1,"",INDEX(c_NIMsSummary!$G$517:$G$1206,MATCH($D100,c_NIMsSummary!$C$517:$C$1206,0)+5))</f>
        <v/>
      </c>
      <c r="K100" s="905" t="str" cm="1">
        <f t="array" ref="K100">IF(CTRL_InputMethodNIMsvalues&lt;&gt;1,"",INDEX(c_NIMsSummary!$I$517:$I$1206,MATCH($D100,c_NIMsSummary!$C$517:$C$1206,0)+5))</f>
        <v/>
      </c>
      <c r="L100" s="906"/>
      <c r="M100" s="905" t="str" cm="1">
        <f t="array" ref="M100">IF(CTRL_InputMethodNIMsvalues&lt;&gt;1,"",INDEX(c_NIMsSummary!$J$517:$J$1206,MATCH($D100,c_NIMsSummary!$C$517:$C$1206,0)+5))</f>
        <v/>
      </c>
      <c r="N100" s="907" t="str" cm="1">
        <f t="array" ref="N100">IF(CTRL_InputMethodNIMsvalues&lt;&gt;1,"",INDEX(c_NIMsSummary!$K$517:$K$1206,MATCH($D100,c_NIMsSummary!$C$517:$C$1206,0)+5))</f>
        <v/>
      </c>
      <c r="O100" s="336"/>
      <c r="P100" s="181"/>
      <c r="Q100" s="343"/>
      <c r="R100" s="711"/>
      <c r="S100" s="716" t="b">
        <f t="shared" si="36"/>
        <v>0</v>
      </c>
      <c r="T100" s="343"/>
      <c r="U100" s="343"/>
      <c r="V100" s="343"/>
      <c r="W100" s="343"/>
      <c r="X100" s="343"/>
      <c r="Y100" s="343"/>
      <c r="Z100" s="343"/>
      <c r="AA100" s="343"/>
    </row>
    <row r="101" spans="1:27" s="349" customFormat="1" ht="12.75" customHeight="1" x14ac:dyDescent="0.25">
      <c r="A101" s="729"/>
      <c r="B101" s="698"/>
      <c r="C101" s="698"/>
      <c r="D101" s="850">
        <v>11</v>
      </c>
      <c r="E101" s="2607" t="str">
        <f t="shared" ref="E101:E110" si="37">INDEX(EUconst_FallBackListNames,D101-10)</f>
        <v>Подинсталация с топлинен показател (с риск от ИВЕ | извън МКВЕГ)</v>
      </c>
      <c r="F101" s="2608"/>
      <c r="G101" s="2608"/>
      <c r="H101" s="2609"/>
      <c r="I101" s="898" t="str" cm="1">
        <f t="array" ref="I101">IF(CTRL_InputMethodNIMsvalues&lt;&gt;1,"",INDEX(c_NIMsSummary!$F$1208:$F$1548,MATCH($D101,c_NIMsSummary!$C$1208:$C$1548,0)+12))</f>
        <v/>
      </c>
      <c r="J101" s="908"/>
      <c r="K101" s="909"/>
      <c r="L101" s="910"/>
      <c r="M101" s="909"/>
      <c r="N101" s="911"/>
      <c r="O101" s="336"/>
      <c r="P101" s="181"/>
      <c r="Q101" s="343"/>
      <c r="R101" s="711"/>
      <c r="S101" s="716" t="b">
        <f t="shared" ref="S101:S110" si="38">S100</f>
        <v>0</v>
      </c>
      <c r="T101" s="343"/>
      <c r="U101" s="343"/>
      <c r="V101" s="343"/>
      <c r="W101" s="343"/>
      <c r="X101" s="343"/>
      <c r="Y101" s="343"/>
      <c r="Z101" s="343"/>
      <c r="AA101" s="343"/>
    </row>
    <row r="102" spans="1:27" s="349" customFormat="1" ht="12.75" customHeight="1" x14ac:dyDescent="0.25">
      <c r="A102" s="729"/>
      <c r="B102" s="698"/>
      <c r="C102" s="698"/>
      <c r="D102" s="857">
        <f>D101+1</f>
        <v>12</v>
      </c>
      <c r="E102" s="2602" t="str">
        <f t="shared" si="37"/>
        <v>Подинсталация с топлинен показател (без риск от ИВЕ | извън МКВЕГ)</v>
      </c>
      <c r="F102" s="2587"/>
      <c r="G102" s="2587"/>
      <c r="H102" s="2588"/>
      <c r="I102" s="902" t="str" cm="1">
        <f t="array" ref="I102">IF(CTRL_InputMethodNIMsvalues&lt;&gt;1,"",INDEX(c_NIMsSummary!$F$1208:$F$1548,MATCH($D102,c_NIMsSummary!$C$1208:$C$1548,0)+12))</f>
        <v/>
      </c>
      <c r="J102" s="912"/>
      <c r="K102" s="913"/>
      <c r="L102" s="914"/>
      <c r="M102" s="913"/>
      <c r="N102" s="915"/>
      <c r="O102" s="336"/>
      <c r="P102" s="181"/>
      <c r="Q102" s="343"/>
      <c r="R102" s="711"/>
      <c r="S102" s="716" t="b">
        <f t="shared" si="38"/>
        <v>0</v>
      </c>
      <c r="T102" s="343"/>
      <c r="U102" s="343"/>
      <c r="V102" s="343"/>
      <c r="W102" s="343"/>
      <c r="X102" s="343"/>
      <c r="Y102" s="343"/>
      <c r="Z102" s="343"/>
      <c r="AA102" s="343"/>
    </row>
    <row r="103" spans="1:27" s="349" customFormat="1" ht="12.75" customHeight="1" x14ac:dyDescent="0.25">
      <c r="A103" s="729"/>
      <c r="B103" s="698"/>
      <c r="C103" s="698"/>
      <c r="D103" s="857">
        <f>D102+1</f>
        <v>13</v>
      </c>
      <c r="E103" s="2602" t="str">
        <f t="shared" si="37"/>
        <v>Подинсталация с топлинен показател (с риск от ИВЕ | в рамките на МКВЕГ)</v>
      </c>
      <c r="F103" s="2587"/>
      <c r="G103" s="2587"/>
      <c r="H103" s="2588"/>
      <c r="I103" s="902" t="str" cm="1">
        <f t="array" ref="I103">IF(CTRL_InputMethodNIMsvalues&lt;&gt;1,"",INDEX(c_NIMsSummary!$F$1208:$F$1548,MATCH($D103,c_NIMsSummary!$C$1208:$C$1548,0)+12))</f>
        <v/>
      </c>
      <c r="J103" s="912"/>
      <c r="K103" s="913"/>
      <c r="L103" s="914"/>
      <c r="M103" s="913"/>
      <c r="N103" s="915"/>
      <c r="O103" s="336"/>
      <c r="P103" s="181"/>
      <c r="Q103" s="343"/>
      <c r="R103" s="711"/>
      <c r="S103" s="716" t="b">
        <f t="shared" si="38"/>
        <v>0</v>
      </c>
      <c r="T103" s="343"/>
      <c r="U103" s="343"/>
      <c r="V103" s="343"/>
      <c r="W103" s="343"/>
      <c r="X103" s="343"/>
      <c r="Y103" s="343"/>
      <c r="Z103" s="343"/>
      <c r="AA103" s="343"/>
    </row>
    <row r="104" spans="1:27" s="349" customFormat="1" ht="12.75" customHeight="1" x14ac:dyDescent="0.25">
      <c r="A104" s="729"/>
      <c r="B104" s="698"/>
      <c r="C104" s="698"/>
      <c r="D104" s="857">
        <f t="shared" ref="D104:D108" si="39">D103+1</f>
        <v>14</v>
      </c>
      <c r="E104" s="2602" t="str">
        <f t="shared" si="37"/>
        <v>Подинсталация на топлофикационна мрежа</v>
      </c>
      <c r="F104" s="2587"/>
      <c r="G104" s="2587"/>
      <c r="H104" s="2588"/>
      <c r="I104" s="902" t="str" cm="1">
        <f t="array" ref="I104">IF(CTRL_InputMethodNIMsvalues&lt;&gt;1,"",INDEX(c_NIMsSummary!$F$1208:$F$1548,MATCH($D104,c_NIMsSummary!$C$1208:$C$1548,0)+12))</f>
        <v/>
      </c>
      <c r="J104" s="912"/>
      <c r="K104" s="913"/>
      <c r="L104" s="914"/>
      <c r="M104" s="913"/>
      <c r="N104" s="915"/>
      <c r="O104" s="336"/>
      <c r="P104" s="181"/>
      <c r="Q104" s="343"/>
      <c r="R104" s="711"/>
      <c r="S104" s="716" t="b">
        <f t="shared" si="38"/>
        <v>0</v>
      </c>
      <c r="T104" s="343"/>
      <c r="U104" s="343"/>
      <c r="V104" s="343"/>
      <c r="W104" s="343"/>
      <c r="X104" s="343"/>
      <c r="Y104" s="343"/>
      <c r="Z104" s="343"/>
      <c r="AA104" s="343"/>
    </row>
    <row r="105" spans="1:27" s="349" customFormat="1" ht="12.75" customHeight="1" x14ac:dyDescent="0.25">
      <c r="A105" s="729"/>
      <c r="B105" s="698"/>
      <c r="C105" s="698"/>
      <c r="D105" s="857">
        <f t="shared" si="39"/>
        <v>15</v>
      </c>
      <c r="E105" s="2602" t="str">
        <f t="shared" ref="E105:E107" si="40">INDEX(EUconst_FallBackListNames,D105-10)</f>
        <v>Подинсталация с горивен показател (с риск от ИВЕ | извън МКВЕГ)</v>
      </c>
      <c r="F105" s="2587"/>
      <c r="G105" s="2587"/>
      <c r="H105" s="2588"/>
      <c r="I105" s="902" t="str" cm="1">
        <f t="array" ref="I105">IF(CTRL_InputMethodNIMsvalues&lt;&gt;1,"",INDEX(c_NIMsSummary!$F$1208:$F$1548,MATCH($D105,c_NIMsSummary!$C$1208:$C$1548,0)+12))</f>
        <v/>
      </c>
      <c r="J105" s="912"/>
      <c r="K105" s="913"/>
      <c r="L105" s="914"/>
      <c r="M105" s="913"/>
      <c r="N105" s="915"/>
      <c r="O105" s="336"/>
      <c r="P105" s="181"/>
      <c r="Q105" s="343"/>
      <c r="R105" s="711"/>
      <c r="S105" s="716" t="b">
        <f t="shared" si="38"/>
        <v>0</v>
      </c>
      <c r="T105" s="343"/>
      <c r="U105" s="343"/>
      <c r="V105" s="343"/>
      <c r="W105" s="343"/>
      <c r="X105" s="343"/>
      <c r="Y105" s="343"/>
      <c r="Z105" s="343"/>
      <c r="AA105" s="343"/>
    </row>
    <row r="106" spans="1:27" s="349" customFormat="1" ht="12.75" customHeight="1" x14ac:dyDescent="0.25">
      <c r="A106" s="729"/>
      <c r="B106" s="698"/>
      <c r="C106" s="698"/>
      <c r="D106" s="857">
        <f t="shared" si="39"/>
        <v>16</v>
      </c>
      <c r="E106" s="2602" t="str">
        <f t="shared" si="40"/>
        <v>Подинсталация с горивен показател (без риск от ИВЕ | извън МКВЕГ)</v>
      </c>
      <c r="F106" s="2587"/>
      <c r="G106" s="2587"/>
      <c r="H106" s="2588"/>
      <c r="I106" s="902" t="str" cm="1">
        <f t="array" ref="I106">IF(CTRL_InputMethodNIMsvalues&lt;&gt;1,"",INDEX(c_NIMsSummary!$F$1208:$F$1548,MATCH($D106,c_NIMsSummary!$C$1208:$C$1548,0)+12))</f>
        <v/>
      </c>
      <c r="J106" s="912"/>
      <c r="K106" s="913"/>
      <c r="L106" s="914"/>
      <c r="M106" s="913"/>
      <c r="N106" s="915"/>
      <c r="O106" s="336"/>
      <c r="P106" s="181"/>
      <c r="Q106" s="343"/>
      <c r="R106" s="711"/>
      <c r="S106" s="716" t="b">
        <f t="shared" si="38"/>
        <v>0</v>
      </c>
      <c r="T106" s="343"/>
      <c r="U106" s="343"/>
      <c r="V106" s="343"/>
      <c r="W106" s="343"/>
      <c r="X106" s="343"/>
      <c r="Y106" s="343"/>
      <c r="Z106" s="343"/>
      <c r="AA106" s="343"/>
    </row>
    <row r="107" spans="1:27" s="349" customFormat="1" ht="12.75" customHeight="1" x14ac:dyDescent="0.25">
      <c r="A107" s="729"/>
      <c r="B107" s="698"/>
      <c r="C107" s="698"/>
      <c r="D107" s="857">
        <f t="shared" si="39"/>
        <v>17</v>
      </c>
      <c r="E107" s="2602" t="str">
        <f t="shared" si="40"/>
        <v>Подинсталация с горивен показател (с риск от ИВЕ | в рамките на МКВЕГ)</v>
      </c>
      <c r="F107" s="2587"/>
      <c r="G107" s="2587"/>
      <c r="H107" s="2588"/>
      <c r="I107" s="902" t="str" cm="1">
        <f t="array" ref="I107">IF(CTRL_InputMethodNIMsvalues&lt;&gt;1,"",INDEX(c_NIMsSummary!$F$1208:$F$1548,MATCH($D107,c_NIMsSummary!$C$1208:$C$1548,0)+12))</f>
        <v/>
      </c>
      <c r="J107" s="912"/>
      <c r="K107" s="913"/>
      <c r="L107" s="914"/>
      <c r="M107" s="913"/>
      <c r="N107" s="915"/>
      <c r="O107" s="336"/>
      <c r="P107" s="181"/>
      <c r="Q107" s="343"/>
      <c r="R107" s="711"/>
      <c r="S107" s="716" t="b">
        <f t="shared" si="38"/>
        <v>0</v>
      </c>
      <c r="T107" s="343"/>
      <c r="U107" s="343"/>
      <c r="V107" s="343"/>
      <c r="W107" s="343"/>
      <c r="X107" s="343"/>
      <c r="Y107" s="343"/>
      <c r="Z107" s="343"/>
      <c r="AA107" s="343"/>
    </row>
    <row r="108" spans="1:27" s="349" customFormat="1" ht="12.75" customHeight="1" x14ac:dyDescent="0.25">
      <c r="A108" s="729"/>
      <c r="B108" s="698"/>
      <c r="C108" s="698"/>
      <c r="D108" s="857">
        <f t="shared" si="39"/>
        <v>18</v>
      </c>
      <c r="E108" s="2602" t="str">
        <f t="shared" si="37"/>
        <v>Подинсталация с емисии от процеси (с риск от ИВЕ | извън МКВЕГ)</v>
      </c>
      <c r="F108" s="2587"/>
      <c r="G108" s="2587"/>
      <c r="H108" s="2588"/>
      <c r="I108" s="902" t="str" cm="1">
        <f t="array" ref="I108">IF(CTRL_InputMethodNIMsvalues&lt;&gt;1,"",INDEX(c_NIMsSummary!$F$1208:$F$1548,MATCH($D108,c_NIMsSummary!$C$1208:$C$1548,0)+12))</f>
        <v/>
      </c>
      <c r="J108" s="912"/>
      <c r="K108" s="913"/>
      <c r="L108" s="914"/>
      <c r="M108" s="913"/>
      <c r="N108" s="915"/>
      <c r="O108" s="336"/>
      <c r="P108" s="181"/>
      <c r="Q108" s="343"/>
      <c r="R108" s="711"/>
      <c r="S108" s="716" t="b">
        <f t="shared" si="38"/>
        <v>0</v>
      </c>
      <c r="T108" s="343"/>
      <c r="U108" s="343"/>
      <c r="V108" s="343"/>
      <c r="W108" s="343"/>
      <c r="X108" s="343"/>
      <c r="Y108" s="343"/>
      <c r="Z108" s="343"/>
      <c r="AA108" s="343"/>
    </row>
    <row r="109" spans="1:27" s="349" customFormat="1" ht="12.75" customHeight="1" x14ac:dyDescent="0.25">
      <c r="A109" s="729"/>
      <c r="B109" s="698"/>
      <c r="C109" s="698"/>
      <c r="D109" s="857">
        <f>D108+1</f>
        <v>19</v>
      </c>
      <c r="E109" s="2602" t="str">
        <f t="shared" si="37"/>
        <v>Подинсталация с емисии от процеси (без риск от ИВЕ | извън МКВЕГ)</v>
      </c>
      <c r="F109" s="2587"/>
      <c r="G109" s="2587"/>
      <c r="H109" s="2588"/>
      <c r="I109" s="902" t="str" cm="1">
        <f t="array" ref="I109">IF(CTRL_InputMethodNIMsvalues&lt;&gt;1,"",INDEX(c_NIMsSummary!$F$1208:$F$1548,MATCH($D109,c_NIMsSummary!$C$1208:$C$1548,0)+12))</f>
        <v/>
      </c>
      <c r="J109" s="912"/>
      <c r="K109" s="913"/>
      <c r="L109" s="914"/>
      <c r="M109" s="913"/>
      <c r="N109" s="915"/>
      <c r="O109" s="336"/>
      <c r="P109" s="181"/>
      <c r="Q109" s="343"/>
      <c r="R109" s="711"/>
      <c r="S109" s="716" t="b">
        <f t="shared" si="38"/>
        <v>0</v>
      </c>
      <c r="T109" s="343"/>
      <c r="U109" s="343"/>
      <c r="V109" s="343"/>
      <c r="W109" s="343"/>
      <c r="X109" s="343"/>
      <c r="Y109" s="343"/>
      <c r="Z109" s="343"/>
      <c r="AA109" s="343"/>
    </row>
    <row r="110" spans="1:27" s="349" customFormat="1" ht="13.5" customHeight="1" x14ac:dyDescent="0.25">
      <c r="A110" s="729"/>
      <c r="B110" s="698"/>
      <c r="C110" s="698"/>
      <c r="D110" s="862">
        <f>D109+1</f>
        <v>20</v>
      </c>
      <c r="E110" s="2603" t="str">
        <f t="shared" si="37"/>
        <v>Подинсталация с емисии от процеси (с риск от ИВЕ | в рамките на МКВЕГ)</v>
      </c>
      <c r="F110" s="2604"/>
      <c r="G110" s="2604"/>
      <c r="H110" s="2605"/>
      <c r="I110" s="905" t="str" cm="1">
        <f t="array" ref="I110">IF(CTRL_InputMethodNIMsvalues&lt;&gt;1,"",INDEX(c_NIMsSummary!$F$1208:$F$1548,MATCH($D110,c_NIMsSummary!$C$1208:$C$1548,0)+12))</f>
        <v/>
      </c>
      <c r="J110" s="916"/>
      <c r="K110" s="917"/>
      <c r="L110" s="918"/>
      <c r="M110" s="917"/>
      <c r="N110" s="919"/>
      <c r="O110" s="336"/>
      <c r="P110" s="181"/>
      <c r="Q110" s="343"/>
      <c r="R110" s="711"/>
      <c r="S110" s="716" t="b">
        <f t="shared" si="38"/>
        <v>0</v>
      </c>
      <c r="T110" s="343"/>
      <c r="U110" s="343"/>
      <c r="V110" s="343"/>
      <c r="W110" s="343"/>
      <c r="X110" s="343"/>
      <c r="Y110" s="343"/>
      <c r="Z110" s="343"/>
      <c r="AA110" s="343"/>
    </row>
    <row r="111" spans="1:27" s="349" customFormat="1" ht="13" x14ac:dyDescent="0.3">
      <c r="A111" s="729"/>
      <c r="B111" s="698"/>
      <c r="C111" s="698"/>
      <c r="D111" s="698"/>
      <c r="E111" s="698"/>
      <c r="F111" s="698"/>
      <c r="G111" s="698"/>
      <c r="H111" s="698"/>
      <c r="I111" s="698"/>
      <c r="J111" s="698"/>
      <c r="K111" s="698"/>
      <c r="L111" s="698"/>
      <c r="M111" s="698"/>
      <c r="N111" s="698"/>
      <c r="O111" s="336"/>
      <c r="P111" s="302"/>
      <c r="Q111" s="343"/>
      <c r="R111" s="711"/>
      <c r="S111" s="889"/>
      <c r="T111" s="343"/>
      <c r="U111" s="343"/>
      <c r="V111" s="343"/>
      <c r="W111" s="343"/>
      <c r="X111" s="343"/>
      <c r="Y111" s="343"/>
      <c r="Z111" s="343"/>
      <c r="AA111" s="343"/>
    </row>
    <row r="112" spans="1:27" s="349" customFormat="1" ht="13" x14ac:dyDescent="0.25">
      <c r="A112" s="729"/>
      <c r="B112" s="698"/>
      <c r="C112" s="698"/>
      <c r="D112" s="300" t="s">
        <v>901</v>
      </c>
      <c r="E112" s="2226" t="str">
        <f>Translations!$B$1286</f>
        <v>Първоначално разпределение (ръчно въвеждане)</v>
      </c>
      <c r="F112" s="2249"/>
      <c r="G112" s="2249"/>
      <c r="H112" s="2249"/>
      <c r="I112" s="2249"/>
      <c r="J112" s="2249"/>
      <c r="K112" s="2249"/>
      <c r="L112" s="2249"/>
      <c r="M112" s="2249"/>
      <c r="N112" s="2249"/>
      <c r="O112" s="336"/>
      <c r="P112" s="302"/>
      <c r="Q112" s="343"/>
      <c r="R112" s="343"/>
      <c r="S112" s="343"/>
      <c r="T112" s="343"/>
      <c r="U112" s="343"/>
      <c r="V112" s="343"/>
      <c r="W112" s="343"/>
      <c r="X112" s="343"/>
      <c r="Y112" s="343"/>
      <c r="Z112" s="343"/>
      <c r="AA112" s="343"/>
    </row>
    <row r="113" spans="1:27" s="349" customFormat="1" x14ac:dyDescent="0.25">
      <c r="A113" s="729"/>
      <c r="B113" s="698"/>
      <c r="C113" s="698"/>
      <c r="D113" s="301"/>
      <c r="E113" s="2293" t="str">
        <f>Translations!$B$1287</f>
        <v>Ако сте избрали „Ръчно въвеждане“ в раздел А.II., въвеждането на данни тук е задължително. В противен случай този раздел е незадължителен, освен ако няма нови подинсталации от значение.</v>
      </c>
      <c r="F113" s="2240"/>
      <c r="G113" s="2240"/>
      <c r="H113" s="2240"/>
      <c r="I113" s="2240"/>
      <c r="J113" s="2240"/>
      <c r="K113" s="2240"/>
      <c r="L113" s="2240"/>
      <c r="M113" s="2240"/>
      <c r="N113" s="2240"/>
      <c r="O113" s="336"/>
      <c r="P113" s="302"/>
      <c r="Q113" s="343"/>
      <c r="R113" s="343"/>
      <c r="S113" s="343"/>
      <c r="T113" s="343"/>
      <c r="U113" s="343"/>
      <c r="V113" s="343"/>
      <c r="W113" s="343"/>
      <c r="X113" s="343"/>
      <c r="Y113" s="343"/>
      <c r="Z113" s="343"/>
      <c r="AA113" s="343"/>
    </row>
    <row r="114" spans="1:27" s="349" customFormat="1" ht="12.75" customHeight="1" x14ac:dyDescent="0.25">
      <c r="A114" s="729"/>
      <c r="B114" s="698"/>
      <c r="C114" s="698"/>
      <c r="D114" s="301"/>
      <c r="E114" s="920" t="str">
        <f>Translations!$B$1288</f>
        <v>Историческо равнище на дейност (HAL)</v>
      </c>
      <c r="F114" s="2359" t="str">
        <f>Translations!$B$1289</f>
        <v>Данните тук са от значение, ако сте избрали „Ръчно въвеждане“ в раздел А.II или ако нови подинсталации са въведени с експлоатация след 30 юни 2019 г.</v>
      </c>
      <c r="G114" s="2359"/>
      <c r="H114" s="2359"/>
      <c r="I114" s="2359"/>
      <c r="J114" s="2359"/>
      <c r="K114" s="2359"/>
      <c r="L114" s="2359"/>
      <c r="M114" s="2359"/>
      <c r="N114" s="2359"/>
      <c r="O114" s="336"/>
      <c r="P114" s="302"/>
      <c r="Q114" s="343"/>
      <c r="R114" s="343"/>
      <c r="S114" s="343"/>
      <c r="T114" s="343"/>
      <c r="U114" s="343"/>
      <c r="V114" s="343"/>
      <c r="W114" s="343"/>
      <c r="X114" s="343"/>
      <c r="Y114" s="343"/>
      <c r="Z114" s="343"/>
      <c r="AA114" s="343"/>
    </row>
    <row r="115" spans="1:27" s="349" customFormat="1" ht="12.75" customHeight="1" x14ac:dyDescent="0.25">
      <c r="A115" s="729"/>
      <c r="B115" s="698"/>
      <c r="C115" s="698"/>
      <c r="D115" s="301"/>
      <c r="E115" s="837"/>
      <c r="F115" s="2293" t="str">
        <f>Translations!$B$1290</f>
        <v>Тази стойност се среща за първи път в доклада с базови данни за НМИ, лист с обобщение „K_Summary“ („К_Обобщение“), клетка F481.</v>
      </c>
      <c r="G115" s="2293"/>
      <c r="H115" s="2293"/>
      <c r="I115" s="2293"/>
      <c r="J115" s="2293"/>
      <c r="K115" s="2293"/>
      <c r="L115" s="2293"/>
      <c r="M115" s="2293"/>
      <c r="N115" s="2293"/>
      <c r="O115" s="336"/>
      <c r="P115" s="302"/>
      <c r="Q115" s="343"/>
      <c r="R115" s="343"/>
      <c r="S115" s="343"/>
      <c r="T115" s="343"/>
      <c r="U115" s="343"/>
      <c r="V115" s="343"/>
      <c r="W115" s="343"/>
      <c r="X115" s="343"/>
      <c r="Y115" s="343"/>
      <c r="Z115" s="343"/>
      <c r="AA115" s="343"/>
    </row>
    <row r="116" spans="1:27" s="349" customFormat="1" ht="12.75" customHeight="1" x14ac:dyDescent="0.25">
      <c r="A116" s="729"/>
      <c r="B116" s="698"/>
      <c r="C116" s="698"/>
      <c r="D116" s="301"/>
      <c r="E116" s="920" t="str">
        <f>Translations!$B$949</f>
        <v>топл. ен. извън СТЕ</v>
      </c>
      <c r="F116" s="2359" t="str">
        <f>Translations!$B$950</f>
        <v>Количество, което трябва да се приспадне от предварителното годишно количество на квотите за емисии в съответствие с член 21 от ПРБ.</v>
      </c>
      <c r="G116" s="2359"/>
      <c r="H116" s="2359"/>
      <c r="I116" s="2359"/>
      <c r="J116" s="2359"/>
      <c r="K116" s="2359"/>
      <c r="L116" s="2359"/>
      <c r="M116" s="2359"/>
      <c r="N116" s="2359"/>
      <c r="O116" s="336"/>
      <c r="P116" s="302"/>
      <c r="Q116" s="343"/>
      <c r="R116" s="343"/>
      <c r="S116" s="343"/>
      <c r="T116" s="343"/>
      <c r="U116" s="343"/>
      <c r="V116" s="343"/>
      <c r="W116" s="343"/>
      <c r="X116" s="343"/>
      <c r="Y116" s="343"/>
      <c r="Z116" s="343"/>
      <c r="AA116" s="343"/>
    </row>
    <row r="117" spans="1:27" s="349" customFormat="1" x14ac:dyDescent="0.25">
      <c r="A117" s="729"/>
      <c r="B117" s="698"/>
      <c r="C117" s="698"/>
      <c r="D117" s="301"/>
      <c r="E117" s="837"/>
      <c r="F117" s="2293" t="str">
        <f>Translations!$B$1291</f>
        <v>Тази стойност се среща за първи път в доклада с базови данни за НМИ, лист с обобщение „K_Summary“ („K_Обобщение“), клетка G474.</v>
      </c>
      <c r="G117" s="2293"/>
      <c r="H117" s="2293"/>
      <c r="I117" s="2293"/>
      <c r="J117" s="2293"/>
      <c r="K117" s="2293"/>
      <c r="L117" s="2293"/>
      <c r="M117" s="2293"/>
      <c r="N117" s="2293"/>
      <c r="O117" s="336"/>
      <c r="P117" s="302"/>
      <c r="Q117" s="343"/>
      <c r="R117" s="343"/>
      <c r="S117" s="343"/>
      <c r="T117" s="343"/>
      <c r="U117" s="343"/>
      <c r="V117" s="343"/>
      <c r="W117" s="343"/>
      <c r="X117" s="343"/>
      <c r="Y117" s="343"/>
      <c r="Z117" s="343"/>
      <c r="AA117" s="343"/>
    </row>
    <row r="118" spans="1:27" s="349" customFormat="1" ht="12.75" customHeight="1" x14ac:dyDescent="0.25">
      <c r="A118" s="729"/>
      <c r="B118" s="698"/>
      <c r="C118" s="698"/>
      <c r="D118" s="301"/>
      <c r="E118" s="920" t="str">
        <f>Translations!$B$1285</f>
        <v>Отпадни газове, изгорени във факел</v>
      </c>
      <c r="F118" s="2359" t="str">
        <f>Translations!$B$952</f>
        <v>Количество, което трябва да се приспадне от предварителното годишно количество на квотите за отпадни газове, изгорени във факел, от 2026 г. нататък съгласно член 16, параграф 5, алинея втора от ПРБ</v>
      </c>
      <c r="G118" s="2359"/>
      <c r="H118" s="2359"/>
      <c r="I118" s="2359"/>
      <c r="J118" s="2359"/>
      <c r="K118" s="2359"/>
      <c r="L118" s="2359"/>
      <c r="M118" s="2359"/>
      <c r="N118" s="2359"/>
      <c r="O118" s="336"/>
      <c r="P118" s="302"/>
      <c r="Q118" s="343"/>
      <c r="R118" s="343"/>
      <c r="S118" s="343"/>
      <c r="T118" s="343"/>
      <c r="U118" s="343"/>
      <c r="V118" s="343"/>
      <c r="W118" s="343"/>
      <c r="X118" s="343"/>
      <c r="Y118" s="343"/>
      <c r="Z118" s="343"/>
      <c r="AA118" s="343"/>
    </row>
    <row r="119" spans="1:27" s="349" customFormat="1" x14ac:dyDescent="0.25">
      <c r="A119" s="729"/>
      <c r="B119" s="698"/>
      <c r="C119" s="698"/>
      <c r="D119" s="301"/>
      <c r="E119" s="921"/>
      <c r="F119" s="2293" t="str">
        <f>Translations!$B$1292</f>
        <v>Тази стойност се среща за първи път в доклада с базови данни за НМИ, лист с обобщение „K_Summary“ („K_Обобщение“), клетка H474.</v>
      </c>
      <c r="G119" s="2293"/>
      <c r="H119" s="2293"/>
      <c r="I119" s="2293"/>
      <c r="J119" s="2293"/>
      <c r="K119" s="2293"/>
      <c r="L119" s="2293"/>
      <c r="M119" s="2293"/>
      <c r="N119" s="2293"/>
      <c r="O119" s="336"/>
      <c r="P119" s="302"/>
      <c r="Q119" s="343"/>
      <c r="R119" s="343"/>
      <c r="S119" s="343"/>
      <c r="T119" s="343"/>
      <c r="U119" s="343"/>
      <c r="V119" s="343"/>
      <c r="W119" s="343"/>
      <c r="X119" s="343"/>
      <c r="Y119" s="343"/>
      <c r="Z119" s="343"/>
      <c r="AA119" s="343"/>
    </row>
    <row r="120" spans="1:27" s="349" customFormat="1" ht="12.75" customHeight="1" x14ac:dyDescent="0.25">
      <c r="A120" s="729"/>
      <c r="B120" s="698"/>
      <c r="C120" s="698"/>
      <c r="D120" s="301"/>
      <c r="E120" s="920" t="s">
        <v>1892</v>
      </c>
      <c r="F120" s="2359" t="str">
        <f>Translations!$B$953</f>
        <v>Количество, което трябва да се добави към предварителното годишно количество на квотите за емисии за подинсталациите за крекинг с водна пара в съответствие с член 19 от ПРБ</v>
      </c>
      <c r="G120" s="2359"/>
      <c r="H120" s="2359"/>
      <c r="I120" s="2359"/>
      <c r="J120" s="2359"/>
      <c r="K120" s="2359"/>
      <c r="L120" s="2359"/>
      <c r="M120" s="2359"/>
      <c r="N120" s="2359"/>
      <c r="O120" s="336"/>
      <c r="P120" s="302"/>
      <c r="Q120" s="343"/>
      <c r="R120" s="343"/>
      <c r="S120" s="343"/>
      <c r="T120" s="343"/>
      <c r="U120" s="343"/>
      <c r="V120" s="343"/>
      <c r="W120" s="343"/>
      <c r="X120" s="343"/>
      <c r="Y120" s="343"/>
      <c r="Z120" s="343"/>
      <c r="AA120" s="343"/>
    </row>
    <row r="121" spans="1:27" s="349" customFormat="1" x14ac:dyDescent="0.25">
      <c r="A121" s="729"/>
      <c r="B121" s="698"/>
      <c r="C121" s="698"/>
      <c r="D121" s="301"/>
      <c r="E121" s="921"/>
      <c r="F121" s="2293" t="str">
        <f>Translations!$B$1293</f>
        <v>Тази стойност се среща за първи път в доклада с базови данни за НМИ, лист с обобщение „K_Summary“ („K_Обобщение“), клетка J474.</v>
      </c>
      <c r="G121" s="2293"/>
      <c r="H121" s="2293"/>
      <c r="I121" s="2293"/>
      <c r="J121" s="2293"/>
      <c r="K121" s="2293"/>
      <c r="L121" s="2293"/>
      <c r="M121" s="2293"/>
      <c r="N121" s="2293"/>
      <c r="O121" s="336"/>
      <c r="P121" s="302"/>
      <c r="Q121" s="343"/>
      <c r="R121" s="343"/>
      <c r="S121" s="343"/>
      <c r="T121" s="343"/>
      <c r="U121" s="343"/>
      <c r="V121" s="343"/>
      <c r="W121" s="343"/>
      <c r="X121" s="343"/>
      <c r="Y121" s="343"/>
      <c r="Z121" s="343"/>
      <c r="AA121" s="343"/>
    </row>
    <row r="122" spans="1:27" s="349" customFormat="1" ht="12.75" customHeight="1" x14ac:dyDescent="0.25">
      <c r="A122" s="729"/>
      <c r="B122" s="698"/>
      <c r="C122" s="698"/>
      <c r="D122" s="301"/>
      <c r="E122" s="920" t="s">
        <v>1443</v>
      </c>
      <c r="F122" s="2359" t="str">
        <f>Translations!$B$954</f>
        <v>Коефициент за отчитане на свързаните с водорода емисии от подинсталациите за винилхлориден мономер в съответствие с член 20 от ПРБ</v>
      </c>
      <c r="G122" s="2359"/>
      <c r="H122" s="2359"/>
      <c r="I122" s="2359"/>
      <c r="J122" s="2359"/>
      <c r="K122" s="2359"/>
      <c r="L122" s="2359"/>
      <c r="M122" s="2359"/>
      <c r="N122" s="2359"/>
      <c r="O122" s="336"/>
      <c r="P122" s="302"/>
      <c r="Q122" s="343"/>
      <c r="R122" s="343"/>
      <c r="S122" s="343"/>
      <c r="T122" s="343"/>
      <c r="U122" s="343"/>
      <c r="V122" s="343"/>
      <c r="W122" s="343"/>
      <c r="X122" s="343"/>
      <c r="Y122" s="343"/>
      <c r="Z122" s="343"/>
      <c r="AA122" s="343"/>
    </row>
    <row r="123" spans="1:27" s="349" customFormat="1" x14ac:dyDescent="0.25">
      <c r="A123" s="729"/>
      <c r="B123" s="698"/>
      <c r="C123" s="698"/>
      <c r="D123" s="301"/>
      <c r="E123" s="921"/>
      <c r="F123" s="2293" t="str">
        <f>Translations!$B$1294</f>
        <v>Тази стойност се среща за първи път в доклада с базови данни за НМИ, лист с обобщение „K_Summary“ („K_Обобщение“), клетка K474.</v>
      </c>
      <c r="G123" s="2293"/>
      <c r="H123" s="2293"/>
      <c r="I123" s="2293"/>
      <c r="J123" s="2293"/>
      <c r="K123" s="2293"/>
      <c r="L123" s="2293"/>
      <c r="M123" s="2293"/>
      <c r="N123" s="2293"/>
      <c r="O123" s="336"/>
      <c r="P123" s="302"/>
      <c r="Q123" s="343"/>
      <c r="R123" s="343"/>
      <c r="S123" s="343"/>
      <c r="T123" s="343"/>
      <c r="U123" s="343"/>
      <c r="V123" s="343"/>
      <c r="W123" s="343"/>
      <c r="X123" s="343"/>
      <c r="Y123" s="343"/>
      <c r="Z123" s="343"/>
      <c r="AA123" s="343"/>
    </row>
    <row r="124" spans="1:27" s="349" customFormat="1" ht="38.9" customHeight="1" x14ac:dyDescent="0.25">
      <c r="A124" s="729"/>
      <c r="B124" s="698"/>
      <c r="C124" s="698"/>
      <c r="D124" s="301"/>
      <c r="E124" s="2610" t="str">
        <f>Translations!$B$1295</f>
        <v>Ако е необходимо тук да бъдат въведени стойности, моля, проверете внимателно дали закръгляването съответства на стойностите във Вашия доклад с базови данни за НМИ. Обърнете внимание, че в доклада с базови данни закръгляването до най-близкото число тонове се прави само за разпределението. За всички останали параметри, които следва да бъдат въведени тук, показаното на екрана закръгляване може да не съответства на действително използваните цифри. Поради това е препоръчително „стойностите“ да се поставят тук от НМИ клетка по клетка.</v>
      </c>
      <c r="F124" s="2610"/>
      <c r="G124" s="2610"/>
      <c r="H124" s="2610"/>
      <c r="I124" s="2610"/>
      <c r="J124" s="2610"/>
      <c r="K124" s="2610"/>
      <c r="L124" s="2610"/>
      <c r="M124" s="2610"/>
      <c r="N124" s="2610"/>
      <c r="O124" s="336"/>
      <c r="P124" s="302"/>
      <c r="Q124" s="343"/>
      <c r="R124" s="343"/>
      <c r="S124" s="711"/>
      <c r="T124" s="343"/>
      <c r="U124" s="343"/>
      <c r="V124" s="343"/>
      <c r="W124" s="343"/>
      <c r="X124" s="343"/>
      <c r="Y124" s="343"/>
      <c r="Z124" s="343"/>
      <c r="AA124" s="343"/>
    </row>
    <row r="125" spans="1:27" s="349" customFormat="1" ht="12.75" customHeight="1" x14ac:dyDescent="0.3">
      <c r="A125" s="729"/>
      <c r="B125" s="698"/>
      <c r="C125" s="698"/>
      <c r="D125" s="2601" t="str">
        <f>Translations!$B$151</f>
        <v>№</v>
      </c>
      <c r="E125" s="2599" t="str">
        <f>Translations!$B$152</f>
        <v>Вид продукт</v>
      </c>
      <c r="F125" s="2600"/>
      <c r="G125" s="2601"/>
      <c r="H125" s="2634" t="str">
        <f>Translations!$B$934</f>
        <v>Единица мярка</v>
      </c>
      <c r="I125" s="891" t="str">
        <f>Translations!$B$1284</f>
        <v>HAL</v>
      </c>
      <c r="J125" s="922" t="str">
        <f>J89</f>
        <v>топл. ен. извън СТЕ</v>
      </c>
      <c r="K125" s="922" t="str">
        <f>K89</f>
        <v>Отпадни газове, изгорени във факел</v>
      </c>
      <c r="L125" s="922"/>
      <c r="M125" s="922" t="str">
        <f>M89</f>
        <v>HVC-corr</v>
      </c>
      <c r="N125" s="923" t="str">
        <f>N89</f>
        <v>VCM-F</v>
      </c>
      <c r="O125" s="336"/>
      <c r="P125" s="302"/>
      <c r="Q125" s="343"/>
      <c r="R125" s="343"/>
      <c r="S125" s="897" t="s">
        <v>737</v>
      </c>
      <c r="T125" s="716" t="str">
        <f>Translations!$B$1388</f>
        <v>Равнище на дейност</v>
      </c>
      <c r="U125" s="716" t="str">
        <f>Translations!$B$949</f>
        <v>топл. ен. извън СТЕ</v>
      </c>
      <c r="V125" s="924" t="str">
        <f>Translations!$B$1285</f>
        <v>Отпадни газове, изгорени във факел</v>
      </c>
      <c r="W125" s="924" t="s">
        <v>1441</v>
      </c>
      <c r="X125" s="924" t="s">
        <v>1769</v>
      </c>
      <c r="Y125" s="924" t="s">
        <v>1443</v>
      </c>
      <c r="Z125" s="343"/>
      <c r="AA125" s="343"/>
    </row>
    <row r="126" spans="1:27" s="349" customFormat="1" ht="12.75" customHeight="1" thickBot="1" x14ac:dyDescent="0.3">
      <c r="A126" s="729"/>
      <c r="B126" s="698"/>
      <c r="C126" s="698"/>
      <c r="D126" s="2616"/>
      <c r="E126" s="2599"/>
      <c r="F126" s="2600"/>
      <c r="G126" s="2601"/>
      <c r="H126" s="2635"/>
      <c r="I126" s="893"/>
      <c r="J126" s="893" t="str">
        <f>J90</f>
        <v>Квота за емисии</v>
      </c>
      <c r="K126" s="894" t="str">
        <f>K90</f>
        <v>Квота за емисии</v>
      </c>
      <c r="L126" s="895"/>
      <c r="M126" s="894" t="str">
        <f>M90</f>
        <v>Квота за емисии</v>
      </c>
      <c r="N126" s="896" t="str">
        <f>N90</f>
        <v>-</v>
      </c>
      <c r="O126" s="336"/>
      <c r="P126" s="302"/>
      <c r="Q126" s="343"/>
      <c r="R126" s="343"/>
      <c r="S126" s="343"/>
      <c r="T126" s="716"/>
      <c r="U126" s="716"/>
      <c r="V126" s="924"/>
      <c r="W126" s="924"/>
      <c r="X126" s="924"/>
      <c r="Y126" s="924"/>
      <c r="Z126" s="343"/>
      <c r="AA126" s="343"/>
    </row>
    <row r="127" spans="1:27" s="349" customFormat="1" x14ac:dyDescent="0.25">
      <c r="A127" s="729"/>
      <c r="B127" s="698"/>
      <c r="C127" s="698"/>
      <c r="D127" s="850">
        <v>1</v>
      </c>
      <c r="E127" s="2611" t="str">
        <f t="shared" ref="E127:E136" si="41">IF(OR(CTRL_InputMethodNIMsvalues=2,CNTR_Incumbent=FALSE),U27,"")</f>
        <v/>
      </c>
      <c r="F127" s="2612"/>
      <c r="G127" s="2613"/>
      <c r="H127" s="925" t="str">
        <f t="shared" ref="H127:H136" si="42">IF(E127="","",INDEX(CNTR_SubInstListHALUnit,MATCH(E127,CNTR_SubInstListNames,0)))</f>
        <v/>
      </c>
      <c r="I127" s="188"/>
      <c r="J127" s="188"/>
      <c r="K127" s="188"/>
      <c r="L127" s="926"/>
      <c r="M127" s="188"/>
      <c r="N127" s="191"/>
      <c r="O127" s="336"/>
      <c r="P127" s="181"/>
      <c r="Q127" s="343"/>
      <c r="R127" s="343"/>
      <c r="S127" s="343"/>
      <c r="T127" s="716" t="b">
        <f>OR(CTRL_InputMethodNIMsvalues=1,CNTR_Incumbent=FALSE,SUM(I27)&gt;=DATE(A_InstallationData!$H$412-1,1,1),AND(CNTR_ExistSubInstEntries,$E127="",$G27=""))</f>
        <v>0</v>
      </c>
      <c r="U127" s="716" t="b">
        <f>T127</f>
        <v>0</v>
      </c>
      <c r="V127" s="716" t="b">
        <f>U127</f>
        <v>0</v>
      </c>
      <c r="W127" s="727" t="b">
        <f t="shared" ref="W127:W136" si="43">IF(CNTR_ExistSubInstEntries,IF(OR(T127,E127="",CTRL_InputMethodNIMsvalues&lt;&gt;2),TRUE,INDEX(EUconst_BMlistElExchangability,MATCH($E127,EUconst_BMlistNames,0))=FALSE),FALSE)</f>
        <v>0</v>
      </c>
      <c r="X127" s="727" t="b">
        <f t="shared" ref="X127:X136" si="44">IF(CNTR_ExistSubInstEntries,IF(OR(T127,$E127="",CTRL_InputMethodNIMsvalues&lt;&gt;2),TRUE,INDEX(EUconst_BMlistMainNumberOfBM,MATCH(E127,EUconst_BMlistNames,0))&lt;&gt;42),FALSE)</f>
        <v>0</v>
      </c>
      <c r="Y127" s="727" t="b">
        <f t="shared" ref="Y127:Y136" si="45">IF(CNTR_ExistSubInstEntries,IF(OR(T127,$E127="",CTRL_InputMethodNIMsvalues&lt;&gt;2),TRUE,INDEX(EUconst_BMlistMainNumberOfBM,MATCH(E127,EUconst_BMlistNames,0))&lt;&gt;47),FALSE)</f>
        <v>0</v>
      </c>
      <c r="Z127" s="732" t="s">
        <v>2039</v>
      </c>
      <c r="AA127" s="776" t="str">
        <f t="shared" ref="AA127:AA136" si="46">IF(AND(CNTR_ExistSubInstEntries,COUNTIFS(T127:Y127,FALSE,I127:N127,"")&gt;0),2,"")</f>
        <v/>
      </c>
    </row>
    <row r="128" spans="1:27" s="349" customFormat="1" x14ac:dyDescent="0.25">
      <c r="A128" s="729"/>
      <c r="B128" s="698"/>
      <c r="C128" s="698"/>
      <c r="D128" s="857">
        <f t="shared" ref="D128:D136" si="47">D127+1</f>
        <v>2</v>
      </c>
      <c r="E128" s="2592" t="str">
        <f t="shared" si="41"/>
        <v/>
      </c>
      <c r="F128" s="2590"/>
      <c r="G128" s="2591"/>
      <c r="H128" s="927" t="str">
        <f t="shared" si="42"/>
        <v/>
      </c>
      <c r="I128" s="189"/>
      <c r="J128" s="189"/>
      <c r="K128" s="189"/>
      <c r="L128" s="928"/>
      <c r="M128" s="189"/>
      <c r="N128" s="192"/>
      <c r="O128" s="336"/>
      <c r="P128" s="181"/>
      <c r="Q128" s="343"/>
      <c r="R128" s="343"/>
      <c r="S128" s="343"/>
      <c r="T128" s="716" t="b">
        <f>OR(CTRL_InputMethodNIMsvalues=1,CNTR_Incumbent=FALSE,SUM(I28)&gt;=DATE(A_InstallationData!$H$412-1,1,1),AND(CNTR_ExistSubInstEntries,$E128="",$G28=""))</f>
        <v>0</v>
      </c>
      <c r="U128" s="716" t="b">
        <f t="shared" ref="U128:U136" si="48">T128</f>
        <v>0</v>
      </c>
      <c r="V128" s="716" t="b">
        <f t="shared" ref="V128:V136" si="49">U128</f>
        <v>0</v>
      </c>
      <c r="W128" s="727" t="b">
        <f t="shared" si="43"/>
        <v>0</v>
      </c>
      <c r="X128" s="727" t="b">
        <f t="shared" si="44"/>
        <v>0</v>
      </c>
      <c r="Y128" s="727" t="b">
        <f t="shared" si="45"/>
        <v>0</v>
      </c>
      <c r="Z128" s="732" t="s">
        <v>2039</v>
      </c>
      <c r="AA128" s="778" t="str">
        <f t="shared" si="46"/>
        <v/>
      </c>
    </row>
    <row r="129" spans="1:27" s="349" customFormat="1" x14ac:dyDescent="0.25">
      <c r="A129" s="729"/>
      <c r="B129" s="698"/>
      <c r="C129" s="698"/>
      <c r="D129" s="857">
        <f t="shared" si="47"/>
        <v>3</v>
      </c>
      <c r="E129" s="2592" t="str">
        <f t="shared" si="41"/>
        <v/>
      </c>
      <c r="F129" s="2590"/>
      <c r="G129" s="2591"/>
      <c r="H129" s="927" t="str">
        <f t="shared" si="42"/>
        <v/>
      </c>
      <c r="I129" s="189"/>
      <c r="J129" s="189"/>
      <c r="K129" s="189"/>
      <c r="L129" s="928"/>
      <c r="M129" s="189"/>
      <c r="N129" s="192"/>
      <c r="O129" s="336"/>
      <c r="P129" s="181"/>
      <c r="Q129" s="343"/>
      <c r="R129" s="343"/>
      <c r="S129" s="343"/>
      <c r="T129" s="716" t="b">
        <f>OR(CTRL_InputMethodNIMsvalues=1,CNTR_Incumbent=FALSE,SUM(I29)&gt;=DATE(A_InstallationData!$H$412-1,1,1),AND(CNTR_ExistSubInstEntries,$E129="",$G29=""))</f>
        <v>0</v>
      </c>
      <c r="U129" s="716" t="b">
        <f t="shared" si="48"/>
        <v>0</v>
      </c>
      <c r="V129" s="716" t="b">
        <f t="shared" si="49"/>
        <v>0</v>
      </c>
      <c r="W129" s="727" t="b">
        <f t="shared" si="43"/>
        <v>0</v>
      </c>
      <c r="X129" s="727" t="b">
        <f t="shared" si="44"/>
        <v>0</v>
      </c>
      <c r="Y129" s="727" t="b">
        <f t="shared" si="45"/>
        <v>0</v>
      </c>
      <c r="Z129" s="732" t="s">
        <v>2039</v>
      </c>
      <c r="AA129" s="778" t="str">
        <f t="shared" si="46"/>
        <v/>
      </c>
    </row>
    <row r="130" spans="1:27" s="349" customFormat="1" x14ac:dyDescent="0.25">
      <c r="A130" s="729"/>
      <c r="B130" s="698"/>
      <c r="C130" s="698"/>
      <c r="D130" s="857">
        <f t="shared" si="47"/>
        <v>4</v>
      </c>
      <c r="E130" s="2592" t="str">
        <f t="shared" si="41"/>
        <v/>
      </c>
      <c r="F130" s="2590"/>
      <c r="G130" s="2591"/>
      <c r="H130" s="927" t="str">
        <f t="shared" si="42"/>
        <v/>
      </c>
      <c r="I130" s="189"/>
      <c r="J130" s="189"/>
      <c r="K130" s="189"/>
      <c r="L130" s="928"/>
      <c r="M130" s="189"/>
      <c r="N130" s="192"/>
      <c r="O130" s="336"/>
      <c r="P130" s="181"/>
      <c r="Q130" s="343"/>
      <c r="R130" s="343"/>
      <c r="S130" s="343"/>
      <c r="T130" s="716" t="b">
        <f>OR(CTRL_InputMethodNIMsvalues=1,CNTR_Incumbent=FALSE,SUM(I30)&gt;=DATE(A_InstallationData!$H$412-1,1,1),AND(CNTR_ExistSubInstEntries,$E130="",$G30=""))</f>
        <v>0</v>
      </c>
      <c r="U130" s="716" t="b">
        <f t="shared" si="48"/>
        <v>0</v>
      </c>
      <c r="V130" s="716" t="b">
        <f t="shared" si="49"/>
        <v>0</v>
      </c>
      <c r="W130" s="727" t="b">
        <f t="shared" si="43"/>
        <v>0</v>
      </c>
      <c r="X130" s="727" t="b">
        <f t="shared" si="44"/>
        <v>0</v>
      </c>
      <c r="Y130" s="727" t="b">
        <f t="shared" si="45"/>
        <v>0</v>
      </c>
      <c r="Z130" s="732" t="s">
        <v>2039</v>
      </c>
      <c r="AA130" s="778" t="str">
        <f t="shared" si="46"/>
        <v/>
      </c>
    </row>
    <row r="131" spans="1:27" s="349" customFormat="1" x14ac:dyDescent="0.25">
      <c r="A131" s="729"/>
      <c r="B131" s="698"/>
      <c r="C131" s="698"/>
      <c r="D131" s="857">
        <f t="shared" si="47"/>
        <v>5</v>
      </c>
      <c r="E131" s="2592" t="str">
        <f t="shared" si="41"/>
        <v/>
      </c>
      <c r="F131" s="2590"/>
      <c r="G131" s="2591"/>
      <c r="H131" s="927" t="str">
        <f t="shared" si="42"/>
        <v/>
      </c>
      <c r="I131" s="189"/>
      <c r="J131" s="189"/>
      <c r="K131" s="189"/>
      <c r="L131" s="928"/>
      <c r="M131" s="189"/>
      <c r="N131" s="192"/>
      <c r="O131" s="336"/>
      <c r="P131" s="181"/>
      <c r="Q131" s="343"/>
      <c r="R131" s="343"/>
      <c r="S131" s="343"/>
      <c r="T131" s="716" t="b">
        <f>OR(CTRL_InputMethodNIMsvalues=1,CNTR_Incumbent=FALSE,SUM(I31)&gt;=DATE(A_InstallationData!$H$412-1,1,1),AND(CNTR_ExistSubInstEntries,$E131="",$G31=""))</f>
        <v>0</v>
      </c>
      <c r="U131" s="716" t="b">
        <f t="shared" si="48"/>
        <v>0</v>
      </c>
      <c r="V131" s="716" t="b">
        <f t="shared" si="49"/>
        <v>0</v>
      </c>
      <c r="W131" s="727" t="b">
        <f t="shared" si="43"/>
        <v>0</v>
      </c>
      <c r="X131" s="727" t="b">
        <f t="shared" si="44"/>
        <v>0</v>
      </c>
      <c r="Y131" s="727" t="b">
        <f t="shared" si="45"/>
        <v>0</v>
      </c>
      <c r="Z131" s="732" t="s">
        <v>2039</v>
      </c>
      <c r="AA131" s="778" t="str">
        <f t="shared" si="46"/>
        <v/>
      </c>
    </row>
    <row r="132" spans="1:27" s="349" customFormat="1" x14ac:dyDescent="0.25">
      <c r="A132" s="729"/>
      <c r="B132" s="698"/>
      <c r="C132" s="698"/>
      <c r="D132" s="857">
        <f t="shared" si="47"/>
        <v>6</v>
      </c>
      <c r="E132" s="2592" t="str">
        <f t="shared" si="41"/>
        <v/>
      </c>
      <c r="F132" s="2590"/>
      <c r="G132" s="2591"/>
      <c r="H132" s="927" t="str">
        <f t="shared" si="42"/>
        <v/>
      </c>
      <c r="I132" s="189"/>
      <c r="J132" s="189"/>
      <c r="K132" s="189"/>
      <c r="L132" s="928"/>
      <c r="M132" s="189"/>
      <c r="N132" s="192"/>
      <c r="O132" s="336"/>
      <c r="P132" s="181"/>
      <c r="Q132" s="343"/>
      <c r="R132" s="343"/>
      <c r="S132" s="343"/>
      <c r="T132" s="716" t="b">
        <f>OR(CTRL_InputMethodNIMsvalues=1,CNTR_Incumbent=FALSE,SUM(I32)&gt;=DATE(A_InstallationData!$H$412-1,1,1),AND(CNTR_ExistSubInstEntries,$E132="",$G32=""))</f>
        <v>0</v>
      </c>
      <c r="U132" s="716" t="b">
        <f t="shared" si="48"/>
        <v>0</v>
      </c>
      <c r="V132" s="716" t="b">
        <f t="shared" si="49"/>
        <v>0</v>
      </c>
      <c r="W132" s="727" t="b">
        <f t="shared" si="43"/>
        <v>0</v>
      </c>
      <c r="X132" s="727" t="b">
        <f t="shared" si="44"/>
        <v>0</v>
      </c>
      <c r="Y132" s="727" t="b">
        <f t="shared" si="45"/>
        <v>0</v>
      </c>
      <c r="Z132" s="732" t="s">
        <v>2039</v>
      </c>
      <c r="AA132" s="778" t="str">
        <f t="shared" si="46"/>
        <v/>
      </c>
    </row>
    <row r="133" spans="1:27" s="349" customFormat="1" x14ac:dyDescent="0.25">
      <c r="A133" s="729"/>
      <c r="B133" s="698"/>
      <c r="C133" s="698"/>
      <c r="D133" s="857">
        <f t="shared" si="47"/>
        <v>7</v>
      </c>
      <c r="E133" s="2592" t="str">
        <f t="shared" si="41"/>
        <v/>
      </c>
      <c r="F133" s="2590"/>
      <c r="G133" s="2591"/>
      <c r="H133" s="927" t="str">
        <f t="shared" si="42"/>
        <v/>
      </c>
      <c r="I133" s="189"/>
      <c r="J133" s="189"/>
      <c r="K133" s="189"/>
      <c r="L133" s="928"/>
      <c r="M133" s="189"/>
      <c r="N133" s="192"/>
      <c r="O133" s="336"/>
      <c r="P133" s="181"/>
      <c r="Q133" s="343"/>
      <c r="R133" s="343"/>
      <c r="S133" s="343"/>
      <c r="T133" s="716" t="b">
        <f>OR(CTRL_InputMethodNIMsvalues=1,CNTR_Incumbent=FALSE,SUM(I33)&gt;=DATE(A_InstallationData!$H$412-1,1,1),AND(CNTR_ExistSubInstEntries,$E133="",$G33=""))</f>
        <v>0</v>
      </c>
      <c r="U133" s="716" t="b">
        <f t="shared" si="48"/>
        <v>0</v>
      </c>
      <c r="V133" s="716" t="b">
        <f t="shared" si="49"/>
        <v>0</v>
      </c>
      <c r="W133" s="727" t="b">
        <f t="shared" si="43"/>
        <v>0</v>
      </c>
      <c r="X133" s="727" t="b">
        <f t="shared" si="44"/>
        <v>0</v>
      </c>
      <c r="Y133" s="727" t="b">
        <f t="shared" si="45"/>
        <v>0</v>
      </c>
      <c r="Z133" s="732" t="s">
        <v>2039</v>
      </c>
      <c r="AA133" s="778" t="str">
        <f t="shared" si="46"/>
        <v/>
      </c>
    </row>
    <row r="134" spans="1:27" s="349" customFormat="1" x14ac:dyDescent="0.25">
      <c r="A134" s="729"/>
      <c r="B134" s="698"/>
      <c r="C134" s="698"/>
      <c r="D134" s="857">
        <f t="shared" si="47"/>
        <v>8</v>
      </c>
      <c r="E134" s="2592" t="str">
        <f t="shared" si="41"/>
        <v/>
      </c>
      <c r="F134" s="2590"/>
      <c r="G134" s="2591"/>
      <c r="H134" s="927" t="str">
        <f t="shared" si="42"/>
        <v/>
      </c>
      <c r="I134" s="189"/>
      <c r="J134" s="189"/>
      <c r="K134" s="189"/>
      <c r="L134" s="928"/>
      <c r="M134" s="189"/>
      <c r="N134" s="192"/>
      <c r="O134" s="336"/>
      <c r="P134" s="181"/>
      <c r="Q134" s="343"/>
      <c r="R134" s="343"/>
      <c r="S134" s="343"/>
      <c r="T134" s="716" t="b">
        <f>OR(CTRL_InputMethodNIMsvalues=1,CNTR_Incumbent=FALSE,SUM(I34)&gt;=DATE(A_InstallationData!$H$412-1,1,1),AND(CNTR_ExistSubInstEntries,$E134="",$G34=""))</f>
        <v>0</v>
      </c>
      <c r="U134" s="716" t="b">
        <f t="shared" si="48"/>
        <v>0</v>
      </c>
      <c r="V134" s="716" t="b">
        <f t="shared" si="49"/>
        <v>0</v>
      </c>
      <c r="W134" s="727" t="b">
        <f t="shared" si="43"/>
        <v>0</v>
      </c>
      <c r="X134" s="727" t="b">
        <f t="shared" si="44"/>
        <v>0</v>
      </c>
      <c r="Y134" s="727" t="b">
        <f t="shared" si="45"/>
        <v>0</v>
      </c>
      <c r="Z134" s="732" t="s">
        <v>2039</v>
      </c>
      <c r="AA134" s="778" t="str">
        <f t="shared" si="46"/>
        <v/>
      </c>
    </row>
    <row r="135" spans="1:27" s="349" customFormat="1" x14ac:dyDescent="0.25">
      <c r="A135" s="729"/>
      <c r="B135" s="698"/>
      <c r="C135" s="698"/>
      <c r="D135" s="857">
        <f t="shared" si="47"/>
        <v>9</v>
      </c>
      <c r="E135" s="2592" t="str">
        <f t="shared" si="41"/>
        <v/>
      </c>
      <c r="F135" s="2590"/>
      <c r="G135" s="2591"/>
      <c r="H135" s="927" t="str">
        <f t="shared" si="42"/>
        <v/>
      </c>
      <c r="I135" s="189"/>
      <c r="J135" s="189"/>
      <c r="K135" s="189"/>
      <c r="L135" s="928"/>
      <c r="M135" s="189"/>
      <c r="N135" s="192"/>
      <c r="O135" s="336"/>
      <c r="P135" s="181"/>
      <c r="Q135" s="343"/>
      <c r="R135" s="343"/>
      <c r="S135" s="343"/>
      <c r="T135" s="716" t="b">
        <f>OR(CTRL_InputMethodNIMsvalues=1,CNTR_Incumbent=FALSE,SUM(I35)&gt;=DATE(A_InstallationData!$H$412-1,1,1),AND(CNTR_ExistSubInstEntries,$E135="",$G35=""))</f>
        <v>0</v>
      </c>
      <c r="U135" s="716" t="b">
        <f t="shared" si="48"/>
        <v>0</v>
      </c>
      <c r="V135" s="716" t="b">
        <f t="shared" si="49"/>
        <v>0</v>
      </c>
      <c r="W135" s="727" t="b">
        <f t="shared" si="43"/>
        <v>0</v>
      </c>
      <c r="X135" s="727" t="b">
        <f t="shared" si="44"/>
        <v>0</v>
      </c>
      <c r="Y135" s="727" t="b">
        <f t="shared" si="45"/>
        <v>0</v>
      </c>
      <c r="Z135" s="732" t="s">
        <v>2039</v>
      </c>
      <c r="AA135" s="778" t="str">
        <f t="shared" si="46"/>
        <v/>
      </c>
    </row>
    <row r="136" spans="1:27" s="349" customFormat="1" ht="13" thickBot="1" x14ac:dyDescent="0.3">
      <c r="A136" s="729"/>
      <c r="B136" s="698"/>
      <c r="C136" s="698"/>
      <c r="D136" s="862">
        <f t="shared" si="47"/>
        <v>10</v>
      </c>
      <c r="E136" s="2651" t="str">
        <f t="shared" si="41"/>
        <v/>
      </c>
      <c r="F136" s="2597"/>
      <c r="G136" s="2598"/>
      <c r="H136" s="929" t="str">
        <f t="shared" si="42"/>
        <v/>
      </c>
      <c r="I136" s="190"/>
      <c r="J136" s="190"/>
      <c r="K136" s="190"/>
      <c r="L136" s="930"/>
      <c r="M136" s="190"/>
      <c r="N136" s="193"/>
      <c r="O136" s="336"/>
      <c r="P136" s="181"/>
      <c r="Q136" s="343"/>
      <c r="R136" s="343"/>
      <c r="S136" s="343"/>
      <c r="T136" s="716" t="b">
        <f>OR(CTRL_InputMethodNIMsvalues=1,CNTR_Incumbent=FALSE,SUM(I36)&gt;=DATE(A_InstallationData!$H$412-1,1,1),AND(CNTR_ExistSubInstEntries,$E136="",$G36=""))</f>
        <v>0</v>
      </c>
      <c r="U136" s="716" t="b">
        <f t="shared" si="48"/>
        <v>0</v>
      </c>
      <c r="V136" s="716" t="b">
        <f t="shared" si="49"/>
        <v>0</v>
      </c>
      <c r="W136" s="727" t="b">
        <f t="shared" si="43"/>
        <v>0</v>
      </c>
      <c r="X136" s="727" t="b">
        <f t="shared" si="44"/>
        <v>0</v>
      </c>
      <c r="Y136" s="727" t="b">
        <f t="shared" si="45"/>
        <v>0</v>
      </c>
      <c r="Z136" s="732" t="s">
        <v>2039</v>
      </c>
      <c r="AA136" s="780" t="str">
        <f t="shared" si="46"/>
        <v/>
      </c>
    </row>
    <row r="137" spans="1:27" s="349" customFormat="1" ht="12.75" customHeight="1" x14ac:dyDescent="0.25">
      <c r="A137" s="729"/>
      <c r="B137" s="698"/>
      <c r="C137" s="698"/>
      <c r="D137" s="850">
        <v>11</v>
      </c>
      <c r="E137" s="2652" t="str">
        <f t="shared" ref="E137:E146" si="50">INDEX(EUconst_FallBackListNames,D137-10)</f>
        <v>Подинсталация с топлинен показател (с риск от ИВЕ | извън МКВЕГ)</v>
      </c>
      <c r="F137" s="2653"/>
      <c r="G137" s="2613"/>
      <c r="H137" s="931" t="str">
        <f t="shared" ref="H137:H143" si="51">EUconst_TJ</f>
        <v>TJ</v>
      </c>
      <c r="I137" s="188"/>
      <c r="J137" s="908"/>
      <c r="K137" s="909"/>
      <c r="L137" s="910"/>
      <c r="M137" s="909"/>
      <c r="N137" s="911"/>
      <c r="O137" s="336"/>
      <c r="P137" s="181"/>
      <c r="Q137" s="343"/>
      <c r="R137" s="343"/>
      <c r="S137" s="343"/>
      <c r="T137" s="716" t="b">
        <f>OR(CTRL_InputMethodNIMsvalues=1,CNTR_Incumbent=FALSE,SUM(I57)&gt;=DATE(A_InstallationData!$H$412-1,1,1),AND(CNTR_ExistSubInstEntries,H57&lt;&gt;TRUE))</f>
        <v>0</v>
      </c>
      <c r="U137" s="343"/>
      <c r="V137" s="343"/>
      <c r="W137" s="343"/>
      <c r="X137" s="343"/>
      <c r="Y137" s="343"/>
      <c r="Z137" s="732" t="s">
        <v>2039</v>
      </c>
      <c r="AA137" s="776" t="str">
        <f t="shared" ref="AA137:AA146" si="52">IF(AND(CNTR_ExistSubInstEntries,COUNTIFS(T137,FALSE,I137,"")&gt;0),2,"")</f>
        <v/>
      </c>
    </row>
    <row r="138" spans="1:27" s="349" customFormat="1" ht="12.75" customHeight="1" x14ac:dyDescent="0.25">
      <c r="A138" s="729"/>
      <c r="B138" s="698"/>
      <c r="C138" s="698"/>
      <c r="D138" s="857">
        <f>D137+1</f>
        <v>12</v>
      </c>
      <c r="E138" s="2589" t="str">
        <f t="shared" si="50"/>
        <v>Подинсталация с топлинен показател (без риск от ИВЕ | извън МКВЕГ)</v>
      </c>
      <c r="F138" s="2590"/>
      <c r="G138" s="2591"/>
      <c r="H138" s="932" t="str">
        <f t="shared" si="51"/>
        <v>TJ</v>
      </c>
      <c r="I138" s="189"/>
      <c r="J138" s="912"/>
      <c r="K138" s="913"/>
      <c r="L138" s="914"/>
      <c r="M138" s="913"/>
      <c r="N138" s="915"/>
      <c r="O138" s="336"/>
      <c r="P138" s="181"/>
      <c r="Q138" s="343"/>
      <c r="R138" s="343"/>
      <c r="S138" s="343"/>
      <c r="T138" s="716" t="b">
        <f>OR(CTRL_InputMethodNIMsvalues=1,CNTR_Incumbent=FALSE,SUM(I58)&gt;=DATE(A_InstallationData!$H$412-1,1,1),AND(CNTR_ExistSubInstEntries,H58&lt;&gt;TRUE))</f>
        <v>0</v>
      </c>
      <c r="U138" s="343"/>
      <c r="V138" s="343"/>
      <c r="W138" s="343"/>
      <c r="X138" s="343"/>
      <c r="Y138" s="343"/>
      <c r="Z138" s="732" t="s">
        <v>2039</v>
      </c>
      <c r="AA138" s="778" t="str">
        <f t="shared" si="52"/>
        <v/>
      </c>
    </row>
    <row r="139" spans="1:27" s="349" customFormat="1" ht="12.75" customHeight="1" x14ac:dyDescent="0.25">
      <c r="A139" s="729"/>
      <c r="B139" s="698"/>
      <c r="C139" s="698"/>
      <c r="D139" s="857">
        <f t="shared" ref="D139:D146" si="53">D138+1</f>
        <v>13</v>
      </c>
      <c r="E139" s="2589" t="str">
        <f t="shared" ref="E139:E142" si="54">INDEX(EUconst_FallBackListNames,D139-10)</f>
        <v>Подинсталация с топлинен показател (с риск от ИВЕ | в рамките на МКВЕГ)</v>
      </c>
      <c r="F139" s="2590"/>
      <c r="G139" s="2591"/>
      <c r="H139" s="932" t="str">
        <f t="shared" si="51"/>
        <v>TJ</v>
      </c>
      <c r="I139" s="189"/>
      <c r="J139" s="912"/>
      <c r="K139" s="913"/>
      <c r="L139" s="914"/>
      <c r="M139" s="913"/>
      <c r="N139" s="915"/>
      <c r="O139" s="336"/>
      <c r="P139" s="181"/>
      <c r="Q139" s="343"/>
      <c r="R139" s="343"/>
      <c r="S139" s="343"/>
      <c r="T139" s="716" t="b">
        <f>OR(CTRL_InputMethodNIMsvalues=1,CNTR_Incumbent=FALSE,SUM(I59)&gt;=DATE(A_InstallationData!$H$412-1,1,1),AND(CNTR_ExistSubInstEntries,H59&lt;&gt;TRUE))</f>
        <v>0</v>
      </c>
      <c r="U139" s="343"/>
      <c r="V139" s="343"/>
      <c r="W139" s="343"/>
      <c r="X139" s="343"/>
      <c r="Y139" s="343"/>
      <c r="Z139" s="732" t="s">
        <v>2039</v>
      </c>
      <c r="AA139" s="778" t="str">
        <f t="shared" si="52"/>
        <v/>
      </c>
    </row>
    <row r="140" spans="1:27" s="349" customFormat="1" ht="12.75" customHeight="1" x14ac:dyDescent="0.25">
      <c r="A140" s="729"/>
      <c r="B140" s="698"/>
      <c r="C140" s="698"/>
      <c r="D140" s="857">
        <f t="shared" si="53"/>
        <v>14</v>
      </c>
      <c r="E140" s="2589" t="str">
        <f t="shared" si="54"/>
        <v>Подинсталация на топлофикационна мрежа</v>
      </c>
      <c r="F140" s="2590"/>
      <c r="G140" s="2591"/>
      <c r="H140" s="932" t="str">
        <f t="shared" si="51"/>
        <v>TJ</v>
      </c>
      <c r="I140" s="189"/>
      <c r="J140" s="912"/>
      <c r="K140" s="913"/>
      <c r="L140" s="914"/>
      <c r="M140" s="913"/>
      <c r="N140" s="915"/>
      <c r="O140" s="336"/>
      <c r="P140" s="181"/>
      <c r="Q140" s="343"/>
      <c r="R140" s="343"/>
      <c r="S140" s="343"/>
      <c r="T140" s="716" t="b">
        <f>OR(CTRL_InputMethodNIMsvalues=1,CNTR_Incumbent=FALSE,SUM(I60)&gt;=DATE(A_InstallationData!$H$412-1,1,1),AND(CNTR_ExistSubInstEntries,H60&lt;&gt;TRUE))</f>
        <v>0</v>
      </c>
      <c r="U140" s="343"/>
      <c r="V140" s="343"/>
      <c r="W140" s="343"/>
      <c r="X140" s="343"/>
      <c r="Y140" s="343"/>
      <c r="Z140" s="732" t="s">
        <v>2039</v>
      </c>
      <c r="AA140" s="778" t="str">
        <f t="shared" si="52"/>
        <v/>
      </c>
    </row>
    <row r="141" spans="1:27" s="349" customFormat="1" ht="12.75" customHeight="1" x14ac:dyDescent="0.25">
      <c r="A141" s="729"/>
      <c r="B141" s="698"/>
      <c r="C141" s="698"/>
      <c r="D141" s="857">
        <f t="shared" si="53"/>
        <v>15</v>
      </c>
      <c r="E141" s="2589" t="str">
        <f t="shared" si="54"/>
        <v>Подинсталация с горивен показател (с риск от ИВЕ | извън МКВЕГ)</v>
      </c>
      <c r="F141" s="2590"/>
      <c r="G141" s="2591"/>
      <c r="H141" s="932" t="str">
        <f t="shared" si="51"/>
        <v>TJ</v>
      </c>
      <c r="I141" s="189"/>
      <c r="J141" s="912"/>
      <c r="K141" s="913"/>
      <c r="L141" s="914"/>
      <c r="M141" s="913"/>
      <c r="N141" s="915"/>
      <c r="O141" s="336"/>
      <c r="P141" s="181"/>
      <c r="Q141" s="343"/>
      <c r="R141" s="343"/>
      <c r="S141" s="343"/>
      <c r="T141" s="716" t="b">
        <f>OR(CTRL_InputMethodNIMsvalues=1,CNTR_Incumbent=FALSE,SUM(I61)&gt;=DATE(A_InstallationData!$H$412-1,1,1),AND(CNTR_ExistSubInstEntries,H61&lt;&gt;TRUE))</f>
        <v>0</v>
      </c>
      <c r="U141" s="343"/>
      <c r="V141" s="343"/>
      <c r="W141" s="343"/>
      <c r="X141" s="343"/>
      <c r="Y141" s="343"/>
      <c r="Z141" s="732" t="s">
        <v>2039</v>
      </c>
      <c r="AA141" s="778" t="str">
        <f t="shared" si="52"/>
        <v/>
      </c>
    </row>
    <row r="142" spans="1:27" s="349" customFormat="1" ht="12.75" customHeight="1" x14ac:dyDescent="0.25">
      <c r="A142" s="729"/>
      <c r="B142" s="698"/>
      <c r="C142" s="698"/>
      <c r="D142" s="857">
        <f t="shared" si="53"/>
        <v>16</v>
      </c>
      <c r="E142" s="2589" t="str">
        <f t="shared" si="54"/>
        <v>Подинсталация с горивен показател (без риск от ИВЕ | извън МКВЕГ)</v>
      </c>
      <c r="F142" s="2590"/>
      <c r="G142" s="2591"/>
      <c r="H142" s="932" t="str">
        <f t="shared" si="51"/>
        <v>TJ</v>
      </c>
      <c r="I142" s="189"/>
      <c r="J142" s="912"/>
      <c r="K142" s="913"/>
      <c r="L142" s="914"/>
      <c r="M142" s="913"/>
      <c r="N142" s="915"/>
      <c r="O142" s="336"/>
      <c r="P142" s="181"/>
      <c r="Q142" s="343"/>
      <c r="R142" s="343"/>
      <c r="S142" s="343"/>
      <c r="T142" s="716" t="b">
        <f>OR(CTRL_InputMethodNIMsvalues=1,CNTR_Incumbent=FALSE,SUM(I62)&gt;=DATE(A_InstallationData!$H$412-1,1,1),AND(CNTR_ExistSubInstEntries,H62&lt;&gt;TRUE))</f>
        <v>0</v>
      </c>
      <c r="U142" s="343"/>
      <c r="V142" s="343"/>
      <c r="W142" s="343"/>
      <c r="X142" s="343"/>
      <c r="Y142" s="343"/>
      <c r="Z142" s="732" t="s">
        <v>2039</v>
      </c>
      <c r="AA142" s="778" t="str">
        <f t="shared" si="52"/>
        <v/>
      </c>
    </row>
    <row r="143" spans="1:27" s="349" customFormat="1" ht="12.75" customHeight="1" x14ac:dyDescent="0.25">
      <c r="A143" s="729"/>
      <c r="B143" s="698"/>
      <c r="C143" s="698"/>
      <c r="D143" s="857">
        <f t="shared" si="53"/>
        <v>17</v>
      </c>
      <c r="E143" s="2589" t="str">
        <f t="shared" si="50"/>
        <v>Подинсталация с горивен показател (с риск от ИВЕ | в рамките на МКВЕГ)</v>
      </c>
      <c r="F143" s="2590"/>
      <c r="G143" s="2591"/>
      <c r="H143" s="932" t="str">
        <f t="shared" si="51"/>
        <v>TJ</v>
      </c>
      <c r="I143" s="189"/>
      <c r="J143" s="912"/>
      <c r="K143" s="913"/>
      <c r="L143" s="914"/>
      <c r="M143" s="913"/>
      <c r="N143" s="915"/>
      <c r="O143" s="336"/>
      <c r="P143" s="181"/>
      <c r="Q143" s="343"/>
      <c r="R143" s="343"/>
      <c r="S143" s="343"/>
      <c r="T143" s="716" t="b">
        <f>OR(CTRL_InputMethodNIMsvalues=1,CNTR_Incumbent=FALSE,SUM(I63)&gt;=DATE(A_InstallationData!$H$412-1,1,1),AND(CNTR_ExistSubInstEntries,H63&lt;&gt;TRUE))</f>
        <v>0</v>
      </c>
      <c r="U143" s="343"/>
      <c r="V143" s="343"/>
      <c r="W143" s="343"/>
      <c r="X143" s="343"/>
      <c r="Y143" s="343"/>
      <c r="Z143" s="732" t="s">
        <v>2039</v>
      </c>
      <c r="AA143" s="778" t="str">
        <f t="shared" si="52"/>
        <v/>
      </c>
    </row>
    <row r="144" spans="1:27" s="349" customFormat="1" ht="12.75" customHeight="1" x14ac:dyDescent="0.25">
      <c r="A144" s="729"/>
      <c r="B144" s="698"/>
      <c r="C144" s="698"/>
      <c r="D144" s="857">
        <f t="shared" si="53"/>
        <v>18</v>
      </c>
      <c r="E144" s="2589" t="str">
        <f t="shared" si="50"/>
        <v>Подинсталация с емисии от процеси (с риск от ИВЕ | извън МКВЕГ)</v>
      </c>
      <c r="F144" s="2590"/>
      <c r="G144" s="2591"/>
      <c r="H144" s="932" t="str">
        <f>EUconst_tCO2e</f>
        <v>t CO2e</v>
      </c>
      <c r="I144" s="189"/>
      <c r="J144" s="912"/>
      <c r="K144" s="913"/>
      <c r="L144" s="914"/>
      <c r="M144" s="913"/>
      <c r="N144" s="915"/>
      <c r="O144" s="336"/>
      <c r="P144" s="181"/>
      <c r="Q144" s="343"/>
      <c r="R144" s="343"/>
      <c r="S144" s="343"/>
      <c r="T144" s="716" t="b">
        <f>OR(CTRL_InputMethodNIMsvalues=1,CNTR_Incumbent=FALSE,SUM(I64)&gt;=DATE(A_InstallationData!$H$412-1,1,1),AND(CNTR_ExistSubInstEntries,H64&lt;&gt;TRUE))</f>
        <v>0</v>
      </c>
      <c r="U144" s="343"/>
      <c r="V144" s="343"/>
      <c r="W144" s="343"/>
      <c r="X144" s="343"/>
      <c r="Y144" s="343"/>
      <c r="Z144" s="732" t="s">
        <v>2039</v>
      </c>
      <c r="AA144" s="778" t="str">
        <f t="shared" si="52"/>
        <v/>
      </c>
    </row>
    <row r="145" spans="1:27" s="349" customFormat="1" ht="12.75" customHeight="1" x14ac:dyDescent="0.25">
      <c r="A145" s="729"/>
      <c r="B145" s="698"/>
      <c r="C145" s="698"/>
      <c r="D145" s="857">
        <f t="shared" si="53"/>
        <v>19</v>
      </c>
      <c r="E145" s="2589" t="str">
        <f t="shared" si="50"/>
        <v>Подинсталация с емисии от процеси (без риск от ИВЕ | извън МКВЕГ)</v>
      </c>
      <c r="F145" s="2590"/>
      <c r="G145" s="2591"/>
      <c r="H145" s="932" t="str">
        <f>EUconst_tCO2e</f>
        <v>t CO2e</v>
      </c>
      <c r="I145" s="189"/>
      <c r="J145" s="912"/>
      <c r="K145" s="913"/>
      <c r="L145" s="914"/>
      <c r="M145" s="913"/>
      <c r="N145" s="915"/>
      <c r="O145" s="336"/>
      <c r="P145" s="181"/>
      <c r="Q145" s="343"/>
      <c r="R145" s="343"/>
      <c r="S145" s="343"/>
      <c r="T145" s="716" t="b">
        <f>OR(CTRL_InputMethodNIMsvalues=1,CNTR_Incumbent=FALSE,SUM(I65)&gt;=DATE(A_InstallationData!$H$412-1,1,1),AND(CNTR_ExistSubInstEntries,H65&lt;&gt;TRUE))</f>
        <v>0</v>
      </c>
      <c r="U145" s="343"/>
      <c r="V145" s="343"/>
      <c r="W145" s="343"/>
      <c r="X145" s="343"/>
      <c r="Y145" s="343"/>
      <c r="Z145" s="732" t="s">
        <v>2039</v>
      </c>
      <c r="AA145" s="778" t="str">
        <f t="shared" si="52"/>
        <v/>
      </c>
    </row>
    <row r="146" spans="1:27" s="349" customFormat="1" ht="13.5" customHeight="1" thickBot="1" x14ac:dyDescent="0.3">
      <c r="A146" s="729"/>
      <c r="B146" s="698"/>
      <c r="C146" s="698"/>
      <c r="D146" s="862">
        <f t="shared" si="53"/>
        <v>20</v>
      </c>
      <c r="E146" s="2596" t="str">
        <f t="shared" si="50"/>
        <v>Подинсталация с емисии от процеси (с риск от ИВЕ | в рамките на МКВЕГ)</v>
      </c>
      <c r="F146" s="2597"/>
      <c r="G146" s="2598"/>
      <c r="H146" s="933" t="str">
        <f>EUconst_tCO2e</f>
        <v>t CO2e</v>
      </c>
      <c r="I146" s="190"/>
      <c r="J146" s="916"/>
      <c r="K146" s="917"/>
      <c r="L146" s="918"/>
      <c r="M146" s="917"/>
      <c r="N146" s="919"/>
      <c r="O146" s="336"/>
      <c r="P146" s="181"/>
      <c r="Q146" s="343"/>
      <c r="R146" s="343"/>
      <c r="S146" s="343"/>
      <c r="T146" s="716" t="b">
        <f>OR(CTRL_InputMethodNIMsvalues=1,CNTR_Incumbent=FALSE,SUM(I66)&gt;=DATE(A_InstallationData!$H$412-1,1,1),AND(CNTR_ExistSubInstEntries,H66&lt;&gt;TRUE))</f>
        <v>0</v>
      </c>
      <c r="U146" s="343"/>
      <c r="V146" s="343"/>
      <c r="W146" s="343"/>
      <c r="X146" s="343"/>
      <c r="Y146" s="343"/>
      <c r="Z146" s="732" t="s">
        <v>2039</v>
      </c>
      <c r="AA146" s="780" t="str">
        <f t="shared" si="52"/>
        <v/>
      </c>
    </row>
    <row r="147" spans="1:27" s="349" customFormat="1" x14ac:dyDescent="0.25">
      <c r="A147" s="729"/>
      <c r="B147" s="698"/>
      <c r="C147" s="698"/>
      <c r="D147" s="698"/>
      <c r="E147" s="698"/>
      <c r="F147" s="698"/>
      <c r="G147" s="698"/>
      <c r="H147" s="698"/>
      <c r="I147" s="698"/>
      <c r="J147" s="698"/>
      <c r="K147" s="698"/>
      <c r="L147" s="698"/>
      <c r="M147" s="698"/>
      <c r="N147" s="698"/>
      <c r="O147" s="336"/>
      <c r="P147" s="302"/>
      <c r="Q147" s="343"/>
      <c r="R147" s="343"/>
      <c r="S147" s="343"/>
      <c r="T147" s="343"/>
      <c r="U147" s="343"/>
      <c r="V147" s="343"/>
      <c r="W147" s="343"/>
      <c r="X147" s="343"/>
      <c r="Y147" s="343"/>
      <c r="Z147" s="343"/>
      <c r="AA147" s="343"/>
    </row>
    <row r="148" spans="1:27" s="349" customFormat="1" ht="13" x14ac:dyDescent="0.25">
      <c r="A148" s="729"/>
      <c r="B148" s="698"/>
      <c r="C148" s="698"/>
      <c r="D148" s="300" t="s">
        <v>46</v>
      </c>
      <c r="E148" s="2226" t="str">
        <f>Translations!$B$1296</f>
        <v>Резултат: Параметри на първоначалното разпределение от НМИ</v>
      </c>
      <c r="F148" s="2249"/>
      <c r="G148" s="2249"/>
      <c r="H148" s="2249"/>
      <c r="I148" s="2249"/>
      <c r="J148" s="2249"/>
      <c r="K148" s="2249"/>
      <c r="L148" s="2249"/>
      <c r="M148" s="2249"/>
      <c r="N148" s="2249"/>
      <c r="O148" s="336"/>
      <c r="P148" s="302"/>
      <c r="Q148" s="343"/>
      <c r="R148" s="343"/>
      <c r="S148" s="343"/>
      <c r="T148" s="343"/>
      <c r="U148" s="343"/>
      <c r="V148" s="343"/>
      <c r="W148" s="343"/>
      <c r="X148" s="343"/>
      <c r="Y148" s="343"/>
      <c r="Z148" s="343"/>
      <c r="AA148" s="343"/>
    </row>
    <row r="149" spans="1:27" s="349" customFormat="1" x14ac:dyDescent="0.25">
      <c r="A149" s="729"/>
      <c r="B149" s="698"/>
      <c r="C149" s="698"/>
      <c r="D149" s="301"/>
      <c r="E149" s="2293" t="str">
        <f>Translations!$B$1297</f>
        <v>Тази таблица показва параметрите от значение при разпределянето по отношение на НМИ преди каквито и да е било промени, произтичащи от правилата на ALC-R. Стойностите тук винаги ще бъдат равни на нула за нови участници или нови подинсталации.</v>
      </c>
      <c r="F149" s="2240"/>
      <c r="G149" s="2240"/>
      <c r="H149" s="2240"/>
      <c r="I149" s="2240"/>
      <c r="J149" s="2240"/>
      <c r="K149" s="2240"/>
      <c r="L149" s="2240"/>
      <c r="M149" s="2240"/>
      <c r="N149" s="2240"/>
      <c r="O149" s="336"/>
      <c r="P149" s="302"/>
      <c r="Q149" s="343"/>
      <c r="R149" s="343"/>
      <c r="S149" s="343"/>
      <c r="T149" s="343"/>
      <c r="U149" s="343"/>
      <c r="V149" s="343"/>
      <c r="W149" s="343"/>
      <c r="X149" s="343"/>
      <c r="Y149" s="343"/>
      <c r="Z149" s="343"/>
      <c r="AA149" s="343"/>
    </row>
    <row r="150" spans="1:27" s="349" customFormat="1" ht="12.75" customHeight="1" x14ac:dyDescent="0.3">
      <c r="A150" s="729"/>
      <c r="B150" s="698"/>
      <c r="C150" s="698"/>
      <c r="D150" s="2601" t="str">
        <f>Translations!$B$151</f>
        <v>№</v>
      </c>
      <c r="E150" s="2599" t="str">
        <f>Translations!$B$152</f>
        <v>Вид продукт</v>
      </c>
      <c r="F150" s="2600"/>
      <c r="G150" s="2600"/>
      <c r="H150" s="2601"/>
      <c r="I150" s="891" t="str">
        <f t="shared" ref="I150:N150" si="55">I125</f>
        <v>HAL</v>
      </c>
      <c r="J150" s="922" t="str">
        <f t="shared" si="55"/>
        <v>топл. ен. извън СТЕ</v>
      </c>
      <c r="K150" s="922" t="str">
        <f t="shared" si="55"/>
        <v>Отпадни газове, изгорени във факел</v>
      </c>
      <c r="L150" s="923"/>
      <c r="M150" s="922" t="str">
        <f t="shared" si="55"/>
        <v>HVC-corr</v>
      </c>
      <c r="N150" s="923" t="str">
        <f t="shared" si="55"/>
        <v>VCM-F</v>
      </c>
      <c r="O150" s="336"/>
      <c r="P150" s="302"/>
      <c r="Q150" s="343"/>
      <c r="R150" s="343"/>
      <c r="S150" s="889" t="s">
        <v>1795</v>
      </c>
      <c r="T150" s="343"/>
      <c r="U150" s="343"/>
      <c r="V150" s="343"/>
      <c r="W150" s="343"/>
      <c r="X150" s="343"/>
      <c r="Y150" s="343"/>
      <c r="Z150" s="343"/>
      <c r="AA150" s="343"/>
    </row>
    <row r="151" spans="1:27" s="349" customFormat="1" ht="25.5" x14ac:dyDescent="0.3">
      <c r="A151" s="729"/>
      <c r="B151" s="698"/>
      <c r="C151" s="698"/>
      <c r="D151" s="2633"/>
      <c r="E151" s="2614"/>
      <c r="F151" s="2615"/>
      <c r="G151" s="2615"/>
      <c r="H151" s="2616"/>
      <c r="I151" s="934"/>
      <c r="J151" s="894" t="str">
        <f>J126</f>
        <v>Квота за емисии</v>
      </c>
      <c r="K151" s="894" t="str">
        <f>K126</f>
        <v>Квота за емисии</v>
      </c>
      <c r="L151" s="934"/>
      <c r="M151" s="894" t="str">
        <f>M126</f>
        <v>Квота за емисии</v>
      </c>
      <c r="N151" s="894" t="str">
        <f>N126</f>
        <v>-</v>
      </c>
      <c r="O151" s="336"/>
      <c r="P151" s="302"/>
      <c r="Q151" s="343"/>
      <c r="R151" s="343"/>
      <c r="S151" s="889"/>
      <c r="T151" s="343"/>
      <c r="U151" s="343"/>
      <c r="V151" s="343"/>
      <c r="W151" s="343"/>
      <c r="X151" s="343"/>
      <c r="Y151" s="343"/>
      <c r="Z151" s="343"/>
      <c r="AA151" s="343"/>
    </row>
    <row r="152" spans="1:27" s="349" customFormat="1" x14ac:dyDescent="0.25">
      <c r="A152" s="729"/>
      <c r="B152" s="698"/>
      <c r="C152" s="698"/>
      <c r="D152" s="850">
        <v>1</v>
      </c>
      <c r="E152" s="2593" t="str">
        <f t="shared" ref="E152:E161" si="56">U27</f>
        <v/>
      </c>
      <c r="F152" s="2594"/>
      <c r="G152" s="2594"/>
      <c r="H152" s="2595"/>
      <c r="I152" s="935" t="str">
        <f t="shared" ref="I152:K161" si="57">IF($E152="","",SUM(IF(I127="",I91,I127)))</f>
        <v/>
      </c>
      <c r="J152" s="935" t="str">
        <f t="shared" si="57"/>
        <v/>
      </c>
      <c r="K152" s="935" t="str">
        <f t="shared" si="57"/>
        <v/>
      </c>
      <c r="L152" s="926"/>
      <c r="M152" s="935" t="str">
        <f t="shared" ref="M152:M161" si="58">IF($E152="","",SUM(IF(M127="",M91,M127)))</f>
        <v/>
      </c>
      <c r="N152" s="936" t="str">
        <f t="shared" ref="N152:N161" si="59">IF($E152="","",SUM(IF(N127="",IF(N91="",1,N91),N127)))</f>
        <v/>
      </c>
      <c r="O152" s="336"/>
      <c r="P152" s="302"/>
      <c r="Q152" s="343"/>
      <c r="R152" s="343"/>
      <c r="S152" s="716" t="str">
        <f t="shared" ref="S152:S171" si="60">EUconst_AllocPrelim &amp; $E152</f>
        <v>AllocPrelim_</v>
      </c>
      <c r="T152" s="716" t="str">
        <f t="shared" ref="T152:T171" si="61">EUconst_CNTR_HALinitial &amp; $E152</f>
        <v>HALini_</v>
      </c>
      <c r="U152" s="716" t="str">
        <f t="shared" ref="U152:U161" si="62">EUconst_CNTR_HEATInitial &amp; $E152</f>
        <v>HEATIni_</v>
      </c>
      <c r="V152" s="716" t="str">
        <f t="shared" ref="V152:V161" si="63">EUconst_CNTR_HALinitial &amp; EUconst_CNTR_WGFlared &amp; E152</f>
        <v>HALini_WasteGasFlare_</v>
      </c>
      <c r="W152" s="716" t="str">
        <f t="shared" ref="W152:W161" si="64">EUconst_CNTR_HAL &amp; EUconst_CNTR_ELEXCHInitial &amp; $E152</f>
        <v>HAL_ELEXCHIni_</v>
      </c>
      <c r="X152" s="716" t="str">
        <f t="shared" ref="X152:X161" si="65">EUconst_CNTR_HVCInitial &amp; $E152</f>
        <v>HVCIni_</v>
      </c>
      <c r="Y152" s="716" t="str">
        <f t="shared" ref="Y152:Y161" si="66">EUconst_CNTR_VCMInitial &amp; $E152</f>
        <v>VCMIni_</v>
      </c>
      <c r="Z152" s="343"/>
      <c r="AA152" s="343"/>
    </row>
    <row r="153" spans="1:27" s="349" customFormat="1" x14ac:dyDescent="0.25">
      <c r="A153" s="729"/>
      <c r="B153" s="698"/>
      <c r="C153" s="698"/>
      <c r="D153" s="857">
        <f t="shared" ref="D153:D161" si="67">D152+1</f>
        <v>2</v>
      </c>
      <c r="E153" s="2586" t="str">
        <f t="shared" si="56"/>
        <v/>
      </c>
      <c r="F153" s="2587"/>
      <c r="G153" s="2587"/>
      <c r="H153" s="2588"/>
      <c r="I153" s="937" t="str">
        <f t="shared" si="57"/>
        <v/>
      </c>
      <c r="J153" s="937" t="str">
        <f t="shared" si="57"/>
        <v/>
      </c>
      <c r="K153" s="937" t="str">
        <f t="shared" si="57"/>
        <v/>
      </c>
      <c r="L153" s="928"/>
      <c r="M153" s="937" t="str">
        <f t="shared" si="58"/>
        <v/>
      </c>
      <c r="N153" s="938" t="str">
        <f t="shared" si="59"/>
        <v/>
      </c>
      <c r="O153" s="336"/>
      <c r="P153" s="302"/>
      <c r="Q153" s="343"/>
      <c r="R153" s="343"/>
      <c r="S153" s="716" t="str">
        <f t="shared" si="60"/>
        <v>AllocPrelim_</v>
      </c>
      <c r="T153" s="716" t="str">
        <f t="shared" si="61"/>
        <v>HALini_</v>
      </c>
      <c r="U153" s="716" t="str">
        <f t="shared" si="62"/>
        <v>HEATIni_</v>
      </c>
      <c r="V153" s="716" t="str">
        <f t="shared" si="63"/>
        <v>HALini_WasteGasFlare_</v>
      </c>
      <c r="W153" s="716" t="str">
        <f t="shared" si="64"/>
        <v>HAL_ELEXCHIni_</v>
      </c>
      <c r="X153" s="716" t="str">
        <f t="shared" si="65"/>
        <v>HVCIni_</v>
      </c>
      <c r="Y153" s="716" t="str">
        <f t="shared" si="66"/>
        <v>VCMIni_</v>
      </c>
      <c r="Z153" s="343"/>
      <c r="AA153" s="343"/>
    </row>
    <row r="154" spans="1:27" s="349" customFormat="1" x14ac:dyDescent="0.25">
      <c r="A154" s="729"/>
      <c r="B154" s="698"/>
      <c r="C154" s="698"/>
      <c r="D154" s="857">
        <f t="shared" si="67"/>
        <v>3</v>
      </c>
      <c r="E154" s="2586" t="str">
        <f t="shared" si="56"/>
        <v/>
      </c>
      <c r="F154" s="2587"/>
      <c r="G154" s="2587"/>
      <c r="H154" s="2588"/>
      <c r="I154" s="937" t="str">
        <f t="shared" si="57"/>
        <v/>
      </c>
      <c r="J154" s="937" t="str">
        <f t="shared" si="57"/>
        <v/>
      </c>
      <c r="K154" s="937" t="str">
        <f t="shared" si="57"/>
        <v/>
      </c>
      <c r="L154" s="928"/>
      <c r="M154" s="937" t="str">
        <f t="shared" si="58"/>
        <v/>
      </c>
      <c r="N154" s="938" t="str">
        <f t="shared" si="59"/>
        <v/>
      </c>
      <c r="O154" s="336"/>
      <c r="P154" s="302"/>
      <c r="Q154" s="343"/>
      <c r="R154" s="343"/>
      <c r="S154" s="716" t="str">
        <f t="shared" si="60"/>
        <v>AllocPrelim_</v>
      </c>
      <c r="T154" s="716" t="str">
        <f t="shared" si="61"/>
        <v>HALini_</v>
      </c>
      <c r="U154" s="716" t="str">
        <f t="shared" si="62"/>
        <v>HEATIni_</v>
      </c>
      <c r="V154" s="716" t="str">
        <f t="shared" si="63"/>
        <v>HALini_WasteGasFlare_</v>
      </c>
      <c r="W154" s="716" t="str">
        <f t="shared" si="64"/>
        <v>HAL_ELEXCHIni_</v>
      </c>
      <c r="X154" s="716" t="str">
        <f t="shared" si="65"/>
        <v>HVCIni_</v>
      </c>
      <c r="Y154" s="716" t="str">
        <f t="shared" si="66"/>
        <v>VCMIni_</v>
      </c>
      <c r="Z154" s="343"/>
      <c r="AA154" s="343"/>
    </row>
    <row r="155" spans="1:27" s="349" customFormat="1" x14ac:dyDescent="0.25">
      <c r="A155" s="729"/>
      <c r="B155" s="698"/>
      <c r="C155" s="698"/>
      <c r="D155" s="857">
        <f t="shared" si="67"/>
        <v>4</v>
      </c>
      <c r="E155" s="2586" t="str">
        <f t="shared" si="56"/>
        <v/>
      </c>
      <c r="F155" s="2587"/>
      <c r="G155" s="2587"/>
      <c r="H155" s="2588"/>
      <c r="I155" s="937" t="str">
        <f t="shared" si="57"/>
        <v/>
      </c>
      <c r="J155" s="937" t="str">
        <f t="shared" si="57"/>
        <v/>
      </c>
      <c r="K155" s="937" t="str">
        <f t="shared" si="57"/>
        <v/>
      </c>
      <c r="L155" s="928"/>
      <c r="M155" s="937" t="str">
        <f t="shared" si="58"/>
        <v/>
      </c>
      <c r="N155" s="938" t="str">
        <f t="shared" si="59"/>
        <v/>
      </c>
      <c r="O155" s="336"/>
      <c r="P155" s="302"/>
      <c r="Q155" s="343"/>
      <c r="R155" s="343"/>
      <c r="S155" s="716" t="str">
        <f t="shared" si="60"/>
        <v>AllocPrelim_</v>
      </c>
      <c r="T155" s="716" t="str">
        <f t="shared" si="61"/>
        <v>HALini_</v>
      </c>
      <c r="U155" s="716" t="str">
        <f t="shared" si="62"/>
        <v>HEATIni_</v>
      </c>
      <c r="V155" s="716" t="str">
        <f t="shared" si="63"/>
        <v>HALini_WasteGasFlare_</v>
      </c>
      <c r="W155" s="716" t="str">
        <f t="shared" si="64"/>
        <v>HAL_ELEXCHIni_</v>
      </c>
      <c r="X155" s="716" t="str">
        <f t="shared" si="65"/>
        <v>HVCIni_</v>
      </c>
      <c r="Y155" s="716" t="str">
        <f t="shared" si="66"/>
        <v>VCMIni_</v>
      </c>
      <c r="Z155" s="343"/>
      <c r="AA155" s="343"/>
    </row>
    <row r="156" spans="1:27" s="349" customFormat="1" x14ac:dyDescent="0.25">
      <c r="A156" s="729"/>
      <c r="B156" s="698"/>
      <c r="C156" s="698"/>
      <c r="D156" s="857">
        <f t="shared" si="67"/>
        <v>5</v>
      </c>
      <c r="E156" s="2586" t="str">
        <f t="shared" si="56"/>
        <v/>
      </c>
      <c r="F156" s="2587"/>
      <c r="G156" s="2587"/>
      <c r="H156" s="2588"/>
      <c r="I156" s="937" t="str">
        <f t="shared" si="57"/>
        <v/>
      </c>
      <c r="J156" s="937" t="str">
        <f t="shared" si="57"/>
        <v/>
      </c>
      <c r="K156" s="937" t="str">
        <f t="shared" si="57"/>
        <v/>
      </c>
      <c r="L156" s="928"/>
      <c r="M156" s="937" t="str">
        <f t="shared" si="58"/>
        <v/>
      </c>
      <c r="N156" s="938" t="str">
        <f t="shared" si="59"/>
        <v/>
      </c>
      <c r="O156" s="336"/>
      <c r="P156" s="302"/>
      <c r="Q156" s="343"/>
      <c r="R156" s="343"/>
      <c r="S156" s="716" t="str">
        <f t="shared" si="60"/>
        <v>AllocPrelim_</v>
      </c>
      <c r="T156" s="716" t="str">
        <f t="shared" si="61"/>
        <v>HALini_</v>
      </c>
      <c r="U156" s="716" t="str">
        <f t="shared" si="62"/>
        <v>HEATIni_</v>
      </c>
      <c r="V156" s="716" t="str">
        <f t="shared" si="63"/>
        <v>HALini_WasteGasFlare_</v>
      </c>
      <c r="W156" s="716" t="str">
        <f t="shared" si="64"/>
        <v>HAL_ELEXCHIni_</v>
      </c>
      <c r="X156" s="716" t="str">
        <f t="shared" si="65"/>
        <v>HVCIni_</v>
      </c>
      <c r="Y156" s="716" t="str">
        <f t="shared" si="66"/>
        <v>VCMIni_</v>
      </c>
      <c r="Z156" s="343"/>
      <c r="AA156" s="343"/>
    </row>
    <row r="157" spans="1:27" s="349" customFormat="1" x14ac:dyDescent="0.25">
      <c r="A157" s="729"/>
      <c r="B157" s="698"/>
      <c r="C157" s="698"/>
      <c r="D157" s="857">
        <f t="shared" si="67"/>
        <v>6</v>
      </c>
      <c r="E157" s="2586" t="str">
        <f t="shared" si="56"/>
        <v/>
      </c>
      <c r="F157" s="2587"/>
      <c r="G157" s="2587"/>
      <c r="H157" s="2588"/>
      <c r="I157" s="937" t="str">
        <f t="shared" si="57"/>
        <v/>
      </c>
      <c r="J157" s="937" t="str">
        <f t="shared" si="57"/>
        <v/>
      </c>
      <c r="K157" s="937" t="str">
        <f t="shared" si="57"/>
        <v/>
      </c>
      <c r="L157" s="928"/>
      <c r="M157" s="937" t="str">
        <f t="shared" si="58"/>
        <v/>
      </c>
      <c r="N157" s="938" t="str">
        <f t="shared" si="59"/>
        <v/>
      </c>
      <c r="O157" s="336"/>
      <c r="P157" s="302"/>
      <c r="Q157" s="343"/>
      <c r="R157" s="343"/>
      <c r="S157" s="716" t="str">
        <f t="shared" si="60"/>
        <v>AllocPrelim_</v>
      </c>
      <c r="T157" s="716" t="str">
        <f t="shared" si="61"/>
        <v>HALini_</v>
      </c>
      <c r="U157" s="716" t="str">
        <f t="shared" si="62"/>
        <v>HEATIni_</v>
      </c>
      <c r="V157" s="716" t="str">
        <f t="shared" si="63"/>
        <v>HALini_WasteGasFlare_</v>
      </c>
      <c r="W157" s="716" t="str">
        <f t="shared" si="64"/>
        <v>HAL_ELEXCHIni_</v>
      </c>
      <c r="X157" s="716" t="str">
        <f t="shared" si="65"/>
        <v>HVCIni_</v>
      </c>
      <c r="Y157" s="716" t="str">
        <f t="shared" si="66"/>
        <v>VCMIni_</v>
      </c>
      <c r="Z157" s="343"/>
      <c r="AA157" s="343"/>
    </row>
    <row r="158" spans="1:27" s="349" customFormat="1" x14ac:dyDescent="0.25">
      <c r="A158" s="729"/>
      <c r="B158" s="698"/>
      <c r="C158" s="698"/>
      <c r="D158" s="857">
        <f t="shared" si="67"/>
        <v>7</v>
      </c>
      <c r="E158" s="2586" t="str">
        <f t="shared" si="56"/>
        <v/>
      </c>
      <c r="F158" s="2587"/>
      <c r="G158" s="2587"/>
      <c r="H158" s="2588"/>
      <c r="I158" s="937" t="str">
        <f t="shared" si="57"/>
        <v/>
      </c>
      <c r="J158" s="937" t="str">
        <f t="shared" si="57"/>
        <v/>
      </c>
      <c r="K158" s="937" t="str">
        <f t="shared" si="57"/>
        <v/>
      </c>
      <c r="L158" s="928"/>
      <c r="M158" s="937" t="str">
        <f t="shared" si="58"/>
        <v/>
      </c>
      <c r="N158" s="938" t="str">
        <f t="shared" si="59"/>
        <v/>
      </c>
      <c r="O158" s="336"/>
      <c r="P158" s="302"/>
      <c r="Q158" s="343"/>
      <c r="R158" s="343"/>
      <c r="S158" s="716" t="str">
        <f t="shared" si="60"/>
        <v>AllocPrelim_</v>
      </c>
      <c r="T158" s="716" t="str">
        <f t="shared" si="61"/>
        <v>HALini_</v>
      </c>
      <c r="U158" s="716" t="str">
        <f t="shared" si="62"/>
        <v>HEATIni_</v>
      </c>
      <c r="V158" s="716" t="str">
        <f t="shared" si="63"/>
        <v>HALini_WasteGasFlare_</v>
      </c>
      <c r="W158" s="716" t="str">
        <f t="shared" si="64"/>
        <v>HAL_ELEXCHIni_</v>
      </c>
      <c r="X158" s="716" t="str">
        <f t="shared" si="65"/>
        <v>HVCIni_</v>
      </c>
      <c r="Y158" s="716" t="str">
        <f t="shared" si="66"/>
        <v>VCMIni_</v>
      </c>
      <c r="Z158" s="343"/>
      <c r="AA158" s="343"/>
    </row>
    <row r="159" spans="1:27" s="349" customFormat="1" x14ac:dyDescent="0.25">
      <c r="A159" s="729"/>
      <c r="B159" s="698"/>
      <c r="C159" s="698"/>
      <c r="D159" s="857">
        <f t="shared" si="67"/>
        <v>8</v>
      </c>
      <c r="E159" s="2586" t="str">
        <f t="shared" si="56"/>
        <v/>
      </c>
      <c r="F159" s="2587"/>
      <c r="G159" s="2587"/>
      <c r="H159" s="2588"/>
      <c r="I159" s="937" t="str">
        <f t="shared" si="57"/>
        <v/>
      </c>
      <c r="J159" s="937" t="str">
        <f t="shared" si="57"/>
        <v/>
      </c>
      <c r="K159" s="937" t="str">
        <f t="shared" si="57"/>
        <v/>
      </c>
      <c r="L159" s="928"/>
      <c r="M159" s="937" t="str">
        <f t="shared" si="58"/>
        <v/>
      </c>
      <c r="N159" s="938" t="str">
        <f t="shared" si="59"/>
        <v/>
      </c>
      <c r="O159" s="336"/>
      <c r="P159" s="302"/>
      <c r="Q159" s="343"/>
      <c r="R159" s="343"/>
      <c r="S159" s="716" t="str">
        <f t="shared" si="60"/>
        <v>AllocPrelim_</v>
      </c>
      <c r="T159" s="716" t="str">
        <f t="shared" si="61"/>
        <v>HALini_</v>
      </c>
      <c r="U159" s="716" t="str">
        <f t="shared" si="62"/>
        <v>HEATIni_</v>
      </c>
      <c r="V159" s="716" t="str">
        <f t="shared" si="63"/>
        <v>HALini_WasteGasFlare_</v>
      </c>
      <c r="W159" s="716" t="str">
        <f t="shared" si="64"/>
        <v>HAL_ELEXCHIni_</v>
      </c>
      <c r="X159" s="716" t="str">
        <f t="shared" si="65"/>
        <v>HVCIni_</v>
      </c>
      <c r="Y159" s="716" t="str">
        <f t="shared" si="66"/>
        <v>VCMIni_</v>
      </c>
      <c r="Z159" s="343"/>
      <c r="AA159" s="343"/>
    </row>
    <row r="160" spans="1:27" s="349" customFormat="1" x14ac:dyDescent="0.25">
      <c r="A160" s="729"/>
      <c r="B160" s="698"/>
      <c r="C160" s="698"/>
      <c r="D160" s="857">
        <f t="shared" si="67"/>
        <v>9</v>
      </c>
      <c r="E160" s="2586" t="str">
        <f t="shared" si="56"/>
        <v/>
      </c>
      <c r="F160" s="2587"/>
      <c r="G160" s="2587"/>
      <c r="H160" s="2588"/>
      <c r="I160" s="937" t="str">
        <f t="shared" si="57"/>
        <v/>
      </c>
      <c r="J160" s="937" t="str">
        <f t="shared" si="57"/>
        <v/>
      </c>
      <c r="K160" s="937" t="str">
        <f t="shared" si="57"/>
        <v/>
      </c>
      <c r="L160" s="928"/>
      <c r="M160" s="937" t="str">
        <f t="shared" si="58"/>
        <v/>
      </c>
      <c r="N160" s="938" t="str">
        <f t="shared" si="59"/>
        <v/>
      </c>
      <c r="O160" s="336"/>
      <c r="P160" s="302"/>
      <c r="Q160" s="343"/>
      <c r="R160" s="343"/>
      <c r="S160" s="716" t="str">
        <f t="shared" si="60"/>
        <v>AllocPrelim_</v>
      </c>
      <c r="T160" s="716" t="str">
        <f t="shared" si="61"/>
        <v>HALini_</v>
      </c>
      <c r="U160" s="716" t="str">
        <f t="shared" si="62"/>
        <v>HEATIni_</v>
      </c>
      <c r="V160" s="716" t="str">
        <f t="shared" si="63"/>
        <v>HALini_WasteGasFlare_</v>
      </c>
      <c r="W160" s="716" t="str">
        <f t="shared" si="64"/>
        <v>HAL_ELEXCHIni_</v>
      </c>
      <c r="X160" s="716" t="str">
        <f t="shared" si="65"/>
        <v>HVCIni_</v>
      </c>
      <c r="Y160" s="716" t="str">
        <f t="shared" si="66"/>
        <v>VCMIni_</v>
      </c>
      <c r="Z160" s="343"/>
      <c r="AA160" s="343"/>
    </row>
    <row r="161" spans="1:27" s="349" customFormat="1" x14ac:dyDescent="0.25">
      <c r="A161" s="729"/>
      <c r="B161" s="698"/>
      <c r="C161" s="698"/>
      <c r="D161" s="862">
        <f t="shared" si="67"/>
        <v>10</v>
      </c>
      <c r="E161" s="2606" t="str">
        <f t="shared" si="56"/>
        <v/>
      </c>
      <c r="F161" s="2604"/>
      <c r="G161" s="2604"/>
      <c r="H161" s="2605"/>
      <c r="I161" s="939" t="str">
        <f t="shared" si="57"/>
        <v/>
      </c>
      <c r="J161" s="939" t="str">
        <f t="shared" si="57"/>
        <v/>
      </c>
      <c r="K161" s="939" t="str">
        <f t="shared" si="57"/>
        <v/>
      </c>
      <c r="L161" s="930"/>
      <c r="M161" s="939" t="str">
        <f t="shared" si="58"/>
        <v/>
      </c>
      <c r="N161" s="940" t="str">
        <f t="shared" si="59"/>
        <v/>
      </c>
      <c r="O161" s="336"/>
      <c r="P161" s="302"/>
      <c r="Q161" s="343"/>
      <c r="R161" s="343"/>
      <c r="S161" s="716" t="str">
        <f t="shared" si="60"/>
        <v>AllocPrelim_</v>
      </c>
      <c r="T161" s="716" t="str">
        <f t="shared" si="61"/>
        <v>HALini_</v>
      </c>
      <c r="U161" s="716" t="str">
        <f t="shared" si="62"/>
        <v>HEATIni_</v>
      </c>
      <c r="V161" s="716" t="str">
        <f t="shared" si="63"/>
        <v>HALini_WasteGasFlare_</v>
      </c>
      <c r="W161" s="716" t="str">
        <f t="shared" si="64"/>
        <v>HAL_ELEXCHIni_</v>
      </c>
      <c r="X161" s="716" t="str">
        <f t="shared" si="65"/>
        <v>HVCIni_</v>
      </c>
      <c r="Y161" s="716" t="str">
        <f t="shared" si="66"/>
        <v>VCMIni_</v>
      </c>
      <c r="Z161" s="343"/>
      <c r="AA161" s="343"/>
    </row>
    <row r="162" spans="1:27" s="349" customFormat="1" ht="12.75" customHeight="1" x14ac:dyDescent="0.25">
      <c r="A162" s="729"/>
      <c r="B162" s="698"/>
      <c r="C162" s="698"/>
      <c r="D162" s="850">
        <v>11</v>
      </c>
      <c r="E162" s="2607" t="str">
        <f t="shared" ref="E162:E171" si="68">INDEX(EUconst_FallBackListNames,D162-10)</f>
        <v>Подинсталация с топлинен показател (с риск от ИВЕ | извън МКВЕГ)</v>
      </c>
      <c r="F162" s="2608"/>
      <c r="G162" s="2608"/>
      <c r="H162" s="2609"/>
      <c r="I162" s="935" t="str">
        <f t="shared" ref="I162:I171" si="69">IF(I137="",IF($T57=TRUE,SUM(I101),""),I137)</f>
        <v/>
      </c>
      <c r="J162" s="908"/>
      <c r="K162" s="909"/>
      <c r="L162" s="909"/>
      <c r="M162" s="909"/>
      <c r="N162" s="911"/>
      <c r="O162" s="336"/>
      <c r="P162" s="302"/>
      <c r="Q162" s="343"/>
      <c r="R162" s="343"/>
      <c r="S162" s="716" t="str">
        <f t="shared" si="60"/>
        <v>AllocPrelim_Подинсталация с топлинен показател (с риск от ИВЕ | извън МКВЕГ)</v>
      </c>
      <c r="T162" s="716" t="str">
        <f t="shared" si="61"/>
        <v>HALini_Подинсталация с топлинен показател (с риск от ИВЕ | извън МКВЕГ)</v>
      </c>
      <c r="U162" s="343"/>
      <c r="V162" s="343"/>
      <c r="W162" s="343"/>
      <c r="X162" s="343"/>
      <c r="Y162" s="343"/>
      <c r="Z162" s="343"/>
      <c r="AA162" s="343"/>
    </row>
    <row r="163" spans="1:27" s="349" customFormat="1" ht="12.75" customHeight="1" x14ac:dyDescent="0.25">
      <c r="A163" s="729"/>
      <c r="B163" s="698"/>
      <c r="C163" s="698"/>
      <c r="D163" s="857">
        <f>D162+1</f>
        <v>12</v>
      </c>
      <c r="E163" s="2602" t="str">
        <f t="shared" si="68"/>
        <v>Подинсталация с топлинен показател (без риск от ИВЕ | извън МКВЕГ)</v>
      </c>
      <c r="F163" s="2587"/>
      <c r="G163" s="2587"/>
      <c r="H163" s="2588"/>
      <c r="I163" s="937" t="str">
        <f t="shared" si="69"/>
        <v/>
      </c>
      <c r="J163" s="912"/>
      <c r="K163" s="913"/>
      <c r="L163" s="913"/>
      <c r="M163" s="913"/>
      <c r="N163" s="915"/>
      <c r="O163" s="336"/>
      <c r="P163" s="302"/>
      <c r="Q163" s="343"/>
      <c r="R163" s="343"/>
      <c r="S163" s="716" t="str">
        <f t="shared" si="60"/>
        <v>AllocPrelim_Подинсталация с топлинен показател (без риск от ИВЕ | извън МКВЕГ)</v>
      </c>
      <c r="T163" s="716" t="str">
        <f t="shared" si="61"/>
        <v>HALini_Подинсталация с топлинен показател (без риск от ИВЕ | извън МКВЕГ)</v>
      </c>
      <c r="U163" s="343"/>
      <c r="V163" s="343"/>
      <c r="W163" s="343"/>
      <c r="X163" s="343"/>
      <c r="Y163" s="343"/>
      <c r="Z163" s="343"/>
      <c r="AA163" s="343"/>
    </row>
    <row r="164" spans="1:27" s="349" customFormat="1" ht="12.75" customHeight="1" x14ac:dyDescent="0.25">
      <c r="A164" s="729"/>
      <c r="B164" s="698"/>
      <c r="C164" s="698"/>
      <c r="D164" s="857">
        <f t="shared" ref="D164:D171" si="70">D163+1</f>
        <v>13</v>
      </c>
      <c r="E164" s="2602" t="str">
        <f t="shared" si="68"/>
        <v>Подинсталация с топлинен показател (с риск от ИВЕ | в рамките на МКВЕГ)</v>
      </c>
      <c r="F164" s="2587"/>
      <c r="G164" s="2587"/>
      <c r="H164" s="2588"/>
      <c r="I164" s="937" t="str">
        <f t="shared" si="69"/>
        <v/>
      </c>
      <c r="J164" s="912"/>
      <c r="K164" s="913"/>
      <c r="L164" s="913"/>
      <c r="M164" s="913"/>
      <c r="N164" s="915"/>
      <c r="O164" s="336"/>
      <c r="P164" s="302"/>
      <c r="Q164" s="343"/>
      <c r="R164" s="343"/>
      <c r="S164" s="716" t="str">
        <f t="shared" si="60"/>
        <v>AllocPrelim_Подинсталация с топлинен показател (с риск от ИВЕ | в рамките на МКВЕГ)</v>
      </c>
      <c r="T164" s="716" t="str">
        <f t="shared" si="61"/>
        <v>HALini_Подинсталация с топлинен показател (с риск от ИВЕ | в рамките на МКВЕГ)</v>
      </c>
      <c r="U164" s="343"/>
      <c r="V164" s="343"/>
      <c r="W164" s="343"/>
      <c r="X164" s="343"/>
      <c r="Y164" s="343"/>
      <c r="Z164" s="343"/>
      <c r="AA164" s="343"/>
    </row>
    <row r="165" spans="1:27" s="349" customFormat="1" ht="12.75" customHeight="1" x14ac:dyDescent="0.25">
      <c r="A165" s="729"/>
      <c r="B165" s="698"/>
      <c r="C165" s="698"/>
      <c r="D165" s="857">
        <f t="shared" si="70"/>
        <v>14</v>
      </c>
      <c r="E165" s="2602" t="str">
        <f t="shared" ref="E165:E167" si="71">INDEX(EUconst_FallBackListNames,D165-10)</f>
        <v>Подинсталация на топлофикационна мрежа</v>
      </c>
      <c r="F165" s="2587"/>
      <c r="G165" s="2587"/>
      <c r="H165" s="2588"/>
      <c r="I165" s="937" t="str">
        <f t="shared" si="69"/>
        <v/>
      </c>
      <c r="J165" s="912"/>
      <c r="K165" s="913"/>
      <c r="L165" s="913"/>
      <c r="M165" s="913"/>
      <c r="N165" s="915"/>
      <c r="O165" s="336"/>
      <c r="P165" s="302"/>
      <c r="Q165" s="343"/>
      <c r="R165" s="343"/>
      <c r="S165" s="716" t="str">
        <f t="shared" si="60"/>
        <v>AllocPrelim_Подинсталация на топлофикационна мрежа</v>
      </c>
      <c r="T165" s="716" t="str">
        <f t="shared" si="61"/>
        <v>HALini_Подинсталация на топлофикационна мрежа</v>
      </c>
      <c r="U165" s="343"/>
      <c r="V165" s="343"/>
      <c r="W165" s="343"/>
      <c r="X165" s="343"/>
      <c r="Y165" s="343"/>
      <c r="Z165" s="343"/>
      <c r="AA165" s="343"/>
    </row>
    <row r="166" spans="1:27" s="349" customFormat="1" ht="12.75" customHeight="1" x14ac:dyDescent="0.25">
      <c r="A166" s="729"/>
      <c r="B166" s="698"/>
      <c r="C166" s="698"/>
      <c r="D166" s="857">
        <f t="shared" si="70"/>
        <v>15</v>
      </c>
      <c r="E166" s="2602" t="str">
        <f t="shared" si="71"/>
        <v>Подинсталация с горивен показател (с риск от ИВЕ | извън МКВЕГ)</v>
      </c>
      <c r="F166" s="2587"/>
      <c r="G166" s="2587"/>
      <c r="H166" s="2588"/>
      <c r="I166" s="937" t="str">
        <f t="shared" si="69"/>
        <v/>
      </c>
      <c r="J166" s="912"/>
      <c r="K166" s="913"/>
      <c r="L166" s="913"/>
      <c r="M166" s="913"/>
      <c r="N166" s="915"/>
      <c r="O166" s="336"/>
      <c r="P166" s="302"/>
      <c r="Q166" s="343"/>
      <c r="R166" s="343"/>
      <c r="S166" s="716" t="str">
        <f t="shared" si="60"/>
        <v>AllocPrelim_Подинсталация с горивен показател (с риск от ИВЕ | извън МКВЕГ)</v>
      </c>
      <c r="T166" s="716" t="str">
        <f t="shared" si="61"/>
        <v>HALini_Подинсталация с горивен показател (с риск от ИВЕ | извън МКВЕГ)</v>
      </c>
      <c r="U166" s="343"/>
      <c r="V166" s="343"/>
      <c r="W166" s="343"/>
      <c r="X166" s="343"/>
      <c r="Y166" s="343"/>
      <c r="Z166" s="343"/>
      <c r="AA166" s="343"/>
    </row>
    <row r="167" spans="1:27" s="349" customFormat="1" ht="12.75" customHeight="1" x14ac:dyDescent="0.25">
      <c r="A167" s="729"/>
      <c r="B167" s="698"/>
      <c r="C167" s="698"/>
      <c r="D167" s="857">
        <f t="shared" si="70"/>
        <v>16</v>
      </c>
      <c r="E167" s="2602" t="str">
        <f t="shared" si="71"/>
        <v>Подинсталация с горивен показател (без риск от ИВЕ | извън МКВЕГ)</v>
      </c>
      <c r="F167" s="2587"/>
      <c r="G167" s="2587"/>
      <c r="H167" s="2588"/>
      <c r="I167" s="937" t="str">
        <f t="shared" si="69"/>
        <v/>
      </c>
      <c r="J167" s="912"/>
      <c r="K167" s="913"/>
      <c r="L167" s="913"/>
      <c r="M167" s="913"/>
      <c r="N167" s="915"/>
      <c r="O167" s="336"/>
      <c r="P167" s="302"/>
      <c r="Q167" s="343"/>
      <c r="R167" s="343"/>
      <c r="S167" s="716" t="str">
        <f t="shared" si="60"/>
        <v>AllocPrelim_Подинсталация с горивен показател (без риск от ИВЕ | извън МКВЕГ)</v>
      </c>
      <c r="T167" s="716" t="str">
        <f t="shared" si="61"/>
        <v>HALini_Подинсталация с горивен показател (без риск от ИВЕ | извън МКВЕГ)</v>
      </c>
      <c r="U167" s="343"/>
      <c r="V167" s="343"/>
      <c r="W167" s="343"/>
      <c r="X167" s="343"/>
      <c r="Y167" s="343"/>
      <c r="Z167" s="343"/>
      <c r="AA167" s="343"/>
    </row>
    <row r="168" spans="1:27" s="349" customFormat="1" ht="12.75" customHeight="1" x14ac:dyDescent="0.25">
      <c r="A168" s="729"/>
      <c r="B168" s="698"/>
      <c r="C168" s="698"/>
      <c r="D168" s="857">
        <f t="shared" si="70"/>
        <v>17</v>
      </c>
      <c r="E168" s="2602" t="str">
        <f t="shared" si="68"/>
        <v>Подинсталация с горивен показател (с риск от ИВЕ | в рамките на МКВЕГ)</v>
      </c>
      <c r="F168" s="2587"/>
      <c r="G168" s="2587"/>
      <c r="H168" s="2588"/>
      <c r="I168" s="937" t="str">
        <f t="shared" si="69"/>
        <v/>
      </c>
      <c r="J168" s="912"/>
      <c r="K168" s="913"/>
      <c r="L168" s="913"/>
      <c r="M168" s="913"/>
      <c r="N168" s="915"/>
      <c r="O168" s="336"/>
      <c r="P168" s="302"/>
      <c r="Q168" s="343"/>
      <c r="R168" s="343"/>
      <c r="S168" s="716" t="str">
        <f t="shared" si="60"/>
        <v>AllocPrelim_Подинсталация с горивен показател (с риск от ИВЕ | в рамките на МКВЕГ)</v>
      </c>
      <c r="T168" s="716" t="str">
        <f t="shared" si="61"/>
        <v>HALini_Подинсталация с горивен показател (с риск от ИВЕ | в рамките на МКВЕГ)</v>
      </c>
      <c r="U168" s="343"/>
      <c r="V168" s="343"/>
      <c r="W168" s="343"/>
      <c r="X168" s="343"/>
      <c r="Y168" s="343"/>
      <c r="Z168" s="343"/>
      <c r="AA168" s="343"/>
    </row>
    <row r="169" spans="1:27" s="349" customFormat="1" ht="12.75" customHeight="1" x14ac:dyDescent="0.25">
      <c r="A169" s="729"/>
      <c r="B169" s="698"/>
      <c r="C169" s="698"/>
      <c r="D169" s="857">
        <f t="shared" si="70"/>
        <v>18</v>
      </c>
      <c r="E169" s="2602" t="str">
        <f t="shared" si="68"/>
        <v>Подинсталация с емисии от процеси (с риск от ИВЕ | извън МКВЕГ)</v>
      </c>
      <c r="F169" s="2587"/>
      <c r="G169" s="2587"/>
      <c r="H169" s="2588"/>
      <c r="I169" s="937" t="str">
        <f t="shared" si="69"/>
        <v/>
      </c>
      <c r="J169" s="912"/>
      <c r="K169" s="913"/>
      <c r="L169" s="913"/>
      <c r="M169" s="913"/>
      <c r="N169" s="915"/>
      <c r="O169" s="336"/>
      <c r="P169" s="302"/>
      <c r="Q169" s="343"/>
      <c r="R169" s="343"/>
      <c r="S169" s="716" t="str">
        <f t="shared" si="60"/>
        <v>AllocPrelim_Подинсталация с емисии от процеси (с риск от ИВЕ | извън МКВЕГ)</v>
      </c>
      <c r="T169" s="716" t="str">
        <f t="shared" si="61"/>
        <v>HALini_Подинсталация с емисии от процеси (с риск от ИВЕ | извън МКВЕГ)</v>
      </c>
      <c r="U169" s="343"/>
      <c r="V169" s="343"/>
      <c r="W169" s="343"/>
      <c r="X169" s="343"/>
      <c r="Y169" s="343"/>
      <c r="Z169" s="343"/>
      <c r="AA169" s="343"/>
    </row>
    <row r="170" spans="1:27" s="349" customFormat="1" ht="12.75" customHeight="1" x14ac:dyDescent="0.25">
      <c r="A170" s="729"/>
      <c r="B170" s="698"/>
      <c r="C170" s="698"/>
      <c r="D170" s="857">
        <f t="shared" si="70"/>
        <v>19</v>
      </c>
      <c r="E170" s="2602" t="str">
        <f t="shared" si="68"/>
        <v>Подинсталация с емисии от процеси (без риск от ИВЕ | извън МКВЕГ)</v>
      </c>
      <c r="F170" s="2587"/>
      <c r="G170" s="2587"/>
      <c r="H170" s="2588"/>
      <c r="I170" s="937" t="str">
        <f t="shared" si="69"/>
        <v/>
      </c>
      <c r="J170" s="912"/>
      <c r="K170" s="913"/>
      <c r="L170" s="913"/>
      <c r="M170" s="913"/>
      <c r="N170" s="915"/>
      <c r="O170" s="336"/>
      <c r="P170" s="302"/>
      <c r="Q170" s="343"/>
      <c r="R170" s="343"/>
      <c r="S170" s="716" t="str">
        <f t="shared" si="60"/>
        <v>AllocPrelim_Подинсталация с емисии от процеси (без риск от ИВЕ | извън МКВЕГ)</v>
      </c>
      <c r="T170" s="716" t="str">
        <f t="shared" si="61"/>
        <v>HALini_Подинсталация с емисии от процеси (без риск от ИВЕ | извън МКВЕГ)</v>
      </c>
      <c r="U170" s="343"/>
      <c r="V170" s="343"/>
      <c r="W170" s="343"/>
      <c r="X170" s="343"/>
      <c r="Y170" s="343"/>
      <c r="Z170" s="343"/>
      <c r="AA170" s="343"/>
    </row>
    <row r="171" spans="1:27" s="349" customFormat="1" ht="13.5" customHeight="1" x14ac:dyDescent="0.25">
      <c r="A171" s="729"/>
      <c r="B171" s="698"/>
      <c r="C171" s="698"/>
      <c r="D171" s="862">
        <f t="shared" si="70"/>
        <v>20</v>
      </c>
      <c r="E171" s="2603" t="str">
        <f t="shared" si="68"/>
        <v>Подинсталация с емисии от процеси (с риск от ИВЕ | в рамките на МКВЕГ)</v>
      </c>
      <c r="F171" s="2604"/>
      <c r="G171" s="2604"/>
      <c r="H171" s="2605"/>
      <c r="I171" s="939" t="str">
        <f t="shared" si="69"/>
        <v/>
      </c>
      <c r="J171" s="916"/>
      <c r="K171" s="917"/>
      <c r="L171" s="917"/>
      <c r="M171" s="917"/>
      <c r="N171" s="919"/>
      <c r="O171" s="336"/>
      <c r="P171" s="302"/>
      <c r="Q171" s="343"/>
      <c r="R171" s="343"/>
      <c r="S171" s="716" t="str">
        <f t="shared" si="60"/>
        <v>AllocPrelim_Подинсталация с емисии от процеси (с риск от ИВЕ | в рамките на МКВЕГ)</v>
      </c>
      <c r="T171" s="716" t="str">
        <f t="shared" si="61"/>
        <v>HALini_Подинсталация с емисии от процеси (с риск от ИВЕ | в рамките на МКВЕГ)</v>
      </c>
      <c r="U171" s="343"/>
      <c r="V171" s="343"/>
      <c r="W171" s="343"/>
      <c r="X171" s="343"/>
      <c r="Y171" s="343"/>
      <c r="Z171" s="343"/>
      <c r="AA171" s="343"/>
    </row>
    <row r="172" spans="1:27" x14ac:dyDescent="0.25">
      <c r="A172" s="729"/>
      <c r="B172" s="284"/>
      <c r="C172" s="287"/>
      <c r="D172" s="284"/>
      <c r="E172" s="284"/>
      <c r="F172" s="284"/>
      <c r="G172" s="284"/>
      <c r="H172" s="284"/>
      <c r="I172" s="284"/>
      <c r="J172" s="284"/>
      <c r="K172" s="284"/>
      <c r="L172" s="284"/>
      <c r="M172" s="284"/>
      <c r="N172" s="284"/>
      <c r="O172" s="336"/>
    </row>
    <row r="173" spans="1:27" s="349" customFormat="1" x14ac:dyDescent="0.25">
      <c r="A173" s="694"/>
      <c r="B173" s="698"/>
      <c r="C173" s="698"/>
      <c r="D173" s="2263" t="str">
        <f>Translations!$B$64</f>
        <v xml:space="preserve">&lt;&lt;&lt; Щракнете тук за да продължите към следващия лист &gt;&gt;&gt; </v>
      </c>
      <c r="E173" s="2263"/>
      <c r="F173" s="2263"/>
      <c r="G173" s="2263"/>
      <c r="H173" s="2263"/>
      <c r="I173" s="2263"/>
      <c r="J173" s="2263"/>
      <c r="K173" s="2263"/>
      <c r="L173" s="2263"/>
      <c r="M173" s="2263"/>
      <c r="N173" s="2263"/>
      <c r="O173" s="336"/>
      <c r="P173" s="302"/>
      <c r="Q173" s="343"/>
      <c r="R173" s="343"/>
      <c r="S173" s="343"/>
      <c r="T173" s="343"/>
      <c r="U173" s="343"/>
      <c r="V173" s="343"/>
      <c r="W173" s="343"/>
      <c r="X173" s="343"/>
      <c r="Y173" s="343"/>
      <c r="Z173" s="343"/>
      <c r="AA173" s="343"/>
    </row>
    <row r="174" spans="1:27" s="349" customFormat="1" x14ac:dyDescent="0.25">
      <c r="A174" s="694"/>
      <c r="B174" s="698"/>
      <c r="C174" s="698"/>
      <c r="D174" s="698"/>
      <c r="E174" s="698"/>
      <c r="F174" s="698"/>
      <c r="G174" s="698"/>
      <c r="H174" s="698"/>
      <c r="I174" s="698"/>
      <c r="J174" s="698"/>
      <c r="K174" s="698"/>
      <c r="L174" s="698"/>
      <c r="M174" s="698"/>
      <c r="N174" s="698"/>
      <c r="O174" s="336"/>
      <c r="P174" s="302"/>
      <c r="Q174" s="343"/>
      <c r="R174" s="343"/>
      <c r="S174" s="343"/>
      <c r="T174" s="343"/>
      <c r="U174" s="343"/>
      <c r="V174" s="343"/>
      <c r="W174" s="343"/>
      <c r="X174" s="343"/>
      <c r="Y174" s="343"/>
      <c r="Z174" s="343"/>
      <c r="AA174" s="343"/>
    </row>
    <row r="175" spans="1:27" s="349" customFormat="1" hidden="1" x14ac:dyDescent="0.25">
      <c r="A175" s="694" t="s">
        <v>312</v>
      </c>
      <c r="B175" s="694" t="s">
        <v>898</v>
      </c>
      <c r="C175" s="694" t="s">
        <v>898</v>
      </c>
      <c r="D175" s="694" t="s">
        <v>898</v>
      </c>
      <c r="E175" s="694" t="s">
        <v>898</v>
      </c>
      <c r="F175" s="694" t="s">
        <v>898</v>
      </c>
      <c r="G175" s="694" t="s">
        <v>898</v>
      </c>
      <c r="H175" s="694" t="s">
        <v>898</v>
      </c>
      <c r="I175" s="694" t="s">
        <v>898</v>
      </c>
      <c r="J175" s="694" t="s">
        <v>898</v>
      </c>
      <c r="K175" s="694" t="s">
        <v>898</v>
      </c>
      <c r="L175" s="694" t="s">
        <v>898</v>
      </c>
      <c r="M175" s="694" t="s">
        <v>898</v>
      </c>
      <c r="N175" s="694" t="s">
        <v>898</v>
      </c>
      <c r="O175" s="694" t="s">
        <v>898</v>
      </c>
      <c r="P175" s="694" t="s">
        <v>898</v>
      </c>
      <c r="Q175" s="343" t="s">
        <v>898</v>
      </c>
      <c r="R175" s="343" t="s">
        <v>898</v>
      </c>
      <c r="S175" s="343" t="s">
        <v>898</v>
      </c>
      <c r="T175" s="343" t="s">
        <v>898</v>
      </c>
      <c r="U175" s="343" t="s">
        <v>898</v>
      </c>
      <c r="V175" s="343" t="s">
        <v>898</v>
      </c>
      <c r="W175" s="343" t="s">
        <v>898</v>
      </c>
      <c r="X175" s="343" t="s">
        <v>898</v>
      </c>
      <c r="Y175" s="343" t="s">
        <v>898</v>
      </c>
      <c r="Z175" s="343" t="s">
        <v>898</v>
      </c>
      <c r="AA175" s="343" t="s">
        <v>898</v>
      </c>
    </row>
    <row r="176" spans="1:27" hidden="1" x14ac:dyDescent="0.25">
      <c r="A176" s="694" t="s">
        <v>312</v>
      </c>
      <c r="B176" s="284"/>
      <c r="C176" s="287"/>
      <c r="D176" s="284"/>
      <c r="E176" s="284"/>
      <c r="F176" s="284"/>
      <c r="G176" s="284"/>
      <c r="H176" s="284"/>
      <c r="I176" s="284"/>
      <c r="J176" s="284"/>
      <c r="K176" s="284"/>
      <c r="L176" s="284"/>
      <c r="M176" s="284"/>
      <c r="N176" s="284"/>
      <c r="O176" s="284"/>
      <c r="P176" s="284"/>
      <c r="Q176" s="343"/>
      <c r="R176" s="343"/>
      <c r="S176" s="343"/>
      <c r="T176" s="343"/>
      <c r="U176" s="343"/>
      <c r="V176" s="343"/>
      <c r="W176" s="343"/>
      <c r="X176" s="343"/>
      <c r="Y176" s="343"/>
    </row>
    <row r="177" spans="1:27" s="349" customFormat="1" ht="13.5" hidden="1" thickBot="1" x14ac:dyDescent="0.3">
      <c r="A177" s="694" t="s">
        <v>312</v>
      </c>
      <c r="B177" s="725"/>
      <c r="C177" s="725"/>
      <c r="D177" s="725"/>
      <c r="E177" s="669" t="s">
        <v>531</v>
      </c>
      <c r="F177" s="725"/>
      <c r="G177" s="725"/>
      <c r="H177" s="725"/>
      <c r="I177" s="725"/>
      <c r="J177" s="725"/>
      <c r="K177" s="725"/>
      <c r="L177" s="725"/>
      <c r="M177" s="725"/>
      <c r="N177" s="725"/>
      <c r="O177" s="284"/>
      <c r="P177" s="284"/>
      <c r="Q177" s="343"/>
      <c r="R177" s="343"/>
      <c r="S177" s="343"/>
      <c r="T177" s="343"/>
      <c r="U177" s="343"/>
      <c r="V177" s="343"/>
      <c r="W177" s="343"/>
      <c r="X177" s="343"/>
      <c r="Y177" s="343"/>
      <c r="Z177" s="343"/>
      <c r="AA177" s="343"/>
    </row>
    <row r="178" spans="1:27" s="349" customFormat="1" hidden="1" x14ac:dyDescent="0.25">
      <c r="A178" s="694" t="s">
        <v>312</v>
      </c>
      <c r="B178" s="725"/>
      <c r="C178" s="725"/>
      <c r="D178" s="725"/>
      <c r="E178" s="941"/>
      <c r="F178" s="785" t="str">
        <f>Translations!$B$158</f>
        <v>Вид подинсталация</v>
      </c>
      <c r="G178" s="785"/>
      <c r="H178" s="942" t="s">
        <v>642</v>
      </c>
      <c r="I178" s="943" t="s">
        <v>112</v>
      </c>
      <c r="J178" s="944" t="s">
        <v>1473</v>
      </c>
      <c r="K178" s="944" t="str">
        <f>Translations!$B$1466</f>
        <v>Дата на прекратяване</v>
      </c>
      <c r="L178" s="945"/>
      <c r="M178" s="786" t="str">
        <f>Translations!$B$154</f>
        <v>Има ли риск от ИВЕ?</v>
      </c>
      <c r="N178" s="786" t="s">
        <v>944</v>
      </c>
      <c r="O178" s="284"/>
      <c r="P178" s="284"/>
      <c r="Q178" s="343"/>
      <c r="R178" s="343"/>
      <c r="S178" s="343"/>
      <c r="T178" s="343"/>
      <c r="U178" s="343"/>
      <c r="V178" s="343"/>
      <c r="W178" s="343"/>
      <c r="X178" s="343"/>
      <c r="Y178" s="343"/>
      <c r="Z178" s="343"/>
      <c r="AA178" s="343"/>
    </row>
    <row r="179" spans="1:27" s="349" customFormat="1" hidden="1" x14ac:dyDescent="0.25">
      <c r="A179" s="694" t="s">
        <v>312</v>
      </c>
      <c r="B179" s="725"/>
      <c r="C179" s="725"/>
      <c r="D179" s="725"/>
      <c r="E179" s="946">
        <v>1</v>
      </c>
      <c r="F179" s="947" t="str">
        <f t="shared" ref="F179:F189" si="72">IF($E179&gt;MAX($R$27:$R$66),EUconst_NA,INDEX(U$27:U$66,MATCH($E179,$R$27:$R$66,0)))</f>
        <v>Не е приложимо</v>
      </c>
      <c r="G179" s="948"/>
      <c r="H179" s="949" t="b">
        <f t="shared" ref="H179:H184" si="73">(E179&lt;=MAX($R$27:$R$36))</f>
        <v>0</v>
      </c>
      <c r="I179" s="950" t="str">
        <f t="shared" ref="I179:I198" si="74">IF(H179,INDEX(EUconst_BMlistMainNumberOfBM,MATCH(F179,EUconst_BMlistNames,0)),"")</f>
        <v/>
      </c>
      <c r="J179" s="951" t="str">
        <f t="shared" ref="J179:K189" si="75">IF($E179&gt;MAX($R$27:$R$66),EUconst_NA,IF(ISBLANK(INDEX(I$27:I$66,MATCH($E179,$R$27:$R$66,0))),0,INDEX(I$27:I$66,MATCH($E179,$R$27:$R$66,0))))</f>
        <v>Не е приложимо</v>
      </c>
      <c r="K179" s="951" t="str">
        <f t="shared" si="75"/>
        <v>Не е приложимо</v>
      </c>
      <c r="L179" s="952"/>
      <c r="M179" s="953" t="str">
        <f t="shared" ref="M179:M189" si="76">IF($E179&gt;MAX($R$27:$R$66),EUconst_NA,INDEX(L$27:L$66,MATCH($E179,$R$27:$R$66,0)))</f>
        <v>Не е приложимо</v>
      </c>
      <c r="N179" s="954" t="str">
        <f t="shared" ref="N179:N189" si="77">IF($E179&gt;MAX($R$27:$R$66),EUconst_NA,INDEX(S$27:S$66,MATCH($E179,$R$27:$R$66,0)))</f>
        <v>Не е приложимо</v>
      </c>
      <c r="O179" s="284"/>
      <c r="P179" s="284"/>
      <c r="Q179" s="343"/>
      <c r="R179" s="343"/>
      <c r="S179" s="343"/>
      <c r="T179" s="343"/>
      <c r="U179" s="343"/>
      <c r="V179" s="343"/>
      <c r="W179" s="343"/>
      <c r="X179" s="343"/>
      <c r="Y179" s="343"/>
      <c r="Z179" s="343"/>
      <c r="AA179" s="343"/>
    </row>
    <row r="180" spans="1:27" s="349" customFormat="1" hidden="1" x14ac:dyDescent="0.25">
      <c r="A180" s="694" t="s">
        <v>312</v>
      </c>
      <c r="B180" s="725"/>
      <c r="C180" s="725"/>
      <c r="D180" s="725"/>
      <c r="E180" s="955">
        <f t="shared" ref="E180:E198" si="78">E179+1</f>
        <v>2</v>
      </c>
      <c r="F180" s="956" t="str">
        <f t="shared" si="72"/>
        <v>Не е приложимо</v>
      </c>
      <c r="G180" s="957"/>
      <c r="H180" s="958" t="b">
        <f t="shared" si="73"/>
        <v>0</v>
      </c>
      <c r="I180" s="959" t="str">
        <f t="shared" si="74"/>
        <v/>
      </c>
      <c r="J180" s="960" t="str">
        <f t="shared" si="75"/>
        <v>Не е приложимо</v>
      </c>
      <c r="K180" s="960" t="str">
        <f t="shared" si="75"/>
        <v>Не е приложимо</v>
      </c>
      <c r="L180" s="961"/>
      <c r="M180" s="962" t="str">
        <f t="shared" si="76"/>
        <v>Не е приложимо</v>
      </c>
      <c r="N180" s="963" t="str">
        <f t="shared" si="77"/>
        <v>Не е приложимо</v>
      </c>
      <c r="O180" s="284"/>
      <c r="P180" s="964"/>
      <c r="Q180" s="343"/>
      <c r="R180" s="343"/>
      <c r="S180" s="343"/>
      <c r="T180" s="343"/>
      <c r="U180" s="343"/>
      <c r="V180" s="343"/>
      <c r="W180" s="343"/>
      <c r="X180" s="343"/>
      <c r="Y180" s="343"/>
      <c r="Z180" s="343"/>
      <c r="AA180" s="343"/>
    </row>
    <row r="181" spans="1:27" s="349" customFormat="1" hidden="1" x14ac:dyDescent="0.25">
      <c r="A181" s="694" t="s">
        <v>312</v>
      </c>
      <c r="B181" s="725"/>
      <c r="C181" s="725"/>
      <c r="D181" s="725"/>
      <c r="E181" s="955">
        <f t="shared" si="78"/>
        <v>3</v>
      </c>
      <c r="F181" s="956" t="str">
        <f t="shared" si="72"/>
        <v>Не е приложимо</v>
      </c>
      <c r="G181" s="957"/>
      <c r="H181" s="958" t="b">
        <f t="shared" si="73"/>
        <v>0</v>
      </c>
      <c r="I181" s="959" t="str">
        <f t="shared" si="74"/>
        <v/>
      </c>
      <c r="J181" s="960" t="str">
        <f t="shared" si="75"/>
        <v>Не е приложимо</v>
      </c>
      <c r="K181" s="960" t="str">
        <f t="shared" si="75"/>
        <v>Не е приложимо</v>
      </c>
      <c r="L181" s="961"/>
      <c r="M181" s="962" t="str">
        <f t="shared" si="76"/>
        <v>Не е приложимо</v>
      </c>
      <c r="N181" s="963" t="str">
        <f t="shared" si="77"/>
        <v>Не е приложимо</v>
      </c>
      <c r="O181" s="284"/>
      <c r="P181" s="284"/>
      <c r="Q181" s="343"/>
      <c r="R181" s="343"/>
      <c r="S181" s="343"/>
      <c r="T181" s="343"/>
      <c r="U181" s="343"/>
      <c r="V181" s="343"/>
      <c r="W181" s="343"/>
      <c r="X181" s="343"/>
      <c r="Y181" s="343"/>
      <c r="Z181" s="343"/>
      <c r="AA181" s="343"/>
    </row>
    <row r="182" spans="1:27" s="349" customFormat="1" hidden="1" x14ac:dyDescent="0.25">
      <c r="A182" s="694" t="s">
        <v>312</v>
      </c>
      <c r="B182" s="725"/>
      <c r="C182" s="725"/>
      <c r="D182" s="725"/>
      <c r="E182" s="955">
        <f t="shared" si="78"/>
        <v>4</v>
      </c>
      <c r="F182" s="956" t="str">
        <f t="shared" si="72"/>
        <v>Не е приложимо</v>
      </c>
      <c r="G182" s="957"/>
      <c r="H182" s="958" t="b">
        <f t="shared" si="73"/>
        <v>0</v>
      </c>
      <c r="I182" s="959" t="str">
        <f t="shared" si="74"/>
        <v/>
      </c>
      <c r="J182" s="960" t="str">
        <f t="shared" si="75"/>
        <v>Не е приложимо</v>
      </c>
      <c r="K182" s="960" t="str">
        <f t="shared" si="75"/>
        <v>Не е приложимо</v>
      </c>
      <c r="L182" s="961"/>
      <c r="M182" s="962" t="str">
        <f t="shared" si="76"/>
        <v>Не е приложимо</v>
      </c>
      <c r="N182" s="963" t="str">
        <f t="shared" si="77"/>
        <v>Не е приложимо</v>
      </c>
      <c r="O182" s="284"/>
      <c r="P182" s="284"/>
      <c r="Q182" s="343"/>
      <c r="R182" s="343"/>
      <c r="S182" s="343"/>
      <c r="T182" s="343"/>
      <c r="U182" s="343"/>
      <c r="V182" s="343"/>
      <c r="W182" s="343"/>
      <c r="X182" s="343"/>
      <c r="Y182" s="343"/>
      <c r="Z182" s="343"/>
      <c r="AA182" s="343"/>
    </row>
    <row r="183" spans="1:27" s="349" customFormat="1" hidden="1" x14ac:dyDescent="0.25">
      <c r="A183" s="694" t="s">
        <v>312</v>
      </c>
      <c r="B183" s="725"/>
      <c r="C183" s="725"/>
      <c r="D183" s="725"/>
      <c r="E183" s="955">
        <f t="shared" si="78"/>
        <v>5</v>
      </c>
      <c r="F183" s="956" t="str">
        <f t="shared" si="72"/>
        <v>Не е приложимо</v>
      </c>
      <c r="G183" s="957"/>
      <c r="H183" s="958" t="b">
        <f t="shared" si="73"/>
        <v>0</v>
      </c>
      <c r="I183" s="959" t="str">
        <f t="shared" si="74"/>
        <v/>
      </c>
      <c r="J183" s="960" t="str">
        <f t="shared" si="75"/>
        <v>Не е приложимо</v>
      </c>
      <c r="K183" s="960" t="str">
        <f t="shared" si="75"/>
        <v>Не е приложимо</v>
      </c>
      <c r="L183" s="961"/>
      <c r="M183" s="962" t="str">
        <f t="shared" si="76"/>
        <v>Не е приложимо</v>
      </c>
      <c r="N183" s="963" t="str">
        <f t="shared" si="77"/>
        <v>Не е приложимо</v>
      </c>
      <c r="O183" s="284"/>
      <c r="P183" s="284"/>
      <c r="Q183" s="343"/>
      <c r="R183" s="343"/>
      <c r="S183" s="343"/>
      <c r="T183" s="343"/>
      <c r="U183" s="343"/>
      <c r="V183" s="343"/>
      <c r="W183" s="343"/>
      <c r="X183" s="343"/>
      <c r="Y183" s="343"/>
      <c r="Z183" s="343"/>
      <c r="AA183" s="343"/>
    </row>
    <row r="184" spans="1:27" s="349" customFormat="1" hidden="1" x14ac:dyDescent="0.25">
      <c r="A184" s="694" t="s">
        <v>312</v>
      </c>
      <c r="B184" s="725"/>
      <c r="C184" s="725"/>
      <c r="D184" s="725"/>
      <c r="E184" s="955">
        <f t="shared" si="78"/>
        <v>6</v>
      </c>
      <c r="F184" s="956" t="str">
        <f t="shared" si="72"/>
        <v>Не е приложимо</v>
      </c>
      <c r="G184" s="957"/>
      <c r="H184" s="958" t="b">
        <f t="shared" si="73"/>
        <v>0</v>
      </c>
      <c r="I184" s="959" t="str">
        <f t="shared" si="74"/>
        <v/>
      </c>
      <c r="J184" s="960" t="str">
        <f t="shared" si="75"/>
        <v>Не е приложимо</v>
      </c>
      <c r="K184" s="960" t="str">
        <f t="shared" si="75"/>
        <v>Не е приложимо</v>
      </c>
      <c r="L184" s="961"/>
      <c r="M184" s="962" t="str">
        <f t="shared" si="76"/>
        <v>Не е приложимо</v>
      </c>
      <c r="N184" s="963" t="str">
        <f t="shared" si="77"/>
        <v>Не е приложимо</v>
      </c>
      <c r="O184" s="284"/>
      <c r="P184" s="284"/>
      <c r="Q184" s="343"/>
      <c r="R184" s="343"/>
      <c r="S184" s="343"/>
      <c r="T184" s="343"/>
      <c r="U184" s="343"/>
      <c r="V184" s="343"/>
      <c r="W184" s="343"/>
      <c r="X184" s="343"/>
      <c r="Y184" s="343"/>
      <c r="Z184" s="343"/>
      <c r="AA184" s="343"/>
    </row>
    <row r="185" spans="1:27" s="349" customFormat="1" hidden="1" x14ac:dyDescent="0.25">
      <c r="A185" s="694" t="s">
        <v>312</v>
      </c>
      <c r="B185" s="725"/>
      <c r="C185" s="725"/>
      <c r="D185" s="725"/>
      <c r="E185" s="955">
        <f t="shared" si="78"/>
        <v>7</v>
      </c>
      <c r="F185" s="956" t="str">
        <f t="shared" si="72"/>
        <v>Не е приложимо</v>
      </c>
      <c r="G185" s="957"/>
      <c r="H185" s="958" t="b">
        <f t="shared" ref="H185:H189" si="79">(E185&lt;=MAX($R$27:$R$36))</f>
        <v>0</v>
      </c>
      <c r="I185" s="959" t="str">
        <f t="shared" si="74"/>
        <v/>
      </c>
      <c r="J185" s="960" t="str">
        <f t="shared" si="75"/>
        <v>Не е приложимо</v>
      </c>
      <c r="K185" s="960" t="str">
        <f t="shared" si="75"/>
        <v>Не е приложимо</v>
      </c>
      <c r="L185" s="961"/>
      <c r="M185" s="962" t="str">
        <f t="shared" si="76"/>
        <v>Не е приложимо</v>
      </c>
      <c r="N185" s="963" t="str">
        <f t="shared" si="77"/>
        <v>Не е приложимо</v>
      </c>
      <c r="O185" s="284"/>
      <c r="P185" s="284"/>
      <c r="Q185" s="343"/>
      <c r="R185" s="343"/>
      <c r="S185" s="343"/>
      <c r="T185" s="343"/>
      <c r="U185" s="343"/>
      <c r="V185" s="343"/>
      <c r="W185" s="343"/>
      <c r="X185" s="343"/>
      <c r="Y185" s="343"/>
      <c r="Z185" s="343"/>
      <c r="AA185" s="343"/>
    </row>
    <row r="186" spans="1:27" s="349" customFormat="1" hidden="1" x14ac:dyDescent="0.25">
      <c r="A186" s="694" t="s">
        <v>312</v>
      </c>
      <c r="B186" s="725"/>
      <c r="C186" s="725"/>
      <c r="D186" s="725"/>
      <c r="E186" s="955">
        <f t="shared" si="78"/>
        <v>8</v>
      </c>
      <c r="F186" s="956" t="str">
        <f t="shared" si="72"/>
        <v>Не е приложимо</v>
      </c>
      <c r="G186" s="957"/>
      <c r="H186" s="958" t="b">
        <f t="shared" si="79"/>
        <v>0</v>
      </c>
      <c r="I186" s="959" t="str">
        <f t="shared" si="74"/>
        <v/>
      </c>
      <c r="J186" s="960" t="str">
        <f t="shared" si="75"/>
        <v>Не е приложимо</v>
      </c>
      <c r="K186" s="960" t="str">
        <f t="shared" si="75"/>
        <v>Не е приложимо</v>
      </c>
      <c r="L186" s="961"/>
      <c r="M186" s="962" t="str">
        <f t="shared" si="76"/>
        <v>Не е приложимо</v>
      </c>
      <c r="N186" s="963" t="str">
        <f t="shared" si="77"/>
        <v>Не е приложимо</v>
      </c>
      <c r="O186" s="284"/>
      <c r="P186" s="284"/>
      <c r="Q186" s="343"/>
      <c r="R186" s="343"/>
      <c r="S186" s="343"/>
      <c r="T186" s="343"/>
      <c r="U186" s="343"/>
      <c r="V186" s="343"/>
      <c r="W186" s="343"/>
      <c r="X186" s="343"/>
      <c r="Y186" s="343"/>
      <c r="Z186" s="343"/>
      <c r="AA186" s="343"/>
    </row>
    <row r="187" spans="1:27" s="349" customFormat="1" hidden="1" x14ac:dyDescent="0.25">
      <c r="A187" s="694" t="s">
        <v>312</v>
      </c>
      <c r="B187" s="725"/>
      <c r="C187" s="725"/>
      <c r="D187" s="725"/>
      <c r="E187" s="955">
        <f t="shared" si="78"/>
        <v>9</v>
      </c>
      <c r="F187" s="956" t="str">
        <f t="shared" si="72"/>
        <v>Не е приложимо</v>
      </c>
      <c r="G187" s="957"/>
      <c r="H187" s="958" t="b">
        <f t="shared" si="79"/>
        <v>0</v>
      </c>
      <c r="I187" s="959" t="str">
        <f t="shared" si="74"/>
        <v/>
      </c>
      <c r="J187" s="960" t="str">
        <f t="shared" si="75"/>
        <v>Не е приложимо</v>
      </c>
      <c r="K187" s="960" t="str">
        <f t="shared" si="75"/>
        <v>Не е приложимо</v>
      </c>
      <c r="L187" s="961"/>
      <c r="M187" s="962" t="str">
        <f t="shared" si="76"/>
        <v>Не е приложимо</v>
      </c>
      <c r="N187" s="963" t="str">
        <f t="shared" si="77"/>
        <v>Не е приложимо</v>
      </c>
      <c r="O187" s="284"/>
      <c r="P187" s="284"/>
      <c r="Q187" s="343"/>
      <c r="R187" s="343"/>
      <c r="S187" s="343"/>
      <c r="T187" s="343"/>
      <c r="U187" s="343"/>
      <c r="V187" s="343"/>
      <c r="W187" s="343"/>
      <c r="X187" s="343"/>
      <c r="Y187" s="343"/>
      <c r="Z187" s="343"/>
      <c r="AA187" s="343"/>
    </row>
    <row r="188" spans="1:27" s="349" customFormat="1" hidden="1" x14ac:dyDescent="0.25">
      <c r="A188" s="694" t="s">
        <v>312</v>
      </c>
      <c r="B188" s="725"/>
      <c r="C188" s="725"/>
      <c r="D188" s="725"/>
      <c r="E188" s="955">
        <f t="shared" si="78"/>
        <v>10</v>
      </c>
      <c r="F188" s="956" t="str">
        <f t="shared" si="72"/>
        <v>Не е приложимо</v>
      </c>
      <c r="G188" s="957"/>
      <c r="H188" s="958" t="b">
        <f t="shared" si="79"/>
        <v>0</v>
      </c>
      <c r="I188" s="959" t="str">
        <f t="shared" si="74"/>
        <v/>
      </c>
      <c r="J188" s="960" t="str">
        <f t="shared" si="75"/>
        <v>Не е приложимо</v>
      </c>
      <c r="K188" s="960" t="str">
        <f t="shared" si="75"/>
        <v>Не е приложимо</v>
      </c>
      <c r="L188" s="961"/>
      <c r="M188" s="962" t="str">
        <f t="shared" si="76"/>
        <v>Не е приложимо</v>
      </c>
      <c r="N188" s="963" t="str">
        <f t="shared" si="77"/>
        <v>Не е приложимо</v>
      </c>
      <c r="O188" s="284"/>
      <c r="P188" s="284"/>
      <c r="Q188" s="343"/>
      <c r="R188" s="343"/>
      <c r="S188" s="343"/>
      <c r="T188" s="343"/>
      <c r="U188" s="343"/>
      <c r="V188" s="343"/>
      <c r="W188" s="343"/>
      <c r="X188" s="343"/>
      <c r="Y188" s="343"/>
      <c r="Z188" s="343"/>
      <c r="AA188" s="343"/>
    </row>
    <row r="189" spans="1:27" s="349" customFormat="1" hidden="1" x14ac:dyDescent="0.25">
      <c r="A189" s="694" t="s">
        <v>312</v>
      </c>
      <c r="B189" s="725"/>
      <c r="C189" s="725"/>
      <c r="D189" s="725"/>
      <c r="E189" s="955">
        <f t="shared" si="78"/>
        <v>11</v>
      </c>
      <c r="F189" s="956" t="str">
        <f t="shared" si="72"/>
        <v>Не е приложимо</v>
      </c>
      <c r="G189" s="957"/>
      <c r="H189" s="958" t="b">
        <f t="shared" si="79"/>
        <v>0</v>
      </c>
      <c r="I189" s="959" t="str">
        <f t="shared" si="74"/>
        <v/>
      </c>
      <c r="J189" s="960" t="str">
        <f t="shared" si="75"/>
        <v>Не е приложимо</v>
      </c>
      <c r="K189" s="960" t="str">
        <f t="shared" si="75"/>
        <v>Не е приложимо</v>
      </c>
      <c r="L189" s="961"/>
      <c r="M189" s="962" t="str">
        <f t="shared" si="76"/>
        <v>Не е приложимо</v>
      </c>
      <c r="N189" s="963" t="str">
        <f t="shared" si="77"/>
        <v>Не е приложимо</v>
      </c>
      <c r="O189" s="284"/>
      <c r="P189" s="284"/>
      <c r="Q189" s="343"/>
      <c r="R189" s="343"/>
      <c r="S189" s="343"/>
      <c r="T189" s="343"/>
      <c r="U189" s="343"/>
      <c r="V189" s="343"/>
      <c r="W189" s="343"/>
      <c r="X189" s="343"/>
      <c r="Y189" s="343"/>
      <c r="Z189" s="343"/>
      <c r="AA189" s="343"/>
    </row>
    <row r="190" spans="1:27" s="349" customFormat="1" hidden="1" x14ac:dyDescent="0.25">
      <c r="A190" s="694" t="s">
        <v>312</v>
      </c>
      <c r="B190" s="725"/>
      <c r="C190" s="725"/>
      <c r="D190" s="725"/>
      <c r="E190" s="955">
        <f t="shared" si="78"/>
        <v>12</v>
      </c>
      <c r="F190" s="956" t="str">
        <f t="shared" ref="F190:F198" si="80">IF($E190&gt;MAX($R$27:$R$66),EUconst_NA,INDEX(U$27:U$66,MATCH($E190,$R$27:$R$66,0)))</f>
        <v>Не е приложимо</v>
      </c>
      <c r="G190" s="957"/>
      <c r="H190" s="958" t="b">
        <f t="shared" ref="H190:H198" si="81">(E190&lt;=MAX($R$27:$R$36))</f>
        <v>0</v>
      </c>
      <c r="I190" s="959" t="str">
        <f t="shared" si="74"/>
        <v/>
      </c>
      <c r="J190" s="960" t="str">
        <f t="shared" ref="J190:J198" si="82">IF($E190&gt;MAX($R$27:$R$66),EUconst_NA,IF(ISBLANK(INDEX(I$27:I$66,MATCH($E190,$R$27:$R$66,0))),0,INDEX(I$27:I$66,MATCH($E190,$R$27:$R$66,0))))</f>
        <v>Не е приложимо</v>
      </c>
      <c r="K190" s="960" t="str">
        <f t="shared" ref="K190:K198" si="83">IF($E190&gt;MAX($R$27:$R$66),EUconst_NA,IF(ISBLANK(INDEX(J$27:J$66,MATCH($E190,$R$27:$R$66,0))),0,INDEX(J$27:J$66,MATCH($E190,$R$27:$R$66,0))))</f>
        <v>Не е приложимо</v>
      </c>
      <c r="L190" s="961"/>
      <c r="M190" s="962" t="str">
        <f t="shared" ref="M190:M198" si="84">IF($E190&gt;MAX($R$27:$R$66),EUconst_NA,INDEX(L$27:L$66,MATCH($E190,$R$27:$R$66,0)))</f>
        <v>Не е приложимо</v>
      </c>
      <c r="N190" s="963" t="str">
        <f t="shared" ref="N190:N198" si="85">IF($E190&gt;MAX($R$27:$R$66),EUconst_NA,INDEX(S$27:S$66,MATCH($E190,$R$27:$R$66,0)))</f>
        <v>Не е приложимо</v>
      </c>
      <c r="O190" s="284"/>
      <c r="P190" s="284"/>
      <c r="Q190" s="343"/>
      <c r="R190" s="343"/>
      <c r="S190" s="343"/>
      <c r="T190" s="343"/>
      <c r="U190" s="343"/>
      <c r="V190" s="343"/>
      <c r="W190" s="343"/>
      <c r="X190" s="343"/>
      <c r="Y190" s="343"/>
      <c r="Z190" s="343"/>
      <c r="AA190" s="343"/>
    </row>
    <row r="191" spans="1:27" s="349" customFormat="1" hidden="1" x14ac:dyDescent="0.25">
      <c r="A191" s="694" t="s">
        <v>312</v>
      </c>
      <c r="B191" s="725"/>
      <c r="C191" s="725"/>
      <c r="D191" s="725"/>
      <c r="E191" s="955">
        <f t="shared" si="78"/>
        <v>13</v>
      </c>
      <c r="F191" s="956" t="str">
        <f t="shared" si="80"/>
        <v>Не е приложимо</v>
      </c>
      <c r="G191" s="957"/>
      <c r="H191" s="958" t="b">
        <f t="shared" si="81"/>
        <v>0</v>
      </c>
      <c r="I191" s="959" t="str">
        <f t="shared" si="74"/>
        <v/>
      </c>
      <c r="J191" s="960" t="str">
        <f t="shared" si="82"/>
        <v>Не е приложимо</v>
      </c>
      <c r="K191" s="960" t="str">
        <f t="shared" si="83"/>
        <v>Не е приложимо</v>
      </c>
      <c r="L191" s="961"/>
      <c r="M191" s="962" t="str">
        <f t="shared" si="84"/>
        <v>Не е приложимо</v>
      </c>
      <c r="N191" s="963" t="str">
        <f t="shared" si="85"/>
        <v>Не е приложимо</v>
      </c>
      <c r="O191" s="284"/>
      <c r="P191" s="284"/>
      <c r="Q191" s="343"/>
      <c r="R191" s="343"/>
      <c r="S191" s="343"/>
      <c r="T191" s="343"/>
      <c r="U191" s="343"/>
      <c r="V191" s="343"/>
      <c r="W191" s="343"/>
      <c r="X191" s="343"/>
      <c r="Y191" s="343"/>
      <c r="Z191" s="343"/>
      <c r="AA191" s="343"/>
    </row>
    <row r="192" spans="1:27" s="349" customFormat="1" hidden="1" x14ac:dyDescent="0.25">
      <c r="A192" s="694" t="s">
        <v>312</v>
      </c>
      <c r="B192" s="725"/>
      <c r="C192" s="725"/>
      <c r="D192" s="725"/>
      <c r="E192" s="955">
        <f t="shared" si="78"/>
        <v>14</v>
      </c>
      <c r="F192" s="956" t="str">
        <f t="shared" si="80"/>
        <v>Не е приложимо</v>
      </c>
      <c r="G192" s="957"/>
      <c r="H192" s="958" t="b">
        <f t="shared" si="81"/>
        <v>0</v>
      </c>
      <c r="I192" s="959" t="str">
        <f t="shared" si="74"/>
        <v/>
      </c>
      <c r="J192" s="960" t="str">
        <f t="shared" si="82"/>
        <v>Не е приложимо</v>
      </c>
      <c r="K192" s="960" t="str">
        <f t="shared" si="83"/>
        <v>Не е приложимо</v>
      </c>
      <c r="L192" s="961"/>
      <c r="M192" s="962" t="str">
        <f t="shared" si="84"/>
        <v>Не е приложимо</v>
      </c>
      <c r="N192" s="963" t="str">
        <f t="shared" si="85"/>
        <v>Не е приложимо</v>
      </c>
      <c r="O192" s="284"/>
      <c r="P192" s="284"/>
      <c r="Q192" s="343"/>
      <c r="R192" s="343"/>
      <c r="S192" s="343"/>
      <c r="T192" s="343"/>
      <c r="U192" s="343"/>
      <c r="V192" s="343"/>
      <c r="W192" s="343"/>
      <c r="X192" s="343"/>
      <c r="Y192" s="343"/>
      <c r="Z192" s="343"/>
      <c r="AA192" s="343"/>
    </row>
    <row r="193" spans="1:27" s="349" customFormat="1" hidden="1" x14ac:dyDescent="0.25">
      <c r="A193" s="694" t="s">
        <v>312</v>
      </c>
      <c r="B193" s="725"/>
      <c r="C193" s="725"/>
      <c r="D193" s="725"/>
      <c r="E193" s="955">
        <f t="shared" si="78"/>
        <v>15</v>
      </c>
      <c r="F193" s="956" t="str">
        <f t="shared" si="80"/>
        <v>Не е приложимо</v>
      </c>
      <c r="G193" s="957"/>
      <c r="H193" s="958" t="b">
        <f t="shared" si="81"/>
        <v>0</v>
      </c>
      <c r="I193" s="959" t="str">
        <f t="shared" si="74"/>
        <v/>
      </c>
      <c r="J193" s="960" t="str">
        <f t="shared" si="82"/>
        <v>Не е приложимо</v>
      </c>
      <c r="K193" s="960" t="str">
        <f t="shared" si="83"/>
        <v>Не е приложимо</v>
      </c>
      <c r="L193" s="961"/>
      <c r="M193" s="962" t="str">
        <f t="shared" si="84"/>
        <v>Не е приложимо</v>
      </c>
      <c r="N193" s="963" t="str">
        <f t="shared" si="85"/>
        <v>Не е приложимо</v>
      </c>
      <c r="O193" s="284"/>
      <c r="P193" s="284"/>
      <c r="Q193" s="343"/>
      <c r="R193" s="343"/>
      <c r="S193" s="343"/>
      <c r="T193" s="343"/>
      <c r="U193" s="343"/>
      <c r="V193" s="343"/>
      <c r="W193" s="343"/>
      <c r="X193" s="343"/>
      <c r="Y193" s="343"/>
      <c r="Z193" s="343"/>
      <c r="AA193" s="343"/>
    </row>
    <row r="194" spans="1:27" s="349" customFormat="1" hidden="1" x14ac:dyDescent="0.25">
      <c r="A194" s="694" t="s">
        <v>312</v>
      </c>
      <c r="B194" s="725"/>
      <c r="C194" s="725"/>
      <c r="D194" s="725"/>
      <c r="E194" s="955">
        <f t="shared" si="78"/>
        <v>16</v>
      </c>
      <c r="F194" s="956" t="str">
        <f t="shared" si="80"/>
        <v>Не е приложимо</v>
      </c>
      <c r="G194" s="957"/>
      <c r="H194" s="958" t="b">
        <f t="shared" si="81"/>
        <v>0</v>
      </c>
      <c r="I194" s="959" t="str">
        <f t="shared" si="74"/>
        <v/>
      </c>
      <c r="J194" s="960" t="str">
        <f t="shared" si="82"/>
        <v>Не е приложимо</v>
      </c>
      <c r="K194" s="960" t="str">
        <f t="shared" si="83"/>
        <v>Не е приложимо</v>
      </c>
      <c r="L194" s="961"/>
      <c r="M194" s="962" t="str">
        <f t="shared" si="84"/>
        <v>Не е приложимо</v>
      </c>
      <c r="N194" s="963" t="str">
        <f t="shared" si="85"/>
        <v>Не е приложимо</v>
      </c>
      <c r="O194" s="284"/>
      <c r="P194" s="284"/>
      <c r="Q194" s="343"/>
      <c r="R194" s="343"/>
      <c r="S194" s="343"/>
      <c r="T194" s="343"/>
      <c r="U194" s="343"/>
      <c r="V194" s="343"/>
      <c r="W194" s="343"/>
      <c r="X194" s="343"/>
      <c r="Y194" s="343"/>
      <c r="Z194" s="343"/>
      <c r="AA194" s="343"/>
    </row>
    <row r="195" spans="1:27" s="349" customFormat="1" hidden="1" x14ac:dyDescent="0.25">
      <c r="A195" s="694" t="s">
        <v>312</v>
      </c>
      <c r="B195" s="725"/>
      <c r="C195" s="725"/>
      <c r="D195" s="725"/>
      <c r="E195" s="955">
        <f t="shared" si="78"/>
        <v>17</v>
      </c>
      <c r="F195" s="956" t="str">
        <f t="shared" si="80"/>
        <v>Не е приложимо</v>
      </c>
      <c r="G195" s="957"/>
      <c r="H195" s="958" t="b">
        <f t="shared" si="81"/>
        <v>0</v>
      </c>
      <c r="I195" s="959" t="str">
        <f t="shared" si="74"/>
        <v/>
      </c>
      <c r="J195" s="960" t="str">
        <f t="shared" si="82"/>
        <v>Не е приложимо</v>
      </c>
      <c r="K195" s="960" t="str">
        <f t="shared" si="83"/>
        <v>Не е приложимо</v>
      </c>
      <c r="L195" s="961"/>
      <c r="M195" s="962" t="str">
        <f t="shared" si="84"/>
        <v>Не е приложимо</v>
      </c>
      <c r="N195" s="963" t="str">
        <f t="shared" si="85"/>
        <v>Не е приложимо</v>
      </c>
      <c r="O195" s="284"/>
      <c r="P195" s="284"/>
      <c r="Q195" s="343"/>
      <c r="R195" s="343"/>
      <c r="S195" s="343"/>
      <c r="T195" s="343"/>
      <c r="U195" s="343"/>
      <c r="V195" s="343"/>
      <c r="W195" s="343"/>
      <c r="X195" s="343"/>
      <c r="Y195" s="343"/>
      <c r="Z195" s="343"/>
      <c r="AA195" s="343"/>
    </row>
    <row r="196" spans="1:27" s="349" customFormat="1" hidden="1" x14ac:dyDescent="0.25">
      <c r="A196" s="694" t="s">
        <v>312</v>
      </c>
      <c r="B196" s="725"/>
      <c r="C196" s="725"/>
      <c r="D196" s="725"/>
      <c r="E196" s="955">
        <f t="shared" si="78"/>
        <v>18</v>
      </c>
      <c r="F196" s="956" t="str">
        <f t="shared" si="80"/>
        <v>Не е приложимо</v>
      </c>
      <c r="G196" s="957"/>
      <c r="H196" s="958" t="b">
        <f t="shared" si="81"/>
        <v>0</v>
      </c>
      <c r="I196" s="959" t="str">
        <f t="shared" si="74"/>
        <v/>
      </c>
      <c r="J196" s="960" t="str">
        <f t="shared" si="82"/>
        <v>Не е приложимо</v>
      </c>
      <c r="K196" s="960" t="str">
        <f t="shared" si="83"/>
        <v>Не е приложимо</v>
      </c>
      <c r="L196" s="961"/>
      <c r="M196" s="962" t="str">
        <f t="shared" si="84"/>
        <v>Не е приложимо</v>
      </c>
      <c r="N196" s="963" t="str">
        <f t="shared" si="85"/>
        <v>Не е приложимо</v>
      </c>
      <c r="O196" s="284"/>
      <c r="P196" s="284"/>
      <c r="Q196" s="343"/>
      <c r="R196" s="343"/>
      <c r="S196" s="343"/>
      <c r="T196" s="343"/>
      <c r="U196" s="343"/>
      <c r="V196" s="343"/>
      <c r="W196" s="343"/>
      <c r="X196" s="343"/>
      <c r="Y196" s="343"/>
      <c r="Z196" s="343"/>
      <c r="AA196" s="343"/>
    </row>
    <row r="197" spans="1:27" s="349" customFormat="1" hidden="1" x14ac:dyDescent="0.25">
      <c r="A197" s="694" t="s">
        <v>312</v>
      </c>
      <c r="B197" s="725"/>
      <c r="C197" s="725"/>
      <c r="D197" s="725"/>
      <c r="E197" s="955">
        <f t="shared" si="78"/>
        <v>19</v>
      </c>
      <c r="F197" s="956" t="str">
        <f t="shared" si="80"/>
        <v>Не е приложимо</v>
      </c>
      <c r="G197" s="957"/>
      <c r="H197" s="958" t="b">
        <f t="shared" si="81"/>
        <v>0</v>
      </c>
      <c r="I197" s="959" t="str">
        <f t="shared" si="74"/>
        <v/>
      </c>
      <c r="J197" s="960" t="str">
        <f t="shared" si="82"/>
        <v>Не е приложимо</v>
      </c>
      <c r="K197" s="960" t="str">
        <f t="shared" si="83"/>
        <v>Не е приложимо</v>
      </c>
      <c r="L197" s="961"/>
      <c r="M197" s="962" t="str">
        <f t="shared" si="84"/>
        <v>Не е приложимо</v>
      </c>
      <c r="N197" s="963" t="str">
        <f t="shared" si="85"/>
        <v>Не е приложимо</v>
      </c>
      <c r="O197" s="284"/>
      <c r="P197" s="284"/>
      <c r="Q197" s="343"/>
      <c r="R197" s="343"/>
      <c r="S197" s="343"/>
      <c r="T197" s="343"/>
      <c r="U197" s="343"/>
      <c r="V197" s="343"/>
      <c r="W197" s="343"/>
      <c r="X197" s="343"/>
      <c r="Y197" s="343"/>
      <c r="Z197" s="343"/>
      <c r="AA197" s="343"/>
    </row>
    <row r="198" spans="1:27" s="349" customFormat="1" ht="13" hidden="1" thickBot="1" x14ac:dyDescent="0.3">
      <c r="A198" s="694" t="s">
        <v>312</v>
      </c>
      <c r="B198" s="725"/>
      <c r="C198" s="725"/>
      <c r="D198" s="725"/>
      <c r="E198" s="965">
        <f t="shared" si="78"/>
        <v>20</v>
      </c>
      <c r="F198" s="966" t="str">
        <f t="shared" si="80"/>
        <v>Не е приложимо</v>
      </c>
      <c r="G198" s="967"/>
      <c r="H198" s="968" t="b">
        <f t="shared" si="81"/>
        <v>0</v>
      </c>
      <c r="I198" s="969" t="str">
        <f t="shared" si="74"/>
        <v/>
      </c>
      <c r="J198" s="970" t="str">
        <f t="shared" si="82"/>
        <v>Не е приложимо</v>
      </c>
      <c r="K198" s="970" t="str">
        <f t="shared" si="83"/>
        <v>Не е приложимо</v>
      </c>
      <c r="L198" s="971"/>
      <c r="M198" s="972" t="str">
        <f t="shared" si="84"/>
        <v>Не е приложимо</v>
      </c>
      <c r="N198" s="973" t="str">
        <f t="shared" si="85"/>
        <v>Не е приложимо</v>
      </c>
      <c r="O198" s="284"/>
      <c r="P198" s="284"/>
      <c r="Q198" s="343"/>
      <c r="R198" s="343"/>
      <c r="S198" s="343"/>
      <c r="T198" s="343"/>
      <c r="U198" s="343"/>
      <c r="V198" s="343"/>
      <c r="W198" s="343"/>
      <c r="X198" s="343"/>
      <c r="Y198" s="343"/>
      <c r="Z198" s="343"/>
      <c r="AA198" s="343"/>
    </row>
    <row r="199" spans="1:27" s="349" customFormat="1" ht="13" hidden="1" x14ac:dyDescent="0.25">
      <c r="A199" s="694" t="s">
        <v>312</v>
      </c>
      <c r="B199" s="725"/>
      <c r="C199" s="725"/>
      <c r="D199" s="725"/>
      <c r="E199" s="725"/>
      <c r="F199" s="725"/>
      <c r="G199" s="725"/>
      <c r="H199" s="725"/>
      <c r="I199" s="669"/>
      <c r="J199" s="669"/>
      <c r="K199" s="669"/>
      <c r="L199" s="669"/>
      <c r="M199" s="669"/>
      <c r="N199" s="669"/>
      <c r="O199" s="284"/>
      <c r="P199" s="284"/>
      <c r="Q199" s="343"/>
      <c r="R199" s="343"/>
      <c r="S199" s="343"/>
      <c r="T199" s="343"/>
      <c r="U199" s="343"/>
      <c r="V199" s="343"/>
      <c r="W199" s="343"/>
      <c r="X199" s="343"/>
      <c r="Y199" s="343"/>
      <c r="Z199" s="343"/>
      <c r="AA199" s="343"/>
    </row>
    <row r="200" spans="1:27" s="349" customFormat="1" hidden="1" x14ac:dyDescent="0.25">
      <c r="A200" s="694" t="s">
        <v>312</v>
      </c>
      <c r="B200" s="725"/>
      <c r="C200" s="725"/>
      <c r="D200" s="725"/>
      <c r="E200" s="647" t="str">
        <f>Translations!$B$1467</f>
        <v>За форматиране</v>
      </c>
      <c r="F200" s="725"/>
      <c r="G200" s="725"/>
      <c r="H200" s="725"/>
      <c r="I200" s="725"/>
      <c r="J200" s="725"/>
      <c r="K200" s="725"/>
      <c r="L200" s="725"/>
      <c r="M200" s="725"/>
      <c r="N200" s="725"/>
      <c r="O200" s="284"/>
      <c r="P200" s="284"/>
      <c r="Q200" s="343"/>
      <c r="R200" s="343"/>
      <c r="S200" s="343"/>
      <c r="T200" s="343"/>
      <c r="U200" s="343"/>
      <c r="V200" s="343"/>
      <c r="W200" s="343"/>
      <c r="X200" s="343"/>
      <c r="Y200" s="343"/>
      <c r="Z200" s="343"/>
      <c r="AA200" s="343"/>
    </row>
    <row r="201" spans="1:27" s="349" customFormat="1" hidden="1" x14ac:dyDescent="0.25">
      <c r="A201" s="694" t="s">
        <v>312</v>
      </c>
      <c r="B201" s="725"/>
      <c r="C201" s="725"/>
      <c r="D201" s="725"/>
      <c r="E201" s="725" t="s">
        <v>815</v>
      </c>
      <c r="F201" s="725"/>
      <c r="G201" s="830" t="b">
        <f>OR(COUNTIF(E152:E161,"")&lt;10,COUNTIF(CNTR_FallBackSubInstRelevant,"")&lt;10)</f>
        <v>0</v>
      </c>
      <c r="H201" s="725"/>
      <c r="I201" s="647" t="s">
        <v>1512</v>
      </c>
      <c r="J201" s="830" t="b">
        <f>OR(CNTR_SubInstListIsProdBM)</f>
        <v>0</v>
      </c>
      <c r="K201" s="725"/>
      <c r="L201" s="725"/>
      <c r="M201" s="725"/>
      <c r="N201" s="725"/>
      <c r="O201" s="284"/>
      <c r="P201" s="284"/>
      <c r="Q201" s="343"/>
      <c r="R201" s="343"/>
      <c r="S201" s="343"/>
      <c r="T201" s="343"/>
      <c r="U201" s="343"/>
      <c r="V201" s="343"/>
      <c r="W201" s="343"/>
      <c r="X201" s="343"/>
      <c r="Y201" s="343"/>
      <c r="Z201" s="343"/>
      <c r="AA201" s="343"/>
    </row>
    <row r="202" spans="1:27" hidden="1" x14ac:dyDescent="0.25">
      <c r="A202" s="694" t="s">
        <v>312</v>
      </c>
      <c r="B202" s="284"/>
      <c r="C202" s="287"/>
      <c r="D202" s="284"/>
      <c r="E202" s="284"/>
      <c r="F202" s="284"/>
      <c r="G202" s="284"/>
      <c r="H202" s="284"/>
      <c r="I202" s="284"/>
      <c r="J202" s="284"/>
      <c r="K202" s="284"/>
      <c r="L202" s="284"/>
      <c r="M202" s="284"/>
      <c r="O202" s="284"/>
      <c r="P202" s="284"/>
    </row>
    <row r="203" spans="1:27" hidden="1" x14ac:dyDescent="0.25">
      <c r="A203" s="694" t="s">
        <v>312</v>
      </c>
      <c r="E203" s="725" t="s">
        <v>818</v>
      </c>
      <c r="F203" s="725"/>
      <c r="G203" s="725"/>
      <c r="H203" s="725"/>
    </row>
    <row r="204" spans="1:27" hidden="1" x14ac:dyDescent="0.25">
      <c r="A204" s="694" t="s">
        <v>312</v>
      </c>
      <c r="C204" s="326"/>
      <c r="E204" s="725"/>
      <c r="F204" s="647" t="s">
        <v>2025</v>
      </c>
      <c r="G204" s="830" t="b">
        <f>OR(10-COUNTIF(N27:N36,"")&gt;0,E37&lt;&gt;"",D39&lt;&gt;"",E67&lt;&gt;"",D69&lt;&gt;"")</f>
        <v>0</v>
      </c>
      <c r="H204" s="725" t="s">
        <v>917</v>
      </c>
    </row>
  </sheetData>
  <sheetProtection sheet="1" objects="1" scenarios="1" formatCells="0" formatColumns="0" formatRows="0"/>
  <mergeCells count="177">
    <mergeCell ref="D85:N85"/>
    <mergeCell ref="E92:H92"/>
    <mergeCell ref="E93:H93"/>
    <mergeCell ref="E100:H100"/>
    <mergeCell ref="F53:N53"/>
    <mergeCell ref="E73:N73"/>
    <mergeCell ref="D78:N78"/>
    <mergeCell ref="E79:N79"/>
    <mergeCell ref="L81:N81"/>
    <mergeCell ref="D71:N71"/>
    <mergeCell ref="L82:N82"/>
    <mergeCell ref="L75:N75"/>
    <mergeCell ref="E57:F57"/>
    <mergeCell ref="E61:F61"/>
    <mergeCell ref="E66:F66"/>
    <mergeCell ref="E86:N86"/>
    <mergeCell ref="D69:N69"/>
    <mergeCell ref="E94:H94"/>
    <mergeCell ref="E95:H95"/>
    <mergeCell ref="E89:H90"/>
    <mergeCell ref="E67:K67"/>
    <mergeCell ref="E96:H96"/>
    <mergeCell ref="E72:N72"/>
    <mergeCell ref="E62:F62"/>
    <mergeCell ref="E143:G143"/>
    <mergeCell ref="E135:G135"/>
    <mergeCell ref="E136:G136"/>
    <mergeCell ref="E137:G137"/>
    <mergeCell ref="E138:G138"/>
    <mergeCell ref="F120:N120"/>
    <mergeCell ref="E102:H102"/>
    <mergeCell ref="E104:H104"/>
    <mergeCell ref="E106:H106"/>
    <mergeCell ref="E105:H105"/>
    <mergeCell ref="E112:N112"/>
    <mergeCell ref="F115:N115"/>
    <mergeCell ref="E107:H107"/>
    <mergeCell ref="E109:H109"/>
    <mergeCell ref="F119:N119"/>
    <mergeCell ref="E113:N113"/>
    <mergeCell ref="E103:H103"/>
    <mergeCell ref="E110:H110"/>
    <mergeCell ref="E108:H108"/>
    <mergeCell ref="E63:F63"/>
    <mergeCell ref="E88:N88"/>
    <mergeCell ref="E101:H101"/>
    <mergeCell ref="L83:N83"/>
    <mergeCell ref="E97:H97"/>
    <mergeCell ref="E98:H98"/>
    <mergeCell ref="E99:H99"/>
    <mergeCell ref="G4:H4"/>
    <mergeCell ref="I4:J4"/>
    <mergeCell ref="D10:N10"/>
    <mergeCell ref="M4:N4"/>
    <mergeCell ref="D6:N6"/>
    <mergeCell ref="E12:N12"/>
    <mergeCell ref="G33:H33"/>
    <mergeCell ref="G27:H27"/>
    <mergeCell ref="G28:H28"/>
    <mergeCell ref="E4:F4"/>
    <mergeCell ref="E26:F26"/>
    <mergeCell ref="D8:N8"/>
    <mergeCell ref="F22:N22"/>
    <mergeCell ref="G16:N16"/>
    <mergeCell ref="E24:N24"/>
    <mergeCell ref="E42:N42"/>
    <mergeCell ref="G32:H32"/>
    <mergeCell ref="E37:K37"/>
    <mergeCell ref="E56:F56"/>
    <mergeCell ref="G26:H26"/>
    <mergeCell ref="E43:N43"/>
    <mergeCell ref="G31:H31"/>
    <mergeCell ref="E13:N13"/>
    <mergeCell ref="E29:F29"/>
    <mergeCell ref="F50:N50"/>
    <mergeCell ref="F51:N51"/>
    <mergeCell ref="E36:F36"/>
    <mergeCell ref="G35:H35"/>
    <mergeCell ref="G36:H36"/>
    <mergeCell ref="F52:N52"/>
    <mergeCell ref="E54:N54"/>
    <mergeCell ref="D173:N173"/>
    <mergeCell ref="G29:H29"/>
    <mergeCell ref="E27:F27"/>
    <mergeCell ref="E28:F28"/>
    <mergeCell ref="E64:F64"/>
    <mergeCell ref="E34:F34"/>
    <mergeCell ref="E65:F65"/>
    <mergeCell ref="D41:N41"/>
    <mergeCell ref="G30:H30"/>
    <mergeCell ref="E35:F35"/>
    <mergeCell ref="E30:F30"/>
    <mergeCell ref="E31:F31"/>
    <mergeCell ref="D125:D126"/>
    <mergeCell ref="D150:D151"/>
    <mergeCell ref="D89:D90"/>
    <mergeCell ref="H125:H126"/>
    <mergeCell ref="E87:N87"/>
    <mergeCell ref="F117:N117"/>
    <mergeCell ref="G44:N44"/>
    <mergeCell ref="G45:N45"/>
    <mergeCell ref="G46:N46"/>
    <mergeCell ref="G47:N47"/>
    <mergeCell ref="G48:N48"/>
    <mergeCell ref="G49:N49"/>
    <mergeCell ref="P2:P4"/>
    <mergeCell ref="D39:N39"/>
    <mergeCell ref="E32:F32"/>
    <mergeCell ref="E33:F33"/>
    <mergeCell ref="G14:N14"/>
    <mergeCell ref="G15:N15"/>
    <mergeCell ref="F20:N20"/>
    <mergeCell ref="F21:N21"/>
    <mergeCell ref="G17:N17"/>
    <mergeCell ref="G18:N18"/>
    <mergeCell ref="G19:N19"/>
    <mergeCell ref="F23:N23"/>
    <mergeCell ref="G34:H34"/>
    <mergeCell ref="B2:D4"/>
    <mergeCell ref="G2:H2"/>
    <mergeCell ref="I2:J2"/>
    <mergeCell ref="K2:L2"/>
    <mergeCell ref="M2:N2"/>
    <mergeCell ref="E3:F3"/>
    <mergeCell ref="K3:L3"/>
    <mergeCell ref="M3:N3"/>
    <mergeCell ref="G3:H3"/>
    <mergeCell ref="I3:J3"/>
    <mergeCell ref="K4:L4"/>
    <mergeCell ref="E2:F2"/>
    <mergeCell ref="E169:H169"/>
    <mergeCell ref="E170:H170"/>
    <mergeCell ref="E171:H171"/>
    <mergeCell ref="E160:H160"/>
    <mergeCell ref="E161:H161"/>
    <mergeCell ref="E162:H162"/>
    <mergeCell ref="E163:H163"/>
    <mergeCell ref="E164:H164"/>
    <mergeCell ref="E168:H168"/>
    <mergeCell ref="E165:H165"/>
    <mergeCell ref="E166:H166"/>
    <mergeCell ref="E167:H167"/>
    <mergeCell ref="E159:H159"/>
    <mergeCell ref="E149:N149"/>
    <mergeCell ref="E157:H157"/>
    <mergeCell ref="E124:N124"/>
    <mergeCell ref="F114:N114"/>
    <mergeCell ref="F116:N116"/>
    <mergeCell ref="F118:N118"/>
    <mergeCell ref="E158:H158"/>
    <mergeCell ref="E127:G127"/>
    <mergeCell ref="E128:G128"/>
    <mergeCell ref="E150:H151"/>
    <mergeCell ref="E91:H91"/>
    <mergeCell ref="E153:H153"/>
    <mergeCell ref="E154:H154"/>
    <mergeCell ref="E155:H155"/>
    <mergeCell ref="E156:H156"/>
    <mergeCell ref="E140:G140"/>
    <mergeCell ref="F122:N122"/>
    <mergeCell ref="F121:N121"/>
    <mergeCell ref="E130:G130"/>
    <mergeCell ref="E133:G133"/>
    <mergeCell ref="E134:G134"/>
    <mergeCell ref="F123:N123"/>
    <mergeCell ref="E152:H152"/>
    <mergeCell ref="E129:G129"/>
    <mergeCell ref="E132:G132"/>
    <mergeCell ref="E148:N148"/>
    <mergeCell ref="E131:G131"/>
    <mergeCell ref="E144:G144"/>
    <mergeCell ref="E145:G145"/>
    <mergeCell ref="E146:G146"/>
    <mergeCell ref="E141:G141"/>
    <mergeCell ref="E142:G142"/>
    <mergeCell ref="E125:G126"/>
    <mergeCell ref="E139:G139"/>
  </mergeCells>
  <conditionalFormatting sqref="B2:D4">
    <cfRule type="expression" dxfId="763" priority="29" stopIfTrue="1">
      <formula>$G$204</formula>
    </cfRule>
  </conditionalFormatting>
  <conditionalFormatting sqref="E91 I91:N100 E92:G100 I101:I110">
    <cfRule type="expression" dxfId="762" priority="24" stopIfTrue="1">
      <formula>$S91</formula>
    </cfRule>
  </conditionalFormatting>
  <conditionalFormatting sqref="E27:F36">
    <cfRule type="expression" dxfId="761" priority="25" stopIfTrue="1">
      <formula>$W27=0</formula>
    </cfRule>
  </conditionalFormatting>
  <conditionalFormatting sqref="G3:H3">
    <cfRule type="expression" dxfId="760" priority="18" stopIfTrue="1">
      <formula>$G$204</formula>
    </cfRule>
  </conditionalFormatting>
  <conditionalFormatting sqref="G27:H36">
    <cfRule type="expression" dxfId="759" priority="21" stopIfTrue="1">
      <formula>$X27=0</formula>
    </cfRule>
    <cfRule type="expression" dxfId="758" priority="572" stopIfTrue="1">
      <formula>$X27=1</formula>
    </cfRule>
  </conditionalFormatting>
  <conditionalFormatting sqref="G57:K66">
    <cfRule type="expression" dxfId="757" priority="19" stopIfTrue="1">
      <formula>W57=1</formula>
    </cfRule>
    <cfRule type="expression" dxfId="756" priority="573" stopIfTrue="1">
      <formula>W57=0</formula>
    </cfRule>
  </conditionalFormatting>
  <conditionalFormatting sqref="G4:L4">
    <cfRule type="expression" dxfId="755" priority="3" stopIfTrue="1">
      <formula>#REF!</formula>
    </cfRule>
  </conditionalFormatting>
  <conditionalFormatting sqref="I27:K36">
    <cfRule type="expression" dxfId="754" priority="20" stopIfTrue="1">
      <formula>Y27=1</formula>
    </cfRule>
    <cfRule type="expression" dxfId="753" priority="23" stopIfTrue="1">
      <formula>Y27=0</formula>
    </cfRule>
  </conditionalFormatting>
  <conditionalFormatting sqref="I127:N136 I137:I146">
    <cfRule type="expression" dxfId="752" priority="41" stopIfTrue="1">
      <formula>T127</formula>
    </cfRule>
  </conditionalFormatting>
  <conditionalFormatting sqref="J76:N76">
    <cfRule type="cellIs" dxfId="751" priority="12" stopIfTrue="1" operator="equal">
      <formula>TRUE</formula>
    </cfRule>
  </conditionalFormatting>
  <conditionalFormatting sqref="K3:L3">
    <cfRule type="expression" dxfId="750" priority="2" stopIfTrue="1">
      <formula>COUNTIF($AA$127:$AA$146,2)&gt;0</formula>
    </cfRule>
  </conditionalFormatting>
  <conditionalFormatting sqref="L75">
    <cfRule type="expression" dxfId="749" priority="1" stopIfTrue="1">
      <formula>$Y75</formula>
    </cfRule>
  </conditionalFormatting>
  <conditionalFormatting sqref="L82">
    <cfRule type="expression" dxfId="748" priority="8" stopIfTrue="1">
      <formula>$Y82</formula>
    </cfRule>
  </conditionalFormatting>
  <conditionalFormatting sqref="L81:N81">
    <cfRule type="expression" dxfId="747" priority="7" stopIfTrue="1">
      <formula>$Y81</formula>
    </cfRule>
  </conditionalFormatting>
  <conditionalFormatting sqref="L83:N83">
    <cfRule type="cellIs" dxfId="746" priority="6" operator="equal">
      <formula>TRUE</formula>
    </cfRule>
  </conditionalFormatting>
  <dataValidations count="9">
    <dataValidation type="list" operator="greaterThan" allowBlank="1" showInputMessage="1" showErrorMessage="1" sqref="K27:K36 K57:K66" xr:uid="{00000000-0002-0000-0400-000000000000}">
      <formula1>EUconst_CessationReason</formula1>
    </dataValidation>
    <dataValidation type="decimal" operator="greaterThanOrEqual" allowBlank="1" showInputMessage="1" showErrorMessage="1" sqref="M127:M136 I127:K136 I137:I146" xr:uid="{00000000-0002-0000-0400-000001000000}">
      <formula1>0</formula1>
    </dataValidation>
    <dataValidation type="decimal" allowBlank="1" showInputMessage="1" showErrorMessage="1" sqref="L127:L136 N127:N136" xr:uid="{00000000-0002-0000-0400-000002000000}">
      <formula1>0</formula1>
      <formula2>1</formula2>
    </dataValidation>
    <dataValidation type="list" allowBlank="1" showInputMessage="1" showErrorMessage="1" sqref="G27:G36" xr:uid="{00000000-0002-0000-0400-000003000000}">
      <formula1>EUconst_BMlistNames</formula1>
    </dataValidation>
    <dataValidation type="list" allowBlank="1" showInputMessage="1" showErrorMessage="1" sqref="H57:H66 L75" xr:uid="{00000000-0002-0000-0400-000004000000}">
      <formula1>Euconst_TrueFalse</formula1>
    </dataValidation>
    <dataValidation type="date" operator="greaterThan" allowBlank="1" showInputMessage="1" showErrorMessage="1" error="! No valid date format !" sqref="I27:J36 I57:J66" xr:uid="{00000000-0002-0000-0400-000005000000}">
      <formula1>1</formula1>
    </dataValidation>
    <dataValidation type="list" errorStyle="warning" operator="equal" allowBlank="1" showInputMessage="1" showErrorMessage="1" error="! NACE code should be 4-digit number !" sqref="L82:N82" xr:uid="{00000000-0002-0000-0400-000006000000}">
      <formula1>Euconst_TrueFalse</formula1>
    </dataValidation>
    <dataValidation errorStyle="warning" operator="equal" allowBlank="1" showInputMessage="1" showErrorMessage="1" sqref="L81:N81 L83 S83" xr:uid="{00000000-0002-0000-0400-000007000000}"/>
    <dataValidation operator="greaterThanOrEqual" allowBlank="1" showInputMessage="1" showErrorMessage="1" sqref="I162:I171" xr:uid="{00000000-0002-0000-0400-000008000000}"/>
  </dataValidations>
  <hyperlinks>
    <hyperlink ref="D173:N173" location="JUMP_D_Top" display="JUMP_D_Top" xr:uid="{00000000-0004-0000-0400-000000000000}"/>
    <hyperlink ref="G2:H2" location="JUMP_TOC_Home" display="Table of contents" xr:uid="{00000000-0004-0000-0400-000001000000}"/>
    <hyperlink ref="M2:N2" location="JUMP_K_I" display="Summary" xr:uid="{00000000-0004-0000-0400-000002000000}"/>
    <hyperlink ref="E3:F3" location="JUMP_B_I" display="JUMP_B_I" xr:uid="{00000000-0004-0000-0400-000003000000}"/>
    <hyperlink ref="E4:F4" location="JUMP_B_Bottom" display="JUMP_B_Bottom" xr:uid="{00000000-0004-0000-0400-000004000000}"/>
    <hyperlink ref="I2:J2" location="JUMP_A_I" display="JUMP_A_I" xr:uid="{00000000-0004-0000-0400-000005000000}"/>
    <hyperlink ref="K2:L2" location="JUMP_D_Top" display="JUMP_D_Top" xr:uid="{00000000-0004-0000-0400-000006000000}"/>
    <hyperlink ref="G3:H3" location="JUMP_B_I1" display="Sub-installations" xr:uid="{00000000-0004-0000-0400-000007000000}"/>
    <hyperlink ref="K3:L3" location="'B+C_SubInstallations'!JUMP_B_II" display="Initial NIMs allocation" xr:uid="{00000000-0004-0000-0400-000008000000}"/>
    <hyperlink ref="I3:J3" location="JUMP_B_I3" display="Conditionalities" xr:uid="{00000000-0004-0000-0400-000009000000}"/>
  </hyperlinks>
  <pageMargins left="0.70866141732283472" right="0.70866141732283472" top="0.78740157480314965" bottom="0.78740157480314965" header="0.31496062992125984" footer="0.31496062992125984"/>
  <pageSetup paperSize="9" scale="37" fitToWidth="20" orientation="portrait" r:id="rId1"/>
  <headerFooter>
    <oddFooter>&amp;L&amp;F; &amp;A&amp;C&amp;P / &amp;N&amp;R&amp;D; &amp;T</oddFooter>
  </headerFooter>
  <colBreaks count="1" manualBreakCount="1">
    <brk id="13"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tabColor indexed="52"/>
  </sheetPr>
  <dimension ref="A1:AK287"/>
  <sheetViews>
    <sheetView zoomScaleNormal="100" zoomScaleSheetLayoutView="100" workbookViewId="0">
      <pane ySplit="4" topLeftCell="A5" activePane="bottomLeft" state="frozen"/>
      <selection pane="bottomLeft" activeCell="B2" sqref="B2:D4"/>
    </sheetView>
  </sheetViews>
  <sheetFormatPr defaultColWidth="11.453125" defaultRowHeight="12.5" x14ac:dyDescent="0.25"/>
  <cols>
    <col min="1" max="1" width="3.7265625" style="349" hidden="1" customWidth="1"/>
    <col min="2" max="2" width="2.7265625" style="349" customWidth="1"/>
    <col min="3" max="4" width="4.7265625" style="349" customWidth="1"/>
    <col min="5" max="5" width="30.7265625" style="349" customWidth="1"/>
    <col min="6" max="6" width="12.7265625" style="349" customWidth="1"/>
    <col min="7" max="8" width="14.7265625" style="349" customWidth="1"/>
    <col min="9" max="14" width="13.7265625" style="349" customWidth="1"/>
    <col min="15" max="15" width="4.7265625" style="349" customWidth="1"/>
    <col min="16" max="16" width="25.7265625" style="349" customWidth="1"/>
    <col min="17" max="17" width="12.7265625" style="349" hidden="1" customWidth="1"/>
    <col min="18" max="37" width="11.453125" style="349" hidden="1" customWidth="1"/>
    <col min="38" max="16384" width="11.453125" style="349"/>
  </cols>
  <sheetData>
    <row r="1" spans="1:37" s="694" customFormat="1" ht="13" hidden="1" thickBot="1" x14ac:dyDescent="0.3">
      <c r="A1" s="694" t="s">
        <v>312</v>
      </c>
      <c r="Q1" s="694" t="s">
        <v>312</v>
      </c>
      <c r="R1" s="694" t="s">
        <v>312</v>
      </c>
      <c r="S1" s="694" t="s">
        <v>312</v>
      </c>
      <c r="T1" s="694" t="s">
        <v>312</v>
      </c>
      <c r="U1" s="694" t="s">
        <v>312</v>
      </c>
      <c r="V1" s="694" t="s">
        <v>312</v>
      </c>
      <c r="W1" s="694" t="s">
        <v>312</v>
      </c>
      <c r="X1" s="694" t="s">
        <v>312</v>
      </c>
      <c r="Y1" s="694" t="s">
        <v>312</v>
      </c>
      <c r="Z1" s="343" t="s">
        <v>312</v>
      </c>
      <c r="AA1" s="343" t="s">
        <v>312</v>
      </c>
      <c r="AB1" s="343" t="s">
        <v>312</v>
      </c>
      <c r="AC1" s="343" t="s">
        <v>312</v>
      </c>
      <c r="AD1" s="343" t="s">
        <v>312</v>
      </c>
      <c r="AE1" s="343" t="s">
        <v>312</v>
      </c>
      <c r="AF1" s="343" t="s">
        <v>312</v>
      </c>
      <c r="AG1" s="343" t="s">
        <v>312</v>
      </c>
      <c r="AH1" s="343" t="s">
        <v>312</v>
      </c>
      <c r="AI1" s="343" t="s">
        <v>312</v>
      </c>
      <c r="AJ1" s="343" t="s">
        <v>312</v>
      </c>
      <c r="AK1" s="343" t="s">
        <v>312</v>
      </c>
    </row>
    <row r="2" spans="1:37" ht="13.5" customHeight="1" thickBot="1" x14ac:dyDescent="0.35">
      <c r="A2" s="694"/>
      <c r="B2" s="2468" t="str">
        <f>Translations!$B$194</f>
        <v>D.</v>
      </c>
      <c r="C2" s="2469"/>
      <c r="D2" s="2470"/>
      <c r="E2" s="2351" t="str">
        <f>Translations!$B$2</f>
        <v>Навигационно меню:</v>
      </c>
      <c r="F2" s="2352"/>
      <c r="G2" s="2466" t="str">
        <f>Translations!$B$16</f>
        <v>Съдържание</v>
      </c>
      <c r="H2" s="2233"/>
      <c r="I2" s="2233" t="str">
        <f>Translations!$B$17</f>
        <v>Предходен лист</v>
      </c>
      <c r="J2" s="2233"/>
      <c r="K2" s="2233" t="str">
        <f>Translations!$B$3</f>
        <v>Следващ лист</v>
      </c>
      <c r="L2" s="2233"/>
      <c r="M2" s="2233" t="str">
        <f>Translations!$B$4</f>
        <v>Обобщение</v>
      </c>
      <c r="N2" s="2233"/>
      <c r="O2" s="336"/>
      <c r="P2" s="2511" t="str">
        <f>Translations!$B$1218</f>
        <v>Колона за коментари 
(напр. каквито и да е било промени)</v>
      </c>
      <c r="Q2" s="770"/>
      <c r="R2" s="770"/>
      <c r="S2" s="770"/>
      <c r="T2" s="770"/>
      <c r="U2" s="770"/>
      <c r="V2" s="770"/>
      <c r="W2" s="770"/>
      <c r="X2" s="770"/>
      <c r="Y2" s="770"/>
      <c r="Z2" s="343"/>
      <c r="AA2" s="343"/>
      <c r="AB2" s="343"/>
      <c r="AC2" s="343"/>
      <c r="AD2" s="343"/>
      <c r="AE2" s="343"/>
      <c r="AF2" s="343"/>
      <c r="AG2" s="343"/>
      <c r="AH2" s="343"/>
      <c r="AI2" s="343"/>
      <c r="AJ2" s="343"/>
      <c r="AK2" s="343"/>
    </row>
    <row r="3" spans="1:37" ht="13.5" thickBot="1" x14ac:dyDescent="0.3">
      <c r="A3" s="694"/>
      <c r="B3" s="2471"/>
      <c r="C3" s="2472"/>
      <c r="D3" s="2473"/>
      <c r="E3" s="2233" t="str">
        <f>Translations!$B$5</f>
        <v>Начало на листа</v>
      </c>
      <c r="F3" s="2477"/>
      <c r="G3" s="2478" t="str">
        <f>Translations!$B$195</f>
        <v>Емисии и входяща енергия</v>
      </c>
      <c r="H3" s="2467"/>
      <c r="I3" s="2467" t="str">
        <f>Translations!$B$196</f>
        <v>Разпределение на емисиите</v>
      </c>
      <c r="J3" s="2467"/>
      <c r="K3" s="2467" t="str">
        <f>Translations!$B$197</f>
        <v>Комбинирано производство (1)</v>
      </c>
      <c r="L3" s="2467"/>
      <c r="M3" s="2467" t="str">
        <f>Translations!$B$198</f>
        <v>Комбинирано производство (2)</v>
      </c>
      <c r="N3" s="2467"/>
      <c r="O3" s="336"/>
      <c r="P3" s="2512"/>
      <c r="Q3" s="770"/>
      <c r="R3" s="770"/>
      <c r="S3" s="770"/>
      <c r="T3" s="770"/>
      <c r="U3" s="770"/>
      <c r="V3" s="770"/>
      <c r="W3" s="770"/>
      <c r="X3" s="770"/>
      <c r="Y3" s="770"/>
      <c r="Z3" s="343"/>
      <c r="AA3" s="343"/>
      <c r="AB3" s="343"/>
      <c r="AC3" s="343"/>
      <c r="AD3" s="343"/>
      <c r="AE3" s="343"/>
      <c r="AF3" s="343"/>
      <c r="AG3" s="343"/>
      <c r="AH3" s="343"/>
      <c r="AI3" s="343"/>
      <c r="AJ3" s="343"/>
      <c r="AK3" s="343"/>
    </row>
    <row r="4" spans="1:37" ht="13.5" thickBot="1" x14ac:dyDescent="0.3">
      <c r="A4" s="694"/>
      <c r="B4" s="2474"/>
      <c r="C4" s="2475"/>
      <c r="D4" s="2476"/>
      <c r="E4" s="2233" t="str">
        <f>Translations!$B$6</f>
        <v>Край на листа</v>
      </c>
      <c r="F4" s="2233"/>
      <c r="G4" s="2479" t="str">
        <f>Translations!$B$199</f>
        <v>Отпадни газове (1)</v>
      </c>
      <c r="H4" s="2480"/>
      <c r="I4" s="2480" t="str">
        <f>Translations!$B$200</f>
        <v>Отпадни газове (2)</v>
      </c>
      <c r="J4" s="2480"/>
      <c r="K4" s="2480"/>
      <c r="L4" s="2480"/>
      <c r="M4" s="2480"/>
      <c r="N4" s="2480"/>
      <c r="O4" s="336"/>
      <c r="P4" s="2513"/>
      <c r="Q4" s="770"/>
      <c r="R4" s="770"/>
      <c r="S4" s="770"/>
      <c r="T4" s="770"/>
      <c r="U4" s="770"/>
      <c r="V4" s="770"/>
      <c r="W4" s="770"/>
      <c r="X4" s="770"/>
      <c r="Y4" s="770"/>
      <c r="Z4" s="343"/>
      <c r="AA4" s="343"/>
      <c r="AB4" s="343"/>
      <c r="AC4" s="343"/>
      <c r="AD4" s="343"/>
      <c r="AE4" s="343"/>
      <c r="AF4" s="343"/>
      <c r="AG4" s="343"/>
      <c r="AH4" s="343"/>
      <c r="AI4" s="343"/>
      <c r="AJ4" s="343"/>
      <c r="AK4" s="343"/>
    </row>
    <row r="5" spans="1:37" x14ac:dyDescent="0.25">
      <c r="A5" s="694"/>
      <c r="B5" s="284"/>
      <c r="C5" s="335"/>
      <c r="D5" s="284"/>
      <c r="E5" s="284"/>
      <c r="F5" s="287"/>
      <c r="G5" s="287"/>
      <c r="H5" s="287"/>
      <c r="I5" s="284"/>
      <c r="J5" s="284"/>
      <c r="K5" s="284"/>
      <c r="L5" s="284"/>
      <c r="M5" s="336"/>
      <c r="N5" s="336"/>
      <c r="O5" s="336"/>
      <c r="P5" s="302"/>
      <c r="Q5" s="770"/>
      <c r="R5" s="770"/>
      <c r="S5" s="770"/>
      <c r="T5" s="770"/>
      <c r="U5" s="770"/>
      <c r="V5" s="770"/>
      <c r="W5" s="770"/>
      <c r="X5" s="770"/>
      <c r="Y5" s="770"/>
      <c r="Z5" s="343"/>
      <c r="AA5" s="343"/>
      <c r="AB5" s="343"/>
      <c r="AC5" s="343"/>
      <c r="AD5" s="343"/>
      <c r="AE5" s="343"/>
      <c r="AF5" s="343"/>
      <c r="AG5" s="343"/>
      <c r="AH5" s="343"/>
      <c r="AI5" s="343"/>
      <c r="AJ5" s="343"/>
      <c r="AK5" s="343"/>
    </row>
    <row r="6" spans="1:37" ht="23.25" customHeight="1" x14ac:dyDescent="0.25">
      <c r="A6" s="694"/>
      <c r="B6" s="284"/>
      <c r="C6" s="297" t="s">
        <v>694</v>
      </c>
      <c r="D6" s="2259" t="str">
        <f>Translations!$B$201</f>
        <v>Лист „Emissions“ („Емисии“) — РАЗПРЕДЕЛЕНИЕ НА ЕМИСИИТЕ</v>
      </c>
      <c r="E6" s="2249"/>
      <c r="F6" s="2249"/>
      <c r="G6" s="2249"/>
      <c r="H6" s="2249"/>
      <c r="I6" s="2249"/>
      <c r="J6" s="2249"/>
      <c r="K6" s="2249"/>
      <c r="L6" s="2249"/>
      <c r="M6" s="2249"/>
      <c r="N6" s="2249"/>
      <c r="O6" s="336"/>
      <c r="P6" s="302"/>
      <c r="Q6" s="834" t="s">
        <v>232</v>
      </c>
      <c r="R6" s="834" t="s">
        <v>232</v>
      </c>
      <c r="S6" s="834" t="s">
        <v>232</v>
      </c>
      <c r="T6" s="834" t="s">
        <v>232</v>
      </c>
      <c r="U6" s="834" t="s">
        <v>232</v>
      </c>
      <c r="V6" s="834" t="s">
        <v>232</v>
      </c>
      <c r="W6" s="834" t="s">
        <v>232</v>
      </c>
      <c r="X6" s="834" t="s">
        <v>232</v>
      </c>
      <c r="Y6" s="834" t="s">
        <v>232</v>
      </c>
      <c r="Z6" s="834" t="s">
        <v>232</v>
      </c>
      <c r="AA6" s="834" t="s">
        <v>232</v>
      </c>
      <c r="AB6" s="834" t="s">
        <v>232</v>
      </c>
      <c r="AC6" s="834" t="s">
        <v>232</v>
      </c>
      <c r="AD6" s="834" t="s">
        <v>232</v>
      </c>
      <c r="AE6" s="834" t="s">
        <v>232</v>
      </c>
      <c r="AF6" s="834" t="s">
        <v>232</v>
      </c>
      <c r="AG6" s="834" t="s">
        <v>232</v>
      </c>
      <c r="AH6" s="834" t="s">
        <v>232</v>
      </c>
      <c r="AI6" s="834" t="s">
        <v>232</v>
      </c>
      <c r="AJ6" s="834" t="s">
        <v>232</v>
      </c>
      <c r="AK6" s="834" t="s">
        <v>232</v>
      </c>
    </row>
    <row r="7" spans="1:37" ht="13" x14ac:dyDescent="0.25">
      <c r="A7" s="694"/>
      <c r="B7" s="698"/>
      <c r="C7" s="835"/>
      <c r="D7" s="835"/>
      <c r="E7" s="835"/>
      <c r="F7" s="835"/>
      <c r="G7" s="835"/>
      <c r="H7" s="835"/>
      <c r="I7" s="835"/>
      <c r="J7" s="835"/>
      <c r="K7" s="835"/>
      <c r="L7" s="835"/>
      <c r="M7" s="835"/>
      <c r="N7" s="835"/>
      <c r="O7" s="698"/>
      <c r="P7" s="302"/>
      <c r="Q7" s="836" t="s">
        <v>740</v>
      </c>
      <c r="R7" s="836" t="s">
        <v>740</v>
      </c>
      <c r="S7" s="836" t="s">
        <v>740</v>
      </c>
      <c r="T7" s="836" t="s">
        <v>740</v>
      </c>
      <c r="U7" s="836" t="s">
        <v>740</v>
      </c>
      <c r="V7" s="836" t="s">
        <v>740</v>
      </c>
      <c r="W7" s="836" t="s">
        <v>740</v>
      </c>
      <c r="X7" s="836" t="s">
        <v>740</v>
      </c>
      <c r="Y7" s="836" t="s">
        <v>740</v>
      </c>
      <c r="Z7" s="836" t="s">
        <v>740</v>
      </c>
      <c r="AA7" s="836" t="s">
        <v>740</v>
      </c>
      <c r="AB7" s="836" t="s">
        <v>740</v>
      </c>
      <c r="AC7" s="836" t="s">
        <v>740</v>
      </c>
      <c r="AD7" s="836" t="s">
        <v>740</v>
      </c>
      <c r="AE7" s="836" t="s">
        <v>740</v>
      </c>
      <c r="AF7" s="836" t="s">
        <v>740</v>
      </c>
      <c r="AG7" s="836" t="s">
        <v>740</v>
      </c>
      <c r="AH7" s="836" t="s">
        <v>740</v>
      </c>
      <c r="AI7" s="836" t="s">
        <v>740</v>
      </c>
      <c r="AJ7" s="836" t="s">
        <v>740</v>
      </c>
      <c r="AK7" s="836" t="s">
        <v>740</v>
      </c>
    </row>
    <row r="8" spans="1:37" ht="15.5" x14ac:dyDescent="0.35">
      <c r="A8" s="694"/>
      <c r="B8" s="284"/>
      <c r="C8" s="327" t="s">
        <v>1048</v>
      </c>
      <c r="D8" s="2245" t="str">
        <f>Translations!$B$202</f>
        <v>Общо преки емисии на парникови газове и вложена енергия от горива</v>
      </c>
      <c r="E8" s="2245"/>
      <c r="F8" s="2245"/>
      <c r="G8" s="2245"/>
      <c r="H8" s="2245"/>
      <c r="I8" s="2245"/>
      <c r="J8" s="2245"/>
      <c r="K8" s="2245"/>
      <c r="L8" s="2245"/>
      <c r="M8" s="2245"/>
      <c r="N8" s="2245"/>
      <c r="O8" s="336"/>
      <c r="P8" s="302"/>
      <c r="Q8" s="770"/>
      <c r="R8" s="770"/>
      <c r="S8" s="770"/>
      <c r="T8" s="770"/>
      <c r="U8" s="770"/>
      <c r="V8" s="770"/>
      <c r="W8" s="694"/>
      <c r="X8" s="694"/>
      <c r="Y8" s="770"/>
      <c r="Z8" s="343"/>
      <c r="AA8" s="343"/>
      <c r="AB8" s="343"/>
      <c r="AC8" s="343"/>
      <c r="AD8" s="343"/>
      <c r="AE8" s="343"/>
      <c r="AF8" s="343"/>
      <c r="AG8" s="343"/>
      <c r="AH8" s="343"/>
      <c r="AI8" s="343"/>
      <c r="AJ8" s="343"/>
      <c r="AK8" s="343"/>
    </row>
    <row r="9" spans="1:37" ht="5.15" customHeight="1" x14ac:dyDescent="0.25">
      <c r="A9" s="694"/>
      <c r="B9" s="284"/>
      <c r="C9" s="284"/>
      <c r="D9" s="284"/>
      <c r="E9" s="284"/>
      <c r="F9" s="284"/>
      <c r="G9" s="284"/>
      <c r="H9" s="284"/>
      <c r="I9" s="284"/>
      <c r="J9" s="284"/>
      <c r="K9" s="284"/>
      <c r="L9" s="284"/>
      <c r="M9" s="336"/>
      <c r="N9" s="336"/>
      <c r="O9" s="336"/>
      <c r="P9" s="302"/>
      <c r="Q9" s="770"/>
      <c r="R9" s="770"/>
      <c r="S9" s="694"/>
      <c r="T9" s="694"/>
      <c r="U9" s="694"/>
      <c r="V9" s="694"/>
      <c r="W9" s="694"/>
      <c r="X9" s="694"/>
      <c r="Y9" s="694"/>
      <c r="Z9" s="343"/>
      <c r="AA9" s="343"/>
      <c r="AB9" s="343"/>
      <c r="AC9" s="343"/>
      <c r="AD9" s="343"/>
      <c r="AE9" s="343"/>
      <c r="AF9" s="343"/>
      <c r="AG9" s="343"/>
      <c r="AH9" s="343"/>
      <c r="AI9" s="343"/>
      <c r="AJ9" s="343"/>
      <c r="AK9" s="343"/>
    </row>
    <row r="10" spans="1:37" ht="12.75" customHeight="1" x14ac:dyDescent="0.25">
      <c r="A10" s="694"/>
      <c r="B10" s="698"/>
      <c r="C10" s="698"/>
      <c r="D10" s="698"/>
      <c r="E10" s="2463" t="str">
        <f>Translations!$B$1298</f>
        <v>Моля, по-долу въведете съответните данни съгласно принципите на регламента относно мониторинга и докладването:</v>
      </c>
      <c r="F10" s="2463"/>
      <c r="G10" s="2463"/>
      <c r="H10" s="2463"/>
      <c r="I10" s="2463"/>
      <c r="J10" s="2463"/>
      <c r="K10" s="2463"/>
      <c r="L10" s="2463"/>
      <c r="M10" s="2463"/>
      <c r="N10" s="2463"/>
      <c r="O10" s="336"/>
      <c r="P10" s="302"/>
      <c r="Q10" s="694"/>
      <c r="R10" s="694"/>
      <c r="S10" s="694"/>
      <c r="T10" s="694"/>
      <c r="U10" s="694"/>
      <c r="V10" s="694"/>
      <c r="W10" s="694"/>
      <c r="X10" s="694"/>
      <c r="Y10" s="694"/>
      <c r="Z10" s="343"/>
      <c r="AA10" s="343"/>
      <c r="AB10" s="343"/>
      <c r="AC10" s="343"/>
      <c r="AD10" s="343"/>
      <c r="AE10" s="343"/>
      <c r="AF10" s="343"/>
      <c r="AG10" s="343"/>
      <c r="AH10" s="343"/>
      <c r="AI10" s="343"/>
      <c r="AJ10" s="343"/>
      <c r="AK10" s="343"/>
    </row>
    <row r="11" spans="1:37" ht="12.75" customHeight="1" x14ac:dyDescent="0.25">
      <c r="A11" s="694"/>
      <c r="B11" s="698"/>
      <c r="C11" s="698"/>
      <c r="D11" s="698"/>
      <c r="E11" s="427" t="s">
        <v>1052</v>
      </c>
      <c r="F11" s="2293" t="str">
        <f>Translations!$B$210</f>
        <v>Общо емисии на CO2: проверените емисии на CO2 от пораждащи емисии потоци и източници на емисии, включително от неустойчива биомаса</v>
      </c>
      <c r="G11" s="2293"/>
      <c r="H11" s="2293"/>
      <c r="I11" s="2293"/>
      <c r="J11" s="2293"/>
      <c r="K11" s="2293"/>
      <c r="L11" s="2293"/>
      <c r="M11" s="2293"/>
      <c r="N11" s="2293"/>
      <c r="O11" s="336"/>
      <c r="P11" s="302"/>
      <c r="Q11" s="694"/>
      <c r="R11" s="694"/>
      <c r="S11" s="694"/>
      <c r="T11" s="694"/>
      <c r="U11" s="694"/>
      <c r="V11" s="694"/>
      <c r="W11" s="694"/>
      <c r="X11" s="694"/>
      <c r="Y11" s="694"/>
      <c r="Z11" s="343"/>
      <c r="AA11" s="343"/>
      <c r="AB11" s="343"/>
      <c r="AC11" s="343"/>
      <c r="AD11" s="343"/>
      <c r="AE11" s="343"/>
      <c r="AF11" s="343"/>
      <c r="AG11" s="343"/>
      <c r="AH11" s="343"/>
      <c r="AI11" s="343"/>
      <c r="AJ11" s="343"/>
      <c r="AK11" s="343"/>
    </row>
    <row r="12" spans="1:37" ht="12.75" customHeight="1" x14ac:dyDescent="0.25">
      <c r="A12" s="694"/>
      <c r="B12" s="698"/>
      <c r="C12" s="698"/>
      <c r="D12" s="698"/>
      <c r="E12" s="427" t="s">
        <v>1052</v>
      </c>
      <c r="F12" s="2293" t="str">
        <f>Translations!$B$211</f>
        <v>Емисии от биомаса: емисиите от биомаса, независимо дали от устойчиви източници или такива, за които не важат критериите за устойчивост, все едно не са с нулева номинална стойност</v>
      </c>
      <c r="G12" s="2293"/>
      <c r="H12" s="2293"/>
      <c r="I12" s="2293"/>
      <c r="J12" s="2293"/>
      <c r="K12" s="2293"/>
      <c r="L12" s="2293"/>
      <c r="M12" s="2293"/>
      <c r="N12" s="2293"/>
      <c r="O12" s="336"/>
      <c r="P12" s="302"/>
      <c r="Q12" s="694"/>
      <c r="R12" s="694"/>
      <c r="S12" s="694"/>
      <c r="T12" s="694"/>
      <c r="U12" s="694"/>
      <c r="V12" s="694"/>
      <c r="W12" s="694"/>
      <c r="X12" s="694"/>
      <c r="Y12" s="694"/>
      <c r="Z12" s="343"/>
      <c r="AA12" s="343"/>
      <c r="AB12" s="343"/>
      <c r="AC12" s="343"/>
      <c r="AD12" s="343"/>
      <c r="AE12" s="343"/>
      <c r="AF12" s="343"/>
      <c r="AG12" s="343"/>
      <c r="AH12" s="343"/>
      <c r="AI12" s="343"/>
      <c r="AJ12" s="343"/>
      <c r="AK12" s="343"/>
    </row>
    <row r="13" spans="1:37" ht="12.75" customHeight="1" x14ac:dyDescent="0.25">
      <c r="A13" s="694"/>
      <c r="B13" s="698"/>
      <c r="C13" s="698"/>
      <c r="D13" s="698"/>
      <c r="E13" s="427" t="s">
        <v>1052</v>
      </c>
      <c r="F13" s="2293" t="str">
        <f>Translations!$B$212</f>
        <v>Общо емисии на N2O от източници на емисии</v>
      </c>
      <c r="G13" s="2293"/>
      <c r="H13" s="2293"/>
      <c r="I13" s="2293"/>
      <c r="J13" s="2293"/>
      <c r="K13" s="2293"/>
      <c r="L13" s="2293"/>
      <c r="M13" s="2293"/>
      <c r="N13" s="2293"/>
      <c r="O13" s="336"/>
      <c r="P13" s="302"/>
      <c r="Q13" s="694"/>
      <c r="R13" s="694"/>
      <c r="S13" s="694"/>
      <c r="T13" s="694"/>
      <c r="U13" s="694"/>
      <c r="V13" s="694"/>
      <c r="W13" s="694"/>
      <c r="X13" s="694"/>
      <c r="Y13" s="694"/>
      <c r="Z13" s="343"/>
      <c r="AA13" s="343"/>
      <c r="AB13" s="343"/>
      <c r="AC13" s="343"/>
      <c r="AD13" s="343"/>
      <c r="AE13" s="343"/>
      <c r="AF13" s="343"/>
      <c r="AG13" s="343"/>
      <c r="AH13" s="343"/>
      <c r="AI13" s="343"/>
      <c r="AJ13" s="343"/>
      <c r="AK13" s="343"/>
    </row>
    <row r="14" spans="1:37" ht="12.75" customHeight="1" x14ac:dyDescent="0.25">
      <c r="A14" s="694"/>
      <c r="B14" s="698"/>
      <c r="C14" s="698"/>
      <c r="D14" s="698"/>
      <c r="E14" s="427" t="s">
        <v>1052</v>
      </c>
      <c r="F14" s="2293" t="str">
        <f>Translations!$B$213</f>
        <v>Общо емисии на PFC от производството на първичен алуминий</v>
      </c>
      <c r="G14" s="2293"/>
      <c r="H14" s="2293"/>
      <c r="I14" s="2293"/>
      <c r="J14" s="2293"/>
      <c r="K14" s="2293"/>
      <c r="L14" s="2293"/>
      <c r="M14" s="2293"/>
      <c r="N14" s="2293"/>
      <c r="O14" s="336"/>
      <c r="P14" s="302"/>
      <c r="Q14" s="694"/>
      <c r="R14" s="694"/>
      <c r="S14" s="694"/>
      <c r="T14" s="694"/>
      <c r="U14" s="694"/>
      <c r="V14" s="694"/>
      <c r="W14" s="694"/>
      <c r="X14" s="694"/>
      <c r="Y14" s="694"/>
      <c r="Z14" s="343"/>
      <c r="AA14" s="343"/>
      <c r="AB14" s="343"/>
      <c r="AC14" s="343"/>
      <c r="AD14" s="343"/>
      <c r="AE14" s="343"/>
      <c r="AF14" s="343"/>
      <c r="AG14" s="343"/>
      <c r="AH14" s="343"/>
      <c r="AI14" s="343"/>
      <c r="AJ14" s="343"/>
      <c r="AK14" s="343"/>
    </row>
    <row r="15" spans="1:37" ht="12.75" customHeight="1" x14ac:dyDescent="0.25">
      <c r="A15" s="694"/>
      <c r="B15" s="698"/>
      <c r="C15" s="698"/>
      <c r="D15" s="698"/>
      <c r="E15" s="427" t="s">
        <v>1052</v>
      </c>
      <c r="F15" s="2293" t="str">
        <f>Translations!$B$214</f>
        <v>Количество прехвърлен CO2, подаден от инсталацията, докладван с отрицателни стойности</v>
      </c>
      <c r="G15" s="2293"/>
      <c r="H15" s="2293"/>
      <c r="I15" s="2293"/>
      <c r="J15" s="2293"/>
      <c r="K15" s="2293"/>
      <c r="L15" s="2293"/>
      <c r="M15" s="2293"/>
      <c r="N15" s="2293"/>
      <c r="O15" s="336"/>
      <c r="P15" s="302"/>
      <c r="Q15" s="694"/>
      <c r="R15" s="694"/>
      <c r="S15" s="694"/>
      <c r="T15" s="694"/>
      <c r="U15" s="694"/>
      <c r="V15" s="694"/>
      <c r="W15" s="694"/>
      <c r="X15" s="694"/>
      <c r="Y15" s="694"/>
      <c r="Z15" s="343"/>
      <c r="AA15" s="343"/>
      <c r="AB15" s="343"/>
      <c r="AC15" s="343"/>
      <c r="AD15" s="343"/>
      <c r="AE15" s="343"/>
      <c r="AF15" s="343"/>
      <c r="AG15" s="343"/>
      <c r="AH15" s="343"/>
      <c r="AI15" s="343"/>
      <c r="AJ15" s="343"/>
      <c r="AK15" s="343"/>
    </row>
    <row r="16" spans="1:37" ht="12.75" customHeight="1" x14ac:dyDescent="0.25">
      <c r="A16" s="694"/>
      <c r="B16" s="698"/>
      <c r="C16" s="698"/>
      <c r="D16" s="698"/>
      <c r="E16" s="427" t="s">
        <v>1052</v>
      </c>
      <c r="F16" s="2293" t="str">
        <f>Translations!$B$215</f>
        <v>Общо вложена енергия от горива, включително от биомаса и отпадни газове</v>
      </c>
      <c r="G16" s="2293"/>
      <c r="H16" s="2293"/>
      <c r="I16" s="2293"/>
      <c r="J16" s="2293"/>
      <c r="K16" s="2293"/>
      <c r="L16" s="2293"/>
      <c r="M16" s="2293"/>
      <c r="N16" s="2293"/>
      <c r="O16" s="336"/>
      <c r="P16" s="302"/>
      <c r="Q16" s="694"/>
      <c r="R16" s="694"/>
      <c r="S16" s="343"/>
      <c r="T16" s="343"/>
      <c r="U16" s="343"/>
      <c r="V16" s="343"/>
      <c r="W16" s="343"/>
      <c r="X16" s="343"/>
      <c r="Y16" s="343"/>
      <c r="Z16" s="343"/>
      <c r="AA16" s="343"/>
      <c r="AB16" s="343"/>
      <c r="AC16" s="343"/>
      <c r="AD16" s="343"/>
      <c r="AE16" s="343"/>
      <c r="AF16" s="343"/>
      <c r="AG16" s="343"/>
      <c r="AH16" s="343"/>
      <c r="AI16" s="343"/>
      <c r="AJ16" s="343"/>
      <c r="AK16" s="343"/>
    </row>
    <row r="17" spans="1:37" ht="15" customHeight="1" x14ac:dyDescent="0.25">
      <c r="A17" s="694"/>
      <c r="B17" s="698"/>
      <c r="C17" s="835"/>
      <c r="D17" s="302"/>
      <c r="E17" s="2664" t="str">
        <f>Translations!$B$1299</f>
        <v>В случаите, в които държава членка е направила въвеждането на емисиите незадължително, тук е задължително да се въведе само общо вложената енергия от горива.</v>
      </c>
      <c r="F17" s="2664"/>
      <c r="G17" s="2664"/>
      <c r="H17" s="2664"/>
      <c r="I17" s="2664"/>
      <c r="J17" s="2664"/>
      <c r="K17" s="2664"/>
      <c r="L17" s="2664"/>
      <c r="M17" s="2664"/>
      <c r="N17" s="2664"/>
      <c r="O17" s="336"/>
      <c r="P17" s="302"/>
      <c r="Q17" s="770"/>
      <c r="R17" s="694"/>
      <c r="S17" s="694"/>
      <c r="T17" s="694"/>
      <c r="U17" s="694"/>
      <c r="V17" s="694"/>
      <c r="W17" s="694"/>
      <c r="X17" s="694"/>
      <c r="Y17" s="694"/>
      <c r="Z17" s="343"/>
      <c r="AA17" s="343"/>
      <c r="AB17" s="343"/>
      <c r="AC17" s="343"/>
      <c r="AD17" s="343"/>
      <c r="AE17" s="343"/>
      <c r="AF17" s="343"/>
      <c r="AG17" s="343"/>
      <c r="AH17" s="343"/>
      <c r="AI17" s="343"/>
      <c r="AJ17" s="343"/>
      <c r="AK17" s="343"/>
    </row>
    <row r="18" spans="1:37" ht="15" customHeight="1" x14ac:dyDescent="0.25">
      <c r="A18" s="694"/>
      <c r="B18" s="698"/>
      <c r="C18" s="835"/>
      <c r="D18" s="975"/>
      <c r="E18" s="2664" t="str">
        <f>Translations!$B$1300</f>
        <v>Ако обаче става въпрос за подинсталации с технологични емисии, въвеждането на данни тук винаги е задължително.</v>
      </c>
      <c r="F18" s="2664"/>
      <c r="G18" s="2664"/>
      <c r="H18" s="2664"/>
      <c r="I18" s="2664"/>
      <c r="J18" s="2664"/>
      <c r="K18" s="2664"/>
      <c r="L18" s="2664"/>
      <c r="M18" s="2664"/>
      <c r="N18" s="2664"/>
      <c r="O18" s="336"/>
      <c r="P18" s="302"/>
      <c r="Q18" s="770"/>
      <c r="R18" s="694"/>
      <c r="S18" s="694"/>
      <c r="T18" s="694"/>
      <c r="U18" s="694"/>
      <c r="V18" s="694"/>
      <c r="W18" s="694"/>
      <c r="X18" s="694"/>
      <c r="Y18" s="694"/>
      <c r="Z18" s="343"/>
      <c r="AA18" s="343"/>
      <c r="AB18" s="343"/>
      <c r="AC18" s="343"/>
      <c r="AD18" s="343"/>
      <c r="AE18" s="343"/>
      <c r="AF18" s="343"/>
      <c r="AG18" s="343"/>
      <c r="AH18" s="343"/>
      <c r="AI18" s="343"/>
      <c r="AJ18" s="343"/>
      <c r="AK18" s="343"/>
    </row>
    <row r="19" spans="1:37" ht="5.15" customHeight="1" thickBot="1" x14ac:dyDescent="0.3">
      <c r="A19" s="694"/>
      <c r="B19" s="284"/>
      <c r="C19" s="284"/>
      <c r="D19" s="284"/>
      <c r="E19" s="284"/>
      <c r="F19" s="284"/>
      <c r="G19" s="284"/>
      <c r="H19" s="284"/>
      <c r="I19" s="284"/>
      <c r="J19" s="284"/>
      <c r="K19" s="284"/>
      <c r="L19" s="284"/>
      <c r="M19" s="336"/>
      <c r="N19" s="336"/>
      <c r="O19" s="336"/>
      <c r="P19" s="302"/>
      <c r="Q19" s="770"/>
      <c r="R19" s="770"/>
      <c r="S19" s="343"/>
      <c r="T19" s="343"/>
      <c r="U19" s="343"/>
      <c r="V19" s="343"/>
      <c r="W19" s="343"/>
      <c r="X19" s="343"/>
      <c r="Y19" s="343"/>
      <c r="Z19" s="343"/>
      <c r="AA19" s="343"/>
      <c r="AB19" s="343"/>
      <c r="AC19" s="343"/>
      <c r="AD19" s="343"/>
      <c r="AE19" s="343"/>
      <c r="AF19" s="343"/>
      <c r="AG19" s="343"/>
      <c r="AH19" s="343"/>
      <c r="AI19" s="343"/>
      <c r="AJ19" s="343"/>
      <c r="AK19" s="343"/>
    </row>
    <row r="20" spans="1:37" ht="13" customHeight="1" thickBot="1" x14ac:dyDescent="0.3">
      <c r="A20" s="694"/>
      <c r="B20" s="284"/>
      <c r="C20" s="284"/>
      <c r="D20" s="300"/>
      <c r="E20" s="2671" t="str">
        <f>Translations!$B$203</f>
        <v>Данни за цялата инсталация:</v>
      </c>
      <c r="F20" s="2671"/>
      <c r="G20" s="390" t="str">
        <f>EUconst_Unit</f>
        <v>Единица мярка</v>
      </c>
      <c r="H20" s="391">
        <f t="shared" ref="H20:N20" si="0">H$278</f>
        <v>2024</v>
      </c>
      <c r="I20" s="391">
        <f t="shared" si="0"/>
        <v>2025</v>
      </c>
      <c r="J20" s="391">
        <f t="shared" si="0"/>
        <v>2026</v>
      </c>
      <c r="K20" s="391">
        <f t="shared" si="0"/>
        <v>2027</v>
      </c>
      <c r="L20" s="391">
        <f t="shared" si="0"/>
        <v>2028</v>
      </c>
      <c r="M20" s="391">
        <f t="shared" si="0"/>
        <v>2029</v>
      </c>
      <c r="N20" s="391">
        <f t="shared" si="0"/>
        <v>2030</v>
      </c>
      <c r="O20" s="336"/>
      <c r="P20" s="302"/>
      <c r="Q20" s="729" t="s">
        <v>1907</v>
      </c>
      <c r="R20" s="694"/>
      <c r="S20" s="976">
        <f t="shared" ref="S20:Y20" si="1">H$278</f>
        <v>2024</v>
      </c>
      <c r="T20" s="976">
        <f t="shared" si="1"/>
        <v>2025</v>
      </c>
      <c r="U20" s="976">
        <f t="shared" si="1"/>
        <v>2026</v>
      </c>
      <c r="V20" s="976">
        <f t="shared" si="1"/>
        <v>2027</v>
      </c>
      <c r="W20" s="976">
        <f t="shared" si="1"/>
        <v>2028</v>
      </c>
      <c r="X20" s="976">
        <f t="shared" si="1"/>
        <v>2029</v>
      </c>
      <c r="Y20" s="976">
        <f t="shared" si="1"/>
        <v>2030</v>
      </c>
      <c r="Z20" s="343"/>
      <c r="AA20" s="977" t="s">
        <v>1855</v>
      </c>
      <c r="AB20" s="978">
        <f t="shared" ref="AB20:AH20" si="2">H20</f>
        <v>2024</v>
      </c>
      <c r="AC20" s="978">
        <f t="shared" si="2"/>
        <v>2025</v>
      </c>
      <c r="AD20" s="978">
        <f t="shared" si="2"/>
        <v>2026</v>
      </c>
      <c r="AE20" s="979">
        <f t="shared" si="2"/>
        <v>2027</v>
      </c>
      <c r="AF20" s="979">
        <f t="shared" si="2"/>
        <v>2028</v>
      </c>
      <c r="AG20" s="979">
        <f t="shared" si="2"/>
        <v>2029</v>
      </c>
      <c r="AH20" s="980">
        <f t="shared" si="2"/>
        <v>2030</v>
      </c>
      <c r="AI20" s="343"/>
      <c r="AJ20" s="343"/>
      <c r="AK20" s="343"/>
    </row>
    <row r="21" spans="1:37" ht="12.65" customHeight="1" x14ac:dyDescent="0.25">
      <c r="A21" s="694"/>
      <c r="B21" s="698"/>
      <c r="C21" s="698"/>
      <c r="D21" s="698"/>
      <c r="E21" s="2700" t="str">
        <f>Translations!$B$204</f>
        <v>Общо емисии на CO2</v>
      </c>
      <c r="F21" s="2701"/>
      <c r="G21" s="981" t="str">
        <f>EUconst_tCO2pa</f>
        <v>t CO2 / година</v>
      </c>
      <c r="H21" s="91"/>
      <c r="I21" s="91"/>
      <c r="J21" s="91"/>
      <c r="K21" s="91"/>
      <c r="L21" s="91"/>
      <c r="M21" s="91"/>
      <c r="N21" s="91"/>
      <c r="O21" s="336"/>
      <c r="P21" s="158"/>
      <c r="Q21" s="982" t="b">
        <f>COUNTIF('B+C_SubInstallations'!T65:T66,TRUE)&gt;0</f>
        <v>0</v>
      </c>
      <c r="R21" s="694"/>
      <c r="S21" s="983" t="str">
        <f t="shared" ref="S21:Y24" si="3">IF(ISNUMBER(H21),H21,"")</f>
        <v/>
      </c>
      <c r="T21" s="984" t="str">
        <f t="shared" si="3"/>
        <v/>
      </c>
      <c r="U21" s="984" t="str">
        <f t="shared" si="3"/>
        <v/>
      </c>
      <c r="V21" s="984" t="str">
        <f t="shared" si="3"/>
        <v/>
      </c>
      <c r="W21" s="984" t="str">
        <f t="shared" si="3"/>
        <v/>
      </c>
      <c r="X21" s="984" t="str">
        <f t="shared" si="3"/>
        <v/>
      </c>
      <c r="Y21" s="985" t="str">
        <f t="shared" si="3"/>
        <v/>
      </c>
      <c r="Z21" s="343"/>
      <c r="AA21" s="343"/>
      <c r="AB21" s="986" t="b">
        <f t="shared" ref="AB21:AH21" si="4">IF(CNTR_HasEntries_A_I,OR(AB20&gt;=CNTR_ReportingYear,COUNTIF(CNTR_SubInstStartDate,"&lt;="&amp;DATE(AB20,12,31))=0),FALSE)</f>
        <v>0</v>
      </c>
      <c r="AC21" s="716" t="b">
        <f t="shared" si="4"/>
        <v>0</v>
      </c>
      <c r="AD21" s="716" t="b">
        <f t="shared" si="4"/>
        <v>0</v>
      </c>
      <c r="AE21" s="716" t="b">
        <f t="shared" si="4"/>
        <v>0</v>
      </c>
      <c r="AF21" s="716" t="b">
        <f t="shared" si="4"/>
        <v>0</v>
      </c>
      <c r="AG21" s="716" t="b">
        <f t="shared" si="4"/>
        <v>0</v>
      </c>
      <c r="AH21" s="716" t="b">
        <f t="shared" si="4"/>
        <v>0</v>
      </c>
      <c r="AI21" s="343"/>
      <c r="AJ21" s="732" t="s">
        <v>2039</v>
      </c>
      <c r="AK21" s="875" t="str">
        <f>IF(AND(CNTR_HasEntries_A_I,OR(MSconst_RequireEmissionTotals,$Q$21),COUNTIFS($AB$21:$AH$21,FALSE,H21:N21,"")&gt;0),1,"")</f>
        <v/>
      </c>
    </row>
    <row r="22" spans="1:37" ht="13" customHeight="1" x14ac:dyDescent="0.25">
      <c r="A22" s="694"/>
      <c r="B22" s="698"/>
      <c r="C22" s="698"/>
      <c r="D22" s="698"/>
      <c r="E22" s="2715" t="str">
        <f>Translations!$B$1468</f>
        <v>Емисии от биомаса с нулев емисионен фактор</v>
      </c>
      <c r="F22" s="2703"/>
      <c r="G22" s="396" t="str">
        <f>EUconst_tCO2pa</f>
        <v>t CO2 / година</v>
      </c>
      <c r="H22" s="92"/>
      <c r="I22" s="92"/>
      <c r="J22" s="92"/>
      <c r="K22" s="92"/>
      <c r="L22" s="92"/>
      <c r="M22" s="92"/>
      <c r="N22" s="92"/>
      <c r="O22" s="336"/>
      <c r="P22" s="158"/>
      <c r="Q22" s="694"/>
      <c r="R22" s="694"/>
      <c r="S22" s="987" t="str">
        <f t="shared" si="3"/>
        <v/>
      </c>
      <c r="T22" s="988" t="str">
        <f t="shared" si="3"/>
        <v/>
      </c>
      <c r="U22" s="988" t="str">
        <f t="shared" si="3"/>
        <v/>
      </c>
      <c r="V22" s="988" t="str">
        <f t="shared" si="3"/>
        <v/>
      </c>
      <c r="W22" s="988" t="str">
        <f t="shared" si="3"/>
        <v/>
      </c>
      <c r="X22" s="988" t="str">
        <f t="shared" si="3"/>
        <v/>
      </c>
      <c r="Y22" s="989" t="str">
        <f t="shared" si="3"/>
        <v/>
      </c>
      <c r="Z22" s="343"/>
      <c r="AA22" s="343"/>
      <c r="AB22" s="343"/>
      <c r="AC22" s="343"/>
      <c r="AD22" s="343"/>
      <c r="AE22" s="343"/>
      <c r="AF22" s="343"/>
      <c r="AG22" s="343"/>
      <c r="AH22" s="343"/>
      <c r="AI22" s="343"/>
      <c r="AJ22" s="732" t="s">
        <v>2039</v>
      </c>
      <c r="AK22" s="875" t="str">
        <f>IF(AND(CNTR_HasEntries_A_I,OR(MSconst_RequireEmissionTotals,$Q$21),COUNTIFS($AB$21:$AH$21,FALSE,H22:N22,"")&gt;0),1,"")</f>
        <v/>
      </c>
    </row>
    <row r="23" spans="1:37" ht="12.65" customHeight="1" x14ac:dyDescent="0.25">
      <c r="A23" s="694"/>
      <c r="B23" s="698"/>
      <c r="C23" s="698"/>
      <c r="D23" s="698"/>
      <c r="E23" s="2702" t="str">
        <f>Translations!$B$205</f>
        <v>Общо емисии на N2O</v>
      </c>
      <c r="F23" s="2703"/>
      <c r="G23" s="990" t="str">
        <f>EUconst_tCO2epa</f>
        <v>t CO2e/година</v>
      </c>
      <c r="H23" s="93"/>
      <c r="I23" s="93"/>
      <c r="J23" s="93"/>
      <c r="K23" s="93"/>
      <c r="L23" s="93"/>
      <c r="M23" s="93"/>
      <c r="N23" s="93"/>
      <c r="O23" s="336"/>
      <c r="P23" s="158"/>
      <c r="Q23" s="694"/>
      <c r="R23" s="694"/>
      <c r="S23" s="991" t="str">
        <f t="shared" si="3"/>
        <v/>
      </c>
      <c r="T23" s="992" t="str">
        <f t="shared" si="3"/>
        <v/>
      </c>
      <c r="U23" s="992" t="str">
        <f t="shared" si="3"/>
        <v/>
      </c>
      <c r="V23" s="992" t="str">
        <f t="shared" si="3"/>
        <v/>
      </c>
      <c r="W23" s="992" t="str">
        <f t="shared" si="3"/>
        <v/>
      </c>
      <c r="X23" s="992" t="str">
        <f t="shared" si="3"/>
        <v/>
      </c>
      <c r="Y23" s="993" t="str">
        <f t="shared" si="3"/>
        <v/>
      </c>
      <c r="Z23" s="343"/>
      <c r="AA23" s="343"/>
      <c r="AB23" s="343"/>
      <c r="AC23" s="343"/>
      <c r="AD23" s="343"/>
      <c r="AE23" s="343"/>
      <c r="AF23" s="343"/>
      <c r="AG23" s="343"/>
      <c r="AH23" s="343"/>
      <c r="AI23" s="343"/>
      <c r="AJ23" s="732" t="s">
        <v>2039</v>
      </c>
      <c r="AK23" s="875" t="str">
        <f>IF(AND(CNTR_HasEntries_A_I,OR(MSconst_RequireEmissionTotals,$Q$21),COUNTIFS($AB$21:$AH$21,FALSE,H23:N23,"")&gt;0),1,"")</f>
        <v/>
      </c>
    </row>
    <row r="24" spans="1:37" ht="12.65" customHeight="1" thickBot="1" x14ac:dyDescent="0.3">
      <c r="A24" s="694"/>
      <c r="B24" s="698"/>
      <c r="C24" s="698"/>
      <c r="D24" s="698"/>
      <c r="E24" s="2704" t="str">
        <f>Translations!$B$206</f>
        <v>Емисии на PFC</v>
      </c>
      <c r="F24" s="2705"/>
      <c r="G24" s="994" t="str">
        <f>EUconst_tCO2epa</f>
        <v>t CO2e/година</v>
      </c>
      <c r="H24" s="94"/>
      <c r="I24" s="94"/>
      <c r="J24" s="94"/>
      <c r="K24" s="94"/>
      <c r="L24" s="94"/>
      <c r="M24" s="94"/>
      <c r="N24" s="94"/>
      <c r="O24" s="336"/>
      <c r="P24" s="158"/>
      <c r="Q24" s="694"/>
      <c r="R24" s="694"/>
      <c r="S24" s="995" t="str">
        <f t="shared" si="3"/>
        <v/>
      </c>
      <c r="T24" s="996" t="str">
        <f t="shared" si="3"/>
        <v/>
      </c>
      <c r="U24" s="996" t="str">
        <f t="shared" si="3"/>
        <v/>
      </c>
      <c r="V24" s="996" t="str">
        <f t="shared" si="3"/>
        <v/>
      </c>
      <c r="W24" s="996" t="str">
        <f t="shared" si="3"/>
        <v/>
      </c>
      <c r="X24" s="996" t="str">
        <f t="shared" si="3"/>
        <v/>
      </c>
      <c r="Y24" s="997" t="str">
        <f t="shared" si="3"/>
        <v/>
      </c>
      <c r="Z24" s="343"/>
      <c r="AA24" s="343"/>
      <c r="AB24" s="343"/>
      <c r="AC24" s="343"/>
      <c r="AD24" s="343"/>
      <c r="AE24" s="343"/>
      <c r="AF24" s="343"/>
      <c r="AG24" s="343"/>
      <c r="AH24" s="343"/>
      <c r="AI24" s="343"/>
      <c r="AJ24" s="732" t="s">
        <v>2039</v>
      </c>
      <c r="AK24" s="875" t="str">
        <f>IF(AND(CNTR_HasEntries_A_I,OR(MSconst_RequireEmissionTotals,$Q$21),COUNTIFS($AB$21:$AH$21,FALSE,H24:N24,"")&gt;0),1,"")</f>
        <v/>
      </c>
    </row>
    <row r="25" spans="1:37" ht="13" customHeight="1" thickBot="1" x14ac:dyDescent="0.3">
      <c r="A25" s="694"/>
      <c r="B25" s="698"/>
      <c r="C25" s="698"/>
      <c r="D25" s="698"/>
      <c r="E25" s="2687" t="str">
        <f>Translations!$B$207</f>
        <v>Общо преки емисии</v>
      </c>
      <c r="F25" s="2258"/>
      <c r="G25" s="404" t="str">
        <f>EUconst_tCO2epa</f>
        <v>t CO2e/година</v>
      </c>
      <c r="H25" s="998" t="str">
        <f t="shared" ref="H25:N25" si="5">IF(COUNT(H21,H23:H24)&gt;0,SUM(H21,H23:H24),"")</f>
        <v/>
      </c>
      <c r="I25" s="998" t="str">
        <f t="shared" si="5"/>
        <v/>
      </c>
      <c r="J25" s="998" t="str">
        <f t="shared" si="5"/>
        <v/>
      </c>
      <c r="K25" s="999" t="str">
        <f t="shared" si="5"/>
        <v/>
      </c>
      <c r="L25" s="999" t="str">
        <f t="shared" si="5"/>
        <v/>
      </c>
      <c r="M25" s="999" t="str">
        <f t="shared" si="5"/>
        <v/>
      </c>
      <c r="N25" s="999" t="str">
        <f t="shared" si="5"/>
        <v/>
      </c>
      <c r="O25" s="336"/>
      <c r="P25" s="302"/>
      <c r="Q25" s="694"/>
      <c r="R25" s="694"/>
      <c r="S25" s="1000" t="str">
        <f t="shared" ref="S25:Y25" si="6">IF(COUNT(S21,S23:S24)&gt;0,SUM(S21,S23:S24),"")</f>
        <v/>
      </c>
      <c r="T25" s="1001" t="str">
        <f t="shared" si="6"/>
        <v/>
      </c>
      <c r="U25" s="1001" t="str">
        <f t="shared" si="6"/>
        <v/>
      </c>
      <c r="V25" s="1002" t="str">
        <f t="shared" si="6"/>
        <v/>
      </c>
      <c r="W25" s="1002" t="str">
        <f t="shared" si="6"/>
        <v/>
      </c>
      <c r="X25" s="1002" t="str">
        <f t="shared" si="6"/>
        <v/>
      </c>
      <c r="Y25" s="1003" t="str">
        <f t="shared" si="6"/>
        <v/>
      </c>
      <c r="Z25" s="343"/>
      <c r="AA25" s="343"/>
      <c r="AB25" s="343"/>
      <c r="AC25" s="343"/>
      <c r="AD25" s="343"/>
      <c r="AE25" s="343"/>
      <c r="AF25" s="343"/>
      <c r="AG25" s="343"/>
      <c r="AH25" s="343"/>
      <c r="AI25" s="343"/>
      <c r="AJ25" s="343"/>
      <c r="AK25" s="775"/>
    </row>
    <row r="26" spans="1:37" ht="13" customHeight="1" thickBot="1" x14ac:dyDescent="0.3">
      <c r="A26" s="694"/>
      <c r="B26" s="698"/>
      <c r="C26" s="698"/>
      <c r="D26" s="698"/>
      <c r="E26" s="2706" t="str">
        <f>Translations!$B$208</f>
        <v>Прехвърлен CO2, изходящ поток</v>
      </c>
      <c r="F26" s="2707"/>
      <c r="G26" s="408" t="str">
        <f>EUconst_tCO2pa</f>
        <v>t CO2 / година</v>
      </c>
      <c r="H26" s="95"/>
      <c r="I26" s="95"/>
      <c r="J26" s="95"/>
      <c r="K26" s="95"/>
      <c r="L26" s="95"/>
      <c r="M26" s="95"/>
      <c r="N26" s="95"/>
      <c r="O26" s="336"/>
      <c r="P26" s="158"/>
      <c r="Q26" s="694"/>
      <c r="R26" s="694"/>
      <c r="S26" s="1004" t="str">
        <f t="shared" ref="S26:Y26" si="7">IF(ISNUMBER(H26),H26,"")</f>
        <v/>
      </c>
      <c r="T26" s="1005" t="str">
        <f t="shared" si="7"/>
        <v/>
      </c>
      <c r="U26" s="1005" t="str">
        <f t="shared" si="7"/>
        <v/>
      </c>
      <c r="V26" s="1006" t="str">
        <f t="shared" si="7"/>
        <v/>
      </c>
      <c r="W26" s="1006" t="str">
        <f t="shared" si="7"/>
        <v/>
      </c>
      <c r="X26" s="1006" t="str">
        <f t="shared" si="7"/>
        <v/>
      </c>
      <c r="Y26" s="1007" t="str">
        <f t="shared" si="7"/>
        <v/>
      </c>
      <c r="Z26" s="343"/>
      <c r="AA26" s="343"/>
      <c r="AB26" s="343"/>
      <c r="AC26" s="343"/>
      <c r="AD26" s="343"/>
      <c r="AE26" s="343"/>
      <c r="AF26" s="343"/>
      <c r="AG26" s="343"/>
      <c r="AH26" s="343"/>
      <c r="AI26" s="343"/>
      <c r="AJ26" s="732" t="s">
        <v>2039</v>
      </c>
      <c r="AK26" s="875" t="str">
        <f>IF(AND(CNTR_HasEntries_A_I,OR(MSconst_RequireEmissionTotals,$Q$21),COUNTIFS($AB$21:$AH$21,FALSE,H26:N26,"")&gt;0),1,"")</f>
        <v/>
      </c>
    </row>
    <row r="27" spans="1:37" ht="12.75" customHeight="1" thickBot="1" x14ac:dyDescent="0.3">
      <c r="A27" s="694"/>
      <c r="B27" s="698"/>
      <c r="C27" s="698"/>
      <c r="D27" s="698"/>
      <c r="E27" s="2708" t="str">
        <f>Translations!$B$486</f>
        <v>Общо преки емисии</v>
      </c>
      <c r="F27" s="2709"/>
      <c r="G27" s="413" t="str">
        <f>EUconst_tCO2epa</f>
        <v>t CO2e/година</v>
      </c>
      <c r="H27" s="1008" t="str">
        <f t="shared" ref="H27:N27" si="8">IF(COUNT(H25:H26)&gt;0,SUM(H25:H26),"")</f>
        <v/>
      </c>
      <c r="I27" s="1008" t="str">
        <f t="shared" si="8"/>
        <v/>
      </c>
      <c r="J27" s="1008" t="str">
        <f t="shared" si="8"/>
        <v/>
      </c>
      <c r="K27" s="1008" t="str">
        <f t="shared" si="8"/>
        <v/>
      </c>
      <c r="L27" s="1008" t="str">
        <f t="shared" si="8"/>
        <v/>
      </c>
      <c r="M27" s="1008" t="str">
        <f t="shared" si="8"/>
        <v/>
      </c>
      <c r="N27" s="1009" t="str">
        <f t="shared" si="8"/>
        <v/>
      </c>
      <c r="O27" s="336"/>
      <c r="P27" s="302"/>
      <c r="Q27" s="694"/>
      <c r="R27" s="694"/>
      <c r="S27" s="1010" t="str">
        <f t="shared" ref="S27:Y27" si="9">IF(COUNT(S25:S26)&gt;0,SUM(S25:S26),"")</f>
        <v/>
      </c>
      <c r="T27" s="1011" t="str">
        <f t="shared" si="9"/>
        <v/>
      </c>
      <c r="U27" s="1011" t="str">
        <f t="shared" si="9"/>
        <v/>
      </c>
      <c r="V27" s="1011" t="str">
        <f t="shared" si="9"/>
        <v/>
      </c>
      <c r="W27" s="1011" t="str">
        <f t="shared" si="9"/>
        <v/>
      </c>
      <c r="X27" s="1011" t="str">
        <f t="shared" si="9"/>
        <v/>
      </c>
      <c r="Y27" s="1012" t="str">
        <f t="shared" si="9"/>
        <v/>
      </c>
      <c r="Z27" s="343"/>
      <c r="AA27" s="343"/>
      <c r="AB27" s="343"/>
      <c r="AC27" s="343"/>
      <c r="AD27" s="343"/>
      <c r="AE27" s="343"/>
      <c r="AF27" s="343"/>
      <c r="AG27" s="343"/>
      <c r="AH27" s="343"/>
      <c r="AI27" s="343"/>
      <c r="AJ27" s="343"/>
      <c r="AK27" s="343"/>
    </row>
    <row r="28" spans="1:37" ht="12.75" customHeight="1" thickBot="1" x14ac:dyDescent="0.3">
      <c r="A28" s="694"/>
      <c r="B28" s="698"/>
      <c r="C28" s="698"/>
      <c r="D28" s="313"/>
      <c r="E28" s="2708" t="str">
        <f>Translations!$B$209</f>
        <v>Общо вложена енергия от горива</v>
      </c>
      <c r="F28" s="2709"/>
      <c r="G28" s="413" t="str">
        <f>EUconst_TJpa</f>
        <v>TJ / година</v>
      </c>
      <c r="H28" s="96"/>
      <c r="I28" s="96"/>
      <c r="J28" s="96"/>
      <c r="K28" s="96"/>
      <c r="L28" s="96"/>
      <c r="M28" s="96"/>
      <c r="N28" s="97"/>
      <c r="O28" s="336"/>
      <c r="P28" s="158"/>
      <c r="Q28" s="694"/>
      <c r="R28" s="694"/>
      <c r="S28" s="1010" t="str">
        <f t="shared" ref="S28:Y28" si="10">IF(ISNUMBER(H28),H28,"")</f>
        <v/>
      </c>
      <c r="T28" s="1011" t="str">
        <f t="shared" si="10"/>
        <v/>
      </c>
      <c r="U28" s="1011" t="str">
        <f t="shared" si="10"/>
        <v/>
      </c>
      <c r="V28" s="1011" t="str">
        <f t="shared" si="10"/>
        <v/>
      </c>
      <c r="W28" s="1011" t="str">
        <f t="shared" si="10"/>
        <v/>
      </c>
      <c r="X28" s="1011" t="str">
        <f t="shared" si="10"/>
        <v/>
      </c>
      <c r="Y28" s="1012" t="str">
        <f t="shared" si="10"/>
        <v/>
      </c>
      <c r="Z28" s="343"/>
      <c r="AA28" s="343"/>
      <c r="AB28" s="343"/>
      <c r="AC28" s="343"/>
      <c r="AD28" s="343"/>
      <c r="AE28" s="343"/>
      <c r="AF28" s="343"/>
      <c r="AG28" s="343"/>
      <c r="AH28" s="343"/>
      <c r="AI28" s="343"/>
      <c r="AJ28" s="343"/>
      <c r="AK28" s="343"/>
    </row>
    <row r="29" spans="1:37" ht="13" x14ac:dyDescent="0.25">
      <c r="A29" s="694"/>
      <c r="B29" s="698"/>
      <c r="C29" s="835"/>
      <c r="D29" s="835"/>
      <c r="E29" s="835"/>
      <c r="F29" s="835"/>
      <c r="G29" s="835"/>
      <c r="H29" s="835"/>
      <c r="I29" s="835"/>
      <c r="J29" s="835"/>
      <c r="K29" s="835"/>
      <c r="L29" s="835"/>
      <c r="M29" s="835"/>
      <c r="N29" s="835"/>
      <c r="O29" s="336"/>
      <c r="P29" s="302"/>
      <c r="Q29" s="770"/>
      <c r="R29" s="694"/>
      <c r="S29" s="694"/>
      <c r="T29" s="694"/>
      <c r="U29" s="694"/>
      <c r="V29" s="694"/>
      <c r="W29" s="694"/>
      <c r="X29" s="694"/>
      <c r="Y29" s="694"/>
      <c r="Z29" s="343"/>
      <c r="AA29" s="343"/>
      <c r="AB29" s="343"/>
      <c r="AC29" s="343"/>
      <c r="AD29" s="343"/>
      <c r="AE29" s="343"/>
      <c r="AF29" s="343"/>
      <c r="AG29" s="343"/>
      <c r="AH29" s="343"/>
      <c r="AI29" s="343"/>
      <c r="AJ29" s="343"/>
      <c r="AK29" s="343"/>
    </row>
    <row r="30" spans="1:37" ht="15.75" customHeight="1" x14ac:dyDescent="0.35">
      <c r="A30" s="694"/>
      <c r="B30" s="284"/>
      <c r="C30" s="327" t="s">
        <v>900</v>
      </c>
      <c r="D30" s="2245" t="str">
        <f>Translations!$B$216</f>
        <v>Разпределяне на емисиите по подинсталации</v>
      </c>
      <c r="E30" s="2245"/>
      <c r="F30" s="2245"/>
      <c r="G30" s="2245"/>
      <c r="H30" s="2245"/>
      <c r="I30" s="2245"/>
      <c r="J30" s="2245"/>
      <c r="K30" s="2245"/>
      <c r="L30" s="2245"/>
      <c r="M30" s="2245"/>
      <c r="N30" s="2245"/>
      <c r="O30" s="336"/>
      <c r="P30" s="302"/>
      <c r="Q30" s="770"/>
      <c r="R30" s="694"/>
      <c r="S30" s="694"/>
      <c r="T30" s="694"/>
      <c r="U30" s="694"/>
      <c r="V30" s="694"/>
      <c r="W30" s="694"/>
      <c r="X30" s="694"/>
      <c r="Y30" s="694"/>
      <c r="Z30" s="343"/>
      <c r="AA30" s="343"/>
      <c r="AB30" s="343"/>
      <c r="AC30" s="343"/>
      <c r="AD30" s="343"/>
      <c r="AE30" s="343"/>
      <c r="AF30" s="343"/>
      <c r="AG30" s="343"/>
      <c r="AH30" s="343"/>
      <c r="AI30" s="343"/>
      <c r="AJ30" s="343"/>
      <c r="AK30" s="343"/>
    </row>
    <row r="31" spans="1:37" ht="5.15" customHeight="1" x14ac:dyDescent="0.25">
      <c r="A31" s="694"/>
      <c r="B31" s="284"/>
      <c r="C31" s="284"/>
      <c r="D31" s="284"/>
      <c r="E31" s="284"/>
      <c r="F31" s="284"/>
      <c r="G31" s="284"/>
      <c r="H31" s="284"/>
      <c r="I31" s="284"/>
      <c r="J31" s="284"/>
      <c r="K31" s="284"/>
      <c r="L31" s="284"/>
      <c r="M31" s="336"/>
      <c r="N31" s="336"/>
      <c r="O31" s="336"/>
      <c r="P31" s="302"/>
      <c r="Q31" s="770"/>
      <c r="R31" s="694"/>
      <c r="S31" s="694"/>
      <c r="T31" s="694"/>
      <c r="U31" s="694"/>
      <c r="V31" s="694"/>
      <c r="W31" s="694"/>
      <c r="X31" s="694"/>
      <c r="Y31" s="694"/>
      <c r="Z31" s="343"/>
      <c r="AA31" s="343"/>
      <c r="AB31" s="343"/>
      <c r="AC31" s="343"/>
      <c r="AD31" s="343"/>
      <c r="AE31" s="343"/>
      <c r="AF31" s="343"/>
      <c r="AG31" s="343"/>
      <c r="AH31" s="343"/>
      <c r="AI31" s="343"/>
      <c r="AJ31" s="343"/>
      <c r="AK31" s="343"/>
    </row>
    <row r="32" spans="1:37" ht="15" customHeight="1" x14ac:dyDescent="0.3">
      <c r="A32" s="694"/>
      <c r="B32" s="284"/>
      <c r="C32" s="357">
        <v>1</v>
      </c>
      <c r="D32" s="2323" t="str">
        <f>Translations!$B$1301</f>
        <v>Общо емисии на цялата инсталация (взети от раздел D.I)</v>
      </c>
      <c r="E32" s="2323"/>
      <c r="F32" s="2323"/>
      <c r="G32" s="2323"/>
      <c r="H32" s="2323"/>
      <c r="I32" s="2323"/>
      <c r="J32" s="2323"/>
      <c r="K32" s="2323"/>
      <c r="L32" s="2323"/>
      <c r="M32" s="2323"/>
      <c r="N32" s="2323"/>
      <c r="O32" s="336"/>
      <c r="P32" s="302"/>
      <c r="Q32" s="770"/>
      <c r="R32" s="694"/>
      <c r="S32" s="694"/>
      <c r="T32" s="694"/>
      <c r="U32" s="694"/>
      <c r="V32" s="694"/>
      <c r="W32" s="694"/>
      <c r="X32" s="694"/>
      <c r="Y32" s="694"/>
      <c r="Z32" s="343"/>
      <c r="AA32" s="343"/>
      <c r="AB32" s="343"/>
      <c r="AC32" s="343"/>
      <c r="AD32" s="343"/>
      <c r="AE32" s="343"/>
      <c r="AF32" s="343"/>
      <c r="AG32" s="343"/>
      <c r="AH32" s="343"/>
      <c r="AI32" s="343"/>
      <c r="AJ32" s="343"/>
      <c r="AK32" s="343"/>
    </row>
    <row r="33" spans="1:37" ht="5.15" customHeight="1" x14ac:dyDescent="0.25">
      <c r="A33" s="694"/>
      <c r="B33" s="284"/>
      <c r="C33" s="284"/>
      <c r="D33" s="284"/>
      <c r="E33" s="284"/>
      <c r="F33" s="284"/>
      <c r="G33" s="284"/>
      <c r="H33" s="284"/>
      <c r="I33" s="284"/>
      <c r="J33" s="284"/>
      <c r="K33" s="284"/>
      <c r="L33" s="284"/>
      <c r="M33" s="336"/>
      <c r="N33" s="336"/>
      <c r="O33" s="336"/>
      <c r="P33" s="302"/>
      <c r="Q33" s="770"/>
      <c r="R33" s="694"/>
      <c r="S33" s="694"/>
      <c r="T33" s="694"/>
      <c r="U33" s="694"/>
      <c r="V33" s="694"/>
      <c r="W33" s="694"/>
      <c r="X33" s="694"/>
      <c r="Y33" s="694"/>
      <c r="Z33" s="343"/>
      <c r="AA33" s="343"/>
      <c r="AB33" s="343"/>
      <c r="AC33" s="343"/>
      <c r="AD33" s="343"/>
      <c r="AE33" s="343"/>
      <c r="AF33" s="343"/>
      <c r="AG33" s="343"/>
      <c r="AH33" s="343"/>
      <c r="AI33" s="343"/>
      <c r="AJ33" s="343"/>
      <c r="AK33" s="343"/>
    </row>
    <row r="34" spans="1:37" ht="12.75" customHeight="1" x14ac:dyDescent="0.25">
      <c r="A34" s="694"/>
      <c r="B34" s="284"/>
      <c r="C34" s="284"/>
      <c r="D34" s="300"/>
      <c r="E34" s="1013" t="str">
        <f>Translations!$B$203</f>
        <v>Данни за цялата инсталация:</v>
      </c>
      <c r="F34" s="1013"/>
      <c r="G34" s="1014" t="str">
        <f>EUconst_Unit</f>
        <v>Единица мярка</v>
      </c>
      <c r="H34" s="391">
        <f t="shared" ref="H34:N34" si="11">H$278</f>
        <v>2024</v>
      </c>
      <c r="I34" s="391">
        <f t="shared" si="11"/>
        <v>2025</v>
      </c>
      <c r="J34" s="391">
        <f t="shared" si="11"/>
        <v>2026</v>
      </c>
      <c r="K34" s="391">
        <f t="shared" si="11"/>
        <v>2027</v>
      </c>
      <c r="L34" s="391">
        <f t="shared" si="11"/>
        <v>2028</v>
      </c>
      <c r="M34" s="391">
        <f t="shared" si="11"/>
        <v>2029</v>
      </c>
      <c r="N34" s="391">
        <f t="shared" si="11"/>
        <v>2030</v>
      </c>
      <c r="O34" s="336"/>
      <c r="P34" s="302"/>
      <c r="Q34" s="770"/>
      <c r="R34" s="694"/>
      <c r="S34" s="694"/>
      <c r="T34" s="694"/>
      <c r="U34" s="694"/>
      <c r="V34" s="694"/>
      <c r="W34" s="694"/>
      <c r="X34" s="694"/>
      <c r="Y34" s="694"/>
      <c r="Z34" s="343"/>
      <c r="AA34" s="343"/>
      <c r="AB34" s="343"/>
      <c r="AC34" s="343"/>
      <c r="AD34" s="343"/>
      <c r="AE34" s="343"/>
      <c r="AF34" s="343"/>
      <c r="AG34" s="343"/>
      <c r="AH34" s="343"/>
      <c r="AI34" s="343"/>
      <c r="AJ34" s="343"/>
      <c r="AK34" s="343"/>
    </row>
    <row r="35" spans="1:37" ht="12.75" customHeight="1" x14ac:dyDescent="0.25">
      <c r="A35" s="694"/>
      <c r="B35" s="698"/>
      <c r="C35" s="698"/>
      <c r="D35" s="698"/>
      <c r="E35" s="2687" t="str">
        <f>Translations!$B$217</f>
        <v>Общи преки емисии от инсталацията</v>
      </c>
      <c r="F35" s="2687"/>
      <c r="G35" s="404" t="str">
        <f>EUconst_tCO2epa</f>
        <v>t CO2e/година</v>
      </c>
      <c r="H35" s="659" t="str">
        <f>IF(ISNUMBER(S$27),S$27,"")</f>
        <v/>
      </c>
      <c r="I35" s="659" t="str">
        <f t="shared" ref="I35:N35" si="12">IF(ISNUMBER(T$27),T$27,"")</f>
        <v/>
      </c>
      <c r="J35" s="659" t="str">
        <f t="shared" si="12"/>
        <v/>
      </c>
      <c r="K35" s="659" t="str">
        <f t="shared" si="12"/>
        <v/>
      </c>
      <c r="L35" s="659" t="str">
        <f t="shared" si="12"/>
        <v/>
      </c>
      <c r="M35" s="659" t="str">
        <f t="shared" si="12"/>
        <v/>
      </c>
      <c r="N35" s="659" t="str">
        <f t="shared" si="12"/>
        <v/>
      </c>
      <c r="O35" s="336"/>
      <c r="P35" s="302"/>
      <c r="Q35" s="694"/>
      <c r="R35" s="694"/>
      <c r="S35" s="694"/>
      <c r="T35" s="694"/>
      <c r="U35" s="694"/>
      <c r="V35" s="694"/>
      <c r="W35" s="694"/>
      <c r="X35" s="694"/>
      <c r="Y35" s="694"/>
      <c r="Z35" s="343"/>
      <c r="AA35" s="343"/>
      <c r="AB35" s="343"/>
      <c r="AC35" s="343"/>
      <c r="AD35" s="343"/>
      <c r="AE35" s="343"/>
      <c r="AF35" s="343"/>
      <c r="AG35" s="343"/>
      <c r="AH35" s="343"/>
      <c r="AI35" s="343"/>
      <c r="AJ35" s="343"/>
      <c r="AK35" s="343"/>
    </row>
    <row r="36" spans="1:37" ht="5.15" customHeight="1" x14ac:dyDescent="0.25">
      <c r="A36" s="694"/>
      <c r="B36" s="284"/>
      <c r="C36" s="284"/>
      <c r="D36" s="284"/>
      <c r="E36" s="284"/>
      <c r="F36" s="284"/>
      <c r="G36" s="284"/>
      <c r="H36" s="284"/>
      <c r="I36" s="284"/>
      <c r="J36" s="284"/>
      <c r="K36" s="284"/>
      <c r="L36" s="284"/>
      <c r="M36" s="336"/>
      <c r="N36" s="336"/>
      <c r="O36" s="336"/>
      <c r="P36" s="302"/>
      <c r="Q36" s="770"/>
      <c r="R36" s="694"/>
      <c r="S36" s="694"/>
      <c r="T36" s="694"/>
      <c r="U36" s="694"/>
      <c r="V36" s="694"/>
      <c r="W36" s="694"/>
      <c r="X36" s="694"/>
      <c r="Y36" s="694"/>
      <c r="Z36" s="343"/>
      <c r="AA36" s="343"/>
      <c r="AB36" s="343"/>
      <c r="AC36" s="343"/>
      <c r="AD36" s="343"/>
      <c r="AE36" s="343"/>
      <c r="AF36" s="343"/>
      <c r="AG36" s="343"/>
      <c r="AH36" s="343"/>
      <c r="AI36" s="343"/>
      <c r="AJ36" s="343"/>
      <c r="AK36" s="343"/>
    </row>
    <row r="37" spans="1:37" ht="15" customHeight="1" x14ac:dyDescent="0.3">
      <c r="A37" s="694"/>
      <c r="B37" s="284"/>
      <c r="C37" s="357">
        <v>2</v>
      </c>
      <c r="D37" s="2323" t="str">
        <f>Translations!$B$218</f>
        <v>Разпределяне по подинсталации</v>
      </c>
      <c r="E37" s="2323"/>
      <c r="F37" s="2323"/>
      <c r="G37" s="2323"/>
      <c r="H37" s="2323"/>
      <c r="I37" s="2323"/>
      <c r="J37" s="2323"/>
      <c r="K37" s="2323"/>
      <c r="L37" s="2323"/>
      <c r="M37" s="2323"/>
      <c r="N37" s="2323"/>
      <c r="O37" s="336"/>
      <c r="P37" s="302"/>
      <c r="Q37" s="694"/>
      <c r="R37" s="694"/>
      <c r="S37" s="694"/>
      <c r="T37" s="694"/>
      <c r="U37" s="694"/>
      <c r="V37" s="694"/>
      <c r="W37" s="694"/>
      <c r="X37" s="694"/>
      <c r="Y37" s="694"/>
      <c r="Z37" s="343"/>
      <c r="AA37" s="343"/>
      <c r="AB37" s="343"/>
      <c r="AC37" s="343"/>
      <c r="AD37" s="343"/>
      <c r="AE37" s="343"/>
      <c r="AF37" s="343"/>
      <c r="AG37" s="343"/>
      <c r="AH37" s="343"/>
      <c r="AI37" s="343"/>
      <c r="AJ37" s="343"/>
      <c r="AK37" s="343"/>
    </row>
    <row r="38" spans="1:37" ht="5.15" customHeight="1" x14ac:dyDescent="0.25">
      <c r="A38" s="694"/>
      <c r="B38" s="698"/>
      <c r="C38" s="284"/>
      <c r="D38" s="284"/>
      <c r="E38" s="284"/>
      <c r="F38" s="284"/>
      <c r="G38" s="284"/>
      <c r="H38" s="284"/>
      <c r="I38" s="284"/>
      <c r="J38" s="284"/>
      <c r="K38" s="284"/>
      <c r="L38" s="284"/>
      <c r="M38" s="284"/>
      <c r="N38" s="284"/>
      <c r="O38" s="336"/>
      <c r="P38" s="302"/>
      <c r="Q38" s="694"/>
      <c r="R38" s="694"/>
      <c r="S38" s="770"/>
      <c r="T38" s="770"/>
      <c r="U38" s="694"/>
      <c r="V38" s="694"/>
      <c r="W38" s="694"/>
      <c r="X38" s="694"/>
      <c r="Y38" s="694"/>
      <c r="Z38" s="343"/>
      <c r="AA38" s="343"/>
      <c r="AB38" s="343"/>
      <c r="AC38" s="343"/>
      <c r="AD38" s="343"/>
      <c r="AE38" s="343"/>
      <c r="AF38" s="343"/>
      <c r="AG38" s="343"/>
      <c r="AH38" s="343"/>
      <c r="AI38" s="343"/>
      <c r="AJ38" s="343"/>
      <c r="AK38" s="343"/>
    </row>
    <row r="39" spans="1:37" ht="12.75" customHeight="1" x14ac:dyDescent="0.25">
      <c r="A39" s="694"/>
      <c r="B39" s="698"/>
      <c r="C39" s="284"/>
      <c r="D39" s="284"/>
      <c r="E39" s="2358" t="str">
        <f>Translations!$B$1302</f>
        <v xml:space="preserve">Задаването на емисии по подинсталации трябва да се направи в листове F и G за всяка подинсталация, ако държавата членка задължително изисква неговото докладване. </v>
      </c>
      <c r="F39" s="2249"/>
      <c r="G39" s="2249"/>
      <c r="H39" s="2249"/>
      <c r="I39" s="2249"/>
      <c r="J39" s="2249"/>
      <c r="K39" s="2249"/>
      <c r="L39" s="2249"/>
      <c r="M39" s="2249"/>
      <c r="N39" s="2249"/>
      <c r="O39" s="336"/>
      <c r="P39" s="302"/>
      <c r="Q39" s="694"/>
      <c r="R39" s="694"/>
      <c r="S39" s="770"/>
      <c r="T39" s="770"/>
      <c r="U39" s="694"/>
      <c r="V39" s="694"/>
      <c r="W39" s="694"/>
      <c r="X39" s="694"/>
      <c r="Y39" s="694"/>
      <c r="Z39" s="343"/>
      <c r="AA39" s="343"/>
      <c r="AB39" s="343"/>
      <c r="AC39" s="343"/>
      <c r="AD39" s="343"/>
      <c r="AE39" s="343"/>
      <c r="AF39" s="343"/>
      <c r="AG39" s="343"/>
      <c r="AH39" s="343"/>
      <c r="AI39" s="343"/>
      <c r="AJ39" s="343"/>
      <c r="AK39" s="343"/>
    </row>
    <row r="40" spans="1:37" ht="12.75" customHeight="1" x14ac:dyDescent="0.25">
      <c r="A40" s="694"/>
      <c r="B40" s="698"/>
      <c r="C40" s="284"/>
      <c r="D40" s="284"/>
      <c r="E40" s="2358" t="str">
        <f>Translations!$B$219</f>
        <v>В листа с обобщение може да се намери таблица на разпределените емисии (вж. връзката по-долу).</v>
      </c>
      <c r="F40" s="2249"/>
      <c r="G40" s="2249"/>
      <c r="H40" s="2249"/>
      <c r="I40" s="2249"/>
      <c r="J40" s="2249"/>
      <c r="K40" s="2249"/>
      <c r="L40" s="2249"/>
      <c r="M40" s="2249"/>
      <c r="N40" s="2249"/>
      <c r="O40" s="336"/>
      <c r="P40" s="302"/>
      <c r="Q40" s="694"/>
      <c r="R40" s="694"/>
      <c r="S40" s="770"/>
      <c r="T40" s="770"/>
      <c r="U40" s="694"/>
      <c r="V40" s="694"/>
      <c r="W40" s="694"/>
      <c r="X40" s="694"/>
      <c r="Y40" s="694"/>
      <c r="Z40" s="343"/>
      <c r="AA40" s="343"/>
      <c r="AB40" s="343"/>
      <c r="AC40" s="343"/>
      <c r="AD40" s="343"/>
      <c r="AE40" s="343"/>
      <c r="AF40" s="343"/>
      <c r="AG40" s="343"/>
      <c r="AH40" s="343"/>
      <c r="AI40" s="343"/>
      <c r="AJ40" s="343"/>
      <c r="AK40" s="343"/>
    </row>
    <row r="41" spans="1:37" ht="12.75" customHeight="1" x14ac:dyDescent="0.25">
      <c r="A41" s="694"/>
      <c r="B41" s="698"/>
      <c r="C41" s="698"/>
      <c r="D41" s="698"/>
      <c r="E41" s="2683" t="str">
        <f>CONCATENATE(EUconst_MsgAttrEm," (K.III.2)")</f>
        <v>Разпределението на емисии по подинсталации може да се намери в работния лист за обобщение. (K.III.2)</v>
      </c>
      <c r="F41" s="2683"/>
      <c r="G41" s="2683"/>
      <c r="H41" s="2683"/>
      <c r="I41" s="2683"/>
      <c r="J41" s="2683"/>
      <c r="K41" s="2683"/>
      <c r="L41" s="2683"/>
      <c r="M41" s="2683"/>
      <c r="N41" s="2683"/>
      <c r="O41" s="336"/>
      <c r="P41" s="302"/>
      <c r="Q41" s="694"/>
      <c r="R41" s="694"/>
      <c r="S41" s="770"/>
      <c r="T41" s="770"/>
      <c r="U41" s="694"/>
      <c r="V41" s="694"/>
      <c r="W41" s="694"/>
      <c r="X41" s="694"/>
      <c r="Y41" s="694"/>
      <c r="Z41" s="343"/>
      <c r="AA41" s="343"/>
      <c r="AB41" s="343"/>
      <c r="AC41" s="343"/>
      <c r="AD41" s="343"/>
      <c r="AE41" s="343"/>
      <c r="AF41" s="343"/>
      <c r="AG41" s="343"/>
      <c r="AH41" s="343"/>
      <c r="AI41" s="343"/>
      <c r="AJ41" s="343"/>
      <c r="AK41" s="343"/>
    </row>
    <row r="42" spans="1:37" ht="12.75" customHeight="1" x14ac:dyDescent="0.25">
      <c r="A42" s="694"/>
      <c r="B42" s="698"/>
      <c r="C42" s="698"/>
      <c r="D42" s="698"/>
      <c r="E42" s="698"/>
      <c r="F42" s="698"/>
      <c r="G42" s="698"/>
      <c r="H42" s="698"/>
      <c r="I42" s="698"/>
      <c r="J42" s="698"/>
      <c r="K42" s="698"/>
      <c r="L42" s="698"/>
      <c r="M42" s="698"/>
      <c r="N42" s="698"/>
      <c r="O42" s="336"/>
      <c r="P42" s="302"/>
      <c r="Q42" s="694"/>
      <c r="R42" s="694"/>
      <c r="S42" s="770"/>
      <c r="T42" s="770"/>
      <c r="U42" s="694"/>
      <c r="V42" s="694"/>
      <c r="W42" s="694"/>
      <c r="X42" s="694"/>
      <c r="Y42" s="694"/>
      <c r="Z42" s="343"/>
      <c r="AA42" s="343"/>
      <c r="AB42" s="343"/>
      <c r="AC42" s="343"/>
      <c r="AD42" s="343"/>
      <c r="AE42" s="343"/>
      <c r="AF42" s="343"/>
      <c r="AG42" s="343"/>
      <c r="AH42" s="343"/>
      <c r="AI42" s="343"/>
      <c r="AJ42" s="343"/>
      <c r="AK42" s="343"/>
    </row>
    <row r="43" spans="1:37" ht="15.5" x14ac:dyDescent="0.35">
      <c r="A43" s="694"/>
      <c r="B43" s="284"/>
      <c r="C43" s="327" t="s">
        <v>908</v>
      </c>
      <c r="D43" s="2245" t="str">
        <f>Translations!$B$220</f>
        <v>Инструмент за комбинирано производство</v>
      </c>
      <c r="E43" s="2245"/>
      <c r="F43" s="2245"/>
      <c r="G43" s="2245"/>
      <c r="H43" s="2245"/>
      <c r="I43" s="2245"/>
      <c r="J43" s="2245"/>
      <c r="K43" s="2245"/>
      <c r="L43" s="2245"/>
      <c r="M43" s="2245"/>
      <c r="N43" s="2245"/>
      <c r="O43" s="336"/>
      <c r="P43" s="302"/>
      <c r="Q43" s="770"/>
      <c r="R43" s="694"/>
      <c r="S43" s="694"/>
      <c r="T43" s="694"/>
      <c r="U43" s="694"/>
      <c r="V43" s="694"/>
      <c r="W43" s="694"/>
      <c r="X43" s="694"/>
      <c r="Y43" s="694"/>
      <c r="Z43" s="343"/>
      <c r="AA43" s="343"/>
      <c r="AB43" s="343"/>
      <c r="AC43" s="343"/>
      <c r="AD43" s="343"/>
      <c r="AE43" s="343"/>
      <c r="AF43" s="343"/>
      <c r="AG43" s="343"/>
      <c r="AH43" s="343"/>
      <c r="AI43" s="343"/>
      <c r="AJ43" s="343"/>
      <c r="AK43" s="343"/>
    </row>
    <row r="44" spans="1:37" ht="5.15" customHeight="1" x14ac:dyDescent="0.25">
      <c r="A44" s="694"/>
      <c r="B44" s="284"/>
      <c r="C44" s="284"/>
      <c r="D44" s="284"/>
      <c r="E44" s="284"/>
      <c r="F44" s="284"/>
      <c r="G44" s="284"/>
      <c r="H44" s="284"/>
      <c r="I44" s="284"/>
      <c r="J44" s="284"/>
      <c r="K44" s="284"/>
      <c r="L44" s="284"/>
      <c r="M44" s="336"/>
      <c r="N44" s="336"/>
      <c r="O44" s="336"/>
      <c r="P44" s="302"/>
      <c r="Q44" s="770"/>
      <c r="R44" s="694"/>
      <c r="S44" s="694"/>
      <c r="T44" s="694"/>
      <c r="U44" s="694"/>
      <c r="V44" s="694"/>
      <c r="W44" s="694"/>
      <c r="X44" s="694"/>
      <c r="Y44" s="694"/>
      <c r="Z44" s="343"/>
      <c r="AA44" s="343"/>
      <c r="AB44" s="343"/>
      <c r="AC44" s="343"/>
      <c r="AD44" s="343"/>
      <c r="AE44" s="343"/>
      <c r="AF44" s="343"/>
      <c r="AG44" s="343"/>
      <c r="AH44" s="343"/>
      <c r="AI44" s="343"/>
      <c r="AJ44" s="343"/>
      <c r="AK44" s="343"/>
    </row>
    <row r="45" spans="1:37" ht="12.75" customHeight="1" x14ac:dyDescent="0.25">
      <c r="A45" s="694"/>
      <c r="B45" s="284"/>
      <c r="C45" s="284"/>
      <c r="D45" s="284"/>
      <c r="E45" s="2463" t="str">
        <f>Translations!$B$221</f>
        <v>Приложими ли са агрегатите за комбинирано производство на топлинна и електрическа енергия (агрегат за КПТЕ)?</v>
      </c>
      <c r="F45" s="2463"/>
      <c r="G45" s="2463"/>
      <c r="H45" s="2463"/>
      <c r="I45" s="2463"/>
      <c r="J45" s="2463"/>
      <c r="K45" s="2463"/>
      <c r="L45" s="2699"/>
      <c r="M45" s="196"/>
      <c r="N45" s="336"/>
      <c r="O45" s="336"/>
      <c r="P45" s="158"/>
      <c r="Q45" s="770"/>
      <c r="R45" s="694"/>
      <c r="S45" s="694"/>
      <c r="T45" s="694"/>
      <c r="U45" s="694"/>
      <c r="V45" s="694"/>
      <c r="W45" s="694"/>
      <c r="X45" s="694"/>
      <c r="Y45" s="694"/>
      <c r="Z45" s="343"/>
      <c r="AA45" s="343"/>
      <c r="AB45" s="343"/>
      <c r="AC45" s="343"/>
      <c r="AD45" s="343"/>
      <c r="AE45" s="343"/>
      <c r="AF45" s="343"/>
      <c r="AG45" s="343"/>
      <c r="AH45" s="343"/>
      <c r="AI45" s="343"/>
      <c r="AJ45" s="343"/>
      <c r="AK45" s="343"/>
    </row>
    <row r="46" spans="1:37" ht="12.75" customHeight="1" x14ac:dyDescent="0.25">
      <c r="A46" s="694"/>
      <c r="B46" s="284"/>
      <c r="C46" s="284"/>
      <c r="D46" s="284"/>
      <c r="E46" s="2358" t="str">
        <f>Translations!$B$222</f>
        <v>Това е инструмент за разпределяне на горива и емисии от агрегати за комбинирано производство на топлинна и електрическа енергия с цел актуализиране на стойностите на показателите съгласно глава 8 от приложение VII.</v>
      </c>
      <c r="F46" s="2249"/>
      <c r="G46" s="2249"/>
      <c r="H46" s="2249"/>
      <c r="I46" s="2249"/>
      <c r="J46" s="2249"/>
      <c r="K46" s="2249"/>
      <c r="L46" s="2249"/>
      <c r="M46" s="2249"/>
      <c r="N46" s="2249"/>
      <c r="O46" s="336"/>
      <c r="P46" s="302"/>
      <c r="Q46" s="770"/>
      <c r="R46" s="694"/>
      <c r="S46" s="694"/>
      <c r="T46" s="694"/>
      <c r="U46" s="694"/>
      <c r="V46" s="694"/>
      <c r="W46" s="694"/>
      <c r="X46" s="694"/>
      <c r="Y46" s="694"/>
      <c r="Z46" s="343"/>
      <c r="AA46" s="343"/>
      <c r="AB46" s="343"/>
      <c r="AC46" s="343"/>
      <c r="AD46" s="343"/>
      <c r="AE46" s="343"/>
      <c r="AF46" s="343"/>
      <c r="AG46" s="343"/>
      <c r="AH46" s="343"/>
      <c r="AI46" s="343"/>
      <c r="AJ46" s="343"/>
      <c r="AK46" s="343"/>
    </row>
    <row r="47" spans="1:37" ht="12.75" customHeight="1" x14ac:dyDescent="0.25">
      <c r="A47" s="694"/>
      <c r="B47" s="284"/>
      <c r="C47" s="284"/>
      <c r="D47" s="284"/>
      <c r="E47" s="2459" t="str">
        <f>Translations!$B$223</f>
        <v>Моля въведете „невярно“, ако за Вашата инсталация не се прилага агрегат за комбинирано производство на топлинна и електрическа енергия. Ако това е така, целият инструмент не е приложим и ще бъде защрихован в сиво.</v>
      </c>
      <c r="F47" s="2460"/>
      <c r="G47" s="2460"/>
      <c r="H47" s="2460"/>
      <c r="I47" s="2460"/>
      <c r="J47" s="2460"/>
      <c r="K47" s="2460"/>
      <c r="L47" s="2460"/>
      <c r="M47" s="2460"/>
      <c r="N47" s="2460"/>
      <c r="O47" s="336"/>
      <c r="P47" s="302"/>
      <c r="Q47" s="770"/>
      <c r="R47" s="694"/>
      <c r="S47" s="694"/>
      <c r="T47" s="694"/>
      <c r="U47" s="694"/>
      <c r="V47" s="694"/>
      <c r="W47" s="694"/>
      <c r="X47" s="694"/>
      <c r="Y47" s="694"/>
      <c r="Z47" s="343"/>
      <c r="AA47" s="343"/>
      <c r="AB47" s="343"/>
      <c r="AC47" s="343"/>
      <c r="AD47" s="343"/>
      <c r="AE47" s="343"/>
      <c r="AF47" s="343"/>
      <c r="AG47" s="343"/>
      <c r="AH47" s="343"/>
      <c r="AI47" s="343"/>
      <c r="AJ47" s="343"/>
      <c r="AK47" s="343"/>
    </row>
    <row r="48" spans="1:37" ht="25.5" customHeight="1" x14ac:dyDescent="0.25">
      <c r="A48" s="694"/>
      <c r="B48" s="284"/>
      <c r="C48" s="284"/>
      <c r="D48" s="284"/>
      <c r="E48" s="2459" t="str">
        <f>Translations!$B$224</f>
        <v>Моля, имайте предвид, че емисиите, свързани с получена топлинна енергия, също могат да са приложими при определени подинсталации. Когато тази получена топлинна енергия е произведена от агрегати за комбинирано производство на топлинна и електрическа енергия в други инсталации, този инструмент също може да е необходим, ако е известна и друга информация за съответните данни от доставчика.</v>
      </c>
      <c r="F48" s="2460"/>
      <c r="G48" s="2460"/>
      <c r="H48" s="2460"/>
      <c r="I48" s="2460"/>
      <c r="J48" s="2460"/>
      <c r="K48" s="2460"/>
      <c r="L48" s="2460"/>
      <c r="M48" s="2460"/>
      <c r="N48" s="2460"/>
      <c r="O48" s="336"/>
      <c r="P48" s="302"/>
      <c r="Q48" s="770"/>
      <c r="R48" s="694"/>
      <c r="S48" s="694"/>
      <c r="T48" s="694"/>
      <c r="U48" s="694"/>
      <c r="V48" s="694"/>
      <c r="W48" s="694"/>
      <c r="X48" s="694"/>
      <c r="Y48" s="694"/>
      <c r="Z48" s="343"/>
      <c r="AA48" s="343"/>
      <c r="AB48" s="343"/>
      <c r="AC48" s="343"/>
      <c r="AD48" s="343"/>
      <c r="AE48" s="343"/>
      <c r="AF48" s="343"/>
      <c r="AG48" s="343"/>
      <c r="AH48" s="343"/>
      <c r="AI48" s="343"/>
      <c r="AJ48" s="343"/>
      <c r="AK48" s="343"/>
    </row>
    <row r="49" spans="1:37" ht="12.75" customHeight="1" x14ac:dyDescent="0.25">
      <c r="A49" s="694"/>
      <c r="B49" s="284"/>
      <c r="C49" s="284"/>
      <c r="D49" s="302"/>
      <c r="E49" s="2358" t="str">
        <f>Translations!$B$225</f>
        <v>В настоящия образец този инструмент се използва в два случая, като и в двата случая той трябва да се използва за по един агрегат. Ако се докладват данни за два агрегата, за съответната информация може да се използва отделен образец.</v>
      </c>
      <c r="F49" s="2249"/>
      <c r="G49" s="2249"/>
      <c r="H49" s="2249"/>
      <c r="I49" s="2249"/>
      <c r="J49" s="2249"/>
      <c r="K49" s="2249"/>
      <c r="L49" s="2249"/>
      <c r="M49" s="2249"/>
      <c r="N49" s="2249"/>
      <c r="O49" s="336"/>
      <c r="P49" s="302"/>
      <c r="Q49" s="770"/>
      <c r="R49" s="694"/>
      <c r="S49" s="694"/>
      <c r="T49" s="694"/>
      <c r="U49" s="694"/>
      <c r="V49" s="694"/>
      <c r="W49" s="694"/>
      <c r="X49" s="694"/>
      <c r="Y49" s="694"/>
      <c r="Z49" s="343"/>
      <c r="AA49" s="343"/>
      <c r="AB49" s="343"/>
      <c r="AC49" s="343"/>
      <c r="AD49" s="343"/>
      <c r="AE49" s="343"/>
      <c r="AF49" s="343"/>
      <c r="AG49" s="343"/>
      <c r="AH49" s="343"/>
      <c r="AI49" s="343"/>
      <c r="AJ49" s="343"/>
      <c r="AK49" s="343"/>
    </row>
    <row r="50" spans="1:37" ht="25.5" customHeight="1" x14ac:dyDescent="0.25">
      <c r="A50" s="694"/>
      <c r="B50" s="284"/>
      <c r="C50" s="284"/>
      <c r="D50" s="302"/>
      <c r="E50" s="2358" t="str">
        <f>Translations!$B$226</f>
        <v>Изключват се периодите, през които агрегатът за КПТЕ е работил в режим за производство само на топлинна енергия или само на електроенергия (т.е. периоди, през които е произвеждал само единия от двата продукта), като разпределението на горивата и емисиите се изчислява отделно съгласно разпоредбите на раздели 10.1.2 и 10.1.3 от приложение VII.</v>
      </c>
      <c r="F50" s="2249"/>
      <c r="G50" s="2249"/>
      <c r="H50" s="2249"/>
      <c r="I50" s="2249"/>
      <c r="J50" s="2249"/>
      <c r="K50" s="2249"/>
      <c r="L50" s="2249"/>
      <c r="M50" s="2249"/>
      <c r="N50" s="2249"/>
      <c r="O50" s="336"/>
      <c r="P50" s="302"/>
      <c r="Q50" s="770"/>
      <c r="R50" s="694"/>
      <c r="S50" s="694"/>
      <c r="T50" s="694"/>
      <c r="U50" s="694"/>
      <c r="V50" s="694"/>
      <c r="W50" s="694"/>
      <c r="X50" s="694"/>
      <c r="Y50" s="694"/>
      <c r="Z50" s="343"/>
      <c r="AA50" s="343"/>
      <c r="AB50" s="343"/>
      <c r="AC50" s="343"/>
      <c r="AD50" s="343"/>
      <c r="AE50" s="343"/>
      <c r="AF50" s="343"/>
      <c r="AG50" s="343"/>
      <c r="AH50" s="343"/>
      <c r="AI50" s="343"/>
      <c r="AJ50" s="343"/>
      <c r="AK50" s="343"/>
    </row>
    <row r="51" spans="1:37" ht="5.15" customHeight="1" x14ac:dyDescent="0.25">
      <c r="A51" s="694"/>
      <c r="B51" s="284"/>
      <c r="C51" s="284"/>
      <c r="D51" s="284"/>
      <c r="E51" s="284"/>
      <c r="F51" s="284"/>
      <c r="G51" s="284"/>
      <c r="H51" s="284"/>
      <c r="I51" s="284"/>
      <c r="J51" s="284"/>
      <c r="K51" s="284"/>
      <c r="L51" s="284"/>
      <c r="M51" s="336"/>
      <c r="N51" s="336"/>
      <c r="O51" s="336"/>
      <c r="P51" s="302"/>
      <c r="Q51" s="770"/>
      <c r="R51" s="694"/>
      <c r="S51" s="694"/>
      <c r="T51" s="694"/>
      <c r="U51" s="694"/>
      <c r="V51" s="694"/>
      <c r="W51" s="694"/>
      <c r="X51" s="694"/>
      <c r="Y51" s="694"/>
      <c r="Z51" s="343"/>
      <c r="AA51" s="343"/>
      <c r="AB51" s="343"/>
      <c r="AC51" s="343"/>
      <c r="AD51" s="343"/>
      <c r="AE51" s="343"/>
      <c r="AF51" s="343"/>
      <c r="AG51" s="343"/>
      <c r="AH51" s="343"/>
      <c r="AI51" s="343"/>
      <c r="AJ51" s="343"/>
      <c r="AK51" s="343"/>
    </row>
    <row r="52" spans="1:37" ht="14" x14ac:dyDescent="0.3">
      <c r="A52" s="694"/>
      <c r="B52" s="284"/>
      <c r="C52" s="357">
        <v>1</v>
      </c>
      <c r="D52" s="2323" t="str">
        <f>Translations!$B$227</f>
        <v>Инструмент за изчисление на емисиите, свързани с производството на топлинна енергия в агрегати за комбинирано производство на топлинна и електрическа енергия (агрегат за КПТЕ)</v>
      </c>
      <c r="E52" s="2249"/>
      <c r="F52" s="2249"/>
      <c r="G52" s="2249"/>
      <c r="H52" s="2249"/>
      <c r="I52" s="2249"/>
      <c r="J52" s="2249"/>
      <c r="K52" s="2249"/>
      <c r="L52" s="2249"/>
      <c r="M52" s="2249"/>
      <c r="N52" s="2249"/>
      <c r="O52" s="336"/>
      <c r="P52" s="302"/>
      <c r="Q52" s="770"/>
      <c r="R52" s="694"/>
      <c r="S52" s="694"/>
      <c r="T52" s="694"/>
      <c r="U52" s="694"/>
      <c r="V52" s="694"/>
      <c r="W52" s="694"/>
      <c r="X52" s="694"/>
      <c r="Y52" s="694"/>
      <c r="Z52" s="343"/>
      <c r="AA52" s="343"/>
      <c r="AB52" s="343"/>
      <c r="AC52" s="343"/>
      <c r="AD52" s="343"/>
      <c r="AE52" s="343"/>
      <c r="AF52" s="343"/>
      <c r="AG52" s="343"/>
      <c r="AH52" s="343"/>
      <c r="AI52" s="343"/>
      <c r="AJ52" s="343"/>
      <c r="AK52" s="343"/>
    </row>
    <row r="53" spans="1:37" ht="5.15" customHeight="1" x14ac:dyDescent="0.25">
      <c r="A53" s="694"/>
      <c r="B53" s="284"/>
      <c r="C53" s="284"/>
      <c r="D53" s="284"/>
      <c r="E53" s="284"/>
      <c r="F53" s="284"/>
      <c r="G53" s="284"/>
      <c r="H53" s="284"/>
      <c r="I53" s="284"/>
      <c r="J53" s="284"/>
      <c r="K53" s="284"/>
      <c r="L53" s="284"/>
      <c r="M53" s="336"/>
      <c r="N53" s="336"/>
      <c r="O53" s="336"/>
      <c r="P53" s="302"/>
      <c r="Q53" s="770"/>
      <c r="R53" s="694"/>
      <c r="S53" s="694"/>
      <c r="T53" s="694"/>
      <c r="U53" s="694"/>
      <c r="V53" s="694"/>
      <c r="W53" s="694"/>
      <c r="X53" s="694"/>
      <c r="Y53" s="694"/>
      <c r="Z53" s="343"/>
      <c r="AA53" s="343"/>
      <c r="AB53" s="343"/>
      <c r="AC53" s="343"/>
      <c r="AD53" s="343"/>
      <c r="AE53" s="343"/>
      <c r="AF53" s="343"/>
      <c r="AG53" s="343"/>
      <c r="AH53" s="343"/>
      <c r="AI53" s="343"/>
      <c r="AJ53" s="343"/>
      <c r="AK53" s="343"/>
    </row>
    <row r="54" spans="1:37" ht="13" x14ac:dyDescent="0.25">
      <c r="A54" s="694"/>
      <c r="B54" s="284"/>
      <c r="C54" s="284"/>
      <c r="D54" s="300" t="s">
        <v>408</v>
      </c>
      <c r="E54" s="2226" t="str">
        <f>Translations!$B$228</f>
        <v>Общо количество вложено гориво в агрегати за КПТЕ</v>
      </c>
      <c r="F54" s="2249"/>
      <c r="G54" s="2249"/>
      <c r="H54" s="2249"/>
      <c r="I54" s="2249"/>
      <c r="J54" s="2249"/>
      <c r="K54" s="2249"/>
      <c r="L54" s="2249"/>
      <c r="M54" s="2249"/>
      <c r="N54" s="2249"/>
      <c r="O54" s="336"/>
      <c r="P54" s="302"/>
      <c r="Q54" s="770"/>
      <c r="R54" s="694"/>
      <c r="S54" s="694"/>
      <c r="T54" s="694"/>
      <c r="U54" s="694"/>
      <c r="V54" s="694"/>
      <c r="W54" s="694"/>
      <c r="X54" s="694"/>
      <c r="Y54" s="694"/>
      <c r="Z54" s="343"/>
      <c r="AA54" s="343"/>
      <c r="AB54" s="343"/>
      <c r="AC54" s="343"/>
      <c r="AD54" s="343"/>
      <c r="AE54" s="343"/>
      <c r="AF54" s="343"/>
      <c r="AG54" s="343"/>
      <c r="AH54" s="343"/>
      <c r="AI54" s="343"/>
      <c r="AJ54" s="343"/>
      <c r="AK54" s="343"/>
    </row>
    <row r="55" spans="1:37" x14ac:dyDescent="0.25">
      <c r="A55" s="694"/>
      <c r="B55" s="284"/>
      <c r="C55" s="284"/>
      <c r="D55" s="302"/>
      <c r="E55" s="2358" t="str">
        <f>Translations!$B$229</f>
        <v>Моля, тук въведете общото годишно количество гориво, вложено в агрегати за КПТЕ.</v>
      </c>
      <c r="F55" s="2249"/>
      <c r="G55" s="2249"/>
      <c r="H55" s="2249"/>
      <c r="I55" s="2249"/>
      <c r="J55" s="2249"/>
      <c r="K55" s="2249"/>
      <c r="L55" s="2249"/>
      <c r="M55" s="2249"/>
      <c r="N55" s="2249"/>
      <c r="O55" s="336"/>
      <c r="P55" s="302"/>
      <c r="Q55" s="770"/>
      <c r="R55" s="694"/>
      <c r="S55" s="694"/>
      <c r="T55" s="694"/>
      <c r="U55" s="694"/>
      <c r="V55" s="694"/>
      <c r="W55" s="694"/>
      <c r="X55" s="694"/>
      <c r="Y55" s="694"/>
      <c r="Z55" s="343"/>
      <c r="AA55" s="343"/>
      <c r="AB55" s="343"/>
      <c r="AC55" s="343"/>
      <c r="AD55" s="343"/>
      <c r="AE55" s="343"/>
      <c r="AF55" s="343"/>
      <c r="AG55" s="343"/>
      <c r="AH55" s="343"/>
      <c r="AI55" s="343"/>
      <c r="AJ55" s="343"/>
      <c r="AK55" s="343"/>
    </row>
    <row r="56" spans="1:37" ht="13.5" thickBot="1" x14ac:dyDescent="0.3">
      <c r="A56" s="694"/>
      <c r="B56" s="698"/>
      <c r="C56" s="698"/>
      <c r="D56" s="698"/>
      <c r="E56" s="1013"/>
      <c r="F56" s="1015"/>
      <c r="G56" s="390" t="str">
        <f>EUconst_Unit</f>
        <v>Единица мярка</v>
      </c>
      <c r="H56" s="391">
        <f t="shared" ref="H56:N56" si="13">H$278</f>
        <v>2024</v>
      </c>
      <c r="I56" s="391">
        <f t="shared" si="13"/>
        <v>2025</v>
      </c>
      <c r="J56" s="391">
        <f t="shared" si="13"/>
        <v>2026</v>
      </c>
      <c r="K56" s="391">
        <f t="shared" si="13"/>
        <v>2027</v>
      </c>
      <c r="L56" s="391">
        <f t="shared" si="13"/>
        <v>2028</v>
      </c>
      <c r="M56" s="391">
        <f t="shared" si="13"/>
        <v>2029</v>
      </c>
      <c r="N56" s="391">
        <f t="shared" si="13"/>
        <v>2030</v>
      </c>
      <c r="O56" s="336"/>
      <c r="P56" s="302"/>
      <c r="Q56" s="694"/>
      <c r="R56" s="694"/>
      <c r="S56" s="694"/>
      <c r="T56" s="694"/>
      <c r="U56" s="694"/>
      <c r="V56" s="694"/>
      <c r="W56" s="694"/>
      <c r="X56" s="694"/>
      <c r="Y56" s="729" t="s">
        <v>1148</v>
      </c>
      <c r="Z56" s="343"/>
      <c r="AA56" s="343"/>
      <c r="AB56" s="343"/>
      <c r="AC56" s="343"/>
      <c r="AD56" s="343"/>
      <c r="AE56" s="343"/>
      <c r="AF56" s="343"/>
      <c r="AG56" s="343"/>
      <c r="AH56" s="343"/>
      <c r="AI56" s="343"/>
      <c r="AJ56" s="343"/>
      <c r="AK56" s="343"/>
    </row>
    <row r="57" spans="1:37" ht="12.65" customHeight="1" x14ac:dyDescent="0.25">
      <c r="A57" s="694"/>
      <c r="B57" s="698"/>
      <c r="C57" s="698"/>
      <c r="D57" s="698"/>
      <c r="E57" s="2687" t="str">
        <f>Translations!$B$230</f>
        <v>Гориво, вложено в КПТЕ</v>
      </c>
      <c r="F57" s="2258"/>
      <c r="G57" s="1016" t="str">
        <f>EUconst_TJpa</f>
        <v>TJ / година</v>
      </c>
      <c r="H57" s="39"/>
      <c r="I57" s="39"/>
      <c r="J57" s="39"/>
      <c r="K57" s="39"/>
      <c r="L57" s="39"/>
      <c r="M57" s="39"/>
      <c r="N57" s="39"/>
      <c r="O57" s="336"/>
      <c r="P57" s="158"/>
      <c r="Q57" s="770"/>
      <c r="R57" s="694"/>
      <c r="S57" s="694"/>
      <c r="T57" s="694"/>
      <c r="U57" s="694"/>
      <c r="V57" s="694"/>
      <c r="W57" s="694"/>
      <c r="X57" s="694"/>
      <c r="Y57" s="1017" t="b">
        <f>AND(M45&lt;&gt;"",M45=FALSE)</f>
        <v>0</v>
      </c>
      <c r="Z57" s="343"/>
      <c r="AA57" s="343"/>
      <c r="AB57" s="343"/>
      <c r="AC57" s="343"/>
      <c r="AD57" s="343"/>
      <c r="AE57" s="343"/>
      <c r="AF57" s="343"/>
      <c r="AG57" s="343"/>
      <c r="AH57" s="343"/>
      <c r="AI57" s="343"/>
      <c r="AJ57" s="732" t="s">
        <v>2039</v>
      </c>
      <c r="AK57" s="875" t="str">
        <f>IF(AND(CNTR_HasEntries_A_I,MSconst_RequireEmissionTotals,Y57=FALSE,COUNTIFS($AB$21:$AH$21,FALSE,H57:N57,"")&gt;0),3,"")</f>
        <v/>
      </c>
    </row>
    <row r="58" spans="1:37" ht="5.15" customHeight="1" x14ac:dyDescent="0.25">
      <c r="A58" s="694"/>
      <c r="B58" s="698"/>
      <c r="C58" s="698"/>
      <c r="D58" s="698"/>
      <c r="E58" s="698"/>
      <c r="F58" s="698"/>
      <c r="G58" s="698"/>
      <c r="H58" s="698"/>
      <c r="I58" s="698"/>
      <c r="J58" s="698"/>
      <c r="K58" s="698"/>
      <c r="L58" s="698"/>
      <c r="M58" s="698"/>
      <c r="N58" s="698"/>
      <c r="O58" s="336"/>
      <c r="P58" s="302"/>
      <c r="Q58" s="694"/>
      <c r="R58" s="694"/>
      <c r="S58" s="694"/>
      <c r="T58" s="694"/>
      <c r="U58" s="694"/>
      <c r="V58" s="694"/>
      <c r="W58" s="694"/>
      <c r="X58" s="694"/>
      <c r="Y58" s="1018"/>
      <c r="Z58" s="343"/>
      <c r="AA58" s="343"/>
      <c r="AB58" s="343"/>
      <c r="AC58" s="343"/>
      <c r="AD58" s="343"/>
      <c r="AE58" s="343"/>
      <c r="AF58" s="343"/>
      <c r="AG58" s="343"/>
      <c r="AH58" s="343"/>
      <c r="AI58" s="343"/>
      <c r="AJ58" s="343"/>
      <c r="AK58" s="343"/>
    </row>
    <row r="59" spans="1:37" ht="13" customHeight="1" x14ac:dyDescent="0.25">
      <c r="A59" s="694"/>
      <c r="B59" s="284"/>
      <c r="C59" s="284"/>
      <c r="D59" s="300" t="s">
        <v>901</v>
      </c>
      <c r="E59" s="2463" t="str">
        <f>Translations!$B$231</f>
        <v>Изходяща топлинна енергия от КПТЕ</v>
      </c>
      <c r="F59" s="2463"/>
      <c r="G59" s="2463"/>
      <c r="H59" s="2463"/>
      <c r="I59" s="2463"/>
      <c r="J59" s="2463"/>
      <c r="K59" s="2463"/>
      <c r="L59" s="2463"/>
      <c r="M59" s="2463"/>
      <c r="N59" s="2463"/>
      <c r="O59" s="336"/>
      <c r="P59" s="302"/>
      <c r="Q59" s="770"/>
      <c r="R59" s="694"/>
      <c r="S59" s="694"/>
      <c r="T59" s="694"/>
      <c r="U59" s="694"/>
      <c r="V59" s="694"/>
      <c r="W59" s="694"/>
      <c r="X59" s="694"/>
      <c r="Y59" s="1018"/>
      <c r="Z59" s="343"/>
      <c r="AA59" s="343"/>
      <c r="AB59" s="343"/>
      <c r="AC59" s="343"/>
      <c r="AD59" s="343"/>
      <c r="AE59" s="343"/>
      <c r="AF59" s="343"/>
      <c r="AG59" s="343"/>
      <c r="AH59" s="343"/>
      <c r="AI59" s="343"/>
      <c r="AJ59" s="343"/>
      <c r="AK59" s="343"/>
    </row>
    <row r="60" spans="1:37" ht="12.65" customHeight="1" x14ac:dyDescent="0.25">
      <c r="A60" s="694"/>
      <c r="B60" s="284"/>
      <c r="C60" s="284"/>
      <c r="D60" s="302"/>
      <c r="E60" s="2293" t="str">
        <f>Translations!$B$1303</f>
        <v>Това е общото нетно количество топлинна енергия, произведена от агрегати за КПЕ.</v>
      </c>
      <c r="F60" s="2240"/>
      <c r="G60" s="2240"/>
      <c r="H60" s="2240"/>
      <c r="I60" s="2240"/>
      <c r="J60" s="2240"/>
      <c r="K60" s="2240"/>
      <c r="L60" s="2240"/>
      <c r="M60" s="2240"/>
      <c r="N60" s="2240"/>
      <c r="O60" s="336"/>
      <c r="P60" s="302"/>
      <c r="Q60" s="770"/>
      <c r="R60" s="694"/>
      <c r="S60" s="694"/>
      <c r="T60" s="694"/>
      <c r="U60" s="694"/>
      <c r="V60" s="694"/>
      <c r="W60" s="694"/>
      <c r="X60" s="694"/>
      <c r="Y60" s="1018"/>
      <c r="Z60" s="343"/>
      <c r="AA60" s="343"/>
      <c r="AB60" s="343"/>
      <c r="AC60" s="343"/>
      <c r="AD60" s="343"/>
      <c r="AE60" s="343"/>
      <c r="AF60" s="343"/>
      <c r="AG60" s="343"/>
      <c r="AH60" s="343"/>
      <c r="AI60" s="343"/>
      <c r="AJ60" s="343"/>
      <c r="AK60" s="343"/>
    </row>
    <row r="61" spans="1:37" ht="13" x14ac:dyDescent="0.25">
      <c r="A61" s="694"/>
      <c r="B61" s="284"/>
      <c r="C61" s="284"/>
      <c r="D61" s="302"/>
      <c r="E61" s="1013"/>
      <c r="F61" s="1015"/>
      <c r="G61" s="390" t="str">
        <f>EUconst_Unit</f>
        <v>Единица мярка</v>
      </c>
      <c r="H61" s="391">
        <f t="shared" ref="H61:N61" si="14">H$278</f>
        <v>2024</v>
      </c>
      <c r="I61" s="391">
        <f t="shared" si="14"/>
        <v>2025</v>
      </c>
      <c r="J61" s="391">
        <f t="shared" si="14"/>
        <v>2026</v>
      </c>
      <c r="K61" s="391">
        <f t="shared" si="14"/>
        <v>2027</v>
      </c>
      <c r="L61" s="391">
        <f t="shared" si="14"/>
        <v>2028</v>
      </c>
      <c r="M61" s="391">
        <f t="shared" si="14"/>
        <v>2029</v>
      </c>
      <c r="N61" s="391">
        <f t="shared" si="14"/>
        <v>2030</v>
      </c>
      <c r="O61" s="336"/>
      <c r="P61" s="302"/>
      <c r="Q61" s="770"/>
      <c r="R61" s="694"/>
      <c r="S61" s="694"/>
      <c r="T61" s="694"/>
      <c r="U61" s="694"/>
      <c r="V61" s="694"/>
      <c r="W61" s="694"/>
      <c r="X61" s="694"/>
      <c r="Y61" s="1018"/>
      <c r="Z61" s="343"/>
      <c r="AA61" s="343"/>
      <c r="AB61" s="343"/>
      <c r="AC61" s="343"/>
      <c r="AD61" s="343"/>
      <c r="AE61" s="343"/>
      <c r="AF61" s="343"/>
      <c r="AG61" s="343"/>
      <c r="AH61" s="343"/>
      <c r="AI61" s="343"/>
      <c r="AJ61" s="343"/>
      <c r="AK61" s="343"/>
    </row>
    <row r="62" spans="1:37" ht="12.65" customHeight="1" x14ac:dyDescent="0.25">
      <c r="A62" s="694"/>
      <c r="B62" s="698"/>
      <c r="C62" s="698"/>
      <c r="D62" s="698"/>
      <c r="E62" s="2687" t="str">
        <f>Translations!$B$231</f>
        <v>Изходяща топлинна енергия от КПТЕ</v>
      </c>
      <c r="F62" s="2258"/>
      <c r="G62" s="1016" t="str">
        <f>EUconst_TJpa</f>
        <v>TJ / година</v>
      </c>
      <c r="H62" s="39"/>
      <c r="I62" s="39"/>
      <c r="J62" s="39"/>
      <c r="K62" s="39"/>
      <c r="L62" s="39"/>
      <c r="M62" s="39"/>
      <c r="N62" s="39"/>
      <c r="O62" s="336"/>
      <c r="P62" s="158"/>
      <c r="Q62" s="694"/>
      <c r="R62" s="694"/>
      <c r="S62" s="694"/>
      <c r="T62" s="694"/>
      <c r="U62" s="694"/>
      <c r="V62" s="694"/>
      <c r="W62" s="694"/>
      <c r="X62" s="694"/>
      <c r="Y62" s="1019" t="b">
        <f>Y57</f>
        <v>0</v>
      </c>
      <c r="Z62" s="343"/>
      <c r="AA62" s="343"/>
      <c r="AB62" s="343"/>
      <c r="AC62" s="343"/>
      <c r="AD62" s="343"/>
      <c r="AE62" s="343"/>
      <c r="AF62" s="343"/>
      <c r="AG62" s="343"/>
      <c r="AH62" s="343"/>
      <c r="AI62" s="343"/>
      <c r="AJ62" s="732" t="s">
        <v>2039</v>
      </c>
      <c r="AK62" s="875" t="str">
        <f>IF(AND(CNTR_HasEntries_A_I,MSconst_RequireEmissionTotals,Y62=FALSE,COUNTIFS($AB$21:$AH$21,FALSE,H62:N62,"")&gt;0),3,"")</f>
        <v/>
      </c>
    </row>
    <row r="63" spans="1:37" ht="5.15" customHeight="1" x14ac:dyDescent="0.25">
      <c r="A63" s="694"/>
      <c r="B63" s="698"/>
      <c r="C63" s="698"/>
      <c r="D63" s="698"/>
      <c r="E63" s="698"/>
      <c r="F63" s="698"/>
      <c r="G63" s="698"/>
      <c r="H63" s="698"/>
      <c r="I63" s="698"/>
      <c r="J63" s="698"/>
      <c r="K63" s="698"/>
      <c r="L63" s="698"/>
      <c r="M63" s="698"/>
      <c r="N63" s="698"/>
      <c r="O63" s="336"/>
      <c r="P63" s="302"/>
      <c r="Q63" s="694"/>
      <c r="R63" s="694"/>
      <c r="S63" s="694"/>
      <c r="T63" s="694"/>
      <c r="U63" s="694"/>
      <c r="V63" s="694"/>
      <c r="W63" s="694"/>
      <c r="X63" s="694"/>
      <c r="Y63" s="1018"/>
      <c r="Z63" s="343"/>
      <c r="AA63" s="343"/>
      <c r="AB63" s="343"/>
      <c r="AC63" s="343"/>
      <c r="AD63" s="343"/>
      <c r="AE63" s="343"/>
      <c r="AF63" s="343"/>
      <c r="AG63" s="343"/>
      <c r="AH63" s="343"/>
      <c r="AI63" s="343"/>
      <c r="AJ63" s="343"/>
      <c r="AK63" s="343"/>
    </row>
    <row r="64" spans="1:37" ht="13" customHeight="1" x14ac:dyDescent="0.25">
      <c r="A64" s="694"/>
      <c r="B64" s="284"/>
      <c r="C64" s="284"/>
      <c r="D64" s="300" t="s">
        <v>46</v>
      </c>
      <c r="E64" s="2463" t="str">
        <f>Translations!$B$232</f>
        <v>Изходяща електроенергия от КПТЕ</v>
      </c>
      <c r="F64" s="2240"/>
      <c r="G64" s="2240"/>
      <c r="H64" s="2240"/>
      <c r="I64" s="2240"/>
      <c r="J64" s="2240"/>
      <c r="K64" s="2240"/>
      <c r="L64" s="2240"/>
      <c r="M64" s="2240"/>
      <c r="N64" s="2240"/>
      <c r="O64" s="336"/>
      <c r="P64" s="302"/>
      <c r="Q64" s="770"/>
      <c r="R64" s="694"/>
      <c r="S64" s="694"/>
      <c r="T64" s="694"/>
      <c r="U64" s="694"/>
      <c r="V64" s="694"/>
      <c r="W64" s="694"/>
      <c r="X64" s="694"/>
      <c r="Y64" s="1018"/>
      <c r="Z64" s="343"/>
      <c r="AA64" s="343"/>
      <c r="AB64" s="343"/>
      <c r="AC64" s="343"/>
      <c r="AD64" s="343"/>
      <c r="AE64" s="343"/>
      <c r="AF64" s="343"/>
      <c r="AG64" s="343"/>
      <c r="AH64" s="343"/>
      <c r="AI64" s="343"/>
      <c r="AJ64" s="343"/>
      <c r="AK64" s="343"/>
    </row>
    <row r="65" spans="1:37" ht="12.75" customHeight="1" x14ac:dyDescent="0.25">
      <c r="A65" s="694"/>
      <c r="B65" s="284"/>
      <c r="C65" s="284"/>
      <c r="D65" s="302"/>
      <c r="E65" s="2293" t="str">
        <f>Translations!$B$1304</f>
        <v>Това е общото нетно количество електроенергия (или механична енергия според случая), произведена от агрегати за КПЕ.</v>
      </c>
      <c r="F65" s="2240"/>
      <c r="G65" s="2240"/>
      <c r="H65" s="2240"/>
      <c r="I65" s="2240"/>
      <c r="J65" s="2240"/>
      <c r="K65" s="2240"/>
      <c r="L65" s="2240"/>
      <c r="M65" s="2240"/>
      <c r="N65" s="2240"/>
      <c r="O65" s="336"/>
      <c r="P65" s="302"/>
      <c r="Q65" s="770"/>
      <c r="R65" s="694"/>
      <c r="S65" s="694"/>
      <c r="T65" s="694"/>
      <c r="U65" s="694"/>
      <c r="V65" s="694"/>
      <c r="W65" s="694"/>
      <c r="X65" s="694"/>
      <c r="Y65" s="1018"/>
      <c r="Z65" s="343"/>
      <c r="AA65" s="343"/>
      <c r="AB65" s="343"/>
      <c r="AC65" s="343"/>
      <c r="AD65" s="343"/>
      <c r="AE65" s="343"/>
      <c r="AF65" s="343"/>
      <c r="AG65" s="343"/>
      <c r="AH65" s="343"/>
      <c r="AI65" s="343"/>
      <c r="AJ65" s="343"/>
      <c r="AK65" s="343"/>
    </row>
    <row r="66" spans="1:37" ht="13" x14ac:dyDescent="0.25">
      <c r="A66" s="694"/>
      <c r="B66" s="284"/>
      <c r="C66" s="284"/>
      <c r="D66" s="302"/>
      <c r="E66" s="1013"/>
      <c r="F66" s="1015"/>
      <c r="G66" s="390" t="str">
        <f>EUconst_Unit</f>
        <v>Единица мярка</v>
      </c>
      <c r="H66" s="391">
        <f t="shared" ref="H66:N66" si="15">H$278</f>
        <v>2024</v>
      </c>
      <c r="I66" s="391">
        <f t="shared" si="15"/>
        <v>2025</v>
      </c>
      <c r="J66" s="391">
        <f t="shared" si="15"/>
        <v>2026</v>
      </c>
      <c r="K66" s="391">
        <f t="shared" si="15"/>
        <v>2027</v>
      </c>
      <c r="L66" s="391">
        <f t="shared" si="15"/>
        <v>2028</v>
      </c>
      <c r="M66" s="391">
        <f t="shared" si="15"/>
        <v>2029</v>
      </c>
      <c r="N66" s="391">
        <f t="shared" si="15"/>
        <v>2030</v>
      </c>
      <c r="O66" s="336"/>
      <c r="P66" s="302"/>
      <c r="Q66" s="770"/>
      <c r="R66" s="694"/>
      <c r="S66" s="694"/>
      <c r="T66" s="694"/>
      <c r="U66" s="694"/>
      <c r="V66" s="694"/>
      <c r="W66" s="694"/>
      <c r="X66" s="694"/>
      <c r="Y66" s="1018"/>
      <c r="Z66" s="343"/>
      <c r="AA66" s="343"/>
      <c r="AB66" s="343"/>
      <c r="AC66" s="343"/>
      <c r="AD66" s="343"/>
      <c r="AE66" s="343"/>
      <c r="AF66" s="343"/>
      <c r="AG66" s="343"/>
      <c r="AH66" s="343"/>
      <c r="AI66" s="343"/>
      <c r="AJ66" s="343"/>
      <c r="AK66" s="343"/>
    </row>
    <row r="67" spans="1:37" ht="12.65" customHeight="1" x14ac:dyDescent="0.25">
      <c r="A67" s="694"/>
      <c r="B67" s="284"/>
      <c r="C67" s="284"/>
      <c r="D67" s="302"/>
      <c r="E67" s="2687" t="str">
        <f>Translations!$B$233</f>
        <v>Изходяща електроенергия от КПТЕ</v>
      </c>
      <c r="F67" s="2258"/>
      <c r="G67" s="1016" t="str">
        <f>EUconst_MWhpa</f>
        <v>MWh / година</v>
      </c>
      <c r="H67" s="39"/>
      <c r="I67" s="39"/>
      <c r="J67" s="39"/>
      <c r="K67" s="39"/>
      <c r="L67" s="39"/>
      <c r="M67" s="39"/>
      <c r="N67" s="39"/>
      <c r="O67" s="336"/>
      <c r="P67" s="158"/>
      <c r="Q67" s="770"/>
      <c r="R67" s="694"/>
      <c r="S67" s="694"/>
      <c r="T67" s="694"/>
      <c r="U67" s="694"/>
      <c r="V67" s="694"/>
      <c r="W67" s="694"/>
      <c r="X67" s="694"/>
      <c r="Y67" s="1019" t="b">
        <f>Y62</f>
        <v>0</v>
      </c>
      <c r="Z67" s="343"/>
      <c r="AA67" s="343"/>
      <c r="AB67" s="343"/>
      <c r="AC67" s="343"/>
      <c r="AD67" s="343"/>
      <c r="AE67" s="343"/>
      <c r="AF67" s="343"/>
      <c r="AG67" s="343"/>
      <c r="AH67" s="343"/>
      <c r="AI67" s="343"/>
      <c r="AJ67" s="732" t="s">
        <v>2039</v>
      </c>
      <c r="AK67" s="875" t="str">
        <f>IF(AND(CNTR_HasEntries_A_I,MSconst_RequireEmissionTotals,Y67=FALSE,COUNTIFS($AB$21:$AH$21,FALSE,H67:N67,"")&gt;0),3,"")</f>
        <v/>
      </c>
    </row>
    <row r="68" spans="1:37" ht="12.65" customHeight="1" x14ac:dyDescent="0.25">
      <c r="A68" s="694"/>
      <c r="B68" s="698"/>
      <c r="C68" s="698"/>
      <c r="D68" s="698"/>
      <c r="E68" s="2687" t="str">
        <f>Translations!$B$233</f>
        <v>Изходяща електроенергия от КПТЕ</v>
      </c>
      <c r="F68" s="2258"/>
      <c r="G68" s="1016" t="str">
        <f>EUconst_TJpa</f>
        <v>TJ / година</v>
      </c>
      <c r="H68" s="1020" t="str">
        <f t="shared" ref="H68:N68" si="16">IF(ISBLANK(H67),"",H67*3.6/1000)</f>
        <v/>
      </c>
      <c r="I68" s="1020" t="str">
        <f t="shared" si="16"/>
        <v/>
      </c>
      <c r="J68" s="1020" t="str">
        <f t="shared" si="16"/>
        <v/>
      </c>
      <c r="K68" s="1020" t="str">
        <f t="shared" si="16"/>
        <v/>
      </c>
      <c r="L68" s="1020" t="str">
        <f t="shared" si="16"/>
        <v/>
      </c>
      <c r="M68" s="1020" t="str">
        <f t="shared" si="16"/>
        <v/>
      </c>
      <c r="N68" s="1020" t="str">
        <f t="shared" si="16"/>
        <v/>
      </c>
      <c r="O68" s="336"/>
      <c r="P68" s="302"/>
      <c r="Q68" s="694"/>
      <c r="R68" s="694"/>
      <c r="S68" s="694"/>
      <c r="T68" s="694"/>
      <c r="U68" s="694"/>
      <c r="V68" s="694"/>
      <c r="W68" s="694"/>
      <c r="X68" s="694"/>
      <c r="Y68" s="1019" t="b">
        <f>Y62</f>
        <v>0</v>
      </c>
      <c r="Z68" s="343"/>
      <c r="AA68" s="343"/>
      <c r="AB68" s="343"/>
      <c r="AC68" s="343"/>
      <c r="AD68" s="343"/>
      <c r="AE68" s="343"/>
      <c r="AF68" s="343"/>
      <c r="AG68" s="343"/>
      <c r="AH68" s="343"/>
      <c r="AI68" s="343"/>
      <c r="AJ68" s="732" t="s">
        <v>2039</v>
      </c>
      <c r="AK68" s="875" t="str">
        <f>IF(AND(CNTR_HasEntries_A_I,MSconst_RequireEmissionTotals,Y68=FALSE,COUNTIFS($AB$21:$AH$21,FALSE,H68:N68,"")&gt;0),3,"")</f>
        <v/>
      </c>
    </row>
    <row r="69" spans="1:37" ht="5.15" customHeight="1" x14ac:dyDescent="0.25">
      <c r="A69" s="694"/>
      <c r="B69" s="698"/>
      <c r="C69" s="698"/>
      <c r="D69" s="698"/>
      <c r="E69" s="698"/>
      <c r="F69" s="698"/>
      <c r="G69" s="698"/>
      <c r="H69" s="698"/>
      <c r="I69" s="698"/>
      <c r="J69" s="698"/>
      <c r="K69" s="698"/>
      <c r="L69" s="698"/>
      <c r="M69" s="698"/>
      <c r="N69" s="698"/>
      <c r="O69" s="336"/>
      <c r="P69" s="302"/>
      <c r="Q69" s="694"/>
      <c r="R69" s="694"/>
      <c r="S69" s="694"/>
      <c r="T69" s="694"/>
      <c r="U69" s="694"/>
      <c r="V69" s="694"/>
      <c r="W69" s="694"/>
      <c r="X69" s="694"/>
      <c r="Y69" s="1018"/>
      <c r="Z69" s="343"/>
      <c r="AA69" s="343"/>
      <c r="AB69" s="343"/>
      <c r="AC69" s="343"/>
      <c r="AD69" s="343"/>
      <c r="AE69" s="343"/>
      <c r="AF69" s="343"/>
      <c r="AG69" s="343"/>
      <c r="AH69" s="343"/>
      <c r="AI69" s="343"/>
      <c r="AJ69" s="343"/>
      <c r="AK69" s="343"/>
    </row>
    <row r="70" spans="1:37" ht="13" customHeight="1" x14ac:dyDescent="0.25">
      <c r="A70" s="694"/>
      <c r="B70" s="284"/>
      <c r="C70" s="284"/>
      <c r="D70" s="300" t="s">
        <v>906</v>
      </c>
      <c r="E70" s="2463" t="str">
        <f>Translations!$B$234</f>
        <v>Общо емисии от КПТЕ</v>
      </c>
      <c r="F70" s="2240"/>
      <c r="G70" s="2240"/>
      <c r="H70" s="2240"/>
      <c r="I70" s="2240"/>
      <c r="J70" s="2240"/>
      <c r="K70" s="2240"/>
      <c r="L70" s="2240"/>
      <c r="M70" s="2240"/>
      <c r="N70" s="2240"/>
      <c r="O70" s="336"/>
      <c r="P70" s="302"/>
      <c r="Q70" s="770"/>
      <c r="R70" s="694"/>
      <c r="S70" s="694"/>
      <c r="T70" s="694"/>
      <c r="U70" s="694"/>
      <c r="V70" s="694"/>
      <c r="W70" s="694"/>
      <c r="X70" s="694"/>
      <c r="Y70" s="1018"/>
      <c r="Z70" s="343"/>
      <c r="AA70" s="343"/>
      <c r="AB70" s="343"/>
      <c r="AC70" s="343"/>
      <c r="AD70" s="343"/>
      <c r="AE70" s="343"/>
      <c r="AF70" s="343"/>
      <c r="AG70" s="343"/>
      <c r="AH70" s="343"/>
      <c r="AI70" s="343"/>
      <c r="AJ70" s="343"/>
      <c r="AK70" s="343"/>
    </row>
    <row r="71" spans="1:37" ht="12.65" customHeight="1" x14ac:dyDescent="0.25">
      <c r="A71" s="694"/>
      <c r="B71" s="284"/>
      <c r="C71" s="284"/>
      <c r="D71" s="302"/>
      <c r="E71" s="2293" t="str">
        <f>Translations!$B$235</f>
        <v>В стойностите трябва да се разграничават емисиите от вложени горива и от очистване на димни газове.</v>
      </c>
      <c r="F71" s="2240"/>
      <c r="G71" s="2240"/>
      <c r="H71" s="2240"/>
      <c r="I71" s="2240"/>
      <c r="J71" s="2240"/>
      <c r="K71" s="2240"/>
      <c r="L71" s="2240"/>
      <c r="M71" s="2240"/>
      <c r="N71" s="2240"/>
      <c r="O71" s="336"/>
      <c r="P71" s="302"/>
      <c r="Q71" s="770"/>
      <c r="R71" s="694"/>
      <c r="S71" s="694"/>
      <c r="T71" s="694"/>
      <c r="U71" s="694"/>
      <c r="V71" s="694"/>
      <c r="W71" s="694"/>
      <c r="X71" s="694"/>
      <c r="Y71" s="1018"/>
      <c r="Z71" s="343"/>
      <c r="AA71" s="343"/>
      <c r="AB71" s="343"/>
      <c r="AC71" s="343"/>
      <c r="AD71" s="343"/>
      <c r="AE71" s="343"/>
      <c r="AF71" s="343"/>
      <c r="AG71" s="343"/>
      <c r="AH71" s="343"/>
      <c r="AI71" s="343"/>
      <c r="AJ71" s="343"/>
      <c r="AK71" s="343"/>
    </row>
    <row r="72" spans="1:37" ht="13" x14ac:dyDescent="0.25">
      <c r="A72" s="694"/>
      <c r="B72" s="284"/>
      <c r="C72" s="284"/>
      <c r="D72" s="302"/>
      <c r="E72" s="1013"/>
      <c r="F72" s="1015"/>
      <c r="G72" s="390" t="str">
        <f>EUconst_Unit</f>
        <v>Единица мярка</v>
      </c>
      <c r="H72" s="391">
        <f t="shared" ref="H72:N72" si="17">H$278</f>
        <v>2024</v>
      </c>
      <c r="I72" s="391">
        <f t="shared" si="17"/>
        <v>2025</v>
      </c>
      <c r="J72" s="391">
        <f t="shared" si="17"/>
        <v>2026</v>
      </c>
      <c r="K72" s="391">
        <f t="shared" si="17"/>
        <v>2027</v>
      </c>
      <c r="L72" s="391">
        <f t="shared" si="17"/>
        <v>2028</v>
      </c>
      <c r="M72" s="391">
        <f t="shared" si="17"/>
        <v>2029</v>
      </c>
      <c r="N72" s="391">
        <f t="shared" si="17"/>
        <v>2030</v>
      </c>
      <c r="O72" s="336"/>
      <c r="P72" s="302"/>
      <c r="Q72" s="770"/>
      <c r="R72" s="694"/>
      <c r="S72" s="694"/>
      <c r="T72" s="694"/>
      <c r="U72" s="694"/>
      <c r="V72" s="694"/>
      <c r="W72" s="694"/>
      <c r="X72" s="694"/>
      <c r="Y72" s="1018"/>
      <c r="Z72" s="343"/>
      <c r="AA72" s="343"/>
      <c r="AB72" s="343"/>
      <c r="AC72" s="343"/>
      <c r="AD72" s="343"/>
      <c r="AE72" s="343"/>
      <c r="AF72" s="343"/>
      <c r="AG72" s="343"/>
      <c r="AH72" s="343"/>
      <c r="AI72" s="343"/>
      <c r="AJ72" s="343"/>
      <c r="AK72" s="343"/>
    </row>
    <row r="73" spans="1:37" ht="12.65" customHeight="1" x14ac:dyDescent="0.25">
      <c r="A73" s="694"/>
      <c r="B73" s="698"/>
      <c r="C73" s="698"/>
      <c r="D73" s="698"/>
      <c r="E73" s="2687" t="str">
        <f>Translations!$B$236</f>
        <v>От горива, вложени в КПТЕ</v>
      </c>
      <c r="F73" s="2258"/>
      <c r="G73" s="1016" t="str">
        <f>EUconst_tCO2pa</f>
        <v>t CO2 / година</v>
      </c>
      <c r="H73" s="39"/>
      <c r="I73" s="39"/>
      <c r="J73" s="39"/>
      <c r="K73" s="39"/>
      <c r="L73" s="39"/>
      <c r="M73" s="39"/>
      <c r="N73" s="39"/>
      <c r="O73" s="336"/>
      <c r="P73" s="158"/>
      <c r="Q73" s="694"/>
      <c r="R73" s="694"/>
      <c r="S73" s="694"/>
      <c r="T73" s="694"/>
      <c r="U73" s="694"/>
      <c r="V73" s="694"/>
      <c r="W73" s="694"/>
      <c r="X73" s="694"/>
      <c r="Y73" s="1019" t="b">
        <f>Y68</f>
        <v>0</v>
      </c>
      <c r="Z73" s="343"/>
      <c r="AA73" s="343"/>
      <c r="AB73" s="343"/>
      <c r="AC73" s="343"/>
      <c r="AD73" s="343"/>
      <c r="AE73" s="343"/>
      <c r="AF73" s="343"/>
      <c r="AG73" s="343"/>
      <c r="AH73" s="343"/>
      <c r="AI73" s="343"/>
      <c r="AJ73" s="732" t="s">
        <v>2039</v>
      </c>
      <c r="AK73" s="875" t="str">
        <f>IF(AND(CNTR_HasEntries_A_I,MSconst_RequireEmissionTotals,Y73=FALSE,COUNTIFS($AB$21:$AH$21,FALSE,H73:N73,"")&gt;0),3,"")</f>
        <v/>
      </c>
    </row>
    <row r="74" spans="1:37" ht="12.65" customHeight="1" x14ac:dyDescent="0.25">
      <c r="A74" s="694"/>
      <c r="B74" s="698"/>
      <c r="C74" s="698"/>
      <c r="D74" s="698"/>
      <c r="E74" s="2687" t="str">
        <f>Translations!$B$237</f>
        <v>От очистване на димни газове</v>
      </c>
      <c r="F74" s="2258"/>
      <c r="G74" s="1016" t="str">
        <f>EUconst_tCO2pa</f>
        <v>t CO2 / година</v>
      </c>
      <c r="H74" s="39"/>
      <c r="I74" s="39"/>
      <c r="J74" s="39"/>
      <c r="K74" s="39"/>
      <c r="L74" s="39"/>
      <c r="M74" s="39"/>
      <c r="N74" s="39"/>
      <c r="O74" s="336"/>
      <c r="P74" s="158"/>
      <c r="Q74" s="694"/>
      <c r="R74" s="694"/>
      <c r="S74" s="694"/>
      <c r="T74" s="694"/>
      <c r="U74" s="694"/>
      <c r="V74" s="694"/>
      <c r="W74" s="694"/>
      <c r="X74" s="694"/>
      <c r="Y74" s="1019" t="b">
        <f>Y73</f>
        <v>0</v>
      </c>
      <c r="Z74" s="343"/>
      <c r="AA74" s="343"/>
      <c r="AB74" s="343"/>
      <c r="AC74" s="343"/>
      <c r="AD74" s="343"/>
      <c r="AE74" s="343"/>
      <c r="AF74" s="343"/>
      <c r="AG74" s="343"/>
      <c r="AH74" s="343"/>
      <c r="AI74" s="343"/>
      <c r="AJ74" s="732" t="s">
        <v>2039</v>
      </c>
      <c r="AK74" s="875" t="str">
        <f>IF(AND(CNTR_HasEntries_A_I,MSconst_RequireEmissionTotals,Y74=FALSE,COUNTIFS($AB$21:$AH$21,FALSE,H74:N74,"")&gt;0),3,"")</f>
        <v/>
      </c>
    </row>
    <row r="75" spans="1:37" ht="12.65" customHeight="1" x14ac:dyDescent="0.25">
      <c r="A75" s="694"/>
      <c r="B75" s="698"/>
      <c r="C75" s="698"/>
      <c r="D75" s="698"/>
      <c r="E75" s="2687" t="str">
        <f>Translations!$B$238</f>
        <v>Общо емисии</v>
      </c>
      <c r="F75" s="2258"/>
      <c r="G75" s="1016" t="str">
        <f>EUconst_tCO2pa</f>
        <v>t CO2 / година</v>
      </c>
      <c r="H75" s="1020" t="str">
        <f t="shared" ref="H75:N75" si="18">IF(COUNT(H73:H74)&gt;0,SUM(H73:H74),"")</f>
        <v/>
      </c>
      <c r="I75" s="1020" t="str">
        <f t="shared" si="18"/>
        <v/>
      </c>
      <c r="J75" s="1020" t="str">
        <f t="shared" si="18"/>
        <v/>
      </c>
      <c r="K75" s="1020" t="str">
        <f t="shared" si="18"/>
        <v/>
      </c>
      <c r="L75" s="1020" t="str">
        <f t="shared" si="18"/>
        <v/>
      </c>
      <c r="M75" s="1020" t="str">
        <f t="shared" si="18"/>
        <v/>
      </c>
      <c r="N75" s="1020" t="str">
        <f t="shared" si="18"/>
        <v/>
      </c>
      <c r="O75" s="336"/>
      <c r="P75" s="302"/>
      <c r="Q75" s="694"/>
      <c r="R75" s="694"/>
      <c r="S75" s="694"/>
      <c r="T75" s="694"/>
      <c r="U75" s="694"/>
      <c r="V75" s="694"/>
      <c r="W75" s="694"/>
      <c r="X75" s="694"/>
      <c r="Y75" s="1018"/>
      <c r="Z75" s="343"/>
      <c r="AA75" s="343"/>
      <c r="AB75" s="343"/>
      <c r="AC75" s="343"/>
      <c r="AD75" s="343"/>
      <c r="AE75" s="343"/>
      <c r="AF75" s="343"/>
      <c r="AG75" s="343"/>
      <c r="AH75" s="343"/>
      <c r="AI75" s="343"/>
      <c r="AJ75" s="343"/>
      <c r="AK75" s="343"/>
    </row>
    <row r="76" spans="1:37" ht="5.15" customHeight="1" x14ac:dyDescent="0.25">
      <c r="A76" s="694"/>
      <c r="B76" s="698"/>
      <c r="C76" s="698"/>
      <c r="D76" s="698"/>
      <c r="E76" s="698"/>
      <c r="F76" s="698"/>
      <c r="G76" s="698"/>
      <c r="H76" s="698"/>
      <c r="I76" s="698"/>
      <c r="J76" s="698"/>
      <c r="K76" s="698"/>
      <c r="L76" s="698"/>
      <c r="M76" s="698"/>
      <c r="N76" s="698"/>
      <c r="O76" s="336"/>
      <c r="P76" s="302"/>
      <c r="Q76" s="694"/>
      <c r="R76" s="694"/>
      <c r="S76" s="694"/>
      <c r="T76" s="694"/>
      <c r="U76" s="694"/>
      <c r="V76" s="694"/>
      <c r="W76" s="694"/>
      <c r="X76" s="694"/>
      <c r="Y76" s="1018"/>
      <c r="Z76" s="343"/>
      <c r="AA76" s="343"/>
      <c r="AB76" s="343"/>
      <c r="AC76" s="343"/>
      <c r="AD76" s="343"/>
      <c r="AE76" s="343"/>
      <c r="AF76" s="343"/>
      <c r="AG76" s="343"/>
      <c r="AH76" s="343"/>
      <c r="AI76" s="343"/>
      <c r="AJ76" s="343"/>
      <c r="AK76" s="343"/>
    </row>
    <row r="77" spans="1:37" ht="12.75" customHeight="1" x14ac:dyDescent="0.25">
      <c r="A77" s="694"/>
      <c r="B77" s="698"/>
      <c r="C77" s="698"/>
      <c r="D77" s="300" t="s">
        <v>54</v>
      </c>
      <c r="E77" s="2463" t="str">
        <f>Translations!$B$239</f>
        <v>Възприети стойности на к.п.д.:</v>
      </c>
      <c r="F77" s="2240"/>
      <c r="G77" s="2240"/>
      <c r="H77" s="2240"/>
      <c r="I77" s="2240"/>
      <c r="J77" s="1021" t="str">
        <f>Translations!$B$240</f>
        <v>Топлинна енергия:</v>
      </c>
      <c r="K77" s="1022">
        <v>0.55000000000000004</v>
      </c>
      <c r="L77" s="698"/>
      <c r="M77" s="1021" t="str">
        <f>Translations!$B$241</f>
        <v>Електроенергия:</v>
      </c>
      <c r="N77" s="1022">
        <v>0.25</v>
      </c>
      <c r="O77" s="336"/>
      <c r="P77" s="302"/>
      <c r="Q77" s="694"/>
      <c r="R77" s="694"/>
      <c r="S77" s="694"/>
      <c r="T77" s="694"/>
      <c r="U77" s="694"/>
      <c r="V77" s="694"/>
      <c r="W77" s="694"/>
      <c r="X77" s="694"/>
      <c r="Y77" s="1018"/>
      <c r="Z77" s="343"/>
      <c r="AA77" s="343"/>
      <c r="AB77" s="343"/>
      <c r="AC77" s="343"/>
      <c r="AD77" s="343"/>
      <c r="AE77" s="343"/>
      <c r="AF77" s="343"/>
      <c r="AG77" s="343"/>
      <c r="AH77" s="343"/>
      <c r="AI77" s="343"/>
      <c r="AJ77" s="343"/>
      <c r="AK77" s="343"/>
    </row>
    <row r="78" spans="1:37" ht="5.15" customHeight="1" x14ac:dyDescent="0.25">
      <c r="A78" s="694"/>
      <c r="B78" s="698"/>
      <c r="C78" s="698"/>
      <c r="D78" s="698"/>
      <c r="E78" s="698"/>
      <c r="F78" s="698"/>
      <c r="G78" s="698"/>
      <c r="H78" s="698"/>
      <c r="I78" s="698"/>
      <c r="J78" s="698"/>
      <c r="K78" s="698"/>
      <c r="L78" s="698"/>
      <c r="M78" s="698"/>
      <c r="N78" s="698"/>
      <c r="O78" s="336"/>
      <c r="P78" s="302"/>
      <c r="Q78" s="694"/>
      <c r="R78" s="694"/>
      <c r="S78" s="694"/>
      <c r="T78" s="694"/>
      <c r="U78" s="694"/>
      <c r="V78" s="694"/>
      <c r="W78" s="694"/>
      <c r="X78" s="694"/>
      <c r="Y78" s="1018"/>
      <c r="Z78" s="343"/>
      <c r="AA78" s="343"/>
      <c r="AB78" s="343"/>
      <c r="AC78" s="343"/>
      <c r="AD78" s="343"/>
      <c r="AE78" s="343"/>
      <c r="AF78" s="343"/>
      <c r="AG78" s="343"/>
      <c r="AH78" s="343"/>
      <c r="AI78" s="343"/>
      <c r="AJ78" s="343"/>
      <c r="AK78" s="343"/>
    </row>
    <row r="79" spans="1:37" ht="13" customHeight="1" x14ac:dyDescent="0.25">
      <c r="A79" s="694"/>
      <c r="B79" s="284"/>
      <c r="C79" s="284"/>
      <c r="D79" s="300" t="s">
        <v>55</v>
      </c>
      <c r="E79" s="2463" t="str">
        <f>Translations!$B$242</f>
        <v>Стойности на к.п.д. за топлинна и електрическа енергия</v>
      </c>
      <c r="F79" s="2240"/>
      <c r="G79" s="2240"/>
      <c r="H79" s="2240"/>
      <c r="I79" s="2240"/>
      <c r="J79" s="2240"/>
      <c r="K79" s="2240"/>
      <c r="L79" s="2240"/>
      <c r="M79" s="2240"/>
      <c r="N79" s="2240"/>
      <c r="O79" s="336"/>
      <c r="P79" s="302"/>
      <c r="Q79" s="770"/>
      <c r="R79" s="694"/>
      <c r="S79" s="694"/>
      <c r="T79" s="694"/>
      <c r="U79" s="694"/>
      <c r="V79" s="694"/>
      <c r="W79" s="694"/>
      <c r="X79" s="694"/>
      <c r="Y79" s="1018"/>
      <c r="Z79" s="343"/>
      <c r="AA79" s="343"/>
      <c r="AB79" s="343"/>
      <c r="AC79" s="343"/>
      <c r="AD79" s="343"/>
      <c r="AE79" s="343"/>
      <c r="AF79" s="343"/>
      <c r="AG79" s="343"/>
      <c r="AH79" s="343"/>
      <c r="AI79" s="343"/>
      <c r="AJ79" s="343"/>
      <c r="AK79" s="343"/>
    </row>
    <row r="80" spans="1:37" ht="12.75" customHeight="1" x14ac:dyDescent="0.25">
      <c r="A80" s="694"/>
      <c r="B80" s="284"/>
      <c r="C80" s="284"/>
      <c r="D80" s="302"/>
      <c r="E80" s="2293" t="str">
        <f>Translations!$B$243</f>
        <v>Тези стойности са безразмерни величини и се изчисляват автоматично от данните, въведени в букви a) — c) по-горе.</v>
      </c>
      <c r="F80" s="2240"/>
      <c r="G80" s="2240"/>
      <c r="H80" s="2240"/>
      <c r="I80" s="2240"/>
      <c r="J80" s="2240"/>
      <c r="K80" s="2240"/>
      <c r="L80" s="2240"/>
      <c r="M80" s="2240"/>
      <c r="N80" s="2240"/>
      <c r="O80" s="336"/>
      <c r="P80" s="302"/>
      <c r="Q80" s="770"/>
      <c r="R80" s="694"/>
      <c r="S80" s="694"/>
      <c r="T80" s="694"/>
      <c r="U80" s="694"/>
      <c r="V80" s="694"/>
      <c r="W80" s="694"/>
      <c r="X80" s="694"/>
      <c r="Y80" s="1018"/>
      <c r="Z80" s="343"/>
      <c r="AA80" s="343"/>
      <c r="AB80" s="343"/>
      <c r="AC80" s="343"/>
      <c r="AD80" s="343"/>
      <c r="AE80" s="343"/>
      <c r="AF80" s="343"/>
      <c r="AG80" s="343"/>
      <c r="AH80" s="343"/>
      <c r="AI80" s="343"/>
      <c r="AJ80" s="343"/>
      <c r="AK80" s="343"/>
    </row>
    <row r="81" spans="1:37" ht="25.5" customHeight="1" x14ac:dyDescent="0.25">
      <c r="A81" s="694"/>
      <c r="B81" s="284"/>
      <c r="C81" s="284"/>
      <c r="D81" s="302"/>
      <c r="E81" s="2293" t="str">
        <f>Translations!$B$244</f>
        <v>Ако по буква d) по-горе не са въведени други стойности освен общите емисии, тук ще се използват възприетите стойности на к.п.д. от буква e). Моля, имайте предвид, че това се допуска само ако предоставите доказателства, че определянето на стойностите на к.п.д. не е технически осъществимо или би довело до неразумно високи разход и освен това не са налице стойности въз основа на техническата документация (проектни стойности) на инсталацията.</v>
      </c>
      <c r="F81" s="2240"/>
      <c r="G81" s="2240"/>
      <c r="H81" s="2240"/>
      <c r="I81" s="2240"/>
      <c r="J81" s="2240"/>
      <c r="K81" s="2240"/>
      <c r="L81" s="2240"/>
      <c r="M81" s="2240"/>
      <c r="N81" s="2240"/>
      <c r="O81" s="336"/>
      <c r="P81" s="302"/>
      <c r="Q81" s="770"/>
      <c r="R81" s="694"/>
      <c r="S81" s="694"/>
      <c r="T81" s="694"/>
      <c r="U81" s="694"/>
      <c r="V81" s="694"/>
      <c r="W81" s="694"/>
      <c r="X81" s="694"/>
      <c r="Y81" s="1018"/>
      <c r="Z81" s="343"/>
      <c r="AA81" s="343"/>
      <c r="AB81" s="343"/>
      <c r="AC81" s="343"/>
      <c r="AD81" s="343"/>
      <c r="AE81" s="343"/>
      <c r="AF81" s="343"/>
      <c r="AG81" s="343"/>
      <c r="AH81" s="343"/>
      <c r="AI81" s="343"/>
      <c r="AJ81" s="343"/>
      <c r="AK81" s="343"/>
    </row>
    <row r="82" spans="1:37" ht="13" x14ac:dyDescent="0.25">
      <c r="A82" s="694"/>
      <c r="B82" s="698"/>
      <c r="C82" s="698"/>
      <c r="D82" s="698"/>
      <c r="E82" s="1013"/>
      <c r="F82" s="1015"/>
      <c r="G82" s="390" t="str">
        <f>EUconst_Unit</f>
        <v>Единица мярка</v>
      </c>
      <c r="H82" s="391">
        <f t="shared" ref="H82:N82" si="19">H$278</f>
        <v>2024</v>
      </c>
      <c r="I82" s="391">
        <f t="shared" si="19"/>
        <v>2025</v>
      </c>
      <c r="J82" s="391">
        <f t="shared" si="19"/>
        <v>2026</v>
      </c>
      <c r="K82" s="391">
        <f t="shared" si="19"/>
        <v>2027</v>
      </c>
      <c r="L82" s="391">
        <f t="shared" si="19"/>
        <v>2028</v>
      </c>
      <c r="M82" s="391">
        <f t="shared" si="19"/>
        <v>2029</v>
      </c>
      <c r="N82" s="391">
        <f t="shared" si="19"/>
        <v>2030</v>
      </c>
      <c r="O82" s="336"/>
      <c r="P82" s="302"/>
      <c r="Q82" s="694"/>
      <c r="R82" s="694"/>
      <c r="S82" s="694"/>
      <c r="T82" s="694"/>
      <c r="U82" s="694"/>
      <c r="V82" s="694"/>
      <c r="W82" s="694"/>
      <c r="X82" s="694"/>
      <c r="Y82" s="1018"/>
      <c r="Z82" s="343"/>
      <c r="AA82" s="343"/>
      <c r="AB82" s="343"/>
      <c r="AC82" s="343"/>
      <c r="AD82" s="343"/>
      <c r="AE82" s="343"/>
      <c r="AF82" s="343"/>
      <c r="AG82" s="343"/>
      <c r="AH82" s="343"/>
      <c r="AI82" s="343"/>
      <c r="AJ82" s="343"/>
      <c r="AK82" s="343"/>
    </row>
    <row r="83" spans="1:37" ht="12.75" customHeight="1" x14ac:dyDescent="0.25">
      <c r="A83" s="694"/>
      <c r="B83" s="698"/>
      <c r="C83" s="698"/>
      <c r="D83" s="698"/>
      <c r="E83" s="2687" t="str">
        <f>Translations!$B$245</f>
        <v>Производство на топлинна енергия</v>
      </c>
      <c r="F83" s="2258"/>
      <c r="G83" s="424" t="s">
        <v>1052</v>
      </c>
      <c r="H83" s="1023" t="str">
        <f>IF(AND(ISNUMBER(H57),ISNUMBER(H62)),IF(H57=0,0,H62/H57),IF(ISNUMBER(H75),$K77,""))</f>
        <v/>
      </c>
      <c r="I83" s="1023" t="str">
        <f t="shared" ref="I83:N83" si="20">IF(AND(ISNUMBER(I57),ISNUMBER(I62)),IF(I57=0,0,I62/I57),IF(ISNUMBER(I75),$K77,""))</f>
        <v/>
      </c>
      <c r="J83" s="1023" t="str">
        <f t="shared" si="20"/>
        <v/>
      </c>
      <c r="K83" s="1023" t="str">
        <f t="shared" si="20"/>
        <v/>
      </c>
      <c r="L83" s="1023" t="str">
        <f t="shared" si="20"/>
        <v/>
      </c>
      <c r="M83" s="1023" t="str">
        <f t="shared" si="20"/>
        <v/>
      </c>
      <c r="N83" s="1023" t="str">
        <f t="shared" si="20"/>
        <v/>
      </c>
      <c r="O83" s="336"/>
      <c r="P83" s="302"/>
      <c r="Q83" s="694"/>
      <c r="R83" s="694"/>
      <c r="S83" s="694"/>
      <c r="T83" s="694"/>
      <c r="U83" s="694"/>
      <c r="V83" s="694"/>
      <c r="W83" s="694"/>
      <c r="X83" s="694"/>
      <c r="Y83" s="1018"/>
      <c r="Z83" s="343"/>
      <c r="AA83" s="343"/>
      <c r="AB83" s="343"/>
      <c r="AC83" s="343"/>
      <c r="AD83" s="343"/>
      <c r="AE83" s="343"/>
      <c r="AF83" s="343"/>
      <c r="AG83" s="343"/>
      <c r="AH83" s="343"/>
      <c r="AI83" s="343"/>
      <c r="AJ83" s="343"/>
      <c r="AK83" s="343"/>
    </row>
    <row r="84" spans="1:37" ht="12.75" customHeight="1" x14ac:dyDescent="0.25">
      <c r="A84" s="694"/>
      <c r="B84" s="698"/>
      <c r="C84" s="698"/>
      <c r="D84" s="698"/>
      <c r="E84" s="2687" t="str">
        <f>Translations!$B$246</f>
        <v>Производство на електроенергия</v>
      </c>
      <c r="F84" s="2258"/>
      <c r="G84" s="424" t="s">
        <v>1052</v>
      </c>
      <c r="H84" s="1023" t="str">
        <f>IF(AND(ISNUMBER(H57),ISNUMBER(H68)),IF(H57=0,0,H68/H57),IF(ISNUMBER(H75),$N77,""))</f>
        <v/>
      </c>
      <c r="I84" s="1023" t="str">
        <f t="shared" ref="I84:N84" si="21">IF(AND(ISNUMBER(I57),ISNUMBER(I68)),IF(I57=0,0,I68/I57),IF(ISNUMBER(I75),$N77,""))</f>
        <v/>
      </c>
      <c r="J84" s="1023" t="str">
        <f t="shared" si="21"/>
        <v/>
      </c>
      <c r="K84" s="1023" t="str">
        <f t="shared" si="21"/>
        <v/>
      </c>
      <c r="L84" s="1023" t="str">
        <f t="shared" si="21"/>
        <v/>
      </c>
      <c r="M84" s="1023" t="str">
        <f t="shared" si="21"/>
        <v/>
      </c>
      <c r="N84" s="1023" t="str">
        <f t="shared" si="21"/>
        <v/>
      </c>
      <c r="O84" s="336"/>
      <c r="P84" s="302"/>
      <c r="Q84" s="694"/>
      <c r="R84" s="694"/>
      <c r="S84" s="694"/>
      <c r="T84" s="694"/>
      <c r="U84" s="694"/>
      <c r="V84" s="694"/>
      <c r="W84" s="694"/>
      <c r="X84" s="694"/>
      <c r="Y84" s="1018"/>
      <c r="Z84" s="343"/>
      <c r="AA84" s="343"/>
      <c r="AB84" s="343"/>
      <c r="AC84" s="343"/>
      <c r="AD84" s="343"/>
      <c r="AE84" s="343"/>
      <c r="AF84" s="343"/>
      <c r="AG84" s="343"/>
      <c r="AH84" s="343"/>
      <c r="AI84" s="343"/>
      <c r="AJ84" s="343"/>
      <c r="AK84" s="343"/>
    </row>
    <row r="85" spans="1:37" ht="5.15" customHeight="1" x14ac:dyDescent="0.25">
      <c r="A85" s="694"/>
      <c r="B85" s="698"/>
      <c r="C85" s="698"/>
      <c r="D85" s="698"/>
      <c r="E85" s="698"/>
      <c r="F85" s="698"/>
      <c r="G85" s="698"/>
      <c r="H85" s="698"/>
      <c r="I85" s="698"/>
      <c r="J85" s="698"/>
      <c r="K85" s="698"/>
      <c r="L85" s="698"/>
      <c r="M85" s="698"/>
      <c r="N85" s="698"/>
      <c r="O85" s="336"/>
      <c r="P85" s="302"/>
      <c r="Q85" s="694"/>
      <c r="R85" s="694"/>
      <c r="S85" s="694"/>
      <c r="T85" s="694"/>
      <c r="U85" s="694"/>
      <c r="V85" s="694"/>
      <c r="W85" s="694"/>
      <c r="X85" s="694"/>
      <c r="Y85" s="1018"/>
      <c r="Z85" s="343"/>
      <c r="AA85" s="343"/>
      <c r="AB85" s="343"/>
      <c r="AC85" s="343"/>
      <c r="AD85" s="343"/>
      <c r="AE85" s="343"/>
      <c r="AF85" s="343"/>
      <c r="AG85" s="343"/>
      <c r="AH85" s="343"/>
      <c r="AI85" s="343"/>
      <c r="AJ85" s="343"/>
      <c r="AK85" s="343"/>
    </row>
    <row r="86" spans="1:37" ht="13" customHeight="1" x14ac:dyDescent="0.25">
      <c r="A86" s="694"/>
      <c r="B86" s="284"/>
      <c r="C86" s="284"/>
      <c r="D86" s="300" t="s">
        <v>273</v>
      </c>
      <c r="E86" s="2463" t="str">
        <f>Translations!$B$247</f>
        <v>Референтни стойности на к.п.д.</v>
      </c>
      <c r="F86" s="2240"/>
      <c r="G86" s="2240"/>
      <c r="H86" s="2240"/>
      <c r="I86" s="2240"/>
      <c r="J86" s="2240"/>
      <c r="K86" s="2240"/>
      <c r="L86" s="2240"/>
      <c r="M86" s="2240"/>
      <c r="N86" s="2240"/>
      <c r="O86" s="336"/>
      <c r="P86" s="302"/>
      <c r="Q86" s="770"/>
      <c r="R86" s="694"/>
      <c r="S86" s="694"/>
      <c r="T86" s="694"/>
      <c r="U86" s="694"/>
      <c r="V86" s="694"/>
      <c r="W86" s="694"/>
      <c r="X86" s="694"/>
      <c r="Y86" s="1018"/>
      <c r="Z86" s="343"/>
      <c r="AA86" s="343"/>
      <c r="AB86" s="343"/>
      <c r="AC86" s="343"/>
      <c r="AD86" s="343"/>
      <c r="AE86" s="343"/>
      <c r="AF86" s="343"/>
      <c r="AG86" s="343"/>
      <c r="AH86" s="343"/>
      <c r="AI86" s="343"/>
      <c r="AJ86" s="343"/>
      <c r="AK86" s="343"/>
    </row>
    <row r="87" spans="1:37" ht="12.75" customHeight="1" x14ac:dyDescent="0.25">
      <c r="A87" s="694"/>
      <c r="B87" s="284"/>
      <c r="C87" s="284"/>
      <c r="D87" s="302"/>
      <c r="E87" s="2293" t="str">
        <f>Translations!$B$248</f>
        <v xml:space="preserve">Това са съответно референтната стойности на к.п.д. при производството на топлинна енергия в самостоятелен котел и референтната стойност на к.п.д. при производството на електроенергия без комбинирано производство на енергия. </v>
      </c>
      <c r="F87" s="2240"/>
      <c r="G87" s="2240"/>
      <c r="H87" s="2240"/>
      <c r="I87" s="2240"/>
      <c r="J87" s="2240"/>
      <c r="K87" s="2240"/>
      <c r="L87" s="2240"/>
      <c r="M87" s="2240"/>
      <c r="N87" s="2240"/>
      <c r="O87" s="336"/>
      <c r="P87" s="302"/>
      <c r="Q87" s="770"/>
      <c r="R87" s="694"/>
      <c r="S87" s="694"/>
      <c r="T87" s="694"/>
      <c r="U87" s="694"/>
      <c r="V87" s="694"/>
      <c r="W87" s="694"/>
      <c r="X87" s="694"/>
      <c r="Y87" s="1018"/>
      <c r="Z87" s="343"/>
      <c r="AA87" s="343"/>
      <c r="AB87" s="343"/>
      <c r="AC87" s="343"/>
      <c r="AD87" s="343"/>
      <c r="AE87" s="343"/>
      <c r="AF87" s="343"/>
      <c r="AG87" s="343"/>
      <c r="AH87" s="343"/>
      <c r="AI87" s="343"/>
      <c r="AJ87" s="343"/>
      <c r="AK87" s="343"/>
    </row>
    <row r="88" spans="1:37" ht="25.5" customHeight="1" x14ac:dyDescent="0.25">
      <c r="A88" s="694"/>
      <c r="B88" s="284"/>
      <c r="C88" s="284"/>
      <c r="D88" s="302"/>
      <c r="E88" s="2293" t="str">
        <f>Translations!$B$249</f>
        <v>За референтните стойности на к.п.д. се прилагат съответните специфични стойности за горивото от Делегиран регламент (ЕС) 2015/2402 на Комисията, без да се прилагат корекционните коефициенти за климатични условия, посочени в приложение III, и за избегнати загуби по мрежата, посочени в приложение IV към същия регламент. Регламентът може да се изтегли на следния адрес:</v>
      </c>
      <c r="F88" s="2240"/>
      <c r="G88" s="2240"/>
      <c r="H88" s="2240"/>
      <c r="I88" s="2240"/>
      <c r="J88" s="2240"/>
      <c r="K88" s="2240"/>
      <c r="L88" s="2240"/>
      <c r="M88" s="2240"/>
      <c r="N88" s="2240"/>
      <c r="O88" s="336"/>
      <c r="P88" s="302"/>
      <c r="Q88" s="770"/>
      <c r="R88" s="694"/>
      <c r="S88" s="694"/>
      <c r="T88" s="694"/>
      <c r="U88" s="694"/>
      <c r="V88" s="694"/>
      <c r="W88" s="694"/>
      <c r="X88" s="694"/>
      <c r="Y88" s="1018"/>
      <c r="Z88" s="343"/>
      <c r="AA88" s="343"/>
      <c r="AB88" s="343"/>
      <c r="AC88" s="343"/>
      <c r="AD88" s="343"/>
      <c r="AE88" s="343"/>
      <c r="AF88" s="343"/>
      <c r="AG88" s="343"/>
      <c r="AH88" s="343"/>
      <c r="AI88" s="343"/>
      <c r="AJ88" s="343"/>
      <c r="AK88" s="343"/>
    </row>
    <row r="89" spans="1:37" ht="12.75" customHeight="1" x14ac:dyDescent="0.25">
      <c r="A89" s="694"/>
      <c r="B89" s="284"/>
      <c r="C89" s="284"/>
      <c r="D89" s="302"/>
      <c r="E89" s="2714" t="str">
        <f>Translations!$B$250</f>
        <v>https://eur-lex.europa.eu/eli/reg_del/2015/2402/oj</v>
      </c>
      <c r="F89" s="2240"/>
      <c r="G89" s="2240"/>
      <c r="H89" s="2240"/>
      <c r="I89" s="2240"/>
      <c r="J89" s="2240"/>
      <c r="K89" s="2240"/>
      <c r="L89" s="2240"/>
      <c r="M89" s="2240"/>
      <c r="N89" s="2240"/>
      <c r="O89" s="336"/>
      <c r="P89" s="302"/>
      <c r="Q89" s="770"/>
      <c r="R89" s="694"/>
      <c r="S89" s="694"/>
      <c r="T89" s="694"/>
      <c r="U89" s="694"/>
      <c r="V89" s="694"/>
      <c r="W89" s="694"/>
      <c r="X89" s="694"/>
      <c r="Y89" s="1018"/>
      <c r="Z89" s="343"/>
      <c r="AA89" s="343"/>
      <c r="AB89" s="343"/>
      <c r="AC89" s="343"/>
      <c r="AD89" s="343"/>
      <c r="AE89" s="343"/>
      <c r="AF89" s="343"/>
      <c r="AG89" s="343"/>
      <c r="AH89" s="343"/>
      <c r="AI89" s="343"/>
      <c r="AJ89" s="343"/>
      <c r="AK89" s="343"/>
    </row>
    <row r="90" spans="1:37" ht="12.75" customHeight="1" x14ac:dyDescent="0.25">
      <c r="A90" s="694"/>
      <c r="B90" s="284"/>
      <c r="C90" s="284"/>
      <c r="D90" s="302"/>
      <c r="E90" s="2293" t="str">
        <f>Translations!$B$251</f>
        <v>Възприетите стойности на к.п.д. по-долу се отнасят за агрегати за КПТЕ на природен газ за производство на електроенергия и гореща вода.</v>
      </c>
      <c r="F90" s="2240"/>
      <c r="G90" s="2240"/>
      <c r="H90" s="2240"/>
      <c r="I90" s="2240"/>
      <c r="J90" s="2240"/>
      <c r="K90" s="2240"/>
      <c r="L90" s="2240"/>
      <c r="M90" s="2240"/>
      <c r="N90" s="2240"/>
      <c r="O90" s="336"/>
      <c r="P90" s="302"/>
      <c r="Q90" s="770"/>
      <c r="R90" s="694"/>
      <c r="S90" s="694"/>
      <c r="T90" s="694"/>
      <c r="U90" s="694"/>
      <c r="V90" s="694"/>
      <c r="W90" s="694"/>
      <c r="X90" s="694"/>
      <c r="Y90" s="1018"/>
      <c r="Z90" s="343"/>
      <c r="AA90" s="343"/>
      <c r="AB90" s="343"/>
      <c r="AC90" s="343"/>
      <c r="AD90" s="343"/>
      <c r="AE90" s="343"/>
      <c r="AF90" s="343"/>
      <c r="AG90" s="343"/>
      <c r="AH90" s="343"/>
      <c r="AI90" s="343"/>
      <c r="AJ90" s="343"/>
      <c r="AK90" s="343"/>
    </row>
    <row r="91" spans="1:37" ht="13" x14ac:dyDescent="0.25">
      <c r="A91" s="694"/>
      <c r="B91" s="698"/>
      <c r="C91" s="698"/>
      <c r="D91" s="698"/>
      <c r="E91" s="1013"/>
      <c r="F91" s="1015"/>
      <c r="G91" s="390" t="str">
        <f>EUconst_Unit</f>
        <v>Единица мярка</v>
      </c>
      <c r="H91" s="391">
        <f t="shared" ref="H91:N91" si="22">H$278</f>
        <v>2024</v>
      </c>
      <c r="I91" s="391">
        <f t="shared" si="22"/>
        <v>2025</v>
      </c>
      <c r="J91" s="391">
        <f t="shared" si="22"/>
        <v>2026</v>
      </c>
      <c r="K91" s="391">
        <f t="shared" si="22"/>
        <v>2027</v>
      </c>
      <c r="L91" s="391">
        <f t="shared" si="22"/>
        <v>2028</v>
      </c>
      <c r="M91" s="391">
        <f t="shared" si="22"/>
        <v>2029</v>
      </c>
      <c r="N91" s="391">
        <f t="shared" si="22"/>
        <v>2030</v>
      </c>
      <c r="O91" s="336"/>
      <c r="P91" s="302"/>
      <c r="Q91" s="694"/>
      <c r="R91" s="694"/>
      <c r="S91" s="694"/>
      <c r="T91" s="694"/>
      <c r="U91" s="694"/>
      <c r="V91" s="694"/>
      <c r="W91" s="694"/>
      <c r="X91" s="694"/>
      <c r="Y91" s="1018"/>
      <c r="Z91" s="343"/>
      <c r="AA91" s="343"/>
      <c r="AB91" s="343"/>
      <c r="AC91" s="343"/>
      <c r="AD91" s="343"/>
      <c r="AE91" s="343"/>
      <c r="AF91" s="343"/>
      <c r="AG91" s="343"/>
      <c r="AH91" s="343"/>
      <c r="AI91" s="343"/>
      <c r="AJ91" s="343"/>
      <c r="AK91" s="343"/>
    </row>
    <row r="92" spans="1:37" ht="12.75" customHeight="1" x14ac:dyDescent="0.25">
      <c r="A92" s="694"/>
      <c r="B92" s="698"/>
      <c r="C92" s="698"/>
      <c r="D92" s="698"/>
      <c r="E92" s="2687" t="str">
        <f>Translations!$B$245</f>
        <v>Производство на топлинна енергия</v>
      </c>
      <c r="F92" s="2258"/>
      <c r="G92" s="424" t="s">
        <v>1052</v>
      </c>
      <c r="H92" s="197"/>
      <c r="I92" s="197"/>
      <c r="J92" s="197"/>
      <c r="K92" s="197"/>
      <c r="L92" s="197"/>
      <c r="M92" s="197"/>
      <c r="N92" s="197"/>
      <c r="O92" s="336"/>
      <c r="P92" s="158"/>
      <c r="Q92" s="694"/>
      <c r="R92" s="694"/>
      <c r="S92" s="694"/>
      <c r="T92" s="694"/>
      <c r="U92" s="694"/>
      <c r="V92" s="694"/>
      <c r="W92" s="694"/>
      <c r="X92" s="694"/>
      <c r="Y92" s="1019" t="b">
        <f>Y74</f>
        <v>0</v>
      </c>
      <c r="Z92" s="343"/>
      <c r="AA92" s="343"/>
      <c r="AB92" s="343"/>
      <c r="AC92" s="343"/>
      <c r="AD92" s="343"/>
      <c r="AE92" s="343"/>
      <c r="AF92" s="343"/>
      <c r="AG92" s="343"/>
      <c r="AH92" s="343"/>
      <c r="AI92" s="343"/>
      <c r="AJ92" s="732" t="s">
        <v>2039</v>
      </c>
      <c r="AK92" s="875" t="str">
        <f>IF(AND(CNTR_HasEntries_A_I,MSconst_RequireEmissionTotals,Y92=FALSE,COUNTIFS($AB$21:$AH$21,FALSE,H92:N92,"")&gt;0),3,"")</f>
        <v/>
      </c>
    </row>
    <row r="93" spans="1:37" ht="12.75" customHeight="1" x14ac:dyDescent="0.25">
      <c r="A93" s="694"/>
      <c r="B93" s="698"/>
      <c r="C93" s="698"/>
      <c r="D93" s="698"/>
      <c r="E93" s="2687" t="str">
        <f>Translations!$B$246</f>
        <v>Производство на електроенергия</v>
      </c>
      <c r="F93" s="2258"/>
      <c r="G93" s="424" t="s">
        <v>1052</v>
      </c>
      <c r="H93" s="197"/>
      <c r="I93" s="197"/>
      <c r="J93" s="197"/>
      <c r="K93" s="197"/>
      <c r="L93" s="197"/>
      <c r="M93" s="197"/>
      <c r="N93" s="197"/>
      <c r="O93" s="336"/>
      <c r="P93" s="158"/>
      <c r="Q93" s="694"/>
      <c r="R93" s="694"/>
      <c r="S93" s="694"/>
      <c r="T93" s="694"/>
      <c r="U93" s="694"/>
      <c r="V93" s="694"/>
      <c r="W93" s="694"/>
      <c r="X93" s="694"/>
      <c r="Y93" s="1019" t="b">
        <f>Y92</f>
        <v>0</v>
      </c>
      <c r="Z93" s="343"/>
      <c r="AA93" s="343"/>
      <c r="AB93" s="343"/>
      <c r="AC93" s="343"/>
      <c r="AD93" s="343"/>
      <c r="AE93" s="343"/>
      <c r="AF93" s="343"/>
      <c r="AG93" s="343"/>
      <c r="AH93" s="343"/>
      <c r="AI93" s="343"/>
      <c r="AJ93" s="732" t="s">
        <v>2039</v>
      </c>
      <c r="AK93" s="875" t="str">
        <f>IF(AND(CNTR_HasEntries_A_I,MSconst_RequireEmissionTotals,Y93=FALSE,COUNTIFS($AB$21:$AH$21,FALSE,H93:N93,"")&gt;0),3,"")</f>
        <v/>
      </c>
    </row>
    <row r="94" spans="1:37" ht="5.15" customHeight="1" x14ac:dyDescent="0.25">
      <c r="A94" s="694"/>
      <c r="B94" s="698"/>
      <c r="C94" s="698"/>
      <c r="D94" s="698"/>
      <c r="E94" s="698"/>
      <c r="F94" s="698"/>
      <c r="G94" s="698"/>
      <c r="H94" s="698"/>
      <c r="I94" s="698"/>
      <c r="J94" s="698"/>
      <c r="K94" s="698"/>
      <c r="L94" s="698"/>
      <c r="M94" s="698"/>
      <c r="N94" s="698"/>
      <c r="O94" s="336"/>
      <c r="P94" s="302"/>
      <c r="Q94" s="694"/>
      <c r="R94" s="694"/>
      <c r="S94" s="694"/>
      <c r="T94" s="694"/>
      <c r="U94" s="694"/>
      <c r="V94" s="694"/>
      <c r="W94" s="694"/>
      <c r="X94" s="694"/>
      <c r="Y94" s="1018"/>
      <c r="Z94" s="343"/>
      <c r="AA94" s="343"/>
      <c r="AB94" s="343"/>
      <c r="AC94" s="343"/>
      <c r="AD94" s="343"/>
      <c r="AE94" s="343"/>
      <c r="AF94" s="343"/>
      <c r="AG94" s="343"/>
      <c r="AH94" s="343"/>
      <c r="AI94" s="343"/>
      <c r="AJ94" s="343"/>
      <c r="AK94" s="343"/>
    </row>
    <row r="95" spans="1:37" ht="13" customHeight="1" x14ac:dyDescent="0.25">
      <c r="A95" s="694"/>
      <c r="B95" s="284"/>
      <c r="C95" s="284"/>
      <c r="D95" s="300" t="s">
        <v>277</v>
      </c>
      <c r="E95" s="2463" t="str">
        <f>Translations!$B$252</f>
        <v>Емисии, свързани с производството на топлинна енергия от агрегати за КПТЕ</v>
      </c>
      <c r="F95" s="2240"/>
      <c r="G95" s="2240"/>
      <c r="H95" s="2240"/>
      <c r="I95" s="2240"/>
      <c r="J95" s="2240"/>
      <c r="K95" s="2240"/>
      <c r="L95" s="2240"/>
      <c r="M95" s="2240"/>
      <c r="N95" s="2240"/>
      <c r="O95" s="336"/>
      <c r="P95" s="302"/>
      <c r="Q95" s="770"/>
      <c r="R95" s="694"/>
      <c r="S95" s="694"/>
      <c r="T95" s="694"/>
      <c r="U95" s="694"/>
      <c r="V95" s="694"/>
      <c r="W95" s="694"/>
      <c r="X95" s="694"/>
      <c r="Y95" s="1018"/>
      <c r="Z95" s="343"/>
      <c r="AA95" s="343"/>
      <c r="AB95" s="343"/>
      <c r="AC95" s="343"/>
      <c r="AD95" s="343"/>
      <c r="AE95" s="343"/>
      <c r="AF95" s="343"/>
      <c r="AG95" s="343"/>
      <c r="AH95" s="343"/>
      <c r="AI95" s="343"/>
      <c r="AJ95" s="343"/>
      <c r="AK95" s="343"/>
    </row>
    <row r="96" spans="1:37" ht="12.65" customHeight="1" x14ac:dyDescent="0.25">
      <c r="A96" s="694"/>
      <c r="B96" s="284"/>
      <c r="C96" s="284"/>
      <c r="D96" s="302"/>
      <c r="E96" s="2293" t="str">
        <f>Translations!$B$253</f>
        <v>Това е крайният резултат от този инструмент. Показаните тук стойности трябва да се въведат в листове F или G относно емисиите, които могат да бъдат зададени на съответната подинсталация.</v>
      </c>
      <c r="F96" s="2240"/>
      <c r="G96" s="2240"/>
      <c r="H96" s="2240"/>
      <c r="I96" s="2240"/>
      <c r="J96" s="2240"/>
      <c r="K96" s="2240"/>
      <c r="L96" s="2240"/>
      <c r="M96" s="2240"/>
      <c r="N96" s="2240"/>
      <c r="O96" s="336"/>
      <c r="P96" s="302"/>
      <c r="Q96" s="770"/>
      <c r="R96" s="694"/>
      <c r="S96" s="694"/>
      <c r="T96" s="694"/>
      <c r="U96" s="694"/>
      <c r="V96" s="694"/>
      <c r="W96" s="694"/>
      <c r="X96" s="694"/>
      <c r="Y96" s="1018"/>
      <c r="Z96" s="343"/>
      <c r="AA96" s="343"/>
      <c r="AB96" s="343"/>
      <c r="AC96" s="343"/>
      <c r="AD96" s="343"/>
      <c r="AE96" s="343"/>
      <c r="AF96" s="343"/>
      <c r="AG96" s="343"/>
      <c r="AH96" s="343"/>
      <c r="AI96" s="343"/>
      <c r="AJ96" s="343"/>
      <c r="AK96" s="343"/>
    </row>
    <row r="97" spans="1:37" ht="12.65" customHeight="1" x14ac:dyDescent="0.25">
      <c r="A97" s="694"/>
      <c r="B97" s="284"/>
      <c r="C97" s="284"/>
      <c r="D97" s="302"/>
      <c r="E97" s="2293" t="str">
        <f>Translations!$B$254</f>
        <v>Така например това може да включва отчитането в общите преки емисии на емисии, които могат да бъдат зададени, или използването на емисионния фактор за всяка получена измерима топлинна енергия.</v>
      </c>
      <c r="F97" s="2240"/>
      <c r="G97" s="2240"/>
      <c r="H97" s="2240"/>
      <c r="I97" s="2240"/>
      <c r="J97" s="2240"/>
      <c r="K97" s="2240"/>
      <c r="L97" s="2240"/>
      <c r="M97" s="2240"/>
      <c r="N97" s="2240"/>
      <c r="O97" s="336"/>
      <c r="P97" s="302"/>
      <c r="Q97" s="770"/>
      <c r="R97" s="694"/>
      <c r="S97" s="694"/>
      <c r="T97" s="694"/>
      <c r="U97" s="694"/>
      <c r="V97" s="694"/>
      <c r="W97" s="694"/>
      <c r="X97" s="694"/>
      <c r="Y97" s="1018"/>
      <c r="Z97" s="343"/>
      <c r="AA97" s="343"/>
      <c r="AB97" s="343"/>
      <c r="AC97" s="343"/>
      <c r="AD97" s="343"/>
      <c r="AE97" s="343"/>
      <c r="AF97" s="343"/>
      <c r="AG97" s="343"/>
      <c r="AH97" s="343"/>
      <c r="AI97" s="343"/>
      <c r="AJ97" s="343"/>
      <c r="AK97" s="343"/>
    </row>
    <row r="98" spans="1:37" ht="12.65" customHeight="1" x14ac:dyDescent="0.25">
      <c r="A98" s="694"/>
      <c r="B98" s="284"/>
      <c r="C98" s="284"/>
      <c r="D98" s="302"/>
      <c r="E98" s="2293" t="str">
        <f>Translations!$B$255</f>
        <v>Резултатите от изчисленията могат да се смятат за точни само ако в раздела по-горе са докладвани пълни и последователни данни.</v>
      </c>
      <c r="F98" s="2240"/>
      <c r="G98" s="2240"/>
      <c r="H98" s="2240"/>
      <c r="I98" s="2240"/>
      <c r="J98" s="2240"/>
      <c r="K98" s="2240"/>
      <c r="L98" s="2240"/>
      <c r="M98" s="2240"/>
      <c r="N98" s="2240"/>
      <c r="O98" s="336"/>
      <c r="P98" s="302"/>
      <c r="Q98" s="770"/>
      <c r="R98" s="694"/>
      <c r="S98" s="694"/>
      <c r="T98" s="694"/>
      <c r="U98" s="694"/>
      <c r="V98" s="694"/>
      <c r="W98" s="694"/>
      <c r="X98" s="694"/>
      <c r="Y98" s="1018"/>
      <c r="Z98" s="343"/>
      <c r="AA98" s="343"/>
      <c r="AB98" s="343"/>
      <c r="AC98" s="343"/>
      <c r="AD98" s="343"/>
      <c r="AE98" s="343"/>
      <c r="AF98" s="343"/>
      <c r="AG98" s="343"/>
      <c r="AH98" s="343"/>
      <c r="AI98" s="343"/>
      <c r="AJ98" s="343"/>
      <c r="AK98" s="343"/>
    </row>
    <row r="99" spans="1:37" ht="13" x14ac:dyDescent="0.25">
      <c r="A99" s="694"/>
      <c r="B99" s="698"/>
      <c r="C99" s="698"/>
      <c r="D99" s="698"/>
      <c r="E99" s="1013"/>
      <c r="F99" s="1015"/>
      <c r="G99" s="390" t="str">
        <f>EUconst_Unit</f>
        <v>Единица мярка</v>
      </c>
      <c r="H99" s="391">
        <f t="shared" ref="H99:N99" si="23">H$278</f>
        <v>2024</v>
      </c>
      <c r="I99" s="391">
        <f t="shared" si="23"/>
        <v>2025</v>
      </c>
      <c r="J99" s="391">
        <f t="shared" si="23"/>
        <v>2026</v>
      </c>
      <c r="K99" s="391">
        <f t="shared" si="23"/>
        <v>2027</v>
      </c>
      <c r="L99" s="391">
        <f t="shared" si="23"/>
        <v>2028</v>
      </c>
      <c r="M99" s="391">
        <f t="shared" si="23"/>
        <v>2029</v>
      </c>
      <c r="N99" s="391">
        <f t="shared" si="23"/>
        <v>2030</v>
      </c>
      <c r="O99" s="336"/>
      <c r="P99" s="302"/>
      <c r="Q99" s="694"/>
      <c r="R99" s="694"/>
      <c r="S99" s="694"/>
      <c r="T99" s="694"/>
      <c r="U99" s="694"/>
      <c r="V99" s="694"/>
      <c r="W99" s="694"/>
      <c r="X99" s="694"/>
      <c r="Y99" s="1018"/>
      <c r="Z99" s="343"/>
      <c r="AA99" s="343"/>
      <c r="AB99" s="343"/>
      <c r="AC99" s="343"/>
      <c r="AD99" s="343"/>
      <c r="AE99" s="343"/>
      <c r="AF99" s="343"/>
      <c r="AG99" s="343"/>
      <c r="AH99" s="343"/>
      <c r="AI99" s="343"/>
      <c r="AJ99" s="343"/>
      <c r="AK99" s="343"/>
    </row>
    <row r="100" spans="1:37" ht="12.65" customHeight="1" x14ac:dyDescent="0.25">
      <c r="A100" s="694"/>
      <c r="B100" s="698"/>
      <c r="C100" s="698"/>
      <c r="D100" s="698"/>
      <c r="E100" s="2687" t="str">
        <f>Translations!$B$256</f>
        <v>Емисии, свързани с производство на топлинна енергия</v>
      </c>
      <c r="F100" s="2258"/>
      <c r="G100" s="1016" t="str">
        <f>EUconst_tCO2pa</f>
        <v>t CO2 / година</v>
      </c>
      <c r="H100" s="1024" t="str">
        <f>IF(AND(ISNUMBER(H83),ISNUMBER(H84),ISNUMBER(H92),ISNUMBER(H93)),IFERROR(H83/H92/(H83/H92+H84/H93),0)*SUM(H75),"")</f>
        <v/>
      </c>
      <c r="I100" s="1024" t="str">
        <f t="shared" ref="I100:N100" si="24">IF(AND(ISNUMBER(I83),ISNUMBER(I84),ISNUMBER(I92),ISNUMBER(I93)),IFERROR(I83/I92/(I83/I92+I84/I93),0)*SUM(I75),"")</f>
        <v/>
      </c>
      <c r="J100" s="1024" t="str">
        <f t="shared" si="24"/>
        <v/>
      </c>
      <c r="K100" s="1024" t="str">
        <f t="shared" si="24"/>
        <v/>
      </c>
      <c r="L100" s="1024" t="str">
        <f t="shared" si="24"/>
        <v/>
      </c>
      <c r="M100" s="1024" t="str">
        <f t="shared" si="24"/>
        <v/>
      </c>
      <c r="N100" s="1024" t="str">
        <f t="shared" si="24"/>
        <v/>
      </c>
      <c r="O100" s="336"/>
      <c r="P100" s="302"/>
      <c r="Q100" s="694"/>
      <c r="R100" s="694"/>
      <c r="S100" s="694"/>
      <c r="T100" s="694"/>
      <c r="U100" s="694"/>
      <c r="V100" s="694"/>
      <c r="W100" s="694"/>
      <c r="X100" s="694"/>
      <c r="Y100" s="1018"/>
      <c r="Z100" s="343"/>
      <c r="AA100" s="343"/>
      <c r="AB100" s="343"/>
      <c r="AC100" s="343"/>
      <c r="AD100" s="343"/>
      <c r="AE100" s="343"/>
      <c r="AF100" s="343"/>
      <c r="AG100" s="343"/>
      <c r="AH100" s="343"/>
      <c r="AI100" s="343"/>
      <c r="AJ100" s="343"/>
      <c r="AK100" s="343"/>
    </row>
    <row r="101" spans="1:37" ht="12.65" customHeight="1" x14ac:dyDescent="0.25">
      <c r="A101" s="694"/>
      <c r="B101" s="698"/>
      <c r="C101" s="698"/>
      <c r="D101" s="698"/>
      <c r="E101" s="2687" t="str">
        <f>Translations!$B$257</f>
        <v>Емисионен фактор, топлинна енергия:</v>
      </c>
      <c r="F101" s="2258"/>
      <c r="G101" s="1016" t="str">
        <f>EUconst_tCO2pTJ</f>
        <v>t CO2 / TJ</v>
      </c>
      <c r="H101" s="1024" t="str">
        <f>IF(AND(ISNUMBER(H62),ISNUMBER(H100)),IFERROR(H100/H62,""),"")</f>
        <v/>
      </c>
      <c r="I101" s="1024" t="str">
        <f t="shared" ref="I101:N101" si="25">IF(AND(ISNUMBER(I62),ISNUMBER(I100)),IFERROR(I100/I62,""),"")</f>
        <v/>
      </c>
      <c r="J101" s="1024" t="str">
        <f t="shared" si="25"/>
        <v/>
      </c>
      <c r="K101" s="1024" t="str">
        <f t="shared" si="25"/>
        <v/>
      </c>
      <c r="L101" s="1024" t="str">
        <f t="shared" si="25"/>
        <v/>
      </c>
      <c r="M101" s="1024" t="str">
        <f t="shared" si="25"/>
        <v/>
      </c>
      <c r="N101" s="1024" t="str">
        <f t="shared" si="25"/>
        <v/>
      </c>
      <c r="O101" s="336"/>
      <c r="P101" s="302"/>
      <c r="Q101" s="694"/>
      <c r="R101" s="694"/>
      <c r="S101" s="694"/>
      <c r="T101" s="694"/>
      <c r="U101" s="694"/>
      <c r="V101" s="694"/>
      <c r="W101" s="694"/>
      <c r="X101" s="694"/>
      <c r="Y101" s="1018"/>
      <c r="Z101" s="343"/>
      <c r="AA101" s="343"/>
      <c r="AB101" s="343"/>
      <c r="AC101" s="343"/>
      <c r="AD101" s="343"/>
      <c r="AE101" s="343"/>
      <c r="AF101" s="343"/>
      <c r="AG101" s="343"/>
      <c r="AH101" s="343"/>
      <c r="AI101" s="343"/>
      <c r="AJ101" s="343"/>
      <c r="AK101" s="343"/>
    </row>
    <row r="102" spans="1:37" ht="5.15" customHeight="1" x14ac:dyDescent="0.25">
      <c r="A102" s="694"/>
      <c r="B102" s="698"/>
      <c r="C102" s="698"/>
      <c r="D102" s="698"/>
      <c r="E102" s="698"/>
      <c r="F102" s="698"/>
      <c r="G102" s="698"/>
      <c r="H102" s="698"/>
      <c r="I102" s="698"/>
      <c r="J102" s="698"/>
      <c r="K102" s="698"/>
      <c r="L102" s="698"/>
      <c r="M102" s="698"/>
      <c r="N102" s="698"/>
      <c r="O102" s="336"/>
      <c r="P102" s="302"/>
      <c r="Q102" s="694"/>
      <c r="R102" s="694"/>
      <c r="S102" s="694"/>
      <c r="T102" s="694"/>
      <c r="U102" s="694"/>
      <c r="V102" s="694"/>
      <c r="W102" s="694"/>
      <c r="X102" s="694"/>
      <c r="Y102" s="1018"/>
      <c r="Z102" s="343"/>
      <c r="AA102" s="343"/>
      <c r="AB102" s="343"/>
      <c r="AC102" s="343"/>
      <c r="AD102" s="343"/>
      <c r="AE102" s="343"/>
      <c r="AF102" s="343"/>
      <c r="AG102" s="343"/>
      <c r="AH102" s="343"/>
      <c r="AI102" s="343"/>
      <c r="AJ102" s="343"/>
      <c r="AK102" s="343"/>
    </row>
    <row r="103" spans="1:37" ht="13" customHeight="1" x14ac:dyDescent="0.25">
      <c r="A103" s="694"/>
      <c r="B103" s="284"/>
      <c r="C103" s="284"/>
      <c r="D103" s="300" t="s">
        <v>279</v>
      </c>
      <c r="E103" s="2463" t="str">
        <f>Translations!$B$258</f>
        <v>Вложени горива, свързани с производството на топлинна и електрическа енергия</v>
      </c>
      <c r="F103" s="2240"/>
      <c r="G103" s="2240"/>
      <c r="H103" s="2240"/>
      <c r="I103" s="2240"/>
      <c r="J103" s="2240"/>
      <c r="K103" s="2240"/>
      <c r="L103" s="2240"/>
      <c r="M103" s="2240"/>
      <c r="N103" s="2240"/>
      <c r="O103" s="336"/>
      <c r="P103" s="302"/>
      <c r="Q103" s="770"/>
      <c r="R103" s="694"/>
      <c r="S103" s="694"/>
      <c r="T103" s="694"/>
      <c r="U103" s="694"/>
      <c r="V103" s="694"/>
      <c r="W103" s="694"/>
      <c r="X103" s="694"/>
      <c r="Y103" s="1018"/>
      <c r="Z103" s="343"/>
      <c r="AA103" s="343"/>
      <c r="AB103" s="343"/>
      <c r="AC103" s="343"/>
      <c r="AD103" s="343"/>
      <c r="AE103" s="343"/>
      <c r="AF103" s="343"/>
      <c r="AG103" s="343"/>
      <c r="AH103" s="343"/>
      <c r="AI103" s="343"/>
      <c r="AJ103" s="343"/>
      <c r="AK103" s="343"/>
    </row>
    <row r="104" spans="1:37" ht="12.75" customHeight="1" x14ac:dyDescent="0.25">
      <c r="A104" s="694"/>
      <c r="B104" s="284"/>
      <c r="C104" s="284"/>
      <c r="D104" s="302"/>
      <c r="E104" s="2293" t="str">
        <f>Translations!$B$259</f>
        <v>Това е крайният резултат от този инструмент. Показаните тук стойности трябва да се въведат в съответните раздели в работни листове E, F и G.</v>
      </c>
      <c r="F104" s="2240"/>
      <c r="G104" s="2240"/>
      <c r="H104" s="2240"/>
      <c r="I104" s="2240"/>
      <c r="J104" s="2240"/>
      <c r="K104" s="2240"/>
      <c r="L104" s="2240"/>
      <c r="M104" s="2240"/>
      <c r="N104" s="2240"/>
      <c r="O104" s="336"/>
      <c r="P104" s="302"/>
      <c r="Q104" s="770"/>
      <c r="R104" s="694"/>
      <c r="S104" s="694"/>
      <c r="T104" s="694"/>
      <c r="U104" s="694"/>
      <c r="V104" s="694"/>
      <c r="W104" s="694"/>
      <c r="X104" s="694"/>
      <c r="Y104" s="1018"/>
      <c r="Z104" s="343"/>
      <c r="AA104" s="343"/>
      <c r="AB104" s="343"/>
      <c r="AC104" s="343"/>
      <c r="AD104" s="343"/>
      <c r="AE104" s="343"/>
      <c r="AF104" s="343"/>
      <c r="AG104" s="343"/>
      <c r="AH104" s="343"/>
      <c r="AI104" s="343"/>
      <c r="AJ104" s="343"/>
      <c r="AK104" s="343"/>
    </row>
    <row r="105" spans="1:37" ht="13" x14ac:dyDescent="0.25">
      <c r="A105" s="694"/>
      <c r="B105" s="698"/>
      <c r="C105" s="698"/>
      <c r="D105" s="698"/>
      <c r="E105" s="1013"/>
      <c r="F105" s="1015"/>
      <c r="G105" s="390" t="str">
        <f>EUconst_Unit</f>
        <v>Единица мярка</v>
      </c>
      <c r="H105" s="391">
        <f t="shared" ref="H105:N105" si="26">H$278</f>
        <v>2024</v>
      </c>
      <c r="I105" s="391">
        <f t="shared" si="26"/>
        <v>2025</v>
      </c>
      <c r="J105" s="391">
        <f t="shared" si="26"/>
        <v>2026</v>
      </c>
      <c r="K105" s="391">
        <f t="shared" si="26"/>
        <v>2027</v>
      </c>
      <c r="L105" s="391">
        <f t="shared" si="26"/>
        <v>2028</v>
      </c>
      <c r="M105" s="391">
        <f t="shared" si="26"/>
        <v>2029</v>
      </c>
      <c r="N105" s="391">
        <f t="shared" si="26"/>
        <v>2030</v>
      </c>
      <c r="O105" s="336"/>
      <c r="P105" s="302"/>
      <c r="Q105" s="694"/>
      <c r="R105" s="694"/>
      <c r="S105" s="694"/>
      <c r="T105" s="694"/>
      <c r="U105" s="694"/>
      <c r="V105" s="694"/>
      <c r="W105" s="694"/>
      <c r="X105" s="694"/>
      <c r="Y105" s="1018"/>
      <c r="Z105" s="343"/>
      <c r="AA105" s="343"/>
      <c r="AB105" s="343"/>
      <c r="AC105" s="343"/>
      <c r="AD105" s="343"/>
      <c r="AE105" s="343"/>
      <c r="AF105" s="343"/>
      <c r="AG105" s="343"/>
      <c r="AH105" s="343"/>
      <c r="AI105" s="343"/>
      <c r="AJ105" s="343"/>
      <c r="AK105" s="343"/>
    </row>
    <row r="106" spans="1:37" ht="12.65" customHeight="1" x14ac:dyDescent="0.25">
      <c r="A106" s="694"/>
      <c r="B106" s="698"/>
      <c r="C106" s="698"/>
      <c r="D106" s="698"/>
      <c r="E106" s="2687" t="str">
        <f>Translations!$B$260</f>
        <v>Вложени горива за топлинна енергия</v>
      </c>
      <c r="F106" s="2258"/>
      <c r="G106" s="1016" t="str">
        <f>EUconst_TJpa</f>
        <v>TJ / година</v>
      </c>
      <c r="H106" s="1024" t="str">
        <f>IF(ISNUMBER(H100),IFERROR(H83/H92/(H83/H92+H84/H93)*SUM(H57),0),"")</f>
        <v/>
      </c>
      <c r="I106" s="1024" t="str">
        <f t="shared" ref="I106:N106" si="27">IF(ISNUMBER(I100),IFERROR(I83/I92/(I83/I92+I84/I93)*SUM(I57),0),"")</f>
        <v/>
      </c>
      <c r="J106" s="1024" t="str">
        <f t="shared" si="27"/>
        <v/>
      </c>
      <c r="K106" s="1024" t="str">
        <f t="shared" si="27"/>
        <v/>
      </c>
      <c r="L106" s="1024" t="str">
        <f t="shared" si="27"/>
        <v/>
      </c>
      <c r="M106" s="1024" t="str">
        <f t="shared" si="27"/>
        <v/>
      </c>
      <c r="N106" s="1024" t="str">
        <f t="shared" si="27"/>
        <v/>
      </c>
      <c r="O106" s="336"/>
      <c r="P106" s="302"/>
      <c r="Q106" s="694"/>
      <c r="R106" s="694"/>
      <c r="S106" s="694"/>
      <c r="T106" s="694"/>
      <c r="U106" s="694"/>
      <c r="V106" s="694"/>
      <c r="W106" s="694"/>
      <c r="X106" s="694"/>
      <c r="Y106" s="1018"/>
      <c r="Z106" s="343"/>
      <c r="AA106" s="343"/>
      <c r="AB106" s="343"/>
      <c r="AC106" s="343"/>
      <c r="AD106" s="343"/>
      <c r="AE106" s="343"/>
      <c r="AF106" s="343"/>
      <c r="AG106" s="343"/>
      <c r="AH106" s="343"/>
      <c r="AI106" s="343"/>
      <c r="AJ106" s="343"/>
      <c r="AK106" s="343"/>
    </row>
    <row r="107" spans="1:37" ht="12.65" customHeight="1" x14ac:dyDescent="0.25">
      <c r="A107" s="694"/>
      <c r="B107" s="698"/>
      <c r="C107" s="698"/>
      <c r="D107" s="698"/>
      <c r="E107" s="2687" t="str">
        <f>Translations!$B$261</f>
        <v>Вложени горива за електроенергия</v>
      </c>
      <c r="F107" s="2258"/>
      <c r="G107" s="1016" t="str">
        <f>EUconst_TJpa</f>
        <v>TJ / година</v>
      </c>
      <c r="H107" s="1024" t="str">
        <f>IF(ISNUMBER(H106),SUM(H57)-SUM(H106),"")</f>
        <v/>
      </c>
      <c r="I107" s="1024" t="str">
        <f t="shared" ref="I107:N107" si="28">IF(ISNUMBER(I106),SUM(I57)-SUM(I106),"")</f>
        <v/>
      </c>
      <c r="J107" s="1024" t="str">
        <f t="shared" si="28"/>
        <v/>
      </c>
      <c r="K107" s="1024" t="str">
        <f t="shared" si="28"/>
        <v/>
      </c>
      <c r="L107" s="1024" t="str">
        <f t="shared" si="28"/>
        <v/>
      </c>
      <c r="M107" s="1024" t="str">
        <f t="shared" si="28"/>
        <v/>
      </c>
      <c r="N107" s="1024" t="str">
        <f t="shared" si="28"/>
        <v/>
      </c>
      <c r="O107" s="336"/>
      <c r="P107" s="302"/>
      <c r="Q107" s="694"/>
      <c r="R107" s="694"/>
      <c r="S107" s="694"/>
      <c r="T107" s="694"/>
      <c r="U107" s="694"/>
      <c r="V107" s="694"/>
      <c r="W107" s="694"/>
      <c r="X107" s="694"/>
      <c r="Y107" s="1018"/>
      <c r="Z107" s="343"/>
      <c r="AA107" s="343"/>
      <c r="AB107" s="343"/>
      <c r="AC107" s="343"/>
      <c r="AD107" s="343"/>
      <c r="AE107" s="343"/>
      <c r="AF107" s="343"/>
      <c r="AG107" s="343"/>
      <c r="AH107" s="343"/>
      <c r="AI107" s="343"/>
      <c r="AJ107" s="343"/>
      <c r="AK107" s="343"/>
    </row>
    <row r="108" spans="1:37" ht="13" x14ac:dyDescent="0.25">
      <c r="A108" s="694"/>
      <c r="B108" s="698"/>
      <c r="C108" s="698"/>
      <c r="D108" s="698"/>
      <c r="E108" s="1025"/>
      <c r="F108" s="698"/>
      <c r="G108" s="698"/>
      <c r="H108" s="698"/>
      <c r="I108" s="698"/>
      <c r="J108" s="698"/>
      <c r="K108" s="698"/>
      <c r="L108" s="698"/>
      <c r="M108" s="698"/>
      <c r="N108" s="698"/>
      <c r="O108" s="336"/>
      <c r="P108" s="302"/>
      <c r="Q108" s="694"/>
      <c r="R108" s="694"/>
      <c r="S108" s="694"/>
      <c r="T108" s="694"/>
      <c r="U108" s="694"/>
      <c r="V108" s="694"/>
      <c r="W108" s="694"/>
      <c r="X108" s="694"/>
      <c r="Y108" s="1018"/>
      <c r="Z108" s="343"/>
      <c r="AA108" s="343"/>
      <c r="AB108" s="343"/>
      <c r="AC108" s="343"/>
      <c r="AD108" s="343"/>
      <c r="AE108" s="343"/>
      <c r="AF108" s="343"/>
      <c r="AG108" s="343"/>
      <c r="AH108" s="343"/>
      <c r="AI108" s="343"/>
      <c r="AJ108" s="343"/>
      <c r="AK108" s="343"/>
    </row>
    <row r="109" spans="1:37" ht="14.15" customHeight="1" x14ac:dyDescent="0.3">
      <c r="A109" s="694"/>
      <c r="B109" s="284"/>
      <c r="C109" s="357">
        <v>2</v>
      </c>
      <c r="D109" s="2682" t="str">
        <f>Translations!$B$227</f>
        <v>Инструмент за изчисление на емисиите, свързани с производството на топлинна енергия в агрегати за комбинирано производство на топлинна и електрическа енергия (агрегат за КПТЕ)</v>
      </c>
      <c r="E109" s="2240"/>
      <c r="F109" s="2240"/>
      <c r="G109" s="2240"/>
      <c r="H109" s="2240"/>
      <c r="I109" s="2240"/>
      <c r="J109" s="2240"/>
      <c r="K109" s="2240"/>
      <c r="L109" s="2240"/>
      <c r="M109" s="2240"/>
      <c r="N109" s="2240"/>
      <c r="O109" s="336"/>
      <c r="P109" s="302"/>
      <c r="Q109" s="770"/>
      <c r="R109" s="694"/>
      <c r="S109" s="694"/>
      <c r="T109" s="694"/>
      <c r="U109" s="694"/>
      <c r="V109" s="694"/>
      <c r="W109" s="694"/>
      <c r="X109" s="694"/>
      <c r="Y109" s="1018"/>
      <c r="Z109" s="343"/>
      <c r="AA109" s="343"/>
      <c r="AB109" s="343"/>
      <c r="AC109" s="343"/>
      <c r="AD109" s="343"/>
      <c r="AE109" s="343"/>
      <c r="AF109" s="343"/>
      <c r="AG109" s="343"/>
      <c r="AH109" s="343"/>
      <c r="AI109" s="343"/>
      <c r="AJ109" s="343"/>
      <c r="AK109" s="343"/>
    </row>
    <row r="110" spans="1:37" ht="5.15" customHeight="1" x14ac:dyDescent="0.25">
      <c r="A110" s="694"/>
      <c r="B110" s="284"/>
      <c r="C110" s="284"/>
      <c r="D110" s="284"/>
      <c r="E110" s="284"/>
      <c r="F110" s="284"/>
      <c r="G110" s="284"/>
      <c r="H110" s="284"/>
      <c r="I110" s="284"/>
      <c r="J110" s="284"/>
      <c r="K110" s="284"/>
      <c r="L110" s="284"/>
      <c r="M110" s="284"/>
      <c r="N110" s="336"/>
      <c r="O110" s="336"/>
      <c r="P110" s="302"/>
      <c r="Q110" s="770"/>
      <c r="R110" s="694"/>
      <c r="S110" s="694"/>
      <c r="T110" s="694"/>
      <c r="U110" s="694"/>
      <c r="V110" s="694"/>
      <c r="W110" s="694"/>
      <c r="X110" s="694"/>
      <c r="Y110" s="1018"/>
      <c r="Z110" s="343"/>
      <c r="AA110" s="343"/>
      <c r="AB110" s="343"/>
      <c r="AC110" s="343"/>
      <c r="AD110" s="343"/>
      <c r="AE110" s="343"/>
      <c r="AF110" s="343"/>
      <c r="AG110" s="343"/>
      <c r="AH110" s="343"/>
      <c r="AI110" s="343"/>
      <c r="AJ110" s="343"/>
      <c r="AK110" s="343"/>
    </row>
    <row r="111" spans="1:37" ht="13" customHeight="1" x14ac:dyDescent="0.25">
      <c r="A111" s="694"/>
      <c r="B111" s="698"/>
      <c r="C111" s="698"/>
      <c r="D111" s="698"/>
      <c r="E111" s="2683" t="str">
        <f>HYPERLINK(R111,CONCATENATE(EUconst_MsgSeeFirst," (D.III.1)"))</f>
        <v>Подробни указания за въвеждането на данни в този модул могат да бъдат намерени в началото на модула.  (D.III.1)</v>
      </c>
      <c r="F111" s="2240"/>
      <c r="G111" s="2240"/>
      <c r="H111" s="2240"/>
      <c r="I111" s="2240"/>
      <c r="J111" s="2240"/>
      <c r="K111" s="2240"/>
      <c r="L111" s="2240"/>
      <c r="M111" s="2240"/>
      <c r="N111" s="2240"/>
      <c r="O111" s="336"/>
      <c r="P111" s="302"/>
      <c r="Q111" s="694" t="s">
        <v>450</v>
      </c>
      <c r="R111" s="1026" t="str">
        <f>"#"&amp;ADDRESS(ROW(C52),COLUMN(C52))</f>
        <v>#$C$52</v>
      </c>
      <c r="S111" s="694"/>
      <c r="T111" s="694"/>
      <c r="U111" s="694"/>
      <c r="V111" s="694"/>
      <c r="W111" s="694"/>
      <c r="X111" s="694"/>
      <c r="Y111" s="1018"/>
      <c r="Z111" s="343"/>
      <c r="AA111" s="343"/>
      <c r="AB111" s="343"/>
      <c r="AC111" s="343"/>
      <c r="AD111" s="343"/>
      <c r="AE111" s="343"/>
      <c r="AF111" s="343"/>
      <c r="AG111" s="343"/>
      <c r="AH111" s="343"/>
      <c r="AI111" s="343"/>
      <c r="AJ111" s="343"/>
      <c r="AK111" s="343"/>
    </row>
    <row r="112" spans="1:37" ht="5.15" customHeight="1" x14ac:dyDescent="0.25">
      <c r="A112" s="694"/>
      <c r="B112" s="284"/>
      <c r="C112" s="284"/>
      <c r="D112" s="284"/>
      <c r="E112" s="284"/>
      <c r="F112" s="284"/>
      <c r="G112" s="284"/>
      <c r="H112" s="284"/>
      <c r="I112" s="284"/>
      <c r="J112" s="284"/>
      <c r="K112" s="284"/>
      <c r="L112" s="284"/>
      <c r="M112" s="284"/>
      <c r="N112" s="336"/>
      <c r="O112" s="336"/>
      <c r="P112" s="302"/>
      <c r="Q112" s="770"/>
      <c r="R112" s="694"/>
      <c r="S112" s="694"/>
      <c r="T112" s="694"/>
      <c r="U112" s="694"/>
      <c r="V112" s="694"/>
      <c r="W112" s="694"/>
      <c r="X112" s="694"/>
      <c r="Y112" s="1018"/>
      <c r="Z112" s="343"/>
      <c r="AA112" s="343"/>
      <c r="AB112" s="343"/>
      <c r="AC112" s="343"/>
      <c r="AD112" s="343"/>
      <c r="AE112" s="343"/>
      <c r="AF112" s="343"/>
      <c r="AG112" s="343"/>
      <c r="AH112" s="343"/>
      <c r="AI112" s="343"/>
      <c r="AJ112" s="343"/>
      <c r="AK112" s="343"/>
    </row>
    <row r="113" spans="1:37" ht="13" customHeight="1" x14ac:dyDescent="0.25">
      <c r="A113" s="694"/>
      <c r="B113" s="284"/>
      <c r="C113" s="284"/>
      <c r="D113" s="300" t="s">
        <v>408</v>
      </c>
      <c r="E113" s="2463" t="str">
        <f>Translations!$B$228</f>
        <v>Общо количество вложено гориво в агрегати за КПТЕ</v>
      </c>
      <c r="F113" s="2240"/>
      <c r="G113" s="2240"/>
      <c r="H113" s="2240"/>
      <c r="I113" s="2240"/>
      <c r="J113" s="2240"/>
      <c r="K113" s="2240"/>
      <c r="L113" s="2240"/>
      <c r="M113" s="2240"/>
      <c r="N113" s="2240"/>
      <c r="O113" s="336"/>
      <c r="P113" s="302"/>
      <c r="Q113" s="770"/>
      <c r="R113" s="694"/>
      <c r="S113" s="694"/>
      <c r="T113" s="694"/>
      <c r="U113" s="694"/>
      <c r="V113" s="694"/>
      <c r="W113" s="694"/>
      <c r="X113" s="694"/>
      <c r="Y113" s="1018"/>
      <c r="Z113" s="343"/>
      <c r="AA113" s="343"/>
      <c r="AB113" s="343"/>
      <c r="AC113" s="343"/>
      <c r="AD113" s="343"/>
      <c r="AE113" s="343"/>
      <c r="AF113" s="343"/>
      <c r="AG113" s="343"/>
      <c r="AH113" s="343"/>
      <c r="AI113" s="343"/>
      <c r="AJ113" s="343"/>
      <c r="AK113" s="343"/>
    </row>
    <row r="114" spans="1:37" ht="13" x14ac:dyDescent="0.25">
      <c r="A114" s="694"/>
      <c r="B114" s="698"/>
      <c r="C114" s="698"/>
      <c r="D114" s="698"/>
      <c r="E114" s="1013"/>
      <c r="F114" s="1015"/>
      <c r="G114" s="390" t="str">
        <f>EUconst_Unit</f>
        <v>Единица мярка</v>
      </c>
      <c r="H114" s="391">
        <f t="shared" ref="H114:N114" si="29">H$278</f>
        <v>2024</v>
      </c>
      <c r="I114" s="391">
        <f t="shared" si="29"/>
        <v>2025</v>
      </c>
      <c r="J114" s="391">
        <f t="shared" si="29"/>
        <v>2026</v>
      </c>
      <c r="K114" s="391">
        <f t="shared" si="29"/>
        <v>2027</v>
      </c>
      <c r="L114" s="391">
        <f t="shared" si="29"/>
        <v>2028</v>
      </c>
      <c r="M114" s="391">
        <f t="shared" si="29"/>
        <v>2029</v>
      </c>
      <c r="N114" s="391">
        <f t="shared" si="29"/>
        <v>2030</v>
      </c>
      <c r="O114" s="336"/>
      <c r="P114" s="302"/>
      <c r="Q114" s="694"/>
      <c r="R114" s="694"/>
      <c r="S114" s="694"/>
      <c r="T114" s="694"/>
      <c r="U114" s="694"/>
      <c r="V114" s="694"/>
      <c r="W114" s="694"/>
      <c r="X114" s="694"/>
      <c r="Y114" s="1018"/>
      <c r="Z114" s="343"/>
      <c r="AA114" s="343"/>
      <c r="AB114" s="343"/>
      <c r="AC114" s="343"/>
      <c r="AD114" s="343"/>
      <c r="AE114" s="343"/>
      <c r="AF114" s="343"/>
      <c r="AG114" s="343"/>
      <c r="AH114" s="343"/>
      <c r="AI114" s="343"/>
      <c r="AJ114" s="343"/>
      <c r="AK114" s="343"/>
    </row>
    <row r="115" spans="1:37" ht="12.65" customHeight="1" x14ac:dyDescent="0.25">
      <c r="A115" s="694"/>
      <c r="B115" s="698"/>
      <c r="C115" s="698"/>
      <c r="D115" s="698"/>
      <c r="E115" s="2687" t="str">
        <f>Translations!$B$230</f>
        <v>Гориво, вложено в КПТЕ</v>
      </c>
      <c r="F115" s="2258"/>
      <c r="G115" s="1016" t="str">
        <f>EUconst_TJpa</f>
        <v>TJ / година</v>
      </c>
      <c r="H115" s="39"/>
      <c r="I115" s="39"/>
      <c r="J115" s="39"/>
      <c r="K115" s="39"/>
      <c r="L115" s="39"/>
      <c r="M115" s="39"/>
      <c r="N115" s="39"/>
      <c r="O115" s="336"/>
      <c r="P115" s="158"/>
      <c r="Q115" s="770"/>
      <c r="R115" s="694"/>
      <c r="S115" s="694"/>
      <c r="T115" s="694"/>
      <c r="U115" s="694"/>
      <c r="V115" s="694"/>
      <c r="W115" s="694"/>
      <c r="X115" s="694"/>
      <c r="Y115" s="1019" t="b">
        <f>Y93</f>
        <v>0</v>
      </c>
      <c r="Z115" s="343"/>
      <c r="AA115" s="343"/>
      <c r="AB115" s="343"/>
      <c r="AC115" s="343"/>
      <c r="AD115" s="343"/>
      <c r="AE115" s="343"/>
      <c r="AF115" s="343"/>
      <c r="AG115" s="343"/>
      <c r="AH115" s="343"/>
      <c r="AI115" s="343"/>
      <c r="AJ115" s="732" t="s">
        <v>2039</v>
      </c>
      <c r="AK115" s="875" t="str">
        <f>EUconst_NA</f>
        <v>Не е приложимо</v>
      </c>
    </row>
    <row r="116" spans="1:37" ht="5.15" customHeight="1" x14ac:dyDescent="0.25">
      <c r="A116" s="694"/>
      <c r="B116" s="698"/>
      <c r="C116" s="698"/>
      <c r="D116" s="698"/>
      <c r="E116" s="698"/>
      <c r="F116" s="698"/>
      <c r="G116" s="698"/>
      <c r="H116" s="698"/>
      <c r="I116" s="698"/>
      <c r="J116" s="698"/>
      <c r="K116" s="698"/>
      <c r="L116" s="698"/>
      <c r="M116" s="698"/>
      <c r="N116" s="698"/>
      <c r="O116" s="336"/>
      <c r="P116" s="302"/>
      <c r="Q116" s="694"/>
      <c r="R116" s="694"/>
      <c r="S116" s="694"/>
      <c r="T116" s="694"/>
      <c r="U116" s="694"/>
      <c r="V116" s="694"/>
      <c r="W116" s="694"/>
      <c r="X116" s="694"/>
      <c r="Y116" s="1018"/>
      <c r="Z116" s="343"/>
      <c r="AA116" s="343"/>
      <c r="AB116" s="343"/>
      <c r="AC116" s="343"/>
      <c r="AD116" s="343"/>
      <c r="AE116" s="343"/>
      <c r="AF116" s="343"/>
      <c r="AG116" s="343"/>
      <c r="AH116" s="343"/>
      <c r="AI116" s="343"/>
      <c r="AJ116" s="343"/>
      <c r="AK116" s="343"/>
    </row>
    <row r="117" spans="1:37" ht="13" customHeight="1" x14ac:dyDescent="0.25">
      <c r="A117" s="694"/>
      <c r="B117" s="284"/>
      <c r="C117" s="284"/>
      <c r="D117" s="300" t="s">
        <v>901</v>
      </c>
      <c r="E117" s="2463" t="str">
        <f>Translations!$B$231</f>
        <v>Изходяща топлинна енергия от КПТЕ</v>
      </c>
      <c r="F117" s="2240"/>
      <c r="G117" s="2240"/>
      <c r="H117" s="2240"/>
      <c r="I117" s="2240"/>
      <c r="J117" s="2240"/>
      <c r="K117" s="2240"/>
      <c r="L117" s="2240"/>
      <c r="M117" s="2240"/>
      <c r="N117" s="2240"/>
      <c r="O117" s="336"/>
      <c r="P117" s="302"/>
      <c r="Q117" s="770"/>
      <c r="R117" s="694"/>
      <c r="S117" s="694"/>
      <c r="T117" s="694"/>
      <c r="U117" s="694"/>
      <c r="V117" s="694"/>
      <c r="W117" s="694"/>
      <c r="X117" s="694"/>
      <c r="Y117" s="1018"/>
      <c r="Z117" s="343"/>
      <c r="AA117" s="343"/>
      <c r="AB117" s="343"/>
      <c r="AC117" s="343"/>
      <c r="AD117" s="343"/>
      <c r="AE117" s="343"/>
      <c r="AF117" s="343"/>
      <c r="AG117" s="343"/>
      <c r="AH117" s="343"/>
      <c r="AI117" s="343"/>
      <c r="AJ117" s="343"/>
      <c r="AK117" s="343"/>
    </row>
    <row r="118" spans="1:37" ht="13" x14ac:dyDescent="0.25">
      <c r="A118" s="694"/>
      <c r="B118" s="284"/>
      <c r="C118" s="284"/>
      <c r="D118" s="302"/>
      <c r="E118" s="1013"/>
      <c r="F118" s="1015"/>
      <c r="G118" s="390" t="str">
        <f>EUconst_Unit</f>
        <v>Единица мярка</v>
      </c>
      <c r="H118" s="391">
        <f t="shared" ref="H118:N118" si="30">H$278</f>
        <v>2024</v>
      </c>
      <c r="I118" s="391">
        <f t="shared" si="30"/>
        <v>2025</v>
      </c>
      <c r="J118" s="391">
        <f t="shared" si="30"/>
        <v>2026</v>
      </c>
      <c r="K118" s="391">
        <f t="shared" si="30"/>
        <v>2027</v>
      </c>
      <c r="L118" s="391">
        <f t="shared" si="30"/>
        <v>2028</v>
      </c>
      <c r="M118" s="391">
        <f t="shared" si="30"/>
        <v>2029</v>
      </c>
      <c r="N118" s="391">
        <f t="shared" si="30"/>
        <v>2030</v>
      </c>
      <c r="O118" s="336"/>
      <c r="P118" s="302"/>
      <c r="Q118" s="770"/>
      <c r="R118" s="694"/>
      <c r="S118" s="694"/>
      <c r="T118" s="694"/>
      <c r="U118" s="694"/>
      <c r="V118" s="694"/>
      <c r="W118" s="694"/>
      <c r="X118" s="694"/>
      <c r="Y118" s="1018"/>
      <c r="Z118" s="343"/>
      <c r="AA118" s="343"/>
      <c r="AB118" s="343"/>
      <c r="AC118" s="343"/>
      <c r="AD118" s="343"/>
      <c r="AE118" s="343"/>
      <c r="AF118" s="343"/>
      <c r="AG118" s="343"/>
      <c r="AH118" s="343"/>
      <c r="AI118" s="343"/>
      <c r="AJ118" s="343"/>
      <c r="AK118" s="343"/>
    </row>
    <row r="119" spans="1:37" ht="12.65" customHeight="1" x14ac:dyDescent="0.25">
      <c r="A119" s="694"/>
      <c r="B119" s="698"/>
      <c r="C119" s="698"/>
      <c r="D119" s="698"/>
      <c r="E119" s="2687" t="str">
        <f>Translations!$B$231</f>
        <v>Изходяща топлинна енергия от КПТЕ</v>
      </c>
      <c r="F119" s="2258"/>
      <c r="G119" s="1016" t="str">
        <f>EUconst_TJpa</f>
        <v>TJ / година</v>
      </c>
      <c r="H119" s="39"/>
      <c r="I119" s="39"/>
      <c r="J119" s="39"/>
      <c r="K119" s="39"/>
      <c r="L119" s="39"/>
      <c r="M119" s="39"/>
      <c r="N119" s="39"/>
      <c r="O119" s="336"/>
      <c r="P119" s="158"/>
      <c r="Q119" s="694"/>
      <c r="R119" s="694"/>
      <c r="S119" s="694"/>
      <c r="T119" s="694"/>
      <c r="U119" s="694"/>
      <c r="V119" s="694"/>
      <c r="W119" s="694"/>
      <c r="X119" s="694"/>
      <c r="Y119" s="1019" t="b">
        <f>Y115</f>
        <v>0</v>
      </c>
      <c r="Z119" s="343"/>
      <c r="AA119" s="343"/>
      <c r="AB119" s="343"/>
      <c r="AC119" s="343"/>
      <c r="AD119" s="343"/>
      <c r="AE119" s="343"/>
      <c r="AF119" s="343"/>
      <c r="AG119" s="343"/>
      <c r="AH119" s="343"/>
      <c r="AI119" s="343"/>
      <c r="AJ119" s="732" t="s">
        <v>2039</v>
      </c>
      <c r="AK119" s="875" t="str">
        <f>EUconst_NA</f>
        <v>Не е приложимо</v>
      </c>
    </row>
    <row r="120" spans="1:37" ht="5.15" customHeight="1" x14ac:dyDescent="0.25">
      <c r="A120" s="694"/>
      <c r="B120" s="698"/>
      <c r="C120" s="698"/>
      <c r="D120" s="698"/>
      <c r="E120" s="698"/>
      <c r="F120" s="698"/>
      <c r="G120" s="698"/>
      <c r="H120" s="698"/>
      <c r="I120" s="698"/>
      <c r="J120" s="698"/>
      <c r="K120" s="698"/>
      <c r="L120" s="698"/>
      <c r="M120" s="698"/>
      <c r="N120" s="698"/>
      <c r="O120" s="336"/>
      <c r="P120" s="302"/>
      <c r="Q120" s="694"/>
      <c r="R120" s="694"/>
      <c r="S120" s="694"/>
      <c r="T120" s="694"/>
      <c r="U120" s="694"/>
      <c r="V120" s="694"/>
      <c r="W120" s="694"/>
      <c r="X120" s="694"/>
      <c r="Y120" s="1018"/>
      <c r="Z120" s="343"/>
      <c r="AA120" s="343"/>
      <c r="AB120" s="343"/>
      <c r="AC120" s="343"/>
      <c r="AD120" s="343"/>
      <c r="AE120" s="343"/>
      <c r="AF120" s="343"/>
      <c r="AG120" s="343"/>
      <c r="AH120" s="343"/>
      <c r="AI120" s="343"/>
      <c r="AJ120" s="343"/>
      <c r="AK120" s="343"/>
    </row>
    <row r="121" spans="1:37" ht="13" customHeight="1" x14ac:dyDescent="0.25">
      <c r="A121" s="694"/>
      <c r="B121" s="284"/>
      <c r="C121" s="284"/>
      <c r="D121" s="300" t="s">
        <v>46</v>
      </c>
      <c r="E121" s="2463" t="str">
        <f>Translations!$B$232</f>
        <v>Изходяща електроенергия от КПТЕ</v>
      </c>
      <c r="F121" s="2240"/>
      <c r="G121" s="2240"/>
      <c r="H121" s="2240"/>
      <c r="I121" s="2240"/>
      <c r="J121" s="2240"/>
      <c r="K121" s="2240"/>
      <c r="L121" s="2240"/>
      <c r="M121" s="2240"/>
      <c r="N121" s="2240"/>
      <c r="O121" s="336"/>
      <c r="P121" s="302"/>
      <c r="Q121" s="770"/>
      <c r="R121" s="694"/>
      <c r="S121" s="694"/>
      <c r="T121" s="694"/>
      <c r="U121" s="694"/>
      <c r="V121" s="694"/>
      <c r="W121" s="694"/>
      <c r="X121" s="694"/>
      <c r="Y121" s="1018"/>
      <c r="Z121" s="343"/>
      <c r="AA121" s="343"/>
      <c r="AB121" s="343"/>
      <c r="AC121" s="343"/>
      <c r="AD121" s="343"/>
      <c r="AE121" s="343"/>
      <c r="AF121" s="343"/>
      <c r="AG121" s="343"/>
      <c r="AH121" s="343"/>
      <c r="AI121" s="343"/>
      <c r="AJ121" s="343"/>
      <c r="AK121" s="343"/>
    </row>
    <row r="122" spans="1:37" ht="13" x14ac:dyDescent="0.25">
      <c r="A122" s="694"/>
      <c r="B122" s="284"/>
      <c r="C122" s="284"/>
      <c r="D122" s="302"/>
      <c r="E122" s="1013"/>
      <c r="F122" s="1015"/>
      <c r="G122" s="390" t="str">
        <f>EUconst_Unit</f>
        <v>Единица мярка</v>
      </c>
      <c r="H122" s="391">
        <f t="shared" ref="H122:N122" si="31">H$278</f>
        <v>2024</v>
      </c>
      <c r="I122" s="391">
        <f t="shared" si="31"/>
        <v>2025</v>
      </c>
      <c r="J122" s="391">
        <f t="shared" si="31"/>
        <v>2026</v>
      </c>
      <c r="K122" s="391">
        <f t="shared" si="31"/>
        <v>2027</v>
      </c>
      <c r="L122" s="391">
        <f t="shared" si="31"/>
        <v>2028</v>
      </c>
      <c r="M122" s="391">
        <f t="shared" si="31"/>
        <v>2029</v>
      </c>
      <c r="N122" s="391">
        <f t="shared" si="31"/>
        <v>2030</v>
      </c>
      <c r="O122" s="336"/>
      <c r="P122" s="302"/>
      <c r="Q122" s="770"/>
      <c r="R122" s="694"/>
      <c r="S122" s="694"/>
      <c r="T122" s="694"/>
      <c r="U122" s="694"/>
      <c r="V122" s="694"/>
      <c r="W122" s="694"/>
      <c r="X122" s="694"/>
      <c r="Y122" s="1018"/>
      <c r="Z122" s="343"/>
      <c r="AA122" s="343"/>
      <c r="AB122" s="343"/>
      <c r="AC122" s="343"/>
      <c r="AD122" s="343"/>
      <c r="AE122" s="343"/>
      <c r="AF122" s="343"/>
      <c r="AG122" s="343"/>
      <c r="AH122" s="343"/>
      <c r="AI122" s="343"/>
      <c r="AJ122" s="343"/>
      <c r="AK122" s="343"/>
    </row>
    <row r="123" spans="1:37" ht="12.65" customHeight="1" x14ac:dyDescent="0.25">
      <c r="A123" s="694"/>
      <c r="B123" s="284"/>
      <c r="C123" s="284"/>
      <c r="D123" s="302"/>
      <c r="E123" s="2687" t="str">
        <f>Translations!$B$233</f>
        <v>Изходяща електроенергия от КПТЕ</v>
      </c>
      <c r="F123" s="2258"/>
      <c r="G123" s="1016" t="str">
        <f>EUconst_MWhpa</f>
        <v>MWh / година</v>
      </c>
      <c r="H123" s="39"/>
      <c r="I123" s="39"/>
      <c r="J123" s="39"/>
      <c r="K123" s="39"/>
      <c r="L123" s="39"/>
      <c r="M123" s="39"/>
      <c r="N123" s="39"/>
      <c r="O123" s="336"/>
      <c r="P123" s="158"/>
      <c r="Q123" s="770"/>
      <c r="R123" s="694"/>
      <c r="S123" s="694"/>
      <c r="T123" s="694"/>
      <c r="U123" s="694"/>
      <c r="V123" s="694"/>
      <c r="W123" s="694"/>
      <c r="X123" s="694"/>
      <c r="Y123" s="1019" t="b">
        <f>Y119</f>
        <v>0</v>
      </c>
      <c r="Z123" s="343"/>
      <c r="AA123" s="343"/>
      <c r="AB123" s="343"/>
      <c r="AC123" s="343"/>
      <c r="AD123" s="343"/>
      <c r="AE123" s="343"/>
      <c r="AF123" s="343"/>
      <c r="AG123" s="343"/>
      <c r="AH123" s="343"/>
      <c r="AI123" s="343"/>
      <c r="AJ123" s="732" t="s">
        <v>2039</v>
      </c>
      <c r="AK123" s="875" t="str">
        <f>EUconst_NA</f>
        <v>Не е приложимо</v>
      </c>
    </row>
    <row r="124" spans="1:37" ht="12.65" customHeight="1" x14ac:dyDescent="0.25">
      <c r="A124" s="694"/>
      <c r="B124" s="698"/>
      <c r="C124" s="698"/>
      <c r="D124" s="698"/>
      <c r="E124" s="2687" t="str">
        <f>Translations!$B$232</f>
        <v>Изходяща електроенергия от КПТЕ</v>
      </c>
      <c r="F124" s="2258"/>
      <c r="G124" s="1016" t="str">
        <f>EUconst_TJpa</f>
        <v>TJ / година</v>
      </c>
      <c r="H124" s="1020" t="str">
        <f t="shared" ref="H124:N124" si="32">IF(ISBLANK(H123),"",H123*3.6/1000)</f>
        <v/>
      </c>
      <c r="I124" s="1020" t="str">
        <f t="shared" si="32"/>
        <v/>
      </c>
      <c r="J124" s="1020" t="str">
        <f t="shared" si="32"/>
        <v/>
      </c>
      <c r="K124" s="1020" t="str">
        <f t="shared" si="32"/>
        <v/>
      </c>
      <c r="L124" s="1020" t="str">
        <f t="shared" si="32"/>
        <v/>
      </c>
      <c r="M124" s="1020" t="str">
        <f t="shared" si="32"/>
        <v/>
      </c>
      <c r="N124" s="1020" t="str">
        <f t="shared" si="32"/>
        <v/>
      </c>
      <c r="O124" s="336"/>
      <c r="P124" s="302"/>
      <c r="Q124" s="694"/>
      <c r="R124" s="694"/>
      <c r="S124" s="694"/>
      <c r="T124" s="694"/>
      <c r="U124" s="694"/>
      <c r="V124" s="694"/>
      <c r="W124" s="694"/>
      <c r="X124" s="694"/>
      <c r="Y124" s="1019" t="b">
        <f>Y119</f>
        <v>0</v>
      </c>
      <c r="Z124" s="343"/>
      <c r="AA124" s="343"/>
      <c r="AB124" s="343"/>
      <c r="AC124" s="343"/>
      <c r="AD124" s="343"/>
      <c r="AE124" s="343"/>
      <c r="AF124" s="343"/>
      <c r="AG124" s="343"/>
      <c r="AH124" s="343"/>
      <c r="AI124" s="343"/>
      <c r="AJ124" s="732" t="s">
        <v>2039</v>
      </c>
      <c r="AK124" s="875" t="str">
        <f>EUconst_NA</f>
        <v>Не е приложимо</v>
      </c>
    </row>
    <row r="125" spans="1:37" ht="5.15" customHeight="1" x14ac:dyDescent="0.25">
      <c r="A125" s="694"/>
      <c r="B125" s="698"/>
      <c r="C125" s="698"/>
      <c r="D125" s="698"/>
      <c r="E125" s="698"/>
      <c r="F125" s="698"/>
      <c r="G125" s="698"/>
      <c r="H125" s="698"/>
      <c r="I125" s="698"/>
      <c r="J125" s="698"/>
      <c r="K125" s="698"/>
      <c r="L125" s="698"/>
      <c r="M125" s="698"/>
      <c r="N125" s="698"/>
      <c r="O125" s="336"/>
      <c r="P125" s="302"/>
      <c r="Q125" s="694"/>
      <c r="R125" s="694"/>
      <c r="S125" s="694"/>
      <c r="T125" s="694"/>
      <c r="U125" s="694"/>
      <c r="V125" s="694"/>
      <c r="W125" s="694"/>
      <c r="X125" s="694"/>
      <c r="Y125" s="1018"/>
      <c r="Z125" s="343"/>
      <c r="AA125" s="343"/>
      <c r="AB125" s="343"/>
      <c r="AC125" s="343"/>
      <c r="AD125" s="343"/>
      <c r="AE125" s="343"/>
      <c r="AF125" s="343"/>
      <c r="AG125" s="343"/>
      <c r="AH125" s="343"/>
      <c r="AI125" s="343"/>
      <c r="AJ125" s="343"/>
      <c r="AK125" s="343"/>
    </row>
    <row r="126" spans="1:37" ht="13" customHeight="1" x14ac:dyDescent="0.25">
      <c r="A126" s="694"/>
      <c r="B126" s="284"/>
      <c r="C126" s="284"/>
      <c r="D126" s="300" t="s">
        <v>906</v>
      </c>
      <c r="E126" s="2463" t="str">
        <f>Translations!$B$234</f>
        <v>Общо емисии от КПТЕ</v>
      </c>
      <c r="F126" s="2240"/>
      <c r="G126" s="2240"/>
      <c r="H126" s="2240"/>
      <c r="I126" s="2240"/>
      <c r="J126" s="2240"/>
      <c r="K126" s="2240"/>
      <c r="L126" s="2240"/>
      <c r="M126" s="2240"/>
      <c r="N126" s="2240"/>
      <c r="O126" s="336"/>
      <c r="P126" s="302"/>
      <c r="Q126" s="770"/>
      <c r="R126" s="694"/>
      <c r="S126" s="694"/>
      <c r="T126" s="694"/>
      <c r="U126" s="694"/>
      <c r="V126" s="694"/>
      <c r="W126" s="694"/>
      <c r="X126" s="694"/>
      <c r="Y126" s="1018"/>
      <c r="Z126" s="343"/>
      <c r="AA126" s="343"/>
      <c r="AB126" s="343"/>
      <c r="AC126" s="343"/>
      <c r="AD126" s="343"/>
      <c r="AE126" s="343"/>
      <c r="AF126" s="343"/>
      <c r="AG126" s="343"/>
      <c r="AH126" s="343"/>
      <c r="AI126" s="343"/>
      <c r="AJ126" s="343"/>
      <c r="AK126" s="343"/>
    </row>
    <row r="127" spans="1:37" ht="13" x14ac:dyDescent="0.25">
      <c r="A127" s="694"/>
      <c r="B127" s="284"/>
      <c r="C127" s="284"/>
      <c r="D127" s="302"/>
      <c r="E127" s="1013"/>
      <c r="F127" s="1015"/>
      <c r="G127" s="390" t="str">
        <f>EUconst_Unit</f>
        <v>Единица мярка</v>
      </c>
      <c r="H127" s="391">
        <f t="shared" ref="H127:N127" si="33">H$278</f>
        <v>2024</v>
      </c>
      <c r="I127" s="391">
        <f t="shared" si="33"/>
        <v>2025</v>
      </c>
      <c r="J127" s="391">
        <f t="shared" si="33"/>
        <v>2026</v>
      </c>
      <c r="K127" s="391">
        <f t="shared" si="33"/>
        <v>2027</v>
      </c>
      <c r="L127" s="391">
        <f t="shared" si="33"/>
        <v>2028</v>
      </c>
      <c r="M127" s="391">
        <f t="shared" si="33"/>
        <v>2029</v>
      </c>
      <c r="N127" s="391">
        <f t="shared" si="33"/>
        <v>2030</v>
      </c>
      <c r="O127" s="336"/>
      <c r="P127" s="302"/>
      <c r="Q127" s="770"/>
      <c r="R127" s="694"/>
      <c r="S127" s="694"/>
      <c r="T127" s="694"/>
      <c r="U127" s="694"/>
      <c r="V127" s="694"/>
      <c r="W127" s="694"/>
      <c r="X127" s="694"/>
      <c r="Y127" s="1018"/>
      <c r="Z127" s="343"/>
      <c r="AA127" s="343"/>
      <c r="AB127" s="343"/>
      <c r="AC127" s="343"/>
      <c r="AD127" s="343"/>
      <c r="AE127" s="343"/>
      <c r="AF127" s="343"/>
      <c r="AG127" s="343"/>
      <c r="AH127" s="343"/>
      <c r="AI127" s="343"/>
      <c r="AJ127" s="343"/>
      <c r="AK127" s="343"/>
    </row>
    <row r="128" spans="1:37" ht="12.65" customHeight="1" x14ac:dyDescent="0.25">
      <c r="A128" s="694"/>
      <c r="B128" s="698"/>
      <c r="C128" s="698"/>
      <c r="D128" s="360" t="s">
        <v>6</v>
      </c>
      <c r="E128" s="2687" t="str">
        <f>Translations!$B$236</f>
        <v>От горива, вложени в КПТЕ</v>
      </c>
      <c r="F128" s="2258"/>
      <c r="G128" s="1016" t="str">
        <f>EUconst_tCO2pa</f>
        <v>t CO2 / година</v>
      </c>
      <c r="H128" s="39"/>
      <c r="I128" s="39"/>
      <c r="J128" s="39"/>
      <c r="K128" s="39"/>
      <c r="L128" s="39"/>
      <c r="M128" s="39"/>
      <c r="N128" s="39"/>
      <c r="O128" s="336"/>
      <c r="P128" s="158"/>
      <c r="Q128" s="694"/>
      <c r="R128" s="694"/>
      <c r="S128" s="694"/>
      <c r="T128" s="694"/>
      <c r="U128" s="694"/>
      <c r="V128" s="694"/>
      <c r="W128" s="694"/>
      <c r="X128" s="694"/>
      <c r="Y128" s="1019" t="b">
        <f>Y124</f>
        <v>0</v>
      </c>
      <c r="Z128" s="343"/>
      <c r="AA128" s="343"/>
      <c r="AB128" s="343"/>
      <c r="AC128" s="343"/>
      <c r="AD128" s="343"/>
      <c r="AE128" s="343"/>
      <c r="AF128" s="343"/>
      <c r="AG128" s="343"/>
      <c r="AH128" s="343"/>
      <c r="AI128" s="343"/>
      <c r="AJ128" s="732" t="s">
        <v>2039</v>
      </c>
      <c r="AK128" s="875" t="str">
        <f>EUconst_NA</f>
        <v>Не е приложимо</v>
      </c>
    </row>
    <row r="129" spans="1:37" ht="12.65" customHeight="1" x14ac:dyDescent="0.25">
      <c r="A129" s="694"/>
      <c r="B129" s="698"/>
      <c r="C129" s="698"/>
      <c r="D129" s="360" t="s">
        <v>7</v>
      </c>
      <c r="E129" s="2687" t="str">
        <f>Translations!$B$237</f>
        <v>От очистване на димни газове</v>
      </c>
      <c r="F129" s="2258"/>
      <c r="G129" s="1016" t="str">
        <f>EUconst_tCO2pa</f>
        <v>t CO2 / година</v>
      </c>
      <c r="H129" s="39"/>
      <c r="I129" s="39"/>
      <c r="J129" s="39"/>
      <c r="K129" s="39"/>
      <c r="L129" s="39"/>
      <c r="M129" s="39"/>
      <c r="N129" s="39"/>
      <c r="O129" s="336"/>
      <c r="P129" s="158"/>
      <c r="Q129" s="694"/>
      <c r="R129" s="694"/>
      <c r="S129" s="694"/>
      <c r="T129" s="694"/>
      <c r="U129" s="694"/>
      <c r="V129" s="694"/>
      <c r="W129" s="694"/>
      <c r="X129" s="694"/>
      <c r="Y129" s="1019" t="b">
        <f>Y128</f>
        <v>0</v>
      </c>
      <c r="Z129" s="343"/>
      <c r="AA129" s="343"/>
      <c r="AB129" s="343"/>
      <c r="AC129" s="343"/>
      <c r="AD129" s="343"/>
      <c r="AE129" s="343"/>
      <c r="AF129" s="343"/>
      <c r="AG129" s="343"/>
      <c r="AH129" s="343"/>
      <c r="AI129" s="343"/>
      <c r="AJ129" s="732" t="s">
        <v>2039</v>
      </c>
      <c r="AK129" s="875" t="str">
        <f>EUconst_NA</f>
        <v>Не е приложимо</v>
      </c>
    </row>
    <row r="130" spans="1:37" ht="12.65" customHeight="1" x14ac:dyDescent="0.25">
      <c r="A130" s="694"/>
      <c r="B130" s="698"/>
      <c r="C130" s="698"/>
      <c r="D130" s="360" t="s">
        <v>8</v>
      </c>
      <c r="E130" s="2687" t="str">
        <f>Translations!$B$238</f>
        <v>Общо емисии</v>
      </c>
      <c r="F130" s="2258"/>
      <c r="G130" s="1016" t="str">
        <f>EUconst_tCO2pa</f>
        <v>t CO2 / година</v>
      </c>
      <c r="H130" s="1020" t="str">
        <f t="shared" ref="H130:N130" si="34">IF(COUNT(H128:H129)&gt;0,SUM(H128:H129),"")</f>
        <v/>
      </c>
      <c r="I130" s="1020" t="str">
        <f t="shared" si="34"/>
        <v/>
      </c>
      <c r="J130" s="1020" t="str">
        <f t="shared" si="34"/>
        <v/>
      </c>
      <c r="K130" s="1020" t="str">
        <f t="shared" si="34"/>
        <v/>
      </c>
      <c r="L130" s="1020" t="str">
        <f t="shared" si="34"/>
        <v/>
      </c>
      <c r="M130" s="1020" t="str">
        <f t="shared" si="34"/>
        <v/>
      </c>
      <c r="N130" s="1020" t="str">
        <f t="shared" si="34"/>
        <v/>
      </c>
      <c r="O130" s="336"/>
      <c r="P130" s="302"/>
      <c r="Q130" s="694"/>
      <c r="R130" s="694"/>
      <c r="S130" s="694"/>
      <c r="T130" s="694"/>
      <c r="U130" s="694"/>
      <c r="V130" s="694"/>
      <c r="W130" s="694"/>
      <c r="X130" s="694"/>
      <c r="Y130" s="1018"/>
      <c r="Z130" s="343"/>
      <c r="AA130" s="343"/>
      <c r="AB130" s="343"/>
      <c r="AC130" s="343"/>
      <c r="AD130" s="343"/>
      <c r="AE130" s="343"/>
      <c r="AF130" s="343"/>
      <c r="AG130" s="343"/>
      <c r="AH130" s="343"/>
      <c r="AI130" s="343"/>
      <c r="AJ130" s="343"/>
      <c r="AK130" s="343"/>
    </row>
    <row r="131" spans="1:37" ht="5.15" customHeight="1" x14ac:dyDescent="0.25">
      <c r="A131" s="694"/>
      <c r="B131" s="698"/>
      <c r="C131" s="698"/>
      <c r="D131" s="698"/>
      <c r="E131" s="698"/>
      <c r="F131" s="698"/>
      <c r="G131" s="698"/>
      <c r="H131" s="698"/>
      <c r="I131" s="698"/>
      <c r="J131" s="698"/>
      <c r="K131" s="698"/>
      <c r="L131" s="698"/>
      <c r="M131" s="698"/>
      <c r="N131" s="698"/>
      <c r="O131" s="336"/>
      <c r="P131" s="302"/>
      <c r="Q131" s="694"/>
      <c r="R131" s="694"/>
      <c r="S131" s="694"/>
      <c r="T131" s="694"/>
      <c r="U131" s="694"/>
      <c r="V131" s="694"/>
      <c r="W131" s="694"/>
      <c r="X131" s="694"/>
      <c r="Y131" s="1018"/>
      <c r="Z131" s="343"/>
      <c r="AA131" s="343"/>
      <c r="AB131" s="343"/>
      <c r="AC131" s="343"/>
      <c r="AD131" s="343"/>
      <c r="AE131" s="343"/>
      <c r="AF131" s="343"/>
      <c r="AG131" s="343"/>
      <c r="AH131" s="343"/>
      <c r="AI131" s="343"/>
      <c r="AJ131" s="343"/>
      <c r="AK131" s="343"/>
    </row>
    <row r="132" spans="1:37" ht="12.75" customHeight="1" x14ac:dyDescent="0.25">
      <c r="A132" s="694"/>
      <c r="B132" s="698"/>
      <c r="C132" s="698"/>
      <c r="D132" s="300" t="s">
        <v>54</v>
      </c>
      <c r="E132" s="2463" t="str">
        <f>Translations!$B$239</f>
        <v>Възприети стойности на к.п.д.:</v>
      </c>
      <c r="F132" s="2240"/>
      <c r="G132" s="2240"/>
      <c r="H132" s="2240"/>
      <c r="I132" s="2240"/>
      <c r="J132" s="1021" t="str">
        <f>Translations!$B$240</f>
        <v>Топлинна енергия:</v>
      </c>
      <c r="K132" s="1022">
        <v>0.55000000000000004</v>
      </c>
      <c r="L132" s="698"/>
      <c r="M132" s="1021" t="str">
        <f>Translations!$B$241</f>
        <v>Електроенергия:</v>
      </c>
      <c r="N132" s="1022">
        <v>0.25</v>
      </c>
      <c r="O132" s="336"/>
      <c r="P132" s="302"/>
      <c r="Q132" s="694"/>
      <c r="R132" s="694"/>
      <c r="S132" s="694"/>
      <c r="T132" s="694"/>
      <c r="U132" s="694"/>
      <c r="V132" s="694"/>
      <c r="W132" s="694"/>
      <c r="X132" s="694"/>
      <c r="Y132" s="1018"/>
      <c r="Z132" s="343"/>
      <c r="AA132" s="343"/>
      <c r="AB132" s="343"/>
      <c r="AC132" s="343"/>
      <c r="AD132" s="343"/>
      <c r="AE132" s="343"/>
      <c r="AF132" s="343"/>
      <c r="AG132" s="343"/>
      <c r="AH132" s="343"/>
      <c r="AI132" s="343"/>
      <c r="AJ132" s="343"/>
      <c r="AK132" s="343"/>
    </row>
    <row r="133" spans="1:37" ht="5.15" customHeight="1" x14ac:dyDescent="0.25">
      <c r="A133" s="694"/>
      <c r="B133" s="698"/>
      <c r="C133" s="698"/>
      <c r="D133" s="698"/>
      <c r="E133" s="698"/>
      <c r="F133" s="698"/>
      <c r="G133" s="698"/>
      <c r="H133" s="698"/>
      <c r="I133" s="698"/>
      <c r="J133" s="698"/>
      <c r="K133" s="698"/>
      <c r="L133" s="698"/>
      <c r="M133" s="698"/>
      <c r="N133" s="698"/>
      <c r="O133" s="336"/>
      <c r="P133" s="302"/>
      <c r="Q133" s="694"/>
      <c r="R133" s="694"/>
      <c r="S133" s="694"/>
      <c r="T133" s="694"/>
      <c r="U133" s="694"/>
      <c r="V133" s="694"/>
      <c r="W133" s="694"/>
      <c r="X133" s="694"/>
      <c r="Y133" s="1018"/>
      <c r="Z133" s="343"/>
      <c r="AA133" s="343"/>
      <c r="AB133" s="343"/>
      <c r="AC133" s="343"/>
      <c r="AD133" s="343"/>
      <c r="AE133" s="343"/>
      <c r="AF133" s="343"/>
      <c r="AG133" s="343"/>
      <c r="AH133" s="343"/>
      <c r="AI133" s="343"/>
      <c r="AJ133" s="343"/>
      <c r="AK133" s="343"/>
    </row>
    <row r="134" spans="1:37" ht="13" customHeight="1" x14ac:dyDescent="0.25">
      <c r="A134" s="694"/>
      <c r="B134" s="284"/>
      <c r="C134" s="284"/>
      <c r="D134" s="300" t="s">
        <v>55</v>
      </c>
      <c r="E134" s="2463" t="str">
        <f>Translations!$B$242</f>
        <v>Стойности на к.п.д. за топлинна и електрическа енергия</v>
      </c>
      <c r="F134" s="2240"/>
      <c r="G134" s="2240"/>
      <c r="H134" s="2240"/>
      <c r="I134" s="2240"/>
      <c r="J134" s="2240"/>
      <c r="K134" s="2240"/>
      <c r="L134" s="2240"/>
      <c r="M134" s="2240"/>
      <c r="N134" s="2240"/>
      <c r="O134" s="336"/>
      <c r="P134" s="302"/>
      <c r="Q134" s="770"/>
      <c r="R134" s="694"/>
      <c r="S134" s="694"/>
      <c r="T134" s="694"/>
      <c r="U134" s="694"/>
      <c r="V134" s="694"/>
      <c r="W134" s="694"/>
      <c r="X134" s="694"/>
      <c r="Y134" s="1018"/>
      <c r="Z134" s="343"/>
      <c r="AA134" s="343"/>
      <c r="AB134" s="343"/>
      <c r="AC134" s="343"/>
      <c r="AD134" s="343"/>
      <c r="AE134" s="343"/>
      <c r="AF134" s="343"/>
      <c r="AG134" s="343"/>
      <c r="AH134" s="343"/>
      <c r="AI134" s="343"/>
      <c r="AJ134" s="343"/>
      <c r="AK134" s="343"/>
    </row>
    <row r="135" spans="1:37" ht="13" x14ac:dyDescent="0.25">
      <c r="A135" s="694"/>
      <c r="B135" s="698"/>
      <c r="C135" s="698"/>
      <c r="D135" s="698"/>
      <c r="E135" s="1013"/>
      <c r="F135" s="1015"/>
      <c r="G135" s="390" t="str">
        <f>EUconst_Unit</f>
        <v>Единица мярка</v>
      </c>
      <c r="H135" s="391">
        <f t="shared" ref="H135:N135" si="35">H$278</f>
        <v>2024</v>
      </c>
      <c r="I135" s="391">
        <f t="shared" si="35"/>
        <v>2025</v>
      </c>
      <c r="J135" s="391">
        <f t="shared" si="35"/>
        <v>2026</v>
      </c>
      <c r="K135" s="391">
        <f t="shared" si="35"/>
        <v>2027</v>
      </c>
      <c r="L135" s="391">
        <f t="shared" si="35"/>
        <v>2028</v>
      </c>
      <c r="M135" s="391">
        <f t="shared" si="35"/>
        <v>2029</v>
      </c>
      <c r="N135" s="391">
        <f t="shared" si="35"/>
        <v>2030</v>
      </c>
      <c r="O135" s="336"/>
      <c r="P135" s="302"/>
      <c r="Q135" s="694"/>
      <c r="R135" s="694"/>
      <c r="S135" s="694"/>
      <c r="T135" s="694"/>
      <c r="U135" s="694"/>
      <c r="V135" s="694"/>
      <c r="W135" s="694"/>
      <c r="X135" s="694"/>
      <c r="Y135" s="1018"/>
      <c r="Z135" s="343"/>
      <c r="AA135" s="343"/>
      <c r="AB135" s="343"/>
      <c r="AC135" s="343"/>
      <c r="AD135" s="343"/>
      <c r="AE135" s="343"/>
      <c r="AF135" s="343"/>
      <c r="AG135" s="343"/>
      <c r="AH135" s="343"/>
      <c r="AI135" s="343"/>
      <c r="AJ135" s="343"/>
      <c r="AK135" s="343"/>
    </row>
    <row r="136" spans="1:37" ht="12.75" customHeight="1" x14ac:dyDescent="0.25">
      <c r="A136" s="694"/>
      <c r="B136" s="698"/>
      <c r="C136" s="698"/>
      <c r="D136" s="360" t="s">
        <v>6</v>
      </c>
      <c r="E136" s="2687" t="str">
        <f>Translations!$B$245</f>
        <v>Производство на топлинна енергия</v>
      </c>
      <c r="F136" s="2258"/>
      <c r="G136" s="424" t="s">
        <v>1052</v>
      </c>
      <c r="H136" s="1023" t="str">
        <f>IF(AND(ISNUMBER(H115),ISNUMBER(H119)),IF(H115=0,0,H119/H115),IF(ISNUMBER(H130),$K132,""))</f>
        <v/>
      </c>
      <c r="I136" s="1023" t="str">
        <f t="shared" ref="I136:N136" si="36">IF(AND(ISNUMBER(I115),ISNUMBER(I119)),IF(I115=0,0,I119/I115),IF(ISNUMBER(I130),$K132,""))</f>
        <v/>
      </c>
      <c r="J136" s="1023" t="str">
        <f t="shared" si="36"/>
        <v/>
      </c>
      <c r="K136" s="1023" t="str">
        <f t="shared" si="36"/>
        <v/>
      </c>
      <c r="L136" s="1023" t="str">
        <f t="shared" si="36"/>
        <v/>
      </c>
      <c r="M136" s="1023" t="str">
        <f t="shared" si="36"/>
        <v/>
      </c>
      <c r="N136" s="1023" t="str">
        <f t="shared" si="36"/>
        <v/>
      </c>
      <c r="O136" s="336"/>
      <c r="P136" s="302"/>
      <c r="Q136" s="694"/>
      <c r="R136" s="694"/>
      <c r="S136" s="694"/>
      <c r="T136" s="694"/>
      <c r="U136" s="694"/>
      <c r="V136" s="694"/>
      <c r="W136" s="694"/>
      <c r="X136" s="694"/>
      <c r="Y136" s="1018"/>
      <c r="Z136" s="343"/>
      <c r="AA136" s="343"/>
      <c r="AB136" s="343"/>
      <c r="AC136" s="343"/>
      <c r="AD136" s="343"/>
      <c r="AE136" s="343"/>
      <c r="AF136" s="343"/>
      <c r="AG136" s="343"/>
      <c r="AH136" s="343"/>
      <c r="AI136" s="343"/>
      <c r="AJ136" s="343"/>
      <c r="AK136" s="343"/>
    </row>
    <row r="137" spans="1:37" ht="12.75" customHeight="1" x14ac:dyDescent="0.25">
      <c r="A137" s="694"/>
      <c r="B137" s="698"/>
      <c r="C137" s="698"/>
      <c r="D137" s="360" t="s">
        <v>7</v>
      </c>
      <c r="E137" s="2687" t="str">
        <f>Translations!$B$246</f>
        <v>Производство на електроенергия</v>
      </c>
      <c r="F137" s="2258"/>
      <c r="G137" s="424" t="s">
        <v>1052</v>
      </c>
      <c r="H137" s="1023" t="str">
        <f>IF(AND(ISNUMBER(H115),ISNUMBER(H124)),IF(H115=0,0,H124/H115),IF(ISNUMBER(H130),$N132,""))</f>
        <v/>
      </c>
      <c r="I137" s="1023" t="str">
        <f t="shared" ref="I137:N137" si="37">IF(AND(ISNUMBER(I115),ISNUMBER(I124)),IF(I115=0,0,I124/I115),IF(ISNUMBER(I130),$N132,""))</f>
        <v/>
      </c>
      <c r="J137" s="1023" t="str">
        <f t="shared" si="37"/>
        <v/>
      </c>
      <c r="K137" s="1023" t="str">
        <f t="shared" si="37"/>
        <v/>
      </c>
      <c r="L137" s="1023" t="str">
        <f t="shared" si="37"/>
        <v/>
      </c>
      <c r="M137" s="1023" t="str">
        <f t="shared" si="37"/>
        <v/>
      </c>
      <c r="N137" s="1023" t="str">
        <f t="shared" si="37"/>
        <v/>
      </c>
      <c r="O137" s="336"/>
      <c r="P137" s="302"/>
      <c r="Q137" s="694"/>
      <c r="R137" s="694"/>
      <c r="S137" s="694"/>
      <c r="T137" s="694"/>
      <c r="U137" s="694"/>
      <c r="V137" s="694"/>
      <c r="W137" s="694"/>
      <c r="X137" s="694"/>
      <c r="Y137" s="1018"/>
      <c r="Z137" s="343"/>
      <c r="AA137" s="343"/>
      <c r="AB137" s="343"/>
      <c r="AC137" s="343"/>
      <c r="AD137" s="343"/>
      <c r="AE137" s="343"/>
      <c r="AF137" s="343"/>
      <c r="AG137" s="343"/>
      <c r="AH137" s="343"/>
      <c r="AI137" s="343"/>
      <c r="AJ137" s="343"/>
      <c r="AK137" s="343"/>
    </row>
    <row r="138" spans="1:37" ht="5.15" customHeight="1" x14ac:dyDescent="0.25">
      <c r="A138" s="694"/>
      <c r="B138" s="698"/>
      <c r="C138" s="698"/>
      <c r="D138" s="698"/>
      <c r="E138" s="698"/>
      <c r="F138" s="698"/>
      <c r="G138" s="698"/>
      <c r="H138" s="698"/>
      <c r="I138" s="698"/>
      <c r="J138" s="698"/>
      <c r="K138" s="698"/>
      <c r="L138" s="698"/>
      <c r="M138" s="698"/>
      <c r="N138" s="698"/>
      <c r="O138" s="336"/>
      <c r="P138" s="302"/>
      <c r="Q138" s="694"/>
      <c r="R138" s="694"/>
      <c r="S138" s="694"/>
      <c r="T138" s="694"/>
      <c r="U138" s="694"/>
      <c r="V138" s="694"/>
      <c r="W138" s="694"/>
      <c r="X138" s="694"/>
      <c r="Y138" s="1018"/>
      <c r="Z138" s="343"/>
      <c r="AA138" s="343"/>
      <c r="AB138" s="343"/>
      <c r="AC138" s="343"/>
      <c r="AD138" s="343"/>
      <c r="AE138" s="343"/>
      <c r="AF138" s="343"/>
      <c r="AG138" s="343"/>
      <c r="AH138" s="343"/>
      <c r="AI138" s="343"/>
      <c r="AJ138" s="343"/>
      <c r="AK138" s="343"/>
    </row>
    <row r="139" spans="1:37" ht="13" customHeight="1" x14ac:dyDescent="0.25">
      <c r="A139" s="694"/>
      <c r="B139" s="284"/>
      <c r="C139" s="284"/>
      <c r="D139" s="300" t="s">
        <v>273</v>
      </c>
      <c r="E139" s="2463" t="str">
        <f>Translations!$B$247</f>
        <v>Референтни стойности на к.п.д.</v>
      </c>
      <c r="F139" s="2240"/>
      <c r="G139" s="2240"/>
      <c r="H139" s="2240"/>
      <c r="I139" s="2240"/>
      <c r="J139" s="2240"/>
      <c r="K139" s="2240"/>
      <c r="L139" s="2240"/>
      <c r="M139" s="2240"/>
      <c r="N139" s="2240"/>
      <c r="O139" s="336"/>
      <c r="P139" s="302"/>
      <c r="Q139" s="770"/>
      <c r="R139" s="694"/>
      <c r="S139" s="694"/>
      <c r="T139" s="694"/>
      <c r="U139" s="694"/>
      <c r="V139" s="694"/>
      <c r="W139" s="694"/>
      <c r="X139" s="694"/>
      <c r="Y139" s="1018"/>
      <c r="Z139" s="343"/>
      <c r="AA139" s="343"/>
      <c r="AB139" s="343"/>
      <c r="AC139" s="343"/>
      <c r="AD139" s="343"/>
      <c r="AE139" s="343"/>
      <c r="AF139" s="343"/>
      <c r="AG139" s="343"/>
      <c r="AH139" s="343"/>
      <c r="AI139" s="343"/>
      <c r="AJ139" s="343"/>
      <c r="AK139" s="343"/>
    </row>
    <row r="140" spans="1:37" ht="13" x14ac:dyDescent="0.25">
      <c r="A140" s="694"/>
      <c r="B140" s="698"/>
      <c r="C140" s="698"/>
      <c r="D140" s="698"/>
      <c r="E140" s="1013"/>
      <c r="F140" s="1015"/>
      <c r="G140" s="390" t="str">
        <f>EUconst_Unit</f>
        <v>Единица мярка</v>
      </c>
      <c r="H140" s="391">
        <f t="shared" ref="H140:N140" si="38">H$278</f>
        <v>2024</v>
      </c>
      <c r="I140" s="391">
        <f t="shared" si="38"/>
        <v>2025</v>
      </c>
      <c r="J140" s="391">
        <f t="shared" si="38"/>
        <v>2026</v>
      </c>
      <c r="K140" s="391">
        <f t="shared" si="38"/>
        <v>2027</v>
      </c>
      <c r="L140" s="391">
        <f t="shared" si="38"/>
        <v>2028</v>
      </c>
      <c r="M140" s="391">
        <f t="shared" si="38"/>
        <v>2029</v>
      </c>
      <c r="N140" s="391">
        <f t="shared" si="38"/>
        <v>2030</v>
      </c>
      <c r="O140" s="336"/>
      <c r="P140" s="302"/>
      <c r="Q140" s="694"/>
      <c r="R140" s="694"/>
      <c r="S140" s="694"/>
      <c r="T140" s="694"/>
      <c r="U140" s="694"/>
      <c r="V140" s="694"/>
      <c r="W140" s="694"/>
      <c r="X140" s="694"/>
      <c r="Y140" s="1018"/>
      <c r="Z140" s="343"/>
      <c r="AA140" s="343"/>
      <c r="AB140" s="343"/>
      <c r="AC140" s="343"/>
      <c r="AD140" s="343"/>
      <c r="AE140" s="343"/>
      <c r="AF140" s="343"/>
      <c r="AG140" s="343"/>
      <c r="AH140" s="343"/>
      <c r="AI140" s="343"/>
      <c r="AJ140" s="343"/>
      <c r="AK140" s="343"/>
    </row>
    <row r="141" spans="1:37" ht="12.75" customHeight="1" x14ac:dyDescent="0.25">
      <c r="A141" s="694"/>
      <c r="B141" s="698"/>
      <c r="C141" s="698"/>
      <c r="D141" s="360" t="s">
        <v>6</v>
      </c>
      <c r="E141" s="2687" t="str">
        <f>Translations!$B$245</f>
        <v>Производство на топлинна енергия</v>
      </c>
      <c r="F141" s="2258"/>
      <c r="G141" s="424" t="s">
        <v>1052</v>
      </c>
      <c r="H141" s="197"/>
      <c r="I141" s="197"/>
      <c r="J141" s="197"/>
      <c r="K141" s="197"/>
      <c r="L141" s="197"/>
      <c r="M141" s="197"/>
      <c r="N141" s="197"/>
      <c r="O141" s="336"/>
      <c r="P141" s="158"/>
      <c r="Q141" s="694"/>
      <c r="R141" s="694"/>
      <c r="S141" s="694"/>
      <c r="T141" s="694"/>
      <c r="U141" s="694"/>
      <c r="V141" s="694"/>
      <c r="W141" s="694"/>
      <c r="X141" s="694"/>
      <c r="Y141" s="1019" t="b">
        <f>Y129</f>
        <v>0</v>
      </c>
      <c r="Z141" s="343"/>
      <c r="AA141" s="343"/>
      <c r="AB141" s="343"/>
      <c r="AC141" s="343"/>
      <c r="AD141" s="343"/>
      <c r="AE141" s="343"/>
      <c r="AF141" s="343"/>
      <c r="AG141" s="343"/>
      <c r="AH141" s="343"/>
      <c r="AI141" s="343"/>
      <c r="AJ141" s="732" t="s">
        <v>2039</v>
      </c>
      <c r="AK141" s="875" t="str">
        <f>EUconst_NA</f>
        <v>Не е приложимо</v>
      </c>
    </row>
    <row r="142" spans="1:37" ht="12.75" customHeight="1" thickBot="1" x14ac:dyDescent="0.3">
      <c r="A142" s="694"/>
      <c r="B142" s="698"/>
      <c r="C142" s="698"/>
      <c r="D142" s="360" t="s">
        <v>7</v>
      </c>
      <c r="E142" s="2687" t="str">
        <f>Translations!$B$246</f>
        <v>Производство на електроенергия</v>
      </c>
      <c r="F142" s="2258"/>
      <c r="G142" s="424" t="s">
        <v>1052</v>
      </c>
      <c r="H142" s="197"/>
      <c r="I142" s="197"/>
      <c r="J142" s="197"/>
      <c r="K142" s="197"/>
      <c r="L142" s="197"/>
      <c r="M142" s="197"/>
      <c r="N142" s="197"/>
      <c r="O142" s="336"/>
      <c r="P142" s="158"/>
      <c r="Q142" s="694"/>
      <c r="R142" s="694"/>
      <c r="S142" s="694"/>
      <c r="T142" s="694"/>
      <c r="U142" s="694"/>
      <c r="V142" s="694"/>
      <c r="W142" s="694"/>
      <c r="X142" s="694"/>
      <c r="Y142" s="1027" t="b">
        <f>Y141</f>
        <v>0</v>
      </c>
      <c r="Z142" s="343"/>
      <c r="AA142" s="343"/>
      <c r="AB142" s="343"/>
      <c r="AC142" s="343"/>
      <c r="AD142" s="343"/>
      <c r="AE142" s="343"/>
      <c r="AF142" s="343"/>
      <c r="AG142" s="343"/>
      <c r="AH142" s="343"/>
      <c r="AI142" s="343"/>
      <c r="AJ142" s="732" t="s">
        <v>2039</v>
      </c>
      <c r="AK142" s="875" t="str">
        <f>EUconst_NA</f>
        <v>Не е приложимо</v>
      </c>
    </row>
    <row r="143" spans="1:37" ht="5.15" customHeight="1" x14ac:dyDescent="0.25">
      <c r="A143" s="694"/>
      <c r="B143" s="698"/>
      <c r="C143" s="698"/>
      <c r="D143" s="698"/>
      <c r="E143" s="698"/>
      <c r="F143" s="698"/>
      <c r="G143" s="698"/>
      <c r="H143" s="698"/>
      <c r="I143" s="698"/>
      <c r="J143" s="698"/>
      <c r="K143" s="698"/>
      <c r="L143" s="698"/>
      <c r="M143" s="698"/>
      <c r="N143" s="698"/>
      <c r="O143" s="336"/>
      <c r="P143" s="302"/>
      <c r="Q143" s="694"/>
      <c r="R143" s="694"/>
      <c r="S143" s="694"/>
      <c r="T143" s="694"/>
      <c r="U143" s="694"/>
      <c r="V143" s="694"/>
      <c r="W143" s="694"/>
      <c r="X143" s="694"/>
      <c r="Y143" s="694"/>
      <c r="Z143" s="343"/>
      <c r="AA143" s="343"/>
      <c r="AB143" s="343"/>
      <c r="AC143" s="343"/>
      <c r="AD143" s="343"/>
      <c r="AE143" s="343"/>
      <c r="AF143" s="343"/>
      <c r="AG143" s="343"/>
      <c r="AH143" s="343"/>
      <c r="AI143" s="343"/>
      <c r="AJ143" s="343"/>
      <c r="AK143" s="343"/>
    </row>
    <row r="144" spans="1:37" ht="13" customHeight="1" x14ac:dyDescent="0.25">
      <c r="A144" s="694"/>
      <c r="B144" s="284"/>
      <c r="C144" s="284"/>
      <c r="D144" s="300" t="s">
        <v>277</v>
      </c>
      <c r="E144" s="2463" t="str">
        <f>Translations!$B$252</f>
        <v>Емисии, свързани с производството на топлинна енергия от агрегати за КПТЕ</v>
      </c>
      <c r="F144" s="2240"/>
      <c r="G144" s="2240"/>
      <c r="H144" s="2240"/>
      <c r="I144" s="2240"/>
      <c r="J144" s="2240"/>
      <c r="K144" s="2240"/>
      <c r="L144" s="2240"/>
      <c r="M144" s="2240"/>
      <c r="N144" s="2240"/>
      <c r="O144" s="336"/>
      <c r="P144" s="302"/>
      <c r="Q144" s="770"/>
      <c r="R144" s="694"/>
      <c r="S144" s="694"/>
      <c r="T144" s="694"/>
      <c r="U144" s="694"/>
      <c r="V144" s="694"/>
      <c r="W144" s="694"/>
      <c r="X144" s="694"/>
      <c r="Y144" s="694"/>
      <c r="Z144" s="343"/>
      <c r="AA144" s="343"/>
      <c r="AB144" s="343"/>
      <c r="AC144" s="343"/>
      <c r="AD144" s="343"/>
      <c r="AE144" s="343"/>
      <c r="AF144" s="343"/>
      <c r="AG144" s="343"/>
      <c r="AH144" s="343"/>
      <c r="AI144" s="343"/>
      <c r="AJ144" s="343"/>
      <c r="AK144" s="343"/>
    </row>
    <row r="145" spans="1:37" ht="13" x14ac:dyDescent="0.25">
      <c r="A145" s="694"/>
      <c r="B145" s="698"/>
      <c r="C145" s="698"/>
      <c r="D145" s="698"/>
      <c r="E145" s="1013"/>
      <c r="F145" s="1015"/>
      <c r="G145" s="390" t="str">
        <f>EUconst_Unit</f>
        <v>Единица мярка</v>
      </c>
      <c r="H145" s="391">
        <f t="shared" ref="H145:N145" si="39">H$278</f>
        <v>2024</v>
      </c>
      <c r="I145" s="391">
        <f t="shared" si="39"/>
        <v>2025</v>
      </c>
      <c r="J145" s="391">
        <f t="shared" si="39"/>
        <v>2026</v>
      </c>
      <c r="K145" s="391">
        <f t="shared" si="39"/>
        <v>2027</v>
      </c>
      <c r="L145" s="391">
        <f t="shared" si="39"/>
        <v>2028</v>
      </c>
      <c r="M145" s="391">
        <f t="shared" si="39"/>
        <v>2029</v>
      </c>
      <c r="N145" s="391">
        <f t="shared" si="39"/>
        <v>2030</v>
      </c>
      <c r="O145" s="336"/>
      <c r="P145" s="302"/>
      <c r="Q145" s="694"/>
      <c r="R145" s="694"/>
      <c r="S145" s="694"/>
      <c r="T145" s="694"/>
      <c r="U145" s="694"/>
      <c r="V145" s="694"/>
      <c r="W145" s="694"/>
      <c r="X145" s="694"/>
      <c r="Y145" s="694"/>
      <c r="Z145" s="343"/>
      <c r="AA145" s="343"/>
      <c r="AB145" s="343"/>
      <c r="AC145" s="343"/>
      <c r="AD145" s="343"/>
      <c r="AE145" s="343"/>
      <c r="AF145" s="343"/>
      <c r="AG145" s="343"/>
      <c r="AH145" s="343"/>
      <c r="AI145" s="343"/>
      <c r="AJ145" s="343"/>
      <c r="AK145" s="343"/>
    </row>
    <row r="146" spans="1:37" ht="12.65" customHeight="1" x14ac:dyDescent="0.25">
      <c r="A146" s="694"/>
      <c r="B146" s="698"/>
      <c r="C146" s="698"/>
      <c r="D146" s="360" t="s">
        <v>6</v>
      </c>
      <c r="E146" s="2687" t="str">
        <f>Translations!$B$256</f>
        <v>Емисии, свързани с производство на топлинна енергия</v>
      </c>
      <c r="F146" s="2258"/>
      <c r="G146" s="1016" t="str">
        <f>EUconst_tCO2pa</f>
        <v>t CO2 / година</v>
      </c>
      <c r="H146" s="1024" t="str">
        <f>IF(AND(ISNUMBER(H136),ISNUMBER(H137),ISNUMBER(H141),ISNUMBER(H142)),IFERROR(H136/H141/(H136/H141+H137/H142)*H130,0),"")</f>
        <v/>
      </c>
      <c r="I146" s="1024" t="str">
        <f t="shared" ref="I146:N146" si="40">IF(AND(ISNUMBER(I136),ISNUMBER(I137),ISNUMBER(I141),ISNUMBER(I142)),IFERROR(I136/I141/(I136/I141+I137/I142)*I130,0),"")</f>
        <v/>
      </c>
      <c r="J146" s="1024" t="str">
        <f t="shared" si="40"/>
        <v/>
      </c>
      <c r="K146" s="1024" t="str">
        <f t="shared" si="40"/>
        <v/>
      </c>
      <c r="L146" s="1024" t="str">
        <f t="shared" si="40"/>
        <v/>
      </c>
      <c r="M146" s="1024" t="str">
        <f t="shared" si="40"/>
        <v/>
      </c>
      <c r="N146" s="1024" t="str">
        <f t="shared" si="40"/>
        <v/>
      </c>
      <c r="O146" s="336"/>
      <c r="P146" s="302"/>
      <c r="Q146" s="694"/>
      <c r="R146" s="694"/>
      <c r="S146" s="694"/>
      <c r="T146" s="694"/>
      <c r="U146" s="694"/>
      <c r="V146" s="694"/>
      <c r="W146" s="694"/>
      <c r="X146" s="694"/>
      <c r="Y146" s="694"/>
      <c r="Z146" s="343"/>
      <c r="AA146" s="343"/>
      <c r="AB146" s="343"/>
      <c r="AC146" s="343"/>
      <c r="AD146" s="343"/>
      <c r="AE146" s="343"/>
      <c r="AF146" s="343"/>
      <c r="AG146" s="343"/>
      <c r="AH146" s="343"/>
      <c r="AI146" s="343"/>
      <c r="AJ146" s="343"/>
      <c r="AK146" s="343"/>
    </row>
    <row r="147" spans="1:37" ht="12.65" customHeight="1" x14ac:dyDescent="0.25">
      <c r="A147" s="694"/>
      <c r="B147" s="698"/>
      <c r="C147" s="698"/>
      <c r="D147" s="360" t="s">
        <v>7</v>
      </c>
      <c r="E147" s="2687" t="str">
        <f>Translations!$B$257</f>
        <v>Емисионен фактор, топлинна енергия:</v>
      </c>
      <c r="F147" s="2258"/>
      <c r="G147" s="1016" t="str">
        <f>EUconst_tCO2pTJ</f>
        <v>t CO2 / TJ</v>
      </c>
      <c r="H147" s="1024" t="str">
        <f>IF(AND(ISNUMBER(H119),ISNUMBER(H146)),IFERROR(H146/H119,""),"")</f>
        <v/>
      </c>
      <c r="I147" s="1024" t="str">
        <f t="shared" ref="I147:N147" si="41">IF(AND(ISNUMBER(I119),ISNUMBER(I146)),IFERROR(I146/I119,""),"")</f>
        <v/>
      </c>
      <c r="J147" s="1024" t="str">
        <f t="shared" si="41"/>
        <v/>
      </c>
      <c r="K147" s="1024" t="str">
        <f t="shared" si="41"/>
        <v/>
      </c>
      <c r="L147" s="1024" t="str">
        <f t="shared" si="41"/>
        <v/>
      </c>
      <c r="M147" s="1024" t="str">
        <f t="shared" si="41"/>
        <v/>
      </c>
      <c r="N147" s="1024" t="str">
        <f t="shared" si="41"/>
        <v/>
      </c>
      <c r="O147" s="336"/>
      <c r="P147" s="302"/>
      <c r="Q147" s="694"/>
      <c r="R147" s="694"/>
      <c r="S147" s="694"/>
      <c r="T147" s="694"/>
      <c r="U147" s="694"/>
      <c r="V147" s="694"/>
      <c r="W147" s="694"/>
      <c r="X147" s="694"/>
      <c r="Y147" s="694"/>
      <c r="Z147" s="694"/>
      <c r="AA147" s="694"/>
      <c r="AB147" s="343"/>
      <c r="AC147" s="343"/>
      <c r="AD147" s="343"/>
      <c r="AE147" s="343"/>
      <c r="AF147" s="343"/>
      <c r="AG147" s="343"/>
      <c r="AH147" s="343"/>
      <c r="AI147" s="343"/>
      <c r="AJ147" s="343"/>
      <c r="AK147" s="343"/>
    </row>
    <row r="148" spans="1:37" ht="5.15" customHeight="1" x14ac:dyDescent="0.25">
      <c r="A148" s="694"/>
      <c r="B148" s="698"/>
      <c r="C148" s="698"/>
      <c r="D148" s="698"/>
      <c r="E148" s="698"/>
      <c r="F148" s="698"/>
      <c r="G148" s="698"/>
      <c r="H148" s="698"/>
      <c r="I148" s="698"/>
      <c r="J148" s="698"/>
      <c r="K148" s="698"/>
      <c r="L148" s="698"/>
      <c r="M148" s="698"/>
      <c r="N148" s="698"/>
      <c r="O148" s="336"/>
      <c r="P148" s="302"/>
      <c r="Q148" s="694"/>
      <c r="R148" s="694"/>
      <c r="S148" s="694"/>
      <c r="T148" s="694"/>
      <c r="U148" s="694"/>
      <c r="V148" s="694"/>
      <c r="W148" s="694"/>
      <c r="X148" s="694"/>
      <c r="Y148" s="694"/>
      <c r="Z148" s="694"/>
      <c r="AA148" s="694"/>
      <c r="AB148" s="343"/>
      <c r="AC148" s="343"/>
      <c r="AD148" s="343"/>
      <c r="AE148" s="343"/>
      <c r="AF148" s="343"/>
      <c r="AG148" s="343"/>
      <c r="AH148" s="343"/>
      <c r="AI148" s="343"/>
      <c r="AJ148" s="343"/>
      <c r="AK148" s="343"/>
    </row>
    <row r="149" spans="1:37" ht="13" customHeight="1" x14ac:dyDescent="0.25">
      <c r="A149" s="694"/>
      <c r="B149" s="284"/>
      <c r="C149" s="284"/>
      <c r="D149" s="300" t="s">
        <v>279</v>
      </c>
      <c r="E149" s="2463" t="str">
        <f>Translations!$B$258</f>
        <v>Вложени горива, свързани с производството на топлинна и електрическа енергия</v>
      </c>
      <c r="F149" s="2240"/>
      <c r="G149" s="2240"/>
      <c r="H149" s="2240"/>
      <c r="I149" s="2240"/>
      <c r="J149" s="2240"/>
      <c r="K149" s="2240"/>
      <c r="L149" s="2240"/>
      <c r="M149" s="2240"/>
      <c r="N149" s="2240"/>
      <c r="O149" s="336"/>
      <c r="P149" s="302"/>
      <c r="Q149" s="770"/>
      <c r="R149" s="694"/>
      <c r="S149" s="694"/>
      <c r="T149" s="694"/>
      <c r="U149" s="694"/>
      <c r="V149" s="694"/>
      <c r="W149" s="694"/>
      <c r="X149" s="694"/>
      <c r="Y149" s="694"/>
      <c r="Z149" s="694"/>
      <c r="AA149" s="694"/>
      <c r="AB149" s="343"/>
      <c r="AC149" s="343"/>
      <c r="AD149" s="343"/>
      <c r="AE149" s="343"/>
      <c r="AF149" s="343"/>
      <c r="AG149" s="343"/>
      <c r="AH149" s="343"/>
      <c r="AI149" s="343"/>
      <c r="AJ149" s="343"/>
      <c r="AK149" s="343"/>
    </row>
    <row r="150" spans="1:37" ht="13" x14ac:dyDescent="0.25">
      <c r="A150" s="694"/>
      <c r="B150" s="698"/>
      <c r="C150" s="698"/>
      <c r="D150" s="698"/>
      <c r="E150" s="1013"/>
      <c r="F150" s="1015"/>
      <c r="G150" s="390" t="str">
        <f>EUconst_Unit</f>
        <v>Единица мярка</v>
      </c>
      <c r="H150" s="391">
        <f t="shared" ref="H150:N150" si="42">H$278</f>
        <v>2024</v>
      </c>
      <c r="I150" s="391">
        <f t="shared" si="42"/>
        <v>2025</v>
      </c>
      <c r="J150" s="391">
        <f t="shared" si="42"/>
        <v>2026</v>
      </c>
      <c r="K150" s="391">
        <f t="shared" si="42"/>
        <v>2027</v>
      </c>
      <c r="L150" s="391">
        <f t="shared" si="42"/>
        <v>2028</v>
      </c>
      <c r="M150" s="391">
        <f t="shared" si="42"/>
        <v>2029</v>
      </c>
      <c r="N150" s="391">
        <f t="shared" si="42"/>
        <v>2030</v>
      </c>
      <c r="O150" s="336"/>
      <c r="P150" s="302"/>
      <c r="Q150" s="694"/>
      <c r="R150" s="694"/>
      <c r="S150" s="694"/>
      <c r="T150" s="694"/>
      <c r="U150" s="694"/>
      <c r="V150" s="694"/>
      <c r="W150" s="694"/>
      <c r="X150" s="694"/>
      <c r="Y150" s="694"/>
      <c r="Z150" s="694"/>
      <c r="AA150" s="694"/>
      <c r="AB150" s="343"/>
      <c r="AC150" s="343"/>
      <c r="AD150" s="343"/>
      <c r="AE150" s="343"/>
      <c r="AF150" s="343"/>
      <c r="AG150" s="343"/>
      <c r="AH150" s="343"/>
      <c r="AI150" s="343"/>
      <c r="AJ150" s="343"/>
      <c r="AK150" s="343"/>
    </row>
    <row r="151" spans="1:37" ht="12.65" customHeight="1" x14ac:dyDescent="0.25">
      <c r="A151" s="694"/>
      <c r="B151" s="698"/>
      <c r="C151" s="698"/>
      <c r="D151" s="360" t="s">
        <v>6</v>
      </c>
      <c r="E151" s="2687" t="str">
        <f>Translations!$B$260</f>
        <v>Вложени горива за топлинна енергия</v>
      </c>
      <c r="F151" s="2258"/>
      <c r="G151" s="1016" t="str">
        <f>EUconst_TJpa</f>
        <v>TJ / година</v>
      </c>
      <c r="H151" s="1024" t="str">
        <f>IF(ISNUMBER(H146),IFERROR(H136/H141/(H136/H141+H137/H142)*H115,0),"")</f>
        <v/>
      </c>
      <c r="I151" s="1024" t="str">
        <f t="shared" ref="I151:N151" si="43">IF(ISNUMBER(I146),IFERROR(I136/I141/(I136/I141+I137/I142)*I115,0),"")</f>
        <v/>
      </c>
      <c r="J151" s="1024" t="str">
        <f t="shared" si="43"/>
        <v/>
      </c>
      <c r="K151" s="1024" t="str">
        <f t="shared" si="43"/>
        <v/>
      </c>
      <c r="L151" s="1024" t="str">
        <f t="shared" si="43"/>
        <v/>
      </c>
      <c r="M151" s="1024" t="str">
        <f t="shared" si="43"/>
        <v/>
      </c>
      <c r="N151" s="1024" t="str">
        <f t="shared" si="43"/>
        <v/>
      </c>
      <c r="O151" s="336"/>
      <c r="P151" s="302"/>
      <c r="Q151" s="694"/>
      <c r="R151" s="694"/>
      <c r="S151" s="694"/>
      <c r="T151" s="694"/>
      <c r="U151" s="694"/>
      <c r="V151" s="694"/>
      <c r="W151" s="694"/>
      <c r="X151" s="694"/>
      <c r="Y151" s="694"/>
      <c r="Z151" s="694"/>
      <c r="AA151" s="694"/>
      <c r="AB151" s="343"/>
      <c r="AC151" s="343"/>
      <c r="AD151" s="343"/>
      <c r="AE151" s="343"/>
      <c r="AF151" s="343"/>
      <c r="AG151" s="343"/>
      <c r="AH151" s="343"/>
      <c r="AI151" s="343"/>
      <c r="AJ151" s="343"/>
      <c r="AK151" s="343"/>
    </row>
    <row r="152" spans="1:37" ht="12.65" customHeight="1" x14ac:dyDescent="0.25">
      <c r="A152" s="694"/>
      <c r="B152" s="698"/>
      <c r="C152" s="698"/>
      <c r="D152" s="360" t="s">
        <v>7</v>
      </c>
      <c r="E152" s="2687" t="str">
        <f>Translations!$B$261</f>
        <v>Вложени горива за електроенергия</v>
      </c>
      <c r="F152" s="2258"/>
      <c r="G152" s="1016" t="str">
        <f>EUconst_TJpa</f>
        <v>TJ / година</v>
      </c>
      <c r="H152" s="1024" t="str">
        <f>IF(ISNUMBER(H151),SUM(H115)-SUM(H151),"")</f>
        <v/>
      </c>
      <c r="I152" s="1024" t="str">
        <f t="shared" ref="I152:N152" si="44">IF(ISNUMBER(I151),SUM(I115)-SUM(I151),"")</f>
        <v/>
      </c>
      <c r="J152" s="1024" t="str">
        <f t="shared" si="44"/>
        <v/>
      </c>
      <c r="K152" s="1024" t="str">
        <f t="shared" si="44"/>
        <v/>
      </c>
      <c r="L152" s="1024" t="str">
        <f t="shared" si="44"/>
        <v/>
      </c>
      <c r="M152" s="1024" t="str">
        <f t="shared" si="44"/>
        <v/>
      </c>
      <c r="N152" s="1024" t="str">
        <f t="shared" si="44"/>
        <v/>
      </c>
      <c r="O152" s="336"/>
      <c r="P152" s="302"/>
      <c r="Q152" s="694"/>
      <c r="R152" s="694"/>
      <c r="S152" s="694"/>
      <c r="T152" s="694"/>
      <c r="U152" s="694"/>
      <c r="V152" s="694"/>
      <c r="W152" s="694"/>
      <c r="X152" s="694"/>
      <c r="Y152" s="694"/>
      <c r="Z152" s="694"/>
      <c r="AA152" s="694"/>
      <c r="AB152" s="343"/>
      <c r="AC152" s="343"/>
      <c r="AD152" s="343"/>
      <c r="AE152" s="343"/>
      <c r="AF152" s="343"/>
      <c r="AG152" s="343"/>
      <c r="AH152" s="343"/>
      <c r="AI152" s="343"/>
      <c r="AJ152" s="343"/>
      <c r="AK152" s="343"/>
    </row>
    <row r="153" spans="1:37" ht="13" x14ac:dyDescent="0.25">
      <c r="A153" s="694"/>
      <c r="B153" s="698"/>
      <c r="C153" s="698"/>
      <c r="D153" s="698"/>
      <c r="E153" s="1025"/>
      <c r="F153" s="698"/>
      <c r="G153" s="698"/>
      <c r="H153" s="698"/>
      <c r="I153" s="698"/>
      <c r="J153" s="698"/>
      <c r="K153" s="698"/>
      <c r="L153" s="698"/>
      <c r="M153" s="698"/>
      <c r="N153" s="698"/>
      <c r="O153" s="336"/>
      <c r="P153" s="302"/>
      <c r="Q153" s="694"/>
      <c r="R153" s="694"/>
      <c r="S153" s="694"/>
      <c r="T153" s="694"/>
      <c r="U153" s="694"/>
      <c r="V153" s="694"/>
      <c r="W153" s="694"/>
      <c r="X153" s="694"/>
      <c r="Y153" s="694"/>
      <c r="Z153" s="694"/>
      <c r="AA153" s="694"/>
      <c r="AB153" s="343"/>
      <c r="AC153" s="343"/>
      <c r="AD153" s="343"/>
      <c r="AE153" s="343"/>
      <c r="AF153" s="343"/>
      <c r="AG153" s="343"/>
      <c r="AH153" s="343"/>
      <c r="AI153" s="343"/>
      <c r="AJ153" s="343"/>
      <c r="AK153" s="343"/>
    </row>
    <row r="154" spans="1:37" ht="15.5" x14ac:dyDescent="0.35">
      <c r="A154" s="694"/>
      <c r="B154" s="284"/>
      <c r="C154" s="327" t="s">
        <v>10</v>
      </c>
      <c r="D154" s="2245" t="str">
        <f>Translations!$B$262</f>
        <v>Инструмент за отпадни газове</v>
      </c>
      <c r="E154" s="2245"/>
      <c r="F154" s="2245"/>
      <c r="G154" s="2245"/>
      <c r="H154" s="2245"/>
      <c r="I154" s="2245"/>
      <c r="J154" s="2245"/>
      <c r="K154" s="2245"/>
      <c r="L154" s="2245"/>
      <c r="M154" s="2245"/>
      <c r="N154" s="2245"/>
      <c r="O154" s="336"/>
      <c r="P154" s="302"/>
      <c r="Q154" s="770"/>
      <c r="R154" s="694"/>
      <c r="S154" s="694"/>
      <c r="T154" s="694"/>
      <c r="U154" s="694"/>
      <c r="V154" s="694"/>
      <c r="W154" s="694"/>
      <c r="X154" s="694"/>
      <c r="Y154" s="694"/>
      <c r="Z154" s="694"/>
      <c r="AA154" s="694"/>
      <c r="AB154" s="343"/>
      <c r="AC154" s="343"/>
      <c r="AD154" s="343"/>
      <c r="AE154" s="343"/>
      <c r="AF154" s="343"/>
      <c r="AG154" s="343"/>
      <c r="AH154" s="343"/>
      <c r="AI154" s="343"/>
      <c r="AJ154" s="343"/>
      <c r="AK154" s="343"/>
    </row>
    <row r="155" spans="1:37" ht="5.15" customHeight="1" x14ac:dyDescent="0.25">
      <c r="A155" s="694"/>
      <c r="B155" s="284"/>
      <c r="C155" s="284"/>
      <c r="D155" s="284"/>
      <c r="E155" s="284"/>
      <c r="F155" s="284"/>
      <c r="G155" s="284"/>
      <c r="H155" s="284"/>
      <c r="I155" s="284"/>
      <c r="J155" s="284"/>
      <c r="K155" s="284"/>
      <c r="L155" s="284"/>
      <c r="M155" s="336"/>
      <c r="N155" s="336"/>
      <c r="O155" s="336"/>
      <c r="P155" s="302"/>
      <c r="Q155" s="770"/>
      <c r="R155" s="694"/>
      <c r="S155" s="694"/>
      <c r="T155" s="694"/>
      <c r="U155" s="694"/>
      <c r="V155" s="694"/>
      <c r="W155" s="694"/>
      <c r="X155" s="694"/>
      <c r="Y155" s="694"/>
      <c r="Z155" s="343"/>
      <c r="AA155" s="343"/>
      <c r="AB155" s="343"/>
      <c r="AC155" s="343"/>
      <c r="AD155" s="343"/>
      <c r="AE155" s="343"/>
      <c r="AF155" s="343"/>
      <c r="AG155" s="343"/>
      <c r="AH155" s="343"/>
      <c r="AI155" s="343"/>
      <c r="AJ155" s="343"/>
      <c r="AK155" s="343"/>
    </row>
    <row r="156" spans="1:37" ht="12.75" customHeight="1" x14ac:dyDescent="0.25">
      <c r="A156" s="694"/>
      <c r="B156" s="284"/>
      <c r="C156" s="284"/>
      <c r="D156" s="1028"/>
      <c r="E156" s="2463" t="str">
        <f>Translations!$B$263</f>
        <v>Консумира ли инсталацията отпадни газове, произведени извън обхвата на продуктов показател?</v>
      </c>
      <c r="F156" s="2463"/>
      <c r="G156" s="2463"/>
      <c r="H156" s="2463"/>
      <c r="I156" s="2463"/>
      <c r="J156" s="2463"/>
      <c r="K156" s="2463"/>
      <c r="L156" s="2699"/>
      <c r="M156" s="42"/>
      <c r="N156" s="336"/>
      <c r="O156" s="336"/>
      <c r="P156" s="158"/>
      <c r="Q156" s="770"/>
      <c r="R156" s="694"/>
      <c r="S156" s="694"/>
      <c r="T156" s="694"/>
      <c r="U156" s="694"/>
      <c r="V156" s="694"/>
      <c r="W156" s="694"/>
      <c r="X156" s="694"/>
      <c r="Y156" s="694"/>
      <c r="Z156" s="343"/>
      <c r="AA156" s="343"/>
      <c r="AB156" s="343"/>
      <c r="AC156" s="343"/>
      <c r="AD156" s="343"/>
      <c r="AE156" s="343"/>
      <c r="AF156" s="343"/>
      <c r="AG156" s="343"/>
      <c r="AH156" s="343"/>
      <c r="AI156" s="343"/>
      <c r="AJ156" s="343"/>
      <c r="AK156" s="343"/>
    </row>
    <row r="157" spans="1:37" x14ac:dyDescent="0.25">
      <c r="A157" s="694"/>
      <c r="B157" s="284"/>
      <c r="C157" s="284"/>
      <c r="D157" s="302"/>
      <c r="E157" s="2358" t="str">
        <f>Translations!$B$264</f>
        <v>Съгласно определението от член 2, параграф 10 и член 2, параграф 11 от ПБР (запалимите) отпадни газове, отделяни извън обхвата на продуктовите показатели, се считат за технологични емисии.</v>
      </c>
      <c r="F157" s="2249"/>
      <c r="G157" s="2249"/>
      <c r="H157" s="2249"/>
      <c r="I157" s="2249"/>
      <c r="J157" s="2249"/>
      <c r="K157" s="2249"/>
      <c r="L157" s="2249"/>
      <c r="M157" s="2249"/>
      <c r="N157" s="2249"/>
      <c r="O157" s="336"/>
      <c r="P157" s="302"/>
      <c r="Q157" s="770"/>
      <c r="R157" s="694"/>
      <c r="S157" s="694"/>
      <c r="T157" s="694"/>
      <c r="U157" s="694"/>
      <c r="V157" s="694"/>
      <c r="W157" s="694"/>
      <c r="X157" s="694"/>
      <c r="Y157" s="694"/>
      <c r="Z157" s="343"/>
      <c r="AA157" s="343"/>
      <c r="AB157" s="343"/>
      <c r="AC157" s="343"/>
      <c r="AD157" s="343"/>
      <c r="AE157" s="343"/>
      <c r="AF157" s="343"/>
      <c r="AG157" s="343"/>
      <c r="AH157" s="343"/>
      <c r="AI157" s="343"/>
      <c r="AJ157" s="343"/>
      <c r="AK157" s="343"/>
    </row>
    <row r="158" spans="1:37" x14ac:dyDescent="0.25">
      <c r="A158" s="694"/>
      <c r="B158" s="284"/>
      <c r="C158" s="284"/>
      <c r="D158" s="302"/>
      <c r="E158" s="2358" t="str">
        <f>Translations!$B$265</f>
        <v>Въпреки това, що се отнася до отпадните газове, количеството CO2, еквивалентно на съответното съдържание в природния газ, използван за „технически използваемо енергийно съдържание“, се изважда от общите технологични емисии.</v>
      </c>
      <c r="F158" s="2249"/>
      <c r="G158" s="2249"/>
      <c r="H158" s="2249"/>
      <c r="I158" s="2249"/>
      <c r="J158" s="2249"/>
      <c r="K158" s="2249"/>
      <c r="L158" s="2249"/>
      <c r="M158" s="2249"/>
      <c r="N158" s="2249"/>
      <c r="O158" s="336"/>
      <c r="P158" s="302"/>
      <c r="Q158" s="770"/>
      <c r="R158" s="694"/>
      <c r="S158" s="694"/>
      <c r="T158" s="694"/>
      <c r="U158" s="694"/>
      <c r="V158" s="694"/>
      <c r="W158" s="694"/>
      <c r="X158" s="694"/>
      <c r="Y158" s="694"/>
      <c r="Z158" s="343"/>
      <c r="AA158" s="343"/>
      <c r="AB158" s="343"/>
      <c r="AC158" s="343"/>
      <c r="AD158" s="343"/>
      <c r="AE158" s="343"/>
      <c r="AF158" s="343"/>
      <c r="AG158" s="343"/>
      <c r="AH158" s="343"/>
      <c r="AI158" s="343"/>
      <c r="AJ158" s="343"/>
      <c r="AK158" s="343"/>
    </row>
    <row r="159" spans="1:37" x14ac:dyDescent="0.25">
      <c r="A159" s="694"/>
      <c r="B159" s="284"/>
      <c r="C159" s="284"/>
      <c r="D159" s="302"/>
      <c r="E159" s="2358" t="str">
        <f>Translations!$B$266</f>
        <v>Количеството технологични емисии без въпросното изваждане по-долу се нарича „некоригирани технологични емисии“.</v>
      </c>
      <c r="F159" s="2249"/>
      <c r="G159" s="2249"/>
      <c r="H159" s="2249"/>
      <c r="I159" s="2249"/>
      <c r="J159" s="2249"/>
      <c r="K159" s="2249"/>
      <c r="L159" s="2249"/>
      <c r="M159" s="2249"/>
      <c r="N159" s="2249"/>
      <c r="O159" s="336"/>
      <c r="P159" s="302"/>
      <c r="Q159" s="770"/>
      <c r="R159" s="694"/>
      <c r="S159" s="694"/>
      <c r="T159" s="694"/>
      <c r="U159" s="694"/>
      <c r="V159" s="694"/>
      <c r="W159" s="694"/>
      <c r="X159" s="694"/>
      <c r="Y159" s="694"/>
      <c r="Z159" s="343"/>
      <c r="AA159" s="343"/>
      <c r="AB159" s="343"/>
      <c r="AC159" s="343"/>
      <c r="AD159" s="343"/>
      <c r="AE159" s="343"/>
      <c r="AF159" s="343"/>
      <c r="AG159" s="343"/>
      <c r="AH159" s="343"/>
      <c r="AI159" s="343"/>
      <c r="AJ159" s="343"/>
      <c r="AK159" s="343"/>
    </row>
    <row r="160" spans="1:37" x14ac:dyDescent="0.25">
      <c r="A160" s="694"/>
      <c r="B160" s="284"/>
      <c r="C160" s="284"/>
      <c r="D160" s="302"/>
      <c r="E160" s="2358" t="str">
        <f>Translations!$B$267</f>
        <v>За да се определи „технически използваемото енергийно съдържание“, е необходима следната информация:</v>
      </c>
      <c r="F160" s="2249"/>
      <c r="G160" s="2249"/>
      <c r="H160" s="2249"/>
      <c r="I160" s="2249"/>
      <c r="J160" s="2249"/>
      <c r="K160" s="2249"/>
      <c r="L160" s="2249"/>
      <c r="M160" s="2249"/>
      <c r="N160" s="2249"/>
      <c r="O160" s="336"/>
      <c r="P160" s="302"/>
      <c r="Q160" s="770"/>
      <c r="R160" s="694"/>
      <c r="S160" s="694"/>
      <c r="T160" s="694"/>
      <c r="U160" s="694"/>
      <c r="V160" s="694"/>
      <c r="W160" s="694"/>
      <c r="X160" s="694"/>
      <c r="Y160" s="694"/>
      <c r="Z160" s="343"/>
      <c r="AA160" s="343"/>
      <c r="AB160" s="343"/>
      <c r="AC160" s="343"/>
      <c r="AD160" s="343"/>
      <c r="AE160" s="343"/>
      <c r="AF160" s="343"/>
      <c r="AG160" s="343"/>
      <c r="AH160" s="343"/>
      <c r="AI160" s="343"/>
      <c r="AJ160" s="343"/>
      <c r="AK160" s="343"/>
    </row>
    <row r="161" spans="1:37" ht="25.5" customHeight="1" x14ac:dyDescent="0.25">
      <c r="A161" s="694"/>
      <c r="B161" s="284"/>
      <c r="C161" s="284"/>
      <c r="D161" s="302"/>
      <c r="E161" s="427" t="s">
        <v>1052</v>
      </c>
      <c r="F161" s="2293" t="str">
        <f>Translations!$B$268</f>
        <v>Количество на отпадните газове, използвани при електропроизводство, както и при производство на измерима или друга топлинна енергия извън подинсталациите с продуктов показател, или които са подадени от инсталацията;</v>
      </c>
      <c r="G161" s="2497"/>
      <c r="H161" s="2497"/>
      <c r="I161" s="2497"/>
      <c r="J161" s="2497"/>
      <c r="K161" s="2497"/>
      <c r="L161" s="2497"/>
      <c r="M161" s="2497"/>
      <c r="N161" s="2497"/>
      <c r="O161" s="336"/>
      <c r="P161" s="302"/>
      <c r="Q161" s="770"/>
      <c r="R161" s="694"/>
      <c r="S161" s="694"/>
      <c r="T161" s="694"/>
      <c r="U161" s="694"/>
      <c r="V161" s="694"/>
      <c r="W161" s="694"/>
      <c r="X161" s="694"/>
      <c r="Y161" s="694"/>
      <c r="Z161" s="343"/>
      <c r="AA161" s="343"/>
      <c r="AB161" s="343"/>
      <c r="AC161" s="343"/>
      <c r="AD161" s="343"/>
      <c r="AE161" s="343"/>
      <c r="AF161" s="343"/>
      <c r="AG161" s="343"/>
      <c r="AH161" s="343"/>
      <c r="AI161" s="343"/>
      <c r="AJ161" s="343"/>
      <c r="AK161" s="343"/>
    </row>
    <row r="162" spans="1:37" x14ac:dyDescent="0.25">
      <c r="A162" s="694"/>
      <c r="B162" s="284"/>
      <c r="C162" s="284"/>
      <c r="D162" s="302"/>
      <c r="E162" s="427" t="s">
        <v>1052</v>
      </c>
      <c r="F162" s="2358" t="str">
        <f>Translations!$B$269</f>
        <v>По избор (с цел проверка на съответствието) може да се отчетат технологичните емисии, свързани с посочените количества отпадни газове.</v>
      </c>
      <c r="G162" s="2249"/>
      <c r="H162" s="2249"/>
      <c r="I162" s="2249"/>
      <c r="J162" s="2249"/>
      <c r="K162" s="2249"/>
      <c r="L162" s="2249"/>
      <c r="M162" s="2249"/>
      <c r="N162" s="2249"/>
      <c r="O162" s="336"/>
      <c r="P162" s="302"/>
      <c r="Q162" s="770"/>
      <c r="R162" s="694"/>
      <c r="S162" s="694"/>
      <c r="T162" s="694"/>
      <c r="U162" s="694"/>
      <c r="V162" s="694"/>
      <c r="W162" s="694"/>
      <c r="X162" s="694"/>
      <c r="Y162" s="694"/>
      <c r="Z162" s="343"/>
      <c r="AA162" s="343"/>
      <c r="AB162" s="343"/>
      <c r="AC162" s="343"/>
      <c r="AD162" s="343"/>
      <c r="AE162" s="343"/>
      <c r="AF162" s="343"/>
      <c r="AG162" s="343"/>
      <c r="AH162" s="343"/>
      <c r="AI162" s="343"/>
      <c r="AJ162" s="343"/>
      <c r="AK162" s="343"/>
    </row>
    <row r="163" spans="1:37" x14ac:dyDescent="0.25">
      <c r="A163" s="694"/>
      <c r="B163" s="284"/>
      <c r="C163" s="284"/>
      <c r="D163" s="302"/>
      <c r="E163" s="427" t="s">
        <v>1052</v>
      </c>
      <c r="F163" s="2358" t="str">
        <f>Translations!$B$270</f>
        <v>Долната топлина на изгаряне на отпадните газове.</v>
      </c>
      <c r="G163" s="2249"/>
      <c r="H163" s="2249"/>
      <c r="I163" s="2249"/>
      <c r="J163" s="2249"/>
      <c r="K163" s="2249"/>
      <c r="L163" s="2249"/>
      <c r="M163" s="2249"/>
      <c r="N163" s="2249"/>
      <c r="O163" s="336"/>
      <c r="P163" s="302"/>
      <c r="Q163" s="770"/>
      <c r="R163" s="694"/>
      <c r="S163" s="694"/>
      <c r="T163" s="694"/>
      <c r="U163" s="694"/>
      <c r="V163" s="694"/>
      <c r="W163" s="694"/>
      <c r="X163" s="694"/>
      <c r="Y163" s="694"/>
      <c r="Z163" s="343"/>
      <c r="AA163" s="343"/>
      <c r="AB163" s="343"/>
      <c r="AC163" s="343"/>
      <c r="AD163" s="343"/>
      <c r="AE163" s="343"/>
      <c r="AF163" s="343"/>
      <c r="AG163" s="343"/>
      <c r="AH163" s="343"/>
      <c r="AI163" s="343"/>
      <c r="AJ163" s="343"/>
      <c r="AK163" s="343"/>
    </row>
    <row r="164" spans="1:37" ht="25.5" customHeight="1" x14ac:dyDescent="0.25">
      <c r="A164" s="694"/>
      <c r="B164" s="284"/>
      <c r="C164" s="284"/>
      <c r="D164" s="302"/>
      <c r="E164" s="427" t="s">
        <v>1052</v>
      </c>
      <c r="F164" s="2293" t="str">
        <f>Translations!$B$271</f>
        <v>Направени допускания по отношение на различните стойности на к.п.д. при използването на отпаден и природен газ. Тези допускания са както следва: стойността на к.п.д. при електропроизводството с природен газ е 52,5 %, а с отпадни газове — 35 %;</v>
      </c>
      <c r="G164" s="2497"/>
      <c r="H164" s="2497"/>
      <c r="I164" s="2497"/>
      <c r="J164" s="2497"/>
      <c r="K164" s="2497"/>
      <c r="L164" s="2497"/>
      <c r="M164" s="2497"/>
      <c r="N164" s="2497"/>
      <c r="O164" s="336"/>
      <c r="P164" s="302"/>
      <c r="Q164" s="770"/>
      <c r="R164" s="694"/>
      <c r="S164" s="694"/>
      <c r="T164" s="694"/>
      <c r="U164" s="694"/>
      <c r="V164" s="694"/>
      <c r="W164" s="694"/>
      <c r="X164" s="694"/>
      <c r="Y164" s="694"/>
      <c r="Z164" s="343"/>
      <c r="AA164" s="343"/>
      <c r="AB164" s="343"/>
      <c r="AC164" s="343"/>
      <c r="AD164" s="343"/>
      <c r="AE164" s="343"/>
      <c r="AF164" s="343"/>
      <c r="AG164" s="343"/>
      <c r="AH164" s="343"/>
      <c r="AI164" s="343"/>
      <c r="AJ164" s="343"/>
      <c r="AK164" s="343"/>
    </row>
    <row r="165" spans="1:37" x14ac:dyDescent="0.25">
      <c r="A165" s="694"/>
      <c r="B165" s="284"/>
      <c r="C165" s="284"/>
      <c r="D165" s="302"/>
      <c r="E165" s="427" t="s">
        <v>1052</v>
      </c>
      <c r="F165" s="2358" t="str">
        <f>Translations!$B$272</f>
        <v>Емисионен фактор за природния газ: 56,1 t CO2/TJ.</v>
      </c>
      <c r="G165" s="2249"/>
      <c r="H165" s="2249"/>
      <c r="I165" s="2249"/>
      <c r="J165" s="2249"/>
      <c r="K165" s="2249"/>
      <c r="L165" s="2249"/>
      <c r="M165" s="2249"/>
      <c r="N165" s="2249"/>
      <c r="O165" s="336"/>
      <c r="P165" s="302"/>
      <c r="Q165" s="770"/>
      <c r="R165" s="694"/>
      <c r="S165" s="694"/>
      <c r="T165" s="694"/>
      <c r="U165" s="694"/>
      <c r="V165" s="694"/>
      <c r="W165" s="694"/>
      <c r="X165" s="694"/>
      <c r="Y165" s="694"/>
      <c r="Z165" s="343"/>
      <c r="AA165" s="343"/>
      <c r="AB165" s="343"/>
      <c r="AC165" s="343"/>
      <c r="AD165" s="343"/>
      <c r="AE165" s="343"/>
      <c r="AF165" s="343"/>
      <c r="AG165" s="343"/>
      <c r="AH165" s="343"/>
      <c r="AI165" s="343"/>
      <c r="AJ165" s="343"/>
      <c r="AK165" s="343"/>
    </row>
    <row r="166" spans="1:37" x14ac:dyDescent="0.25">
      <c r="A166" s="694"/>
      <c r="B166" s="698"/>
      <c r="C166" s="698"/>
      <c r="D166" s="698"/>
      <c r="E166" s="2358" t="str">
        <f>Translations!$B$273</f>
        <v>Тъй като в една инсталация могат да са налице и двата възможни вида подинсталации или поради това, че може да се генерират различни видове отпадни газове, в настоящия образец посоченият „инструмент за отпадните газове“ е използван в два случая.</v>
      </c>
      <c r="F166" s="2249"/>
      <c r="G166" s="2249"/>
      <c r="H166" s="2249"/>
      <c r="I166" s="2249"/>
      <c r="J166" s="2249"/>
      <c r="K166" s="2249"/>
      <c r="L166" s="2249"/>
      <c r="M166" s="2249"/>
      <c r="N166" s="2249"/>
      <c r="O166" s="336"/>
      <c r="P166" s="302"/>
      <c r="Q166" s="694"/>
      <c r="R166" s="694"/>
      <c r="S166" s="694"/>
      <c r="T166" s="694"/>
      <c r="U166" s="694"/>
      <c r="V166" s="694"/>
      <c r="W166" s="694"/>
      <c r="X166" s="694"/>
      <c r="Y166" s="694"/>
      <c r="Z166" s="343"/>
      <c r="AA166" s="343"/>
      <c r="AB166" s="343"/>
      <c r="AC166" s="343"/>
      <c r="AD166" s="343"/>
      <c r="AE166" s="343"/>
      <c r="AF166" s="343"/>
      <c r="AG166" s="343"/>
      <c r="AH166" s="343"/>
      <c r="AI166" s="343"/>
      <c r="AJ166" s="343"/>
      <c r="AK166" s="343"/>
    </row>
    <row r="167" spans="1:37" ht="5.15" customHeight="1" x14ac:dyDescent="0.25">
      <c r="A167" s="694"/>
      <c r="B167" s="284"/>
      <c r="C167" s="284"/>
      <c r="D167" s="284"/>
      <c r="E167" s="284"/>
      <c r="F167" s="284"/>
      <c r="G167" s="284"/>
      <c r="H167" s="284"/>
      <c r="I167" s="284"/>
      <c r="J167" s="284"/>
      <c r="K167" s="284"/>
      <c r="L167" s="284"/>
      <c r="M167" s="336"/>
      <c r="N167" s="336"/>
      <c r="O167" s="336"/>
      <c r="P167" s="302"/>
      <c r="Q167" s="770"/>
      <c r="R167" s="694"/>
      <c r="S167" s="694"/>
      <c r="T167" s="694"/>
      <c r="U167" s="694"/>
      <c r="V167" s="694"/>
      <c r="W167" s="694"/>
      <c r="X167" s="694"/>
      <c r="Y167" s="694"/>
      <c r="Z167" s="343"/>
      <c r="AA167" s="343"/>
      <c r="AB167" s="343"/>
      <c r="AC167" s="343"/>
      <c r="AD167" s="343"/>
      <c r="AE167" s="343"/>
      <c r="AF167" s="343"/>
      <c r="AG167" s="343"/>
      <c r="AH167" s="343"/>
      <c r="AI167" s="343"/>
      <c r="AJ167" s="343"/>
      <c r="AK167" s="343"/>
    </row>
    <row r="168" spans="1:37" ht="15" customHeight="1" x14ac:dyDescent="0.3">
      <c r="A168" s="694"/>
      <c r="B168" s="284"/>
      <c r="C168" s="357">
        <v>1</v>
      </c>
      <c r="D168" s="2323" t="str">
        <f>Translations!$B$274</f>
        <v>Инструмент за изчисляване на количеството технологични емисии, ако отпадните газове се генерират извън обхвата на продуктовите показатели</v>
      </c>
      <c r="E168" s="2249"/>
      <c r="F168" s="2249"/>
      <c r="G168" s="2249"/>
      <c r="H168" s="2249"/>
      <c r="I168" s="2249"/>
      <c r="J168" s="2249"/>
      <c r="K168" s="2249"/>
      <c r="L168" s="2249"/>
      <c r="M168" s="2249"/>
      <c r="N168" s="2249"/>
      <c r="O168" s="336"/>
      <c r="P168" s="302"/>
      <c r="Q168" s="770"/>
      <c r="R168" s="694"/>
      <c r="S168" s="694"/>
      <c r="T168" s="694"/>
      <c r="U168" s="694"/>
      <c r="V168" s="694"/>
      <c r="W168" s="694"/>
      <c r="X168" s="694"/>
      <c r="Y168" s="729" t="s">
        <v>1148</v>
      </c>
      <c r="Z168" s="343"/>
      <c r="AA168" s="343"/>
      <c r="AB168" s="343"/>
      <c r="AC168" s="343"/>
      <c r="AD168" s="343"/>
      <c r="AE168" s="343"/>
      <c r="AF168" s="343"/>
      <c r="AG168" s="343"/>
      <c r="AH168" s="343"/>
      <c r="AI168" s="343"/>
      <c r="AJ168" s="343"/>
      <c r="AK168" s="343"/>
    </row>
    <row r="169" spans="1:37" ht="5.15" customHeight="1" thickBot="1" x14ac:dyDescent="0.3">
      <c r="A169" s="694"/>
      <c r="B169" s="284"/>
      <c r="C169" s="284"/>
      <c r="D169" s="284"/>
      <c r="E169" s="284"/>
      <c r="F169" s="284"/>
      <c r="G169" s="284"/>
      <c r="H169" s="284"/>
      <c r="I169" s="284"/>
      <c r="J169" s="284"/>
      <c r="K169" s="284"/>
      <c r="L169" s="284"/>
      <c r="M169" s="336"/>
      <c r="N169" s="336"/>
      <c r="O169" s="336"/>
      <c r="P169" s="302"/>
      <c r="Q169" s="770"/>
      <c r="R169" s="694"/>
      <c r="S169" s="694"/>
      <c r="T169" s="694"/>
      <c r="U169" s="694"/>
      <c r="V169" s="694"/>
      <c r="W169" s="694"/>
      <c r="X169" s="694"/>
      <c r="Y169" s="694"/>
      <c r="Z169" s="343"/>
      <c r="AA169" s="343"/>
      <c r="AB169" s="343"/>
      <c r="AC169" s="343"/>
      <c r="AD169" s="343"/>
      <c r="AE169" s="343"/>
      <c r="AF169" s="343"/>
      <c r="AG169" s="343"/>
      <c r="AH169" s="343"/>
      <c r="AI169" s="343"/>
      <c r="AJ169" s="343"/>
      <c r="AK169" s="343"/>
    </row>
    <row r="170" spans="1:37" ht="14" x14ac:dyDescent="0.3">
      <c r="A170" s="694"/>
      <c r="B170" s="284"/>
      <c r="C170" s="284"/>
      <c r="D170" s="300" t="s">
        <v>408</v>
      </c>
      <c r="E170" s="2226" t="str">
        <f>Translations!$B$275</f>
        <v>Този раздел се отнася до подинсталациите за технологични емисии от този вид:</v>
      </c>
      <c r="F170" s="2226"/>
      <c r="G170" s="2226"/>
      <c r="H170" s="2226"/>
      <c r="I170" s="2226"/>
      <c r="J170" s="2226"/>
      <c r="K170" s="2317"/>
      <c r="L170" s="2711"/>
      <c r="M170" s="2712"/>
      <c r="N170" s="2713"/>
      <c r="O170" s="336"/>
      <c r="P170" s="158"/>
      <c r="Q170" s="770"/>
      <c r="R170" s="694"/>
      <c r="S170" s="694"/>
      <c r="T170" s="694"/>
      <c r="U170" s="694"/>
      <c r="V170" s="694"/>
      <c r="W170" s="694"/>
      <c r="X170" s="694"/>
      <c r="Y170" s="1017" t="b">
        <f>AND(M156&lt;&gt;"",M156=FALSE)</f>
        <v>0</v>
      </c>
      <c r="Z170" s="343"/>
      <c r="AA170" s="343"/>
      <c r="AB170" s="343"/>
      <c r="AC170" s="343"/>
      <c r="AD170" s="343"/>
      <c r="AE170" s="343"/>
      <c r="AF170" s="343"/>
      <c r="AG170" s="343"/>
      <c r="AH170" s="343"/>
      <c r="AI170" s="343"/>
      <c r="AJ170" s="732" t="s">
        <v>2039</v>
      </c>
      <c r="AK170" s="875" t="str">
        <f>IF(AND(CNTR_HasEntries_A_I,Y170=FALSE,L170=""),4,"")</f>
        <v/>
      </c>
    </row>
    <row r="171" spans="1:37" x14ac:dyDescent="0.25">
      <c r="A171" s="694"/>
      <c r="B171" s="698"/>
      <c r="C171" s="698"/>
      <c r="D171" s="698"/>
      <c r="E171" s="2358" t="str">
        <f>Translations!$B$276</f>
        <v>Моля, изберете тук за кой от двата вида подинсталации за технологични емисии се отнасят данните от този инструмент.</v>
      </c>
      <c r="F171" s="2249"/>
      <c r="G171" s="2249"/>
      <c r="H171" s="2249"/>
      <c r="I171" s="2249"/>
      <c r="J171" s="2249"/>
      <c r="K171" s="2249"/>
      <c r="L171" s="2249"/>
      <c r="M171" s="2249"/>
      <c r="N171" s="2249"/>
      <c r="O171" s="336"/>
      <c r="P171" s="302"/>
      <c r="Q171" s="694"/>
      <c r="R171" s="694"/>
      <c r="S171" s="694"/>
      <c r="T171" s="694"/>
      <c r="U171" s="694"/>
      <c r="V171" s="694"/>
      <c r="W171" s="694"/>
      <c r="X171" s="694"/>
      <c r="Y171" s="1018"/>
      <c r="Z171" s="343"/>
      <c r="AA171" s="343"/>
      <c r="AB171" s="343"/>
      <c r="AC171" s="343"/>
      <c r="AD171" s="343"/>
      <c r="AE171" s="343"/>
      <c r="AF171" s="343"/>
      <c r="AG171" s="343"/>
      <c r="AH171" s="343"/>
      <c r="AI171" s="343"/>
      <c r="AJ171" s="343"/>
      <c r="AK171" s="343"/>
    </row>
    <row r="172" spans="1:37" x14ac:dyDescent="0.25">
      <c r="A172" s="694"/>
      <c r="B172" s="698"/>
      <c r="C172" s="698"/>
      <c r="D172" s="698"/>
      <c r="E172" s="2358" t="str">
        <f>Translations!$B$277</f>
        <v>За точното определяне на подинсталацията е важно генерирането, а не използването на отпадните газове.</v>
      </c>
      <c r="F172" s="2249"/>
      <c r="G172" s="2249"/>
      <c r="H172" s="2249"/>
      <c r="I172" s="2249"/>
      <c r="J172" s="2249"/>
      <c r="K172" s="2249"/>
      <c r="L172" s="2249"/>
      <c r="M172" s="2249"/>
      <c r="N172" s="2249"/>
      <c r="O172" s="336"/>
      <c r="P172" s="302"/>
      <c r="Q172" s="694"/>
      <c r="R172" s="694"/>
      <c r="S172" s="694"/>
      <c r="T172" s="694"/>
      <c r="U172" s="694"/>
      <c r="V172" s="694"/>
      <c r="W172" s="694"/>
      <c r="X172" s="694"/>
      <c r="Y172" s="1018"/>
      <c r="Z172" s="343"/>
      <c r="AA172" s="343"/>
      <c r="AB172" s="343"/>
      <c r="AC172" s="343"/>
      <c r="AD172" s="343"/>
      <c r="AE172" s="343"/>
      <c r="AF172" s="343"/>
      <c r="AG172" s="343"/>
      <c r="AH172" s="343"/>
      <c r="AI172" s="343"/>
      <c r="AJ172" s="343"/>
      <c r="AK172" s="343"/>
    </row>
    <row r="173" spans="1:37" ht="5.15" customHeight="1" x14ac:dyDescent="0.25">
      <c r="A173" s="694"/>
      <c r="B173" s="284"/>
      <c r="C173" s="284"/>
      <c r="D173" s="284"/>
      <c r="E173" s="284"/>
      <c r="F173" s="284"/>
      <c r="G173" s="284"/>
      <c r="H173" s="284"/>
      <c r="I173" s="284"/>
      <c r="J173" s="284"/>
      <c r="K173" s="284"/>
      <c r="L173" s="284"/>
      <c r="M173" s="336"/>
      <c r="N173" s="336"/>
      <c r="O173" s="336"/>
      <c r="P173" s="302"/>
      <c r="Q173" s="770"/>
      <c r="R173" s="694"/>
      <c r="S173" s="694"/>
      <c r="T173" s="694"/>
      <c r="U173" s="694"/>
      <c r="V173" s="694"/>
      <c r="W173" s="694"/>
      <c r="X173" s="694"/>
      <c r="Y173" s="1018"/>
      <c r="Z173" s="343"/>
      <c r="AA173" s="343"/>
      <c r="AB173" s="343"/>
      <c r="AC173" s="343"/>
      <c r="AD173" s="343"/>
      <c r="AE173" s="343"/>
      <c r="AF173" s="343"/>
      <c r="AG173" s="343"/>
      <c r="AH173" s="343"/>
      <c r="AI173" s="343"/>
      <c r="AJ173" s="343"/>
      <c r="AK173" s="343"/>
    </row>
    <row r="174" spans="1:37" ht="14" x14ac:dyDescent="0.3">
      <c r="A174" s="694"/>
      <c r="B174" s="284"/>
      <c r="C174" s="284"/>
      <c r="D174" s="300" t="s">
        <v>901</v>
      </c>
      <c r="E174" s="2226" t="str">
        <f>Translations!$B$278</f>
        <v>Моля, потвърдете дали отпадните газове се отнасят за тази подинсталация:</v>
      </c>
      <c r="F174" s="2226"/>
      <c r="G174" s="2226"/>
      <c r="H174" s="2226"/>
      <c r="I174" s="2226"/>
      <c r="J174" s="2226"/>
      <c r="K174" s="2317"/>
      <c r="L174" s="2696"/>
      <c r="M174" s="2697"/>
      <c r="N174" s="2698"/>
      <c r="O174" s="336"/>
      <c r="P174" s="158"/>
      <c r="Q174" s="770"/>
      <c r="R174" s="694"/>
      <c r="S174" s="694"/>
      <c r="T174" s="694"/>
      <c r="U174" s="694"/>
      <c r="V174" s="694"/>
      <c r="W174" s="694"/>
      <c r="X174" s="694"/>
      <c r="Y174" s="1029" t="b">
        <f>Y170</f>
        <v>0</v>
      </c>
      <c r="Z174" s="343"/>
      <c r="AA174" s="343"/>
      <c r="AB174" s="343"/>
      <c r="AC174" s="343"/>
      <c r="AD174" s="343"/>
      <c r="AE174" s="343"/>
      <c r="AF174" s="343"/>
      <c r="AG174" s="343"/>
      <c r="AH174" s="343"/>
      <c r="AI174" s="343"/>
      <c r="AJ174" s="732" t="s">
        <v>2039</v>
      </c>
      <c r="AK174" s="875" t="str">
        <f>IF(AND(CNTR_HasEntries_A_I,Y174=FALSE,L174=""),4,"")</f>
        <v/>
      </c>
    </row>
    <row r="175" spans="1:37" ht="5.15" customHeight="1" x14ac:dyDescent="0.25">
      <c r="A175" s="694"/>
      <c r="B175" s="284"/>
      <c r="C175" s="284"/>
      <c r="D175" s="284"/>
      <c r="E175" s="284"/>
      <c r="F175" s="284"/>
      <c r="G175" s="284"/>
      <c r="H175" s="284"/>
      <c r="I175" s="284"/>
      <c r="J175" s="284"/>
      <c r="K175" s="284"/>
      <c r="L175" s="284"/>
      <c r="M175" s="336"/>
      <c r="N175" s="336"/>
      <c r="O175" s="336"/>
      <c r="P175" s="302"/>
      <c r="Q175" s="770"/>
      <c r="R175" s="694"/>
      <c r="S175" s="694"/>
      <c r="T175" s="694"/>
      <c r="U175" s="694"/>
      <c r="V175" s="694"/>
      <c r="W175" s="694"/>
      <c r="X175" s="694"/>
      <c r="Y175" s="1018"/>
      <c r="Z175" s="343"/>
      <c r="AA175" s="343"/>
      <c r="AB175" s="343"/>
      <c r="AC175" s="343"/>
      <c r="AD175" s="343"/>
      <c r="AE175" s="343"/>
      <c r="AF175" s="343"/>
      <c r="AG175" s="343"/>
      <c r="AH175" s="343"/>
      <c r="AI175" s="343"/>
      <c r="AJ175" s="343"/>
      <c r="AK175" s="343"/>
    </row>
    <row r="176" spans="1:37" ht="13" x14ac:dyDescent="0.25">
      <c r="A176" s="694"/>
      <c r="B176" s="284"/>
      <c r="C176" s="284"/>
      <c r="D176" s="300" t="s">
        <v>46</v>
      </c>
      <c r="E176" s="2226" t="str">
        <f>Translations!$B$279</f>
        <v>Вид отпаден газ:</v>
      </c>
      <c r="F176" s="2249"/>
      <c r="G176" s="2295"/>
      <c r="H176" s="2688"/>
      <c r="I176" s="2689"/>
      <c r="J176" s="2689"/>
      <c r="K176" s="2689"/>
      <c r="L176" s="2689"/>
      <c r="M176" s="2689"/>
      <c r="N176" s="2690"/>
      <c r="O176" s="336"/>
      <c r="P176" s="158"/>
      <c r="Q176" s="770"/>
      <c r="R176" s="694"/>
      <c r="S176" s="694"/>
      <c r="T176" s="694"/>
      <c r="U176" s="694"/>
      <c r="V176" s="694"/>
      <c r="W176" s="694"/>
      <c r="X176" s="694"/>
      <c r="Y176" s="1029" t="b">
        <f>Y174</f>
        <v>0</v>
      </c>
      <c r="Z176" s="343"/>
      <c r="AA176" s="343"/>
      <c r="AB176" s="343"/>
      <c r="AC176" s="343"/>
      <c r="AD176" s="343"/>
      <c r="AE176" s="343"/>
      <c r="AF176" s="343"/>
      <c r="AG176" s="343"/>
      <c r="AH176" s="343"/>
      <c r="AI176" s="343"/>
      <c r="AJ176" s="732" t="s">
        <v>2039</v>
      </c>
      <c r="AK176" s="875" t="str">
        <f>IF(AND(CNTR_HasEntries_A_I,Y176=FALSE,H176=""),4,"")</f>
        <v/>
      </c>
    </row>
    <row r="177" spans="1:37" x14ac:dyDescent="0.25">
      <c r="A177" s="694"/>
      <c r="B177" s="698"/>
      <c r="C177" s="698"/>
      <c r="D177" s="698"/>
      <c r="E177" s="2358" t="str">
        <f>Translations!$B$280</f>
        <v>Моля, опишете отпадния газ и процеса, при който той е генериран. Горе впишете наименование за газовия поток, а отдолу опишете накратко технологичния процес.</v>
      </c>
      <c r="F177" s="2249"/>
      <c r="G177" s="2249"/>
      <c r="H177" s="2249"/>
      <c r="I177" s="2249"/>
      <c r="J177" s="2249"/>
      <c r="K177" s="2249"/>
      <c r="L177" s="2249"/>
      <c r="M177" s="2249"/>
      <c r="N177" s="2249"/>
      <c r="O177" s="336"/>
      <c r="P177" s="302"/>
      <c r="Q177" s="694"/>
      <c r="R177" s="694"/>
      <c r="S177" s="694"/>
      <c r="T177" s="694"/>
      <c r="U177" s="694"/>
      <c r="V177" s="694"/>
      <c r="W177" s="694"/>
      <c r="X177" s="694"/>
      <c r="Y177" s="1018"/>
      <c r="Z177" s="343"/>
      <c r="AA177" s="343"/>
      <c r="AB177" s="343"/>
      <c r="AC177" s="343"/>
      <c r="AD177" s="343"/>
      <c r="AE177" s="343"/>
      <c r="AF177" s="343"/>
      <c r="AG177" s="343"/>
      <c r="AH177" s="343"/>
      <c r="AI177" s="343"/>
      <c r="AJ177" s="343"/>
      <c r="AK177" s="343"/>
    </row>
    <row r="178" spans="1:37" x14ac:dyDescent="0.25">
      <c r="A178" s="694"/>
      <c r="B178" s="698"/>
      <c r="C178" s="698"/>
      <c r="D178" s="698"/>
      <c r="E178" s="2255" t="str">
        <f>Translations!$B$281</f>
        <v>Ако във Вашата инсталация се генерират няколко различни вида газ, моля, дайте подробности в отделни файлове, като използвате този инструмент за по-сложни случаи.</v>
      </c>
      <c r="F178" s="2256"/>
      <c r="G178" s="2256"/>
      <c r="H178" s="2256"/>
      <c r="I178" s="2256"/>
      <c r="J178" s="2256"/>
      <c r="K178" s="2256"/>
      <c r="L178" s="2256"/>
      <c r="M178" s="2256"/>
      <c r="N178" s="2256"/>
      <c r="O178" s="336"/>
      <c r="P178" s="302"/>
      <c r="Q178" s="694"/>
      <c r="R178" s="694"/>
      <c r="S178" s="694"/>
      <c r="T178" s="694"/>
      <c r="U178" s="694"/>
      <c r="V178" s="694"/>
      <c r="W178" s="694"/>
      <c r="X178" s="694"/>
      <c r="Y178" s="1018"/>
      <c r="Z178" s="343"/>
      <c r="AA178" s="343"/>
      <c r="AB178" s="343"/>
      <c r="AC178" s="343"/>
      <c r="AD178" s="343"/>
      <c r="AE178" s="343"/>
      <c r="AF178" s="343"/>
      <c r="AG178" s="343"/>
      <c r="AH178" s="343"/>
      <c r="AI178" s="343"/>
      <c r="AJ178" s="343"/>
      <c r="AK178" s="343"/>
    </row>
    <row r="179" spans="1:37" ht="13" x14ac:dyDescent="0.25">
      <c r="A179" s="694"/>
      <c r="B179" s="284"/>
      <c r="C179" s="284"/>
      <c r="D179" s="300"/>
      <c r="E179" s="2676"/>
      <c r="F179" s="2691"/>
      <c r="G179" s="2691"/>
      <c r="H179" s="2691"/>
      <c r="I179" s="2691"/>
      <c r="J179" s="2691"/>
      <c r="K179" s="2691"/>
      <c r="L179" s="2691"/>
      <c r="M179" s="2691"/>
      <c r="N179" s="2692"/>
      <c r="O179" s="336"/>
      <c r="P179" s="158"/>
      <c r="Q179" s="770"/>
      <c r="R179" s="694"/>
      <c r="S179" s="694"/>
      <c r="T179" s="694"/>
      <c r="U179" s="694"/>
      <c r="V179" s="694"/>
      <c r="W179" s="694"/>
      <c r="X179" s="694"/>
      <c r="Y179" s="1029" t="b">
        <f>Y176</f>
        <v>0</v>
      </c>
      <c r="Z179" s="343"/>
      <c r="AA179" s="343"/>
      <c r="AB179" s="343"/>
      <c r="AC179" s="343"/>
      <c r="AD179" s="343"/>
      <c r="AE179" s="343"/>
      <c r="AF179" s="343"/>
      <c r="AG179" s="343"/>
      <c r="AH179" s="343"/>
      <c r="AI179" s="343"/>
      <c r="AJ179" s="343"/>
      <c r="AK179" s="343"/>
    </row>
    <row r="180" spans="1:37" ht="13" x14ac:dyDescent="0.25">
      <c r="A180" s="694"/>
      <c r="B180" s="284"/>
      <c r="C180" s="284"/>
      <c r="D180" s="300"/>
      <c r="E180" s="2693"/>
      <c r="F180" s="2694"/>
      <c r="G180" s="2694"/>
      <c r="H180" s="2694"/>
      <c r="I180" s="2694"/>
      <c r="J180" s="2694"/>
      <c r="K180" s="2694"/>
      <c r="L180" s="2694"/>
      <c r="M180" s="2694"/>
      <c r="N180" s="2695"/>
      <c r="O180" s="336"/>
      <c r="P180" s="302"/>
      <c r="Q180" s="770"/>
      <c r="R180" s="694"/>
      <c r="S180" s="694"/>
      <c r="T180" s="694"/>
      <c r="U180" s="694"/>
      <c r="V180" s="694"/>
      <c r="W180" s="694"/>
      <c r="X180" s="694"/>
      <c r="Y180" s="1029" t="b">
        <f>Y179</f>
        <v>0</v>
      </c>
      <c r="Z180" s="343"/>
      <c r="AA180" s="343"/>
      <c r="AB180" s="343"/>
      <c r="AC180" s="343"/>
      <c r="AD180" s="343"/>
      <c r="AE180" s="343"/>
      <c r="AF180" s="343"/>
      <c r="AG180" s="343"/>
      <c r="AH180" s="343"/>
      <c r="AI180" s="343"/>
      <c r="AJ180" s="343"/>
      <c r="AK180" s="343"/>
    </row>
    <row r="181" spans="1:37" ht="5.15" customHeight="1" x14ac:dyDescent="0.25">
      <c r="A181" s="694"/>
      <c r="B181" s="284"/>
      <c r="C181" s="284"/>
      <c r="D181" s="284"/>
      <c r="E181" s="284"/>
      <c r="F181" s="284"/>
      <c r="G181" s="284"/>
      <c r="H181" s="284"/>
      <c r="I181" s="284"/>
      <c r="J181" s="284"/>
      <c r="K181" s="284"/>
      <c r="L181" s="284"/>
      <c r="M181" s="336"/>
      <c r="N181" s="336"/>
      <c r="O181" s="336"/>
      <c r="P181" s="302"/>
      <c r="Q181" s="770"/>
      <c r="R181" s="694"/>
      <c r="S181" s="694"/>
      <c r="T181" s="694"/>
      <c r="U181" s="694"/>
      <c r="V181" s="694"/>
      <c r="W181" s="694"/>
      <c r="X181" s="694"/>
      <c r="Y181" s="1018"/>
      <c r="Z181" s="343"/>
      <c r="AA181" s="343"/>
      <c r="AB181" s="343"/>
      <c r="AC181" s="343"/>
      <c r="AD181" s="343"/>
      <c r="AE181" s="343"/>
      <c r="AF181" s="343"/>
      <c r="AG181" s="343"/>
      <c r="AH181" s="343"/>
      <c r="AI181" s="343"/>
      <c r="AJ181" s="343"/>
      <c r="AK181" s="343"/>
    </row>
    <row r="182" spans="1:37" ht="13" x14ac:dyDescent="0.25">
      <c r="A182" s="694"/>
      <c r="B182" s="284"/>
      <c r="C182" s="284"/>
      <c r="D182" s="300" t="s">
        <v>906</v>
      </c>
      <c r="E182" s="2226" t="str">
        <f>Translations!$B$282</f>
        <v>Общо количество технологични емисии преди изваждането на еквивалента на технически използваемото енергийно съдържание:</v>
      </c>
      <c r="F182" s="2249"/>
      <c r="G182" s="2249"/>
      <c r="H182" s="2249"/>
      <c r="I182" s="2249"/>
      <c r="J182" s="2249"/>
      <c r="K182" s="2249"/>
      <c r="L182" s="2249"/>
      <c r="M182" s="2249"/>
      <c r="N182" s="2249"/>
      <c r="O182" s="336"/>
      <c r="P182" s="302"/>
      <c r="Q182" s="770"/>
      <c r="R182" s="694"/>
      <c r="S182" s="694"/>
      <c r="T182" s="694"/>
      <c r="U182" s="694"/>
      <c r="V182" s="694"/>
      <c r="W182" s="694"/>
      <c r="X182" s="694"/>
      <c r="Y182" s="1018"/>
      <c r="Z182" s="343"/>
      <c r="AA182" s="343"/>
      <c r="AB182" s="343"/>
      <c r="AC182" s="343"/>
      <c r="AD182" s="343"/>
      <c r="AE182" s="343"/>
      <c r="AF182" s="343"/>
      <c r="AG182" s="343"/>
      <c r="AH182" s="343"/>
      <c r="AI182" s="343"/>
      <c r="AJ182" s="343"/>
      <c r="AK182" s="343"/>
    </row>
    <row r="183" spans="1:37" x14ac:dyDescent="0.25">
      <c r="A183" s="694"/>
      <c r="B183" s="284"/>
      <c r="C183" s="284"/>
      <c r="D183" s="302"/>
      <c r="E183" s="2358" t="str">
        <f>Translations!$B$283</f>
        <v>Това количество трябва да отговаря на състоянието относно риска от изместване на въглеродни емисии, посочено в буква а) по-горе.</v>
      </c>
      <c r="F183" s="2249"/>
      <c r="G183" s="2249"/>
      <c r="H183" s="2249"/>
      <c r="I183" s="2249"/>
      <c r="J183" s="2249"/>
      <c r="K183" s="2249"/>
      <c r="L183" s="2249"/>
      <c r="M183" s="2249"/>
      <c r="N183" s="2249"/>
      <c r="O183" s="336"/>
      <c r="P183" s="302"/>
      <c r="Q183" s="770"/>
      <c r="R183" s="694"/>
      <c r="S183" s="694"/>
      <c r="T183" s="694"/>
      <c r="U183" s="694"/>
      <c r="V183" s="694"/>
      <c r="W183" s="694"/>
      <c r="X183" s="694"/>
      <c r="Y183" s="1018"/>
      <c r="Z183" s="343"/>
      <c r="AA183" s="343"/>
      <c r="AB183" s="343"/>
      <c r="AC183" s="343"/>
      <c r="AD183" s="343"/>
      <c r="AE183" s="343"/>
      <c r="AF183" s="343"/>
      <c r="AG183" s="343"/>
      <c r="AH183" s="343"/>
      <c r="AI183" s="343"/>
      <c r="AJ183" s="343"/>
      <c r="AK183" s="343"/>
    </row>
    <row r="184" spans="1:37" ht="13" x14ac:dyDescent="0.25">
      <c r="A184" s="694"/>
      <c r="B184" s="698"/>
      <c r="C184" s="698"/>
      <c r="D184" s="300"/>
      <c r="E184" s="461"/>
      <c r="F184" s="742"/>
      <c r="G184" s="390" t="str">
        <f>EUconst_Unit</f>
        <v>Единица мярка</v>
      </c>
      <c r="H184" s="391">
        <f t="shared" ref="H184:N184" si="45">H$278</f>
        <v>2024</v>
      </c>
      <c r="I184" s="391">
        <f t="shared" si="45"/>
        <v>2025</v>
      </c>
      <c r="J184" s="391">
        <f t="shared" si="45"/>
        <v>2026</v>
      </c>
      <c r="K184" s="391">
        <f t="shared" si="45"/>
        <v>2027</v>
      </c>
      <c r="L184" s="391">
        <f t="shared" si="45"/>
        <v>2028</v>
      </c>
      <c r="M184" s="391">
        <f t="shared" si="45"/>
        <v>2029</v>
      </c>
      <c r="N184" s="391">
        <f t="shared" si="45"/>
        <v>2030</v>
      </c>
      <c r="O184" s="336"/>
      <c r="P184" s="302"/>
      <c r="Q184" s="694"/>
      <c r="R184" s="694"/>
      <c r="S184" s="694"/>
      <c r="T184" s="694"/>
      <c r="U184" s="694"/>
      <c r="V184" s="694"/>
      <c r="W184" s="694"/>
      <c r="X184" s="694"/>
      <c r="Y184" s="1018"/>
      <c r="Z184" s="343"/>
      <c r="AA184" s="343"/>
      <c r="AB184" s="343"/>
      <c r="AC184" s="343"/>
      <c r="AD184" s="343"/>
      <c r="AE184" s="343"/>
      <c r="AF184" s="343"/>
      <c r="AG184" s="343"/>
      <c r="AH184" s="343"/>
      <c r="AI184" s="343"/>
      <c r="AJ184" s="343"/>
      <c r="AK184" s="343"/>
    </row>
    <row r="185" spans="1:37" ht="12.65" customHeight="1" x14ac:dyDescent="0.25">
      <c r="A185" s="694"/>
      <c r="B185" s="698"/>
      <c r="C185" s="698"/>
      <c r="D185" s="698"/>
      <c r="E185" s="2667" t="str">
        <f>Translations!$B$284</f>
        <v>Некоригирани технологични емисии</v>
      </c>
      <c r="F185" s="2258"/>
      <c r="G185" s="1016" t="str">
        <f>EUconst_tCO2epa</f>
        <v>t CO2e/година</v>
      </c>
      <c r="H185" s="24"/>
      <c r="I185" s="24"/>
      <c r="J185" s="24"/>
      <c r="K185" s="24"/>
      <c r="L185" s="24"/>
      <c r="M185" s="24"/>
      <c r="N185" s="24"/>
      <c r="O185" s="336"/>
      <c r="P185" s="158"/>
      <c r="Q185" s="694"/>
      <c r="R185" s="694"/>
      <c r="S185" s="694"/>
      <c r="T185" s="694"/>
      <c r="U185" s="694"/>
      <c r="V185" s="694"/>
      <c r="W185" s="694"/>
      <c r="X185" s="694"/>
      <c r="Y185" s="1029" t="b">
        <f>Y180</f>
        <v>0</v>
      </c>
      <c r="Z185" s="343"/>
      <c r="AA185" s="343"/>
      <c r="AB185" s="343"/>
      <c r="AC185" s="343"/>
      <c r="AD185" s="343"/>
      <c r="AE185" s="343"/>
      <c r="AF185" s="343"/>
      <c r="AG185" s="343"/>
      <c r="AH185" s="343"/>
      <c r="AI185" s="343"/>
      <c r="AJ185" s="732" t="s">
        <v>2039</v>
      </c>
      <c r="AK185" s="875" t="str">
        <f>IF(AND(CNTR_HasEntries_A_I,Y185=FALSE,COUNTIFS($AB$21:$AH$21,FALSE,H185:N185,"")&gt;0),4,"")</f>
        <v/>
      </c>
    </row>
    <row r="186" spans="1:37" ht="5.15" customHeight="1" x14ac:dyDescent="0.25">
      <c r="A186" s="694"/>
      <c r="B186" s="284"/>
      <c r="C186" s="284"/>
      <c r="D186" s="284"/>
      <c r="E186" s="284"/>
      <c r="F186" s="284"/>
      <c r="G186" s="284"/>
      <c r="H186" s="284"/>
      <c r="I186" s="284"/>
      <c r="J186" s="284"/>
      <c r="K186" s="284"/>
      <c r="L186" s="284"/>
      <c r="M186" s="284"/>
      <c r="N186" s="336"/>
      <c r="O186" s="336"/>
      <c r="P186" s="302"/>
      <c r="Q186" s="770"/>
      <c r="R186" s="694"/>
      <c r="S186" s="694"/>
      <c r="T186" s="694"/>
      <c r="U186" s="694"/>
      <c r="V186" s="694"/>
      <c r="W186" s="694"/>
      <c r="X186" s="694"/>
      <c r="Y186" s="1018"/>
      <c r="Z186" s="343"/>
      <c r="AA186" s="343"/>
      <c r="AB186" s="343"/>
      <c r="AC186" s="343"/>
      <c r="AD186" s="343"/>
      <c r="AE186" s="343"/>
      <c r="AF186" s="343"/>
      <c r="AG186" s="343"/>
      <c r="AH186" s="343"/>
      <c r="AI186" s="343"/>
      <c r="AJ186" s="343"/>
      <c r="AK186" s="343"/>
    </row>
    <row r="187" spans="1:37" ht="13" customHeight="1" x14ac:dyDescent="0.25">
      <c r="A187" s="694"/>
      <c r="B187" s="284"/>
      <c r="C187" s="284"/>
      <c r="D187" s="300" t="s">
        <v>54</v>
      </c>
      <c r="E187" s="2463" t="str">
        <f>Translations!$B$285</f>
        <v>Приблизителна стойност на емисиите на отпадни газове</v>
      </c>
      <c r="F187" s="2240"/>
      <c r="G187" s="2240"/>
      <c r="H187" s="2240"/>
      <c r="I187" s="2240"/>
      <c r="J187" s="2240"/>
      <c r="K187" s="2240"/>
      <c r="L187" s="2240"/>
      <c r="M187" s="2240"/>
      <c r="N187" s="2240"/>
      <c r="O187" s="336"/>
      <c r="P187" s="302"/>
      <c r="Q187" s="770"/>
      <c r="R187" s="694"/>
      <c r="S187" s="694"/>
      <c r="T187" s="694"/>
      <c r="U187" s="694"/>
      <c r="V187" s="694"/>
      <c r="W187" s="694"/>
      <c r="X187" s="694"/>
      <c r="Y187" s="1018"/>
      <c r="Z187" s="343"/>
      <c r="AA187" s="343"/>
      <c r="AB187" s="343"/>
      <c r="AC187" s="343"/>
      <c r="AD187" s="343"/>
      <c r="AE187" s="343"/>
      <c r="AF187" s="343"/>
      <c r="AG187" s="343"/>
      <c r="AH187" s="343"/>
      <c r="AI187" s="343"/>
      <c r="AJ187" s="343"/>
      <c r="AK187" s="343"/>
    </row>
    <row r="188" spans="1:37" ht="12.65" customHeight="1" x14ac:dyDescent="0.25">
      <c r="A188" s="694"/>
      <c r="B188" s="284"/>
      <c r="C188" s="284"/>
      <c r="D188" s="302"/>
      <c r="E188" s="2293" t="str">
        <f>Translations!$B$286</f>
        <v>По избор и единствено с цел проверка на съответствието можете да посочите приблизителна стойност на количеството емисии, свързани с използвания или подадения извън инсталацията газ.</v>
      </c>
      <c r="F188" s="2240"/>
      <c r="G188" s="2240"/>
      <c r="H188" s="2240"/>
      <c r="I188" s="2240"/>
      <c r="J188" s="2240"/>
      <c r="K188" s="2240"/>
      <c r="L188" s="2240"/>
      <c r="M188" s="2240"/>
      <c r="N188" s="2240"/>
      <c r="O188" s="336"/>
      <c r="P188" s="302"/>
      <c r="Q188" s="770"/>
      <c r="R188" s="694"/>
      <c r="S188" s="694"/>
      <c r="T188" s="694"/>
      <c r="U188" s="694"/>
      <c r="V188" s="694"/>
      <c r="W188" s="694"/>
      <c r="X188" s="694"/>
      <c r="Y188" s="1018"/>
      <c r="Z188" s="343"/>
      <c r="AA188" s="343"/>
      <c r="AB188" s="343"/>
      <c r="AC188" s="343"/>
      <c r="AD188" s="343"/>
      <c r="AE188" s="343"/>
      <c r="AF188" s="343"/>
      <c r="AG188" s="343"/>
      <c r="AH188" s="343"/>
      <c r="AI188" s="343"/>
      <c r="AJ188" s="343"/>
      <c r="AK188" s="343"/>
    </row>
    <row r="189" spans="1:37" ht="12.65" customHeight="1" x14ac:dyDescent="0.25">
      <c r="A189" s="694"/>
      <c r="B189" s="284"/>
      <c r="C189" s="284"/>
      <c r="D189" s="302"/>
      <c r="E189" s="2293" t="str">
        <f>Translations!$B$287</f>
        <v>Това количество трябва да съответства на количеството отпадни газове, посочено в буква f) по-горе.</v>
      </c>
      <c r="F189" s="2240"/>
      <c r="G189" s="2240"/>
      <c r="H189" s="2240"/>
      <c r="I189" s="2240"/>
      <c r="J189" s="2240"/>
      <c r="K189" s="2240"/>
      <c r="L189" s="2240"/>
      <c r="M189" s="2240"/>
      <c r="N189" s="2240"/>
      <c r="O189" s="336"/>
      <c r="P189" s="302"/>
      <c r="Q189" s="770"/>
      <c r="R189" s="694"/>
      <c r="S189" s="694"/>
      <c r="T189" s="694"/>
      <c r="U189" s="694"/>
      <c r="V189" s="694"/>
      <c r="W189" s="694"/>
      <c r="X189" s="694"/>
      <c r="Y189" s="1018"/>
      <c r="Z189" s="343"/>
      <c r="AA189" s="343"/>
      <c r="AB189" s="343"/>
      <c r="AC189" s="343"/>
      <c r="AD189" s="343"/>
      <c r="AE189" s="343"/>
      <c r="AF189" s="343"/>
      <c r="AG189" s="343"/>
      <c r="AH189" s="343"/>
      <c r="AI189" s="343"/>
      <c r="AJ189" s="343"/>
      <c r="AK189" s="343"/>
    </row>
    <row r="190" spans="1:37" ht="13" customHeight="1" x14ac:dyDescent="0.25">
      <c r="A190" s="694"/>
      <c r="B190" s="698"/>
      <c r="C190" s="698"/>
      <c r="D190" s="300"/>
      <c r="E190" s="2671" t="str">
        <f>Translations!$B$288</f>
        <v>Емисии от отпадни газове</v>
      </c>
      <c r="F190" s="2672"/>
      <c r="G190" s="390" t="str">
        <f>EUconst_Unit</f>
        <v>Единица мярка</v>
      </c>
      <c r="H190" s="391">
        <f t="shared" ref="H190:N190" si="46">H$278</f>
        <v>2024</v>
      </c>
      <c r="I190" s="391">
        <f t="shared" si="46"/>
        <v>2025</v>
      </c>
      <c r="J190" s="391">
        <f t="shared" si="46"/>
        <v>2026</v>
      </c>
      <c r="K190" s="391">
        <f t="shared" si="46"/>
        <v>2027</v>
      </c>
      <c r="L190" s="391">
        <f t="shared" si="46"/>
        <v>2028</v>
      </c>
      <c r="M190" s="391">
        <f t="shared" si="46"/>
        <v>2029</v>
      </c>
      <c r="N190" s="391">
        <f t="shared" si="46"/>
        <v>2030</v>
      </c>
      <c r="O190" s="336"/>
      <c r="P190" s="302"/>
      <c r="Q190" s="694"/>
      <c r="R190" s="694"/>
      <c r="S190" s="694"/>
      <c r="T190" s="694"/>
      <c r="U190" s="694"/>
      <c r="V190" s="694"/>
      <c r="W190" s="694"/>
      <c r="X190" s="694"/>
      <c r="Y190" s="1018"/>
      <c r="Z190" s="343"/>
      <c r="AA190" s="343"/>
      <c r="AB190" s="343"/>
      <c r="AC190" s="343"/>
      <c r="AD190" s="343"/>
      <c r="AE190" s="343"/>
      <c r="AF190" s="343"/>
      <c r="AG190" s="343"/>
      <c r="AH190" s="343"/>
      <c r="AI190" s="343"/>
      <c r="AJ190" s="343"/>
      <c r="AK190" s="343"/>
    </row>
    <row r="191" spans="1:37" ht="12.65" customHeight="1" x14ac:dyDescent="0.25">
      <c r="A191" s="694"/>
      <c r="B191" s="698"/>
      <c r="C191" s="698"/>
      <c r="D191" s="698"/>
      <c r="E191" s="2667" t="str">
        <f>Translations!$B$289</f>
        <v>извън продуктовите показатели</v>
      </c>
      <c r="F191" s="2258"/>
      <c r="G191" s="1016" t="str">
        <f>EUconst_tCO2epa</f>
        <v>t CO2e/година</v>
      </c>
      <c r="H191" s="23"/>
      <c r="I191" s="23"/>
      <c r="J191" s="23"/>
      <c r="K191" s="23"/>
      <c r="L191" s="23"/>
      <c r="M191" s="23"/>
      <c r="N191" s="23"/>
      <c r="O191" s="336"/>
      <c r="P191" s="158"/>
      <c r="Q191" s="694"/>
      <c r="R191" s="694"/>
      <c r="S191" s="694"/>
      <c r="T191" s="694"/>
      <c r="U191" s="694"/>
      <c r="V191" s="694"/>
      <c r="W191" s="694"/>
      <c r="X191" s="694"/>
      <c r="Y191" s="1029" t="b">
        <f>Y185</f>
        <v>0</v>
      </c>
      <c r="Z191" s="343"/>
      <c r="AA191" s="343"/>
      <c r="AB191" s="343"/>
      <c r="AC191" s="343"/>
      <c r="AD191" s="343"/>
      <c r="AE191" s="343"/>
      <c r="AF191" s="343"/>
      <c r="AG191" s="343"/>
      <c r="AH191" s="343"/>
      <c r="AI191" s="343"/>
      <c r="AJ191" s="343"/>
      <c r="AK191" s="343"/>
    </row>
    <row r="192" spans="1:37" ht="5.15" customHeight="1" x14ac:dyDescent="0.25">
      <c r="A192" s="694"/>
      <c r="B192" s="284"/>
      <c r="C192" s="284"/>
      <c r="D192" s="284"/>
      <c r="E192" s="284"/>
      <c r="F192" s="284"/>
      <c r="G192" s="284"/>
      <c r="H192" s="284"/>
      <c r="I192" s="284"/>
      <c r="J192" s="284"/>
      <c r="K192" s="284"/>
      <c r="L192" s="284"/>
      <c r="M192" s="284"/>
      <c r="N192" s="336"/>
      <c r="O192" s="336"/>
      <c r="P192" s="302"/>
      <c r="Q192" s="770"/>
      <c r="R192" s="694"/>
      <c r="S192" s="694"/>
      <c r="T192" s="694"/>
      <c r="U192" s="694"/>
      <c r="V192" s="694"/>
      <c r="W192" s="694"/>
      <c r="X192" s="694"/>
      <c r="Y192" s="1018"/>
      <c r="Z192" s="343"/>
      <c r="AA192" s="343"/>
      <c r="AB192" s="343"/>
      <c r="AC192" s="343"/>
      <c r="AD192" s="343"/>
      <c r="AE192" s="343"/>
      <c r="AF192" s="343"/>
      <c r="AG192" s="343"/>
      <c r="AH192" s="343"/>
      <c r="AI192" s="343"/>
      <c r="AJ192" s="343"/>
      <c r="AK192" s="343"/>
    </row>
    <row r="193" spans="1:37" ht="13" customHeight="1" x14ac:dyDescent="0.25">
      <c r="A193" s="694"/>
      <c r="B193" s="284"/>
      <c r="C193" s="284"/>
      <c r="D193" s="300" t="s">
        <v>55</v>
      </c>
      <c r="E193" s="2463" t="str">
        <f>Translations!$B$290</f>
        <v>Количество отпадни газове, генерирано извън подинсталации с продуктов показател, включително за подаване извън инсталацията:</v>
      </c>
      <c r="F193" s="2240"/>
      <c r="G193" s="2240"/>
      <c r="H193" s="2240"/>
      <c r="I193" s="2240"/>
      <c r="J193" s="2240"/>
      <c r="K193" s="2240"/>
      <c r="L193" s="2240"/>
      <c r="M193" s="2240"/>
      <c r="N193" s="2240"/>
      <c r="O193" s="336"/>
      <c r="P193" s="302"/>
      <c r="Q193" s="770"/>
      <c r="R193" s="694"/>
      <c r="S193" s="694"/>
      <c r="T193" s="694"/>
      <c r="U193" s="694"/>
      <c r="V193" s="694"/>
      <c r="W193" s="694"/>
      <c r="X193" s="694"/>
      <c r="Y193" s="1018"/>
      <c r="Z193" s="343"/>
      <c r="AA193" s="343"/>
      <c r="AB193" s="343"/>
      <c r="AC193" s="343"/>
      <c r="AD193" s="343"/>
      <c r="AE193" s="343"/>
      <c r="AF193" s="343"/>
      <c r="AG193" s="343"/>
      <c r="AH193" s="343"/>
      <c r="AI193" s="343"/>
      <c r="AJ193" s="343"/>
      <c r="AK193" s="343"/>
    </row>
    <row r="194" spans="1:37" ht="12.75" customHeight="1" x14ac:dyDescent="0.25">
      <c r="A194" s="694"/>
      <c r="B194" s="284"/>
      <c r="C194" s="284"/>
      <c r="D194" s="302"/>
      <c r="E194" s="2293" t="str">
        <f>Translations!$B$283</f>
        <v>Това количество трябва да отговаря на състоянието относно риска от изместване на въглеродни емисии, посочено в буква а) по-горе.</v>
      </c>
      <c r="F194" s="2240"/>
      <c r="G194" s="2240"/>
      <c r="H194" s="2240"/>
      <c r="I194" s="2240"/>
      <c r="J194" s="2240"/>
      <c r="K194" s="2240"/>
      <c r="L194" s="2240"/>
      <c r="M194" s="2240"/>
      <c r="N194" s="2240"/>
      <c r="O194" s="336"/>
      <c r="P194" s="302"/>
      <c r="Q194" s="770"/>
      <c r="R194" s="694"/>
      <c r="S194" s="694"/>
      <c r="T194" s="694"/>
      <c r="U194" s="694"/>
      <c r="V194" s="694"/>
      <c r="W194" s="694"/>
      <c r="X194" s="694"/>
      <c r="Y194" s="1018"/>
      <c r="Z194" s="343"/>
      <c r="AA194" s="343"/>
      <c r="AB194" s="343"/>
      <c r="AC194" s="343"/>
      <c r="AD194" s="343"/>
      <c r="AE194" s="343"/>
      <c r="AF194" s="343"/>
      <c r="AG194" s="343"/>
      <c r="AH194" s="343"/>
      <c r="AI194" s="343"/>
      <c r="AJ194" s="343"/>
      <c r="AK194" s="343"/>
    </row>
    <row r="195" spans="1:37" ht="12.65" customHeight="1" x14ac:dyDescent="0.25">
      <c r="A195" s="694"/>
      <c r="B195" s="284"/>
      <c r="C195" s="284"/>
      <c r="D195" s="302"/>
      <c r="E195" s="2293" t="str">
        <f>Translations!$B$291</f>
        <v>Вземат се предвид само отпадните газове, използвани за производството на топлинна енергия или електроенергия. Ако отпадният газ е резултат от изгаряне във факел, се взема предвид само количеството, свързано с необходимото за безопасността изгаряне във факел.</v>
      </c>
      <c r="F195" s="2240"/>
      <c r="G195" s="2240"/>
      <c r="H195" s="2240"/>
      <c r="I195" s="2240"/>
      <c r="J195" s="2240"/>
      <c r="K195" s="2240"/>
      <c r="L195" s="2240"/>
      <c r="M195" s="2240"/>
      <c r="N195" s="2240"/>
      <c r="O195" s="336"/>
      <c r="P195" s="302"/>
      <c r="Q195" s="770"/>
      <c r="R195" s="694"/>
      <c r="S195" s="694"/>
      <c r="T195" s="694"/>
      <c r="U195" s="694"/>
      <c r="V195" s="694"/>
      <c r="W195" s="694"/>
      <c r="X195" s="694"/>
      <c r="Y195" s="1018"/>
      <c r="Z195" s="343"/>
      <c r="AA195" s="343"/>
      <c r="AB195" s="343"/>
      <c r="AC195" s="343"/>
      <c r="AD195" s="343"/>
      <c r="AE195" s="343"/>
      <c r="AF195" s="343"/>
      <c r="AG195" s="343"/>
      <c r="AH195" s="343"/>
      <c r="AI195" s="343"/>
      <c r="AJ195" s="343"/>
      <c r="AK195" s="343"/>
    </row>
    <row r="196" spans="1:37" ht="12.65" customHeight="1" x14ac:dyDescent="0.25">
      <c r="A196" s="694"/>
      <c r="B196" s="284"/>
      <c r="C196" s="284"/>
      <c r="D196" s="302"/>
      <c r="E196" s="2293" t="str">
        <f>Translations!$B$292</f>
        <v>Можете да изберете да докладвате в тонове или в 1000 Nm3 (хиляди нормални кубични метри). Мерните единици трябва да съответстват на използваните за долната топлина на изгаряне (NCV) по-долу.</v>
      </c>
      <c r="F196" s="2240"/>
      <c r="G196" s="2240"/>
      <c r="H196" s="2240"/>
      <c r="I196" s="2240"/>
      <c r="J196" s="2240"/>
      <c r="K196" s="2240"/>
      <c r="L196" s="2240"/>
      <c r="M196" s="2240"/>
      <c r="N196" s="2240"/>
      <c r="O196" s="336"/>
      <c r="P196" s="302"/>
      <c r="Q196" s="770"/>
      <c r="R196" s="694"/>
      <c r="S196" s="694"/>
      <c r="T196" s="694"/>
      <c r="U196" s="694"/>
      <c r="V196" s="694"/>
      <c r="W196" s="694"/>
      <c r="X196" s="694"/>
      <c r="Y196" s="1018"/>
      <c r="Z196" s="343"/>
      <c r="AA196" s="343"/>
      <c r="AB196" s="343"/>
      <c r="AC196" s="343"/>
      <c r="AD196" s="343"/>
      <c r="AE196" s="343"/>
      <c r="AF196" s="343"/>
      <c r="AG196" s="343"/>
      <c r="AH196" s="343"/>
      <c r="AI196" s="343"/>
      <c r="AJ196" s="343"/>
      <c r="AK196" s="343"/>
    </row>
    <row r="197" spans="1:37" ht="13" customHeight="1" x14ac:dyDescent="0.25">
      <c r="A197" s="694"/>
      <c r="B197" s="698"/>
      <c r="C197" s="698"/>
      <c r="D197" s="300"/>
      <c r="E197" s="2671" t="str">
        <f>Translations!$B$293</f>
        <v>Годишно количество отпадни газове</v>
      </c>
      <c r="F197" s="2672"/>
      <c r="G197" s="390" t="str">
        <f>EUconst_Unit</f>
        <v>Единица мярка</v>
      </c>
      <c r="H197" s="391">
        <f t="shared" ref="H197:N197" si="47">H$278</f>
        <v>2024</v>
      </c>
      <c r="I197" s="391">
        <f t="shared" si="47"/>
        <v>2025</v>
      </c>
      <c r="J197" s="391">
        <f t="shared" si="47"/>
        <v>2026</v>
      </c>
      <c r="K197" s="391">
        <f t="shared" si="47"/>
        <v>2027</v>
      </c>
      <c r="L197" s="391">
        <f t="shared" si="47"/>
        <v>2028</v>
      </c>
      <c r="M197" s="391">
        <f t="shared" si="47"/>
        <v>2029</v>
      </c>
      <c r="N197" s="391">
        <f t="shared" si="47"/>
        <v>2030</v>
      </c>
      <c r="O197" s="336"/>
      <c r="P197" s="302"/>
      <c r="Q197" s="694"/>
      <c r="R197" s="694"/>
      <c r="S197" s="694"/>
      <c r="T197" s="694"/>
      <c r="U197" s="694"/>
      <c r="V197" s="694"/>
      <c r="W197" s="694"/>
      <c r="X197" s="694"/>
      <c r="Y197" s="1018"/>
      <c r="Z197" s="343"/>
      <c r="AA197" s="343"/>
      <c r="AB197" s="343"/>
      <c r="AC197" s="343"/>
      <c r="AD197" s="343"/>
      <c r="AE197" s="343"/>
      <c r="AF197" s="343"/>
      <c r="AG197" s="343"/>
      <c r="AH197" s="343"/>
      <c r="AI197" s="343"/>
      <c r="AJ197" s="343"/>
      <c r="AK197" s="343"/>
    </row>
    <row r="198" spans="1:37" ht="12.65" customHeight="1" x14ac:dyDescent="0.25">
      <c r="A198" s="694"/>
      <c r="B198" s="698"/>
      <c r="C198" s="698"/>
      <c r="D198" s="698"/>
      <c r="E198" s="2667" t="str">
        <f>Translations!$B$289</f>
        <v>извън продуктовите показатели</v>
      </c>
      <c r="F198" s="2258"/>
      <c r="G198" s="1"/>
      <c r="H198" s="24"/>
      <c r="I198" s="24"/>
      <c r="J198" s="24"/>
      <c r="K198" s="24"/>
      <c r="L198" s="24"/>
      <c r="M198" s="24"/>
      <c r="N198" s="24"/>
      <c r="O198" s="336"/>
      <c r="P198" s="158"/>
      <c r="Q198" s="694"/>
      <c r="R198" s="694"/>
      <c r="S198" s="694"/>
      <c r="T198" s="694"/>
      <c r="U198" s="694"/>
      <c r="V198" s="694"/>
      <c r="W198" s="694"/>
      <c r="X198" s="694"/>
      <c r="Y198" s="1029" t="b">
        <f>Y191</f>
        <v>0</v>
      </c>
      <c r="Z198" s="343"/>
      <c r="AA198" s="343"/>
      <c r="AB198" s="343"/>
      <c r="AC198" s="343"/>
      <c r="AD198" s="343"/>
      <c r="AE198" s="343"/>
      <c r="AF198" s="343"/>
      <c r="AG198" s="343"/>
      <c r="AH198" s="343"/>
      <c r="AI198" s="343"/>
      <c r="AJ198" s="732" t="s">
        <v>2039</v>
      </c>
      <c r="AK198" s="875" t="str">
        <f>IF(AND(CNTR_HasEntries_A_I,Y198=FALSE,COUNTIFS($AB$21:$AH$21,FALSE,H198:N198,"")&gt;0),4,"")</f>
        <v/>
      </c>
    </row>
    <row r="199" spans="1:37" ht="5.15" customHeight="1" x14ac:dyDescent="0.25">
      <c r="A199" s="694"/>
      <c r="B199" s="284"/>
      <c r="C199" s="284"/>
      <c r="D199" s="284"/>
      <c r="E199" s="284"/>
      <c r="F199" s="284"/>
      <c r="G199" s="284"/>
      <c r="H199" s="284"/>
      <c r="I199" s="284"/>
      <c r="J199" s="284"/>
      <c r="K199" s="284"/>
      <c r="L199" s="284"/>
      <c r="M199" s="284"/>
      <c r="N199" s="336"/>
      <c r="O199" s="336"/>
      <c r="P199" s="302"/>
      <c r="Q199" s="770"/>
      <c r="R199" s="694"/>
      <c r="S199" s="694"/>
      <c r="T199" s="694"/>
      <c r="U199" s="694"/>
      <c r="V199" s="694"/>
      <c r="W199" s="694"/>
      <c r="X199" s="694"/>
      <c r="Y199" s="1018"/>
      <c r="Z199" s="343"/>
      <c r="AA199" s="343"/>
      <c r="AB199" s="343"/>
      <c r="AC199" s="343"/>
      <c r="AD199" s="343"/>
      <c r="AE199" s="343"/>
      <c r="AF199" s="343"/>
      <c r="AG199" s="343"/>
      <c r="AH199" s="343"/>
      <c r="AI199" s="343"/>
      <c r="AJ199" s="343"/>
      <c r="AK199" s="343"/>
    </row>
    <row r="200" spans="1:37" ht="13" customHeight="1" x14ac:dyDescent="0.25">
      <c r="A200" s="694"/>
      <c r="B200" s="284"/>
      <c r="C200" s="284"/>
      <c r="D200" s="300" t="s">
        <v>273</v>
      </c>
      <c r="E200" s="2463" t="str">
        <f>Translations!$B$294</f>
        <v>Долната топлина на изгаряне на отпадните газове</v>
      </c>
      <c r="F200" s="2240"/>
      <c r="G200" s="2240"/>
      <c r="H200" s="2240"/>
      <c r="I200" s="2240"/>
      <c r="J200" s="2240"/>
      <c r="K200" s="2240"/>
      <c r="L200" s="2240"/>
      <c r="M200" s="2240"/>
      <c r="N200" s="2240"/>
      <c r="O200" s="336"/>
      <c r="P200" s="302"/>
      <c r="Q200" s="770"/>
      <c r="R200" s="694"/>
      <c r="S200" s="694"/>
      <c r="T200" s="694"/>
      <c r="U200" s="694"/>
      <c r="V200" s="694"/>
      <c r="W200" s="694"/>
      <c r="X200" s="694"/>
      <c r="Y200" s="1018"/>
      <c r="Z200" s="343"/>
      <c r="AA200" s="343"/>
      <c r="AB200" s="343"/>
      <c r="AC200" s="343"/>
      <c r="AD200" s="343"/>
      <c r="AE200" s="343"/>
      <c r="AF200" s="343"/>
      <c r="AG200" s="343"/>
      <c r="AH200" s="343"/>
      <c r="AI200" s="343"/>
      <c r="AJ200" s="343"/>
      <c r="AK200" s="343"/>
    </row>
    <row r="201" spans="1:37" ht="12.65" customHeight="1" x14ac:dyDescent="0.25">
      <c r="A201" s="694"/>
      <c r="B201" s="284"/>
      <c r="C201" s="284"/>
      <c r="D201" s="302"/>
      <c r="E201" s="2293" t="str">
        <f>Translations!$B$295</f>
        <v>Можете да изберете да докладвате в GJ/t или GJ/1000 Nm3. Мерните единици трябва да съответстват на използваните за количествата по-горе.</v>
      </c>
      <c r="F201" s="2240"/>
      <c r="G201" s="2240"/>
      <c r="H201" s="2240"/>
      <c r="I201" s="2240"/>
      <c r="J201" s="2240"/>
      <c r="K201" s="2240"/>
      <c r="L201" s="2240"/>
      <c r="M201" s="2240"/>
      <c r="N201" s="2240"/>
      <c r="O201" s="336"/>
      <c r="P201" s="302"/>
      <c r="Q201" s="770"/>
      <c r="R201" s="1030" t="s">
        <v>1383</v>
      </c>
      <c r="S201" s="694"/>
      <c r="T201" s="694"/>
      <c r="U201" s="694"/>
      <c r="V201" s="694"/>
      <c r="W201" s="694"/>
      <c r="X201" s="694"/>
      <c r="Y201" s="1018"/>
      <c r="Z201" s="343"/>
      <c r="AA201" s="343"/>
      <c r="AB201" s="343"/>
      <c r="AC201" s="343"/>
      <c r="AD201" s="343"/>
      <c r="AE201" s="343"/>
      <c r="AF201" s="343"/>
      <c r="AG201" s="343"/>
      <c r="AH201" s="343"/>
      <c r="AI201" s="343"/>
      <c r="AJ201" s="343"/>
      <c r="AK201" s="343"/>
    </row>
    <row r="202" spans="1:37" ht="13" x14ac:dyDescent="0.25">
      <c r="A202" s="694"/>
      <c r="B202" s="698"/>
      <c r="C202" s="698"/>
      <c r="D202" s="300"/>
      <c r="E202" s="742"/>
      <c r="F202" s="742"/>
      <c r="G202" s="390" t="str">
        <f>EUconst_Unit</f>
        <v>Единица мярка</v>
      </c>
      <c r="H202" s="391">
        <f t="shared" ref="H202:N202" si="48">H$278</f>
        <v>2024</v>
      </c>
      <c r="I202" s="391">
        <f t="shared" si="48"/>
        <v>2025</v>
      </c>
      <c r="J202" s="391">
        <f t="shared" si="48"/>
        <v>2026</v>
      </c>
      <c r="K202" s="391">
        <f t="shared" si="48"/>
        <v>2027</v>
      </c>
      <c r="L202" s="391">
        <f t="shared" si="48"/>
        <v>2028</v>
      </c>
      <c r="M202" s="391">
        <f t="shared" si="48"/>
        <v>2029</v>
      </c>
      <c r="N202" s="391">
        <f t="shared" si="48"/>
        <v>2030</v>
      </c>
      <c r="O202" s="336"/>
      <c r="P202" s="302"/>
      <c r="Q202" s="694"/>
      <c r="R202" s="1031">
        <f t="shared" ref="R202:X202" si="49">H202</f>
        <v>2024</v>
      </c>
      <c r="S202" s="1031">
        <f t="shared" si="49"/>
        <v>2025</v>
      </c>
      <c r="T202" s="1031">
        <f t="shared" si="49"/>
        <v>2026</v>
      </c>
      <c r="U202" s="1031">
        <f t="shared" si="49"/>
        <v>2027</v>
      </c>
      <c r="V202" s="1031">
        <f t="shared" si="49"/>
        <v>2028</v>
      </c>
      <c r="W202" s="1031">
        <f t="shared" si="49"/>
        <v>2029</v>
      </c>
      <c r="X202" s="1031">
        <f t="shared" si="49"/>
        <v>2030</v>
      </c>
      <c r="Y202" s="1018"/>
      <c r="Z202" s="343"/>
      <c r="AA202" s="343"/>
      <c r="AB202" s="343"/>
      <c r="AC202" s="343"/>
      <c r="AD202" s="343"/>
      <c r="AE202" s="343"/>
      <c r="AF202" s="343"/>
      <c r="AG202" s="343"/>
      <c r="AH202" s="343"/>
      <c r="AI202" s="343"/>
      <c r="AJ202" s="343"/>
      <c r="AK202" s="343"/>
    </row>
    <row r="203" spans="1:37" ht="13" customHeight="1" x14ac:dyDescent="0.25">
      <c r="A203" s="694"/>
      <c r="B203" s="698"/>
      <c r="C203" s="698"/>
      <c r="D203" s="698"/>
      <c r="E203" s="2667" t="str">
        <f>Translations!$B$296</f>
        <v>Долна топлина на изгаряне</v>
      </c>
      <c r="F203" s="2258"/>
      <c r="G203" s="1032" t="str">
        <f>IF(ISBLANK(G198),EUconst_GJperUnit,INDEX(EUconst_GJperTorKNm3,MATCH(G198,EUconst_TonnesOrkNm3pa,0)))</f>
        <v>GJ / Единица мярка</v>
      </c>
      <c r="H203" s="24"/>
      <c r="I203" s="24"/>
      <c r="J203" s="24"/>
      <c r="K203" s="24"/>
      <c r="L203" s="24"/>
      <c r="M203" s="24"/>
      <c r="N203" s="24"/>
      <c r="O203" s="336"/>
      <c r="P203" s="158"/>
      <c r="Q203" s="716" t="str">
        <f>EUconst_CNTR_WGProduced &amp; C168</f>
        <v>WasteGasProd_1</v>
      </c>
      <c r="R203" s="982" t="str">
        <f t="shared" ref="R203:X203" si="50">IF(COUNT(H198,H203)&gt;0,H198*H203/1000,"")</f>
        <v/>
      </c>
      <c r="S203" s="982" t="str">
        <f t="shared" si="50"/>
        <v/>
      </c>
      <c r="T203" s="982" t="str">
        <f t="shared" si="50"/>
        <v/>
      </c>
      <c r="U203" s="982" t="str">
        <f t="shared" si="50"/>
        <v/>
      </c>
      <c r="V203" s="982" t="str">
        <f t="shared" si="50"/>
        <v/>
      </c>
      <c r="W203" s="982" t="str">
        <f t="shared" si="50"/>
        <v/>
      </c>
      <c r="X203" s="1033" t="str">
        <f t="shared" si="50"/>
        <v/>
      </c>
      <c r="Y203" s="1029" t="b">
        <f>Y198</f>
        <v>0</v>
      </c>
      <c r="Z203" s="343"/>
      <c r="AA203" s="343"/>
      <c r="AB203" s="343"/>
      <c r="AC203" s="343"/>
      <c r="AD203" s="343"/>
      <c r="AE203" s="343"/>
      <c r="AF203" s="343"/>
      <c r="AG203" s="343"/>
      <c r="AH203" s="343"/>
      <c r="AI203" s="343"/>
      <c r="AJ203" s="732" t="s">
        <v>2039</v>
      </c>
      <c r="AK203" s="875" t="str">
        <f>IF(AND(CNTR_HasEntries_A_I,Y203=FALSE,COUNTIFS($AB$21:$AH$21,FALSE,H203:N203,"")&gt;0),4,"")</f>
        <v/>
      </c>
    </row>
    <row r="204" spans="1:37" ht="5.15" customHeight="1" x14ac:dyDescent="0.25">
      <c r="A204" s="694"/>
      <c r="B204" s="284"/>
      <c r="C204" s="284"/>
      <c r="D204" s="284"/>
      <c r="E204" s="284"/>
      <c r="F204" s="284"/>
      <c r="G204" s="284"/>
      <c r="H204" s="284"/>
      <c r="I204" s="284"/>
      <c r="J204" s="284"/>
      <c r="K204" s="284"/>
      <c r="L204" s="284"/>
      <c r="M204" s="336"/>
      <c r="N204" s="336"/>
      <c r="O204" s="336"/>
      <c r="P204" s="302"/>
      <c r="Q204" s="770"/>
      <c r="R204" s="694"/>
      <c r="S204" s="694"/>
      <c r="T204" s="694"/>
      <c r="U204" s="694"/>
      <c r="V204" s="694"/>
      <c r="W204" s="694"/>
      <c r="X204" s="694"/>
      <c r="Y204" s="1018"/>
      <c r="Z204" s="343"/>
      <c r="AA204" s="343"/>
      <c r="AB204" s="343"/>
      <c r="AC204" s="343"/>
      <c r="AD204" s="343"/>
      <c r="AE204" s="343"/>
      <c r="AF204" s="343"/>
      <c r="AG204" s="343"/>
      <c r="AH204" s="343"/>
      <c r="AI204" s="343"/>
      <c r="AJ204" s="343"/>
      <c r="AK204" s="343"/>
    </row>
    <row r="205" spans="1:37" ht="13" customHeight="1" x14ac:dyDescent="0.25">
      <c r="A205" s="694"/>
      <c r="B205" s="284"/>
      <c r="C205" s="284"/>
      <c r="D205" s="300" t="s">
        <v>277</v>
      </c>
      <c r="E205" s="2463" t="str">
        <f>Translations!$B$297</f>
        <v>Необходими допускания:</v>
      </c>
      <c r="F205" s="2240"/>
      <c r="G205" s="2240"/>
      <c r="H205" s="2240"/>
      <c r="I205" s="2240"/>
      <c r="J205" s="2240"/>
      <c r="K205" s="2240"/>
      <c r="L205" s="2240"/>
      <c r="M205" s="2240"/>
      <c r="N205" s="2240"/>
      <c r="O205" s="336"/>
      <c r="P205" s="302"/>
      <c r="Q205" s="770"/>
      <c r="R205" s="694"/>
      <c r="S205" s="694"/>
      <c r="T205" s="694"/>
      <c r="U205" s="694"/>
      <c r="V205" s="694"/>
      <c r="W205" s="694"/>
      <c r="X205" s="694"/>
      <c r="Y205" s="1018"/>
      <c r="Z205" s="343"/>
      <c r="AA205" s="343"/>
      <c r="AB205" s="343"/>
      <c r="AC205" s="343"/>
      <c r="AD205" s="343"/>
      <c r="AE205" s="343"/>
      <c r="AF205" s="343"/>
      <c r="AG205" s="343"/>
      <c r="AH205" s="343"/>
      <c r="AI205" s="343"/>
      <c r="AJ205" s="343"/>
      <c r="AK205" s="343"/>
    </row>
    <row r="206" spans="1:37" ht="12.65" customHeight="1" x14ac:dyDescent="0.25">
      <c r="A206" s="694"/>
      <c r="B206" s="698"/>
      <c r="C206" s="698"/>
      <c r="D206" s="698"/>
      <c r="E206" s="1034" t="str">
        <f>Translations!$B$298</f>
        <v>Референтна стойност на к.п.д. при производството на електроенергия:</v>
      </c>
      <c r="F206" s="1034"/>
      <c r="G206" s="1034"/>
      <c r="H206" s="1034"/>
      <c r="I206" s="1035"/>
      <c r="J206" s="1035" t="str">
        <f>Translations!$B$299</f>
        <v>при използване на природен газ:</v>
      </c>
      <c r="K206" s="2">
        <v>0.52500000000000002</v>
      </c>
      <c r="L206" s="1036"/>
      <c r="M206" s="1035" t="str">
        <f>Translations!$B$300</f>
        <v>при използване на отпаден газ:</v>
      </c>
      <c r="N206" s="2">
        <v>0.35</v>
      </c>
      <c r="O206" s="336"/>
      <c r="P206" s="158"/>
      <c r="Q206" s="694"/>
      <c r="R206" s="694"/>
      <c r="S206" s="694"/>
      <c r="T206" s="694"/>
      <c r="U206" s="694"/>
      <c r="V206" s="694"/>
      <c r="W206" s="694"/>
      <c r="X206" s="694"/>
      <c r="Y206" s="1018"/>
      <c r="Z206" s="343"/>
      <c r="AA206" s="343"/>
      <c r="AB206" s="343"/>
      <c r="AC206" s="343"/>
      <c r="AD206" s="343"/>
      <c r="AE206" s="343"/>
      <c r="AF206" s="343"/>
      <c r="AG206" s="343"/>
      <c r="AH206" s="343"/>
      <c r="AI206" s="343"/>
      <c r="AJ206" s="732" t="s">
        <v>2039</v>
      </c>
      <c r="AK206" s="875" t="str">
        <f>IF(AND(CNTR_HasEntries_A_I,COUNT(H212:N212)&gt;0,OR(K206="",N206="")),4,"")</f>
        <v/>
      </c>
    </row>
    <row r="207" spans="1:37" ht="12.65" customHeight="1" x14ac:dyDescent="0.25">
      <c r="A207" s="694"/>
      <c r="B207" s="698"/>
      <c r="C207" s="698"/>
      <c r="D207" s="698"/>
      <c r="E207" s="2665" t="str">
        <f>Translations!$B$301</f>
        <v>Емисионен фактор за природния газ:</v>
      </c>
      <c r="F207" s="2665"/>
      <c r="G207" s="2666"/>
      <c r="H207" s="1037">
        <f>EUconst_NGEFvalue</f>
        <v>56.1</v>
      </c>
      <c r="I207" s="1036" t="str">
        <f>EUconst_tCO2pTJ</f>
        <v>t CO2 / TJ</v>
      </c>
      <c r="J207" s="698"/>
      <c r="K207" s="698"/>
      <c r="L207" s="698"/>
      <c r="M207" s="698"/>
      <c r="N207" s="698"/>
      <c r="O207" s="336"/>
      <c r="P207" s="302"/>
      <c r="Q207" s="694"/>
      <c r="R207" s="694"/>
      <c r="S207" s="694"/>
      <c r="T207" s="694"/>
      <c r="U207" s="694"/>
      <c r="V207" s="694"/>
      <c r="W207" s="694"/>
      <c r="X207" s="694"/>
      <c r="Y207" s="1018"/>
      <c r="Z207" s="343"/>
      <c r="AA207" s="343"/>
      <c r="AB207" s="343"/>
      <c r="AC207" s="343"/>
      <c r="AD207" s="343"/>
      <c r="AE207" s="343"/>
      <c r="AF207" s="343"/>
      <c r="AG207" s="343"/>
      <c r="AH207" s="343"/>
      <c r="AI207" s="343"/>
      <c r="AJ207" s="343"/>
      <c r="AK207" s="343"/>
    </row>
    <row r="208" spans="1:37" ht="5.15" customHeight="1" x14ac:dyDescent="0.25">
      <c r="A208" s="694"/>
      <c r="B208" s="284"/>
      <c r="C208" s="284"/>
      <c r="D208" s="284"/>
      <c r="E208" s="284"/>
      <c r="F208" s="284"/>
      <c r="G208" s="284"/>
      <c r="H208" s="284"/>
      <c r="I208" s="284"/>
      <c r="J208" s="284"/>
      <c r="K208" s="284"/>
      <c r="L208" s="284"/>
      <c r="M208" s="336"/>
      <c r="N208" s="336"/>
      <c r="O208" s="336"/>
      <c r="P208" s="302"/>
      <c r="Q208" s="770"/>
      <c r="R208" s="694"/>
      <c r="S208" s="694"/>
      <c r="T208" s="694"/>
      <c r="U208" s="694"/>
      <c r="V208" s="694"/>
      <c r="W208" s="694"/>
      <c r="X208" s="694"/>
      <c r="Y208" s="1018"/>
      <c r="Z208" s="343"/>
      <c r="AA208" s="343"/>
      <c r="AB208" s="343"/>
      <c r="AC208" s="343"/>
      <c r="AD208" s="343"/>
      <c r="AE208" s="343"/>
      <c r="AF208" s="343"/>
      <c r="AG208" s="343"/>
      <c r="AH208" s="343"/>
      <c r="AI208" s="343"/>
      <c r="AJ208" s="343"/>
      <c r="AK208" s="343"/>
    </row>
    <row r="209" spans="1:37" ht="13" customHeight="1" x14ac:dyDescent="0.25">
      <c r="A209" s="694"/>
      <c r="B209" s="284"/>
      <c r="C209" s="284"/>
      <c r="D209" s="300" t="s">
        <v>279</v>
      </c>
      <c r="E209" s="2463" t="str">
        <f>Translations!$B$302</f>
        <v>Емисии, които трябва да бъдат извадени, с цел отчитане на технически използваемото енергийно съдържание:</v>
      </c>
      <c r="F209" s="2463"/>
      <c r="G209" s="2463"/>
      <c r="H209" s="2463"/>
      <c r="I209" s="2463"/>
      <c r="J209" s="2463"/>
      <c r="K209" s="2463"/>
      <c r="L209" s="2463"/>
      <c r="M209" s="2463"/>
      <c r="N209" s="2463"/>
      <c r="O209" s="336"/>
      <c r="P209" s="302"/>
      <c r="Q209" s="770"/>
      <c r="R209" s="694"/>
      <c r="S209" s="694"/>
      <c r="T209" s="694"/>
      <c r="U209" s="694"/>
      <c r="V209" s="694"/>
      <c r="W209" s="694"/>
      <c r="X209" s="694"/>
      <c r="Y209" s="1018"/>
      <c r="Z209" s="343"/>
      <c r="AA209" s="343"/>
      <c r="AB209" s="343"/>
      <c r="AC209" s="343"/>
      <c r="AD209" s="343"/>
      <c r="AE209" s="343"/>
      <c r="AF209" s="343"/>
      <c r="AG209" s="343"/>
      <c r="AH209" s="343"/>
      <c r="AI209" s="343"/>
      <c r="AJ209" s="343"/>
      <c r="AK209" s="343"/>
    </row>
    <row r="210" spans="1:37" ht="12.65" customHeight="1" x14ac:dyDescent="0.25">
      <c r="A210" s="694"/>
      <c r="B210" s="284"/>
      <c r="C210" s="284"/>
      <c r="D210" s="302"/>
      <c r="E210" s="2293" t="str">
        <f>Translations!$B$303</f>
        <v>Тези количества се изчисляват автоматично въз основа на стойностите по-горе. Формулата е описана в обяснителна бележка № 8.</v>
      </c>
      <c r="F210" s="2240"/>
      <c r="G210" s="2240"/>
      <c r="H210" s="2240"/>
      <c r="I210" s="2240"/>
      <c r="J210" s="2240"/>
      <c r="K210" s="2240"/>
      <c r="L210" s="2240"/>
      <c r="M210" s="2240"/>
      <c r="N210" s="2240"/>
      <c r="O210" s="336"/>
      <c r="P210" s="302"/>
      <c r="Q210" s="770"/>
      <c r="R210" s="694"/>
      <c r="S210" s="694"/>
      <c r="T210" s="694"/>
      <c r="U210" s="694"/>
      <c r="V210" s="694"/>
      <c r="W210" s="694"/>
      <c r="X210" s="694"/>
      <c r="Y210" s="1018"/>
      <c r="Z210" s="343"/>
      <c r="AA210" s="343"/>
      <c r="AB210" s="343"/>
      <c r="AC210" s="343"/>
      <c r="AD210" s="343"/>
      <c r="AE210" s="343"/>
      <c r="AF210" s="343"/>
      <c r="AG210" s="343"/>
      <c r="AH210" s="343"/>
      <c r="AI210" s="343"/>
      <c r="AJ210" s="343"/>
      <c r="AK210" s="343"/>
    </row>
    <row r="211" spans="1:37" ht="13" customHeight="1" x14ac:dyDescent="0.25">
      <c r="A211" s="694"/>
      <c r="B211" s="698"/>
      <c r="C211" s="698"/>
      <c r="D211" s="300"/>
      <c r="E211" s="2671" t="str">
        <f>Translations!$B$304</f>
        <v>Приспадане за отпадни газове</v>
      </c>
      <c r="F211" s="2672"/>
      <c r="G211" s="390" t="str">
        <f>EUconst_Unit</f>
        <v>Единица мярка</v>
      </c>
      <c r="H211" s="391">
        <f t="shared" ref="H211:N211" si="51">H$278</f>
        <v>2024</v>
      </c>
      <c r="I211" s="391">
        <f t="shared" si="51"/>
        <v>2025</v>
      </c>
      <c r="J211" s="391">
        <f t="shared" si="51"/>
        <v>2026</v>
      </c>
      <c r="K211" s="391">
        <f t="shared" si="51"/>
        <v>2027</v>
      </c>
      <c r="L211" s="391">
        <f t="shared" si="51"/>
        <v>2028</v>
      </c>
      <c r="M211" s="391">
        <f t="shared" si="51"/>
        <v>2029</v>
      </c>
      <c r="N211" s="391">
        <f t="shared" si="51"/>
        <v>2030</v>
      </c>
      <c r="O211" s="336"/>
      <c r="P211" s="302"/>
      <c r="Q211" s="694"/>
      <c r="R211" s="694"/>
      <c r="S211" s="694"/>
      <c r="T211" s="694"/>
      <c r="U211" s="694"/>
      <c r="V211" s="694"/>
      <c r="W211" s="694"/>
      <c r="X211" s="694"/>
      <c r="Y211" s="1018"/>
      <c r="Z211" s="343"/>
      <c r="AA211" s="343"/>
      <c r="AB211" s="343"/>
      <c r="AC211" s="343"/>
      <c r="AD211" s="343"/>
      <c r="AE211" s="343"/>
      <c r="AF211" s="343"/>
      <c r="AG211" s="343"/>
      <c r="AH211" s="343"/>
      <c r="AI211" s="343"/>
      <c r="AJ211" s="343"/>
      <c r="AK211" s="343"/>
    </row>
    <row r="212" spans="1:37" ht="12.65" customHeight="1" x14ac:dyDescent="0.25">
      <c r="A212" s="694"/>
      <c r="B212" s="698"/>
      <c r="C212" s="698"/>
      <c r="D212" s="698"/>
      <c r="E212" s="2667" t="str">
        <f>Translations!$B$289</f>
        <v>извън продуктовите показатели</v>
      </c>
      <c r="F212" s="2258"/>
      <c r="G212" s="1016" t="str">
        <f>EUconst_tCO2pa</f>
        <v>t CO2 / година</v>
      </c>
      <c r="H212" s="1024" t="str">
        <f>IF(AND(ISNUMBER(H198),ISNUMBER(H203)),IFERROR((H198*H203/1000)*$H207*$N206/$K206,0),"")</f>
        <v/>
      </c>
      <c r="I212" s="1024" t="str">
        <f t="shared" ref="I212:N212" si="52">IF(AND(ISNUMBER(I198),ISNUMBER(I203)),IFERROR((I198*I203/1000)*$H207*$N206/$K206,0),"")</f>
        <v/>
      </c>
      <c r="J212" s="1024" t="str">
        <f t="shared" si="52"/>
        <v/>
      </c>
      <c r="K212" s="1024" t="str">
        <f t="shared" si="52"/>
        <v/>
      </c>
      <c r="L212" s="1024" t="str">
        <f t="shared" si="52"/>
        <v/>
      </c>
      <c r="M212" s="1024" t="str">
        <f t="shared" si="52"/>
        <v/>
      </c>
      <c r="N212" s="1024" t="str">
        <f t="shared" si="52"/>
        <v/>
      </c>
      <c r="O212" s="336"/>
      <c r="P212" s="302"/>
      <c r="Q212" s="694"/>
      <c r="R212" s="694"/>
      <c r="S212" s="694"/>
      <c r="T212" s="694"/>
      <c r="U212" s="694"/>
      <c r="V212" s="694"/>
      <c r="W212" s="694"/>
      <c r="X212" s="694"/>
      <c r="Y212" s="1018"/>
      <c r="Z212" s="343"/>
      <c r="AA212" s="343"/>
      <c r="AB212" s="343"/>
      <c r="AC212" s="343"/>
      <c r="AD212" s="343"/>
      <c r="AE212" s="343"/>
      <c r="AF212" s="343"/>
      <c r="AG212" s="343"/>
      <c r="AH212" s="343"/>
      <c r="AI212" s="343"/>
      <c r="AJ212" s="343"/>
      <c r="AK212" s="343"/>
    </row>
    <row r="213" spans="1:37" x14ac:dyDescent="0.25">
      <c r="A213" s="694"/>
      <c r="B213" s="698"/>
      <c r="C213" s="698"/>
      <c r="D213" s="698"/>
      <c r="E213" s="698"/>
      <c r="F213" s="698"/>
      <c r="G213" s="698"/>
      <c r="H213" s="698"/>
      <c r="I213" s="698"/>
      <c r="J213" s="698"/>
      <c r="K213" s="698"/>
      <c r="L213" s="698"/>
      <c r="M213" s="698"/>
      <c r="N213" s="698"/>
      <c r="O213" s="336"/>
      <c r="P213" s="302"/>
      <c r="Q213" s="694"/>
      <c r="R213" s="694"/>
      <c r="S213" s="694"/>
      <c r="T213" s="694"/>
      <c r="U213" s="694"/>
      <c r="V213" s="694"/>
      <c r="W213" s="694"/>
      <c r="X213" s="694"/>
      <c r="Y213" s="1018"/>
      <c r="Z213" s="343"/>
      <c r="AA213" s="343"/>
      <c r="AB213" s="343"/>
      <c r="AC213" s="343"/>
      <c r="AD213" s="343"/>
      <c r="AE213" s="343"/>
      <c r="AF213" s="343"/>
      <c r="AG213" s="343"/>
      <c r="AH213" s="343"/>
      <c r="AI213" s="343"/>
      <c r="AJ213" s="343"/>
      <c r="AK213" s="343"/>
    </row>
    <row r="214" spans="1:37" ht="13" customHeight="1" x14ac:dyDescent="0.25">
      <c r="A214" s="694"/>
      <c r="B214" s="284"/>
      <c r="C214" s="284"/>
      <c r="D214" s="300" t="s">
        <v>489</v>
      </c>
      <c r="E214" s="2463" t="str">
        <f>Translations!$B$305</f>
        <v>Технологични емисии, изчислени с отчитане на корекцията за отпадните газове (=d-i)</v>
      </c>
      <c r="F214" s="2240"/>
      <c r="G214" s="2240"/>
      <c r="H214" s="2240"/>
      <c r="I214" s="2240"/>
      <c r="J214" s="2240"/>
      <c r="K214" s="2240"/>
      <c r="L214" s="2240"/>
      <c r="M214" s="2240"/>
      <c r="N214" s="2240"/>
      <c r="O214" s="336"/>
      <c r="P214" s="302"/>
      <c r="Q214" s="770"/>
      <c r="R214" s="694"/>
      <c r="S214" s="694"/>
      <c r="T214" s="694"/>
      <c r="U214" s="694"/>
      <c r="V214" s="694"/>
      <c r="W214" s="694"/>
      <c r="X214" s="694"/>
      <c r="Y214" s="1018"/>
      <c r="Z214" s="343"/>
      <c r="AA214" s="343"/>
      <c r="AB214" s="343"/>
      <c r="AC214" s="343"/>
      <c r="AD214" s="343"/>
      <c r="AE214" s="343"/>
      <c r="AF214" s="343"/>
      <c r="AG214" s="343"/>
      <c r="AH214" s="343"/>
      <c r="AI214" s="343"/>
      <c r="AJ214" s="343"/>
      <c r="AK214" s="343"/>
    </row>
    <row r="215" spans="1:37" ht="13" customHeight="1" x14ac:dyDescent="0.25">
      <c r="A215" s="694"/>
      <c r="B215" s="284"/>
      <c r="C215" s="284"/>
      <c r="D215" s="302"/>
      <c r="E215" s="2300" t="str">
        <f>Translations!$B$306</f>
        <v>Това е крайният резултат от този инструмент. Получените тук стойности следва да се въведат в лист G за съответната подинсталация за технологични емисии.</v>
      </c>
      <c r="F215" s="2240"/>
      <c r="G215" s="2240"/>
      <c r="H215" s="2240"/>
      <c r="I215" s="2240"/>
      <c r="J215" s="2240"/>
      <c r="K215" s="2240"/>
      <c r="L215" s="2240"/>
      <c r="M215" s="2240"/>
      <c r="N215" s="2240"/>
      <c r="O215" s="336"/>
      <c r="P215" s="302"/>
      <c r="Q215" s="770"/>
      <c r="R215" s="694"/>
      <c r="S215" s="694"/>
      <c r="T215" s="694"/>
      <c r="U215" s="694"/>
      <c r="V215" s="694"/>
      <c r="W215" s="694"/>
      <c r="X215" s="694"/>
      <c r="Y215" s="1018"/>
      <c r="Z215" s="343"/>
      <c r="AA215" s="343"/>
      <c r="AB215" s="343"/>
      <c r="AC215" s="343"/>
      <c r="AD215" s="343"/>
      <c r="AE215" s="343"/>
      <c r="AF215" s="343"/>
      <c r="AG215" s="343"/>
      <c r="AH215" s="343"/>
      <c r="AI215" s="343"/>
      <c r="AJ215" s="343"/>
      <c r="AK215" s="343"/>
    </row>
    <row r="216" spans="1:37" ht="12.65" customHeight="1" x14ac:dyDescent="0.25">
      <c r="A216" s="694"/>
      <c r="B216" s="284"/>
      <c r="C216" s="284"/>
      <c r="D216" s="302"/>
      <c r="E216" s="2293" t="str">
        <f>Translations!$B$255</f>
        <v>Резултатите от изчисленията могат да се смятат за точни само ако в раздела по-горе са докладвани пълни и последователни данни.</v>
      </c>
      <c r="F216" s="2240"/>
      <c r="G216" s="2240"/>
      <c r="H216" s="2240"/>
      <c r="I216" s="2240"/>
      <c r="J216" s="2240"/>
      <c r="K216" s="2240"/>
      <c r="L216" s="2240"/>
      <c r="M216" s="2240"/>
      <c r="N216" s="2240"/>
      <c r="O216" s="336"/>
      <c r="P216" s="302"/>
      <c r="Q216" s="770"/>
      <c r="R216" s="694"/>
      <c r="S216" s="694"/>
      <c r="T216" s="694"/>
      <c r="U216" s="694"/>
      <c r="V216" s="694"/>
      <c r="W216" s="694"/>
      <c r="X216" s="694"/>
      <c r="Y216" s="1018"/>
      <c r="Z216" s="343"/>
      <c r="AA216" s="343"/>
      <c r="AB216" s="343"/>
      <c r="AC216" s="343"/>
      <c r="AD216" s="343"/>
      <c r="AE216" s="343"/>
      <c r="AF216" s="343"/>
      <c r="AG216" s="343"/>
      <c r="AH216" s="343"/>
      <c r="AI216" s="343"/>
      <c r="AJ216" s="343"/>
      <c r="AK216" s="343"/>
    </row>
    <row r="217" spans="1:37" ht="12.65" customHeight="1" x14ac:dyDescent="0.25">
      <c r="A217" s="694"/>
      <c r="B217" s="284"/>
      <c r="C217" s="284"/>
      <c r="D217" s="302"/>
      <c r="E217" s="2293" t="str">
        <f>Translations!$B$307</f>
        <v>Ако резултатът е отрицателен, той се коригира на нула.</v>
      </c>
      <c r="F217" s="2240"/>
      <c r="G217" s="2240"/>
      <c r="H217" s="2240"/>
      <c r="I217" s="2240"/>
      <c r="J217" s="2240"/>
      <c r="K217" s="2240"/>
      <c r="L217" s="2240"/>
      <c r="M217" s="2240"/>
      <c r="N217" s="2240"/>
      <c r="O217" s="336"/>
      <c r="P217" s="302"/>
      <c r="Q217" s="770"/>
      <c r="R217" s="694"/>
      <c r="S217" s="694"/>
      <c r="T217" s="694"/>
      <c r="U217" s="694"/>
      <c r="V217" s="694"/>
      <c r="W217" s="694"/>
      <c r="X217" s="694"/>
      <c r="Y217" s="1018"/>
      <c r="Z217" s="343"/>
      <c r="AA217" s="343"/>
      <c r="AB217" s="343"/>
      <c r="AC217" s="343"/>
      <c r="AD217" s="343"/>
      <c r="AE217" s="343"/>
      <c r="AF217" s="343"/>
      <c r="AG217" s="343"/>
      <c r="AH217" s="343"/>
      <c r="AI217" s="343"/>
      <c r="AJ217" s="343"/>
      <c r="AK217" s="343"/>
    </row>
    <row r="218" spans="1:37" ht="13" x14ac:dyDescent="0.25">
      <c r="A218" s="694"/>
      <c r="B218" s="698"/>
      <c r="C218" s="698"/>
      <c r="D218" s="300"/>
      <c r="E218" s="742"/>
      <c r="F218" s="742"/>
      <c r="G218" s="390" t="str">
        <f>EUconst_Unit</f>
        <v>Единица мярка</v>
      </c>
      <c r="H218" s="391">
        <f t="shared" ref="H218:N218" si="53">H$278</f>
        <v>2024</v>
      </c>
      <c r="I218" s="391">
        <f t="shared" si="53"/>
        <v>2025</v>
      </c>
      <c r="J218" s="391">
        <f t="shared" si="53"/>
        <v>2026</v>
      </c>
      <c r="K218" s="391">
        <f t="shared" si="53"/>
        <v>2027</v>
      </c>
      <c r="L218" s="391">
        <f t="shared" si="53"/>
        <v>2028</v>
      </c>
      <c r="M218" s="391">
        <f t="shared" si="53"/>
        <v>2029</v>
      </c>
      <c r="N218" s="391">
        <f t="shared" si="53"/>
        <v>2030</v>
      </c>
      <c r="O218" s="336"/>
      <c r="P218" s="302"/>
      <c r="Q218" s="694"/>
      <c r="R218" s="694"/>
      <c r="S218" s="694"/>
      <c r="T218" s="694"/>
      <c r="U218" s="694"/>
      <c r="V218" s="694"/>
      <c r="W218" s="694"/>
      <c r="X218" s="694"/>
      <c r="Y218" s="1018"/>
      <c r="Z218" s="343"/>
      <c r="AA218" s="343"/>
      <c r="AB218" s="343"/>
      <c r="AC218" s="343"/>
      <c r="AD218" s="343"/>
      <c r="AE218" s="343"/>
      <c r="AF218" s="343"/>
      <c r="AG218" s="343"/>
      <c r="AH218" s="343"/>
      <c r="AI218" s="343"/>
      <c r="AJ218" s="343"/>
      <c r="AK218" s="343"/>
    </row>
    <row r="219" spans="1:37" ht="12.65" customHeight="1" x14ac:dyDescent="0.25">
      <c r="A219" s="694"/>
      <c r="B219" s="698"/>
      <c r="C219" s="698"/>
      <c r="D219" s="698"/>
      <c r="E219" s="2667" t="str">
        <f>Translations!$B$308</f>
        <v>Резултат от инструмента за отпадни газове:</v>
      </c>
      <c r="F219" s="2258"/>
      <c r="G219" s="1038" t="str">
        <f>EUconst_tCO2pa</f>
        <v>t CO2 / година</v>
      </c>
      <c r="H219" s="1024" t="str">
        <f t="shared" ref="H219:N219" si="54">IF(ISNUMBER(H212),IF((IF(ISNUMBER(H185),H185,0)-SUM(H212))&lt;0,0,IF(ISNUMBER(H185),H185,0)-SUM(H212)),"")</f>
        <v/>
      </c>
      <c r="I219" s="1024" t="str">
        <f t="shared" si="54"/>
        <v/>
      </c>
      <c r="J219" s="1024" t="str">
        <f t="shared" si="54"/>
        <v/>
      </c>
      <c r="K219" s="1024" t="str">
        <f t="shared" si="54"/>
        <v/>
      </c>
      <c r="L219" s="1024" t="str">
        <f t="shared" si="54"/>
        <v/>
      </c>
      <c r="M219" s="1024" t="str">
        <f t="shared" si="54"/>
        <v/>
      </c>
      <c r="N219" s="1024" t="str">
        <f t="shared" si="54"/>
        <v/>
      </c>
      <c r="O219" s="336"/>
      <c r="P219" s="302"/>
      <c r="Q219" s="694"/>
      <c r="R219" s="694"/>
      <c r="S219" s="694"/>
      <c r="T219" s="694"/>
      <c r="U219" s="694"/>
      <c r="V219" s="694"/>
      <c r="W219" s="694"/>
      <c r="X219" s="694"/>
      <c r="Y219" s="1018"/>
      <c r="Z219" s="343"/>
      <c r="AA219" s="343"/>
      <c r="AB219" s="343"/>
      <c r="AC219" s="343"/>
      <c r="AD219" s="343"/>
      <c r="AE219" s="343"/>
      <c r="AF219" s="343"/>
      <c r="AG219" s="343"/>
      <c r="AH219" s="343"/>
      <c r="AI219" s="343"/>
      <c r="AJ219" s="343"/>
      <c r="AK219" s="343"/>
    </row>
    <row r="220" spans="1:37" x14ac:dyDescent="0.25">
      <c r="A220" s="694"/>
      <c r="B220" s="698"/>
      <c r="C220" s="698"/>
      <c r="D220" s="698"/>
      <c r="E220" s="698"/>
      <c r="F220" s="698"/>
      <c r="G220" s="698"/>
      <c r="H220" s="698"/>
      <c r="I220" s="698"/>
      <c r="J220" s="698"/>
      <c r="K220" s="698"/>
      <c r="L220" s="698"/>
      <c r="M220" s="698"/>
      <c r="N220" s="698"/>
      <c r="O220" s="336"/>
      <c r="P220" s="302"/>
      <c r="Q220" s="694"/>
      <c r="R220" s="694"/>
      <c r="S220" s="694"/>
      <c r="T220" s="694"/>
      <c r="U220" s="694"/>
      <c r="V220" s="694"/>
      <c r="W220" s="694"/>
      <c r="X220" s="694"/>
      <c r="Y220" s="1018"/>
      <c r="Z220" s="343"/>
      <c r="AA220" s="343"/>
      <c r="AB220" s="343"/>
      <c r="AC220" s="343"/>
      <c r="AD220" s="343"/>
      <c r="AE220" s="343"/>
      <c r="AF220" s="343"/>
      <c r="AG220" s="343"/>
      <c r="AH220" s="343"/>
      <c r="AI220" s="343"/>
      <c r="AJ220" s="343"/>
      <c r="AK220" s="343"/>
    </row>
    <row r="221" spans="1:37" ht="5.15" customHeight="1" x14ac:dyDescent="0.25">
      <c r="A221" s="694"/>
      <c r="B221" s="284"/>
      <c r="C221" s="284"/>
      <c r="D221" s="284"/>
      <c r="E221" s="284"/>
      <c r="F221" s="284"/>
      <c r="G221" s="284"/>
      <c r="H221" s="284"/>
      <c r="I221" s="284"/>
      <c r="J221" s="284"/>
      <c r="K221" s="284"/>
      <c r="L221" s="284"/>
      <c r="M221" s="336"/>
      <c r="N221" s="336"/>
      <c r="O221" s="336"/>
      <c r="P221" s="302"/>
      <c r="Q221" s="770"/>
      <c r="R221" s="694"/>
      <c r="S221" s="694"/>
      <c r="T221" s="694"/>
      <c r="U221" s="694"/>
      <c r="V221" s="694"/>
      <c r="W221" s="694"/>
      <c r="X221" s="694"/>
      <c r="Y221" s="1018"/>
      <c r="Z221" s="343"/>
      <c r="AA221" s="343"/>
      <c r="AB221" s="343"/>
      <c r="AC221" s="343"/>
      <c r="AD221" s="343"/>
      <c r="AE221" s="343"/>
      <c r="AF221" s="343"/>
      <c r="AG221" s="343"/>
      <c r="AH221" s="343"/>
      <c r="AI221" s="343"/>
      <c r="AJ221" s="343"/>
      <c r="AK221" s="343"/>
    </row>
    <row r="222" spans="1:37" ht="14.15" customHeight="1" x14ac:dyDescent="0.3">
      <c r="A222" s="694"/>
      <c r="B222" s="284"/>
      <c r="C222" s="357">
        <v>2</v>
      </c>
      <c r="D222" s="2682" t="str">
        <f>Translations!$B$274</f>
        <v>Инструмент за изчисляване на количеството технологични емисии, ако отпадните газове се генерират извън обхвата на продуктовите показатели</v>
      </c>
      <c r="E222" s="2240"/>
      <c r="F222" s="2240"/>
      <c r="G222" s="2240"/>
      <c r="H222" s="2240"/>
      <c r="I222" s="2240"/>
      <c r="J222" s="2240"/>
      <c r="K222" s="2240"/>
      <c r="L222" s="2240"/>
      <c r="M222" s="2240"/>
      <c r="N222" s="2240"/>
      <c r="O222" s="336"/>
      <c r="P222" s="302"/>
      <c r="Q222" s="770"/>
      <c r="R222" s="694"/>
      <c r="S222" s="694"/>
      <c r="T222" s="694"/>
      <c r="U222" s="694"/>
      <c r="V222" s="694"/>
      <c r="W222" s="694"/>
      <c r="X222" s="694"/>
      <c r="Y222" s="1018"/>
      <c r="Z222" s="343"/>
      <c r="AA222" s="343"/>
      <c r="AB222" s="343"/>
      <c r="AC222" s="343"/>
      <c r="AD222" s="343"/>
      <c r="AE222" s="343"/>
      <c r="AF222" s="343"/>
      <c r="AG222" s="343"/>
      <c r="AH222" s="343"/>
      <c r="AI222" s="343"/>
      <c r="AJ222" s="343"/>
      <c r="AK222" s="343"/>
    </row>
    <row r="223" spans="1:37" ht="5.15" customHeight="1" x14ac:dyDescent="0.25">
      <c r="A223" s="694"/>
      <c r="B223" s="284"/>
      <c r="C223" s="284"/>
      <c r="D223" s="284"/>
      <c r="E223" s="284"/>
      <c r="F223" s="284"/>
      <c r="G223" s="284"/>
      <c r="H223" s="284"/>
      <c r="I223" s="284"/>
      <c r="J223" s="284"/>
      <c r="K223" s="284"/>
      <c r="L223" s="284"/>
      <c r="M223" s="336"/>
      <c r="N223" s="336"/>
      <c r="O223" s="336"/>
      <c r="P223" s="302"/>
      <c r="Q223" s="770"/>
      <c r="R223" s="694"/>
      <c r="S223" s="694"/>
      <c r="T223" s="694"/>
      <c r="U223" s="694"/>
      <c r="V223" s="694"/>
      <c r="W223" s="694"/>
      <c r="X223" s="694"/>
      <c r="Y223" s="1018"/>
      <c r="Z223" s="343"/>
      <c r="AA223" s="343"/>
      <c r="AB223" s="343"/>
      <c r="AC223" s="343"/>
      <c r="AD223" s="343"/>
      <c r="AE223" s="343"/>
      <c r="AF223" s="343"/>
      <c r="AG223" s="343"/>
      <c r="AH223" s="343"/>
      <c r="AI223" s="343"/>
      <c r="AJ223" s="343"/>
      <c r="AK223" s="343"/>
    </row>
    <row r="224" spans="1:37" ht="13" customHeight="1" x14ac:dyDescent="0.25">
      <c r="A224" s="694"/>
      <c r="B224" s="698"/>
      <c r="C224" s="698"/>
      <c r="D224" s="698"/>
      <c r="E224" s="2683" t="str">
        <f>HYPERLINK($R224,CONCATENATE(EUconst_MsgSeeFirst," (D.IV.1)"))</f>
        <v>Подробни указания за въвеждането на данни в този модул могат да бъдат намерени в началото на модула.  (D.IV.1)</v>
      </c>
      <c r="F224" s="2240"/>
      <c r="G224" s="2240"/>
      <c r="H224" s="2240"/>
      <c r="I224" s="2240"/>
      <c r="J224" s="2240"/>
      <c r="K224" s="2240"/>
      <c r="L224" s="2240"/>
      <c r="M224" s="2240"/>
      <c r="N224" s="2240"/>
      <c r="O224" s="336"/>
      <c r="P224" s="302"/>
      <c r="Q224" s="694" t="s">
        <v>450</v>
      </c>
      <c r="R224" s="1026" t="str">
        <f>"#"&amp;ADDRESS(ROW(C168),COLUMN(C168))</f>
        <v>#$C$168</v>
      </c>
      <c r="S224" s="694"/>
      <c r="T224" s="694"/>
      <c r="U224" s="694"/>
      <c r="V224" s="694"/>
      <c r="W224" s="694"/>
      <c r="X224" s="694"/>
      <c r="Y224" s="1018"/>
      <c r="Z224" s="343"/>
      <c r="AA224" s="343"/>
      <c r="AB224" s="343"/>
      <c r="AC224" s="343"/>
      <c r="AD224" s="343"/>
      <c r="AE224" s="343"/>
      <c r="AF224" s="343"/>
      <c r="AG224" s="343"/>
      <c r="AH224" s="343"/>
      <c r="AI224" s="343"/>
      <c r="AJ224" s="343"/>
      <c r="AK224" s="343"/>
    </row>
    <row r="225" spans="1:37" ht="5.15" customHeight="1" x14ac:dyDescent="0.25">
      <c r="A225" s="694"/>
      <c r="B225" s="284"/>
      <c r="C225" s="284"/>
      <c r="D225" s="284"/>
      <c r="E225" s="284"/>
      <c r="F225" s="284"/>
      <c r="G225" s="284"/>
      <c r="H225" s="284"/>
      <c r="I225" s="284"/>
      <c r="J225" s="284"/>
      <c r="K225" s="284"/>
      <c r="L225" s="284"/>
      <c r="M225" s="336"/>
      <c r="N225" s="336"/>
      <c r="O225" s="336"/>
      <c r="P225" s="302"/>
      <c r="Q225" s="770"/>
      <c r="R225" s="694"/>
      <c r="S225" s="694"/>
      <c r="T225" s="694"/>
      <c r="U225" s="694"/>
      <c r="V225" s="694"/>
      <c r="W225" s="694"/>
      <c r="X225" s="694"/>
      <c r="Y225" s="1018"/>
      <c r="Z225" s="343"/>
      <c r="AA225" s="343"/>
      <c r="AB225" s="343"/>
      <c r="AC225" s="343"/>
      <c r="AD225" s="343"/>
      <c r="AE225" s="343"/>
      <c r="AF225" s="343"/>
      <c r="AG225" s="343"/>
      <c r="AH225" s="343"/>
      <c r="AI225" s="343"/>
      <c r="AJ225" s="343"/>
      <c r="AK225" s="343"/>
    </row>
    <row r="226" spans="1:37" ht="14.15" customHeight="1" x14ac:dyDescent="0.25">
      <c r="A226" s="694"/>
      <c r="B226" s="284"/>
      <c r="C226" s="284"/>
      <c r="D226" s="300" t="s">
        <v>408</v>
      </c>
      <c r="E226" s="2463" t="str">
        <f>Translations!$B$275</f>
        <v>Този раздел се отнася до подинсталациите за технологични емисии от този вид:</v>
      </c>
      <c r="F226" s="2240"/>
      <c r="G226" s="2240"/>
      <c r="H226" s="2240"/>
      <c r="I226" s="2240"/>
      <c r="J226" s="2240"/>
      <c r="K226" s="2684"/>
      <c r="L226" s="2685"/>
      <c r="M226" s="2674"/>
      <c r="N226" s="2675"/>
      <c r="O226" s="336"/>
      <c r="P226" s="158"/>
      <c r="Q226" s="770"/>
      <c r="R226" s="694"/>
      <c r="S226" s="694"/>
      <c r="T226" s="694"/>
      <c r="U226" s="694"/>
      <c r="V226" s="694"/>
      <c r="W226" s="694"/>
      <c r="X226" s="694"/>
      <c r="Y226" s="1029" t="b">
        <f>Y203</f>
        <v>0</v>
      </c>
      <c r="Z226" s="343"/>
      <c r="AA226" s="343"/>
      <c r="AB226" s="343"/>
      <c r="AC226" s="343"/>
      <c r="AD226" s="343"/>
      <c r="AE226" s="343"/>
      <c r="AF226" s="343"/>
      <c r="AG226" s="343"/>
      <c r="AH226" s="343"/>
      <c r="AI226" s="343"/>
      <c r="AJ226" s="343"/>
      <c r="AK226" s="343"/>
    </row>
    <row r="227" spans="1:37" ht="5.15" customHeight="1" x14ac:dyDescent="0.25">
      <c r="A227" s="694"/>
      <c r="B227" s="284"/>
      <c r="C227" s="284"/>
      <c r="D227" s="284"/>
      <c r="E227" s="284"/>
      <c r="F227" s="284"/>
      <c r="G227" s="284"/>
      <c r="H227" s="284"/>
      <c r="I227" s="284"/>
      <c r="J227" s="284"/>
      <c r="K227" s="284"/>
      <c r="L227" s="284"/>
      <c r="M227" s="336"/>
      <c r="N227" s="336"/>
      <c r="O227" s="336"/>
      <c r="P227" s="302"/>
      <c r="Q227" s="770"/>
      <c r="R227" s="694"/>
      <c r="S227" s="694"/>
      <c r="T227" s="694"/>
      <c r="U227" s="694"/>
      <c r="V227" s="694"/>
      <c r="W227" s="694"/>
      <c r="X227" s="694"/>
      <c r="Y227" s="1018"/>
      <c r="Z227" s="343"/>
      <c r="AA227" s="343"/>
      <c r="AB227" s="343"/>
      <c r="AC227" s="343"/>
      <c r="AD227" s="343"/>
      <c r="AE227" s="343"/>
      <c r="AF227" s="343"/>
      <c r="AG227" s="343"/>
      <c r="AH227" s="343"/>
      <c r="AI227" s="343"/>
      <c r="AJ227" s="343"/>
      <c r="AK227" s="343"/>
    </row>
    <row r="228" spans="1:37" ht="14.15" customHeight="1" x14ac:dyDescent="0.25">
      <c r="A228" s="694"/>
      <c r="B228" s="284"/>
      <c r="C228" s="284"/>
      <c r="D228" s="300" t="s">
        <v>901</v>
      </c>
      <c r="E228" s="2463" t="str">
        <f>Translations!$B$278</f>
        <v>Моля, потвърдете дали отпадните газове се отнасят за тази подинсталация:</v>
      </c>
      <c r="F228" s="2240"/>
      <c r="G228" s="2240"/>
      <c r="H228" s="2240"/>
      <c r="I228" s="2240"/>
      <c r="J228" s="2240"/>
      <c r="K228" s="2684"/>
      <c r="L228" s="2686"/>
      <c r="M228" s="2674"/>
      <c r="N228" s="2675"/>
      <c r="O228" s="336"/>
      <c r="P228" s="158"/>
      <c r="Q228" s="770"/>
      <c r="R228" s="694"/>
      <c r="S228" s="694"/>
      <c r="T228" s="694"/>
      <c r="U228" s="694"/>
      <c r="V228" s="694"/>
      <c r="W228" s="694"/>
      <c r="X228" s="694"/>
      <c r="Y228" s="1029" t="b">
        <f>Y226</f>
        <v>0</v>
      </c>
      <c r="Z228" s="343"/>
      <c r="AA228" s="343"/>
      <c r="AB228" s="343"/>
      <c r="AC228" s="343"/>
      <c r="AD228" s="343"/>
      <c r="AE228" s="343"/>
      <c r="AF228" s="343"/>
      <c r="AG228" s="343"/>
      <c r="AH228" s="343"/>
      <c r="AI228" s="343"/>
      <c r="AJ228" s="343"/>
      <c r="AK228" s="343"/>
    </row>
    <row r="229" spans="1:37" ht="5.15" customHeight="1" x14ac:dyDescent="0.25">
      <c r="A229" s="694"/>
      <c r="B229" s="284"/>
      <c r="C229" s="284"/>
      <c r="D229" s="284"/>
      <c r="E229" s="284"/>
      <c r="F229" s="284"/>
      <c r="G229" s="284"/>
      <c r="H229" s="284"/>
      <c r="I229" s="284"/>
      <c r="J229" s="284"/>
      <c r="K229" s="284"/>
      <c r="L229" s="284"/>
      <c r="M229" s="336"/>
      <c r="N229" s="336"/>
      <c r="O229" s="336"/>
      <c r="P229" s="302"/>
      <c r="Q229" s="770"/>
      <c r="R229" s="694"/>
      <c r="S229" s="694"/>
      <c r="T229" s="694"/>
      <c r="U229" s="694"/>
      <c r="V229" s="694"/>
      <c r="W229" s="694"/>
      <c r="X229" s="694"/>
      <c r="Y229" s="1018"/>
      <c r="Z229" s="343"/>
      <c r="AA229" s="343"/>
      <c r="AB229" s="343"/>
      <c r="AC229" s="343"/>
      <c r="AD229" s="343"/>
      <c r="AE229" s="343"/>
      <c r="AF229" s="343"/>
      <c r="AG229" s="343"/>
      <c r="AH229" s="343"/>
      <c r="AI229" s="343"/>
      <c r="AJ229" s="343"/>
      <c r="AK229" s="343"/>
    </row>
    <row r="230" spans="1:37" ht="13" customHeight="1" x14ac:dyDescent="0.25">
      <c r="A230" s="694"/>
      <c r="B230" s="284"/>
      <c r="C230" s="284"/>
      <c r="D230" s="300" t="s">
        <v>46</v>
      </c>
      <c r="E230" s="726" t="str">
        <f>Translations!$B$279</f>
        <v>Вид отпаден газ:</v>
      </c>
      <c r="F230" s="1039"/>
      <c r="G230" s="1040"/>
      <c r="H230" s="2673"/>
      <c r="I230" s="2674"/>
      <c r="J230" s="2674"/>
      <c r="K230" s="2674"/>
      <c r="L230" s="2674"/>
      <c r="M230" s="2674"/>
      <c r="N230" s="2675"/>
      <c r="O230" s="336"/>
      <c r="P230" s="158"/>
      <c r="Q230" s="770"/>
      <c r="R230" s="694"/>
      <c r="S230" s="694"/>
      <c r="T230" s="694"/>
      <c r="U230" s="694"/>
      <c r="V230" s="694"/>
      <c r="W230" s="694"/>
      <c r="X230" s="694"/>
      <c r="Y230" s="1029" t="b">
        <f>Y228</f>
        <v>0</v>
      </c>
      <c r="Z230" s="343"/>
      <c r="AA230" s="343"/>
      <c r="AB230" s="343"/>
      <c r="AC230" s="343"/>
      <c r="AD230" s="343"/>
      <c r="AE230" s="343"/>
      <c r="AF230" s="343"/>
      <c r="AG230" s="343"/>
      <c r="AH230" s="343"/>
      <c r="AI230" s="343"/>
      <c r="AJ230" s="343"/>
      <c r="AK230" s="343"/>
    </row>
    <row r="231" spans="1:37" ht="5.15" customHeight="1" x14ac:dyDescent="0.25">
      <c r="A231" s="694"/>
      <c r="B231" s="284"/>
      <c r="C231" s="284"/>
      <c r="D231" s="284"/>
      <c r="E231" s="284"/>
      <c r="F231" s="284"/>
      <c r="G231" s="284"/>
      <c r="H231" s="284"/>
      <c r="I231" s="284"/>
      <c r="J231" s="284"/>
      <c r="K231" s="284"/>
      <c r="L231" s="284"/>
      <c r="M231" s="336"/>
      <c r="N231" s="336"/>
      <c r="O231" s="336"/>
      <c r="P231" s="302"/>
      <c r="Q231" s="770"/>
      <c r="R231" s="694"/>
      <c r="S231" s="694"/>
      <c r="T231" s="694"/>
      <c r="U231" s="694"/>
      <c r="V231" s="694"/>
      <c r="W231" s="694"/>
      <c r="X231" s="694"/>
      <c r="Y231" s="1018"/>
      <c r="Z231" s="343"/>
      <c r="AA231" s="343"/>
      <c r="AB231" s="343"/>
      <c r="AC231" s="343"/>
      <c r="AD231" s="343"/>
      <c r="AE231" s="343"/>
      <c r="AF231" s="343"/>
      <c r="AG231" s="343"/>
      <c r="AH231" s="343"/>
      <c r="AI231" s="343"/>
      <c r="AJ231" s="343"/>
      <c r="AK231" s="343"/>
    </row>
    <row r="232" spans="1:37" ht="13" x14ac:dyDescent="0.25">
      <c r="A232" s="694"/>
      <c r="B232" s="284"/>
      <c r="C232" s="284"/>
      <c r="D232" s="300"/>
      <c r="E232" s="2676"/>
      <c r="F232" s="2677"/>
      <c r="G232" s="2677"/>
      <c r="H232" s="2677"/>
      <c r="I232" s="2677"/>
      <c r="J232" s="2677"/>
      <c r="K232" s="2677"/>
      <c r="L232" s="2677"/>
      <c r="M232" s="2677"/>
      <c r="N232" s="2678"/>
      <c r="O232" s="336"/>
      <c r="P232" s="158"/>
      <c r="Q232" s="770"/>
      <c r="R232" s="694"/>
      <c r="S232" s="694"/>
      <c r="T232" s="694"/>
      <c r="U232" s="694"/>
      <c r="V232" s="694"/>
      <c r="W232" s="694"/>
      <c r="X232" s="694"/>
      <c r="Y232" s="1029" t="b">
        <f>Y230</f>
        <v>0</v>
      </c>
      <c r="Z232" s="343"/>
      <c r="AA232" s="343"/>
      <c r="AB232" s="343"/>
      <c r="AC232" s="343"/>
      <c r="AD232" s="343"/>
      <c r="AE232" s="343"/>
      <c r="AF232" s="343"/>
      <c r="AG232" s="343"/>
      <c r="AH232" s="343"/>
      <c r="AI232" s="343"/>
      <c r="AJ232" s="343"/>
      <c r="AK232" s="343"/>
    </row>
    <row r="233" spans="1:37" ht="13" x14ac:dyDescent="0.25">
      <c r="A233" s="694"/>
      <c r="B233" s="284"/>
      <c r="C233" s="284"/>
      <c r="D233" s="300"/>
      <c r="E233" s="2679"/>
      <c r="F233" s="2680"/>
      <c r="G233" s="2680"/>
      <c r="H233" s="2680"/>
      <c r="I233" s="2680"/>
      <c r="J233" s="2680"/>
      <c r="K233" s="2680"/>
      <c r="L233" s="2680"/>
      <c r="M233" s="2680"/>
      <c r="N233" s="2681"/>
      <c r="O233" s="336"/>
      <c r="P233" s="302"/>
      <c r="Q233" s="770"/>
      <c r="R233" s="694"/>
      <c r="S233" s="694"/>
      <c r="T233" s="694"/>
      <c r="U233" s="694"/>
      <c r="V233" s="694"/>
      <c r="W233" s="694"/>
      <c r="X233" s="694"/>
      <c r="Y233" s="1029" t="b">
        <f>Y232</f>
        <v>0</v>
      </c>
      <c r="Z233" s="343"/>
      <c r="AA233" s="343"/>
      <c r="AB233" s="343"/>
      <c r="AC233" s="343"/>
      <c r="AD233" s="343"/>
      <c r="AE233" s="343"/>
      <c r="AF233" s="343"/>
      <c r="AG233" s="343"/>
      <c r="AH233" s="343"/>
      <c r="AI233" s="343"/>
      <c r="AJ233" s="343"/>
      <c r="AK233" s="343"/>
    </row>
    <row r="234" spans="1:37" ht="5.15" customHeight="1" x14ac:dyDescent="0.25">
      <c r="A234" s="694"/>
      <c r="B234" s="284"/>
      <c r="C234" s="284"/>
      <c r="D234" s="284"/>
      <c r="E234" s="284"/>
      <c r="F234" s="284"/>
      <c r="G234" s="284"/>
      <c r="H234" s="284"/>
      <c r="I234" s="284"/>
      <c r="J234" s="284"/>
      <c r="K234" s="284"/>
      <c r="L234" s="284"/>
      <c r="M234" s="336"/>
      <c r="N234" s="336"/>
      <c r="O234" s="336"/>
      <c r="P234" s="302"/>
      <c r="Q234" s="770"/>
      <c r="R234" s="694"/>
      <c r="S234" s="694"/>
      <c r="T234" s="694"/>
      <c r="U234" s="694"/>
      <c r="V234" s="694"/>
      <c r="W234" s="694"/>
      <c r="X234" s="694"/>
      <c r="Y234" s="1018"/>
      <c r="Z234" s="343"/>
      <c r="AA234" s="343"/>
      <c r="AB234" s="343"/>
      <c r="AC234" s="343"/>
      <c r="AD234" s="343"/>
      <c r="AE234" s="343"/>
      <c r="AF234" s="343"/>
      <c r="AG234" s="343"/>
      <c r="AH234" s="343"/>
      <c r="AI234" s="343"/>
      <c r="AJ234" s="343"/>
      <c r="AK234" s="343"/>
    </row>
    <row r="235" spans="1:37" ht="13" customHeight="1" x14ac:dyDescent="0.25">
      <c r="A235" s="694"/>
      <c r="B235" s="284"/>
      <c r="C235" s="284"/>
      <c r="D235" s="300" t="s">
        <v>906</v>
      </c>
      <c r="E235" s="2463" t="str">
        <f>Translations!$B$282</f>
        <v>Общо количество технологични емисии преди изваждането на еквивалента на технически използваемото енергийно съдържание:</v>
      </c>
      <c r="F235" s="2240"/>
      <c r="G235" s="2240"/>
      <c r="H235" s="2240"/>
      <c r="I235" s="2240"/>
      <c r="J235" s="2240"/>
      <c r="K235" s="2240"/>
      <c r="L235" s="2240"/>
      <c r="M235" s="2240"/>
      <c r="N235" s="2240"/>
      <c r="O235" s="336"/>
      <c r="P235" s="302"/>
      <c r="Q235" s="770"/>
      <c r="R235" s="694"/>
      <c r="S235" s="694"/>
      <c r="T235" s="694"/>
      <c r="U235" s="694"/>
      <c r="V235" s="694"/>
      <c r="W235" s="694"/>
      <c r="X235" s="694"/>
      <c r="Y235" s="1018"/>
      <c r="Z235" s="343"/>
      <c r="AA235" s="343"/>
      <c r="AB235" s="343"/>
      <c r="AC235" s="343"/>
      <c r="AD235" s="343"/>
      <c r="AE235" s="343"/>
      <c r="AF235" s="343"/>
      <c r="AG235" s="343"/>
      <c r="AH235" s="343"/>
      <c r="AI235" s="343"/>
      <c r="AJ235" s="343"/>
      <c r="AK235" s="343"/>
    </row>
    <row r="236" spans="1:37" ht="5.15" customHeight="1" x14ac:dyDescent="0.25">
      <c r="A236" s="694"/>
      <c r="B236" s="284"/>
      <c r="C236" s="284"/>
      <c r="D236" s="284"/>
      <c r="E236" s="284"/>
      <c r="F236" s="284"/>
      <c r="G236" s="284"/>
      <c r="H236" s="284"/>
      <c r="I236" s="284"/>
      <c r="J236" s="284"/>
      <c r="K236" s="284"/>
      <c r="L236" s="284"/>
      <c r="M236" s="336"/>
      <c r="N236" s="336"/>
      <c r="O236" s="336"/>
      <c r="P236" s="302"/>
      <c r="Q236" s="770"/>
      <c r="R236" s="694"/>
      <c r="S236" s="694"/>
      <c r="T236" s="694"/>
      <c r="U236" s="694"/>
      <c r="V236" s="694"/>
      <c r="W236" s="694"/>
      <c r="X236" s="694"/>
      <c r="Y236" s="1018"/>
      <c r="Z236" s="343"/>
      <c r="AA236" s="343"/>
      <c r="AB236" s="343"/>
      <c r="AC236" s="343"/>
      <c r="AD236" s="343"/>
      <c r="AE236" s="343"/>
      <c r="AF236" s="343"/>
      <c r="AG236" s="343"/>
      <c r="AH236" s="343"/>
      <c r="AI236" s="343"/>
      <c r="AJ236" s="343"/>
      <c r="AK236" s="343"/>
    </row>
    <row r="237" spans="1:37" ht="13" x14ac:dyDescent="0.25">
      <c r="A237" s="694"/>
      <c r="B237" s="698"/>
      <c r="C237" s="698"/>
      <c r="D237" s="300"/>
      <c r="E237" s="461"/>
      <c r="F237" s="742"/>
      <c r="G237" s="390" t="str">
        <f>EUconst_Unit</f>
        <v>Единица мярка</v>
      </c>
      <c r="H237" s="391">
        <f t="shared" ref="H237:N237" si="55">H$278</f>
        <v>2024</v>
      </c>
      <c r="I237" s="391">
        <f t="shared" si="55"/>
        <v>2025</v>
      </c>
      <c r="J237" s="391">
        <f t="shared" si="55"/>
        <v>2026</v>
      </c>
      <c r="K237" s="391">
        <f t="shared" si="55"/>
        <v>2027</v>
      </c>
      <c r="L237" s="391">
        <f t="shared" si="55"/>
        <v>2028</v>
      </c>
      <c r="M237" s="391">
        <f t="shared" si="55"/>
        <v>2029</v>
      </c>
      <c r="N237" s="391">
        <f t="shared" si="55"/>
        <v>2030</v>
      </c>
      <c r="O237" s="336"/>
      <c r="P237" s="302"/>
      <c r="Q237" s="694"/>
      <c r="R237" s="694"/>
      <c r="S237" s="694"/>
      <c r="T237" s="694"/>
      <c r="U237" s="694"/>
      <c r="V237" s="694"/>
      <c r="W237" s="694"/>
      <c r="X237" s="694"/>
      <c r="Y237" s="1018"/>
      <c r="Z237" s="343"/>
      <c r="AA237" s="343"/>
      <c r="AB237" s="343"/>
      <c r="AC237" s="343"/>
      <c r="AD237" s="343"/>
      <c r="AE237" s="343"/>
      <c r="AF237" s="343"/>
      <c r="AG237" s="343"/>
      <c r="AH237" s="343"/>
      <c r="AI237" s="343"/>
      <c r="AJ237" s="343"/>
      <c r="AK237" s="343"/>
    </row>
    <row r="238" spans="1:37" ht="12.65" customHeight="1" x14ac:dyDescent="0.25">
      <c r="A238" s="694"/>
      <c r="B238" s="698"/>
      <c r="C238" s="698"/>
      <c r="D238" s="698"/>
      <c r="E238" s="2667" t="str">
        <f>Translations!$B$284</f>
        <v>Некоригирани технологични емисии</v>
      </c>
      <c r="F238" s="2258"/>
      <c r="G238" s="1016" t="str">
        <f>EUconst_tCO2epa</f>
        <v>t CO2e/година</v>
      </c>
      <c r="H238" s="24"/>
      <c r="I238" s="24"/>
      <c r="J238" s="24"/>
      <c r="K238" s="24"/>
      <c r="L238" s="24"/>
      <c r="M238" s="24"/>
      <c r="N238" s="24"/>
      <c r="O238" s="336"/>
      <c r="P238" s="158"/>
      <c r="Q238" s="694"/>
      <c r="R238" s="694"/>
      <c r="S238" s="694"/>
      <c r="T238" s="694"/>
      <c r="U238" s="694"/>
      <c r="V238" s="694"/>
      <c r="W238" s="694"/>
      <c r="X238" s="694"/>
      <c r="Y238" s="1029" t="b">
        <f>Y233</f>
        <v>0</v>
      </c>
      <c r="Z238" s="343"/>
      <c r="AA238" s="343"/>
      <c r="AB238" s="343"/>
      <c r="AC238" s="343"/>
      <c r="AD238" s="343"/>
      <c r="AE238" s="343"/>
      <c r="AF238" s="343"/>
      <c r="AG238" s="343"/>
      <c r="AH238" s="343"/>
      <c r="AI238" s="343"/>
      <c r="AJ238" s="343"/>
      <c r="AK238" s="343"/>
    </row>
    <row r="239" spans="1:37" ht="5.15" customHeight="1" x14ac:dyDescent="0.25">
      <c r="A239" s="694"/>
      <c r="B239" s="284"/>
      <c r="C239" s="284"/>
      <c r="D239" s="284"/>
      <c r="E239" s="284"/>
      <c r="F239" s="284"/>
      <c r="G239" s="284"/>
      <c r="H239" s="725"/>
      <c r="I239" s="725"/>
      <c r="J239" s="284"/>
      <c r="K239" s="284"/>
      <c r="L239" s="284"/>
      <c r="M239" s="284"/>
      <c r="N239" s="336"/>
      <c r="O239" s="336"/>
      <c r="P239" s="302"/>
      <c r="Q239" s="770"/>
      <c r="R239" s="694"/>
      <c r="S239" s="694"/>
      <c r="T239" s="694"/>
      <c r="U239" s="694"/>
      <c r="V239" s="694"/>
      <c r="W239" s="694"/>
      <c r="X239" s="694"/>
      <c r="Y239" s="1018"/>
      <c r="Z239" s="343"/>
      <c r="AA239" s="343"/>
      <c r="AB239" s="343"/>
      <c r="AC239" s="343"/>
      <c r="AD239" s="343"/>
      <c r="AE239" s="343"/>
      <c r="AF239" s="343"/>
      <c r="AG239" s="343"/>
      <c r="AH239" s="343"/>
      <c r="AI239" s="343"/>
      <c r="AJ239" s="343"/>
      <c r="AK239" s="343"/>
    </row>
    <row r="240" spans="1:37" ht="13" customHeight="1" x14ac:dyDescent="0.25">
      <c r="A240" s="694"/>
      <c r="B240" s="284"/>
      <c r="C240" s="284"/>
      <c r="D240" s="300" t="s">
        <v>54</v>
      </c>
      <c r="E240" s="2463" t="str">
        <f>Translations!$B$285</f>
        <v>Приблизителна стойност на емисиите на отпадни газове</v>
      </c>
      <c r="F240" s="2240"/>
      <c r="G240" s="2240"/>
      <c r="H240" s="2240"/>
      <c r="I240" s="2240"/>
      <c r="J240" s="2240"/>
      <c r="K240" s="2240"/>
      <c r="L240" s="2240"/>
      <c r="M240" s="2240"/>
      <c r="N240" s="2240"/>
      <c r="O240" s="336"/>
      <c r="P240" s="302"/>
      <c r="Q240" s="770"/>
      <c r="R240" s="694"/>
      <c r="S240" s="694"/>
      <c r="T240" s="694"/>
      <c r="U240" s="694"/>
      <c r="V240" s="694"/>
      <c r="W240" s="694"/>
      <c r="X240" s="694"/>
      <c r="Y240" s="1018"/>
      <c r="Z240" s="343"/>
      <c r="AA240" s="343"/>
      <c r="AB240" s="343"/>
      <c r="AC240" s="343"/>
      <c r="AD240" s="343"/>
      <c r="AE240" s="343"/>
      <c r="AF240" s="343"/>
      <c r="AG240" s="343"/>
      <c r="AH240" s="343"/>
      <c r="AI240" s="343"/>
      <c r="AJ240" s="343"/>
      <c r="AK240" s="343"/>
    </row>
    <row r="241" spans="1:37" ht="5.15" customHeight="1" x14ac:dyDescent="0.25">
      <c r="A241" s="694"/>
      <c r="B241" s="284"/>
      <c r="C241" s="284"/>
      <c r="D241" s="284"/>
      <c r="E241" s="284"/>
      <c r="F241" s="284"/>
      <c r="G241" s="284"/>
      <c r="H241" s="725"/>
      <c r="I241" s="725"/>
      <c r="J241" s="284"/>
      <c r="K241" s="284"/>
      <c r="L241" s="284"/>
      <c r="M241" s="284"/>
      <c r="N241" s="336"/>
      <c r="O241" s="336"/>
      <c r="P241" s="302"/>
      <c r="Q241" s="770"/>
      <c r="R241" s="694"/>
      <c r="S241" s="694"/>
      <c r="T241" s="694"/>
      <c r="U241" s="694"/>
      <c r="V241" s="694"/>
      <c r="W241" s="694"/>
      <c r="X241" s="694"/>
      <c r="Y241" s="1018"/>
      <c r="Z241" s="343"/>
      <c r="AA241" s="343"/>
      <c r="AB241" s="343"/>
      <c r="AC241" s="343"/>
      <c r="AD241" s="343"/>
      <c r="AE241" s="343"/>
      <c r="AF241" s="343"/>
      <c r="AG241" s="343"/>
      <c r="AH241" s="343"/>
      <c r="AI241" s="343"/>
      <c r="AJ241" s="343"/>
      <c r="AK241" s="343"/>
    </row>
    <row r="242" spans="1:37" ht="13" customHeight="1" x14ac:dyDescent="0.25">
      <c r="A242" s="694"/>
      <c r="B242" s="698"/>
      <c r="C242" s="698"/>
      <c r="D242" s="300"/>
      <c r="E242" s="2671" t="str">
        <f>Translations!$B$288</f>
        <v>Емисии от отпадни газове</v>
      </c>
      <c r="F242" s="2672"/>
      <c r="G242" s="390" t="str">
        <f>EUconst_Unit</f>
        <v>Единица мярка</v>
      </c>
      <c r="H242" s="391">
        <f t="shared" ref="H242:N242" si="56">H$278</f>
        <v>2024</v>
      </c>
      <c r="I242" s="391">
        <f t="shared" si="56"/>
        <v>2025</v>
      </c>
      <c r="J242" s="391">
        <f t="shared" si="56"/>
        <v>2026</v>
      </c>
      <c r="K242" s="391">
        <f t="shared" si="56"/>
        <v>2027</v>
      </c>
      <c r="L242" s="391">
        <f t="shared" si="56"/>
        <v>2028</v>
      </c>
      <c r="M242" s="391">
        <f t="shared" si="56"/>
        <v>2029</v>
      </c>
      <c r="N242" s="391">
        <f t="shared" si="56"/>
        <v>2030</v>
      </c>
      <c r="O242" s="336"/>
      <c r="P242" s="302"/>
      <c r="Q242" s="694"/>
      <c r="R242" s="694"/>
      <c r="S242" s="694"/>
      <c r="T242" s="694"/>
      <c r="U242" s="694"/>
      <c r="V242" s="694"/>
      <c r="W242" s="694"/>
      <c r="X242" s="694"/>
      <c r="Y242" s="1018"/>
      <c r="Z242" s="343"/>
      <c r="AA242" s="343"/>
      <c r="AB242" s="343"/>
      <c r="AC242" s="343"/>
      <c r="AD242" s="343"/>
      <c r="AE242" s="343"/>
      <c r="AF242" s="343"/>
      <c r="AG242" s="343"/>
      <c r="AH242" s="343"/>
      <c r="AI242" s="343"/>
      <c r="AJ242" s="343"/>
      <c r="AK242" s="343"/>
    </row>
    <row r="243" spans="1:37" ht="12.65" customHeight="1" x14ac:dyDescent="0.25">
      <c r="A243" s="694"/>
      <c r="B243" s="698"/>
      <c r="C243" s="698"/>
      <c r="D243" s="698"/>
      <c r="E243" s="2667" t="str">
        <f>Translations!$B$289</f>
        <v>извън продуктовите показатели</v>
      </c>
      <c r="F243" s="2258"/>
      <c r="G243" s="1016" t="str">
        <f>EUconst_tCO2epa</f>
        <v>t CO2e/година</v>
      </c>
      <c r="H243" s="56"/>
      <c r="I243" s="56"/>
      <c r="J243" s="56"/>
      <c r="K243" s="23"/>
      <c r="L243" s="23"/>
      <c r="M243" s="23"/>
      <c r="N243" s="23"/>
      <c r="O243" s="336"/>
      <c r="P243" s="158"/>
      <c r="Q243" s="694"/>
      <c r="R243" s="694"/>
      <c r="S243" s="694"/>
      <c r="T243" s="694"/>
      <c r="U243" s="694"/>
      <c r="V243" s="694"/>
      <c r="W243" s="694"/>
      <c r="X243" s="694"/>
      <c r="Y243" s="1029" t="b">
        <f>Y238</f>
        <v>0</v>
      </c>
      <c r="Z243" s="343"/>
      <c r="AA243" s="343"/>
      <c r="AB243" s="343"/>
      <c r="AC243" s="343"/>
      <c r="AD243" s="343"/>
      <c r="AE243" s="343"/>
      <c r="AF243" s="343"/>
      <c r="AG243" s="343"/>
      <c r="AH243" s="343"/>
      <c r="AI243" s="343"/>
      <c r="AJ243" s="343"/>
      <c r="AK243" s="343"/>
    </row>
    <row r="244" spans="1:37" ht="5.15" customHeight="1" x14ac:dyDescent="0.25">
      <c r="A244" s="694"/>
      <c r="B244" s="284"/>
      <c r="C244" s="284"/>
      <c r="D244" s="284"/>
      <c r="E244" s="284"/>
      <c r="F244" s="284"/>
      <c r="G244" s="284"/>
      <c r="H244" s="725"/>
      <c r="I244" s="725"/>
      <c r="J244" s="284"/>
      <c r="K244" s="284"/>
      <c r="L244" s="284"/>
      <c r="M244" s="284"/>
      <c r="N244" s="336"/>
      <c r="O244" s="336"/>
      <c r="P244" s="302"/>
      <c r="Q244" s="770"/>
      <c r="R244" s="694"/>
      <c r="S244" s="694"/>
      <c r="T244" s="694"/>
      <c r="U244" s="694"/>
      <c r="V244" s="694"/>
      <c r="W244" s="694"/>
      <c r="X244" s="694"/>
      <c r="Y244" s="1018"/>
      <c r="Z244" s="343"/>
      <c r="AA244" s="343"/>
      <c r="AB244" s="343"/>
      <c r="AC244" s="343"/>
      <c r="AD244" s="343"/>
      <c r="AE244" s="343"/>
      <c r="AF244" s="343"/>
      <c r="AG244" s="343"/>
      <c r="AH244" s="343"/>
      <c r="AI244" s="343"/>
      <c r="AJ244" s="343"/>
      <c r="AK244" s="343"/>
    </row>
    <row r="245" spans="1:37" ht="13" customHeight="1" x14ac:dyDescent="0.25">
      <c r="A245" s="694"/>
      <c r="B245" s="284"/>
      <c r="C245" s="284"/>
      <c r="D245" s="300" t="s">
        <v>55</v>
      </c>
      <c r="E245" s="2463" t="str">
        <f>Translations!$B$290</f>
        <v>Количество отпадни газове, генерирано извън подинсталации с продуктов показател, включително за подаване извън инсталацията:</v>
      </c>
      <c r="F245" s="2240"/>
      <c r="G245" s="2240"/>
      <c r="H245" s="2240"/>
      <c r="I245" s="2240"/>
      <c r="J245" s="2240"/>
      <c r="K245" s="2240"/>
      <c r="L245" s="2240"/>
      <c r="M245" s="2240"/>
      <c r="N245" s="2240"/>
      <c r="O245" s="336"/>
      <c r="P245" s="302"/>
      <c r="Q245" s="770"/>
      <c r="R245" s="694"/>
      <c r="S245" s="694"/>
      <c r="T245" s="694"/>
      <c r="U245" s="694"/>
      <c r="V245" s="694"/>
      <c r="W245" s="694"/>
      <c r="X245" s="694"/>
      <c r="Y245" s="1018"/>
      <c r="Z245" s="343"/>
      <c r="AA245" s="343"/>
      <c r="AB245" s="343"/>
      <c r="AC245" s="343"/>
      <c r="AD245" s="343"/>
      <c r="AE245" s="343"/>
      <c r="AF245" s="343"/>
      <c r="AG245" s="343"/>
      <c r="AH245" s="343"/>
      <c r="AI245" s="343"/>
      <c r="AJ245" s="343"/>
      <c r="AK245" s="343"/>
    </row>
    <row r="246" spans="1:37" ht="5.15" customHeight="1" x14ac:dyDescent="0.25">
      <c r="A246" s="694"/>
      <c r="B246" s="284"/>
      <c r="C246" s="284"/>
      <c r="D246" s="284"/>
      <c r="E246" s="284"/>
      <c r="F246" s="284"/>
      <c r="G246" s="284"/>
      <c r="H246" s="725"/>
      <c r="I246" s="725"/>
      <c r="J246" s="284"/>
      <c r="K246" s="284"/>
      <c r="L246" s="284"/>
      <c r="M246" s="284"/>
      <c r="N246" s="336"/>
      <c r="O246" s="336"/>
      <c r="P246" s="302"/>
      <c r="Q246" s="770"/>
      <c r="R246" s="694"/>
      <c r="S246" s="694"/>
      <c r="T246" s="694"/>
      <c r="U246" s="694"/>
      <c r="V246" s="694"/>
      <c r="W246" s="694"/>
      <c r="X246" s="694"/>
      <c r="Y246" s="1018"/>
      <c r="Z246" s="343"/>
      <c r="AA246" s="343"/>
      <c r="AB246" s="343"/>
      <c r="AC246" s="343"/>
      <c r="AD246" s="343"/>
      <c r="AE246" s="343"/>
      <c r="AF246" s="343"/>
      <c r="AG246" s="343"/>
      <c r="AH246" s="343"/>
      <c r="AI246" s="343"/>
      <c r="AJ246" s="343"/>
      <c r="AK246" s="343"/>
    </row>
    <row r="247" spans="1:37" ht="13" customHeight="1" x14ac:dyDescent="0.25">
      <c r="A247" s="694"/>
      <c r="B247" s="698"/>
      <c r="C247" s="698"/>
      <c r="D247" s="300"/>
      <c r="E247" s="2671" t="str">
        <f>Translations!$B$293</f>
        <v>Годишно количество отпадни газове</v>
      </c>
      <c r="F247" s="2672"/>
      <c r="G247" s="390" t="str">
        <f>EUconst_Unit</f>
        <v>Единица мярка</v>
      </c>
      <c r="H247" s="391">
        <f t="shared" ref="H247:N247" si="57">H$278</f>
        <v>2024</v>
      </c>
      <c r="I247" s="391">
        <f t="shared" si="57"/>
        <v>2025</v>
      </c>
      <c r="J247" s="391">
        <f t="shared" si="57"/>
        <v>2026</v>
      </c>
      <c r="K247" s="391">
        <f t="shared" si="57"/>
        <v>2027</v>
      </c>
      <c r="L247" s="391">
        <f t="shared" si="57"/>
        <v>2028</v>
      </c>
      <c r="M247" s="391">
        <f t="shared" si="57"/>
        <v>2029</v>
      </c>
      <c r="N247" s="391">
        <f t="shared" si="57"/>
        <v>2030</v>
      </c>
      <c r="O247" s="336"/>
      <c r="P247" s="302"/>
      <c r="Q247" s="694"/>
      <c r="R247" s="694"/>
      <c r="S247" s="694"/>
      <c r="T247" s="694"/>
      <c r="U247" s="694"/>
      <c r="V247" s="694"/>
      <c r="W247" s="694"/>
      <c r="X247" s="694"/>
      <c r="Y247" s="1018"/>
      <c r="Z247" s="343"/>
      <c r="AA247" s="343"/>
      <c r="AB247" s="343"/>
      <c r="AC247" s="343"/>
      <c r="AD247" s="343"/>
      <c r="AE247" s="343"/>
      <c r="AF247" s="343"/>
      <c r="AG247" s="343"/>
      <c r="AH247" s="343"/>
      <c r="AI247" s="343"/>
      <c r="AJ247" s="343"/>
      <c r="AK247" s="343"/>
    </row>
    <row r="248" spans="1:37" ht="12.65" customHeight="1" x14ac:dyDescent="0.25">
      <c r="A248" s="694"/>
      <c r="B248" s="698"/>
      <c r="C248" s="698"/>
      <c r="D248" s="698"/>
      <c r="E248" s="2667" t="str">
        <f>Translations!$B$289</f>
        <v>извън продуктовите показатели</v>
      </c>
      <c r="F248" s="2258"/>
      <c r="G248" s="1"/>
      <c r="H248" s="24"/>
      <c r="I248" s="24"/>
      <c r="J248" s="24"/>
      <c r="K248" s="24"/>
      <c r="L248" s="24"/>
      <c r="M248" s="24"/>
      <c r="N248" s="24"/>
      <c r="O248" s="336"/>
      <c r="P248" s="158"/>
      <c r="Q248" s="694"/>
      <c r="R248" s="694"/>
      <c r="S248" s="694"/>
      <c r="T248" s="694"/>
      <c r="U248" s="694"/>
      <c r="V248" s="694"/>
      <c r="W248" s="694"/>
      <c r="X248" s="694"/>
      <c r="Y248" s="1029" t="b">
        <f>Y243</f>
        <v>0</v>
      </c>
      <c r="Z248" s="343"/>
      <c r="AA248" s="343"/>
      <c r="AB248" s="343"/>
      <c r="AC248" s="343"/>
      <c r="AD248" s="343"/>
      <c r="AE248" s="343"/>
      <c r="AF248" s="343"/>
      <c r="AG248" s="343"/>
      <c r="AH248" s="343"/>
      <c r="AI248" s="343"/>
      <c r="AJ248" s="343"/>
      <c r="AK248" s="343"/>
    </row>
    <row r="249" spans="1:37" ht="5.15" customHeight="1" x14ac:dyDescent="0.25">
      <c r="A249" s="694"/>
      <c r="B249" s="284"/>
      <c r="C249" s="284"/>
      <c r="D249" s="284"/>
      <c r="E249" s="284"/>
      <c r="F249" s="284"/>
      <c r="G249" s="284"/>
      <c r="H249" s="725"/>
      <c r="I249" s="725"/>
      <c r="J249" s="284"/>
      <c r="K249" s="284"/>
      <c r="L249" s="284"/>
      <c r="M249" s="284"/>
      <c r="N249" s="336"/>
      <c r="O249" s="336"/>
      <c r="P249" s="302"/>
      <c r="Q249" s="770"/>
      <c r="R249" s="1030"/>
      <c r="S249" s="694"/>
      <c r="T249" s="694"/>
      <c r="U249" s="694"/>
      <c r="V249" s="694"/>
      <c r="W249" s="694"/>
      <c r="X249" s="694"/>
      <c r="Y249" s="1018"/>
      <c r="Z249" s="343"/>
      <c r="AA249" s="343"/>
      <c r="AB249" s="343"/>
      <c r="AC249" s="343"/>
      <c r="AD249" s="343"/>
      <c r="AE249" s="343"/>
      <c r="AF249" s="343"/>
      <c r="AG249" s="343"/>
      <c r="AH249" s="343"/>
      <c r="AI249" s="343"/>
      <c r="AJ249" s="343"/>
      <c r="AK249" s="343"/>
    </row>
    <row r="250" spans="1:37" ht="13" customHeight="1" x14ac:dyDescent="0.25">
      <c r="A250" s="694"/>
      <c r="B250" s="284"/>
      <c r="C250" s="284"/>
      <c r="D250" s="300" t="s">
        <v>273</v>
      </c>
      <c r="E250" s="2463" t="str">
        <f>Translations!$B$294</f>
        <v>Долната топлина на изгаряне на отпадните газове</v>
      </c>
      <c r="F250" s="2240"/>
      <c r="G250" s="2240"/>
      <c r="H250" s="2240"/>
      <c r="I250" s="2240"/>
      <c r="J250" s="2240"/>
      <c r="K250" s="2240"/>
      <c r="L250" s="2240"/>
      <c r="M250" s="2240"/>
      <c r="N250" s="2240"/>
      <c r="O250" s="336"/>
      <c r="P250" s="302"/>
      <c r="Q250" s="770"/>
      <c r="R250" s="694"/>
      <c r="S250" s="694"/>
      <c r="T250" s="694"/>
      <c r="U250" s="694"/>
      <c r="V250" s="694"/>
      <c r="W250" s="694"/>
      <c r="X250" s="694"/>
      <c r="Y250" s="1018"/>
      <c r="Z250" s="343"/>
      <c r="AA250" s="343"/>
      <c r="AB250" s="343"/>
      <c r="AC250" s="343"/>
      <c r="AD250" s="343"/>
      <c r="AE250" s="343"/>
      <c r="AF250" s="343"/>
      <c r="AG250" s="343"/>
      <c r="AH250" s="343"/>
      <c r="AI250" s="343"/>
      <c r="AJ250" s="343"/>
      <c r="AK250" s="343"/>
    </row>
    <row r="251" spans="1:37" ht="13" x14ac:dyDescent="0.25">
      <c r="A251" s="694"/>
      <c r="B251" s="698"/>
      <c r="C251" s="698"/>
      <c r="D251" s="300"/>
      <c r="E251" s="742"/>
      <c r="F251" s="742"/>
      <c r="G251" s="390" t="str">
        <f>EUconst_Unit</f>
        <v>Единица мярка</v>
      </c>
      <c r="H251" s="391">
        <f t="shared" ref="H251:N251" si="58">H$278</f>
        <v>2024</v>
      </c>
      <c r="I251" s="391">
        <f t="shared" si="58"/>
        <v>2025</v>
      </c>
      <c r="J251" s="391">
        <f t="shared" si="58"/>
        <v>2026</v>
      </c>
      <c r="K251" s="391">
        <f t="shared" si="58"/>
        <v>2027</v>
      </c>
      <c r="L251" s="391">
        <f t="shared" si="58"/>
        <v>2028</v>
      </c>
      <c r="M251" s="391">
        <f t="shared" si="58"/>
        <v>2029</v>
      </c>
      <c r="N251" s="391">
        <f t="shared" si="58"/>
        <v>2030</v>
      </c>
      <c r="O251" s="336"/>
      <c r="P251" s="302"/>
      <c r="Q251" s="694"/>
      <c r="R251" s="1031">
        <f t="shared" ref="R251:X251" si="59">H251</f>
        <v>2024</v>
      </c>
      <c r="S251" s="1031">
        <f t="shared" si="59"/>
        <v>2025</v>
      </c>
      <c r="T251" s="1031">
        <f t="shared" si="59"/>
        <v>2026</v>
      </c>
      <c r="U251" s="1031">
        <f t="shared" si="59"/>
        <v>2027</v>
      </c>
      <c r="V251" s="1031">
        <f t="shared" si="59"/>
        <v>2028</v>
      </c>
      <c r="W251" s="1031">
        <f t="shared" si="59"/>
        <v>2029</v>
      </c>
      <c r="X251" s="1031">
        <f t="shared" si="59"/>
        <v>2030</v>
      </c>
      <c r="Y251" s="1018"/>
      <c r="Z251" s="343"/>
      <c r="AA251" s="343"/>
      <c r="AB251" s="343"/>
      <c r="AC251" s="343"/>
      <c r="AD251" s="343"/>
      <c r="AE251" s="343"/>
      <c r="AF251" s="343"/>
      <c r="AG251" s="343"/>
      <c r="AH251" s="343"/>
      <c r="AI251" s="343"/>
      <c r="AJ251" s="343"/>
      <c r="AK251" s="343"/>
    </row>
    <row r="252" spans="1:37" ht="13.5" customHeight="1" thickBot="1" x14ac:dyDescent="0.3">
      <c r="A252" s="694"/>
      <c r="B252" s="698"/>
      <c r="C252" s="698"/>
      <c r="D252" s="698"/>
      <c r="E252" s="2667" t="str">
        <f>Translations!$B$296</f>
        <v>Долна топлина на изгаряне</v>
      </c>
      <c r="F252" s="2258"/>
      <c r="G252" s="1032" t="str">
        <f>IF(ISBLANK(G248),EUconst_GJperUnit,INDEX(EUconst_GJperTorKNm3,MATCH(G248,EUconst_TonnesOrkNm3pa,0)))</f>
        <v>GJ / Единица мярка</v>
      </c>
      <c r="H252" s="24"/>
      <c r="I252" s="24"/>
      <c r="J252" s="24"/>
      <c r="K252" s="24"/>
      <c r="L252" s="24"/>
      <c r="M252" s="24"/>
      <c r="N252" s="24"/>
      <c r="O252" s="336"/>
      <c r="P252" s="158"/>
      <c r="Q252" s="716" t="str">
        <f>EUconst_CNTR_WGProduced &amp; C222</f>
        <v>WasteGasProd_2</v>
      </c>
      <c r="R252" s="982" t="str">
        <f t="shared" ref="R252:X252" si="60">IF(COUNT(H248,H252)&gt;0,H248*H252/1000,"")</f>
        <v/>
      </c>
      <c r="S252" s="982" t="str">
        <f t="shared" si="60"/>
        <v/>
      </c>
      <c r="T252" s="982" t="str">
        <f t="shared" si="60"/>
        <v/>
      </c>
      <c r="U252" s="982" t="str">
        <f t="shared" si="60"/>
        <v/>
      </c>
      <c r="V252" s="982" t="str">
        <f t="shared" si="60"/>
        <v/>
      </c>
      <c r="W252" s="982" t="str">
        <f t="shared" si="60"/>
        <v/>
      </c>
      <c r="X252" s="1033" t="str">
        <f t="shared" si="60"/>
        <v/>
      </c>
      <c r="Y252" s="1041" t="b">
        <f>Y248</f>
        <v>0</v>
      </c>
      <c r="Z252" s="343"/>
      <c r="AA252" s="343"/>
      <c r="AB252" s="343"/>
      <c r="AC252" s="343"/>
      <c r="AD252" s="343"/>
      <c r="AE252" s="343"/>
      <c r="AF252" s="343"/>
      <c r="AG252" s="343"/>
      <c r="AH252" s="343"/>
      <c r="AI252" s="343"/>
      <c r="AJ252" s="343"/>
      <c r="AK252" s="343"/>
    </row>
    <row r="253" spans="1:37" ht="5.15" customHeight="1" x14ac:dyDescent="0.25">
      <c r="A253" s="694"/>
      <c r="B253" s="284"/>
      <c r="C253" s="284"/>
      <c r="D253" s="284"/>
      <c r="E253" s="284"/>
      <c r="F253" s="284"/>
      <c r="G253" s="284"/>
      <c r="H253" s="284"/>
      <c r="I253" s="284"/>
      <c r="J253" s="284"/>
      <c r="K253" s="284"/>
      <c r="L253" s="284"/>
      <c r="M253" s="336"/>
      <c r="N253" s="336"/>
      <c r="O253" s="336"/>
      <c r="P253" s="302"/>
      <c r="Q253" s="770"/>
      <c r="R253" s="694"/>
      <c r="S253" s="694"/>
      <c r="T253" s="694"/>
      <c r="U253" s="694"/>
      <c r="V253" s="694"/>
      <c r="W253" s="694"/>
      <c r="X253" s="694"/>
      <c r="Y253" s="694"/>
      <c r="Z253" s="343"/>
      <c r="AA253" s="343"/>
      <c r="AB253" s="343"/>
      <c r="AC253" s="343"/>
      <c r="AD253" s="343"/>
      <c r="AE253" s="343"/>
      <c r="AF253" s="343"/>
      <c r="AG253" s="343"/>
      <c r="AH253" s="343"/>
      <c r="AI253" s="343"/>
      <c r="AJ253" s="343"/>
      <c r="AK253" s="343"/>
    </row>
    <row r="254" spans="1:37" ht="13" customHeight="1" x14ac:dyDescent="0.25">
      <c r="A254" s="694"/>
      <c r="B254" s="284"/>
      <c r="C254" s="284"/>
      <c r="D254" s="300" t="s">
        <v>277</v>
      </c>
      <c r="E254" s="2463" t="str">
        <f>Translations!$B$297</f>
        <v>Необходими допускания:</v>
      </c>
      <c r="F254" s="2240"/>
      <c r="G254" s="2240"/>
      <c r="H254" s="2240"/>
      <c r="I254" s="2240"/>
      <c r="J254" s="2240"/>
      <c r="K254" s="2240"/>
      <c r="L254" s="2240"/>
      <c r="M254" s="2240"/>
      <c r="N254" s="2240"/>
      <c r="O254" s="336"/>
      <c r="P254" s="302"/>
      <c r="Q254" s="770"/>
      <c r="R254" s="694"/>
      <c r="S254" s="694"/>
      <c r="T254" s="694"/>
      <c r="U254" s="694"/>
      <c r="V254" s="694"/>
      <c r="W254" s="694"/>
      <c r="X254" s="694"/>
      <c r="Y254" s="694"/>
      <c r="Z254" s="343"/>
      <c r="AA254" s="343"/>
      <c r="AB254" s="343"/>
      <c r="AC254" s="343"/>
      <c r="AD254" s="343"/>
      <c r="AE254" s="343"/>
      <c r="AF254" s="343"/>
      <c r="AG254" s="343"/>
      <c r="AH254" s="343"/>
      <c r="AI254" s="343"/>
      <c r="AJ254" s="343"/>
      <c r="AK254" s="343"/>
    </row>
    <row r="255" spans="1:37" ht="5.15" customHeight="1" x14ac:dyDescent="0.25">
      <c r="A255" s="694"/>
      <c r="B255" s="284"/>
      <c r="C255" s="284"/>
      <c r="D255" s="284"/>
      <c r="E255" s="284"/>
      <c r="F255" s="284"/>
      <c r="G255" s="284"/>
      <c r="H255" s="284"/>
      <c r="I255" s="284"/>
      <c r="J255" s="284"/>
      <c r="K255" s="284"/>
      <c r="L255" s="284"/>
      <c r="M255" s="336"/>
      <c r="N255" s="336"/>
      <c r="O255" s="336"/>
      <c r="P255" s="302"/>
      <c r="Q255" s="770"/>
      <c r="R255" s="694"/>
      <c r="S255" s="694"/>
      <c r="T255" s="694"/>
      <c r="U255" s="694"/>
      <c r="V255" s="694"/>
      <c r="W255" s="694"/>
      <c r="X255" s="694"/>
      <c r="Y255" s="694"/>
      <c r="Z255" s="343"/>
      <c r="AA255" s="343"/>
      <c r="AB255" s="343"/>
      <c r="AC255" s="343"/>
      <c r="AD255" s="343"/>
      <c r="AE255" s="343"/>
      <c r="AF255" s="343"/>
      <c r="AG255" s="343"/>
      <c r="AH255" s="343"/>
      <c r="AI255" s="343"/>
      <c r="AJ255" s="343"/>
      <c r="AK255" s="343"/>
    </row>
    <row r="256" spans="1:37" ht="12.65" customHeight="1" x14ac:dyDescent="0.25">
      <c r="A256" s="694"/>
      <c r="B256" s="698"/>
      <c r="C256" s="698"/>
      <c r="D256" s="698"/>
      <c r="E256" s="1034" t="str">
        <f>Translations!$B$298</f>
        <v>Референтна стойност на к.п.д. при производството на електроенергия:</v>
      </c>
      <c r="F256" s="1034"/>
      <c r="G256" s="1034"/>
      <c r="H256" s="1034"/>
      <c r="I256" s="1035"/>
      <c r="J256" s="1035" t="str">
        <f>Translations!$B$299</f>
        <v>при използване на природен газ:</v>
      </c>
      <c r="K256" s="2">
        <v>0.52500000000000002</v>
      </c>
      <c r="L256" s="1036"/>
      <c r="M256" s="1035" t="str">
        <f>Translations!$B$300</f>
        <v>при използване на отпаден газ:</v>
      </c>
      <c r="N256" s="2">
        <v>0.35</v>
      </c>
      <c r="O256" s="336"/>
      <c r="P256" s="158"/>
      <c r="Q256" s="694"/>
      <c r="R256" s="694"/>
      <c r="S256" s="694"/>
      <c r="T256" s="694"/>
      <c r="U256" s="694"/>
      <c r="V256" s="694"/>
      <c r="W256" s="694"/>
      <c r="X256" s="694"/>
      <c r="Y256" s="694"/>
      <c r="Z256" s="343"/>
      <c r="AA256" s="343"/>
      <c r="AB256" s="343"/>
      <c r="AC256" s="343"/>
      <c r="AD256" s="343"/>
      <c r="AE256" s="343"/>
      <c r="AF256" s="343"/>
      <c r="AG256" s="343"/>
      <c r="AH256" s="343"/>
      <c r="AI256" s="343"/>
      <c r="AJ256" s="343"/>
      <c r="AK256" s="343"/>
    </row>
    <row r="257" spans="1:37" ht="12.65" customHeight="1" x14ac:dyDescent="0.25">
      <c r="A257" s="694"/>
      <c r="B257" s="698"/>
      <c r="C257" s="698"/>
      <c r="D257" s="698"/>
      <c r="E257" s="2668" t="str">
        <f>Translations!$B$301</f>
        <v>Емисионен фактор за природния газ:</v>
      </c>
      <c r="F257" s="2669"/>
      <c r="G257" s="2670"/>
      <c r="H257" s="1037">
        <f>EUconst_NGEFvalue</f>
        <v>56.1</v>
      </c>
      <c r="I257" s="1036" t="str">
        <f>EUconst_tCO2pTJ</f>
        <v>t CO2 / TJ</v>
      </c>
      <c r="J257" s="698"/>
      <c r="K257" s="698"/>
      <c r="L257" s="698"/>
      <c r="M257" s="698"/>
      <c r="N257" s="698"/>
      <c r="O257" s="336"/>
      <c r="P257" s="302"/>
      <c r="Q257" s="694"/>
      <c r="R257" s="694"/>
      <c r="S257" s="694"/>
      <c r="T257" s="694"/>
      <c r="U257" s="694"/>
      <c r="V257" s="694"/>
      <c r="W257" s="694"/>
      <c r="X257" s="694"/>
      <c r="Y257" s="694"/>
      <c r="Z257" s="343"/>
      <c r="AA257" s="343"/>
      <c r="AB257" s="343"/>
      <c r="AC257" s="343"/>
      <c r="AD257" s="343"/>
      <c r="AE257" s="343"/>
      <c r="AF257" s="343"/>
      <c r="AG257" s="343"/>
      <c r="AH257" s="343"/>
      <c r="AI257" s="343"/>
      <c r="AJ257" s="343"/>
      <c r="AK257" s="343"/>
    </row>
    <row r="258" spans="1:37" ht="5.15" customHeight="1" x14ac:dyDescent="0.25">
      <c r="A258" s="694"/>
      <c r="B258" s="284"/>
      <c r="C258" s="284"/>
      <c r="D258" s="284"/>
      <c r="E258" s="284"/>
      <c r="F258" s="284"/>
      <c r="G258" s="284"/>
      <c r="H258" s="284"/>
      <c r="I258" s="284"/>
      <c r="J258" s="284"/>
      <c r="K258" s="284"/>
      <c r="L258" s="284"/>
      <c r="M258" s="336"/>
      <c r="N258" s="336"/>
      <c r="O258" s="336"/>
      <c r="P258" s="302"/>
      <c r="Q258" s="770"/>
      <c r="R258" s="694"/>
      <c r="S258" s="694"/>
      <c r="T258" s="694"/>
      <c r="U258" s="694"/>
      <c r="V258" s="694"/>
      <c r="W258" s="694"/>
      <c r="X258" s="694"/>
      <c r="Y258" s="694"/>
      <c r="Z258" s="343"/>
      <c r="AA258" s="343"/>
      <c r="AB258" s="343"/>
      <c r="AC258" s="343"/>
      <c r="AD258" s="343"/>
      <c r="AE258" s="343"/>
      <c r="AF258" s="343"/>
      <c r="AG258" s="343"/>
      <c r="AH258" s="343"/>
      <c r="AI258" s="343"/>
      <c r="AJ258" s="343"/>
      <c r="AK258" s="343"/>
    </row>
    <row r="259" spans="1:37" ht="13" customHeight="1" x14ac:dyDescent="0.25">
      <c r="A259" s="694"/>
      <c r="B259" s="284"/>
      <c r="C259" s="284"/>
      <c r="D259" s="300" t="s">
        <v>279</v>
      </c>
      <c r="E259" s="2463" t="str">
        <f>Translations!$B$302</f>
        <v>Емисии, които трябва да бъдат извадени, с цел отчитане на технически използваемото енергийно съдържание:</v>
      </c>
      <c r="F259" s="2240"/>
      <c r="G259" s="2240"/>
      <c r="H259" s="2240"/>
      <c r="I259" s="2240"/>
      <c r="J259" s="2240"/>
      <c r="K259" s="2240"/>
      <c r="L259" s="2240"/>
      <c r="M259" s="2240"/>
      <c r="N259" s="2240"/>
      <c r="O259" s="336"/>
      <c r="P259" s="302"/>
      <c r="Q259" s="770"/>
      <c r="R259" s="694"/>
      <c r="S259" s="694"/>
      <c r="T259" s="694"/>
      <c r="U259" s="694"/>
      <c r="V259" s="694"/>
      <c r="W259" s="694"/>
      <c r="X259" s="694"/>
      <c r="Y259" s="694"/>
      <c r="Z259" s="343"/>
      <c r="AA259" s="343"/>
      <c r="AB259" s="343"/>
      <c r="AC259" s="343"/>
      <c r="AD259" s="343"/>
      <c r="AE259" s="343"/>
      <c r="AF259" s="343"/>
      <c r="AG259" s="343"/>
      <c r="AH259" s="343"/>
      <c r="AI259" s="343"/>
      <c r="AJ259" s="343"/>
      <c r="AK259" s="343"/>
    </row>
    <row r="260" spans="1:37" ht="5.15" customHeight="1" x14ac:dyDescent="0.25">
      <c r="A260" s="694"/>
      <c r="B260" s="284"/>
      <c r="C260" s="284"/>
      <c r="D260" s="284"/>
      <c r="E260" s="284"/>
      <c r="F260" s="284"/>
      <c r="G260" s="284"/>
      <c r="H260" s="284"/>
      <c r="I260" s="284"/>
      <c r="J260" s="284"/>
      <c r="K260" s="284"/>
      <c r="L260" s="284"/>
      <c r="M260" s="336"/>
      <c r="N260" s="336"/>
      <c r="O260" s="336"/>
      <c r="P260" s="302"/>
      <c r="Q260" s="770"/>
      <c r="R260" s="694"/>
      <c r="S260" s="694"/>
      <c r="T260" s="694"/>
      <c r="U260" s="694"/>
      <c r="V260" s="694"/>
      <c r="W260" s="694"/>
      <c r="X260" s="694"/>
      <c r="Y260" s="694"/>
      <c r="Z260" s="343"/>
      <c r="AA260" s="343"/>
      <c r="AB260" s="343"/>
      <c r="AC260" s="343"/>
      <c r="AD260" s="343"/>
      <c r="AE260" s="343"/>
      <c r="AF260" s="343"/>
      <c r="AG260" s="343"/>
      <c r="AH260" s="343"/>
      <c r="AI260" s="343"/>
      <c r="AJ260" s="343"/>
      <c r="AK260" s="343"/>
    </row>
    <row r="261" spans="1:37" ht="13" customHeight="1" x14ac:dyDescent="0.25">
      <c r="A261" s="694"/>
      <c r="B261" s="698"/>
      <c r="C261" s="698"/>
      <c r="D261" s="300"/>
      <c r="E261" s="2671" t="str">
        <f>Translations!$B$304</f>
        <v>Приспадане за отпадни газове</v>
      </c>
      <c r="F261" s="2672"/>
      <c r="G261" s="390" t="str">
        <f>EUconst_Unit</f>
        <v>Единица мярка</v>
      </c>
      <c r="H261" s="391">
        <f t="shared" ref="H261:N261" si="61">H$278</f>
        <v>2024</v>
      </c>
      <c r="I261" s="391">
        <f t="shared" si="61"/>
        <v>2025</v>
      </c>
      <c r="J261" s="391">
        <f t="shared" si="61"/>
        <v>2026</v>
      </c>
      <c r="K261" s="391">
        <f t="shared" si="61"/>
        <v>2027</v>
      </c>
      <c r="L261" s="391">
        <f t="shared" si="61"/>
        <v>2028</v>
      </c>
      <c r="M261" s="391">
        <f t="shared" si="61"/>
        <v>2029</v>
      </c>
      <c r="N261" s="391">
        <f t="shared" si="61"/>
        <v>2030</v>
      </c>
      <c r="O261" s="336"/>
      <c r="P261" s="302"/>
      <c r="Q261" s="694"/>
      <c r="R261" s="694"/>
      <c r="S261" s="694"/>
      <c r="T261" s="694"/>
      <c r="U261" s="694"/>
      <c r="V261" s="694"/>
      <c r="W261" s="694"/>
      <c r="X261" s="694"/>
      <c r="Y261" s="694"/>
      <c r="Z261" s="343"/>
      <c r="AA261" s="343"/>
      <c r="AB261" s="343"/>
      <c r="AC261" s="343"/>
      <c r="AD261" s="343"/>
      <c r="AE261" s="343"/>
      <c r="AF261" s="343"/>
      <c r="AG261" s="343"/>
      <c r="AH261" s="343"/>
      <c r="AI261" s="343"/>
      <c r="AJ261" s="343"/>
      <c r="AK261" s="343"/>
    </row>
    <row r="262" spans="1:37" ht="12.65" customHeight="1" x14ac:dyDescent="0.25">
      <c r="A262" s="694"/>
      <c r="B262" s="698"/>
      <c r="C262" s="698"/>
      <c r="D262" s="698"/>
      <c r="E262" s="2667" t="str">
        <f>Translations!$B$289</f>
        <v>извън продуктовите показатели</v>
      </c>
      <c r="F262" s="2258"/>
      <c r="G262" s="1016" t="str">
        <f>EUconst_tCO2pa</f>
        <v>t CO2 / година</v>
      </c>
      <c r="H262" s="1024" t="str">
        <f>IF(AND(ISNUMBER(H248),ISNUMBER(H252)),IFERROR((H248*H252/1000)*$H257*$N256/$K256,0),"")</f>
        <v/>
      </c>
      <c r="I262" s="1024" t="str">
        <f t="shared" ref="I262:N262" si="62">IF(AND(ISNUMBER(I248),ISNUMBER(I252)),IFERROR((I248*I252/1000)*$H257*$N256/$K256,0),"")</f>
        <v/>
      </c>
      <c r="J262" s="1024" t="str">
        <f t="shared" si="62"/>
        <v/>
      </c>
      <c r="K262" s="1024" t="str">
        <f t="shared" si="62"/>
        <v/>
      </c>
      <c r="L262" s="1024" t="str">
        <f t="shared" si="62"/>
        <v/>
      </c>
      <c r="M262" s="1024" t="str">
        <f t="shared" si="62"/>
        <v/>
      </c>
      <c r="N262" s="1024" t="str">
        <f t="shared" si="62"/>
        <v/>
      </c>
      <c r="O262" s="336"/>
      <c r="P262" s="302"/>
      <c r="Q262" s="694"/>
      <c r="R262" s="694"/>
      <c r="S262" s="694"/>
      <c r="T262" s="694"/>
      <c r="U262" s="694"/>
      <c r="V262" s="694"/>
      <c r="W262" s="694"/>
      <c r="X262" s="694"/>
      <c r="Y262" s="694"/>
      <c r="Z262" s="343"/>
      <c r="AA262" s="343"/>
      <c r="AB262" s="343"/>
      <c r="AC262" s="343"/>
      <c r="AD262" s="343"/>
      <c r="AE262" s="343"/>
      <c r="AF262" s="343"/>
      <c r="AG262" s="343"/>
      <c r="AH262" s="343"/>
      <c r="AI262" s="343"/>
      <c r="AJ262" s="343"/>
      <c r="AK262" s="343"/>
    </row>
    <row r="263" spans="1:37" ht="5.15" customHeight="1" x14ac:dyDescent="0.25">
      <c r="A263" s="694"/>
      <c r="B263" s="284"/>
      <c r="C263" s="284"/>
      <c r="D263" s="284"/>
      <c r="E263" s="284"/>
      <c r="F263" s="284"/>
      <c r="G263" s="284"/>
      <c r="H263" s="725"/>
      <c r="I263" s="725"/>
      <c r="J263" s="284"/>
      <c r="K263" s="284"/>
      <c r="L263" s="284"/>
      <c r="M263" s="284"/>
      <c r="N263" s="336"/>
      <c r="O263" s="336"/>
      <c r="P263" s="302"/>
      <c r="Q263" s="770"/>
      <c r="R263" s="694"/>
      <c r="S263" s="694"/>
      <c r="T263" s="694"/>
      <c r="U263" s="694"/>
      <c r="V263" s="694"/>
      <c r="W263" s="694"/>
      <c r="X263" s="694"/>
      <c r="Y263" s="694"/>
      <c r="Z263" s="343"/>
      <c r="AA263" s="343"/>
      <c r="AB263" s="343"/>
      <c r="AC263" s="343"/>
      <c r="AD263" s="343"/>
      <c r="AE263" s="343"/>
      <c r="AF263" s="343"/>
      <c r="AG263" s="343"/>
      <c r="AH263" s="343"/>
      <c r="AI263" s="343"/>
      <c r="AJ263" s="343"/>
      <c r="AK263" s="343"/>
    </row>
    <row r="264" spans="1:37" ht="13" customHeight="1" x14ac:dyDescent="0.25">
      <c r="A264" s="694"/>
      <c r="B264" s="284"/>
      <c r="C264" s="284"/>
      <c r="D264" s="300" t="s">
        <v>489</v>
      </c>
      <c r="E264" s="2463" t="str">
        <f>Translations!$B$305</f>
        <v>Технологични емисии, изчислени с отчитане на корекцията за отпадните газове (=d-i)</v>
      </c>
      <c r="F264" s="2240"/>
      <c r="G264" s="2240"/>
      <c r="H264" s="2240"/>
      <c r="I264" s="2240"/>
      <c r="J264" s="2240"/>
      <c r="K264" s="2240"/>
      <c r="L264" s="2240"/>
      <c r="M264" s="2240"/>
      <c r="N264" s="2240"/>
      <c r="O264" s="336"/>
      <c r="P264" s="302"/>
      <c r="Q264" s="770"/>
      <c r="R264" s="694"/>
      <c r="S264" s="694"/>
      <c r="T264" s="694"/>
      <c r="U264" s="694"/>
      <c r="V264" s="694"/>
      <c r="W264" s="694"/>
      <c r="X264" s="694"/>
      <c r="Y264" s="694"/>
      <c r="Z264" s="343"/>
      <c r="AA264" s="343"/>
      <c r="AB264" s="343"/>
      <c r="AC264" s="343"/>
      <c r="AD264" s="343"/>
      <c r="AE264" s="343"/>
      <c r="AF264" s="343"/>
      <c r="AG264" s="343"/>
      <c r="AH264" s="343"/>
      <c r="AI264" s="343"/>
      <c r="AJ264" s="343"/>
      <c r="AK264" s="343"/>
    </row>
    <row r="265" spans="1:37" ht="5.15" customHeight="1" x14ac:dyDescent="0.25">
      <c r="A265" s="694"/>
      <c r="B265" s="284"/>
      <c r="C265" s="284"/>
      <c r="D265" s="284"/>
      <c r="E265" s="284"/>
      <c r="F265" s="284"/>
      <c r="G265" s="284"/>
      <c r="H265" s="725"/>
      <c r="I265" s="725"/>
      <c r="J265" s="284"/>
      <c r="K265" s="284"/>
      <c r="L265" s="284"/>
      <c r="M265" s="284"/>
      <c r="N265" s="336"/>
      <c r="O265" s="336"/>
      <c r="P265" s="302"/>
      <c r="Q265" s="770"/>
      <c r="R265" s="694"/>
      <c r="S265" s="694"/>
      <c r="T265" s="694"/>
      <c r="U265" s="694"/>
      <c r="V265" s="694"/>
      <c r="W265" s="694"/>
      <c r="X265" s="694"/>
      <c r="Y265" s="694"/>
      <c r="Z265" s="343"/>
      <c r="AA265" s="343"/>
      <c r="AB265" s="343"/>
      <c r="AC265" s="343"/>
      <c r="AD265" s="343"/>
      <c r="AE265" s="343"/>
      <c r="AF265" s="343"/>
      <c r="AG265" s="343"/>
      <c r="AH265" s="343"/>
      <c r="AI265" s="343"/>
      <c r="AJ265" s="343"/>
      <c r="AK265" s="343"/>
    </row>
    <row r="266" spans="1:37" ht="13" x14ac:dyDescent="0.25">
      <c r="A266" s="694"/>
      <c r="B266" s="698"/>
      <c r="C266" s="698"/>
      <c r="D266" s="300"/>
      <c r="E266" s="742"/>
      <c r="F266" s="742"/>
      <c r="G266" s="390" t="str">
        <f>EUconst_Unit</f>
        <v>Единица мярка</v>
      </c>
      <c r="H266" s="391">
        <f t="shared" ref="H266:N266" si="63">H$278</f>
        <v>2024</v>
      </c>
      <c r="I266" s="391">
        <f t="shared" si="63"/>
        <v>2025</v>
      </c>
      <c r="J266" s="391">
        <f t="shared" si="63"/>
        <v>2026</v>
      </c>
      <c r="K266" s="391">
        <f t="shared" si="63"/>
        <v>2027</v>
      </c>
      <c r="L266" s="391">
        <f t="shared" si="63"/>
        <v>2028</v>
      </c>
      <c r="M266" s="391">
        <f t="shared" si="63"/>
        <v>2029</v>
      </c>
      <c r="N266" s="391">
        <f t="shared" si="63"/>
        <v>2030</v>
      </c>
      <c r="O266" s="336"/>
      <c r="P266" s="302"/>
      <c r="Q266" s="694"/>
      <c r="R266" s="694"/>
      <c r="S266" s="694"/>
      <c r="T266" s="694"/>
      <c r="U266" s="694"/>
      <c r="V266" s="694"/>
      <c r="W266" s="694"/>
      <c r="X266" s="694"/>
      <c r="Y266" s="694"/>
      <c r="Z266" s="343"/>
      <c r="AA266" s="343"/>
      <c r="AB266" s="343"/>
      <c r="AC266" s="343"/>
      <c r="AD266" s="343"/>
      <c r="AE266" s="343"/>
      <c r="AF266" s="343"/>
      <c r="AG266" s="343"/>
      <c r="AH266" s="343"/>
      <c r="AI266" s="343"/>
      <c r="AJ266" s="343"/>
      <c r="AK266" s="343"/>
    </row>
    <row r="267" spans="1:37" ht="12.65" customHeight="1" x14ac:dyDescent="0.25">
      <c r="A267" s="694"/>
      <c r="B267" s="698"/>
      <c r="C267" s="698"/>
      <c r="D267" s="698"/>
      <c r="E267" s="2667" t="str">
        <f>Translations!$B$308</f>
        <v>Резултат от инструмента за отпадни газове:</v>
      </c>
      <c r="F267" s="2258"/>
      <c r="G267" s="1038" t="str">
        <f>EUconst_tCO2pa</f>
        <v>t CO2 / година</v>
      </c>
      <c r="H267" s="1024" t="str">
        <f t="shared" ref="H267:N267" si="64">IF(ISNUMBER(H262),IF((IF(ISNUMBER(H238),H238,0)-SUM(H262))&lt;0,0,IF(ISNUMBER(H238),H238,0)-SUM(H262)),"")</f>
        <v/>
      </c>
      <c r="I267" s="1024" t="str">
        <f t="shared" si="64"/>
        <v/>
      </c>
      <c r="J267" s="1024" t="str">
        <f t="shared" si="64"/>
        <v/>
      </c>
      <c r="K267" s="1024" t="str">
        <f t="shared" si="64"/>
        <v/>
      </c>
      <c r="L267" s="1024" t="str">
        <f t="shared" si="64"/>
        <v/>
      </c>
      <c r="M267" s="1024" t="str">
        <f t="shared" si="64"/>
        <v/>
      </c>
      <c r="N267" s="1024" t="str">
        <f t="shared" si="64"/>
        <v/>
      </c>
      <c r="O267" s="336"/>
      <c r="P267" s="302"/>
      <c r="Q267" s="694"/>
      <c r="R267" s="694"/>
      <c r="S267" s="694"/>
      <c r="T267" s="694"/>
      <c r="U267" s="694"/>
      <c r="V267" s="694"/>
      <c r="W267" s="694"/>
      <c r="X267" s="694"/>
      <c r="Y267" s="694"/>
      <c r="Z267" s="343"/>
      <c r="AA267" s="343"/>
      <c r="AB267" s="343"/>
      <c r="AC267" s="343"/>
      <c r="AD267" s="343"/>
      <c r="AE267" s="343"/>
      <c r="AF267" s="343"/>
      <c r="AG267" s="343"/>
      <c r="AH267" s="343"/>
      <c r="AI267" s="343"/>
      <c r="AJ267" s="343"/>
      <c r="AK267" s="343"/>
    </row>
    <row r="268" spans="1:37" x14ac:dyDescent="0.25">
      <c r="A268" s="694"/>
      <c r="B268" s="698"/>
      <c r="C268" s="698"/>
      <c r="D268" s="698"/>
      <c r="E268" s="698"/>
      <c r="F268" s="698"/>
      <c r="G268" s="698"/>
      <c r="H268" s="698"/>
      <c r="I268" s="698"/>
      <c r="J268" s="698"/>
      <c r="K268" s="698"/>
      <c r="L268" s="698"/>
      <c r="M268" s="698"/>
      <c r="N268" s="698"/>
      <c r="O268" s="336"/>
      <c r="P268" s="302"/>
      <c r="Q268" s="694"/>
      <c r="R268" s="694"/>
      <c r="S268" s="694"/>
      <c r="T268" s="694"/>
      <c r="U268" s="694"/>
      <c r="V268" s="694"/>
      <c r="W268" s="694"/>
      <c r="X268" s="694"/>
      <c r="Y268" s="694"/>
      <c r="Z268" s="343"/>
      <c r="AA268" s="343"/>
      <c r="AB268" s="343"/>
      <c r="AC268" s="343"/>
      <c r="AD268" s="343"/>
      <c r="AE268" s="343"/>
      <c r="AF268" s="343"/>
      <c r="AG268" s="343"/>
      <c r="AH268" s="343"/>
      <c r="AI268" s="343"/>
      <c r="AJ268" s="343"/>
      <c r="AK268" s="343"/>
    </row>
    <row r="269" spans="1:37" ht="13" x14ac:dyDescent="0.25">
      <c r="A269" s="694"/>
      <c r="B269" s="698"/>
      <c r="C269" s="698"/>
      <c r="D269" s="2710" t="str">
        <f>Translations!$B$64</f>
        <v xml:space="preserve">&lt;&lt;&lt; Щракнете тук за да продължите към следващия лист &gt;&gt;&gt; </v>
      </c>
      <c r="E269" s="2710"/>
      <c r="F269" s="2710"/>
      <c r="G269" s="2710"/>
      <c r="H269" s="2710"/>
      <c r="I269" s="2710"/>
      <c r="J269" s="2710"/>
      <c r="K269" s="2710"/>
      <c r="L269" s="2710"/>
      <c r="M269" s="2710"/>
      <c r="N269" s="2710"/>
      <c r="O269" s="336"/>
      <c r="P269" s="302"/>
      <c r="Q269" s="694"/>
      <c r="R269" s="694"/>
      <c r="S269" s="694"/>
      <c r="T269" s="694"/>
      <c r="U269" s="694"/>
      <c r="V269" s="694"/>
      <c r="W269" s="694"/>
      <c r="X269" s="694"/>
      <c r="Y269" s="694"/>
      <c r="Z269" s="343"/>
      <c r="AA269" s="343"/>
      <c r="AB269" s="343"/>
      <c r="AC269" s="343"/>
      <c r="AD269" s="343"/>
      <c r="AE269" s="343"/>
      <c r="AF269" s="343"/>
      <c r="AG269" s="343"/>
      <c r="AH269" s="343"/>
      <c r="AI269" s="343"/>
      <c r="AJ269" s="343"/>
      <c r="AK269" s="343"/>
    </row>
    <row r="270" spans="1:37" x14ac:dyDescent="0.25">
      <c r="A270" s="694"/>
      <c r="B270" s="698"/>
      <c r="C270" s="698"/>
      <c r="D270" s="698"/>
      <c r="E270" s="698"/>
      <c r="F270" s="698"/>
      <c r="G270" s="698"/>
      <c r="H270" s="698"/>
      <c r="I270" s="698"/>
      <c r="J270" s="698"/>
      <c r="K270" s="698"/>
      <c r="L270" s="698"/>
      <c r="M270" s="698"/>
      <c r="N270" s="698"/>
      <c r="O270" s="336"/>
      <c r="P270" s="302"/>
      <c r="Q270" s="694"/>
      <c r="R270" s="694"/>
      <c r="S270" s="694"/>
      <c r="T270" s="694"/>
      <c r="U270" s="694"/>
      <c r="V270" s="694"/>
      <c r="W270" s="694"/>
      <c r="X270" s="694"/>
      <c r="Y270" s="694"/>
      <c r="Z270" s="343"/>
      <c r="AA270" s="343"/>
      <c r="AB270" s="343"/>
      <c r="AC270" s="343"/>
      <c r="AD270" s="343"/>
      <c r="AE270" s="343"/>
      <c r="AF270" s="343"/>
      <c r="AG270" s="343"/>
      <c r="AH270" s="343"/>
      <c r="AI270" s="343"/>
      <c r="AJ270" s="343"/>
      <c r="AK270" s="343"/>
    </row>
    <row r="271" spans="1:37" hidden="1" x14ac:dyDescent="0.25">
      <c r="A271" s="694" t="s">
        <v>312</v>
      </c>
      <c r="B271" s="694" t="s">
        <v>898</v>
      </c>
      <c r="C271" s="694" t="s">
        <v>898</v>
      </c>
      <c r="D271" s="694" t="s">
        <v>898</v>
      </c>
      <c r="E271" s="694" t="s">
        <v>898</v>
      </c>
      <c r="F271" s="694" t="s">
        <v>898</v>
      </c>
      <c r="G271" s="694" t="s">
        <v>898</v>
      </c>
      <c r="H271" s="694" t="s">
        <v>898</v>
      </c>
      <c r="I271" s="694" t="s">
        <v>898</v>
      </c>
      <c r="J271" s="694" t="s">
        <v>898</v>
      </c>
      <c r="K271" s="694" t="s">
        <v>898</v>
      </c>
      <c r="L271" s="694" t="s">
        <v>898</v>
      </c>
      <c r="M271" s="694" t="s">
        <v>898</v>
      </c>
      <c r="N271" s="694" t="s">
        <v>898</v>
      </c>
      <c r="O271" s="694" t="s">
        <v>898</v>
      </c>
      <c r="P271" s="694" t="s">
        <v>898</v>
      </c>
      <c r="Q271" s="694" t="s">
        <v>898</v>
      </c>
      <c r="R271" s="694" t="s">
        <v>898</v>
      </c>
      <c r="S271" s="694" t="s">
        <v>898</v>
      </c>
      <c r="T271" s="694" t="s">
        <v>898</v>
      </c>
      <c r="U271" s="694" t="s">
        <v>898</v>
      </c>
      <c r="V271" s="694" t="s">
        <v>898</v>
      </c>
      <c r="W271" s="694" t="s">
        <v>898</v>
      </c>
      <c r="X271" s="694" t="s">
        <v>898</v>
      </c>
      <c r="Y271" s="694" t="s">
        <v>898</v>
      </c>
      <c r="Z271" s="343"/>
      <c r="AA271" s="343"/>
      <c r="AB271" s="343"/>
      <c r="AC271" s="343"/>
      <c r="AD271" s="343"/>
      <c r="AE271" s="343"/>
      <c r="AF271" s="343"/>
      <c r="AG271" s="343"/>
      <c r="AH271" s="343"/>
      <c r="AI271" s="343"/>
      <c r="AJ271" s="343"/>
      <c r="AK271" s="343"/>
    </row>
    <row r="272" spans="1:37" hidden="1" x14ac:dyDescent="0.25">
      <c r="A272" s="694" t="s">
        <v>312</v>
      </c>
      <c r="B272" s="725"/>
      <c r="C272" s="725"/>
      <c r="D272" s="725"/>
      <c r="E272" s="725"/>
      <c r="F272" s="725"/>
      <c r="G272" s="725"/>
      <c r="H272" s="725"/>
      <c r="I272" s="725"/>
      <c r="J272" s="725"/>
      <c r="K272" s="725"/>
      <c r="L272" s="725"/>
      <c r="M272" s="725"/>
      <c r="N272" s="725"/>
      <c r="O272" s="725"/>
      <c r="P272" s="302"/>
      <c r="Q272" s="694"/>
      <c r="R272" s="694"/>
      <c r="S272" s="694"/>
      <c r="T272" s="694"/>
      <c r="U272" s="694"/>
      <c r="V272" s="694"/>
      <c r="W272" s="694"/>
      <c r="X272" s="694"/>
      <c r="Y272" s="694"/>
      <c r="Z272" s="343"/>
      <c r="AA272" s="343"/>
      <c r="AB272" s="343"/>
      <c r="AC272" s="343"/>
      <c r="AD272" s="343"/>
      <c r="AE272" s="343"/>
      <c r="AF272" s="343"/>
      <c r="AG272" s="343"/>
      <c r="AH272" s="343"/>
      <c r="AI272" s="343"/>
      <c r="AJ272" s="343"/>
      <c r="AK272" s="343"/>
    </row>
    <row r="273" spans="1:37" ht="13" hidden="1" x14ac:dyDescent="0.25">
      <c r="A273" s="694" t="s">
        <v>312</v>
      </c>
      <c r="B273" s="694"/>
      <c r="C273" s="694"/>
      <c r="D273" s="1031" t="s">
        <v>899</v>
      </c>
      <c r="E273" s="694"/>
      <c r="F273" s="694"/>
      <c r="G273" s="694"/>
      <c r="H273" s="694"/>
      <c r="I273" s="694"/>
      <c r="J273" s="694"/>
      <c r="K273" s="694"/>
      <c r="L273" s="694"/>
      <c r="M273" s="694"/>
      <c r="N273" s="694"/>
      <c r="O273" s="694"/>
      <c r="P273" s="302"/>
      <c r="Q273" s="694"/>
      <c r="R273" s="694"/>
      <c r="S273" s="694"/>
      <c r="T273" s="694"/>
      <c r="U273" s="694"/>
      <c r="V273" s="694"/>
      <c r="W273" s="694"/>
      <c r="X273" s="694"/>
      <c r="Y273" s="694"/>
      <c r="Z273" s="343"/>
      <c r="AA273" s="343"/>
      <c r="AB273" s="343"/>
      <c r="AC273" s="343"/>
      <c r="AD273" s="343"/>
      <c r="AE273" s="343"/>
      <c r="AF273" s="343"/>
      <c r="AG273" s="343"/>
      <c r="AH273" s="343"/>
      <c r="AI273" s="343"/>
      <c r="AJ273" s="343"/>
      <c r="AK273" s="343"/>
    </row>
    <row r="274" spans="1:37" ht="13" hidden="1" thickBot="1" x14ac:dyDescent="0.3">
      <c r="A274" s="694" t="s">
        <v>312</v>
      </c>
      <c r="B274" s="725"/>
      <c r="C274" s="725"/>
      <c r="D274" s="725"/>
      <c r="E274" s="725"/>
      <c r="F274" s="725"/>
      <c r="G274" s="725"/>
      <c r="H274" s="725"/>
      <c r="I274" s="725"/>
      <c r="J274" s="725"/>
      <c r="K274" s="725"/>
      <c r="L274" s="725"/>
      <c r="M274" s="725"/>
      <c r="N274" s="725"/>
      <c r="O274" s="725"/>
      <c r="P274" s="302"/>
      <c r="Q274" s="694"/>
      <c r="R274" s="694"/>
      <c r="S274" s="694"/>
      <c r="T274" s="694"/>
      <c r="U274" s="694"/>
      <c r="V274" s="694"/>
      <c r="W274" s="694"/>
      <c r="X274" s="694"/>
      <c r="Y274" s="694"/>
      <c r="Z274" s="343"/>
      <c r="AA274" s="343"/>
      <c r="AB274" s="343"/>
      <c r="AC274" s="343"/>
      <c r="AD274" s="343"/>
      <c r="AE274" s="343"/>
      <c r="AF274" s="343"/>
      <c r="AG274" s="343"/>
      <c r="AH274" s="343"/>
      <c r="AI274" s="343"/>
      <c r="AJ274" s="343"/>
      <c r="AK274" s="343"/>
    </row>
    <row r="275" spans="1:37" ht="13" hidden="1" x14ac:dyDescent="0.25">
      <c r="A275" s="694" t="s">
        <v>312</v>
      </c>
      <c r="B275" s="725"/>
      <c r="C275" s="725"/>
      <c r="D275" s="725"/>
      <c r="E275" s="784" t="s">
        <v>559</v>
      </c>
      <c r="F275" s="785"/>
      <c r="G275" s="785"/>
      <c r="H275" s="785"/>
      <c r="I275" s="785"/>
      <c r="J275" s="785"/>
      <c r="K275" s="785"/>
      <c r="L275" s="785"/>
      <c r="M275" s="785"/>
      <c r="N275" s="786"/>
      <c r="O275" s="725"/>
      <c r="P275" s="302"/>
      <c r="Q275" s="694"/>
      <c r="R275" s="694"/>
      <c r="S275" s="694"/>
      <c r="T275" s="694"/>
      <c r="U275" s="694"/>
      <c r="V275" s="694"/>
      <c r="W275" s="694"/>
      <c r="X275" s="694"/>
      <c r="Y275" s="694"/>
      <c r="Z275" s="343"/>
      <c r="AA275" s="343"/>
      <c r="AB275" s="343"/>
      <c r="AC275" s="343"/>
      <c r="AD275" s="343"/>
      <c r="AE275" s="343"/>
      <c r="AF275" s="343"/>
      <c r="AG275" s="343"/>
      <c r="AH275" s="343"/>
      <c r="AI275" s="343"/>
      <c r="AJ275" s="343"/>
      <c r="AK275" s="343"/>
    </row>
    <row r="276" spans="1:37" hidden="1" x14ac:dyDescent="0.25">
      <c r="A276" s="694" t="s">
        <v>312</v>
      </c>
      <c r="B276" s="725"/>
      <c r="C276" s="725"/>
      <c r="D276" s="725"/>
      <c r="E276" s="787" t="s">
        <v>902</v>
      </c>
      <c r="F276" s="788"/>
      <c r="G276" s="788"/>
      <c r="H276" s="789">
        <f>A_InstallationData!H410</f>
        <v>0</v>
      </c>
      <c r="I276" s="789">
        <f>A_InstallationData!I410</f>
        <v>0</v>
      </c>
      <c r="J276" s="789">
        <f>A_InstallationData!J410</f>
        <v>1</v>
      </c>
      <c r="K276" s="789">
        <f>A_InstallationData!K410</f>
        <v>2</v>
      </c>
      <c r="L276" s="789">
        <f>A_InstallationData!L410</f>
        <v>3</v>
      </c>
      <c r="M276" s="789">
        <f>A_InstallationData!M410</f>
        <v>4</v>
      </c>
      <c r="N276" s="790">
        <f>A_InstallationData!N410</f>
        <v>5</v>
      </c>
      <c r="O276" s="725"/>
      <c r="P276" s="302"/>
      <c r="Q276" s="694"/>
      <c r="R276" s="694"/>
      <c r="S276" s="694"/>
      <c r="T276" s="694"/>
      <c r="U276" s="694"/>
      <c r="V276" s="694"/>
      <c r="W276" s="694"/>
      <c r="X276" s="694"/>
      <c r="Y276" s="694"/>
      <c r="Z276" s="343"/>
      <c r="AA276" s="343"/>
      <c r="AB276" s="343"/>
      <c r="AC276" s="343"/>
      <c r="AD276" s="343"/>
      <c r="AE276" s="343"/>
      <c r="AF276" s="343"/>
      <c r="AG276" s="343"/>
      <c r="AH276" s="343"/>
      <c r="AI276" s="343"/>
      <c r="AJ276" s="343"/>
      <c r="AK276" s="343"/>
    </row>
    <row r="277" spans="1:37" hidden="1" x14ac:dyDescent="0.25">
      <c r="A277" s="694" t="s">
        <v>312</v>
      </c>
      <c r="B277" s="725"/>
      <c r="C277" s="725"/>
      <c r="D277" s="725"/>
      <c r="E277" s="791" t="s">
        <v>1163</v>
      </c>
      <c r="F277" s="788"/>
      <c r="G277" s="788"/>
      <c r="H277" s="789">
        <f>A_InstallationData!H411</f>
        <v>2019</v>
      </c>
      <c r="I277" s="789">
        <f>A_InstallationData!I411</f>
        <v>2020</v>
      </c>
      <c r="J277" s="789">
        <f>A_InstallationData!J411</f>
        <v>2021</v>
      </c>
      <c r="K277" s="789">
        <f>A_InstallationData!K411</f>
        <v>2022</v>
      </c>
      <c r="L277" s="789">
        <f>A_InstallationData!L411</f>
        <v>2023</v>
      </c>
      <c r="M277" s="789">
        <f>A_InstallationData!M411</f>
        <v>2024</v>
      </c>
      <c r="N277" s="790">
        <f>A_InstallationData!N411</f>
        <v>2025</v>
      </c>
      <c r="O277" s="725"/>
      <c r="P277" s="302"/>
      <c r="Q277" s="694"/>
      <c r="R277" s="694"/>
      <c r="S277" s="694"/>
      <c r="T277" s="694"/>
      <c r="U277" s="694"/>
      <c r="V277" s="694"/>
      <c r="W277" s="694"/>
      <c r="X277" s="694"/>
      <c r="Y277" s="694"/>
      <c r="Z277" s="343"/>
      <c r="AA277" s="343"/>
      <c r="AB277" s="343"/>
      <c r="AC277" s="343"/>
      <c r="AD277" s="343"/>
      <c r="AE277" s="343"/>
      <c r="AF277" s="343"/>
      <c r="AG277" s="343"/>
      <c r="AH277" s="343"/>
      <c r="AI277" s="343"/>
      <c r="AJ277" s="343"/>
      <c r="AK277" s="343"/>
    </row>
    <row r="278" spans="1:37" hidden="1" x14ac:dyDescent="0.25">
      <c r="A278" s="694" t="s">
        <v>312</v>
      </c>
      <c r="B278" s="725"/>
      <c r="C278" s="725"/>
      <c r="D278" s="725"/>
      <c r="E278" s="791" t="s">
        <v>1162</v>
      </c>
      <c r="F278" s="792"/>
      <c r="G278" s="792"/>
      <c r="H278" s="793">
        <f>A_InstallationData!H412</f>
        <v>2024</v>
      </c>
      <c r="I278" s="793">
        <f>A_InstallationData!I412</f>
        <v>2025</v>
      </c>
      <c r="J278" s="793">
        <f>A_InstallationData!J412</f>
        <v>2026</v>
      </c>
      <c r="K278" s="793">
        <f>A_InstallationData!K412</f>
        <v>2027</v>
      </c>
      <c r="L278" s="793">
        <f>A_InstallationData!L412</f>
        <v>2028</v>
      </c>
      <c r="M278" s="793">
        <f>A_InstallationData!M412</f>
        <v>2029</v>
      </c>
      <c r="N278" s="794">
        <f>A_InstallationData!N412</f>
        <v>2030</v>
      </c>
      <c r="O278" s="698"/>
      <c r="P278" s="302"/>
      <c r="Q278" s="694"/>
      <c r="R278" s="694"/>
      <c r="S278" s="694"/>
      <c r="T278" s="694"/>
      <c r="U278" s="694"/>
      <c r="V278" s="694"/>
      <c r="W278" s="694"/>
      <c r="X278" s="694"/>
      <c r="Y278" s="694"/>
      <c r="Z278" s="343"/>
      <c r="AA278" s="343"/>
      <c r="AB278" s="343"/>
      <c r="AC278" s="343"/>
      <c r="AD278" s="343"/>
      <c r="AE278" s="343"/>
      <c r="AF278" s="343"/>
      <c r="AG278" s="343"/>
      <c r="AH278" s="343"/>
      <c r="AI278" s="343"/>
      <c r="AJ278" s="343"/>
      <c r="AK278" s="343"/>
    </row>
    <row r="279" spans="1:37" hidden="1" x14ac:dyDescent="0.25">
      <c r="A279" s="694" t="s">
        <v>312</v>
      </c>
      <c r="B279" s="725"/>
      <c r="C279" s="725"/>
      <c r="D279" s="725"/>
      <c r="E279" s="791" t="s">
        <v>558</v>
      </c>
      <c r="F279" s="792"/>
      <c r="G279" s="792"/>
      <c r="H279" s="793">
        <f>A_InstallationData!H413</f>
        <v>0</v>
      </c>
      <c r="I279" s="793">
        <f>A_InstallationData!I413</f>
        <v>0</v>
      </c>
      <c r="J279" s="793">
        <f>A_InstallationData!J413</f>
        <v>2</v>
      </c>
      <c r="K279" s="793">
        <f>A_InstallationData!K413</f>
        <v>2</v>
      </c>
      <c r="L279" s="793">
        <f>A_InstallationData!L413</f>
        <v>2</v>
      </c>
      <c r="M279" s="793">
        <f>A_InstallationData!M413</f>
        <v>2</v>
      </c>
      <c r="N279" s="794">
        <f>A_InstallationData!N413</f>
        <v>2</v>
      </c>
      <c r="O279" s="725"/>
      <c r="P279" s="302"/>
      <c r="Q279" s="694"/>
      <c r="R279" s="694"/>
      <c r="S279" s="694"/>
      <c r="T279" s="694"/>
      <c r="U279" s="694"/>
      <c r="V279" s="694"/>
      <c r="W279" s="694"/>
      <c r="X279" s="694"/>
      <c r="Y279" s="694"/>
      <c r="Z279" s="343"/>
      <c r="AA279" s="343"/>
      <c r="AB279" s="343"/>
      <c r="AC279" s="343"/>
      <c r="AD279" s="343"/>
      <c r="AE279" s="343"/>
      <c r="AF279" s="343"/>
      <c r="AG279" s="343"/>
      <c r="AH279" s="343"/>
      <c r="AI279" s="343"/>
      <c r="AJ279" s="343"/>
      <c r="AK279" s="343"/>
    </row>
    <row r="280" spans="1:37" hidden="1" x14ac:dyDescent="0.25">
      <c r="A280" s="694" t="s">
        <v>312</v>
      </c>
      <c r="B280" s="725"/>
      <c r="C280" s="725"/>
      <c r="D280" s="725"/>
      <c r="E280" s="791" t="s">
        <v>556</v>
      </c>
      <c r="F280" s="792"/>
      <c r="G280" s="792"/>
      <c r="H280" s="792" t="b">
        <f>A_InstallationData!H414</f>
        <v>1</v>
      </c>
      <c r="I280" s="792" t="b">
        <f>A_InstallationData!I414</f>
        <v>1</v>
      </c>
      <c r="J280" s="792" t="b">
        <f>A_InstallationData!J414</f>
        <v>1</v>
      </c>
      <c r="K280" s="792" t="b">
        <f>A_InstallationData!K414</f>
        <v>1</v>
      </c>
      <c r="L280" s="792" t="b">
        <f>A_InstallationData!L414</f>
        <v>1</v>
      </c>
      <c r="M280" s="792" t="b">
        <f>A_InstallationData!M414</f>
        <v>1</v>
      </c>
      <c r="N280" s="1042" t="b">
        <f>A_InstallationData!N414</f>
        <v>1</v>
      </c>
      <c r="O280" s="725"/>
      <c r="P280" s="302"/>
      <c r="Q280" s="694"/>
      <c r="R280" s="694"/>
      <c r="S280" s="694"/>
      <c r="T280" s="694"/>
      <c r="U280" s="694"/>
      <c r="V280" s="694"/>
      <c r="W280" s="694"/>
      <c r="X280" s="694"/>
      <c r="Y280" s="694"/>
      <c r="Z280" s="343"/>
      <c r="AA280" s="343"/>
      <c r="AB280" s="343"/>
      <c r="AC280" s="343"/>
      <c r="AD280" s="343"/>
      <c r="AE280" s="343"/>
      <c r="AF280" s="343"/>
      <c r="AG280" s="343"/>
      <c r="AH280" s="343"/>
      <c r="AI280" s="343"/>
      <c r="AJ280" s="343"/>
      <c r="AK280" s="343"/>
    </row>
    <row r="281" spans="1:37" ht="13" hidden="1" thickBot="1" x14ac:dyDescent="0.3">
      <c r="A281" s="694" t="s">
        <v>312</v>
      </c>
      <c r="B281" s="725"/>
      <c r="C281" s="725"/>
      <c r="D281" s="725"/>
      <c r="E281" s="797" t="s">
        <v>557</v>
      </c>
      <c r="F281" s="798"/>
      <c r="G281" s="798"/>
      <c r="H281" s="798" t="b">
        <f>A_InstallationData!H415</f>
        <v>1</v>
      </c>
      <c r="I281" s="798" t="b">
        <f>A_InstallationData!I415</f>
        <v>1</v>
      </c>
      <c r="J281" s="798" t="b">
        <f>A_InstallationData!J415</f>
        <v>1</v>
      </c>
      <c r="K281" s="798" t="b">
        <f>A_InstallationData!K415</f>
        <v>1</v>
      </c>
      <c r="L281" s="798" t="b">
        <f>A_InstallationData!L415</f>
        <v>1</v>
      </c>
      <c r="M281" s="798" t="b">
        <f>A_InstallationData!M415</f>
        <v>1</v>
      </c>
      <c r="N281" s="1043" t="b">
        <f>A_InstallationData!N415</f>
        <v>1</v>
      </c>
      <c r="O281" s="725"/>
      <c r="P281" s="302"/>
      <c r="Q281" s="694"/>
      <c r="R281" s="694"/>
      <c r="S281" s="694"/>
      <c r="T281" s="694"/>
      <c r="U281" s="694"/>
      <c r="V281" s="694"/>
      <c r="W281" s="694"/>
      <c r="X281" s="694"/>
      <c r="Y281" s="694"/>
      <c r="Z281" s="343"/>
      <c r="AA281" s="343"/>
      <c r="AB281" s="343"/>
      <c r="AC281" s="343"/>
      <c r="AD281" s="343"/>
      <c r="AE281" s="343"/>
      <c r="AF281" s="343"/>
      <c r="AG281" s="343"/>
      <c r="AH281" s="343"/>
      <c r="AI281" s="343"/>
      <c r="AJ281" s="343"/>
      <c r="AK281" s="343"/>
    </row>
    <row r="282" spans="1:37" hidden="1" x14ac:dyDescent="0.25">
      <c r="A282" s="694" t="s">
        <v>312</v>
      </c>
      <c r="B282" s="725"/>
      <c r="C282" s="725"/>
      <c r="D282" s="725"/>
      <c r="E282" s="725"/>
      <c r="F282" s="725"/>
      <c r="G282" s="725"/>
      <c r="H282" s="725"/>
      <c r="I282" s="725"/>
      <c r="J282" s="725"/>
      <c r="K282" s="725"/>
      <c r="L282" s="725"/>
      <c r="M282" s="725"/>
      <c r="N282" s="725"/>
      <c r="O282" s="725"/>
      <c r="P282" s="302"/>
      <c r="Q282" s="694"/>
      <c r="R282" s="694"/>
      <c r="S282" s="694"/>
      <c r="T282" s="694"/>
      <c r="U282" s="694"/>
      <c r="V282" s="694"/>
      <c r="W282" s="694"/>
      <c r="X282" s="694"/>
      <c r="Y282" s="694"/>
      <c r="Z282" s="343"/>
      <c r="AA282" s="343"/>
      <c r="AB282" s="343"/>
      <c r="AC282" s="343"/>
      <c r="AD282" s="343"/>
      <c r="AE282" s="343"/>
      <c r="AF282" s="343"/>
      <c r="AG282" s="343"/>
      <c r="AH282" s="343"/>
      <c r="AI282" s="343"/>
      <c r="AJ282" s="343"/>
      <c r="AK282" s="343"/>
    </row>
    <row r="283" spans="1:37" ht="13" hidden="1" thickBot="1" x14ac:dyDescent="0.3">
      <c r="A283" s="694" t="s">
        <v>312</v>
      </c>
      <c r="B283" s="725"/>
      <c r="C283" s="725"/>
      <c r="D283" s="725"/>
      <c r="E283" s="725" t="s">
        <v>111</v>
      </c>
      <c r="F283" s="725"/>
      <c r="G283" s="725"/>
      <c r="H283" s="725"/>
      <c r="I283" s="725"/>
      <c r="J283" s="725"/>
      <c r="K283" s="725"/>
      <c r="L283" s="725"/>
      <c r="M283" s="725"/>
      <c r="N283" s="725"/>
      <c r="O283" s="725"/>
      <c r="P283" s="302"/>
      <c r="Q283" s="694"/>
      <c r="R283" s="694"/>
      <c r="S283" s="694"/>
      <c r="T283" s="694"/>
      <c r="U283" s="694"/>
      <c r="V283" s="694"/>
      <c r="W283" s="694"/>
      <c r="X283" s="694"/>
      <c r="Y283" s="694"/>
      <c r="Z283" s="343"/>
      <c r="AA283" s="343"/>
      <c r="AB283" s="343"/>
      <c r="AC283" s="343"/>
      <c r="AD283" s="343"/>
      <c r="AE283" s="343"/>
      <c r="AF283" s="343"/>
      <c r="AG283" s="343"/>
      <c r="AH283" s="343"/>
      <c r="AI283" s="343"/>
      <c r="AJ283" s="343"/>
      <c r="AK283" s="343"/>
    </row>
    <row r="284" spans="1:37" ht="13" hidden="1" x14ac:dyDescent="0.25">
      <c r="A284" s="694" t="s">
        <v>312</v>
      </c>
      <c r="B284" s="725"/>
      <c r="C284" s="725"/>
      <c r="D284" s="725">
        <v>8</v>
      </c>
      <c r="E284" s="1044" t="str">
        <f>INDEX(EUconst_FallBackListNames,D284)</f>
        <v>Подинсталация с емисии от процеси (с риск от ИВЕ | извън МКВЕГ)</v>
      </c>
      <c r="F284" s="1045"/>
      <c r="G284" s="1046" t="str">
        <f>EUconst_tCO2epa</f>
        <v>t CO2e/година</v>
      </c>
      <c r="H284" s="1047" t="str">
        <f>IF(ISNUMBER(K_Summary!H113),INDEX(K_Summary!G$94:G$138,MATCH(EUconst_CNTR_HAL&amp;$E284,K_Summary!$P$94:$P$138,0)),"")</f>
        <v/>
      </c>
      <c r="I284" s="1047" t="str">
        <f>IF(ISNUMBER(K_Summary!I113),INDEX(K_Summary!H$94:H$138,MATCH(EUconst_CNTR_HAL&amp;$E284,K_Summary!$P$94:$P$138,0)),"")</f>
        <v/>
      </c>
      <c r="J284" s="1047" t="str">
        <f>IF(ISNUMBER(K_Summary!J113),INDEX(K_Summary!I$94:I$138,MATCH(EUconst_CNTR_HAL&amp;$E284,K_Summary!$P$94:$P$138,0)),"")</f>
        <v/>
      </c>
      <c r="K284" s="1047" t="str">
        <f>IF(ISNUMBER(K_Summary!K113),INDEX(K_Summary!J$94:J$138,MATCH(EUconst_CNTR_HAL&amp;$E284,K_Summary!$P$94:$P$138,0)),"")</f>
        <v/>
      </c>
      <c r="L284" s="1047" t="str">
        <f>IF(ISNUMBER(K_Summary!L113),INDEX(K_Summary!K$94:K$138,MATCH(EUconst_CNTR_HAL&amp;$E284,K_Summary!$P$94:$P$138,0)),"")</f>
        <v/>
      </c>
      <c r="M284" s="1047" t="str">
        <f>IF(ISNUMBER(K_Summary!M113),INDEX(K_Summary!L$94:L$138,MATCH(EUconst_CNTR_HAL&amp;$E284,K_Summary!$P$94:$P$138,0)),"")</f>
        <v/>
      </c>
      <c r="N284" s="1048" t="str">
        <f>IF(ISNUMBER(K_Summary!N113),INDEX(K_Summary!M$94:M$138,MATCH(EUconst_CNTR_HAL&amp;$E284,K_Summary!$P$94:$P$138,0)),"")</f>
        <v/>
      </c>
      <c r="O284" s="725"/>
      <c r="P284" s="302"/>
      <c r="Q284" s="694"/>
      <c r="R284" s="694"/>
      <c r="S284" s="694"/>
      <c r="T284" s="694"/>
      <c r="U284" s="694"/>
      <c r="V284" s="694"/>
      <c r="W284" s="694"/>
      <c r="X284" s="694"/>
      <c r="Y284" s="694"/>
      <c r="Z284" s="343"/>
      <c r="AA284" s="343"/>
      <c r="AB284" s="343"/>
      <c r="AC284" s="343"/>
      <c r="AD284" s="343"/>
      <c r="AE284" s="343"/>
      <c r="AF284" s="343"/>
      <c r="AG284" s="343"/>
      <c r="AH284" s="343"/>
      <c r="AI284" s="343"/>
      <c r="AJ284" s="343"/>
      <c r="AK284" s="343"/>
    </row>
    <row r="285" spans="1:37" ht="13" hidden="1" x14ac:dyDescent="0.25">
      <c r="A285" s="694" t="s">
        <v>312</v>
      </c>
      <c r="B285" s="725"/>
      <c r="C285" s="725"/>
      <c r="D285" s="725">
        <v>9</v>
      </c>
      <c r="E285" s="1049" t="str">
        <f>INDEX(EUconst_FallBackListNames,D285)</f>
        <v>Подинсталация с емисии от процеси (без риск от ИВЕ | извън МКВЕГ)</v>
      </c>
      <c r="F285" s="313"/>
      <c r="G285" s="1050" t="str">
        <f>EUconst_tCO2epa</f>
        <v>t CO2e/година</v>
      </c>
      <c r="H285" s="1051" t="str">
        <f>IF(ISNUMBER(K_Summary!H114),INDEX(K_Summary!G$94:G$138,MATCH(EUconst_CNTR_HAL&amp;$E285,K_Summary!$P$94:$P$138,0)),"")</f>
        <v/>
      </c>
      <c r="I285" s="1051" t="str">
        <f>IF(ISNUMBER(K_Summary!I114),INDEX(K_Summary!H$94:H$138,MATCH(EUconst_CNTR_HAL&amp;$E285,K_Summary!$P$94:$P$138,0)),"")</f>
        <v/>
      </c>
      <c r="J285" s="1051" t="str">
        <f>IF(ISNUMBER(K_Summary!J114),INDEX(K_Summary!I$94:I$138,MATCH(EUconst_CNTR_HAL&amp;$E285,K_Summary!$P$94:$P$138,0)),"")</f>
        <v/>
      </c>
      <c r="K285" s="1051" t="str">
        <f>IF(ISNUMBER(K_Summary!K114),INDEX(K_Summary!J$94:J$138,MATCH(EUconst_CNTR_HAL&amp;$E285,K_Summary!$P$94:$P$138,0)),"")</f>
        <v/>
      </c>
      <c r="L285" s="1051" t="str">
        <f>IF(ISNUMBER(K_Summary!L114),INDEX(K_Summary!K$94:K$138,MATCH(EUconst_CNTR_HAL&amp;$E285,K_Summary!$P$94:$P$138,0)),"")</f>
        <v/>
      </c>
      <c r="M285" s="1051" t="str">
        <f>IF(ISNUMBER(K_Summary!M114),INDEX(K_Summary!L$94:L$138,MATCH(EUconst_CNTR_HAL&amp;$E285,K_Summary!$P$94:$P$138,0)),"")</f>
        <v/>
      </c>
      <c r="N285" s="1052" t="str">
        <f>IF(ISNUMBER(K_Summary!N114),INDEX(K_Summary!M$94:M$138,MATCH(EUconst_CNTR_HAL&amp;$E285,K_Summary!$P$94:$P$138,0)),"")</f>
        <v/>
      </c>
      <c r="O285" s="725"/>
      <c r="P285" s="302"/>
      <c r="Q285" s="694"/>
      <c r="R285" s="694"/>
      <c r="S285" s="694"/>
      <c r="T285" s="694"/>
      <c r="U285" s="694"/>
      <c r="V285" s="694"/>
      <c r="W285" s="694"/>
      <c r="X285" s="694"/>
      <c r="Y285" s="694"/>
      <c r="Z285" s="343"/>
      <c r="AA285" s="343"/>
      <c r="AB285" s="343"/>
      <c r="AC285" s="343"/>
      <c r="AD285" s="343"/>
      <c r="AE285" s="343"/>
      <c r="AF285" s="343"/>
      <c r="AG285" s="343"/>
      <c r="AH285" s="343"/>
      <c r="AI285" s="343"/>
      <c r="AJ285" s="343"/>
      <c r="AK285" s="343"/>
    </row>
    <row r="286" spans="1:37" ht="13.5" hidden="1" thickBot="1" x14ac:dyDescent="0.3">
      <c r="A286" s="694" t="s">
        <v>312</v>
      </c>
      <c r="B286" s="725"/>
      <c r="C286" s="725"/>
      <c r="D286" s="725">
        <v>10</v>
      </c>
      <c r="E286" s="1053" t="str">
        <f>INDEX(EUconst_FallBackListNames,D286)</f>
        <v>Подинсталация с емисии от процеси (с риск от ИВЕ | в рамките на МКВЕГ)</v>
      </c>
      <c r="F286" s="1054"/>
      <c r="G286" s="1055" t="str">
        <f>EUconst_tCO2epa</f>
        <v>t CO2e/година</v>
      </c>
      <c r="H286" s="1056" t="str">
        <f>IF(ISNUMBER(K_Summary!H114),INDEX(K_Summary!G$94:G$138,MATCH(EUconst_CNTR_HAL&amp;$E286,K_Summary!$P$94:$P$138,0)),"")</f>
        <v/>
      </c>
      <c r="I286" s="1056" t="str">
        <f>IF(ISNUMBER(K_Summary!I114),INDEX(K_Summary!H$94:H$138,MATCH(EUconst_CNTR_HAL&amp;$E286,K_Summary!$P$94:$P$138,0)),"")</f>
        <v/>
      </c>
      <c r="J286" s="1056" t="str">
        <f>IF(ISNUMBER(K_Summary!J114),INDEX(K_Summary!I$94:I$138,MATCH(EUconst_CNTR_HAL&amp;$E286,K_Summary!$P$94:$P$138,0)),"")</f>
        <v/>
      </c>
      <c r="K286" s="1056" t="str">
        <f>IF(ISNUMBER(K_Summary!K114),INDEX(K_Summary!J$94:J$138,MATCH(EUconst_CNTR_HAL&amp;$E286,K_Summary!$P$94:$P$138,0)),"")</f>
        <v/>
      </c>
      <c r="L286" s="1056" t="str">
        <f>IF(ISNUMBER(K_Summary!L114),INDEX(K_Summary!K$94:K$138,MATCH(EUconst_CNTR_HAL&amp;$E286,K_Summary!$P$94:$P$138,0)),"")</f>
        <v/>
      </c>
      <c r="M286" s="1056" t="str">
        <f>IF(ISNUMBER(K_Summary!M114),INDEX(K_Summary!L$94:L$138,MATCH(EUconst_CNTR_HAL&amp;$E286,K_Summary!$P$94:$P$138,0)),"")</f>
        <v/>
      </c>
      <c r="N286" s="1057" t="str">
        <f>IF(ISNUMBER(K_Summary!N114),INDEX(K_Summary!M$94:M$138,MATCH(EUconst_CNTR_HAL&amp;$E286,K_Summary!$P$94:$P$138,0)),"")</f>
        <v/>
      </c>
      <c r="O286" s="725"/>
      <c r="P286" s="302"/>
      <c r="Q286" s="694"/>
      <c r="R286" s="694"/>
      <c r="S286" s="694"/>
      <c r="T286" s="694"/>
      <c r="U286" s="694"/>
      <c r="V286" s="694"/>
      <c r="W286" s="694"/>
      <c r="X286" s="694"/>
      <c r="Y286" s="694"/>
      <c r="Z286" s="343"/>
      <c r="AA286" s="343"/>
      <c r="AB286" s="343"/>
      <c r="AC286" s="343"/>
      <c r="AD286" s="343"/>
      <c r="AE286" s="343"/>
      <c r="AF286" s="343"/>
      <c r="AG286" s="343"/>
      <c r="AH286" s="343"/>
      <c r="AI286" s="343"/>
      <c r="AJ286" s="343"/>
      <c r="AK286" s="343"/>
    </row>
    <row r="287" spans="1:37" hidden="1" x14ac:dyDescent="0.25">
      <c r="A287" s="694" t="s">
        <v>312</v>
      </c>
      <c r="B287" s="725"/>
      <c r="C287" s="725"/>
      <c r="D287" s="725"/>
      <c r="E287" s="725"/>
      <c r="F287" s="725"/>
      <c r="G287" s="725"/>
      <c r="H287" s="725"/>
      <c r="I287" s="725"/>
      <c r="J287" s="725"/>
      <c r="K287" s="725"/>
      <c r="L287" s="725"/>
      <c r="M287" s="725"/>
      <c r="N287" s="725"/>
      <c r="O287" s="725"/>
      <c r="P287" s="302"/>
      <c r="Q287" s="694"/>
      <c r="R287" s="694"/>
      <c r="S287" s="694"/>
      <c r="T287" s="694"/>
      <c r="U287" s="694"/>
      <c r="V287" s="694"/>
      <c r="W287" s="694"/>
      <c r="X287" s="694"/>
      <c r="Y287" s="694"/>
      <c r="Z287" s="343"/>
      <c r="AA287" s="343"/>
      <c r="AB287" s="343"/>
      <c r="AC287" s="343"/>
      <c r="AD287" s="343"/>
      <c r="AE287" s="343"/>
      <c r="AF287" s="343"/>
      <c r="AG287" s="343"/>
      <c r="AH287" s="343"/>
      <c r="AI287" s="343"/>
      <c r="AJ287" s="343"/>
      <c r="AK287" s="343"/>
    </row>
  </sheetData>
  <sheetProtection sheet="1" objects="1" scenarios="1" formatCells="0" formatColumns="0" formatRows="0"/>
  <mergeCells count="194">
    <mergeCell ref="E55:N55"/>
    <mergeCell ref="D154:N154"/>
    <mergeCell ref="E40:N40"/>
    <mergeCell ref="E39:N39"/>
    <mergeCell ref="E47:N47"/>
    <mergeCell ref="E46:N46"/>
    <mergeCell ref="E48:N48"/>
    <mergeCell ref="E79:N79"/>
    <mergeCell ref="E80:N80"/>
    <mergeCell ref="E81:N81"/>
    <mergeCell ref="E83:F83"/>
    <mergeCell ref="E84:F84"/>
    <mergeCell ref="E95:N95"/>
    <mergeCell ref="E96:N96"/>
    <mergeCell ref="E57:F57"/>
    <mergeCell ref="E62:F62"/>
    <mergeCell ref="E67:F67"/>
    <mergeCell ref="E68:F68"/>
    <mergeCell ref="E73:F73"/>
    <mergeCell ref="E74:F74"/>
    <mergeCell ref="E75:F75"/>
    <mergeCell ref="E87:N87"/>
    <mergeCell ref="E97:N97"/>
    <mergeCell ref="E98:N98"/>
    <mergeCell ref="P2:P4"/>
    <mergeCell ref="E170:K170"/>
    <mergeCell ref="E158:N158"/>
    <mergeCell ref="E54:N54"/>
    <mergeCell ref="M4:N4"/>
    <mergeCell ref="K3:L3"/>
    <mergeCell ref="E4:F4"/>
    <mergeCell ref="E160:N160"/>
    <mergeCell ref="G4:H4"/>
    <mergeCell ref="I4:J4"/>
    <mergeCell ref="E3:F3"/>
    <mergeCell ref="G3:H3"/>
    <mergeCell ref="D6:N6"/>
    <mergeCell ref="D8:N8"/>
    <mergeCell ref="B2:D4"/>
    <mergeCell ref="G2:H2"/>
    <mergeCell ref="K2:L2"/>
    <mergeCell ref="I2:J2"/>
    <mergeCell ref="M2:N2"/>
    <mergeCell ref="K4:L4"/>
    <mergeCell ref="M3:N3"/>
    <mergeCell ref="I3:J3"/>
    <mergeCell ref="E22:F22"/>
    <mergeCell ref="E49:N49"/>
    <mergeCell ref="D269:N269"/>
    <mergeCell ref="F164:N164"/>
    <mergeCell ref="F161:N161"/>
    <mergeCell ref="L170:N170"/>
    <mergeCell ref="D168:N168"/>
    <mergeCell ref="E50:N50"/>
    <mergeCell ref="E159:N159"/>
    <mergeCell ref="E157:N157"/>
    <mergeCell ref="E59:N59"/>
    <mergeCell ref="E171:N171"/>
    <mergeCell ref="E156:L156"/>
    <mergeCell ref="D52:N52"/>
    <mergeCell ref="E86:N86"/>
    <mergeCell ref="E60:N60"/>
    <mergeCell ref="E64:N64"/>
    <mergeCell ref="E65:N65"/>
    <mergeCell ref="E70:N70"/>
    <mergeCell ref="E71:N71"/>
    <mergeCell ref="E77:I77"/>
    <mergeCell ref="E88:N88"/>
    <mergeCell ref="E89:N89"/>
    <mergeCell ref="E90:N90"/>
    <mergeCell ref="E92:F92"/>
    <mergeCell ref="E93:F93"/>
    <mergeCell ref="E10:N10"/>
    <mergeCell ref="F14:N14"/>
    <mergeCell ref="F16:N16"/>
    <mergeCell ref="F11:N11"/>
    <mergeCell ref="F13:N13"/>
    <mergeCell ref="F12:N12"/>
    <mergeCell ref="E45:L45"/>
    <mergeCell ref="D43:N43"/>
    <mergeCell ref="F15:N15"/>
    <mergeCell ref="D37:N37"/>
    <mergeCell ref="D30:N30"/>
    <mergeCell ref="D32:N32"/>
    <mergeCell ref="E20:F20"/>
    <mergeCell ref="E41:N41"/>
    <mergeCell ref="E21:F21"/>
    <mergeCell ref="E23:F23"/>
    <mergeCell ref="E24:F24"/>
    <mergeCell ref="E25:F25"/>
    <mergeCell ref="E26:F26"/>
    <mergeCell ref="E27:F27"/>
    <mergeCell ref="E28:F28"/>
    <mergeCell ref="E35:F35"/>
    <mergeCell ref="E100:F100"/>
    <mergeCell ref="E101:F101"/>
    <mergeCell ref="E103:N103"/>
    <mergeCell ref="E104:N104"/>
    <mergeCell ref="E106:F106"/>
    <mergeCell ref="E107:F107"/>
    <mergeCell ref="D109:N109"/>
    <mergeCell ref="E111:N111"/>
    <mergeCell ref="E113:N113"/>
    <mergeCell ref="E115:F115"/>
    <mergeCell ref="E117:N117"/>
    <mergeCell ref="E119:F119"/>
    <mergeCell ref="E121:N121"/>
    <mergeCell ref="E123:F123"/>
    <mergeCell ref="E124:F124"/>
    <mergeCell ref="E126:N126"/>
    <mergeCell ref="E128:F128"/>
    <mergeCell ref="E129:F129"/>
    <mergeCell ref="E130:F130"/>
    <mergeCell ref="E132:I132"/>
    <mergeCell ref="E134:N134"/>
    <mergeCell ref="E136:F136"/>
    <mergeCell ref="E137:F137"/>
    <mergeCell ref="E139:N139"/>
    <mergeCell ref="E141:F141"/>
    <mergeCell ref="E142:F142"/>
    <mergeCell ref="E144:N144"/>
    <mergeCell ref="E146:F146"/>
    <mergeCell ref="E147:F147"/>
    <mergeCell ref="E188:N188"/>
    <mergeCell ref="E189:N189"/>
    <mergeCell ref="E191:F191"/>
    <mergeCell ref="E190:F190"/>
    <mergeCell ref="E182:N182"/>
    <mergeCell ref="F163:N163"/>
    <mergeCell ref="F165:N165"/>
    <mergeCell ref="E193:N193"/>
    <mergeCell ref="E194:N194"/>
    <mergeCell ref="E203:F203"/>
    <mergeCell ref="E205:N205"/>
    <mergeCell ref="E149:N149"/>
    <mergeCell ref="E151:F151"/>
    <mergeCell ref="E152:F152"/>
    <mergeCell ref="E185:F185"/>
    <mergeCell ref="F162:N162"/>
    <mergeCell ref="E183:N183"/>
    <mergeCell ref="E172:N172"/>
    <mergeCell ref="E174:K174"/>
    <mergeCell ref="E187:N187"/>
    <mergeCell ref="H176:N176"/>
    <mergeCell ref="E179:N180"/>
    <mergeCell ref="L174:N174"/>
    <mergeCell ref="E166:N166"/>
    <mergeCell ref="E176:G176"/>
    <mergeCell ref="E177:N177"/>
    <mergeCell ref="E178:N178"/>
    <mergeCell ref="E209:N209"/>
    <mergeCell ref="E210:N210"/>
    <mergeCell ref="E211:F211"/>
    <mergeCell ref="E195:N195"/>
    <mergeCell ref="E196:N196"/>
    <mergeCell ref="E197:F197"/>
    <mergeCell ref="E198:F198"/>
    <mergeCell ref="E200:N200"/>
    <mergeCell ref="E212:F212"/>
    <mergeCell ref="E201:N201"/>
    <mergeCell ref="E215:N215"/>
    <mergeCell ref="E216:N216"/>
    <mergeCell ref="E217:N217"/>
    <mergeCell ref="E219:F219"/>
    <mergeCell ref="D222:N222"/>
    <mergeCell ref="E224:N224"/>
    <mergeCell ref="E226:K226"/>
    <mergeCell ref="E228:K228"/>
    <mergeCell ref="L226:N226"/>
    <mergeCell ref="L228:N228"/>
    <mergeCell ref="E2:F2"/>
    <mergeCell ref="E17:N17"/>
    <mergeCell ref="E18:N18"/>
    <mergeCell ref="E207:G207"/>
    <mergeCell ref="E267:F267"/>
    <mergeCell ref="E254:N254"/>
    <mergeCell ref="E257:G257"/>
    <mergeCell ref="E259:N259"/>
    <mergeCell ref="E261:F261"/>
    <mergeCell ref="E262:F262"/>
    <mergeCell ref="H230:N230"/>
    <mergeCell ref="E232:N233"/>
    <mergeCell ref="E235:N235"/>
    <mergeCell ref="E238:F238"/>
    <mergeCell ref="E240:N240"/>
    <mergeCell ref="E242:F242"/>
    <mergeCell ref="E264:N264"/>
    <mergeCell ref="E243:F243"/>
    <mergeCell ref="E245:N245"/>
    <mergeCell ref="E247:F247"/>
    <mergeCell ref="E248:F248"/>
    <mergeCell ref="E250:N250"/>
    <mergeCell ref="E252:F252"/>
    <mergeCell ref="E214:N214"/>
  </mergeCells>
  <phoneticPr fontId="34" type="noConversion"/>
  <conditionalFormatting sqref="G3:H3">
    <cfRule type="expression" dxfId="745" priority="3" stopIfTrue="1">
      <formula>COUNTIF($AK:$AK,1)&gt;0</formula>
    </cfRule>
  </conditionalFormatting>
  <conditionalFormatting sqref="G4:H4">
    <cfRule type="expression" dxfId="744" priority="1" stopIfTrue="1">
      <formula>COUNTIF($AK:$AK,4)&gt;0</formula>
    </cfRule>
  </conditionalFormatting>
  <conditionalFormatting sqref="H21:N28 H62:N62 H67:N67 H73:N74 H92:N93 H115:N115 H119:N119 H123:N123 H128:N129 H141:N142 H185:N185 H191:N191 H198:N198 H203:N203 H238:N238 H243:N243 H248:N248 H252:N252">
    <cfRule type="expression" dxfId="743" priority="6" stopIfTrue="1">
      <formula>AB$21</formula>
    </cfRule>
  </conditionalFormatting>
  <conditionalFormatting sqref="H57:N57 H62:N62 H73:N74 H92:N93 H115:N115 H119:N119 H128:N129 H141:N142 H67:N67 H123:N123 H21:N24 H26:N26 M45">
    <cfRule type="expression" dxfId="742" priority="22" stopIfTrue="1">
      <formula>AND((MSconst_RequireEmissionTotals=FALSE),$Q$21=FALSE)</formula>
    </cfRule>
  </conditionalFormatting>
  <conditionalFormatting sqref="H57:N57">
    <cfRule type="expression" dxfId="741" priority="4" stopIfTrue="1">
      <formula>AB$21</formula>
    </cfRule>
  </conditionalFormatting>
  <conditionalFormatting sqref="H62:N62 H73:N74 H92:N93 H115:N115 H119:N119 H185:N185 H191:N191 H198:N198 H203:N203 H238:N238 H243:N243 H248:N248 H57:N57 L170:N170 L174:N174 H176:N176 E179:N180 L226 L228 H230 E232">
    <cfRule type="expression" dxfId="740" priority="19" stopIfTrue="1">
      <formula>$Y57</formula>
    </cfRule>
  </conditionalFormatting>
  <conditionalFormatting sqref="H67:N68">
    <cfRule type="expression" dxfId="739" priority="11" stopIfTrue="1">
      <formula>$Y67</formula>
    </cfRule>
  </conditionalFormatting>
  <conditionalFormatting sqref="H75:N75 H130:N130">
    <cfRule type="expression" dxfId="738" priority="495" stopIfTrue="1">
      <formula>AND(NOT(MSconst_RequireAllYears),NOT(INDEX(CNTR_BaselineHighlight,H$278-2004)))</formula>
    </cfRule>
  </conditionalFormatting>
  <conditionalFormatting sqref="H123:N124">
    <cfRule type="expression" dxfId="737" priority="8" stopIfTrue="1">
      <formula>$Y123</formula>
    </cfRule>
  </conditionalFormatting>
  <conditionalFormatting sqref="H128:N129">
    <cfRule type="expression" dxfId="736" priority="17" stopIfTrue="1">
      <formula>$Y128</formula>
    </cfRule>
  </conditionalFormatting>
  <conditionalFormatting sqref="H141:N142">
    <cfRule type="expression" dxfId="735" priority="12" stopIfTrue="1">
      <formula>$Y141</formula>
    </cfRule>
  </conditionalFormatting>
  <conditionalFormatting sqref="H252:N252">
    <cfRule type="expression" dxfId="734" priority="16" stopIfTrue="1">
      <formula>$Y252</formula>
    </cfRule>
  </conditionalFormatting>
  <conditionalFormatting sqref="K3:N3">
    <cfRule type="expression" dxfId="733" priority="2" stopIfTrue="1">
      <formula>COUNTIF($AK:$AK,3)&gt;0</formula>
    </cfRule>
  </conditionalFormatting>
  <conditionalFormatting sqref="S21:Y25 S28:Y28">
    <cfRule type="expression" dxfId="732" priority="516" stopIfTrue="1">
      <formula>AND(ISNUMBER(#REF!),ISNUMBER(H21))</formula>
    </cfRule>
  </conditionalFormatting>
  <conditionalFormatting sqref="S26:Y26">
    <cfRule type="expression" dxfId="731" priority="518" stopIfTrue="1">
      <formula>AND(ISNUMBER(#REF!),ISNUMBER(H25))</formula>
    </cfRule>
  </conditionalFormatting>
  <dataValidations count="8">
    <dataValidation type="list" allowBlank="1" showInputMessage="1" showErrorMessage="1" sqref="G248 G198" xr:uid="{00000000-0002-0000-0500-000000000000}">
      <formula1>EUconst_TonnesOrkNm3pa</formula1>
    </dataValidation>
    <dataValidation type="list" allowBlank="1" showInputMessage="1" showErrorMessage="1" sqref="L174:N174 L228" xr:uid="{00000000-0002-0000-0500-000001000000}">
      <formula1>EUconst_RelevantNotRelevant</formula1>
    </dataValidation>
    <dataValidation type="list" allowBlank="1" showInputMessage="1" showErrorMessage="1" sqref="L170:N170 L226" xr:uid="{00000000-0002-0000-0500-000002000000}">
      <formula1>EUconst_CLnonCL</formula1>
    </dataValidation>
    <dataValidation type="list" allowBlank="1" showInputMessage="1" showErrorMessage="1" sqref="M45 M156" xr:uid="{00000000-0002-0000-0500-000003000000}">
      <formula1>Euconst_TrueFalse</formula1>
    </dataValidation>
    <dataValidation type="decimal" allowBlank="1" showInputMessage="1" showErrorMessage="1" errorTitle="0 &lt; value &lt; 1" error="Values should be between 0 and 1" sqref="H92:N93 H141:N142" xr:uid="{00000000-0002-0000-0500-000004000000}">
      <formula1>0</formula1>
      <formula2>1</formula2>
    </dataValidation>
    <dataValidation type="decimal" operator="lessThanOrEqual" allowBlank="1" showInputMessage="1" showErrorMessage="1" errorTitle="Data error!" error="Exported amounts should be reported as negative values." sqref="H26:N26" xr:uid="{00000000-0002-0000-0500-000005000000}">
      <formula1>0</formula1>
    </dataValidation>
    <dataValidation type="decimal" operator="lessThanOrEqual" allowBlank="1" showInputMessage="1" showErrorMessage="1" sqref="S26:Y26" xr:uid="{00000000-0002-0000-0500-000006000000}">
      <formula1>0</formula1>
    </dataValidation>
    <dataValidation type="decimal" operator="greaterThanOrEqual" allowBlank="1" showInputMessage="1" showErrorMessage="1" error="! Numeric value &gt; 0 !" sqref="H21:N24 H28:N28" xr:uid="{00000000-0002-0000-0500-000007000000}">
      <formula1>0</formula1>
    </dataValidation>
  </dataValidations>
  <hyperlinks>
    <hyperlink ref="G2:H2" location="JUMP_TOC_Home" display="Table of contents" xr:uid="{00000000-0004-0000-0500-000000000000}"/>
    <hyperlink ref="M2:N2" location="JUMP_K_I" display="Summary" xr:uid="{00000000-0004-0000-0500-000001000000}"/>
    <hyperlink ref="I2:J2" location="JUMP_B_I" display="JUMP_B_I" xr:uid="{00000000-0004-0000-0500-000002000000}"/>
    <hyperlink ref="E3:F3" location="JUMP_D_Top" display="Top of sheet" xr:uid="{00000000-0004-0000-0500-000003000000}"/>
    <hyperlink ref="E4:F4" location="JUMP_D_Bottom" display="End of sheet" xr:uid="{00000000-0004-0000-0500-000004000000}"/>
    <hyperlink ref="K2:L2" location="JUMP_E_Top" display="Next sheet" xr:uid="{00000000-0004-0000-0500-000005000000}"/>
    <hyperlink ref="D269:N269" location="JUMP_E_Top" display="&lt;&lt;&lt; Click here to proceed to next sheet &gt;&gt;&gt; " xr:uid="{00000000-0004-0000-0500-000006000000}"/>
    <hyperlink ref="G3:H3" location="JUMP_D_I" display="Emissions and Energy Input" xr:uid="{00000000-0004-0000-0500-000007000000}"/>
    <hyperlink ref="I3:J3" location="JUMP_D_II" display="Emissions Attribution" xr:uid="{00000000-0004-0000-0500-000008000000}"/>
    <hyperlink ref="G4:H4" location="JUMP_D_IV" display="JUMP_D_IV" xr:uid="{00000000-0004-0000-0500-000009000000}"/>
    <hyperlink ref="I4:J4" location="JUMP_D_IV2" display="JUMP_D_IV2" xr:uid="{00000000-0004-0000-0500-00000A000000}"/>
    <hyperlink ref="E89" r:id="rId1" display="https://eur-lex.europa.eu/eli/reg_del/2015/2402/oj" xr:uid="{00000000-0004-0000-0500-00000B000000}"/>
    <hyperlink ref="K3:L3" location="JUMP_D_III" display="Cogeneration (1)" xr:uid="{00000000-0004-0000-0500-00000C000000}"/>
    <hyperlink ref="M3:N3" location="JUMP_D_III2" display="Cogeneration (2)" xr:uid="{00000000-0004-0000-0500-00000D000000}"/>
    <hyperlink ref="E41:M41" location="JUMP_K_III2" display="JUMP_K_III2" xr:uid="{00000000-0004-0000-0500-00000E000000}"/>
  </hyperlinks>
  <pageMargins left="0.78740157480314965" right="0.78740157480314965" top="0.78740157480314965" bottom="0.78740157480314965" header="0.51181102362204722" footer="0.51181102362204722"/>
  <pageSetup paperSize="9" scale="41" fitToHeight="10" orientation="portrait" r:id="rId2"/>
  <headerFooter alignWithMargins="0">
    <oddHeader>&amp;L&amp;F; &amp;A&amp;R&amp;D; &amp;T</oddHeader>
    <oddFooter>&amp;C&amp;P / &amp;N</oddFooter>
  </headerFooter>
  <rowBreaks count="1" manualBreakCount="1">
    <brk id="152" min="2" max="1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tabColor indexed="52"/>
    <pageSetUpPr fitToPage="1"/>
  </sheetPr>
  <dimension ref="A1:AE477"/>
  <sheetViews>
    <sheetView zoomScaleNormal="100" zoomScaleSheetLayoutView="100" workbookViewId="0">
      <pane ySplit="4" topLeftCell="A5" activePane="bottomLeft" state="frozen"/>
      <selection pane="bottomLeft" activeCell="B2" sqref="B2:D4"/>
    </sheetView>
  </sheetViews>
  <sheetFormatPr defaultColWidth="11.453125" defaultRowHeight="12.5" x14ac:dyDescent="0.25"/>
  <cols>
    <col min="1" max="1" width="4.7265625" style="349" hidden="1" customWidth="1"/>
    <col min="2" max="2" width="2.7265625" style="349" customWidth="1"/>
    <col min="3" max="4" width="4.7265625" style="349" customWidth="1"/>
    <col min="5" max="5" width="30.7265625" style="349" customWidth="1"/>
    <col min="6" max="14" width="12.7265625" style="349" customWidth="1"/>
    <col min="15" max="15" width="4.7265625" style="349" customWidth="1"/>
    <col min="16" max="16" width="25.7265625" style="349" customWidth="1"/>
    <col min="17" max="17" width="12.7265625" style="349" hidden="1" customWidth="1"/>
    <col min="18" max="31" width="11.453125" style="349" hidden="1" customWidth="1"/>
    <col min="32" max="16384" width="11.453125" style="349"/>
  </cols>
  <sheetData>
    <row r="1" spans="1:31" s="694" customFormat="1" ht="13" hidden="1" thickBot="1" x14ac:dyDescent="0.3">
      <c r="A1" s="343" t="s">
        <v>312</v>
      </c>
      <c r="Q1" s="343" t="s">
        <v>312</v>
      </c>
      <c r="R1" s="343" t="s">
        <v>312</v>
      </c>
      <c r="S1" s="343" t="s">
        <v>312</v>
      </c>
      <c r="T1" s="343" t="s">
        <v>312</v>
      </c>
      <c r="U1" s="343" t="s">
        <v>312</v>
      </c>
      <c r="V1" s="343" t="s">
        <v>312</v>
      </c>
      <c r="W1" s="343" t="s">
        <v>312</v>
      </c>
      <c r="X1" s="343" t="s">
        <v>312</v>
      </c>
      <c r="Y1" s="343" t="s">
        <v>312</v>
      </c>
      <c r="Z1" s="343" t="s">
        <v>312</v>
      </c>
      <c r="AA1" s="343" t="s">
        <v>312</v>
      </c>
      <c r="AB1" s="343" t="s">
        <v>312</v>
      </c>
      <c r="AC1" s="343" t="s">
        <v>312</v>
      </c>
      <c r="AD1" s="343" t="s">
        <v>312</v>
      </c>
      <c r="AE1" s="343" t="s">
        <v>312</v>
      </c>
    </row>
    <row r="2" spans="1:31" ht="13.5" thickBot="1" x14ac:dyDescent="0.35">
      <c r="A2" s="343"/>
      <c r="B2" s="2468" t="str">
        <f>Translations!$B$309</f>
        <v>E.
Енергийни потоци</v>
      </c>
      <c r="C2" s="2469"/>
      <c r="D2" s="2470"/>
      <c r="E2" s="2351" t="str">
        <f>Translations!$B$2</f>
        <v>Навигационно меню:</v>
      </c>
      <c r="F2" s="2352"/>
      <c r="G2" s="2466" t="str">
        <f>Translations!$B$16</f>
        <v>Съдържание</v>
      </c>
      <c r="H2" s="2233"/>
      <c r="I2" s="2233" t="str">
        <f>Translations!$B$17</f>
        <v>Предходен лист</v>
      </c>
      <c r="J2" s="2233"/>
      <c r="K2" s="2233" t="str">
        <f>Translations!$B$3</f>
        <v>Следващ лист</v>
      </c>
      <c r="L2" s="2233"/>
      <c r="M2" s="2233" t="str">
        <f>Translations!$B$4</f>
        <v>Обобщение</v>
      </c>
      <c r="N2" s="2233"/>
      <c r="O2" s="336"/>
      <c r="P2" s="2511" t="str">
        <f>Translations!$B$1218</f>
        <v>Колона за коментари 
(напр. каквито и да е било промени)</v>
      </c>
      <c r="Q2" s="695"/>
      <c r="R2" s="343"/>
      <c r="S2" s="343"/>
      <c r="T2" s="343"/>
      <c r="U2" s="343"/>
      <c r="V2" s="343"/>
      <c r="W2" s="343"/>
      <c r="X2" s="343"/>
      <c r="Y2" s="343"/>
      <c r="Z2" s="343"/>
      <c r="AA2" s="343"/>
      <c r="AB2" s="343"/>
      <c r="AC2" s="343"/>
      <c r="AD2" s="343"/>
      <c r="AE2" s="343"/>
    </row>
    <row r="3" spans="1:31" ht="13.5" customHeight="1" thickBot="1" x14ac:dyDescent="0.3">
      <c r="A3" s="343"/>
      <c r="B3" s="2471"/>
      <c r="C3" s="2472"/>
      <c r="D3" s="2473"/>
      <c r="E3" s="2233" t="str">
        <f>Translations!$B$5</f>
        <v>Начало на листа</v>
      </c>
      <c r="F3" s="2477"/>
      <c r="G3" s="2793" t="str">
        <f>Translations!$B$310</f>
        <v>Разпределяне на горивата</v>
      </c>
      <c r="H3" s="2794"/>
      <c r="I3" s="2794" t="str">
        <f>Translations!$B$175</f>
        <v>Измерима топлинна енергия</v>
      </c>
      <c r="J3" s="2794"/>
      <c r="K3" s="2794" t="str">
        <f>Translations!$B$311</f>
        <v>Топлинна енергия (краен резултат)</v>
      </c>
      <c r="L3" s="2794"/>
      <c r="M3" s="2794" t="str">
        <f>Translations!$B$312</f>
        <v>Отпадни газове</v>
      </c>
      <c r="N3" s="2794"/>
      <c r="O3" s="336"/>
      <c r="P3" s="2512"/>
      <c r="Q3" s="695"/>
      <c r="R3" s="343"/>
      <c r="S3" s="343"/>
      <c r="T3" s="343"/>
      <c r="U3" s="343"/>
      <c r="V3" s="343"/>
      <c r="W3" s="343"/>
      <c r="X3" s="343"/>
      <c r="Y3" s="343"/>
      <c r="Z3" s="343"/>
      <c r="AA3" s="343"/>
      <c r="AB3" s="343"/>
      <c r="AC3" s="343"/>
      <c r="AD3" s="343"/>
      <c r="AE3" s="343"/>
    </row>
    <row r="4" spans="1:31" ht="13.5" customHeight="1" thickBot="1" x14ac:dyDescent="0.3">
      <c r="A4" s="343"/>
      <c r="B4" s="2474"/>
      <c r="C4" s="2475"/>
      <c r="D4" s="2476"/>
      <c r="E4" s="2233" t="str">
        <f>Translations!$B$6</f>
        <v>Край на листа</v>
      </c>
      <c r="F4" s="2233"/>
      <c r="G4" s="2479" t="str">
        <f>Translations!$B$313</f>
        <v>Електроенергия</v>
      </c>
      <c r="H4" s="2480"/>
      <c r="I4" s="2480"/>
      <c r="J4" s="2480"/>
      <c r="K4" s="2480"/>
      <c r="L4" s="2480"/>
      <c r="M4" s="2795"/>
      <c r="N4" s="2795"/>
      <c r="O4" s="336"/>
      <c r="P4" s="2513"/>
      <c r="Q4" s="695"/>
      <c r="R4" s="343"/>
      <c r="S4" s="343"/>
      <c r="T4" s="343"/>
      <c r="U4" s="343"/>
      <c r="V4" s="343"/>
      <c r="W4" s="343"/>
      <c r="X4" s="343"/>
      <c r="Y4" s="343"/>
      <c r="Z4" s="343"/>
      <c r="AA4" s="343"/>
      <c r="AB4" s="343"/>
      <c r="AC4" s="343"/>
      <c r="AD4" s="343"/>
      <c r="AE4" s="343"/>
    </row>
    <row r="5" spans="1:31" x14ac:dyDescent="0.25">
      <c r="A5" s="343"/>
      <c r="B5" s="284"/>
      <c r="C5" s="335"/>
      <c r="D5" s="284"/>
      <c r="E5" s="284"/>
      <c r="F5" s="287"/>
      <c r="G5" s="287"/>
      <c r="H5" s="287"/>
      <c r="I5" s="284"/>
      <c r="J5" s="284"/>
      <c r="K5" s="284"/>
      <c r="L5" s="284"/>
      <c r="M5" s="336"/>
      <c r="N5" s="336"/>
      <c r="O5" s="336"/>
      <c r="P5" s="302"/>
      <c r="Q5" s="695"/>
      <c r="R5" s="343"/>
      <c r="S5" s="343"/>
      <c r="T5" s="343"/>
      <c r="U5" s="343"/>
      <c r="V5" s="343"/>
      <c r="W5" s="343"/>
      <c r="X5" s="343"/>
      <c r="Y5" s="343"/>
      <c r="Z5" s="343"/>
      <c r="AA5" s="343"/>
      <c r="AB5" s="343"/>
      <c r="AC5" s="343"/>
      <c r="AD5" s="343"/>
      <c r="AE5" s="343"/>
    </row>
    <row r="6" spans="1:31" ht="23.25" customHeight="1" x14ac:dyDescent="0.25">
      <c r="A6" s="343"/>
      <c r="B6" s="284"/>
      <c r="C6" s="297" t="s">
        <v>696</v>
      </c>
      <c r="D6" s="2259" t="str">
        <f>Translations!$B$314</f>
        <v>Работен лист „Енергийни потоци“ — ДАННИ ЗА ВЛОЖЕНАТА ЕНЕРГИЯ, ИЗМЕРИМАТА ТОПЛИННА ЕНЕРГИЯ И ЕЛЕКТРОЕНЕРГИЯТА</v>
      </c>
      <c r="E6" s="2249"/>
      <c r="F6" s="2249"/>
      <c r="G6" s="2249"/>
      <c r="H6" s="2249"/>
      <c r="I6" s="2249"/>
      <c r="J6" s="2249"/>
      <c r="K6" s="2249"/>
      <c r="L6" s="2249"/>
      <c r="M6" s="2249"/>
      <c r="N6" s="2249"/>
      <c r="O6" s="336"/>
      <c r="P6" s="302"/>
      <c r="Q6" s="696" t="s">
        <v>232</v>
      </c>
      <c r="R6" s="696" t="s">
        <v>232</v>
      </c>
      <c r="S6" s="696" t="s">
        <v>232</v>
      </c>
      <c r="T6" s="696" t="s">
        <v>232</v>
      </c>
      <c r="U6" s="696" t="s">
        <v>232</v>
      </c>
      <c r="V6" s="696" t="s">
        <v>232</v>
      </c>
      <c r="W6" s="696" t="s">
        <v>232</v>
      </c>
      <c r="X6" s="696" t="s">
        <v>232</v>
      </c>
      <c r="Y6" s="696" t="s">
        <v>232</v>
      </c>
      <c r="Z6" s="696" t="s">
        <v>232</v>
      </c>
      <c r="AA6" s="696" t="s">
        <v>232</v>
      </c>
      <c r="AB6" s="696" t="s">
        <v>232</v>
      </c>
      <c r="AC6" s="696" t="s">
        <v>232</v>
      </c>
      <c r="AD6" s="696" t="s">
        <v>232</v>
      </c>
      <c r="AE6" s="696" t="s">
        <v>232</v>
      </c>
    </row>
    <row r="7" spans="1:31" x14ac:dyDescent="0.25">
      <c r="A7" s="343"/>
      <c r="B7" s="284"/>
      <c r="C7" s="284"/>
      <c r="D7" s="284"/>
      <c r="E7" s="284"/>
      <c r="F7" s="284"/>
      <c r="G7" s="284"/>
      <c r="H7" s="284"/>
      <c r="I7" s="284"/>
      <c r="J7" s="284"/>
      <c r="K7" s="284"/>
      <c r="L7" s="284"/>
      <c r="M7" s="336"/>
      <c r="N7" s="336"/>
      <c r="O7" s="336"/>
      <c r="P7" s="302"/>
      <c r="Q7" s="697" t="s">
        <v>740</v>
      </c>
      <c r="R7" s="697" t="s">
        <v>740</v>
      </c>
      <c r="S7" s="697" t="s">
        <v>740</v>
      </c>
      <c r="T7" s="697" t="s">
        <v>740</v>
      </c>
      <c r="U7" s="697" t="s">
        <v>740</v>
      </c>
      <c r="V7" s="697" t="s">
        <v>740</v>
      </c>
      <c r="W7" s="697" t="s">
        <v>740</v>
      </c>
      <c r="X7" s="697" t="s">
        <v>740</v>
      </c>
      <c r="Y7" s="697" t="s">
        <v>740</v>
      </c>
      <c r="Z7" s="697" t="s">
        <v>740</v>
      </c>
      <c r="AA7" s="697" t="s">
        <v>740</v>
      </c>
      <c r="AB7" s="697" t="s">
        <v>740</v>
      </c>
      <c r="AC7" s="697" t="s">
        <v>740</v>
      </c>
      <c r="AD7" s="697" t="s">
        <v>740</v>
      </c>
      <c r="AE7" s="697" t="s">
        <v>740</v>
      </c>
    </row>
    <row r="8" spans="1:31" ht="15.5" x14ac:dyDescent="0.35">
      <c r="A8" s="343"/>
      <c r="B8" s="284"/>
      <c r="C8" s="327" t="s">
        <v>1048</v>
      </c>
      <c r="D8" s="2245" t="str">
        <f>Translations!$B$315</f>
        <v>Вложена енергия от горива</v>
      </c>
      <c r="E8" s="2245"/>
      <c r="F8" s="2245"/>
      <c r="G8" s="2245"/>
      <c r="H8" s="2245"/>
      <c r="I8" s="2245"/>
      <c r="J8" s="2245"/>
      <c r="K8" s="2245"/>
      <c r="L8" s="2245"/>
      <c r="M8" s="2245"/>
      <c r="N8" s="2245"/>
      <c r="O8" s="336"/>
      <c r="P8" s="302"/>
      <c r="Q8" s="695"/>
      <c r="R8" s="343"/>
      <c r="S8" s="343"/>
      <c r="T8" s="343"/>
      <c r="U8" s="343"/>
      <c r="V8" s="343"/>
      <c r="W8" s="343"/>
      <c r="X8" s="343"/>
      <c r="Y8" s="343"/>
      <c r="Z8" s="343"/>
      <c r="AA8" s="343"/>
      <c r="AB8" s="343"/>
      <c r="AC8" s="343"/>
      <c r="AD8" s="343"/>
      <c r="AE8" s="343"/>
    </row>
    <row r="9" spans="1:31" ht="5.15" customHeight="1" x14ac:dyDescent="0.25">
      <c r="A9" s="343"/>
      <c r="B9" s="284"/>
      <c r="C9" s="284"/>
      <c r="D9" s="284"/>
      <c r="E9" s="284"/>
      <c r="F9" s="284"/>
      <c r="G9" s="284"/>
      <c r="H9" s="284"/>
      <c r="I9" s="284"/>
      <c r="J9" s="284"/>
      <c r="K9" s="284"/>
      <c r="L9" s="284"/>
      <c r="M9" s="336"/>
      <c r="N9" s="336"/>
      <c r="O9" s="336"/>
      <c r="P9" s="302"/>
      <c r="Q9" s="695"/>
      <c r="R9" s="343"/>
      <c r="S9" s="343"/>
      <c r="T9" s="343"/>
      <c r="U9" s="343"/>
      <c r="V9" s="343"/>
      <c r="W9" s="343"/>
      <c r="X9" s="343"/>
      <c r="Y9" s="343"/>
      <c r="Z9" s="343"/>
      <c r="AA9" s="343"/>
      <c r="AB9" s="343"/>
      <c r="AC9" s="343"/>
      <c r="AD9" s="343"/>
      <c r="AE9" s="343"/>
    </row>
    <row r="10" spans="1:31" ht="14" x14ac:dyDescent="0.3">
      <c r="A10" s="343"/>
      <c r="B10" s="284"/>
      <c r="C10" s="357">
        <v>1</v>
      </c>
      <c r="D10" s="2323" t="str">
        <f>Translations!$B$316</f>
        <v>Общ преглед и по категории на употреба</v>
      </c>
      <c r="E10" s="2249"/>
      <c r="F10" s="2249"/>
      <c r="G10" s="2249"/>
      <c r="H10" s="2249"/>
      <c r="I10" s="2249"/>
      <c r="J10" s="2249"/>
      <c r="K10" s="2249"/>
      <c r="L10" s="2249"/>
      <c r="M10" s="2249"/>
      <c r="N10" s="2249"/>
      <c r="O10" s="336"/>
      <c r="P10" s="302"/>
      <c r="Q10" s="695"/>
      <c r="R10" s="343"/>
      <c r="S10" s="343"/>
      <c r="T10" s="343"/>
      <c r="U10" s="343"/>
      <c r="V10" s="343"/>
      <c r="W10" s="343"/>
      <c r="X10" s="343"/>
      <c r="Y10" s="343"/>
      <c r="Z10" s="343"/>
      <c r="AA10" s="343"/>
      <c r="AB10" s="343"/>
      <c r="AC10" s="343"/>
      <c r="AD10" s="343"/>
      <c r="AE10" s="343"/>
    </row>
    <row r="11" spans="1:31" ht="5.15" customHeight="1" x14ac:dyDescent="0.25">
      <c r="A11" s="343"/>
      <c r="B11" s="284"/>
      <c r="C11" s="284"/>
      <c r="D11" s="284"/>
      <c r="E11" s="284"/>
      <c r="F11" s="284"/>
      <c r="G11" s="284"/>
      <c r="H11" s="284"/>
      <c r="I11" s="284"/>
      <c r="J11" s="284"/>
      <c r="K11" s="284"/>
      <c r="L11" s="284"/>
      <c r="M11" s="284"/>
      <c r="N11" s="284"/>
      <c r="O11" s="336"/>
      <c r="P11" s="302"/>
      <c r="Q11" s="695"/>
      <c r="R11" s="343"/>
      <c r="S11" s="343"/>
      <c r="T11" s="343"/>
      <c r="U11" s="343"/>
      <c r="V11" s="343"/>
      <c r="W11" s="343"/>
      <c r="X11" s="343"/>
      <c r="Y11" s="343"/>
      <c r="Z11" s="343"/>
      <c r="AA11" s="343"/>
      <c r="AB11" s="343"/>
      <c r="AC11" s="343"/>
      <c r="AD11" s="343"/>
      <c r="AE11" s="343"/>
    </row>
    <row r="12" spans="1:31" ht="5.15" customHeight="1" x14ac:dyDescent="0.25">
      <c r="A12" s="343"/>
      <c r="B12" s="284"/>
      <c r="C12" s="284"/>
      <c r="D12" s="284"/>
      <c r="E12" s="284"/>
      <c r="F12" s="284"/>
      <c r="G12" s="284"/>
      <c r="H12" s="284"/>
      <c r="I12" s="284"/>
      <c r="J12" s="284"/>
      <c r="K12" s="284"/>
      <c r="L12" s="284"/>
      <c r="M12" s="284"/>
      <c r="N12" s="284"/>
      <c r="O12" s="336"/>
      <c r="P12" s="302"/>
      <c r="Q12" s="695"/>
      <c r="R12" s="343"/>
      <c r="S12" s="343"/>
      <c r="T12" s="343"/>
      <c r="U12" s="343"/>
      <c r="V12" s="343"/>
      <c r="W12" s="343"/>
      <c r="X12" s="343"/>
      <c r="Y12" s="343"/>
      <c r="Z12" s="343"/>
      <c r="AA12" s="343"/>
      <c r="AB12" s="343"/>
      <c r="AC12" s="343"/>
      <c r="AD12" s="343"/>
      <c r="AE12" s="343"/>
    </row>
    <row r="13" spans="1:31" ht="13" x14ac:dyDescent="0.25">
      <c r="A13" s="343"/>
      <c r="B13" s="284"/>
      <c r="C13" s="284"/>
      <c r="D13" s="300" t="s">
        <v>408</v>
      </c>
      <c r="E13" s="2226" t="str">
        <f>Translations!$B$317</f>
        <v>Вложена енергия от горива, общо за инсталацията (данни, взети от раздел I на работен лист „D_Emissions“ („D_Емисии“):</v>
      </c>
      <c r="F13" s="2249"/>
      <c r="G13" s="2249"/>
      <c r="H13" s="2249"/>
      <c r="I13" s="2249"/>
      <c r="J13" s="2249"/>
      <c r="K13" s="2249"/>
      <c r="L13" s="2249"/>
      <c r="M13" s="2249"/>
      <c r="N13" s="2249"/>
      <c r="O13" s="336"/>
      <c r="P13" s="302"/>
      <c r="Q13" s="695"/>
      <c r="R13" s="343"/>
      <c r="S13" s="343"/>
      <c r="T13" s="343"/>
      <c r="U13" s="343"/>
      <c r="V13" s="343"/>
      <c r="W13" s="343"/>
      <c r="X13" s="343"/>
      <c r="Y13" s="343"/>
      <c r="Z13" s="343"/>
      <c r="AA13" s="343"/>
      <c r="AB13" s="343"/>
      <c r="AC13" s="343"/>
      <c r="AD13" s="343"/>
      <c r="AE13" s="343"/>
    </row>
    <row r="14" spans="1:31" ht="12.75" customHeight="1" x14ac:dyDescent="0.25">
      <c r="A14" s="343"/>
      <c r="B14" s="284"/>
      <c r="C14" s="284"/>
      <c r="D14" s="284"/>
      <c r="E14" s="2783" t="str">
        <f>Translations!$B$1469</f>
        <v>Въведете в таблицата по-долу количеството вложена енергия за производството на топлинна енергия, като се уверите, че няма двойно отчитане между отделните позиции:</v>
      </c>
      <c r="F14" s="2249"/>
      <c r="G14" s="2249"/>
      <c r="H14" s="2249"/>
      <c r="I14" s="2249"/>
      <c r="J14" s="2249"/>
      <c r="K14" s="2249"/>
      <c r="L14" s="2249"/>
      <c r="M14" s="2249"/>
      <c r="N14" s="2249"/>
      <c r="O14" s="336"/>
      <c r="P14" s="302"/>
      <c r="Q14" s="695"/>
      <c r="R14" s="343"/>
      <c r="S14" s="343"/>
      <c r="T14" s="343"/>
      <c r="U14" s="343"/>
      <c r="V14" s="343"/>
      <c r="W14" s="343"/>
      <c r="X14" s="343"/>
      <c r="Y14" s="343"/>
      <c r="Z14" s="343"/>
      <c r="AA14" s="343"/>
      <c r="AB14" s="343"/>
      <c r="AC14" s="343"/>
      <c r="AD14" s="343"/>
      <c r="AE14" s="343"/>
    </row>
    <row r="15" spans="1:31" ht="12.75" customHeight="1" x14ac:dyDescent="0.25">
      <c r="A15" s="343"/>
      <c r="B15" s="284"/>
      <c r="C15" s="284"/>
      <c r="D15" s="284"/>
      <c r="E15" s="427" t="s">
        <v>1052</v>
      </c>
      <c r="F15" s="2433" t="str">
        <f>Translations!$B$1470</f>
        <v>i: Общата вложена енергия от горива се взема автоматично от резултатите, показани в раздел D.I.</v>
      </c>
      <c r="G15" s="2433"/>
      <c r="H15" s="2433"/>
      <c r="I15" s="2433"/>
      <c r="J15" s="2433"/>
      <c r="K15" s="2433"/>
      <c r="L15" s="2433"/>
      <c r="M15" s="2433"/>
      <c r="N15" s="2433"/>
      <c r="O15" s="336"/>
      <c r="P15" s="302"/>
      <c r="Q15" s="695"/>
      <c r="R15" s="343"/>
      <c r="S15" s="343"/>
      <c r="T15" s="343"/>
      <c r="U15" s="343"/>
      <c r="V15" s="343"/>
      <c r="W15" s="343"/>
      <c r="X15" s="343"/>
      <c r="Y15" s="343"/>
      <c r="Z15" s="343"/>
      <c r="AA15" s="343"/>
      <c r="AB15" s="343"/>
      <c r="AC15" s="343"/>
      <c r="AD15" s="343"/>
      <c r="AE15" s="343"/>
    </row>
    <row r="16" spans="1:31" ht="38.25" customHeight="1" x14ac:dyDescent="0.25">
      <c r="A16" s="343"/>
      <c r="B16" s="284"/>
      <c r="C16" s="284"/>
      <c r="D16" s="284"/>
      <c r="E16" s="427" t="s">
        <v>1052</v>
      </c>
      <c r="F16" s="2433" t="str">
        <f>Translations!$B$1471</f>
        <v>ii: Обща вложена електроенергия за ПЪРВИЧНАТА цел за производство на топлинна енергия (например електроенергия, потребена от термопомпи, електрически котли, електрически пещи и др.), освен ако горивата, с които се произвежда електроенергията, вече са включени в подточка i. по-горе. Имайте предвид, че тук НЕ се включва всяко друго потребление на електроенергия за цели, различни от производството на топлинна енергия (помпи, задвижващи механизми и др.).</v>
      </c>
      <c r="G16" s="2433"/>
      <c r="H16" s="2433"/>
      <c r="I16" s="2433"/>
      <c r="J16" s="2433"/>
      <c r="K16" s="2433"/>
      <c r="L16" s="2433"/>
      <c r="M16" s="2433"/>
      <c r="N16" s="2433"/>
      <c r="O16" s="336"/>
      <c r="P16" s="302"/>
      <c r="Q16" s="695"/>
      <c r="R16" s="343"/>
      <c r="S16" s="343"/>
      <c r="T16" s="343"/>
      <c r="U16" s="343"/>
      <c r="V16" s="343"/>
      <c r="W16" s="343"/>
      <c r="X16" s="343"/>
      <c r="Y16" s="343"/>
      <c r="Z16" s="343"/>
      <c r="AA16" s="343"/>
      <c r="AB16" s="343"/>
      <c r="AC16" s="343"/>
      <c r="AD16" s="343"/>
      <c r="AE16" s="343"/>
    </row>
    <row r="17" spans="1:31" ht="51" customHeight="1" x14ac:dyDescent="0.25">
      <c r="A17" s="343"/>
      <c r="B17" s="284"/>
      <c r="C17" s="284"/>
      <c r="D17" s="284"/>
      <c r="E17" s="427" t="s">
        <v>1052</v>
      </c>
      <c r="F17" s="2433" t="str">
        <f>Translations!$B$1472</f>
        <v>iii: Общото количество друга енергия, включително от екзотермична топлина (т.е. от всяка екзотермична химична реакция, като частично окисляване или карботермична редукция), друга топлинна енергия, например всякаква топлина от околната среда при термопомпите, геотермална топлина освен ако някой от тези видове топлинна енергия е произведена от горива, които вече са включени в подточка i. по-горе. Например ако в резултат на химична реакция се получава пара, разликата между вложената и изходящата енергия от процеса, при който се получава парата, следва да се въведе тук като екзотермична топлина освен ако тази енергия не е вече обхваната от i. по-горе.</v>
      </c>
      <c r="G17" s="2433"/>
      <c r="H17" s="2433"/>
      <c r="I17" s="2433"/>
      <c r="J17" s="2433"/>
      <c r="K17" s="2433"/>
      <c r="L17" s="2433"/>
      <c r="M17" s="2433"/>
      <c r="N17" s="2433"/>
      <c r="O17" s="336"/>
      <c r="P17" s="302"/>
      <c r="Q17" s="695"/>
      <c r="R17" s="343"/>
      <c r="S17" s="343"/>
      <c r="T17" s="343"/>
      <c r="U17" s="343"/>
      <c r="V17" s="343"/>
      <c r="W17" s="343"/>
      <c r="X17" s="343"/>
      <c r="Y17" s="343"/>
      <c r="Z17" s="343"/>
      <c r="AA17" s="343"/>
      <c r="AB17" s="343"/>
      <c r="AC17" s="343"/>
      <c r="AD17" s="343"/>
      <c r="AE17" s="343"/>
    </row>
    <row r="18" spans="1:31" ht="25.5" customHeight="1" x14ac:dyDescent="0.25">
      <c r="A18" s="343"/>
      <c r="B18" s="284"/>
      <c r="C18" s="284"/>
      <c r="D18" s="284"/>
      <c r="E18" s="427" t="s">
        <v>1052</v>
      </c>
      <c r="F18" s="2433" t="str">
        <f>Translations!$B$1473</f>
        <v>iv: Резултат: обща вложена енергия, т.е. сборът от посочените по-горе. Тази стойност представлява 100 % от енергията, налична за задаване на подинсталациите с горивен показател, производството на измерима топлинна енергия и т.н. в следващите точки по-долу.</v>
      </c>
      <c r="G18" s="2433"/>
      <c r="H18" s="2433"/>
      <c r="I18" s="2433"/>
      <c r="J18" s="2433"/>
      <c r="K18" s="2433"/>
      <c r="L18" s="2433"/>
      <c r="M18" s="2433"/>
      <c r="N18" s="2433"/>
      <c r="O18" s="336"/>
      <c r="P18" s="302"/>
      <c r="Q18" s="695"/>
      <c r="R18" s="343"/>
      <c r="S18" s="343"/>
      <c r="T18" s="343"/>
      <c r="U18" s="343"/>
      <c r="V18" s="343"/>
      <c r="W18" s="343"/>
      <c r="X18" s="343"/>
      <c r="Y18" s="343"/>
      <c r="Z18" s="343"/>
      <c r="AA18" s="343"/>
      <c r="AB18" s="343"/>
      <c r="AC18" s="343"/>
      <c r="AD18" s="343"/>
      <c r="AE18" s="343"/>
    </row>
    <row r="19" spans="1:31" ht="13" x14ac:dyDescent="0.25">
      <c r="A19" s="343"/>
      <c r="B19" s="698"/>
      <c r="C19" s="698"/>
      <c r="D19" s="698"/>
      <c r="E19" s="461"/>
      <c r="F19" s="742"/>
      <c r="G19" s="527" t="str">
        <f>EUconst_Unit</f>
        <v>Единица мярка</v>
      </c>
      <c r="H19" s="391">
        <f t="shared" ref="H19:N19" si="0">H$428</f>
        <v>2024</v>
      </c>
      <c r="I19" s="391">
        <f t="shared" si="0"/>
        <v>2025</v>
      </c>
      <c r="J19" s="391">
        <f t="shared" si="0"/>
        <v>2026</v>
      </c>
      <c r="K19" s="391">
        <f t="shared" si="0"/>
        <v>2027</v>
      </c>
      <c r="L19" s="391">
        <f t="shared" si="0"/>
        <v>2028</v>
      </c>
      <c r="M19" s="391">
        <f t="shared" si="0"/>
        <v>2029</v>
      </c>
      <c r="N19" s="391">
        <f t="shared" si="0"/>
        <v>2030</v>
      </c>
      <c r="O19" s="336"/>
      <c r="P19" s="302"/>
      <c r="Q19" s="343"/>
      <c r="R19" s="343"/>
      <c r="S19" s="343"/>
      <c r="T19" s="343"/>
      <c r="U19" s="977" t="s">
        <v>1855</v>
      </c>
      <c r="V19" s="1058">
        <f>H19</f>
        <v>2024</v>
      </c>
      <c r="W19" s="1058">
        <f t="shared" ref="W19:AB19" si="1">I19</f>
        <v>2025</v>
      </c>
      <c r="X19" s="1058">
        <f t="shared" si="1"/>
        <v>2026</v>
      </c>
      <c r="Y19" s="1058">
        <f t="shared" si="1"/>
        <v>2027</v>
      </c>
      <c r="Z19" s="1058">
        <f t="shared" si="1"/>
        <v>2028</v>
      </c>
      <c r="AA19" s="1058">
        <f t="shared" si="1"/>
        <v>2029</v>
      </c>
      <c r="AB19" s="1058">
        <f t="shared" si="1"/>
        <v>2030</v>
      </c>
      <c r="AC19" s="343"/>
      <c r="AD19" s="343"/>
      <c r="AE19" s="343"/>
    </row>
    <row r="20" spans="1:31" ht="12.65" customHeight="1" x14ac:dyDescent="0.25">
      <c r="A20" s="343"/>
      <c r="B20" s="698"/>
      <c r="C20" s="698"/>
      <c r="D20" s="360" t="s">
        <v>6</v>
      </c>
      <c r="E20" s="2740" t="str">
        <f>Translations!$B$1474</f>
        <v>Общо вложена енергия от горива (D.I)</v>
      </c>
      <c r="F20" s="2739"/>
      <c r="G20" s="1016" t="str">
        <f>EUconst_TJpa</f>
        <v>TJ / година</v>
      </c>
      <c r="H20" s="1024" t="str">
        <f>IF(ISNUMBER(D_Emissions!S$28),D_Emissions!S$28,"")</f>
        <v/>
      </c>
      <c r="I20" s="1024" t="str">
        <f>IF(ISNUMBER(D_Emissions!T$28),D_Emissions!T$28,"")</f>
        <v/>
      </c>
      <c r="J20" s="1024" t="str">
        <f>IF(ISNUMBER(D_Emissions!U$28),D_Emissions!U$28,"")</f>
        <v/>
      </c>
      <c r="K20" s="1024" t="str">
        <f>IF(ISNUMBER(D_Emissions!V$28),D_Emissions!V$28,"")</f>
        <v/>
      </c>
      <c r="L20" s="1024" t="str">
        <f>IF(ISNUMBER(D_Emissions!W$28),D_Emissions!W$28,"")</f>
        <v/>
      </c>
      <c r="M20" s="1024" t="str">
        <f>IF(ISNUMBER(D_Emissions!X$28),D_Emissions!X$28,"")</f>
        <v/>
      </c>
      <c r="N20" s="1024" t="str">
        <f>IF(ISNUMBER(D_Emissions!Y$28),D_Emissions!Y$28,"")</f>
        <v/>
      </c>
      <c r="O20" s="336"/>
      <c r="P20" s="302"/>
      <c r="Q20" s="343"/>
      <c r="R20" s="343"/>
      <c r="S20" s="343"/>
      <c r="T20" s="343"/>
      <c r="U20" s="343"/>
      <c r="V20" s="1059" t="b">
        <f t="shared" ref="V20:AB20" si="2">IF(CNTR_HasEntries_A_I,OR(V19&gt;=CNTR_ReportingYear,COUNTIF(CNTR_SubInstStartDate,"&lt;="&amp;DATE(V19,12,31))=0),FALSE)</f>
        <v>0</v>
      </c>
      <c r="W20" s="1060" t="b">
        <f t="shared" si="2"/>
        <v>0</v>
      </c>
      <c r="X20" s="1060" t="b">
        <f t="shared" si="2"/>
        <v>0</v>
      </c>
      <c r="Y20" s="1060" t="b">
        <f t="shared" si="2"/>
        <v>0</v>
      </c>
      <c r="Z20" s="1060" t="b">
        <f t="shared" si="2"/>
        <v>0</v>
      </c>
      <c r="AA20" s="1060" t="b">
        <f t="shared" si="2"/>
        <v>0</v>
      </c>
      <c r="AB20" s="1060" t="b">
        <f t="shared" si="2"/>
        <v>0</v>
      </c>
      <c r="AC20" s="343"/>
      <c r="AD20" s="343"/>
      <c r="AE20" s="343"/>
    </row>
    <row r="21" spans="1:31" ht="12.65" customHeight="1" x14ac:dyDescent="0.25">
      <c r="A21" s="343"/>
      <c r="B21" s="698"/>
      <c r="C21" s="698"/>
      <c r="D21" s="360" t="s">
        <v>7</v>
      </c>
      <c r="E21" s="2740" t="str">
        <f>Translations!$B$1475</f>
        <v>Вложена електроенергия за производството на топлинна енергия</v>
      </c>
      <c r="F21" s="2739"/>
      <c r="G21" s="421" t="str">
        <f>EUconst_TJpa</f>
        <v>TJ / година</v>
      </c>
      <c r="H21" s="50"/>
      <c r="I21" s="50"/>
      <c r="J21" s="50"/>
      <c r="K21" s="50"/>
      <c r="L21" s="50"/>
      <c r="M21" s="50"/>
      <c r="N21" s="50"/>
      <c r="O21" s="336"/>
      <c r="P21" s="302"/>
      <c r="Q21" s="343"/>
      <c r="R21" s="343"/>
      <c r="S21" s="343"/>
      <c r="T21" s="343"/>
      <c r="U21" s="343"/>
      <c r="V21" s="1060" t="b">
        <f t="shared" ref="V21:V23" si="3">V20</f>
        <v>0</v>
      </c>
      <c r="W21" s="1060" t="b">
        <f t="shared" ref="W21:W23" si="4">W20</f>
        <v>0</v>
      </c>
      <c r="X21" s="1060" t="b">
        <f>X20</f>
        <v>0</v>
      </c>
      <c r="Y21" s="1060" t="b">
        <f t="shared" ref="Y21:Y23" si="5">Y20</f>
        <v>0</v>
      </c>
      <c r="Z21" s="1060" t="b">
        <f t="shared" ref="Z21:Z23" si="6">Z20</f>
        <v>0</v>
      </c>
      <c r="AA21" s="1060" t="b">
        <f t="shared" ref="AA21:AA23" si="7">AA20</f>
        <v>0</v>
      </c>
      <c r="AB21" s="1060" t="b">
        <f t="shared" ref="AB21:AB23" si="8">AB20</f>
        <v>0</v>
      </c>
      <c r="AC21" s="343"/>
      <c r="AD21" s="343"/>
      <c r="AE21" s="343"/>
    </row>
    <row r="22" spans="1:31" ht="12.65" customHeight="1" x14ac:dyDescent="0.25">
      <c r="A22" s="343"/>
      <c r="B22" s="698"/>
      <c r="C22" s="698"/>
      <c r="D22" s="360" t="s">
        <v>8</v>
      </c>
      <c r="E22" s="2740" t="str">
        <f>Translations!$B$1476</f>
        <v>Друга вложена енергия (например екзотермична топлина)</v>
      </c>
      <c r="F22" s="2739"/>
      <c r="G22" s="421" t="str">
        <f>EUconst_TJpa</f>
        <v>TJ / година</v>
      </c>
      <c r="H22" s="50"/>
      <c r="I22" s="50"/>
      <c r="J22" s="50"/>
      <c r="K22" s="50"/>
      <c r="L22" s="50"/>
      <c r="M22" s="50"/>
      <c r="N22" s="50"/>
      <c r="O22" s="336"/>
      <c r="P22" s="302"/>
      <c r="Q22" s="343"/>
      <c r="R22" s="343"/>
      <c r="S22" s="343"/>
      <c r="T22" s="343"/>
      <c r="U22" s="343"/>
      <c r="V22" s="1060" t="b">
        <f t="shared" si="3"/>
        <v>0</v>
      </c>
      <c r="W22" s="1060" t="b">
        <f t="shared" si="4"/>
        <v>0</v>
      </c>
      <c r="X22" s="1060" t="b">
        <f t="shared" ref="X22:X23" si="9">X21</f>
        <v>0</v>
      </c>
      <c r="Y22" s="1060" t="b">
        <f t="shared" si="5"/>
        <v>0</v>
      </c>
      <c r="Z22" s="1060" t="b">
        <f t="shared" si="6"/>
        <v>0</v>
      </c>
      <c r="AA22" s="1060" t="b">
        <f t="shared" si="7"/>
        <v>0</v>
      </c>
      <c r="AB22" s="1060" t="b">
        <f t="shared" si="8"/>
        <v>0</v>
      </c>
      <c r="AC22" s="343"/>
      <c r="AD22" s="343"/>
      <c r="AE22" s="343"/>
    </row>
    <row r="23" spans="1:31" ht="12.65" customHeight="1" x14ac:dyDescent="0.25">
      <c r="A23" s="343"/>
      <c r="B23" s="698"/>
      <c r="C23" s="698"/>
      <c r="D23" s="360" t="s">
        <v>18</v>
      </c>
      <c r="E23" s="2740" t="str">
        <f>Translations!$B$1477</f>
        <v>Обща вложена енергия (сбор от посочените по-горе)</v>
      </c>
      <c r="F23" s="2739"/>
      <c r="G23" s="421" t="str">
        <f>EUconst_TJpa</f>
        <v>TJ / година</v>
      </c>
      <c r="H23" s="423" t="str">
        <f t="shared" ref="H23" si="10">IF(COUNT(H20:H22)&gt;0,SUM(H20:H22),"")</f>
        <v/>
      </c>
      <c r="I23" s="423" t="str">
        <f>IF(COUNT(I20:I22)&gt;0,SUM(I20:I22),"")</f>
        <v/>
      </c>
      <c r="J23" s="423" t="str">
        <f t="shared" ref="J23:N23" si="11">IF(COUNT(J20:J22)&gt;0,SUM(J20:J22),"")</f>
        <v/>
      </c>
      <c r="K23" s="423" t="str">
        <f t="shared" si="11"/>
        <v/>
      </c>
      <c r="L23" s="423" t="str">
        <f t="shared" si="11"/>
        <v/>
      </c>
      <c r="M23" s="423" t="str">
        <f t="shared" si="11"/>
        <v/>
      </c>
      <c r="N23" s="423" t="str">
        <f t="shared" si="11"/>
        <v/>
      </c>
      <c r="O23" s="336"/>
      <c r="P23" s="302"/>
      <c r="Q23" s="343"/>
      <c r="R23" s="343"/>
      <c r="S23" s="343"/>
      <c r="T23" s="343"/>
      <c r="U23" s="343"/>
      <c r="V23" s="1060" t="b">
        <f t="shared" si="3"/>
        <v>0</v>
      </c>
      <c r="W23" s="1060" t="b">
        <f t="shared" si="4"/>
        <v>0</v>
      </c>
      <c r="X23" s="1060" t="b">
        <f t="shared" si="9"/>
        <v>0</v>
      </c>
      <c r="Y23" s="1060" t="b">
        <f t="shared" si="5"/>
        <v>0</v>
      </c>
      <c r="Z23" s="1060" t="b">
        <f t="shared" si="6"/>
        <v>0</v>
      </c>
      <c r="AA23" s="1060" t="b">
        <f t="shared" si="7"/>
        <v>0</v>
      </c>
      <c r="AB23" s="1060" t="b">
        <f t="shared" si="8"/>
        <v>0</v>
      </c>
      <c r="AC23" s="343"/>
      <c r="AD23" s="343"/>
      <c r="AE23" s="343"/>
    </row>
    <row r="24" spans="1:31" s="364" customFormat="1" ht="5.15" customHeight="1" thickBot="1" x14ac:dyDescent="0.3">
      <c r="A24" s="711"/>
      <c r="B24" s="284"/>
      <c r="C24" s="284"/>
      <c r="D24" s="284"/>
      <c r="E24" s="284"/>
      <c r="F24" s="284"/>
      <c r="G24" s="284"/>
      <c r="H24" s="284"/>
      <c r="I24" s="284"/>
      <c r="J24" s="284"/>
      <c r="K24" s="284"/>
      <c r="L24" s="284"/>
      <c r="M24" s="284"/>
      <c r="N24" s="284"/>
      <c r="O24" s="336"/>
      <c r="P24" s="302"/>
      <c r="Q24" s="695"/>
      <c r="R24" s="711"/>
      <c r="S24" s="711"/>
      <c r="T24" s="711"/>
      <c r="U24" s="711"/>
      <c r="V24" s="711"/>
      <c r="W24" s="711"/>
      <c r="X24" s="711"/>
      <c r="Y24" s="711"/>
      <c r="Z24" s="711"/>
      <c r="AA24" s="711"/>
      <c r="AB24" s="711"/>
      <c r="AC24" s="711"/>
      <c r="AD24" s="711"/>
      <c r="AE24" s="711"/>
    </row>
    <row r="25" spans="1:31" s="364" customFormat="1" ht="13.5" thickBot="1" x14ac:dyDescent="0.35">
      <c r="A25" s="711"/>
      <c r="B25" s="284"/>
      <c r="C25" s="284"/>
      <c r="D25" s="300" t="s">
        <v>901</v>
      </c>
      <c r="E25" s="2226" t="str">
        <f>Translations!$B$318</f>
        <v>Метод на въвеждане:</v>
      </c>
      <c r="F25" s="2226"/>
      <c r="G25" s="2226"/>
      <c r="H25" s="2317"/>
      <c r="I25" s="2762"/>
      <c r="J25" s="2763"/>
      <c r="K25" s="1061" t="str">
        <f>IF(AND(ISBLANK(I25),COUNT(H43:N50)&gt;0),EUconst_Incomplete,"")</f>
        <v/>
      </c>
      <c r="L25" s="284"/>
      <c r="M25" s="284"/>
      <c r="N25" s="284"/>
      <c r="O25" s="336"/>
      <c r="P25" s="302"/>
      <c r="Q25" s="715" t="str">
        <f>IF(ISBLANK($I$25),EUconst_NA,MATCH($I$25,EUconst_AbsRel,0))</f>
        <v>Не е приложимо</v>
      </c>
      <c r="R25" s="711"/>
      <c r="S25" s="711"/>
      <c r="T25" s="711"/>
      <c r="U25" s="711"/>
      <c r="V25" s="711"/>
      <c r="W25" s="711"/>
      <c r="X25" s="711"/>
      <c r="Y25" s="711"/>
      <c r="Z25" s="711"/>
      <c r="AA25" s="711"/>
      <c r="AB25" s="711"/>
      <c r="AC25" s="711"/>
      <c r="AD25" s="711"/>
      <c r="AE25" s="711"/>
    </row>
    <row r="26" spans="1:31" s="364" customFormat="1" x14ac:dyDescent="0.25">
      <c r="A26" s="711"/>
      <c r="B26" s="284"/>
      <c r="C26" s="284"/>
      <c r="D26" s="302"/>
      <c r="E26" s="2358" t="str">
        <f>Translations!$B$319</f>
        <v>Можете да изберете метода за въвеждане на стойностите в таблицата по-долу съгласно буква c). Възможните варианти са: „абсолютни стойности“ (впишете TJ/година) или „процентни стойности“.</v>
      </c>
      <c r="F26" s="2249"/>
      <c r="G26" s="2249"/>
      <c r="H26" s="2249"/>
      <c r="I26" s="2249"/>
      <c r="J26" s="2249"/>
      <c r="K26" s="2249"/>
      <c r="L26" s="2249"/>
      <c r="M26" s="2249"/>
      <c r="N26" s="2249"/>
      <c r="O26" s="336"/>
      <c r="P26" s="302"/>
      <c r="Q26" s="695" t="s">
        <v>1400</v>
      </c>
      <c r="R26" s="711"/>
      <c r="S26" s="711"/>
      <c r="T26" s="711"/>
      <c r="U26" s="711"/>
      <c r="V26" s="711"/>
      <c r="W26" s="711"/>
      <c r="X26" s="711"/>
      <c r="Y26" s="711"/>
      <c r="Z26" s="711"/>
      <c r="AA26" s="711"/>
      <c r="AB26" s="711"/>
      <c r="AC26" s="711"/>
      <c r="AD26" s="711"/>
      <c r="AE26" s="711"/>
    </row>
    <row r="27" spans="1:31" s="364" customFormat="1" x14ac:dyDescent="0.25">
      <c r="A27" s="711"/>
      <c r="B27" s="284"/>
      <c r="C27" s="284"/>
      <c r="D27" s="302"/>
      <c r="E27" s="2358" t="str">
        <f>Translations!$B$320</f>
        <v>За бързо въвеждане на данни в опростени случаи, при които повечето процентни стойности ще са или 100 % или нула, по-добър вариант е въвеждането на процентни стойности.</v>
      </c>
      <c r="F27" s="2249"/>
      <c r="G27" s="2249"/>
      <c r="H27" s="2249"/>
      <c r="I27" s="2249"/>
      <c r="J27" s="2249"/>
      <c r="K27" s="2249"/>
      <c r="L27" s="2249"/>
      <c r="M27" s="2249"/>
      <c r="N27" s="2249"/>
      <c r="O27" s="336"/>
      <c r="P27" s="302"/>
      <c r="Q27" s="695"/>
      <c r="R27" s="711"/>
      <c r="S27" s="711"/>
      <c r="T27" s="711"/>
      <c r="U27" s="711"/>
      <c r="V27" s="711"/>
      <c r="W27" s="711"/>
      <c r="X27" s="711"/>
      <c r="Y27" s="711"/>
      <c r="Z27" s="711"/>
      <c r="AA27" s="711"/>
      <c r="AB27" s="711"/>
      <c r="AC27" s="711"/>
      <c r="AD27" s="711"/>
      <c r="AE27" s="711"/>
    </row>
    <row r="28" spans="1:31" s="364" customFormat="1" ht="5.15" customHeight="1" x14ac:dyDescent="0.25">
      <c r="A28" s="711"/>
      <c r="B28" s="284"/>
      <c r="C28" s="284"/>
      <c r="D28" s="284"/>
      <c r="E28" s="284"/>
      <c r="F28" s="284"/>
      <c r="G28" s="284"/>
      <c r="H28" s="284"/>
      <c r="I28" s="284"/>
      <c r="J28" s="284"/>
      <c r="K28" s="284"/>
      <c r="L28" s="284"/>
      <c r="M28" s="284"/>
      <c r="N28" s="284"/>
      <c r="O28" s="336"/>
      <c r="P28" s="302"/>
      <c r="Q28" s="695"/>
      <c r="R28" s="711"/>
      <c r="S28" s="711"/>
      <c r="T28" s="711"/>
      <c r="U28" s="711"/>
      <c r="V28" s="711"/>
      <c r="W28" s="711"/>
      <c r="X28" s="711"/>
      <c r="Y28" s="711"/>
      <c r="Z28" s="711"/>
      <c r="AA28" s="711"/>
      <c r="AB28" s="711"/>
      <c r="AC28" s="711"/>
      <c r="AD28" s="711"/>
      <c r="AE28" s="711"/>
    </row>
    <row r="29" spans="1:31" s="364" customFormat="1" ht="13" x14ac:dyDescent="0.25">
      <c r="A29" s="711"/>
      <c r="B29" s="284"/>
      <c r="C29" s="284"/>
      <c r="D29" s="300" t="s">
        <v>46</v>
      </c>
      <c r="E29" s="2353" t="str">
        <f>Translations!$B$1478</f>
        <v>Разпределение на вложената енергия за различните видове употреба</v>
      </c>
      <c r="F29" s="2354"/>
      <c r="G29" s="2354"/>
      <c r="H29" s="2354"/>
      <c r="I29" s="2354"/>
      <c r="J29" s="2354"/>
      <c r="K29" s="2354"/>
      <c r="L29" s="2354"/>
      <c r="M29" s="2354"/>
      <c r="N29" s="2354"/>
      <c r="O29" s="336"/>
      <c r="P29" s="302"/>
      <c r="Q29" s="695"/>
      <c r="R29" s="711"/>
      <c r="S29" s="711"/>
      <c r="T29" s="711"/>
      <c r="U29" s="711"/>
      <c r="V29" s="711"/>
      <c r="W29" s="711"/>
      <c r="X29" s="711"/>
      <c r="Y29" s="711"/>
      <c r="Z29" s="711"/>
      <c r="AA29" s="711"/>
      <c r="AB29" s="711"/>
      <c r="AC29" s="711"/>
      <c r="AD29" s="711"/>
      <c r="AE29" s="711"/>
    </row>
    <row r="30" spans="1:31" s="364" customFormat="1" x14ac:dyDescent="0.25">
      <c r="A30" s="711"/>
      <c r="B30" s="284"/>
      <c r="C30" s="284"/>
      <c r="D30" s="302"/>
      <c r="E30" s="2358" t="str">
        <f>Translations!$B$321</f>
        <v>В таблицата по-долу впишете количеството консумирана енергия за всеки вид потребление или, в зависимост от входящата стойност b) — количеството в проценти а).</v>
      </c>
      <c r="F30" s="2249"/>
      <c r="G30" s="2249"/>
      <c r="H30" s="2249"/>
      <c r="I30" s="2249"/>
      <c r="J30" s="2249"/>
      <c r="K30" s="2249"/>
      <c r="L30" s="2249"/>
      <c r="M30" s="2249"/>
      <c r="N30" s="2249"/>
      <c r="O30" s="336"/>
      <c r="P30" s="302"/>
      <c r="Q30" s="695"/>
      <c r="R30" s="711"/>
      <c r="S30" s="711"/>
      <c r="T30" s="711"/>
      <c r="U30" s="711"/>
      <c r="V30" s="711"/>
      <c r="W30" s="711"/>
      <c r="X30" s="711"/>
      <c r="Y30" s="711"/>
      <c r="Z30" s="711"/>
      <c r="AA30" s="711"/>
      <c r="AB30" s="711"/>
      <c r="AC30" s="711"/>
      <c r="AD30" s="711"/>
      <c r="AE30" s="711"/>
    </row>
    <row r="31" spans="1:31" s="364" customFormat="1" x14ac:dyDescent="0.25">
      <c r="A31" s="711"/>
      <c r="B31" s="284"/>
      <c r="C31" s="284"/>
      <c r="D31" s="302"/>
      <c r="E31" s="427" t="s">
        <v>1052</v>
      </c>
      <c r="F31" s="2293" t="str">
        <f>Translations!$B$1479</f>
        <v>Вложената енергия в подинсталации с продуктов показател представлява сборът на директно вложената енергия и енергията, вложена за генериране на измеримата топлинна енергия, потребена в подинсталацията.</v>
      </c>
      <c r="G31" s="2293"/>
      <c r="H31" s="2293"/>
      <c r="I31" s="2293"/>
      <c r="J31" s="2293"/>
      <c r="K31" s="2293"/>
      <c r="L31" s="2293"/>
      <c r="M31" s="2293"/>
      <c r="N31" s="2293"/>
      <c r="O31" s="336"/>
      <c r="P31" s="302"/>
      <c r="Q31" s="695"/>
      <c r="R31" s="711"/>
      <c r="S31" s="711"/>
      <c r="T31" s="711"/>
      <c r="U31" s="711"/>
      <c r="V31" s="711"/>
      <c r="W31" s="711"/>
      <c r="X31" s="711"/>
      <c r="Y31" s="711"/>
      <c r="Z31" s="711"/>
      <c r="AA31" s="711"/>
      <c r="AB31" s="711"/>
      <c r="AC31" s="711"/>
      <c r="AD31" s="711"/>
      <c r="AE31" s="711"/>
    </row>
    <row r="32" spans="1:31" s="364" customFormat="1" x14ac:dyDescent="0.25">
      <c r="A32" s="711"/>
      <c r="B32" s="284"/>
      <c r="C32" s="284"/>
      <c r="D32" s="302"/>
      <c r="E32" s="427" t="s">
        <v>1052</v>
      </c>
      <c r="F32" s="2293" t="str">
        <f>Translations!$B$1480</f>
        <v>Вложена енергия за производството на измерима топлинна енергия, която не е използвана за подинсталации с продуктов показател или за производството на електроенергия</v>
      </c>
      <c r="G32" s="2293"/>
      <c r="H32" s="2293"/>
      <c r="I32" s="2293"/>
      <c r="J32" s="2293"/>
      <c r="K32" s="2293"/>
      <c r="L32" s="2293"/>
      <c r="M32" s="2293"/>
      <c r="N32" s="2293"/>
      <c r="O32" s="336"/>
      <c r="P32" s="302"/>
      <c r="Q32" s="695"/>
      <c r="R32" s="711"/>
      <c r="S32" s="711"/>
      <c r="T32" s="711"/>
      <c r="U32" s="711"/>
      <c r="V32" s="711"/>
      <c r="W32" s="711"/>
      <c r="X32" s="711"/>
      <c r="Y32" s="711"/>
      <c r="Z32" s="711"/>
      <c r="AA32" s="711"/>
      <c r="AB32" s="711"/>
      <c r="AC32" s="711"/>
      <c r="AD32" s="711"/>
      <c r="AE32" s="711"/>
    </row>
    <row r="33" spans="1:31" s="364" customFormat="1" x14ac:dyDescent="0.25">
      <c r="A33" s="711"/>
      <c r="B33" s="284"/>
      <c r="C33" s="284"/>
      <c r="D33" s="302"/>
      <c r="E33" s="427" t="s">
        <v>1052</v>
      </c>
      <c r="F33" s="2293" t="str">
        <f>Translations!$B$1481</f>
        <v>Вложена енергия в подинсталации в горивен показател за първичната цел за производство на топлинна енергия</v>
      </c>
      <c r="G33" s="2293"/>
      <c r="H33" s="2293"/>
      <c r="I33" s="2293"/>
      <c r="J33" s="2293"/>
      <c r="K33" s="2293"/>
      <c r="L33" s="2293"/>
      <c r="M33" s="2293"/>
      <c r="N33" s="2293"/>
      <c r="O33" s="336"/>
      <c r="P33" s="302"/>
      <c r="Q33" s="695"/>
      <c r="R33" s="711"/>
      <c r="S33" s="711"/>
      <c r="T33" s="711"/>
      <c r="U33" s="711"/>
      <c r="V33" s="711"/>
      <c r="W33" s="711"/>
      <c r="X33" s="711"/>
      <c r="Y33" s="711"/>
      <c r="Z33" s="711"/>
      <c r="AA33" s="711"/>
      <c r="AB33" s="711"/>
      <c r="AC33" s="711"/>
      <c r="AD33" s="711"/>
      <c r="AE33" s="711"/>
    </row>
    <row r="34" spans="1:31" s="364" customFormat="1" x14ac:dyDescent="0.25">
      <c r="A34" s="711"/>
      <c r="B34" s="284"/>
      <c r="C34" s="284"/>
      <c r="D34" s="302"/>
      <c r="E34" s="427" t="s">
        <v>1052</v>
      </c>
      <c r="F34" s="2293" t="str">
        <f>Translations!$B$1482</f>
        <v>Вложена енергия за производството на електроенергия</v>
      </c>
      <c r="G34" s="2293"/>
      <c r="H34" s="2293"/>
      <c r="I34" s="2293"/>
      <c r="J34" s="2293"/>
      <c r="K34" s="2293"/>
      <c r="L34" s="2293"/>
      <c r="M34" s="2293"/>
      <c r="N34" s="2293"/>
      <c r="O34" s="336"/>
      <c r="P34" s="302"/>
      <c r="Q34" s="695"/>
      <c r="R34" s="711"/>
      <c r="S34" s="711"/>
      <c r="T34" s="711"/>
      <c r="U34" s="711"/>
      <c r="V34" s="711"/>
      <c r="W34" s="711"/>
      <c r="X34" s="711"/>
      <c r="Y34" s="711"/>
      <c r="Z34" s="711"/>
      <c r="AA34" s="711"/>
      <c r="AB34" s="711"/>
      <c r="AC34" s="711"/>
      <c r="AD34" s="711"/>
      <c r="AE34" s="711"/>
    </row>
    <row r="35" spans="1:31" s="364" customFormat="1" x14ac:dyDescent="0.25">
      <c r="A35" s="711"/>
      <c r="B35" s="284"/>
      <c r="C35" s="284"/>
      <c r="D35" s="302"/>
      <c r="E35" s="427" t="s">
        <v>1052</v>
      </c>
      <c r="F35" s="2293" t="str">
        <f>Translations!$B$1483</f>
        <v>Вложена енергия за неенергийни цели: включва всички съдържащи енергия технологични материали, които не са включени по-горе (напр. порообразуващи агенти)</v>
      </c>
      <c r="G35" s="2293"/>
      <c r="H35" s="2293"/>
      <c r="I35" s="2293"/>
      <c r="J35" s="2293"/>
      <c r="K35" s="2293"/>
      <c r="L35" s="2293"/>
      <c r="M35" s="2293"/>
      <c r="N35" s="2293"/>
      <c r="O35" s="336"/>
      <c r="P35" s="302"/>
      <c r="Q35" s="695"/>
      <c r="R35" s="711"/>
      <c r="S35" s="711"/>
      <c r="T35" s="711"/>
      <c r="U35" s="711"/>
      <c r="V35" s="711"/>
      <c r="W35" s="711"/>
      <c r="X35" s="711"/>
      <c r="Y35" s="711"/>
      <c r="Z35" s="711"/>
      <c r="AA35" s="711"/>
      <c r="AB35" s="711"/>
      <c r="AC35" s="711"/>
      <c r="AD35" s="711"/>
      <c r="AE35" s="711"/>
    </row>
    <row r="36" spans="1:31" s="364" customFormat="1" x14ac:dyDescent="0.25">
      <c r="A36" s="711"/>
      <c r="B36" s="284"/>
      <c r="C36" s="284"/>
      <c r="D36" s="302"/>
      <c r="E36" s="427" t="s">
        <v>1052</v>
      </c>
      <c r="F36" s="2293" t="str">
        <f>Translations!$B$1484</f>
        <v>Друга вложена енергия за недопустими цели: включва всички други употреби, които не са включени по-горе (напр. аварийни силови установки, изгаряне във факел за цели, различни от тези на безопасността)</v>
      </c>
      <c r="G36" s="2293"/>
      <c r="H36" s="2293"/>
      <c r="I36" s="2293"/>
      <c r="J36" s="2293"/>
      <c r="K36" s="2293"/>
      <c r="L36" s="2293"/>
      <c r="M36" s="2293"/>
      <c r="N36" s="2293"/>
      <c r="O36" s="336"/>
      <c r="P36" s="302"/>
      <c r="Q36" s="695"/>
      <c r="R36" s="711"/>
      <c r="S36" s="711"/>
      <c r="T36" s="711"/>
      <c r="U36" s="711"/>
      <c r="V36" s="711"/>
      <c r="W36" s="711"/>
      <c r="X36" s="711"/>
      <c r="Y36" s="711"/>
      <c r="Z36" s="711"/>
      <c r="AA36" s="711"/>
      <c r="AB36" s="711"/>
      <c r="AC36" s="711"/>
      <c r="AD36" s="711"/>
      <c r="AE36" s="711"/>
    </row>
    <row r="37" spans="1:31" ht="12.75" customHeight="1" x14ac:dyDescent="0.25">
      <c r="A37" s="343"/>
      <c r="B37" s="284"/>
      <c r="C37" s="284"/>
      <c r="D37" s="302"/>
      <c r="E37" s="2781" t="str">
        <f>Translations!$B$322</f>
        <v>За задаването на вложени горива в комбинираното производство на енергия (КПТЕ) за производството на измерима топлинна енергия и електроенергия трябва да използвате „Инструмента за КПТЕ“ от раздел D.III.</v>
      </c>
      <c r="F37" s="2781"/>
      <c r="G37" s="2781"/>
      <c r="H37" s="2781"/>
      <c r="I37" s="2781"/>
      <c r="J37" s="2781"/>
      <c r="K37" s="2781"/>
      <c r="L37" s="2781"/>
      <c r="M37" s="2781"/>
      <c r="N37" s="2781"/>
      <c r="O37" s="336"/>
      <c r="P37" s="302"/>
      <c r="Q37" s="695"/>
      <c r="R37" s="343"/>
      <c r="S37" s="343"/>
      <c r="T37" s="343"/>
      <c r="U37" s="343"/>
      <c r="V37" s="343"/>
      <c r="W37" s="343"/>
      <c r="X37" s="343"/>
      <c r="Y37" s="343"/>
      <c r="Z37" s="343"/>
      <c r="AA37" s="343"/>
      <c r="AB37" s="343"/>
      <c r="AC37" s="343"/>
      <c r="AD37" s="343"/>
      <c r="AE37" s="343"/>
    </row>
    <row r="38" spans="1:31" s="364" customFormat="1" ht="13" x14ac:dyDescent="0.25">
      <c r="A38" s="711"/>
      <c r="B38" s="284"/>
      <c r="C38" s="284"/>
      <c r="D38" s="302"/>
      <c r="E38" s="2459" t="str">
        <f>Translations!$B$323</f>
        <v xml:space="preserve">Следва да се обърне особено внимание при задаването на входящата енергия на двете подинсталации, които отговарят на условията за разпределяне на безплатни квоти: </v>
      </c>
      <c r="F38" s="2460"/>
      <c r="G38" s="2460"/>
      <c r="H38" s="2460"/>
      <c r="I38" s="2460"/>
      <c r="J38" s="2460"/>
      <c r="K38" s="2460"/>
      <c r="L38" s="2460"/>
      <c r="M38" s="2460"/>
      <c r="N38" s="2460"/>
      <c r="O38" s="336"/>
      <c r="P38" s="302"/>
      <c r="Q38" s="695"/>
      <c r="R38" s="711"/>
      <c r="S38" s="711"/>
      <c r="T38" s="711"/>
      <c r="U38" s="711"/>
      <c r="V38" s="711"/>
      <c r="W38" s="711"/>
      <c r="X38" s="711"/>
      <c r="Y38" s="711"/>
      <c r="Z38" s="711"/>
      <c r="AA38" s="711"/>
      <c r="AB38" s="711"/>
      <c r="AC38" s="711"/>
      <c r="AD38" s="711"/>
      <c r="AE38" s="711"/>
    </row>
    <row r="39" spans="1:31" s="364" customFormat="1" x14ac:dyDescent="0.25">
      <c r="A39" s="711"/>
      <c r="B39" s="284"/>
      <c r="C39" s="284"/>
      <c r="D39" s="302"/>
      <c r="E39" s="2358" t="str">
        <f>Translations!$B$324</f>
        <v>Подинсталация с горивен показател и риск от „ИВЕ“ (изложена на значителен риск от изместване на въглеродни емисии) и „без риск от ИВЕ“ (неизложена на риск от изместване на въглеродни емисии).</v>
      </c>
      <c r="F39" s="2249"/>
      <c r="G39" s="2249"/>
      <c r="H39" s="2249"/>
      <c r="I39" s="2249"/>
      <c r="J39" s="2249"/>
      <c r="K39" s="2249"/>
      <c r="L39" s="2249"/>
      <c r="M39" s="2249"/>
      <c r="N39" s="2249"/>
      <c r="O39" s="336"/>
      <c r="P39" s="302"/>
      <c r="Q39" s="695"/>
      <c r="R39" s="711"/>
      <c r="S39" s="711"/>
      <c r="T39" s="711"/>
      <c r="U39" s="711"/>
      <c r="V39" s="711"/>
      <c r="W39" s="711"/>
      <c r="X39" s="711"/>
      <c r="Y39" s="711"/>
      <c r="Z39" s="711"/>
      <c r="AA39" s="711"/>
      <c r="AB39" s="711"/>
      <c r="AC39" s="711"/>
      <c r="AD39" s="711"/>
      <c r="AE39" s="711"/>
    </row>
    <row r="40" spans="1:31" s="364" customFormat="1" x14ac:dyDescent="0.25">
      <c r="A40" s="711"/>
      <c r="B40" s="284"/>
      <c r="C40" s="284"/>
      <c r="D40" s="302"/>
      <c r="E40" s="2358" t="str">
        <f>Translations!$B$325</f>
        <v>За целите на контрола останалото количество (100 % минус общото вложено количество) се показва на най-долния ред. То се отнася за вложената енергия, която не отговаря на условията за разпределение на безплатни квоти.</v>
      </c>
      <c r="F40" s="2249"/>
      <c r="G40" s="2249"/>
      <c r="H40" s="2249"/>
      <c r="I40" s="2249"/>
      <c r="J40" s="2249"/>
      <c r="K40" s="2249"/>
      <c r="L40" s="2249"/>
      <c r="M40" s="2249"/>
      <c r="N40" s="2249"/>
      <c r="O40" s="336"/>
      <c r="P40" s="302"/>
      <c r="Q40" s="695"/>
      <c r="R40" s="711"/>
      <c r="S40" s="711"/>
      <c r="T40" s="711"/>
      <c r="U40" s="711"/>
      <c r="V40" s="711"/>
      <c r="W40" s="711"/>
      <c r="X40" s="711"/>
      <c r="Y40" s="711"/>
      <c r="Z40" s="711"/>
      <c r="AA40" s="711"/>
      <c r="AB40" s="711"/>
      <c r="AC40" s="711"/>
      <c r="AD40" s="711"/>
      <c r="AE40" s="711"/>
    </row>
    <row r="41" spans="1:31" s="364" customFormat="1" ht="5.15" customHeight="1" x14ac:dyDescent="0.25">
      <c r="A41" s="711"/>
      <c r="B41" s="284"/>
      <c r="C41" s="284"/>
      <c r="D41" s="284"/>
      <c r="E41" s="284"/>
      <c r="F41" s="284"/>
      <c r="G41" s="284"/>
      <c r="H41" s="284"/>
      <c r="I41" s="284"/>
      <c r="J41" s="284"/>
      <c r="K41" s="284"/>
      <c r="L41" s="284"/>
      <c r="M41" s="284"/>
      <c r="N41" s="284"/>
      <c r="O41" s="336"/>
      <c r="P41" s="302"/>
      <c r="Q41" s="695"/>
      <c r="R41" s="711"/>
      <c r="S41" s="711"/>
      <c r="T41" s="711"/>
      <c r="U41" s="711"/>
      <c r="V41" s="711"/>
      <c r="W41" s="711"/>
      <c r="X41" s="711"/>
      <c r="Y41" s="711"/>
      <c r="Z41" s="711"/>
      <c r="AA41" s="711"/>
      <c r="AB41" s="711"/>
      <c r="AC41" s="711"/>
      <c r="AD41" s="711"/>
      <c r="AE41" s="711"/>
    </row>
    <row r="42" spans="1:31" s="364" customFormat="1" ht="13.5" customHeight="1" thickBot="1" x14ac:dyDescent="0.3">
      <c r="A42" s="711"/>
      <c r="B42" s="302"/>
      <c r="C42" s="302"/>
      <c r="D42" s="302"/>
      <c r="E42" s="2742" t="str">
        <f>Translations!$B$1485</f>
        <v>Вид използване на вложената енергия</v>
      </c>
      <c r="F42" s="2742"/>
      <c r="G42" s="300" t="str">
        <f>EUconst_Unit</f>
        <v>Единица мярка</v>
      </c>
      <c r="H42" s="391">
        <f t="shared" ref="H42:N42" si="12">H$428</f>
        <v>2024</v>
      </c>
      <c r="I42" s="391">
        <f t="shared" si="12"/>
        <v>2025</v>
      </c>
      <c r="J42" s="391">
        <f t="shared" si="12"/>
        <v>2026</v>
      </c>
      <c r="K42" s="391">
        <f t="shared" si="12"/>
        <v>2027</v>
      </c>
      <c r="L42" s="391">
        <f t="shared" si="12"/>
        <v>2028</v>
      </c>
      <c r="M42" s="391">
        <f t="shared" si="12"/>
        <v>2029</v>
      </c>
      <c r="N42" s="391">
        <f t="shared" si="12"/>
        <v>2030</v>
      </c>
      <c r="O42" s="336"/>
      <c r="P42" s="302"/>
      <c r="Q42" s="711"/>
      <c r="R42" s="711"/>
      <c r="S42" s="711"/>
      <c r="T42" s="711" t="s">
        <v>1148</v>
      </c>
      <c r="U42" s="711"/>
      <c r="V42" s="711"/>
      <c r="W42" s="711"/>
      <c r="X42" s="711"/>
      <c r="Y42" s="711"/>
      <c r="Z42" s="711"/>
      <c r="AA42" s="711"/>
      <c r="AB42" s="711"/>
      <c r="AC42" s="711"/>
      <c r="AD42" s="711"/>
      <c r="AE42" s="711"/>
    </row>
    <row r="43" spans="1:31" s="364" customFormat="1" ht="12.75" customHeight="1" x14ac:dyDescent="0.25">
      <c r="A43" s="711"/>
      <c r="B43" s="302"/>
      <c r="C43" s="302"/>
      <c r="D43" s="360" t="s">
        <v>6</v>
      </c>
      <c r="E43" s="2740" t="str">
        <f>Translations!$B$1486</f>
        <v>Вложена енергия в подинсталации с продуктов показател</v>
      </c>
      <c r="F43" s="2739"/>
      <c r="G43" s="1062" t="str">
        <f t="shared" ref="G43:G51" si="13">IF(CTRL_InputMethodFuelDistribution=EUconst_NA,EUconst_relOrTJpa,IF(CTRL_InputMethodFuelDistribution=1,EUconst_TJpa,"%"))</f>
        <v>% или TJ / година</v>
      </c>
      <c r="H43" s="50"/>
      <c r="I43" s="50"/>
      <c r="J43" s="50"/>
      <c r="K43" s="50"/>
      <c r="L43" s="50"/>
      <c r="M43" s="50"/>
      <c r="N43" s="50"/>
      <c r="O43" s="336"/>
      <c r="P43" s="181"/>
      <c r="Q43" s="711"/>
      <c r="R43" s="711"/>
      <c r="S43" s="711"/>
      <c r="T43" s="1017" t="b">
        <f>IF(CNTR_HasEntries_A_I,NOT(OR(CNTR_SubInstListIsProdBM)),FALSE)</f>
        <v>0</v>
      </c>
      <c r="U43" s="711"/>
      <c r="V43" s="711"/>
      <c r="W43" s="711"/>
      <c r="X43" s="711"/>
      <c r="Y43" s="711"/>
      <c r="Z43" s="711"/>
      <c r="AA43" s="711"/>
      <c r="AB43" s="711"/>
      <c r="AC43" s="711"/>
      <c r="AD43" s="732" t="s">
        <v>2039</v>
      </c>
      <c r="AE43" s="875" t="str">
        <f t="shared" ref="AE43:AE50" si="14">IF(AND(CNTR_HasEntries_A_I,T43=FALSE,COUNTIFS($V$20:$AB$20,FALSE,H43:N43,"")&gt;0),1,"")</f>
        <v/>
      </c>
    </row>
    <row r="44" spans="1:31" s="364" customFormat="1" ht="13" customHeight="1" thickBot="1" x14ac:dyDescent="0.3">
      <c r="A44" s="711"/>
      <c r="B44" s="302"/>
      <c r="C44" s="302"/>
      <c r="D44" s="360" t="s">
        <v>7</v>
      </c>
      <c r="E44" s="2774" t="str">
        <f>Translations!$B$1487</f>
        <v>Вложена енергия за производство на измерима топлинна енергия</v>
      </c>
      <c r="F44" s="2775"/>
      <c r="G44" s="1062" t="str">
        <f t="shared" si="13"/>
        <v>% или TJ / година</v>
      </c>
      <c r="H44" s="50"/>
      <c r="I44" s="50"/>
      <c r="J44" s="50"/>
      <c r="K44" s="50"/>
      <c r="L44" s="50"/>
      <c r="M44" s="50"/>
      <c r="N44" s="50"/>
      <c r="O44" s="336"/>
      <c r="P44" s="181"/>
      <c r="Q44" s="711"/>
      <c r="R44" s="711"/>
      <c r="S44" s="711"/>
      <c r="T44" s="1063"/>
      <c r="U44" s="711"/>
      <c r="V44" s="711"/>
      <c r="W44" s="711"/>
      <c r="X44" s="711"/>
      <c r="Y44" s="711"/>
      <c r="Z44" s="711"/>
      <c r="AA44" s="711"/>
      <c r="AB44" s="711"/>
      <c r="AC44" s="711"/>
      <c r="AD44" s="732" t="s">
        <v>2039</v>
      </c>
      <c r="AE44" s="875" t="str">
        <f t="shared" si="14"/>
        <v/>
      </c>
    </row>
    <row r="45" spans="1:31" s="364" customFormat="1" ht="13" customHeight="1" x14ac:dyDescent="0.25">
      <c r="A45" s="711"/>
      <c r="B45" s="302"/>
      <c r="C45" s="302"/>
      <c r="D45" s="360" t="s">
        <v>8</v>
      </c>
      <c r="E45" s="2776" t="str">
        <f>INDEX(EUconst_FallBackListNames,R45)</f>
        <v>Подинсталация с горивен показател (с риск от ИВЕ | извън МКВЕГ)</v>
      </c>
      <c r="F45" s="2722"/>
      <c r="G45" s="1064" t="str">
        <f t="shared" si="13"/>
        <v>% или TJ / година</v>
      </c>
      <c r="H45" s="52"/>
      <c r="I45" s="52"/>
      <c r="J45" s="52"/>
      <c r="K45" s="52"/>
      <c r="L45" s="52"/>
      <c r="M45" s="52"/>
      <c r="N45" s="53"/>
      <c r="O45" s="336"/>
      <c r="P45" s="181"/>
      <c r="Q45" s="1017" t="str">
        <f>IF(CTRL_InputMethodFuelDistribution=1,EUconst_CNTR_HAL&amp;E45,"")</f>
        <v/>
      </c>
      <c r="R45" s="1065">
        <v>5</v>
      </c>
      <c r="S45" s="711"/>
      <c r="T45" s="1017" t="b">
        <f>IF(INDEX(CNTR_FallBackSubInstRelevant,R45)="",FALSE,IF(INDEX(CNTR_FallBackSubInstRelevant,R45),FALSE,TRUE))</f>
        <v>0</v>
      </c>
      <c r="U45" s="711"/>
      <c r="V45" s="711"/>
      <c r="W45" s="711"/>
      <c r="X45" s="711"/>
      <c r="Y45" s="711"/>
      <c r="Z45" s="711"/>
      <c r="AA45" s="711"/>
      <c r="AB45" s="711"/>
      <c r="AC45" s="711"/>
      <c r="AD45" s="732" t="s">
        <v>2039</v>
      </c>
      <c r="AE45" s="875" t="str">
        <f t="shared" si="14"/>
        <v/>
      </c>
    </row>
    <row r="46" spans="1:31" s="364" customFormat="1" ht="13" customHeight="1" x14ac:dyDescent="0.25">
      <c r="A46" s="711"/>
      <c r="B46" s="302"/>
      <c r="C46" s="302"/>
      <c r="D46" s="360" t="s">
        <v>18</v>
      </c>
      <c r="E46" s="2788" t="str">
        <f>INDEX(EUconst_FallBackListNames,R46)</f>
        <v>Подинсталация с горивен показател (без риск от ИВЕ | извън МКВЕГ)</v>
      </c>
      <c r="F46" s="2789"/>
      <c r="G46" s="1066" t="str">
        <f t="shared" si="13"/>
        <v>% или TJ / година</v>
      </c>
      <c r="H46" s="238"/>
      <c r="I46" s="238"/>
      <c r="J46" s="238"/>
      <c r="K46" s="238"/>
      <c r="L46" s="238"/>
      <c r="M46" s="238"/>
      <c r="N46" s="239"/>
      <c r="O46" s="336"/>
      <c r="P46" s="181"/>
      <c r="Q46" s="1067" t="str">
        <f>IF(CTRL_InputMethodFuelDistribution=1,EUconst_CNTR_HAL&amp;E46,"")</f>
        <v/>
      </c>
      <c r="R46" s="1068">
        <v>6</v>
      </c>
      <c r="S46" s="711"/>
      <c r="T46" s="1067" t="b">
        <f>IF(INDEX(CNTR_FallBackSubInstRelevant,R46)="",FALSE,IF(INDEX(CNTR_FallBackSubInstRelevant,R46),FALSE,TRUE))</f>
        <v>0</v>
      </c>
      <c r="U46" s="711"/>
      <c r="V46" s="711"/>
      <c r="W46" s="711"/>
      <c r="X46" s="711"/>
      <c r="Y46" s="711"/>
      <c r="Z46" s="711"/>
      <c r="AA46" s="711"/>
      <c r="AB46" s="711"/>
      <c r="AC46" s="711"/>
      <c r="AD46" s="732" t="s">
        <v>2039</v>
      </c>
      <c r="AE46" s="875" t="str">
        <f t="shared" si="14"/>
        <v/>
      </c>
    </row>
    <row r="47" spans="1:31" s="364" customFormat="1" ht="13.5" customHeight="1" thickBot="1" x14ac:dyDescent="0.3">
      <c r="A47" s="711"/>
      <c r="B47" s="302"/>
      <c r="C47" s="302"/>
      <c r="D47" s="360" t="s">
        <v>810</v>
      </c>
      <c r="E47" s="2778" t="str">
        <f>INDEX(EUconst_FallBackListNames,R47)</f>
        <v>Подинсталация с горивен показател (с риск от ИВЕ | в рамките на МКВЕГ)</v>
      </c>
      <c r="F47" s="2727"/>
      <c r="G47" s="1069" t="str">
        <f t="shared" si="13"/>
        <v>% или TJ / година</v>
      </c>
      <c r="H47" s="54"/>
      <c r="I47" s="54"/>
      <c r="J47" s="54"/>
      <c r="K47" s="54"/>
      <c r="L47" s="54"/>
      <c r="M47" s="54"/>
      <c r="N47" s="55"/>
      <c r="O47" s="336"/>
      <c r="P47" s="181"/>
      <c r="Q47" s="1070" t="str">
        <f>IF(CTRL_InputMethodFuelDistribution=1,EUconst_CNTR_HAL&amp;E47,"")</f>
        <v/>
      </c>
      <c r="R47" s="1071">
        <v>7</v>
      </c>
      <c r="S47" s="711"/>
      <c r="T47" s="1070" t="b">
        <f>IF(INDEX(CNTR_FallBackSubInstRelevant,R47)="",FALSE,IF(INDEX(CNTR_FallBackSubInstRelevant,R47),FALSE,TRUE))</f>
        <v>0</v>
      </c>
      <c r="U47" s="711"/>
      <c r="V47" s="711"/>
      <c r="W47" s="711"/>
      <c r="X47" s="711"/>
      <c r="Y47" s="711"/>
      <c r="Z47" s="711"/>
      <c r="AA47" s="711"/>
      <c r="AB47" s="711"/>
      <c r="AC47" s="711"/>
      <c r="AD47" s="732" t="s">
        <v>2039</v>
      </c>
      <c r="AE47" s="875" t="str">
        <f t="shared" si="14"/>
        <v/>
      </c>
    </row>
    <row r="48" spans="1:31" s="364" customFormat="1" ht="12.65" customHeight="1" x14ac:dyDescent="0.25">
      <c r="A48" s="711"/>
      <c r="B48" s="302"/>
      <c r="C48" s="302"/>
      <c r="D48" s="360" t="s">
        <v>811</v>
      </c>
      <c r="E48" s="2786" t="str">
        <f>Translations!$B$1482</f>
        <v>Вложена енергия за производството на електроенергия</v>
      </c>
      <c r="F48" s="2787"/>
      <c r="G48" s="1072" t="str">
        <f t="shared" si="13"/>
        <v>% или TJ / година</v>
      </c>
      <c r="H48" s="79"/>
      <c r="I48" s="79"/>
      <c r="J48" s="79"/>
      <c r="K48" s="79"/>
      <c r="L48" s="79"/>
      <c r="M48" s="79"/>
      <c r="N48" s="79"/>
      <c r="O48" s="336"/>
      <c r="P48" s="181"/>
      <c r="Q48" s="1063"/>
      <c r="R48" s="711"/>
      <c r="S48" s="711"/>
      <c r="T48" s="711"/>
      <c r="U48" s="711"/>
      <c r="V48" s="711"/>
      <c r="W48" s="711"/>
      <c r="X48" s="711"/>
      <c r="Y48" s="711"/>
      <c r="Z48" s="711"/>
      <c r="AA48" s="711"/>
      <c r="AB48" s="711"/>
      <c r="AC48" s="711"/>
      <c r="AD48" s="732" t="s">
        <v>2039</v>
      </c>
      <c r="AE48" s="875" t="str">
        <f t="shared" si="14"/>
        <v/>
      </c>
    </row>
    <row r="49" spans="1:31" s="364" customFormat="1" ht="12.65" customHeight="1" x14ac:dyDescent="0.25">
      <c r="A49" s="711"/>
      <c r="B49" s="302"/>
      <c r="C49" s="302"/>
      <c r="D49" s="360" t="s">
        <v>812</v>
      </c>
      <c r="E49" s="2740" t="str">
        <f>Translations!$B$1488</f>
        <v>Вложена енергия за неенергийни цели</v>
      </c>
      <c r="F49" s="2739"/>
      <c r="G49" s="1073" t="str">
        <f t="shared" si="13"/>
        <v>% или TJ / година</v>
      </c>
      <c r="H49" s="270"/>
      <c r="I49" s="270"/>
      <c r="J49" s="270"/>
      <c r="K49" s="270"/>
      <c r="L49" s="270"/>
      <c r="M49" s="270"/>
      <c r="N49" s="270"/>
      <c r="O49" s="336"/>
      <c r="P49" s="181"/>
      <c r="Q49" s="1063"/>
      <c r="R49" s="711"/>
      <c r="S49" s="711"/>
      <c r="T49" s="711"/>
      <c r="U49" s="711"/>
      <c r="V49" s="711"/>
      <c r="W49" s="711"/>
      <c r="X49" s="711"/>
      <c r="Y49" s="711"/>
      <c r="Z49" s="711"/>
      <c r="AA49" s="711"/>
      <c r="AB49" s="711"/>
      <c r="AC49" s="711"/>
      <c r="AD49" s="732" t="s">
        <v>2039</v>
      </c>
      <c r="AE49" s="875" t="str">
        <f t="shared" si="14"/>
        <v/>
      </c>
    </row>
    <row r="50" spans="1:31" s="364" customFormat="1" ht="12.65" customHeight="1" x14ac:dyDescent="0.25">
      <c r="A50" s="711"/>
      <c r="B50" s="302"/>
      <c r="C50" s="302"/>
      <c r="D50" s="360" t="s">
        <v>813</v>
      </c>
      <c r="E50" s="2740" t="str">
        <f>Translations!$B$1489</f>
        <v>Друга вложена енергия за недопустими цели</v>
      </c>
      <c r="F50" s="2739"/>
      <c r="G50" s="1073" t="str">
        <f t="shared" si="13"/>
        <v>% или TJ / година</v>
      </c>
      <c r="H50" s="270"/>
      <c r="I50" s="270"/>
      <c r="J50" s="270"/>
      <c r="K50" s="270"/>
      <c r="L50" s="270"/>
      <c r="M50" s="270"/>
      <c r="N50" s="270"/>
      <c r="O50" s="336"/>
      <c r="P50" s="181"/>
      <c r="Q50" s="1063"/>
      <c r="R50" s="711"/>
      <c r="S50" s="711"/>
      <c r="T50" s="711"/>
      <c r="U50" s="711"/>
      <c r="V50" s="711"/>
      <c r="W50" s="711"/>
      <c r="X50" s="711"/>
      <c r="Y50" s="711"/>
      <c r="Z50" s="711"/>
      <c r="AA50" s="711"/>
      <c r="AB50" s="711"/>
      <c r="AC50" s="711"/>
      <c r="AD50" s="732" t="s">
        <v>2039</v>
      </c>
      <c r="AE50" s="875" t="str">
        <f t="shared" si="14"/>
        <v/>
      </c>
    </row>
    <row r="51" spans="1:31" s="364" customFormat="1" x14ac:dyDescent="0.25">
      <c r="A51" s="711"/>
      <c r="B51" s="302"/>
      <c r="C51" s="302"/>
      <c r="D51" s="360" t="s">
        <v>814</v>
      </c>
      <c r="E51" s="2740" t="str">
        <f>Translations!$B$326</f>
        <v>Други</v>
      </c>
      <c r="F51" s="2739"/>
      <c r="G51" s="1073" t="str">
        <f t="shared" si="13"/>
        <v>% или TJ / година</v>
      </c>
      <c r="H51" s="477" t="str">
        <f t="shared" ref="H51:N51" si="15">IF(AND(COUNT(H43:H50,H23)&gt;0,ISNUMBER(CTRL_InputMethodFuelDistribution)),IF(CTRL_InputMethodFuelDistribution=1,H23-SUM(H43:H50),100-SUM(H43:H50)),"")</f>
        <v/>
      </c>
      <c r="I51" s="477" t="str">
        <f t="shared" si="15"/>
        <v/>
      </c>
      <c r="J51" s="477" t="str">
        <f t="shared" si="15"/>
        <v/>
      </c>
      <c r="K51" s="477" t="str">
        <f t="shared" si="15"/>
        <v/>
      </c>
      <c r="L51" s="477" t="str">
        <f t="shared" si="15"/>
        <v/>
      </c>
      <c r="M51" s="477" t="str">
        <f t="shared" si="15"/>
        <v/>
      </c>
      <c r="N51" s="477" t="str">
        <f t="shared" si="15"/>
        <v/>
      </c>
      <c r="O51" s="336"/>
      <c r="P51" s="302"/>
      <c r="Q51" s="1063"/>
      <c r="R51" s="711"/>
      <c r="S51" s="711"/>
      <c r="T51" s="711"/>
      <c r="U51" s="711"/>
      <c r="V51" s="711"/>
      <c r="W51" s="711"/>
      <c r="X51" s="711"/>
      <c r="Y51" s="711"/>
      <c r="Z51" s="711"/>
      <c r="AA51" s="711"/>
      <c r="AB51" s="711"/>
      <c r="AC51" s="711"/>
      <c r="AD51" s="711"/>
      <c r="AE51" s="711"/>
    </row>
    <row r="52" spans="1:31" s="364" customFormat="1" x14ac:dyDescent="0.25">
      <c r="A52" s="711"/>
      <c r="B52" s="302"/>
      <c r="C52" s="302"/>
      <c r="D52" s="302"/>
      <c r="E52" s="302"/>
      <c r="F52" s="302"/>
      <c r="G52" s="302"/>
      <c r="H52" s="302"/>
      <c r="I52" s="302"/>
      <c r="J52" s="302"/>
      <c r="K52" s="302"/>
      <c r="L52" s="302"/>
      <c r="M52" s="302"/>
      <c r="N52" s="302"/>
      <c r="O52" s="336"/>
      <c r="P52" s="302"/>
      <c r="Q52" s="1063"/>
      <c r="R52" s="711"/>
      <c r="S52" s="711"/>
      <c r="T52" s="711"/>
      <c r="U52" s="711"/>
      <c r="V52" s="711"/>
      <c r="W52" s="711"/>
      <c r="X52" s="711"/>
      <c r="Y52" s="711"/>
      <c r="Z52" s="711"/>
      <c r="AA52" s="711"/>
      <c r="AB52" s="711"/>
      <c r="AC52" s="711"/>
      <c r="AD52" s="711"/>
      <c r="AE52" s="711"/>
    </row>
    <row r="53" spans="1:31" s="364" customFormat="1" ht="12.65" customHeight="1" x14ac:dyDescent="0.25">
      <c r="A53" s="711"/>
      <c r="B53" s="284"/>
      <c r="C53" s="284"/>
      <c r="D53" s="302"/>
      <c r="E53" s="2733" t="str">
        <f>Translations!$B$327</f>
        <v>For control purposes, the inputs are displayed here in the unit which you have not chosen for input:</v>
      </c>
      <c r="F53" s="2725"/>
      <c r="G53" s="2725"/>
      <c r="H53" s="2725"/>
      <c r="I53" s="2725"/>
      <c r="J53" s="2725"/>
      <c r="K53" s="2725"/>
      <c r="L53" s="2725"/>
      <c r="M53" s="2725"/>
      <c r="N53" s="2725"/>
      <c r="O53" s="336"/>
      <c r="P53" s="302"/>
      <c r="Q53" s="1074"/>
      <c r="R53" s="711"/>
      <c r="S53" s="711"/>
      <c r="T53" s="711"/>
      <c r="U53" s="711"/>
      <c r="V53" s="711"/>
      <c r="W53" s="711"/>
      <c r="X53" s="711"/>
      <c r="Y53" s="711"/>
      <c r="Z53" s="711"/>
      <c r="AA53" s="711"/>
      <c r="AB53" s="711"/>
      <c r="AC53" s="711"/>
      <c r="AD53" s="711"/>
      <c r="AE53" s="711"/>
    </row>
    <row r="54" spans="1:31" s="364" customFormat="1" ht="5.15" customHeight="1" x14ac:dyDescent="0.25">
      <c r="A54" s="711"/>
      <c r="B54" s="284"/>
      <c r="C54" s="284"/>
      <c r="D54" s="284"/>
      <c r="E54" s="284"/>
      <c r="F54" s="284"/>
      <c r="G54" s="284"/>
      <c r="H54" s="284"/>
      <c r="I54" s="284"/>
      <c r="J54" s="284"/>
      <c r="K54" s="284"/>
      <c r="L54" s="284"/>
      <c r="M54" s="284"/>
      <c r="N54" s="284"/>
      <c r="O54" s="336"/>
      <c r="P54" s="302"/>
      <c r="Q54" s="1074"/>
      <c r="R54" s="711"/>
      <c r="S54" s="711"/>
      <c r="T54" s="711"/>
      <c r="U54" s="711"/>
      <c r="V54" s="711"/>
      <c r="W54" s="711"/>
      <c r="X54" s="711"/>
      <c r="Y54" s="711"/>
      <c r="Z54" s="711"/>
      <c r="AA54" s="711"/>
      <c r="AB54" s="711"/>
      <c r="AC54" s="711"/>
      <c r="AD54" s="711"/>
      <c r="AE54" s="711"/>
    </row>
    <row r="55" spans="1:31" s="364" customFormat="1" ht="13" customHeight="1" x14ac:dyDescent="0.25">
      <c r="A55" s="711"/>
      <c r="B55" s="302"/>
      <c r="C55" s="302"/>
      <c r="D55" s="302"/>
      <c r="E55" s="2742" t="str">
        <f t="shared" ref="E55:E60" si="16">E42</f>
        <v>Вид използване на вложената енергия</v>
      </c>
      <c r="F55" s="2743"/>
      <c r="G55" s="300" t="str">
        <f>EUconst_Unit</f>
        <v>Единица мярка</v>
      </c>
      <c r="H55" s="391">
        <f t="shared" ref="H55:N55" si="17">H$428</f>
        <v>2024</v>
      </c>
      <c r="I55" s="391">
        <f t="shared" si="17"/>
        <v>2025</v>
      </c>
      <c r="J55" s="391">
        <f t="shared" si="17"/>
        <v>2026</v>
      </c>
      <c r="K55" s="391">
        <f t="shared" si="17"/>
        <v>2027</v>
      </c>
      <c r="L55" s="391">
        <f t="shared" si="17"/>
        <v>2028</v>
      </c>
      <c r="M55" s="391">
        <f t="shared" si="17"/>
        <v>2029</v>
      </c>
      <c r="N55" s="391">
        <f t="shared" si="17"/>
        <v>2030</v>
      </c>
      <c r="O55" s="336"/>
      <c r="P55" s="302"/>
      <c r="Q55" s="1063"/>
      <c r="R55" s="711"/>
      <c r="S55" s="711"/>
      <c r="T55" s="711"/>
      <c r="U55" s="711"/>
      <c r="V55" s="711"/>
      <c r="W55" s="711"/>
      <c r="X55" s="711"/>
      <c r="Y55" s="711"/>
      <c r="Z55" s="711"/>
      <c r="AA55" s="711"/>
      <c r="AB55" s="711"/>
      <c r="AC55" s="711"/>
      <c r="AD55" s="711"/>
      <c r="AE55" s="711"/>
    </row>
    <row r="56" spans="1:31" s="364" customFormat="1" ht="13.5" customHeight="1" x14ac:dyDescent="0.25">
      <c r="A56" s="711"/>
      <c r="B56" s="302"/>
      <c r="C56" s="302"/>
      <c r="D56" s="360" t="s">
        <v>812</v>
      </c>
      <c r="E56" s="2782" t="str">
        <f t="shared" si="16"/>
        <v>Вложена енергия в подинсталации с продуктов показател</v>
      </c>
      <c r="F56" s="2739"/>
      <c r="G56" s="1062" t="str">
        <f t="shared" ref="G56:G64" si="18">IF(CTRL_InputMethodFuelDistribution=EUconst_NA,EUconst_relOrTJpa,IF(CTRL_InputMethodFuelDistribution=2,EUconst_TJpa,"%"))</f>
        <v>% или TJ / година</v>
      </c>
      <c r="H56" s="422" t="str">
        <f t="shared" ref="H56:N61" si="19">IF(AND(ISNUMBER(H$23),ISNUMBER(H43),CTRL_InputMethodFuelDistribution&lt;&gt;EUconst_NA),IF(CTRL_InputMethodFuelDistribution=1,H43/H$23*100,H43*H$23/100),"")</f>
        <v/>
      </c>
      <c r="I56" s="422" t="str">
        <f t="shared" si="19"/>
        <v/>
      </c>
      <c r="J56" s="422" t="str">
        <f t="shared" si="19"/>
        <v/>
      </c>
      <c r="K56" s="422" t="str">
        <f t="shared" si="19"/>
        <v/>
      </c>
      <c r="L56" s="422" t="str">
        <f t="shared" si="19"/>
        <v/>
      </c>
      <c r="M56" s="422" t="str">
        <f t="shared" si="19"/>
        <v/>
      </c>
      <c r="N56" s="422" t="str">
        <f t="shared" si="19"/>
        <v/>
      </c>
      <c r="O56" s="336"/>
      <c r="P56" s="302"/>
      <c r="Q56" s="1063"/>
      <c r="R56" s="711"/>
      <c r="S56" s="711"/>
      <c r="T56" s="711"/>
      <c r="U56" s="711"/>
      <c r="V56" s="711"/>
      <c r="W56" s="711"/>
      <c r="X56" s="711"/>
      <c r="Y56" s="711"/>
      <c r="Z56" s="711"/>
      <c r="AA56" s="711"/>
      <c r="AB56" s="711"/>
      <c r="AC56" s="711"/>
      <c r="AD56" s="711"/>
      <c r="AE56" s="711"/>
    </row>
    <row r="57" spans="1:31" s="364" customFormat="1" ht="13" customHeight="1" thickBot="1" x14ac:dyDescent="0.3">
      <c r="A57" s="711"/>
      <c r="B57" s="302"/>
      <c r="C57" s="302"/>
      <c r="D57" s="360" t="s">
        <v>813</v>
      </c>
      <c r="E57" s="2774" t="str">
        <f t="shared" si="16"/>
        <v>Вложена енергия за производство на измерима топлинна енергия</v>
      </c>
      <c r="F57" s="2775"/>
      <c r="G57" s="1062" t="str">
        <f t="shared" si="18"/>
        <v>% или TJ / година</v>
      </c>
      <c r="H57" s="422" t="str">
        <f t="shared" si="19"/>
        <v/>
      </c>
      <c r="I57" s="422" t="str">
        <f t="shared" si="19"/>
        <v/>
      </c>
      <c r="J57" s="422" t="str">
        <f t="shared" si="19"/>
        <v/>
      </c>
      <c r="K57" s="422" t="str">
        <f t="shared" si="19"/>
        <v/>
      </c>
      <c r="L57" s="422" t="str">
        <f t="shared" si="19"/>
        <v/>
      </c>
      <c r="M57" s="422" t="str">
        <f t="shared" si="19"/>
        <v/>
      </c>
      <c r="N57" s="422" t="str">
        <f t="shared" si="19"/>
        <v/>
      </c>
      <c r="O57" s="336"/>
      <c r="P57" s="302"/>
      <c r="Q57" s="1063"/>
      <c r="R57" s="711"/>
      <c r="S57" s="711"/>
      <c r="T57" s="711"/>
      <c r="U57" s="711"/>
      <c r="V57" s="711"/>
      <c r="W57" s="711"/>
      <c r="X57" s="711"/>
      <c r="Y57" s="711"/>
      <c r="Z57" s="711"/>
      <c r="AA57" s="711"/>
      <c r="AB57" s="711"/>
      <c r="AC57" s="711"/>
      <c r="AD57" s="711"/>
      <c r="AE57" s="711"/>
    </row>
    <row r="58" spans="1:31" s="364" customFormat="1" ht="13" customHeight="1" x14ac:dyDescent="0.25">
      <c r="A58" s="711"/>
      <c r="B58" s="302"/>
      <c r="C58" s="302"/>
      <c r="D58" s="360" t="s">
        <v>814</v>
      </c>
      <c r="E58" s="2776" t="str">
        <f t="shared" si="16"/>
        <v>Подинсталация с горивен показател (с риск от ИВЕ | извън МКВЕГ)</v>
      </c>
      <c r="F58" s="2722"/>
      <c r="G58" s="1064" t="str">
        <f t="shared" si="18"/>
        <v>% или TJ / година</v>
      </c>
      <c r="H58" s="469" t="str">
        <f t="shared" si="19"/>
        <v/>
      </c>
      <c r="I58" s="469" t="str">
        <f t="shared" si="19"/>
        <v/>
      </c>
      <c r="J58" s="469" t="str">
        <f t="shared" si="19"/>
        <v/>
      </c>
      <c r="K58" s="469" t="str">
        <f t="shared" si="19"/>
        <v/>
      </c>
      <c r="L58" s="469" t="str">
        <f t="shared" si="19"/>
        <v/>
      </c>
      <c r="M58" s="469" t="str">
        <f t="shared" si="19"/>
        <v/>
      </c>
      <c r="N58" s="470" t="str">
        <f t="shared" si="19"/>
        <v/>
      </c>
      <c r="O58" s="336"/>
      <c r="P58" s="302"/>
      <c r="Q58" s="1075" t="str">
        <f>IF(CTRL_InputMethodFuelDistribution=2,EUconst_CNTR_HAL&amp;E58,"")</f>
        <v/>
      </c>
      <c r="R58" s="711"/>
      <c r="S58" s="711"/>
      <c r="T58" s="711"/>
      <c r="U58" s="711"/>
      <c r="V58" s="711"/>
      <c r="W58" s="711"/>
      <c r="X58" s="711"/>
      <c r="Y58" s="711"/>
      <c r="Z58" s="711"/>
      <c r="AA58" s="711"/>
      <c r="AB58" s="711"/>
      <c r="AC58" s="711"/>
      <c r="AD58" s="711"/>
      <c r="AE58" s="711"/>
    </row>
    <row r="59" spans="1:31" s="364" customFormat="1" ht="13" customHeight="1" x14ac:dyDescent="0.25">
      <c r="A59" s="711"/>
      <c r="B59" s="302"/>
      <c r="C59" s="302"/>
      <c r="D59" s="360" t="s">
        <v>61</v>
      </c>
      <c r="E59" s="2788" t="str">
        <f t="shared" si="16"/>
        <v>Подинсталация с горивен показател (без риск от ИВЕ | извън МКВЕГ)</v>
      </c>
      <c r="F59" s="2789"/>
      <c r="G59" s="1066" t="str">
        <f t="shared" si="18"/>
        <v>% или TJ / година</v>
      </c>
      <c r="H59" s="1076" t="str">
        <f t="shared" si="19"/>
        <v/>
      </c>
      <c r="I59" s="1076" t="str">
        <f t="shared" si="19"/>
        <v/>
      </c>
      <c r="J59" s="1076" t="str">
        <f t="shared" si="19"/>
        <v/>
      </c>
      <c r="K59" s="1076" t="str">
        <f t="shared" si="19"/>
        <v/>
      </c>
      <c r="L59" s="1076" t="str">
        <f t="shared" si="19"/>
        <v/>
      </c>
      <c r="M59" s="1076" t="str">
        <f t="shared" si="19"/>
        <v/>
      </c>
      <c r="N59" s="1077" t="str">
        <f t="shared" si="19"/>
        <v/>
      </c>
      <c r="O59" s="336"/>
      <c r="P59" s="302"/>
      <c r="Q59" s="1063" t="str">
        <f>IF(CTRL_InputMethodFuelDistribution=2,EUconst_CNTR_HAL&amp;E59,"")</f>
        <v/>
      </c>
      <c r="R59" s="711"/>
      <c r="S59" s="711"/>
      <c r="T59" s="711"/>
      <c r="U59" s="711"/>
      <c r="V59" s="711"/>
      <c r="W59" s="711"/>
      <c r="X59" s="711"/>
      <c r="Y59" s="711"/>
      <c r="Z59" s="711"/>
      <c r="AA59" s="711"/>
      <c r="AB59" s="711"/>
      <c r="AC59" s="711"/>
      <c r="AD59" s="711"/>
      <c r="AE59" s="711"/>
    </row>
    <row r="60" spans="1:31" s="364" customFormat="1" ht="13.5" customHeight="1" thickBot="1" x14ac:dyDescent="0.3">
      <c r="A60" s="711"/>
      <c r="B60" s="302"/>
      <c r="C60" s="302"/>
      <c r="D60" s="360" t="s">
        <v>62</v>
      </c>
      <c r="E60" s="2778" t="str">
        <f t="shared" si="16"/>
        <v>Подинсталация с горивен показател (с риск от ИВЕ | в рамките на МКВЕГ)</v>
      </c>
      <c r="F60" s="2727"/>
      <c r="G60" s="1069" t="str">
        <f t="shared" si="18"/>
        <v>% или TJ / година</v>
      </c>
      <c r="H60" s="475" t="str">
        <f t="shared" si="19"/>
        <v/>
      </c>
      <c r="I60" s="475" t="str">
        <f t="shared" si="19"/>
        <v/>
      </c>
      <c r="J60" s="475" t="str">
        <f t="shared" si="19"/>
        <v/>
      </c>
      <c r="K60" s="475" t="str">
        <f t="shared" si="19"/>
        <v/>
      </c>
      <c r="L60" s="475" t="str">
        <f t="shared" si="19"/>
        <v/>
      </c>
      <c r="M60" s="475" t="str">
        <f t="shared" si="19"/>
        <v/>
      </c>
      <c r="N60" s="476" t="str">
        <f t="shared" si="19"/>
        <v/>
      </c>
      <c r="O60" s="336"/>
      <c r="P60" s="302"/>
      <c r="Q60" s="1078" t="str">
        <f>IF(CTRL_InputMethodFuelDistribution=2,EUconst_CNTR_HAL&amp;E60,"")</f>
        <v/>
      </c>
      <c r="R60" s="711"/>
      <c r="S60" s="711"/>
      <c r="T60" s="711"/>
      <c r="U60" s="711"/>
      <c r="V60" s="711"/>
      <c r="W60" s="711"/>
      <c r="X60" s="711"/>
      <c r="Y60" s="711"/>
      <c r="Z60" s="711"/>
      <c r="AA60" s="711"/>
      <c r="AB60" s="711"/>
      <c r="AC60" s="711"/>
      <c r="AD60" s="711"/>
      <c r="AE60" s="711"/>
    </row>
    <row r="61" spans="1:31" s="364" customFormat="1" ht="12.65" customHeight="1" x14ac:dyDescent="0.25">
      <c r="A61" s="711"/>
      <c r="B61" s="302"/>
      <c r="C61" s="302"/>
      <c r="D61" s="360" t="s">
        <v>63</v>
      </c>
      <c r="E61" s="2786" t="str">
        <f>Translations!$B$1482</f>
        <v>Вложена енергия за производството на електроенергия</v>
      </c>
      <c r="F61" s="2787"/>
      <c r="G61" s="1072" t="str">
        <f t="shared" si="18"/>
        <v>% или TJ / година</v>
      </c>
      <c r="H61" s="1079" t="str">
        <f t="shared" si="19"/>
        <v/>
      </c>
      <c r="I61" s="1079" t="str">
        <f t="shared" si="19"/>
        <v/>
      </c>
      <c r="J61" s="1079" t="str">
        <f t="shared" si="19"/>
        <v/>
      </c>
      <c r="K61" s="1079" t="str">
        <f t="shared" si="19"/>
        <v/>
      </c>
      <c r="L61" s="1079" t="str">
        <f t="shared" si="19"/>
        <v/>
      </c>
      <c r="M61" s="1079" t="str">
        <f t="shared" si="19"/>
        <v/>
      </c>
      <c r="N61" s="1079" t="str">
        <f t="shared" si="19"/>
        <v/>
      </c>
      <c r="O61" s="336"/>
      <c r="P61" s="302"/>
      <c r="Q61" s="711"/>
      <c r="R61" s="711"/>
      <c r="S61" s="711"/>
      <c r="T61" s="711"/>
      <c r="U61" s="711"/>
      <c r="V61" s="711"/>
      <c r="W61" s="711"/>
      <c r="X61" s="711"/>
      <c r="Y61" s="711"/>
      <c r="Z61" s="711"/>
      <c r="AA61" s="711"/>
      <c r="AB61" s="711"/>
      <c r="AC61" s="711"/>
      <c r="AD61" s="711"/>
      <c r="AE61" s="711"/>
    </row>
    <row r="62" spans="1:31" s="364" customFormat="1" ht="12.65" customHeight="1" x14ac:dyDescent="0.25">
      <c r="A62" s="711"/>
      <c r="B62" s="302"/>
      <c r="C62" s="302"/>
      <c r="D62" s="360" t="s">
        <v>1136</v>
      </c>
      <c r="E62" s="2740" t="str">
        <f>Translations!$B$1488</f>
        <v>Вложена енергия за неенергийни цели</v>
      </c>
      <c r="F62" s="2739"/>
      <c r="G62" s="1073" t="str">
        <f t="shared" si="18"/>
        <v>% или TJ / година</v>
      </c>
      <c r="H62" s="477" t="str">
        <f t="shared" ref="H62:N62" si="20">IF(AND(ISNUMBER(H$23),ISNUMBER(H49),CTRL_InputMethodFuelDistribution&lt;&gt;EUconst_NA),IF(CTRL_InputMethodFuelDistribution=1,H49/H$23*100,H49*H$23/100),"")</f>
        <v/>
      </c>
      <c r="I62" s="477" t="str">
        <f t="shared" si="20"/>
        <v/>
      </c>
      <c r="J62" s="477" t="str">
        <f t="shared" si="20"/>
        <v/>
      </c>
      <c r="K62" s="477" t="str">
        <f t="shared" si="20"/>
        <v/>
      </c>
      <c r="L62" s="477" t="str">
        <f t="shared" si="20"/>
        <v/>
      </c>
      <c r="M62" s="477" t="str">
        <f t="shared" si="20"/>
        <v/>
      </c>
      <c r="N62" s="477" t="str">
        <f t="shared" si="20"/>
        <v/>
      </c>
      <c r="O62" s="336"/>
      <c r="P62" s="302"/>
      <c r="Q62" s="711"/>
      <c r="R62" s="711"/>
      <c r="S62" s="711"/>
      <c r="T62" s="711"/>
      <c r="U62" s="711"/>
      <c r="V62" s="711"/>
      <c r="W62" s="711"/>
      <c r="X62" s="711"/>
      <c r="Y62" s="711"/>
      <c r="Z62" s="711"/>
      <c r="AA62" s="711"/>
      <c r="AB62" s="711"/>
      <c r="AC62" s="711"/>
      <c r="AD62" s="711"/>
      <c r="AE62" s="711"/>
    </row>
    <row r="63" spans="1:31" s="364" customFormat="1" ht="12.65" customHeight="1" x14ac:dyDescent="0.25">
      <c r="A63" s="711"/>
      <c r="B63" s="302"/>
      <c r="C63" s="302"/>
      <c r="D63" s="360" t="s">
        <v>1137</v>
      </c>
      <c r="E63" s="2740" t="str">
        <f>Translations!$B$1489</f>
        <v>Друга вложена енергия за недопустими цели</v>
      </c>
      <c r="F63" s="2739"/>
      <c r="G63" s="1073" t="str">
        <f t="shared" si="18"/>
        <v>% или TJ / година</v>
      </c>
      <c r="H63" s="477" t="str">
        <f t="shared" ref="H63:N63" si="21">IF(AND(ISNUMBER(H$23),ISNUMBER(H50),CTRL_InputMethodFuelDistribution&lt;&gt;EUconst_NA),IF(CTRL_InputMethodFuelDistribution=1,H50/H$23*100,H50*H$23/100),"")</f>
        <v/>
      </c>
      <c r="I63" s="477" t="str">
        <f t="shared" si="21"/>
        <v/>
      </c>
      <c r="J63" s="477" t="str">
        <f t="shared" si="21"/>
        <v/>
      </c>
      <c r="K63" s="477" t="str">
        <f t="shared" si="21"/>
        <v/>
      </c>
      <c r="L63" s="477" t="str">
        <f t="shared" si="21"/>
        <v/>
      </c>
      <c r="M63" s="477" t="str">
        <f t="shared" si="21"/>
        <v/>
      </c>
      <c r="N63" s="477" t="str">
        <f t="shared" si="21"/>
        <v/>
      </c>
      <c r="O63" s="336"/>
      <c r="P63" s="302"/>
      <c r="Q63" s="711"/>
      <c r="R63" s="711"/>
      <c r="S63" s="711"/>
      <c r="T63" s="711"/>
      <c r="U63" s="711"/>
      <c r="V63" s="711"/>
      <c r="W63" s="711"/>
      <c r="X63" s="711"/>
      <c r="Y63" s="711"/>
      <c r="Z63" s="711"/>
      <c r="AA63" s="711"/>
      <c r="AB63" s="711"/>
      <c r="AC63" s="711"/>
      <c r="AD63" s="711"/>
      <c r="AE63" s="711"/>
    </row>
    <row r="64" spans="1:31" s="364" customFormat="1" x14ac:dyDescent="0.25">
      <c r="A64" s="711"/>
      <c r="B64" s="302"/>
      <c r="C64" s="302"/>
      <c r="D64" s="360" t="s">
        <v>1138</v>
      </c>
      <c r="E64" s="2740" t="str">
        <f t="shared" ref="E64" si="22">E51</f>
        <v>Други</v>
      </c>
      <c r="F64" s="2739"/>
      <c r="G64" s="1073" t="str">
        <f t="shared" si="18"/>
        <v>% или TJ / година</v>
      </c>
      <c r="H64" s="477" t="str">
        <f t="shared" ref="H64:N64" si="23">IF(AND(ISNUMBER(H$23),ISNUMBER(H51),CTRL_InputMethodFuelDistribution&lt;&gt;EUconst_NA),IF(CTRL_InputMethodFuelDistribution=1,H51/H$23*100,H51*H$23/100),"")</f>
        <v/>
      </c>
      <c r="I64" s="477" t="str">
        <f t="shared" si="23"/>
        <v/>
      </c>
      <c r="J64" s="477" t="str">
        <f t="shared" si="23"/>
        <v/>
      </c>
      <c r="K64" s="477" t="str">
        <f t="shared" si="23"/>
        <v/>
      </c>
      <c r="L64" s="477" t="str">
        <f t="shared" si="23"/>
        <v/>
      </c>
      <c r="M64" s="477" t="str">
        <f t="shared" si="23"/>
        <v/>
      </c>
      <c r="N64" s="477" t="str">
        <f t="shared" si="23"/>
        <v/>
      </c>
      <c r="O64" s="336"/>
      <c r="P64" s="302"/>
      <c r="Q64" s="711"/>
      <c r="R64" s="711"/>
      <c r="S64" s="711"/>
      <c r="T64" s="711"/>
      <c r="U64" s="711"/>
      <c r="V64" s="711"/>
      <c r="W64" s="711"/>
      <c r="X64" s="711"/>
      <c r="Y64" s="711"/>
      <c r="Z64" s="711"/>
      <c r="AA64" s="711"/>
      <c r="AB64" s="711"/>
      <c r="AC64" s="711"/>
      <c r="AD64" s="711"/>
      <c r="AE64" s="711"/>
    </row>
    <row r="65" spans="1:31" ht="5.15" customHeight="1" x14ac:dyDescent="0.25">
      <c r="A65" s="343"/>
      <c r="B65" s="698"/>
      <c r="C65" s="698"/>
      <c r="D65" s="698"/>
      <c r="E65" s="698"/>
      <c r="F65" s="698"/>
      <c r="G65" s="698"/>
      <c r="H65" s="698"/>
      <c r="I65" s="698"/>
      <c r="J65" s="698"/>
      <c r="K65" s="698"/>
      <c r="L65" s="698"/>
      <c r="M65" s="698"/>
      <c r="N65" s="698"/>
      <c r="O65" s="336"/>
      <c r="P65" s="302"/>
      <c r="Q65" s="343"/>
      <c r="R65" s="343"/>
      <c r="S65" s="343"/>
      <c r="T65" s="343"/>
      <c r="U65" s="343"/>
      <c r="V65" s="343"/>
      <c r="W65" s="343"/>
      <c r="X65" s="343"/>
      <c r="Y65" s="343"/>
      <c r="Z65" s="343"/>
      <c r="AA65" s="343"/>
      <c r="AB65" s="343"/>
      <c r="AC65" s="343"/>
      <c r="AD65" s="343"/>
      <c r="AE65" s="343"/>
    </row>
    <row r="66" spans="1:31" s="364" customFormat="1" ht="13" x14ac:dyDescent="0.25">
      <c r="A66" s="711"/>
      <c r="B66" s="284"/>
      <c r="C66" s="284"/>
      <c r="D66" s="300" t="s">
        <v>906</v>
      </c>
      <c r="E66" s="2353" t="str">
        <f>Translations!$B$1305</f>
        <v>Емисионен фактор за горива, използвани за производство на измерима топлинна и електрическа енергия</v>
      </c>
      <c r="F66" s="2354"/>
      <c r="G66" s="2354"/>
      <c r="H66" s="2354"/>
      <c r="I66" s="2354"/>
      <c r="J66" s="2354"/>
      <c r="K66" s="2354"/>
      <c r="L66" s="2354"/>
      <c r="M66" s="2354"/>
      <c r="N66" s="2354"/>
      <c r="O66" s="336"/>
      <c r="P66" s="302"/>
      <c r="Q66" s="695"/>
      <c r="R66" s="711"/>
      <c r="S66" s="711"/>
      <c r="T66" s="711"/>
      <c r="U66" s="711"/>
      <c r="V66" s="711"/>
      <c r="W66" s="711"/>
      <c r="X66" s="711"/>
      <c r="Y66" s="711"/>
      <c r="Z66" s="711"/>
      <c r="AA66" s="711"/>
      <c r="AB66" s="711"/>
      <c r="AC66" s="711"/>
      <c r="AD66" s="711"/>
      <c r="AE66" s="711"/>
    </row>
    <row r="67" spans="1:31" s="364" customFormat="1" ht="25.5" customHeight="1" x14ac:dyDescent="0.25">
      <c r="A67" s="711"/>
      <c r="B67" s="284"/>
      <c r="C67" s="284"/>
      <c r="D67" s="302"/>
      <c r="E67" s="2358" t="str">
        <f>Translations!$B$1306</f>
        <v>Моля, въведете в таблицата по-долу среднопретегления емисионен фактор за всички горива, както и за горивата, използвани съответно за производство на всякаква измерима топлинна и електрическа енергия. Въведените тук стойности нямат никакъв пряк ефект върху разпределянето или върху зададените емисии. Те се използват единствено за проверка на достоверността.</v>
      </c>
      <c r="F67" s="2249"/>
      <c r="G67" s="2249"/>
      <c r="H67" s="2249"/>
      <c r="I67" s="2249"/>
      <c r="J67" s="2249"/>
      <c r="K67" s="2249"/>
      <c r="L67" s="2249"/>
      <c r="M67" s="2249"/>
      <c r="N67" s="2249"/>
      <c r="O67" s="336"/>
      <c r="P67" s="302"/>
      <c r="Q67" s="695"/>
      <c r="R67" s="711"/>
      <c r="S67" s="711"/>
      <c r="T67" s="711"/>
      <c r="U67" s="711"/>
      <c r="V67" s="711"/>
      <c r="W67" s="711"/>
      <c r="X67" s="711"/>
      <c r="Y67" s="711"/>
      <c r="Z67" s="711"/>
      <c r="AA67" s="711"/>
      <c r="AB67" s="711"/>
      <c r="AC67" s="711"/>
      <c r="AD67" s="711"/>
      <c r="AE67" s="711"/>
    </row>
    <row r="68" spans="1:31" s="364" customFormat="1" ht="12.75" customHeight="1" x14ac:dyDescent="0.25">
      <c r="A68" s="711"/>
      <c r="B68" s="284"/>
      <c r="C68" s="284"/>
      <c r="D68" s="302"/>
      <c r="E68" s="2358" t="str">
        <f>Translations!$B$1490</f>
        <v>Моля, изберете „N.A.“ от падащия списък, когато няма съответни входящи количества гориво и следователно няма приложим емисионен фактор.</v>
      </c>
      <c r="F68" s="2249"/>
      <c r="G68" s="2249"/>
      <c r="H68" s="2249"/>
      <c r="I68" s="2249"/>
      <c r="J68" s="2249"/>
      <c r="K68" s="2249"/>
      <c r="L68" s="2249"/>
      <c r="M68" s="2249"/>
      <c r="N68" s="2249"/>
      <c r="O68" s="336"/>
      <c r="P68" s="302"/>
      <c r="Q68" s="695"/>
      <c r="R68" s="711"/>
      <c r="S68" s="711"/>
      <c r="T68" s="711"/>
      <c r="U68" s="711"/>
      <c r="V68" s="711"/>
      <c r="W68" s="711"/>
      <c r="X68" s="711"/>
      <c r="Y68" s="711"/>
      <c r="Z68" s="711"/>
      <c r="AA68" s="711"/>
      <c r="AB68" s="711"/>
      <c r="AC68" s="711"/>
      <c r="AD68" s="711"/>
      <c r="AE68" s="711"/>
    </row>
    <row r="69" spans="1:31" ht="12.75" customHeight="1" x14ac:dyDescent="0.25">
      <c r="A69" s="343"/>
      <c r="B69" s="284"/>
      <c r="C69" s="284"/>
      <c r="D69" s="302"/>
      <c r="E69" s="2781" t="str">
        <f>Translations!$B$1307</f>
        <v>За задаването на вложени горива от комбинираното производство на енергия (КПЕ) за производството на измерима топлинна енергия и електроенергия могат да се използват резултатите от „Инструмента за КПЕ“ от раздел D.III.</v>
      </c>
      <c r="F69" s="2781"/>
      <c r="G69" s="2781"/>
      <c r="H69" s="2781"/>
      <c r="I69" s="2781"/>
      <c r="J69" s="2781"/>
      <c r="K69" s="2781"/>
      <c r="L69" s="2781"/>
      <c r="M69" s="2781"/>
      <c r="N69" s="2781"/>
      <c r="O69" s="336"/>
      <c r="P69" s="302"/>
      <c r="Q69" s="695"/>
      <c r="R69" s="343"/>
      <c r="S69" s="343"/>
      <c r="T69" s="343"/>
      <c r="U69" s="343"/>
      <c r="V69" s="343"/>
      <c r="W69" s="343"/>
      <c r="X69" s="343"/>
      <c r="Y69" s="343"/>
      <c r="Z69" s="343"/>
      <c r="AA69" s="343"/>
      <c r="AB69" s="343"/>
      <c r="AC69" s="343"/>
      <c r="AD69" s="343"/>
      <c r="AE69" s="343"/>
    </row>
    <row r="70" spans="1:31" s="364" customFormat="1" ht="5.15" customHeight="1" x14ac:dyDescent="0.25">
      <c r="A70" s="711"/>
      <c r="B70" s="284"/>
      <c r="C70" s="284"/>
      <c r="D70" s="284"/>
      <c r="E70" s="284"/>
      <c r="F70" s="284"/>
      <c r="G70" s="284"/>
      <c r="H70" s="284"/>
      <c r="I70" s="284"/>
      <c r="J70" s="284"/>
      <c r="K70" s="284"/>
      <c r="L70" s="284"/>
      <c r="M70" s="284"/>
      <c r="N70" s="284"/>
      <c r="O70" s="336"/>
      <c r="P70" s="302"/>
      <c r="Q70" s="695"/>
      <c r="R70" s="711"/>
      <c r="S70" s="711"/>
      <c r="T70" s="711"/>
      <c r="U70" s="711"/>
      <c r="V70" s="711"/>
      <c r="W70" s="711"/>
      <c r="X70" s="711"/>
      <c r="Y70" s="711"/>
      <c r="Z70" s="711"/>
      <c r="AA70" s="711"/>
      <c r="AB70" s="711"/>
      <c r="AC70" s="711"/>
      <c r="AD70" s="711"/>
      <c r="AE70" s="711"/>
    </row>
    <row r="71" spans="1:31" s="364" customFormat="1" ht="13.5" customHeight="1" x14ac:dyDescent="0.25">
      <c r="A71" s="711"/>
      <c r="B71" s="302"/>
      <c r="C71" s="302"/>
      <c r="D71" s="302"/>
      <c r="E71" s="2742" t="str">
        <f>Translations!$B$1308</f>
        <v>Емисионен фактор (EF)</v>
      </c>
      <c r="F71" s="2742"/>
      <c r="G71" s="300" t="str">
        <f>EUconst_Unit</f>
        <v>Единица мярка</v>
      </c>
      <c r="H71" s="391">
        <f t="shared" ref="H71:N71" si="24">H$428</f>
        <v>2024</v>
      </c>
      <c r="I71" s="391">
        <f t="shared" si="24"/>
        <v>2025</v>
      </c>
      <c r="J71" s="391">
        <f t="shared" si="24"/>
        <v>2026</v>
      </c>
      <c r="K71" s="391">
        <f t="shared" si="24"/>
        <v>2027</v>
      </c>
      <c r="L71" s="391">
        <f t="shared" si="24"/>
        <v>2028</v>
      </c>
      <c r="M71" s="391">
        <f t="shared" si="24"/>
        <v>2029</v>
      </c>
      <c r="N71" s="391">
        <f t="shared" si="24"/>
        <v>2030</v>
      </c>
      <c r="O71" s="336"/>
      <c r="P71" s="302"/>
      <c r="Q71" s="711"/>
      <c r="R71" s="711"/>
      <c r="S71" s="711"/>
      <c r="T71" s="711"/>
      <c r="U71" s="711"/>
      <c r="V71" s="711"/>
      <c r="W71" s="711"/>
      <c r="X71" s="711"/>
      <c r="Y71" s="711"/>
      <c r="Z71" s="711"/>
      <c r="AA71" s="711"/>
      <c r="AB71" s="711"/>
      <c r="AC71" s="711"/>
      <c r="AD71" s="711"/>
      <c r="AE71" s="711"/>
    </row>
    <row r="72" spans="1:31" s="364" customFormat="1" ht="13.5" customHeight="1" x14ac:dyDescent="0.25">
      <c r="A72" s="711"/>
      <c r="B72" s="302"/>
      <c r="C72" s="302"/>
      <c r="D72" s="360" t="s">
        <v>6</v>
      </c>
      <c r="E72" s="2741" t="str">
        <f>Translations!$B$1309</f>
        <v>Горивен EF за общо вложени горива</v>
      </c>
      <c r="F72" s="2741"/>
      <c r="G72" s="1080" t="str">
        <f>EUconst_tCO2pTJ</f>
        <v>t CO2 / TJ</v>
      </c>
      <c r="H72" s="198"/>
      <c r="I72" s="198"/>
      <c r="J72" s="198"/>
      <c r="K72" s="198"/>
      <c r="L72" s="198"/>
      <c r="M72" s="198"/>
      <c r="N72" s="198"/>
      <c r="O72" s="336"/>
      <c r="P72" s="181"/>
      <c r="Q72" s="711"/>
      <c r="R72" s="711"/>
      <c r="S72" s="711"/>
      <c r="T72" s="711"/>
      <c r="U72" s="711"/>
      <c r="V72" s="711"/>
      <c r="W72" s="711"/>
      <c r="X72" s="711"/>
      <c r="Y72" s="711"/>
      <c r="Z72" s="711"/>
      <c r="AA72" s="711"/>
      <c r="AB72" s="711"/>
      <c r="AC72" s="711"/>
      <c r="AD72" s="732" t="s">
        <v>2039</v>
      </c>
      <c r="AE72" s="875" t="str">
        <f>IF(AND(CNTR_HasEntries_A_I,COUNTIFS($V$20:$AB$20,FALSE,H72:N72,"")&gt;0),1,"")</f>
        <v/>
      </c>
    </row>
    <row r="73" spans="1:31" s="364" customFormat="1" ht="12.75" customHeight="1" x14ac:dyDescent="0.25">
      <c r="A73" s="711"/>
      <c r="B73" s="302"/>
      <c r="C73" s="302"/>
      <c r="D73" s="360" t="s">
        <v>7</v>
      </c>
      <c r="E73" s="2719" t="str">
        <f>Translations!$B$1310</f>
        <v>Горивен EF за измерима топлинна енергия</v>
      </c>
      <c r="F73" s="2719"/>
      <c r="G73" s="1081" t="str">
        <f>EUconst_tCO2pTJ</f>
        <v>t CO2 / TJ</v>
      </c>
      <c r="H73" s="199"/>
      <c r="I73" s="199"/>
      <c r="J73" s="199"/>
      <c r="K73" s="199"/>
      <c r="L73" s="199"/>
      <c r="M73" s="199"/>
      <c r="N73" s="199"/>
      <c r="O73" s="336"/>
      <c r="P73" s="181"/>
      <c r="Q73" s="711"/>
      <c r="R73" s="711"/>
      <c r="S73" s="711"/>
      <c r="T73" s="711"/>
      <c r="U73" s="711"/>
      <c r="V73" s="711"/>
      <c r="W73" s="711"/>
      <c r="X73" s="711"/>
      <c r="Y73" s="711"/>
      <c r="Z73" s="711"/>
      <c r="AA73" s="711"/>
      <c r="AB73" s="711"/>
      <c r="AC73" s="711"/>
      <c r="AD73" s="732" t="s">
        <v>2039</v>
      </c>
      <c r="AE73" s="875" t="str">
        <f>IF(AND(CNTR_HasEntries_A_I,COUNTIFS($V$20:$AB$20,FALSE,H73:N73,"")&gt;0),1,"")</f>
        <v/>
      </c>
    </row>
    <row r="74" spans="1:31" x14ac:dyDescent="0.25">
      <c r="A74" s="343"/>
      <c r="B74" s="698"/>
      <c r="C74" s="698"/>
      <c r="D74" s="360" t="s">
        <v>8</v>
      </c>
      <c r="E74" s="2777" t="str">
        <f>Translations!$B$1311</f>
        <v>Горивен EF за електроенергия</v>
      </c>
      <c r="F74" s="2732"/>
      <c r="G74" s="1082" t="str">
        <f>EUconst_tCO2pTJ</f>
        <v>t CO2 / TJ</v>
      </c>
      <c r="H74" s="200"/>
      <c r="I74" s="200"/>
      <c r="J74" s="200"/>
      <c r="K74" s="200"/>
      <c r="L74" s="200"/>
      <c r="M74" s="200"/>
      <c r="N74" s="200"/>
      <c r="O74" s="336"/>
      <c r="P74" s="181"/>
      <c r="Q74" s="343"/>
      <c r="R74" s="343"/>
      <c r="S74" s="343"/>
      <c r="T74" s="343"/>
      <c r="U74" s="343"/>
      <c r="V74" s="343"/>
      <c r="W74" s="343"/>
      <c r="X74" s="343"/>
      <c r="Y74" s="343"/>
      <c r="Z74" s="343"/>
      <c r="AA74" s="343"/>
      <c r="AB74" s="343"/>
      <c r="AC74" s="343"/>
      <c r="AD74" s="732" t="s">
        <v>2039</v>
      </c>
      <c r="AE74" s="875" t="str">
        <f>IF(AND(CNTR_HasEntries_A_I,COUNTIFS($V$20:$AB$20,FALSE,H74:N74,"")&gt;0),1,"")</f>
        <v/>
      </c>
    </row>
    <row r="75" spans="1:31" x14ac:dyDescent="0.25">
      <c r="A75" s="343"/>
      <c r="B75" s="698"/>
      <c r="C75" s="698"/>
      <c r="D75" s="698"/>
      <c r="E75" s="698"/>
      <c r="F75" s="698"/>
      <c r="G75" s="698"/>
      <c r="H75" s="698"/>
      <c r="I75" s="698"/>
      <c r="J75" s="698"/>
      <c r="K75" s="698"/>
      <c r="L75" s="698"/>
      <c r="M75" s="698"/>
      <c r="N75" s="698"/>
      <c r="O75" s="336"/>
      <c r="P75" s="302"/>
      <c r="Q75" s="343"/>
      <c r="R75" s="343"/>
      <c r="S75" s="343"/>
      <c r="T75" s="343"/>
      <c r="U75" s="343"/>
      <c r="V75" s="343"/>
      <c r="W75" s="343"/>
      <c r="X75" s="343"/>
      <c r="Y75" s="343"/>
      <c r="Z75" s="343"/>
      <c r="AA75" s="343"/>
      <c r="AB75" s="343"/>
      <c r="AC75" s="343"/>
      <c r="AD75" s="343"/>
      <c r="AE75" s="343"/>
    </row>
    <row r="76" spans="1:31" ht="15.5" x14ac:dyDescent="0.35">
      <c r="A76" s="343"/>
      <c r="B76" s="284"/>
      <c r="C76" s="327" t="s">
        <v>900</v>
      </c>
      <c r="D76" s="2758" t="str">
        <f>Translations!$B$175</f>
        <v>Измерима топлинна енергия</v>
      </c>
      <c r="E76" s="2758"/>
      <c r="F76" s="2758"/>
      <c r="G76" s="2758"/>
      <c r="H76" s="2758"/>
      <c r="I76" s="2758"/>
      <c r="J76" s="2758"/>
      <c r="K76" s="2758"/>
      <c r="L76" s="2758"/>
      <c r="M76" s="2758"/>
      <c r="N76" s="2758"/>
      <c r="O76" s="336"/>
      <c r="P76" s="302"/>
      <c r="Q76" s="695"/>
      <c r="R76" s="343"/>
      <c r="S76" s="343"/>
      <c r="T76" s="343"/>
      <c r="U76" s="343"/>
      <c r="V76" s="343"/>
      <c r="W76" s="343"/>
      <c r="X76" s="343"/>
      <c r="Y76" s="343"/>
      <c r="Z76" s="343"/>
      <c r="AA76" s="343"/>
      <c r="AB76" s="343"/>
      <c r="AC76" s="343"/>
      <c r="AD76" s="343"/>
      <c r="AE76" s="343"/>
    </row>
    <row r="77" spans="1:31" ht="5.15" customHeight="1" x14ac:dyDescent="0.25">
      <c r="A77" s="343"/>
      <c r="B77" s="284"/>
      <c r="C77" s="284"/>
      <c r="D77" s="284"/>
      <c r="E77" s="284"/>
      <c r="F77" s="284"/>
      <c r="G77" s="284"/>
      <c r="H77" s="284"/>
      <c r="I77" s="284"/>
      <c r="J77" s="284"/>
      <c r="K77" s="284"/>
      <c r="L77" s="284"/>
      <c r="M77" s="336"/>
      <c r="N77" s="336"/>
      <c r="O77" s="336"/>
      <c r="P77" s="302"/>
      <c r="Q77" s="695"/>
      <c r="R77" s="343"/>
      <c r="S77" s="343"/>
      <c r="T77" s="343"/>
      <c r="U77" s="343"/>
      <c r="V77" s="343"/>
      <c r="W77" s="343"/>
      <c r="X77" s="343"/>
      <c r="Y77" s="343"/>
      <c r="Z77" s="343"/>
      <c r="AA77" s="343"/>
      <c r="AB77" s="343"/>
      <c r="AC77" s="343"/>
      <c r="AD77" s="343"/>
      <c r="AE77" s="343"/>
    </row>
    <row r="78" spans="1:31" ht="14" x14ac:dyDescent="0.3">
      <c r="A78" s="343"/>
      <c r="B78" s="284"/>
      <c r="C78" s="357"/>
      <c r="D78" s="2323" t="str">
        <f>Translations!$B$328</f>
        <v>Пълен баланс на измеримата топлинна енергия в инсталацията</v>
      </c>
      <c r="E78" s="2249"/>
      <c r="F78" s="2249"/>
      <c r="G78" s="2249"/>
      <c r="H78" s="2249"/>
      <c r="I78" s="2249"/>
      <c r="J78" s="2249"/>
      <c r="K78" s="2249"/>
      <c r="L78" s="2249"/>
      <c r="M78" s="2249"/>
      <c r="N78" s="2249"/>
      <c r="O78" s="336"/>
      <c r="P78" s="302"/>
      <c r="Q78" s="695"/>
      <c r="R78" s="343"/>
      <c r="S78" s="343"/>
      <c r="T78" s="343"/>
      <c r="U78" s="343"/>
      <c r="V78" s="343"/>
      <c r="W78" s="343"/>
      <c r="X78" s="343"/>
      <c r="Y78" s="343"/>
      <c r="Z78" s="343"/>
      <c r="AA78" s="343"/>
      <c r="AB78" s="343"/>
      <c r="AC78" s="343"/>
      <c r="AD78" s="343"/>
      <c r="AE78" s="343"/>
    </row>
    <row r="79" spans="1:31" ht="5.15" customHeight="1" x14ac:dyDescent="0.25">
      <c r="A79" s="343"/>
      <c r="B79" s="284"/>
      <c r="C79" s="284"/>
      <c r="D79" s="284"/>
      <c r="E79" s="284"/>
      <c r="F79" s="284"/>
      <c r="G79" s="284"/>
      <c r="H79" s="284"/>
      <c r="I79" s="284"/>
      <c r="J79" s="284"/>
      <c r="K79" s="284"/>
      <c r="L79" s="284"/>
      <c r="M79" s="284"/>
      <c r="N79" s="284"/>
      <c r="O79" s="336"/>
      <c r="P79" s="302"/>
      <c r="Q79" s="695"/>
      <c r="R79" s="343"/>
      <c r="S79" s="343"/>
      <c r="T79" s="343"/>
      <c r="U79" s="343"/>
      <c r="V79" s="343"/>
      <c r="W79" s="343"/>
      <c r="X79" s="343"/>
      <c r="Y79" s="343"/>
      <c r="Z79" s="343"/>
      <c r="AA79" s="343"/>
      <c r="AB79" s="343"/>
      <c r="AC79" s="343"/>
      <c r="AD79" s="343"/>
      <c r="AE79" s="343"/>
    </row>
    <row r="80" spans="1:31" ht="12.75" customHeight="1" x14ac:dyDescent="0.25">
      <c r="A80" s="694"/>
      <c r="B80" s="284"/>
      <c r="C80" s="284"/>
      <c r="D80" s="1028"/>
      <c r="E80" s="2463" t="str">
        <f>Translations!$B$329</f>
        <v>В инсталацията има ли подинсталация с топлинен показател или подинсталация на топлофикационна мрежа?</v>
      </c>
      <c r="F80" s="2463"/>
      <c r="G80" s="2463"/>
      <c r="H80" s="2463"/>
      <c r="I80" s="2463"/>
      <c r="J80" s="2463"/>
      <c r="K80" s="2463"/>
      <c r="L80" s="2699"/>
      <c r="M80" s="478" t="b">
        <f>COUNTIF('B+C_SubInstallations'!$T$57:$T$60,TRUE)&gt;0</f>
        <v>0</v>
      </c>
      <c r="N80" s="336"/>
      <c r="O80" s="336"/>
      <c r="P80" s="302"/>
      <c r="Q80" s="770"/>
      <c r="R80" s="694"/>
      <c r="S80" s="343"/>
      <c r="T80" s="343"/>
      <c r="U80" s="343"/>
      <c r="V80" s="343"/>
      <c r="W80" s="343"/>
      <c r="X80" s="343"/>
      <c r="Y80" s="343"/>
      <c r="Z80" s="343"/>
      <c r="AA80" s="343"/>
      <c r="AB80" s="343"/>
      <c r="AC80" s="343"/>
      <c r="AD80" s="343"/>
      <c r="AE80" s="343"/>
    </row>
    <row r="81" spans="1:31" ht="12.75" customHeight="1" x14ac:dyDescent="0.25">
      <c r="A81" s="343"/>
      <c r="B81" s="284"/>
      <c r="C81" s="302"/>
      <c r="D81" s="427"/>
      <c r="E81" s="2358" t="str">
        <f>Translations!$B$330</f>
        <v>Наименованието на подинсталацията с продуктов показател се показва автоматично въз основа на данните, въведени в лист „A_InstallationData“ („А_Данни за инсталацията“).</v>
      </c>
      <c r="F81" s="2249"/>
      <c r="G81" s="2249"/>
      <c r="H81" s="2249"/>
      <c r="I81" s="2249"/>
      <c r="J81" s="2249"/>
      <c r="K81" s="2249"/>
      <c r="L81" s="2249"/>
      <c r="M81" s="2249"/>
      <c r="N81" s="2211"/>
      <c r="O81" s="336"/>
      <c r="P81" s="302"/>
      <c r="Q81" s="695"/>
      <c r="R81" s="343"/>
      <c r="S81" s="343"/>
      <c r="T81" s="343"/>
      <c r="U81" s="343"/>
      <c r="V81" s="343"/>
      <c r="W81" s="343"/>
      <c r="X81" s="343"/>
      <c r="Y81" s="343"/>
      <c r="Z81" s="343"/>
      <c r="AA81" s="343"/>
      <c r="AB81" s="343"/>
      <c r="AC81" s="343"/>
      <c r="AD81" s="343"/>
      <c r="AE81" s="343"/>
    </row>
    <row r="82" spans="1:31" ht="12.75" customHeight="1" x14ac:dyDescent="0.25">
      <c r="A82" s="343"/>
      <c r="B82" s="284"/>
      <c r="C82" s="302"/>
      <c r="D82" s="427"/>
      <c r="E82" s="2358" t="str">
        <f>Translations!$B$331</f>
        <v>Ако тук се показва „ВЯРНО“, въведените в този раздел данни са необходими във всички случаи. Необходимо е да отговорите на въпроса по-долу само ако нито една от тези инсталации не е приложима.</v>
      </c>
      <c r="F82" s="2249"/>
      <c r="G82" s="2249"/>
      <c r="H82" s="2249"/>
      <c r="I82" s="2249"/>
      <c r="J82" s="2249"/>
      <c r="K82" s="2249"/>
      <c r="L82" s="2249"/>
      <c r="M82" s="2249"/>
      <c r="N82" s="2211"/>
      <c r="O82" s="336"/>
      <c r="P82" s="302"/>
      <c r="Q82" s="695"/>
      <c r="R82" s="343"/>
      <c r="S82" s="343"/>
      <c r="T82" s="343"/>
      <c r="U82" s="343"/>
      <c r="V82" s="343"/>
      <c r="W82" s="343"/>
      <c r="X82" s="343"/>
      <c r="Y82" s="343"/>
      <c r="Z82" s="343"/>
      <c r="AA82" s="343"/>
      <c r="AB82" s="343"/>
      <c r="AC82" s="343"/>
      <c r="AD82" s="343"/>
      <c r="AE82" s="343"/>
    </row>
    <row r="83" spans="1:31" ht="5.15" customHeight="1" x14ac:dyDescent="0.25">
      <c r="A83" s="343"/>
      <c r="B83" s="284"/>
      <c r="C83" s="284"/>
      <c r="D83" s="284"/>
      <c r="E83" s="284"/>
      <c r="F83" s="284"/>
      <c r="G83" s="284"/>
      <c r="H83" s="284"/>
      <c r="I83" s="284"/>
      <c r="J83" s="284"/>
      <c r="K83" s="284"/>
      <c r="L83" s="284"/>
      <c r="M83" s="284"/>
      <c r="N83" s="284"/>
      <c r="O83" s="336"/>
      <c r="P83" s="302"/>
      <c r="Q83" s="695"/>
      <c r="R83" s="343"/>
      <c r="S83" s="343"/>
      <c r="T83" s="343"/>
      <c r="U83" s="343"/>
      <c r="V83" s="343"/>
      <c r="W83" s="343"/>
      <c r="X83" s="343"/>
      <c r="Y83" s="343"/>
      <c r="Z83" s="343"/>
      <c r="AA83" s="343"/>
      <c r="AB83" s="343"/>
      <c r="AC83" s="343"/>
      <c r="AD83" s="343"/>
      <c r="AE83" s="343"/>
    </row>
    <row r="84" spans="1:31" ht="12.75" customHeight="1" x14ac:dyDescent="0.25">
      <c r="A84" s="694"/>
      <c r="B84" s="284"/>
      <c r="C84" s="284"/>
      <c r="D84" s="1028"/>
      <c r="E84" s="2463" t="str">
        <f>Translations!$B$332</f>
        <v>В тази инсталация произвеждат или консумират ли се потоци на измерима топлинна енергия, получават или подават ли се такива към други обекти?</v>
      </c>
      <c r="F84" s="2463"/>
      <c r="G84" s="2463"/>
      <c r="H84" s="2463"/>
      <c r="I84" s="2463"/>
      <c r="J84" s="2463"/>
      <c r="K84" s="2463"/>
      <c r="L84" s="2699"/>
      <c r="M84" s="80"/>
      <c r="N84" s="336"/>
      <c r="O84" s="336"/>
      <c r="P84" s="302"/>
      <c r="Q84" s="770"/>
      <c r="R84" s="694"/>
      <c r="S84" s="343"/>
      <c r="T84" s="750" t="s">
        <v>2060</v>
      </c>
      <c r="U84" s="343"/>
      <c r="V84" s="343"/>
      <c r="W84" s="343"/>
      <c r="X84" s="343"/>
      <c r="Y84" s="343"/>
      <c r="Z84" s="343"/>
      <c r="AA84" s="343"/>
      <c r="AB84" s="343"/>
      <c r="AC84" s="343"/>
      <c r="AD84" s="343"/>
      <c r="AE84" s="343"/>
    </row>
    <row r="85" spans="1:31" ht="12.75" customHeight="1" x14ac:dyDescent="0.25">
      <c r="A85" s="343"/>
      <c r="B85" s="284"/>
      <c r="C85" s="284"/>
      <c r="D85" s="284"/>
      <c r="E85" s="2751" t="str">
        <f>IF(AND(M84&lt;&gt;"",M84=FALSE),HYPERLINK(R85,EUconst_MsgGoOn),HYPERLINK("",EUconst_MsgEnterThisSection))</f>
        <v>Моля, въведете данни в този раздел!</v>
      </c>
      <c r="F85" s="2752"/>
      <c r="G85" s="2752"/>
      <c r="H85" s="2752"/>
      <c r="I85" s="2752"/>
      <c r="J85" s="2752"/>
      <c r="K85" s="2752"/>
      <c r="L85" s="2752"/>
      <c r="M85" s="2753"/>
      <c r="N85" s="284"/>
      <c r="O85" s="336"/>
      <c r="P85" s="302"/>
      <c r="Q85" s="694" t="s">
        <v>450</v>
      </c>
      <c r="R85" s="1026" t="str">
        <f>"#"&amp;ADDRESS(ROW(C274),COLUMN(C274))</f>
        <v>#$C$274</v>
      </c>
      <c r="S85" s="343"/>
      <c r="T85" s="716"/>
      <c r="U85" s="343"/>
      <c r="V85" s="343"/>
      <c r="W85" s="343"/>
      <c r="X85" s="343"/>
      <c r="Y85" s="343"/>
      <c r="Z85" s="343"/>
      <c r="AA85" s="343"/>
      <c r="AB85" s="343"/>
      <c r="AC85" s="343"/>
      <c r="AD85" s="343"/>
      <c r="AE85" s="343"/>
    </row>
    <row r="86" spans="1:31" ht="5.15" customHeight="1" x14ac:dyDescent="0.25">
      <c r="A86" s="343"/>
      <c r="B86" s="284"/>
      <c r="C86" s="284"/>
      <c r="D86" s="284"/>
      <c r="E86" s="284"/>
      <c r="F86" s="284"/>
      <c r="G86" s="284"/>
      <c r="H86" s="284"/>
      <c r="I86" s="284"/>
      <c r="J86" s="284"/>
      <c r="K86" s="284"/>
      <c r="L86" s="284"/>
      <c r="M86" s="336"/>
      <c r="N86" s="336"/>
      <c r="O86" s="336"/>
      <c r="P86" s="302"/>
      <c r="Q86" s="695"/>
      <c r="R86" s="343"/>
      <c r="S86" s="343"/>
      <c r="T86" s="343"/>
      <c r="U86" s="343"/>
      <c r="V86" s="343"/>
      <c r="W86" s="343"/>
      <c r="X86" s="343"/>
      <c r="Y86" s="343"/>
      <c r="Z86" s="343"/>
      <c r="AA86" s="343"/>
      <c r="AB86" s="343"/>
      <c r="AC86" s="343"/>
      <c r="AD86" s="343"/>
      <c r="AE86" s="343"/>
    </row>
    <row r="87" spans="1:31" x14ac:dyDescent="0.25">
      <c r="A87" s="343"/>
      <c r="B87" s="284"/>
      <c r="C87" s="284"/>
      <c r="D87" s="2768" t="str">
        <f>Translations!$B$333</f>
        <v>Всички данни за топлинната енергия трябва да се отнасят за „общо нетно количество измерима топлинна енергия“ (т.е. топлинното съдържание от топлинния поток към потребителя минус топлинното съдържание на обратния поток).</v>
      </c>
      <c r="E87" s="2354"/>
      <c r="F87" s="2354"/>
      <c r="G87" s="2354"/>
      <c r="H87" s="2354"/>
      <c r="I87" s="2354"/>
      <c r="J87" s="2354"/>
      <c r="K87" s="2354"/>
      <c r="L87" s="2354"/>
      <c r="M87" s="2354"/>
      <c r="N87" s="2354"/>
      <c r="O87" s="336"/>
      <c r="P87" s="302"/>
      <c r="Q87" s="695"/>
      <c r="R87" s="343"/>
      <c r="S87" s="343"/>
      <c r="T87" s="343"/>
      <c r="U87" s="343"/>
      <c r="V87" s="343"/>
      <c r="W87" s="343"/>
      <c r="X87" s="343"/>
      <c r="Y87" s="343"/>
      <c r="Z87" s="343"/>
      <c r="AA87" s="343"/>
      <c r="AB87" s="343"/>
      <c r="AC87" s="343"/>
      <c r="AD87" s="343"/>
      <c r="AE87" s="343"/>
    </row>
    <row r="88" spans="1:31" ht="5.15" customHeight="1" x14ac:dyDescent="0.25">
      <c r="A88" s="343"/>
      <c r="B88" s="284"/>
      <c r="C88" s="284"/>
      <c r="D88" s="284"/>
      <c r="E88" s="284"/>
      <c r="F88" s="284"/>
      <c r="G88" s="284"/>
      <c r="H88" s="284"/>
      <c r="I88" s="284"/>
      <c r="J88" s="284"/>
      <c r="K88" s="284"/>
      <c r="L88" s="336"/>
      <c r="M88" s="336"/>
      <c r="N88" s="284"/>
      <c r="O88" s="336"/>
      <c r="P88" s="302"/>
      <c r="Q88" s="695"/>
      <c r="R88" s="343"/>
      <c r="S88" s="343"/>
      <c r="T88" s="343"/>
      <c r="U88" s="343"/>
      <c r="V88" s="343"/>
      <c r="W88" s="343"/>
      <c r="X88" s="343"/>
      <c r="Y88" s="343"/>
      <c r="Z88" s="343"/>
      <c r="AA88" s="343"/>
      <c r="AB88" s="343"/>
      <c r="AC88" s="343"/>
      <c r="AD88" s="343"/>
      <c r="AE88" s="343"/>
    </row>
    <row r="89" spans="1:31" x14ac:dyDescent="0.25">
      <c r="A89" s="343"/>
      <c r="B89" s="284"/>
      <c r="C89" s="302"/>
      <c r="D89" s="2768" t="str">
        <f>Translations!$B$334</f>
        <v>Описание на използвания метод на изчисляване:</v>
      </c>
      <c r="E89" s="2354"/>
      <c r="F89" s="2354"/>
      <c r="G89" s="2354"/>
      <c r="H89" s="2354"/>
      <c r="I89" s="2354"/>
      <c r="J89" s="2354"/>
      <c r="K89" s="2354"/>
      <c r="L89" s="2354"/>
      <c r="M89" s="2354"/>
      <c r="N89" s="2354"/>
      <c r="O89" s="336"/>
      <c r="P89" s="302"/>
      <c r="Q89" s="695"/>
      <c r="R89" s="343"/>
      <c r="S89" s="343"/>
      <c r="T89" s="343"/>
      <c r="U89" s="343"/>
      <c r="V89" s="343"/>
      <c r="W89" s="343"/>
      <c r="X89" s="343"/>
      <c r="Y89" s="343"/>
      <c r="Z89" s="343"/>
      <c r="AA89" s="343"/>
      <c r="AB89" s="343"/>
      <c r="AC89" s="343"/>
      <c r="AD89" s="343"/>
      <c r="AE89" s="343"/>
    </row>
    <row r="90" spans="1:31" ht="37" customHeight="1" x14ac:dyDescent="0.25">
      <c r="A90" s="343"/>
      <c r="B90" s="284"/>
      <c r="C90" s="302"/>
      <c r="D90" s="2783" t="str">
        <f>Translations!$B$335</f>
        <v>Ако и двата вида вложена топлинна енергия са приложими — „отговарящите на условията за разпределяне на безплатни квоти“ (самостоятелно производство и/или получаване от инсталации по СТЕ) и „неотговарящите на условията за разпределяне на безплатни квоти“ (получаване от инсталации или обекти извън СТЕ или производство от подинсталации, работещи с азотна киселина) — И ако са налице и двата вида употреба на топлинна енергия, т. е. „отговарящи на условията за разпределяне на безплатни квоти“ (вътрешна употреба и/или подаване извън СТЕ) и „неотговарящи на условията за разпределяне на безплатни квоти“ (подаване към инсталации по СТЕ), е необходимо да се определят отговарящите на условията и неотговарящите на условията случаи.</v>
      </c>
      <c r="E90" s="2249"/>
      <c r="F90" s="2249"/>
      <c r="G90" s="2249"/>
      <c r="H90" s="2249"/>
      <c r="I90" s="2249"/>
      <c r="J90" s="2249"/>
      <c r="K90" s="2249"/>
      <c r="L90" s="2249"/>
      <c r="M90" s="2249"/>
      <c r="N90" s="2211"/>
      <c r="O90" s="336"/>
      <c r="P90" s="302"/>
      <c r="Q90" s="695"/>
      <c r="R90" s="343"/>
      <c r="S90" s="343"/>
      <c r="T90" s="343"/>
      <c r="U90" s="343"/>
      <c r="V90" s="343"/>
      <c r="W90" s="343"/>
      <c r="X90" s="343"/>
      <c r="Y90" s="343"/>
      <c r="Z90" s="343"/>
      <c r="AA90" s="343"/>
      <c r="AB90" s="343"/>
      <c r="AC90" s="343"/>
      <c r="AD90" s="343"/>
      <c r="AE90" s="343"/>
    </row>
    <row r="91" spans="1:31" x14ac:dyDescent="0.25">
      <c r="A91" s="343"/>
      <c r="B91" s="284"/>
      <c r="C91" s="302"/>
      <c r="D91" s="2723" t="str">
        <f>Translations!$B$336</f>
        <v>За целите на това определяне се предлага йерархична последователност на подходите.</v>
      </c>
      <c r="E91" s="2354"/>
      <c r="F91" s="2354"/>
      <c r="G91" s="2354"/>
      <c r="H91" s="2354"/>
      <c r="I91" s="2354"/>
      <c r="J91" s="2354"/>
      <c r="K91" s="2354"/>
      <c r="L91" s="2354"/>
      <c r="M91" s="2354"/>
      <c r="N91" s="2354"/>
      <c r="O91" s="336"/>
      <c r="P91" s="302"/>
      <c r="Q91" s="695"/>
      <c r="R91" s="343"/>
      <c r="S91" s="343"/>
      <c r="T91" s="343"/>
      <c r="U91" s="343"/>
      <c r="V91" s="343"/>
      <c r="W91" s="343"/>
      <c r="X91" s="343"/>
      <c r="Y91" s="343"/>
      <c r="Z91" s="343"/>
      <c r="AA91" s="343"/>
      <c r="AB91" s="343"/>
      <c r="AC91" s="343"/>
      <c r="AD91" s="343"/>
      <c r="AE91" s="343"/>
    </row>
    <row r="92" spans="1:31" ht="25.5" customHeight="1" x14ac:dyDescent="0.25">
      <c r="A92" s="343"/>
      <c r="B92" s="284"/>
      <c r="C92" s="302"/>
      <c r="D92" s="427" t="s">
        <v>1052</v>
      </c>
      <c r="E92" s="2358" t="str">
        <f>Translations!$B$337</f>
        <v>Ако количествата топлинна енергия могат да бъдат ясно определени (поради ясно разграничаване на връзките в топлоенергийната мрежа или поради стойностите на налягането на парата и т.н.), количествата, които отговарят на условията за разпределяне на безплатни квоти, и тези, които не отговарят, се отчитат съгласно тази реална ситуация.</v>
      </c>
      <c r="F92" s="2249"/>
      <c r="G92" s="2249"/>
      <c r="H92" s="2249"/>
      <c r="I92" s="2249"/>
      <c r="J92" s="2249"/>
      <c r="K92" s="2249"/>
      <c r="L92" s="2249"/>
      <c r="M92" s="2249"/>
      <c r="N92" s="2211"/>
      <c r="O92" s="336"/>
      <c r="P92" s="302"/>
      <c r="Q92" s="695"/>
      <c r="R92" s="343"/>
      <c r="S92" s="343"/>
      <c r="T92" s="343"/>
      <c r="U92" s="343"/>
      <c r="V92" s="343"/>
      <c r="W92" s="343"/>
      <c r="X92" s="343"/>
      <c r="Y92" s="343"/>
      <c r="Z92" s="343"/>
      <c r="AA92" s="343"/>
      <c r="AB92" s="343"/>
      <c r="AC92" s="343"/>
      <c r="AD92" s="343"/>
      <c r="AE92" s="343"/>
    </row>
    <row r="93" spans="1:31" x14ac:dyDescent="0.25">
      <c r="A93" s="343"/>
      <c r="B93" s="284"/>
      <c r="C93" s="302"/>
      <c r="D93" s="427" t="s">
        <v>1052</v>
      </c>
      <c r="E93" s="2718" t="str">
        <f>Translations!$B$338</f>
        <v>Ако това не е възможно, всички употреби се претеглят в съответствие със съотношението на входящите потоци (входящи потоци по СТЕ: общо входящи потоци), както е определено по-горе.</v>
      </c>
      <c r="F93" s="2211"/>
      <c r="G93" s="2211"/>
      <c r="H93" s="2211"/>
      <c r="I93" s="2211"/>
      <c r="J93" s="2211"/>
      <c r="K93" s="2211"/>
      <c r="L93" s="2211"/>
      <c r="M93" s="2211"/>
      <c r="N93" s="2211"/>
      <c r="O93" s="336"/>
      <c r="P93" s="302"/>
      <c r="Q93" s="695"/>
      <c r="R93" s="343"/>
      <c r="S93" s="343"/>
      <c r="T93" s="343"/>
      <c r="U93" s="343"/>
      <c r="V93" s="343"/>
      <c r="W93" s="343"/>
      <c r="X93" s="343"/>
      <c r="Y93" s="343"/>
      <c r="Z93" s="343"/>
      <c r="AA93" s="343"/>
      <c r="AB93" s="343"/>
      <c r="AC93" s="343"/>
      <c r="AD93" s="343"/>
      <c r="AE93" s="343"/>
    </row>
    <row r="94" spans="1:31" x14ac:dyDescent="0.25">
      <c r="A94" s="343"/>
      <c r="B94" s="284"/>
      <c r="C94" s="302"/>
      <c r="D94" s="2768" t="str">
        <f>Translations!$B$339</f>
        <v>За целите на настоящия образец се използва следният поетапен подход:</v>
      </c>
      <c r="E94" s="2354"/>
      <c r="F94" s="2354"/>
      <c r="G94" s="2354"/>
      <c r="H94" s="2354"/>
      <c r="I94" s="2354"/>
      <c r="J94" s="2354"/>
      <c r="K94" s="2354"/>
      <c r="L94" s="2354"/>
      <c r="M94" s="2354"/>
      <c r="N94" s="2354"/>
      <c r="O94" s="336"/>
      <c r="P94" s="302"/>
      <c r="Q94" s="695"/>
      <c r="R94" s="343"/>
      <c r="S94" s="343"/>
      <c r="T94" s="343"/>
      <c r="U94" s="343"/>
      <c r="V94" s="343"/>
      <c r="W94" s="343"/>
      <c r="X94" s="343"/>
      <c r="Y94" s="343"/>
      <c r="Z94" s="343"/>
      <c r="AA94" s="343"/>
      <c r="AB94" s="343"/>
      <c r="AC94" s="343"/>
      <c r="AD94" s="343"/>
      <c r="AE94" s="343"/>
    </row>
    <row r="95" spans="1:31" x14ac:dyDescent="0.25">
      <c r="A95" s="343"/>
      <c r="B95" s="284"/>
      <c r="C95" s="302"/>
      <c r="D95" s="427" t="s">
        <v>1052</v>
      </c>
      <c r="E95" s="2723" t="str">
        <f>Translations!$B$340</f>
        <v>Изчислява се отделен баланс за консумацията на топлинна енергия, която отговаря на условията за разпределяне на безплатни квоти, и на тази, която не отговаря.</v>
      </c>
      <c r="F95" s="2354"/>
      <c r="G95" s="2354"/>
      <c r="H95" s="2354"/>
      <c r="I95" s="2354"/>
      <c r="J95" s="2354"/>
      <c r="K95" s="2354"/>
      <c r="L95" s="2354"/>
      <c r="M95" s="2354"/>
      <c r="N95" s="2354"/>
      <c r="O95" s="336"/>
      <c r="P95" s="302"/>
      <c r="Q95" s="695"/>
      <c r="R95" s="343"/>
      <c r="S95" s="343"/>
      <c r="T95" s="343"/>
      <c r="U95" s="343"/>
      <c r="V95" s="343"/>
      <c r="W95" s="343"/>
      <c r="X95" s="343"/>
      <c r="Y95" s="343"/>
      <c r="Z95" s="343"/>
      <c r="AA95" s="343"/>
      <c r="AB95" s="343"/>
      <c r="AC95" s="343"/>
      <c r="AD95" s="343"/>
      <c r="AE95" s="343"/>
    </row>
    <row r="96" spans="1:31" ht="12.75" customHeight="1" x14ac:dyDescent="0.25">
      <c r="A96" s="343"/>
      <c r="B96" s="284"/>
      <c r="C96" s="302"/>
      <c r="D96" s="427" t="s">
        <v>1052</v>
      </c>
      <c r="E96" s="2358" t="str">
        <f>Translations!$B$341</f>
        <v>Консумацията на топлинна енергия за производството на електроенергия се разделя съгласно съотношението, посочено в буква f), освен ако количеството на топлинната енергия от източници, които не отговарят на условията за разпределяне на безплатни квоти, се въведе ръчно в g).iii.</v>
      </c>
      <c r="F96" s="2784"/>
      <c r="G96" s="2784"/>
      <c r="H96" s="2784"/>
      <c r="I96" s="2784"/>
      <c r="J96" s="2784"/>
      <c r="K96" s="2784"/>
      <c r="L96" s="2784"/>
      <c r="M96" s="2784"/>
      <c r="N96" s="2784"/>
      <c r="O96" s="336"/>
      <c r="P96" s="302"/>
      <c r="Q96" s="695"/>
      <c r="R96" s="343"/>
      <c r="S96" s="343"/>
      <c r="T96" s="343"/>
      <c r="U96" s="343"/>
      <c r="V96" s="343"/>
      <c r="W96" s="343"/>
      <c r="X96" s="343"/>
      <c r="Y96" s="343"/>
      <c r="Z96" s="343"/>
      <c r="AA96" s="343"/>
      <c r="AB96" s="343"/>
      <c r="AC96" s="343"/>
      <c r="AD96" s="343"/>
      <c r="AE96" s="343"/>
    </row>
    <row r="97" spans="1:31" ht="25.5" customHeight="1" x14ac:dyDescent="0.25">
      <c r="A97" s="343"/>
      <c r="B97" s="284"/>
      <c r="C97" s="302"/>
      <c r="D97" s="427" t="s">
        <v>1052</v>
      </c>
      <c r="E97" s="2358" t="str">
        <f>Translations!$B$342</f>
        <v>Общото количество измерима топлинна енергия за продуктовите показатели трябва да се впише по буква g) по-долу. Количеството топлинна енергия, която не отговаря на условията за разпределяне на безплатни квоти, се взема като сумата от вложените ресурси от работен лист „F_ProductBM“ („F_Продуктов показател“), раздел f).iii на всяка подинсталация (тук е показано по-долу в h).xii).</v>
      </c>
      <c r="F97" s="2791"/>
      <c r="G97" s="2791"/>
      <c r="H97" s="2791"/>
      <c r="I97" s="2791"/>
      <c r="J97" s="2791"/>
      <c r="K97" s="2791"/>
      <c r="L97" s="2791"/>
      <c r="M97" s="2791"/>
      <c r="N97" s="2792"/>
      <c r="O97" s="336"/>
      <c r="P97" s="302"/>
      <c r="Q97" s="695"/>
      <c r="R97" s="343"/>
      <c r="S97" s="343"/>
      <c r="T97" s="343"/>
      <c r="U97" s="343"/>
      <c r="V97" s="343"/>
      <c r="W97" s="343"/>
      <c r="X97" s="343"/>
      <c r="Y97" s="343"/>
      <c r="Z97" s="343"/>
      <c r="AA97" s="343"/>
      <c r="AB97" s="343"/>
      <c r="AC97" s="343"/>
      <c r="AD97" s="343"/>
      <c r="AE97" s="343"/>
    </row>
    <row r="98" spans="1:31" ht="40" customHeight="1" x14ac:dyDescent="0.25">
      <c r="A98" s="343"/>
      <c r="B98" s="284"/>
      <c r="C98" s="302"/>
      <c r="D98" s="427" t="s">
        <v>1052</v>
      </c>
      <c r="E98" s="2358" t="str">
        <f>Translations!$B$343</f>
        <v>Подаването на топлинна енергия към инсталации, включени в СТЕ (раздел i) по-долу), трябва винаги да се счита за топлинна енергия от източници, които отговарят на условията за разпределяне на безплатни квоти, защото потребителят на енергията няма да има информация дали топлинната енергия, произведена при предходния процес, отговаря на условията. Ето защо, с цел избягване на двойното отчитане, топлинната енергия трябва да се приспадне от отговарящото на условията количество за тази инсталация. Таванът за количеството следва да бъде общата налична от инсталацията топлинна енергия, която отговаря на условията.</v>
      </c>
      <c r="F98" s="2249"/>
      <c r="G98" s="2249"/>
      <c r="H98" s="2249"/>
      <c r="I98" s="2249"/>
      <c r="J98" s="2249"/>
      <c r="K98" s="2249"/>
      <c r="L98" s="2249"/>
      <c r="M98" s="2249"/>
      <c r="N98" s="2211"/>
      <c r="O98" s="336"/>
      <c r="P98" s="302"/>
      <c r="Q98" s="695"/>
      <c r="R98" s="343"/>
      <c r="S98" s="343"/>
      <c r="T98" s="343"/>
      <c r="U98" s="343"/>
      <c r="V98" s="343"/>
      <c r="W98" s="343"/>
      <c r="X98" s="343"/>
      <c r="Y98" s="343"/>
      <c r="Z98" s="343"/>
      <c r="AA98" s="343"/>
      <c r="AB98" s="343"/>
      <c r="AC98" s="343"/>
      <c r="AD98" s="343"/>
      <c r="AE98" s="343"/>
    </row>
    <row r="99" spans="1:31" ht="25.5" customHeight="1" x14ac:dyDescent="0.25">
      <c r="A99" s="343"/>
      <c r="B99" s="284"/>
      <c r="C99" s="302"/>
      <c r="D99" s="427" t="s">
        <v>1052</v>
      </c>
      <c r="E99" s="2358" t="str">
        <f>Translations!$B$344</f>
        <v>От останалото количество измерима топлинна енергия трябва да се определи колко се консумира в рамките на инсталацията (освен за производството на електроенергия и за подинсталациите с продуктов показател). Количеството на отговарящата на условията за разпределяне на безплатни квоти топлинна енергия, която остава след предходните стъпки, представлява горната граница.</v>
      </c>
      <c r="F99" s="2249"/>
      <c r="G99" s="2249"/>
      <c r="H99" s="2249"/>
      <c r="I99" s="2249"/>
      <c r="J99" s="2249"/>
      <c r="K99" s="2249"/>
      <c r="L99" s="2249"/>
      <c r="M99" s="2249"/>
      <c r="N99" s="2211"/>
      <c r="O99" s="336"/>
      <c r="P99" s="302"/>
      <c r="Q99" s="695"/>
      <c r="R99" s="343"/>
      <c r="S99" s="343"/>
      <c r="T99" s="343"/>
      <c r="U99" s="343"/>
      <c r="V99" s="343"/>
      <c r="W99" s="343"/>
      <c r="X99" s="343"/>
      <c r="Y99" s="343"/>
      <c r="Z99" s="343"/>
      <c r="AA99" s="343"/>
      <c r="AB99" s="343"/>
      <c r="AC99" s="343"/>
      <c r="AD99" s="343"/>
      <c r="AE99" s="343"/>
    </row>
    <row r="100" spans="1:31" x14ac:dyDescent="0.25">
      <c r="A100" s="343"/>
      <c r="B100" s="284"/>
      <c r="C100" s="302"/>
      <c r="D100" s="427" t="s">
        <v>1052</v>
      </c>
      <c r="E100" s="2358" t="str">
        <f>Translations!$B$345</f>
        <v>След тези приспадания на топлинна енергия от наличното количество, се изчислява ново съотношение за допустимост (буква k)).</v>
      </c>
      <c r="F100" s="2249"/>
      <c r="G100" s="2249"/>
      <c r="H100" s="2249"/>
      <c r="I100" s="2249"/>
      <c r="J100" s="2249"/>
      <c r="K100" s="2249"/>
      <c r="L100" s="2249"/>
      <c r="M100" s="2249"/>
      <c r="N100" s="2211"/>
      <c r="O100" s="336"/>
      <c r="P100" s="302"/>
      <c r="Q100" s="695"/>
      <c r="R100" s="343"/>
      <c r="S100" s="343"/>
      <c r="T100" s="343"/>
      <c r="U100" s="343"/>
      <c r="V100" s="343"/>
      <c r="W100" s="343"/>
      <c r="X100" s="343"/>
      <c r="Y100" s="343"/>
      <c r="Z100" s="343"/>
      <c r="AA100" s="343"/>
      <c r="AB100" s="343"/>
      <c r="AC100" s="343"/>
      <c r="AD100" s="343"/>
      <c r="AE100" s="343"/>
    </row>
    <row r="101" spans="1:31" x14ac:dyDescent="0.25">
      <c r="A101" s="343"/>
      <c r="B101" s="284"/>
      <c r="C101" s="302"/>
      <c r="D101" s="427" t="s">
        <v>1052</v>
      </c>
      <c r="E101" s="2718" t="str">
        <f>Translations!$B$346</f>
        <v>След това оставащото количество, което отговаря на условията за разпределяне на безплатни квоти, може да се разпредели на двете подинсталации с топлинен показател.</v>
      </c>
      <c r="F101" s="2211"/>
      <c r="G101" s="2211"/>
      <c r="H101" s="2211"/>
      <c r="I101" s="2211"/>
      <c r="J101" s="2211"/>
      <c r="K101" s="2211"/>
      <c r="L101" s="2211"/>
      <c r="M101" s="2211"/>
      <c r="N101" s="2211"/>
      <c r="O101" s="336"/>
      <c r="P101" s="302"/>
      <c r="Q101" s="695"/>
      <c r="R101" s="343"/>
      <c r="S101" s="343"/>
      <c r="T101" s="343"/>
      <c r="U101" s="343"/>
      <c r="V101" s="343"/>
      <c r="W101" s="343"/>
      <c r="X101" s="343"/>
      <c r="Y101" s="343"/>
      <c r="Z101" s="343"/>
      <c r="AA101" s="343"/>
      <c r="AB101" s="343"/>
      <c r="AC101" s="343"/>
      <c r="AD101" s="343"/>
      <c r="AE101" s="343"/>
    </row>
    <row r="102" spans="1:31" x14ac:dyDescent="0.25">
      <c r="A102" s="343"/>
      <c r="B102" s="698"/>
      <c r="C102" s="698"/>
      <c r="D102" s="698"/>
      <c r="E102" s="698"/>
      <c r="F102" s="698"/>
      <c r="G102" s="698"/>
      <c r="H102" s="698"/>
      <c r="I102" s="698"/>
      <c r="J102" s="698"/>
      <c r="K102" s="698"/>
      <c r="L102" s="698"/>
      <c r="M102" s="698"/>
      <c r="N102" s="698"/>
      <c r="O102" s="336"/>
      <c r="P102" s="302"/>
      <c r="Q102" s="343"/>
      <c r="R102" s="343"/>
      <c r="S102" s="343"/>
      <c r="T102" s="343"/>
      <c r="U102" s="343"/>
      <c r="V102" s="343"/>
      <c r="W102" s="343"/>
      <c r="X102" s="343"/>
      <c r="Y102" s="343"/>
      <c r="Z102" s="343"/>
      <c r="AA102" s="343"/>
      <c r="AB102" s="343"/>
      <c r="AC102" s="343"/>
      <c r="AD102" s="343"/>
      <c r="AE102" s="343"/>
    </row>
    <row r="103" spans="1:31" ht="14" x14ac:dyDescent="0.3">
      <c r="A103" s="343"/>
      <c r="B103" s="284"/>
      <c r="C103" s="357"/>
      <c r="D103" s="590"/>
      <c r="E103" s="2785" t="str">
        <f>Translations!$B$347</f>
        <v>Въвеждане на данни за топлинната енергия</v>
      </c>
      <c r="F103" s="2354"/>
      <c r="G103" s="2354"/>
      <c r="H103" s="2354"/>
      <c r="I103" s="2354"/>
      <c r="J103" s="2354"/>
      <c r="K103" s="2354"/>
      <c r="L103" s="2354"/>
      <c r="M103" s="2354"/>
      <c r="N103" s="2354"/>
      <c r="O103" s="336"/>
      <c r="P103" s="302"/>
      <c r="Q103" s="695"/>
      <c r="R103" s="343"/>
      <c r="S103" s="343"/>
      <c r="T103" s="343"/>
      <c r="U103" s="343"/>
      <c r="V103" s="343"/>
      <c r="W103" s="343"/>
      <c r="X103" s="343"/>
      <c r="Y103" s="343"/>
      <c r="Z103" s="343"/>
      <c r="AA103" s="343"/>
      <c r="AB103" s="343"/>
      <c r="AC103" s="343"/>
      <c r="AD103" s="343"/>
      <c r="AE103" s="343"/>
    </row>
    <row r="104" spans="1:31" ht="5.15" customHeight="1" x14ac:dyDescent="0.25">
      <c r="A104" s="343"/>
      <c r="B104" s="284"/>
      <c r="C104" s="284"/>
      <c r="D104" s="284"/>
      <c r="E104" s="284"/>
      <c r="F104" s="284"/>
      <c r="G104" s="284"/>
      <c r="H104" s="284"/>
      <c r="I104" s="284"/>
      <c r="J104" s="284"/>
      <c r="K104" s="284"/>
      <c r="L104" s="284"/>
      <c r="M104" s="284"/>
      <c r="N104" s="284"/>
      <c r="O104" s="336"/>
      <c r="P104" s="302"/>
      <c r="Q104" s="695"/>
      <c r="R104" s="343"/>
      <c r="S104" s="343"/>
      <c r="T104" s="343"/>
      <c r="U104" s="343"/>
      <c r="V104" s="343"/>
      <c r="W104" s="343"/>
      <c r="X104" s="343"/>
      <c r="Y104" s="343"/>
      <c r="Z104" s="343"/>
      <c r="AA104" s="343"/>
      <c r="AB104" s="343"/>
      <c r="AC104" s="343"/>
      <c r="AD104" s="343"/>
      <c r="AE104" s="343"/>
    </row>
    <row r="105" spans="1:31" ht="13" x14ac:dyDescent="0.25">
      <c r="A105" s="343"/>
      <c r="B105" s="284"/>
      <c r="C105" s="300"/>
      <c r="D105" s="300" t="s">
        <v>408</v>
      </c>
      <c r="E105" s="2353" t="str">
        <f>Translations!$B$348</f>
        <v>Общо нетно количество измерима топлинна енергия, произведена в инсталацията:</v>
      </c>
      <c r="F105" s="2354"/>
      <c r="G105" s="2354"/>
      <c r="H105" s="2354"/>
      <c r="I105" s="2354"/>
      <c r="J105" s="2354"/>
      <c r="K105" s="2354"/>
      <c r="L105" s="2354"/>
      <c r="M105" s="2354"/>
      <c r="N105" s="2354"/>
      <c r="O105" s="336"/>
      <c r="P105" s="302"/>
      <c r="Q105" s="695"/>
      <c r="R105" s="343"/>
      <c r="S105" s="343"/>
      <c r="T105" s="343"/>
      <c r="U105" s="343"/>
      <c r="V105" s="343"/>
      <c r="W105" s="343"/>
      <c r="X105" s="343"/>
      <c r="Y105" s="343"/>
      <c r="Z105" s="343"/>
      <c r="AA105" s="343"/>
      <c r="AB105" s="343"/>
      <c r="AC105" s="343"/>
      <c r="AD105" s="343"/>
      <c r="AE105" s="343"/>
    </row>
    <row r="106" spans="1:31" ht="12.75" customHeight="1" x14ac:dyDescent="0.25">
      <c r="A106" s="343"/>
      <c r="B106" s="284"/>
      <c r="C106" s="284"/>
      <c r="D106" s="1083"/>
      <c r="E106" s="2459" t="str">
        <f>Translations!$B$1491</f>
        <v>Всички данни за топлинната енергия следва да се отнасят за „нетно количество измерима топлинна енергия“ (т.е. топлинното съдържание на топлинния поток към потребителя минус топлинното съдържание на обратния поток).</v>
      </c>
      <c r="F106" s="2249"/>
      <c r="G106" s="2249"/>
      <c r="H106" s="2249"/>
      <c r="I106" s="2249"/>
      <c r="J106" s="2249"/>
      <c r="K106" s="2249"/>
      <c r="L106" s="2249"/>
      <c r="M106" s="2249"/>
      <c r="N106" s="2249"/>
      <c r="O106" s="336"/>
      <c r="P106" s="302"/>
      <c r="Q106" s="695"/>
      <c r="R106" s="343"/>
      <c r="S106" s="343"/>
      <c r="T106" s="343"/>
      <c r="U106" s="343"/>
      <c r="V106" s="343"/>
      <c r="W106" s="343"/>
      <c r="X106" s="343"/>
      <c r="Y106" s="343"/>
      <c r="Z106" s="343"/>
      <c r="AA106" s="343"/>
      <c r="AB106" s="343"/>
      <c r="AC106" s="343"/>
      <c r="AD106" s="343"/>
      <c r="AE106" s="343"/>
    </row>
    <row r="107" spans="1:31" ht="25.5" customHeight="1" x14ac:dyDescent="0.25">
      <c r="A107" s="343"/>
      <c r="B107" s="284"/>
      <c r="C107" s="302"/>
      <c r="D107" s="427" t="s">
        <v>1052</v>
      </c>
      <c r="E107" s="2358" t="str">
        <f>Translations!$B$1492</f>
        <v>Когато топлинната енергия от КПЕ е от значение, моля, докладвайте нетната топлинна енергия (т.е. след приспадане на собственото потребление на КПЕ), за да се осигури съгласуваност с данните, въведени в раздел D.III (т.е. или докладвайте само топлинната енергия от КПЕ, налична за потребителите след КПЕ, или докладвайте общото количество топлинна енергия, включително топлинната енергия, използвана за производство на електроенергия, които се отчитат последователно в буква ж) по-долу).</v>
      </c>
      <c r="F107" s="2716"/>
      <c r="G107" s="2716"/>
      <c r="H107" s="2716"/>
      <c r="I107" s="2716"/>
      <c r="J107" s="2716"/>
      <c r="K107" s="2716"/>
      <c r="L107" s="2716"/>
      <c r="M107" s="2716"/>
      <c r="N107" s="2717"/>
      <c r="O107" s="336"/>
      <c r="P107" s="302"/>
      <c r="Q107" s="695"/>
      <c r="R107" s="343"/>
      <c r="S107" s="343"/>
      <c r="T107" s="343"/>
      <c r="U107" s="343"/>
      <c r="V107" s="343"/>
      <c r="W107" s="343"/>
      <c r="X107" s="343"/>
      <c r="Y107" s="343"/>
      <c r="Z107" s="343"/>
      <c r="AA107" s="343"/>
      <c r="AB107" s="343"/>
      <c r="AC107" s="343"/>
      <c r="AD107" s="343"/>
      <c r="AE107" s="343"/>
    </row>
    <row r="108" spans="1:31" ht="13" x14ac:dyDescent="0.25">
      <c r="A108" s="343"/>
      <c r="B108" s="284"/>
      <c r="C108" s="302"/>
      <c r="D108" s="427" t="s">
        <v>1052</v>
      </c>
      <c r="E108" s="2358" t="str">
        <f>Translations!$B$1493</f>
        <v>Топлинната енергия от котли и др. следва да включва цялата топлинна енергия, произведена от специализираните съоръжения за производство на топлинна енергия (котли, повторно използване на отпадна топлина и др.) извън КПЕ.</v>
      </c>
      <c r="F108" s="2716"/>
      <c r="G108" s="2716"/>
      <c r="H108" s="2716"/>
      <c r="I108" s="2716"/>
      <c r="J108" s="2716"/>
      <c r="K108" s="2716"/>
      <c r="L108" s="2716"/>
      <c r="M108" s="2716"/>
      <c r="N108" s="2717"/>
      <c r="O108" s="336"/>
      <c r="P108" s="302"/>
      <c r="Q108" s="695"/>
      <c r="R108" s="343"/>
      <c r="S108" s="343"/>
      <c r="T108" s="343"/>
      <c r="U108" s="343"/>
      <c r="V108" s="343"/>
      <c r="W108" s="343"/>
      <c r="X108" s="343"/>
      <c r="Y108" s="343"/>
      <c r="Z108" s="343"/>
      <c r="AA108" s="343"/>
      <c r="AB108" s="343"/>
      <c r="AC108" s="343"/>
      <c r="AD108" s="343"/>
      <c r="AE108" s="343"/>
    </row>
    <row r="109" spans="1:31" ht="12.75" customHeight="1" x14ac:dyDescent="0.25">
      <c r="A109" s="343"/>
      <c r="B109" s="284"/>
      <c r="C109" s="302"/>
      <c r="D109" s="427" t="s">
        <v>1052</v>
      </c>
      <c r="E109" s="2358" t="str">
        <f>Translations!$B$1494</f>
        <v>Топлинната енергия от електроенергия следва да включва цялата топлинна енергия от електрически котли, термопомпи и др.</v>
      </c>
      <c r="F109" s="2716"/>
      <c r="G109" s="2716"/>
      <c r="H109" s="2716"/>
      <c r="I109" s="2716"/>
      <c r="J109" s="2716"/>
      <c r="K109" s="2716"/>
      <c r="L109" s="2716"/>
      <c r="M109" s="2716"/>
      <c r="N109" s="2717"/>
      <c r="O109" s="336"/>
      <c r="P109" s="302"/>
      <c r="Q109" s="695"/>
      <c r="R109" s="343"/>
      <c r="S109" s="343"/>
      <c r="T109" s="343"/>
      <c r="U109" s="343"/>
      <c r="V109" s="343"/>
      <c r="W109" s="343"/>
      <c r="X109" s="343"/>
      <c r="Y109" s="343"/>
      <c r="Z109" s="343"/>
      <c r="AA109" s="343"/>
      <c r="AB109" s="343"/>
      <c r="AC109" s="343"/>
      <c r="AD109" s="343"/>
      <c r="AE109" s="343"/>
    </row>
    <row r="110" spans="1:31" ht="13" x14ac:dyDescent="0.25">
      <c r="A110" s="343"/>
      <c r="B110" s="284"/>
      <c r="C110" s="302"/>
      <c r="D110" s="427" t="s">
        <v>1052</v>
      </c>
      <c r="E110" s="2718" t="str">
        <f>Translations!$B$1495</f>
        <v>Топлинната енергия от други източници следва да включва топлинната енергия от други останали източници (например геотермална енергия, слънчева топлинна енергия, топлина от околната среда за термопомпи, екзотермични химични реакции)</v>
      </c>
      <c r="F110" s="2717"/>
      <c r="G110" s="2717"/>
      <c r="H110" s="2717"/>
      <c r="I110" s="2717"/>
      <c r="J110" s="2717"/>
      <c r="K110" s="2717"/>
      <c r="L110" s="2717"/>
      <c r="M110" s="2717"/>
      <c r="N110" s="2717"/>
      <c r="O110" s="336"/>
      <c r="P110" s="302"/>
      <c r="Q110" s="695"/>
      <c r="R110" s="343"/>
      <c r="S110" s="343"/>
      <c r="T110" s="343"/>
      <c r="U110" s="343"/>
      <c r="V110" s="343"/>
      <c r="W110" s="343"/>
      <c r="X110" s="343"/>
      <c r="Y110" s="343"/>
      <c r="Z110" s="343"/>
      <c r="AA110" s="343"/>
      <c r="AB110" s="343"/>
      <c r="AC110" s="343"/>
      <c r="AD110" s="343"/>
      <c r="AE110" s="343"/>
    </row>
    <row r="111" spans="1:31" ht="13" x14ac:dyDescent="0.25">
      <c r="A111" s="343"/>
      <c r="B111" s="284"/>
      <c r="C111" s="302"/>
      <c r="D111" s="302"/>
      <c r="E111" s="2723" t="str">
        <f>Translations!$B$1496</f>
        <v>Имайте предвид, че топлинната енергия от подинсталации, работещи с азотна киселина, трябва да се отчита съгласно буква г) като „получаване на топлинна енергия от извън СТЕ“.</v>
      </c>
      <c r="F111" s="2757"/>
      <c r="G111" s="2757"/>
      <c r="H111" s="2757"/>
      <c r="I111" s="2757"/>
      <c r="J111" s="2757"/>
      <c r="K111" s="2757"/>
      <c r="L111" s="2757"/>
      <c r="M111" s="2757"/>
      <c r="N111" s="2757"/>
      <c r="O111" s="336"/>
      <c r="P111" s="302"/>
      <c r="Q111" s="695"/>
      <c r="R111" s="343"/>
      <c r="S111" s="343"/>
      <c r="T111" s="343"/>
      <c r="U111" s="343"/>
      <c r="V111" s="343"/>
      <c r="W111" s="343"/>
      <c r="X111" s="343"/>
      <c r="Y111" s="343"/>
      <c r="Z111" s="343"/>
      <c r="AA111" s="343"/>
      <c r="AB111" s="343"/>
      <c r="AC111" s="343"/>
      <c r="AD111" s="343"/>
      <c r="AE111" s="343"/>
    </row>
    <row r="112" spans="1:31" ht="13.5" thickBot="1" x14ac:dyDescent="0.3">
      <c r="A112" s="343"/>
      <c r="B112" s="698"/>
      <c r="C112" s="698"/>
      <c r="D112" s="698"/>
      <c r="E112" s="461"/>
      <c r="F112" s="742"/>
      <c r="G112" s="527" t="str">
        <f>EUconst_Unit</f>
        <v>Единица мярка</v>
      </c>
      <c r="H112" s="391">
        <f t="shared" ref="H112:N112" si="25">H$428</f>
        <v>2024</v>
      </c>
      <c r="I112" s="391">
        <f t="shared" si="25"/>
        <v>2025</v>
      </c>
      <c r="J112" s="391">
        <f t="shared" si="25"/>
        <v>2026</v>
      </c>
      <c r="K112" s="391">
        <f t="shared" si="25"/>
        <v>2027</v>
      </c>
      <c r="L112" s="391">
        <f t="shared" si="25"/>
        <v>2028</v>
      </c>
      <c r="M112" s="391">
        <f t="shared" si="25"/>
        <v>2029</v>
      </c>
      <c r="N112" s="391">
        <f t="shared" si="25"/>
        <v>2030</v>
      </c>
      <c r="O112" s="336"/>
      <c r="P112" s="302"/>
      <c r="Q112" s="343"/>
      <c r="R112" s="343"/>
      <c r="S112" s="343"/>
      <c r="T112" s="711" t="s">
        <v>1148</v>
      </c>
      <c r="U112" s="343"/>
      <c r="V112" s="343"/>
      <c r="W112" s="343"/>
      <c r="X112" s="343"/>
      <c r="Y112" s="343"/>
      <c r="Z112" s="343"/>
      <c r="AA112" s="343"/>
      <c r="AB112" s="343"/>
      <c r="AC112" s="343"/>
      <c r="AD112" s="343"/>
      <c r="AE112" s="343"/>
    </row>
    <row r="113" spans="1:31" x14ac:dyDescent="0.25">
      <c r="A113" s="343"/>
      <c r="B113" s="698"/>
      <c r="C113" s="698"/>
      <c r="D113" s="1084" t="s">
        <v>6</v>
      </c>
      <c r="E113" s="2741" t="str">
        <f>Translations!$B$1497</f>
        <v>Топлинна енергия от КПЕ</v>
      </c>
      <c r="F113" s="2729"/>
      <c r="G113" s="1085" t="str">
        <f>EUconst_TJpa</f>
        <v>TJ / година</v>
      </c>
      <c r="H113" s="33"/>
      <c r="I113" s="33"/>
      <c r="J113" s="33"/>
      <c r="K113" s="33"/>
      <c r="L113" s="33"/>
      <c r="M113" s="33"/>
      <c r="N113" s="33"/>
      <c r="O113" s="336"/>
      <c r="P113" s="181"/>
      <c r="Q113" s="343"/>
      <c r="R113" s="343"/>
      <c r="S113" s="343"/>
      <c r="T113" s="1086" t="b">
        <f>AND(M84&lt;&gt;"",M84=FALSE)</f>
        <v>0</v>
      </c>
      <c r="U113" s="343"/>
      <c r="V113" s="343"/>
      <c r="W113" s="343"/>
      <c r="X113" s="343"/>
      <c r="Y113" s="343"/>
      <c r="Z113" s="343"/>
      <c r="AA113" s="343"/>
      <c r="AB113" s="343"/>
      <c r="AC113" s="343"/>
      <c r="AD113" s="732" t="s">
        <v>2039</v>
      </c>
      <c r="AE113" s="875" t="str">
        <f>IF(AND(CNTR_HasEntries_A_I,COUNTIFS($V$20:$AB$20,FALSE,H113:N113,"")&gt;0,$T$117=FALSE),2,"")</f>
        <v/>
      </c>
    </row>
    <row r="114" spans="1:31" ht="12.65" customHeight="1" x14ac:dyDescent="0.25">
      <c r="A114" s="343"/>
      <c r="B114" s="698"/>
      <c r="C114" s="698"/>
      <c r="D114" s="360" t="s">
        <v>7</v>
      </c>
      <c r="E114" s="2719" t="str">
        <f>Translations!$B$1498</f>
        <v>Топлинна енергия от котли и др.</v>
      </c>
      <c r="F114" s="2720"/>
      <c r="G114" s="1087" t="str">
        <f>EUconst_TJpa</f>
        <v>TJ / година</v>
      </c>
      <c r="H114" s="32"/>
      <c r="I114" s="32"/>
      <c r="J114" s="32"/>
      <c r="K114" s="32"/>
      <c r="L114" s="32"/>
      <c r="M114" s="32"/>
      <c r="N114" s="32"/>
      <c r="O114" s="336"/>
      <c r="P114" s="181"/>
      <c r="Q114" s="343"/>
      <c r="R114" s="343"/>
      <c r="S114" s="343"/>
      <c r="T114" s="747" t="b">
        <f>T113</f>
        <v>0</v>
      </c>
      <c r="U114" s="343"/>
      <c r="V114" s="343"/>
      <c r="W114" s="343"/>
      <c r="X114" s="343"/>
      <c r="Y114" s="343"/>
      <c r="Z114" s="343"/>
      <c r="AA114" s="343"/>
      <c r="AB114" s="343"/>
      <c r="AC114" s="343"/>
      <c r="AD114" s="732" t="s">
        <v>2039</v>
      </c>
      <c r="AE114" s="875" t="str">
        <f>IF(AND(CNTR_HasEntries_A_I,COUNTIFS($V$20:$AB$20,FALSE,H114:N114,"")&gt;0,$T$117=FALSE),2,"")</f>
        <v/>
      </c>
    </row>
    <row r="115" spans="1:31" ht="12.65" customHeight="1" x14ac:dyDescent="0.25">
      <c r="A115" s="343"/>
      <c r="B115" s="698"/>
      <c r="C115" s="698"/>
      <c r="D115" s="360" t="s">
        <v>8</v>
      </c>
      <c r="E115" s="2719" t="str">
        <f>Translations!$B$357</f>
        <v>Топлинна енергия от ел. енергия</v>
      </c>
      <c r="F115" s="2720"/>
      <c r="G115" s="1087" t="str">
        <f>EUconst_TJpa</f>
        <v>TJ / година</v>
      </c>
      <c r="H115" s="32"/>
      <c r="I115" s="32"/>
      <c r="J115" s="32"/>
      <c r="K115" s="32"/>
      <c r="L115" s="32"/>
      <c r="M115" s="32"/>
      <c r="N115" s="32"/>
      <c r="O115" s="336"/>
      <c r="P115" s="181"/>
      <c r="Q115" s="343"/>
      <c r="R115" s="343"/>
      <c r="S115" s="343"/>
      <c r="T115" s="747" t="b">
        <f t="shared" ref="T115:T117" si="26">T114</f>
        <v>0</v>
      </c>
      <c r="U115" s="343"/>
      <c r="V115" s="343"/>
      <c r="W115" s="343"/>
      <c r="X115" s="343"/>
      <c r="Y115" s="343"/>
      <c r="Z115" s="343"/>
      <c r="AA115" s="343"/>
      <c r="AB115" s="343"/>
      <c r="AC115" s="343"/>
      <c r="AD115" s="732" t="s">
        <v>2039</v>
      </c>
      <c r="AE115" s="875" t="str">
        <f>IF(AND(CNTR_HasEntries_A_I,COUNTIFS($V$20:$AB$20,FALSE,H115:N115,"")&gt;0,$T$117=FALSE),2,"")</f>
        <v/>
      </c>
    </row>
    <row r="116" spans="1:31" x14ac:dyDescent="0.25">
      <c r="A116" s="343"/>
      <c r="B116" s="698"/>
      <c r="C116" s="698"/>
      <c r="D116" s="360" t="s">
        <v>18</v>
      </c>
      <c r="E116" s="2777" t="str">
        <f>Translations!$B$1499</f>
        <v>Топлинна енергия от други източници</v>
      </c>
      <c r="F116" s="2732"/>
      <c r="G116" s="1088" t="str">
        <f>EUconst_TJpa</f>
        <v>TJ / година</v>
      </c>
      <c r="H116" s="30"/>
      <c r="I116" s="30"/>
      <c r="J116" s="30"/>
      <c r="K116" s="30"/>
      <c r="L116" s="30"/>
      <c r="M116" s="30"/>
      <c r="N116" s="30"/>
      <c r="O116" s="336"/>
      <c r="P116" s="181"/>
      <c r="Q116" s="343"/>
      <c r="R116" s="343"/>
      <c r="S116" s="343"/>
      <c r="T116" s="747" t="b">
        <f t="shared" si="26"/>
        <v>0</v>
      </c>
      <c r="U116" s="343"/>
      <c r="V116" s="343"/>
      <c r="W116" s="343"/>
      <c r="X116" s="343"/>
      <c r="Y116" s="343"/>
      <c r="Z116" s="343"/>
      <c r="AA116" s="343"/>
      <c r="AB116" s="343"/>
      <c r="AC116" s="343"/>
      <c r="AD116" s="732" t="s">
        <v>2039</v>
      </c>
      <c r="AE116" s="875" t="str">
        <f>IF(AND(CNTR_HasEntries_A_I,COUNTIFS($V$20:$AB$20,FALSE,H116:N116,"")&gt;0,$T$117=FALSE),2,"")</f>
        <v/>
      </c>
    </row>
    <row r="117" spans="1:31" ht="12.65" customHeight="1" x14ac:dyDescent="0.25">
      <c r="A117" s="343"/>
      <c r="B117" s="698"/>
      <c r="C117" s="698"/>
      <c r="D117" s="360" t="s">
        <v>810</v>
      </c>
      <c r="E117" s="2738" t="str">
        <f>Translations!$B$353</f>
        <v>Междинен сбор</v>
      </c>
      <c r="F117" s="2739"/>
      <c r="G117" s="1016" t="str">
        <f>EUconst_TJpa</f>
        <v>TJ / година</v>
      </c>
      <c r="H117" s="1020" t="str">
        <f t="shared" ref="H117:N117" si="27">IF(COUNT(H113:H116)&gt;0,SUM(H113:H116),"")</f>
        <v/>
      </c>
      <c r="I117" s="1020" t="str">
        <f t="shared" si="27"/>
        <v/>
      </c>
      <c r="J117" s="1020" t="str">
        <f t="shared" si="27"/>
        <v/>
      </c>
      <c r="K117" s="1020" t="str">
        <f t="shared" si="27"/>
        <v/>
      </c>
      <c r="L117" s="1020" t="str">
        <f t="shared" si="27"/>
        <v/>
      </c>
      <c r="M117" s="1020" t="str">
        <f t="shared" si="27"/>
        <v/>
      </c>
      <c r="N117" s="1020" t="str">
        <f t="shared" si="27"/>
        <v/>
      </c>
      <c r="O117" s="336"/>
      <c r="P117" s="181"/>
      <c r="Q117" s="343"/>
      <c r="R117" s="343"/>
      <c r="S117" s="343"/>
      <c r="T117" s="747" t="b">
        <f t="shared" si="26"/>
        <v>0</v>
      </c>
      <c r="U117" s="343"/>
      <c r="V117" s="343"/>
      <c r="W117" s="343"/>
      <c r="X117" s="343"/>
      <c r="Y117" s="343"/>
      <c r="Z117" s="343"/>
      <c r="AA117" s="343"/>
      <c r="AB117" s="343"/>
      <c r="AC117" s="343"/>
      <c r="AD117" s="343"/>
      <c r="AE117" s="343"/>
    </row>
    <row r="118" spans="1:31" ht="5.15" customHeight="1" x14ac:dyDescent="0.25">
      <c r="A118" s="343"/>
      <c r="B118" s="284"/>
      <c r="C118" s="284"/>
      <c r="D118" s="284"/>
      <c r="E118" s="284"/>
      <c r="F118" s="284"/>
      <c r="G118" s="284"/>
      <c r="H118" s="284"/>
      <c r="I118" s="284"/>
      <c r="J118" s="284"/>
      <c r="K118" s="284"/>
      <c r="L118" s="284"/>
      <c r="M118" s="284"/>
      <c r="N118" s="284"/>
      <c r="O118" s="336"/>
      <c r="P118" s="302"/>
      <c r="Q118" s="695"/>
      <c r="R118" s="343"/>
      <c r="S118" s="343"/>
      <c r="T118" s="1089"/>
      <c r="U118" s="343"/>
      <c r="V118" s="343"/>
      <c r="W118" s="343"/>
      <c r="X118" s="343"/>
      <c r="Y118" s="343"/>
      <c r="Z118" s="343"/>
      <c r="AA118" s="343"/>
      <c r="AB118" s="343"/>
      <c r="AC118" s="343"/>
      <c r="AD118" s="343"/>
      <c r="AE118" s="343"/>
    </row>
    <row r="119" spans="1:31" ht="13" customHeight="1" x14ac:dyDescent="0.25">
      <c r="A119" s="343"/>
      <c r="B119" s="284"/>
      <c r="C119" s="300"/>
      <c r="D119" s="300" t="s">
        <v>901</v>
      </c>
      <c r="E119" s="2724" t="str">
        <f>Translations!$B$1500</f>
        <v>Допълнителна информация за справка: топлинна енергия, подадена от подинсталации с горивен показател</v>
      </c>
      <c r="F119" s="2725"/>
      <c r="G119" s="2725"/>
      <c r="H119" s="2725"/>
      <c r="I119" s="2725"/>
      <c r="J119" s="2725"/>
      <c r="K119" s="2725"/>
      <c r="L119" s="2725"/>
      <c r="M119" s="2725"/>
      <c r="N119" s="2725"/>
      <c r="O119" s="336"/>
      <c r="P119" s="302"/>
      <c r="Q119" s="695"/>
      <c r="R119" s="343"/>
      <c r="S119" s="343"/>
      <c r="T119" s="1089"/>
      <c r="U119" s="343"/>
      <c r="V119" s="343"/>
      <c r="W119" s="343"/>
      <c r="X119" s="343"/>
      <c r="Y119" s="343"/>
      <c r="Z119" s="343"/>
      <c r="AA119" s="343"/>
      <c r="AB119" s="343"/>
      <c r="AC119" s="343"/>
      <c r="AD119" s="343"/>
      <c r="AE119" s="343"/>
    </row>
    <row r="120" spans="1:31" ht="25.5" customHeight="1" x14ac:dyDescent="0.25">
      <c r="A120" s="343"/>
      <c r="B120" s="284"/>
      <c r="C120" s="302"/>
      <c r="D120" s="302"/>
      <c r="E120" s="2433" t="str">
        <f>Translations!$B$1501</f>
        <v>Като допълнителна информация за справка и част, която трябва да бъде включена в подточка i., сборът от количествата измерима топлинна енергия, подадена от подинсталациите с горивен показател, се показва в подточка ii.</v>
      </c>
      <c r="F120" s="2433"/>
      <c r="G120" s="2433"/>
      <c r="H120" s="2433"/>
      <c r="I120" s="2433"/>
      <c r="J120" s="2433"/>
      <c r="K120" s="2433"/>
      <c r="L120" s="2433"/>
      <c r="M120" s="2433"/>
      <c r="N120" s="2433"/>
      <c r="O120" s="336"/>
      <c r="P120" s="302"/>
      <c r="Q120" s="695"/>
      <c r="R120" s="343"/>
      <c r="S120" s="343"/>
      <c r="T120" s="1089"/>
      <c r="U120" s="343"/>
      <c r="V120" s="343"/>
      <c r="W120" s="343"/>
      <c r="X120" s="343"/>
      <c r="Y120" s="343"/>
      <c r="Z120" s="343"/>
      <c r="AA120" s="343"/>
      <c r="AB120" s="343"/>
      <c r="AC120" s="343"/>
      <c r="AD120" s="343"/>
      <c r="AE120" s="343"/>
    </row>
    <row r="121" spans="1:31" ht="13" x14ac:dyDescent="0.25">
      <c r="A121" s="343"/>
      <c r="B121" s="698"/>
      <c r="C121" s="698"/>
      <c r="D121" s="698"/>
      <c r="E121" s="461"/>
      <c r="F121" s="742"/>
      <c r="G121" s="527" t="str">
        <f>EUconst_Unit</f>
        <v>Единица мярка</v>
      </c>
      <c r="H121" s="391">
        <f t="shared" ref="H121:N121" si="28">H$428</f>
        <v>2024</v>
      </c>
      <c r="I121" s="391">
        <f t="shared" si="28"/>
        <v>2025</v>
      </c>
      <c r="J121" s="391">
        <f t="shared" si="28"/>
        <v>2026</v>
      </c>
      <c r="K121" s="391">
        <f t="shared" si="28"/>
        <v>2027</v>
      </c>
      <c r="L121" s="391">
        <f t="shared" si="28"/>
        <v>2028</v>
      </c>
      <c r="M121" s="391">
        <f t="shared" si="28"/>
        <v>2029</v>
      </c>
      <c r="N121" s="391">
        <f t="shared" si="28"/>
        <v>2030</v>
      </c>
      <c r="O121" s="336"/>
      <c r="P121" s="302"/>
      <c r="Q121" s="343"/>
      <c r="R121" s="343"/>
      <c r="S121" s="343"/>
      <c r="T121" s="1089"/>
      <c r="U121" s="343"/>
      <c r="V121" s="343"/>
      <c r="W121" s="343"/>
      <c r="X121" s="343"/>
      <c r="Y121" s="343"/>
      <c r="Z121" s="343"/>
      <c r="AA121" s="343"/>
      <c r="AB121" s="343"/>
      <c r="AC121" s="343"/>
      <c r="AD121" s="343"/>
      <c r="AE121" s="343"/>
    </row>
    <row r="122" spans="1:31" ht="12.65" customHeight="1" x14ac:dyDescent="0.25">
      <c r="A122" s="343"/>
      <c r="B122" s="698"/>
      <c r="C122" s="698"/>
      <c r="D122" s="1084"/>
      <c r="E122" s="2779" t="str">
        <f>Translations!$B$1500</f>
        <v>Допълнителна информация за справка: топлинна енергия, подадена от подинсталации с горивен показател</v>
      </c>
      <c r="F122" s="2780"/>
      <c r="G122" s="1016" t="str">
        <f>EUconst_TJpa</f>
        <v>TJ / година</v>
      </c>
      <c r="H122" s="1020" t="str">
        <f t="shared" ref="H122:N122" si="29">IF(ISNUMBER(H117),SUM(H$474:H$476),"")</f>
        <v/>
      </c>
      <c r="I122" s="1020" t="str">
        <f t="shared" si="29"/>
        <v/>
      </c>
      <c r="J122" s="1020" t="str">
        <f t="shared" si="29"/>
        <v/>
      </c>
      <c r="K122" s="1020" t="str">
        <f t="shared" si="29"/>
        <v/>
      </c>
      <c r="L122" s="1020" t="str">
        <f t="shared" si="29"/>
        <v/>
      </c>
      <c r="M122" s="1020" t="str">
        <f t="shared" si="29"/>
        <v/>
      </c>
      <c r="N122" s="1020" t="str">
        <f t="shared" si="29"/>
        <v/>
      </c>
      <c r="O122" s="336"/>
      <c r="P122" s="181"/>
      <c r="Q122" s="343"/>
      <c r="R122" s="343"/>
      <c r="S122" s="343"/>
      <c r="T122" s="747" t="b">
        <f>T117</f>
        <v>0</v>
      </c>
      <c r="U122" s="343"/>
      <c r="V122" s="343"/>
      <c r="W122" s="343"/>
      <c r="X122" s="343"/>
      <c r="Y122" s="343"/>
      <c r="Z122" s="343"/>
      <c r="AA122" s="343"/>
      <c r="AB122" s="343"/>
      <c r="AC122" s="343"/>
      <c r="AD122" s="732"/>
      <c r="AE122" s="775"/>
    </row>
    <row r="123" spans="1:31" ht="5.15" customHeight="1" x14ac:dyDescent="0.25">
      <c r="A123" s="343"/>
      <c r="B123" s="284"/>
      <c r="C123" s="284"/>
      <c r="D123" s="284"/>
      <c r="E123" s="284"/>
      <c r="F123" s="284"/>
      <c r="G123" s="284"/>
      <c r="H123" s="284"/>
      <c r="I123" s="284"/>
      <c r="J123" s="284"/>
      <c r="K123" s="284"/>
      <c r="L123" s="284"/>
      <c r="M123" s="284"/>
      <c r="N123" s="284"/>
      <c r="O123" s="336"/>
      <c r="P123" s="302"/>
      <c r="Q123" s="695"/>
      <c r="R123" s="343"/>
      <c r="S123" s="343"/>
      <c r="T123" s="1089"/>
      <c r="U123" s="343"/>
      <c r="V123" s="343"/>
      <c r="W123" s="343"/>
      <c r="X123" s="343"/>
      <c r="Y123" s="343"/>
      <c r="Z123" s="343"/>
      <c r="AA123" s="343"/>
      <c r="AB123" s="343"/>
      <c r="AC123" s="343"/>
      <c r="AD123" s="343"/>
      <c r="AE123" s="343"/>
    </row>
    <row r="124" spans="1:31" ht="13" customHeight="1" x14ac:dyDescent="0.25">
      <c r="A124" s="343"/>
      <c r="B124" s="284"/>
      <c r="C124" s="300"/>
      <c r="D124" s="300" t="s">
        <v>46</v>
      </c>
      <c r="E124" s="2724" t="str">
        <f>Translations!$B$350</f>
        <v>Измерима топлинна енергия, внесена от инсталации, обхванати от СТЕ на ЕС:</v>
      </c>
      <c r="F124" s="2724"/>
      <c r="G124" s="2724"/>
      <c r="H124" s="2724"/>
      <c r="I124" s="2724"/>
      <c r="J124" s="2724"/>
      <c r="K124" s="2724"/>
      <c r="L124" s="2724"/>
      <c r="M124" s="2724"/>
      <c r="N124" s="2724"/>
      <c r="O124" s="336"/>
      <c r="P124" s="302"/>
      <c r="Q124" s="695"/>
      <c r="R124" s="343"/>
      <c r="S124" s="343"/>
      <c r="T124" s="1089"/>
      <c r="U124" s="343"/>
      <c r="V124" s="343"/>
      <c r="W124" s="343"/>
      <c r="X124" s="343"/>
      <c r="Y124" s="343"/>
      <c r="Z124" s="343"/>
      <c r="AA124" s="343"/>
      <c r="AB124" s="343"/>
      <c r="AC124" s="343"/>
      <c r="AD124" s="343"/>
      <c r="AE124" s="343"/>
    </row>
    <row r="125" spans="1:31" ht="12.65" customHeight="1" x14ac:dyDescent="0.25">
      <c r="A125" s="343"/>
      <c r="B125" s="284"/>
      <c r="C125" s="302"/>
      <c r="D125" s="302"/>
      <c r="E125" s="2733" t="str">
        <f>Translations!$B$351</f>
        <v>Наименованията на инсталациите от падащия списък са взети от раздел A.IV. Затова трябва да се уверите, че там сте въвели пълни данни.</v>
      </c>
      <c r="F125" s="2733"/>
      <c r="G125" s="2733"/>
      <c r="H125" s="2733"/>
      <c r="I125" s="2733"/>
      <c r="J125" s="2733"/>
      <c r="K125" s="2733"/>
      <c r="L125" s="2733"/>
      <c r="M125" s="2733"/>
      <c r="N125" s="2733"/>
      <c r="O125" s="336"/>
      <c r="P125" s="302"/>
      <c r="Q125" s="695"/>
      <c r="R125" s="343"/>
      <c r="S125" s="343"/>
      <c r="T125" s="1089"/>
      <c r="U125" s="343"/>
      <c r="V125" s="343"/>
      <c r="W125" s="343"/>
      <c r="X125" s="343"/>
      <c r="Y125" s="343"/>
      <c r="Z125" s="343"/>
      <c r="AA125" s="343"/>
      <c r="AB125" s="343"/>
      <c r="AC125" s="343"/>
      <c r="AD125" s="343"/>
      <c r="AE125" s="343"/>
    </row>
    <row r="126" spans="1:31" ht="12.65" customHeight="1" x14ac:dyDescent="0.25">
      <c r="A126" s="343"/>
      <c r="B126" s="284"/>
      <c r="C126" s="302"/>
      <c r="D126" s="302"/>
      <c r="E126" s="2733" t="str">
        <f>Translations!$B$1312</f>
        <v>Ако съществуват повече от три връзки, моля да ги обобщите. Това може да наложи корекции в раздели A.V.b.</v>
      </c>
      <c r="F126" s="2725"/>
      <c r="G126" s="2725"/>
      <c r="H126" s="2725"/>
      <c r="I126" s="2725"/>
      <c r="J126" s="2725"/>
      <c r="K126" s="2725"/>
      <c r="L126" s="2725"/>
      <c r="M126" s="2725"/>
      <c r="N126" s="2725"/>
      <c r="O126" s="336"/>
      <c r="P126" s="302"/>
      <c r="Q126" s="695"/>
      <c r="R126" s="343"/>
      <c r="S126" s="343"/>
      <c r="T126" s="1089"/>
      <c r="U126" s="343"/>
      <c r="V126" s="343"/>
      <c r="W126" s="343"/>
      <c r="X126" s="343"/>
      <c r="Y126" s="343"/>
      <c r="Z126" s="343"/>
      <c r="AA126" s="343"/>
      <c r="AB126" s="343"/>
      <c r="AC126" s="343"/>
      <c r="AD126" s="343"/>
      <c r="AE126" s="343"/>
    </row>
    <row r="127" spans="1:31" ht="13" customHeight="1" x14ac:dyDescent="0.25">
      <c r="A127" s="343"/>
      <c r="B127" s="698"/>
      <c r="C127" s="698"/>
      <c r="D127" s="698"/>
      <c r="E127" s="2742" t="str">
        <f>Translations!$B$352</f>
        <v>Наименование на инсталацията</v>
      </c>
      <c r="F127" s="2743"/>
      <c r="G127" s="527" t="str">
        <f>EUconst_Unit</f>
        <v>Единица мярка</v>
      </c>
      <c r="H127" s="391">
        <f t="shared" ref="H127:N127" si="30">H$428</f>
        <v>2024</v>
      </c>
      <c r="I127" s="391">
        <f t="shared" si="30"/>
        <v>2025</v>
      </c>
      <c r="J127" s="391">
        <f t="shared" si="30"/>
        <v>2026</v>
      </c>
      <c r="K127" s="391">
        <f t="shared" si="30"/>
        <v>2027</v>
      </c>
      <c r="L127" s="391">
        <f t="shared" si="30"/>
        <v>2028</v>
      </c>
      <c r="M127" s="391">
        <f t="shared" si="30"/>
        <v>2029</v>
      </c>
      <c r="N127" s="391">
        <f t="shared" si="30"/>
        <v>2030</v>
      </c>
      <c r="O127" s="336"/>
      <c r="P127" s="302"/>
      <c r="Q127" s="343"/>
      <c r="R127" s="343"/>
      <c r="S127" s="343"/>
      <c r="T127" s="1089"/>
      <c r="U127" s="343"/>
      <c r="V127" s="343"/>
      <c r="W127" s="343"/>
      <c r="X127" s="343"/>
      <c r="Y127" s="343"/>
      <c r="Z127" s="343"/>
      <c r="AA127" s="343"/>
      <c r="AB127" s="343"/>
      <c r="AC127" s="343"/>
      <c r="AD127" s="343"/>
      <c r="AE127" s="343"/>
    </row>
    <row r="128" spans="1:31" x14ac:dyDescent="0.25">
      <c r="A128" s="343"/>
      <c r="B128" s="698"/>
      <c r="C128" s="1084"/>
      <c r="D128" s="1084" t="s">
        <v>6</v>
      </c>
      <c r="E128" s="2747"/>
      <c r="F128" s="2748"/>
      <c r="G128" s="981" t="str">
        <f>EUconst_TJpa</f>
        <v>TJ / година</v>
      </c>
      <c r="H128" s="33"/>
      <c r="I128" s="33"/>
      <c r="J128" s="33"/>
      <c r="K128" s="33"/>
      <c r="L128" s="33"/>
      <c r="M128" s="33"/>
      <c r="N128" s="33"/>
      <c r="O128" s="336"/>
      <c r="P128" s="181"/>
      <c r="Q128" s="343"/>
      <c r="R128" s="343"/>
      <c r="S128" s="343"/>
      <c r="T128" s="747" t="b">
        <f>T117</f>
        <v>0</v>
      </c>
      <c r="U128" s="343"/>
      <c r="V128" s="343"/>
      <c r="W128" s="343"/>
      <c r="X128" s="343"/>
      <c r="Y128" s="343"/>
      <c r="Z128" s="343"/>
      <c r="AA128" s="343"/>
      <c r="AB128" s="343"/>
      <c r="AC128" s="343"/>
      <c r="AD128" s="732" t="s">
        <v>2039</v>
      </c>
      <c r="AE128" s="875" t="str">
        <f>IF(AND(CNTR_HasEntries_A_I,E128&lt;&gt;"",COUNTIFS($V$20:$AB$20,FALSE,H128:N128,"")&gt;0),2,"")</f>
        <v/>
      </c>
    </row>
    <row r="129" spans="1:31" x14ac:dyDescent="0.25">
      <c r="A129" s="343"/>
      <c r="B129" s="698"/>
      <c r="C129" s="1084"/>
      <c r="D129" s="1084" t="s">
        <v>7</v>
      </c>
      <c r="E129" s="2734"/>
      <c r="F129" s="2735"/>
      <c r="G129" s="990" t="str">
        <f>EUconst_TJpa</f>
        <v>TJ / година</v>
      </c>
      <c r="H129" s="32"/>
      <c r="I129" s="32"/>
      <c r="J129" s="32"/>
      <c r="K129" s="32"/>
      <c r="L129" s="32"/>
      <c r="M129" s="32"/>
      <c r="N129" s="32"/>
      <c r="O129" s="336"/>
      <c r="P129" s="181"/>
      <c r="Q129" s="343"/>
      <c r="R129" s="343"/>
      <c r="S129" s="343"/>
      <c r="T129" s="747" t="b">
        <f>T128</f>
        <v>0</v>
      </c>
      <c r="U129" s="343"/>
      <c r="V129" s="343"/>
      <c r="W129" s="343"/>
      <c r="X129" s="343"/>
      <c r="Y129" s="343"/>
      <c r="Z129" s="343"/>
      <c r="AA129" s="343"/>
      <c r="AB129" s="343"/>
      <c r="AC129" s="343"/>
      <c r="AD129" s="732" t="s">
        <v>2039</v>
      </c>
      <c r="AE129" s="875" t="str">
        <f>IF(AND(CNTR_HasEntries_A_I,E129&lt;&gt;"",COUNTIFS($V$20:$AB$20,FALSE,H129:N129,"")&gt;0),2,"")</f>
        <v/>
      </c>
    </row>
    <row r="130" spans="1:31" x14ac:dyDescent="0.25">
      <c r="A130" s="343"/>
      <c r="B130" s="698"/>
      <c r="C130" s="1084"/>
      <c r="D130" s="1084" t="s">
        <v>8</v>
      </c>
      <c r="E130" s="2736"/>
      <c r="F130" s="2737"/>
      <c r="G130" s="994" t="str">
        <f>EUconst_TJpa</f>
        <v>TJ / година</v>
      </c>
      <c r="H130" s="30"/>
      <c r="I130" s="30"/>
      <c r="J130" s="30"/>
      <c r="K130" s="30"/>
      <c r="L130" s="30"/>
      <c r="M130" s="30"/>
      <c r="N130" s="30"/>
      <c r="O130" s="336"/>
      <c r="P130" s="181"/>
      <c r="Q130" s="343"/>
      <c r="R130" s="343"/>
      <c r="S130" s="343"/>
      <c r="T130" s="747" t="b">
        <f>T129</f>
        <v>0</v>
      </c>
      <c r="U130" s="343"/>
      <c r="V130" s="343"/>
      <c r="W130" s="343"/>
      <c r="X130" s="343"/>
      <c r="Y130" s="343"/>
      <c r="Z130" s="343"/>
      <c r="AA130" s="343"/>
      <c r="AB130" s="343"/>
      <c r="AC130" s="343"/>
      <c r="AD130" s="732" t="s">
        <v>2039</v>
      </c>
      <c r="AE130" s="875" t="str">
        <f>IF(AND(CNTR_HasEntries_A_I,E130&lt;&gt;"",COUNTIFS($V$20:$AB$20,FALSE,H130:N130,"")&gt;0),2,"")</f>
        <v/>
      </c>
    </row>
    <row r="131" spans="1:31" x14ac:dyDescent="0.25">
      <c r="A131" s="343"/>
      <c r="B131" s="698"/>
      <c r="C131" s="1084"/>
      <c r="D131" s="1084" t="s">
        <v>18</v>
      </c>
      <c r="E131" s="1090" t="str">
        <f>Translations!$B$353</f>
        <v>Междинен сбор</v>
      </c>
      <c r="F131" s="1090"/>
      <c r="G131" s="1038" t="str">
        <f>EUconst_TJpa</f>
        <v>TJ / година</v>
      </c>
      <c r="H131" s="1024" t="str">
        <f t="shared" ref="H131:N131" si="31">IF(COUNT(H128:H130)&gt;0,SUM(H128:H130),"")</f>
        <v/>
      </c>
      <c r="I131" s="1024" t="str">
        <f t="shared" si="31"/>
        <v/>
      </c>
      <c r="J131" s="1024" t="str">
        <f t="shared" si="31"/>
        <v/>
      </c>
      <c r="K131" s="1024" t="str">
        <f t="shared" si="31"/>
        <v/>
      </c>
      <c r="L131" s="1024" t="str">
        <f t="shared" si="31"/>
        <v/>
      </c>
      <c r="M131" s="1024" t="str">
        <f t="shared" si="31"/>
        <v/>
      </c>
      <c r="N131" s="1024" t="str">
        <f t="shared" si="31"/>
        <v/>
      </c>
      <c r="O131" s="336"/>
      <c r="P131" s="302"/>
      <c r="Q131" s="343"/>
      <c r="R131" s="343"/>
      <c r="S131" s="343"/>
      <c r="T131" s="1089"/>
      <c r="U131" s="343"/>
      <c r="V131" s="343"/>
      <c r="W131" s="343"/>
      <c r="X131" s="343"/>
      <c r="Y131" s="343"/>
      <c r="Z131" s="343"/>
      <c r="AA131" s="343"/>
      <c r="AB131" s="343"/>
      <c r="AC131" s="343"/>
      <c r="AD131" s="343"/>
      <c r="AE131" s="343"/>
    </row>
    <row r="132" spans="1:31" ht="5.15" customHeight="1" x14ac:dyDescent="0.25">
      <c r="A132" s="343"/>
      <c r="B132" s="284"/>
      <c r="C132" s="284"/>
      <c r="D132" s="284"/>
      <c r="E132" s="284"/>
      <c r="F132" s="284"/>
      <c r="G132" s="284"/>
      <c r="H132" s="284"/>
      <c r="I132" s="284"/>
      <c r="J132" s="284"/>
      <c r="K132" s="284"/>
      <c r="L132" s="284"/>
      <c r="M132" s="284"/>
      <c r="N132" s="284"/>
      <c r="O132" s="336"/>
      <c r="P132" s="302"/>
      <c r="Q132" s="695"/>
      <c r="R132" s="343"/>
      <c r="S132" s="343"/>
      <c r="T132" s="1089"/>
      <c r="U132" s="343"/>
      <c r="V132" s="343"/>
      <c r="W132" s="343"/>
      <c r="X132" s="343"/>
      <c r="Y132" s="343"/>
      <c r="Z132" s="343"/>
      <c r="AA132" s="343"/>
      <c r="AB132" s="343"/>
      <c r="AC132" s="343"/>
      <c r="AD132" s="343"/>
      <c r="AE132" s="343"/>
    </row>
    <row r="133" spans="1:31" ht="13" customHeight="1" x14ac:dyDescent="0.25">
      <c r="A133" s="343"/>
      <c r="B133" s="284"/>
      <c r="C133" s="300"/>
      <c r="D133" s="300" t="s">
        <v>906</v>
      </c>
      <c r="E133" s="2724" t="str">
        <f>Translations!$B$354</f>
        <v>Измерима топлинна енергия, внесена от инсталации и обекти, необхванати от СТЕ на ЕС (не отговаря на условията за топлинен показател):</v>
      </c>
      <c r="F133" s="2725"/>
      <c r="G133" s="2725"/>
      <c r="H133" s="2725"/>
      <c r="I133" s="2725"/>
      <c r="J133" s="2725"/>
      <c r="K133" s="2725"/>
      <c r="L133" s="2725"/>
      <c r="M133" s="2725"/>
      <c r="N133" s="2725"/>
      <c r="O133" s="336"/>
      <c r="P133" s="302"/>
      <c r="Q133" s="695"/>
      <c r="R133" s="343"/>
      <c r="S133" s="343"/>
      <c r="T133" s="1089"/>
      <c r="U133" s="343"/>
      <c r="V133" s="343"/>
      <c r="W133" s="343"/>
      <c r="X133" s="343"/>
      <c r="Y133" s="343"/>
      <c r="Z133" s="343"/>
      <c r="AA133" s="343"/>
      <c r="AB133" s="343"/>
      <c r="AC133" s="343"/>
      <c r="AD133" s="343"/>
      <c r="AE133" s="343"/>
    </row>
    <row r="134" spans="1:31" ht="12.65" customHeight="1" x14ac:dyDescent="0.25">
      <c r="A134" s="343"/>
      <c r="B134" s="284"/>
      <c r="C134" s="302"/>
      <c r="D134" s="302"/>
      <c r="E134" s="2733" t="str">
        <f>Translations!$B$355</f>
        <v xml:space="preserve">Това включва произвеждащите азотна киселина подинсталации (като наименование на инсталацията изберете „в инсталацията“, ако производството на азотна киселина представлява част от въпросната инсталация). </v>
      </c>
      <c r="F134" s="2733"/>
      <c r="G134" s="2733"/>
      <c r="H134" s="2733"/>
      <c r="I134" s="2733"/>
      <c r="J134" s="2733"/>
      <c r="K134" s="2733"/>
      <c r="L134" s="2733"/>
      <c r="M134" s="2733"/>
      <c r="N134" s="2733"/>
      <c r="O134" s="336"/>
      <c r="P134" s="302"/>
      <c r="Q134" s="695"/>
      <c r="R134" s="343"/>
      <c r="S134" s="343"/>
      <c r="T134" s="1089"/>
      <c r="U134" s="343"/>
      <c r="V134" s="343"/>
      <c r="W134" s="343"/>
      <c r="X134" s="343"/>
      <c r="Y134" s="343"/>
      <c r="Z134" s="343"/>
      <c r="AA134" s="343"/>
      <c r="AB134" s="343"/>
      <c r="AC134" s="343"/>
      <c r="AD134" s="343"/>
      <c r="AE134" s="343"/>
    </row>
    <row r="135" spans="1:31" ht="12.65" customHeight="1" x14ac:dyDescent="0.25">
      <c r="A135" s="343"/>
      <c r="B135" s="284"/>
      <c r="C135" s="302"/>
      <c r="D135" s="302"/>
      <c r="E135" s="2733" t="str">
        <f>Translations!$B$356</f>
        <v>Имайте предвид, че трябва да се направи проверка за двойно отчитане на въвежданите тук данни с приспадането по подинсталациите с продуктов показател (виж работен лист „ProductBM“).</v>
      </c>
      <c r="F135" s="2725"/>
      <c r="G135" s="2725"/>
      <c r="H135" s="2725"/>
      <c r="I135" s="2725"/>
      <c r="J135" s="2725"/>
      <c r="K135" s="2725"/>
      <c r="L135" s="2725"/>
      <c r="M135" s="2725"/>
      <c r="N135" s="2725"/>
      <c r="O135" s="336"/>
      <c r="P135" s="302"/>
      <c r="Q135" s="695"/>
      <c r="R135" s="343"/>
      <c r="S135" s="343"/>
      <c r="T135" s="1089"/>
      <c r="U135" s="343"/>
      <c r="V135" s="343"/>
      <c r="W135" s="343"/>
      <c r="X135" s="343"/>
      <c r="Y135" s="343"/>
      <c r="Z135" s="343"/>
      <c r="AA135" s="343"/>
      <c r="AB135" s="343"/>
      <c r="AC135" s="343"/>
      <c r="AD135" s="343"/>
      <c r="AE135" s="343"/>
    </row>
    <row r="136" spans="1:31" ht="12.65" customHeight="1" x14ac:dyDescent="0.25">
      <c r="A136" s="343"/>
      <c r="B136" s="284"/>
      <c r="C136" s="302"/>
      <c r="D136" s="302"/>
      <c r="E136" s="2733" t="str">
        <f>Translations!$B$1312</f>
        <v>Ако съществуват повече от три връзки, моля да ги обобщите. Това може да наложи корекции в раздели A.V.b.</v>
      </c>
      <c r="F136" s="2725"/>
      <c r="G136" s="2725"/>
      <c r="H136" s="2725"/>
      <c r="I136" s="2725"/>
      <c r="J136" s="2725"/>
      <c r="K136" s="2725"/>
      <c r="L136" s="2725"/>
      <c r="M136" s="2725"/>
      <c r="N136" s="2725"/>
      <c r="O136" s="336"/>
      <c r="P136" s="302"/>
      <c r="Q136" s="695"/>
      <c r="R136" s="343"/>
      <c r="S136" s="343"/>
      <c r="T136" s="1089"/>
      <c r="U136" s="343"/>
      <c r="V136" s="343"/>
      <c r="W136" s="343"/>
      <c r="X136" s="343"/>
      <c r="Y136" s="343"/>
      <c r="Z136" s="343"/>
      <c r="AA136" s="343"/>
      <c r="AB136" s="343"/>
      <c r="AC136" s="343"/>
      <c r="AD136" s="343"/>
      <c r="AE136" s="343"/>
    </row>
    <row r="137" spans="1:31" ht="13" customHeight="1" x14ac:dyDescent="0.25">
      <c r="A137" s="343"/>
      <c r="B137" s="698"/>
      <c r="C137" s="698"/>
      <c r="D137" s="698"/>
      <c r="E137" s="2742" t="str">
        <f>Translations!$B$182</f>
        <v>Наименование на инсталацията или партньора</v>
      </c>
      <c r="F137" s="2743"/>
      <c r="G137" s="527" t="str">
        <f>EUconst_Unit</f>
        <v>Единица мярка</v>
      </c>
      <c r="H137" s="391">
        <f t="shared" ref="H137:N137" si="32">H$428</f>
        <v>2024</v>
      </c>
      <c r="I137" s="391">
        <f t="shared" si="32"/>
        <v>2025</v>
      </c>
      <c r="J137" s="391">
        <f t="shared" si="32"/>
        <v>2026</v>
      </c>
      <c r="K137" s="391">
        <f t="shared" si="32"/>
        <v>2027</v>
      </c>
      <c r="L137" s="391">
        <f t="shared" si="32"/>
        <v>2028</v>
      </c>
      <c r="M137" s="391">
        <f t="shared" si="32"/>
        <v>2029</v>
      </c>
      <c r="N137" s="391">
        <f t="shared" si="32"/>
        <v>2030</v>
      </c>
      <c r="O137" s="336"/>
      <c r="P137" s="302"/>
      <c r="Q137" s="343"/>
      <c r="R137" s="343"/>
      <c r="S137" s="343"/>
      <c r="T137" s="1089"/>
      <c r="U137" s="343"/>
      <c r="V137" s="343"/>
      <c r="W137" s="343"/>
      <c r="X137" s="343"/>
      <c r="Y137" s="343"/>
      <c r="Z137" s="343"/>
      <c r="AA137" s="343"/>
      <c r="AB137" s="343"/>
      <c r="AC137" s="343"/>
      <c r="AD137" s="343"/>
      <c r="AE137" s="343"/>
    </row>
    <row r="138" spans="1:31" x14ac:dyDescent="0.25">
      <c r="A138" s="343"/>
      <c r="B138" s="698"/>
      <c r="C138" s="1084"/>
      <c r="D138" s="1084" t="s">
        <v>6</v>
      </c>
      <c r="E138" s="2747"/>
      <c r="F138" s="2748"/>
      <c r="G138" s="981" t="str">
        <f>EUconst_TJpa</f>
        <v>TJ / година</v>
      </c>
      <c r="H138" s="33"/>
      <c r="I138" s="33"/>
      <c r="J138" s="33"/>
      <c r="K138" s="33"/>
      <c r="L138" s="33"/>
      <c r="M138" s="33"/>
      <c r="N138" s="36"/>
      <c r="O138" s="336"/>
      <c r="P138" s="181"/>
      <c r="Q138" s="343"/>
      <c r="R138" s="343"/>
      <c r="S138" s="343"/>
      <c r="T138" s="747" t="b">
        <f>T130</f>
        <v>0</v>
      </c>
      <c r="U138" s="343"/>
      <c r="V138" s="343"/>
      <c r="W138" s="343"/>
      <c r="X138" s="343"/>
      <c r="Y138" s="343"/>
      <c r="Z138" s="343"/>
      <c r="AA138" s="343"/>
      <c r="AB138" s="343"/>
      <c r="AC138" s="343"/>
      <c r="AD138" s="732" t="s">
        <v>2039</v>
      </c>
      <c r="AE138" s="875" t="str">
        <f>IF(AND(CNTR_HasEntries_A_I,E138&lt;&gt;"",COUNTIFS($V$20:$AB$20,FALSE,H138:N138,"")&gt;0),2,"")</f>
        <v/>
      </c>
    </row>
    <row r="139" spans="1:31" x14ac:dyDescent="0.25">
      <c r="A139" s="343"/>
      <c r="B139" s="698"/>
      <c r="C139" s="1084"/>
      <c r="D139" s="1084" t="s">
        <v>7</v>
      </c>
      <c r="E139" s="2734"/>
      <c r="F139" s="2735"/>
      <c r="G139" s="990" t="str">
        <f>EUconst_TJpa</f>
        <v>TJ / година</v>
      </c>
      <c r="H139" s="32"/>
      <c r="I139" s="32"/>
      <c r="J139" s="32"/>
      <c r="K139" s="32"/>
      <c r="L139" s="32"/>
      <c r="M139" s="32"/>
      <c r="N139" s="35"/>
      <c r="O139" s="336"/>
      <c r="P139" s="181"/>
      <c r="Q139" s="343"/>
      <c r="R139" s="343"/>
      <c r="S139" s="343"/>
      <c r="T139" s="747" t="b">
        <f>T138</f>
        <v>0</v>
      </c>
      <c r="U139" s="343"/>
      <c r="V139" s="343"/>
      <c r="W139" s="343"/>
      <c r="X139" s="343"/>
      <c r="Y139" s="343"/>
      <c r="Z139" s="343"/>
      <c r="AA139" s="343"/>
      <c r="AB139" s="343"/>
      <c r="AC139" s="343"/>
      <c r="AD139" s="732" t="s">
        <v>2039</v>
      </c>
      <c r="AE139" s="875" t="str">
        <f>IF(AND(CNTR_HasEntries_A_I,E139&lt;&gt;"",COUNTIFS($V$20:$AB$20,FALSE,H139:N139,"")&gt;0),2,"")</f>
        <v/>
      </c>
    </row>
    <row r="140" spans="1:31" x14ac:dyDescent="0.25">
      <c r="A140" s="343"/>
      <c r="B140" s="698"/>
      <c r="C140" s="1084"/>
      <c r="D140" s="1084" t="s">
        <v>8</v>
      </c>
      <c r="E140" s="2736"/>
      <c r="F140" s="2737"/>
      <c r="G140" s="994" t="str">
        <f>EUconst_TJpa</f>
        <v>TJ / година</v>
      </c>
      <c r="H140" s="30"/>
      <c r="I140" s="30"/>
      <c r="J140" s="30"/>
      <c r="K140" s="30"/>
      <c r="L140" s="30"/>
      <c r="M140" s="30"/>
      <c r="N140" s="34"/>
      <c r="O140" s="336"/>
      <c r="P140" s="181"/>
      <c r="Q140" s="343"/>
      <c r="R140" s="343"/>
      <c r="S140" s="343"/>
      <c r="T140" s="747" t="b">
        <f>T139</f>
        <v>0</v>
      </c>
      <c r="U140" s="343"/>
      <c r="V140" s="343"/>
      <c r="W140" s="343"/>
      <c r="X140" s="343"/>
      <c r="Y140" s="343"/>
      <c r="Z140" s="343"/>
      <c r="AA140" s="343"/>
      <c r="AB140" s="343"/>
      <c r="AC140" s="343"/>
      <c r="AD140" s="732" t="s">
        <v>2039</v>
      </c>
      <c r="AE140" s="875" t="str">
        <f>IF(AND(CNTR_HasEntries_A_I,E140&lt;&gt;"",COUNTIFS($V$20:$AB$20,FALSE,H140:N140,"")&gt;0),2,"")</f>
        <v/>
      </c>
    </row>
    <row r="141" spans="1:31" x14ac:dyDescent="0.25">
      <c r="A141" s="343"/>
      <c r="B141" s="698"/>
      <c r="C141" s="1084"/>
      <c r="D141" s="1084" t="s">
        <v>18</v>
      </c>
      <c r="E141" s="1090" t="str">
        <f>Translations!$B$353</f>
        <v>Междинен сбор</v>
      </c>
      <c r="F141" s="1090"/>
      <c r="G141" s="1038" t="str">
        <f>EUconst_TJpa</f>
        <v>TJ / година</v>
      </c>
      <c r="H141" s="1024" t="str">
        <f t="shared" ref="H141:N141" si="33">IF(COUNT(H138:H140)&gt;0,SUM(H138:H140),"")</f>
        <v/>
      </c>
      <c r="I141" s="1024" t="str">
        <f t="shared" si="33"/>
        <v/>
      </c>
      <c r="J141" s="1024" t="str">
        <f t="shared" si="33"/>
        <v/>
      </c>
      <c r="K141" s="1024" t="str">
        <f t="shared" si="33"/>
        <v/>
      </c>
      <c r="L141" s="1024" t="str">
        <f t="shared" si="33"/>
        <v/>
      </c>
      <c r="M141" s="1024" t="str">
        <f t="shared" si="33"/>
        <v/>
      </c>
      <c r="N141" s="1091" t="str">
        <f t="shared" si="33"/>
        <v/>
      </c>
      <c r="O141" s="336"/>
      <c r="P141" s="302"/>
      <c r="Q141" s="343"/>
      <c r="R141" s="343"/>
      <c r="S141" s="343"/>
      <c r="T141" s="1089"/>
      <c r="U141" s="343"/>
      <c r="V141" s="343"/>
      <c r="W141" s="343"/>
      <c r="X141" s="343"/>
      <c r="Y141" s="343"/>
      <c r="Z141" s="343"/>
      <c r="AA141" s="343"/>
      <c r="AB141" s="343"/>
      <c r="AC141" s="343"/>
      <c r="AD141" s="343"/>
      <c r="AE141" s="343"/>
    </row>
    <row r="142" spans="1:31" ht="5.15" customHeight="1" x14ac:dyDescent="0.25">
      <c r="A142" s="343"/>
      <c r="B142" s="284"/>
      <c r="C142" s="284"/>
      <c r="D142" s="284"/>
      <c r="E142" s="284"/>
      <c r="F142" s="284"/>
      <c r="G142" s="284"/>
      <c r="H142" s="284"/>
      <c r="I142" s="284"/>
      <c r="J142" s="284"/>
      <c r="K142" s="284"/>
      <c r="L142" s="284"/>
      <c r="M142" s="284"/>
      <c r="N142" s="284"/>
      <c r="O142" s="336"/>
      <c r="P142" s="302"/>
      <c r="Q142" s="695"/>
      <c r="R142" s="343"/>
      <c r="S142" s="343"/>
      <c r="T142" s="1089"/>
      <c r="U142" s="343"/>
      <c r="V142" s="343"/>
      <c r="W142" s="343"/>
      <c r="X142" s="343"/>
      <c r="Y142" s="343"/>
      <c r="Z142" s="343"/>
      <c r="AA142" s="343"/>
      <c r="AB142" s="343"/>
      <c r="AC142" s="343"/>
      <c r="AD142" s="343"/>
      <c r="AE142" s="343"/>
    </row>
    <row r="143" spans="1:31" ht="13" customHeight="1" x14ac:dyDescent="0.25">
      <c r="A143" s="343"/>
      <c r="B143" s="284"/>
      <c r="C143" s="300"/>
      <c r="D143" s="300" t="s">
        <v>54</v>
      </c>
      <c r="E143" s="2742" t="str">
        <f>Translations!$B$1502</f>
        <v>Сума на измеримата топлинна енергия, налична в инсталацията (=a+c+d)</v>
      </c>
      <c r="F143" s="2743"/>
      <c r="G143" s="2743"/>
      <c r="H143" s="2743"/>
      <c r="I143" s="2743"/>
      <c r="J143" s="2743"/>
      <c r="K143" s="2743"/>
      <c r="L143" s="2743"/>
      <c r="M143" s="2743"/>
      <c r="N143" s="2743"/>
      <c r="O143" s="336"/>
      <c r="P143" s="302"/>
      <c r="Q143" s="695"/>
      <c r="R143" s="343"/>
      <c r="S143" s="343"/>
      <c r="T143" s="1089"/>
      <c r="U143" s="343"/>
      <c r="V143" s="343"/>
      <c r="W143" s="343"/>
      <c r="X143" s="343"/>
      <c r="Y143" s="343"/>
      <c r="Z143" s="343"/>
      <c r="AA143" s="343"/>
      <c r="AB143" s="343"/>
      <c r="AC143" s="343"/>
      <c r="AD143" s="343"/>
      <c r="AE143" s="343"/>
    </row>
    <row r="144" spans="1:31" ht="12.65" customHeight="1" x14ac:dyDescent="0.25">
      <c r="A144" s="343"/>
      <c r="B144" s="698"/>
      <c r="C144" s="698"/>
      <c r="D144" s="698"/>
      <c r="E144" s="2738" t="str">
        <f>Translations!$B$358</f>
        <v>Общо измерима топлинна енергия</v>
      </c>
      <c r="F144" s="2739"/>
      <c r="G144" s="1038" t="str">
        <f>EUconst_TJpa</f>
        <v>TJ / година</v>
      </c>
      <c r="H144" s="1024" t="str">
        <f t="shared" ref="H144:N144" si="34">IF(COUNT(H141,H131,H117)&gt;0,SUM(H117,H131,H141),"")</f>
        <v/>
      </c>
      <c r="I144" s="1024" t="str">
        <f t="shared" si="34"/>
        <v/>
      </c>
      <c r="J144" s="1024" t="str">
        <f t="shared" si="34"/>
        <v/>
      </c>
      <c r="K144" s="1024" t="str">
        <f t="shared" si="34"/>
        <v/>
      </c>
      <c r="L144" s="1024" t="str">
        <f t="shared" si="34"/>
        <v/>
      </c>
      <c r="M144" s="1024" t="str">
        <f t="shared" si="34"/>
        <v/>
      </c>
      <c r="N144" s="1024" t="str">
        <f t="shared" si="34"/>
        <v/>
      </c>
      <c r="O144" s="336"/>
      <c r="P144" s="302"/>
      <c r="Q144" s="343"/>
      <c r="R144" s="343"/>
      <c r="S144" s="343"/>
      <c r="T144" s="1089"/>
      <c r="U144" s="343"/>
      <c r="V144" s="343"/>
      <c r="W144" s="343"/>
      <c r="X144" s="343"/>
      <c r="Y144" s="343"/>
      <c r="Z144" s="343"/>
      <c r="AA144" s="343"/>
      <c r="AB144" s="343"/>
      <c r="AC144" s="343"/>
      <c r="AD144" s="343"/>
      <c r="AE144" s="343"/>
    </row>
    <row r="145" spans="1:31" ht="5.15" customHeight="1" x14ac:dyDescent="0.25">
      <c r="A145" s="343"/>
      <c r="B145" s="284"/>
      <c r="C145" s="284"/>
      <c r="D145" s="284"/>
      <c r="E145" s="284"/>
      <c r="F145" s="284"/>
      <c r="G145" s="284"/>
      <c r="H145" s="284"/>
      <c r="I145" s="284"/>
      <c r="J145" s="284"/>
      <c r="K145" s="284"/>
      <c r="L145" s="284"/>
      <c r="M145" s="284"/>
      <c r="N145" s="284"/>
      <c r="O145" s="336"/>
      <c r="P145" s="302"/>
      <c r="Q145" s="695"/>
      <c r="R145" s="343"/>
      <c r="S145" s="343"/>
      <c r="T145" s="1089"/>
      <c r="U145" s="343"/>
      <c r="V145" s="343"/>
      <c r="W145" s="343"/>
      <c r="X145" s="343"/>
      <c r="Y145" s="343"/>
      <c r="Z145" s="343"/>
      <c r="AA145" s="343"/>
      <c r="AB145" s="343"/>
      <c r="AC145" s="343"/>
      <c r="AD145" s="343"/>
      <c r="AE145" s="343"/>
    </row>
    <row r="146" spans="1:31" ht="13" customHeight="1" x14ac:dyDescent="0.25">
      <c r="A146" s="343"/>
      <c r="B146" s="284"/>
      <c r="C146" s="300"/>
      <c r="D146" s="300" t="s">
        <v>55</v>
      </c>
      <c r="E146" s="2724" t="str">
        <f>Translations!$B$359</f>
        <v>Съотношение „топлинна енергия по СТЕ“ спрямо „общо топлинна енергия“</v>
      </c>
      <c r="F146" s="2725"/>
      <c r="G146" s="2725"/>
      <c r="H146" s="2725"/>
      <c r="I146" s="2725"/>
      <c r="J146" s="2725"/>
      <c r="K146" s="2725"/>
      <c r="L146" s="2725"/>
      <c r="M146" s="2725"/>
      <c r="N146" s="2725"/>
      <c r="O146" s="336"/>
      <c r="P146" s="302"/>
      <c r="Q146" s="695"/>
      <c r="R146" s="343"/>
      <c r="S146" s="343"/>
      <c r="T146" s="1089"/>
      <c r="U146" s="343"/>
      <c r="V146" s="343"/>
      <c r="W146" s="343"/>
      <c r="X146" s="343"/>
      <c r="Y146" s="343"/>
      <c r="Z146" s="343"/>
      <c r="AA146" s="343"/>
      <c r="AB146" s="343"/>
      <c r="AC146" s="343"/>
      <c r="AD146" s="343"/>
      <c r="AE146" s="343"/>
    </row>
    <row r="147" spans="1:31" ht="12.65" customHeight="1" x14ac:dyDescent="0.25">
      <c r="A147" s="343"/>
      <c r="B147" s="284"/>
      <c r="C147" s="302"/>
      <c r="D147" s="302"/>
      <c r="E147" s="2733" t="str">
        <f>Translations!$B$1503</f>
        <v>„Топлинна енергия по СТЕ“ е топлинната енергия, произведена в инсталацията, плюс топлинната енергия, получена от инсталации в обхвата на СТЕ (=a+c).</v>
      </c>
      <c r="F147" s="2725"/>
      <c r="G147" s="2725"/>
      <c r="H147" s="2725"/>
      <c r="I147" s="2725"/>
      <c r="J147" s="2725"/>
      <c r="K147" s="2725"/>
      <c r="L147" s="2725"/>
      <c r="M147" s="2725"/>
      <c r="N147" s="2725"/>
      <c r="O147" s="336"/>
      <c r="P147" s="302"/>
      <c r="Q147" s="695"/>
      <c r="R147" s="343"/>
      <c r="S147" s="343"/>
      <c r="T147" s="1089"/>
      <c r="U147" s="343"/>
      <c r="V147" s="343"/>
      <c r="W147" s="343"/>
      <c r="X147" s="343"/>
      <c r="Y147" s="343"/>
      <c r="Z147" s="343"/>
      <c r="AA147" s="343"/>
      <c r="AB147" s="343"/>
      <c r="AC147" s="343"/>
      <c r="AD147" s="343"/>
      <c r="AE147" s="343"/>
    </row>
    <row r="148" spans="1:31" ht="12.65" customHeight="1" x14ac:dyDescent="0.25">
      <c r="A148" s="343"/>
      <c r="B148" s="284"/>
      <c r="C148" s="302"/>
      <c r="D148" s="302"/>
      <c r="E148" s="2733" t="str">
        <f>Translations!$B$1504</f>
        <v xml:space="preserve">„Обща топлинна енергия“ е топлинната енергия по СТЕ плюс топлинната енергия, получена от обекти и инсталации извън СТЕ (=a+c+d). </v>
      </c>
      <c r="F148" s="2725"/>
      <c r="G148" s="2725"/>
      <c r="H148" s="2725"/>
      <c r="I148" s="2725"/>
      <c r="J148" s="2725"/>
      <c r="K148" s="2725"/>
      <c r="L148" s="2725"/>
      <c r="M148" s="2725"/>
      <c r="N148" s="2725"/>
      <c r="O148" s="336"/>
      <c r="P148" s="302"/>
      <c r="Q148" s="695"/>
      <c r="R148" s="343"/>
      <c r="S148" s="343"/>
      <c r="T148" s="1089"/>
      <c r="U148" s="343"/>
      <c r="V148" s="343"/>
      <c r="W148" s="343"/>
      <c r="X148" s="343"/>
      <c r="Y148" s="343"/>
      <c r="Z148" s="343"/>
      <c r="AA148" s="343"/>
      <c r="AB148" s="343"/>
      <c r="AC148" s="343"/>
      <c r="AD148" s="343"/>
      <c r="AE148" s="343"/>
    </row>
    <row r="149" spans="1:31" ht="5.15" customHeight="1" x14ac:dyDescent="0.25">
      <c r="A149" s="343"/>
      <c r="B149" s="284"/>
      <c r="C149" s="284"/>
      <c r="D149" s="284"/>
      <c r="E149" s="284"/>
      <c r="F149" s="284"/>
      <c r="G149" s="284"/>
      <c r="H149" s="284"/>
      <c r="I149" s="284"/>
      <c r="J149" s="284"/>
      <c r="K149" s="284"/>
      <c r="L149" s="284"/>
      <c r="M149" s="284"/>
      <c r="N149" s="284"/>
      <c r="O149" s="336"/>
      <c r="P149" s="302"/>
      <c r="Q149" s="695"/>
      <c r="R149" s="343"/>
      <c r="S149" s="343"/>
      <c r="T149" s="1089"/>
      <c r="U149" s="343"/>
      <c r="V149" s="343"/>
      <c r="W149" s="343"/>
      <c r="X149" s="343"/>
      <c r="Y149" s="343"/>
      <c r="Z149" s="343"/>
      <c r="AA149" s="343"/>
      <c r="AB149" s="343"/>
      <c r="AC149" s="343"/>
      <c r="AD149" s="343"/>
      <c r="AE149" s="343"/>
    </row>
    <row r="150" spans="1:31" ht="12.65" customHeight="1" x14ac:dyDescent="0.25">
      <c r="A150" s="343"/>
      <c r="B150" s="698"/>
      <c r="C150" s="698"/>
      <c r="D150" s="698"/>
      <c r="E150" s="2740" t="str">
        <f>Translations!$B$1505</f>
        <v>Съотношение на вложената топлинна енергия (a+c) / (a+c+d):</v>
      </c>
      <c r="F150" s="2739"/>
      <c r="G150" s="1038" t="s">
        <v>1053</v>
      </c>
      <c r="H150" s="22" t="str">
        <f t="shared" ref="H150:N150" si="35">IF(AND(COUNT(H117,H131,H141)&gt;0,H144&lt;&gt;0),SUM(H117,H131)/H144*100,"")</f>
        <v/>
      </c>
      <c r="I150" s="22" t="str">
        <f t="shared" si="35"/>
        <v/>
      </c>
      <c r="J150" s="22" t="str">
        <f t="shared" si="35"/>
        <v/>
      </c>
      <c r="K150" s="22" t="str">
        <f t="shared" si="35"/>
        <v/>
      </c>
      <c r="L150" s="22" t="str">
        <f t="shared" si="35"/>
        <v/>
      </c>
      <c r="M150" s="22" t="str">
        <f t="shared" si="35"/>
        <v/>
      </c>
      <c r="N150" s="22" t="str">
        <f t="shared" si="35"/>
        <v/>
      </c>
      <c r="O150" s="336"/>
      <c r="P150" s="302"/>
      <c r="Q150" s="343"/>
      <c r="R150" s="343"/>
      <c r="S150" s="343"/>
      <c r="T150" s="1089"/>
      <c r="U150" s="343"/>
      <c r="V150" s="343"/>
      <c r="W150" s="343"/>
      <c r="X150" s="343"/>
      <c r="Y150" s="343"/>
      <c r="Z150" s="343"/>
      <c r="AA150" s="343"/>
      <c r="AB150" s="343"/>
      <c r="AC150" s="343"/>
      <c r="AD150" s="343"/>
      <c r="AE150" s="343"/>
    </row>
    <row r="151" spans="1:31" x14ac:dyDescent="0.25">
      <c r="A151" s="343"/>
      <c r="B151" s="284"/>
      <c r="C151" s="284"/>
      <c r="D151" s="284"/>
      <c r="E151" s="284"/>
      <c r="F151" s="284"/>
      <c r="G151" s="284"/>
      <c r="H151" s="284"/>
      <c r="I151" s="284"/>
      <c r="J151" s="284"/>
      <c r="K151" s="284"/>
      <c r="L151" s="284"/>
      <c r="M151" s="284"/>
      <c r="N151" s="284"/>
      <c r="O151" s="336"/>
      <c r="P151" s="302"/>
      <c r="Q151" s="695"/>
      <c r="R151" s="343"/>
      <c r="S151" s="343"/>
      <c r="T151" s="1089"/>
      <c r="U151" s="343"/>
      <c r="V151" s="343"/>
      <c r="W151" s="343"/>
      <c r="X151" s="343"/>
      <c r="Y151" s="343"/>
      <c r="Z151" s="343"/>
      <c r="AA151" s="343"/>
      <c r="AB151" s="343"/>
      <c r="AC151" s="343"/>
      <c r="AD151" s="343"/>
      <c r="AE151" s="343"/>
    </row>
    <row r="152" spans="1:31" ht="14.15" customHeight="1" x14ac:dyDescent="0.3">
      <c r="A152" s="343"/>
      <c r="B152" s="284"/>
      <c r="C152" s="590"/>
      <c r="D152" s="590"/>
      <c r="E152" s="2773" t="str">
        <f>Translations!$B$360</f>
        <v>Топлинна енергия, която не отговаря на условията за подинсталации с топлинен показател</v>
      </c>
      <c r="F152" s="2725"/>
      <c r="G152" s="2725"/>
      <c r="H152" s="2725"/>
      <c r="I152" s="2725"/>
      <c r="J152" s="2725"/>
      <c r="K152" s="2725"/>
      <c r="L152" s="2725"/>
      <c r="M152" s="2725"/>
      <c r="N152" s="2725"/>
      <c r="O152" s="336"/>
      <c r="P152" s="302"/>
      <c r="Q152" s="695"/>
      <c r="R152" s="343"/>
      <c r="S152" s="343"/>
      <c r="T152" s="1089"/>
      <c r="U152" s="343"/>
      <c r="V152" s="343"/>
      <c r="W152" s="343"/>
      <c r="X152" s="343"/>
      <c r="Y152" s="343"/>
      <c r="Z152" s="343"/>
      <c r="AA152" s="343"/>
      <c r="AB152" s="343"/>
      <c r="AC152" s="343"/>
      <c r="AD152" s="343"/>
      <c r="AE152" s="343"/>
    </row>
    <row r="153" spans="1:31" ht="12.65" customHeight="1" x14ac:dyDescent="0.25">
      <c r="A153" s="343"/>
      <c r="B153" s="284"/>
      <c r="C153" s="302"/>
      <c r="D153" s="302"/>
      <c r="E153" s="2733" t="str">
        <f>Translations!$B$361</f>
        <v>Преди да се представи количествено топлинната енергия, попадаща в категорията на подинсталациите с топлинен показател, трябва да се определи количеството, което не отговаря на условията за тази цел.</v>
      </c>
      <c r="F153" s="2725"/>
      <c r="G153" s="2725"/>
      <c r="H153" s="2725"/>
      <c r="I153" s="2725"/>
      <c r="J153" s="2725"/>
      <c r="K153" s="2725"/>
      <c r="L153" s="2725"/>
      <c r="M153" s="2725"/>
      <c r="N153" s="2725"/>
      <c r="O153" s="336"/>
      <c r="P153" s="302"/>
      <c r="Q153" s="695"/>
      <c r="R153" s="343"/>
      <c r="S153" s="343"/>
      <c r="T153" s="1089"/>
      <c r="U153" s="343"/>
      <c r="V153" s="343"/>
      <c r="W153" s="343"/>
      <c r="X153" s="343"/>
      <c r="Y153" s="343"/>
      <c r="Z153" s="343"/>
      <c r="AA153" s="343"/>
      <c r="AB153" s="343"/>
      <c r="AC153" s="343"/>
      <c r="AD153" s="343"/>
      <c r="AE153" s="343"/>
    </row>
    <row r="154" spans="1:31" ht="12.65" customHeight="1" x14ac:dyDescent="0.25">
      <c r="A154" s="343"/>
      <c r="B154" s="284"/>
      <c r="C154" s="302"/>
      <c r="D154" s="302"/>
      <c r="E154" s="2733" t="str">
        <f>Translations!$B$362</f>
        <v>Първо се отчитат количествата топлинна енергия, които не отговарят на условията за безплатно разпределяне в инсталацията.</v>
      </c>
      <c r="F154" s="2725"/>
      <c r="G154" s="2725"/>
      <c r="H154" s="2725"/>
      <c r="I154" s="2725"/>
      <c r="J154" s="2725"/>
      <c r="K154" s="2725"/>
      <c r="L154" s="2725"/>
      <c r="M154" s="2725"/>
      <c r="N154" s="2725"/>
      <c r="O154" s="336"/>
      <c r="P154" s="302"/>
      <c r="Q154" s="695"/>
      <c r="R154" s="343"/>
      <c r="S154" s="343"/>
      <c r="T154" s="1089"/>
      <c r="U154" s="343"/>
      <c r="V154" s="343"/>
      <c r="W154" s="343"/>
      <c r="X154" s="343"/>
      <c r="Y154" s="343"/>
      <c r="Z154" s="343"/>
      <c r="AA154" s="343"/>
      <c r="AB154" s="343"/>
      <c r="AC154" s="343"/>
      <c r="AD154" s="343"/>
      <c r="AE154" s="343"/>
    </row>
    <row r="155" spans="1:31" ht="12.65" customHeight="1" x14ac:dyDescent="0.25">
      <c r="A155" s="343"/>
      <c r="B155" s="284"/>
      <c r="C155" s="302"/>
      <c r="D155" s="302"/>
      <c r="E155" s="2733" t="str">
        <f>Translations!$B$363</f>
        <v xml:space="preserve">Това е количеството топлинна енергия, използвано за производство на електроенергия, и топлинната енергия, консумирана в рамките на подинсталациите с продуктов показател. </v>
      </c>
      <c r="F155" s="2725"/>
      <c r="G155" s="2725"/>
      <c r="H155" s="2725"/>
      <c r="I155" s="2725"/>
      <c r="J155" s="2725"/>
      <c r="K155" s="2725"/>
      <c r="L155" s="2725"/>
      <c r="M155" s="2725"/>
      <c r="N155" s="2725"/>
      <c r="O155" s="336"/>
      <c r="P155" s="302"/>
      <c r="Q155" s="695"/>
      <c r="R155" s="343"/>
      <c r="S155" s="343"/>
      <c r="T155" s="1089"/>
      <c r="U155" s="343"/>
      <c r="V155" s="343"/>
      <c r="W155" s="343"/>
      <c r="X155" s="343"/>
      <c r="Y155" s="343"/>
      <c r="Z155" s="343"/>
      <c r="AA155" s="343"/>
      <c r="AB155" s="343"/>
      <c r="AC155" s="343"/>
      <c r="AD155" s="343"/>
      <c r="AE155" s="343"/>
    </row>
    <row r="156" spans="1:31" ht="5.15" customHeight="1" x14ac:dyDescent="0.25">
      <c r="A156" s="343"/>
      <c r="B156" s="284"/>
      <c r="C156" s="284"/>
      <c r="D156" s="284"/>
      <c r="E156" s="284"/>
      <c r="F156" s="284"/>
      <c r="G156" s="284"/>
      <c r="H156" s="284"/>
      <c r="I156" s="284"/>
      <c r="J156" s="284"/>
      <c r="K156" s="284"/>
      <c r="L156" s="284"/>
      <c r="M156" s="284"/>
      <c r="N156" s="284"/>
      <c r="O156" s="336"/>
      <c r="P156" s="302"/>
      <c r="Q156" s="695"/>
      <c r="R156" s="343"/>
      <c r="S156" s="343"/>
      <c r="T156" s="1089"/>
      <c r="U156" s="343"/>
      <c r="V156" s="343"/>
      <c r="W156" s="343"/>
      <c r="X156" s="343"/>
      <c r="Y156" s="343"/>
      <c r="Z156" s="343"/>
      <c r="AA156" s="343"/>
      <c r="AB156" s="343"/>
      <c r="AC156" s="343"/>
      <c r="AD156" s="343"/>
      <c r="AE156" s="343"/>
    </row>
    <row r="157" spans="1:31" ht="13" customHeight="1" x14ac:dyDescent="0.25">
      <c r="A157" s="343"/>
      <c r="B157" s="284"/>
      <c r="C157" s="300"/>
      <c r="D157" s="300" t="s">
        <v>273</v>
      </c>
      <c r="E157" s="2724" t="str">
        <f>Translations!$B$364</f>
        <v>Измерима топлинна енергия, консумирана за производство на електроенергия в инсталацията (неотговаряща на условията за топлинен показател):</v>
      </c>
      <c r="F157" s="2725"/>
      <c r="G157" s="2725"/>
      <c r="H157" s="2725"/>
      <c r="I157" s="2725"/>
      <c r="J157" s="2725"/>
      <c r="K157" s="2725"/>
      <c r="L157" s="2725"/>
      <c r="M157" s="2725"/>
      <c r="N157" s="2725"/>
      <c r="O157" s="336"/>
      <c r="P157" s="302"/>
      <c r="Q157" s="695"/>
      <c r="R157" s="343"/>
      <c r="S157" s="343"/>
      <c r="T157" s="1089"/>
      <c r="U157" s="343"/>
      <c r="V157" s="343"/>
      <c r="W157" s="343"/>
      <c r="X157" s="343"/>
      <c r="Y157" s="343"/>
      <c r="Z157" s="343"/>
      <c r="AA157" s="343"/>
      <c r="AB157" s="343"/>
      <c r="AC157" s="343"/>
      <c r="AD157" s="343"/>
      <c r="AE157" s="343"/>
    </row>
    <row r="158" spans="1:31" ht="12.65" customHeight="1" x14ac:dyDescent="0.25">
      <c r="A158" s="343"/>
      <c r="B158" s="284"/>
      <c r="C158" s="302"/>
      <c r="D158" s="302"/>
      <c r="E158" s="2733" t="str">
        <f>Translations!$B$365</f>
        <v>По презумпция се предполага, че цялото количество топлинна енергия, използвано за производство на електроенергия, е разделено между вложени ресурси, които отговарят на условията, и такива, които не отговарят, като се прилага съотношението, изчислено в буква f).</v>
      </c>
      <c r="F158" s="2725"/>
      <c r="G158" s="2725"/>
      <c r="H158" s="2725"/>
      <c r="I158" s="2725"/>
      <c r="J158" s="2725"/>
      <c r="K158" s="2725"/>
      <c r="L158" s="2725"/>
      <c r="M158" s="2725"/>
      <c r="N158" s="2725"/>
      <c r="O158" s="336"/>
      <c r="P158" s="302"/>
      <c r="Q158" s="695"/>
      <c r="R158" s="343"/>
      <c r="S158" s="343"/>
      <c r="T158" s="1089"/>
      <c r="U158" s="343"/>
      <c r="V158" s="343"/>
      <c r="W158" s="343"/>
      <c r="X158" s="343"/>
      <c r="Y158" s="343"/>
      <c r="Z158" s="343"/>
      <c r="AA158" s="343"/>
      <c r="AB158" s="343"/>
      <c r="AC158" s="343"/>
      <c r="AD158" s="343"/>
      <c r="AE158" s="343"/>
    </row>
    <row r="159" spans="1:31" ht="25.5" customHeight="1" x14ac:dyDescent="0.25">
      <c r="A159" s="343"/>
      <c r="B159" s="284"/>
      <c r="C159" s="302"/>
      <c r="D159" s="302"/>
      <c r="E159" s="2733" t="str">
        <f>Translations!$B$366</f>
        <v>Въпреки това, ако има по-точна информация (напр. поради това, че парата от различни източници може да се разграничи по различните нива на налягането и т.н.), по-долу можете да въведете други количества топлинна енергия, която не отговаря на условията. Ако това количество превишава количеството, посочено в c).iv, за по-нататъшни изчисления се използва наличното максимално количество.</v>
      </c>
      <c r="F159" s="2725"/>
      <c r="G159" s="2725"/>
      <c r="H159" s="2725"/>
      <c r="I159" s="2725"/>
      <c r="J159" s="2725"/>
      <c r="K159" s="2725"/>
      <c r="L159" s="2725"/>
      <c r="M159" s="2725"/>
      <c r="N159" s="2725"/>
      <c r="O159" s="336"/>
      <c r="P159" s="302"/>
      <c r="Q159" s="695"/>
      <c r="R159" s="343"/>
      <c r="S159" s="343"/>
      <c r="T159" s="1089"/>
      <c r="U159" s="343"/>
      <c r="V159" s="343"/>
      <c r="W159" s="343"/>
      <c r="X159" s="343"/>
      <c r="Y159" s="343"/>
      <c r="Z159" s="343"/>
      <c r="AA159" s="343"/>
      <c r="AB159" s="343"/>
      <c r="AC159" s="343"/>
      <c r="AD159" s="343"/>
      <c r="AE159" s="343"/>
    </row>
    <row r="160" spans="1:31" ht="13" x14ac:dyDescent="0.25">
      <c r="A160" s="343"/>
      <c r="B160" s="698"/>
      <c r="C160" s="698"/>
      <c r="D160" s="698"/>
      <c r="E160" s="461"/>
      <c r="F160" s="742"/>
      <c r="G160" s="527" t="str">
        <f>EUconst_Unit</f>
        <v>Единица мярка</v>
      </c>
      <c r="H160" s="391">
        <f t="shared" ref="H160:N160" si="36">H$428</f>
        <v>2024</v>
      </c>
      <c r="I160" s="391">
        <f t="shared" si="36"/>
        <v>2025</v>
      </c>
      <c r="J160" s="391">
        <f t="shared" si="36"/>
        <v>2026</v>
      </c>
      <c r="K160" s="391">
        <f t="shared" si="36"/>
        <v>2027</v>
      </c>
      <c r="L160" s="391">
        <f t="shared" si="36"/>
        <v>2028</v>
      </c>
      <c r="M160" s="391">
        <f t="shared" si="36"/>
        <v>2029</v>
      </c>
      <c r="N160" s="391">
        <f t="shared" si="36"/>
        <v>2030</v>
      </c>
      <c r="O160" s="336"/>
      <c r="P160" s="302"/>
      <c r="Q160" s="343"/>
      <c r="R160" s="343"/>
      <c r="S160" s="343"/>
      <c r="T160" s="1089"/>
      <c r="U160" s="343"/>
      <c r="V160" s="343"/>
      <c r="W160" s="343"/>
      <c r="X160" s="343"/>
      <c r="Y160" s="343"/>
      <c r="Z160" s="343"/>
      <c r="AA160" s="343"/>
      <c r="AB160" s="343"/>
      <c r="AC160" s="343"/>
      <c r="AD160" s="343"/>
      <c r="AE160" s="343"/>
    </row>
    <row r="161" spans="1:31" ht="12.65" customHeight="1" x14ac:dyDescent="0.25">
      <c r="A161" s="343"/>
      <c r="B161" s="698"/>
      <c r="C161" s="1084"/>
      <c r="D161" s="1084" t="s">
        <v>6</v>
      </c>
      <c r="E161" s="2738" t="str">
        <f>Translations!$B$367</f>
        <v>Топлинна енергия, използвана за производство на ел. енергия</v>
      </c>
      <c r="F161" s="2739"/>
      <c r="G161" s="1038" t="str">
        <f>EUconst_TJpa</f>
        <v>TJ / година</v>
      </c>
      <c r="H161" s="24"/>
      <c r="I161" s="24"/>
      <c r="J161" s="24"/>
      <c r="K161" s="24"/>
      <c r="L161" s="24"/>
      <c r="M161" s="24"/>
      <c r="N161" s="24"/>
      <c r="O161" s="336"/>
      <c r="P161" s="181"/>
      <c r="Q161" s="343"/>
      <c r="R161" s="343"/>
      <c r="S161" s="343"/>
      <c r="T161" s="747" t="b">
        <f>T115</f>
        <v>0</v>
      </c>
      <c r="U161" s="343"/>
      <c r="V161" s="343"/>
      <c r="W161" s="343"/>
      <c r="X161" s="343"/>
      <c r="Y161" s="343"/>
      <c r="Z161" s="343"/>
      <c r="AA161" s="343"/>
      <c r="AB161" s="343"/>
      <c r="AC161" s="343"/>
      <c r="AD161" s="732" t="s">
        <v>2039</v>
      </c>
      <c r="AE161" s="875" t="str">
        <f>IF(AND(CNTR_HasEntries_A_I,COUNTIFS($V$20:$AB$20,FALSE,H161:N161,"")&gt;0,$T$117=FALSE),2,"")</f>
        <v/>
      </c>
    </row>
    <row r="162" spans="1:31" ht="12.65" customHeight="1" x14ac:dyDescent="0.25">
      <c r="A162" s="343"/>
      <c r="B162" s="698"/>
      <c r="C162" s="1084"/>
      <c r="D162" s="1084" t="s">
        <v>7</v>
      </c>
      <c r="E162" s="2738" t="str">
        <f>Translations!$B$368</f>
        <v>Количество топлинна енергия от източници извън СТЕ</v>
      </c>
      <c r="F162" s="2739"/>
      <c r="G162" s="1092" t="str">
        <f>EUconst_TJpa</f>
        <v>TJ / година</v>
      </c>
      <c r="H162" s="22" t="str">
        <f t="shared" ref="H162:N162" si="37">IF(ISNUMBER(H161),IF(ISNUMBER(H150),IF(H161*(1-H150/100)&lt;SUM(H141),H161*(1-H150/100),SUM(H141)),""),"")</f>
        <v/>
      </c>
      <c r="I162" s="22" t="str">
        <f t="shared" si="37"/>
        <v/>
      </c>
      <c r="J162" s="22" t="str">
        <f t="shared" si="37"/>
        <v/>
      </c>
      <c r="K162" s="22" t="str">
        <f t="shared" si="37"/>
        <v/>
      </c>
      <c r="L162" s="22" t="str">
        <f t="shared" si="37"/>
        <v/>
      </c>
      <c r="M162" s="22" t="str">
        <f t="shared" si="37"/>
        <v/>
      </c>
      <c r="N162" s="22" t="str">
        <f t="shared" si="37"/>
        <v/>
      </c>
      <c r="O162" s="336"/>
      <c r="P162" s="302"/>
      <c r="Q162" s="343"/>
      <c r="R162" s="343"/>
      <c r="S162" s="343"/>
      <c r="T162" s="1089"/>
      <c r="U162" s="343"/>
      <c r="V162" s="343"/>
      <c r="W162" s="343"/>
      <c r="X162" s="343"/>
      <c r="Y162" s="343"/>
      <c r="Z162" s="343"/>
      <c r="AA162" s="343"/>
      <c r="AB162" s="343"/>
      <c r="AC162" s="343"/>
      <c r="AD162" s="343"/>
      <c r="AE162" s="343"/>
    </row>
    <row r="163" spans="1:31" ht="12.65" customHeight="1" x14ac:dyDescent="0.25">
      <c r="A163" s="343"/>
      <c r="B163" s="698"/>
      <c r="C163" s="1084"/>
      <c r="D163" s="1084" t="s">
        <v>8</v>
      </c>
      <c r="E163" s="2738" t="str">
        <f>Translations!$B$369</f>
        <v>Ръчна корекция на ii)</v>
      </c>
      <c r="F163" s="2739"/>
      <c r="G163" s="1092" t="str">
        <f>EUconst_TJpa</f>
        <v>TJ / година</v>
      </c>
      <c r="H163" s="23"/>
      <c r="I163" s="23"/>
      <c r="J163" s="23"/>
      <c r="K163" s="23"/>
      <c r="L163" s="23"/>
      <c r="M163" s="23"/>
      <c r="N163" s="23"/>
      <c r="O163" s="336"/>
      <c r="P163" s="181"/>
      <c r="Q163" s="343"/>
      <c r="R163" s="343"/>
      <c r="S163" s="343"/>
      <c r="T163" s="747" t="b">
        <f>T161</f>
        <v>0</v>
      </c>
      <c r="U163" s="343"/>
      <c r="V163" s="343"/>
      <c r="W163" s="343"/>
      <c r="X163" s="343"/>
      <c r="Y163" s="343"/>
      <c r="Z163" s="343"/>
      <c r="AA163" s="343"/>
      <c r="AB163" s="343"/>
      <c r="AC163" s="343"/>
      <c r="AD163" s="343"/>
      <c r="AE163" s="343"/>
    </row>
    <row r="164" spans="1:31" ht="5.15" customHeight="1" x14ac:dyDescent="0.25">
      <c r="A164" s="343"/>
      <c r="B164" s="284"/>
      <c r="C164" s="284"/>
      <c r="D164" s="284"/>
      <c r="E164" s="284"/>
      <c r="F164" s="284"/>
      <c r="G164" s="284"/>
      <c r="H164" s="284"/>
      <c r="I164" s="284"/>
      <c r="J164" s="284"/>
      <c r="K164" s="284"/>
      <c r="L164" s="284"/>
      <c r="M164" s="284"/>
      <c r="N164" s="284"/>
      <c r="O164" s="336"/>
      <c r="P164" s="302"/>
      <c r="Q164" s="695"/>
      <c r="R164" s="343"/>
      <c r="S164" s="343"/>
      <c r="T164" s="1089"/>
      <c r="U164" s="343"/>
      <c r="V164" s="343"/>
      <c r="W164" s="343"/>
      <c r="X164" s="343"/>
      <c r="Y164" s="343"/>
      <c r="Z164" s="343"/>
      <c r="AA164" s="343"/>
      <c r="AB164" s="343"/>
      <c r="AC164" s="343"/>
      <c r="AD164" s="343"/>
      <c r="AE164" s="343"/>
    </row>
    <row r="165" spans="1:31" ht="13" customHeight="1" x14ac:dyDescent="0.25">
      <c r="A165" s="343"/>
      <c r="B165" s="284"/>
      <c r="C165" s="300"/>
      <c r="D165" s="300" t="s">
        <v>277</v>
      </c>
      <c r="E165" s="2724" t="str">
        <f>Translations!$B$370</f>
        <v>Консумирана измерима топлинна енергия за подинсталации с продуктов показател в рамките на инсталацията (неотговарящи на условията за топлинен показател):</v>
      </c>
      <c r="F165" s="2725"/>
      <c r="G165" s="2725"/>
      <c r="H165" s="2725"/>
      <c r="I165" s="2725"/>
      <c r="J165" s="2725"/>
      <c r="K165" s="2725"/>
      <c r="L165" s="2725"/>
      <c r="M165" s="2725"/>
      <c r="N165" s="2725"/>
      <c r="O165" s="336"/>
      <c r="P165" s="302"/>
      <c r="Q165" s="695"/>
      <c r="R165" s="343"/>
      <c r="S165" s="343"/>
      <c r="T165" s="1089"/>
      <c r="U165" s="343"/>
      <c r="V165" s="343"/>
      <c r="W165" s="343"/>
      <c r="X165" s="343"/>
      <c r="Y165" s="343"/>
      <c r="Z165" s="343"/>
      <c r="AA165" s="343"/>
      <c r="AB165" s="343"/>
      <c r="AC165" s="343"/>
      <c r="AD165" s="343"/>
      <c r="AE165" s="343"/>
    </row>
    <row r="166" spans="1:31" ht="25.5" customHeight="1" x14ac:dyDescent="0.25">
      <c r="A166" s="343"/>
      <c r="B166" s="284"/>
      <c r="C166" s="302"/>
      <c r="D166" s="302"/>
      <c r="E166" s="2733" t="str">
        <f>Translations!$B$371</f>
        <v>Съгласно член 21 от ПБР еквивалентът на CO2 на топлинна енергия, получена извън СТЕ, трябва да се приспадне от предварителното разпределяне за продуктовите показатели. Данните, необходими за посочената корекция, се вписват в работен лист „F_ProductBM“, раздел d) за всяка подинсталация.</v>
      </c>
      <c r="F166" s="2725"/>
      <c r="G166" s="2725"/>
      <c r="H166" s="2725"/>
      <c r="I166" s="2725"/>
      <c r="J166" s="2725"/>
      <c r="K166" s="2725"/>
      <c r="L166" s="2725"/>
      <c r="M166" s="2725"/>
      <c r="N166" s="2725"/>
      <c r="O166" s="336"/>
      <c r="P166" s="302"/>
      <c r="Q166" s="695"/>
      <c r="R166" s="343"/>
      <c r="S166" s="343"/>
      <c r="T166" s="1089"/>
      <c r="U166" s="343"/>
      <c r="V166" s="343"/>
      <c r="W166" s="343"/>
      <c r="X166" s="343"/>
      <c r="Y166" s="343"/>
      <c r="Z166" s="343"/>
      <c r="AA166" s="343"/>
      <c r="AB166" s="343"/>
      <c r="AC166" s="343"/>
      <c r="AD166" s="343"/>
      <c r="AE166" s="343"/>
    </row>
    <row r="167" spans="1:31" ht="12.65" customHeight="1" x14ac:dyDescent="0.25">
      <c r="A167" s="343"/>
      <c r="B167" s="284"/>
      <c r="C167" s="302"/>
      <c r="D167" s="302"/>
      <c r="E167" s="2733" t="str">
        <f>Translations!$B$372</f>
        <v>По тази причина тук трябва да се включи и проверка на правдоподобност на тези данни.</v>
      </c>
      <c r="F167" s="2725"/>
      <c r="G167" s="2725"/>
      <c r="H167" s="2725"/>
      <c r="I167" s="2725"/>
      <c r="J167" s="2725"/>
      <c r="K167" s="2725"/>
      <c r="L167" s="2725"/>
      <c r="M167" s="2725"/>
      <c r="N167" s="2725"/>
      <c r="O167" s="336"/>
      <c r="P167" s="302"/>
      <c r="Q167" s="695"/>
      <c r="R167" s="343"/>
      <c r="S167" s="343"/>
      <c r="T167" s="1089"/>
      <c r="U167" s="343"/>
      <c r="V167" s="343"/>
      <c r="W167" s="343"/>
      <c r="X167" s="343"/>
      <c r="Y167" s="343"/>
      <c r="Z167" s="343"/>
      <c r="AA167" s="343"/>
      <c r="AB167" s="343"/>
      <c r="AC167" s="343"/>
      <c r="AD167" s="343"/>
      <c r="AE167" s="343"/>
    </row>
    <row r="168" spans="1:31" ht="13.5" thickBot="1" x14ac:dyDescent="0.3">
      <c r="A168" s="343"/>
      <c r="B168" s="698"/>
      <c r="C168" s="698"/>
      <c r="D168" s="698"/>
      <c r="E168" s="461"/>
      <c r="F168" s="742"/>
      <c r="G168" s="527" t="str">
        <f>EUconst_Unit</f>
        <v>Единица мярка</v>
      </c>
      <c r="H168" s="391">
        <f t="shared" ref="H168:N168" si="38">H$428</f>
        <v>2024</v>
      </c>
      <c r="I168" s="391">
        <f t="shared" si="38"/>
        <v>2025</v>
      </c>
      <c r="J168" s="391">
        <f t="shared" si="38"/>
        <v>2026</v>
      </c>
      <c r="K168" s="391">
        <f t="shared" si="38"/>
        <v>2027</v>
      </c>
      <c r="L168" s="391">
        <f t="shared" si="38"/>
        <v>2028</v>
      </c>
      <c r="M168" s="391">
        <f t="shared" si="38"/>
        <v>2029</v>
      </c>
      <c r="N168" s="391">
        <f t="shared" si="38"/>
        <v>2030</v>
      </c>
      <c r="O168" s="336"/>
      <c r="P168" s="302"/>
      <c r="Q168" s="343"/>
      <c r="R168" s="343"/>
      <c r="S168" s="343"/>
      <c r="T168" s="1063"/>
      <c r="U168" s="343"/>
      <c r="V168" s="343"/>
      <c r="W168" s="343"/>
      <c r="X168" s="343"/>
      <c r="Y168" s="343"/>
      <c r="Z168" s="343"/>
      <c r="AA168" s="343"/>
      <c r="AB168" s="343"/>
      <c r="AC168" s="343"/>
      <c r="AD168" s="343"/>
      <c r="AE168" s="343"/>
    </row>
    <row r="169" spans="1:31" ht="12.75" customHeight="1" x14ac:dyDescent="0.25">
      <c r="A169" s="343"/>
      <c r="B169" s="698"/>
      <c r="C169" s="698"/>
      <c r="D169" s="360" t="s">
        <v>6</v>
      </c>
      <c r="E169" s="2750" t="str">
        <f t="shared" ref="E169:E178" si="39">IF(INDEX(CNTR_SubInstListIsProdBM,Q169),INDEX(CNTR_SubInstListNames,Q169),"")</f>
        <v/>
      </c>
      <c r="F169" s="2729"/>
      <c r="G169" s="1093" t="str">
        <f t="shared" ref="G169:G179" si="40">EUconst_TJpa</f>
        <v>TJ / година</v>
      </c>
      <c r="H169" s="33"/>
      <c r="I169" s="33"/>
      <c r="J169" s="33"/>
      <c r="K169" s="33"/>
      <c r="L169" s="33"/>
      <c r="M169" s="33"/>
      <c r="N169" s="33"/>
      <c r="O169" s="336"/>
      <c r="P169" s="181"/>
      <c r="Q169" s="1094">
        <v>1</v>
      </c>
      <c r="R169" s="343"/>
      <c r="S169" s="343"/>
      <c r="T169" s="1086" t="b">
        <f t="shared" ref="T169:T178" si="41">IF(CNTR_ExistSubInstEntries,OR(E169="",$T$163),FALSE)</f>
        <v>0</v>
      </c>
      <c r="U169" s="343"/>
      <c r="V169" s="343"/>
      <c r="W169" s="343"/>
      <c r="X169" s="343"/>
      <c r="Y169" s="343"/>
      <c r="Z169" s="343"/>
      <c r="AA169" s="343"/>
      <c r="AB169" s="343"/>
      <c r="AC169" s="343"/>
      <c r="AD169" s="732" t="s">
        <v>2039</v>
      </c>
      <c r="AE169" s="875" t="str">
        <f>IF(AND(CNTR_HasEntries_A_I,T169=FALSE,COUNTIFS($V$20:$AB$20,FALSE,H169:N169,"")&gt;0,$T$117=FALSE),2,"")</f>
        <v/>
      </c>
    </row>
    <row r="170" spans="1:31" x14ac:dyDescent="0.25">
      <c r="A170" s="343"/>
      <c r="B170" s="698"/>
      <c r="C170" s="698"/>
      <c r="D170" s="360" t="s">
        <v>7</v>
      </c>
      <c r="E170" s="2754" t="str">
        <f t="shared" si="39"/>
        <v/>
      </c>
      <c r="F170" s="2720"/>
      <c r="G170" s="1095" t="str">
        <f t="shared" si="40"/>
        <v>TJ / година</v>
      </c>
      <c r="H170" s="32"/>
      <c r="I170" s="32"/>
      <c r="J170" s="32"/>
      <c r="K170" s="32"/>
      <c r="L170" s="32"/>
      <c r="M170" s="32"/>
      <c r="N170" s="32"/>
      <c r="O170" s="336"/>
      <c r="P170" s="181"/>
      <c r="Q170" s="1096">
        <v>2</v>
      </c>
      <c r="R170" s="343"/>
      <c r="S170" s="343"/>
      <c r="T170" s="1097" t="b">
        <f t="shared" si="41"/>
        <v>0</v>
      </c>
      <c r="U170" s="343"/>
      <c r="V170" s="343"/>
      <c r="W170" s="343"/>
      <c r="X170" s="343"/>
      <c r="Y170" s="343"/>
      <c r="Z170" s="343"/>
      <c r="AA170" s="343"/>
      <c r="AB170" s="343"/>
      <c r="AC170" s="343"/>
      <c r="AD170" s="732" t="s">
        <v>2039</v>
      </c>
      <c r="AE170" s="875" t="str">
        <f t="shared" ref="AE170:AE178" si="42">IF(AND(CNTR_HasEntries_A_I,T170=FALSE,COUNTIFS($V$20:$AB$20,FALSE,H170:N170,"")&gt;0),2,"")</f>
        <v/>
      </c>
    </row>
    <row r="171" spans="1:31" ht="12.75" customHeight="1" x14ac:dyDescent="0.25">
      <c r="A171" s="343"/>
      <c r="B171" s="698"/>
      <c r="C171" s="698"/>
      <c r="D171" s="360" t="s">
        <v>8</v>
      </c>
      <c r="E171" s="2754" t="str">
        <f t="shared" si="39"/>
        <v/>
      </c>
      <c r="F171" s="2720"/>
      <c r="G171" s="1095" t="str">
        <f t="shared" si="40"/>
        <v>TJ / година</v>
      </c>
      <c r="H171" s="32"/>
      <c r="I171" s="32"/>
      <c r="J171" s="32"/>
      <c r="K171" s="32"/>
      <c r="L171" s="32"/>
      <c r="M171" s="32"/>
      <c r="N171" s="32"/>
      <c r="O171" s="336"/>
      <c r="P171" s="181"/>
      <c r="Q171" s="1096">
        <v>3</v>
      </c>
      <c r="R171" s="343"/>
      <c r="S171" s="343"/>
      <c r="T171" s="1097" t="b">
        <f t="shared" si="41"/>
        <v>0</v>
      </c>
      <c r="U171" s="343"/>
      <c r="V171" s="343"/>
      <c r="W171" s="343"/>
      <c r="X171" s="343"/>
      <c r="Y171" s="343"/>
      <c r="Z171" s="343"/>
      <c r="AA171" s="343"/>
      <c r="AB171" s="343"/>
      <c r="AC171" s="343"/>
      <c r="AD171" s="732" t="s">
        <v>2039</v>
      </c>
      <c r="AE171" s="875" t="str">
        <f t="shared" si="42"/>
        <v/>
      </c>
    </row>
    <row r="172" spans="1:31" x14ac:dyDescent="0.25">
      <c r="A172" s="343"/>
      <c r="B172" s="698"/>
      <c r="C172" s="698"/>
      <c r="D172" s="360" t="s">
        <v>18</v>
      </c>
      <c r="E172" s="2754" t="str">
        <f t="shared" si="39"/>
        <v/>
      </c>
      <c r="F172" s="2720"/>
      <c r="G172" s="1095" t="str">
        <f t="shared" si="40"/>
        <v>TJ / година</v>
      </c>
      <c r="H172" s="32"/>
      <c r="I172" s="32"/>
      <c r="J172" s="32"/>
      <c r="K172" s="32"/>
      <c r="L172" s="32"/>
      <c r="M172" s="32"/>
      <c r="N172" s="32"/>
      <c r="O172" s="336"/>
      <c r="P172" s="181"/>
      <c r="Q172" s="1096">
        <v>4</v>
      </c>
      <c r="R172" s="343"/>
      <c r="S172" s="343"/>
      <c r="T172" s="1097" t="b">
        <f t="shared" si="41"/>
        <v>0</v>
      </c>
      <c r="U172" s="343"/>
      <c r="V172" s="343"/>
      <c r="W172" s="343"/>
      <c r="X172" s="343"/>
      <c r="Y172" s="343"/>
      <c r="Z172" s="343"/>
      <c r="AA172" s="343"/>
      <c r="AB172" s="343"/>
      <c r="AC172" s="343"/>
      <c r="AD172" s="732" t="s">
        <v>2039</v>
      </c>
      <c r="AE172" s="875" t="str">
        <f t="shared" si="42"/>
        <v/>
      </c>
    </row>
    <row r="173" spans="1:31" x14ac:dyDescent="0.25">
      <c r="A173" s="343"/>
      <c r="B173" s="698"/>
      <c r="C173" s="698"/>
      <c r="D173" s="360" t="s">
        <v>810</v>
      </c>
      <c r="E173" s="2754" t="str">
        <f t="shared" si="39"/>
        <v/>
      </c>
      <c r="F173" s="2720"/>
      <c r="G173" s="1095" t="str">
        <f t="shared" si="40"/>
        <v>TJ / година</v>
      </c>
      <c r="H173" s="32"/>
      <c r="I173" s="32"/>
      <c r="J173" s="32"/>
      <c r="K173" s="32"/>
      <c r="L173" s="32"/>
      <c r="M173" s="32"/>
      <c r="N173" s="32"/>
      <c r="O173" s="336"/>
      <c r="P173" s="181"/>
      <c r="Q173" s="1096">
        <v>5</v>
      </c>
      <c r="R173" s="343"/>
      <c r="S173" s="343"/>
      <c r="T173" s="1097" t="b">
        <f t="shared" si="41"/>
        <v>0</v>
      </c>
      <c r="U173" s="343"/>
      <c r="V173" s="343"/>
      <c r="W173" s="343"/>
      <c r="X173" s="343"/>
      <c r="Y173" s="343"/>
      <c r="Z173" s="343"/>
      <c r="AA173" s="343"/>
      <c r="AB173" s="343"/>
      <c r="AC173" s="343"/>
      <c r="AD173" s="732" t="s">
        <v>2039</v>
      </c>
      <c r="AE173" s="875" t="str">
        <f t="shared" si="42"/>
        <v/>
      </c>
    </row>
    <row r="174" spans="1:31" x14ac:dyDescent="0.25">
      <c r="A174" s="343"/>
      <c r="B174" s="698"/>
      <c r="C174" s="698"/>
      <c r="D174" s="360" t="s">
        <v>811</v>
      </c>
      <c r="E174" s="2754" t="str">
        <f t="shared" si="39"/>
        <v/>
      </c>
      <c r="F174" s="2720"/>
      <c r="G174" s="1095" t="str">
        <f t="shared" si="40"/>
        <v>TJ / година</v>
      </c>
      <c r="H174" s="32"/>
      <c r="I174" s="32"/>
      <c r="J174" s="32"/>
      <c r="K174" s="32"/>
      <c r="L174" s="32"/>
      <c r="M174" s="32"/>
      <c r="N174" s="32"/>
      <c r="O174" s="336"/>
      <c r="P174" s="181"/>
      <c r="Q174" s="1096">
        <v>6</v>
      </c>
      <c r="R174" s="343"/>
      <c r="S174" s="343"/>
      <c r="T174" s="1097" t="b">
        <f t="shared" si="41"/>
        <v>0</v>
      </c>
      <c r="U174" s="343"/>
      <c r="V174" s="343"/>
      <c r="W174" s="343"/>
      <c r="X174" s="343"/>
      <c r="Y174" s="343"/>
      <c r="Z174" s="343"/>
      <c r="AA174" s="343"/>
      <c r="AB174" s="343"/>
      <c r="AC174" s="343"/>
      <c r="AD174" s="732" t="s">
        <v>2039</v>
      </c>
      <c r="AE174" s="875" t="str">
        <f t="shared" si="42"/>
        <v/>
      </c>
    </row>
    <row r="175" spans="1:31" x14ac:dyDescent="0.25">
      <c r="A175" s="343"/>
      <c r="B175" s="698"/>
      <c r="C175" s="698"/>
      <c r="D175" s="360" t="s">
        <v>812</v>
      </c>
      <c r="E175" s="2754" t="str">
        <f t="shared" si="39"/>
        <v/>
      </c>
      <c r="F175" s="2720"/>
      <c r="G175" s="1095" t="str">
        <f t="shared" si="40"/>
        <v>TJ / година</v>
      </c>
      <c r="H175" s="32"/>
      <c r="I175" s="32"/>
      <c r="J175" s="32"/>
      <c r="K175" s="32"/>
      <c r="L175" s="32"/>
      <c r="M175" s="32"/>
      <c r="N175" s="32"/>
      <c r="O175" s="336"/>
      <c r="P175" s="181"/>
      <c r="Q175" s="1096">
        <v>7</v>
      </c>
      <c r="R175" s="343"/>
      <c r="S175" s="343"/>
      <c r="T175" s="1097" t="b">
        <f t="shared" si="41"/>
        <v>0</v>
      </c>
      <c r="U175" s="343"/>
      <c r="V175" s="343"/>
      <c r="W175" s="343"/>
      <c r="X175" s="343"/>
      <c r="Y175" s="343"/>
      <c r="Z175" s="343"/>
      <c r="AA175" s="343"/>
      <c r="AB175" s="343"/>
      <c r="AC175" s="343"/>
      <c r="AD175" s="732" t="s">
        <v>2039</v>
      </c>
      <c r="AE175" s="875" t="str">
        <f t="shared" si="42"/>
        <v/>
      </c>
    </row>
    <row r="176" spans="1:31" x14ac:dyDescent="0.25">
      <c r="A176" s="343"/>
      <c r="B176" s="698"/>
      <c r="C176" s="698"/>
      <c r="D176" s="360" t="s">
        <v>813</v>
      </c>
      <c r="E176" s="2754" t="str">
        <f t="shared" si="39"/>
        <v/>
      </c>
      <c r="F176" s="2720"/>
      <c r="G176" s="1095" t="str">
        <f t="shared" si="40"/>
        <v>TJ / година</v>
      </c>
      <c r="H176" s="32"/>
      <c r="I176" s="32"/>
      <c r="J176" s="32"/>
      <c r="K176" s="32"/>
      <c r="L176" s="32"/>
      <c r="M176" s="32"/>
      <c r="N176" s="32"/>
      <c r="O176" s="336"/>
      <c r="P176" s="181"/>
      <c r="Q176" s="1096">
        <v>8</v>
      </c>
      <c r="R176" s="343"/>
      <c r="S176" s="343"/>
      <c r="T176" s="1097" t="b">
        <f t="shared" si="41"/>
        <v>0</v>
      </c>
      <c r="U176" s="343"/>
      <c r="V176" s="343"/>
      <c r="W176" s="343"/>
      <c r="X176" s="343"/>
      <c r="Y176" s="343"/>
      <c r="Z176" s="343"/>
      <c r="AA176" s="343"/>
      <c r="AB176" s="343"/>
      <c r="AC176" s="343"/>
      <c r="AD176" s="732" t="s">
        <v>2039</v>
      </c>
      <c r="AE176" s="875" t="str">
        <f t="shared" si="42"/>
        <v/>
      </c>
    </row>
    <row r="177" spans="1:31" x14ac:dyDescent="0.25">
      <c r="A177" s="343"/>
      <c r="B177" s="698"/>
      <c r="C177" s="698"/>
      <c r="D177" s="360" t="s">
        <v>814</v>
      </c>
      <c r="E177" s="2754" t="str">
        <f t="shared" si="39"/>
        <v/>
      </c>
      <c r="F177" s="2720"/>
      <c r="G177" s="1095" t="str">
        <f t="shared" si="40"/>
        <v>TJ / година</v>
      </c>
      <c r="H177" s="32"/>
      <c r="I177" s="32"/>
      <c r="J177" s="32"/>
      <c r="K177" s="32"/>
      <c r="L177" s="32"/>
      <c r="M177" s="32"/>
      <c r="N177" s="32"/>
      <c r="O177" s="336"/>
      <c r="P177" s="181"/>
      <c r="Q177" s="1096">
        <v>9</v>
      </c>
      <c r="R177" s="343"/>
      <c r="S177" s="343"/>
      <c r="T177" s="1097" t="b">
        <f t="shared" si="41"/>
        <v>0</v>
      </c>
      <c r="U177" s="343"/>
      <c r="V177" s="343"/>
      <c r="W177" s="343"/>
      <c r="X177" s="343"/>
      <c r="Y177" s="343"/>
      <c r="Z177" s="343"/>
      <c r="AA177" s="343"/>
      <c r="AB177" s="343"/>
      <c r="AC177" s="343"/>
      <c r="AD177" s="732" t="s">
        <v>2039</v>
      </c>
      <c r="AE177" s="875" t="str">
        <f t="shared" si="42"/>
        <v/>
      </c>
    </row>
    <row r="178" spans="1:31" ht="13" thickBot="1" x14ac:dyDescent="0.3">
      <c r="A178" s="343"/>
      <c r="B178" s="698"/>
      <c r="C178" s="698"/>
      <c r="D178" s="360" t="s">
        <v>61</v>
      </c>
      <c r="E178" s="2756" t="str">
        <f t="shared" si="39"/>
        <v/>
      </c>
      <c r="F178" s="2732"/>
      <c r="G178" s="1098" t="str">
        <f t="shared" si="40"/>
        <v>TJ / година</v>
      </c>
      <c r="H178" s="30"/>
      <c r="I178" s="30"/>
      <c r="J178" s="30"/>
      <c r="K178" s="30"/>
      <c r="L178" s="30"/>
      <c r="M178" s="30"/>
      <c r="N178" s="30"/>
      <c r="O178" s="336"/>
      <c r="P178" s="181"/>
      <c r="Q178" s="856">
        <v>10</v>
      </c>
      <c r="R178" s="343"/>
      <c r="S178" s="343"/>
      <c r="T178" s="1099" t="b">
        <f t="shared" si="41"/>
        <v>0</v>
      </c>
      <c r="U178" s="343"/>
      <c r="V178" s="343"/>
      <c r="W178" s="343"/>
      <c r="X178" s="343"/>
      <c r="Y178" s="343"/>
      <c r="Z178" s="343"/>
      <c r="AA178" s="343"/>
      <c r="AB178" s="343"/>
      <c r="AC178" s="343"/>
      <c r="AD178" s="732" t="s">
        <v>2039</v>
      </c>
      <c r="AE178" s="875" t="str">
        <f t="shared" si="42"/>
        <v/>
      </c>
    </row>
    <row r="179" spans="1:31" ht="12.75" customHeight="1" x14ac:dyDescent="0.25">
      <c r="A179" s="343"/>
      <c r="B179" s="698"/>
      <c r="C179" s="1084"/>
      <c r="D179" s="360" t="s">
        <v>62</v>
      </c>
      <c r="E179" s="2738" t="str">
        <f>Translations!$B$353</f>
        <v>Междинен сбор</v>
      </c>
      <c r="F179" s="2739"/>
      <c r="G179" s="994" t="str">
        <f t="shared" si="40"/>
        <v>TJ / година</v>
      </c>
      <c r="H179" s="1020" t="str">
        <f t="shared" ref="H179:N179" si="43">IF(COUNT(H169:H178)&gt;0,SUM(H169:H178),"")</f>
        <v/>
      </c>
      <c r="I179" s="1020" t="str">
        <f t="shared" si="43"/>
        <v/>
      </c>
      <c r="J179" s="1020" t="str">
        <f t="shared" si="43"/>
        <v/>
      </c>
      <c r="K179" s="1020" t="str">
        <f t="shared" si="43"/>
        <v/>
      </c>
      <c r="L179" s="1020" t="str">
        <f t="shared" si="43"/>
        <v/>
      </c>
      <c r="M179" s="1020" t="str">
        <f t="shared" si="43"/>
        <v/>
      </c>
      <c r="N179" s="1020" t="str">
        <f t="shared" si="43"/>
        <v/>
      </c>
      <c r="O179" s="336"/>
      <c r="P179" s="302"/>
      <c r="Q179" s="343"/>
      <c r="R179" s="343"/>
      <c r="S179" s="343"/>
      <c r="T179" s="1089"/>
      <c r="U179" s="343"/>
      <c r="V179" s="343"/>
      <c r="W179" s="343"/>
      <c r="X179" s="343"/>
      <c r="Y179" s="343"/>
      <c r="Z179" s="343"/>
      <c r="AA179" s="343"/>
      <c r="AB179" s="343"/>
      <c r="AC179" s="343"/>
      <c r="AD179" s="343"/>
      <c r="AE179" s="343"/>
    </row>
    <row r="180" spans="1:31" ht="5.15" customHeight="1" x14ac:dyDescent="0.25">
      <c r="A180" s="343"/>
      <c r="B180" s="284"/>
      <c r="C180" s="284"/>
      <c r="D180" s="284"/>
      <c r="E180" s="284"/>
      <c r="F180" s="284"/>
      <c r="G180" s="284"/>
      <c r="H180" s="284"/>
      <c r="I180" s="284"/>
      <c r="J180" s="284"/>
      <c r="K180" s="284"/>
      <c r="L180" s="284"/>
      <c r="M180" s="284"/>
      <c r="N180" s="284"/>
      <c r="O180" s="336"/>
      <c r="P180" s="302"/>
      <c r="Q180" s="695"/>
      <c r="R180" s="343"/>
      <c r="S180" s="343"/>
      <c r="T180" s="1089"/>
      <c r="U180" s="343"/>
      <c r="V180" s="343"/>
      <c r="W180" s="343"/>
      <c r="X180" s="343"/>
      <c r="Y180" s="343"/>
      <c r="Z180" s="343"/>
      <c r="AA180" s="343"/>
      <c r="AB180" s="343"/>
      <c r="AC180" s="343"/>
      <c r="AD180" s="343"/>
      <c r="AE180" s="343"/>
    </row>
    <row r="181" spans="1:31" ht="12.65" customHeight="1" x14ac:dyDescent="0.25">
      <c r="A181" s="343"/>
      <c r="B181" s="698"/>
      <c r="C181" s="698"/>
      <c r="D181" s="698"/>
      <c r="E181" s="2742" t="str">
        <f>Translations!$B$373</f>
        <v>Стойности, въведени в работен лист „F_ProductBM“:</v>
      </c>
      <c r="F181" s="2743"/>
      <c r="G181" s="2743"/>
      <c r="H181" s="2743"/>
      <c r="I181" s="2743"/>
      <c r="J181" s="2743"/>
      <c r="K181" s="2743"/>
      <c r="L181" s="2743"/>
      <c r="M181" s="2743"/>
      <c r="N181" s="2743"/>
      <c r="O181" s="336"/>
      <c r="P181" s="302"/>
      <c r="Q181" s="343"/>
      <c r="R181" s="343"/>
      <c r="S181" s="343"/>
      <c r="T181" s="1089"/>
      <c r="U181" s="343"/>
      <c r="V181" s="343"/>
      <c r="W181" s="343"/>
      <c r="X181" s="343"/>
      <c r="Y181" s="343"/>
      <c r="Z181" s="343"/>
      <c r="AA181" s="343"/>
      <c r="AB181" s="343"/>
      <c r="AC181" s="343"/>
      <c r="AD181" s="343"/>
      <c r="AE181" s="343"/>
    </row>
    <row r="182" spans="1:31" ht="12.65" customHeight="1" x14ac:dyDescent="0.25">
      <c r="A182" s="343"/>
      <c r="B182" s="698"/>
      <c r="C182" s="1084"/>
      <c r="D182" s="360" t="s">
        <v>63</v>
      </c>
      <c r="E182" s="2738" t="str">
        <f>Translations!$B$368</f>
        <v>Количество топлинна енергия от източници извън СТЕ</v>
      </c>
      <c r="F182" s="2739"/>
      <c r="G182" s="1092" t="str">
        <f>EUconst_TJpa</f>
        <v>TJ / година</v>
      </c>
      <c r="H182" s="22" t="str">
        <f>F_ProductBM!H2839</f>
        <v/>
      </c>
      <c r="I182" s="22" t="str">
        <f>F_ProductBM!I2839</f>
        <v/>
      </c>
      <c r="J182" s="22" t="str">
        <f>F_ProductBM!J2839</f>
        <v/>
      </c>
      <c r="K182" s="22" t="str">
        <f>F_ProductBM!K2839</f>
        <v/>
      </c>
      <c r="L182" s="22" t="str">
        <f>F_ProductBM!L2839</f>
        <v/>
      </c>
      <c r="M182" s="22" t="str">
        <f>F_ProductBM!M2839</f>
        <v/>
      </c>
      <c r="N182" s="22" t="str">
        <f>F_ProductBM!N2839</f>
        <v/>
      </c>
      <c r="O182" s="336"/>
      <c r="P182" s="302"/>
      <c r="Q182" s="343"/>
      <c r="R182" s="343"/>
      <c r="S182" s="343"/>
      <c r="T182" s="1089"/>
      <c r="U182" s="343"/>
      <c r="V182" s="343"/>
      <c r="W182" s="343"/>
      <c r="X182" s="343"/>
      <c r="Y182" s="343"/>
      <c r="Z182" s="343"/>
      <c r="AA182" s="343"/>
      <c r="AB182" s="343"/>
      <c r="AC182" s="343"/>
      <c r="AD182" s="343"/>
      <c r="AE182" s="343"/>
    </row>
    <row r="183" spans="1:31" ht="5.15" customHeight="1" x14ac:dyDescent="0.25">
      <c r="A183" s="343"/>
      <c r="B183" s="284"/>
      <c r="C183" s="284"/>
      <c r="D183" s="284"/>
      <c r="E183" s="284"/>
      <c r="F183" s="284"/>
      <c r="G183" s="284"/>
      <c r="H183" s="284"/>
      <c r="I183" s="284"/>
      <c r="J183" s="284"/>
      <c r="K183" s="284"/>
      <c r="L183" s="284"/>
      <c r="M183" s="284"/>
      <c r="N183" s="284"/>
      <c r="O183" s="336"/>
      <c r="P183" s="302"/>
      <c r="Q183" s="695"/>
      <c r="R183" s="343"/>
      <c r="S183" s="343"/>
      <c r="T183" s="1089"/>
      <c r="U183" s="343"/>
      <c r="V183" s="343"/>
      <c r="W183" s="343"/>
      <c r="X183" s="343"/>
      <c r="Y183" s="343"/>
      <c r="Z183" s="343"/>
      <c r="AA183" s="343"/>
      <c r="AB183" s="343"/>
      <c r="AC183" s="343"/>
      <c r="AD183" s="343"/>
      <c r="AE183" s="343"/>
    </row>
    <row r="184" spans="1:31" ht="12.65" customHeight="1" x14ac:dyDescent="0.25">
      <c r="A184" s="343"/>
      <c r="B184" s="698"/>
      <c r="C184" s="698"/>
      <c r="D184" s="698"/>
      <c r="E184" s="2724" t="str">
        <f>Translations!$B$374</f>
        <v>Проверка на правдоподобността на данните:</v>
      </c>
      <c r="F184" s="2725"/>
      <c r="G184" s="2725"/>
      <c r="H184" s="2725"/>
      <c r="I184" s="2725"/>
      <c r="J184" s="2725"/>
      <c r="K184" s="2725"/>
      <c r="L184" s="2725"/>
      <c r="M184" s="2725"/>
      <c r="N184" s="2725"/>
      <c r="O184" s="336"/>
      <c r="P184" s="302"/>
      <c r="Q184" s="343"/>
      <c r="R184" s="343"/>
      <c r="S184" s="343"/>
      <c r="T184" s="1089"/>
      <c r="U184" s="343"/>
      <c r="V184" s="343"/>
      <c r="W184" s="343"/>
      <c r="X184" s="343"/>
      <c r="Y184" s="343"/>
      <c r="Z184" s="343"/>
      <c r="AA184" s="343"/>
      <c r="AB184" s="343"/>
      <c r="AC184" s="343"/>
      <c r="AD184" s="343"/>
      <c r="AE184" s="343"/>
    </row>
    <row r="185" spans="1:31" ht="12.65" customHeight="1" x14ac:dyDescent="0.25">
      <c r="A185" s="343"/>
      <c r="B185" s="284"/>
      <c r="C185" s="302"/>
      <c r="D185" s="302"/>
      <c r="E185" s="2650" t="str">
        <f>Translations!$B$375</f>
        <v>Моля, проверете отново този раздел, след като попълните работен лист „F_ProductBM“, ако това е приложимо, с цел избягване на въвеждането на неправдоподобни данни.</v>
      </c>
      <c r="F185" s="2725"/>
      <c r="G185" s="2725"/>
      <c r="H185" s="2725"/>
      <c r="I185" s="2725"/>
      <c r="J185" s="2725"/>
      <c r="K185" s="2725"/>
      <c r="L185" s="2725"/>
      <c r="M185" s="2725"/>
      <c r="N185" s="2725"/>
      <c r="O185" s="336"/>
      <c r="P185" s="302"/>
      <c r="Q185" s="695"/>
      <c r="R185" s="343"/>
      <c r="S185" s="343"/>
      <c r="T185" s="1089"/>
      <c r="U185" s="343"/>
      <c r="V185" s="343"/>
      <c r="W185" s="343"/>
      <c r="X185" s="343"/>
      <c r="Y185" s="343"/>
      <c r="Z185" s="343"/>
      <c r="AA185" s="343"/>
      <c r="AB185" s="343"/>
      <c r="AC185" s="343"/>
      <c r="AD185" s="343"/>
      <c r="AE185" s="343"/>
    </row>
    <row r="186" spans="1:31" ht="12.65" customHeight="1" x14ac:dyDescent="0.25">
      <c r="A186" s="343"/>
      <c r="B186" s="284"/>
      <c r="C186" s="302"/>
      <c r="D186" s="302"/>
      <c r="E186" s="2650" t="str">
        <f>Translations!$B$376</f>
        <v>Най-добрият препоръчителен подход за попълване на този раздел е първо да се въведат данните по „F_ProductBM“ и едва след това да се премине към буква i) по-долу.</v>
      </c>
      <c r="F186" s="2725"/>
      <c r="G186" s="2725"/>
      <c r="H186" s="2725"/>
      <c r="I186" s="2725"/>
      <c r="J186" s="2725"/>
      <c r="K186" s="2725"/>
      <c r="L186" s="2725"/>
      <c r="M186" s="2725"/>
      <c r="N186" s="2725"/>
      <c r="O186" s="336"/>
      <c r="P186" s="302"/>
      <c r="Q186" s="695"/>
      <c r="R186" s="343"/>
      <c r="S186" s="343"/>
      <c r="T186" s="1089"/>
      <c r="U186" s="343"/>
      <c r="V186" s="343"/>
      <c r="W186" s="343"/>
      <c r="X186" s="343"/>
      <c r="Y186" s="343"/>
      <c r="Z186" s="343"/>
      <c r="AA186" s="343"/>
      <c r="AB186" s="343"/>
      <c r="AC186" s="343"/>
      <c r="AD186" s="343"/>
      <c r="AE186" s="343"/>
    </row>
    <row r="187" spans="1:31" ht="5.15" customHeight="1" x14ac:dyDescent="0.25">
      <c r="A187" s="343"/>
      <c r="B187" s="284"/>
      <c r="C187" s="541"/>
      <c r="D187" s="541"/>
      <c r="E187" s="284"/>
      <c r="F187" s="284"/>
      <c r="G187" s="284"/>
      <c r="H187" s="284"/>
      <c r="I187" s="284"/>
      <c r="J187" s="284"/>
      <c r="K187" s="284"/>
      <c r="L187" s="284"/>
      <c r="M187" s="284"/>
      <c r="N187" s="284"/>
      <c r="O187" s="336"/>
      <c r="P187" s="302"/>
      <c r="Q187" s="695"/>
      <c r="R187" s="343"/>
      <c r="S187" s="343"/>
      <c r="T187" s="1089"/>
      <c r="U187" s="343"/>
      <c r="V187" s="343"/>
      <c r="W187" s="343"/>
      <c r="X187" s="343"/>
      <c r="Y187" s="343"/>
      <c r="Z187" s="343"/>
      <c r="AA187" s="343"/>
      <c r="AB187" s="343"/>
      <c r="AC187" s="343"/>
      <c r="AD187" s="343"/>
      <c r="AE187" s="343"/>
    </row>
    <row r="188" spans="1:31" ht="12.65" customHeight="1" x14ac:dyDescent="0.25">
      <c r="A188" s="343"/>
      <c r="B188" s="698"/>
      <c r="C188" s="698"/>
      <c r="D188" s="698"/>
      <c r="E188" s="2742" t="str">
        <f>Translations!$B$377</f>
        <v>Топлинна енергия извън СТЕ, въведена в работен лист „F_ProductBM“, сравнена с общото количество топлинна енергия за всички продуктови показатели:</v>
      </c>
      <c r="F188" s="2743"/>
      <c r="G188" s="2743"/>
      <c r="H188" s="2743"/>
      <c r="I188" s="2743"/>
      <c r="J188" s="2743"/>
      <c r="K188" s="2743"/>
      <c r="L188" s="2743"/>
      <c r="M188" s="2743"/>
      <c r="N188" s="2743"/>
      <c r="O188" s="336"/>
      <c r="P188" s="302"/>
      <c r="Q188" s="343"/>
      <c r="R188" s="343"/>
      <c r="S188" s="343"/>
      <c r="T188" s="1089"/>
      <c r="U188" s="343"/>
      <c r="V188" s="343"/>
      <c r="W188" s="343"/>
      <c r="X188" s="343"/>
      <c r="Y188" s="343"/>
      <c r="Z188" s="343"/>
      <c r="AA188" s="343"/>
      <c r="AB188" s="343"/>
      <c r="AC188" s="343"/>
      <c r="AD188" s="343"/>
      <c r="AE188" s="343"/>
    </row>
    <row r="189" spans="1:31" ht="12.65" customHeight="1" x14ac:dyDescent="0.25">
      <c r="A189" s="343"/>
      <c r="B189" s="698"/>
      <c r="C189" s="1084"/>
      <c r="D189" s="360" t="s">
        <v>1136</v>
      </c>
      <c r="E189" s="2740" t="str">
        <f>Translations!$B$378</f>
        <v>Точка xii във връзка с точка xi:</v>
      </c>
      <c r="F189" s="2739"/>
      <c r="G189" s="1038" t="s">
        <v>1053</v>
      </c>
      <c r="H189" s="22" t="str">
        <f t="shared" ref="H189:N189" si="44">IF(AND(ISNUMBER(H179),H179&lt;&gt;0,ISNUMBER(H182)),H182/H179*100,"")</f>
        <v/>
      </c>
      <c r="I189" s="22" t="str">
        <f t="shared" si="44"/>
        <v/>
      </c>
      <c r="J189" s="22" t="str">
        <f t="shared" si="44"/>
        <v/>
      </c>
      <c r="K189" s="22" t="str">
        <f t="shared" si="44"/>
        <v/>
      </c>
      <c r="L189" s="22" t="str">
        <f t="shared" si="44"/>
        <v/>
      </c>
      <c r="M189" s="22" t="str">
        <f t="shared" si="44"/>
        <v/>
      </c>
      <c r="N189" s="22" t="str">
        <f t="shared" si="44"/>
        <v/>
      </c>
      <c r="O189" s="336"/>
      <c r="P189" s="302"/>
      <c r="Q189" s="343"/>
      <c r="R189" s="343"/>
      <c r="S189" s="343"/>
      <c r="T189" s="1089"/>
      <c r="U189" s="343"/>
      <c r="V189" s="343"/>
      <c r="W189" s="343"/>
      <c r="X189" s="343"/>
      <c r="Y189" s="343"/>
      <c r="Z189" s="343"/>
      <c r="AA189" s="343"/>
      <c r="AB189" s="343"/>
      <c r="AC189" s="343"/>
      <c r="AD189" s="343"/>
      <c r="AE189" s="343"/>
    </row>
    <row r="190" spans="1:31" ht="5.15" customHeight="1" x14ac:dyDescent="0.25">
      <c r="A190" s="343"/>
      <c r="B190" s="284"/>
      <c r="C190" s="541"/>
      <c r="D190" s="541"/>
      <c r="E190" s="284"/>
      <c r="F190" s="284"/>
      <c r="G190" s="284"/>
      <c r="H190" s="284"/>
      <c r="I190" s="284"/>
      <c r="J190" s="284"/>
      <c r="K190" s="284"/>
      <c r="L190" s="284"/>
      <c r="M190" s="284"/>
      <c r="N190" s="284"/>
      <c r="O190" s="336"/>
      <c r="P190" s="302"/>
      <c r="Q190" s="695"/>
      <c r="R190" s="343"/>
      <c r="S190" s="343"/>
      <c r="T190" s="1089"/>
      <c r="U190" s="343"/>
      <c r="V190" s="343"/>
      <c r="W190" s="343"/>
      <c r="X190" s="343"/>
      <c r="Y190" s="343"/>
      <c r="Z190" s="343"/>
      <c r="AA190" s="343"/>
      <c r="AB190" s="343"/>
      <c r="AC190" s="343"/>
      <c r="AD190" s="343"/>
      <c r="AE190" s="343"/>
    </row>
    <row r="191" spans="1:31" ht="12.65" customHeight="1" x14ac:dyDescent="0.25">
      <c r="A191" s="343"/>
      <c r="B191" s="698"/>
      <c r="C191" s="1084"/>
      <c r="D191" s="1084"/>
      <c r="E191" s="2742" t="str">
        <f>Translations!$B$379</f>
        <v>Топлинна енергия извън СТЕ, въведена в работен лист „F_ProductBM“, сравнена с общото количество топлинна енергия, получена от извън СТЕ, въведено по-горе по буква c):</v>
      </c>
      <c r="F191" s="2743"/>
      <c r="G191" s="2743"/>
      <c r="H191" s="2743"/>
      <c r="I191" s="2743"/>
      <c r="J191" s="2743"/>
      <c r="K191" s="2743"/>
      <c r="L191" s="2743"/>
      <c r="M191" s="2743"/>
      <c r="N191" s="2743"/>
      <c r="O191" s="336"/>
      <c r="P191" s="302"/>
      <c r="Q191" s="343"/>
      <c r="R191" s="343"/>
      <c r="S191" s="343"/>
      <c r="T191" s="1089"/>
      <c r="U191" s="343"/>
      <c r="V191" s="343"/>
      <c r="W191" s="343"/>
      <c r="X191" s="343"/>
      <c r="Y191" s="343"/>
      <c r="Z191" s="343"/>
      <c r="AA191" s="343"/>
      <c r="AB191" s="343"/>
      <c r="AC191" s="343"/>
      <c r="AD191" s="343"/>
      <c r="AE191" s="343"/>
    </row>
    <row r="192" spans="1:31" ht="12.65" customHeight="1" x14ac:dyDescent="0.25">
      <c r="A192" s="343"/>
      <c r="B192" s="698"/>
      <c r="C192" s="1084"/>
      <c r="D192" s="360" t="s">
        <v>1137</v>
      </c>
      <c r="E192" s="2740" t="str">
        <f>Translations!$B$380</f>
        <v>Точка xii във връзка с буква c) по-горе:</v>
      </c>
      <c r="F192" s="2739"/>
      <c r="G192" s="1038" t="s">
        <v>1053</v>
      </c>
      <c r="H192" s="22" t="str">
        <f t="shared" ref="H192:N192" si="45">IF(AND(ISNUMBER(H141),H141&lt;&gt;0,ISNUMBER(H182)),H182/H141*100,"")</f>
        <v/>
      </c>
      <c r="I192" s="22" t="str">
        <f t="shared" si="45"/>
        <v/>
      </c>
      <c r="J192" s="22" t="str">
        <f t="shared" si="45"/>
        <v/>
      </c>
      <c r="K192" s="22" t="str">
        <f t="shared" si="45"/>
        <v/>
      </c>
      <c r="L192" s="22" t="str">
        <f t="shared" si="45"/>
        <v/>
      </c>
      <c r="M192" s="22" t="str">
        <f t="shared" si="45"/>
        <v/>
      </c>
      <c r="N192" s="22" t="str">
        <f t="shared" si="45"/>
        <v/>
      </c>
      <c r="O192" s="336"/>
      <c r="P192" s="302"/>
      <c r="Q192" s="343"/>
      <c r="R192" s="343"/>
      <c r="S192" s="343"/>
      <c r="T192" s="1089"/>
      <c r="U192" s="343"/>
      <c r="V192" s="343"/>
      <c r="W192" s="343"/>
      <c r="X192" s="343"/>
      <c r="Y192" s="343"/>
      <c r="Z192" s="343"/>
      <c r="AA192" s="343"/>
      <c r="AB192" s="343"/>
      <c r="AC192" s="343"/>
      <c r="AD192" s="343"/>
      <c r="AE192" s="343"/>
    </row>
    <row r="193" spans="1:31" x14ac:dyDescent="0.25">
      <c r="A193" s="343"/>
      <c r="B193" s="698"/>
      <c r="C193" s="698"/>
      <c r="D193" s="698"/>
      <c r="E193" s="698"/>
      <c r="F193" s="698"/>
      <c r="G193" s="698"/>
      <c r="H193" s="698"/>
      <c r="I193" s="698"/>
      <c r="J193" s="698"/>
      <c r="K193" s="698"/>
      <c r="L193" s="698"/>
      <c r="M193" s="698"/>
      <c r="N193" s="698"/>
      <c r="O193" s="336"/>
      <c r="P193" s="302"/>
      <c r="Q193" s="343"/>
      <c r="R193" s="343"/>
      <c r="S193" s="343"/>
      <c r="T193" s="1089"/>
      <c r="U193" s="343"/>
      <c r="V193" s="343"/>
      <c r="W193" s="343"/>
      <c r="X193" s="343"/>
      <c r="Y193" s="343"/>
      <c r="Z193" s="343"/>
      <c r="AA193" s="343"/>
      <c r="AB193" s="343"/>
      <c r="AC193" s="343"/>
      <c r="AD193" s="343"/>
      <c r="AE193" s="343"/>
    </row>
    <row r="194" spans="1:31" ht="13" customHeight="1" x14ac:dyDescent="0.25">
      <c r="A194" s="343"/>
      <c r="B194" s="698"/>
      <c r="C194" s="300"/>
      <c r="D194" s="300" t="s">
        <v>279</v>
      </c>
      <c r="E194" s="2724" t="str">
        <f>Translations!$B$381</f>
        <v>Топлинна енергия, подадена към инсталации по СТЕ (която не отговаря на условията за топлинен показател):</v>
      </c>
      <c r="F194" s="2725"/>
      <c r="G194" s="2725"/>
      <c r="H194" s="2725"/>
      <c r="I194" s="2725"/>
      <c r="J194" s="2725"/>
      <c r="K194" s="2725"/>
      <c r="L194" s="2725"/>
      <c r="M194" s="2725"/>
      <c r="N194" s="2725"/>
      <c r="O194" s="336"/>
      <c r="P194" s="302"/>
      <c r="Q194" s="343"/>
      <c r="R194" s="343"/>
      <c r="S194" s="343"/>
      <c r="T194" s="1089"/>
      <c r="U194" s="343"/>
      <c r="V194" s="343"/>
      <c r="W194" s="343"/>
      <c r="X194" s="343"/>
      <c r="Y194" s="343"/>
      <c r="Z194" s="343"/>
      <c r="AA194" s="343"/>
      <c r="AB194" s="343"/>
      <c r="AC194" s="343"/>
      <c r="AD194" s="343"/>
      <c r="AE194" s="343"/>
    </row>
    <row r="195" spans="1:31" ht="12.65" customHeight="1" x14ac:dyDescent="0.25">
      <c r="A195" s="343"/>
      <c r="B195" s="284"/>
      <c r="C195" s="302"/>
      <c r="D195" s="302"/>
      <c r="E195" s="2733" t="str">
        <f>Translations!$B$382</f>
        <v>Това количество топлинна енергия се разпределя на потребителя на топлинната енергия.</v>
      </c>
      <c r="F195" s="2725"/>
      <c r="G195" s="2725"/>
      <c r="H195" s="2725"/>
      <c r="I195" s="2725"/>
      <c r="J195" s="2725"/>
      <c r="K195" s="2725"/>
      <c r="L195" s="2725"/>
      <c r="M195" s="2725"/>
      <c r="N195" s="2725"/>
      <c r="O195" s="336"/>
      <c r="P195" s="302"/>
      <c r="Q195" s="695"/>
      <c r="R195" s="343"/>
      <c r="S195" s="343"/>
      <c r="T195" s="1089"/>
      <c r="U195" s="343"/>
      <c r="V195" s="343"/>
      <c r="W195" s="343"/>
      <c r="X195" s="343"/>
      <c r="Y195" s="343"/>
      <c r="Z195" s="343"/>
      <c r="AA195" s="343"/>
      <c r="AB195" s="343"/>
      <c r="AC195" s="343"/>
      <c r="AD195" s="343"/>
      <c r="AE195" s="343"/>
    </row>
    <row r="196" spans="1:31" ht="12.65" customHeight="1" x14ac:dyDescent="0.25">
      <c r="A196" s="343"/>
      <c r="B196" s="284"/>
      <c r="C196" s="302"/>
      <c r="D196" s="302"/>
      <c r="E196" s="2733" t="str">
        <f>Translations!$B$351</f>
        <v>Наименованията на инсталациите от падащия списък са взети от раздел A.IV. Затова трябва да се уверите, че там сте въвели пълни данни.</v>
      </c>
      <c r="F196" s="2725"/>
      <c r="G196" s="2725"/>
      <c r="H196" s="2725"/>
      <c r="I196" s="2725"/>
      <c r="J196" s="2725"/>
      <c r="K196" s="2725"/>
      <c r="L196" s="2725"/>
      <c r="M196" s="2725"/>
      <c r="N196" s="2725"/>
      <c r="O196" s="336"/>
      <c r="P196" s="302"/>
      <c r="Q196" s="695"/>
      <c r="R196" s="343"/>
      <c r="S196" s="343"/>
      <c r="T196" s="1089"/>
      <c r="U196" s="343"/>
      <c r="V196" s="343"/>
      <c r="W196" s="343"/>
      <c r="X196" s="343"/>
      <c r="Y196" s="343"/>
      <c r="Z196" s="343"/>
      <c r="AA196" s="343"/>
      <c r="AB196" s="343"/>
      <c r="AC196" s="343"/>
      <c r="AD196" s="343"/>
      <c r="AE196" s="343"/>
    </row>
    <row r="197" spans="1:31" ht="12.65" customHeight="1" x14ac:dyDescent="0.25">
      <c r="A197" s="343"/>
      <c r="B197" s="284"/>
      <c r="C197" s="302"/>
      <c r="D197" s="302"/>
      <c r="E197" s="2733" t="str">
        <f>Translations!$B$1313</f>
        <v>Ако съществуват повече от пет връзки, моля да ги обобщите. Това може да наложи корекции в раздели A.V.b.</v>
      </c>
      <c r="F197" s="2725"/>
      <c r="G197" s="2725"/>
      <c r="H197" s="2725"/>
      <c r="I197" s="2725"/>
      <c r="J197" s="2725"/>
      <c r="K197" s="2725"/>
      <c r="L197" s="2725"/>
      <c r="M197" s="2725"/>
      <c r="N197" s="2725"/>
      <c r="O197" s="336"/>
      <c r="P197" s="302"/>
      <c r="Q197" s="695"/>
      <c r="R197" s="343"/>
      <c r="S197" s="343"/>
      <c r="T197" s="1089"/>
      <c r="U197" s="343"/>
      <c r="V197" s="343"/>
      <c r="W197" s="343"/>
      <c r="X197" s="343"/>
      <c r="Y197" s="343"/>
      <c r="Z197" s="343"/>
      <c r="AA197" s="343"/>
      <c r="AB197" s="343"/>
      <c r="AC197" s="343"/>
      <c r="AD197" s="343"/>
      <c r="AE197" s="343"/>
    </row>
    <row r="198" spans="1:31" ht="13" customHeight="1" x14ac:dyDescent="0.25">
      <c r="A198" s="343"/>
      <c r="B198" s="698"/>
      <c r="C198" s="698"/>
      <c r="D198" s="698"/>
      <c r="E198" s="2742" t="str">
        <f>Translations!$B$352</f>
        <v>Наименование на инсталацията</v>
      </c>
      <c r="F198" s="2743"/>
      <c r="G198" s="527" t="str">
        <f>EUconst_Unit</f>
        <v>Единица мярка</v>
      </c>
      <c r="H198" s="387">
        <f t="shared" ref="H198:N198" si="46">H$428</f>
        <v>2024</v>
      </c>
      <c r="I198" s="387">
        <f t="shared" si="46"/>
        <v>2025</v>
      </c>
      <c r="J198" s="387">
        <f t="shared" si="46"/>
        <v>2026</v>
      </c>
      <c r="K198" s="387">
        <f t="shared" si="46"/>
        <v>2027</v>
      </c>
      <c r="L198" s="387">
        <f t="shared" si="46"/>
        <v>2028</v>
      </c>
      <c r="M198" s="387">
        <f t="shared" si="46"/>
        <v>2029</v>
      </c>
      <c r="N198" s="387">
        <f t="shared" si="46"/>
        <v>2030</v>
      </c>
      <c r="O198" s="336"/>
      <c r="P198" s="302"/>
      <c r="Q198" s="343"/>
      <c r="R198" s="343"/>
      <c r="S198" s="343"/>
      <c r="T198" s="1089"/>
      <c r="U198" s="343"/>
      <c r="V198" s="343"/>
      <c r="W198" s="343"/>
      <c r="X198" s="343"/>
      <c r="Y198" s="343"/>
      <c r="Z198" s="343"/>
      <c r="AA198" s="343"/>
      <c r="AB198" s="343"/>
      <c r="AC198" s="343"/>
      <c r="AD198" s="343"/>
      <c r="AE198" s="343"/>
    </row>
    <row r="199" spans="1:31" x14ac:dyDescent="0.25">
      <c r="A199" s="343"/>
      <c r="B199" s="698"/>
      <c r="C199" s="1084"/>
      <c r="D199" s="1084" t="s">
        <v>6</v>
      </c>
      <c r="E199" s="2747"/>
      <c r="F199" s="2748"/>
      <c r="G199" s="1100" t="str">
        <f t="shared" ref="G199:G204" si="47">EUconst_TJpa</f>
        <v>TJ / година</v>
      </c>
      <c r="H199" s="29"/>
      <c r="I199" s="29"/>
      <c r="J199" s="29"/>
      <c r="K199" s="29"/>
      <c r="L199" s="29"/>
      <c r="M199" s="29"/>
      <c r="N199" s="29"/>
      <c r="O199" s="336"/>
      <c r="P199" s="181"/>
      <c r="Q199" s="343"/>
      <c r="R199" s="343"/>
      <c r="S199" s="343"/>
      <c r="T199" s="747" t="b">
        <f>T163</f>
        <v>0</v>
      </c>
      <c r="U199" s="343"/>
      <c r="V199" s="343"/>
      <c r="W199" s="343"/>
      <c r="X199" s="343"/>
      <c r="Y199" s="343"/>
      <c r="Z199" s="343"/>
      <c r="AA199" s="343"/>
      <c r="AB199" s="343"/>
      <c r="AC199" s="343"/>
      <c r="AD199" s="732" t="s">
        <v>2039</v>
      </c>
      <c r="AE199" s="875" t="str">
        <f>IF(AND(CNTR_HasEntries_A_I,E199&lt;&gt;"",COUNTIFS($V$20:$AB$20,FALSE,H199:N199,"")&gt;0),2,"")</f>
        <v/>
      </c>
    </row>
    <row r="200" spans="1:31" x14ac:dyDescent="0.25">
      <c r="A200" s="343"/>
      <c r="B200" s="698"/>
      <c r="C200" s="1084"/>
      <c r="D200" s="1084" t="s">
        <v>7</v>
      </c>
      <c r="E200" s="2734"/>
      <c r="F200" s="2735"/>
      <c r="G200" s="990" t="str">
        <f t="shared" si="47"/>
        <v>TJ / година</v>
      </c>
      <c r="H200" s="32"/>
      <c r="I200" s="32"/>
      <c r="J200" s="32"/>
      <c r="K200" s="32"/>
      <c r="L200" s="32"/>
      <c r="M200" s="32"/>
      <c r="N200" s="32"/>
      <c r="O200" s="336"/>
      <c r="P200" s="181"/>
      <c r="Q200" s="343"/>
      <c r="R200" s="343"/>
      <c r="S200" s="343"/>
      <c r="T200" s="747" t="b">
        <f>T199</f>
        <v>0</v>
      </c>
      <c r="U200" s="343"/>
      <c r="V200" s="343"/>
      <c r="W200" s="343"/>
      <c r="X200" s="343"/>
      <c r="Y200" s="343"/>
      <c r="Z200" s="343"/>
      <c r="AA200" s="343"/>
      <c r="AB200" s="343"/>
      <c r="AC200" s="343"/>
      <c r="AD200" s="732" t="s">
        <v>2039</v>
      </c>
      <c r="AE200" s="875" t="str">
        <f>IF(AND(CNTR_HasEntries_A_I,E200&lt;&gt;"",COUNTIFS($V$20:$AB$20,FALSE,H200:N200,"")&gt;0),2,"")</f>
        <v/>
      </c>
    </row>
    <row r="201" spans="1:31" x14ac:dyDescent="0.25">
      <c r="A201" s="343"/>
      <c r="B201" s="698"/>
      <c r="C201" s="1084"/>
      <c r="D201" s="1084" t="s">
        <v>8</v>
      </c>
      <c r="E201" s="2734"/>
      <c r="F201" s="2735"/>
      <c r="G201" s="990" t="str">
        <f t="shared" si="47"/>
        <v>TJ / година</v>
      </c>
      <c r="H201" s="32"/>
      <c r="I201" s="32"/>
      <c r="J201" s="32"/>
      <c r="K201" s="32"/>
      <c r="L201" s="32"/>
      <c r="M201" s="32"/>
      <c r="N201" s="32"/>
      <c r="O201" s="336"/>
      <c r="P201" s="181"/>
      <c r="Q201" s="343"/>
      <c r="R201" s="343"/>
      <c r="S201" s="343"/>
      <c r="T201" s="747" t="b">
        <f>T200</f>
        <v>0</v>
      </c>
      <c r="U201" s="343"/>
      <c r="V201" s="343"/>
      <c r="W201" s="343"/>
      <c r="X201" s="343"/>
      <c r="Y201" s="343"/>
      <c r="Z201" s="343"/>
      <c r="AA201" s="343"/>
      <c r="AB201" s="343"/>
      <c r="AC201" s="343"/>
      <c r="AD201" s="732" t="s">
        <v>2039</v>
      </c>
      <c r="AE201" s="875" t="str">
        <f>IF(AND(CNTR_HasEntries_A_I,E201&lt;&gt;"",COUNTIFS($V$20:$AB$20,FALSE,H201:N201,"")&gt;0),2,"")</f>
        <v/>
      </c>
    </row>
    <row r="202" spans="1:31" x14ac:dyDescent="0.25">
      <c r="A202" s="343"/>
      <c r="B202" s="698"/>
      <c r="C202" s="1084"/>
      <c r="D202" s="1084" t="s">
        <v>18</v>
      </c>
      <c r="E202" s="2734"/>
      <c r="F202" s="2735"/>
      <c r="G202" s="990" t="str">
        <f t="shared" si="47"/>
        <v>TJ / година</v>
      </c>
      <c r="H202" s="32"/>
      <c r="I202" s="32"/>
      <c r="J202" s="32"/>
      <c r="K202" s="32"/>
      <c r="L202" s="32"/>
      <c r="M202" s="32"/>
      <c r="N202" s="32"/>
      <c r="O202" s="336"/>
      <c r="P202" s="181"/>
      <c r="Q202" s="343"/>
      <c r="R202" s="343"/>
      <c r="S202" s="343"/>
      <c r="T202" s="747" t="b">
        <f>T201</f>
        <v>0</v>
      </c>
      <c r="U202" s="343"/>
      <c r="V202" s="343"/>
      <c r="W202" s="343"/>
      <c r="X202" s="343"/>
      <c r="Y202" s="343"/>
      <c r="Z202" s="343"/>
      <c r="AA202" s="343"/>
      <c r="AB202" s="343"/>
      <c r="AC202" s="343"/>
      <c r="AD202" s="732" t="s">
        <v>2039</v>
      </c>
      <c r="AE202" s="875" t="str">
        <f>IF(AND(CNTR_HasEntries_A_I,E202&lt;&gt;"",COUNTIFS($V$20:$AB$20,FALSE,H202:N202,"")&gt;0),2,"")</f>
        <v/>
      </c>
    </row>
    <row r="203" spans="1:31" x14ac:dyDescent="0.25">
      <c r="A203" s="343"/>
      <c r="B203" s="698"/>
      <c r="C203" s="1084"/>
      <c r="D203" s="1084" t="s">
        <v>810</v>
      </c>
      <c r="E203" s="2736"/>
      <c r="F203" s="2737"/>
      <c r="G203" s="994" t="str">
        <f t="shared" si="47"/>
        <v>TJ / година</v>
      </c>
      <c r="H203" s="30"/>
      <c r="I203" s="30"/>
      <c r="J203" s="30"/>
      <c r="K203" s="30"/>
      <c r="L203" s="30"/>
      <c r="M203" s="30"/>
      <c r="N203" s="30"/>
      <c r="O203" s="336"/>
      <c r="P203" s="181"/>
      <c r="Q203" s="343"/>
      <c r="R203" s="343"/>
      <c r="S203" s="343"/>
      <c r="T203" s="747" t="b">
        <f>T202</f>
        <v>0</v>
      </c>
      <c r="U203" s="343"/>
      <c r="V203" s="343"/>
      <c r="W203" s="343"/>
      <c r="X203" s="343"/>
      <c r="Y203" s="343"/>
      <c r="Z203" s="343"/>
      <c r="AA203" s="343"/>
      <c r="AB203" s="343"/>
      <c r="AC203" s="343"/>
      <c r="AD203" s="732" t="s">
        <v>2039</v>
      </c>
      <c r="AE203" s="875" t="str">
        <f>IF(AND(CNTR_HasEntries_A_I,E203&lt;&gt;"",COUNTIFS($V$20:$AB$20,FALSE,H203:N203,"")&gt;0),2,"")</f>
        <v/>
      </c>
    </row>
    <row r="204" spans="1:31" ht="12.65" customHeight="1" x14ac:dyDescent="0.25">
      <c r="A204" s="343"/>
      <c r="B204" s="698"/>
      <c r="C204" s="1084"/>
      <c r="D204" s="1084" t="s">
        <v>811</v>
      </c>
      <c r="E204" s="2738" t="str">
        <f>Translations!$B$383</f>
        <v>Общо топлинна енергия, подадена към инсталации по СТЕ</v>
      </c>
      <c r="F204" s="2739"/>
      <c r="G204" s="1101" t="str">
        <f t="shared" si="47"/>
        <v>TJ / година</v>
      </c>
      <c r="H204" s="1102" t="str">
        <f t="shared" ref="H204:N204" si="48">IF(COUNT(H199:H203)&gt;0,SUM(H199:H203),"")</f>
        <v/>
      </c>
      <c r="I204" s="1102" t="str">
        <f t="shared" si="48"/>
        <v/>
      </c>
      <c r="J204" s="1102" t="str">
        <f t="shared" si="48"/>
        <v/>
      </c>
      <c r="K204" s="1102" t="str">
        <f t="shared" si="48"/>
        <v/>
      </c>
      <c r="L204" s="1102" t="str">
        <f t="shared" si="48"/>
        <v/>
      </c>
      <c r="M204" s="1102" t="str">
        <f t="shared" si="48"/>
        <v/>
      </c>
      <c r="N204" s="1102" t="str">
        <f t="shared" si="48"/>
        <v/>
      </c>
      <c r="O204" s="336"/>
      <c r="P204" s="302"/>
      <c r="Q204" s="343"/>
      <c r="R204" s="343"/>
      <c r="S204" s="343"/>
      <c r="T204" s="1089"/>
      <c r="U204" s="343"/>
      <c r="V204" s="343"/>
      <c r="W204" s="343"/>
      <c r="X204" s="343"/>
      <c r="Y204" s="343"/>
      <c r="Z204" s="343"/>
      <c r="AA204" s="343"/>
      <c r="AB204" s="343"/>
      <c r="AC204" s="343"/>
      <c r="AD204" s="343"/>
      <c r="AE204" s="343"/>
    </row>
    <row r="205" spans="1:31" x14ac:dyDescent="0.25">
      <c r="A205" s="343"/>
      <c r="B205" s="698"/>
      <c r="C205" s="698"/>
      <c r="D205" s="698"/>
      <c r="E205" s="698"/>
      <c r="F205" s="698"/>
      <c r="G205" s="698"/>
      <c r="H205" s="698"/>
      <c r="I205" s="698"/>
      <c r="J205" s="698"/>
      <c r="K205" s="698"/>
      <c r="L205" s="698"/>
      <c r="M205" s="698"/>
      <c r="N205" s="698"/>
      <c r="O205" s="336"/>
      <c r="P205" s="302"/>
      <c r="Q205" s="343"/>
      <c r="R205" s="343"/>
      <c r="S205" s="343"/>
      <c r="T205" s="1089"/>
      <c r="U205" s="343"/>
      <c r="V205" s="343"/>
      <c r="W205" s="343"/>
      <c r="X205" s="343"/>
      <c r="Y205" s="343"/>
      <c r="Z205" s="343"/>
      <c r="AA205" s="343"/>
      <c r="AB205" s="343"/>
      <c r="AC205" s="343"/>
      <c r="AD205" s="343"/>
      <c r="AE205" s="343"/>
    </row>
    <row r="206" spans="1:31" ht="14.15" customHeight="1" x14ac:dyDescent="0.3">
      <c r="A206" s="343"/>
      <c r="B206" s="284"/>
      <c r="C206" s="590"/>
      <c r="D206" s="590"/>
      <c r="E206" s="2773" t="str">
        <f>Translations!$B$384</f>
        <v>Подинсталации с топлинен показател и подинсталации на топлофикационна мрежа:</v>
      </c>
      <c r="F206" s="2725"/>
      <c r="G206" s="2725"/>
      <c r="H206" s="2725"/>
      <c r="I206" s="2725"/>
      <c r="J206" s="2725"/>
      <c r="K206" s="2725"/>
      <c r="L206" s="2725"/>
      <c r="M206" s="2725"/>
      <c r="N206" s="2725"/>
      <c r="O206" s="336"/>
      <c r="P206" s="302"/>
      <c r="Q206" s="695"/>
      <c r="R206" s="343"/>
      <c r="S206" s="343"/>
      <c r="T206" s="1089"/>
      <c r="U206" s="343"/>
      <c r="V206" s="343"/>
      <c r="W206" s="343"/>
      <c r="X206" s="343"/>
      <c r="Y206" s="343"/>
      <c r="Z206" s="343"/>
      <c r="AA206" s="343"/>
      <c r="AB206" s="343"/>
      <c r="AC206" s="343"/>
      <c r="AD206" s="343"/>
      <c r="AE206" s="343"/>
    </row>
    <row r="207" spans="1:31" ht="5.15" customHeight="1" x14ac:dyDescent="0.25">
      <c r="A207" s="343"/>
      <c r="B207" s="284"/>
      <c r="C207" s="284"/>
      <c r="D207" s="284"/>
      <c r="E207" s="284"/>
      <c r="F207" s="284"/>
      <c r="G207" s="284"/>
      <c r="H207" s="284"/>
      <c r="I207" s="284"/>
      <c r="J207" s="284"/>
      <c r="K207" s="284"/>
      <c r="L207" s="284"/>
      <c r="M207" s="284"/>
      <c r="N207" s="284"/>
      <c r="O207" s="336"/>
      <c r="P207" s="302"/>
      <c r="Q207" s="695"/>
      <c r="R207" s="343"/>
      <c r="S207" s="343"/>
      <c r="T207" s="1089"/>
      <c r="U207" s="343"/>
      <c r="V207" s="343"/>
      <c r="W207" s="343"/>
      <c r="X207" s="343"/>
      <c r="Y207" s="343"/>
      <c r="Z207" s="343"/>
      <c r="AA207" s="343"/>
      <c r="AB207" s="343"/>
      <c r="AC207" s="343"/>
      <c r="AD207" s="343"/>
      <c r="AE207" s="343"/>
    </row>
    <row r="208" spans="1:31" ht="13" customHeight="1" x14ac:dyDescent="0.25">
      <c r="A208" s="343"/>
      <c r="B208" s="284"/>
      <c r="C208" s="300"/>
      <c r="D208" s="300" t="s">
        <v>489</v>
      </c>
      <c r="E208" s="2724" t="str">
        <f>Translations!$B$385</f>
        <v>Междинен сбор: оставащо общо количество измерима топлинна енергия, която потенциално е от подинсталации с топлинен показател (=e-g-h-i):</v>
      </c>
      <c r="F208" s="2725"/>
      <c r="G208" s="2725"/>
      <c r="H208" s="2725"/>
      <c r="I208" s="2725"/>
      <c r="J208" s="2725"/>
      <c r="K208" s="2725"/>
      <c r="L208" s="2725"/>
      <c r="M208" s="2725"/>
      <c r="N208" s="2725"/>
      <c r="O208" s="336"/>
      <c r="P208" s="302"/>
      <c r="Q208" s="695"/>
      <c r="R208" s="343"/>
      <c r="S208" s="343"/>
      <c r="T208" s="1089"/>
      <c r="U208" s="343"/>
      <c r="V208" s="343"/>
      <c r="W208" s="343"/>
      <c r="X208" s="343"/>
      <c r="Y208" s="343"/>
      <c r="Z208" s="343"/>
      <c r="AA208" s="343"/>
      <c r="AB208" s="343"/>
      <c r="AC208" s="343"/>
      <c r="AD208" s="343"/>
      <c r="AE208" s="343"/>
    </row>
    <row r="209" spans="1:31" ht="5.15" customHeight="1" x14ac:dyDescent="0.25">
      <c r="A209" s="343"/>
      <c r="B209" s="284"/>
      <c r="C209" s="284"/>
      <c r="D209" s="284"/>
      <c r="E209" s="284"/>
      <c r="F209" s="284"/>
      <c r="G209" s="284"/>
      <c r="H209" s="284"/>
      <c r="I209" s="284"/>
      <c r="J209" s="284"/>
      <c r="K209" s="284"/>
      <c r="L209" s="284"/>
      <c r="M209" s="284"/>
      <c r="N209" s="284"/>
      <c r="O209" s="336"/>
      <c r="P209" s="302"/>
      <c r="Q209" s="695"/>
      <c r="R209" s="343"/>
      <c r="S209" s="343"/>
      <c r="T209" s="1089"/>
      <c r="U209" s="343"/>
      <c r="V209" s="343"/>
      <c r="W209" s="343"/>
      <c r="X209" s="343"/>
      <c r="Y209" s="343"/>
      <c r="Z209" s="343"/>
      <c r="AA209" s="343"/>
      <c r="AB209" s="343"/>
      <c r="AC209" s="343"/>
      <c r="AD209" s="343"/>
      <c r="AE209" s="343"/>
    </row>
    <row r="210" spans="1:31" ht="13" x14ac:dyDescent="0.25">
      <c r="A210" s="343"/>
      <c r="B210" s="698"/>
      <c r="C210" s="698"/>
      <c r="D210" s="698"/>
      <c r="E210" s="461"/>
      <c r="F210" s="742"/>
      <c r="G210" s="527" t="str">
        <f>EUconst_Unit</f>
        <v>Единица мярка</v>
      </c>
      <c r="H210" s="391">
        <f t="shared" ref="H210:N210" si="49">H$428</f>
        <v>2024</v>
      </c>
      <c r="I210" s="391">
        <f t="shared" si="49"/>
        <v>2025</v>
      </c>
      <c r="J210" s="391">
        <f t="shared" si="49"/>
        <v>2026</v>
      </c>
      <c r="K210" s="391">
        <f t="shared" si="49"/>
        <v>2027</v>
      </c>
      <c r="L210" s="391">
        <f t="shared" si="49"/>
        <v>2028</v>
      </c>
      <c r="M210" s="391">
        <f t="shared" si="49"/>
        <v>2029</v>
      </c>
      <c r="N210" s="391">
        <f t="shared" si="49"/>
        <v>2030</v>
      </c>
      <c r="O210" s="336"/>
      <c r="P210" s="302"/>
      <c r="Q210" s="343"/>
      <c r="R210" s="343"/>
      <c r="S210" s="343"/>
      <c r="T210" s="1089"/>
      <c r="U210" s="343"/>
      <c r="V210" s="343"/>
      <c r="W210" s="343"/>
      <c r="X210" s="343"/>
      <c r="Y210" s="343"/>
      <c r="Z210" s="343"/>
      <c r="AA210" s="343"/>
      <c r="AB210" s="343"/>
      <c r="AC210" s="343"/>
      <c r="AD210" s="343"/>
      <c r="AE210" s="343"/>
    </row>
    <row r="211" spans="1:31" x14ac:dyDescent="0.25">
      <c r="A211" s="343"/>
      <c r="B211" s="698"/>
      <c r="C211" s="1084"/>
      <c r="D211" s="1084" t="s">
        <v>6</v>
      </c>
      <c r="E211" s="2740" t="str">
        <f>Translations!$B$386</f>
        <v>Междинен сбор:</v>
      </c>
      <c r="F211" s="2739"/>
      <c r="G211" s="1038" t="str">
        <f>EUconst_TJpa</f>
        <v>TJ / година</v>
      </c>
      <c r="H211" s="1024" t="str">
        <f t="shared" ref="H211:N211" si="50">IF(COUNT(H144,H161,H179,H204)&gt;0,SUM(H144)-SUM(H161)-SUM(H179)-SUM(H204),"")</f>
        <v/>
      </c>
      <c r="I211" s="1024" t="str">
        <f t="shared" si="50"/>
        <v/>
      </c>
      <c r="J211" s="1024" t="str">
        <f t="shared" si="50"/>
        <v/>
      </c>
      <c r="K211" s="1024" t="str">
        <f t="shared" si="50"/>
        <v/>
      </c>
      <c r="L211" s="1024" t="str">
        <f t="shared" si="50"/>
        <v/>
      </c>
      <c r="M211" s="1024" t="str">
        <f t="shared" si="50"/>
        <v/>
      </c>
      <c r="N211" s="1024" t="str">
        <f t="shared" si="50"/>
        <v/>
      </c>
      <c r="O211" s="336"/>
      <c r="P211" s="302"/>
      <c r="Q211" s="343"/>
      <c r="R211" s="343"/>
      <c r="S211" s="343"/>
      <c r="T211" s="1089"/>
      <c r="U211" s="343"/>
      <c r="V211" s="343"/>
      <c r="W211" s="343"/>
      <c r="X211" s="343"/>
      <c r="Y211" s="343"/>
      <c r="Z211" s="343"/>
      <c r="AA211" s="343"/>
      <c r="AB211" s="343"/>
      <c r="AC211" s="343"/>
      <c r="AD211" s="343"/>
      <c r="AE211" s="343"/>
    </row>
    <row r="212" spans="1:31" ht="5.15" customHeight="1" x14ac:dyDescent="0.25">
      <c r="A212" s="343"/>
      <c r="B212" s="284"/>
      <c r="C212" s="284"/>
      <c r="D212" s="284"/>
      <c r="E212" s="284"/>
      <c r="F212" s="284"/>
      <c r="G212" s="284"/>
      <c r="H212" s="284"/>
      <c r="I212" s="284"/>
      <c r="J212" s="284"/>
      <c r="K212" s="284"/>
      <c r="L212" s="284"/>
      <c r="M212" s="284"/>
      <c r="N212" s="284"/>
      <c r="O212" s="336"/>
      <c r="P212" s="302"/>
      <c r="Q212" s="695"/>
      <c r="R212" s="343"/>
      <c r="S212" s="343"/>
      <c r="T212" s="1089"/>
      <c r="U212" s="343"/>
      <c r="V212" s="343"/>
      <c r="W212" s="343"/>
      <c r="X212" s="343"/>
      <c r="Y212" s="343"/>
      <c r="Z212" s="343"/>
      <c r="AA212" s="343"/>
      <c r="AB212" s="343"/>
      <c r="AC212" s="343"/>
      <c r="AD212" s="343"/>
      <c r="AE212" s="343"/>
    </row>
    <row r="213" spans="1:31" ht="12.65" customHeight="1" x14ac:dyDescent="0.25">
      <c r="A213" s="343"/>
      <c r="B213" s="284"/>
      <c r="C213" s="302"/>
      <c r="D213" s="302"/>
      <c r="E213" s="2733" t="str">
        <f>Translations!$B$387</f>
        <v>Тази сума може да се раздели на топлинна енергия, която отговаря на условията, и такава, която не отговаря (съгласно нейния произход, вж. въведението към този раздел по-горе)</v>
      </c>
      <c r="F213" s="2725"/>
      <c r="G213" s="2725"/>
      <c r="H213" s="2725"/>
      <c r="I213" s="2725"/>
      <c r="J213" s="2725"/>
      <c r="K213" s="2725"/>
      <c r="L213" s="2725"/>
      <c r="M213" s="2725"/>
      <c r="N213" s="2725"/>
      <c r="O213" s="336"/>
      <c r="P213" s="302"/>
      <c r="Q213" s="695"/>
      <c r="R213" s="343"/>
      <c r="S213" s="343"/>
      <c r="T213" s="1089"/>
      <c r="U213" s="343"/>
      <c r="V213" s="343"/>
      <c r="W213" s="343"/>
      <c r="X213" s="343"/>
      <c r="Y213" s="343"/>
      <c r="Z213" s="343"/>
      <c r="AA213" s="343"/>
      <c r="AB213" s="343"/>
      <c r="AC213" s="343"/>
      <c r="AD213" s="343"/>
      <c r="AE213" s="343"/>
    </row>
    <row r="214" spans="1:31" ht="12.65" customHeight="1" x14ac:dyDescent="0.25">
      <c r="A214" s="343"/>
      <c r="B214" s="284"/>
      <c r="C214" s="302"/>
      <c r="D214" s="302"/>
      <c r="E214" s="2749" t="str">
        <f>Translations!$B$388</f>
        <v>След това коефициентът, определен съгласно буква e), се коригира, като се отчита останалото количество топлинна енергия, която отговаря на условията, и такава, която не отговаря. Този коефициент се използва за буква m).</v>
      </c>
      <c r="F214" s="2743"/>
      <c r="G214" s="2743"/>
      <c r="H214" s="2743"/>
      <c r="I214" s="2743"/>
      <c r="J214" s="2743"/>
      <c r="K214" s="2743"/>
      <c r="L214" s="2743"/>
      <c r="M214" s="2743"/>
      <c r="N214" s="2743"/>
      <c r="O214" s="336"/>
      <c r="P214" s="302"/>
      <c r="Q214" s="695"/>
      <c r="R214" s="343"/>
      <c r="S214" s="343"/>
      <c r="T214" s="1089"/>
      <c r="U214" s="343"/>
      <c r="V214" s="343"/>
      <c r="W214" s="343"/>
      <c r="X214" s="343"/>
      <c r="Y214" s="343"/>
      <c r="Z214" s="343"/>
      <c r="AA214" s="343"/>
      <c r="AB214" s="343"/>
      <c r="AC214" s="343"/>
      <c r="AD214" s="343"/>
      <c r="AE214" s="343"/>
    </row>
    <row r="215" spans="1:31" ht="12.65" customHeight="1" x14ac:dyDescent="0.25">
      <c r="A215" s="343"/>
      <c r="B215" s="698"/>
      <c r="C215" s="1084"/>
      <c r="D215" s="1084" t="s">
        <v>7</v>
      </c>
      <c r="E215" s="2741" t="str">
        <f>Translations!$B$389</f>
        <v>отговаря на условията поради своя произход:</v>
      </c>
      <c r="F215" s="2729"/>
      <c r="G215" s="981" t="str">
        <f>EUconst_TJpa</f>
        <v>TJ / година</v>
      </c>
      <c r="H215" s="1103" t="str">
        <f t="shared" ref="H215:N216" si="51">IF(ISNUMBER(H$211),H470,"")</f>
        <v/>
      </c>
      <c r="I215" s="1103" t="str">
        <f t="shared" si="51"/>
        <v/>
      </c>
      <c r="J215" s="1103" t="str">
        <f t="shared" si="51"/>
        <v/>
      </c>
      <c r="K215" s="1103" t="str">
        <f t="shared" si="51"/>
        <v/>
      </c>
      <c r="L215" s="1103" t="str">
        <f t="shared" si="51"/>
        <v/>
      </c>
      <c r="M215" s="1103" t="str">
        <f t="shared" si="51"/>
        <v/>
      </c>
      <c r="N215" s="1103" t="str">
        <f t="shared" si="51"/>
        <v/>
      </c>
      <c r="O215" s="336"/>
      <c r="P215" s="302"/>
      <c r="Q215" s="343"/>
      <c r="R215" s="343"/>
      <c r="S215" s="343"/>
      <c r="T215" s="1089"/>
      <c r="U215" s="343"/>
      <c r="V215" s="343"/>
      <c r="W215" s="343"/>
      <c r="X215" s="343"/>
      <c r="Y215" s="343"/>
      <c r="Z215" s="343"/>
      <c r="AA215" s="343"/>
      <c r="AB215" s="343"/>
      <c r="AC215" s="343"/>
      <c r="AD215" s="343"/>
      <c r="AE215" s="343"/>
    </row>
    <row r="216" spans="1:31" ht="12.65" customHeight="1" x14ac:dyDescent="0.25">
      <c r="A216" s="343"/>
      <c r="B216" s="698"/>
      <c r="C216" s="1084"/>
      <c r="D216" s="1084" t="s">
        <v>8</v>
      </c>
      <c r="E216" s="2777" t="str">
        <f>Translations!$B$390</f>
        <v>не отговаря на условията поради своя произход:</v>
      </c>
      <c r="F216" s="2732"/>
      <c r="G216" s="994" t="str">
        <f>EUconst_TJpa</f>
        <v>TJ / година</v>
      </c>
      <c r="H216" s="1104" t="str">
        <f t="shared" si="51"/>
        <v/>
      </c>
      <c r="I216" s="1104" t="str">
        <f t="shared" si="51"/>
        <v/>
      </c>
      <c r="J216" s="1104" t="str">
        <f t="shared" si="51"/>
        <v/>
      </c>
      <c r="K216" s="1104" t="str">
        <f t="shared" si="51"/>
        <v/>
      </c>
      <c r="L216" s="1104" t="str">
        <f t="shared" si="51"/>
        <v/>
      </c>
      <c r="M216" s="1104" t="str">
        <f t="shared" si="51"/>
        <v/>
      </c>
      <c r="N216" s="1104" t="str">
        <f t="shared" si="51"/>
        <v/>
      </c>
      <c r="O216" s="336"/>
      <c r="P216" s="302"/>
      <c r="Q216" s="343"/>
      <c r="R216" s="343"/>
      <c r="S216" s="343"/>
      <c r="T216" s="1089"/>
      <c r="U216" s="343"/>
      <c r="V216" s="343"/>
      <c r="W216" s="343"/>
      <c r="X216" s="343"/>
      <c r="Y216" s="343"/>
      <c r="Z216" s="343"/>
      <c r="AA216" s="343"/>
      <c r="AB216" s="343"/>
      <c r="AC216" s="343"/>
      <c r="AD216" s="343"/>
      <c r="AE216" s="343"/>
    </row>
    <row r="217" spans="1:31" x14ac:dyDescent="0.25">
      <c r="A217" s="343"/>
      <c r="B217" s="698"/>
      <c r="C217" s="698"/>
      <c r="D217" s="698"/>
      <c r="E217" s="698"/>
      <c r="F217" s="698"/>
      <c r="G217" s="698"/>
      <c r="H217" s="698"/>
      <c r="I217" s="698"/>
      <c r="J217" s="698"/>
      <c r="K217" s="698"/>
      <c r="L217" s="698"/>
      <c r="M217" s="698"/>
      <c r="N217" s="698"/>
      <c r="O217" s="336"/>
      <c r="P217" s="302"/>
      <c r="Q217" s="343"/>
      <c r="R217" s="343"/>
      <c r="S217" s="343"/>
      <c r="T217" s="1089"/>
      <c r="U217" s="343"/>
      <c r="V217" s="343"/>
      <c r="W217" s="343"/>
      <c r="X217" s="343"/>
      <c r="Y217" s="343"/>
      <c r="Z217" s="343"/>
      <c r="AA217" s="343"/>
      <c r="AB217" s="343"/>
      <c r="AC217" s="343"/>
      <c r="AD217" s="343"/>
      <c r="AE217" s="343"/>
    </row>
    <row r="218" spans="1:31" ht="13" customHeight="1" x14ac:dyDescent="0.25">
      <c r="A218" s="343"/>
      <c r="B218" s="284"/>
      <c r="C218" s="300"/>
      <c r="D218" s="300" t="s">
        <v>490</v>
      </c>
      <c r="E218" s="2742" t="str">
        <f>Translations!$B$391</f>
        <v>Съотношение за допустимост за останалата топлинна енергия, изчислена съгласно буква j):</v>
      </c>
      <c r="F218" s="2743"/>
      <c r="G218" s="2743"/>
      <c r="H218" s="2743"/>
      <c r="I218" s="2743"/>
      <c r="J218" s="2743"/>
      <c r="K218" s="2743"/>
      <c r="L218" s="2743"/>
      <c r="M218" s="2743"/>
      <c r="N218" s="2743"/>
      <c r="O218" s="336"/>
      <c r="P218" s="302"/>
      <c r="Q218" s="695"/>
      <c r="R218" s="343"/>
      <c r="S218" s="343"/>
      <c r="T218" s="1089"/>
      <c r="U218" s="343"/>
      <c r="V218" s="343"/>
      <c r="W218" s="343"/>
      <c r="X218" s="343"/>
      <c r="Y218" s="343"/>
      <c r="Z218" s="343"/>
      <c r="AA218" s="343"/>
      <c r="AB218" s="343"/>
      <c r="AC218" s="343"/>
      <c r="AD218" s="343"/>
      <c r="AE218" s="343"/>
    </row>
    <row r="219" spans="1:31" ht="13" customHeight="1" x14ac:dyDescent="0.25">
      <c r="A219" s="343"/>
      <c r="B219" s="698"/>
      <c r="C219" s="1084"/>
      <c r="D219" s="1084"/>
      <c r="E219" s="2746" t="str">
        <f>Translations!$B$392</f>
        <v>коригирано съотношение за допустимост (=(j).ii / (j).i):</v>
      </c>
      <c r="F219" s="2739"/>
      <c r="G219" s="492" t="s">
        <v>1053</v>
      </c>
      <c r="H219" s="553" t="str">
        <f t="shared" ref="H219:N219" si="52">IF(AND(ISNUMBER(H211),SUM(H215:H216)&lt;&gt;0),H215/SUM(H215:H216)*100,"")</f>
        <v/>
      </c>
      <c r="I219" s="553" t="str">
        <f t="shared" si="52"/>
        <v/>
      </c>
      <c r="J219" s="553" t="str">
        <f t="shared" si="52"/>
        <v/>
      </c>
      <c r="K219" s="553" t="str">
        <f t="shared" si="52"/>
        <v/>
      </c>
      <c r="L219" s="553" t="str">
        <f t="shared" si="52"/>
        <v/>
      </c>
      <c r="M219" s="553" t="str">
        <f t="shared" si="52"/>
        <v/>
      </c>
      <c r="N219" s="553" t="str">
        <f t="shared" si="52"/>
        <v/>
      </c>
      <c r="O219" s="336"/>
      <c r="P219" s="302"/>
      <c r="Q219" s="343"/>
      <c r="R219" s="343"/>
      <c r="S219" s="343"/>
      <c r="T219" s="1089"/>
      <c r="U219" s="343"/>
      <c r="V219" s="343"/>
      <c r="W219" s="343"/>
      <c r="X219" s="343"/>
      <c r="Y219" s="343"/>
      <c r="Z219" s="343"/>
      <c r="AA219" s="343"/>
      <c r="AB219" s="343"/>
      <c r="AC219" s="343"/>
      <c r="AD219" s="343"/>
      <c r="AE219" s="343"/>
    </row>
    <row r="220" spans="1:31" ht="5.15" customHeight="1" x14ac:dyDescent="0.25">
      <c r="A220" s="343"/>
      <c r="B220" s="284"/>
      <c r="C220" s="284"/>
      <c r="D220" s="284"/>
      <c r="E220" s="284"/>
      <c r="F220" s="284"/>
      <c r="G220" s="284"/>
      <c r="H220" s="284"/>
      <c r="I220" s="284"/>
      <c r="J220" s="284"/>
      <c r="K220" s="284"/>
      <c r="L220" s="284"/>
      <c r="M220" s="284"/>
      <c r="N220" s="284"/>
      <c r="O220" s="336"/>
      <c r="P220" s="302"/>
      <c r="Q220" s="695"/>
      <c r="R220" s="343"/>
      <c r="S220" s="343"/>
      <c r="T220" s="1089"/>
      <c r="U220" s="343"/>
      <c r="V220" s="343"/>
      <c r="W220" s="343"/>
      <c r="X220" s="343"/>
      <c r="Y220" s="343"/>
      <c r="Z220" s="343"/>
      <c r="AA220" s="343"/>
      <c r="AB220" s="343"/>
      <c r="AC220" s="343"/>
      <c r="AD220" s="343"/>
      <c r="AE220" s="343"/>
    </row>
    <row r="221" spans="1:31" ht="13" customHeight="1" x14ac:dyDescent="0.25">
      <c r="A221" s="343"/>
      <c r="B221" s="284"/>
      <c r="C221" s="300"/>
      <c r="D221" s="300" t="s">
        <v>492</v>
      </c>
      <c r="E221" s="2724" t="str">
        <f>Translations!$B$393</f>
        <v>Нетно количество измерима топлинна енергия, консумирана в инсталацията и отговаряща на условията съгласно топлинния показател:</v>
      </c>
      <c r="F221" s="2725"/>
      <c r="G221" s="2725"/>
      <c r="H221" s="2725"/>
      <c r="I221" s="2725"/>
      <c r="J221" s="2725"/>
      <c r="K221" s="2725"/>
      <c r="L221" s="2725"/>
      <c r="M221" s="2725"/>
      <c r="N221" s="2725"/>
      <c r="O221" s="336"/>
      <c r="P221" s="302"/>
      <c r="Q221" s="695"/>
      <c r="R221" s="343"/>
      <c r="S221" s="343"/>
      <c r="T221" s="1089"/>
      <c r="U221" s="343"/>
      <c r="V221" s="343"/>
      <c r="W221" s="343"/>
      <c r="X221" s="343"/>
      <c r="Y221" s="343"/>
      <c r="Z221" s="343"/>
      <c r="AA221" s="343"/>
      <c r="AB221" s="343"/>
      <c r="AC221" s="343"/>
      <c r="AD221" s="343"/>
      <c r="AE221" s="343"/>
    </row>
    <row r="222" spans="1:31" ht="12.65" customHeight="1" x14ac:dyDescent="0.25">
      <c r="A222" s="343"/>
      <c r="B222" s="284"/>
      <c r="C222" s="302"/>
      <c r="D222" s="302"/>
      <c r="E222" s="2749" t="str">
        <f>Translations!$B$394</f>
        <v>Това представлява консумация в рамките на инсталацията, без да се включват целите, изброени в букви g) и h).</v>
      </c>
      <c r="F222" s="2743"/>
      <c r="G222" s="2743"/>
      <c r="H222" s="2743"/>
      <c r="I222" s="2743"/>
      <c r="J222" s="2743"/>
      <c r="K222" s="2743"/>
      <c r="L222" s="2743"/>
      <c r="M222" s="2743"/>
      <c r="N222" s="2743"/>
      <c r="O222" s="336"/>
      <c r="P222" s="302"/>
      <c r="Q222" s="695"/>
      <c r="R222" s="343"/>
      <c r="S222" s="343"/>
      <c r="T222" s="1089"/>
      <c r="U222" s="343"/>
      <c r="V222" s="343"/>
      <c r="W222" s="343"/>
      <c r="X222" s="343"/>
      <c r="Y222" s="343"/>
      <c r="Z222" s="343"/>
      <c r="AA222" s="343"/>
      <c r="AB222" s="343"/>
      <c r="AC222" s="343"/>
      <c r="AD222" s="343"/>
      <c r="AE222" s="343"/>
    </row>
    <row r="223" spans="1:31" ht="12.65" customHeight="1" x14ac:dyDescent="0.25">
      <c r="A223" s="343"/>
      <c r="B223" s="698"/>
      <c r="C223" s="698"/>
      <c r="D223" s="698"/>
      <c r="E223" s="2740" t="str">
        <f>Translations!$B$395</f>
        <v>Топлинна енергия, консумирана в рамките на инсталацията</v>
      </c>
      <c r="F223" s="2739"/>
      <c r="G223" s="1038" t="str">
        <f>EUconst_TJpa</f>
        <v>TJ / година</v>
      </c>
      <c r="H223" s="24"/>
      <c r="I223" s="24"/>
      <c r="J223" s="24"/>
      <c r="K223" s="24"/>
      <c r="L223" s="24"/>
      <c r="M223" s="24"/>
      <c r="N223" s="24"/>
      <c r="O223" s="336"/>
      <c r="P223" s="181"/>
      <c r="Q223" s="343"/>
      <c r="R223" s="343"/>
      <c r="S223" s="343"/>
      <c r="T223" s="747" t="b">
        <f>T203</f>
        <v>0</v>
      </c>
      <c r="U223" s="343"/>
      <c r="V223" s="343"/>
      <c r="W223" s="343"/>
      <c r="X223" s="343"/>
      <c r="Y223" s="343"/>
      <c r="Z223" s="343"/>
      <c r="AA223" s="343"/>
      <c r="AB223" s="343"/>
      <c r="AC223" s="343"/>
      <c r="AD223" s="732" t="s">
        <v>2039</v>
      </c>
      <c r="AE223" s="875" t="str">
        <f>IF(AND(CNTR_HasEntries_A_I,COUNTIFS($V$20:$AB$20,FALSE,H223:N223,"")&gt;0,$T$117=FALSE),2,"")</f>
        <v/>
      </c>
    </row>
    <row r="224" spans="1:31" ht="5.15" customHeight="1" x14ac:dyDescent="0.25">
      <c r="A224" s="343"/>
      <c r="B224" s="284"/>
      <c r="C224" s="284"/>
      <c r="D224" s="284"/>
      <c r="E224" s="284"/>
      <c r="F224" s="284"/>
      <c r="G224" s="284"/>
      <c r="H224" s="284"/>
      <c r="I224" s="284"/>
      <c r="J224" s="284"/>
      <c r="K224" s="284"/>
      <c r="L224" s="284"/>
      <c r="M224" s="284"/>
      <c r="N224" s="284"/>
      <c r="O224" s="336"/>
      <c r="P224" s="302"/>
      <c r="Q224" s="695"/>
      <c r="R224" s="343"/>
      <c r="S224" s="343"/>
      <c r="T224" s="1089"/>
      <c r="U224" s="343"/>
      <c r="V224" s="343"/>
      <c r="W224" s="343"/>
      <c r="X224" s="343"/>
      <c r="Y224" s="343"/>
      <c r="Z224" s="343"/>
      <c r="AA224" s="343"/>
      <c r="AB224" s="343"/>
      <c r="AC224" s="343"/>
      <c r="AD224" s="343"/>
      <c r="AE224" s="343"/>
    </row>
    <row r="225" spans="1:31" ht="13" customHeight="1" x14ac:dyDescent="0.25">
      <c r="A225" s="343"/>
      <c r="B225" s="698"/>
      <c r="C225" s="300"/>
      <c r="D225" s="300" t="s">
        <v>493</v>
      </c>
      <c r="E225" s="2724" t="str">
        <f>Translations!$B$396</f>
        <v>Топлинна енергия, подадена към инсталации или обекти, необхванати от СТЕ на ЕС (напр. топлофикационни мрежи):</v>
      </c>
      <c r="F225" s="2725"/>
      <c r="G225" s="2725"/>
      <c r="H225" s="2725"/>
      <c r="I225" s="2725"/>
      <c r="J225" s="2725"/>
      <c r="K225" s="2725"/>
      <c r="L225" s="2725"/>
      <c r="M225" s="2725"/>
      <c r="N225" s="2725"/>
      <c r="O225" s="336"/>
      <c r="P225" s="302"/>
      <c r="Q225" s="343"/>
      <c r="R225" s="343"/>
      <c r="S225" s="343"/>
      <c r="T225" s="1089"/>
      <c r="U225" s="343"/>
      <c r="V225" s="343"/>
      <c r="W225" s="343"/>
      <c r="X225" s="343"/>
      <c r="Y225" s="343"/>
      <c r="Z225" s="343"/>
      <c r="AA225" s="343"/>
      <c r="AB225" s="343"/>
      <c r="AC225" s="343"/>
      <c r="AD225" s="343"/>
      <c r="AE225" s="343"/>
    </row>
    <row r="226" spans="1:31" ht="12.65" customHeight="1" x14ac:dyDescent="0.25">
      <c r="A226" s="343"/>
      <c r="B226" s="284"/>
      <c r="C226" s="302"/>
      <c r="D226" s="302"/>
      <c r="E226" s="2733" t="str">
        <f>Translations!$B$351</f>
        <v>Наименованията на инсталациите от падащия списък са взети от раздел A.IV. Затова трябва да се уверите, че там сте въвели пълни данни.</v>
      </c>
      <c r="F226" s="2725"/>
      <c r="G226" s="2725"/>
      <c r="H226" s="2725"/>
      <c r="I226" s="2725"/>
      <c r="J226" s="2725"/>
      <c r="K226" s="2725"/>
      <c r="L226" s="2725"/>
      <c r="M226" s="2725"/>
      <c r="N226" s="2725"/>
      <c r="O226" s="336"/>
      <c r="P226" s="302"/>
      <c r="Q226" s="695"/>
      <c r="R226" s="343"/>
      <c r="S226" s="343"/>
      <c r="T226" s="1089"/>
      <c r="U226" s="343"/>
      <c r="V226" s="343"/>
      <c r="W226" s="343"/>
      <c r="X226" s="343"/>
      <c r="Y226" s="343"/>
      <c r="Z226" s="343"/>
      <c r="AA226" s="343"/>
      <c r="AB226" s="343"/>
      <c r="AC226" s="343"/>
      <c r="AD226" s="343"/>
      <c r="AE226" s="343"/>
    </row>
    <row r="227" spans="1:31" ht="12.65" customHeight="1" x14ac:dyDescent="0.25">
      <c r="A227" s="343"/>
      <c r="B227" s="284"/>
      <c r="C227" s="302"/>
      <c r="D227" s="302"/>
      <c r="E227" s="2733" t="str">
        <f>Translations!$B$1313</f>
        <v>Ако съществуват повече от пет връзки, моля да ги обобщите. Това може да наложи корекции в раздели A.V.b.</v>
      </c>
      <c r="F227" s="2725"/>
      <c r="G227" s="2725"/>
      <c r="H227" s="2725"/>
      <c r="I227" s="2725"/>
      <c r="J227" s="2725"/>
      <c r="K227" s="2725"/>
      <c r="L227" s="2725"/>
      <c r="M227" s="2725"/>
      <c r="N227" s="2725"/>
      <c r="O227" s="336"/>
      <c r="P227" s="302"/>
      <c r="Q227" s="695"/>
      <c r="R227" s="343"/>
      <c r="S227" s="343"/>
      <c r="T227" s="1089"/>
      <c r="U227" s="343"/>
      <c r="V227" s="343"/>
      <c r="W227" s="343"/>
      <c r="X227" s="343"/>
      <c r="Y227" s="343"/>
      <c r="Z227" s="343"/>
      <c r="AA227" s="343"/>
      <c r="AB227" s="343"/>
      <c r="AC227" s="343"/>
      <c r="AD227" s="343"/>
      <c r="AE227" s="343"/>
    </row>
    <row r="228" spans="1:31" ht="13" customHeight="1" x14ac:dyDescent="0.25">
      <c r="A228" s="343"/>
      <c r="B228" s="698"/>
      <c r="C228" s="698"/>
      <c r="D228" s="698"/>
      <c r="E228" s="2742" t="str">
        <f>Translations!$B$397</f>
        <v>Наименование на приемащия обект или инсталация</v>
      </c>
      <c r="F228" s="2743"/>
      <c r="G228" s="527" t="str">
        <f>EUconst_Unit</f>
        <v>Единица мярка</v>
      </c>
      <c r="H228" s="387">
        <f t="shared" ref="H228:N228" si="53">H$428</f>
        <v>2024</v>
      </c>
      <c r="I228" s="387">
        <f t="shared" si="53"/>
        <v>2025</v>
      </c>
      <c r="J228" s="387">
        <f t="shared" si="53"/>
        <v>2026</v>
      </c>
      <c r="K228" s="387">
        <f t="shared" si="53"/>
        <v>2027</v>
      </c>
      <c r="L228" s="387">
        <f t="shared" si="53"/>
        <v>2028</v>
      </c>
      <c r="M228" s="387">
        <f t="shared" si="53"/>
        <v>2029</v>
      </c>
      <c r="N228" s="387">
        <f t="shared" si="53"/>
        <v>2030</v>
      </c>
      <c r="O228" s="336"/>
      <c r="P228" s="302"/>
      <c r="Q228" s="343"/>
      <c r="R228" s="343"/>
      <c r="S228" s="343"/>
      <c r="T228" s="1089"/>
      <c r="U228" s="343"/>
      <c r="V228" s="343"/>
      <c r="W228" s="343"/>
      <c r="X228" s="343"/>
      <c r="Y228" s="343"/>
      <c r="Z228" s="343"/>
      <c r="AA228" s="343"/>
      <c r="AB228" s="343"/>
      <c r="AC228" s="343"/>
      <c r="AD228" s="343"/>
      <c r="AE228" s="343"/>
    </row>
    <row r="229" spans="1:31" x14ac:dyDescent="0.25">
      <c r="A229" s="343"/>
      <c r="B229" s="698"/>
      <c r="C229" s="1084"/>
      <c r="D229" s="1084" t="s">
        <v>6</v>
      </c>
      <c r="E229" s="2747"/>
      <c r="F229" s="2748"/>
      <c r="G229" s="990" t="str">
        <f t="shared" ref="G229:G234" si="54">EUconst_TJpa</f>
        <v>TJ / година</v>
      </c>
      <c r="H229" s="29"/>
      <c r="I229" s="29"/>
      <c r="J229" s="29"/>
      <c r="K229" s="29"/>
      <c r="L229" s="29"/>
      <c r="M229" s="29"/>
      <c r="N229" s="29"/>
      <c r="O229" s="336"/>
      <c r="P229" s="181"/>
      <c r="Q229" s="343"/>
      <c r="R229" s="343"/>
      <c r="S229" s="343"/>
      <c r="T229" s="747" t="b">
        <f>T223</f>
        <v>0</v>
      </c>
      <c r="U229" s="343"/>
      <c r="V229" s="343"/>
      <c r="W229" s="343"/>
      <c r="X229" s="343"/>
      <c r="Y229" s="343"/>
      <c r="Z229" s="343"/>
      <c r="AA229" s="343"/>
      <c r="AB229" s="343"/>
      <c r="AC229" s="343"/>
      <c r="AD229" s="732" t="s">
        <v>2039</v>
      </c>
      <c r="AE229" s="875" t="str">
        <f>IF(AND(CNTR_HasEntries_A_I,E229&lt;&gt;"",COUNTIFS($V$20:$AB$20,FALSE,H229:N229,"")&gt;0),2,"")</f>
        <v/>
      </c>
    </row>
    <row r="230" spans="1:31" x14ac:dyDescent="0.25">
      <c r="A230" s="343"/>
      <c r="B230" s="698"/>
      <c r="C230" s="1084"/>
      <c r="D230" s="1084" t="s">
        <v>7</v>
      </c>
      <c r="E230" s="2734"/>
      <c r="F230" s="2735"/>
      <c r="G230" s="990" t="str">
        <f t="shared" si="54"/>
        <v>TJ / година</v>
      </c>
      <c r="H230" s="32"/>
      <c r="I230" s="32"/>
      <c r="J230" s="32"/>
      <c r="K230" s="32"/>
      <c r="L230" s="32"/>
      <c r="M230" s="32"/>
      <c r="N230" s="32"/>
      <c r="O230" s="336"/>
      <c r="P230" s="181"/>
      <c r="Q230" s="343"/>
      <c r="R230" s="343"/>
      <c r="S230" s="343"/>
      <c r="T230" s="747" t="b">
        <f>T229</f>
        <v>0</v>
      </c>
      <c r="U230" s="343"/>
      <c r="V230" s="343"/>
      <c r="W230" s="343"/>
      <c r="X230" s="343"/>
      <c r="Y230" s="343"/>
      <c r="Z230" s="343"/>
      <c r="AA230" s="343"/>
      <c r="AB230" s="343"/>
      <c r="AC230" s="343"/>
      <c r="AD230" s="732" t="s">
        <v>2039</v>
      </c>
      <c r="AE230" s="875" t="str">
        <f>IF(AND(CNTR_HasEntries_A_I,E230&lt;&gt;"",COUNTIFS($V$20:$AB$20,FALSE,H230:N230,"")&gt;0),2,"")</f>
        <v/>
      </c>
    </row>
    <row r="231" spans="1:31" x14ac:dyDescent="0.25">
      <c r="A231" s="343"/>
      <c r="B231" s="698"/>
      <c r="C231" s="1084"/>
      <c r="D231" s="1084" t="s">
        <v>8</v>
      </c>
      <c r="E231" s="2734"/>
      <c r="F231" s="2735"/>
      <c r="G231" s="990" t="str">
        <f t="shared" si="54"/>
        <v>TJ / година</v>
      </c>
      <c r="H231" s="32"/>
      <c r="I231" s="32"/>
      <c r="J231" s="32"/>
      <c r="K231" s="32"/>
      <c r="L231" s="32"/>
      <c r="M231" s="32"/>
      <c r="N231" s="32"/>
      <c r="O231" s="336"/>
      <c r="P231" s="181"/>
      <c r="Q231" s="343"/>
      <c r="R231" s="343"/>
      <c r="S231" s="343"/>
      <c r="T231" s="747" t="b">
        <f>T230</f>
        <v>0</v>
      </c>
      <c r="U231" s="343"/>
      <c r="V231" s="343"/>
      <c r="W231" s="343"/>
      <c r="X231" s="343"/>
      <c r="Y231" s="343"/>
      <c r="Z231" s="343"/>
      <c r="AA231" s="343"/>
      <c r="AB231" s="343"/>
      <c r="AC231" s="343"/>
      <c r="AD231" s="732" t="s">
        <v>2039</v>
      </c>
      <c r="AE231" s="875" t="str">
        <f>IF(AND(CNTR_HasEntries_A_I,E231&lt;&gt;"",COUNTIFS($V$20:$AB$20,FALSE,H231:N231,"")&gt;0),2,"")</f>
        <v/>
      </c>
    </row>
    <row r="232" spans="1:31" x14ac:dyDescent="0.25">
      <c r="A232" s="343"/>
      <c r="B232" s="698"/>
      <c r="C232" s="1084"/>
      <c r="D232" s="1084" t="s">
        <v>18</v>
      </c>
      <c r="E232" s="2734"/>
      <c r="F232" s="2735"/>
      <c r="G232" s="990" t="str">
        <f t="shared" si="54"/>
        <v>TJ / година</v>
      </c>
      <c r="H232" s="32"/>
      <c r="I232" s="32"/>
      <c r="J232" s="32"/>
      <c r="K232" s="32"/>
      <c r="L232" s="32"/>
      <c r="M232" s="32"/>
      <c r="N232" s="32"/>
      <c r="O232" s="336"/>
      <c r="P232" s="181"/>
      <c r="Q232" s="343"/>
      <c r="R232" s="343"/>
      <c r="S232" s="343"/>
      <c r="T232" s="747" t="b">
        <f>T231</f>
        <v>0</v>
      </c>
      <c r="U232" s="343"/>
      <c r="V232" s="343"/>
      <c r="W232" s="343"/>
      <c r="X232" s="343"/>
      <c r="Y232" s="343"/>
      <c r="Z232" s="343"/>
      <c r="AA232" s="343"/>
      <c r="AB232" s="343"/>
      <c r="AC232" s="343"/>
      <c r="AD232" s="732" t="s">
        <v>2039</v>
      </c>
      <c r="AE232" s="875" t="str">
        <f>IF(AND(CNTR_HasEntries_A_I,E232&lt;&gt;"",COUNTIFS($V$20:$AB$20,FALSE,H232:N232,"")&gt;0),2,"")</f>
        <v/>
      </c>
    </row>
    <row r="233" spans="1:31" x14ac:dyDescent="0.25">
      <c r="A233" s="343"/>
      <c r="B233" s="698"/>
      <c r="C233" s="1084"/>
      <c r="D233" s="1084" t="s">
        <v>810</v>
      </c>
      <c r="E233" s="2736"/>
      <c r="F233" s="2737"/>
      <c r="G233" s="994" t="str">
        <f t="shared" si="54"/>
        <v>TJ / година</v>
      </c>
      <c r="H233" s="30"/>
      <c r="I233" s="30"/>
      <c r="J233" s="30"/>
      <c r="K233" s="30"/>
      <c r="L233" s="30"/>
      <c r="M233" s="30"/>
      <c r="N233" s="30"/>
      <c r="O233" s="336"/>
      <c r="P233" s="181"/>
      <c r="Q233" s="343"/>
      <c r="R233" s="343"/>
      <c r="S233" s="343"/>
      <c r="T233" s="747" t="b">
        <f>T232</f>
        <v>0</v>
      </c>
      <c r="U233" s="343"/>
      <c r="V233" s="343"/>
      <c r="W233" s="343"/>
      <c r="X233" s="343"/>
      <c r="Y233" s="343"/>
      <c r="Z233" s="343"/>
      <c r="AA233" s="343"/>
      <c r="AB233" s="343"/>
      <c r="AC233" s="343"/>
      <c r="AD233" s="732" t="s">
        <v>2039</v>
      </c>
      <c r="AE233" s="875" t="str">
        <f>IF(AND(CNTR_HasEntries_A_I,E233&lt;&gt;"",COUNTIFS($V$20:$AB$20,FALSE,H233:N233,"")&gt;0),2,"")</f>
        <v/>
      </c>
    </row>
    <row r="234" spans="1:31" ht="12.65" customHeight="1" x14ac:dyDescent="0.25">
      <c r="A234" s="343"/>
      <c r="B234" s="698"/>
      <c r="C234" s="1084"/>
      <c r="D234" s="1084" t="s">
        <v>811</v>
      </c>
      <c r="E234" s="2738" t="str">
        <f>Translations!$B$398</f>
        <v>Общо топлинна енергия, изнесена извън СТЕ:</v>
      </c>
      <c r="F234" s="2739"/>
      <c r="G234" s="1101" t="str">
        <f t="shared" si="54"/>
        <v>TJ / година</v>
      </c>
      <c r="H234" s="1102" t="str">
        <f t="shared" ref="H234:N234" si="55">IF(COUNT(H229:H233)&gt;0,SUM(H229:H233),"")</f>
        <v/>
      </c>
      <c r="I234" s="1102" t="str">
        <f t="shared" si="55"/>
        <v/>
      </c>
      <c r="J234" s="1102" t="str">
        <f t="shared" si="55"/>
        <v/>
      </c>
      <c r="K234" s="1102" t="str">
        <f t="shared" si="55"/>
        <v/>
      </c>
      <c r="L234" s="1102" t="str">
        <f t="shared" si="55"/>
        <v/>
      </c>
      <c r="M234" s="1102" t="str">
        <f t="shared" si="55"/>
        <v/>
      </c>
      <c r="N234" s="1102" t="str">
        <f t="shared" si="55"/>
        <v/>
      </c>
      <c r="O234" s="336"/>
      <c r="P234" s="302"/>
      <c r="Q234" s="343"/>
      <c r="R234" s="343"/>
      <c r="S234" s="343"/>
      <c r="T234" s="1089"/>
      <c r="U234" s="343"/>
      <c r="V234" s="343"/>
      <c r="W234" s="343"/>
      <c r="X234" s="343"/>
      <c r="Y234" s="343"/>
      <c r="Z234" s="343"/>
      <c r="AA234" s="343"/>
      <c r="AB234" s="343"/>
      <c r="AC234" s="343"/>
      <c r="AD234" s="343"/>
      <c r="AE234" s="343"/>
    </row>
    <row r="235" spans="1:31" ht="5.15" customHeight="1" x14ac:dyDescent="0.25">
      <c r="A235" s="343"/>
      <c r="B235" s="284"/>
      <c r="C235" s="284"/>
      <c r="D235" s="284"/>
      <c r="E235" s="284"/>
      <c r="F235" s="284"/>
      <c r="G235" s="284"/>
      <c r="H235" s="284"/>
      <c r="I235" s="284"/>
      <c r="J235" s="284"/>
      <c r="K235" s="284"/>
      <c r="L235" s="284"/>
      <c r="M235" s="284"/>
      <c r="N235" s="284"/>
      <c r="O235" s="336"/>
      <c r="P235" s="302"/>
      <c r="Q235" s="695"/>
      <c r="R235" s="343"/>
      <c r="S235" s="343"/>
      <c r="T235" s="1089"/>
      <c r="U235" s="343"/>
      <c r="V235" s="343"/>
      <c r="W235" s="343"/>
      <c r="X235" s="343"/>
      <c r="Y235" s="343"/>
      <c r="Z235" s="343"/>
      <c r="AA235" s="343"/>
      <c r="AB235" s="343"/>
      <c r="AC235" s="343"/>
      <c r="AD235" s="343"/>
      <c r="AE235" s="343"/>
    </row>
    <row r="236" spans="1:31" ht="13" customHeight="1" x14ac:dyDescent="0.25">
      <c r="A236" s="343"/>
      <c r="B236" s="698"/>
      <c r="C236" s="300"/>
      <c r="D236" s="300" t="s">
        <v>249</v>
      </c>
      <c r="E236" s="2724" t="str">
        <f>Translations!$B$399</f>
        <v>Загуба на топлинна енергия (=j-l-m)</v>
      </c>
      <c r="F236" s="2725"/>
      <c r="G236" s="2725"/>
      <c r="H236" s="2725"/>
      <c r="I236" s="2725"/>
      <c r="J236" s="2725"/>
      <c r="K236" s="2725"/>
      <c r="L236" s="2725"/>
      <c r="M236" s="2725"/>
      <c r="N236" s="2725"/>
      <c r="O236" s="336"/>
      <c r="P236" s="302"/>
      <c r="Q236" s="343"/>
      <c r="R236" s="343"/>
      <c r="S236" s="343"/>
      <c r="T236" s="1089"/>
      <c r="U236" s="343"/>
      <c r="V236" s="343"/>
      <c r="W236" s="343"/>
      <c r="X236" s="343"/>
      <c r="Y236" s="343"/>
      <c r="Z236" s="343"/>
      <c r="AA236" s="343"/>
      <c r="AB236" s="343"/>
      <c r="AC236" s="343"/>
      <c r="AD236" s="343"/>
      <c r="AE236" s="343"/>
    </row>
    <row r="237" spans="1:31" ht="12.65" customHeight="1" x14ac:dyDescent="0.25">
      <c r="A237" s="343"/>
      <c r="B237" s="284"/>
      <c r="C237" s="302"/>
      <c r="D237" s="302"/>
      <c r="E237" s="2733" t="str">
        <f>Translations!$B$400</f>
        <v>С цел пълнота на топлинния баланс в тази таблица се показват изчислените загуби на топлинна енергия (т.е. количеството топлинна енергия, което не е обхванато от букви g, h, k, l и m).</v>
      </c>
      <c r="F237" s="2725"/>
      <c r="G237" s="2725"/>
      <c r="H237" s="2725"/>
      <c r="I237" s="2725"/>
      <c r="J237" s="2725"/>
      <c r="K237" s="2725"/>
      <c r="L237" s="2725"/>
      <c r="M237" s="2725"/>
      <c r="N237" s="2725"/>
      <c r="O237" s="336"/>
      <c r="P237" s="302"/>
      <c r="Q237" s="695"/>
      <c r="R237" s="343"/>
      <c r="S237" s="343"/>
      <c r="T237" s="1089"/>
      <c r="U237" s="343"/>
      <c r="V237" s="343"/>
      <c r="W237" s="343"/>
      <c r="X237" s="343"/>
      <c r="Y237" s="343"/>
      <c r="Z237" s="343"/>
      <c r="AA237" s="343"/>
      <c r="AB237" s="343"/>
      <c r="AC237" s="343"/>
      <c r="AD237" s="343"/>
      <c r="AE237" s="343"/>
    </row>
    <row r="238" spans="1:31" ht="12.65" customHeight="1" x14ac:dyDescent="0.25">
      <c r="A238" s="343"/>
      <c r="B238" s="284"/>
      <c r="C238" s="302"/>
      <c r="D238" s="302"/>
      <c r="E238" s="2733" t="str">
        <f>Translations!$B$401</f>
        <v>Ако се показват отрицателни стойности, това означава, че нивата на консумация на топлинна енергия, въведени по-горе, превишават количеството налична топлинна енергия от производство и получаване.</v>
      </c>
      <c r="F238" s="2725"/>
      <c r="G238" s="2725"/>
      <c r="H238" s="2725"/>
      <c r="I238" s="2725"/>
      <c r="J238" s="2725"/>
      <c r="K238" s="2725"/>
      <c r="L238" s="2725"/>
      <c r="M238" s="2725"/>
      <c r="N238" s="2725"/>
      <c r="O238" s="336"/>
      <c r="P238" s="302"/>
      <c r="Q238" s="695"/>
      <c r="R238" s="343"/>
      <c r="S238" s="343"/>
      <c r="T238" s="1089"/>
      <c r="U238" s="343"/>
      <c r="V238" s="343"/>
      <c r="W238" s="343"/>
      <c r="X238" s="343"/>
      <c r="Y238" s="343"/>
      <c r="Z238" s="343"/>
      <c r="AA238" s="343"/>
      <c r="AB238" s="343"/>
      <c r="AC238" s="343"/>
      <c r="AD238" s="343"/>
      <c r="AE238" s="343"/>
    </row>
    <row r="239" spans="1:31" ht="13" x14ac:dyDescent="0.25">
      <c r="A239" s="343"/>
      <c r="B239" s="698"/>
      <c r="C239" s="698"/>
      <c r="D239" s="698"/>
      <c r="E239" s="461"/>
      <c r="F239" s="742"/>
      <c r="G239" s="527" t="str">
        <f>EUconst_Unit</f>
        <v>Единица мярка</v>
      </c>
      <c r="H239" s="391">
        <f t="shared" ref="H239:N239" si="56">H$428</f>
        <v>2024</v>
      </c>
      <c r="I239" s="391">
        <f t="shared" si="56"/>
        <v>2025</v>
      </c>
      <c r="J239" s="391">
        <f t="shared" si="56"/>
        <v>2026</v>
      </c>
      <c r="K239" s="391">
        <f t="shared" si="56"/>
        <v>2027</v>
      </c>
      <c r="L239" s="391">
        <f t="shared" si="56"/>
        <v>2028</v>
      </c>
      <c r="M239" s="391">
        <f t="shared" si="56"/>
        <v>2029</v>
      </c>
      <c r="N239" s="391">
        <f t="shared" si="56"/>
        <v>2030</v>
      </c>
      <c r="O239" s="336"/>
      <c r="P239" s="302"/>
      <c r="Q239" s="343"/>
      <c r="R239" s="343"/>
      <c r="S239" s="343"/>
      <c r="T239" s="1089"/>
      <c r="U239" s="343"/>
      <c r="V239" s="343"/>
      <c r="W239" s="343"/>
      <c r="X239" s="343"/>
      <c r="Y239" s="343"/>
      <c r="Z239" s="343"/>
      <c r="AA239" s="343"/>
      <c r="AB239" s="343"/>
      <c r="AC239" s="343"/>
      <c r="AD239" s="343"/>
      <c r="AE239" s="343"/>
    </row>
    <row r="240" spans="1:31" ht="12.65" customHeight="1" x14ac:dyDescent="0.25">
      <c r="A240" s="343"/>
      <c r="B240" s="698"/>
      <c r="C240" s="698"/>
      <c r="D240" s="1084" t="s">
        <v>6</v>
      </c>
      <c r="E240" s="2740" t="str">
        <f>Translations!$B$402</f>
        <v>Загуби на топлинна енергия (изчислени)</v>
      </c>
      <c r="F240" s="2739"/>
      <c r="G240" s="1038" t="str">
        <f>EUconst_TJpa</f>
        <v>TJ / година</v>
      </c>
      <c r="H240" s="1024" t="str">
        <f t="shared" ref="H240:N240" si="57">IF(COUNT(H211,H223,H234)&gt;0,SUM(H211)-SUM(H223)-SUM(H234),"")</f>
        <v/>
      </c>
      <c r="I240" s="1024" t="str">
        <f t="shared" si="57"/>
        <v/>
      </c>
      <c r="J240" s="1024" t="str">
        <f t="shared" si="57"/>
        <v/>
      </c>
      <c r="K240" s="1024" t="str">
        <f t="shared" si="57"/>
        <v/>
      </c>
      <c r="L240" s="1024" t="str">
        <f t="shared" si="57"/>
        <v/>
      </c>
      <c r="M240" s="1024" t="str">
        <f t="shared" si="57"/>
        <v/>
      </c>
      <c r="N240" s="1024" t="str">
        <f t="shared" si="57"/>
        <v/>
      </c>
      <c r="O240" s="336"/>
      <c r="P240" s="302"/>
      <c r="Q240" s="343"/>
      <c r="R240" s="343"/>
      <c r="S240" s="343"/>
      <c r="T240" s="1089"/>
      <c r="U240" s="343"/>
      <c r="V240" s="343"/>
      <c r="W240" s="343"/>
      <c r="X240" s="343"/>
      <c r="Y240" s="343"/>
      <c r="Z240" s="343"/>
      <c r="AA240" s="343"/>
      <c r="AB240" s="343"/>
      <c r="AC240" s="343"/>
      <c r="AD240" s="343"/>
      <c r="AE240" s="343"/>
    </row>
    <row r="241" spans="1:31" ht="12.65" customHeight="1" x14ac:dyDescent="0.25">
      <c r="A241" s="343"/>
      <c r="B241" s="698"/>
      <c r="C241" s="698"/>
      <c r="D241" s="1084" t="s">
        <v>7</v>
      </c>
      <c r="E241" s="2740" t="str">
        <f>Translations!$B$403</f>
        <v>Загуби на топлинна енергия (дял на наличната топлинна енергия = e)</v>
      </c>
      <c r="F241" s="2739"/>
      <c r="G241" s="1038" t="s">
        <v>1053</v>
      </c>
      <c r="H241" s="1024" t="str">
        <f t="shared" ref="H241:N241" si="58">IF(AND(ISNUMBER(H240),ISNUMBER(H144),SUM(H144)&lt;&gt;0),H240/H144*100,"")</f>
        <v/>
      </c>
      <c r="I241" s="1024" t="str">
        <f t="shared" si="58"/>
        <v/>
      </c>
      <c r="J241" s="1024" t="str">
        <f t="shared" si="58"/>
        <v/>
      </c>
      <c r="K241" s="1024" t="str">
        <f t="shared" si="58"/>
        <v/>
      </c>
      <c r="L241" s="1024" t="str">
        <f t="shared" si="58"/>
        <v/>
      </c>
      <c r="M241" s="1024" t="str">
        <f t="shared" si="58"/>
        <v/>
      </c>
      <c r="N241" s="1024" t="str">
        <f t="shared" si="58"/>
        <v/>
      </c>
      <c r="O241" s="336"/>
      <c r="P241" s="302"/>
      <c r="Q241" s="343"/>
      <c r="R241" s="343"/>
      <c r="S241" s="343"/>
      <c r="T241" s="1089"/>
      <c r="U241" s="343"/>
      <c r="V241" s="343"/>
      <c r="W241" s="343"/>
      <c r="X241" s="343"/>
      <c r="Y241" s="343"/>
      <c r="Z241" s="343"/>
      <c r="AA241" s="343"/>
      <c r="AB241" s="343"/>
      <c r="AC241" s="343"/>
      <c r="AD241" s="343"/>
      <c r="AE241" s="343"/>
    </row>
    <row r="242" spans="1:31" x14ac:dyDescent="0.25">
      <c r="A242" s="343"/>
      <c r="B242" s="698"/>
      <c r="C242" s="698"/>
      <c r="D242" s="698"/>
      <c r="E242" s="698"/>
      <c r="F242" s="698"/>
      <c r="G242" s="698"/>
      <c r="H242" s="698"/>
      <c r="I242" s="698"/>
      <c r="J242" s="698"/>
      <c r="K242" s="698"/>
      <c r="L242" s="698"/>
      <c r="M242" s="698"/>
      <c r="N242" s="698"/>
      <c r="O242" s="336"/>
      <c r="P242" s="302"/>
      <c r="Q242" s="343"/>
      <c r="R242" s="343"/>
      <c r="S242" s="343"/>
      <c r="T242" s="1089"/>
      <c r="U242" s="343"/>
      <c r="V242" s="343"/>
      <c r="W242" s="343"/>
      <c r="X242" s="343"/>
      <c r="Y242" s="343"/>
      <c r="Z242" s="343"/>
      <c r="AA242" s="343"/>
      <c r="AB242" s="343"/>
      <c r="AC242" s="343"/>
      <c r="AD242" s="343"/>
      <c r="AE242" s="343"/>
    </row>
    <row r="243" spans="1:31" ht="13" customHeight="1" x14ac:dyDescent="0.25">
      <c r="A243" s="343"/>
      <c r="B243" s="284"/>
      <c r="C243" s="300"/>
      <c r="D243" s="300" t="s">
        <v>852</v>
      </c>
      <c r="E243" s="2742" t="str">
        <f>Translations!$B$404</f>
        <v>Общо количество топлинна енергия, която потенциално е част от подинсталациите с топлинен показател или подинсталации на топлофикационна мрежа (=l+m):</v>
      </c>
      <c r="F243" s="2743"/>
      <c r="G243" s="1105"/>
      <c r="H243" s="1105"/>
      <c r="I243" s="1105"/>
      <c r="J243" s="1105"/>
      <c r="K243" s="1105"/>
      <c r="L243" s="1105"/>
      <c r="M243" s="1105"/>
      <c r="N243" s="1105"/>
      <c r="O243" s="336"/>
      <c r="P243" s="302"/>
      <c r="Q243" s="695"/>
      <c r="R243" s="343"/>
      <c r="S243" s="343"/>
      <c r="T243" s="1089"/>
      <c r="U243" s="343"/>
      <c r="V243" s="343"/>
      <c r="W243" s="343"/>
      <c r="X243" s="343"/>
      <c r="Y243" s="343"/>
      <c r="Z243" s="343"/>
      <c r="AA243" s="343"/>
      <c r="AB243" s="343"/>
      <c r="AC243" s="343"/>
      <c r="AD243" s="343"/>
      <c r="AE243" s="343"/>
    </row>
    <row r="244" spans="1:31" ht="12.65" customHeight="1" x14ac:dyDescent="0.25">
      <c r="A244" s="343"/>
      <c r="B244" s="698"/>
      <c r="C244" s="698"/>
      <c r="D244" s="698"/>
      <c r="E244" s="2740" t="str">
        <f>Translations!$B$405</f>
        <v>Общо подинсталации с топлинен показател:</v>
      </c>
      <c r="F244" s="2739"/>
      <c r="G244" s="1038" t="str">
        <f>EUconst_TJpa</f>
        <v>TJ / година</v>
      </c>
      <c r="H244" s="1024" t="str">
        <f t="shared" ref="H244:N244" si="59">IF(COUNT(H234,H223)&gt;0,SUM(H223,H234),"")</f>
        <v/>
      </c>
      <c r="I244" s="1024" t="str">
        <f t="shared" si="59"/>
        <v/>
      </c>
      <c r="J244" s="1024" t="str">
        <f t="shared" si="59"/>
        <v/>
      </c>
      <c r="K244" s="1024" t="str">
        <f t="shared" si="59"/>
        <v/>
      </c>
      <c r="L244" s="1024" t="str">
        <f t="shared" si="59"/>
        <v/>
      </c>
      <c r="M244" s="1024" t="str">
        <f t="shared" si="59"/>
        <v/>
      </c>
      <c r="N244" s="1024" t="str">
        <f t="shared" si="59"/>
        <v/>
      </c>
      <c r="O244" s="336"/>
      <c r="P244" s="302"/>
      <c r="Q244" s="343"/>
      <c r="R244" s="343"/>
      <c r="S244" s="343"/>
      <c r="T244" s="1089"/>
      <c r="U244" s="343"/>
      <c r="V244" s="343"/>
      <c r="W244" s="343"/>
      <c r="X244" s="343"/>
      <c r="Y244" s="343"/>
      <c r="Z244" s="343"/>
      <c r="AA244" s="343"/>
      <c r="AB244" s="343"/>
      <c r="AC244" s="343"/>
      <c r="AD244" s="343"/>
      <c r="AE244" s="343"/>
    </row>
    <row r="245" spans="1:31" ht="5.15" customHeight="1" x14ac:dyDescent="0.25">
      <c r="A245" s="343"/>
      <c r="B245" s="284"/>
      <c r="C245" s="284"/>
      <c r="D245" s="284"/>
      <c r="E245" s="284"/>
      <c r="F245" s="284"/>
      <c r="G245" s="284"/>
      <c r="H245" s="284"/>
      <c r="I245" s="284"/>
      <c r="J245" s="284"/>
      <c r="K245" s="284"/>
      <c r="L245" s="284"/>
      <c r="M245" s="284"/>
      <c r="N245" s="284"/>
      <c r="O245" s="336"/>
      <c r="P245" s="302"/>
      <c r="Q245" s="695"/>
      <c r="R245" s="343"/>
      <c r="S245" s="343"/>
      <c r="T245" s="1089"/>
      <c r="U245" s="343"/>
      <c r="V245" s="343"/>
      <c r="W245" s="343"/>
      <c r="X245" s="343"/>
      <c r="Y245" s="343"/>
      <c r="Z245" s="343"/>
      <c r="AA245" s="343"/>
      <c r="AB245" s="343"/>
      <c r="AC245" s="343"/>
      <c r="AD245" s="343"/>
      <c r="AE245" s="343"/>
    </row>
    <row r="246" spans="1:31" ht="13" customHeight="1" x14ac:dyDescent="0.25">
      <c r="A246" s="343"/>
      <c r="B246" s="284"/>
      <c r="C246" s="300"/>
      <c r="D246" s="300" t="s">
        <v>853</v>
      </c>
      <c r="E246" s="2724" t="str">
        <f>Translations!$B$406</f>
        <v>Краен резултат: Количество топлинна енергия, която може да се разпредели на подинсталации с топлинен показател или подинсталации на топлофикационна мрежа</v>
      </c>
      <c r="F246" s="2725"/>
      <c r="G246" s="2725"/>
      <c r="H246" s="2725"/>
      <c r="I246" s="2725"/>
      <c r="J246" s="2725"/>
      <c r="K246" s="2725"/>
      <c r="L246" s="2725"/>
      <c r="M246" s="2725"/>
      <c r="N246" s="2725"/>
      <c r="O246" s="336"/>
      <c r="P246" s="302"/>
      <c r="Q246" s="695"/>
      <c r="R246" s="343"/>
      <c r="S246" s="343"/>
      <c r="T246" s="1089"/>
      <c r="U246" s="343"/>
      <c r="V246" s="343"/>
      <c r="W246" s="343"/>
      <c r="X246" s="343"/>
      <c r="Y246" s="343"/>
      <c r="Z246" s="343"/>
      <c r="AA246" s="343"/>
      <c r="AB246" s="343"/>
      <c r="AC246" s="343"/>
      <c r="AD246" s="343"/>
      <c r="AE246" s="343"/>
    </row>
    <row r="247" spans="1:31" ht="12.65" customHeight="1" x14ac:dyDescent="0.25">
      <c r="A247" s="343"/>
      <c r="B247" s="284"/>
      <c r="C247" s="302"/>
      <c r="D247" s="302"/>
      <c r="E247" s="2650" t="str">
        <f>Translations!$B$407</f>
        <v>Този резултат се изчислява като буква o), умножено по коригираното съотношение за допустимост, установено в буква k)</v>
      </c>
      <c r="F247" s="2725"/>
      <c r="G247" s="2725"/>
      <c r="H247" s="2725"/>
      <c r="I247" s="2725"/>
      <c r="J247" s="2725"/>
      <c r="K247" s="2725"/>
      <c r="L247" s="2725"/>
      <c r="M247" s="2725"/>
      <c r="N247" s="2725"/>
      <c r="O247" s="336"/>
      <c r="P247" s="302"/>
      <c r="Q247" s="695"/>
      <c r="R247" s="343"/>
      <c r="S247" s="343"/>
      <c r="T247" s="1089"/>
      <c r="U247" s="343"/>
      <c r="V247" s="343"/>
      <c r="W247" s="343"/>
      <c r="X247" s="343"/>
      <c r="Y247" s="343"/>
      <c r="Z247" s="343"/>
      <c r="AA247" s="343"/>
      <c r="AB247" s="343"/>
      <c r="AC247" s="343"/>
      <c r="AD247" s="343"/>
      <c r="AE247" s="343"/>
    </row>
    <row r="248" spans="1:31" ht="12.65" customHeight="1" x14ac:dyDescent="0.25">
      <c r="A248" s="343"/>
      <c r="B248" s="284"/>
      <c r="C248" s="302"/>
      <c r="D248" s="302"/>
      <c r="E248" s="2650" t="str">
        <f>Translations!$B$408</f>
        <v>Максималната позволена стойност е отговарящото на условията количество, установено в j).ii.</v>
      </c>
      <c r="F248" s="2725"/>
      <c r="G248" s="2725"/>
      <c r="H248" s="2725"/>
      <c r="I248" s="2725"/>
      <c r="J248" s="2725"/>
      <c r="K248" s="2725"/>
      <c r="L248" s="2725"/>
      <c r="M248" s="2725"/>
      <c r="N248" s="2725"/>
      <c r="O248" s="336"/>
      <c r="P248" s="302"/>
      <c r="Q248" s="695"/>
      <c r="R248" s="343"/>
      <c r="S248" s="343"/>
      <c r="T248" s="1089"/>
      <c r="U248" s="343"/>
      <c r="V248" s="343"/>
      <c r="W248" s="343"/>
      <c r="X248" s="343"/>
      <c r="Y248" s="343"/>
      <c r="Z248" s="343"/>
      <c r="AA248" s="343"/>
      <c r="AB248" s="343"/>
      <c r="AC248" s="343"/>
      <c r="AD248" s="343"/>
      <c r="AE248" s="343"/>
    </row>
    <row r="249" spans="1:31" ht="13" x14ac:dyDescent="0.25">
      <c r="A249" s="343"/>
      <c r="B249" s="698"/>
      <c r="C249" s="698"/>
      <c r="D249" s="698"/>
      <c r="E249" s="461"/>
      <c r="F249" s="742"/>
      <c r="G249" s="527" t="str">
        <f>EUconst_Unit</f>
        <v>Единица мярка</v>
      </c>
      <c r="H249" s="391">
        <f t="shared" ref="H249:N249" si="60">H$428</f>
        <v>2024</v>
      </c>
      <c r="I249" s="391">
        <f t="shared" si="60"/>
        <v>2025</v>
      </c>
      <c r="J249" s="391">
        <f t="shared" si="60"/>
        <v>2026</v>
      </c>
      <c r="K249" s="391">
        <f t="shared" si="60"/>
        <v>2027</v>
      </c>
      <c r="L249" s="391">
        <f t="shared" si="60"/>
        <v>2028</v>
      </c>
      <c r="M249" s="391">
        <f t="shared" si="60"/>
        <v>2029</v>
      </c>
      <c r="N249" s="391">
        <f t="shared" si="60"/>
        <v>2030</v>
      </c>
      <c r="O249" s="336"/>
      <c r="P249" s="302"/>
      <c r="Q249" s="343"/>
      <c r="R249" s="343"/>
      <c r="S249" s="343"/>
      <c r="T249" s="1089"/>
      <c r="U249" s="343"/>
      <c r="V249" s="343"/>
      <c r="W249" s="343"/>
      <c r="X249" s="343"/>
      <c r="Y249" s="343"/>
      <c r="Z249" s="343"/>
      <c r="AA249" s="343"/>
      <c r="AB249" s="343"/>
      <c r="AC249" s="343"/>
      <c r="AD249" s="343"/>
      <c r="AE249" s="343"/>
    </row>
    <row r="250" spans="1:31" ht="12.75" customHeight="1" x14ac:dyDescent="0.25">
      <c r="A250" s="343"/>
      <c r="B250" s="698"/>
      <c r="C250" s="698"/>
      <c r="D250" s="698"/>
      <c r="E250" s="2740" t="str">
        <f>Translations!$B$409</f>
        <v>Топлинна енергия, която отговаря на условията за подинсталации с топлинен показател</v>
      </c>
      <c r="F250" s="2739"/>
      <c r="G250" s="1106" t="str">
        <f>EUconst_TJpa</f>
        <v>TJ / година</v>
      </c>
      <c r="H250" s="553" t="str">
        <f t="shared" ref="H250:N250" si="61">IF(ISNUMBER(H244),IF(H215&gt;=H244*SUM(H219)/100,H244*SUM(H219)/100,H215),IF(ISNUMBER(H215),H215,""))</f>
        <v/>
      </c>
      <c r="I250" s="553" t="str">
        <f t="shared" si="61"/>
        <v/>
      </c>
      <c r="J250" s="553" t="str">
        <f t="shared" si="61"/>
        <v/>
      </c>
      <c r="K250" s="553" t="str">
        <f t="shared" si="61"/>
        <v/>
      </c>
      <c r="L250" s="553" t="str">
        <f t="shared" si="61"/>
        <v/>
      </c>
      <c r="M250" s="553" t="str">
        <f t="shared" si="61"/>
        <v/>
      </c>
      <c r="N250" s="553" t="str">
        <f t="shared" si="61"/>
        <v/>
      </c>
      <c r="O250" s="336"/>
      <c r="P250" s="302"/>
      <c r="Q250" s="343"/>
      <c r="R250" s="343"/>
      <c r="S250" s="343"/>
      <c r="T250" s="1089"/>
      <c r="U250" s="343"/>
      <c r="V250" s="343"/>
      <c r="W250" s="343"/>
      <c r="X250" s="343"/>
      <c r="Y250" s="343"/>
      <c r="Z250" s="343"/>
      <c r="AA250" s="343"/>
      <c r="AB250" s="343"/>
      <c r="AC250" s="343"/>
      <c r="AD250" s="343"/>
      <c r="AE250" s="343"/>
    </row>
    <row r="251" spans="1:31" ht="13" thickBot="1" x14ac:dyDescent="0.3">
      <c r="A251" s="343"/>
      <c r="B251" s="698"/>
      <c r="C251" s="698"/>
      <c r="D251" s="698"/>
      <c r="E251" s="698"/>
      <c r="F251" s="698"/>
      <c r="G251" s="698"/>
      <c r="H251" s="698"/>
      <c r="I251" s="698"/>
      <c r="J251" s="698"/>
      <c r="K251" s="698"/>
      <c r="L251" s="698"/>
      <c r="M251" s="698"/>
      <c r="N251" s="698"/>
      <c r="O251" s="336"/>
      <c r="P251" s="302"/>
      <c r="Q251" s="343"/>
      <c r="R251" s="343"/>
      <c r="S251" s="343"/>
      <c r="T251" s="1089"/>
      <c r="U251" s="343"/>
      <c r="V251" s="343"/>
      <c r="W251" s="343"/>
      <c r="X251" s="343"/>
      <c r="Y251" s="343"/>
      <c r="Z251" s="343"/>
      <c r="AA251" s="343"/>
      <c r="AB251" s="343"/>
      <c r="AC251" s="343"/>
      <c r="AD251" s="343"/>
      <c r="AE251" s="343"/>
    </row>
    <row r="252" spans="1:31" ht="13.5" thickBot="1" x14ac:dyDescent="0.35">
      <c r="A252" s="343"/>
      <c r="B252" s="284"/>
      <c r="C252" s="300"/>
      <c r="D252" s="300" t="s">
        <v>854</v>
      </c>
      <c r="E252" s="2353" t="str">
        <f>Translations!$B$410</f>
        <v>Разделяне на подинсталации — метод на въвеждане на данните:</v>
      </c>
      <c r="F252" s="2353"/>
      <c r="G252" s="2353"/>
      <c r="H252" s="2761"/>
      <c r="I252" s="2762"/>
      <c r="J252" s="2763"/>
      <c r="K252" s="1061" t="str">
        <f>IF(AND(ISBLANK(I252),COUNT(J262:N265)&gt;0),EUconst_Incomplete,"")</f>
        <v/>
      </c>
      <c r="L252" s="284"/>
      <c r="M252" s="284"/>
      <c r="N252" s="284"/>
      <c r="O252" s="336"/>
      <c r="P252" s="302"/>
      <c r="Q252" s="715" t="str">
        <f>IF(ISBLANK($I$252),EUconst_NA,MATCH($I$252,EUconst_AbsRel,0))</f>
        <v>Не е приложимо</v>
      </c>
      <c r="R252" s="343"/>
      <c r="S252" s="343"/>
      <c r="T252" s="1099" t="b">
        <f>OR(T233,AND(T262:T265))</f>
        <v>0</v>
      </c>
      <c r="U252" s="343"/>
      <c r="V252" s="343"/>
      <c r="W252" s="343"/>
      <c r="X252" s="343"/>
      <c r="Y252" s="343"/>
      <c r="Z252" s="343"/>
      <c r="AA252" s="343"/>
      <c r="AB252" s="343"/>
      <c r="AC252" s="343"/>
      <c r="AD252" s="343"/>
      <c r="AE252" s="343"/>
    </row>
    <row r="253" spans="1:31" x14ac:dyDescent="0.25">
      <c r="A253" s="343"/>
      <c r="B253" s="284"/>
      <c r="C253" s="302"/>
      <c r="D253" s="302"/>
      <c r="E253" s="2723" t="str">
        <f>Translations!$B$411</f>
        <v>Можете да изберете метода за въвеждане на стойностите в таблицата по-долу съгласно буква r). Възможните варианти са: „абсолютни стойности“ (впишете TJ/година) или „процентни стойности“.</v>
      </c>
      <c r="F253" s="2354"/>
      <c r="G253" s="2354"/>
      <c r="H253" s="2354"/>
      <c r="I253" s="2354"/>
      <c r="J253" s="2354"/>
      <c r="K253" s="2354"/>
      <c r="L253" s="2354"/>
      <c r="M253" s="2354"/>
      <c r="N253" s="2354"/>
      <c r="O253" s="336"/>
      <c r="P253" s="302"/>
      <c r="Q253" s="343" t="s">
        <v>259</v>
      </c>
      <c r="R253" s="343"/>
      <c r="S253" s="343"/>
      <c r="T253" s="343"/>
      <c r="U253" s="343"/>
      <c r="V253" s="343"/>
      <c r="W253" s="343"/>
      <c r="X253" s="343"/>
      <c r="Y253" s="343"/>
      <c r="Z253" s="343"/>
      <c r="AA253" s="343"/>
      <c r="AB253" s="343"/>
      <c r="AC253" s="343"/>
      <c r="AD253" s="343"/>
      <c r="AE253" s="343"/>
    </row>
    <row r="254" spans="1:31" x14ac:dyDescent="0.25">
      <c r="A254" s="343"/>
      <c r="B254" s="284"/>
      <c r="C254" s="302"/>
      <c r="D254" s="302"/>
      <c r="E254" s="2723" t="str">
        <f>Translations!$B$320</f>
        <v>За бързо въвеждане на данни в опростени случаи, при които повечето процентни стойности ще са или 100 % или нула, по-добър вариант е въвеждането на процентни стойности.</v>
      </c>
      <c r="F254" s="2354"/>
      <c r="G254" s="2354"/>
      <c r="H254" s="2354"/>
      <c r="I254" s="2354"/>
      <c r="J254" s="2354"/>
      <c r="K254" s="2354"/>
      <c r="L254" s="2354"/>
      <c r="M254" s="2354"/>
      <c r="N254" s="2354"/>
      <c r="O254" s="336"/>
      <c r="P254" s="302"/>
      <c r="Q254" s="695"/>
      <c r="R254" s="343"/>
      <c r="S254" s="343"/>
      <c r="T254" s="343"/>
      <c r="U254" s="343"/>
      <c r="V254" s="343"/>
      <c r="W254" s="343"/>
      <c r="X254" s="343"/>
      <c r="Y254" s="343"/>
      <c r="Z254" s="343"/>
      <c r="AA254" s="343"/>
      <c r="AB254" s="343"/>
      <c r="AC254" s="343"/>
      <c r="AD254" s="343"/>
      <c r="AE254" s="343"/>
    </row>
    <row r="255" spans="1:31" ht="5.15" customHeight="1" x14ac:dyDescent="0.25">
      <c r="A255" s="343"/>
      <c r="B255" s="284"/>
      <c r="C255" s="284"/>
      <c r="D255" s="284"/>
      <c r="E255" s="284"/>
      <c r="F255" s="284"/>
      <c r="G255" s="284"/>
      <c r="H255" s="284"/>
      <c r="I255" s="284"/>
      <c r="J255" s="284"/>
      <c r="K255" s="284"/>
      <c r="L255" s="284"/>
      <c r="M255" s="284"/>
      <c r="N255" s="284"/>
      <c r="O255" s="336"/>
      <c r="P255" s="302"/>
      <c r="Q255" s="695"/>
      <c r="R255" s="343"/>
      <c r="S255" s="343"/>
      <c r="T255" s="343"/>
      <c r="U255" s="343"/>
      <c r="V255" s="343"/>
      <c r="W255" s="343"/>
      <c r="X255" s="343"/>
      <c r="Y255" s="343"/>
      <c r="Z255" s="343"/>
      <c r="AA255" s="343"/>
      <c r="AB255" s="343"/>
      <c r="AC255" s="343"/>
      <c r="AD255" s="343"/>
      <c r="AE255" s="343"/>
    </row>
    <row r="256" spans="1:31" ht="13" x14ac:dyDescent="0.25">
      <c r="A256" s="343"/>
      <c r="B256" s="284"/>
      <c r="C256" s="300"/>
      <c r="D256" s="300" t="s">
        <v>1217</v>
      </c>
      <c r="E256" s="2353" t="str">
        <f>Translations!$B$412</f>
        <v>Разпределяне на подинсталациите с топлинен показател спрямо нивата на риск от изместване на въглеродни емисии:</v>
      </c>
      <c r="F256" s="2354"/>
      <c r="G256" s="2354"/>
      <c r="H256" s="2354"/>
      <c r="I256" s="2354"/>
      <c r="J256" s="2354"/>
      <c r="K256" s="2354"/>
      <c r="L256" s="2354"/>
      <c r="M256" s="2354"/>
      <c r="N256" s="2354"/>
      <c r="O256" s="336"/>
      <c r="P256" s="302"/>
      <c r="Q256" s="695"/>
      <c r="R256" s="343"/>
      <c r="S256" s="343"/>
      <c r="T256" s="343"/>
      <c r="U256" s="343"/>
      <c r="V256" s="343"/>
      <c r="W256" s="343"/>
      <c r="X256" s="343"/>
      <c r="Y256" s="343"/>
      <c r="Z256" s="343"/>
      <c r="AA256" s="343"/>
      <c r="AB256" s="343"/>
      <c r="AC256" s="343"/>
      <c r="AD256" s="343"/>
      <c r="AE256" s="343"/>
    </row>
    <row r="257" spans="1:31" x14ac:dyDescent="0.25">
      <c r="A257" s="343"/>
      <c r="B257" s="284"/>
      <c r="C257" s="302"/>
      <c r="D257" s="302"/>
      <c r="E257" s="2723" t="str">
        <f>Translations!$B$413</f>
        <v>Моля, посочете тук количеството измерима топлинна енергия, консумирано от всяка подинсталация, където 100 % се отнася до сумата, изчислена по буква p) по-горе.</v>
      </c>
      <c r="F257" s="2354"/>
      <c r="G257" s="2354"/>
      <c r="H257" s="2354"/>
      <c r="I257" s="2354"/>
      <c r="J257" s="2354"/>
      <c r="K257" s="2354"/>
      <c r="L257" s="2354"/>
      <c r="M257" s="2354"/>
      <c r="N257" s="2354"/>
      <c r="O257" s="336"/>
      <c r="P257" s="302"/>
      <c r="Q257" s="695"/>
      <c r="R257" s="343"/>
      <c r="S257" s="343"/>
      <c r="T257" s="343"/>
      <c r="U257" s="343"/>
      <c r="V257" s="343"/>
      <c r="W257" s="343"/>
      <c r="X257" s="343"/>
      <c r="Y257" s="343"/>
      <c r="Z257" s="343"/>
      <c r="AA257" s="343"/>
      <c r="AB257" s="343"/>
      <c r="AC257" s="343"/>
      <c r="AD257" s="343"/>
      <c r="AE257" s="343"/>
    </row>
    <row r="258" spans="1:31" ht="25.5" customHeight="1" x14ac:dyDescent="0.25">
      <c r="A258" s="343"/>
      <c r="B258" s="284"/>
      <c r="C258" s="302"/>
      <c r="D258" s="302"/>
      <c r="E258" s="2723" t="str">
        <f>Translations!$B$414</f>
        <v>Подинсталации с топлинен показател: „риск от ИВЕ“ („изложена на значителен риск от изместване на въглеродни емисии“), „без риск от ИВЕ“ („неизложена на риск от изместване на въглеродни емисии“; това включва топлинна енергия, подадена към инсталации и обекти извън СТЕ, но не към топлофикационни мрежи) и неизложени на риск от изместване на въглеродни емисии подинсталации на топлофикационна мрежа („без риск от ИВЕ“).</v>
      </c>
      <c r="F258" s="2354"/>
      <c r="G258" s="2354"/>
      <c r="H258" s="2354"/>
      <c r="I258" s="2354"/>
      <c r="J258" s="2354"/>
      <c r="K258" s="2354"/>
      <c r="L258" s="2354"/>
      <c r="M258" s="2354"/>
      <c r="N258" s="2354"/>
      <c r="O258" s="336"/>
      <c r="P258" s="302"/>
      <c r="Q258" s="695"/>
      <c r="R258" s="343"/>
      <c r="S258" s="343"/>
      <c r="T258" s="343"/>
      <c r="U258" s="343"/>
      <c r="V258" s="343"/>
      <c r="W258" s="343"/>
      <c r="X258" s="343"/>
      <c r="Y258" s="343"/>
      <c r="Z258" s="343"/>
      <c r="AA258" s="343"/>
      <c r="AB258" s="343"/>
      <c r="AC258" s="343"/>
      <c r="AD258" s="343"/>
      <c r="AE258" s="343"/>
    </row>
    <row r="259" spans="1:31" ht="12.75" customHeight="1" x14ac:dyDescent="0.25">
      <c r="A259" s="343"/>
      <c r="B259" s="284"/>
      <c r="C259" s="302"/>
      <c r="D259" s="302"/>
      <c r="E259" s="2768" t="str">
        <f>Translations!$B$415</f>
        <v>Данните се използват автоматично отново в работен лист „G_Fall-back“. Затова, ако се използва този инструмент, въвеждането на данните тук е задължително.</v>
      </c>
      <c r="F259" s="2354"/>
      <c r="G259" s="2354"/>
      <c r="H259" s="2354"/>
      <c r="I259" s="2354"/>
      <c r="J259" s="2354"/>
      <c r="K259" s="2354"/>
      <c r="L259" s="2354"/>
      <c r="M259" s="2354"/>
      <c r="N259" s="2354"/>
      <c r="O259" s="336"/>
      <c r="P259" s="302"/>
      <c r="Q259" s="695"/>
      <c r="R259" s="343"/>
      <c r="S259" s="343"/>
      <c r="T259" s="343"/>
      <c r="U259" s="343"/>
      <c r="V259" s="343"/>
      <c r="W259" s="343"/>
      <c r="X259" s="343"/>
      <c r="Y259" s="343"/>
      <c r="Z259" s="343"/>
      <c r="AA259" s="343"/>
      <c r="AB259" s="343"/>
      <c r="AC259" s="343"/>
      <c r="AD259" s="343"/>
      <c r="AE259" s="343"/>
    </row>
    <row r="260" spans="1:31" ht="5.15" customHeight="1" x14ac:dyDescent="0.25">
      <c r="A260" s="343"/>
      <c r="B260" s="284"/>
      <c r="C260" s="284"/>
      <c r="D260" s="284"/>
      <c r="E260" s="284"/>
      <c r="F260" s="284"/>
      <c r="G260" s="284"/>
      <c r="H260" s="284"/>
      <c r="I260" s="284"/>
      <c r="J260" s="284"/>
      <c r="K260" s="284"/>
      <c r="L260" s="284"/>
      <c r="M260" s="284"/>
      <c r="N260" s="284"/>
      <c r="O260" s="336"/>
      <c r="P260" s="302"/>
      <c r="Q260" s="695"/>
      <c r="R260" s="343"/>
      <c r="S260" s="343"/>
      <c r="T260" s="343"/>
      <c r="U260" s="343"/>
      <c r="V260" s="343"/>
      <c r="W260" s="343"/>
      <c r="X260" s="343"/>
      <c r="Y260" s="343"/>
      <c r="Z260" s="343"/>
      <c r="AA260" s="343"/>
      <c r="AB260" s="343"/>
      <c r="AC260" s="343"/>
      <c r="AD260" s="343"/>
      <c r="AE260" s="343"/>
    </row>
    <row r="261" spans="1:31" ht="13.5" customHeight="1" thickBot="1" x14ac:dyDescent="0.3">
      <c r="A261" s="343"/>
      <c r="B261" s="698"/>
      <c r="C261" s="698"/>
      <c r="D261" s="698"/>
      <c r="E261" s="2796" t="str">
        <f>Translations!$B$175</f>
        <v>Измерима топлинна енергия</v>
      </c>
      <c r="F261" s="2797"/>
      <c r="G261" s="527" t="str">
        <f>EUconst_Unit</f>
        <v>Единица мярка</v>
      </c>
      <c r="H261" s="391">
        <f t="shared" ref="H261:N261" si="62">H$428</f>
        <v>2024</v>
      </c>
      <c r="I261" s="391">
        <f t="shared" si="62"/>
        <v>2025</v>
      </c>
      <c r="J261" s="391">
        <f t="shared" si="62"/>
        <v>2026</v>
      </c>
      <c r="K261" s="391">
        <f t="shared" si="62"/>
        <v>2027</v>
      </c>
      <c r="L261" s="391">
        <f t="shared" si="62"/>
        <v>2028</v>
      </c>
      <c r="M261" s="391">
        <f t="shared" si="62"/>
        <v>2029</v>
      </c>
      <c r="N261" s="391">
        <f t="shared" si="62"/>
        <v>2030</v>
      </c>
      <c r="O261" s="336"/>
      <c r="P261" s="302"/>
      <c r="Q261" s="343"/>
      <c r="R261" s="343"/>
      <c r="S261" s="343"/>
      <c r="T261" s="711" t="s">
        <v>1148</v>
      </c>
      <c r="U261" s="343"/>
      <c r="V261" s="343"/>
      <c r="W261" s="343"/>
      <c r="X261" s="343"/>
      <c r="Y261" s="343"/>
      <c r="Z261" s="343"/>
      <c r="AA261" s="343"/>
      <c r="AB261" s="343"/>
      <c r="AC261" s="343"/>
      <c r="AD261" s="343"/>
      <c r="AE261" s="343"/>
    </row>
    <row r="262" spans="1:31" ht="12.65" customHeight="1" x14ac:dyDescent="0.25">
      <c r="A262" s="343"/>
      <c r="B262" s="698"/>
      <c r="C262" s="1084"/>
      <c r="D262" s="1084" t="s">
        <v>6</v>
      </c>
      <c r="E262" s="2721" t="str">
        <f>E435</f>
        <v>Подинсталация с топлинен показател (с риск от ИВЕ | извън МКВЕГ)</v>
      </c>
      <c r="F262" s="2722"/>
      <c r="G262" s="1107" t="str">
        <f>IF(CTRL_InputMethodHeatSubInstSplit=EUconst_NA,EUconst_relOrTJpa,IF(CTRL_InputMethodHeatSubInstSplit=1,EUconst_TJpa,"%"))</f>
        <v>% или TJ / година</v>
      </c>
      <c r="H262" s="21"/>
      <c r="I262" s="21"/>
      <c r="J262" s="21"/>
      <c r="K262" s="21"/>
      <c r="L262" s="21"/>
      <c r="M262" s="21"/>
      <c r="N262" s="20"/>
      <c r="O262" s="336"/>
      <c r="P262" s="181"/>
      <c r="Q262" s="716" t="str">
        <f>IF(CTRL_InputMethodHeatSubInstSplit=1,EUconst_CNTR_HAL&amp;E262,"")</f>
        <v/>
      </c>
      <c r="R262" s="1094">
        <v>1</v>
      </c>
      <c r="S262" s="343"/>
      <c r="T262" s="1086" t="b">
        <f>IF(INDEX(CNTR_FallBackSubInstRelevant,R262)="",FALSE,IF(INDEX(CNTR_FallBackSubInstRelevant,R262),FALSE,TRUE))</f>
        <v>0</v>
      </c>
      <c r="U262" s="343"/>
      <c r="V262" s="343"/>
      <c r="W262" s="343"/>
      <c r="X262" s="343"/>
      <c r="Y262" s="343"/>
      <c r="Z262" s="343"/>
      <c r="AA262" s="343"/>
      <c r="AB262" s="343"/>
      <c r="AC262" s="343"/>
      <c r="AD262" s="732" t="s">
        <v>2039</v>
      </c>
      <c r="AE262" s="875" t="str">
        <f>IF(AND(CNTR_HasEntries_A_I,T262=FALSE,COUNTIFS($V$20:$AB$20,FALSE,H262:N262,"")&gt;0,$T$117=FALSE),3,"")</f>
        <v/>
      </c>
    </row>
    <row r="263" spans="1:31" ht="12.65" customHeight="1" x14ac:dyDescent="0.25">
      <c r="A263" s="343"/>
      <c r="B263" s="698"/>
      <c r="C263" s="1084"/>
      <c r="D263" s="1084" t="s">
        <v>7</v>
      </c>
      <c r="E263" s="2744" t="str">
        <f t="shared" ref="E263:E265" si="63">E436</f>
        <v>Подинсталация с топлинен показател (без риск от ИВЕ | извън МКВЕГ)</v>
      </c>
      <c r="F263" s="2745"/>
      <c r="G263" s="1108" t="str">
        <f>IF(CTRL_InputMethodHeatSubInstSplit=EUconst_NA,EUconst_relOrTJpa,IF(CTRL_InputMethodHeatSubInstSplit=1,EUconst_TJpa,"%"))</f>
        <v>% или TJ / година</v>
      </c>
      <c r="H263" s="32"/>
      <c r="I263" s="32"/>
      <c r="J263" s="32"/>
      <c r="K263" s="32"/>
      <c r="L263" s="32"/>
      <c r="M263" s="51"/>
      <c r="N263" s="31"/>
      <c r="O263" s="336"/>
      <c r="P263" s="181"/>
      <c r="Q263" s="716" t="str">
        <f>IF(CTRL_InputMethodHeatSubInstSplit=1,EUconst_CNTR_HAL&amp;E263,"")</f>
        <v/>
      </c>
      <c r="R263" s="1096">
        <v>2</v>
      </c>
      <c r="S263" s="343"/>
      <c r="T263" s="1097" t="b">
        <f>IF(INDEX(CNTR_FallBackSubInstRelevant,R263)="",FALSE,IF(INDEX(CNTR_FallBackSubInstRelevant,R263),FALSE,TRUE))</f>
        <v>0</v>
      </c>
      <c r="U263" s="343"/>
      <c r="V263" s="343"/>
      <c r="W263" s="343"/>
      <c r="X263" s="343"/>
      <c r="Y263" s="343"/>
      <c r="Z263" s="343"/>
      <c r="AA263" s="343"/>
      <c r="AB263" s="343"/>
      <c r="AC263" s="343"/>
      <c r="AD263" s="732" t="s">
        <v>2039</v>
      </c>
      <c r="AE263" s="875" t="str">
        <f>IF(AND(CNTR_HasEntries_A_I,T263=FALSE,COUNTIFS($V$20:$AB$20,FALSE,H263:N263,"")&gt;0,$T$117=FALSE),3,"")</f>
        <v/>
      </c>
    </row>
    <row r="264" spans="1:31" ht="12.65" customHeight="1" x14ac:dyDescent="0.25">
      <c r="A264" s="343"/>
      <c r="B264" s="698"/>
      <c r="C264" s="1084"/>
      <c r="D264" s="1084" t="s">
        <v>8</v>
      </c>
      <c r="E264" s="2744" t="str">
        <f t="shared" si="63"/>
        <v>Подинсталация с топлинен показател (с риск от ИВЕ | в рамките на МКВЕГ)</v>
      </c>
      <c r="F264" s="2745"/>
      <c r="G264" s="1109" t="str">
        <f>IF(CTRL_InputMethodHeatSubInstSplit=EUconst_NA,EUconst_relOrTJpa,IF(CTRL_InputMethodHeatSubInstSplit=1,EUconst_TJpa,"%"))</f>
        <v>% или TJ / година</v>
      </c>
      <c r="H264" s="240"/>
      <c r="I264" s="240"/>
      <c r="J264" s="240"/>
      <c r="K264" s="240"/>
      <c r="L264" s="240"/>
      <c r="M264" s="241"/>
      <c r="N264" s="242"/>
      <c r="O264" s="336"/>
      <c r="P264" s="181"/>
      <c r="Q264" s="716" t="str">
        <f>IF(CTRL_InputMethodHeatSubInstSplit=1,EUconst_CNTR_HAL&amp;E264,"")</f>
        <v/>
      </c>
      <c r="R264" s="1096">
        <v>3</v>
      </c>
      <c r="S264" s="343"/>
      <c r="T264" s="1097" t="b">
        <f>IF(INDEX(CNTR_FallBackSubInstRelevant,R264)="",FALSE,IF(INDEX(CNTR_FallBackSubInstRelevant,R264),FALSE,TRUE))</f>
        <v>0</v>
      </c>
      <c r="U264" s="343"/>
      <c r="V264" s="343"/>
      <c r="W264" s="343"/>
      <c r="X264" s="343"/>
      <c r="Y264" s="343"/>
      <c r="Z264" s="343"/>
      <c r="AA264" s="343"/>
      <c r="AB264" s="343"/>
      <c r="AC264" s="343"/>
      <c r="AD264" s="732" t="s">
        <v>2039</v>
      </c>
      <c r="AE264" s="875" t="str">
        <f>IF(AND(CNTR_HasEntries_A_I,T264=FALSE,COUNTIFS($V$20:$AB$20,FALSE,H264:N264,"")&gt;0,$T$117=FALSE),3,"")</f>
        <v/>
      </c>
    </row>
    <row r="265" spans="1:31" ht="13" customHeight="1" thickBot="1" x14ac:dyDescent="0.3">
      <c r="A265" s="343"/>
      <c r="B265" s="698"/>
      <c r="C265" s="1084"/>
      <c r="D265" s="1084" t="s">
        <v>18</v>
      </c>
      <c r="E265" s="2726" t="str">
        <f t="shared" si="63"/>
        <v>Подинсталация на топлофикационна мрежа</v>
      </c>
      <c r="F265" s="2727"/>
      <c r="G265" s="1110" t="str">
        <f>IF(CTRL_InputMethodHeatSubInstSplit=EUconst_NA,EUconst_relOrTJpa,IF(CTRL_InputMethodHeatSubInstSplit=1,EUconst_TJpa,"%"))</f>
        <v>% или TJ / година</v>
      </c>
      <c r="H265" s="19"/>
      <c r="I265" s="19"/>
      <c r="J265" s="19"/>
      <c r="K265" s="19"/>
      <c r="L265" s="19"/>
      <c r="M265" s="19"/>
      <c r="N265" s="18"/>
      <c r="O265" s="336"/>
      <c r="P265" s="181"/>
      <c r="Q265" s="716" t="str">
        <f>IF(CTRL_InputMethodHeatSubInstSplit=1,EUconst_CNTR_HAL&amp;E265,"")</f>
        <v/>
      </c>
      <c r="R265" s="856">
        <v>4</v>
      </c>
      <c r="S265" s="343"/>
      <c r="T265" s="1099" t="b">
        <f>IF(INDEX(CNTR_FallBackSubInstRelevant,R265)="",FALSE,IF(INDEX(CNTR_FallBackSubInstRelevant,R265),FALSE,TRUE))</f>
        <v>0</v>
      </c>
      <c r="U265" s="343"/>
      <c r="V265" s="343"/>
      <c r="W265" s="343"/>
      <c r="X265" s="343"/>
      <c r="Y265" s="343"/>
      <c r="Z265" s="343"/>
      <c r="AA265" s="343"/>
      <c r="AB265" s="343"/>
      <c r="AC265" s="343"/>
      <c r="AD265" s="732" t="s">
        <v>2039</v>
      </c>
      <c r="AE265" s="875" t="str">
        <f>IF(AND(CNTR_HasEntries_A_I,T265=FALSE,COUNTIFS($V$20:$AB$20,FALSE,H265:N265,"")&gt;0,$T$117=FALSE),3,"")</f>
        <v/>
      </c>
    </row>
    <row r="266" spans="1:31" ht="12.65" customHeight="1" x14ac:dyDescent="0.25">
      <c r="A266" s="343"/>
      <c r="B266" s="698"/>
      <c r="C266" s="1084"/>
      <c r="D266" s="1084"/>
      <c r="E266" s="1111" t="str">
        <f>Translations!$B$416</f>
        <v>Данни с цел контрол:</v>
      </c>
      <c r="F266" s="1112"/>
      <c r="G266" s="1113"/>
      <c r="H266" s="1114"/>
      <c r="I266" s="708"/>
      <c r="J266" s="708"/>
      <c r="K266" s="708"/>
      <c r="L266" s="708"/>
      <c r="M266" s="708"/>
      <c r="N266" s="708"/>
      <c r="O266" s="336"/>
      <c r="P266" s="302"/>
      <c r="Q266" s="1115"/>
      <c r="R266" s="343"/>
      <c r="S266" s="343"/>
      <c r="T266" s="343"/>
      <c r="U266" s="343"/>
      <c r="V266" s="343"/>
      <c r="W266" s="343"/>
      <c r="X266" s="343"/>
      <c r="Y266" s="343"/>
      <c r="Z266" s="343"/>
      <c r="AA266" s="343"/>
      <c r="AB266" s="343"/>
      <c r="AC266" s="343"/>
      <c r="AD266" s="343"/>
      <c r="AE266" s="343"/>
    </row>
    <row r="267" spans="1:31" ht="12.65" customHeight="1" x14ac:dyDescent="0.25">
      <c r="A267" s="343"/>
      <c r="B267" s="698"/>
      <c r="C267" s="1084"/>
      <c r="D267" s="1084" t="s">
        <v>810</v>
      </c>
      <c r="E267" s="2728" t="str">
        <f>E262</f>
        <v>Подинсталация с топлинен показател (с риск от ИВЕ | извън МКВЕГ)</v>
      </c>
      <c r="F267" s="2729"/>
      <c r="G267" s="1116" t="str">
        <f>IF(CTRL_InputMethodHeatSubInstSplit=EUconst_NA,EUconst_relOrTJpa,IF(CTRL_InputMethodHeatSubInstSplit=2,EUconst_TJpa,"%"))</f>
        <v>% или TJ / година</v>
      </c>
      <c r="H267" s="1103" t="str">
        <f t="shared" ref="H267:N267" si="64">IF(AND(ISNUMBER(H$250),ISNUMBER(H262),CTRL_InputMethodHeatSubInstSplit&lt;&gt;EUconst_NA),IF(CTRL_InputMethodHeatSubInstSplit=1,H262/H$250*100,H262*H$250/100),"")</f>
        <v/>
      </c>
      <c r="I267" s="1103" t="str">
        <f t="shared" si="64"/>
        <v/>
      </c>
      <c r="J267" s="1103" t="str">
        <f t="shared" si="64"/>
        <v/>
      </c>
      <c r="K267" s="1103" t="str">
        <f t="shared" si="64"/>
        <v/>
      </c>
      <c r="L267" s="1103" t="str">
        <f t="shared" si="64"/>
        <v/>
      </c>
      <c r="M267" s="1103" t="str">
        <f t="shared" si="64"/>
        <v/>
      </c>
      <c r="N267" s="1103" t="str">
        <f t="shared" si="64"/>
        <v/>
      </c>
      <c r="O267" s="336"/>
      <c r="P267" s="302"/>
      <c r="Q267" s="716" t="str">
        <f>IF(CTRL_InputMethodHeatSubInstSplit=2,EUconst_CNTR_HAL&amp;E267,"")</f>
        <v/>
      </c>
      <c r="R267" s="343"/>
      <c r="S267" s="343"/>
      <c r="T267" s="343"/>
      <c r="U267" s="343"/>
      <c r="V267" s="343"/>
      <c r="W267" s="343"/>
      <c r="X267" s="343"/>
      <c r="Y267" s="343"/>
      <c r="Z267" s="343"/>
      <c r="AA267" s="343"/>
      <c r="AB267" s="343"/>
      <c r="AC267" s="343"/>
      <c r="AD267" s="343"/>
      <c r="AE267" s="343"/>
    </row>
    <row r="268" spans="1:31" ht="12.65" customHeight="1" x14ac:dyDescent="0.25">
      <c r="A268" s="343"/>
      <c r="B268" s="698"/>
      <c r="C268" s="1084"/>
      <c r="D268" s="360" t="s">
        <v>811</v>
      </c>
      <c r="E268" s="2730" t="str">
        <f t="shared" ref="E268:E270" si="65">E263</f>
        <v>Подинсталация с топлинен показател (без риск от ИВЕ | извън МКВЕГ)</v>
      </c>
      <c r="F268" s="2720"/>
      <c r="G268" s="1108" t="str">
        <f>IF(CTRL_InputMethodHeatSubInstSplit=EUconst_NA,EUconst_relOrTJpa,IF(CTRL_InputMethodHeatSubInstSplit=2,EUconst_TJpa,"%"))</f>
        <v>% или TJ / година</v>
      </c>
      <c r="H268" s="1117" t="str">
        <f t="shared" ref="H268:N268" si="66">IF(AND(ISNUMBER(H$250),ISNUMBER(H263),CTRL_InputMethodHeatSubInstSplit&lt;&gt;EUconst_NA),IF(CTRL_InputMethodHeatSubInstSplit=1,H263/H$250*100,H263*H$250/100),"")</f>
        <v/>
      </c>
      <c r="I268" s="1117" t="str">
        <f t="shared" si="66"/>
        <v/>
      </c>
      <c r="J268" s="1117" t="str">
        <f t="shared" si="66"/>
        <v/>
      </c>
      <c r="K268" s="1117" t="str">
        <f t="shared" si="66"/>
        <v/>
      </c>
      <c r="L268" s="1117" t="str">
        <f t="shared" si="66"/>
        <v/>
      </c>
      <c r="M268" s="1117" t="str">
        <f t="shared" si="66"/>
        <v/>
      </c>
      <c r="N268" s="1117" t="str">
        <f t="shared" si="66"/>
        <v/>
      </c>
      <c r="O268" s="336"/>
      <c r="P268" s="302"/>
      <c r="Q268" s="716" t="str">
        <f>IF(CTRL_InputMethodHeatSubInstSplit=2,EUconst_CNTR_HAL&amp;E268,"")</f>
        <v/>
      </c>
      <c r="R268" s="343"/>
      <c r="S268" s="343"/>
      <c r="T268" s="343"/>
      <c r="U268" s="343"/>
      <c r="V268" s="343"/>
      <c r="W268" s="343"/>
      <c r="X268" s="343"/>
      <c r="Y268" s="343"/>
      <c r="Z268" s="343"/>
      <c r="AA268" s="343"/>
      <c r="AB268" s="343"/>
      <c r="AC268" s="343"/>
      <c r="AD268" s="343"/>
      <c r="AE268" s="343"/>
    </row>
    <row r="269" spans="1:31" ht="12.65" customHeight="1" x14ac:dyDescent="0.25">
      <c r="A269" s="343"/>
      <c r="B269" s="698"/>
      <c r="C269" s="1084"/>
      <c r="D269" s="360" t="s">
        <v>812</v>
      </c>
      <c r="E269" s="2730" t="str">
        <f t="shared" si="65"/>
        <v>Подинсталация с топлинен показател (с риск от ИВЕ | в рамките на МКВЕГ)</v>
      </c>
      <c r="F269" s="2720"/>
      <c r="G269" s="1118" t="str">
        <f>IF(CTRL_InputMethodHeatSubInstSplit=EUconst_NA,EUconst_relOrTJpa,IF(CTRL_InputMethodHeatSubInstSplit=2,EUconst_TJpa,"%"))</f>
        <v>% или TJ / година</v>
      </c>
      <c r="H269" s="1117" t="str">
        <f t="shared" ref="H269:N269" si="67">IF(AND(ISNUMBER(H$250),ISNUMBER(H264),CTRL_InputMethodHeatSubInstSplit&lt;&gt;EUconst_NA),IF(CTRL_InputMethodHeatSubInstSplit=1,H264/H$250*100,H264*H$250/100),"")</f>
        <v/>
      </c>
      <c r="I269" s="1117" t="str">
        <f t="shared" si="67"/>
        <v/>
      </c>
      <c r="J269" s="1117" t="str">
        <f t="shared" si="67"/>
        <v/>
      </c>
      <c r="K269" s="1117" t="str">
        <f t="shared" si="67"/>
        <v/>
      </c>
      <c r="L269" s="1117" t="str">
        <f t="shared" si="67"/>
        <v/>
      </c>
      <c r="M269" s="1117" t="str">
        <f t="shared" si="67"/>
        <v/>
      </c>
      <c r="N269" s="1117" t="str">
        <f t="shared" si="67"/>
        <v/>
      </c>
      <c r="O269" s="336"/>
      <c r="P269" s="302"/>
      <c r="Q269" s="716" t="str">
        <f>IF(CTRL_InputMethodHeatSubInstSplit=2,EUconst_CNTR_HAL&amp;E269,"")</f>
        <v/>
      </c>
      <c r="R269" s="343"/>
      <c r="S269" s="343"/>
      <c r="T269" s="343"/>
      <c r="U269" s="343"/>
      <c r="V269" s="343"/>
      <c r="W269" s="343"/>
      <c r="X269" s="343"/>
      <c r="Y269" s="343"/>
      <c r="Z269" s="343"/>
      <c r="AA269" s="343"/>
      <c r="AB269" s="343"/>
      <c r="AC269" s="343"/>
      <c r="AD269" s="343"/>
      <c r="AE269" s="343"/>
    </row>
    <row r="270" spans="1:31" ht="12.65" customHeight="1" thickBot="1" x14ac:dyDescent="0.3">
      <c r="A270" s="343"/>
      <c r="B270" s="698"/>
      <c r="C270" s="1084"/>
      <c r="D270" s="360" t="s">
        <v>813</v>
      </c>
      <c r="E270" s="2731" t="str">
        <f t="shared" si="65"/>
        <v>Подинсталация на топлофикационна мрежа</v>
      </c>
      <c r="F270" s="2732"/>
      <c r="G270" s="1119" t="str">
        <f>IF(CTRL_InputMethodHeatSubInstSplit=EUconst_NA,EUconst_relOrTJpa,IF(CTRL_InputMethodHeatSubInstSplit=2,EUconst_TJpa,"%"))</f>
        <v>% или TJ / година</v>
      </c>
      <c r="H270" s="1104" t="str">
        <f t="shared" ref="H270:N270" si="68">IF(AND(ISNUMBER(H$250),ISNUMBER(H265),CTRL_InputMethodHeatSubInstSplit&lt;&gt;EUconst_NA),IF(CTRL_InputMethodHeatSubInstSplit=1,H265/H$250*100,H265*H$250/100),"")</f>
        <v/>
      </c>
      <c r="I270" s="1104" t="str">
        <f t="shared" si="68"/>
        <v/>
      </c>
      <c r="J270" s="1104" t="str">
        <f t="shared" si="68"/>
        <v/>
      </c>
      <c r="K270" s="1104" t="str">
        <f t="shared" si="68"/>
        <v/>
      </c>
      <c r="L270" s="1104" t="str">
        <f t="shared" si="68"/>
        <v/>
      </c>
      <c r="M270" s="1104" t="str">
        <f t="shared" si="68"/>
        <v/>
      </c>
      <c r="N270" s="1104" t="str">
        <f t="shared" si="68"/>
        <v/>
      </c>
      <c r="O270" s="336"/>
      <c r="P270" s="302"/>
      <c r="Q270" s="716" t="str">
        <f>IF(CTRL_InputMethodHeatSubInstSplit=2,EUconst_CNTR_HAL&amp;E270,"")</f>
        <v/>
      </c>
      <c r="R270" s="343"/>
      <c r="S270" s="343"/>
      <c r="T270" s="343"/>
      <c r="U270" s="343"/>
      <c r="V270" s="343"/>
      <c r="W270" s="343"/>
      <c r="X270" s="343"/>
      <c r="Y270" s="343"/>
      <c r="Z270" s="343"/>
      <c r="AA270" s="343"/>
      <c r="AB270" s="343"/>
      <c r="AC270" s="343"/>
      <c r="AD270" s="343"/>
      <c r="AE270" s="343"/>
    </row>
    <row r="271" spans="1:31" ht="13" x14ac:dyDescent="0.25">
      <c r="A271" s="343"/>
      <c r="B271" s="698"/>
      <c r="C271" s="698"/>
      <c r="D271" s="360" t="s">
        <v>814</v>
      </c>
      <c r="E271" s="2764" t="str">
        <f>Translations!$B$405</f>
        <v>Общо подинсталации с топлинен показател:</v>
      </c>
      <c r="F271" s="2765"/>
      <c r="G271" s="1120" t="str">
        <f>G262</f>
        <v>% или TJ / година</v>
      </c>
      <c r="H271" s="1121" t="str">
        <f t="shared" ref="H271:N272" si="69">IF(COUNT(H$267:H$270)=0,"",SUMIFS(H$262:H$270,$G$262:$G$270,$G271))</f>
        <v/>
      </c>
      <c r="I271" s="1121" t="str">
        <f t="shared" si="69"/>
        <v/>
      </c>
      <c r="J271" s="1121" t="str">
        <f t="shared" si="69"/>
        <v/>
      </c>
      <c r="K271" s="1121" t="str">
        <f t="shared" si="69"/>
        <v/>
      </c>
      <c r="L271" s="1121" t="str">
        <f t="shared" si="69"/>
        <v/>
      </c>
      <c r="M271" s="1121" t="str">
        <f t="shared" si="69"/>
        <v/>
      </c>
      <c r="N271" s="1122" t="str">
        <f t="shared" si="69"/>
        <v/>
      </c>
      <c r="O271" s="336"/>
      <c r="P271" s="302"/>
      <c r="Q271" s="343"/>
      <c r="R271" s="343"/>
      <c r="S271" s="343"/>
      <c r="T271" s="343"/>
      <c r="U271" s="343"/>
      <c r="V271" s="343"/>
      <c r="W271" s="343"/>
      <c r="X271" s="343"/>
      <c r="Y271" s="343"/>
      <c r="Z271" s="343"/>
      <c r="AA271" s="343"/>
      <c r="AB271" s="343"/>
      <c r="AC271" s="343"/>
      <c r="AD271" s="343"/>
      <c r="AE271" s="343"/>
    </row>
    <row r="272" spans="1:31" ht="13.5" thickBot="1" x14ac:dyDescent="0.3">
      <c r="A272" s="343"/>
      <c r="B272" s="698"/>
      <c r="C272" s="698"/>
      <c r="D272" s="360" t="s">
        <v>61</v>
      </c>
      <c r="E272" s="2766" t="str">
        <f>Translations!$B$405</f>
        <v>Общо подинсталации с топлинен показател:</v>
      </c>
      <c r="F272" s="2767"/>
      <c r="G272" s="1123" t="str">
        <f>G267</f>
        <v>% или TJ / година</v>
      </c>
      <c r="H272" s="1124" t="str">
        <f t="shared" si="69"/>
        <v/>
      </c>
      <c r="I272" s="1124" t="str">
        <f t="shared" si="69"/>
        <v/>
      </c>
      <c r="J272" s="1124" t="str">
        <f t="shared" si="69"/>
        <v/>
      </c>
      <c r="K272" s="1124" t="str">
        <f t="shared" si="69"/>
        <v/>
      </c>
      <c r="L272" s="1124" t="str">
        <f t="shared" si="69"/>
        <v/>
      </c>
      <c r="M272" s="1124" t="str">
        <f t="shared" si="69"/>
        <v/>
      </c>
      <c r="N272" s="1125" t="str">
        <f t="shared" si="69"/>
        <v/>
      </c>
      <c r="O272" s="336"/>
      <c r="P272" s="302"/>
      <c r="Q272" s="343"/>
      <c r="R272" s="343"/>
      <c r="S272" s="343"/>
      <c r="T272" s="343"/>
      <c r="U272" s="343"/>
      <c r="V272" s="343"/>
      <c r="W272" s="343"/>
      <c r="X272" s="343"/>
      <c r="Y272" s="343"/>
      <c r="Z272" s="343"/>
      <c r="AA272" s="343"/>
      <c r="AB272" s="343"/>
      <c r="AC272" s="343"/>
      <c r="AD272" s="343"/>
      <c r="AE272" s="343"/>
    </row>
    <row r="273" spans="1:31" x14ac:dyDescent="0.25">
      <c r="A273" s="343"/>
      <c r="B273" s="698"/>
      <c r="C273" s="698"/>
      <c r="D273" s="698"/>
      <c r="F273" s="698"/>
      <c r="G273" s="698"/>
      <c r="H273" s="698"/>
      <c r="I273" s="698"/>
      <c r="J273" s="698"/>
      <c r="K273" s="698"/>
      <c r="L273" s="698"/>
      <c r="M273" s="698"/>
      <c r="N273" s="698"/>
      <c r="O273" s="336"/>
      <c r="P273" s="302"/>
      <c r="Q273" s="343"/>
      <c r="R273" s="343"/>
      <c r="S273" s="343"/>
      <c r="T273" s="343"/>
      <c r="U273" s="343"/>
      <c r="V273" s="343"/>
      <c r="W273" s="343"/>
      <c r="X273" s="343"/>
      <c r="Y273" s="343"/>
      <c r="Z273" s="343"/>
      <c r="AA273" s="343"/>
      <c r="AB273" s="343"/>
      <c r="AC273" s="343"/>
      <c r="AD273" s="343"/>
      <c r="AE273" s="343"/>
    </row>
    <row r="274" spans="1:31" ht="15.5" x14ac:dyDescent="0.35">
      <c r="A274" s="343"/>
      <c r="B274" s="284"/>
      <c r="C274" s="327" t="s">
        <v>908</v>
      </c>
      <c r="D274" s="2758" t="str">
        <f>Translations!$B$417</f>
        <v>Баланс на отпадните газове</v>
      </c>
      <c r="E274" s="2758"/>
      <c r="F274" s="2758"/>
      <c r="G274" s="2758"/>
      <c r="H274" s="2758"/>
      <c r="I274" s="2758"/>
      <c r="J274" s="2758"/>
      <c r="K274" s="2758"/>
      <c r="L274" s="2758"/>
      <c r="M274" s="2758"/>
      <c r="N274" s="2758"/>
      <c r="O274" s="336"/>
      <c r="P274" s="302"/>
      <c r="Q274" s="695"/>
      <c r="R274" s="343"/>
      <c r="S274" s="343"/>
      <c r="T274" s="343"/>
      <c r="U274" s="343"/>
      <c r="V274" s="343"/>
      <c r="W274" s="343"/>
      <c r="X274" s="343"/>
      <c r="Y274" s="343"/>
      <c r="Z274" s="343"/>
      <c r="AA274" s="343"/>
      <c r="AB274" s="343"/>
      <c r="AC274" s="343"/>
      <c r="AD274" s="343"/>
      <c r="AE274" s="343"/>
    </row>
    <row r="275" spans="1:31" ht="5.15" customHeight="1" x14ac:dyDescent="0.25">
      <c r="A275" s="343"/>
      <c r="B275" s="284"/>
      <c r="C275" s="284"/>
      <c r="D275" s="284"/>
      <c r="E275" s="284"/>
      <c r="F275" s="284"/>
      <c r="G275" s="284"/>
      <c r="H275" s="284"/>
      <c r="I275" s="284"/>
      <c r="J275" s="284"/>
      <c r="K275" s="284"/>
      <c r="L275" s="284"/>
      <c r="M275" s="336"/>
      <c r="N275" s="336"/>
      <c r="O275" s="336"/>
      <c r="P275" s="302"/>
      <c r="Q275" s="695"/>
      <c r="R275" s="343"/>
      <c r="S275" s="343"/>
      <c r="T275" s="343"/>
      <c r="U275" s="343"/>
      <c r="V275" s="343"/>
      <c r="W275" s="343"/>
      <c r="X275" s="343"/>
      <c r="Y275" s="343"/>
      <c r="Z275" s="343"/>
      <c r="AA275" s="343"/>
      <c r="AB275" s="343"/>
      <c r="AC275" s="343"/>
      <c r="AD275" s="343"/>
      <c r="AE275" s="343"/>
    </row>
    <row r="276" spans="1:31" ht="15" customHeight="1" x14ac:dyDescent="0.3">
      <c r="A276" s="343"/>
      <c r="B276" s="284"/>
      <c r="C276" s="357"/>
      <c r="D276" s="2323" t="str">
        <f>Translations!$B$418</f>
        <v>Пълен баланс на отпадните газове в инсталацията</v>
      </c>
      <c r="E276" s="2249"/>
      <c r="F276" s="2249"/>
      <c r="G276" s="2249"/>
      <c r="H276" s="2249"/>
      <c r="I276" s="2249"/>
      <c r="J276" s="2249"/>
      <c r="K276" s="2249"/>
      <c r="L276" s="2249"/>
      <c r="M276" s="2249"/>
      <c r="N276" s="2249"/>
      <c r="O276" s="336"/>
      <c r="P276" s="302"/>
      <c r="Q276" s="695"/>
      <c r="R276" s="343"/>
      <c r="S276" s="343"/>
      <c r="T276" s="343"/>
      <c r="U276" s="343"/>
      <c r="V276" s="343"/>
      <c r="W276" s="343"/>
      <c r="X276" s="343"/>
      <c r="Y276" s="343"/>
      <c r="Z276" s="343"/>
      <c r="AA276" s="343"/>
      <c r="AB276" s="343"/>
      <c r="AC276" s="343"/>
      <c r="AD276" s="343"/>
      <c r="AE276" s="343"/>
    </row>
    <row r="277" spans="1:31" ht="25.5" customHeight="1" x14ac:dyDescent="0.25">
      <c r="A277" s="343"/>
      <c r="B277" s="284"/>
      <c r="C277" s="284"/>
      <c r="D277" s="2768" t="str">
        <f>Translations!$B$419</f>
        <v>Този баланс се използва главно за проверка за съответствие между съответните данни, въведени в „инструмента за отпадни газове“ в раздел D.IV, и балансите на отпадни газове на ниво подинсталация в листове F и G.</v>
      </c>
      <c r="E277" s="2354"/>
      <c r="F277" s="2354"/>
      <c r="G277" s="2354"/>
      <c r="H277" s="2354"/>
      <c r="I277" s="2354"/>
      <c r="J277" s="2354"/>
      <c r="K277" s="2354"/>
      <c r="L277" s="2354"/>
      <c r="M277" s="2354"/>
      <c r="N277" s="2354"/>
      <c r="O277" s="336"/>
      <c r="P277" s="302"/>
      <c r="Q277" s="695"/>
      <c r="R277" s="343"/>
      <c r="S277" s="343"/>
      <c r="T277" s="343"/>
      <c r="U277" s="343"/>
      <c r="V277" s="343"/>
      <c r="W277" s="343"/>
      <c r="X277" s="343"/>
      <c r="Y277" s="343"/>
      <c r="Z277" s="343"/>
      <c r="AA277" s="343"/>
      <c r="AB277" s="343"/>
      <c r="AC277" s="343"/>
      <c r="AD277" s="343"/>
      <c r="AE277" s="343"/>
    </row>
    <row r="278" spans="1:31" ht="12.75" customHeight="1" x14ac:dyDescent="0.25">
      <c r="A278" s="343"/>
      <c r="B278" s="284"/>
      <c r="C278" s="284"/>
      <c r="D278" s="2768" t="str">
        <f>Translations!$B$420</f>
        <v>Когато е възможно, разделите по-долу се попълват автоматично с въведените в тези раздели данни.</v>
      </c>
      <c r="E278" s="2354"/>
      <c r="F278" s="2354"/>
      <c r="G278" s="2354"/>
      <c r="H278" s="2354"/>
      <c r="I278" s="2354"/>
      <c r="J278" s="2354"/>
      <c r="K278" s="2354"/>
      <c r="L278" s="2354"/>
      <c r="M278" s="2354"/>
      <c r="N278" s="2354"/>
      <c r="O278" s="336"/>
      <c r="P278" s="302"/>
      <c r="Q278" s="695"/>
      <c r="R278" s="343"/>
      <c r="S278" s="343"/>
      <c r="T278" s="343"/>
      <c r="U278" s="343"/>
      <c r="V278" s="343"/>
      <c r="W278" s="343"/>
      <c r="X278" s="343"/>
      <c r="Y278" s="343"/>
      <c r="Z278" s="343"/>
      <c r="AA278" s="343"/>
      <c r="AB278" s="343"/>
      <c r="AC278" s="343"/>
      <c r="AD278" s="343"/>
      <c r="AE278" s="343"/>
    </row>
    <row r="279" spans="1:31" ht="5.15" customHeight="1" x14ac:dyDescent="0.25">
      <c r="A279" s="343"/>
      <c r="B279" s="284"/>
      <c r="C279" s="284"/>
      <c r="D279" s="284"/>
      <c r="E279" s="284"/>
      <c r="F279" s="284"/>
      <c r="G279" s="284"/>
      <c r="H279" s="284"/>
      <c r="I279" s="284"/>
      <c r="J279" s="284"/>
      <c r="K279" s="284"/>
      <c r="L279" s="284"/>
      <c r="M279" s="284"/>
      <c r="N279" s="284"/>
      <c r="O279" s="336"/>
      <c r="P279" s="302"/>
      <c r="Q279" s="695"/>
      <c r="R279" s="343"/>
      <c r="S279" s="343"/>
      <c r="T279" s="343"/>
      <c r="U279" s="343"/>
      <c r="V279" s="343"/>
      <c r="W279" s="343"/>
      <c r="X279" s="343"/>
      <c r="Y279" s="343"/>
      <c r="Z279" s="343"/>
      <c r="AA279" s="343"/>
      <c r="AB279" s="343"/>
      <c r="AC279" s="343"/>
      <c r="AD279" s="343"/>
      <c r="AE279" s="343"/>
    </row>
    <row r="280" spans="1:31" ht="12.75" customHeight="1" x14ac:dyDescent="0.25">
      <c r="A280" s="694"/>
      <c r="B280" s="284"/>
      <c r="C280" s="284"/>
      <c r="D280" s="1028"/>
      <c r="E280" s="2463" t="str">
        <f>Translations!$B$421</f>
        <v>В тази инсталация произвеждат, консумират, получават или подават ли се отпадни газове?</v>
      </c>
      <c r="F280" s="2463"/>
      <c r="G280" s="2463"/>
      <c r="H280" s="2463"/>
      <c r="I280" s="2463"/>
      <c r="J280" s="2463"/>
      <c r="K280" s="2463"/>
      <c r="L280" s="2699"/>
      <c r="M280" s="80"/>
      <c r="N280" s="336"/>
      <c r="O280" s="336"/>
      <c r="P280" s="302"/>
      <c r="Q280" s="770"/>
      <c r="R280" s="694"/>
      <c r="S280" s="694"/>
      <c r="T280" s="694"/>
      <c r="U280" s="343"/>
      <c r="V280" s="343"/>
      <c r="W280" s="343"/>
      <c r="X280" s="343"/>
      <c r="Y280" s="343"/>
      <c r="Z280" s="343"/>
      <c r="AA280" s="343"/>
      <c r="AB280" s="343"/>
      <c r="AC280" s="343"/>
      <c r="AD280" s="343"/>
      <c r="AE280" s="343"/>
    </row>
    <row r="281" spans="1:31" ht="12.75" customHeight="1" x14ac:dyDescent="0.25">
      <c r="A281" s="343"/>
      <c r="B281" s="284"/>
      <c r="C281" s="284"/>
      <c r="D281" s="284"/>
      <c r="E281" s="2751" t="str">
        <f>IF(AND(M280&lt;&gt;"",M280=FALSE),HYPERLINK(R281,EUconst_MsgGoOn),HYPERLINK("",EUconst_MsgEnterThisSection))</f>
        <v>Моля, въведете данни в този раздел!</v>
      </c>
      <c r="F281" s="2752"/>
      <c r="G281" s="2752"/>
      <c r="H281" s="2752"/>
      <c r="I281" s="2752"/>
      <c r="J281" s="2752"/>
      <c r="K281" s="2752"/>
      <c r="L281" s="2752"/>
      <c r="M281" s="2753"/>
      <c r="N281" s="284"/>
      <c r="O281" s="336"/>
      <c r="P281" s="302"/>
      <c r="Q281" s="694" t="s">
        <v>450</v>
      </c>
      <c r="R281" s="1026" t="str">
        <f>"#"&amp;ADDRESS(ROW(C388),COLUMN(C388))</f>
        <v>#$C$388</v>
      </c>
      <c r="S281" s="343"/>
      <c r="T281" s="343"/>
      <c r="U281" s="343"/>
      <c r="V281" s="343"/>
      <c r="W281" s="343"/>
      <c r="X281" s="343"/>
      <c r="Y281" s="343"/>
      <c r="Z281" s="343"/>
      <c r="AA281" s="343"/>
      <c r="AB281" s="343"/>
      <c r="AC281" s="343"/>
      <c r="AD281" s="343"/>
      <c r="AE281" s="343"/>
    </row>
    <row r="282" spans="1:31" x14ac:dyDescent="0.25">
      <c r="A282" s="694"/>
      <c r="B282" s="698"/>
      <c r="C282" s="698"/>
      <c r="D282" s="698"/>
      <c r="E282" s="2358" t="str">
        <f>Translations!$B$422</f>
        <v>Ако отговорът на този въпрос е зададен на „невярно“, въвеждането на данни тук не е приложимо и можете да продължите към следващата точка по-долу.</v>
      </c>
      <c r="F282" s="2249"/>
      <c r="G282" s="2249"/>
      <c r="H282" s="2249"/>
      <c r="I282" s="2249"/>
      <c r="J282" s="2249"/>
      <c r="K282" s="2249"/>
      <c r="L282" s="2249"/>
      <c r="M282" s="2249"/>
      <c r="N282" s="2249"/>
      <c r="O282" s="336"/>
      <c r="P282" s="302"/>
      <c r="Q282" s="711"/>
      <c r="R282" s="343"/>
      <c r="S282" s="343"/>
      <c r="T282" s="343"/>
      <c r="U282" s="343"/>
      <c r="V282" s="343"/>
      <c r="W282" s="343"/>
      <c r="X282" s="343"/>
      <c r="Y282" s="343"/>
      <c r="Z282" s="343"/>
      <c r="AA282" s="343"/>
      <c r="AB282" s="343"/>
      <c r="AC282" s="343"/>
      <c r="AD282" s="343"/>
      <c r="AE282" s="343"/>
    </row>
    <row r="283" spans="1:31" ht="5.15" customHeight="1" x14ac:dyDescent="0.25">
      <c r="A283" s="343"/>
      <c r="B283" s="284"/>
      <c r="C283" s="284"/>
      <c r="D283" s="284"/>
      <c r="E283" s="284"/>
      <c r="F283" s="284"/>
      <c r="G283" s="284"/>
      <c r="H283" s="284"/>
      <c r="I283" s="284"/>
      <c r="J283" s="284"/>
      <c r="K283" s="284"/>
      <c r="L283" s="284"/>
      <c r="M283" s="336"/>
      <c r="N283" s="336"/>
      <c r="O283" s="336"/>
      <c r="P283" s="302"/>
      <c r="Q283" s="695"/>
      <c r="R283" s="343"/>
      <c r="S283" s="343"/>
      <c r="T283" s="343"/>
      <c r="U283" s="343"/>
      <c r="V283" s="343"/>
      <c r="W283" s="343"/>
      <c r="X283" s="343"/>
      <c r="Y283" s="343"/>
      <c r="Z283" s="343"/>
      <c r="AA283" s="343"/>
      <c r="AB283" s="343"/>
      <c r="AC283" s="343"/>
      <c r="AD283" s="343"/>
      <c r="AE283" s="343"/>
    </row>
    <row r="284" spans="1:31" ht="13" x14ac:dyDescent="0.25">
      <c r="A284" s="343"/>
      <c r="B284" s="284"/>
      <c r="C284" s="300"/>
      <c r="D284" s="300" t="s">
        <v>408</v>
      </c>
      <c r="E284" s="2353" t="str">
        <f>Translations!$B$423</f>
        <v>Отпадни газове, произведени в системните граници на подинсталация с продуктов показател</v>
      </c>
      <c r="F284" s="2354"/>
      <c r="G284" s="2354"/>
      <c r="H284" s="2354"/>
      <c r="I284" s="2354"/>
      <c r="J284" s="2354"/>
      <c r="K284" s="2354"/>
      <c r="L284" s="2354"/>
      <c r="M284" s="2354"/>
      <c r="N284" s="2354"/>
      <c r="O284" s="336"/>
      <c r="P284" s="302"/>
      <c r="Q284" s="695"/>
      <c r="R284" s="343"/>
      <c r="S284" s="343"/>
      <c r="T284" s="343"/>
      <c r="U284" s="343"/>
      <c r="V284" s="343"/>
      <c r="W284" s="343"/>
      <c r="X284" s="343"/>
      <c r="Y284" s="343"/>
      <c r="Z284" s="343"/>
      <c r="AA284" s="343"/>
      <c r="AB284" s="343"/>
      <c r="AC284" s="343"/>
      <c r="AD284" s="343"/>
      <c r="AE284" s="343"/>
    </row>
    <row r="285" spans="1:31" ht="12.75" customHeight="1" x14ac:dyDescent="0.25">
      <c r="A285" s="343"/>
      <c r="B285" s="284"/>
      <c r="C285" s="302"/>
      <c r="D285" s="302"/>
      <c r="E285" s="2723" t="str">
        <f>Translations!$B$424</f>
        <v>Информацията се взема от раздел F.(l).v. Ако е приложимо, трябва да се уверите, че там сте въвели пълни данни.</v>
      </c>
      <c r="F285" s="2354"/>
      <c r="G285" s="2354"/>
      <c r="H285" s="2354"/>
      <c r="I285" s="2354"/>
      <c r="J285" s="2354"/>
      <c r="K285" s="2354"/>
      <c r="L285" s="2354"/>
      <c r="M285" s="2354"/>
      <c r="N285" s="2354"/>
      <c r="O285" s="336"/>
      <c r="P285" s="302"/>
      <c r="Q285" s="695"/>
      <c r="R285" s="343"/>
      <c r="S285" s="343"/>
      <c r="T285" s="343"/>
      <c r="U285" s="343"/>
      <c r="V285" s="343"/>
      <c r="W285" s="343"/>
      <c r="X285" s="343"/>
      <c r="Y285" s="343"/>
      <c r="Z285" s="343"/>
      <c r="AA285" s="343"/>
      <c r="AB285" s="343"/>
      <c r="AC285" s="343"/>
      <c r="AD285" s="343"/>
      <c r="AE285" s="343"/>
    </row>
    <row r="286" spans="1:31" ht="13" customHeight="1" x14ac:dyDescent="0.25">
      <c r="A286" s="343"/>
      <c r="B286" s="698"/>
      <c r="C286" s="698"/>
      <c r="D286" s="698"/>
      <c r="E286" s="2742" t="str">
        <f>Translations!$B$425</f>
        <v>Подинсталация</v>
      </c>
      <c r="F286" s="2743"/>
      <c r="G286" s="527" t="str">
        <f>EUconst_Unit</f>
        <v>Единица мярка</v>
      </c>
      <c r="H286" s="391">
        <f t="shared" ref="H286:N286" si="70">H$428</f>
        <v>2024</v>
      </c>
      <c r="I286" s="391">
        <f t="shared" si="70"/>
        <v>2025</v>
      </c>
      <c r="J286" s="391">
        <f t="shared" si="70"/>
        <v>2026</v>
      </c>
      <c r="K286" s="391">
        <f t="shared" si="70"/>
        <v>2027</v>
      </c>
      <c r="L286" s="391">
        <f t="shared" si="70"/>
        <v>2028</v>
      </c>
      <c r="M286" s="391">
        <f t="shared" si="70"/>
        <v>2029</v>
      </c>
      <c r="N286" s="572">
        <f t="shared" si="70"/>
        <v>2030</v>
      </c>
      <c r="O286" s="336"/>
      <c r="P286" s="302"/>
      <c r="Q286" s="343"/>
      <c r="R286" s="343"/>
      <c r="S286" s="343"/>
      <c r="T286" s="343"/>
      <c r="U286" s="343"/>
      <c r="V286" s="343"/>
      <c r="W286" s="343"/>
      <c r="X286" s="343"/>
      <c r="Y286" s="343"/>
      <c r="Z286" s="343"/>
      <c r="AA286" s="343"/>
      <c r="AB286" s="343"/>
      <c r="AC286" s="343"/>
      <c r="AD286" s="343"/>
      <c r="AE286" s="343"/>
    </row>
    <row r="287" spans="1:31" ht="12.65" customHeight="1" x14ac:dyDescent="0.25">
      <c r="A287" s="343"/>
      <c r="B287" s="698"/>
      <c r="C287" s="698"/>
      <c r="D287" s="1084" t="s">
        <v>6</v>
      </c>
      <c r="E287" s="2750" t="str">
        <f t="shared" ref="E287:E296" si="71">E169</f>
        <v/>
      </c>
      <c r="F287" s="2729"/>
      <c r="G287" s="1085" t="str">
        <f t="shared" ref="G287:G297" si="72">EUconst_TJpa</f>
        <v>TJ / година</v>
      </c>
      <c r="H287" s="1126" t="str">
        <f>IF(SUMIF(F_ProductBM!$Q:$Q,$Q287,F_ProductBM!H:H)&gt;0,SUMIF(F_ProductBM!$Q:$Q,$Q287,F_ProductBM!H:H),"")</f>
        <v/>
      </c>
      <c r="I287" s="1126" t="str">
        <f>IF(SUMIF(F_ProductBM!$Q:$Q,$Q287,F_ProductBM!I:I)&gt;0,SUMIF(F_ProductBM!$Q:$Q,$Q287,F_ProductBM!I:I),"")</f>
        <v/>
      </c>
      <c r="J287" s="1126" t="str">
        <f>IF(SUMIF(F_ProductBM!$Q:$Q,$Q287,F_ProductBM!J:J)&gt;0,SUMIF(F_ProductBM!$Q:$Q,$Q287,F_ProductBM!J:J),"")</f>
        <v/>
      </c>
      <c r="K287" s="1126" t="str">
        <f>IF(SUMIF(F_ProductBM!$Q:$Q,$Q287,F_ProductBM!K:K)&gt;0,SUMIF(F_ProductBM!$Q:$Q,$Q287,F_ProductBM!K:K),"")</f>
        <v/>
      </c>
      <c r="L287" s="1126" t="str">
        <f>IF(SUMIF(F_ProductBM!$Q:$Q,$Q287,F_ProductBM!L:L)&gt;0,SUMIF(F_ProductBM!$Q:$Q,$Q287,F_ProductBM!L:L),"")</f>
        <v/>
      </c>
      <c r="M287" s="1126" t="str">
        <f>IF(SUMIF(F_ProductBM!$Q:$Q,$Q287,F_ProductBM!M:M)&gt;0,SUMIF(F_ProductBM!$Q:$Q,$Q287,F_ProductBM!M:M),"")</f>
        <v/>
      </c>
      <c r="N287" s="1126" t="str">
        <f>IF(SUMIF(F_ProductBM!$Q:$Q,$Q287,F_ProductBM!N:N)&gt;0,SUMIF(F_ProductBM!$Q:$Q,$Q287,F_ProductBM!N:N),"")</f>
        <v/>
      </c>
      <c r="O287" s="336"/>
      <c r="P287" s="302"/>
      <c r="Q287" s="716" t="str">
        <f t="shared" ref="Q287:Q296" si="73">EUconst_CNTR_WGProduced &amp; E287</f>
        <v>WasteGasProd_</v>
      </c>
      <c r="R287" s="343"/>
      <c r="S287" s="343"/>
      <c r="T287" s="343"/>
      <c r="U287" s="343"/>
      <c r="V287" s="343"/>
      <c r="W287" s="343"/>
      <c r="X287" s="343"/>
      <c r="Y287" s="343"/>
      <c r="Z287" s="343"/>
      <c r="AA287" s="343"/>
      <c r="AB287" s="343"/>
      <c r="AC287" s="343"/>
      <c r="AD287" s="343"/>
      <c r="AE287" s="343"/>
    </row>
    <row r="288" spans="1:31" x14ac:dyDescent="0.25">
      <c r="A288" s="343"/>
      <c r="B288" s="698"/>
      <c r="C288" s="698"/>
      <c r="D288" s="1084" t="s">
        <v>7</v>
      </c>
      <c r="E288" s="2754" t="str">
        <f t="shared" si="71"/>
        <v/>
      </c>
      <c r="F288" s="2720"/>
      <c r="G288" s="1087" t="str">
        <f t="shared" si="72"/>
        <v>TJ / година</v>
      </c>
      <c r="H288" s="1127" t="str">
        <f>IF(SUMIF(F_ProductBM!$Q:$Q,$Q288,F_ProductBM!H:H)&gt;0,SUMIF(F_ProductBM!$Q:$Q,$Q288,F_ProductBM!H:H),"")</f>
        <v/>
      </c>
      <c r="I288" s="1127" t="str">
        <f>IF(SUMIF(F_ProductBM!$Q:$Q,$Q288,F_ProductBM!I:I)&gt;0,SUMIF(F_ProductBM!$Q:$Q,$Q288,F_ProductBM!I:I),"")</f>
        <v/>
      </c>
      <c r="J288" s="1127" t="str">
        <f>IF(SUMIF(F_ProductBM!$Q:$Q,$Q288,F_ProductBM!J:J)&gt;0,SUMIF(F_ProductBM!$Q:$Q,$Q288,F_ProductBM!J:J),"")</f>
        <v/>
      </c>
      <c r="K288" s="1127" t="str">
        <f>IF(SUMIF(F_ProductBM!$Q:$Q,$Q288,F_ProductBM!K:K)&gt;0,SUMIF(F_ProductBM!$Q:$Q,$Q288,F_ProductBM!K:K),"")</f>
        <v/>
      </c>
      <c r="L288" s="1127" t="str">
        <f>IF(SUMIF(F_ProductBM!$Q:$Q,$Q288,F_ProductBM!L:L)&gt;0,SUMIF(F_ProductBM!$Q:$Q,$Q288,F_ProductBM!L:L),"")</f>
        <v/>
      </c>
      <c r="M288" s="1127" t="str">
        <f>IF(SUMIF(F_ProductBM!$Q:$Q,$Q288,F_ProductBM!M:M)&gt;0,SUMIF(F_ProductBM!$Q:$Q,$Q288,F_ProductBM!M:M),"")</f>
        <v/>
      </c>
      <c r="N288" s="1127" t="str">
        <f>IF(SUMIF(F_ProductBM!$Q:$Q,$Q288,F_ProductBM!N:N)&gt;0,SUMIF(F_ProductBM!$Q:$Q,$Q288,F_ProductBM!N:N),"")</f>
        <v/>
      </c>
      <c r="O288" s="336"/>
      <c r="P288" s="302"/>
      <c r="Q288" s="716" t="str">
        <f t="shared" si="73"/>
        <v>WasteGasProd_</v>
      </c>
      <c r="R288" s="343"/>
      <c r="S288" s="343"/>
      <c r="T288" s="343"/>
      <c r="U288" s="343"/>
      <c r="V288" s="343"/>
      <c r="W288" s="343"/>
      <c r="X288" s="343"/>
      <c r="Y288" s="343"/>
      <c r="Z288" s="343"/>
      <c r="AA288" s="343"/>
      <c r="AB288" s="343"/>
      <c r="AC288" s="343"/>
      <c r="AD288" s="343"/>
      <c r="AE288" s="343"/>
    </row>
    <row r="289" spans="1:31" x14ac:dyDescent="0.25">
      <c r="A289" s="343"/>
      <c r="B289" s="698"/>
      <c r="C289" s="698"/>
      <c r="D289" s="1084" t="s">
        <v>8</v>
      </c>
      <c r="E289" s="2754" t="str">
        <f t="shared" si="71"/>
        <v/>
      </c>
      <c r="F289" s="2720"/>
      <c r="G289" s="1087" t="str">
        <f t="shared" si="72"/>
        <v>TJ / година</v>
      </c>
      <c r="H289" s="1127" t="str">
        <f>IF(SUMIF(F_ProductBM!$Q:$Q,$Q289,F_ProductBM!H:H)&gt;0,SUMIF(F_ProductBM!$Q:$Q,$Q289,F_ProductBM!H:H),"")</f>
        <v/>
      </c>
      <c r="I289" s="1127" t="str">
        <f>IF(SUMIF(F_ProductBM!$Q:$Q,$Q289,F_ProductBM!I:I)&gt;0,SUMIF(F_ProductBM!$Q:$Q,$Q289,F_ProductBM!I:I),"")</f>
        <v/>
      </c>
      <c r="J289" s="1127" t="str">
        <f>IF(SUMIF(F_ProductBM!$Q:$Q,$Q289,F_ProductBM!J:J)&gt;0,SUMIF(F_ProductBM!$Q:$Q,$Q289,F_ProductBM!J:J),"")</f>
        <v/>
      </c>
      <c r="K289" s="1127" t="str">
        <f>IF(SUMIF(F_ProductBM!$Q:$Q,$Q289,F_ProductBM!K:K)&gt;0,SUMIF(F_ProductBM!$Q:$Q,$Q289,F_ProductBM!K:K),"")</f>
        <v/>
      </c>
      <c r="L289" s="1127" t="str">
        <f>IF(SUMIF(F_ProductBM!$Q:$Q,$Q289,F_ProductBM!L:L)&gt;0,SUMIF(F_ProductBM!$Q:$Q,$Q289,F_ProductBM!L:L),"")</f>
        <v/>
      </c>
      <c r="M289" s="1127" t="str">
        <f>IF(SUMIF(F_ProductBM!$Q:$Q,$Q289,F_ProductBM!M:M)&gt;0,SUMIF(F_ProductBM!$Q:$Q,$Q289,F_ProductBM!M:M),"")</f>
        <v/>
      </c>
      <c r="N289" s="1127" t="str">
        <f>IF(SUMIF(F_ProductBM!$Q:$Q,$Q289,F_ProductBM!N:N)&gt;0,SUMIF(F_ProductBM!$Q:$Q,$Q289,F_ProductBM!N:N),"")</f>
        <v/>
      </c>
      <c r="O289" s="336"/>
      <c r="P289" s="302"/>
      <c r="Q289" s="716" t="str">
        <f t="shared" si="73"/>
        <v>WasteGasProd_</v>
      </c>
      <c r="R289" s="343"/>
      <c r="S289" s="343"/>
      <c r="T289" s="343"/>
      <c r="U289" s="343"/>
      <c r="V289" s="343"/>
      <c r="W289" s="343"/>
      <c r="X289" s="343"/>
      <c r="Y289" s="343"/>
      <c r="Z289" s="343"/>
      <c r="AA289" s="343"/>
      <c r="AB289" s="343"/>
      <c r="AC289" s="343"/>
      <c r="AD289" s="343"/>
      <c r="AE289" s="343"/>
    </row>
    <row r="290" spans="1:31" x14ac:dyDescent="0.25">
      <c r="A290" s="343"/>
      <c r="B290" s="698"/>
      <c r="C290" s="698"/>
      <c r="D290" s="1084" t="s">
        <v>18</v>
      </c>
      <c r="E290" s="2754" t="str">
        <f t="shared" si="71"/>
        <v/>
      </c>
      <c r="F290" s="2720"/>
      <c r="G290" s="1087" t="str">
        <f t="shared" si="72"/>
        <v>TJ / година</v>
      </c>
      <c r="H290" s="1127" t="str">
        <f>IF(SUMIF(F_ProductBM!$Q:$Q,$Q290,F_ProductBM!H:H)&gt;0,SUMIF(F_ProductBM!$Q:$Q,$Q290,F_ProductBM!H:H),"")</f>
        <v/>
      </c>
      <c r="I290" s="1127" t="str">
        <f>IF(SUMIF(F_ProductBM!$Q:$Q,$Q290,F_ProductBM!I:I)&gt;0,SUMIF(F_ProductBM!$Q:$Q,$Q290,F_ProductBM!I:I),"")</f>
        <v/>
      </c>
      <c r="J290" s="1127" t="str">
        <f>IF(SUMIF(F_ProductBM!$Q:$Q,$Q290,F_ProductBM!J:J)&gt;0,SUMIF(F_ProductBM!$Q:$Q,$Q290,F_ProductBM!J:J),"")</f>
        <v/>
      </c>
      <c r="K290" s="1127" t="str">
        <f>IF(SUMIF(F_ProductBM!$Q:$Q,$Q290,F_ProductBM!K:K)&gt;0,SUMIF(F_ProductBM!$Q:$Q,$Q290,F_ProductBM!K:K),"")</f>
        <v/>
      </c>
      <c r="L290" s="1127" t="str">
        <f>IF(SUMIF(F_ProductBM!$Q:$Q,$Q290,F_ProductBM!L:L)&gt;0,SUMIF(F_ProductBM!$Q:$Q,$Q290,F_ProductBM!L:L),"")</f>
        <v/>
      </c>
      <c r="M290" s="1127" t="str">
        <f>IF(SUMIF(F_ProductBM!$Q:$Q,$Q290,F_ProductBM!M:M)&gt;0,SUMIF(F_ProductBM!$Q:$Q,$Q290,F_ProductBM!M:M),"")</f>
        <v/>
      </c>
      <c r="N290" s="1127" t="str">
        <f>IF(SUMIF(F_ProductBM!$Q:$Q,$Q290,F_ProductBM!N:N)&gt;0,SUMIF(F_ProductBM!$Q:$Q,$Q290,F_ProductBM!N:N),"")</f>
        <v/>
      </c>
      <c r="O290" s="336"/>
      <c r="P290" s="302"/>
      <c r="Q290" s="716" t="str">
        <f t="shared" si="73"/>
        <v>WasteGasProd_</v>
      </c>
      <c r="R290" s="343"/>
      <c r="S290" s="343"/>
      <c r="T290" s="343"/>
      <c r="U290" s="343"/>
      <c r="V290" s="343"/>
      <c r="W290" s="343"/>
      <c r="X290" s="343"/>
      <c r="Y290" s="343"/>
      <c r="Z290" s="343"/>
      <c r="AA290" s="343"/>
      <c r="AB290" s="343"/>
      <c r="AC290" s="343"/>
      <c r="AD290" s="343"/>
      <c r="AE290" s="343"/>
    </row>
    <row r="291" spans="1:31" x14ac:dyDescent="0.25">
      <c r="A291" s="343"/>
      <c r="B291" s="698"/>
      <c r="C291" s="698"/>
      <c r="D291" s="360" t="s">
        <v>810</v>
      </c>
      <c r="E291" s="2754" t="str">
        <f t="shared" si="71"/>
        <v/>
      </c>
      <c r="F291" s="2720"/>
      <c r="G291" s="1087" t="str">
        <f t="shared" si="72"/>
        <v>TJ / година</v>
      </c>
      <c r="H291" s="1127" t="str">
        <f>IF(SUMIF(F_ProductBM!$Q:$Q,$Q291,F_ProductBM!H:H)&gt;0,SUMIF(F_ProductBM!$Q:$Q,$Q291,F_ProductBM!H:H),"")</f>
        <v/>
      </c>
      <c r="I291" s="1127" t="str">
        <f>IF(SUMIF(F_ProductBM!$Q:$Q,$Q291,F_ProductBM!I:I)&gt;0,SUMIF(F_ProductBM!$Q:$Q,$Q291,F_ProductBM!I:I),"")</f>
        <v/>
      </c>
      <c r="J291" s="1127" t="str">
        <f>IF(SUMIF(F_ProductBM!$Q:$Q,$Q291,F_ProductBM!J:J)&gt;0,SUMIF(F_ProductBM!$Q:$Q,$Q291,F_ProductBM!J:J),"")</f>
        <v/>
      </c>
      <c r="K291" s="1127" t="str">
        <f>IF(SUMIF(F_ProductBM!$Q:$Q,$Q291,F_ProductBM!K:K)&gt;0,SUMIF(F_ProductBM!$Q:$Q,$Q291,F_ProductBM!K:K),"")</f>
        <v/>
      </c>
      <c r="L291" s="1127" t="str">
        <f>IF(SUMIF(F_ProductBM!$Q:$Q,$Q291,F_ProductBM!L:L)&gt;0,SUMIF(F_ProductBM!$Q:$Q,$Q291,F_ProductBM!L:L),"")</f>
        <v/>
      </c>
      <c r="M291" s="1127" t="str">
        <f>IF(SUMIF(F_ProductBM!$Q:$Q,$Q291,F_ProductBM!M:M)&gt;0,SUMIF(F_ProductBM!$Q:$Q,$Q291,F_ProductBM!M:M),"")</f>
        <v/>
      </c>
      <c r="N291" s="1127" t="str">
        <f>IF(SUMIF(F_ProductBM!$Q:$Q,$Q291,F_ProductBM!N:N)&gt;0,SUMIF(F_ProductBM!$Q:$Q,$Q291,F_ProductBM!N:N),"")</f>
        <v/>
      </c>
      <c r="O291" s="336"/>
      <c r="P291" s="302"/>
      <c r="Q291" s="716" t="str">
        <f t="shared" si="73"/>
        <v>WasteGasProd_</v>
      </c>
      <c r="R291" s="343"/>
      <c r="S291" s="343"/>
      <c r="T291" s="343"/>
      <c r="U291" s="343"/>
      <c r="V291" s="343"/>
      <c r="W291" s="343"/>
      <c r="X291" s="343"/>
      <c r="Y291" s="343"/>
      <c r="Z291" s="343"/>
      <c r="AA291" s="343"/>
      <c r="AB291" s="343"/>
      <c r="AC291" s="343"/>
      <c r="AD291" s="343"/>
      <c r="AE291" s="343"/>
    </row>
    <row r="292" spans="1:31" x14ac:dyDescent="0.25">
      <c r="A292" s="343"/>
      <c r="B292" s="698"/>
      <c r="C292" s="698"/>
      <c r="D292" s="360" t="s">
        <v>811</v>
      </c>
      <c r="E292" s="2754" t="str">
        <f t="shared" si="71"/>
        <v/>
      </c>
      <c r="F292" s="2720"/>
      <c r="G292" s="1087" t="str">
        <f t="shared" si="72"/>
        <v>TJ / година</v>
      </c>
      <c r="H292" s="1127" t="str">
        <f>IF(SUMIF(F_ProductBM!$Q:$Q,$Q292,F_ProductBM!H:H)&gt;0,SUMIF(F_ProductBM!$Q:$Q,$Q292,F_ProductBM!H:H),"")</f>
        <v/>
      </c>
      <c r="I292" s="1127" t="str">
        <f>IF(SUMIF(F_ProductBM!$Q:$Q,$Q292,F_ProductBM!I:I)&gt;0,SUMIF(F_ProductBM!$Q:$Q,$Q292,F_ProductBM!I:I),"")</f>
        <v/>
      </c>
      <c r="J292" s="1127" t="str">
        <f>IF(SUMIF(F_ProductBM!$Q:$Q,$Q292,F_ProductBM!J:J)&gt;0,SUMIF(F_ProductBM!$Q:$Q,$Q292,F_ProductBM!J:J),"")</f>
        <v/>
      </c>
      <c r="K292" s="1127" t="str">
        <f>IF(SUMIF(F_ProductBM!$Q:$Q,$Q292,F_ProductBM!K:K)&gt;0,SUMIF(F_ProductBM!$Q:$Q,$Q292,F_ProductBM!K:K),"")</f>
        <v/>
      </c>
      <c r="L292" s="1127" t="str">
        <f>IF(SUMIF(F_ProductBM!$Q:$Q,$Q292,F_ProductBM!L:L)&gt;0,SUMIF(F_ProductBM!$Q:$Q,$Q292,F_ProductBM!L:L),"")</f>
        <v/>
      </c>
      <c r="M292" s="1127" t="str">
        <f>IF(SUMIF(F_ProductBM!$Q:$Q,$Q292,F_ProductBM!M:M)&gt;0,SUMIF(F_ProductBM!$Q:$Q,$Q292,F_ProductBM!M:M),"")</f>
        <v/>
      </c>
      <c r="N292" s="1127" t="str">
        <f>IF(SUMIF(F_ProductBM!$Q:$Q,$Q292,F_ProductBM!N:N)&gt;0,SUMIF(F_ProductBM!$Q:$Q,$Q292,F_ProductBM!N:N),"")</f>
        <v/>
      </c>
      <c r="O292" s="336"/>
      <c r="P292" s="302"/>
      <c r="Q292" s="716" t="str">
        <f t="shared" si="73"/>
        <v>WasteGasProd_</v>
      </c>
      <c r="R292" s="343"/>
      <c r="S292" s="343"/>
      <c r="T292" s="343"/>
      <c r="U292" s="343"/>
      <c r="V292" s="343"/>
      <c r="W292" s="343"/>
      <c r="X292" s="343"/>
      <c r="Y292" s="343"/>
      <c r="Z292" s="343"/>
      <c r="AA292" s="343"/>
      <c r="AB292" s="343"/>
      <c r="AC292" s="343"/>
      <c r="AD292" s="343"/>
      <c r="AE292" s="343"/>
    </row>
    <row r="293" spans="1:31" x14ac:dyDescent="0.25">
      <c r="A293" s="343"/>
      <c r="B293" s="698"/>
      <c r="C293" s="698"/>
      <c r="D293" s="360" t="s">
        <v>812</v>
      </c>
      <c r="E293" s="2754" t="str">
        <f t="shared" si="71"/>
        <v/>
      </c>
      <c r="F293" s="2720"/>
      <c r="G293" s="1087" t="str">
        <f t="shared" si="72"/>
        <v>TJ / година</v>
      </c>
      <c r="H293" s="1127" t="str">
        <f>IF(SUMIF(F_ProductBM!$Q:$Q,$Q293,F_ProductBM!H:H)&gt;0,SUMIF(F_ProductBM!$Q:$Q,$Q293,F_ProductBM!H:H),"")</f>
        <v/>
      </c>
      <c r="I293" s="1127" t="str">
        <f>IF(SUMIF(F_ProductBM!$Q:$Q,$Q293,F_ProductBM!I:I)&gt;0,SUMIF(F_ProductBM!$Q:$Q,$Q293,F_ProductBM!I:I),"")</f>
        <v/>
      </c>
      <c r="J293" s="1127" t="str">
        <f>IF(SUMIF(F_ProductBM!$Q:$Q,$Q293,F_ProductBM!J:J)&gt;0,SUMIF(F_ProductBM!$Q:$Q,$Q293,F_ProductBM!J:J),"")</f>
        <v/>
      </c>
      <c r="K293" s="1127" t="str">
        <f>IF(SUMIF(F_ProductBM!$Q:$Q,$Q293,F_ProductBM!K:K)&gt;0,SUMIF(F_ProductBM!$Q:$Q,$Q293,F_ProductBM!K:K),"")</f>
        <v/>
      </c>
      <c r="L293" s="1127" t="str">
        <f>IF(SUMIF(F_ProductBM!$Q:$Q,$Q293,F_ProductBM!L:L)&gt;0,SUMIF(F_ProductBM!$Q:$Q,$Q293,F_ProductBM!L:L),"")</f>
        <v/>
      </c>
      <c r="M293" s="1127" t="str">
        <f>IF(SUMIF(F_ProductBM!$Q:$Q,$Q293,F_ProductBM!M:M)&gt;0,SUMIF(F_ProductBM!$Q:$Q,$Q293,F_ProductBM!M:M),"")</f>
        <v/>
      </c>
      <c r="N293" s="1127" t="str">
        <f>IF(SUMIF(F_ProductBM!$Q:$Q,$Q293,F_ProductBM!N:N)&gt;0,SUMIF(F_ProductBM!$Q:$Q,$Q293,F_ProductBM!N:N),"")</f>
        <v/>
      </c>
      <c r="O293" s="336"/>
      <c r="P293" s="302"/>
      <c r="Q293" s="716" t="str">
        <f t="shared" si="73"/>
        <v>WasteGasProd_</v>
      </c>
      <c r="R293" s="343"/>
      <c r="S293" s="343"/>
      <c r="T293" s="343"/>
      <c r="U293" s="343"/>
      <c r="V293" s="343"/>
      <c r="W293" s="343"/>
      <c r="X293" s="343"/>
      <c r="Y293" s="343"/>
      <c r="Z293" s="343"/>
      <c r="AA293" s="343"/>
      <c r="AB293" s="343"/>
      <c r="AC293" s="343"/>
      <c r="AD293" s="343"/>
      <c r="AE293" s="343"/>
    </row>
    <row r="294" spans="1:31" x14ac:dyDescent="0.25">
      <c r="A294" s="343"/>
      <c r="B294" s="698"/>
      <c r="C294" s="698"/>
      <c r="D294" s="360" t="s">
        <v>813</v>
      </c>
      <c r="E294" s="2754" t="str">
        <f t="shared" si="71"/>
        <v/>
      </c>
      <c r="F294" s="2720"/>
      <c r="G294" s="1087" t="str">
        <f t="shared" si="72"/>
        <v>TJ / година</v>
      </c>
      <c r="H294" s="1127" t="str">
        <f>IF(SUMIF(F_ProductBM!$Q:$Q,$Q294,F_ProductBM!H:H)&gt;0,SUMIF(F_ProductBM!$Q:$Q,$Q294,F_ProductBM!H:H),"")</f>
        <v/>
      </c>
      <c r="I294" s="1127" t="str">
        <f>IF(SUMIF(F_ProductBM!$Q:$Q,$Q294,F_ProductBM!I:I)&gt;0,SUMIF(F_ProductBM!$Q:$Q,$Q294,F_ProductBM!I:I),"")</f>
        <v/>
      </c>
      <c r="J294" s="1127" t="str">
        <f>IF(SUMIF(F_ProductBM!$Q:$Q,$Q294,F_ProductBM!J:J)&gt;0,SUMIF(F_ProductBM!$Q:$Q,$Q294,F_ProductBM!J:J),"")</f>
        <v/>
      </c>
      <c r="K294" s="1127" t="str">
        <f>IF(SUMIF(F_ProductBM!$Q:$Q,$Q294,F_ProductBM!K:K)&gt;0,SUMIF(F_ProductBM!$Q:$Q,$Q294,F_ProductBM!K:K),"")</f>
        <v/>
      </c>
      <c r="L294" s="1127" t="str">
        <f>IF(SUMIF(F_ProductBM!$Q:$Q,$Q294,F_ProductBM!L:L)&gt;0,SUMIF(F_ProductBM!$Q:$Q,$Q294,F_ProductBM!L:L),"")</f>
        <v/>
      </c>
      <c r="M294" s="1127" t="str">
        <f>IF(SUMIF(F_ProductBM!$Q:$Q,$Q294,F_ProductBM!M:M)&gt;0,SUMIF(F_ProductBM!$Q:$Q,$Q294,F_ProductBM!M:M),"")</f>
        <v/>
      </c>
      <c r="N294" s="1127" t="str">
        <f>IF(SUMIF(F_ProductBM!$Q:$Q,$Q294,F_ProductBM!N:N)&gt;0,SUMIF(F_ProductBM!$Q:$Q,$Q294,F_ProductBM!N:N),"")</f>
        <v/>
      </c>
      <c r="O294" s="336"/>
      <c r="P294" s="302"/>
      <c r="Q294" s="716" t="str">
        <f t="shared" si="73"/>
        <v>WasteGasProd_</v>
      </c>
      <c r="R294" s="343"/>
      <c r="S294" s="343"/>
      <c r="T294" s="343"/>
      <c r="U294" s="343"/>
      <c r="V294" s="343"/>
      <c r="W294" s="343"/>
      <c r="X294" s="343"/>
      <c r="Y294" s="343"/>
      <c r="Z294" s="343"/>
      <c r="AA294" s="343"/>
      <c r="AB294" s="343"/>
      <c r="AC294" s="343"/>
      <c r="AD294" s="343"/>
      <c r="AE294" s="343"/>
    </row>
    <row r="295" spans="1:31" x14ac:dyDescent="0.25">
      <c r="A295" s="343"/>
      <c r="B295" s="698"/>
      <c r="C295" s="698"/>
      <c r="D295" s="360" t="s">
        <v>814</v>
      </c>
      <c r="E295" s="2754" t="str">
        <f t="shared" si="71"/>
        <v/>
      </c>
      <c r="F295" s="2720"/>
      <c r="G295" s="1087" t="str">
        <f t="shared" si="72"/>
        <v>TJ / година</v>
      </c>
      <c r="H295" s="1127" t="str">
        <f>IF(SUMIF(F_ProductBM!$Q:$Q,$Q295,F_ProductBM!H:H)&gt;0,SUMIF(F_ProductBM!$Q:$Q,$Q295,F_ProductBM!H:H),"")</f>
        <v/>
      </c>
      <c r="I295" s="1127" t="str">
        <f>IF(SUMIF(F_ProductBM!$Q:$Q,$Q295,F_ProductBM!I:I)&gt;0,SUMIF(F_ProductBM!$Q:$Q,$Q295,F_ProductBM!I:I),"")</f>
        <v/>
      </c>
      <c r="J295" s="1127" t="str">
        <f>IF(SUMIF(F_ProductBM!$Q:$Q,$Q295,F_ProductBM!J:J)&gt;0,SUMIF(F_ProductBM!$Q:$Q,$Q295,F_ProductBM!J:J),"")</f>
        <v/>
      </c>
      <c r="K295" s="1127" t="str">
        <f>IF(SUMIF(F_ProductBM!$Q:$Q,$Q295,F_ProductBM!K:K)&gt;0,SUMIF(F_ProductBM!$Q:$Q,$Q295,F_ProductBM!K:K),"")</f>
        <v/>
      </c>
      <c r="L295" s="1127" t="str">
        <f>IF(SUMIF(F_ProductBM!$Q:$Q,$Q295,F_ProductBM!L:L)&gt;0,SUMIF(F_ProductBM!$Q:$Q,$Q295,F_ProductBM!L:L),"")</f>
        <v/>
      </c>
      <c r="M295" s="1127" t="str">
        <f>IF(SUMIF(F_ProductBM!$Q:$Q,$Q295,F_ProductBM!M:M)&gt;0,SUMIF(F_ProductBM!$Q:$Q,$Q295,F_ProductBM!M:M),"")</f>
        <v/>
      </c>
      <c r="N295" s="1127" t="str">
        <f>IF(SUMIF(F_ProductBM!$Q:$Q,$Q295,F_ProductBM!N:N)&gt;0,SUMIF(F_ProductBM!$Q:$Q,$Q295,F_ProductBM!N:N),"")</f>
        <v/>
      </c>
      <c r="O295" s="336"/>
      <c r="P295" s="302"/>
      <c r="Q295" s="716" t="str">
        <f t="shared" si="73"/>
        <v>WasteGasProd_</v>
      </c>
      <c r="R295" s="343"/>
      <c r="S295" s="343"/>
      <c r="T295" s="343"/>
      <c r="U295" s="343"/>
      <c r="V295" s="343"/>
      <c r="W295" s="343"/>
      <c r="X295" s="343"/>
      <c r="Y295" s="343"/>
      <c r="Z295" s="343"/>
      <c r="AA295" s="343"/>
      <c r="AB295" s="343"/>
      <c r="AC295" s="343"/>
      <c r="AD295" s="343"/>
      <c r="AE295" s="343"/>
    </row>
    <row r="296" spans="1:31" x14ac:dyDescent="0.25">
      <c r="A296" s="343"/>
      <c r="B296" s="698"/>
      <c r="C296" s="698"/>
      <c r="D296" s="360" t="s">
        <v>61</v>
      </c>
      <c r="E296" s="2756" t="str">
        <f t="shared" si="71"/>
        <v/>
      </c>
      <c r="F296" s="2732"/>
      <c r="G296" s="1088" t="str">
        <f t="shared" si="72"/>
        <v>TJ / година</v>
      </c>
      <c r="H296" s="1128" t="str">
        <f>IF(SUMIF(F_ProductBM!$Q:$Q,$Q296,F_ProductBM!H:H)&gt;0,SUMIF(F_ProductBM!$Q:$Q,$Q296,F_ProductBM!H:H),"")</f>
        <v/>
      </c>
      <c r="I296" s="1128" t="str">
        <f>IF(SUMIF(F_ProductBM!$Q:$Q,$Q296,F_ProductBM!I:I)&gt;0,SUMIF(F_ProductBM!$Q:$Q,$Q296,F_ProductBM!I:I),"")</f>
        <v/>
      </c>
      <c r="J296" s="1128" t="str">
        <f>IF(SUMIF(F_ProductBM!$Q:$Q,$Q296,F_ProductBM!J:J)&gt;0,SUMIF(F_ProductBM!$Q:$Q,$Q296,F_ProductBM!J:J),"")</f>
        <v/>
      </c>
      <c r="K296" s="1128" t="str">
        <f>IF(SUMIF(F_ProductBM!$Q:$Q,$Q296,F_ProductBM!K:K)&gt;0,SUMIF(F_ProductBM!$Q:$Q,$Q296,F_ProductBM!K:K),"")</f>
        <v/>
      </c>
      <c r="L296" s="1128" t="str">
        <f>IF(SUMIF(F_ProductBM!$Q:$Q,$Q296,F_ProductBM!L:L)&gt;0,SUMIF(F_ProductBM!$Q:$Q,$Q296,F_ProductBM!L:L),"")</f>
        <v/>
      </c>
      <c r="M296" s="1128" t="str">
        <f>IF(SUMIF(F_ProductBM!$Q:$Q,$Q296,F_ProductBM!M:M)&gt;0,SUMIF(F_ProductBM!$Q:$Q,$Q296,F_ProductBM!M:M),"")</f>
        <v/>
      </c>
      <c r="N296" s="1128" t="str">
        <f>IF(SUMIF(F_ProductBM!$Q:$Q,$Q296,F_ProductBM!N:N)&gt;0,SUMIF(F_ProductBM!$Q:$Q,$Q296,F_ProductBM!N:N),"")</f>
        <v/>
      </c>
      <c r="O296" s="336"/>
      <c r="P296" s="302"/>
      <c r="Q296" s="716" t="str">
        <f t="shared" si="73"/>
        <v>WasteGasProd_</v>
      </c>
      <c r="R296" s="343"/>
      <c r="S296" s="343"/>
      <c r="T296" s="343"/>
      <c r="U296" s="343"/>
      <c r="V296" s="343"/>
      <c r="W296" s="343"/>
      <c r="X296" s="343"/>
      <c r="Y296" s="343"/>
      <c r="Z296" s="343"/>
      <c r="AA296" s="343"/>
      <c r="AB296" s="343"/>
      <c r="AC296" s="343"/>
      <c r="AD296" s="343"/>
      <c r="AE296" s="343"/>
    </row>
    <row r="297" spans="1:31" ht="12.75" customHeight="1" x14ac:dyDescent="0.25">
      <c r="A297" s="343"/>
      <c r="B297" s="698"/>
      <c r="C297" s="698"/>
      <c r="D297" s="360" t="s">
        <v>62</v>
      </c>
      <c r="E297" s="2738" t="str">
        <f>Translations!$B$353</f>
        <v>Междинен сбор</v>
      </c>
      <c r="F297" s="2739"/>
      <c r="G297" s="1016" t="str">
        <f t="shared" si="72"/>
        <v>TJ / година</v>
      </c>
      <c r="H297" s="1024" t="str">
        <f t="shared" ref="H297:N297" si="74">IF(COUNT(H287:H296)&gt;0,SUM(H287:H296),"")</f>
        <v/>
      </c>
      <c r="I297" s="1024" t="str">
        <f t="shared" si="74"/>
        <v/>
      </c>
      <c r="J297" s="1024" t="str">
        <f t="shared" si="74"/>
        <v/>
      </c>
      <c r="K297" s="1024" t="str">
        <f t="shared" si="74"/>
        <v/>
      </c>
      <c r="L297" s="1024" t="str">
        <f t="shared" si="74"/>
        <v/>
      </c>
      <c r="M297" s="1024" t="str">
        <f t="shared" si="74"/>
        <v/>
      </c>
      <c r="N297" s="1024" t="str">
        <f t="shared" si="74"/>
        <v/>
      </c>
      <c r="O297" s="336"/>
      <c r="P297" s="302"/>
      <c r="Q297" s="343"/>
      <c r="R297" s="343"/>
      <c r="S297" s="343"/>
      <c r="T297" s="343"/>
      <c r="U297" s="343"/>
      <c r="V297" s="343"/>
      <c r="W297" s="343"/>
      <c r="X297" s="343"/>
      <c r="Y297" s="343"/>
      <c r="Z297" s="343"/>
      <c r="AA297" s="343"/>
      <c r="AB297" s="343"/>
      <c r="AC297" s="343"/>
      <c r="AD297" s="343"/>
      <c r="AE297" s="343"/>
    </row>
    <row r="298" spans="1:31" ht="5.15" customHeight="1" x14ac:dyDescent="0.25">
      <c r="A298" s="343"/>
      <c r="B298" s="284"/>
      <c r="C298" s="284"/>
      <c r="D298" s="284"/>
      <c r="E298" s="284"/>
      <c r="F298" s="284"/>
      <c r="G298" s="284"/>
      <c r="H298" s="284"/>
      <c r="I298" s="284"/>
      <c r="J298" s="284"/>
      <c r="K298" s="284"/>
      <c r="L298" s="284"/>
      <c r="M298" s="284"/>
      <c r="N298" s="284"/>
      <c r="O298" s="336"/>
      <c r="P298" s="302"/>
      <c r="Q298" s="695"/>
      <c r="R298" s="343"/>
      <c r="S298" s="343"/>
      <c r="T298" s="343"/>
      <c r="U298" s="343"/>
      <c r="V298" s="343"/>
      <c r="W298" s="343"/>
      <c r="X298" s="343"/>
      <c r="Y298" s="343"/>
      <c r="Z298" s="343"/>
      <c r="AA298" s="343"/>
      <c r="AB298" s="343"/>
      <c r="AC298" s="343"/>
      <c r="AD298" s="343"/>
      <c r="AE298" s="343"/>
    </row>
    <row r="299" spans="1:31" ht="12.75" customHeight="1" x14ac:dyDescent="0.25">
      <c r="A299" s="343"/>
      <c r="B299" s="284"/>
      <c r="C299" s="300"/>
      <c r="D299" s="300" t="s">
        <v>901</v>
      </c>
      <c r="E299" s="2724" t="str">
        <f>Translations!$B$426</f>
        <v>Отпадни газове, произведени извън системните граници на подинсталация с продуктов показател</v>
      </c>
      <c r="F299" s="2725"/>
      <c r="G299" s="2725"/>
      <c r="H299" s="2725"/>
      <c r="I299" s="2725"/>
      <c r="J299" s="2725"/>
      <c r="K299" s="2725"/>
      <c r="L299" s="2725"/>
      <c r="M299" s="2725"/>
      <c r="N299" s="2725"/>
      <c r="O299" s="336"/>
      <c r="P299" s="302"/>
      <c r="Q299" s="695"/>
      <c r="R299" s="343"/>
      <c r="S299" s="343"/>
      <c r="T299" s="343"/>
      <c r="U299" s="343"/>
      <c r="V299" s="343"/>
      <c r="W299" s="343"/>
      <c r="X299" s="343"/>
      <c r="Y299" s="343"/>
      <c r="Z299" s="343"/>
      <c r="AA299" s="343"/>
      <c r="AB299" s="343"/>
      <c r="AC299" s="343"/>
      <c r="AD299" s="343"/>
      <c r="AE299" s="343"/>
    </row>
    <row r="300" spans="1:31" ht="12.75" customHeight="1" x14ac:dyDescent="0.25">
      <c r="A300" s="343"/>
      <c r="B300" s="284"/>
      <c r="C300" s="302"/>
      <c r="D300" s="302"/>
      <c r="E300" s="2755" t="str">
        <f>Translations!$B$427</f>
        <v>Информацията се взема от раздел D.IV.Ако е приложимо, трябва да се уверите, че там сте въвели пълни данни.</v>
      </c>
      <c r="F300" s="2725"/>
      <c r="G300" s="2725"/>
      <c r="H300" s="2725"/>
      <c r="I300" s="2725"/>
      <c r="J300" s="2725"/>
      <c r="K300" s="2725"/>
      <c r="L300" s="2725"/>
      <c r="M300" s="2725"/>
      <c r="N300" s="2725"/>
      <c r="O300" s="336"/>
      <c r="P300" s="302"/>
      <c r="Q300" s="695"/>
      <c r="R300" s="343"/>
      <c r="S300" s="343"/>
      <c r="T300" s="343"/>
      <c r="U300" s="343"/>
      <c r="V300" s="343"/>
      <c r="W300" s="343"/>
      <c r="X300" s="343"/>
      <c r="Y300" s="343"/>
      <c r="Z300" s="343"/>
      <c r="AA300" s="343"/>
      <c r="AB300" s="343"/>
      <c r="AC300" s="343"/>
      <c r="AD300" s="343"/>
      <c r="AE300" s="343"/>
    </row>
    <row r="301" spans="1:31" ht="12.75" customHeight="1" x14ac:dyDescent="0.25">
      <c r="A301" s="343"/>
      <c r="B301" s="284"/>
      <c r="C301" s="302"/>
      <c r="D301" s="302"/>
      <c r="E301" s="2733" t="str">
        <f>Translations!$B$428</f>
        <v>Имайте предвид, че данните, които трябва да се въведат там, може да са свързани с отпадни газове, произведени в други инсталации, от които те са получени.</v>
      </c>
      <c r="F301" s="2725"/>
      <c r="G301" s="2725"/>
      <c r="H301" s="2725"/>
      <c r="I301" s="2725"/>
      <c r="J301" s="2725"/>
      <c r="K301" s="2725"/>
      <c r="L301" s="2725"/>
      <c r="M301" s="2725"/>
      <c r="N301" s="2725"/>
      <c r="O301" s="336"/>
      <c r="P301" s="302"/>
      <c r="Q301" s="695"/>
      <c r="R301" s="343"/>
      <c r="S301" s="343"/>
      <c r="T301" s="343"/>
      <c r="U301" s="343"/>
      <c r="V301" s="343"/>
      <c r="W301" s="343"/>
      <c r="X301" s="343"/>
      <c r="Y301" s="343"/>
      <c r="Z301" s="343"/>
      <c r="AA301" s="343"/>
      <c r="AB301" s="343"/>
      <c r="AC301" s="343"/>
      <c r="AD301" s="343"/>
      <c r="AE301" s="343"/>
    </row>
    <row r="302" spans="1:31" ht="13" customHeight="1" x14ac:dyDescent="0.25">
      <c r="A302" s="343"/>
      <c r="B302" s="698"/>
      <c r="C302" s="698"/>
      <c r="D302" s="698"/>
      <c r="E302" s="2742" t="str">
        <f>Translations!$B$429</f>
        <v>от раздел D.IV.</v>
      </c>
      <c r="F302" s="2743"/>
      <c r="G302" s="527" t="str">
        <f>EUconst_Unit</f>
        <v>Единица мярка</v>
      </c>
      <c r="H302" s="391">
        <f t="shared" ref="H302:N302" si="75">H$428</f>
        <v>2024</v>
      </c>
      <c r="I302" s="391">
        <f t="shared" si="75"/>
        <v>2025</v>
      </c>
      <c r="J302" s="391">
        <f t="shared" si="75"/>
        <v>2026</v>
      </c>
      <c r="K302" s="391">
        <f t="shared" si="75"/>
        <v>2027</v>
      </c>
      <c r="L302" s="391">
        <f t="shared" si="75"/>
        <v>2028</v>
      </c>
      <c r="M302" s="391">
        <f t="shared" si="75"/>
        <v>2029</v>
      </c>
      <c r="N302" s="572">
        <f t="shared" si="75"/>
        <v>2030</v>
      </c>
      <c r="O302" s="336"/>
      <c r="P302" s="302"/>
      <c r="Q302" s="343"/>
      <c r="R302" s="343"/>
      <c r="S302" s="343"/>
      <c r="T302" s="343"/>
      <c r="U302" s="343"/>
      <c r="V302" s="343"/>
      <c r="W302" s="343"/>
      <c r="X302" s="343"/>
      <c r="Y302" s="343"/>
      <c r="Z302" s="343"/>
      <c r="AA302" s="343"/>
      <c r="AB302" s="343"/>
      <c r="AC302" s="343"/>
      <c r="AD302" s="343"/>
      <c r="AE302" s="343"/>
    </row>
    <row r="303" spans="1:31" x14ac:dyDescent="0.25">
      <c r="A303" s="343"/>
      <c r="B303" s="698"/>
      <c r="C303" s="698"/>
      <c r="D303" s="1084" t="s">
        <v>6</v>
      </c>
      <c r="E303" s="2771" t="str">
        <f>Translations!$B$430</f>
        <v>Отпаден газ 1</v>
      </c>
      <c r="F303" s="2729"/>
      <c r="G303" s="1085" t="str">
        <f>EUconst_TJpa</f>
        <v>TJ / година</v>
      </c>
      <c r="H303" s="1126" t="str">
        <f>IF(SUMIF(D_Emissions!$Q$203:$Q$252,$Q303,D_Emissions!R$203:R$252)&gt;0,SUMIF(D_Emissions!$Q$203:$Q$252,$Q303,D_Emissions!R$203:R$252),"")</f>
        <v/>
      </c>
      <c r="I303" s="1126" t="str">
        <f>IF(SUMIF(D_Emissions!$Q$203:$Q$252,$Q303,D_Emissions!S$203:S$252)&gt;0,SUMIF(D_Emissions!$Q$203:$Q$252,$Q303,D_Emissions!S$203:S$252),"")</f>
        <v/>
      </c>
      <c r="J303" s="1126" t="str">
        <f>IF(SUMIF(D_Emissions!$Q$203:$Q$252,$Q303,D_Emissions!T$203:T$252)&gt;0,SUMIF(D_Emissions!$Q$203:$Q$252,$Q303,D_Emissions!T$203:T$252),"")</f>
        <v/>
      </c>
      <c r="K303" s="1126" t="str">
        <f>IF(SUMIF(D_Emissions!$Q$203:$Q$252,$Q303,D_Emissions!U$203:U$252)&gt;0,SUMIF(D_Emissions!$Q$203:$Q$252,$Q303,D_Emissions!U$203:U$252),"")</f>
        <v/>
      </c>
      <c r="L303" s="1126" t="str">
        <f>IF(SUMIF(D_Emissions!$Q$203:$Q$252,$Q303,D_Emissions!V$203:V$252)&gt;0,SUMIF(D_Emissions!$Q$203:$Q$252,$Q303,D_Emissions!V$203:V$252),"")</f>
        <v/>
      </c>
      <c r="M303" s="1126" t="str">
        <f>IF(SUMIF(D_Emissions!$Q$203:$Q$252,$Q303,D_Emissions!W$203:W$252)&gt;0,SUMIF(D_Emissions!$Q$203:$Q$252,$Q303,D_Emissions!W$203:W$252),"")</f>
        <v/>
      </c>
      <c r="N303" s="1126" t="str">
        <f>IF(SUMIF(D_Emissions!$Q$203:$Q$252,$Q303,D_Emissions!X$203:X$252)&gt;0,SUMIF(D_Emissions!$Q$203:$Q$252,$Q303,D_Emissions!X$203:X$252),"")</f>
        <v/>
      </c>
      <c r="O303" s="336"/>
      <c r="P303" s="302"/>
      <c r="Q303" s="1129" t="str">
        <f>EUconst_CNTR_WGProduced &amp; R303</f>
        <v>WasteGasProd_1</v>
      </c>
      <c r="R303" s="716">
        <v>1</v>
      </c>
      <c r="S303" s="343"/>
      <c r="T303" s="343"/>
      <c r="U303" s="343"/>
      <c r="V303" s="343"/>
      <c r="W303" s="343"/>
      <c r="X303" s="343"/>
      <c r="Y303" s="343"/>
      <c r="Z303" s="343"/>
      <c r="AA303" s="343"/>
      <c r="AB303" s="343"/>
      <c r="AC303" s="343"/>
      <c r="AD303" s="343"/>
      <c r="AE303" s="343"/>
    </row>
    <row r="304" spans="1:31" x14ac:dyDescent="0.25">
      <c r="A304" s="343"/>
      <c r="B304" s="698"/>
      <c r="C304" s="698"/>
      <c r="D304" s="1084" t="s">
        <v>7</v>
      </c>
      <c r="E304" s="2790" t="str">
        <f>Translations!$B$431</f>
        <v>Отпаден газ 2</v>
      </c>
      <c r="F304" s="2732"/>
      <c r="G304" s="1087" t="str">
        <f>EUconst_TJpa</f>
        <v>TJ / година</v>
      </c>
      <c r="H304" s="1128" t="str">
        <f>IF(SUMIF(D_Emissions!$Q$203:$Q$252,$Q304,D_Emissions!R$203:R$252)&gt;0,SUMIF(D_Emissions!$Q$203:$Q$252,$Q304,D_Emissions!R$203:R$252),"")</f>
        <v/>
      </c>
      <c r="I304" s="1128" t="str">
        <f>IF(SUMIF(D_Emissions!$Q$203:$Q$252,$Q304,D_Emissions!S$203:S$252)&gt;0,SUMIF(D_Emissions!$Q$203:$Q$252,$Q304,D_Emissions!S$203:S$252),"")</f>
        <v/>
      </c>
      <c r="J304" s="1128" t="str">
        <f>IF(SUMIF(D_Emissions!$Q$203:$Q$252,$Q304,D_Emissions!T$203:T$252)&gt;0,SUMIF(D_Emissions!$Q$203:$Q$252,$Q304,D_Emissions!T$203:T$252),"")</f>
        <v/>
      </c>
      <c r="K304" s="1128" t="str">
        <f>IF(SUMIF(D_Emissions!$Q$203:$Q$252,$Q304,D_Emissions!U$203:U$252)&gt;0,SUMIF(D_Emissions!$Q$203:$Q$252,$Q304,D_Emissions!U$203:U$252),"")</f>
        <v/>
      </c>
      <c r="L304" s="1128" t="str">
        <f>IF(SUMIF(D_Emissions!$Q$203:$Q$252,$Q304,D_Emissions!V$203:V$252)&gt;0,SUMIF(D_Emissions!$Q$203:$Q$252,$Q304,D_Emissions!V$203:V$252),"")</f>
        <v/>
      </c>
      <c r="M304" s="1128" t="str">
        <f>IF(SUMIF(D_Emissions!$Q$203:$Q$252,$Q304,D_Emissions!W$203:W$252)&gt;0,SUMIF(D_Emissions!$Q$203:$Q$252,$Q304,D_Emissions!W$203:W$252),"")</f>
        <v/>
      </c>
      <c r="N304" s="1128" t="str">
        <f>IF(SUMIF(D_Emissions!$Q$203:$Q$252,$Q304,D_Emissions!X$203:X$252)&gt;0,SUMIF(D_Emissions!$Q$203:$Q$252,$Q304,D_Emissions!X$203:X$252),"")</f>
        <v/>
      </c>
      <c r="O304" s="336"/>
      <c r="P304" s="302"/>
      <c r="Q304" s="1129" t="str">
        <f>EUconst_CNTR_WGProduced &amp; R304</f>
        <v>WasteGasProd_2</v>
      </c>
      <c r="R304" s="716">
        <v>2</v>
      </c>
      <c r="S304" s="343"/>
      <c r="T304" s="343"/>
      <c r="U304" s="343"/>
      <c r="V304" s="343"/>
      <c r="W304" s="343"/>
      <c r="X304" s="343"/>
      <c r="Y304" s="343"/>
      <c r="Z304" s="343"/>
      <c r="AA304" s="343"/>
      <c r="AB304" s="343"/>
      <c r="AC304" s="343"/>
      <c r="AD304" s="343"/>
      <c r="AE304" s="343"/>
    </row>
    <row r="305" spans="1:31" ht="12.75" customHeight="1" x14ac:dyDescent="0.25">
      <c r="A305" s="343"/>
      <c r="B305" s="698"/>
      <c r="C305" s="698"/>
      <c r="D305" s="360" t="s">
        <v>8</v>
      </c>
      <c r="E305" s="2738" t="str">
        <f>Translations!$B$353</f>
        <v>Междинен сбор</v>
      </c>
      <c r="F305" s="2739"/>
      <c r="G305" s="1016" t="str">
        <f>EUconst_TJpa</f>
        <v>TJ / година</v>
      </c>
      <c r="H305" s="1024" t="str">
        <f t="shared" ref="H305:N305" si="76">IF(COUNT(H303:H304)&gt;0,SUM(H303:H304),"")</f>
        <v/>
      </c>
      <c r="I305" s="1024" t="str">
        <f t="shared" si="76"/>
        <v/>
      </c>
      <c r="J305" s="1024" t="str">
        <f t="shared" si="76"/>
        <v/>
      </c>
      <c r="K305" s="1024" t="str">
        <f t="shared" si="76"/>
        <v/>
      </c>
      <c r="L305" s="1024" t="str">
        <f t="shared" si="76"/>
        <v/>
      </c>
      <c r="M305" s="1024" t="str">
        <f t="shared" si="76"/>
        <v/>
      </c>
      <c r="N305" s="1024" t="str">
        <f t="shared" si="76"/>
        <v/>
      </c>
      <c r="O305" s="336"/>
      <c r="P305" s="302"/>
      <c r="Q305" s="343"/>
      <c r="R305" s="343"/>
      <c r="S305" s="343"/>
      <c r="T305" s="343"/>
      <c r="U305" s="343"/>
      <c r="V305" s="343"/>
      <c r="W305" s="343"/>
      <c r="X305" s="343"/>
      <c r="Y305" s="343"/>
      <c r="Z305" s="343"/>
      <c r="AA305" s="343"/>
      <c r="AB305" s="343"/>
      <c r="AC305" s="343"/>
      <c r="AD305" s="343"/>
      <c r="AE305" s="343"/>
    </row>
    <row r="306" spans="1:31" ht="5.15" customHeight="1" thickBot="1" x14ac:dyDescent="0.3">
      <c r="A306" s="343"/>
      <c r="B306" s="284"/>
      <c r="C306" s="284"/>
      <c r="D306" s="284"/>
      <c r="E306" s="284"/>
      <c r="F306" s="284"/>
      <c r="G306" s="284"/>
      <c r="H306" s="284"/>
      <c r="I306" s="284"/>
      <c r="J306" s="284"/>
      <c r="K306" s="284"/>
      <c r="L306" s="284"/>
      <c r="M306" s="284"/>
      <c r="N306" s="284"/>
      <c r="O306" s="336"/>
      <c r="P306" s="302"/>
      <c r="Q306" s="695"/>
      <c r="R306" s="343"/>
      <c r="S306" s="343"/>
      <c r="T306" s="711"/>
      <c r="U306" s="343"/>
      <c r="V306" s="343"/>
      <c r="W306" s="343"/>
      <c r="X306" s="343"/>
      <c r="Y306" s="343"/>
      <c r="Z306" s="343"/>
      <c r="AA306" s="343"/>
      <c r="AB306" s="343"/>
      <c r="AC306" s="343"/>
      <c r="AD306" s="343"/>
      <c r="AE306" s="343"/>
    </row>
    <row r="307" spans="1:31" ht="12.75" customHeight="1" x14ac:dyDescent="0.25">
      <c r="A307" s="343"/>
      <c r="B307" s="284"/>
      <c r="C307" s="284"/>
      <c r="D307" s="360" t="s">
        <v>18</v>
      </c>
      <c r="E307" s="2740" t="str">
        <f>Translations!$B$1506</f>
        <v>Стойности по подточка iii. от получена енергия</v>
      </c>
      <c r="F307" s="2739"/>
      <c r="G307" s="1016" t="str">
        <f>EUconst_TJpa</f>
        <v>TJ / година</v>
      </c>
      <c r="H307" s="24"/>
      <c r="I307" s="24"/>
      <c r="J307" s="24"/>
      <c r="K307" s="24"/>
      <c r="L307" s="24"/>
      <c r="M307" s="24"/>
      <c r="N307" s="24"/>
      <c r="O307" s="336"/>
      <c r="P307" s="302"/>
      <c r="Q307" s="695"/>
      <c r="R307" s="343"/>
      <c r="S307" s="343"/>
      <c r="T307" s="1086" t="b">
        <f>AND(M280&lt;&gt;"",M280=FALSE)</f>
        <v>0</v>
      </c>
      <c r="U307" s="343"/>
      <c r="V307" s="343"/>
      <c r="W307" s="343"/>
      <c r="X307" s="343"/>
      <c r="Y307" s="343"/>
      <c r="Z307" s="343"/>
      <c r="AA307" s="343"/>
      <c r="AB307" s="343"/>
      <c r="AC307" s="343"/>
      <c r="AD307" s="732" t="s">
        <v>2039</v>
      </c>
      <c r="AE307" s="875" t="str">
        <f>IF(AND(CNTR_HasEntries_A_I,E307&lt;&gt;"",T307=FALSE,COUNTIFS($V$20:$AB$20,FALSE,H307:N307,"")&gt;0),4,"")</f>
        <v/>
      </c>
    </row>
    <row r="308" spans="1:31" ht="5.15" customHeight="1" x14ac:dyDescent="0.25">
      <c r="A308" s="343"/>
      <c r="B308" s="284"/>
      <c r="C308" s="284"/>
      <c r="D308" s="284"/>
      <c r="E308" s="284"/>
      <c r="F308" s="284"/>
      <c r="G308" s="284"/>
      <c r="H308" s="284"/>
      <c r="I308" s="284"/>
      <c r="J308" s="284"/>
      <c r="K308" s="284"/>
      <c r="L308" s="284"/>
      <c r="M308" s="284"/>
      <c r="N308" s="284"/>
      <c r="O308" s="336"/>
      <c r="P308" s="302"/>
      <c r="Q308" s="695"/>
      <c r="R308" s="343"/>
      <c r="S308" s="343"/>
      <c r="T308" s="343"/>
      <c r="U308" s="343"/>
      <c r="V308" s="343"/>
      <c r="W308" s="343"/>
      <c r="X308" s="343"/>
      <c r="Y308" s="343"/>
      <c r="Z308" s="343"/>
      <c r="AA308" s="343"/>
      <c r="AB308" s="343"/>
      <c r="AC308" s="343"/>
      <c r="AD308" s="343"/>
      <c r="AE308" s="343"/>
    </row>
    <row r="309" spans="1:31" ht="13" customHeight="1" x14ac:dyDescent="0.25">
      <c r="A309" s="343"/>
      <c r="B309" s="284"/>
      <c r="C309" s="300"/>
      <c r="D309" s="300" t="s">
        <v>46</v>
      </c>
      <c r="E309" s="2742" t="str">
        <f>Translations!$B$432</f>
        <v>Сбор на отпадните газове (=a+b)</v>
      </c>
      <c r="F309" s="2742"/>
      <c r="G309" s="2742"/>
      <c r="H309" s="2742"/>
      <c r="I309" s="2742"/>
      <c r="J309" s="2742"/>
      <c r="K309" s="2742"/>
      <c r="L309" s="2742"/>
      <c r="M309" s="2742"/>
      <c r="N309" s="2742"/>
      <c r="O309" s="336"/>
      <c r="P309" s="302"/>
      <c r="Q309" s="695"/>
      <c r="R309" s="343"/>
      <c r="S309" s="343"/>
      <c r="T309" s="343"/>
      <c r="U309" s="343"/>
      <c r="V309" s="343"/>
      <c r="W309" s="343"/>
      <c r="X309" s="343"/>
      <c r="Y309" s="343"/>
      <c r="Z309" s="343"/>
      <c r="AA309" s="343"/>
      <c r="AB309" s="343"/>
      <c r="AC309" s="343"/>
      <c r="AD309" s="343"/>
      <c r="AE309" s="343"/>
    </row>
    <row r="310" spans="1:31" ht="12.65" customHeight="1" x14ac:dyDescent="0.25">
      <c r="A310" s="343"/>
      <c r="B310" s="698"/>
      <c r="C310" s="698"/>
      <c r="D310" s="698"/>
      <c r="E310" s="2740" t="str">
        <f>Translations!$B$433</f>
        <v>Произведени отпадни газове</v>
      </c>
      <c r="F310" s="2739"/>
      <c r="G310" s="1038" t="str">
        <f>EUconst_TJpa</f>
        <v>TJ / година</v>
      </c>
      <c r="H310" s="1024" t="str">
        <f>IF(COUNT(H297,H305)&gt;0,SUM(H297,H305)-SUM(H307),"")</f>
        <v/>
      </c>
      <c r="I310" s="1024" t="str">
        <f t="shared" ref="I310:N310" si="77">IF(COUNT(I297,I305)&gt;0,SUM(I297,I305)-SUM(I307),"")</f>
        <v/>
      </c>
      <c r="J310" s="1024" t="str">
        <f t="shared" si="77"/>
        <v/>
      </c>
      <c r="K310" s="1024" t="str">
        <f t="shared" si="77"/>
        <v/>
      </c>
      <c r="L310" s="1024" t="str">
        <f t="shared" si="77"/>
        <v/>
      </c>
      <c r="M310" s="1024" t="str">
        <f t="shared" si="77"/>
        <v/>
      </c>
      <c r="N310" s="1024" t="str">
        <f t="shared" si="77"/>
        <v/>
      </c>
      <c r="O310" s="336"/>
      <c r="P310" s="302"/>
      <c r="Q310" s="343"/>
      <c r="R310" s="343"/>
      <c r="S310" s="343"/>
      <c r="T310" s="343"/>
      <c r="U310" s="343"/>
      <c r="V310" s="343"/>
      <c r="W310" s="343"/>
      <c r="X310" s="343"/>
      <c r="Y310" s="343"/>
      <c r="Z310" s="343"/>
      <c r="AA310" s="343"/>
      <c r="AB310" s="343"/>
      <c r="AC310" s="343"/>
      <c r="AD310" s="343"/>
      <c r="AE310" s="343"/>
    </row>
    <row r="311" spans="1:31" ht="5.15" customHeight="1" x14ac:dyDescent="0.25">
      <c r="A311" s="343"/>
      <c r="B311" s="698"/>
      <c r="C311" s="698"/>
      <c r="D311" s="698"/>
      <c r="E311" s="698"/>
      <c r="F311" s="698"/>
      <c r="G311" s="698"/>
      <c r="H311" s="698"/>
      <c r="I311" s="698"/>
      <c r="J311" s="698"/>
      <c r="K311" s="698"/>
      <c r="L311" s="698"/>
      <c r="M311" s="698"/>
      <c r="N311" s="698"/>
      <c r="O311" s="336"/>
      <c r="P311" s="302"/>
      <c r="Q311" s="343"/>
      <c r="R311" s="343"/>
      <c r="S311" s="343"/>
      <c r="T311" s="343"/>
      <c r="U311" s="343"/>
      <c r="V311" s="343"/>
      <c r="W311" s="343"/>
      <c r="X311" s="343"/>
      <c r="Y311" s="343"/>
      <c r="Z311" s="343"/>
      <c r="AA311" s="343"/>
      <c r="AB311" s="343"/>
      <c r="AC311" s="343"/>
      <c r="AD311" s="343"/>
      <c r="AE311" s="343"/>
    </row>
    <row r="312" spans="1:31" ht="13" customHeight="1" x14ac:dyDescent="0.25">
      <c r="A312" s="343"/>
      <c r="B312" s="284"/>
      <c r="C312" s="300"/>
      <c r="D312" s="300" t="s">
        <v>906</v>
      </c>
      <c r="E312" s="2724" t="str">
        <f>Translations!$B$434</f>
        <v>Отпадни газове, получени от други инсталации или обекти</v>
      </c>
      <c r="F312" s="2725"/>
      <c r="G312" s="2725"/>
      <c r="H312" s="2725"/>
      <c r="I312" s="2725"/>
      <c r="J312" s="2725"/>
      <c r="K312" s="2725"/>
      <c r="L312" s="2725"/>
      <c r="M312" s="2725"/>
      <c r="N312" s="2725"/>
      <c r="O312" s="336"/>
      <c r="P312" s="302"/>
      <c r="Q312" s="695"/>
      <c r="R312" s="343"/>
      <c r="S312" s="343"/>
      <c r="T312" s="343"/>
      <c r="U312" s="343"/>
      <c r="V312" s="343"/>
      <c r="W312" s="343"/>
      <c r="X312" s="343"/>
      <c r="Y312" s="343"/>
      <c r="Z312" s="343"/>
      <c r="AA312" s="343"/>
      <c r="AB312" s="343"/>
      <c r="AC312" s="343"/>
      <c r="AD312" s="343"/>
      <c r="AE312" s="343"/>
    </row>
    <row r="313" spans="1:31" ht="12.75" customHeight="1" x14ac:dyDescent="0.25">
      <c r="A313" s="343"/>
      <c r="B313" s="284"/>
      <c r="C313" s="302"/>
      <c r="D313" s="302"/>
      <c r="E313" s="2733" t="str">
        <f>Translations!$B$351</f>
        <v>Наименованията на инсталациите от падащия списък са взети от раздел A.IV. Затова трябва да се уверите, че там сте въвели пълни данни.</v>
      </c>
      <c r="F313" s="2725"/>
      <c r="G313" s="2725"/>
      <c r="H313" s="2725"/>
      <c r="I313" s="2725"/>
      <c r="J313" s="2725"/>
      <c r="K313" s="2725"/>
      <c r="L313" s="2725"/>
      <c r="M313" s="2725"/>
      <c r="N313" s="2725"/>
      <c r="O313" s="336"/>
      <c r="P313" s="302"/>
      <c r="Q313" s="695"/>
      <c r="R313" s="343"/>
      <c r="S313" s="343"/>
      <c r="T313" s="343"/>
      <c r="U313" s="343"/>
      <c r="V313" s="343"/>
      <c r="W313" s="343"/>
      <c r="X313" s="343"/>
      <c r="Y313" s="343"/>
      <c r="Z313" s="343"/>
      <c r="AA313" s="343"/>
      <c r="AB313" s="343"/>
      <c r="AC313" s="343"/>
      <c r="AD313" s="343"/>
      <c r="AE313" s="343"/>
    </row>
    <row r="314" spans="1:31" ht="12.75" customHeight="1" x14ac:dyDescent="0.25">
      <c r="A314" s="343"/>
      <c r="B314" s="284"/>
      <c r="C314" s="302"/>
      <c r="D314" s="302"/>
      <c r="E314" s="2733" t="str">
        <f>Translations!$B$435</f>
        <v>Проверете дали тук и в буква b) не е направено двойно отчитане, когато получените количества са включени там.</v>
      </c>
      <c r="F314" s="2725"/>
      <c r="G314" s="2725"/>
      <c r="H314" s="2725"/>
      <c r="I314" s="2725"/>
      <c r="J314" s="2725"/>
      <c r="K314" s="2725"/>
      <c r="L314" s="2725"/>
      <c r="M314" s="2725"/>
      <c r="N314" s="2725"/>
      <c r="O314" s="336"/>
      <c r="P314" s="302"/>
      <c r="Q314" s="695"/>
      <c r="R314" s="343"/>
      <c r="S314" s="343"/>
      <c r="T314" s="343"/>
      <c r="U314" s="343"/>
      <c r="V314" s="343"/>
      <c r="W314" s="343"/>
      <c r="X314" s="343"/>
      <c r="Y314" s="343"/>
      <c r="Z314" s="343"/>
      <c r="AA314" s="343"/>
      <c r="AB314" s="343"/>
      <c r="AC314" s="343"/>
      <c r="AD314" s="343"/>
      <c r="AE314" s="343"/>
    </row>
    <row r="315" spans="1:31" ht="12.75" customHeight="1" thickBot="1" x14ac:dyDescent="0.3">
      <c r="A315" s="343"/>
      <c r="B315" s="698"/>
      <c r="C315" s="698"/>
      <c r="D315" s="698"/>
      <c r="E315" s="2742" t="str">
        <f>Translations!$B$182</f>
        <v>Наименование на инсталацията или партньора</v>
      </c>
      <c r="F315" s="2743"/>
      <c r="G315" s="527" t="str">
        <f>EUconst_Unit</f>
        <v>Единица мярка</v>
      </c>
      <c r="H315" s="391">
        <f t="shared" ref="H315:N315" si="78">H$428</f>
        <v>2024</v>
      </c>
      <c r="I315" s="391">
        <f t="shared" si="78"/>
        <v>2025</v>
      </c>
      <c r="J315" s="391">
        <f t="shared" si="78"/>
        <v>2026</v>
      </c>
      <c r="K315" s="391">
        <f t="shared" si="78"/>
        <v>2027</v>
      </c>
      <c r="L315" s="391">
        <f t="shared" si="78"/>
        <v>2028</v>
      </c>
      <c r="M315" s="391">
        <f t="shared" si="78"/>
        <v>2029</v>
      </c>
      <c r="N315" s="572">
        <f t="shared" si="78"/>
        <v>2030</v>
      </c>
      <c r="O315" s="336"/>
      <c r="P315" s="302"/>
      <c r="Q315" s="343"/>
      <c r="R315" s="343"/>
      <c r="S315" s="343"/>
      <c r="T315" s="711" t="s">
        <v>1148</v>
      </c>
      <c r="U315" s="343"/>
      <c r="V315" s="343"/>
      <c r="W315" s="343"/>
      <c r="X315" s="343"/>
      <c r="Y315" s="343"/>
      <c r="Z315" s="343"/>
      <c r="AA315" s="343"/>
      <c r="AB315" s="343"/>
      <c r="AC315" s="343"/>
      <c r="AD315" s="343"/>
      <c r="AE315" s="343"/>
    </row>
    <row r="316" spans="1:31" x14ac:dyDescent="0.25">
      <c r="A316" s="343"/>
      <c r="B316" s="698"/>
      <c r="C316" s="1084"/>
      <c r="D316" s="1084" t="s">
        <v>6</v>
      </c>
      <c r="E316" s="2747"/>
      <c r="F316" s="2748"/>
      <c r="G316" s="981" t="str">
        <f>EUconst_TJpa</f>
        <v>TJ / година</v>
      </c>
      <c r="H316" s="33"/>
      <c r="I316" s="33"/>
      <c r="J316" s="33"/>
      <c r="K316" s="33"/>
      <c r="L316" s="33"/>
      <c r="M316" s="33"/>
      <c r="N316" s="33"/>
      <c r="O316" s="336"/>
      <c r="P316" s="181"/>
      <c r="Q316" s="343"/>
      <c r="R316" s="343"/>
      <c r="S316" s="343"/>
      <c r="T316" s="1086" t="b">
        <f>AND(M280&lt;&gt;"",M280=FALSE)</f>
        <v>0</v>
      </c>
      <c r="U316" s="343"/>
      <c r="V316" s="343"/>
      <c r="W316" s="343"/>
      <c r="X316" s="343"/>
      <c r="Y316" s="343"/>
      <c r="Z316" s="343"/>
      <c r="AA316" s="343"/>
      <c r="AB316" s="343"/>
      <c r="AC316" s="343"/>
      <c r="AD316" s="732" t="s">
        <v>2039</v>
      </c>
      <c r="AE316" s="875" t="str">
        <f>IF(AND(CNTR_HasEntries_A_I,E316&lt;&gt;"",T316=FALSE,COUNTIFS($V$20:$AB$20,FALSE,H316:N316,"")&gt;0),4,"")</f>
        <v/>
      </c>
    </row>
    <row r="317" spans="1:31" x14ac:dyDescent="0.25">
      <c r="A317" s="343"/>
      <c r="B317" s="698"/>
      <c r="C317" s="1084"/>
      <c r="D317" s="1084" t="s">
        <v>7</v>
      </c>
      <c r="E317" s="2734"/>
      <c r="F317" s="2735"/>
      <c r="G317" s="990" t="str">
        <f>EUconst_TJpa</f>
        <v>TJ / година</v>
      </c>
      <c r="H317" s="32"/>
      <c r="I317" s="32"/>
      <c r="J317" s="32"/>
      <c r="K317" s="32"/>
      <c r="L317" s="32"/>
      <c r="M317" s="32"/>
      <c r="N317" s="32"/>
      <c r="O317" s="336"/>
      <c r="P317" s="181"/>
      <c r="Q317" s="343"/>
      <c r="R317" s="343"/>
      <c r="S317" s="343"/>
      <c r="T317" s="747" t="b">
        <f>T316</f>
        <v>0</v>
      </c>
      <c r="U317" s="343"/>
      <c r="V317" s="343"/>
      <c r="W317" s="343"/>
      <c r="X317" s="343"/>
      <c r="Y317" s="343"/>
      <c r="Z317" s="343"/>
      <c r="AA317" s="343"/>
      <c r="AB317" s="343"/>
      <c r="AC317" s="343"/>
      <c r="AD317" s="732" t="s">
        <v>2039</v>
      </c>
      <c r="AE317" s="875" t="str">
        <f>IF(AND(CNTR_HasEntries_A_I,E317&lt;&gt;"",T317=FALSE,COUNTIFS($V$20:$AB$20,FALSE,H317:N317,"")&gt;0),4,"")</f>
        <v/>
      </c>
    </row>
    <row r="318" spans="1:31" x14ac:dyDescent="0.25">
      <c r="A318" s="343"/>
      <c r="B318" s="698"/>
      <c r="C318" s="1084"/>
      <c r="D318" s="1084" t="s">
        <v>8</v>
      </c>
      <c r="E318" s="2736"/>
      <c r="F318" s="2737"/>
      <c r="G318" s="994" t="str">
        <f>EUconst_TJpa</f>
        <v>TJ / година</v>
      </c>
      <c r="H318" s="30"/>
      <c r="I318" s="30"/>
      <c r="J318" s="30"/>
      <c r="K318" s="30"/>
      <c r="L318" s="30"/>
      <c r="M318" s="30"/>
      <c r="N318" s="30"/>
      <c r="O318" s="336"/>
      <c r="P318" s="181"/>
      <c r="Q318" s="343"/>
      <c r="R318" s="343"/>
      <c r="S318" s="343"/>
      <c r="T318" s="747" t="b">
        <f>T317</f>
        <v>0</v>
      </c>
      <c r="U318" s="343"/>
      <c r="V318" s="343"/>
      <c r="W318" s="343"/>
      <c r="X318" s="343"/>
      <c r="Y318" s="343"/>
      <c r="Z318" s="343"/>
      <c r="AA318" s="343"/>
      <c r="AB318" s="343"/>
      <c r="AC318" s="343"/>
      <c r="AD318" s="732" t="s">
        <v>2039</v>
      </c>
      <c r="AE318" s="875" t="str">
        <f>IF(AND(CNTR_HasEntries_A_I,E318&lt;&gt;"",T318=FALSE,COUNTIFS($V$20:$AB$20,FALSE,H318:N318,"")&gt;0),4,"")</f>
        <v/>
      </c>
    </row>
    <row r="319" spans="1:31" x14ac:dyDescent="0.25">
      <c r="A319" s="343"/>
      <c r="B319" s="698"/>
      <c r="C319" s="1084"/>
      <c r="D319" s="1084" t="s">
        <v>18</v>
      </c>
      <c r="E319" s="1090" t="str">
        <f>Translations!$B$353</f>
        <v>Междинен сбор</v>
      </c>
      <c r="F319" s="1090"/>
      <c r="G319" s="1038" t="str">
        <f>EUconst_TJpa</f>
        <v>TJ / година</v>
      </c>
      <c r="H319" s="1024" t="str">
        <f t="shared" ref="H319:N319" si="79">IF(COUNT(H316:H318)&gt;0,SUM(H316:H318),"")</f>
        <v/>
      </c>
      <c r="I319" s="1024" t="str">
        <f t="shared" si="79"/>
        <v/>
      </c>
      <c r="J319" s="1024" t="str">
        <f t="shared" si="79"/>
        <v/>
      </c>
      <c r="K319" s="1024" t="str">
        <f t="shared" si="79"/>
        <v/>
      </c>
      <c r="L319" s="1024" t="str">
        <f t="shared" si="79"/>
        <v/>
      </c>
      <c r="M319" s="1024" t="str">
        <f t="shared" si="79"/>
        <v/>
      </c>
      <c r="N319" s="1024" t="str">
        <f t="shared" si="79"/>
        <v/>
      </c>
      <c r="O319" s="336"/>
      <c r="P319" s="302"/>
      <c r="Q319" s="343"/>
      <c r="R319" s="343"/>
      <c r="S319" s="343"/>
      <c r="T319" s="1089"/>
      <c r="U319" s="343"/>
      <c r="V319" s="343"/>
      <c r="W319" s="343"/>
      <c r="X319" s="343"/>
      <c r="Y319" s="343"/>
      <c r="Z319" s="343"/>
      <c r="AA319" s="343"/>
      <c r="AB319" s="343"/>
      <c r="AC319" s="343"/>
      <c r="AD319" s="343"/>
      <c r="AE319" s="343"/>
    </row>
    <row r="320" spans="1:31" ht="5.15" customHeight="1" x14ac:dyDescent="0.25">
      <c r="A320" s="343"/>
      <c r="B320" s="284"/>
      <c r="C320" s="284"/>
      <c r="D320" s="284"/>
      <c r="E320" s="284"/>
      <c r="F320" s="284"/>
      <c r="G320" s="284"/>
      <c r="H320" s="284"/>
      <c r="I320" s="284"/>
      <c r="J320" s="284"/>
      <c r="K320" s="284"/>
      <c r="L320" s="284"/>
      <c r="M320" s="284"/>
      <c r="N320" s="284"/>
      <c r="O320" s="336"/>
      <c r="P320" s="302"/>
      <c r="Q320" s="695"/>
      <c r="R320" s="343"/>
      <c r="S320" s="343"/>
      <c r="T320" s="1089"/>
      <c r="U320" s="343"/>
      <c r="V320" s="343"/>
      <c r="W320" s="343"/>
      <c r="X320" s="343"/>
      <c r="Y320" s="343"/>
      <c r="Z320" s="343"/>
      <c r="AA320" s="343"/>
      <c r="AB320" s="343"/>
      <c r="AC320" s="343"/>
      <c r="AD320" s="343"/>
      <c r="AE320" s="343"/>
    </row>
    <row r="321" spans="1:31" ht="12.75" customHeight="1" x14ac:dyDescent="0.25">
      <c r="A321" s="343"/>
      <c r="B321" s="284"/>
      <c r="C321" s="300"/>
      <c r="D321" s="300" t="s">
        <v>54</v>
      </c>
      <c r="E321" s="2724" t="str">
        <f>Translations!$B$436</f>
        <v>Отпадни газове, подадени към други инсталации или обекти</v>
      </c>
      <c r="F321" s="2725"/>
      <c r="G321" s="2725"/>
      <c r="H321" s="2725"/>
      <c r="I321" s="2725"/>
      <c r="J321" s="2725"/>
      <c r="K321" s="2725"/>
      <c r="L321" s="2725"/>
      <c r="M321" s="2725"/>
      <c r="N321" s="2725"/>
      <c r="O321" s="336"/>
      <c r="P321" s="302"/>
      <c r="Q321" s="695"/>
      <c r="R321" s="343"/>
      <c r="S321" s="343"/>
      <c r="T321" s="1089"/>
      <c r="U321" s="343"/>
      <c r="V321" s="343"/>
      <c r="W321" s="343"/>
      <c r="X321" s="343"/>
      <c r="Y321" s="343"/>
      <c r="Z321" s="343"/>
      <c r="AA321" s="343"/>
      <c r="AB321" s="343"/>
      <c r="AC321" s="343"/>
      <c r="AD321" s="343"/>
      <c r="AE321" s="343"/>
    </row>
    <row r="322" spans="1:31" ht="12.75" customHeight="1" x14ac:dyDescent="0.25">
      <c r="A322" s="343"/>
      <c r="B322" s="284"/>
      <c r="C322" s="302"/>
      <c r="D322" s="302"/>
      <c r="E322" s="2733" t="str">
        <f>Translations!$B$351</f>
        <v>Наименованията на инсталациите от падащия списък са взети от раздел A.IV. Затова трябва да се уверите, че там сте въвели пълни данни.</v>
      </c>
      <c r="F322" s="2725"/>
      <c r="G322" s="2725"/>
      <c r="H322" s="2725"/>
      <c r="I322" s="2725"/>
      <c r="J322" s="2725"/>
      <c r="K322" s="2725"/>
      <c r="L322" s="2725"/>
      <c r="M322" s="2725"/>
      <c r="N322" s="2725"/>
      <c r="O322" s="336"/>
      <c r="P322" s="302"/>
      <c r="Q322" s="695"/>
      <c r="R322" s="343"/>
      <c r="S322" s="343"/>
      <c r="T322" s="1089"/>
      <c r="U322" s="343"/>
      <c r="V322" s="343"/>
      <c r="W322" s="343"/>
      <c r="X322" s="343"/>
      <c r="Y322" s="343"/>
      <c r="Z322" s="343"/>
      <c r="AA322" s="343"/>
      <c r="AB322" s="343"/>
      <c r="AC322" s="343"/>
      <c r="AD322" s="343"/>
      <c r="AE322" s="343"/>
    </row>
    <row r="323" spans="1:31" ht="13" customHeight="1" x14ac:dyDescent="0.25">
      <c r="A323" s="343"/>
      <c r="B323" s="698"/>
      <c r="C323" s="698"/>
      <c r="D323" s="698"/>
      <c r="E323" s="2742" t="str">
        <f>Translations!$B$182</f>
        <v>Наименование на инсталацията или партньора</v>
      </c>
      <c r="F323" s="2743"/>
      <c r="G323" s="527" t="str">
        <f>EUconst_Unit</f>
        <v>Единица мярка</v>
      </c>
      <c r="H323" s="391">
        <f t="shared" ref="H323:N323" si="80">H$428</f>
        <v>2024</v>
      </c>
      <c r="I323" s="391">
        <f t="shared" si="80"/>
        <v>2025</v>
      </c>
      <c r="J323" s="391">
        <f t="shared" si="80"/>
        <v>2026</v>
      </c>
      <c r="K323" s="391">
        <f t="shared" si="80"/>
        <v>2027</v>
      </c>
      <c r="L323" s="391">
        <f t="shared" si="80"/>
        <v>2028</v>
      </c>
      <c r="M323" s="391">
        <f t="shared" si="80"/>
        <v>2029</v>
      </c>
      <c r="N323" s="572">
        <f t="shared" si="80"/>
        <v>2030</v>
      </c>
      <c r="O323" s="336"/>
      <c r="P323" s="302"/>
      <c r="Q323" s="343"/>
      <c r="R323" s="343"/>
      <c r="S323" s="343"/>
      <c r="T323" s="1089"/>
      <c r="U323" s="343"/>
      <c r="V323" s="343"/>
      <c r="W323" s="343"/>
      <c r="X323" s="343"/>
      <c r="Y323" s="343"/>
      <c r="Z323" s="343"/>
      <c r="AA323" s="343"/>
      <c r="AB323" s="343"/>
      <c r="AC323" s="343"/>
      <c r="AD323" s="343"/>
      <c r="AE323" s="343"/>
    </row>
    <row r="324" spans="1:31" x14ac:dyDescent="0.25">
      <c r="A324" s="343"/>
      <c r="B324" s="698"/>
      <c r="C324" s="1084"/>
      <c r="D324" s="1084" t="s">
        <v>6</v>
      </c>
      <c r="E324" s="2747"/>
      <c r="F324" s="2748"/>
      <c r="G324" s="981" t="str">
        <f>EUconst_TJpa</f>
        <v>TJ / година</v>
      </c>
      <c r="H324" s="33"/>
      <c r="I324" s="33"/>
      <c r="J324" s="33"/>
      <c r="K324" s="33"/>
      <c r="L324" s="33"/>
      <c r="M324" s="33"/>
      <c r="N324" s="36"/>
      <c r="O324" s="336"/>
      <c r="P324" s="181"/>
      <c r="Q324" s="343"/>
      <c r="R324" s="343"/>
      <c r="S324" s="343"/>
      <c r="T324" s="747" t="b">
        <f>T318</f>
        <v>0</v>
      </c>
      <c r="U324" s="343"/>
      <c r="V324" s="343"/>
      <c r="W324" s="343"/>
      <c r="X324" s="343"/>
      <c r="Y324" s="343"/>
      <c r="Z324" s="343"/>
      <c r="AA324" s="343"/>
      <c r="AB324" s="343"/>
      <c r="AC324" s="343"/>
      <c r="AD324" s="732" t="s">
        <v>2039</v>
      </c>
      <c r="AE324" s="875" t="str">
        <f>IF(AND(CNTR_HasEntries_A_I,E324&lt;&gt;"",T324=FALSE,COUNTIFS($V$20:$AB$20,FALSE,H324:N324,"")&gt;0),4,"")</f>
        <v/>
      </c>
    </row>
    <row r="325" spans="1:31" x14ac:dyDescent="0.25">
      <c r="A325" s="343"/>
      <c r="B325" s="698"/>
      <c r="C325" s="1084"/>
      <c r="D325" s="1084" t="s">
        <v>7</v>
      </c>
      <c r="E325" s="2734"/>
      <c r="F325" s="2735"/>
      <c r="G325" s="990" t="str">
        <f>EUconst_TJpa</f>
        <v>TJ / година</v>
      </c>
      <c r="H325" s="32"/>
      <c r="I325" s="32"/>
      <c r="J325" s="32"/>
      <c r="K325" s="32"/>
      <c r="L325" s="32"/>
      <c r="M325" s="32"/>
      <c r="N325" s="35"/>
      <c r="O325" s="336"/>
      <c r="P325" s="181"/>
      <c r="Q325" s="343"/>
      <c r="R325" s="343"/>
      <c r="S325" s="343"/>
      <c r="T325" s="747" t="b">
        <f>T324</f>
        <v>0</v>
      </c>
      <c r="U325" s="343"/>
      <c r="V325" s="343"/>
      <c r="W325" s="343"/>
      <c r="X325" s="343"/>
      <c r="Y325" s="343"/>
      <c r="Z325" s="343"/>
      <c r="AA325" s="343"/>
      <c r="AB325" s="343"/>
      <c r="AC325" s="343"/>
      <c r="AD325" s="732" t="s">
        <v>2039</v>
      </c>
      <c r="AE325" s="875" t="str">
        <f>IF(AND(CNTR_HasEntries_A_I,E325&lt;&gt;"",T325=FALSE,COUNTIFS($V$20:$AB$20,FALSE,H325:N325,"")&gt;0),4,"")</f>
        <v/>
      </c>
    </row>
    <row r="326" spans="1:31" x14ac:dyDescent="0.25">
      <c r="A326" s="343"/>
      <c r="B326" s="698"/>
      <c r="C326" s="1084"/>
      <c r="D326" s="1084" t="s">
        <v>8</v>
      </c>
      <c r="E326" s="2736"/>
      <c r="F326" s="2737"/>
      <c r="G326" s="994" t="str">
        <f>EUconst_TJpa</f>
        <v>TJ / година</v>
      </c>
      <c r="H326" s="30"/>
      <c r="I326" s="30"/>
      <c r="J326" s="30"/>
      <c r="K326" s="30"/>
      <c r="L326" s="30"/>
      <c r="M326" s="30"/>
      <c r="N326" s="34"/>
      <c r="O326" s="336"/>
      <c r="P326" s="181"/>
      <c r="Q326" s="343"/>
      <c r="R326" s="343"/>
      <c r="S326" s="343"/>
      <c r="T326" s="747" t="b">
        <f>T325</f>
        <v>0</v>
      </c>
      <c r="U326" s="343"/>
      <c r="V326" s="343"/>
      <c r="W326" s="343"/>
      <c r="X326" s="343"/>
      <c r="Y326" s="343"/>
      <c r="Z326" s="343"/>
      <c r="AA326" s="343"/>
      <c r="AB326" s="343"/>
      <c r="AC326" s="343"/>
      <c r="AD326" s="732" t="s">
        <v>2039</v>
      </c>
      <c r="AE326" s="875" t="str">
        <f>IF(AND(CNTR_HasEntries_A_I,E326&lt;&gt;"",T326=FALSE,COUNTIFS($V$20:$AB$20,FALSE,H326:N326,"")&gt;0),4,"")</f>
        <v/>
      </c>
    </row>
    <row r="327" spans="1:31" x14ac:dyDescent="0.25">
      <c r="A327" s="343"/>
      <c r="B327" s="698"/>
      <c r="C327" s="1084"/>
      <c r="D327" s="1084" t="s">
        <v>18</v>
      </c>
      <c r="E327" s="1090" t="str">
        <f>Translations!$B$353</f>
        <v>Междинен сбор</v>
      </c>
      <c r="F327" s="1090"/>
      <c r="G327" s="1038" t="str">
        <f>EUconst_TJpa</f>
        <v>TJ / година</v>
      </c>
      <c r="H327" s="1024" t="str">
        <f t="shared" ref="H327:N327" si="81">IF(COUNT(H324:H326)&gt;0,SUM(H324:H326),"")</f>
        <v/>
      </c>
      <c r="I327" s="1024" t="str">
        <f t="shared" si="81"/>
        <v/>
      </c>
      <c r="J327" s="1024" t="str">
        <f t="shared" si="81"/>
        <v/>
      </c>
      <c r="K327" s="1024" t="str">
        <f t="shared" si="81"/>
        <v/>
      </c>
      <c r="L327" s="1024" t="str">
        <f t="shared" si="81"/>
        <v/>
      </c>
      <c r="M327" s="1024" t="str">
        <f t="shared" si="81"/>
        <v/>
      </c>
      <c r="N327" s="1091" t="str">
        <f t="shared" si="81"/>
        <v/>
      </c>
      <c r="O327" s="336"/>
      <c r="P327" s="302"/>
      <c r="Q327" s="343"/>
      <c r="R327" s="343"/>
      <c r="S327" s="343"/>
      <c r="T327" s="1089"/>
      <c r="U327" s="343"/>
      <c r="V327" s="343"/>
      <c r="W327" s="343"/>
      <c r="X327" s="343"/>
      <c r="Y327" s="343"/>
      <c r="Z327" s="343"/>
      <c r="AA327" s="343"/>
      <c r="AB327" s="343"/>
      <c r="AC327" s="343"/>
      <c r="AD327" s="343"/>
      <c r="AE327" s="343"/>
    </row>
    <row r="328" spans="1:31" ht="5.15" customHeight="1" x14ac:dyDescent="0.25">
      <c r="A328" s="343"/>
      <c r="B328" s="284"/>
      <c r="C328" s="284"/>
      <c r="D328" s="284"/>
      <c r="E328" s="284"/>
      <c r="F328" s="284"/>
      <c r="G328" s="284"/>
      <c r="H328" s="284"/>
      <c r="I328" s="284"/>
      <c r="J328" s="284"/>
      <c r="K328" s="284"/>
      <c r="L328" s="284"/>
      <c r="M328" s="284"/>
      <c r="N328" s="284"/>
      <c r="O328" s="336"/>
      <c r="P328" s="302"/>
      <c r="Q328" s="695"/>
      <c r="R328" s="343"/>
      <c r="S328" s="343"/>
      <c r="T328" s="1089"/>
      <c r="U328" s="343"/>
      <c r="V328" s="343"/>
      <c r="W328" s="343"/>
      <c r="X328" s="343"/>
      <c r="Y328" s="343"/>
      <c r="Z328" s="343"/>
      <c r="AA328" s="343"/>
      <c r="AB328" s="343"/>
      <c r="AC328" s="343"/>
      <c r="AD328" s="343"/>
      <c r="AE328" s="343"/>
    </row>
    <row r="329" spans="1:31" ht="13" customHeight="1" x14ac:dyDescent="0.25">
      <c r="A329" s="343"/>
      <c r="B329" s="284"/>
      <c r="C329" s="300"/>
      <c r="D329" s="300" t="s">
        <v>55</v>
      </c>
      <c r="E329" s="2742" t="str">
        <f>Translations!$B$437</f>
        <v>Сбор на отпадните газове, налични в инсталацията (=c+d-e)</v>
      </c>
      <c r="F329" s="2743"/>
      <c r="G329" s="2743"/>
      <c r="H329" s="2743"/>
      <c r="I329" s="2743"/>
      <c r="J329" s="2743"/>
      <c r="K329" s="2743"/>
      <c r="L329" s="2743"/>
      <c r="M329" s="2743"/>
      <c r="N329" s="2743"/>
      <c r="O329" s="336"/>
      <c r="P329" s="302"/>
      <c r="Q329" s="695"/>
      <c r="R329" s="343"/>
      <c r="S329" s="343"/>
      <c r="T329" s="1089"/>
      <c r="U329" s="343"/>
      <c r="V329" s="343"/>
      <c r="W329" s="343"/>
      <c r="X329" s="343"/>
      <c r="Y329" s="343"/>
      <c r="Z329" s="343"/>
      <c r="AA329" s="343"/>
      <c r="AB329" s="343"/>
      <c r="AC329" s="343"/>
      <c r="AD329" s="343"/>
      <c r="AE329" s="343"/>
    </row>
    <row r="330" spans="1:31" ht="12.65" customHeight="1" x14ac:dyDescent="0.25">
      <c r="A330" s="343"/>
      <c r="B330" s="698"/>
      <c r="C330" s="698"/>
      <c r="D330" s="698"/>
      <c r="E330" s="2740" t="str">
        <f>Translations!$B$438</f>
        <v>Налични отпадни газове</v>
      </c>
      <c r="F330" s="2739"/>
      <c r="G330" s="1038" t="str">
        <f>EUconst_TJpa</f>
        <v>TJ / година</v>
      </c>
      <c r="H330" s="1024" t="str">
        <f t="shared" ref="H330:N330" si="82">IF(COUNT(H310,H319,H327)&gt;0,SUM(H310,H319)-SUM(H327),"")</f>
        <v/>
      </c>
      <c r="I330" s="1024" t="str">
        <f t="shared" si="82"/>
        <v/>
      </c>
      <c r="J330" s="1024" t="str">
        <f t="shared" si="82"/>
        <v/>
      </c>
      <c r="K330" s="1024" t="str">
        <f t="shared" si="82"/>
        <v/>
      </c>
      <c r="L330" s="1024" t="str">
        <f t="shared" si="82"/>
        <v/>
      </c>
      <c r="M330" s="1024" t="str">
        <f t="shared" si="82"/>
        <v/>
      </c>
      <c r="N330" s="1024" t="str">
        <f t="shared" si="82"/>
        <v/>
      </c>
      <c r="O330" s="336"/>
      <c r="P330" s="302"/>
      <c r="Q330" s="343"/>
      <c r="R330" s="343"/>
      <c r="S330" s="343"/>
      <c r="T330" s="1089"/>
      <c r="U330" s="343"/>
      <c r="V330" s="343"/>
      <c r="W330" s="343"/>
      <c r="X330" s="343"/>
      <c r="Y330" s="343"/>
      <c r="Z330" s="343"/>
      <c r="AA330" s="343"/>
      <c r="AB330" s="343"/>
      <c r="AC330" s="343"/>
      <c r="AD330" s="343"/>
      <c r="AE330" s="343"/>
    </row>
    <row r="331" spans="1:31" ht="5.15" customHeight="1" x14ac:dyDescent="0.25">
      <c r="A331" s="343"/>
      <c r="B331" s="698"/>
      <c r="C331" s="698"/>
      <c r="D331" s="698"/>
      <c r="E331" s="698"/>
      <c r="F331" s="698"/>
      <c r="G331" s="698"/>
      <c r="H331" s="698"/>
      <c r="I331" s="698"/>
      <c r="J331" s="698"/>
      <c r="K331" s="698"/>
      <c r="L331" s="698"/>
      <c r="M331" s="698"/>
      <c r="N331" s="698"/>
      <c r="O331" s="336"/>
      <c r="P331" s="302"/>
      <c r="Q331" s="343"/>
      <c r="R331" s="343"/>
      <c r="S331" s="343"/>
      <c r="T331" s="1089"/>
      <c r="U331" s="343"/>
      <c r="V331" s="343"/>
      <c r="W331" s="343"/>
      <c r="X331" s="343"/>
      <c r="Y331" s="343"/>
      <c r="Z331" s="343"/>
      <c r="AA331" s="343"/>
      <c r="AB331" s="343"/>
      <c r="AC331" s="343"/>
      <c r="AD331" s="343"/>
      <c r="AE331" s="343"/>
    </row>
    <row r="332" spans="1:31" ht="13" customHeight="1" x14ac:dyDescent="0.25">
      <c r="A332" s="343"/>
      <c r="B332" s="284"/>
      <c r="C332" s="300"/>
      <c r="D332" s="300" t="s">
        <v>273</v>
      </c>
      <c r="E332" s="2724" t="str">
        <f>Translations!$B$439</f>
        <v>Отпадни газове, консумирани в подинсталации с продуктов показател</v>
      </c>
      <c r="F332" s="2725"/>
      <c r="G332" s="2725"/>
      <c r="H332" s="2725"/>
      <c r="I332" s="2725"/>
      <c r="J332" s="2725"/>
      <c r="K332" s="2725"/>
      <c r="L332" s="2725"/>
      <c r="M332" s="2725"/>
      <c r="N332" s="2725"/>
      <c r="O332" s="336"/>
      <c r="P332" s="302"/>
      <c r="Q332" s="695"/>
      <c r="R332" s="343"/>
      <c r="S332" s="343"/>
      <c r="T332" s="1089"/>
      <c r="U332" s="343"/>
      <c r="V332" s="343"/>
      <c r="W332" s="343"/>
      <c r="X332" s="343"/>
      <c r="Y332" s="343"/>
      <c r="Z332" s="343"/>
      <c r="AA332" s="343"/>
      <c r="AB332" s="343"/>
      <c r="AC332" s="343"/>
      <c r="AD332" s="343"/>
      <c r="AE332" s="343"/>
    </row>
    <row r="333" spans="1:31" ht="12.75" customHeight="1" x14ac:dyDescent="0.25">
      <c r="A333" s="343"/>
      <c r="B333" s="284"/>
      <c r="C333" s="302"/>
      <c r="D333" s="302"/>
      <c r="E333" s="2733" t="str">
        <f>Translations!$B$440</f>
        <v>Информацията се взема от раздел F.(l).viii. Ако е приложимо, трябва да се уверите, че там сте въвели пълни данни.</v>
      </c>
      <c r="F333" s="2725"/>
      <c r="G333" s="2725"/>
      <c r="H333" s="2725"/>
      <c r="I333" s="2725"/>
      <c r="J333" s="2725"/>
      <c r="K333" s="2725"/>
      <c r="L333" s="2725"/>
      <c r="M333" s="2725"/>
      <c r="N333" s="2725"/>
      <c r="O333" s="336"/>
      <c r="P333" s="302"/>
      <c r="Q333" s="695"/>
      <c r="R333" s="343"/>
      <c r="S333" s="343"/>
      <c r="T333" s="1089"/>
      <c r="U333" s="343"/>
      <c r="V333" s="343"/>
      <c r="W333" s="343"/>
      <c r="X333" s="343"/>
      <c r="Y333" s="343"/>
      <c r="Z333" s="343"/>
      <c r="AA333" s="343"/>
      <c r="AB333" s="343"/>
      <c r="AC333" s="343"/>
      <c r="AD333" s="343"/>
      <c r="AE333" s="343"/>
    </row>
    <row r="334" spans="1:31" ht="13" customHeight="1" x14ac:dyDescent="0.25">
      <c r="A334" s="343"/>
      <c r="B334" s="698"/>
      <c r="C334" s="698"/>
      <c r="D334" s="698"/>
      <c r="E334" s="2742" t="str">
        <f>Translations!$B$441</f>
        <v>Тип подинсталация с продуктов показател</v>
      </c>
      <c r="F334" s="2743"/>
      <c r="G334" s="527" t="str">
        <f>EUconst_Unit</f>
        <v>Единица мярка</v>
      </c>
      <c r="H334" s="391">
        <f t="shared" ref="H334:N334" si="83">H$428</f>
        <v>2024</v>
      </c>
      <c r="I334" s="391">
        <f t="shared" si="83"/>
        <v>2025</v>
      </c>
      <c r="J334" s="391">
        <f t="shared" si="83"/>
        <v>2026</v>
      </c>
      <c r="K334" s="391">
        <f t="shared" si="83"/>
        <v>2027</v>
      </c>
      <c r="L334" s="391">
        <f t="shared" si="83"/>
        <v>2028</v>
      </c>
      <c r="M334" s="391">
        <f t="shared" si="83"/>
        <v>2029</v>
      </c>
      <c r="N334" s="391">
        <f t="shared" si="83"/>
        <v>2030</v>
      </c>
      <c r="O334" s="336"/>
      <c r="P334" s="302"/>
      <c r="Q334" s="343"/>
      <c r="R334" s="343"/>
      <c r="S334" s="343"/>
      <c r="T334" s="1089"/>
      <c r="U334" s="343"/>
      <c r="V334" s="343"/>
      <c r="W334" s="343"/>
      <c r="X334" s="343"/>
      <c r="Y334" s="343"/>
      <c r="Z334" s="343"/>
      <c r="AA334" s="343"/>
      <c r="AB334" s="343"/>
      <c r="AC334" s="343"/>
      <c r="AD334" s="343"/>
      <c r="AE334" s="343"/>
    </row>
    <row r="335" spans="1:31" ht="12.75" customHeight="1" x14ac:dyDescent="0.25">
      <c r="A335" s="343"/>
      <c r="B335" s="698"/>
      <c r="C335" s="698"/>
      <c r="D335" s="360" t="s">
        <v>6</v>
      </c>
      <c r="E335" s="2750" t="str">
        <f t="shared" ref="E335:E344" si="84">E287</f>
        <v/>
      </c>
      <c r="F335" s="2729"/>
      <c r="G335" s="1093" t="str">
        <f t="shared" ref="G335:G345" si="85">EUconst_TJpa</f>
        <v>TJ / година</v>
      </c>
      <c r="H335" s="1126" t="str">
        <f>IF(SUMIF(F_ProductBM!$Q:$Q,$Q335,F_ProductBM!H:H)&gt;0,SUMIF(F_ProductBM!$Q:$Q,$Q335,F_ProductBM!H:H),"")</f>
        <v/>
      </c>
      <c r="I335" s="1126" t="str">
        <f>IF(SUMIF(F_ProductBM!$Q:$Q,$Q335,F_ProductBM!I:I)&gt;0,SUMIF(F_ProductBM!$Q:$Q,$Q335,F_ProductBM!I:I),"")</f>
        <v/>
      </c>
      <c r="J335" s="1126" t="str">
        <f>IF(SUMIF(F_ProductBM!$Q:$Q,$Q335,F_ProductBM!J:J)&gt;0,SUMIF(F_ProductBM!$Q:$Q,$Q335,F_ProductBM!J:J),"")</f>
        <v/>
      </c>
      <c r="K335" s="1126" t="str">
        <f>IF(SUMIF(F_ProductBM!$Q:$Q,$Q335,F_ProductBM!K:K)&gt;0,SUMIF(F_ProductBM!$Q:$Q,$Q335,F_ProductBM!K:K),"")</f>
        <v/>
      </c>
      <c r="L335" s="1126" t="str">
        <f>IF(SUMIF(F_ProductBM!$Q:$Q,$Q335,F_ProductBM!L:L)&gt;0,SUMIF(F_ProductBM!$Q:$Q,$Q335,F_ProductBM!L:L),"")</f>
        <v/>
      </c>
      <c r="M335" s="1126" t="str">
        <f>IF(SUMIF(F_ProductBM!$Q:$Q,$Q335,F_ProductBM!M:M)&gt;0,SUMIF(F_ProductBM!$Q:$Q,$Q335,F_ProductBM!M:M),"")</f>
        <v/>
      </c>
      <c r="N335" s="1126" t="str">
        <f>IF(SUMIF(F_ProductBM!$Q:$Q,$Q335,F_ProductBM!N:N)&gt;0,SUMIF(F_ProductBM!$Q:$Q,$Q335,F_ProductBM!N:N),"")</f>
        <v/>
      </c>
      <c r="O335" s="336"/>
      <c r="P335" s="302"/>
      <c r="Q335" s="716" t="str">
        <f t="shared" ref="Q335:Q344" si="86">EUconst_CNTR_WGConsumed &amp; E335</f>
        <v>WasteGasCons_</v>
      </c>
      <c r="R335" s="343"/>
      <c r="S335" s="343"/>
      <c r="T335" s="1089"/>
      <c r="U335" s="343"/>
      <c r="V335" s="343"/>
      <c r="W335" s="343"/>
      <c r="X335" s="343"/>
      <c r="Y335" s="343"/>
      <c r="Z335" s="343"/>
      <c r="AA335" s="343"/>
      <c r="AB335" s="343"/>
      <c r="AC335" s="343"/>
      <c r="AD335" s="343"/>
      <c r="AE335" s="343"/>
    </row>
    <row r="336" spans="1:31" x14ac:dyDescent="0.25">
      <c r="A336" s="343"/>
      <c r="B336" s="698"/>
      <c r="C336" s="698"/>
      <c r="D336" s="360" t="s">
        <v>7</v>
      </c>
      <c r="E336" s="2754" t="str">
        <f t="shared" si="84"/>
        <v/>
      </c>
      <c r="F336" s="2720"/>
      <c r="G336" s="1095" t="str">
        <f t="shared" si="85"/>
        <v>TJ / година</v>
      </c>
      <c r="H336" s="1127" t="str">
        <f>IF(SUMIF(F_ProductBM!$Q:$Q,$Q336,F_ProductBM!H:H)&gt;0,SUMIF(F_ProductBM!$Q:$Q,$Q336,F_ProductBM!H:H),"")</f>
        <v/>
      </c>
      <c r="I336" s="1127" t="str">
        <f>IF(SUMIF(F_ProductBM!$Q:$Q,$Q336,F_ProductBM!I:I)&gt;0,SUMIF(F_ProductBM!$Q:$Q,$Q336,F_ProductBM!I:I),"")</f>
        <v/>
      </c>
      <c r="J336" s="1127" t="str">
        <f>IF(SUMIF(F_ProductBM!$Q:$Q,$Q336,F_ProductBM!J:J)&gt;0,SUMIF(F_ProductBM!$Q:$Q,$Q336,F_ProductBM!J:J),"")</f>
        <v/>
      </c>
      <c r="K336" s="1127" t="str">
        <f>IF(SUMIF(F_ProductBM!$Q:$Q,$Q336,F_ProductBM!K:K)&gt;0,SUMIF(F_ProductBM!$Q:$Q,$Q336,F_ProductBM!K:K),"")</f>
        <v/>
      </c>
      <c r="L336" s="1127" t="str">
        <f>IF(SUMIF(F_ProductBM!$Q:$Q,$Q336,F_ProductBM!L:L)&gt;0,SUMIF(F_ProductBM!$Q:$Q,$Q336,F_ProductBM!L:L),"")</f>
        <v/>
      </c>
      <c r="M336" s="1127" t="str">
        <f>IF(SUMIF(F_ProductBM!$Q:$Q,$Q336,F_ProductBM!M:M)&gt;0,SUMIF(F_ProductBM!$Q:$Q,$Q336,F_ProductBM!M:M),"")</f>
        <v/>
      </c>
      <c r="N336" s="1127" t="str">
        <f>IF(SUMIF(F_ProductBM!$Q:$Q,$Q336,F_ProductBM!N:N)&gt;0,SUMIF(F_ProductBM!$Q:$Q,$Q336,F_ProductBM!N:N),"")</f>
        <v/>
      </c>
      <c r="O336" s="336"/>
      <c r="P336" s="302"/>
      <c r="Q336" s="716" t="str">
        <f t="shared" si="86"/>
        <v>WasteGasCons_</v>
      </c>
      <c r="R336" s="343"/>
      <c r="S336" s="343"/>
      <c r="T336" s="1089"/>
      <c r="U336" s="343"/>
      <c r="V336" s="343"/>
      <c r="W336" s="343"/>
      <c r="X336" s="343"/>
      <c r="Y336" s="343"/>
      <c r="Z336" s="343"/>
      <c r="AA336" s="343"/>
      <c r="AB336" s="343"/>
      <c r="AC336" s="343"/>
      <c r="AD336" s="343"/>
      <c r="AE336" s="343"/>
    </row>
    <row r="337" spans="1:31" ht="12.75" customHeight="1" x14ac:dyDescent="0.25">
      <c r="A337" s="343"/>
      <c r="B337" s="698"/>
      <c r="C337" s="698"/>
      <c r="D337" s="360" t="s">
        <v>8</v>
      </c>
      <c r="E337" s="2754" t="str">
        <f t="shared" si="84"/>
        <v/>
      </c>
      <c r="F337" s="2720"/>
      <c r="G337" s="1095" t="str">
        <f t="shared" si="85"/>
        <v>TJ / година</v>
      </c>
      <c r="H337" s="1127" t="str">
        <f>IF(SUMIF(F_ProductBM!$Q:$Q,$Q337,F_ProductBM!H:H)&gt;0,SUMIF(F_ProductBM!$Q:$Q,$Q337,F_ProductBM!H:H),"")</f>
        <v/>
      </c>
      <c r="I337" s="1127" t="str">
        <f>IF(SUMIF(F_ProductBM!$Q:$Q,$Q337,F_ProductBM!I:I)&gt;0,SUMIF(F_ProductBM!$Q:$Q,$Q337,F_ProductBM!I:I),"")</f>
        <v/>
      </c>
      <c r="J337" s="1127" t="str">
        <f>IF(SUMIF(F_ProductBM!$Q:$Q,$Q337,F_ProductBM!J:J)&gt;0,SUMIF(F_ProductBM!$Q:$Q,$Q337,F_ProductBM!J:J),"")</f>
        <v/>
      </c>
      <c r="K337" s="1127" t="str">
        <f>IF(SUMIF(F_ProductBM!$Q:$Q,$Q337,F_ProductBM!K:K)&gt;0,SUMIF(F_ProductBM!$Q:$Q,$Q337,F_ProductBM!K:K),"")</f>
        <v/>
      </c>
      <c r="L337" s="1127" t="str">
        <f>IF(SUMIF(F_ProductBM!$Q:$Q,$Q337,F_ProductBM!L:L)&gt;0,SUMIF(F_ProductBM!$Q:$Q,$Q337,F_ProductBM!L:L),"")</f>
        <v/>
      </c>
      <c r="M337" s="1127" t="str">
        <f>IF(SUMIF(F_ProductBM!$Q:$Q,$Q337,F_ProductBM!M:M)&gt;0,SUMIF(F_ProductBM!$Q:$Q,$Q337,F_ProductBM!M:M),"")</f>
        <v/>
      </c>
      <c r="N337" s="1127" t="str">
        <f>IF(SUMIF(F_ProductBM!$Q:$Q,$Q337,F_ProductBM!N:N)&gt;0,SUMIF(F_ProductBM!$Q:$Q,$Q337,F_ProductBM!N:N),"")</f>
        <v/>
      </c>
      <c r="O337" s="336"/>
      <c r="P337" s="302"/>
      <c r="Q337" s="716" t="str">
        <f t="shared" si="86"/>
        <v>WasteGasCons_</v>
      </c>
      <c r="R337" s="343"/>
      <c r="S337" s="343"/>
      <c r="T337" s="1089"/>
      <c r="U337" s="343"/>
      <c r="V337" s="343"/>
      <c r="W337" s="343"/>
      <c r="X337" s="343"/>
      <c r="Y337" s="343"/>
      <c r="Z337" s="343"/>
      <c r="AA337" s="343"/>
      <c r="AB337" s="343"/>
      <c r="AC337" s="343"/>
      <c r="AD337" s="343"/>
      <c r="AE337" s="343"/>
    </row>
    <row r="338" spans="1:31" x14ac:dyDescent="0.25">
      <c r="A338" s="343"/>
      <c r="B338" s="698"/>
      <c r="C338" s="698"/>
      <c r="D338" s="360" t="s">
        <v>18</v>
      </c>
      <c r="E338" s="2754" t="str">
        <f t="shared" si="84"/>
        <v/>
      </c>
      <c r="F338" s="2720"/>
      <c r="G338" s="1095" t="str">
        <f t="shared" si="85"/>
        <v>TJ / година</v>
      </c>
      <c r="H338" s="1127" t="str">
        <f>IF(SUMIF(F_ProductBM!$Q:$Q,$Q338,F_ProductBM!H:H)&gt;0,SUMIF(F_ProductBM!$Q:$Q,$Q338,F_ProductBM!H:H),"")</f>
        <v/>
      </c>
      <c r="I338" s="1127" t="str">
        <f>IF(SUMIF(F_ProductBM!$Q:$Q,$Q338,F_ProductBM!I:I)&gt;0,SUMIF(F_ProductBM!$Q:$Q,$Q338,F_ProductBM!I:I),"")</f>
        <v/>
      </c>
      <c r="J338" s="1127" t="str">
        <f>IF(SUMIF(F_ProductBM!$Q:$Q,$Q338,F_ProductBM!J:J)&gt;0,SUMIF(F_ProductBM!$Q:$Q,$Q338,F_ProductBM!J:J),"")</f>
        <v/>
      </c>
      <c r="K338" s="1127" t="str">
        <f>IF(SUMIF(F_ProductBM!$Q:$Q,$Q338,F_ProductBM!K:K)&gt;0,SUMIF(F_ProductBM!$Q:$Q,$Q338,F_ProductBM!K:K),"")</f>
        <v/>
      </c>
      <c r="L338" s="1127" t="str">
        <f>IF(SUMIF(F_ProductBM!$Q:$Q,$Q338,F_ProductBM!L:L)&gt;0,SUMIF(F_ProductBM!$Q:$Q,$Q338,F_ProductBM!L:L),"")</f>
        <v/>
      </c>
      <c r="M338" s="1127" t="str">
        <f>IF(SUMIF(F_ProductBM!$Q:$Q,$Q338,F_ProductBM!M:M)&gt;0,SUMIF(F_ProductBM!$Q:$Q,$Q338,F_ProductBM!M:M),"")</f>
        <v/>
      </c>
      <c r="N338" s="1127" t="str">
        <f>IF(SUMIF(F_ProductBM!$Q:$Q,$Q338,F_ProductBM!N:N)&gt;0,SUMIF(F_ProductBM!$Q:$Q,$Q338,F_ProductBM!N:N),"")</f>
        <v/>
      </c>
      <c r="O338" s="336"/>
      <c r="P338" s="302"/>
      <c r="Q338" s="716" t="str">
        <f t="shared" si="86"/>
        <v>WasteGasCons_</v>
      </c>
      <c r="R338" s="343"/>
      <c r="S338" s="343"/>
      <c r="T338" s="1089"/>
      <c r="U338" s="343"/>
      <c r="V338" s="343"/>
      <c r="W338" s="343"/>
      <c r="X338" s="343"/>
      <c r="Y338" s="343"/>
      <c r="Z338" s="343"/>
      <c r="AA338" s="343"/>
      <c r="AB338" s="343"/>
      <c r="AC338" s="343"/>
      <c r="AD338" s="343"/>
      <c r="AE338" s="343"/>
    </row>
    <row r="339" spans="1:31" x14ac:dyDescent="0.25">
      <c r="A339" s="343"/>
      <c r="B339" s="698"/>
      <c r="C339" s="698"/>
      <c r="D339" s="360" t="s">
        <v>810</v>
      </c>
      <c r="E339" s="2754" t="str">
        <f t="shared" si="84"/>
        <v/>
      </c>
      <c r="F339" s="2720"/>
      <c r="G339" s="1095" t="str">
        <f t="shared" si="85"/>
        <v>TJ / година</v>
      </c>
      <c r="H339" s="1127" t="str">
        <f>IF(SUMIF(F_ProductBM!$Q:$Q,$Q339,F_ProductBM!H:H)&gt;0,SUMIF(F_ProductBM!$Q:$Q,$Q339,F_ProductBM!H:H),"")</f>
        <v/>
      </c>
      <c r="I339" s="1127" t="str">
        <f>IF(SUMIF(F_ProductBM!$Q:$Q,$Q339,F_ProductBM!I:I)&gt;0,SUMIF(F_ProductBM!$Q:$Q,$Q339,F_ProductBM!I:I),"")</f>
        <v/>
      </c>
      <c r="J339" s="1127" t="str">
        <f>IF(SUMIF(F_ProductBM!$Q:$Q,$Q339,F_ProductBM!J:J)&gt;0,SUMIF(F_ProductBM!$Q:$Q,$Q339,F_ProductBM!J:J),"")</f>
        <v/>
      </c>
      <c r="K339" s="1127" t="str">
        <f>IF(SUMIF(F_ProductBM!$Q:$Q,$Q339,F_ProductBM!K:K)&gt;0,SUMIF(F_ProductBM!$Q:$Q,$Q339,F_ProductBM!K:K),"")</f>
        <v/>
      </c>
      <c r="L339" s="1127" t="str">
        <f>IF(SUMIF(F_ProductBM!$Q:$Q,$Q339,F_ProductBM!L:L)&gt;0,SUMIF(F_ProductBM!$Q:$Q,$Q339,F_ProductBM!L:L),"")</f>
        <v/>
      </c>
      <c r="M339" s="1127" t="str">
        <f>IF(SUMIF(F_ProductBM!$Q:$Q,$Q339,F_ProductBM!M:M)&gt;0,SUMIF(F_ProductBM!$Q:$Q,$Q339,F_ProductBM!M:M),"")</f>
        <v/>
      </c>
      <c r="N339" s="1127" t="str">
        <f>IF(SUMIF(F_ProductBM!$Q:$Q,$Q339,F_ProductBM!N:N)&gt;0,SUMIF(F_ProductBM!$Q:$Q,$Q339,F_ProductBM!N:N),"")</f>
        <v/>
      </c>
      <c r="O339" s="336"/>
      <c r="P339" s="302"/>
      <c r="Q339" s="716" t="str">
        <f t="shared" si="86"/>
        <v>WasteGasCons_</v>
      </c>
      <c r="R339" s="343"/>
      <c r="S339" s="343"/>
      <c r="T339" s="1089"/>
      <c r="U339" s="343"/>
      <c r="V339" s="343"/>
      <c r="W339" s="343"/>
      <c r="X339" s="343"/>
      <c r="Y339" s="343"/>
      <c r="Z339" s="343"/>
      <c r="AA339" s="343"/>
      <c r="AB339" s="343"/>
      <c r="AC339" s="343"/>
      <c r="AD339" s="343"/>
      <c r="AE339" s="343"/>
    </row>
    <row r="340" spans="1:31" x14ac:dyDescent="0.25">
      <c r="A340" s="343"/>
      <c r="B340" s="698"/>
      <c r="C340" s="698"/>
      <c r="D340" s="360" t="s">
        <v>811</v>
      </c>
      <c r="E340" s="2754" t="str">
        <f t="shared" si="84"/>
        <v/>
      </c>
      <c r="F340" s="2720"/>
      <c r="G340" s="1095" t="str">
        <f t="shared" si="85"/>
        <v>TJ / година</v>
      </c>
      <c r="H340" s="1127" t="str">
        <f>IF(SUMIF(F_ProductBM!$Q:$Q,$Q340,F_ProductBM!H:H)&gt;0,SUMIF(F_ProductBM!$Q:$Q,$Q340,F_ProductBM!H:H),"")</f>
        <v/>
      </c>
      <c r="I340" s="1127" t="str">
        <f>IF(SUMIF(F_ProductBM!$Q:$Q,$Q340,F_ProductBM!I:I)&gt;0,SUMIF(F_ProductBM!$Q:$Q,$Q340,F_ProductBM!I:I),"")</f>
        <v/>
      </c>
      <c r="J340" s="1127" t="str">
        <f>IF(SUMIF(F_ProductBM!$Q:$Q,$Q340,F_ProductBM!J:J)&gt;0,SUMIF(F_ProductBM!$Q:$Q,$Q340,F_ProductBM!J:J),"")</f>
        <v/>
      </c>
      <c r="K340" s="1127" t="str">
        <f>IF(SUMIF(F_ProductBM!$Q:$Q,$Q340,F_ProductBM!K:K)&gt;0,SUMIF(F_ProductBM!$Q:$Q,$Q340,F_ProductBM!K:K),"")</f>
        <v/>
      </c>
      <c r="L340" s="1127" t="str">
        <f>IF(SUMIF(F_ProductBM!$Q:$Q,$Q340,F_ProductBM!L:L)&gt;0,SUMIF(F_ProductBM!$Q:$Q,$Q340,F_ProductBM!L:L),"")</f>
        <v/>
      </c>
      <c r="M340" s="1127" t="str">
        <f>IF(SUMIF(F_ProductBM!$Q:$Q,$Q340,F_ProductBM!M:M)&gt;0,SUMIF(F_ProductBM!$Q:$Q,$Q340,F_ProductBM!M:M),"")</f>
        <v/>
      </c>
      <c r="N340" s="1127" t="str">
        <f>IF(SUMIF(F_ProductBM!$Q:$Q,$Q340,F_ProductBM!N:N)&gt;0,SUMIF(F_ProductBM!$Q:$Q,$Q340,F_ProductBM!N:N),"")</f>
        <v/>
      </c>
      <c r="O340" s="336"/>
      <c r="P340" s="302"/>
      <c r="Q340" s="716" t="str">
        <f t="shared" si="86"/>
        <v>WasteGasCons_</v>
      </c>
      <c r="R340" s="343"/>
      <c r="S340" s="343"/>
      <c r="T340" s="1089"/>
      <c r="U340" s="343"/>
      <c r="V340" s="343"/>
      <c r="W340" s="343"/>
      <c r="X340" s="343"/>
      <c r="Y340" s="343"/>
      <c r="Z340" s="343"/>
      <c r="AA340" s="343"/>
      <c r="AB340" s="343"/>
      <c r="AC340" s="343"/>
      <c r="AD340" s="343"/>
      <c r="AE340" s="343"/>
    </row>
    <row r="341" spans="1:31" x14ac:dyDescent="0.25">
      <c r="A341" s="343"/>
      <c r="B341" s="698"/>
      <c r="C341" s="698"/>
      <c r="D341" s="360" t="s">
        <v>812</v>
      </c>
      <c r="E341" s="2754" t="str">
        <f t="shared" si="84"/>
        <v/>
      </c>
      <c r="F341" s="2720"/>
      <c r="G341" s="1095" t="str">
        <f t="shared" si="85"/>
        <v>TJ / година</v>
      </c>
      <c r="H341" s="1127" t="str">
        <f>IF(SUMIF(F_ProductBM!$Q:$Q,$Q341,F_ProductBM!H:H)&gt;0,SUMIF(F_ProductBM!$Q:$Q,$Q341,F_ProductBM!H:H),"")</f>
        <v/>
      </c>
      <c r="I341" s="1127" t="str">
        <f>IF(SUMIF(F_ProductBM!$Q:$Q,$Q341,F_ProductBM!I:I)&gt;0,SUMIF(F_ProductBM!$Q:$Q,$Q341,F_ProductBM!I:I),"")</f>
        <v/>
      </c>
      <c r="J341" s="1127" t="str">
        <f>IF(SUMIF(F_ProductBM!$Q:$Q,$Q341,F_ProductBM!J:J)&gt;0,SUMIF(F_ProductBM!$Q:$Q,$Q341,F_ProductBM!J:J),"")</f>
        <v/>
      </c>
      <c r="K341" s="1127" t="str">
        <f>IF(SUMIF(F_ProductBM!$Q:$Q,$Q341,F_ProductBM!K:K)&gt;0,SUMIF(F_ProductBM!$Q:$Q,$Q341,F_ProductBM!K:K),"")</f>
        <v/>
      </c>
      <c r="L341" s="1127" t="str">
        <f>IF(SUMIF(F_ProductBM!$Q:$Q,$Q341,F_ProductBM!L:L)&gt;0,SUMIF(F_ProductBM!$Q:$Q,$Q341,F_ProductBM!L:L),"")</f>
        <v/>
      </c>
      <c r="M341" s="1127" t="str">
        <f>IF(SUMIF(F_ProductBM!$Q:$Q,$Q341,F_ProductBM!M:M)&gt;0,SUMIF(F_ProductBM!$Q:$Q,$Q341,F_ProductBM!M:M),"")</f>
        <v/>
      </c>
      <c r="N341" s="1127" t="str">
        <f>IF(SUMIF(F_ProductBM!$Q:$Q,$Q341,F_ProductBM!N:N)&gt;0,SUMIF(F_ProductBM!$Q:$Q,$Q341,F_ProductBM!N:N),"")</f>
        <v/>
      </c>
      <c r="O341" s="336"/>
      <c r="P341" s="302"/>
      <c r="Q341" s="716" t="str">
        <f t="shared" si="86"/>
        <v>WasteGasCons_</v>
      </c>
      <c r="R341" s="343"/>
      <c r="S341" s="343"/>
      <c r="T341" s="1089"/>
      <c r="U341" s="343"/>
      <c r="V341" s="343"/>
      <c r="W341" s="343"/>
      <c r="X341" s="343"/>
      <c r="Y341" s="343"/>
      <c r="Z341" s="343"/>
      <c r="AA341" s="343"/>
      <c r="AB341" s="343"/>
      <c r="AC341" s="343"/>
      <c r="AD341" s="343"/>
      <c r="AE341" s="343"/>
    </row>
    <row r="342" spans="1:31" x14ac:dyDescent="0.25">
      <c r="A342" s="343"/>
      <c r="B342" s="698"/>
      <c r="C342" s="698"/>
      <c r="D342" s="360" t="s">
        <v>813</v>
      </c>
      <c r="E342" s="2754" t="str">
        <f t="shared" si="84"/>
        <v/>
      </c>
      <c r="F342" s="2720"/>
      <c r="G342" s="1095" t="str">
        <f t="shared" si="85"/>
        <v>TJ / година</v>
      </c>
      <c r="H342" s="1127" t="str">
        <f>IF(SUMIF(F_ProductBM!$Q:$Q,$Q342,F_ProductBM!H:H)&gt;0,SUMIF(F_ProductBM!$Q:$Q,$Q342,F_ProductBM!H:H),"")</f>
        <v/>
      </c>
      <c r="I342" s="1127" t="str">
        <f>IF(SUMIF(F_ProductBM!$Q:$Q,$Q342,F_ProductBM!I:I)&gt;0,SUMIF(F_ProductBM!$Q:$Q,$Q342,F_ProductBM!I:I),"")</f>
        <v/>
      </c>
      <c r="J342" s="1127" t="str">
        <f>IF(SUMIF(F_ProductBM!$Q:$Q,$Q342,F_ProductBM!J:J)&gt;0,SUMIF(F_ProductBM!$Q:$Q,$Q342,F_ProductBM!J:J),"")</f>
        <v/>
      </c>
      <c r="K342" s="1127" t="str">
        <f>IF(SUMIF(F_ProductBM!$Q:$Q,$Q342,F_ProductBM!K:K)&gt;0,SUMIF(F_ProductBM!$Q:$Q,$Q342,F_ProductBM!K:K),"")</f>
        <v/>
      </c>
      <c r="L342" s="1127" t="str">
        <f>IF(SUMIF(F_ProductBM!$Q:$Q,$Q342,F_ProductBM!L:L)&gt;0,SUMIF(F_ProductBM!$Q:$Q,$Q342,F_ProductBM!L:L),"")</f>
        <v/>
      </c>
      <c r="M342" s="1127" t="str">
        <f>IF(SUMIF(F_ProductBM!$Q:$Q,$Q342,F_ProductBM!M:M)&gt;0,SUMIF(F_ProductBM!$Q:$Q,$Q342,F_ProductBM!M:M),"")</f>
        <v/>
      </c>
      <c r="N342" s="1127" t="str">
        <f>IF(SUMIF(F_ProductBM!$Q:$Q,$Q342,F_ProductBM!N:N)&gt;0,SUMIF(F_ProductBM!$Q:$Q,$Q342,F_ProductBM!N:N),"")</f>
        <v/>
      </c>
      <c r="O342" s="336"/>
      <c r="P342" s="302"/>
      <c r="Q342" s="716" t="str">
        <f t="shared" si="86"/>
        <v>WasteGasCons_</v>
      </c>
      <c r="R342" s="343"/>
      <c r="S342" s="343"/>
      <c r="T342" s="1089"/>
      <c r="U342" s="343"/>
      <c r="V342" s="343"/>
      <c r="W342" s="343"/>
      <c r="X342" s="343"/>
      <c r="Y342" s="343"/>
      <c r="Z342" s="343"/>
      <c r="AA342" s="343"/>
      <c r="AB342" s="343"/>
      <c r="AC342" s="343"/>
      <c r="AD342" s="343"/>
      <c r="AE342" s="343"/>
    </row>
    <row r="343" spans="1:31" x14ac:dyDescent="0.25">
      <c r="A343" s="343"/>
      <c r="B343" s="698"/>
      <c r="C343" s="698"/>
      <c r="D343" s="360" t="s">
        <v>814</v>
      </c>
      <c r="E343" s="2754" t="str">
        <f t="shared" si="84"/>
        <v/>
      </c>
      <c r="F343" s="2720"/>
      <c r="G343" s="1095" t="str">
        <f t="shared" si="85"/>
        <v>TJ / година</v>
      </c>
      <c r="H343" s="1127" t="str">
        <f>IF(SUMIF(F_ProductBM!$Q:$Q,$Q343,F_ProductBM!H:H)&gt;0,SUMIF(F_ProductBM!$Q:$Q,$Q343,F_ProductBM!H:H),"")</f>
        <v/>
      </c>
      <c r="I343" s="1127" t="str">
        <f>IF(SUMIF(F_ProductBM!$Q:$Q,$Q343,F_ProductBM!I:I)&gt;0,SUMIF(F_ProductBM!$Q:$Q,$Q343,F_ProductBM!I:I),"")</f>
        <v/>
      </c>
      <c r="J343" s="1127" t="str">
        <f>IF(SUMIF(F_ProductBM!$Q:$Q,$Q343,F_ProductBM!J:J)&gt;0,SUMIF(F_ProductBM!$Q:$Q,$Q343,F_ProductBM!J:J),"")</f>
        <v/>
      </c>
      <c r="K343" s="1127" t="str">
        <f>IF(SUMIF(F_ProductBM!$Q:$Q,$Q343,F_ProductBM!K:K)&gt;0,SUMIF(F_ProductBM!$Q:$Q,$Q343,F_ProductBM!K:K),"")</f>
        <v/>
      </c>
      <c r="L343" s="1127" t="str">
        <f>IF(SUMIF(F_ProductBM!$Q:$Q,$Q343,F_ProductBM!L:L)&gt;0,SUMIF(F_ProductBM!$Q:$Q,$Q343,F_ProductBM!L:L),"")</f>
        <v/>
      </c>
      <c r="M343" s="1127" t="str">
        <f>IF(SUMIF(F_ProductBM!$Q:$Q,$Q343,F_ProductBM!M:M)&gt;0,SUMIF(F_ProductBM!$Q:$Q,$Q343,F_ProductBM!M:M),"")</f>
        <v/>
      </c>
      <c r="N343" s="1127" t="str">
        <f>IF(SUMIF(F_ProductBM!$Q:$Q,$Q343,F_ProductBM!N:N)&gt;0,SUMIF(F_ProductBM!$Q:$Q,$Q343,F_ProductBM!N:N),"")</f>
        <v/>
      </c>
      <c r="O343" s="336"/>
      <c r="P343" s="302"/>
      <c r="Q343" s="716" t="str">
        <f t="shared" si="86"/>
        <v>WasteGasCons_</v>
      </c>
      <c r="R343" s="343"/>
      <c r="S343" s="343"/>
      <c r="T343" s="1089"/>
      <c r="U343" s="343"/>
      <c r="V343" s="343"/>
      <c r="W343" s="343"/>
      <c r="X343" s="343"/>
      <c r="Y343" s="343"/>
      <c r="Z343" s="343"/>
      <c r="AA343" s="343"/>
      <c r="AB343" s="343"/>
      <c r="AC343" s="343"/>
      <c r="AD343" s="343"/>
      <c r="AE343" s="343"/>
    </row>
    <row r="344" spans="1:31" x14ac:dyDescent="0.25">
      <c r="A344" s="343"/>
      <c r="B344" s="698"/>
      <c r="C344" s="698"/>
      <c r="D344" s="360" t="s">
        <v>61</v>
      </c>
      <c r="E344" s="2756" t="str">
        <f t="shared" si="84"/>
        <v/>
      </c>
      <c r="F344" s="2732"/>
      <c r="G344" s="1098" t="str">
        <f t="shared" si="85"/>
        <v>TJ / година</v>
      </c>
      <c r="H344" s="1128" t="str">
        <f>IF(SUMIF(F_ProductBM!$Q:$Q,$Q344,F_ProductBM!H:H)&gt;0,SUMIF(F_ProductBM!$Q:$Q,$Q344,F_ProductBM!H:H),"")</f>
        <v/>
      </c>
      <c r="I344" s="1128" t="str">
        <f>IF(SUMIF(F_ProductBM!$Q:$Q,$Q344,F_ProductBM!I:I)&gt;0,SUMIF(F_ProductBM!$Q:$Q,$Q344,F_ProductBM!I:I),"")</f>
        <v/>
      </c>
      <c r="J344" s="1128" t="str">
        <f>IF(SUMIF(F_ProductBM!$Q:$Q,$Q344,F_ProductBM!J:J)&gt;0,SUMIF(F_ProductBM!$Q:$Q,$Q344,F_ProductBM!J:J),"")</f>
        <v/>
      </c>
      <c r="K344" s="1128" t="str">
        <f>IF(SUMIF(F_ProductBM!$Q:$Q,$Q344,F_ProductBM!K:K)&gt;0,SUMIF(F_ProductBM!$Q:$Q,$Q344,F_ProductBM!K:K),"")</f>
        <v/>
      </c>
      <c r="L344" s="1128" t="str">
        <f>IF(SUMIF(F_ProductBM!$Q:$Q,$Q344,F_ProductBM!L:L)&gt;0,SUMIF(F_ProductBM!$Q:$Q,$Q344,F_ProductBM!L:L),"")</f>
        <v/>
      </c>
      <c r="M344" s="1128" t="str">
        <f>IF(SUMIF(F_ProductBM!$Q:$Q,$Q344,F_ProductBM!M:M)&gt;0,SUMIF(F_ProductBM!$Q:$Q,$Q344,F_ProductBM!M:M),"")</f>
        <v/>
      </c>
      <c r="N344" s="1128" t="str">
        <f>IF(SUMIF(F_ProductBM!$Q:$Q,$Q344,F_ProductBM!N:N)&gt;0,SUMIF(F_ProductBM!$Q:$Q,$Q344,F_ProductBM!N:N),"")</f>
        <v/>
      </c>
      <c r="O344" s="336"/>
      <c r="P344" s="302"/>
      <c r="Q344" s="716" t="str">
        <f t="shared" si="86"/>
        <v>WasteGasCons_</v>
      </c>
      <c r="R344" s="343"/>
      <c r="S344" s="343"/>
      <c r="T344" s="1089"/>
      <c r="U344" s="343"/>
      <c r="V344" s="343"/>
      <c r="W344" s="343"/>
      <c r="X344" s="343"/>
      <c r="Y344" s="343"/>
      <c r="Z344" s="343"/>
      <c r="AA344" s="343"/>
      <c r="AB344" s="343"/>
      <c r="AC344" s="343"/>
      <c r="AD344" s="343"/>
      <c r="AE344" s="343"/>
    </row>
    <row r="345" spans="1:31" ht="12.75" customHeight="1" x14ac:dyDescent="0.25">
      <c r="A345" s="343"/>
      <c r="B345" s="698"/>
      <c r="C345" s="1084"/>
      <c r="D345" s="360" t="s">
        <v>62</v>
      </c>
      <c r="E345" s="2738" t="str">
        <f>Translations!$B$353</f>
        <v>Междинен сбор</v>
      </c>
      <c r="F345" s="2739"/>
      <c r="G345" s="994" t="str">
        <f t="shared" si="85"/>
        <v>TJ / година</v>
      </c>
      <c r="H345" s="1020" t="str">
        <f t="shared" ref="H345:N345" si="87">IF(COUNT(H335:H344)&gt;0,SUM(H335:H344),"")</f>
        <v/>
      </c>
      <c r="I345" s="1020" t="str">
        <f t="shared" si="87"/>
        <v/>
      </c>
      <c r="J345" s="1020" t="str">
        <f t="shared" si="87"/>
        <v/>
      </c>
      <c r="K345" s="1020" t="str">
        <f t="shared" si="87"/>
        <v/>
      </c>
      <c r="L345" s="1020" t="str">
        <f t="shared" si="87"/>
        <v/>
      </c>
      <c r="M345" s="1020" t="str">
        <f t="shared" si="87"/>
        <v/>
      </c>
      <c r="N345" s="1020" t="str">
        <f t="shared" si="87"/>
        <v/>
      </c>
      <c r="O345" s="336"/>
      <c r="P345" s="302"/>
      <c r="Q345" s="343"/>
      <c r="R345" s="343"/>
      <c r="S345" s="343"/>
      <c r="T345" s="1089"/>
      <c r="U345" s="343"/>
      <c r="V345" s="343"/>
      <c r="W345" s="343"/>
      <c r="X345" s="343"/>
      <c r="Y345" s="343"/>
      <c r="Z345" s="343"/>
      <c r="AA345" s="343"/>
      <c r="AB345" s="343"/>
      <c r="AC345" s="343"/>
      <c r="AD345" s="343"/>
      <c r="AE345" s="343"/>
    </row>
    <row r="346" spans="1:31" ht="5.15" customHeight="1" x14ac:dyDescent="0.25">
      <c r="A346" s="343"/>
      <c r="B346" s="284"/>
      <c r="C346" s="284"/>
      <c r="D346" s="284"/>
      <c r="E346" s="284"/>
      <c r="F346" s="284"/>
      <c r="G346" s="284"/>
      <c r="H346" s="284"/>
      <c r="I346" s="284"/>
      <c r="J346" s="284"/>
      <c r="K346" s="284"/>
      <c r="L346" s="284"/>
      <c r="M346" s="284"/>
      <c r="N346" s="284"/>
      <c r="O346" s="336"/>
      <c r="P346" s="302"/>
      <c r="Q346" s="695"/>
      <c r="R346" s="343"/>
      <c r="S346" s="343"/>
      <c r="T346" s="1089"/>
      <c r="U346" s="343"/>
      <c r="V346" s="343"/>
      <c r="W346" s="343"/>
      <c r="X346" s="343"/>
      <c r="Y346" s="343"/>
      <c r="Z346" s="343"/>
      <c r="AA346" s="343"/>
      <c r="AB346" s="343"/>
      <c r="AC346" s="343"/>
      <c r="AD346" s="343"/>
      <c r="AE346" s="343"/>
    </row>
    <row r="347" spans="1:31" ht="13" customHeight="1" x14ac:dyDescent="0.25">
      <c r="A347" s="343"/>
      <c r="B347" s="284"/>
      <c r="C347" s="300"/>
      <c r="D347" s="300" t="s">
        <v>277</v>
      </c>
      <c r="E347" s="2724" t="str">
        <f>Translations!$B$442</f>
        <v>Отпадни газове, консумирани в алтернативни подинсталации („fall-back sub-installations“)</v>
      </c>
      <c r="F347" s="2725"/>
      <c r="G347" s="2725"/>
      <c r="H347" s="2725"/>
      <c r="I347" s="2725"/>
      <c r="J347" s="2725"/>
      <c r="K347" s="2725"/>
      <c r="L347" s="2725"/>
      <c r="M347" s="2725"/>
      <c r="N347" s="2725"/>
      <c r="O347" s="336"/>
      <c r="P347" s="302"/>
      <c r="Q347" s="695"/>
      <c r="R347" s="343"/>
      <c r="S347" s="343"/>
      <c r="T347" s="1089"/>
      <c r="U347" s="343"/>
      <c r="V347" s="343"/>
      <c r="W347" s="343"/>
      <c r="X347" s="343"/>
      <c r="Y347" s="343"/>
      <c r="Z347" s="343"/>
      <c r="AA347" s="343"/>
      <c r="AB347" s="343"/>
      <c r="AC347" s="343"/>
      <c r="AD347" s="343"/>
      <c r="AE347" s="343"/>
    </row>
    <row r="348" spans="1:31" ht="12.75" customHeight="1" x14ac:dyDescent="0.25">
      <c r="A348" s="343"/>
      <c r="B348" s="284"/>
      <c r="C348" s="302"/>
      <c r="D348" s="302"/>
      <c r="E348" s="2733" t="str">
        <f>Translations!$B$443</f>
        <v>Информацията се взема от съответните данни в лист „G_Fall-back“. Ако е приложимо, трябва да се уверите, че там сте въвели пълни данни.</v>
      </c>
      <c r="F348" s="2725"/>
      <c r="G348" s="2725"/>
      <c r="H348" s="2725"/>
      <c r="I348" s="2725"/>
      <c r="J348" s="2725"/>
      <c r="K348" s="2725"/>
      <c r="L348" s="2725"/>
      <c r="M348" s="2725"/>
      <c r="N348" s="2725"/>
      <c r="O348" s="336"/>
      <c r="P348" s="302"/>
      <c r="Q348" s="695"/>
      <c r="R348" s="343"/>
      <c r="S348" s="343"/>
      <c r="T348" s="1089"/>
      <c r="U348" s="343"/>
      <c r="V348" s="343"/>
      <c r="W348" s="343"/>
      <c r="X348" s="343"/>
      <c r="Y348" s="343"/>
      <c r="Z348" s="343"/>
      <c r="AA348" s="343"/>
      <c r="AB348" s="343"/>
      <c r="AC348" s="343"/>
      <c r="AD348" s="343"/>
      <c r="AE348" s="343"/>
    </row>
    <row r="349" spans="1:31" ht="13" customHeight="1" x14ac:dyDescent="0.25">
      <c r="A349" s="343"/>
      <c r="B349" s="698"/>
      <c r="C349" s="698"/>
      <c r="D349" s="698"/>
      <c r="E349" s="2742" t="str">
        <f>Translations!$B$444</f>
        <v>Тип алтернативна подинсталация („fall-back sub-installation“)</v>
      </c>
      <c r="F349" s="2743"/>
      <c r="G349" s="300" t="str">
        <f>EUconst_Unit</f>
        <v>Единица мярка</v>
      </c>
      <c r="H349" s="391">
        <f t="shared" ref="H349:N349" si="88">H$428</f>
        <v>2024</v>
      </c>
      <c r="I349" s="391">
        <f t="shared" si="88"/>
        <v>2025</v>
      </c>
      <c r="J349" s="391">
        <f t="shared" si="88"/>
        <v>2026</v>
      </c>
      <c r="K349" s="391">
        <f t="shared" si="88"/>
        <v>2027</v>
      </c>
      <c r="L349" s="391">
        <f t="shared" si="88"/>
        <v>2028</v>
      </c>
      <c r="M349" s="391">
        <f t="shared" si="88"/>
        <v>2029</v>
      </c>
      <c r="N349" s="572">
        <f t="shared" si="88"/>
        <v>2030</v>
      </c>
      <c r="O349" s="336"/>
      <c r="P349" s="302"/>
      <c r="Q349" s="343"/>
      <c r="R349" s="343"/>
      <c r="S349" s="343"/>
      <c r="T349" s="1089"/>
      <c r="U349" s="343"/>
      <c r="V349" s="343"/>
      <c r="W349" s="343"/>
      <c r="X349" s="343"/>
      <c r="Y349" s="343"/>
      <c r="Z349" s="343"/>
      <c r="AA349" s="343"/>
      <c r="AB349" s="343"/>
      <c r="AC349" s="343"/>
      <c r="AD349" s="343"/>
      <c r="AE349" s="343"/>
    </row>
    <row r="350" spans="1:31" ht="12.75" customHeight="1" x14ac:dyDescent="0.25">
      <c r="A350" s="694"/>
      <c r="B350" s="698"/>
      <c r="C350" s="698"/>
      <c r="D350" s="1084" t="s">
        <v>6</v>
      </c>
      <c r="E350" s="2772" t="str">
        <f t="shared" ref="E350:E356" si="89">INDEX(EUconst_FallBackListNames,R350)</f>
        <v>Подинсталация с топлинен показател (с риск от ИВЕ | извън МКВЕГ)</v>
      </c>
      <c r="F350" s="2729"/>
      <c r="G350" s="1093" t="str">
        <f t="shared" ref="G350:G357" si="90">EUconst_TJpa</f>
        <v>TJ / година</v>
      </c>
      <c r="H350" s="1126" t="str">
        <f>IF(SUMIF('G_Fall-back'!$Q:$Q,$Q350,'G_Fall-back'!H:H)&gt;0,SUMIF('G_Fall-back'!$Q:$Q,$Q350,'G_Fall-back'!H:H),"")</f>
        <v/>
      </c>
      <c r="I350" s="1126" t="str">
        <f>IF(SUMIF('G_Fall-back'!$Q:$Q,$Q350,'G_Fall-back'!I:I)&gt;0,SUMIF('G_Fall-back'!$Q:$Q,$Q350,'G_Fall-back'!I:I),"")</f>
        <v/>
      </c>
      <c r="J350" s="1126" t="str">
        <f>IF(SUMIF('G_Fall-back'!$Q:$Q,$Q350,'G_Fall-back'!J:J)&gt;0,SUMIF('G_Fall-back'!$Q:$Q,$Q350,'G_Fall-back'!J:J),"")</f>
        <v/>
      </c>
      <c r="K350" s="1126" t="str">
        <f>IF(SUMIF('G_Fall-back'!$Q:$Q,$Q350,'G_Fall-back'!K:K)&gt;0,SUMIF('G_Fall-back'!$Q:$Q,$Q350,'G_Fall-back'!K:K),"")</f>
        <v/>
      </c>
      <c r="L350" s="1126" t="str">
        <f>IF(SUMIF('G_Fall-back'!$Q:$Q,$Q350,'G_Fall-back'!L:L)&gt;0,SUMIF('G_Fall-back'!$Q:$Q,$Q350,'G_Fall-back'!L:L),"")</f>
        <v/>
      </c>
      <c r="M350" s="1126" t="str">
        <f>IF(SUMIF('G_Fall-back'!$Q:$Q,$Q350,'G_Fall-back'!M:M)&gt;0,SUMIF('G_Fall-back'!$Q:$Q,$Q350,'G_Fall-back'!M:M),"")</f>
        <v/>
      </c>
      <c r="N350" s="1126" t="str">
        <f>IF(SUMIF('G_Fall-back'!$Q:$Q,$Q350,'G_Fall-back'!N:N)&gt;0,SUMIF('G_Fall-back'!$Q:$Q,$Q350,'G_Fall-back'!N:N),"")</f>
        <v/>
      </c>
      <c r="O350" s="336"/>
      <c r="P350" s="302"/>
      <c r="Q350" s="716" t="str">
        <f t="shared" ref="Q350:Q356" si="91">EUconst_CNTR_WGConsumed &amp; E350</f>
        <v>WasteGasCons_Подинсталация с топлинен показател (с риск от ИВЕ | извън МКВЕГ)</v>
      </c>
      <c r="R350" s="875">
        <v>1</v>
      </c>
      <c r="S350" s="343"/>
      <c r="T350" s="1089"/>
      <c r="U350" s="343"/>
      <c r="V350" s="343"/>
      <c r="W350" s="343"/>
      <c r="X350" s="343"/>
      <c r="Y350" s="343"/>
      <c r="Z350" s="343"/>
      <c r="AA350" s="343"/>
      <c r="AB350" s="343"/>
      <c r="AC350" s="343"/>
      <c r="AD350" s="343"/>
      <c r="AE350" s="343"/>
    </row>
    <row r="351" spans="1:31" ht="12.75" customHeight="1" x14ac:dyDescent="0.25">
      <c r="A351" s="694"/>
      <c r="B351" s="698"/>
      <c r="C351" s="698"/>
      <c r="D351" s="1084" t="s">
        <v>7</v>
      </c>
      <c r="E351" s="2769" t="str">
        <f t="shared" si="89"/>
        <v>Подинсталация с топлинен показател (без риск от ИВЕ | извън МКВЕГ)</v>
      </c>
      <c r="F351" s="2720"/>
      <c r="G351" s="1095" t="str">
        <f t="shared" si="90"/>
        <v>TJ / година</v>
      </c>
      <c r="H351" s="1127" t="str">
        <f>IF(SUMIF('G_Fall-back'!$Q:$Q,$Q351,'G_Fall-back'!H:H)&gt;0,SUMIF('G_Fall-back'!$Q:$Q,$Q351,'G_Fall-back'!H:H),"")</f>
        <v/>
      </c>
      <c r="I351" s="1127" t="str">
        <f>IF(SUMIF('G_Fall-back'!$Q:$Q,$Q351,'G_Fall-back'!I:I)&gt;0,SUMIF('G_Fall-back'!$Q:$Q,$Q351,'G_Fall-back'!I:I),"")</f>
        <v/>
      </c>
      <c r="J351" s="1127" t="str">
        <f>IF(SUMIF('G_Fall-back'!$Q:$Q,$Q351,'G_Fall-back'!J:J)&gt;0,SUMIF('G_Fall-back'!$Q:$Q,$Q351,'G_Fall-back'!J:J),"")</f>
        <v/>
      </c>
      <c r="K351" s="1127" t="str">
        <f>IF(SUMIF('G_Fall-back'!$Q:$Q,$Q351,'G_Fall-back'!K:K)&gt;0,SUMIF('G_Fall-back'!$Q:$Q,$Q351,'G_Fall-back'!K:K),"")</f>
        <v/>
      </c>
      <c r="L351" s="1127" t="str">
        <f>IF(SUMIF('G_Fall-back'!$Q:$Q,$Q351,'G_Fall-back'!L:L)&gt;0,SUMIF('G_Fall-back'!$Q:$Q,$Q351,'G_Fall-back'!L:L),"")</f>
        <v/>
      </c>
      <c r="M351" s="1127" t="str">
        <f>IF(SUMIF('G_Fall-back'!$Q:$Q,$Q351,'G_Fall-back'!M:M)&gt;0,SUMIF('G_Fall-back'!$Q:$Q,$Q351,'G_Fall-back'!M:M),"")</f>
        <v/>
      </c>
      <c r="N351" s="1127" t="str">
        <f>IF(SUMIF('G_Fall-back'!$Q:$Q,$Q351,'G_Fall-back'!N:N)&gt;0,SUMIF('G_Fall-back'!$Q:$Q,$Q351,'G_Fall-back'!N:N),"")</f>
        <v/>
      </c>
      <c r="O351" s="336"/>
      <c r="P351" s="302"/>
      <c r="Q351" s="716" t="str">
        <f t="shared" si="91"/>
        <v>WasteGasCons_Подинсталация с топлинен показател (без риск от ИВЕ | извън МКВЕГ)</v>
      </c>
      <c r="R351" s="875">
        <v>2</v>
      </c>
      <c r="S351" s="343"/>
      <c r="T351" s="1089"/>
      <c r="U351" s="343"/>
      <c r="V351" s="343"/>
      <c r="W351" s="343"/>
      <c r="X351" s="343"/>
      <c r="Y351" s="343"/>
      <c r="Z351" s="343"/>
      <c r="AA351" s="343"/>
      <c r="AB351" s="343"/>
      <c r="AC351" s="343"/>
      <c r="AD351" s="343"/>
      <c r="AE351" s="343"/>
    </row>
    <row r="352" spans="1:31" ht="12.75" customHeight="1" x14ac:dyDescent="0.25">
      <c r="A352" s="694"/>
      <c r="B352" s="698"/>
      <c r="C352" s="698"/>
      <c r="D352" s="1084" t="s">
        <v>8</v>
      </c>
      <c r="E352" s="2769" t="str">
        <f t="shared" si="89"/>
        <v>Подинсталация с топлинен показател (с риск от ИВЕ | в рамките на МКВЕГ)</v>
      </c>
      <c r="F352" s="2720"/>
      <c r="G352" s="1095" t="str">
        <f t="shared" si="90"/>
        <v>TJ / година</v>
      </c>
      <c r="H352" s="1127" t="str">
        <f>IF(SUMIF('G_Fall-back'!$Q:$Q,$Q352,'G_Fall-back'!H:H)&gt;0,SUMIF('G_Fall-back'!$Q:$Q,$Q352,'G_Fall-back'!H:H),"")</f>
        <v/>
      </c>
      <c r="I352" s="1127" t="str">
        <f>IF(SUMIF('G_Fall-back'!$Q:$Q,$Q352,'G_Fall-back'!I:I)&gt;0,SUMIF('G_Fall-back'!$Q:$Q,$Q352,'G_Fall-back'!I:I),"")</f>
        <v/>
      </c>
      <c r="J352" s="1127" t="str">
        <f>IF(SUMIF('G_Fall-back'!$Q:$Q,$Q352,'G_Fall-back'!J:J)&gt;0,SUMIF('G_Fall-back'!$Q:$Q,$Q352,'G_Fall-back'!J:J),"")</f>
        <v/>
      </c>
      <c r="K352" s="1127" t="str">
        <f>IF(SUMIF('G_Fall-back'!$Q:$Q,$Q352,'G_Fall-back'!K:K)&gt;0,SUMIF('G_Fall-back'!$Q:$Q,$Q352,'G_Fall-back'!K:K),"")</f>
        <v/>
      </c>
      <c r="L352" s="1127" t="str">
        <f>IF(SUMIF('G_Fall-back'!$Q:$Q,$Q352,'G_Fall-back'!L:L)&gt;0,SUMIF('G_Fall-back'!$Q:$Q,$Q352,'G_Fall-back'!L:L),"")</f>
        <v/>
      </c>
      <c r="M352" s="1127" t="str">
        <f>IF(SUMIF('G_Fall-back'!$Q:$Q,$Q352,'G_Fall-back'!M:M)&gt;0,SUMIF('G_Fall-back'!$Q:$Q,$Q352,'G_Fall-back'!M:M),"")</f>
        <v/>
      </c>
      <c r="N352" s="1127" t="str">
        <f>IF(SUMIF('G_Fall-back'!$Q:$Q,$Q352,'G_Fall-back'!N:N)&gt;0,SUMIF('G_Fall-back'!$Q:$Q,$Q352,'G_Fall-back'!N:N),"")</f>
        <v/>
      </c>
      <c r="O352" s="336"/>
      <c r="P352" s="302"/>
      <c r="Q352" s="716" t="str">
        <f t="shared" si="91"/>
        <v>WasteGasCons_Подинсталация с топлинен показател (с риск от ИВЕ | в рамките на МКВЕГ)</v>
      </c>
      <c r="R352" s="875">
        <v>3</v>
      </c>
      <c r="S352" s="343"/>
      <c r="T352" s="1089"/>
      <c r="U352" s="343"/>
      <c r="V352" s="343"/>
      <c r="W352" s="343"/>
      <c r="X352" s="343"/>
      <c r="Y352" s="343"/>
      <c r="Z352" s="343"/>
      <c r="AA352" s="343"/>
      <c r="AB352" s="343"/>
      <c r="AC352" s="343"/>
      <c r="AD352" s="343"/>
      <c r="AE352" s="343"/>
    </row>
    <row r="353" spans="1:31" ht="12.75" customHeight="1" x14ac:dyDescent="0.25">
      <c r="A353" s="694"/>
      <c r="B353" s="698"/>
      <c r="C353" s="698"/>
      <c r="D353" s="1084" t="s">
        <v>18</v>
      </c>
      <c r="E353" s="2769" t="str">
        <f t="shared" si="89"/>
        <v>Подинсталация на топлофикационна мрежа</v>
      </c>
      <c r="F353" s="2720"/>
      <c r="G353" s="1095" t="str">
        <f t="shared" si="90"/>
        <v>TJ / година</v>
      </c>
      <c r="H353" s="1127" t="str">
        <f>IF(SUMIF('G_Fall-back'!$Q:$Q,$Q353,'G_Fall-back'!H:H)&gt;0,SUMIF('G_Fall-back'!$Q:$Q,$Q353,'G_Fall-back'!H:H),"")</f>
        <v/>
      </c>
      <c r="I353" s="1127" t="str">
        <f>IF(SUMIF('G_Fall-back'!$Q:$Q,$Q353,'G_Fall-back'!I:I)&gt;0,SUMIF('G_Fall-back'!$Q:$Q,$Q353,'G_Fall-back'!I:I),"")</f>
        <v/>
      </c>
      <c r="J353" s="1127" t="str">
        <f>IF(SUMIF('G_Fall-back'!$Q:$Q,$Q353,'G_Fall-back'!J:J)&gt;0,SUMIF('G_Fall-back'!$Q:$Q,$Q353,'G_Fall-back'!J:J),"")</f>
        <v/>
      </c>
      <c r="K353" s="1127" t="str">
        <f>IF(SUMIF('G_Fall-back'!$Q:$Q,$Q353,'G_Fall-back'!K:K)&gt;0,SUMIF('G_Fall-back'!$Q:$Q,$Q353,'G_Fall-back'!K:K),"")</f>
        <v/>
      </c>
      <c r="L353" s="1127" t="str">
        <f>IF(SUMIF('G_Fall-back'!$Q:$Q,$Q353,'G_Fall-back'!L:L)&gt;0,SUMIF('G_Fall-back'!$Q:$Q,$Q353,'G_Fall-back'!L:L),"")</f>
        <v/>
      </c>
      <c r="M353" s="1127" t="str">
        <f>IF(SUMIF('G_Fall-back'!$Q:$Q,$Q353,'G_Fall-back'!M:M)&gt;0,SUMIF('G_Fall-back'!$Q:$Q,$Q353,'G_Fall-back'!M:M),"")</f>
        <v/>
      </c>
      <c r="N353" s="1127" t="str">
        <f>IF(SUMIF('G_Fall-back'!$Q:$Q,$Q353,'G_Fall-back'!N:N)&gt;0,SUMIF('G_Fall-back'!$Q:$Q,$Q353,'G_Fall-back'!N:N),"")</f>
        <v/>
      </c>
      <c r="O353" s="336"/>
      <c r="P353" s="302"/>
      <c r="Q353" s="716" t="str">
        <f t="shared" si="91"/>
        <v>WasteGasCons_Подинсталация на топлофикационна мрежа</v>
      </c>
      <c r="R353" s="875">
        <v>4</v>
      </c>
      <c r="S353" s="343"/>
      <c r="T353" s="1089"/>
      <c r="U353" s="343"/>
      <c r="V353" s="343"/>
      <c r="W353" s="343"/>
      <c r="X353" s="343"/>
      <c r="Y353" s="343"/>
      <c r="Z353" s="343"/>
      <c r="AA353" s="343"/>
      <c r="AB353" s="343"/>
      <c r="AC353" s="343"/>
      <c r="AD353" s="343"/>
      <c r="AE353" s="343"/>
    </row>
    <row r="354" spans="1:31" ht="12.75" customHeight="1" x14ac:dyDescent="0.25">
      <c r="A354" s="694"/>
      <c r="B354" s="698"/>
      <c r="C354" s="698"/>
      <c r="D354" s="360" t="s">
        <v>810</v>
      </c>
      <c r="E354" s="2769" t="str">
        <f t="shared" si="89"/>
        <v>Подинсталация с горивен показател (с риск от ИВЕ | извън МКВЕГ)</v>
      </c>
      <c r="F354" s="2720"/>
      <c r="G354" s="1095" t="str">
        <f t="shared" si="90"/>
        <v>TJ / година</v>
      </c>
      <c r="H354" s="1127" t="str">
        <f>IF(SUMIF('G_Fall-back'!$Q:$Q,$Q354,'G_Fall-back'!H:H)&gt;0,SUMIF('G_Fall-back'!$Q:$Q,$Q354,'G_Fall-back'!H:H),"")</f>
        <v/>
      </c>
      <c r="I354" s="1127" t="str">
        <f>IF(SUMIF('G_Fall-back'!$Q:$Q,$Q354,'G_Fall-back'!I:I)&gt;0,SUMIF('G_Fall-back'!$Q:$Q,$Q354,'G_Fall-back'!I:I),"")</f>
        <v/>
      </c>
      <c r="J354" s="1127" t="str">
        <f>IF(SUMIF('G_Fall-back'!$Q:$Q,$Q354,'G_Fall-back'!J:J)&gt;0,SUMIF('G_Fall-back'!$Q:$Q,$Q354,'G_Fall-back'!J:J),"")</f>
        <v/>
      </c>
      <c r="K354" s="1127" t="str">
        <f>IF(SUMIF('G_Fall-back'!$Q:$Q,$Q354,'G_Fall-back'!K:K)&gt;0,SUMIF('G_Fall-back'!$Q:$Q,$Q354,'G_Fall-back'!K:K),"")</f>
        <v/>
      </c>
      <c r="L354" s="1127" t="str">
        <f>IF(SUMIF('G_Fall-back'!$Q:$Q,$Q354,'G_Fall-back'!L:L)&gt;0,SUMIF('G_Fall-back'!$Q:$Q,$Q354,'G_Fall-back'!L:L),"")</f>
        <v/>
      </c>
      <c r="M354" s="1127" t="str">
        <f>IF(SUMIF('G_Fall-back'!$Q:$Q,$Q354,'G_Fall-back'!M:M)&gt;0,SUMIF('G_Fall-back'!$Q:$Q,$Q354,'G_Fall-back'!M:M),"")</f>
        <v/>
      </c>
      <c r="N354" s="1127" t="str">
        <f>IF(SUMIF('G_Fall-back'!$Q:$Q,$Q354,'G_Fall-back'!N:N)&gt;0,SUMIF('G_Fall-back'!$Q:$Q,$Q354,'G_Fall-back'!N:N),"")</f>
        <v/>
      </c>
      <c r="O354" s="336"/>
      <c r="P354" s="302"/>
      <c r="Q354" s="716" t="str">
        <f t="shared" si="91"/>
        <v>WasteGasCons_Подинсталация с горивен показател (с риск от ИВЕ | извън МКВЕГ)</v>
      </c>
      <c r="R354" s="875">
        <v>5</v>
      </c>
      <c r="S354" s="343"/>
      <c r="T354" s="1089"/>
      <c r="U354" s="343"/>
      <c r="V354" s="343"/>
      <c r="W354" s="343"/>
      <c r="X354" s="343"/>
      <c r="Y354" s="343"/>
      <c r="Z354" s="343"/>
      <c r="AA354" s="343"/>
      <c r="AB354" s="343"/>
      <c r="AC354" s="343"/>
      <c r="AD354" s="343"/>
      <c r="AE354" s="343"/>
    </row>
    <row r="355" spans="1:31" ht="12.75" customHeight="1" x14ac:dyDescent="0.25">
      <c r="A355" s="694"/>
      <c r="B355" s="698"/>
      <c r="C355" s="698"/>
      <c r="D355" s="360" t="s">
        <v>811</v>
      </c>
      <c r="E355" s="2769" t="str">
        <f t="shared" si="89"/>
        <v>Подинсталация с горивен показател (без риск от ИВЕ | извън МКВЕГ)</v>
      </c>
      <c r="F355" s="2720"/>
      <c r="G355" s="1095" t="str">
        <f t="shared" si="90"/>
        <v>TJ / година</v>
      </c>
      <c r="H355" s="1127" t="str">
        <f>IF(SUMIF('G_Fall-back'!$Q:$Q,$Q355,'G_Fall-back'!H:H)&gt;0,SUMIF('G_Fall-back'!$Q:$Q,$Q355,'G_Fall-back'!H:H),"")</f>
        <v/>
      </c>
      <c r="I355" s="1127" t="str">
        <f>IF(SUMIF('G_Fall-back'!$Q:$Q,$Q355,'G_Fall-back'!I:I)&gt;0,SUMIF('G_Fall-back'!$Q:$Q,$Q355,'G_Fall-back'!I:I),"")</f>
        <v/>
      </c>
      <c r="J355" s="1127" t="str">
        <f>IF(SUMIF('G_Fall-back'!$Q:$Q,$Q355,'G_Fall-back'!J:J)&gt;0,SUMIF('G_Fall-back'!$Q:$Q,$Q355,'G_Fall-back'!J:J),"")</f>
        <v/>
      </c>
      <c r="K355" s="1127" t="str">
        <f>IF(SUMIF('G_Fall-back'!$Q:$Q,$Q355,'G_Fall-back'!K:K)&gt;0,SUMIF('G_Fall-back'!$Q:$Q,$Q355,'G_Fall-back'!K:K),"")</f>
        <v/>
      </c>
      <c r="L355" s="1127" t="str">
        <f>IF(SUMIF('G_Fall-back'!$Q:$Q,$Q355,'G_Fall-back'!L:L)&gt;0,SUMIF('G_Fall-back'!$Q:$Q,$Q355,'G_Fall-back'!L:L),"")</f>
        <v/>
      </c>
      <c r="M355" s="1127" t="str">
        <f>IF(SUMIF('G_Fall-back'!$Q:$Q,$Q355,'G_Fall-back'!M:M)&gt;0,SUMIF('G_Fall-back'!$Q:$Q,$Q355,'G_Fall-back'!M:M),"")</f>
        <v/>
      </c>
      <c r="N355" s="1127" t="str">
        <f>IF(SUMIF('G_Fall-back'!$Q:$Q,$Q355,'G_Fall-back'!N:N)&gt;0,SUMIF('G_Fall-back'!$Q:$Q,$Q355,'G_Fall-back'!N:N),"")</f>
        <v/>
      </c>
      <c r="O355" s="336"/>
      <c r="P355" s="302"/>
      <c r="Q355" s="716" t="str">
        <f t="shared" si="91"/>
        <v>WasteGasCons_Подинсталация с горивен показател (без риск от ИВЕ | извън МКВЕГ)</v>
      </c>
      <c r="R355" s="875">
        <v>6</v>
      </c>
      <c r="S355" s="343"/>
      <c r="T355" s="1089"/>
      <c r="U355" s="343"/>
      <c r="V355" s="343"/>
      <c r="W355" s="343"/>
      <c r="X355" s="343"/>
      <c r="Y355" s="343"/>
      <c r="Z355" s="343"/>
      <c r="AA355" s="343"/>
      <c r="AB355" s="343"/>
      <c r="AC355" s="343"/>
      <c r="AD355" s="343"/>
      <c r="AE355" s="343"/>
    </row>
    <row r="356" spans="1:31" ht="12.75" customHeight="1" x14ac:dyDescent="0.25">
      <c r="A356" s="694"/>
      <c r="B356" s="698"/>
      <c r="C356" s="698"/>
      <c r="D356" s="360" t="s">
        <v>812</v>
      </c>
      <c r="E356" s="2770" t="str">
        <f t="shared" si="89"/>
        <v>Подинсталация с горивен показател (с риск от ИВЕ | в рамките на МКВЕГ)</v>
      </c>
      <c r="F356" s="2732"/>
      <c r="G356" s="1098" t="str">
        <f t="shared" si="90"/>
        <v>TJ / година</v>
      </c>
      <c r="H356" s="1128" t="str">
        <f>IF(SUMIF('G_Fall-back'!$Q:$Q,$Q356,'G_Fall-back'!H:H)&gt;0,SUMIF('G_Fall-back'!$Q:$Q,$Q356,'G_Fall-back'!H:H),"")</f>
        <v/>
      </c>
      <c r="I356" s="1128" t="str">
        <f>IF(SUMIF('G_Fall-back'!$Q:$Q,$Q356,'G_Fall-back'!I:I)&gt;0,SUMIF('G_Fall-back'!$Q:$Q,$Q356,'G_Fall-back'!I:I),"")</f>
        <v/>
      </c>
      <c r="J356" s="1128" t="str">
        <f>IF(SUMIF('G_Fall-back'!$Q:$Q,$Q356,'G_Fall-back'!J:J)&gt;0,SUMIF('G_Fall-back'!$Q:$Q,$Q356,'G_Fall-back'!J:J),"")</f>
        <v/>
      </c>
      <c r="K356" s="1128" t="str">
        <f>IF(SUMIF('G_Fall-back'!$Q:$Q,$Q356,'G_Fall-back'!K:K)&gt;0,SUMIF('G_Fall-back'!$Q:$Q,$Q356,'G_Fall-back'!K:K),"")</f>
        <v/>
      </c>
      <c r="L356" s="1128" t="str">
        <f>IF(SUMIF('G_Fall-back'!$Q:$Q,$Q356,'G_Fall-back'!L:L)&gt;0,SUMIF('G_Fall-back'!$Q:$Q,$Q356,'G_Fall-back'!L:L),"")</f>
        <v/>
      </c>
      <c r="M356" s="1128" t="str">
        <f>IF(SUMIF('G_Fall-back'!$Q:$Q,$Q356,'G_Fall-back'!M:M)&gt;0,SUMIF('G_Fall-back'!$Q:$Q,$Q356,'G_Fall-back'!M:M),"")</f>
        <v/>
      </c>
      <c r="N356" s="1128" t="str">
        <f>IF(SUMIF('G_Fall-back'!$Q:$Q,$Q356,'G_Fall-back'!N:N)&gt;0,SUMIF('G_Fall-back'!$Q:$Q,$Q356,'G_Fall-back'!N:N),"")</f>
        <v/>
      </c>
      <c r="O356" s="336"/>
      <c r="P356" s="302"/>
      <c r="Q356" s="716" t="str">
        <f t="shared" si="91"/>
        <v>WasteGasCons_Подинсталация с горивен показател (с риск от ИВЕ | в рамките на МКВЕГ)</v>
      </c>
      <c r="R356" s="875">
        <v>7</v>
      </c>
      <c r="S356" s="343"/>
      <c r="T356" s="1089"/>
      <c r="U356" s="343"/>
      <c r="V356" s="343"/>
      <c r="W356" s="343"/>
      <c r="X356" s="343"/>
      <c r="Y356" s="343"/>
      <c r="Z356" s="343"/>
      <c r="AA356" s="343"/>
      <c r="AB356" s="343"/>
      <c r="AC356" s="343"/>
      <c r="AD356" s="343"/>
      <c r="AE356" s="343"/>
    </row>
    <row r="357" spans="1:31" ht="12.75" customHeight="1" x14ac:dyDescent="0.25">
      <c r="A357" s="343"/>
      <c r="B357" s="698"/>
      <c r="C357" s="698"/>
      <c r="D357" s="360" t="s">
        <v>813</v>
      </c>
      <c r="E357" s="2738" t="str">
        <f>Translations!$B$353</f>
        <v>Междинен сбор</v>
      </c>
      <c r="F357" s="2739"/>
      <c r="G357" s="1130" t="str">
        <f t="shared" si="90"/>
        <v>TJ / година</v>
      </c>
      <c r="H357" s="1102" t="str">
        <f t="shared" ref="H357:N357" si="92">IF(COUNT(H350:H356)&gt;0,SUM(H350:H356),"")</f>
        <v/>
      </c>
      <c r="I357" s="1102" t="str">
        <f t="shared" si="92"/>
        <v/>
      </c>
      <c r="J357" s="1102" t="str">
        <f t="shared" si="92"/>
        <v/>
      </c>
      <c r="K357" s="1102" t="str">
        <f t="shared" si="92"/>
        <v/>
      </c>
      <c r="L357" s="1102" t="str">
        <f t="shared" si="92"/>
        <v/>
      </c>
      <c r="M357" s="1102" t="str">
        <f t="shared" si="92"/>
        <v/>
      </c>
      <c r="N357" s="1102" t="str">
        <f t="shared" si="92"/>
        <v/>
      </c>
      <c r="O357" s="336"/>
      <c r="P357" s="302"/>
      <c r="Q357" s="343"/>
      <c r="R357" s="343"/>
      <c r="S357" s="343"/>
      <c r="T357" s="1089"/>
      <c r="U357" s="343"/>
      <c r="V357" s="343"/>
      <c r="W357" s="343"/>
      <c r="X357" s="343"/>
      <c r="Y357" s="343"/>
      <c r="Z357" s="343"/>
      <c r="AA357" s="343"/>
      <c r="AB357" s="343"/>
      <c r="AC357" s="343"/>
      <c r="AD357" s="343"/>
      <c r="AE357" s="343"/>
    </row>
    <row r="358" spans="1:31" ht="5.15" customHeight="1" x14ac:dyDescent="0.25">
      <c r="A358" s="343"/>
      <c r="B358" s="698"/>
      <c r="C358" s="698"/>
      <c r="D358" s="698"/>
      <c r="E358" s="302"/>
      <c r="F358" s="698"/>
      <c r="G358" s="698"/>
      <c r="H358" s="698"/>
      <c r="I358" s="698"/>
      <c r="J358" s="698"/>
      <c r="K358" s="698"/>
      <c r="L358" s="698"/>
      <c r="M358" s="698"/>
      <c r="N358" s="698"/>
      <c r="O358" s="336"/>
      <c r="P358" s="302"/>
      <c r="Q358" s="343"/>
      <c r="R358" s="343"/>
      <c r="S358" s="343"/>
      <c r="T358" s="1089"/>
      <c r="U358" s="343"/>
      <c r="V358" s="343"/>
      <c r="W358" s="343"/>
      <c r="X358" s="343"/>
      <c r="Y358" s="343"/>
      <c r="Z358" s="343"/>
      <c r="AA358" s="343"/>
      <c r="AB358" s="343"/>
      <c r="AC358" s="343"/>
      <c r="AD358" s="343"/>
      <c r="AE358" s="343"/>
    </row>
    <row r="359" spans="1:31" ht="13" customHeight="1" x14ac:dyDescent="0.25">
      <c r="A359" s="343"/>
      <c r="B359" s="284"/>
      <c r="C359" s="300"/>
      <c r="D359" s="300" t="s">
        <v>279</v>
      </c>
      <c r="E359" s="2742" t="str">
        <f>Translations!$B$445</f>
        <v>Количество отпадни газове, консумирано за производство на електроенергия</v>
      </c>
      <c r="F359" s="2742"/>
      <c r="G359" s="2742"/>
      <c r="H359" s="2742"/>
      <c r="I359" s="2742"/>
      <c r="J359" s="2742"/>
      <c r="K359" s="2742"/>
      <c r="L359" s="2742"/>
      <c r="M359" s="2742"/>
      <c r="N359" s="2742"/>
      <c r="O359" s="336"/>
      <c r="P359" s="302"/>
      <c r="Q359" s="695"/>
      <c r="R359" s="343"/>
      <c r="S359" s="343"/>
      <c r="T359" s="1089"/>
      <c r="U359" s="343"/>
      <c r="V359" s="343"/>
      <c r="W359" s="343"/>
      <c r="X359" s="343"/>
      <c r="Y359" s="343"/>
      <c r="Z359" s="343"/>
      <c r="AA359" s="343"/>
      <c r="AB359" s="343"/>
      <c r="AC359" s="343"/>
      <c r="AD359" s="343"/>
      <c r="AE359" s="343"/>
    </row>
    <row r="360" spans="1:31" ht="12.65" customHeight="1" x14ac:dyDescent="0.25">
      <c r="A360" s="343"/>
      <c r="B360" s="698"/>
      <c r="C360" s="698"/>
      <c r="D360" s="698"/>
      <c r="E360" s="2740" t="str">
        <f>Translations!$B$446</f>
        <v>Отпадни газове за електроенергия</v>
      </c>
      <c r="F360" s="2739"/>
      <c r="G360" s="1038" t="str">
        <f>EUconst_TJpa</f>
        <v>TJ / година</v>
      </c>
      <c r="H360" s="24"/>
      <c r="I360" s="24"/>
      <c r="J360" s="24"/>
      <c r="K360" s="24"/>
      <c r="L360" s="24"/>
      <c r="M360" s="24"/>
      <c r="N360" s="24"/>
      <c r="O360" s="336"/>
      <c r="P360" s="181"/>
      <c r="Q360" s="343"/>
      <c r="R360" s="343"/>
      <c r="S360" s="343"/>
      <c r="T360" s="747" t="b">
        <f>T326</f>
        <v>0</v>
      </c>
      <c r="U360" s="343"/>
      <c r="V360" s="343"/>
      <c r="W360" s="343"/>
      <c r="X360" s="343"/>
      <c r="Y360" s="343"/>
      <c r="Z360" s="343"/>
      <c r="AA360" s="343"/>
      <c r="AB360" s="343"/>
      <c r="AC360" s="343"/>
      <c r="AD360" s="732" t="s">
        <v>2039</v>
      </c>
      <c r="AE360" s="875" t="str">
        <f>IF(AND(CNTR_HasEntries_A_I,T360=FALSE,COUNTIFS($V$20:$AB$20,FALSE,H360:N360,"")&gt;0,$T$316=FALSE),4,"")</f>
        <v/>
      </c>
    </row>
    <row r="361" spans="1:31" ht="5.15" customHeight="1" x14ac:dyDescent="0.25">
      <c r="A361" s="343"/>
      <c r="B361" s="284"/>
      <c r="C361" s="284"/>
      <c r="D361" s="284"/>
      <c r="E361" s="284"/>
      <c r="F361" s="284"/>
      <c r="G361" s="284"/>
      <c r="H361" s="284"/>
      <c r="I361" s="284"/>
      <c r="J361" s="284"/>
      <c r="K361" s="284"/>
      <c r="L361" s="284"/>
      <c r="M361" s="284"/>
      <c r="N361" s="284"/>
      <c r="O361" s="336"/>
      <c r="P361" s="302"/>
      <c r="Q361" s="695"/>
      <c r="R361" s="343"/>
      <c r="S361" s="343"/>
      <c r="T361" s="1089"/>
      <c r="U361" s="343"/>
      <c r="V361" s="343"/>
      <c r="W361" s="343"/>
      <c r="X361" s="343"/>
      <c r="Y361" s="343"/>
      <c r="Z361" s="343"/>
      <c r="AA361" s="343"/>
      <c r="AB361" s="343"/>
      <c r="AC361" s="343"/>
      <c r="AD361" s="343"/>
      <c r="AE361" s="343"/>
    </row>
    <row r="362" spans="1:31" ht="12.75" customHeight="1" x14ac:dyDescent="0.25">
      <c r="A362" s="343"/>
      <c r="B362" s="284"/>
      <c r="C362" s="300"/>
      <c r="D362" s="300" t="s">
        <v>489</v>
      </c>
      <c r="E362" s="2724" t="str">
        <f>Translations!$B$447</f>
        <v>Количество отпадни газове резултат от изгаряне във факел, различни от необходимото за безопасността изгаряне във факел</v>
      </c>
      <c r="F362" s="2724"/>
      <c r="G362" s="2724"/>
      <c r="H362" s="2724"/>
      <c r="I362" s="2724"/>
      <c r="J362" s="2724"/>
      <c r="K362" s="2724"/>
      <c r="L362" s="2724"/>
      <c r="M362" s="2724"/>
      <c r="N362" s="2724"/>
      <c r="O362" s="336"/>
      <c r="P362" s="302"/>
      <c r="Q362" s="695"/>
      <c r="R362" s="343"/>
      <c r="S362" s="343"/>
      <c r="T362" s="1089"/>
      <c r="U362" s="343"/>
      <c r="V362" s="343"/>
      <c r="W362" s="343"/>
      <c r="X362" s="343"/>
      <c r="Y362" s="343"/>
      <c r="Z362" s="343"/>
      <c r="AA362" s="343"/>
      <c r="AB362" s="343"/>
      <c r="AC362" s="343"/>
      <c r="AD362" s="343"/>
      <c r="AE362" s="343"/>
    </row>
    <row r="363" spans="1:31" ht="12.65" customHeight="1" x14ac:dyDescent="0.25">
      <c r="A363" s="343"/>
      <c r="B363" s="284"/>
      <c r="C363" s="302"/>
      <c r="D363" s="302"/>
      <c r="E363" s="2733" t="str">
        <f>Translations!$B$448</f>
        <v>За подинсталации с продуктов показател информацията автоматично се взема от данните, въведени в лист „F_ProductBM“ („F_Продуктов показател“).</v>
      </c>
      <c r="F363" s="2725"/>
      <c r="G363" s="2725"/>
      <c r="H363" s="2725"/>
      <c r="I363" s="2725"/>
      <c r="J363" s="2725"/>
      <c r="K363" s="2725"/>
      <c r="L363" s="2725"/>
      <c r="M363" s="2725"/>
      <c r="N363" s="2725"/>
      <c r="O363" s="336"/>
      <c r="P363" s="302"/>
      <c r="Q363" s="695"/>
      <c r="R363" s="343"/>
      <c r="S363" s="343"/>
      <c r="T363" s="1089"/>
      <c r="U363" s="343"/>
      <c r="V363" s="343"/>
      <c r="W363" s="343"/>
      <c r="X363" s="343"/>
      <c r="Y363" s="343"/>
      <c r="Z363" s="343"/>
      <c r="AA363" s="343"/>
      <c r="AB363" s="343"/>
      <c r="AC363" s="343"/>
      <c r="AD363" s="343"/>
      <c r="AE363" s="343"/>
    </row>
    <row r="364" spans="1:31" ht="12.65" customHeight="1" x14ac:dyDescent="0.25">
      <c r="A364" s="343"/>
      <c r="B364" s="284"/>
      <c r="C364" s="302"/>
      <c r="D364" s="302"/>
      <c r="E364" s="2733" t="str">
        <f>Translations!$B$449</f>
        <v>Тук трябва да се въведат данните за отпадните газове, произведени извън подинсталации с продуктов показател и които са резултат от изгаряне във факел за цели, различни от необходимото за безопасността изгаряне във факел.</v>
      </c>
      <c r="F364" s="2725"/>
      <c r="G364" s="2725"/>
      <c r="H364" s="2725"/>
      <c r="I364" s="2725"/>
      <c r="J364" s="2725"/>
      <c r="K364" s="2725"/>
      <c r="L364" s="2725"/>
      <c r="M364" s="2725"/>
      <c r="N364" s="2725"/>
      <c r="O364" s="336"/>
      <c r="P364" s="302"/>
      <c r="Q364" s="695"/>
      <c r="R364" s="343"/>
      <c r="S364" s="343"/>
      <c r="T364" s="1089"/>
      <c r="U364" s="343"/>
      <c r="V364" s="343"/>
      <c r="W364" s="343"/>
      <c r="X364" s="343"/>
      <c r="Y364" s="343"/>
      <c r="Z364" s="343"/>
      <c r="AA364" s="343"/>
      <c r="AB364" s="343"/>
      <c r="AC364" s="343"/>
      <c r="AD364" s="343"/>
      <c r="AE364" s="343"/>
    </row>
    <row r="365" spans="1:31" ht="13" customHeight="1" x14ac:dyDescent="0.25">
      <c r="A365" s="343"/>
      <c r="B365" s="698"/>
      <c r="C365" s="698"/>
      <c r="D365" s="698"/>
      <c r="E365" s="2742" t="str">
        <f>Translations!$B$425</f>
        <v>Подинсталация</v>
      </c>
      <c r="F365" s="2743"/>
      <c r="G365" s="527" t="str">
        <f>EUconst_Unit</f>
        <v>Единица мярка</v>
      </c>
      <c r="H365" s="387">
        <f t="shared" ref="H365:N365" si="93">H$428</f>
        <v>2024</v>
      </c>
      <c r="I365" s="387">
        <f t="shared" si="93"/>
        <v>2025</v>
      </c>
      <c r="J365" s="387">
        <f t="shared" si="93"/>
        <v>2026</v>
      </c>
      <c r="K365" s="387">
        <f t="shared" si="93"/>
        <v>2027</v>
      </c>
      <c r="L365" s="387">
        <f t="shared" si="93"/>
        <v>2028</v>
      </c>
      <c r="M365" s="387">
        <f t="shared" si="93"/>
        <v>2029</v>
      </c>
      <c r="N365" s="387">
        <f t="shared" si="93"/>
        <v>2030</v>
      </c>
      <c r="O365" s="336"/>
      <c r="P365" s="302"/>
      <c r="Q365" s="343"/>
      <c r="R365" s="343"/>
      <c r="S365" s="343"/>
      <c r="T365" s="1089"/>
      <c r="U365" s="343"/>
      <c r="V365" s="343"/>
      <c r="W365" s="343"/>
      <c r="X365" s="343"/>
      <c r="Y365" s="343"/>
      <c r="Z365" s="343"/>
      <c r="AA365" s="343"/>
      <c r="AB365" s="343"/>
      <c r="AC365" s="343"/>
      <c r="AD365" s="343"/>
      <c r="AE365" s="343"/>
    </row>
    <row r="366" spans="1:31" ht="12.75" customHeight="1" x14ac:dyDescent="0.25">
      <c r="A366" s="343"/>
      <c r="B366" s="698"/>
      <c r="C366" s="698"/>
      <c r="D366" s="360" t="s">
        <v>6</v>
      </c>
      <c r="E366" s="2750" t="str">
        <f t="shared" ref="E366:E375" si="94">E335</f>
        <v/>
      </c>
      <c r="F366" s="2729"/>
      <c r="G366" s="1093" t="str">
        <f t="shared" ref="G366:G375" si="95">EUconst_TJpa</f>
        <v>TJ / година</v>
      </c>
      <c r="H366" s="1126" t="str">
        <f>IF(SUMIF(F_ProductBM!$Q:$Q,$Q366,F_ProductBM!H:H)&gt;0,SUMIF(F_ProductBM!$Q:$Q,$Q366,F_ProductBM!H:H),"")</f>
        <v/>
      </c>
      <c r="I366" s="1126" t="str">
        <f>IF(SUMIF(F_ProductBM!$Q:$Q,$Q366,F_ProductBM!I:I)&gt;0,SUMIF(F_ProductBM!$Q:$Q,$Q366,F_ProductBM!I:I),"")</f>
        <v/>
      </c>
      <c r="J366" s="1126" t="str">
        <f>IF(SUMIF(F_ProductBM!$Q:$Q,$Q366,F_ProductBM!J:J)&gt;0,SUMIF(F_ProductBM!$Q:$Q,$Q366,F_ProductBM!J:J),"")</f>
        <v/>
      </c>
      <c r="K366" s="1126" t="str">
        <f>IF(SUMIF(F_ProductBM!$Q:$Q,$Q366,F_ProductBM!K:K)&gt;0,SUMIF(F_ProductBM!$Q:$Q,$Q366,F_ProductBM!K:K),"")</f>
        <v/>
      </c>
      <c r="L366" s="1126" t="str">
        <f>IF(SUMIF(F_ProductBM!$Q:$Q,$Q366,F_ProductBM!L:L)&gt;0,SUMIF(F_ProductBM!$Q:$Q,$Q366,F_ProductBM!L:L),"")</f>
        <v/>
      </c>
      <c r="M366" s="1126" t="str">
        <f>IF(SUMIF(F_ProductBM!$Q:$Q,$Q366,F_ProductBM!M:M)&gt;0,SUMIF(F_ProductBM!$Q:$Q,$Q366,F_ProductBM!M:M),"")</f>
        <v/>
      </c>
      <c r="N366" s="1126" t="str">
        <f>IF(SUMIF(F_ProductBM!$Q:$Q,$Q366,F_ProductBM!N:N)&gt;0,SUMIF(F_ProductBM!$Q:$Q,$Q366,F_ProductBM!N:N),"")</f>
        <v/>
      </c>
      <c r="O366" s="336"/>
      <c r="P366" s="302"/>
      <c r="Q366" s="716" t="str">
        <f t="shared" ref="Q366:Q375" si="96">EUconst_CNTR_WGFlared &amp; E366</f>
        <v>WasteGasFlare_</v>
      </c>
      <c r="R366" s="343"/>
      <c r="S366" s="343"/>
      <c r="T366" s="1089"/>
      <c r="U366" s="343"/>
      <c r="V366" s="343"/>
      <c r="W366" s="343"/>
      <c r="X366" s="343"/>
      <c r="Y366" s="343"/>
      <c r="Z366" s="343"/>
      <c r="AA366" s="343"/>
      <c r="AB366" s="343"/>
      <c r="AC366" s="343"/>
      <c r="AD366" s="343"/>
      <c r="AE366" s="343"/>
    </row>
    <row r="367" spans="1:31" ht="12.75" customHeight="1" x14ac:dyDescent="0.25">
      <c r="A367" s="343"/>
      <c r="B367" s="698"/>
      <c r="C367" s="698"/>
      <c r="D367" s="360" t="s">
        <v>7</v>
      </c>
      <c r="E367" s="2754" t="str">
        <f t="shared" si="94"/>
        <v/>
      </c>
      <c r="F367" s="2720"/>
      <c r="G367" s="1095" t="str">
        <f t="shared" si="95"/>
        <v>TJ / година</v>
      </c>
      <c r="H367" s="1127" t="str">
        <f>IF(SUMIF(F_ProductBM!$Q:$Q,$Q367,F_ProductBM!H:H)&gt;0,SUMIF(F_ProductBM!$Q:$Q,$Q367,F_ProductBM!H:H),"")</f>
        <v/>
      </c>
      <c r="I367" s="1127" t="str">
        <f>IF(SUMIF(F_ProductBM!$Q:$Q,$Q367,F_ProductBM!I:I)&gt;0,SUMIF(F_ProductBM!$Q:$Q,$Q367,F_ProductBM!I:I),"")</f>
        <v/>
      </c>
      <c r="J367" s="1127" t="str">
        <f>IF(SUMIF(F_ProductBM!$Q:$Q,$Q367,F_ProductBM!J:J)&gt;0,SUMIF(F_ProductBM!$Q:$Q,$Q367,F_ProductBM!J:J),"")</f>
        <v/>
      </c>
      <c r="K367" s="1127" t="str">
        <f>IF(SUMIF(F_ProductBM!$Q:$Q,$Q367,F_ProductBM!K:K)&gt;0,SUMIF(F_ProductBM!$Q:$Q,$Q367,F_ProductBM!K:K),"")</f>
        <v/>
      </c>
      <c r="L367" s="1127" t="str">
        <f>IF(SUMIF(F_ProductBM!$Q:$Q,$Q367,F_ProductBM!L:L)&gt;0,SUMIF(F_ProductBM!$Q:$Q,$Q367,F_ProductBM!L:L),"")</f>
        <v/>
      </c>
      <c r="M367" s="1127" t="str">
        <f>IF(SUMIF(F_ProductBM!$Q:$Q,$Q367,F_ProductBM!M:M)&gt;0,SUMIF(F_ProductBM!$Q:$Q,$Q367,F_ProductBM!M:M),"")</f>
        <v/>
      </c>
      <c r="N367" s="1127" t="str">
        <f>IF(SUMIF(F_ProductBM!$Q:$Q,$Q367,F_ProductBM!N:N)&gt;0,SUMIF(F_ProductBM!$Q:$Q,$Q367,F_ProductBM!N:N),"")</f>
        <v/>
      </c>
      <c r="O367" s="336"/>
      <c r="P367" s="302"/>
      <c r="Q367" s="716" t="str">
        <f t="shared" si="96"/>
        <v>WasteGasFlare_</v>
      </c>
      <c r="R367" s="343"/>
      <c r="S367" s="343"/>
      <c r="T367" s="1089"/>
      <c r="U367" s="343"/>
      <c r="V367" s="343"/>
      <c r="W367" s="343"/>
      <c r="X367" s="343"/>
      <c r="Y367" s="343"/>
      <c r="Z367" s="343"/>
      <c r="AA367" s="343"/>
      <c r="AB367" s="343"/>
      <c r="AC367" s="343"/>
      <c r="AD367" s="343"/>
      <c r="AE367" s="343"/>
    </row>
    <row r="368" spans="1:31" ht="12.75" customHeight="1" x14ac:dyDescent="0.25">
      <c r="A368" s="343"/>
      <c r="B368" s="698"/>
      <c r="C368" s="698"/>
      <c r="D368" s="360" t="s">
        <v>8</v>
      </c>
      <c r="E368" s="2754" t="str">
        <f t="shared" si="94"/>
        <v/>
      </c>
      <c r="F368" s="2720"/>
      <c r="G368" s="1095" t="str">
        <f t="shared" si="95"/>
        <v>TJ / година</v>
      </c>
      <c r="H368" s="1127" t="str">
        <f>IF(SUMIF(F_ProductBM!$Q:$Q,$Q368,F_ProductBM!H:H)&gt;0,SUMIF(F_ProductBM!$Q:$Q,$Q368,F_ProductBM!H:H),"")</f>
        <v/>
      </c>
      <c r="I368" s="1127" t="str">
        <f>IF(SUMIF(F_ProductBM!$Q:$Q,$Q368,F_ProductBM!I:I)&gt;0,SUMIF(F_ProductBM!$Q:$Q,$Q368,F_ProductBM!I:I),"")</f>
        <v/>
      </c>
      <c r="J368" s="1127" t="str">
        <f>IF(SUMIF(F_ProductBM!$Q:$Q,$Q368,F_ProductBM!J:J)&gt;0,SUMIF(F_ProductBM!$Q:$Q,$Q368,F_ProductBM!J:J),"")</f>
        <v/>
      </c>
      <c r="K368" s="1127" t="str">
        <f>IF(SUMIF(F_ProductBM!$Q:$Q,$Q368,F_ProductBM!K:K)&gt;0,SUMIF(F_ProductBM!$Q:$Q,$Q368,F_ProductBM!K:K),"")</f>
        <v/>
      </c>
      <c r="L368" s="1127" t="str">
        <f>IF(SUMIF(F_ProductBM!$Q:$Q,$Q368,F_ProductBM!L:L)&gt;0,SUMIF(F_ProductBM!$Q:$Q,$Q368,F_ProductBM!L:L),"")</f>
        <v/>
      </c>
      <c r="M368" s="1127" t="str">
        <f>IF(SUMIF(F_ProductBM!$Q:$Q,$Q368,F_ProductBM!M:M)&gt;0,SUMIF(F_ProductBM!$Q:$Q,$Q368,F_ProductBM!M:M),"")</f>
        <v/>
      </c>
      <c r="N368" s="1127" t="str">
        <f>IF(SUMIF(F_ProductBM!$Q:$Q,$Q368,F_ProductBM!N:N)&gt;0,SUMIF(F_ProductBM!$Q:$Q,$Q368,F_ProductBM!N:N),"")</f>
        <v/>
      </c>
      <c r="O368" s="336"/>
      <c r="P368" s="302"/>
      <c r="Q368" s="716" t="str">
        <f t="shared" si="96"/>
        <v>WasteGasFlare_</v>
      </c>
      <c r="R368" s="343"/>
      <c r="S368" s="343"/>
      <c r="T368" s="1089"/>
      <c r="U368" s="343"/>
      <c r="V368" s="343"/>
      <c r="W368" s="343"/>
      <c r="X368" s="343"/>
      <c r="Y368" s="343"/>
      <c r="Z368" s="343"/>
      <c r="AA368" s="343"/>
      <c r="AB368" s="343"/>
      <c r="AC368" s="343"/>
      <c r="AD368" s="343"/>
      <c r="AE368" s="343"/>
    </row>
    <row r="369" spans="1:31" ht="12.75" customHeight="1" x14ac:dyDescent="0.25">
      <c r="A369" s="343"/>
      <c r="B369" s="698"/>
      <c r="C369" s="698"/>
      <c r="D369" s="360" t="s">
        <v>18</v>
      </c>
      <c r="E369" s="2754" t="str">
        <f t="shared" si="94"/>
        <v/>
      </c>
      <c r="F369" s="2720"/>
      <c r="G369" s="1095" t="str">
        <f t="shared" si="95"/>
        <v>TJ / година</v>
      </c>
      <c r="H369" s="1127" t="str">
        <f>IF(SUMIF(F_ProductBM!$Q:$Q,$Q369,F_ProductBM!H:H)&gt;0,SUMIF(F_ProductBM!$Q:$Q,$Q369,F_ProductBM!H:H),"")</f>
        <v/>
      </c>
      <c r="I369" s="1127" t="str">
        <f>IF(SUMIF(F_ProductBM!$Q:$Q,$Q369,F_ProductBM!I:I)&gt;0,SUMIF(F_ProductBM!$Q:$Q,$Q369,F_ProductBM!I:I),"")</f>
        <v/>
      </c>
      <c r="J369" s="1127" t="str">
        <f>IF(SUMIF(F_ProductBM!$Q:$Q,$Q369,F_ProductBM!J:J)&gt;0,SUMIF(F_ProductBM!$Q:$Q,$Q369,F_ProductBM!J:J),"")</f>
        <v/>
      </c>
      <c r="K369" s="1127" t="str">
        <f>IF(SUMIF(F_ProductBM!$Q:$Q,$Q369,F_ProductBM!K:K)&gt;0,SUMIF(F_ProductBM!$Q:$Q,$Q369,F_ProductBM!K:K),"")</f>
        <v/>
      </c>
      <c r="L369" s="1127" t="str">
        <f>IF(SUMIF(F_ProductBM!$Q:$Q,$Q369,F_ProductBM!L:L)&gt;0,SUMIF(F_ProductBM!$Q:$Q,$Q369,F_ProductBM!L:L),"")</f>
        <v/>
      </c>
      <c r="M369" s="1127" t="str">
        <f>IF(SUMIF(F_ProductBM!$Q:$Q,$Q369,F_ProductBM!M:M)&gt;0,SUMIF(F_ProductBM!$Q:$Q,$Q369,F_ProductBM!M:M),"")</f>
        <v/>
      </c>
      <c r="N369" s="1127" t="str">
        <f>IF(SUMIF(F_ProductBM!$Q:$Q,$Q369,F_ProductBM!N:N)&gt;0,SUMIF(F_ProductBM!$Q:$Q,$Q369,F_ProductBM!N:N),"")</f>
        <v/>
      </c>
      <c r="O369" s="336"/>
      <c r="P369" s="302"/>
      <c r="Q369" s="716" t="str">
        <f t="shared" si="96"/>
        <v>WasteGasFlare_</v>
      </c>
      <c r="R369" s="343"/>
      <c r="S369" s="343"/>
      <c r="T369" s="1089"/>
      <c r="U369" s="343"/>
      <c r="V369" s="343"/>
      <c r="W369" s="343"/>
      <c r="X369" s="343"/>
      <c r="Y369" s="343"/>
      <c r="Z369" s="343"/>
      <c r="AA369" s="343"/>
      <c r="AB369" s="343"/>
      <c r="AC369" s="343"/>
      <c r="AD369" s="343"/>
      <c r="AE369" s="343"/>
    </row>
    <row r="370" spans="1:31" ht="12.75" customHeight="1" x14ac:dyDescent="0.25">
      <c r="A370" s="343"/>
      <c r="B370" s="698"/>
      <c r="C370" s="698"/>
      <c r="D370" s="360" t="s">
        <v>810</v>
      </c>
      <c r="E370" s="2754" t="str">
        <f t="shared" si="94"/>
        <v/>
      </c>
      <c r="F370" s="2720"/>
      <c r="G370" s="1095" t="str">
        <f t="shared" si="95"/>
        <v>TJ / година</v>
      </c>
      <c r="H370" s="1127" t="str">
        <f>IF(SUMIF(F_ProductBM!$Q:$Q,$Q370,F_ProductBM!H:H)&gt;0,SUMIF(F_ProductBM!$Q:$Q,$Q370,F_ProductBM!H:H),"")</f>
        <v/>
      </c>
      <c r="I370" s="1127" t="str">
        <f>IF(SUMIF(F_ProductBM!$Q:$Q,$Q370,F_ProductBM!I:I)&gt;0,SUMIF(F_ProductBM!$Q:$Q,$Q370,F_ProductBM!I:I),"")</f>
        <v/>
      </c>
      <c r="J370" s="1127" t="str">
        <f>IF(SUMIF(F_ProductBM!$Q:$Q,$Q370,F_ProductBM!J:J)&gt;0,SUMIF(F_ProductBM!$Q:$Q,$Q370,F_ProductBM!J:J),"")</f>
        <v/>
      </c>
      <c r="K370" s="1127" t="str">
        <f>IF(SUMIF(F_ProductBM!$Q:$Q,$Q370,F_ProductBM!K:K)&gt;0,SUMIF(F_ProductBM!$Q:$Q,$Q370,F_ProductBM!K:K),"")</f>
        <v/>
      </c>
      <c r="L370" s="1127" t="str">
        <f>IF(SUMIF(F_ProductBM!$Q:$Q,$Q370,F_ProductBM!L:L)&gt;0,SUMIF(F_ProductBM!$Q:$Q,$Q370,F_ProductBM!L:L),"")</f>
        <v/>
      </c>
      <c r="M370" s="1127" t="str">
        <f>IF(SUMIF(F_ProductBM!$Q:$Q,$Q370,F_ProductBM!M:M)&gt;0,SUMIF(F_ProductBM!$Q:$Q,$Q370,F_ProductBM!M:M),"")</f>
        <v/>
      </c>
      <c r="N370" s="1127" t="str">
        <f>IF(SUMIF(F_ProductBM!$Q:$Q,$Q370,F_ProductBM!N:N)&gt;0,SUMIF(F_ProductBM!$Q:$Q,$Q370,F_ProductBM!N:N),"")</f>
        <v/>
      </c>
      <c r="O370" s="336"/>
      <c r="P370" s="302"/>
      <c r="Q370" s="716" t="str">
        <f t="shared" si="96"/>
        <v>WasteGasFlare_</v>
      </c>
      <c r="R370" s="343"/>
      <c r="S370" s="343"/>
      <c r="T370" s="1089"/>
      <c r="U370" s="343"/>
      <c r="V370" s="343"/>
      <c r="W370" s="343"/>
      <c r="X370" s="343"/>
      <c r="Y370" s="343"/>
      <c r="Z370" s="343"/>
      <c r="AA370" s="343"/>
      <c r="AB370" s="343"/>
      <c r="AC370" s="343"/>
      <c r="AD370" s="343"/>
      <c r="AE370" s="343"/>
    </row>
    <row r="371" spans="1:31" ht="12.75" customHeight="1" x14ac:dyDescent="0.25">
      <c r="A371" s="343"/>
      <c r="B371" s="698"/>
      <c r="C371" s="698"/>
      <c r="D371" s="360" t="s">
        <v>811</v>
      </c>
      <c r="E371" s="2754" t="str">
        <f t="shared" si="94"/>
        <v/>
      </c>
      <c r="F371" s="2720"/>
      <c r="G371" s="1095" t="str">
        <f t="shared" si="95"/>
        <v>TJ / година</v>
      </c>
      <c r="H371" s="1127" t="str">
        <f>IF(SUMIF(F_ProductBM!$Q:$Q,$Q371,F_ProductBM!H:H)&gt;0,SUMIF(F_ProductBM!$Q:$Q,$Q371,F_ProductBM!H:H),"")</f>
        <v/>
      </c>
      <c r="I371" s="1127" t="str">
        <f>IF(SUMIF(F_ProductBM!$Q:$Q,$Q371,F_ProductBM!I:I)&gt;0,SUMIF(F_ProductBM!$Q:$Q,$Q371,F_ProductBM!I:I),"")</f>
        <v/>
      </c>
      <c r="J371" s="1127" t="str">
        <f>IF(SUMIF(F_ProductBM!$Q:$Q,$Q371,F_ProductBM!J:J)&gt;0,SUMIF(F_ProductBM!$Q:$Q,$Q371,F_ProductBM!J:J),"")</f>
        <v/>
      </c>
      <c r="K371" s="1127" t="str">
        <f>IF(SUMIF(F_ProductBM!$Q:$Q,$Q371,F_ProductBM!K:K)&gt;0,SUMIF(F_ProductBM!$Q:$Q,$Q371,F_ProductBM!K:K),"")</f>
        <v/>
      </c>
      <c r="L371" s="1127" t="str">
        <f>IF(SUMIF(F_ProductBM!$Q:$Q,$Q371,F_ProductBM!L:L)&gt;0,SUMIF(F_ProductBM!$Q:$Q,$Q371,F_ProductBM!L:L),"")</f>
        <v/>
      </c>
      <c r="M371" s="1127" t="str">
        <f>IF(SUMIF(F_ProductBM!$Q:$Q,$Q371,F_ProductBM!M:M)&gt;0,SUMIF(F_ProductBM!$Q:$Q,$Q371,F_ProductBM!M:M),"")</f>
        <v/>
      </c>
      <c r="N371" s="1127" t="str">
        <f>IF(SUMIF(F_ProductBM!$Q:$Q,$Q371,F_ProductBM!N:N)&gt;0,SUMIF(F_ProductBM!$Q:$Q,$Q371,F_ProductBM!N:N),"")</f>
        <v/>
      </c>
      <c r="O371" s="336"/>
      <c r="P371" s="302"/>
      <c r="Q371" s="716" t="str">
        <f t="shared" si="96"/>
        <v>WasteGasFlare_</v>
      </c>
      <c r="R371" s="343"/>
      <c r="S371" s="343"/>
      <c r="T371" s="1089"/>
      <c r="U371" s="343"/>
      <c r="V371" s="343"/>
      <c r="W371" s="343"/>
      <c r="X371" s="343"/>
      <c r="Y371" s="343"/>
      <c r="Z371" s="343"/>
      <c r="AA371" s="343"/>
      <c r="AB371" s="343"/>
      <c r="AC371" s="343"/>
      <c r="AD371" s="343"/>
      <c r="AE371" s="343"/>
    </row>
    <row r="372" spans="1:31" ht="12.75" customHeight="1" x14ac:dyDescent="0.25">
      <c r="A372" s="343"/>
      <c r="B372" s="698"/>
      <c r="C372" s="698"/>
      <c r="D372" s="360" t="s">
        <v>812</v>
      </c>
      <c r="E372" s="2754" t="str">
        <f t="shared" si="94"/>
        <v/>
      </c>
      <c r="F372" s="2720"/>
      <c r="G372" s="1095" t="str">
        <f t="shared" si="95"/>
        <v>TJ / година</v>
      </c>
      <c r="H372" s="1127" t="str">
        <f>IF(SUMIF(F_ProductBM!$Q:$Q,$Q372,F_ProductBM!H:H)&gt;0,SUMIF(F_ProductBM!$Q:$Q,$Q372,F_ProductBM!H:H),"")</f>
        <v/>
      </c>
      <c r="I372" s="1127" t="str">
        <f>IF(SUMIF(F_ProductBM!$Q:$Q,$Q372,F_ProductBM!I:I)&gt;0,SUMIF(F_ProductBM!$Q:$Q,$Q372,F_ProductBM!I:I),"")</f>
        <v/>
      </c>
      <c r="J372" s="1127" t="str">
        <f>IF(SUMIF(F_ProductBM!$Q:$Q,$Q372,F_ProductBM!J:J)&gt;0,SUMIF(F_ProductBM!$Q:$Q,$Q372,F_ProductBM!J:J),"")</f>
        <v/>
      </c>
      <c r="K372" s="1127" t="str">
        <f>IF(SUMIF(F_ProductBM!$Q:$Q,$Q372,F_ProductBM!K:K)&gt;0,SUMIF(F_ProductBM!$Q:$Q,$Q372,F_ProductBM!K:K),"")</f>
        <v/>
      </c>
      <c r="L372" s="1127" t="str">
        <f>IF(SUMIF(F_ProductBM!$Q:$Q,$Q372,F_ProductBM!L:L)&gt;0,SUMIF(F_ProductBM!$Q:$Q,$Q372,F_ProductBM!L:L),"")</f>
        <v/>
      </c>
      <c r="M372" s="1127" t="str">
        <f>IF(SUMIF(F_ProductBM!$Q:$Q,$Q372,F_ProductBM!M:M)&gt;0,SUMIF(F_ProductBM!$Q:$Q,$Q372,F_ProductBM!M:M),"")</f>
        <v/>
      </c>
      <c r="N372" s="1127" t="str">
        <f>IF(SUMIF(F_ProductBM!$Q:$Q,$Q372,F_ProductBM!N:N)&gt;0,SUMIF(F_ProductBM!$Q:$Q,$Q372,F_ProductBM!N:N),"")</f>
        <v/>
      </c>
      <c r="O372" s="336"/>
      <c r="P372" s="302"/>
      <c r="Q372" s="716" t="str">
        <f t="shared" si="96"/>
        <v>WasteGasFlare_</v>
      </c>
      <c r="R372" s="343"/>
      <c r="S372" s="343"/>
      <c r="T372" s="1089"/>
      <c r="U372" s="343"/>
      <c r="V372" s="343"/>
      <c r="W372" s="343"/>
      <c r="X372" s="343"/>
      <c r="Y372" s="343"/>
      <c r="Z372" s="343"/>
      <c r="AA372" s="343"/>
      <c r="AB372" s="343"/>
      <c r="AC372" s="343"/>
      <c r="AD372" s="343"/>
      <c r="AE372" s="343"/>
    </row>
    <row r="373" spans="1:31" ht="12.75" customHeight="1" x14ac:dyDescent="0.25">
      <c r="A373" s="343"/>
      <c r="B373" s="698"/>
      <c r="C373" s="698"/>
      <c r="D373" s="360" t="s">
        <v>813</v>
      </c>
      <c r="E373" s="2754" t="str">
        <f t="shared" si="94"/>
        <v/>
      </c>
      <c r="F373" s="2720"/>
      <c r="G373" s="1095" t="str">
        <f t="shared" si="95"/>
        <v>TJ / година</v>
      </c>
      <c r="H373" s="1127" t="str">
        <f>IF(SUMIF(F_ProductBM!$Q:$Q,$Q373,F_ProductBM!H:H)&gt;0,SUMIF(F_ProductBM!$Q:$Q,$Q373,F_ProductBM!H:H),"")</f>
        <v/>
      </c>
      <c r="I373" s="1127" t="str">
        <f>IF(SUMIF(F_ProductBM!$Q:$Q,$Q373,F_ProductBM!I:I)&gt;0,SUMIF(F_ProductBM!$Q:$Q,$Q373,F_ProductBM!I:I),"")</f>
        <v/>
      </c>
      <c r="J373" s="1127" t="str">
        <f>IF(SUMIF(F_ProductBM!$Q:$Q,$Q373,F_ProductBM!J:J)&gt;0,SUMIF(F_ProductBM!$Q:$Q,$Q373,F_ProductBM!J:J),"")</f>
        <v/>
      </c>
      <c r="K373" s="1127" t="str">
        <f>IF(SUMIF(F_ProductBM!$Q:$Q,$Q373,F_ProductBM!K:K)&gt;0,SUMIF(F_ProductBM!$Q:$Q,$Q373,F_ProductBM!K:K),"")</f>
        <v/>
      </c>
      <c r="L373" s="1127" t="str">
        <f>IF(SUMIF(F_ProductBM!$Q:$Q,$Q373,F_ProductBM!L:L)&gt;0,SUMIF(F_ProductBM!$Q:$Q,$Q373,F_ProductBM!L:L),"")</f>
        <v/>
      </c>
      <c r="M373" s="1127" t="str">
        <f>IF(SUMIF(F_ProductBM!$Q:$Q,$Q373,F_ProductBM!M:M)&gt;0,SUMIF(F_ProductBM!$Q:$Q,$Q373,F_ProductBM!M:M),"")</f>
        <v/>
      </c>
      <c r="N373" s="1127" t="str">
        <f>IF(SUMIF(F_ProductBM!$Q:$Q,$Q373,F_ProductBM!N:N)&gt;0,SUMIF(F_ProductBM!$Q:$Q,$Q373,F_ProductBM!N:N),"")</f>
        <v/>
      </c>
      <c r="O373" s="336"/>
      <c r="P373" s="302"/>
      <c r="Q373" s="716" t="str">
        <f t="shared" si="96"/>
        <v>WasteGasFlare_</v>
      </c>
      <c r="R373" s="343"/>
      <c r="S373" s="343"/>
      <c r="T373" s="1089"/>
      <c r="U373" s="343"/>
      <c r="V373" s="343"/>
      <c r="W373" s="343"/>
      <c r="X373" s="343"/>
      <c r="Y373" s="343"/>
      <c r="Z373" s="343"/>
      <c r="AA373" s="343"/>
      <c r="AB373" s="343"/>
      <c r="AC373" s="343"/>
      <c r="AD373" s="343"/>
      <c r="AE373" s="343"/>
    </row>
    <row r="374" spans="1:31" ht="12.75" customHeight="1" x14ac:dyDescent="0.25">
      <c r="A374" s="343"/>
      <c r="B374" s="698"/>
      <c r="C374" s="698"/>
      <c r="D374" s="360" t="s">
        <v>814</v>
      </c>
      <c r="E374" s="2754" t="str">
        <f t="shared" si="94"/>
        <v/>
      </c>
      <c r="F374" s="2720"/>
      <c r="G374" s="1095" t="str">
        <f t="shared" si="95"/>
        <v>TJ / година</v>
      </c>
      <c r="H374" s="1127" t="str">
        <f>IF(SUMIF(F_ProductBM!$Q:$Q,$Q374,F_ProductBM!H:H)&gt;0,SUMIF(F_ProductBM!$Q:$Q,$Q374,F_ProductBM!H:H),"")</f>
        <v/>
      </c>
      <c r="I374" s="1127" t="str">
        <f>IF(SUMIF(F_ProductBM!$Q:$Q,$Q374,F_ProductBM!I:I)&gt;0,SUMIF(F_ProductBM!$Q:$Q,$Q374,F_ProductBM!I:I),"")</f>
        <v/>
      </c>
      <c r="J374" s="1127" t="str">
        <f>IF(SUMIF(F_ProductBM!$Q:$Q,$Q374,F_ProductBM!J:J)&gt;0,SUMIF(F_ProductBM!$Q:$Q,$Q374,F_ProductBM!J:J),"")</f>
        <v/>
      </c>
      <c r="K374" s="1127" t="str">
        <f>IF(SUMIF(F_ProductBM!$Q:$Q,$Q374,F_ProductBM!K:K)&gt;0,SUMIF(F_ProductBM!$Q:$Q,$Q374,F_ProductBM!K:K),"")</f>
        <v/>
      </c>
      <c r="L374" s="1127" t="str">
        <f>IF(SUMIF(F_ProductBM!$Q:$Q,$Q374,F_ProductBM!L:L)&gt;0,SUMIF(F_ProductBM!$Q:$Q,$Q374,F_ProductBM!L:L),"")</f>
        <v/>
      </c>
      <c r="M374" s="1127" t="str">
        <f>IF(SUMIF(F_ProductBM!$Q:$Q,$Q374,F_ProductBM!M:M)&gt;0,SUMIF(F_ProductBM!$Q:$Q,$Q374,F_ProductBM!M:M),"")</f>
        <v/>
      </c>
      <c r="N374" s="1127" t="str">
        <f>IF(SUMIF(F_ProductBM!$Q:$Q,$Q374,F_ProductBM!N:N)&gt;0,SUMIF(F_ProductBM!$Q:$Q,$Q374,F_ProductBM!N:N),"")</f>
        <v/>
      </c>
      <c r="O374" s="336"/>
      <c r="P374" s="302"/>
      <c r="Q374" s="716" t="str">
        <f t="shared" si="96"/>
        <v>WasteGasFlare_</v>
      </c>
      <c r="R374" s="343"/>
      <c r="S374" s="343"/>
      <c r="T374" s="1089"/>
      <c r="U374" s="343"/>
      <c r="V374" s="343"/>
      <c r="W374" s="343"/>
      <c r="X374" s="343"/>
      <c r="Y374" s="343"/>
      <c r="Z374" s="343"/>
      <c r="AA374" s="343"/>
      <c r="AB374" s="343"/>
      <c r="AC374" s="343"/>
      <c r="AD374" s="343"/>
      <c r="AE374" s="343"/>
    </row>
    <row r="375" spans="1:31" ht="12.75" customHeight="1" x14ac:dyDescent="0.25">
      <c r="A375" s="343"/>
      <c r="B375" s="698"/>
      <c r="C375" s="698"/>
      <c r="D375" s="360" t="s">
        <v>61</v>
      </c>
      <c r="E375" s="2756" t="str">
        <f t="shared" si="94"/>
        <v/>
      </c>
      <c r="F375" s="2732"/>
      <c r="G375" s="1098" t="str">
        <f t="shared" si="95"/>
        <v>TJ / година</v>
      </c>
      <c r="H375" s="1128" t="str">
        <f>IF(SUMIF(F_ProductBM!$Q:$Q,$Q375,F_ProductBM!H:H)&gt;0,SUMIF(F_ProductBM!$Q:$Q,$Q375,F_ProductBM!H:H),"")</f>
        <v/>
      </c>
      <c r="I375" s="1128" t="str">
        <f>IF(SUMIF(F_ProductBM!$Q:$Q,$Q375,F_ProductBM!I:I)&gt;0,SUMIF(F_ProductBM!$Q:$Q,$Q375,F_ProductBM!I:I),"")</f>
        <v/>
      </c>
      <c r="J375" s="1128" t="str">
        <f>IF(SUMIF(F_ProductBM!$Q:$Q,$Q375,F_ProductBM!J:J)&gt;0,SUMIF(F_ProductBM!$Q:$Q,$Q375,F_ProductBM!J:J),"")</f>
        <v/>
      </c>
      <c r="K375" s="1128" t="str">
        <f>IF(SUMIF(F_ProductBM!$Q:$Q,$Q375,F_ProductBM!K:K)&gt;0,SUMIF(F_ProductBM!$Q:$Q,$Q375,F_ProductBM!K:K),"")</f>
        <v/>
      </c>
      <c r="L375" s="1128" t="str">
        <f>IF(SUMIF(F_ProductBM!$Q:$Q,$Q375,F_ProductBM!L:L)&gt;0,SUMIF(F_ProductBM!$Q:$Q,$Q375,F_ProductBM!L:L),"")</f>
        <v/>
      </c>
      <c r="M375" s="1128" t="str">
        <f>IF(SUMIF(F_ProductBM!$Q:$Q,$Q375,F_ProductBM!M:M)&gt;0,SUMIF(F_ProductBM!$Q:$Q,$Q375,F_ProductBM!M:M),"")</f>
        <v/>
      </c>
      <c r="N375" s="1128" t="str">
        <f>IF(SUMIF(F_ProductBM!$Q:$Q,$Q375,F_ProductBM!N:N)&gt;0,SUMIF(F_ProductBM!$Q:$Q,$Q375,F_ProductBM!N:N),"")</f>
        <v/>
      </c>
      <c r="O375" s="336"/>
      <c r="P375" s="302"/>
      <c r="Q375" s="716" t="str">
        <f t="shared" si="96"/>
        <v>WasteGasFlare_</v>
      </c>
      <c r="R375" s="343"/>
      <c r="S375" s="343"/>
      <c r="T375" s="1089"/>
      <c r="U375" s="343"/>
      <c r="V375" s="343"/>
      <c r="W375" s="343"/>
      <c r="X375" s="343"/>
      <c r="Y375" s="343"/>
      <c r="Z375" s="343"/>
      <c r="AA375" s="343"/>
      <c r="AB375" s="343"/>
      <c r="AC375" s="343"/>
      <c r="AD375" s="343"/>
      <c r="AE375" s="343"/>
    </row>
    <row r="376" spans="1:31" ht="12.75" customHeight="1" thickBot="1" x14ac:dyDescent="0.3">
      <c r="A376" s="343"/>
      <c r="B376" s="698"/>
      <c r="C376" s="698"/>
      <c r="D376" s="360" t="s">
        <v>62</v>
      </c>
      <c r="E376" s="2740" t="str">
        <f>Translations!$B$450</f>
        <v>произведени извън подинсталации с продуктов показател</v>
      </c>
      <c r="F376" s="2739"/>
      <c r="G376" s="1101" t="str">
        <f>EUconst_TJpa</f>
        <v>TJ / година</v>
      </c>
      <c r="H376" s="28"/>
      <c r="I376" s="28"/>
      <c r="J376" s="28"/>
      <c r="K376" s="28"/>
      <c r="L376" s="28"/>
      <c r="M376" s="28"/>
      <c r="N376" s="28"/>
      <c r="O376" s="336"/>
      <c r="P376" s="181"/>
      <c r="Q376" s="343"/>
      <c r="R376" s="343"/>
      <c r="S376" s="343"/>
      <c r="T376" s="748" t="b">
        <f>T360</f>
        <v>0</v>
      </c>
      <c r="U376" s="343"/>
      <c r="V376" s="343"/>
      <c r="W376" s="343"/>
      <c r="X376" s="343"/>
      <c r="Y376" s="343"/>
      <c r="Z376" s="343"/>
      <c r="AA376" s="343"/>
      <c r="AB376" s="343"/>
      <c r="AC376" s="343"/>
      <c r="AD376" s="732" t="s">
        <v>2039</v>
      </c>
      <c r="AE376" s="875" t="str">
        <f>IF(AND(CNTR_HasEntries_A_I,T376=FALSE,COUNTIFS($V$20:$AB$20,FALSE,H376:N376,"")&gt;0,$T$316=FALSE),4,"")</f>
        <v/>
      </c>
    </row>
    <row r="377" spans="1:31" ht="12.75" customHeight="1" x14ac:dyDescent="0.25">
      <c r="A377" s="343"/>
      <c r="B377" s="698"/>
      <c r="C377" s="698"/>
      <c r="D377" s="360" t="s">
        <v>63</v>
      </c>
      <c r="E377" s="2738" t="str">
        <f>Translations!$B$353</f>
        <v>Междинен сбор</v>
      </c>
      <c r="F377" s="2739"/>
      <c r="G377" s="1038" t="str">
        <f>EUconst_TJpa</f>
        <v>TJ / година</v>
      </c>
      <c r="H377" s="1024" t="str">
        <f t="shared" ref="H377:N377" si="97">IF(COUNT(H366:H376)&gt;0,SUM(H366:H376),"")</f>
        <v/>
      </c>
      <c r="I377" s="1024" t="str">
        <f t="shared" si="97"/>
        <v/>
      </c>
      <c r="J377" s="1024" t="str">
        <f t="shared" si="97"/>
        <v/>
      </c>
      <c r="K377" s="1024" t="str">
        <f t="shared" si="97"/>
        <v/>
      </c>
      <c r="L377" s="1024" t="str">
        <f t="shared" si="97"/>
        <v/>
      </c>
      <c r="M377" s="1024" t="str">
        <f t="shared" si="97"/>
        <v/>
      </c>
      <c r="N377" s="1024" t="str">
        <f t="shared" si="97"/>
        <v/>
      </c>
      <c r="O377" s="336"/>
      <c r="P377" s="302"/>
      <c r="Q377" s="343"/>
      <c r="R377" s="343"/>
      <c r="S377" s="343"/>
      <c r="T377" s="343"/>
      <c r="U377" s="343"/>
      <c r="V377" s="343"/>
      <c r="W377" s="343"/>
      <c r="X377" s="343"/>
      <c r="Y377" s="343"/>
      <c r="Z377" s="343"/>
      <c r="AA377" s="343"/>
      <c r="AB377" s="343"/>
      <c r="AC377" s="343"/>
      <c r="AD377" s="343"/>
      <c r="AE377" s="343"/>
    </row>
    <row r="378" spans="1:31" ht="5.15" customHeight="1" x14ac:dyDescent="0.25">
      <c r="A378" s="343"/>
      <c r="B378" s="284"/>
      <c r="C378" s="284"/>
      <c r="D378" s="284"/>
      <c r="E378" s="284"/>
      <c r="F378" s="284"/>
      <c r="G378" s="284"/>
      <c r="H378" s="284"/>
      <c r="I378" s="284"/>
      <c r="J378" s="284"/>
      <c r="K378" s="284"/>
      <c r="L378" s="284"/>
      <c r="M378" s="284"/>
      <c r="N378" s="284"/>
      <c r="O378" s="336"/>
      <c r="P378" s="302"/>
      <c r="Q378" s="695"/>
      <c r="R378" s="343"/>
      <c r="S378" s="343"/>
      <c r="T378" s="343"/>
      <c r="U378" s="343"/>
      <c r="V378" s="343"/>
      <c r="W378" s="343"/>
      <c r="X378" s="343"/>
      <c r="Y378" s="343"/>
      <c r="Z378" s="343"/>
      <c r="AA378" s="343"/>
      <c r="AB378" s="343"/>
      <c r="AC378" s="343"/>
      <c r="AD378" s="343"/>
      <c r="AE378" s="343"/>
    </row>
    <row r="379" spans="1:31" ht="12.75" customHeight="1" x14ac:dyDescent="0.25">
      <c r="A379" s="343"/>
      <c r="B379" s="284"/>
      <c r="C379" s="284"/>
      <c r="D379" s="300" t="s">
        <v>490</v>
      </c>
      <c r="E379" s="2798" t="str">
        <f>Translations!$B$1507</f>
        <v>Количество отпадни газове, потребено за производството на измерима топлинна енергия И подадено към други инсталации в обхвата на СТЕ на ЕС</v>
      </c>
      <c r="F379" s="2354"/>
      <c r="G379" s="2354"/>
      <c r="H379" s="2354"/>
      <c r="I379" s="2354"/>
      <c r="J379" s="2354"/>
      <c r="K379" s="2354"/>
      <c r="L379" s="2354"/>
      <c r="M379" s="2354"/>
      <c r="N379" s="2354"/>
      <c r="O379" s="336"/>
      <c r="P379" s="302"/>
      <c r="Q379" s="695"/>
      <c r="R379" s="343"/>
      <c r="S379" s="343"/>
      <c r="T379" s="343"/>
      <c r="U379" s="343"/>
      <c r="V379" s="343"/>
      <c r="W379" s="343"/>
      <c r="X379" s="343"/>
      <c r="Y379" s="343"/>
      <c r="Z379" s="343"/>
      <c r="AA379" s="343"/>
      <c r="AB379" s="343"/>
      <c r="AC379" s="343"/>
      <c r="AD379" s="343"/>
      <c r="AE379" s="343"/>
    </row>
    <row r="380" spans="1:31" ht="25.5" customHeight="1" x14ac:dyDescent="0.25">
      <c r="A380" s="343"/>
      <c r="B380" s="284"/>
      <c r="C380" s="284"/>
      <c r="D380" s="284"/>
      <c r="E380" s="2723" t="str">
        <f>Translations!$B$1508</f>
        <v>Това включва само отпадните газове, които се потребяват в рамките на инсталацията за производство на измерима топлинна енергия И тази измерима топлинна енергия се подава към друга инсталация в обхвата на СТЕ на ЕС. Директно подадените отпадни газове не следва да се включват тук, а в буква д) по-горе.</v>
      </c>
      <c r="F380" s="2354"/>
      <c r="G380" s="2354"/>
      <c r="H380" s="2354"/>
      <c r="I380" s="2354"/>
      <c r="J380" s="2354"/>
      <c r="K380" s="2354"/>
      <c r="L380" s="2354"/>
      <c r="M380" s="2354"/>
      <c r="N380" s="2354"/>
      <c r="O380" s="336"/>
      <c r="P380" s="302"/>
      <c r="Q380" s="695"/>
      <c r="R380" s="343"/>
      <c r="S380" s="343"/>
      <c r="T380" s="343"/>
      <c r="U380" s="343"/>
      <c r="V380" s="343"/>
      <c r="W380" s="343"/>
      <c r="X380" s="343"/>
      <c r="Y380" s="343"/>
      <c r="Z380" s="343"/>
      <c r="AA380" s="343"/>
      <c r="AB380" s="343"/>
      <c r="AC380" s="343"/>
      <c r="AD380" s="343"/>
      <c r="AE380" s="343"/>
    </row>
    <row r="381" spans="1:31" ht="12.75" customHeight="1" x14ac:dyDescent="0.25">
      <c r="A381" s="343"/>
      <c r="B381" s="284"/>
      <c r="C381" s="284"/>
      <c r="D381" s="284"/>
      <c r="E381" s="2740" t="str">
        <f>Translations!$B$1509</f>
        <v>Отпадни газове за топлинна енергия към други инсталации в обхвата на СТЕ на ЕС</v>
      </c>
      <c r="F381" s="2739"/>
      <c r="G381" s="1038" t="str">
        <f>EUconst_TJpa</f>
        <v>TJ / година</v>
      </c>
      <c r="H381" s="24"/>
      <c r="I381" s="24"/>
      <c r="J381" s="24"/>
      <c r="K381" s="24"/>
      <c r="L381" s="24"/>
      <c r="M381" s="24"/>
      <c r="N381" s="24"/>
      <c r="O381" s="336"/>
      <c r="P381" s="181"/>
      <c r="Q381" s="343"/>
      <c r="R381" s="343"/>
      <c r="S381" s="343"/>
      <c r="T381" s="747">
        <f>T347</f>
        <v>0</v>
      </c>
      <c r="U381" s="343"/>
      <c r="V381" s="343"/>
      <c r="W381" s="343"/>
      <c r="X381" s="343"/>
      <c r="Y381" s="343"/>
      <c r="Z381" s="343"/>
      <c r="AA381" s="343"/>
      <c r="AB381" s="343"/>
      <c r="AC381" s="343"/>
      <c r="AD381" s="732" t="s">
        <v>2039</v>
      </c>
      <c r="AE381" s="875" t="str">
        <f>IF(AND(CNTR_HasEntries_A_I,T381=FALSE,COUNTIFS($V$20:$AB$20,FALSE,H381:N381,"")&gt;0,$T$316=FALSE),4,"")</f>
        <v/>
      </c>
    </row>
    <row r="382" spans="1:31" ht="5.15" customHeight="1" x14ac:dyDescent="0.25">
      <c r="A382" s="343"/>
      <c r="B382" s="284"/>
      <c r="C382" s="284"/>
      <c r="D382" s="284"/>
      <c r="E382" s="284"/>
      <c r="F382" s="284"/>
      <c r="G382" s="284"/>
      <c r="H382" s="284"/>
      <c r="I382" s="284"/>
      <c r="J382" s="284"/>
      <c r="K382" s="284"/>
      <c r="L382" s="284"/>
      <c r="M382" s="284"/>
      <c r="N382" s="284"/>
      <c r="O382" s="336"/>
      <c r="P382" s="302"/>
      <c r="Q382" s="695"/>
      <c r="R382" s="343"/>
      <c r="S382" s="343"/>
      <c r="T382" s="343"/>
      <c r="U382" s="343"/>
      <c r="V382" s="343"/>
      <c r="W382" s="343"/>
      <c r="X382" s="343"/>
      <c r="Y382" s="343"/>
      <c r="Z382" s="343"/>
      <c r="AA382" s="343"/>
      <c r="AB382" s="343"/>
      <c r="AC382" s="343"/>
      <c r="AD382" s="343"/>
      <c r="AE382" s="343"/>
    </row>
    <row r="383" spans="1:31" ht="12.75" customHeight="1" x14ac:dyDescent="0.25">
      <c r="A383" s="343"/>
      <c r="B383" s="284"/>
      <c r="C383" s="300"/>
      <c r="D383" s="300" t="s">
        <v>492</v>
      </c>
      <c r="E383" s="2724" t="str">
        <f>Translations!$B$451</f>
        <v>Проверка на правдоподобността на данните</v>
      </c>
      <c r="F383" s="2725"/>
      <c r="G383" s="2725"/>
      <c r="H383" s="2725"/>
      <c r="I383" s="2725"/>
      <c r="J383" s="2725"/>
      <c r="K383" s="2725"/>
      <c r="L383" s="2725"/>
      <c r="M383" s="2725"/>
      <c r="N383" s="2725"/>
      <c r="O383" s="336"/>
      <c r="P383" s="302"/>
      <c r="Q383" s="695"/>
      <c r="R383" s="343"/>
      <c r="S383" s="343"/>
      <c r="T383" s="343"/>
      <c r="U383" s="343"/>
      <c r="V383" s="343"/>
      <c r="W383" s="343"/>
      <c r="X383" s="343"/>
      <c r="Y383" s="343"/>
      <c r="Z383" s="343"/>
      <c r="AA383" s="343"/>
      <c r="AB383" s="343"/>
      <c r="AC383" s="343"/>
      <c r="AD383" s="343"/>
      <c r="AE383" s="343"/>
    </row>
    <row r="384" spans="1:31" ht="12.65" customHeight="1" x14ac:dyDescent="0.25">
      <c r="A384" s="343"/>
      <c r="B384" s="284"/>
      <c r="C384" s="302"/>
      <c r="D384" s="302"/>
      <c r="E384" s="2749" t="str">
        <f>Translations!$B$452</f>
        <v>Това се прави с цел проверка на пълнотата на данните за баланса на отпадните газове. Ако стойността е различна от нула, моля, потърсете несъответствия в изброените по-горе стойности.</v>
      </c>
      <c r="F384" s="2743"/>
      <c r="G384" s="2743"/>
      <c r="H384" s="2743"/>
      <c r="I384" s="2743"/>
      <c r="J384" s="2743"/>
      <c r="K384" s="2743"/>
      <c r="L384" s="2743"/>
      <c r="M384" s="2743"/>
      <c r="N384" s="2743"/>
      <c r="O384" s="336"/>
      <c r="P384" s="302"/>
      <c r="Q384" s="695"/>
      <c r="R384" s="343"/>
      <c r="S384" s="343"/>
      <c r="T384" s="343"/>
      <c r="U384" s="343"/>
      <c r="V384" s="343"/>
      <c r="W384" s="343"/>
      <c r="X384" s="343"/>
      <c r="Y384" s="343"/>
      <c r="Z384" s="343"/>
      <c r="AA384" s="343"/>
      <c r="AB384" s="343"/>
      <c r="AC384" s="343"/>
      <c r="AD384" s="343"/>
      <c r="AE384" s="343"/>
    </row>
    <row r="385" spans="1:31" ht="12.75" customHeight="1" x14ac:dyDescent="0.25">
      <c r="A385" s="343"/>
      <c r="B385" s="698"/>
      <c r="C385" s="698"/>
      <c r="D385" s="1084" t="s">
        <v>6</v>
      </c>
      <c r="E385" s="2740" t="str">
        <f>Translations!$B$453</f>
        <v>Разлика (изчислена)</v>
      </c>
      <c r="F385" s="2739"/>
      <c r="G385" s="1038" t="str">
        <f>EUconst_TJpa</f>
        <v>TJ / година</v>
      </c>
      <c r="H385" s="1024" t="str">
        <f>IF(COUNT(H330)&gt;0,H330-SUM(H345,H357,H360,H377,H381),"")</f>
        <v/>
      </c>
      <c r="I385" s="1024" t="str">
        <f t="shared" ref="I385:N385" si="98">IF(COUNT(I330)&gt;0,I330-SUM(I345,I357,I360,I377,I381),"")</f>
        <v/>
      </c>
      <c r="J385" s="1024" t="str">
        <f t="shared" si="98"/>
        <v/>
      </c>
      <c r="K385" s="1024" t="str">
        <f t="shared" si="98"/>
        <v/>
      </c>
      <c r="L385" s="1024" t="str">
        <f t="shared" si="98"/>
        <v/>
      </c>
      <c r="M385" s="1024" t="str">
        <f t="shared" si="98"/>
        <v/>
      </c>
      <c r="N385" s="1024" t="str">
        <f t="shared" si="98"/>
        <v/>
      </c>
      <c r="O385" s="336"/>
      <c r="P385" s="302"/>
      <c r="Q385" s="343"/>
      <c r="R385" s="343"/>
      <c r="S385" s="343"/>
      <c r="T385" s="343"/>
      <c r="U385" s="343"/>
      <c r="V385" s="343"/>
      <c r="W385" s="343"/>
      <c r="X385" s="343"/>
      <c r="Y385" s="343"/>
      <c r="Z385" s="343"/>
      <c r="AA385" s="343"/>
      <c r="AB385" s="343"/>
      <c r="AC385" s="343"/>
      <c r="AD385" s="343"/>
      <c r="AE385" s="343"/>
    </row>
    <row r="386" spans="1:31" ht="12.75" customHeight="1" x14ac:dyDescent="0.25">
      <c r="A386" s="343"/>
      <c r="B386" s="698"/>
      <c r="C386" s="698"/>
      <c r="D386" s="1084" t="s">
        <v>7</v>
      </c>
      <c r="E386" s="2740" t="str">
        <f>Translations!$B$454</f>
        <v>Разлика (като дял от f)</v>
      </c>
      <c r="F386" s="2739"/>
      <c r="G386" s="535" t="s">
        <v>1053</v>
      </c>
      <c r="H386" s="1102" t="str">
        <f t="shared" ref="H386:N386" si="99">IF(H385="","",IF(H330=0,0,H385/H330*100))</f>
        <v/>
      </c>
      <c r="I386" s="1102" t="str">
        <f t="shared" si="99"/>
        <v/>
      </c>
      <c r="J386" s="1102" t="str">
        <f t="shared" si="99"/>
        <v/>
      </c>
      <c r="K386" s="1102" t="str">
        <f t="shared" si="99"/>
        <v/>
      </c>
      <c r="L386" s="1102" t="str">
        <f t="shared" si="99"/>
        <v/>
      </c>
      <c r="M386" s="1102" t="str">
        <f t="shared" si="99"/>
        <v/>
      </c>
      <c r="N386" s="1102" t="str">
        <f t="shared" si="99"/>
        <v/>
      </c>
      <c r="O386" s="336"/>
      <c r="P386" s="302"/>
      <c r="Q386" s="343"/>
      <c r="R386" s="343"/>
      <c r="S386" s="343"/>
      <c r="T386" s="343"/>
      <c r="U386" s="343"/>
      <c r="V386" s="343"/>
      <c r="W386" s="343"/>
      <c r="X386" s="343"/>
      <c r="Y386" s="343"/>
      <c r="Z386" s="343"/>
      <c r="AA386" s="343"/>
      <c r="AB386" s="343"/>
      <c r="AC386" s="343"/>
      <c r="AD386" s="343"/>
      <c r="AE386" s="343"/>
    </row>
    <row r="387" spans="1:31" x14ac:dyDescent="0.25">
      <c r="A387" s="343"/>
      <c r="B387" s="698"/>
      <c r="C387" s="698"/>
      <c r="D387" s="698"/>
      <c r="E387" s="698"/>
      <c r="F387" s="698"/>
      <c r="G387" s="698"/>
      <c r="H387" s="698"/>
      <c r="I387" s="698"/>
      <c r="J387" s="698"/>
      <c r="K387" s="698"/>
      <c r="L387" s="698"/>
      <c r="M387" s="698"/>
      <c r="N387" s="698"/>
      <c r="O387" s="336"/>
      <c r="P387" s="302"/>
      <c r="Q387" s="343"/>
      <c r="R387" s="343"/>
      <c r="S387" s="343"/>
      <c r="T387" s="343"/>
      <c r="U387" s="343"/>
      <c r="V387" s="343"/>
      <c r="W387" s="343"/>
      <c r="X387" s="343"/>
      <c r="Y387" s="343"/>
      <c r="Z387" s="343"/>
      <c r="AA387" s="343"/>
      <c r="AB387" s="343"/>
      <c r="AC387" s="343"/>
      <c r="AD387" s="343"/>
      <c r="AE387" s="343"/>
    </row>
    <row r="388" spans="1:31" ht="15.5" x14ac:dyDescent="0.35">
      <c r="A388" s="343"/>
      <c r="B388" s="284"/>
      <c r="C388" s="327" t="s">
        <v>10</v>
      </c>
      <c r="D388" s="2758" t="str">
        <f>Translations!$B$313</f>
        <v>Електроенергия</v>
      </c>
      <c r="E388" s="2758"/>
      <c r="F388" s="2758"/>
      <c r="G388" s="2758"/>
      <c r="H388" s="2758"/>
      <c r="I388" s="2758"/>
      <c r="J388" s="2758"/>
      <c r="K388" s="2758"/>
      <c r="L388" s="2758"/>
      <c r="M388" s="2758"/>
      <c r="N388" s="2758"/>
      <c r="O388" s="336"/>
      <c r="P388" s="302"/>
      <c r="Q388" s="695"/>
      <c r="R388" s="343"/>
      <c r="S388" s="343"/>
      <c r="T388" s="343"/>
      <c r="U388" s="343"/>
      <c r="V388" s="343"/>
      <c r="W388" s="343"/>
      <c r="X388" s="343"/>
      <c r="Y388" s="343"/>
      <c r="Z388" s="343"/>
      <c r="AA388" s="343"/>
      <c r="AB388" s="343"/>
      <c r="AC388" s="343"/>
      <c r="AD388" s="343"/>
      <c r="AE388" s="343"/>
    </row>
    <row r="389" spans="1:31" ht="5.15" customHeight="1" x14ac:dyDescent="0.25">
      <c r="A389" s="343"/>
      <c r="B389" s="284"/>
      <c r="C389" s="284"/>
      <c r="D389" s="284"/>
      <c r="E389" s="284"/>
      <c r="F389" s="284"/>
      <c r="G389" s="284"/>
      <c r="H389" s="284"/>
      <c r="I389" s="284"/>
      <c r="J389" s="284"/>
      <c r="K389" s="284"/>
      <c r="L389" s="284"/>
      <c r="M389" s="336"/>
      <c r="N389" s="336"/>
      <c r="O389" s="336"/>
      <c r="P389" s="302"/>
      <c r="Q389" s="695"/>
      <c r="R389" s="343"/>
      <c r="S389" s="343"/>
      <c r="T389" s="343"/>
      <c r="U389" s="343"/>
      <c r="V389" s="343"/>
      <c r="W389" s="343"/>
      <c r="X389" s="343"/>
      <c r="Y389" s="343"/>
      <c r="Z389" s="343"/>
      <c r="AA389" s="343"/>
      <c r="AB389" s="343"/>
      <c r="AC389" s="343"/>
      <c r="AD389" s="343"/>
      <c r="AE389" s="343"/>
    </row>
    <row r="390" spans="1:31" ht="14" x14ac:dyDescent="0.3">
      <c r="A390" s="343"/>
      <c r="B390" s="284"/>
      <c r="C390" s="357"/>
      <c r="D390" s="2785" t="str">
        <f>Translations!$B$455</f>
        <v>Пълен баланс на електроенергията в инсталацията</v>
      </c>
      <c r="E390" s="2354"/>
      <c r="F390" s="2354"/>
      <c r="G390" s="2354"/>
      <c r="H390" s="2354"/>
      <c r="I390" s="2354"/>
      <c r="J390" s="2354"/>
      <c r="K390" s="2354"/>
      <c r="L390" s="2354"/>
      <c r="M390" s="2354"/>
      <c r="N390" s="2354"/>
      <c r="O390" s="336"/>
      <c r="P390" s="302"/>
      <c r="Q390" s="695"/>
      <c r="R390" s="343"/>
      <c r="S390" s="343"/>
      <c r="T390" s="343"/>
      <c r="U390" s="343"/>
      <c r="V390" s="343"/>
      <c r="W390" s="343"/>
      <c r="X390" s="343"/>
      <c r="Y390" s="343"/>
      <c r="Z390" s="343"/>
      <c r="AA390" s="343"/>
      <c r="AB390" s="343"/>
      <c r="AC390" s="343"/>
      <c r="AD390" s="343"/>
      <c r="AE390" s="343"/>
    </row>
    <row r="391" spans="1:31" ht="5.15" customHeight="1" thickBot="1" x14ac:dyDescent="0.3">
      <c r="A391" s="343"/>
      <c r="B391" s="284"/>
      <c r="C391" s="284"/>
      <c r="D391" s="284"/>
      <c r="E391" s="284"/>
      <c r="F391" s="284"/>
      <c r="G391" s="284"/>
      <c r="H391" s="284"/>
      <c r="I391" s="284"/>
      <c r="J391" s="284"/>
      <c r="K391" s="284"/>
      <c r="L391" s="284"/>
      <c r="M391" s="284"/>
      <c r="N391" s="284"/>
      <c r="O391" s="336"/>
      <c r="P391" s="302"/>
      <c r="Q391" s="695"/>
      <c r="R391" s="343"/>
      <c r="S391" s="343"/>
      <c r="T391" s="343"/>
      <c r="U391" s="343"/>
      <c r="V391" s="343"/>
      <c r="W391" s="343"/>
      <c r="X391" s="343"/>
      <c r="Y391" s="343"/>
      <c r="Z391" s="343"/>
      <c r="AA391" s="343"/>
      <c r="AB391" s="343"/>
      <c r="AC391" s="343"/>
      <c r="AD391" s="343"/>
      <c r="AE391" s="343"/>
    </row>
    <row r="392" spans="1:31" ht="13.5" customHeight="1" thickBot="1" x14ac:dyDescent="0.3">
      <c r="A392" s="694"/>
      <c r="B392" s="698"/>
      <c r="C392" s="698"/>
      <c r="D392" s="300" t="s">
        <v>408</v>
      </c>
      <c r="E392" s="2463" t="str">
        <f>Translations!$B$456</f>
        <v>В инсталацията произвежда ли се електроенергия?</v>
      </c>
      <c r="F392" s="2463"/>
      <c r="G392" s="2463"/>
      <c r="H392" s="2463"/>
      <c r="I392" s="2463"/>
      <c r="J392" s="2463"/>
      <c r="K392" s="2463"/>
      <c r="L392" s="2699"/>
      <c r="M392" s="81"/>
      <c r="O392" s="336"/>
      <c r="P392" s="302"/>
      <c r="Q392" s="1131" t="s">
        <v>1194</v>
      </c>
      <c r="R392" s="343"/>
      <c r="S392" s="343"/>
      <c r="T392" s="343"/>
      <c r="U392" s="343"/>
      <c r="V392" s="343"/>
      <c r="W392" s="343"/>
      <c r="X392" s="343"/>
      <c r="Y392" s="343"/>
      <c r="Z392" s="343"/>
      <c r="AA392" s="343"/>
      <c r="AB392" s="343"/>
      <c r="AC392" s="343"/>
      <c r="AD392" s="343"/>
      <c r="AE392" s="343"/>
    </row>
    <row r="393" spans="1:31" ht="25.5" customHeight="1" x14ac:dyDescent="0.25">
      <c r="A393" s="729"/>
      <c r="B393" s="698"/>
      <c r="C393" s="698"/>
      <c r="D393" s="698"/>
      <c r="E393" s="2358" t="str">
        <f>Translations!$B$1510</f>
        <v>Ако отговорът тук е „НЕВЯРНО“, въвеждането на данни по-долу не е задължително, с изключение на буква е), където това винаги е задължително. Тук можете да впишете „НЕВЯРНО“, ако електроенергията се произвежда само от агрегати за аварийно захранване.</v>
      </c>
      <c r="F393" s="2249"/>
      <c r="G393" s="2249"/>
      <c r="H393" s="2249"/>
      <c r="I393" s="2249"/>
      <c r="J393" s="2249"/>
      <c r="K393" s="2249"/>
      <c r="L393" s="2249"/>
      <c r="M393" s="2249"/>
      <c r="N393" s="2249"/>
      <c r="O393" s="336"/>
      <c r="P393" s="302"/>
      <c r="Q393" s="711"/>
      <c r="R393" s="343"/>
      <c r="S393" s="343"/>
      <c r="T393" s="343"/>
      <c r="U393" s="343"/>
      <c r="V393" s="343"/>
      <c r="W393" s="343"/>
      <c r="X393" s="343"/>
      <c r="Y393" s="343"/>
      <c r="Z393" s="343"/>
      <c r="AA393" s="343"/>
      <c r="AB393" s="343"/>
      <c r="AC393" s="343"/>
      <c r="AD393" s="343"/>
      <c r="AE393" s="343"/>
    </row>
    <row r="394" spans="1:31" ht="5.15" customHeight="1" x14ac:dyDescent="0.25">
      <c r="A394" s="694"/>
      <c r="B394" s="284"/>
      <c r="C394" s="284"/>
      <c r="D394" s="302"/>
      <c r="E394" s="698"/>
      <c r="F394" s="698"/>
      <c r="G394" s="698"/>
      <c r="H394" s="698"/>
      <c r="I394" s="698"/>
      <c r="J394" s="698"/>
      <c r="K394" s="698"/>
      <c r="L394" s="698"/>
      <c r="M394" s="698"/>
      <c r="N394" s="698"/>
      <c r="O394" s="336"/>
      <c r="P394" s="302"/>
      <c r="Q394" s="695"/>
      <c r="R394" s="343"/>
      <c r="S394" s="695"/>
      <c r="T394" s="695"/>
      <c r="U394" s="343"/>
      <c r="V394" s="343"/>
      <c r="W394" s="343"/>
      <c r="X394" s="343"/>
      <c r="Y394" s="343"/>
      <c r="Z394" s="343"/>
      <c r="AA394" s="343"/>
      <c r="AB394" s="343"/>
      <c r="AC394" s="343"/>
      <c r="AD394" s="343"/>
      <c r="AE394" s="343"/>
    </row>
    <row r="395" spans="1:31" ht="13" x14ac:dyDescent="0.25">
      <c r="A395" s="343"/>
      <c r="B395" s="284"/>
      <c r="C395" s="284"/>
      <c r="D395" s="300" t="s">
        <v>901</v>
      </c>
      <c r="E395" s="2353" t="str">
        <f>Translations!$B$457</f>
        <v>Общо нетно количество електроенергия, произведена в инсталацията</v>
      </c>
      <c r="F395" s="2354"/>
      <c r="G395" s="2354"/>
      <c r="H395" s="2354"/>
      <c r="I395" s="2354"/>
      <c r="J395" s="2354"/>
      <c r="K395" s="2354"/>
      <c r="L395" s="2354"/>
      <c r="M395" s="2354"/>
      <c r="N395" s="2354"/>
      <c r="O395" s="336"/>
      <c r="P395" s="302"/>
      <c r="Q395" s="695"/>
      <c r="R395" s="343"/>
      <c r="S395" s="343"/>
      <c r="T395" s="343"/>
      <c r="U395" s="343"/>
      <c r="V395" s="343"/>
      <c r="W395" s="343"/>
      <c r="X395" s="343"/>
      <c r="Y395" s="343"/>
      <c r="Z395" s="343"/>
      <c r="AA395" s="343"/>
      <c r="AB395" s="343"/>
      <c r="AC395" s="343"/>
      <c r="AD395" s="343"/>
      <c r="AE395" s="343"/>
    </row>
    <row r="396" spans="1:31" x14ac:dyDescent="0.25">
      <c r="A396" s="343"/>
      <c r="B396" s="284"/>
      <c r="C396" s="284"/>
      <c r="D396" s="302"/>
      <c r="E396" s="2723" t="str">
        <f>Translations!$B$458</f>
        <v>Друго производство на електроенергия, напр. водна, вятърна и слънчева енергия, енергия от турборазширители и други процеси извън СТЕ.</v>
      </c>
      <c r="F396" s="2354"/>
      <c r="G396" s="2354"/>
      <c r="H396" s="2354"/>
      <c r="I396" s="2354"/>
      <c r="J396" s="2354"/>
      <c r="K396" s="2354"/>
      <c r="L396" s="2354"/>
      <c r="M396" s="2354"/>
      <c r="N396" s="2354"/>
      <c r="O396" s="336"/>
      <c r="P396" s="302"/>
      <c r="Q396" s="695"/>
      <c r="R396" s="343"/>
      <c r="S396" s="343"/>
      <c r="T396" s="343"/>
      <c r="U396" s="343"/>
      <c r="V396" s="343"/>
      <c r="W396" s="343"/>
      <c r="X396" s="343"/>
      <c r="Y396" s="343"/>
      <c r="Z396" s="343"/>
      <c r="AA396" s="343"/>
      <c r="AB396" s="343"/>
      <c r="AC396" s="343"/>
      <c r="AD396" s="343"/>
      <c r="AE396" s="343"/>
    </row>
    <row r="397" spans="1:31" ht="13" x14ac:dyDescent="0.25">
      <c r="A397" s="343"/>
      <c r="B397" s="284"/>
      <c r="C397" s="284"/>
      <c r="D397" s="302"/>
      <c r="E397" s="2723" t="str">
        <f>Translations!$B$1511</f>
        <v>Това следва да бъде нетната произведена електроенергия (т.е. след приспадане на собственото потребление на помпи и др.). Моля, осигурете съгласуваност със стойностите, отчетени в D.III.</v>
      </c>
      <c r="F397" s="2757"/>
      <c r="G397" s="2757"/>
      <c r="H397" s="2757"/>
      <c r="I397" s="2757"/>
      <c r="J397" s="2757"/>
      <c r="K397" s="2757"/>
      <c r="L397" s="2757"/>
      <c r="M397" s="2757"/>
      <c r="N397" s="2757"/>
      <c r="O397" s="336"/>
      <c r="P397" s="302"/>
      <c r="Q397" s="695"/>
      <c r="R397" s="343"/>
      <c r="S397" s="343"/>
      <c r="T397" s="343"/>
      <c r="U397" s="343"/>
      <c r="V397" s="343"/>
      <c r="W397" s="343"/>
      <c r="X397" s="343"/>
      <c r="Y397" s="343"/>
      <c r="Z397" s="343"/>
      <c r="AA397" s="343"/>
      <c r="AB397" s="343"/>
      <c r="AC397" s="343"/>
      <c r="AD397" s="343"/>
      <c r="AE397" s="343"/>
    </row>
    <row r="398" spans="1:31" ht="13.5" thickBot="1" x14ac:dyDescent="0.3">
      <c r="A398" s="343"/>
      <c r="B398" s="698"/>
      <c r="C398" s="698"/>
      <c r="D398" s="698"/>
      <c r="E398" s="461"/>
      <c r="F398" s="742"/>
      <c r="G398" s="527" t="str">
        <f>EUconst_Unit</f>
        <v>Единица мярка</v>
      </c>
      <c r="H398" s="391">
        <f t="shared" ref="H398:N398" si="100">H$428</f>
        <v>2024</v>
      </c>
      <c r="I398" s="391">
        <f t="shared" si="100"/>
        <v>2025</v>
      </c>
      <c r="J398" s="391">
        <f t="shared" si="100"/>
        <v>2026</v>
      </c>
      <c r="K398" s="391">
        <f t="shared" si="100"/>
        <v>2027</v>
      </c>
      <c r="L398" s="391">
        <f t="shared" si="100"/>
        <v>2028</v>
      </c>
      <c r="M398" s="391">
        <f t="shared" si="100"/>
        <v>2029</v>
      </c>
      <c r="N398" s="391">
        <f t="shared" si="100"/>
        <v>2030</v>
      </c>
      <c r="O398" s="336"/>
      <c r="P398" s="302"/>
      <c r="Q398" s="343"/>
      <c r="R398" s="343"/>
      <c r="S398" s="343"/>
      <c r="T398" s="711" t="s">
        <v>1330</v>
      </c>
      <c r="U398" s="343"/>
      <c r="V398" s="343"/>
      <c r="W398" s="343"/>
      <c r="X398" s="343"/>
      <c r="Y398" s="343"/>
      <c r="Z398" s="343"/>
      <c r="AA398" s="343"/>
      <c r="AB398" s="343"/>
      <c r="AC398" s="343"/>
      <c r="AD398" s="343"/>
      <c r="AE398" s="343"/>
    </row>
    <row r="399" spans="1:31" ht="12.65" customHeight="1" x14ac:dyDescent="0.25">
      <c r="A399" s="343"/>
      <c r="B399" s="698"/>
      <c r="C399" s="698"/>
      <c r="D399" s="1084" t="s">
        <v>6</v>
      </c>
      <c r="E399" s="2738" t="str">
        <f>Translations!$B$459</f>
        <v>Нетна електроенергия, произведена от горива</v>
      </c>
      <c r="F399" s="2739"/>
      <c r="G399" s="1016" t="str">
        <f>EUconst_MWhpa</f>
        <v>MWh / година</v>
      </c>
      <c r="H399" s="24"/>
      <c r="I399" s="24"/>
      <c r="J399" s="24"/>
      <c r="K399" s="24"/>
      <c r="L399" s="24"/>
      <c r="M399" s="24"/>
      <c r="N399" s="24"/>
      <c r="O399" s="336"/>
      <c r="P399" s="181"/>
      <c r="Q399" s="343"/>
      <c r="R399" s="343"/>
      <c r="S399" s="343"/>
      <c r="T399" s="1086" t="str">
        <f>IF(ISBLANK(CNTR_ProdElec),"",NOT(CNTR_ProdElec))</f>
        <v/>
      </c>
      <c r="U399" s="343"/>
      <c r="V399" s="343"/>
      <c r="W399" s="343"/>
      <c r="X399" s="343"/>
      <c r="Y399" s="343"/>
      <c r="Z399" s="343"/>
      <c r="AA399" s="343"/>
      <c r="AB399" s="343"/>
      <c r="AC399" s="343"/>
      <c r="AD399" s="732" t="s">
        <v>2039</v>
      </c>
      <c r="AE399" s="875" t="str">
        <f>IF(AND(CNTR_HasEntries_A_I,COUNTIFS($V$20:$AB$20,FALSE,H399:N399,"")&gt;0,$T$399&lt;&gt;TRUE),5,"")</f>
        <v/>
      </c>
    </row>
    <row r="400" spans="1:31" ht="12.65" customHeight="1" x14ac:dyDescent="0.25">
      <c r="A400" s="343"/>
      <c r="B400" s="698"/>
      <c r="C400" s="698"/>
      <c r="D400" s="1084" t="s">
        <v>7</v>
      </c>
      <c r="E400" s="2738" t="str">
        <f>Translations!$B$460</f>
        <v>Друга произведена електроенергия</v>
      </c>
      <c r="F400" s="2739"/>
      <c r="G400" s="1016" t="str">
        <f>EUconst_MWhpa</f>
        <v>MWh / година</v>
      </c>
      <c r="H400" s="24"/>
      <c r="I400" s="24"/>
      <c r="J400" s="24"/>
      <c r="K400" s="24"/>
      <c r="L400" s="24"/>
      <c r="M400" s="24"/>
      <c r="N400" s="24"/>
      <c r="O400" s="336"/>
      <c r="P400" s="181"/>
      <c r="Q400" s="343"/>
      <c r="R400" s="343"/>
      <c r="S400" s="343"/>
      <c r="T400" s="747" t="str">
        <f>T399</f>
        <v/>
      </c>
      <c r="U400" s="343"/>
      <c r="V400" s="343"/>
      <c r="W400" s="343"/>
      <c r="X400" s="343"/>
      <c r="Y400" s="343"/>
      <c r="Z400" s="343"/>
      <c r="AA400" s="343"/>
      <c r="AB400" s="343"/>
      <c r="AC400" s="343"/>
      <c r="AD400" s="732" t="s">
        <v>2039</v>
      </c>
      <c r="AE400" s="875" t="str">
        <f>IF(AND(CNTR_HasEntries_A_I,COUNTIFS($V$20:$AB$20,FALSE,H400:N400,"")&gt;0,$T$399&lt;&gt;TRUE),5,"")</f>
        <v/>
      </c>
    </row>
    <row r="401" spans="1:31" ht="5.15" customHeight="1" x14ac:dyDescent="0.25">
      <c r="A401" s="343"/>
      <c r="B401" s="284"/>
      <c r="C401" s="284"/>
      <c r="D401" s="1084"/>
      <c r="E401" s="284"/>
      <c r="F401" s="284"/>
      <c r="G401" s="284"/>
      <c r="H401" s="284"/>
      <c r="I401" s="284"/>
      <c r="J401" s="284"/>
      <c r="K401" s="284"/>
      <c r="L401" s="284"/>
      <c r="M401" s="284"/>
      <c r="N401" s="284"/>
      <c r="O401" s="336"/>
      <c r="P401" s="302"/>
      <c r="Q401" s="695"/>
      <c r="R401" s="343"/>
      <c r="S401" s="343"/>
      <c r="T401" s="1089"/>
      <c r="U401" s="343"/>
      <c r="V401" s="343"/>
      <c r="W401" s="343"/>
      <c r="X401" s="343"/>
      <c r="Y401" s="343"/>
      <c r="Z401" s="343"/>
      <c r="AA401" s="343"/>
      <c r="AB401" s="343"/>
      <c r="AC401" s="343"/>
      <c r="AD401" s="343"/>
      <c r="AE401" s="343"/>
    </row>
    <row r="402" spans="1:31" ht="13" customHeight="1" x14ac:dyDescent="0.25">
      <c r="A402" s="343"/>
      <c r="B402" s="284"/>
      <c r="C402" s="284"/>
      <c r="D402" s="300" t="s">
        <v>46</v>
      </c>
      <c r="E402" s="2759" t="str">
        <f>Translations!$B$461</f>
        <v>Общо количество електроенергия, получена от електрическата мрежа или от други инсталации</v>
      </c>
      <c r="F402" s="2759"/>
      <c r="G402" s="2759"/>
      <c r="H402" s="2759"/>
      <c r="I402" s="2759"/>
      <c r="J402" s="2759"/>
      <c r="K402" s="2759"/>
      <c r="L402" s="2759"/>
      <c r="M402" s="2759"/>
      <c r="N402" s="2759"/>
      <c r="O402" s="336"/>
      <c r="P402" s="302"/>
      <c r="Q402" s="695"/>
      <c r="R402" s="343"/>
      <c r="S402" s="343"/>
      <c r="T402" s="1089"/>
      <c r="U402" s="343"/>
      <c r="V402" s="343"/>
      <c r="W402" s="343"/>
      <c r="X402" s="343"/>
      <c r="Y402" s="343"/>
      <c r="Z402" s="343"/>
      <c r="AA402" s="343"/>
      <c r="AB402" s="343"/>
      <c r="AC402" s="343"/>
      <c r="AD402" s="343"/>
      <c r="AE402" s="343"/>
    </row>
    <row r="403" spans="1:31" ht="12.65" customHeight="1" x14ac:dyDescent="0.25">
      <c r="A403" s="343"/>
      <c r="B403" s="698"/>
      <c r="C403" s="698"/>
      <c r="D403" s="698"/>
      <c r="E403" s="2738" t="str">
        <f>Translations!$B$462</f>
        <v>Получена електроенергия</v>
      </c>
      <c r="F403" s="2739"/>
      <c r="G403" s="1016" t="str">
        <f>EUconst_MWhpa</f>
        <v>MWh / година</v>
      </c>
      <c r="H403" s="24"/>
      <c r="I403" s="24"/>
      <c r="J403" s="24"/>
      <c r="K403" s="24"/>
      <c r="L403" s="24"/>
      <c r="M403" s="24"/>
      <c r="N403" s="24"/>
      <c r="O403" s="336"/>
      <c r="P403" s="181"/>
      <c r="Q403" s="343"/>
      <c r="R403" s="343"/>
      <c r="S403" s="343"/>
      <c r="T403" s="747" t="str">
        <f>T399</f>
        <v/>
      </c>
      <c r="U403" s="343"/>
      <c r="V403" s="343"/>
      <c r="W403" s="343"/>
      <c r="X403" s="343"/>
      <c r="Y403" s="343"/>
      <c r="Z403" s="343"/>
      <c r="AA403" s="343"/>
      <c r="AB403" s="343"/>
      <c r="AC403" s="343"/>
      <c r="AD403" s="732" t="s">
        <v>2039</v>
      </c>
      <c r="AE403" s="875" t="str">
        <f>IF(AND(CNTR_HasEntries_A_I,COUNTIFS($V$20:$AB$20,FALSE,H403:N403,"")&gt;0,$T$399&lt;&gt;TRUE),5,"")</f>
        <v/>
      </c>
    </row>
    <row r="404" spans="1:31" ht="5.15" customHeight="1" x14ac:dyDescent="0.25">
      <c r="A404" s="343"/>
      <c r="B404" s="284"/>
      <c r="C404" s="284"/>
      <c r="D404" s="284"/>
      <c r="E404" s="284"/>
      <c r="F404" s="284"/>
      <c r="G404" s="284"/>
      <c r="H404" s="284"/>
      <c r="I404" s="284"/>
      <c r="J404" s="284"/>
      <c r="K404" s="284"/>
      <c r="L404" s="284"/>
      <c r="M404" s="284"/>
      <c r="N404" s="284"/>
      <c r="O404" s="336"/>
      <c r="P404" s="302"/>
      <c r="Q404" s="695"/>
      <c r="R404" s="343"/>
      <c r="S404" s="343"/>
      <c r="T404" s="1089"/>
      <c r="U404" s="343"/>
      <c r="V404" s="343"/>
      <c r="W404" s="343"/>
      <c r="X404" s="343"/>
      <c r="Y404" s="343"/>
      <c r="Z404" s="343"/>
      <c r="AA404" s="343"/>
      <c r="AB404" s="343"/>
      <c r="AC404" s="343"/>
      <c r="AD404" s="343"/>
      <c r="AE404" s="343"/>
    </row>
    <row r="405" spans="1:31" ht="13" customHeight="1" x14ac:dyDescent="0.25">
      <c r="A405" s="343"/>
      <c r="B405" s="284"/>
      <c r="C405" s="284"/>
      <c r="D405" s="300" t="s">
        <v>906</v>
      </c>
      <c r="E405" s="2759" t="str">
        <f>Translations!$B$463</f>
        <v>Общо количество електроенергия, подадена към електрическата мрежа или към други инсталации</v>
      </c>
      <c r="F405" s="2760"/>
      <c r="G405" s="2760"/>
      <c r="H405" s="2760"/>
      <c r="I405" s="2760"/>
      <c r="J405" s="2760"/>
      <c r="K405" s="2760"/>
      <c r="L405" s="2760"/>
      <c r="M405" s="2760"/>
      <c r="N405" s="2760"/>
      <c r="O405" s="336"/>
      <c r="P405" s="302"/>
      <c r="Q405" s="695"/>
      <c r="R405" s="343"/>
      <c r="S405" s="343"/>
      <c r="T405" s="1089"/>
      <c r="U405" s="343"/>
      <c r="V405" s="343"/>
      <c r="W405" s="343"/>
      <c r="X405" s="343"/>
      <c r="Y405" s="343"/>
      <c r="Z405" s="343"/>
      <c r="AA405" s="343"/>
      <c r="AB405" s="343"/>
      <c r="AC405" s="343"/>
      <c r="AD405" s="343"/>
      <c r="AE405" s="343"/>
    </row>
    <row r="406" spans="1:31" ht="12.65" customHeight="1" x14ac:dyDescent="0.25">
      <c r="A406" s="343"/>
      <c r="B406" s="698"/>
      <c r="C406" s="698"/>
      <c r="D406" s="698"/>
      <c r="E406" s="2738" t="str">
        <f>Translations!$B$464</f>
        <v>Подадена електроенергия</v>
      </c>
      <c r="F406" s="2739"/>
      <c r="G406" s="1016" t="str">
        <f>EUconst_MWhpa</f>
        <v>MWh / година</v>
      </c>
      <c r="H406" s="24"/>
      <c r="I406" s="24"/>
      <c r="J406" s="24"/>
      <c r="K406" s="24"/>
      <c r="L406" s="24"/>
      <c r="M406" s="24"/>
      <c r="N406" s="24"/>
      <c r="O406" s="336"/>
      <c r="P406" s="181"/>
      <c r="Q406" s="343"/>
      <c r="R406" s="343"/>
      <c r="S406" s="343"/>
      <c r="T406" s="747" t="str">
        <f>T399</f>
        <v/>
      </c>
      <c r="U406" s="343"/>
      <c r="V406" s="343"/>
      <c r="W406" s="343"/>
      <c r="X406" s="343"/>
      <c r="Y406" s="343"/>
      <c r="Z406" s="343"/>
      <c r="AA406" s="343"/>
      <c r="AB406" s="343"/>
      <c r="AC406" s="343"/>
      <c r="AD406" s="732" t="s">
        <v>2039</v>
      </c>
      <c r="AE406" s="875" t="str">
        <f>IF(AND(CNTR_HasEntries_A_I,COUNTIFS($V$20:$AB$20,FALSE,H406:N406,"")&gt;0,$T$399&lt;&gt;TRUE),5,"")</f>
        <v/>
      </c>
    </row>
    <row r="407" spans="1:31" ht="5.15" customHeight="1" x14ac:dyDescent="0.25">
      <c r="A407" s="343"/>
      <c r="B407" s="284"/>
      <c r="C407" s="284"/>
      <c r="D407" s="284"/>
      <c r="E407" s="284"/>
      <c r="F407" s="284"/>
      <c r="G407" s="284"/>
      <c r="H407" s="284"/>
      <c r="I407" s="284"/>
      <c r="J407" s="284"/>
      <c r="K407" s="284"/>
      <c r="L407" s="284"/>
      <c r="M407" s="284"/>
      <c r="N407" s="284"/>
      <c r="O407" s="336"/>
      <c r="P407" s="302"/>
      <c r="Q407" s="695"/>
      <c r="R407" s="343"/>
      <c r="S407" s="343"/>
      <c r="T407" s="1089"/>
      <c r="U407" s="343"/>
      <c r="V407" s="343"/>
      <c r="W407" s="343"/>
      <c r="X407" s="343"/>
      <c r="Y407" s="343"/>
      <c r="Z407" s="343"/>
      <c r="AA407" s="343"/>
      <c r="AB407" s="343"/>
      <c r="AC407" s="343"/>
      <c r="AD407" s="343"/>
      <c r="AE407" s="343"/>
    </row>
    <row r="408" spans="1:31" ht="13" customHeight="1" x14ac:dyDescent="0.25">
      <c r="A408" s="343"/>
      <c r="B408" s="284"/>
      <c r="C408" s="284"/>
      <c r="D408" s="300" t="s">
        <v>54</v>
      </c>
      <c r="E408" s="2759" t="str">
        <f>Translations!$B$465</f>
        <v>Общо налична електроенергия за използване в инсталацията (= b+c-d)</v>
      </c>
      <c r="F408" s="2760"/>
      <c r="G408" s="2760"/>
      <c r="H408" s="2760"/>
      <c r="I408" s="2760"/>
      <c r="J408" s="2760"/>
      <c r="K408" s="2760"/>
      <c r="L408" s="2760"/>
      <c r="M408" s="2760"/>
      <c r="N408" s="2760"/>
      <c r="O408" s="336"/>
      <c r="P408" s="302"/>
      <c r="Q408" s="695"/>
      <c r="R408" s="343"/>
      <c r="S408" s="343"/>
      <c r="T408" s="1089"/>
      <c r="U408" s="343"/>
      <c r="V408" s="343"/>
      <c r="W408" s="343"/>
      <c r="X408" s="343"/>
      <c r="Y408" s="343"/>
      <c r="Z408" s="343"/>
      <c r="AA408" s="343"/>
      <c r="AB408" s="343"/>
      <c r="AC408" s="343"/>
      <c r="AD408" s="343"/>
      <c r="AE408" s="343"/>
    </row>
    <row r="409" spans="1:31" ht="12.65" customHeight="1" x14ac:dyDescent="0.25">
      <c r="A409" s="343"/>
      <c r="B409" s="698"/>
      <c r="C409" s="698"/>
      <c r="D409" s="698"/>
      <c r="E409" s="2738" t="str">
        <f>Translations!$B$466</f>
        <v>Използваема електроенергия</v>
      </c>
      <c r="F409" s="2739"/>
      <c r="G409" s="1016" t="str">
        <f>EUconst_MWhpa</f>
        <v>MWh / година</v>
      </c>
      <c r="H409" s="1024" t="str">
        <f t="shared" ref="H409:N409" si="101">IF(COUNT(H399:H400,H403,H406)&gt;0,SUM(H399:H400,H403,-H406),"")</f>
        <v/>
      </c>
      <c r="I409" s="1024" t="str">
        <f t="shared" si="101"/>
        <v/>
      </c>
      <c r="J409" s="1024" t="str">
        <f t="shared" si="101"/>
        <v/>
      </c>
      <c r="K409" s="1024" t="str">
        <f t="shared" si="101"/>
        <v/>
      </c>
      <c r="L409" s="1024" t="str">
        <f t="shared" si="101"/>
        <v/>
      </c>
      <c r="M409" s="1024" t="str">
        <f t="shared" si="101"/>
        <v/>
      </c>
      <c r="N409" s="1024" t="str">
        <f t="shared" si="101"/>
        <v/>
      </c>
      <c r="O409" s="336"/>
      <c r="P409" s="302"/>
      <c r="Q409" s="343"/>
      <c r="R409" s="343"/>
      <c r="S409" s="343"/>
      <c r="T409" s="1089"/>
      <c r="U409" s="343"/>
      <c r="V409" s="343"/>
      <c r="W409" s="343"/>
      <c r="X409" s="343"/>
      <c r="Y409" s="343"/>
      <c r="Z409" s="343"/>
      <c r="AA409" s="343"/>
      <c r="AB409" s="343"/>
      <c r="AC409" s="343"/>
      <c r="AD409" s="343"/>
      <c r="AE409" s="343"/>
    </row>
    <row r="410" spans="1:31" ht="5.15" customHeight="1" x14ac:dyDescent="0.25">
      <c r="A410" s="343"/>
      <c r="B410" s="284"/>
      <c r="C410" s="284"/>
      <c r="D410" s="284"/>
      <c r="E410" s="284"/>
      <c r="F410" s="284"/>
      <c r="G410" s="284"/>
      <c r="H410" s="284"/>
      <c r="I410" s="284"/>
      <c r="J410" s="284"/>
      <c r="K410" s="284"/>
      <c r="L410" s="284"/>
      <c r="M410" s="284"/>
      <c r="N410" s="284"/>
      <c r="O410" s="336"/>
      <c r="P410" s="302"/>
      <c r="Q410" s="695"/>
      <c r="R410" s="343"/>
      <c r="S410" s="343"/>
      <c r="T410" s="1089"/>
      <c r="U410" s="343"/>
      <c r="V410" s="343"/>
      <c r="W410" s="343"/>
      <c r="X410" s="343"/>
      <c r="Y410" s="343"/>
      <c r="Z410" s="343"/>
      <c r="AA410" s="343"/>
      <c r="AB410" s="343"/>
      <c r="AC410" s="343"/>
      <c r="AD410" s="343"/>
      <c r="AE410" s="343"/>
    </row>
    <row r="411" spans="1:31" ht="13" customHeight="1" x14ac:dyDescent="0.25">
      <c r="A411" s="343"/>
      <c r="B411" s="284"/>
      <c r="C411" s="284"/>
      <c r="D411" s="300" t="s">
        <v>55</v>
      </c>
      <c r="E411" s="2759" t="str">
        <f>Translations!$B$467</f>
        <v>Общо количество електроенергия, консумирана в инсталацията</v>
      </c>
      <c r="F411" s="2760"/>
      <c r="G411" s="2760"/>
      <c r="H411" s="2760"/>
      <c r="I411" s="2760"/>
      <c r="J411" s="2760"/>
      <c r="K411" s="2760"/>
      <c r="L411" s="2760"/>
      <c r="M411" s="2760"/>
      <c r="N411" s="2760"/>
      <c r="O411" s="336"/>
      <c r="P411" s="302"/>
      <c r="Q411" s="695"/>
      <c r="R411" s="343"/>
      <c r="S411" s="343"/>
      <c r="T411" s="1089"/>
      <c r="U411" s="343"/>
      <c r="V411" s="343"/>
      <c r="W411" s="343"/>
      <c r="X411" s="343"/>
      <c r="Y411" s="343"/>
      <c r="Z411" s="343"/>
      <c r="AA411" s="343"/>
      <c r="AB411" s="343"/>
      <c r="AC411" s="343"/>
      <c r="AD411" s="343"/>
      <c r="AE411" s="343"/>
    </row>
    <row r="412" spans="1:31" ht="13" customHeight="1" thickBot="1" x14ac:dyDescent="0.3">
      <c r="A412" s="343"/>
      <c r="B412" s="698"/>
      <c r="C412" s="698"/>
      <c r="D412" s="698"/>
      <c r="E412" s="2738" t="str">
        <f>Translations!$B$468</f>
        <v>Електроенергия, консумирана в инсталацията</v>
      </c>
      <c r="F412" s="2739"/>
      <c r="G412" s="1016" t="str">
        <f>EUconst_MWhpa</f>
        <v>MWh / година</v>
      </c>
      <c r="H412" s="24"/>
      <c r="I412" s="24"/>
      <c r="J412" s="24"/>
      <c r="K412" s="24"/>
      <c r="L412" s="24"/>
      <c r="M412" s="24"/>
      <c r="N412" s="24"/>
      <c r="O412" s="336"/>
      <c r="P412" s="181"/>
      <c r="Q412" s="343"/>
      <c r="R412" s="343"/>
      <c r="S412" s="343"/>
      <c r="T412" s="748"/>
      <c r="U412" s="343"/>
      <c r="V412" s="343"/>
      <c r="W412" s="343"/>
      <c r="X412" s="343"/>
      <c r="Y412" s="343"/>
      <c r="Z412" s="343"/>
      <c r="AA412" s="343"/>
      <c r="AB412" s="343"/>
      <c r="AC412" s="343"/>
      <c r="AD412" s="732" t="s">
        <v>2039</v>
      </c>
      <c r="AE412" s="875" t="str">
        <f>IF(AND(CNTR_HasEntries_A_I,COUNTIFS($V$20:$AB$20,FALSE,H412:N412,"")&gt;0,$T$399&lt;&gt;TRUE),5,"")</f>
        <v/>
      </c>
    </row>
    <row r="413" spans="1:31" ht="5.15" customHeight="1" x14ac:dyDescent="0.25">
      <c r="A413" s="343"/>
      <c r="B413" s="284"/>
      <c r="C413" s="284"/>
      <c r="D413" s="284"/>
      <c r="E413" s="284"/>
      <c r="F413" s="284"/>
      <c r="G413" s="284"/>
      <c r="H413" s="284"/>
      <c r="I413" s="284"/>
      <c r="J413" s="284"/>
      <c r="K413" s="284"/>
      <c r="L413" s="284"/>
      <c r="M413" s="284"/>
      <c r="N413" s="284"/>
      <c r="O413" s="336"/>
      <c r="P413" s="302"/>
      <c r="Q413" s="695"/>
      <c r="R413" s="343"/>
      <c r="S413" s="343"/>
      <c r="T413" s="343"/>
      <c r="U413" s="343"/>
      <c r="V413" s="343"/>
      <c r="W413" s="343"/>
      <c r="X413" s="343"/>
      <c r="Y413" s="343"/>
      <c r="Z413" s="343"/>
      <c r="AA413" s="343"/>
      <c r="AB413" s="343"/>
      <c r="AC413" s="343"/>
      <c r="AD413" s="343"/>
      <c r="AE413" s="343"/>
    </row>
    <row r="414" spans="1:31" ht="13" customHeight="1" x14ac:dyDescent="0.25">
      <c r="A414" s="343"/>
      <c r="B414" s="284"/>
      <c r="C414" s="284"/>
      <c r="D414" s="300" t="s">
        <v>273</v>
      </c>
      <c r="E414" s="2759" t="str">
        <f>Translations!$B$1512</f>
        <v>Проверка на правдоподобността на данните: Сума на вложената електроенергия в работен лист „F_ProductBM“ за потреблението на електроенергия</v>
      </c>
      <c r="F414" s="2760"/>
      <c r="G414" s="2760"/>
      <c r="H414" s="2760"/>
      <c r="I414" s="2760"/>
      <c r="J414" s="2760"/>
      <c r="K414" s="2760"/>
      <c r="L414" s="2760"/>
      <c r="M414" s="2760"/>
      <c r="N414" s="2760"/>
      <c r="O414" s="336"/>
      <c r="P414" s="302"/>
      <c r="Q414" s="695"/>
      <c r="R414" s="343"/>
      <c r="S414" s="343"/>
      <c r="T414" s="343"/>
      <c r="U414" s="343"/>
      <c r="V414" s="343"/>
      <c r="W414" s="343"/>
      <c r="X414" s="343"/>
      <c r="Y414" s="343"/>
      <c r="Z414" s="343"/>
      <c r="AA414" s="343"/>
      <c r="AB414" s="343"/>
      <c r="AC414" s="343"/>
      <c r="AD414" s="343"/>
      <c r="AE414" s="343"/>
    </row>
    <row r="415" spans="1:31" ht="12.65" customHeight="1" x14ac:dyDescent="0.25">
      <c r="A415" s="343"/>
      <c r="B415" s="698"/>
      <c r="C415" s="698"/>
      <c r="D415" s="1084" t="s">
        <v>6</v>
      </c>
      <c r="E415" s="2740" t="str">
        <f>Translations!$B$1513</f>
        <v>Електроенергия, въведена като потребена</v>
      </c>
      <c r="F415" s="2739"/>
      <c r="G415" s="1016" t="str">
        <f>EUconst_MWhpa</f>
        <v>MWh / година</v>
      </c>
      <c r="H415" s="1024" t="str">
        <f>F_ProductBM!H2844</f>
        <v/>
      </c>
      <c r="I415" s="1024" t="str">
        <f>F_ProductBM!I2844</f>
        <v/>
      </c>
      <c r="J415" s="1024" t="str">
        <f>F_ProductBM!J2844</f>
        <v/>
      </c>
      <c r="K415" s="1024" t="str">
        <f>F_ProductBM!K2844</f>
        <v/>
      </c>
      <c r="L415" s="1024" t="str">
        <f>F_ProductBM!L2844</f>
        <v/>
      </c>
      <c r="M415" s="1024" t="str">
        <f>F_ProductBM!M2844</f>
        <v/>
      </c>
      <c r="N415" s="1024" t="str">
        <f>F_ProductBM!N2844</f>
        <v/>
      </c>
      <c r="O415" s="336"/>
      <c r="P415" s="302"/>
      <c r="Q415" s="343"/>
      <c r="R415" s="343"/>
      <c r="S415" s="343"/>
      <c r="T415" s="343"/>
      <c r="U415" s="343"/>
      <c r="V415" s="343"/>
      <c r="W415" s="343"/>
      <c r="X415" s="343"/>
      <c r="Y415" s="343"/>
      <c r="Z415" s="343"/>
      <c r="AA415" s="343"/>
      <c r="AB415" s="343"/>
      <c r="AC415" s="343"/>
      <c r="AD415" s="343"/>
      <c r="AE415" s="343"/>
    </row>
    <row r="416" spans="1:31" x14ac:dyDescent="0.25">
      <c r="A416" s="343"/>
      <c r="B416" s="698"/>
      <c r="C416" s="698"/>
      <c r="D416" s="1084" t="s">
        <v>7</v>
      </c>
      <c r="E416" s="2740" t="str">
        <f>Translations!$B$469</f>
        <v>Сравнение с f)</v>
      </c>
      <c r="F416" s="2739"/>
      <c r="G416" s="1016" t="s">
        <v>1053</v>
      </c>
      <c r="H416" s="1024" t="str">
        <f t="shared" ref="H416:N416" si="102">IF(AND(COUNT(H412,H415)=2,H412&lt;&gt;0),H415/H412*100,"")</f>
        <v/>
      </c>
      <c r="I416" s="1024" t="str">
        <f t="shared" si="102"/>
        <v/>
      </c>
      <c r="J416" s="1024" t="str">
        <f t="shared" si="102"/>
        <v/>
      </c>
      <c r="K416" s="1024" t="str">
        <f t="shared" si="102"/>
        <v/>
      </c>
      <c r="L416" s="1024" t="str">
        <f t="shared" si="102"/>
        <v/>
      </c>
      <c r="M416" s="1024" t="str">
        <f t="shared" si="102"/>
        <v/>
      </c>
      <c r="N416" s="1024" t="str">
        <f t="shared" si="102"/>
        <v/>
      </c>
      <c r="O416" s="336"/>
      <c r="P416" s="302"/>
      <c r="Q416" s="343"/>
      <c r="R416" s="343"/>
      <c r="S416" s="343"/>
      <c r="T416" s="343"/>
      <c r="U416" s="343"/>
      <c r="V416" s="343"/>
      <c r="W416" s="343"/>
      <c r="X416" s="343"/>
      <c r="Y416" s="343"/>
      <c r="Z416" s="343"/>
      <c r="AA416" s="343"/>
      <c r="AB416" s="343"/>
      <c r="AC416" s="343"/>
      <c r="AD416" s="343"/>
      <c r="AE416" s="343"/>
    </row>
    <row r="417" spans="1:31" ht="5.15" customHeight="1" x14ac:dyDescent="0.25">
      <c r="A417" s="343"/>
      <c r="B417" s="284"/>
      <c r="C417" s="284"/>
      <c r="D417" s="284"/>
      <c r="E417" s="284"/>
      <c r="F417" s="284"/>
      <c r="G417" s="284"/>
      <c r="H417" s="284"/>
      <c r="I417" s="284"/>
      <c r="J417" s="284"/>
      <c r="K417" s="284"/>
      <c r="L417" s="284"/>
      <c r="M417" s="284"/>
      <c r="N417" s="284"/>
      <c r="O417" s="336"/>
      <c r="P417" s="302"/>
      <c r="Q417" s="695"/>
      <c r="R417" s="343"/>
      <c r="S417" s="343"/>
      <c r="T417" s="343"/>
      <c r="U417" s="343"/>
      <c r="V417" s="343"/>
      <c r="W417" s="343"/>
      <c r="X417" s="343"/>
      <c r="Y417" s="343"/>
      <c r="Z417" s="343"/>
      <c r="AA417" s="343"/>
      <c r="AB417" s="343"/>
      <c r="AC417" s="343"/>
      <c r="AD417" s="343"/>
      <c r="AE417" s="343"/>
    </row>
    <row r="418" spans="1:31" x14ac:dyDescent="0.25">
      <c r="A418" s="343"/>
      <c r="B418" s="698"/>
      <c r="C418" s="698"/>
      <c r="D418" s="698"/>
      <c r="E418" s="698"/>
      <c r="F418" s="698"/>
      <c r="G418" s="698"/>
      <c r="H418" s="698"/>
      <c r="I418" s="698"/>
      <c r="J418" s="698"/>
      <c r="K418" s="698"/>
      <c r="L418" s="698"/>
      <c r="M418" s="698"/>
      <c r="N418" s="698"/>
      <c r="O418" s="336"/>
      <c r="P418" s="302"/>
      <c r="Q418" s="343"/>
      <c r="R418" s="343"/>
      <c r="S418" s="343"/>
      <c r="T418" s="343"/>
      <c r="U418" s="343"/>
      <c r="V418" s="343"/>
      <c r="W418" s="343"/>
      <c r="X418" s="343"/>
      <c r="Y418" s="343"/>
      <c r="Z418" s="343"/>
      <c r="AA418" s="343"/>
      <c r="AB418" s="343"/>
      <c r="AC418" s="343"/>
      <c r="AD418" s="343"/>
      <c r="AE418" s="343"/>
    </row>
    <row r="419" spans="1:31" ht="13" x14ac:dyDescent="0.25">
      <c r="A419" s="343"/>
      <c r="B419" s="698"/>
      <c r="C419" s="698"/>
      <c r="D419" s="2710" t="str">
        <f>Translations!$B$64</f>
        <v xml:space="preserve">&lt;&lt;&lt; Щракнете тук за да продължите към следващия лист &gt;&gt;&gt; </v>
      </c>
      <c r="E419" s="2710"/>
      <c r="F419" s="2710"/>
      <c r="G419" s="2710"/>
      <c r="H419" s="2710"/>
      <c r="I419" s="2710"/>
      <c r="J419" s="2710"/>
      <c r="K419" s="2710"/>
      <c r="L419" s="2710"/>
      <c r="M419" s="2710"/>
      <c r="N419" s="2710"/>
      <c r="O419" s="336"/>
      <c r="P419" s="302"/>
      <c r="Q419" s="343"/>
      <c r="R419" s="343"/>
      <c r="S419" s="343"/>
      <c r="T419" s="343"/>
      <c r="U419" s="343"/>
      <c r="V419" s="343"/>
      <c r="W419" s="343"/>
      <c r="X419" s="343"/>
      <c r="Y419" s="343"/>
      <c r="Z419" s="343"/>
      <c r="AA419" s="343"/>
      <c r="AB419" s="343"/>
      <c r="AC419" s="343"/>
      <c r="AD419" s="343"/>
      <c r="AE419" s="343"/>
    </row>
    <row r="420" spans="1:31" x14ac:dyDescent="0.25">
      <c r="A420" s="343"/>
      <c r="B420" s="698"/>
      <c r="C420" s="698"/>
      <c r="D420" s="698"/>
      <c r="E420" s="698"/>
      <c r="F420" s="698"/>
      <c r="G420" s="698"/>
      <c r="H420" s="698"/>
      <c r="I420" s="698"/>
      <c r="J420" s="698"/>
      <c r="K420" s="698"/>
      <c r="L420" s="698"/>
      <c r="M420" s="698"/>
      <c r="N420" s="698"/>
      <c r="O420" s="336"/>
      <c r="P420" s="302"/>
      <c r="Q420" s="343"/>
      <c r="R420" s="343"/>
      <c r="S420" s="343"/>
      <c r="T420" s="343"/>
      <c r="U420" s="343"/>
      <c r="V420" s="343"/>
      <c r="W420" s="343"/>
      <c r="X420" s="343"/>
      <c r="Y420" s="343"/>
      <c r="Z420" s="343"/>
      <c r="AA420" s="343"/>
      <c r="AB420" s="343"/>
      <c r="AC420" s="343"/>
      <c r="AD420" s="343"/>
      <c r="AE420" s="343"/>
    </row>
    <row r="421" spans="1:31" hidden="1" x14ac:dyDescent="0.25">
      <c r="A421" s="343" t="s">
        <v>312</v>
      </c>
      <c r="B421" s="694" t="s">
        <v>898</v>
      </c>
      <c r="C421" s="694" t="s">
        <v>898</v>
      </c>
      <c r="D421" s="694" t="s">
        <v>898</v>
      </c>
      <c r="E421" s="694" t="s">
        <v>898</v>
      </c>
      <c r="F421" s="694" t="s">
        <v>898</v>
      </c>
      <c r="G421" s="694"/>
      <c r="H421" s="694" t="s">
        <v>898</v>
      </c>
      <c r="I421" s="694" t="s">
        <v>898</v>
      </c>
      <c r="J421" s="694" t="s">
        <v>898</v>
      </c>
      <c r="K421" s="694" t="s">
        <v>898</v>
      </c>
      <c r="L421" s="694" t="s">
        <v>898</v>
      </c>
      <c r="M421" s="694" t="s">
        <v>898</v>
      </c>
      <c r="N421" s="694" t="s">
        <v>898</v>
      </c>
      <c r="O421" s="694" t="s">
        <v>898</v>
      </c>
      <c r="P421" s="694" t="s">
        <v>898</v>
      </c>
      <c r="Q421" s="694" t="s">
        <v>898</v>
      </c>
      <c r="R421" s="694" t="s">
        <v>898</v>
      </c>
      <c r="S421" s="694" t="s">
        <v>898</v>
      </c>
      <c r="T421" s="694" t="s">
        <v>898</v>
      </c>
      <c r="U421" s="694" t="s">
        <v>898</v>
      </c>
      <c r="V421" s="694" t="s">
        <v>898</v>
      </c>
      <c r="W421" s="694" t="s">
        <v>898</v>
      </c>
      <c r="X421" s="694" t="s">
        <v>898</v>
      </c>
      <c r="Y421" s="694" t="s">
        <v>898</v>
      </c>
      <c r="Z421" s="694" t="s">
        <v>898</v>
      </c>
      <c r="AA421" s="694" t="s">
        <v>898</v>
      </c>
      <c r="AB421" s="694" t="s">
        <v>898</v>
      </c>
      <c r="AC421" s="343"/>
      <c r="AD421" s="343"/>
      <c r="AE421" s="343"/>
    </row>
    <row r="422" spans="1:31" hidden="1" x14ac:dyDescent="0.25">
      <c r="A422" s="343" t="s">
        <v>312</v>
      </c>
      <c r="B422" s="725"/>
      <c r="C422" s="725"/>
      <c r="D422" s="725"/>
      <c r="E422" s="725"/>
      <c r="F422" s="725"/>
      <c r="G422" s="725"/>
      <c r="H422" s="725"/>
      <c r="I422" s="725"/>
      <c r="J422" s="725"/>
      <c r="K422" s="725"/>
      <c r="L422" s="725"/>
      <c r="M422" s="725"/>
      <c r="N422" s="725"/>
      <c r="O422" s="725"/>
      <c r="P422" s="725"/>
      <c r="Q422" s="343"/>
      <c r="R422" s="343"/>
      <c r="S422" s="343"/>
      <c r="T422" s="343"/>
      <c r="U422" s="343"/>
      <c r="V422" s="343"/>
      <c r="W422" s="343"/>
      <c r="X422" s="343"/>
      <c r="Y422" s="343"/>
      <c r="Z422" s="343"/>
      <c r="AA422" s="343"/>
      <c r="AB422" s="343"/>
      <c r="AC422" s="343"/>
      <c r="AD422" s="343"/>
      <c r="AE422" s="343"/>
    </row>
    <row r="423" spans="1:31" ht="13" hidden="1" x14ac:dyDescent="0.25">
      <c r="A423" s="343" t="s">
        <v>312</v>
      </c>
      <c r="B423" s="694"/>
      <c r="C423" s="694"/>
      <c r="D423" s="1031" t="s">
        <v>899</v>
      </c>
      <c r="E423" s="694"/>
      <c r="F423" s="694"/>
      <c r="G423" s="694"/>
      <c r="H423" s="694"/>
      <c r="I423" s="694"/>
      <c r="J423" s="694"/>
      <c r="K423" s="694"/>
      <c r="L423" s="694"/>
      <c r="M423" s="694"/>
      <c r="N423" s="694"/>
      <c r="O423" s="694"/>
      <c r="P423" s="725"/>
      <c r="Q423" s="343"/>
      <c r="R423" s="343"/>
      <c r="S423" s="343"/>
      <c r="T423" s="343"/>
      <c r="U423" s="343"/>
      <c r="V423" s="343"/>
      <c r="W423" s="343"/>
      <c r="X423" s="343"/>
      <c r="Y423" s="343"/>
      <c r="Z423" s="343"/>
      <c r="AA423" s="343"/>
      <c r="AB423" s="343"/>
      <c r="AC423" s="343"/>
      <c r="AD423" s="343"/>
      <c r="AE423" s="343"/>
    </row>
    <row r="424" spans="1:31" ht="13" hidden="1" thickBot="1" x14ac:dyDescent="0.3">
      <c r="A424" s="343" t="s">
        <v>312</v>
      </c>
      <c r="B424" s="725"/>
      <c r="C424" s="725"/>
      <c r="D424" s="725"/>
      <c r="E424" s="725"/>
      <c r="F424" s="725"/>
      <c r="G424" s="725"/>
      <c r="H424" s="725"/>
      <c r="I424" s="725"/>
      <c r="J424" s="725"/>
      <c r="K424" s="725"/>
      <c r="L424" s="725"/>
      <c r="M424" s="725"/>
      <c r="N424" s="725"/>
      <c r="O424" s="725"/>
      <c r="P424" s="725"/>
      <c r="Q424" s="343"/>
      <c r="R424" s="343"/>
      <c r="S424" s="343"/>
      <c r="T424" s="343"/>
      <c r="U424" s="343"/>
      <c r="V424" s="343"/>
      <c r="W424" s="343"/>
      <c r="X424" s="343"/>
      <c r="Y424" s="343"/>
      <c r="Z424" s="343"/>
      <c r="AA424" s="343"/>
      <c r="AB424" s="343"/>
      <c r="AC424" s="343"/>
      <c r="AD424" s="343"/>
      <c r="AE424" s="343"/>
    </row>
    <row r="425" spans="1:31" ht="13" hidden="1" x14ac:dyDescent="0.25">
      <c r="A425" s="343" t="s">
        <v>312</v>
      </c>
      <c r="B425" s="725"/>
      <c r="C425" s="725"/>
      <c r="D425" s="725"/>
      <c r="E425" s="784" t="s">
        <v>559</v>
      </c>
      <c r="F425" s="785"/>
      <c r="G425" s="785"/>
      <c r="H425" s="785"/>
      <c r="I425" s="785"/>
      <c r="J425" s="785"/>
      <c r="K425" s="785"/>
      <c r="L425" s="785"/>
      <c r="M425" s="785"/>
      <c r="N425" s="786"/>
      <c r="O425" s="725"/>
      <c r="P425" s="725"/>
      <c r="Q425" s="343"/>
      <c r="R425" s="343"/>
      <c r="S425" s="343"/>
      <c r="T425" s="343"/>
      <c r="U425" s="343"/>
      <c r="V425" s="343"/>
      <c r="W425" s="343"/>
      <c r="X425" s="343"/>
      <c r="Y425" s="343"/>
      <c r="Z425" s="343"/>
      <c r="AA425" s="343"/>
      <c r="AB425" s="343"/>
      <c r="AC425" s="343"/>
      <c r="AD425" s="343"/>
      <c r="AE425" s="343"/>
    </row>
    <row r="426" spans="1:31" hidden="1" x14ac:dyDescent="0.25">
      <c r="A426" s="343" t="s">
        <v>312</v>
      </c>
      <c r="B426" s="725"/>
      <c r="C426" s="725"/>
      <c r="D426" s="725"/>
      <c r="E426" s="787" t="s">
        <v>902</v>
      </c>
      <c r="F426" s="788"/>
      <c r="G426" s="788"/>
      <c r="H426" s="788"/>
      <c r="I426" s="788"/>
      <c r="J426" s="789">
        <v>1</v>
      </c>
      <c r="K426" s="789">
        <v>2</v>
      </c>
      <c r="L426" s="789">
        <v>3</v>
      </c>
      <c r="M426" s="789">
        <v>4</v>
      </c>
      <c r="N426" s="789">
        <v>5</v>
      </c>
      <c r="O426" s="725"/>
      <c r="P426" s="725"/>
      <c r="Q426" s="343"/>
      <c r="R426" s="343"/>
      <c r="S426" s="343"/>
      <c r="T426" s="343"/>
      <c r="U426" s="343"/>
      <c r="V426" s="343"/>
      <c r="W426" s="343"/>
      <c r="X426" s="343"/>
      <c r="Y426" s="343"/>
      <c r="Z426" s="343"/>
      <c r="AA426" s="343"/>
      <c r="AB426" s="343"/>
      <c r="AC426" s="343"/>
      <c r="AD426" s="343"/>
      <c r="AE426" s="343"/>
    </row>
    <row r="427" spans="1:31" hidden="1" x14ac:dyDescent="0.25">
      <c r="A427" s="694" t="s">
        <v>312</v>
      </c>
      <c r="B427" s="725"/>
      <c r="C427" s="725"/>
      <c r="D427" s="725"/>
      <c r="E427" s="791" t="s">
        <v>1163</v>
      </c>
      <c r="F427" s="788"/>
      <c r="G427" s="788"/>
      <c r="H427" s="789">
        <f>A_InstallationData!H411</f>
        <v>2019</v>
      </c>
      <c r="I427" s="789">
        <f>A_InstallationData!I411</f>
        <v>2020</v>
      </c>
      <c r="J427" s="789">
        <f>A_InstallationData!J411</f>
        <v>2021</v>
      </c>
      <c r="K427" s="789">
        <f>A_InstallationData!K411</f>
        <v>2022</v>
      </c>
      <c r="L427" s="789">
        <f>A_InstallationData!L411</f>
        <v>2023</v>
      </c>
      <c r="M427" s="789">
        <f>A_InstallationData!M411</f>
        <v>2024</v>
      </c>
      <c r="N427" s="789">
        <f>A_InstallationData!N411</f>
        <v>2025</v>
      </c>
      <c r="O427" s="725"/>
      <c r="P427" s="725"/>
      <c r="Q427" s="343"/>
      <c r="R427" s="343"/>
      <c r="S427" s="343"/>
      <c r="T427" s="343"/>
      <c r="U427" s="343"/>
      <c r="V427" s="343"/>
      <c r="W427" s="343"/>
      <c r="X427" s="343"/>
      <c r="Y427" s="343"/>
      <c r="Z427" s="343"/>
      <c r="AA427" s="343"/>
      <c r="AB427" s="343"/>
      <c r="AC427" s="343"/>
      <c r="AD427" s="343"/>
      <c r="AE427" s="343"/>
    </row>
    <row r="428" spans="1:31" hidden="1" x14ac:dyDescent="0.25">
      <c r="A428" s="694" t="s">
        <v>312</v>
      </c>
      <c r="B428" s="725"/>
      <c r="C428" s="725"/>
      <c r="D428" s="725"/>
      <c r="E428" s="791" t="s">
        <v>1162</v>
      </c>
      <c r="F428" s="792"/>
      <c r="G428" s="792"/>
      <c r="H428" s="793">
        <f>A_InstallationData!H412</f>
        <v>2024</v>
      </c>
      <c r="I428" s="793">
        <f>A_InstallationData!I412</f>
        <v>2025</v>
      </c>
      <c r="J428" s="793">
        <f>A_InstallationData!J412</f>
        <v>2026</v>
      </c>
      <c r="K428" s="793">
        <f>A_InstallationData!K412</f>
        <v>2027</v>
      </c>
      <c r="L428" s="793">
        <f>A_InstallationData!L412</f>
        <v>2028</v>
      </c>
      <c r="M428" s="793">
        <f>A_InstallationData!M412</f>
        <v>2029</v>
      </c>
      <c r="N428" s="793">
        <f>A_InstallationData!N412</f>
        <v>2030</v>
      </c>
      <c r="O428" s="698"/>
      <c r="P428" s="725"/>
      <c r="Q428" s="343"/>
      <c r="R428" s="343"/>
      <c r="S428" s="343"/>
      <c r="T428" s="343"/>
      <c r="U428" s="343"/>
      <c r="V428" s="343"/>
      <c r="W428" s="343"/>
      <c r="X428" s="343"/>
      <c r="Y428" s="343"/>
      <c r="Z428" s="343"/>
      <c r="AA428" s="343"/>
      <c r="AB428" s="343"/>
      <c r="AC428" s="343"/>
      <c r="AD428" s="343"/>
      <c r="AE428" s="343"/>
    </row>
    <row r="429" spans="1:31" hidden="1" x14ac:dyDescent="0.25">
      <c r="A429" s="343" t="s">
        <v>312</v>
      </c>
      <c r="B429" s="725"/>
      <c r="C429" s="725"/>
      <c r="D429" s="725"/>
      <c r="E429" s="791" t="s">
        <v>558</v>
      </c>
      <c r="F429" s="792"/>
      <c r="G429" s="792"/>
      <c r="H429" s="792"/>
      <c r="I429" s="792"/>
      <c r="J429" s="793"/>
      <c r="K429" s="793"/>
      <c r="L429" s="793"/>
      <c r="M429" s="793"/>
      <c r="N429" s="793"/>
      <c r="O429" s="725"/>
      <c r="P429" s="725"/>
      <c r="Q429" s="343"/>
      <c r="R429" s="343"/>
      <c r="S429" s="343"/>
      <c r="T429" s="343"/>
      <c r="U429" s="343"/>
      <c r="V429" s="343"/>
      <c r="W429" s="343"/>
      <c r="X429" s="343"/>
      <c r="Y429" s="343"/>
      <c r="Z429" s="343"/>
      <c r="AA429" s="343"/>
      <c r="AB429" s="343"/>
      <c r="AC429" s="343"/>
      <c r="AD429" s="343"/>
      <c r="AE429" s="343"/>
    </row>
    <row r="430" spans="1:31" hidden="1" x14ac:dyDescent="0.25">
      <c r="A430" s="343" t="s">
        <v>312</v>
      </c>
      <c r="B430" s="725"/>
      <c r="C430" s="725"/>
      <c r="D430" s="725"/>
      <c r="E430" s="791" t="s">
        <v>556</v>
      </c>
      <c r="F430" s="792"/>
      <c r="G430" s="792"/>
      <c r="H430" s="792"/>
      <c r="I430" s="792"/>
      <c r="J430" s="792"/>
      <c r="K430" s="792"/>
      <c r="L430" s="792"/>
      <c r="M430" s="792"/>
      <c r="N430" s="792"/>
      <c r="O430" s="725"/>
      <c r="P430" s="725"/>
      <c r="Q430" s="343"/>
      <c r="R430" s="343"/>
      <c r="S430" s="343"/>
      <c r="T430" s="343"/>
      <c r="U430" s="343"/>
      <c r="V430" s="343"/>
      <c r="W430" s="343"/>
      <c r="X430" s="343"/>
      <c r="Y430" s="343"/>
      <c r="Z430" s="343"/>
      <c r="AA430" s="343"/>
      <c r="AB430" s="343"/>
      <c r="AC430" s="343"/>
      <c r="AD430" s="343"/>
      <c r="AE430" s="343"/>
    </row>
    <row r="431" spans="1:31" ht="13" hidden="1" thickBot="1" x14ac:dyDescent="0.3">
      <c r="A431" s="343" t="s">
        <v>312</v>
      </c>
      <c r="B431" s="725"/>
      <c r="C431" s="725"/>
      <c r="D431" s="725"/>
      <c r="E431" s="797" t="s">
        <v>557</v>
      </c>
      <c r="F431" s="798"/>
      <c r="G431" s="798"/>
      <c r="H431" s="798"/>
      <c r="I431" s="798"/>
      <c r="J431" s="798"/>
      <c r="K431" s="798"/>
      <c r="L431" s="798"/>
      <c r="M431" s="798"/>
      <c r="N431" s="798"/>
      <c r="O431" s="725"/>
      <c r="P431" s="725"/>
      <c r="Q431" s="343"/>
      <c r="R431" s="343"/>
      <c r="S431" s="343"/>
      <c r="T431" s="343"/>
      <c r="U431" s="343"/>
      <c r="V431" s="343"/>
      <c r="W431" s="343"/>
      <c r="X431" s="343"/>
      <c r="Y431" s="343"/>
      <c r="Z431" s="343"/>
      <c r="AA431" s="343"/>
      <c r="AB431" s="343"/>
      <c r="AC431" s="343"/>
      <c r="AD431" s="343"/>
      <c r="AE431" s="343"/>
    </row>
    <row r="432" spans="1:31" hidden="1" x14ac:dyDescent="0.25">
      <c r="A432" s="343" t="s">
        <v>312</v>
      </c>
      <c r="B432" s="725"/>
      <c r="C432" s="725"/>
      <c r="D432" s="725"/>
      <c r="E432" s="725"/>
      <c r="F432" s="725"/>
      <c r="G432" s="725"/>
      <c r="H432" s="725"/>
      <c r="I432" s="725"/>
      <c r="J432" s="725"/>
      <c r="K432" s="725"/>
      <c r="L432" s="725"/>
      <c r="M432" s="725"/>
      <c r="N432" s="725"/>
      <c r="O432" s="725"/>
      <c r="P432" s="725"/>
      <c r="Q432" s="343"/>
      <c r="R432" s="343"/>
      <c r="S432" s="343"/>
      <c r="T432" s="343"/>
      <c r="U432" s="343"/>
      <c r="V432" s="343"/>
      <c r="W432" s="343"/>
      <c r="X432" s="343"/>
      <c r="Y432" s="343"/>
      <c r="Z432" s="343"/>
      <c r="AA432" s="343"/>
      <c r="AB432" s="343"/>
      <c r="AC432" s="343"/>
      <c r="AD432" s="343"/>
      <c r="AE432" s="343"/>
    </row>
    <row r="433" spans="1:31" hidden="1" x14ac:dyDescent="0.25">
      <c r="A433" s="343" t="s">
        <v>312</v>
      </c>
      <c r="B433" s="725"/>
      <c r="C433" s="725"/>
      <c r="D433" s="725"/>
      <c r="E433" s="725"/>
      <c r="F433" s="725"/>
      <c r="G433" s="725"/>
      <c r="H433" s="725"/>
      <c r="I433" s="725"/>
      <c r="J433" s="725"/>
      <c r="K433" s="725"/>
      <c r="L433" s="725"/>
      <c r="M433" s="725"/>
      <c r="N433" s="725"/>
      <c r="O433" s="725"/>
      <c r="P433" s="725"/>
      <c r="Q433" s="343"/>
      <c r="R433" s="343"/>
      <c r="S433" s="343"/>
      <c r="T433" s="343"/>
      <c r="U433" s="343"/>
      <c r="V433" s="343"/>
      <c r="W433" s="343"/>
      <c r="X433" s="343"/>
      <c r="Y433" s="343"/>
      <c r="Z433" s="343"/>
      <c r="AA433" s="343"/>
      <c r="AB433" s="343"/>
      <c r="AC433" s="343"/>
      <c r="AD433" s="343"/>
      <c r="AE433" s="343"/>
    </row>
    <row r="434" spans="1:31" ht="13" hidden="1" thickBot="1" x14ac:dyDescent="0.3">
      <c r="A434" s="343" t="s">
        <v>312</v>
      </c>
      <c r="B434" s="725"/>
      <c r="C434" s="725"/>
      <c r="D434" s="725"/>
      <c r="E434" s="647" t="s">
        <v>1401</v>
      </c>
      <c r="F434" s="725"/>
      <c r="G434" s="725"/>
      <c r="H434" s="725"/>
      <c r="I434" s="725"/>
      <c r="J434" s="725"/>
      <c r="K434" s="725"/>
      <c r="L434" s="725"/>
      <c r="M434" s="725"/>
      <c r="N434" s="725"/>
      <c r="O434" s="725"/>
      <c r="P434" s="725"/>
      <c r="Q434" s="343"/>
      <c r="R434" s="343"/>
      <c r="S434" s="343"/>
      <c r="T434" s="343"/>
      <c r="U434" s="343"/>
      <c r="V434" s="343"/>
      <c r="W434" s="343"/>
      <c r="X434" s="343"/>
      <c r="Y434" s="343"/>
      <c r="Z434" s="343"/>
      <c r="AA434" s="343"/>
      <c r="AB434" s="343"/>
      <c r="AC434" s="343"/>
      <c r="AD434" s="343"/>
      <c r="AE434" s="343"/>
    </row>
    <row r="435" spans="1:31" ht="13" hidden="1" x14ac:dyDescent="0.25">
      <c r="A435" s="343" t="s">
        <v>312</v>
      </c>
      <c r="B435" s="725"/>
      <c r="C435" s="725"/>
      <c r="D435" s="725">
        <v>1</v>
      </c>
      <c r="E435" s="1132" t="str">
        <f>INDEX(EUconst_FallBackListNames,D435)</f>
        <v>Подинсталация с топлинен показател (с риск от ИВЕ | извън МКВЕГ)</v>
      </c>
      <c r="F435" s="1133"/>
      <c r="G435" s="1046" t="str">
        <f>EUconst_TJpa</f>
        <v>TJ / година</v>
      </c>
      <c r="H435" s="1134" t="str">
        <f t="shared" ref="H435:N438" si="103">IF(ISNUMBER(H262),INDEX(H$262:H$270,MATCH(EUconst_CNTR_HAL&amp;$E435,$Q$262:$Q$270,0)),"")</f>
        <v/>
      </c>
      <c r="I435" s="1134" t="str">
        <f t="shared" si="103"/>
        <v/>
      </c>
      <c r="J435" s="1134" t="str">
        <f t="shared" si="103"/>
        <v/>
      </c>
      <c r="K435" s="1134" t="str">
        <f t="shared" si="103"/>
        <v/>
      </c>
      <c r="L435" s="1134" t="str">
        <f t="shared" si="103"/>
        <v/>
      </c>
      <c r="M435" s="1134" t="str">
        <f t="shared" si="103"/>
        <v/>
      </c>
      <c r="N435" s="1135" t="str">
        <f t="shared" si="103"/>
        <v/>
      </c>
      <c r="O435" s="725"/>
      <c r="P435" s="725"/>
      <c r="Q435" s="343" t="s">
        <v>255</v>
      </c>
      <c r="R435" s="343"/>
      <c r="S435" s="343"/>
      <c r="T435" s="343"/>
      <c r="U435" s="343"/>
      <c r="V435" s="343"/>
      <c r="W435" s="343"/>
      <c r="X435" s="343"/>
      <c r="Y435" s="343"/>
      <c r="Z435" s="343"/>
      <c r="AA435" s="343"/>
      <c r="AB435" s="343"/>
      <c r="AC435" s="343"/>
      <c r="AD435" s="343"/>
      <c r="AE435" s="343"/>
    </row>
    <row r="436" spans="1:31" ht="13" hidden="1" x14ac:dyDescent="0.25">
      <c r="A436" s="343" t="s">
        <v>312</v>
      </c>
      <c r="B436" s="725"/>
      <c r="C436" s="725"/>
      <c r="D436" s="725">
        <v>2</v>
      </c>
      <c r="E436" s="1136" t="str">
        <f>INDEX(EUconst_FallBackListNames,D436)</f>
        <v>Подинсталация с топлинен показател (без риск от ИВЕ | извън МКВЕГ)</v>
      </c>
      <c r="F436" s="1137"/>
      <c r="G436" s="1138" t="str">
        <f>EUconst_TJpa</f>
        <v>TJ / година</v>
      </c>
      <c r="H436" s="1139" t="str">
        <f t="shared" si="103"/>
        <v/>
      </c>
      <c r="I436" s="1139" t="str">
        <f t="shared" si="103"/>
        <v/>
      </c>
      <c r="J436" s="1139" t="str">
        <f t="shared" si="103"/>
        <v/>
      </c>
      <c r="K436" s="1139" t="str">
        <f t="shared" si="103"/>
        <v/>
      </c>
      <c r="L436" s="1139" t="str">
        <f t="shared" si="103"/>
        <v/>
      </c>
      <c r="M436" s="1139" t="str">
        <f t="shared" si="103"/>
        <v/>
      </c>
      <c r="N436" s="1140" t="str">
        <f t="shared" si="103"/>
        <v/>
      </c>
      <c r="O436" s="725"/>
      <c r="P436" s="725"/>
      <c r="Q436" s="343" t="s">
        <v>255</v>
      </c>
      <c r="R436" s="343"/>
      <c r="S436" s="343"/>
      <c r="T436" s="343"/>
      <c r="U436" s="343"/>
      <c r="V436" s="343"/>
      <c r="W436" s="343"/>
      <c r="X436" s="343"/>
      <c r="Y436" s="343"/>
      <c r="Z436" s="343"/>
      <c r="AA436" s="343"/>
      <c r="AB436" s="343"/>
      <c r="AC436" s="343"/>
      <c r="AD436" s="343"/>
      <c r="AE436" s="343"/>
    </row>
    <row r="437" spans="1:31" ht="13" hidden="1" x14ac:dyDescent="0.25">
      <c r="A437" s="343" t="s">
        <v>312</v>
      </c>
      <c r="B437" s="725"/>
      <c r="C437" s="725"/>
      <c r="D437" s="725">
        <v>3</v>
      </c>
      <c r="E437" s="1136" t="str">
        <f>INDEX(EUconst_FallBackListNames,D437)</f>
        <v>Подинсталация с топлинен показател (с риск от ИВЕ | в рамките на МКВЕГ)</v>
      </c>
      <c r="F437" s="1141"/>
      <c r="G437" s="1138" t="str">
        <f>EUconst_TJpa</f>
        <v>TJ / година</v>
      </c>
      <c r="H437" s="1139" t="str">
        <f t="shared" si="103"/>
        <v/>
      </c>
      <c r="I437" s="1139" t="str">
        <f t="shared" si="103"/>
        <v/>
      </c>
      <c r="J437" s="1139" t="str">
        <f t="shared" si="103"/>
        <v/>
      </c>
      <c r="K437" s="1139" t="str">
        <f t="shared" si="103"/>
        <v/>
      </c>
      <c r="L437" s="1139" t="str">
        <f t="shared" si="103"/>
        <v/>
      </c>
      <c r="M437" s="1139" t="str">
        <f t="shared" si="103"/>
        <v/>
      </c>
      <c r="N437" s="1140" t="str">
        <f t="shared" si="103"/>
        <v/>
      </c>
      <c r="O437" s="725"/>
      <c r="P437" s="725"/>
      <c r="Q437" s="343" t="s">
        <v>255</v>
      </c>
      <c r="R437" s="343"/>
      <c r="S437" s="343"/>
      <c r="T437" s="343"/>
      <c r="U437" s="343"/>
      <c r="V437" s="343"/>
      <c r="W437" s="343"/>
      <c r="X437" s="343"/>
      <c r="Y437" s="343"/>
      <c r="Z437" s="343"/>
      <c r="AA437" s="343"/>
      <c r="AB437" s="343"/>
      <c r="AC437" s="343"/>
      <c r="AD437" s="343"/>
      <c r="AE437" s="343"/>
    </row>
    <row r="438" spans="1:31" ht="13.5" hidden="1" thickBot="1" x14ac:dyDescent="0.3">
      <c r="A438" s="343" t="s">
        <v>312</v>
      </c>
      <c r="B438" s="725"/>
      <c r="C438" s="725"/>
      <c r="D438" s="725">
        <v>4</v>
      </c>
      <c r="E438" s="1053" t="str">
        <f>INDEX(EUconst_FallBackListNames,D438)</f>
        <v>Подинсталация на топлофикационна мрежа</v>
      </c>
      <c r="F438" s="1054"/>
      <c r="G438" s="1055" t="str">
        <f>EUconst_TJpa</f>
        <v>TJ / година</v>
      </c>
      <c r="H438" s="1056" t="str">
        <f t="shared" si="103"/>
        <v/>
      </c>
      <c r="I438" s="1056" t="str">
        <f t="shared" si="103"/>
        <v/>
      </c>
      <c r="J438" s="1056" t="str">
        <f t="shared" si="103"/>
        <v/>
      </c>
      <c r="K438" s="1056" t="str">
        <f t="shared" si="103"/>
        <v/>
      </c>
      <c r="L438" s="1056" t="str">
        <f t="shared" si="103"/>
        <v/>
      </c>
      <c r="M438" s="1056" t="str">
        <f t="shared" si="103"/>
        <v/>
      </c>
      <c r="N438" s="1057" t="str">
        <f t="shared" si="103"/>
        <v/>
      </c>
      <c r="O438" s="725"/>
      <c r="P438" s="725"/>
      <c r="Q438" s="343" t="s">
        <v>256</v>
      </c>
      <c r="R438" s="343"/>
      <c r="S438" s="343"/>
      <c r="T438" s="343"/>
      <c r="U438" s="343"/>
      <c r="V438" s="343"/>
      <c r="W438" s="343"/>
      <c r="X438" s="343"/>
      <c r="Y438" s="343"/>
      <c r="Z438" s="343"/>
      <c r="AA438" s="343"/>
      <c r="AB438" s="343"/>
      <c r="AC438" s="343"/>
      <c r="AD438" s="343"/>
      <c r="AE438" s="343"/>
    </row>
    <row r="439" spans="1:31" hidden="1" x14ac:dyDescent="0.25">
      <c r="A439" s="343" t="s">
        <v>312</v>
      </c>
      <c r="B439" s="725"/>
      <c r="C439" s="725"/>
      <c r="D439" s="725"/>
      <c r="E439" s="725"/>
      <c r="F439" s="725"/>
      <c r="G439" s="725"/>
      <c r="H439" s="725"/>
      <c r="I439" s="725"/>
      <c r="J439" s="725"/>
      <c r="K439" s="725"/>
      <c r="L439" s="725"/>
      <c r="M439" s="725"/>
      <c r="N439" s="725"/>
      <c r="O439" s="725"/>
      <c r="P439" s="725"/>
      <c r="Q439" s="343"/>
      <c r="R439" s="343"/>
      <c r="S439" s="343"/>
      <c r="T439" s="343"/>
      <c r="U439" s="343"/>
      <c r="V439" s="343"/>
      <c r="W439" s="343"/>
      <c r="X439" s="343"/>
      <c r="Y439" s="343"/>
      <c r="Z439" s="343"/>
      <c r="AA439" s="343"/>
      <c r="AB439" s="343"/>
      <c r="AC439" s="343"/>
      <c r="AD439" s="343"/>
      <c r="AE439" s="343"/>
    </row>
    <row r="440" spans="1:31" ht="13" hidden="1" thickBot="1" x14ac:dyDescent="0.3">
      <c r="A440" s="343" t="s">
        <v>312</v>
      </c>
      <c r="B440" s="725"/>
      <c r="C440" s="725"/>
      <c r="D440" s="725"/>
      <c r="E440" s="725" t="s">
        <v>254</v>
      </c>
      <c r="F440" s="725"/>
      <c r="G440" s="725"/>
      <c r="H440" s="725"/>
      <c r="I440" s="725"/>
      <c r="J440" s="725"/>
      <c r="K440" s="725"/>
      <c r="L440" s="725"/>
      <c r="M440" s="725"/>
      <c r="N440" s="725"/>
      <c r="O440" s="725"/>
      <c r="P440" s="725"/>
      <c r="Q440" s="343"/>
      <c r="R440" s="343"/>
      <c r="S440" s="343"/>
      <c r="T440" s="343"/>
      <c r="U440" s="343"/>
      <c r="V440" s="343"/>
      <c r="W440" s="343"/>
      <c r="X440" s="343"/>
      <c r="Y440" s="343"/>
      <c r="Z440" s="343"/>
      <c r="AA440" s="343"/>
      <c r="AB440" s="343"/>
      <c r="AC440" s="343"/>
      <c r="AD440" s="343"/>
      <c r="AE440" s="343"/>
    </row>
    <row r="441" spans="1:31" ht="13" hidden="1" x14ac:dyDescent="0.25">
      <c r="A441" s="343" t="s">
        <v>312</v>
      </c>
      <c r="B441" s="725"/>
      <c r="C441" s="725"/>
      <c r="D441" s="725">
        <v>5</v>
      </c>
      <c r="E441" s="1044" t="str">
        <f>INDEX(EUconst_FallBackListNames,D441)</f>
        <v>Подинсталация с горивен показател (с риск от ИВЕ | извън МКВЕГ)</v>
      </c>
      <c r="F441" s="1045"/>
      <c r="G441" s="1142" t="str">
        <f>EUconst_TJpa</f>
        <v>TJ / година</v>
      </c>
      <c r="H441" s="1047" t="str">
        <f t="shared" ref="H441:N443" si="104">IF(ISNUMBER(H45),INDEX(H$45:H$60,MATCH(EUconst_CNTR_HAL&amp;$E441,$Q$45:$Q$60,0)),"")</f>
        <v/>
      </c>
      <c r="I441" s="1047" t="str">
        <f t="shared" si="104"/>
        <v/>
      </c>
      <c r="J441" s="1047" t="str">
        <f t="shared" si="104"/>
        <v/>
      </c>
      <c r="K441" s="1047" t="str">
        <f t="shared" si="104"/>
        <v/>
      </c>
      <c r="L441" s="1047" t="str">
        <f t="shared" si="104"/>
        <v/>
      </c>
      <c r="M441" s="1047" t="str">
        <f t="shared" si="104"/>
        <v/>
      </c>
      <c r="N441" s="1048" t="str">
        <f t="shared" si="104"/>
        <v/>
      </c>
      <c r="O441" s="725"/>
      <c r="P441" s="725"/>
      <c r="Q441" s="343" t="s">
        <v>257</v>
      </c>
      <c r="R441" s="343"/>
      <c r="S441" s="343"/>
      <c r="T441" s="343"/>
      <c r="U441" s="343"/>
      <c r="V441" s="343"/>
      <c r="W441" s="343"/>
      <c r="X441" s="343"/>
      <c r="Y441" s="343"/>
      <c r="Z441" s="343"/>
      <c r="AA441" s="343"/>
      <c r="AB441" s="343"/>
      <c r="AC441" s="343"/>
      <c r="AD441" s="343"/>
      <c r="AE441" s="343"/>
    </row>
    <row r="442" spans="1:31" ht="13" hidden="1" x14ac:dyDescent="0.25">
      <c r="A442" s="343" t="s">
        <v>312</v>
      </c>
      <c r="B442" s="725"/>
      <c r="C442" s="725"/>
      <c r="D442" s="725">
        <v>6</v>
      </c>
      <c r="E442" s="1136" t="str">
        <f>INDEX(EUconst_FallBackListNames,D442)</f>
        <v>Подинсталация с горивен показател (без риск от ИВЕ | извън МКВЕГ)</v>
      </c>
      <c r="F442" s="1137"/>
      <c r="G442" s="1138" t="str">
        <f>EUconst_TJpa</f>
        <v>TJ / година</v>
      </c>
      <c r="H442" s="1139" t="str">
        <f t="shared" si="104"/>
        <v/>
      </c>
      <c r="I442" s="1139" t="str">
        <f t="shared" si="104"/>
        <v/>
      </c>
      <c r="J442" s="1139" t="str">
        <f t="shared" si="104"/>
        <v/>
      </c>
      <c r="K442" s="1139" t="str">
        <f t="shared" si="104"/>
        <v/>
      </c>
      <c r="L442" s="1139" t="str">
        <f t="shared" si="104"/>
        <v/>
      </c>
      <c r="M442" s="1139" t="str">
        <f t="shared" si="104"/>
        <v/>
      </c>
      <c r="N442" s="1140" t="str">
        <f t="shared" si="104"/>
        <v/>
      </c>
      <c r="O442" s="725"/>
      <c r="P442" s="725"/>
      <c r="Q442" s="343" t="s">
        <v>257</v>
      </c>
      <c r="R442" s="343"/>
      <c r="S442" s="343"/>
      <c r="T442" s="343"/>
      <c r="U442" s="343"/>
      <c r="V442" s="343"/>
      <c r="W442" s="343"/>
      <c r="X442" s="343"/>
      <c r="Y442" s="343"/>
      <c r="Z442" s="343"/>
      <c r="AA442" s="343"/>
      <c r="AB442" s="343"/>
      <c r="AC442" s="343"/>
      <c r="AD442" s="343"/>
      <c r="AE442" s="343"/>
    </row>
    <row r="443" spans="1:31" ht="13.5" hidden="1" thickBot="1" x14ac:dyDescent="0.3">
      <c r="A443" s="343" t="s">
        <v>312</v>
      </c>
      <c r="B443" s="725"/>
      <c r="C443" s="725"/>
      <c r="D443" s="725">
        <v>7</v>
      </c>
      <c r="E443" s="1053" t="str">
        <f>INDEX(EUconst_FallBackListNames,D443)</f>
        <v>Подинсталация с горивен показател (с риск от ИВЕ | в рамките на МКВЕГ)</v>
      </c>
      <c r="F443" s="1054"/>
      <c r="G443" s="1055" t="str">
        <f>EUconst_TJpa</f>
        <v>TJ / година</v>
      </c>
      <c r="H443" s="1056" t="str">
        <f t="shared" si="104"/>
        <v/>
      </c>
      <c r="I443" s="1056" t="str">
        <f t="shared" si="104"/>
        <v/>
      </c>
      <c r="J443" s="1056" t="str">
        <f t="shared" si="104"/>
        <v/>
      </c>
      <c r="K443" s="1056" t="str">
        <f t="shared" si="104"/>
        <v/>
      </c>
      <c r="L443" s="1056" t="str">
        <f t="shared" si="104"/>
        <v/>
      </c>
      <c r="M443" s="1056" t="str">
        <f t="shared" si="104"/>
        <v/>
      </c>
      <c r="N443" s="1057" t="str">
        <f t="shared" si="104"/>
        <v/>
      </c>
      <c r="O443" s="725"/>
      <c r="P443" s="725"/>
      <c r="Q443" s="343" t="s">
        <v>258</v>
      </c>
      <c r="R443" s="343"/>
      <c r="S443" s="343"/>
      <c r="T443" s="343"/>
      <c r="U443" s="343"/>
      <c r="V443" s="343"/>
      <c r="W443" s="343"/>
      <c r="X443" s="343"/>
      <c r="Y443" s="343"/>
      <c r="Z443" s="343"/>
      <c r="AA443" s="343"/>
      <c r="AB443" s="343"/>
      <c r="AC443" s="343"/>
      <c r="AD443" s="343"/>
      <c r="AE443" s="343"/>
    </row>
    <row r="444" spans="1:31" hidden="1" x14ac:dyDescent="0.25">
      <c r="A444" s="343" t="s">
        <v>312</v>
      </c>
      <c r="B444" s="725"/>
      <c r="C444" s="725"/>
      <c r="D444" s="725"/>
      <c r="E444" s="725"/>
      <c r="F444" s="725"/>
      <c r="G444" s="725"/>
      <c r="H444" s="725"/>
      <c r="I444" s="725"/>
      <c r="J444" s="725"/>
      <c r="K444" s="725"/>
      <c r="L444" s="725"/>
      <c r="M444" s="725"/>
      <c r="N444" s="725"/>
      <c r="O444" s="725"/>
      <c r="P444" s="725"/>
      <c r="Q444" s="343"/>
      <c r="R444" s="343"/>
      <c r="S444" s="343"/>
      <c r="T444" s="343"/>
      <c r="U444" s="343"/>
      <c r="V444" s="343"/>
      <c r="W444" s="343"/>
      <c r="X444" s="343"/>
      <c r="Y444" s="343"/>
      <c r="Z444" s="343"/>
      <c r="AA444" s="343"/>
      <c r="AB444" s="343"/>
      <c r="AC444" s="343"/>
      <c r="AD444" s="343"/>
      <c r="AE444" s="343"/>
    </row>
    <row r="445" spans="1:31" ht="5.15" hidden="1" customHeight="1" x14ac:dyDescent="0.25">
      <c r="A445" s="343" t="s">
        <v>312</v>
      </c>
      <c r="B445"/>
      <c r="C445"/>
      <c r="D445"/>
      <c r="E445"/>
      <c r="F445"/>
      <c r="G445"/>
      <c r="H445"/>
      <c r="I445"/>
      <c r="J445"/>
      <c r="K445"/>
      <c r="L445"/>
      <c r="M445"/>
      <c r="N445"/>
      <c r="O445" s="1143"/>
      <c r="P445" s="725"/>
      <c r="Q445" s="695"/>
      <c r="R445" s="343"/>
      <c r="S445" s="343"/>
      <c r="T445" s="343"/>
      <c r="U445" s="343"/>
      <c r="V445" s="343"/>
      <c r="W445" s="343"/>
      <c r="X445" s="343"/>
      <c r="Y445" s="343"/>
      <c r="Z445" s="343"/>
      <c r="AA445" s="343"/>
      <c r="AB445" s="343"/>
      <c r="AC445" s="343"/>
      <c r="AD445" s="343"/>
      <c r="AE445" s="343"/>
    </row>
    <row r="446" spans="1:31" ht="5.15" hidden="1" customHeight="1" x14ac:dyDescent="0.25">
      <c r="A446" s="343" t="s">
        <v>312</v>
      </c>
      <c r="B446"/>
      <c r="C446"/>
      <c r="D446"/>
      <c r="E446"/>
      <c r="F446"/>
      <c r="G446"/>
      <c r="H446"/>
      <c r="I446"/>
      <c r="J446"/>
      <c r="K446"/>
      <c r="L446"/>
      <c r="M446"/>
      <c r="N446"/>
      <c r="O446" s="1143"/>
      <c r="P446" s="725"/>
      <c r="Q446" s="695"/>
      <c r="R446" s="343"/>
      <c r="S446" s="343"/>
      <c r="T446" s="343"/>
      <c r="U446" s="343"/>
      <c r="V446" s="343"/>
      <c r="W446" s="343"/>
      <c r="X446" s="343"/>
      <c r="Y446" s="343"/>
      <c r="Z446" s="343"/>
      <c r="AA446" s="343"/>
      <c r="AB446" s="343"/>
      <c r="AC446" s="343"/>
      <c r="AD446" s="343"/>
      <c r="AE446" s="343"/>
    </row>
    <row r="447" spans="1:31" ht="13" hidden="1" x14ac:dyDescent="0.25">
      <c r="A447" s="343" t="s">
        <v>312</v>
      </c>
      <c r="B447" s="725"/>
      <c r="C447" s="725"/>
      <c r="D447" s="725"/>
      <c r="E447" s="1144" t="s">
        <v>1389</v>
      </c>
      <c r="F447" s="725"/>
      <c r="G447" s="725"/>
      <c r="H447" s="725"/>
      <c r="I447" s="725"/>
      <c r="J447" s="725"/>
      <c r="K447" s="725"/>
      <c r="L447" s="725"/>
      <c r="M447" s="725"/>
      <c r="N447" s="725"/>
      <c r="O447" s="725"/>
      <c r="P447" s="725"/>
      <c r="Q447" s="343"/>
      <c r="R447" s="343"/>
      <c r="S447" s="343"/>
      <c r="T447" s="343"/>
      <c r="U447" s="343"/>
      <c r="V447" s="343"/>
      <c r="W447" s="343"/>
      <c r="X447" s="343"/>
      <c r="Y447" s="343"/>
      <c r="Z447" s="343"/>
      <c r="AA447" s="343"/>
      <c r="AB447" s="343"/>
      <c r="AC447" s="343"/>
      <c r="AD447" s="343"/>
      <c r="AE447" s="343"/>
    </row>
    <row r="448" spans="1:31" hidden="1" x14ac:dyDescent="0.25">
      <c r="A448" s="343" t="s">
        <v>312</v>
      </c>
      <c r="B448" s="725"/>
      <c r="C448" s="725"/>
      <c r="D448" s="725"/>
      <c r="E448" s="725" t="s">
        <v>195</v>
      </c>
      <c r="F448" s="725"/>
      <c r="G448" s="725"/>
      <c r="H448" s="1145">
        <f t="shared" ref="H448:N448" si="105">H$428</f>
        <v>2024</v>
      </c>
      <c r="I448" s="1145">
        <f t="shared" si="105"/>
        <v>2025</v>
      </c>
      <c r="J448" s="1145">
        <f t="shared" si="105"/>
        <v>2026</v>
      </c>
      <c r="K448" s="1145">
        <f t="shared" si="105"/>
        <v>2027</v>
      </c>
      <c r="L448" s="1145">
        <f t="shared" si="105"/>
        <v>2028</v>
      </c>
      <c r="M448" s="1145">
        <f t="shared" si="105"/>
        <v>2029</v>
      </c>
      <c r="N448" s="1145">
        <f t="shared" si="105"/>
        <v>2030</v>
      </c>
      <c r="O448" s="725"/>
      <c r="P448" s="725"/>
      <c r="Q448" s="343"/>
      <c r="R448" s="343"/>
      <c r="S448" s="343"/>
      <c r="T448" s="343"/>
      <c r="U448" s="343"/>
      <c r="V448" s="343"/>
      <c r="W448" s="343"/>
      <c r="X448" s="343"/>
      <c r="Y448" s="343"/>
      <c r="Z448" s="343"/>
      <c r="AA448" s="343"/>
      <c r="AB448" s="343"/>
      <c r="AC448" s="343"/>
      <c r="AD448" s="343"/>
      <c r="AE448" s="343"/>
    </row>
    <row r="449" spans="1:31" hidden="1" x14ac:dyDescent="0.25">
      <c r="A449" s="343" t="s">
        <v>312</v>
      </c>
      <c r="B449" s="725"/>
      <c r="C449" s="725"/>
      <c r="D449" s="725" t="s">
        <v>906</v>
      </c>
      <c r="E449" s="788" t="s">
        <v>196</v>
      </c>
      <c r="F449" s="725"/>
      <c r="G449" s="789" t="str">
        <f>EUconst_TJpa</f>
        <v>TJ / година</v>
      </c>
      <c r="H449" s="788">
        <f t="shared" ref="H449:N449" si="106">IF(ISNUMBER(H144),H144*(SUM(H150)/100),0)</f>
        <v>0</v>
      </c>
      <c r="I449" s="788">
        <f t="shared" si="106"/>
        <v>0</v>
      </c>
      <c r="J449" s="788">
        <f t="shared" si="106"/>
        <v>0</v>
      </c>
      <c r="K449" s="788">
        <f t="shared" si="106"/>
        <v>0</v>
      </c>
      <c r="L449" s="788">
        <f t="shared" si="106"/>
        <v>0</v>
      </c>
      <c r="M449" s="788">
        <f t="shared" si="106"/>
        <v>0</v>
      </c>
      <c r="N449" s="788">
        <f t="shared" si="106"/>
        <v>0</v>
      </c>
      <c r="O449" s="725"/>
      <c r="P449" s="725"/>
      <c r="Q449" s="343"/>
      <c r="R449" s="343"/>
      <c r="S449" s="343"/>
      <c r="T449" s="343"/>
      <c r="U449" s="343"/>
      <c r="V449" s="343"/>
      <c r="W449" s="343"/>
      <c r="X449" s="343"/>
      <c r="Y449" s="343"/>
      <c r="Z449" s="343"/>
      <c r="AA449" s="343"/>
      <c r="AB449" s="343"/>
      <c r="AC449" s="343"/>
      <c r="AD449" s="343"/>
      <c r="AE449" s="343"/>
    </row>
    <row r="450" spans="1:31" hidden="1" x14ac:dyDescent="0.25">
      <c r="A450" s="343" t="s">
        <v>312</v>
      </c>
      <c r="B450" s="725"/>
      <c r="C450" s="725"/>
      <c r="D450" s="725"/>
      <c r="E450" s="725" t="s">
        <v>197</v>
      </c>
      <c r="F450" s="725"/>
      <c r="G450" s="789" t="str">
        <f>EUconst_TJpa</f>
        <v>TJ / година</v>
      </c>
      <c r="H450" s="788">
        <f t="shared" ref="H450:N450" si="107">IF(ISNUMBER(H144),H144*(1-SUM(H150)/100),0)</f>
        <v>0</v>
      </c>
      <c r="I450" s="788">
        <f t="shared" si="107"/>
        <v>0</v>
      </c>
      <c r="J450" s="788">
        <f t="shared" si="107"/>
        <v>0</v>
      </c>
      <c r="K450" s="788">
        <f t="shared" si="107"/>
        <v>0</v>
      </c>
      <c r="L450" s="788">
        <f t="shared" si="107"/>
        <v>0</v>
      </c>
      <c r="M450" s="788">
        <f t="shared" si="107"/>
        <v>0</v>
      </c>
      <c r="N450" s="788">
        <f t="shared" si="107"/>
        <v>0</v>
      </c>
      <c r="O450" s="725"/>
      <c r="P450" s="725"/>
      <c r="Q450" s="343"/>
      <c r="R450" s="343"/>
      <c r="S450" s="343"/>
      <c r="T450" s="343"/>
      <c r="U450" s="343"/>
      <c r="V450" s="343"/>
      <c r="W450" s="343"/>
      <c r="X450" s="343"/>
      <c r="Y450" s="343"/>
      <c r="Z450" s="343"/>
      <c r="AA450" s="343"/>
      <c r="AB450" s="343"/>
      <c r="AC450" s="343"/>
      <c r="AD450" s="343"/>
      <c r="AE450" s="343"/>
    </row>
    <row r="451" spans="1:31" hidden="1" x14ac:dyDescent="0.25">
      <c r="A451" s="343" t="s">
        <v>312</v>
      </c>
      <c r="B451" s="725"/>
      <c r="C451" s="725"/>
      <c r="D451" s="725"/>
      <c r="E451" s="725"/>
      <c r="F451" s="725"/>
      <c r="G451" s="725"/>
      <c r="H451" s="725"/>
      <c r="I451" s="725"/>
      <c r="J451" s="725"/>
      <c r="K451" s="725"/>
      <c r="L451" s="725"/>
      <c r="M451" s="725"/>
      <c r="N451" s="725"/>
      <c r="O451" s="725"/>
      <c r="P451" s="725"/>
      <c r="Q451" s="343"/>
      <c r="R451" s="343"/>
      <c r="S451" s="343"/>
      <c r="T451" s="343"/>
      <c r="U451" s="343"/>
      <c r="V451" s="343"/>
      <c r="W451" s="343"/>
      <c r="X451" s="343"/>
      <c r="Y451" s="343"/>
      <c r="Z451" s="343"/>
      <c r="AA451" s="343"/>
      <c r="AB451" s="343"/>
      <c r="AC451" s="343"/>
      <c r="AD451" s="343"/>
      <c r="AE451" s="343"/>
    </row>
    <row r="452" spans="1:31" hidden="1" x14ac:dyDescent="0.25">
      <c r="A452" s="343" t="s">
        <v>312</v>
      </c>
      <c r="B452" s="725"/>
      <c r="C452" s="725"/>
      <c r="D452" s="725" t="s">
        <v>55</v>
      </c>
      <c r="E452" s="725" t="s">
        <v>199</v>
      </c>
      <c r="F452" s="725"/>
      <c r="G452" s="725"/>
      <c r="H452" s="725"/>
      <c r="I452" s="725"/>
      <c r="J452" s="725"/>
      <c r="K452" s="725"/>
      <c r="L452" s="725"/>
      <c r="M452" s="725"/>
      <c r="N452" s="725"/>
      <c r="O452" s="725"/>
      <c r="P452" s="725"/>
      <c r="Q452" s="343"/>
      <c r="R452" s="343"/>
      <c r="S452" s="343"/>
      <c r="T452" s="343"/>
      <c r="U452" s="343"/>
      <c r="V452" s="343"/>
      <c r="W452" s="343"/>
      <c r="X452" s="343"/>
      <c r="Y452" s="343"/>
      <c r="Z452" s="343"/>
      <c r="AA452" s="343"/>
      <c r="AB452" s="343"/>
      <c r="AC452" s="343"/>
      <c r="AD452" s="343"/>
      <c r="AE452" s="343"/>
    </row>
    <row r="453" spans="1:31" hidden="1" x14ac:dyDescent="0.25">
      <c r="A453" s="343" t="s">
        <v>312</v>
      </c>
      <c r="B453" s="725"/>
      <c r="C453" s="725"/>
      <c r="D453" s="725"/>
      <c r="E453" s="788" t="s">
        <v>198</v>
      </c>
      <c r="F453" s="725"/>
      <c r="G453" s="789" t="str">
        <f>EUconst_TJpa</f>
        <v>TJ / година</v>
      </c>
      <c r="H453" s="788">
        <f t="shared" ref="H453:N453" si="108">IF(ISNUMBER(H161),H161-H454,0)</f>
        <v>0</v>
      </c>
      <c r="I453" s="788">
        <f t="shared" si="108"/>
        <v>0</v>
      </c>
      <c r="J453" s="788">
        <f t="shared" si="108"/>
        <v>0</v>
      </c>
      <c r="K453" s="788">
        <f t="shared" si="108"/>
        <v>0</v>
      </c>
      <c r="L453" s="788">
        <f t="shared" si="108"/>
        <v>0</v>
      </c>
      <c r="M453" s="788">
        <f t="shared" si="108"/>
        <v>0</v>
      </c>
      <c r="N453" s="788">
        <f t="shared" si="108"/>
        <v>0</v>
      </c>
      <c r="O453" s="725"/>
      <c r="P453" s="725"/>
      <c r="Q453" s="343"/>
      <c r="R453" s="343"/>
      <c r="S453" s="343"/>
      <c r="T453" s="343"/>
      <c r="U453" s="343"/>
      <c r="V453" s="343"/>
      <c r="W453" s="343"/>
      <c r="X453" s="343"/>
      <c r="Y453" s="343"/>
      <c r="Z453" s="343"/>
      <c r="AA453" s="343"/>
      <c r="AB453" s="343"/>
      <c r="AC453" s="343"/>
      <c r="AD453" s="343"/>
      <c r="AE453" s="343"/>
    </row>
    <row r="454" spans="1:31" hidden="1" x14ac:dyDescent="0.25">
      <c r="A454" s="343" t="s">
        <v>312</v>
      </c>
      <c r="B454" s="725"/>
      <c r="C454" s="725"/>
      <c r="D454" s="725"/>
      <c r="E454" s="725" t="s">
        <v>197</v>
      </c>
      <c r="F454" s="725"/>
      <c r="G454" s="789" t="str">
        <f>EUconst_TJpa</f>
        <v>TJ / година</v>
      </c>
      <c r="H454" s="788">
        <f t="shared" ref="H454:N454" si="109">IF(ISNUMBER(H163),IF(H163&lt;H450,H163,H450),IF(ISNUMBER(H162),H162,0))</f>
        <v>0</v>
      </c>
      <c r="I454" s="788">
        <f t="shared" si="109"/>
        <v>0</v>
      </c>
      <c r="J454" s="788">
        <f t="shared" si="109"/>
        <v>0</v>
      </c>
      <c r="K454" s="788">
        <f t="shared" si="109"/>
        <v>0</v>
      </c>
      <c r="L454" s="788">
        <f t="shared" si="109"/>
        <v>0</v>
      </c>
      <c r="M454" s="788">
        <f t="shared" si="109"/>
        <v>0</v>
      </c>
      <c r="N454" s="788">
        <f t="shared" si="109"/>
        <v>0</v>
      </c>
      <c r="O454" s="725"/>
      <c r="P454" s="725"/>
      <c r="Q454" s="343"/>
      <c r="R454" s="343"/>
      <c r="S454" s="343"/>
      <c r="T454" s="343"/>
      <c r="U454" s="343"/>
      <c r="V454" s="343"/>
      <c r="W454" s="343"/>
      <c r="X454" s="343"/>
      <c r="Y454" s="343"/>
      <c r="Z454" s="343"/>
      <c r="AA454" s="343"/>
      <c r="AB454" s="343"/>
      <c r="AC454" s="343"/>
      <c r="AD454" s="343"/>
      <c r="AE454" s="343"/>
    </row>
    <row r="455" spans="1:31" hidden="1" x14ac:dyDescent="0.25">
      <c r="A455" s="343" t="s">
        <v>312</v>
      </c>
      <c r="B455" s="725"/>
      <c r="C455" s="725"/>
      <c r="D455" s="725"/>
      <c r="E455" s="725" t="s">
        <v>200</v>
      </c>
      <c r="F455" s="725"/>
      <c r="G455" s="725"/>
      <c r="H455" s="725"/>
      <c r="I455" s="725"/>
      <c r="J455" s="725"/>
      <c r="K455" s="725"/>
      <c r="L455" s="725"/>
      <c r="M455" s="725"/>
      <c r="N455" s="725"/>
      <c r="O455" s="725"/>
      <c r="P455" s="725"/>
      <c r="Q455" s="343"/>
      <c r="R455" s="343"/>
      <c r="S455" s="343"/>
      <c r="T455" s="343"/>
      <c r="U455" s="343"/>
      <c r="V455" s="343"/>
      <c r="W455" s="343"/>
      <c r="X455" s="343"/>
      <c r="Y455" s="343"/>
      <c r="Z455" s="343"/>
      <c r="AA455" s="343"/>
      <c r="AB455" s="343"/>
      <c r="AC455" s="343"/>
      <c r="AD455" s="343"/>
      <c r="AE455" s="343"/>
    </row>
    <row r="456" spans="1:31" hidden="1" x14ac:dyDescent="0.25">
      <c r="A456" s="343" t="s">
        <v>312</v>
      </c>
      <c r="B456" s="725"/>
      <c r="C456" s="725"/>
      <c r="D456" s="725"/>
      <c r="E456" s="788" t="s">
        <v>198</v>
      </c>
      <c r="F456" s="725"/>
      <c r="G456" s="789" t="str">
        <f>EUconst_TJpa</f>
        <v>TJ / година</v>
      </c>
      <c r="H456" s="788">
        <f t="shared" ref="H456:N456" si="110">IF(H453&lt;H449,H449-H453-IF(H454&gt;H450,H454-H450,0),0)</f>
        <v>0</v>
      </c>
      <c r="I456" s="788">
        <f t="shared" si="110"/>
        <v>0</v>
      </c>
      <c r="J456" s="788">
        <f t="shared" si="110"/>
        <v>0</v>
      </c>
      <c r="K456" s="788">
        <f t="shared" si="110"/>
        <v>0</v>
      </c>
      <c r="L456" s="788">
        <f t="shared" si="110"/>
        <v>0</v>
      </c>
      <c r="M456" s="788">
        <f t="shared" si="110"/>
        <v>0</v>
      </c>
      <c r="N456" s="788">
        <f t="shared" si="110"/>
        <v>0</v>
      </c>
      <c r="O456" s="725"/>
      <c r="P456" s="725"/>
      <c r="Q456" s="343"/>
      <c r="R456" s="343"/>
      <c r="S456" s="343"/>
      <c r="T456" s="343"/>
      <c r="U456" s="343"/>
      <c r="V456" s="343"/>
      <c r="W456" s="343"/>
      <c r="X456" s="343"/>
      <c r="Y456" s="343"/>
      <c r="Z456" s="343"/>
      <c r="AA456" s="343"/>
      <c r="AB456" s="343"/>
      <c r="AC456" s="343"/>
      <c r="AD456" s="343"/>
      <c r="AE456" s="343"/>
    </row>
    <row r="457" spans="1:31" hidden="1" x14ac:dyDescent="0.25">
      <c r="A457" s="343" t="s">
        <v>312</v>
      </c>
      <c r="B457" s="725"/>
      <c r="C457" s="725"/>
      <c r="D457" s="725"/>
      <c r="E457" s="725" t="s">
        <v>197</v>
      </c>
      <c r="F457" s="725"/>
      <c r="G457" s="789" t="str">
        <f>EUconst_TJpa</f>
        <v>TJ / година</v>
      </c>
      <c r="H457" s="788">
        <f t="shared" ref="H457:N457" si="111">IF(H454&lt;H450,H450-H454-IF(H453&gt;H449,H453-H449,0),0)</f>
        <v>0</v>
      </c>
      <c r="I457" s="788">
        <f t="shared" si="111"/>
        <v>0</v>
      </c>
      <c r="J457" s="788">
        <f t="shared" si="111"/>
        <v>0</v>
      </c>
      <c r="K457" s="788">
        <f t="shared" si="111"/>
        <v>0</v>
      </c>
      <c r="L457" s="788">
        <f t="shared" si="111"/>
        <v>0</v>
      </c>
      <c r="M457" s="788">
        <f t="shared" si="111"/>
        <v>0</v>
      </c>
      <c r="N457" s="788">
        <f t="shared" si="111"/>
        <v>0</v>
      </c>
      <c r="O457" s="725"/>
      <c r="P457" s="725"/>
      <c r="Q457" s="343"/>
      <c r="R457" s="343"/>
      <c r="S457" s="343"/>
      <c r="T457" s="343"/>
      <c r="U457" s="343"/>
      <c r="V457" s="343"/>
      <c r="W457" s="343"/>
      <c r="X457" s="343"/>
      <c r="Y457" s="343"/>
      <c r="Z457" s="343"/>
      <c r="AA457" s="343"/>
      <c r="AB457" s="343"/>
      <c r="AC457" s="343"/>
      <c r="AD457" s="343"/>
      <c r="AE457" s="343"/>
    </row>
    <row r="458" spans="1:31" hidden="1" x14ac:dyDescent="0.25">
      <c r="A458" s="343" t="s">
        <v>312</v>
      </c>
      <c r="B458" s="725"/>
      <c r="C458" s="725"/>
      <c r="D458" s="725"/>
      <c r="E458" s="725"/>
      <c r="F458" s="725"/>
      <c r="G458" s="725"/>
      <c r="H458" s="725"/>
      <c r="I458" s="725"/>
      <c r="J458" s="725"/>
      <c r="K458" s="725"/>
      <c r="L458" s="725"/>
      <c r="M458" s="725"/>
      <c r="N458" s="725"/>
      <c r="O458" s="725"/>
      <c r="P458" s="725"/>
      <c r="Q458" s="343"/>
      <c r="R458" s="343"/>
      <c r="S458" s="343"/>
      <c r="T458" s="343"/>
      <c r="U458" s="343"/>
      <c r="V458" s="343"/>
      <c r="W458" s="343"/>
      <c r="X458" s="343"/>
      <c r="Y458" s="343"/>
      <c r="Z458" s="343"/>
      <c r="AA458" s="343"/>
      <c r="AB458" s="343"/>
      <c r="AC458" s="343"/>
      <c r="AD458" s="343"/>
      <c r="AE458" s="343"/>
    </row>
    <row r="459" spans="1:31" hidden="1" x14ac:dyDescent="0.25">
      <c r="A459" s="343" t="s">
        <v>312</v>
      </c>
      <c r="B459" s="725"/>
      <c r="C459" s="725"/>
      <c r="D459" s="725" t="s">
        <v>273</v>
      </c>
      <c r="E459" s="725" t="s">
        <v>201</v>
      </c>
      <c r="F459" s="725"/>
      <c r="G459" s="725"/>
      <c r="H459" s="725"/>
      <c r="I459" s="725"/>
      <c r="J459" s="725"/>
      <c r="K459" s="725"/>
      <c r="L459" s="725"/>
      <c r="M459" s="725"/>
      <c r="N459" s="725"/>
      <c r="O459" s="725"/>
      <c r="P459" s="725"/>
      <c r="Q459" s="343"/>
      <c r="R459" s="343"/>
      <c r="S459" s="343"/>
      <c r="T459" s="343"/>
      <c r="U459" s="343"/>
      <c r="V459" s="343"/>
      <c r="W459" s="343"/>
      <c r="X459" s="343"/>
      <c r="Y459" s="343"/>
      <c r="Z459" s="343"/>
      <c r="AA459" s="343"/>
      <c r="AB459" s="343"/>
      <c r="AC459" s="343"/>
      <c r="AD459" s="343"/>
      <c r="AE459" s="343"/>
    </row>
    <row r="460" spans="1:31" hidden="1" x14ac:dyDescent="0.25">
      <c r="A460" s="343" t="s">
        <v>312</v>
      </c>
      <c r="B460" s="725"/>
      <c r="C460" s="725"/>
      <c r="D460" s="725"/>
      <c r="E460" s="788" t="s">
        <v>198</v>
      </c>
      <c r="F460" s="725"/>
      <c r="G460" s="789" t="str">
        <f>EUconst_TJpa</f>
        <v>TJ / година</v>
      </c>
      <c r="H460" s="788">
        <f t="shared" ref="H460:N460" si="112">IF(ISNUMBER(H179),H179-H461,0)</f>
        <v>0</v>
      </c>
      <c r="I460" s="788">
        <f t="shared" si="112"/>
        <v>0</v>
      </c>
      <c r="J460" s="788">
        <f t="shared" si="112"/>
        <v>0</v>
      </c>
      <c r="K460" s="788">
        <f t="shared" si="112"/>
        <v>0</v>
      </c>
      <c r="L460" s="788">
        <f t="shared" si="112"/>
        <v>0</v>
      </c>
      <c r="M460" s="788">
        <f t="shared" si="112"/>
        <v>0</v>
      </c>
      <c r="N460" s="788">
        <f t="shared" si="112"/>
        <v>0</v>
      </c>
      <c r="O460" s="725"/>
      <c r="P460" s="725"/>
      <c r="Q460" s="343"/>
      <c r="R460" s="343"/>
      <c r="S460" s="343"/>
      <c r="T460" s="343"/>
      <c r="U460" s="343"/>
      <c r="V460" s="343"/>
      <c r="W460" s="343"/>
      <c r="X460" s="343"/>
      <c r="Y460" s="343"/>
      <c r="Z460" s="343"/>
      <c r="AA460" s="343"/>
      <c r="AB460" s="343"/>
      <c r="AC460" s="343"/>
      <c r="AD460" s="343"/>
      <c r="AE460" s="343"/>
    </row>
    <row r="461" spans="1:31" hidden="1" x14ac:dyDescent="0.25">
      <c r="A461" s="343" t="s">
        <v>312</v>
      </c>
      <c r="B461" s="725"/>
      <c r="C461" s="725"/>
      <c r="D461" s="725"/>
      <c r="E461" s="725" t="s">
        <v>197</v>
      </c>
      <c r="F461" s="725"/>
      <c r="G461" s="789" t="str">
        <f>EUconst_TJpa</f>
        <v>TJ / година</v>
      </c>
      <c r="H461" s="788">
        <f t="shared" ref="H461:N461" si="113">IF(ISNUMBER(H182),IF(H182&lt;H457,H182,H457),0)</f>
        <v>0</v>
      </c>
      <c r="I461" s="788">
        <f t="shared" si="113"/>
        <v>0</v>
      </c>
      <c r="J461" s="788">
        <f t="shared" si="113"/>
        <v>0</v>
      </c>
      <c r="K461" s="788">
        <f t="shared" si="113"/>
        <v>0</v>
      </c>
      <c r="L461" s="788">
        <f t="shared" si="113"/>
        <v>0</v>
      </c>
      <c r="M461" s="788">
        <f t="shared" si="113"/>
        <v>0</v>
      </c>
      <c r="N461" s="788">
        <f t="shared" si="113"/>
        <v>0</v>
      </c>
      <c r="O461" s="725"/>
      <c r="P461" s="725"/>
      <c r="Q461" s="343"/>
      <c r="R461" s="343"/>
      <c r="S461" s="343"/>
      <c r="T461" s="343"/>
      <c r="U461" s="343"/>
      <c r="V461" s="343"/>
      <c r="W461" s="343"/>
      <c r="X461" s="343"/>
      <c r="Y461" s="343"/>
      <c r="Z461" s="343"/>
      <c r="AA461" s="343"/>
      <c r="AB461" s="343"/>
      <c r="AC461" s="343"/>
      <c r="AD461" s="343"/>
      <c r="AE461" s="343"/>
    </row>
    <row r="462" spans="1:31" hidden="1" x14ac:dyDescent="0.25">
      <c r="A462" s="343" t="s">
        <v>312</v>
      </c>
      <c r="B462" s="725"/>
      <c r="C462" s="725"/>
      <c r="D462" s="725"/>
      <c r="E462" s="725" t="s">
        <v>202</v>
      </c>
      <c r="F462" s="725"/>
      <c r="G462" s="725"/>
      <c r="H462" s="725"/>
      <c r="I462" s="725"/>
      <c r="J462" s="725"/>
      <c r="K462" s="725"/>
      <c r="L462" s="725"/>
      <c r="M462" s="725"/>
      <c r="N462" s="725"/>
      <c r="O462" s="725"/>
      <c r="P462" s="725"/>
      <c r="Q462" s="343"/>
      <c r="R462" s="343"/>
      <c r="S462" s="343"/>
      <c r="T462" s="343"/>
      <c r="U462" s="343"/>
      <c r="V462" s="343"/>
      <c r="W462" s="343"/>
      <c r="X462" s="343"/>
      <c r="Y462" s="343"/>
      <c r="Z462" s="343"/>
      <c r="AA462" s="343"/>
      <c r="AB462" s="343"/>
      <c r="AC462" s="343"/>
      <c r="AD462" s="343"/>
      <c r="AE462" s="343"/>
    </row>
    <row r="463" spans="1:31" hidden="1" x14ac:dyDescent="0.25">
      <c r="A463" s="343" t="s">
        <v>312</v>
      </c>
      <c r="B463" s="725"/>
      <c r="C463" s="725"/>
      <c r="D463" s="725"/>
      <c r="E463" s="788" t="s">
        <v>198</v>
      </c>
      <c r="F463" s="725"/>
      <c r="G463" s="789" t="str">
        <f>EUconst_TJpa</f>
        <v>TJ / година</v>
      </c>
      <c r="H463" s="788">
        <f t="shared" ref="H463:N463" si="114">IF(H460&lt;H456,H456-H460-IF(H461&gt;H457,H461-H457,0),0)</f>
        <v>0</v>
      </c>
      <c r="I463" s="788">
        <f t="shared" si="114"/>
        <v>0</v>
      </c>
      <c r="J463" s="788">
        <f t="shared" si="114"/>
        <v>0</v>
      </c>
      <c r="K463" s="788">
        <f t="shared" si="114"/>
        <v>0</v>
      </c>
      <c r="L463" s="788">
        <f t="shared" si="114"/>
        <v>0</v>
      </c>
      <c r="M463" s="788">
        <f t="shared" si="114"/>
        <v>0</v>
      </c>
      <c r="N463" s="788">
        <f t="shared" si="114"/>
        <v>0</v>
      </c>
      <c r="O463" s="725"/>
      <c r="P463" s="725"/>
      <c r="Q463" s="343"/>
      <c r="R463" s="343"/>
      <c r="S463" s="343"/>
      <c r="T463" s="343"/>
      <c r="U463" s="343"/>
      <c r="V463" s="343"/>
      <c r="W463" s="343"/>
      <c r="X463" s="343"/>
      <c r="Y463" s="343"/>
      <c r="Z463" s="343"/>
      <c r="AA463" s="343"/>
      <c r="AB463" s="343"/>
      <c r="AC463" s="343"/>
      <c r="AD463" s="343"/>
      <c r="AE463" s="343"/>
    </row>
    <row r="464" spans="1:31" hidden="1" x14ac:dyDescent="0.25">
      <c r="A464" s="343" t="s">
        <v>312</v>
      </c>
      <c r="B464" s="725"/>
      <c r="C464" s="725"/>
      <c r="D464" s="725"/>
      <c r="E464" s="725" t="s">
        <v>197</v>
      </c>
      <c r="F464" s="725"/>
      <c r="G464" s="789" t="str">
        <f>EUconst_TJpa</f>
        <v>TJ / година</v>
      </c>
      <c r="H464" s="788">
        <f t="shared" ref="H464:N464" si="115">IF(H461&lt;H457,H457-H461-IF(H460&gt;H456,H460-H456,0),0)</f>
        <v>0</v>
      </c>
      <c r="I464" s="788">
        <f t="shared" si="115"/>
        <v>0</v>
      </c>
      <c r="J464" s="788">
        <f t="shared" si="115"/>
        <v>0</v>
      </c>
      <c r="K464" s="788">
        <f t="shared" si="115"/>
        <v>0</v>
      </c>
      <c r="L464" s="788">
        <f t="shared" si="115"/>
        <v>0</v>
      </c>
      <c r="M464" s="788">
        <f t="shared" si="115"/>
        <v>0</v>
      </c>
      <c r="N464" s="788">
        <f t="shared" si="115"/>
        <v>0</v>
      </c>
      <c r="O464" s="725"/>
      <c r="P464" s="725"/>
      <c r="Q464" s="343"/>
      <c r="R464" s="343"/>
      <c r="S464" s="343"/>
      <c r="T464" s="343"/>
      <c r="U464" s="343"/>
      <c r="V464" s="343"/>
      <c r="W464" s="343"/>
      <c r="X464" s="343"/>
      <c r="Y464" s="343"/>
      <c r="Z464" s="343"/>
      <c r="AA464" s="343"/>
      <c r="AB464" s="343"/>
      <c r="AC464" s="343"/>
      <c r="AD464" s="343"/>
      <c r="AE464" s="343"/>
    </row>
    <row r="465" spans="1:31" hidden="1" x14ac:dyDescent="0.25">
      <c r="A465" s="343" t="s">
        <v>312</v>
      </c>
      <c r="B465" s="725"/>
      <c r="C465" s="725"/>
      <c r="D465" s="725"/>
      <c r="E465" s="725"/>
      <c r="F465" s="725"/>
      <c r="G465" s="725"/>
      <c r="H465" s="725"/>
      <c r="I465" s="725"/>
      <c r="J465" s="725"/>
      <c r="K465" s="725"/>
      <c r="L465" s="725"/>
      <c r="M465" s="725"/>
      <c r="N465" s="725"/>
      <c r="O465" s="725"/>
      <c r="P465" s="725"/>
      <c r="Q465" s="343"/>
      <c r="R465" s="343"/>
      <c r="S465" s="343"/>
      <c r="T465" s="343"/>
      <c r="U465" s="343"/>
      <c r="V465" s="343"/>
      <c r="W465" s="343"/>
      <c r="X465" s="343"/>
      <c r="Y465" s="343"/>
      <c r="Z465" s="343"/>
      <c r="AA465" s="343"/>
      <c r="AB465" s="343"/>
      <c r="AC465" s="343"/>
      <c r="AD465" s="343"/>
      <c r="AE465" s="343"/>
    </row>
    <row r="466" spans="1:31" hidden="1" x14ac:dyDescent="0.25">
      <c r="A466" s="343" t="s">
        <v>312</v>
      </c>
      <c r="B466" s="725"/>
      <c r="C466" s="725"/>
      <c r="D466" s="725" t="s">
        <v>277</v>
      </c>
      <c r="E466" s="725" t="s">
        <v>204</v>
      </c>
      <c r="F466" s="725"/>
      <c r="G466" s="725"/>
      <c r="H466" s="725"/>
      <c r="I466" s="725"/>
      <c r="J466" s="725"/>
      <c r="K466" s="725"/>
      <c r="L466" s="725"/>
      <c r="M466" s="725"/>
      <c r="N466" s="725"/>
      <c r="O466" s="725"/>
      <c r="P466" s="725"/>
      <c r="Q466" s="343"/>
      <c r="R466" s="343"/>
      <c r="S466" s="343"/>
      <c r="T466" s="343"/>
      <c r="U466" s="343"/>
      <c r="V466" s="343"/>
      <c r="W466" s="343"/>
      <c r="X466" s="343"/>
      <c r="Y466" s="343"/>
      <c r="Z466" s="343"/>
      <c r="AA466" s="343"/>
      <c r="AB466" s="343"/>
      <c r="AC466" s="343"/>
      <c r="AD466" s="343"/>
      <c r="AE466" s="343"/>
    </row>
    <row r="467" spans="1:31" hidden="1" x14ac:dyDescent="0.25">
      <c r="A467" s="343" t="s">
        <v>312</v>
      </c>
      <c r="B467" s="725"/>
      <c r="C467" s="725"/>
      <c r="D467" s="725"/>
      <c r="E467" s="788" t="s">
        <v>198</v>
      </c>
      <c r="F467" s="725"/>
      <c r="G467" s="789" t="str">
        <f>EUconst_TJpa</f>
        <v>TJ / година</v>
      </c>
      <c r="H467" s="788">
        <f t="shared" ref="H467:N467" si="116">IF(ISNUMBER(H204),H204,0)</f>
        <v>0</v>
      </c>
      <c r="I467" s="788">
        <f t="shared" si="116"/>
        <v>0</v>
      </c>
      <c r="J467" s="788">
        <f t="shared" si="116"/>
        <v>0</v>
      </c>
      <c r="K467" s="788">
        <f t="shared" si="116"/>
        <v>0</v>
      </c>
      <c r="L467" s="788">
        <f t="shared" si="116"/>
        <v>0</v>
      </c>
      <c r="M467" s="788">
        <f t="shared" si="116"/>
        <v>0</v>
      </c>
      <c r="N467" s="788">
        <f t="shared" si="116"/>
        <v>0</v>
      </c>
      <c r="O467" s="725"/>
      <c r="P467" s="725"/>
      <c r="Q467" s="343"/>
      <c r="R467" s="343"/>
      <c r="S467" s="343"/>
      <c r="T467" s="343"/>
      <c r="U467" s="343"/>
      <c r="V467" s="343"/>
      <c r="W467" s="343"/>
      <c r="X467" s="343"/>
      <c r="Y467" s="343"/>
      <c r="Z467" s="343"/>
      <c r="AA467" s="343"/>
      <c r="AB467" s="343"/>
      <c r="AC467" s="343"/>
      <c r="AD467" s="343"/>
      <c r="AE467" s="343"/>
    </row>
    <row r="468" spans="1:31" hidden="1" x14ac:dyDescent="0.25">
      <c r="A468" s="343" t="s">
        <v>312</v>
      </c>
      <c r="B468" s="725"/>
      <c r="C468" s="725"/>
      <c r="D468" s="725"/>
      <c r="E468" s="725" t="s">
        <v>197</v>
      </c>
      <c r="F468" s="725"/>
      <c r="G468" s="789" t="str">
        <f>EUconst_TJpa</f>
        <v>TJ / година</v>
      </c>
      <c r="H468" s="788"/>
      <c r="I468" s="788"/>
      <c r="J468" s="788"/>
      <c r="K468" s="788"/>
      <c r="L468" s="788"/>
      <c r="M468" s="788"/>
      <c r="N468" s="788"/>
      <c r="O468" s="725"/>
      <c r="P468" s="725"/>
      <c r="Q468" s="343"/>
      <c r="R468" s="343"/>
      <c r="S468" s="343"/>
      <c r="T468" s="343"/>
      <c r="U468" s="343"/>
      <c r="V468" s="343"/>
      <c r="W468" s="343"/>
      <c r="X468" s="343"/>
      <c r="Y468" s="343"/>
      <c r="Z468" s="343"/>
      <c r="AA468" s="343"/>
      <c r="AB468" s="343"/>
      <c r="AC468" s="343"/>
      <c r="AD468" s="343"/>
      <c r="AE468" s="343"/>
    </row>
    <row r="469" spans="1:31" ht="13" hidden="1" thickBot="1" x14ac:dyDescent="0.3">
      <c r="A469" s="343" t="s">
        <v>312</v>
      </c>
      <c r="B469" s="725"/>
      <c r="C469" s="725"/>
      <c r="D469" s="725"/>
      <c r="E469" s="725" t="s">
        <v>203</v>
      </c>
      <c r="F469" s="725"/>
      <c r="G469" s="725"/>
      <c r="H469" s="725"/>
      <c r="I469" s="725"/>
      <c r="J469" s="725"/>
      <c r="K469" s="725"/>
      <c r="L469" s="725"/>
      <c r="M469" s="725"/>
      <c r="N469" s="725"/>
      <c r="O469" s="725"/>
      <c r="P469" s="725"/>
      <c r="Q469" s="343"/>
      <c r="R469" s="343"/>
      <c r="S469" s="343"/>
      <c r="T469" s="343"/>
      <c r="U469" s="343"/>
      <c r="V469" s="343"/>
      <c r="W469" s="343"/>
      <c r="X469" s="343"/>
      <c r="Y469" s="343"/>
      <c r="Z469" s="343"/>
      <c r="AA469" s="343"/>
      <c r="AB469" s="343"/>
      <c r="AC469" s="343"/>
      <c r="AD469" s="343"/>
      <c r="AE469" s="343"/>
    </row>
    <row r="470" spans="1:31" hidden="1" x14ac:dyDescent="0.25">
      <c r="A470" s="343" t="s">
        <v>312</v>
      </c>
      <c r="B470" s="725"/>
      <c r="C470" s="725"/>
      <c r="D470" s="725"/>
      <c r="E470" s="1146" t="s">
        <v>198</v>
      </c>
      <c r="F470" s="1147"/>
      <c r="G470" s="1148" t="str">
        <f>EUconst_TJpa</f>
        <v>TJ / година</v>
      </c>
      <c r="H470" s="1149">
        <f t="shared" ref="H470:N470" si="117">IF(H467&lt;H463,H463-H467-IF(H468&gt;H464,H468-H464,0),0)</f>
        <v>0</v>
      </c>
      <c r="I470" s="1149">
        <f t="shared" si="117"/>
        <v>0</v>
      </c>
      <c r="J470" s="1149">
        <f t="shared" si="117"/>
        <v>0</v>
      </c>
      <c r="K470" s="1149">
        <f t="shared" si="117"/>
        <v>0</v>
      </c>
      <c r="L470" s="1149">
        <f t="shared" si="117"/>
        <v>0</v>
      </c>
      <c r="M470" s="1149">
        <f t="shared" si="117"/>
        <v>0</v>
      </c>
      <c r="N470" s="1150">
        <f t="shared" si="117"/>
        <v>0</v>
      </c>
      <c r="O470" s="725"/>
      <c r="P470" s="725"/>
      <c r="Q470" s="343"/>
      <c r="R470" s="343"/>
      <c r="S470" s="343"/>
      <c r="T470" s="343"/>
      <c r="U470" s="343"/>
      <c r="V470" s="343"/>
      <c r="W470" s="343"/>
      <c r="X470" s="343"/>
      <c r="Y470" s="343"/>
      <c r="Z470" s="343"/>
      <c r="AA470" s="343"/>
      <c r="AB470" s="343"/>
      <c r="AC470" s="343"/>
      <c r="AD470" s="343"/>
      <c r="AE470" s="343"/>
    </row>
    <row r="471" spans="1:31" ht="13" hidden="1" thickBot="1" x14ac:dyDescent="0.3">
      <c r="A471" s="343" t="s">
        <v>312</v>
      </c>
      <c r="B471" s="725"/>
      <c r="C471" s="725"/>
      <c r="D471" s="725"/>
      <c r="E471" s="1151" t="s">
        <v>197</v>
      </c>
      <c r="F471" s="1152"/>
      <c r="G471" s="1153" t="str">
        <f>EUconst_TJpa</f>
        <v>TJ / година</v>
      </c>
      <c r="H471" s="1154">
        <f t="shared" ref="H471:N471" si="118">IF(H468&lt;H464,H464-H468-IF(H467&gt;H463,H467-H463,0),0)</f>
        <v>0</v>
      </c>
      <c r="I471" s="1154">
        <f t="shared" si="118"/>
        <v>0</v>
      </c>
      <c r="J471" s="1154">
        <f t="shared" si="118"/>
        <v>0</v>
      </c>
      <c r="K471" s="1154">
        <f t="shared" si="118"/>
        <v>0</v>
      </c>
      <c r="L471" s="1154">
        <f t="shared" si="118"/>
        <v>0</v>
      </c>
      <c r="M471" s="1154">
        <f t="shared" si="118"/>
        <v>0</v>
      </c>
      <c r="N471" s="1155">
        <f t="shared" si="118"/>
        <v>0</v>
      </c>
      <c r="O471" s="725"/>
      <c r="P471" s="725"/>
      <c r="Q471" s="343"/>
      <c r="R471" s="343"/>
      <c r="S471" s="343"/>
      <c r="T471" s="343"/>
      <c r="U471" s="343"/>
      <c r="V471" s="343"/>
      <c r="W471" s="343"/>
      <c r="X471" s="343"/>
      <c r="Y471" s="343"/>
      <c r="Z471" s="343"/>
      <c r="AA471" s="343"/>
      <c r="AB471" s="343"/>
      <c r="AC471" s="343"/>
      <c r="AD471" s="343"/>
      <c r="AE471" s="343"/>
    </row>
    <row r="472" spans="1:31" hidden="1" x14ac:dyDescent="0.25">
      <c r="A472" s="343" t="s">
        <v>312</v>
      </c>
      <c r="B472" s="725"/>
      <c r="C472" s="725"/>
      <c r="D472" s="725"/>
      <c r="E472" s="725"/>
      <c r="F472" s="725"/>
      <c r="G472" s="725"/>
      <c r="H472" s="725"/>
      <c r="I472" s="725"/>
      <c r="J472" s="725"/>
      <c r="K472" s="725"/>
      <c r="L472" s="725"/>
      <c r="M472" s="725"/>
      <c r="N472" s="725"/>
      <c r="O472" s="725"/>
      <c r="P472" s="725"/>
      <c r="Q472" s="343"/>
      <c r="R472" s="343"/>
      <c r="S472" s="343"/>
      <c r="T472" s="343"/>
      <c r="U472" s="343"/>
      <c r="V472" s="343"/>
      <c r="W472" s="343"/>
      <c r="X472" s="343"/>
      <c r="Y472" s="343"/>
      <c r="Z472" s="343"/>
      <c r="AA472" s="343"/>
      <c r="AB472" s="343"/>
      <c r="AC472" s="343"/>
      <c r="AD472" s="343"/>
      <c r="AE472" s="343"/>
    </row>
    <row r="473" spans="1:31" ht="13" hidden="1" thickBot="1" x14ac:dyDescent="0.3">
      <c r="A473" s="343" t="s">
        <v>312</v>
      </c>
      <c r="B473" s="725"/>
      <c r="C473" s="725"/>
      <c r="D473" s="647"/>
      <c r="E473" s="647" t="s">
        <v>2243</v>
      </c>
      <c r="F473" s="647"/>
      <c r="G473" s="647"/>
      <c r="H473" s="647"/>
      <c r="I473" s="647"/>
      <c r="J473" s="647"/>
      <c r="K473" s="647"/>
      <c r="L473" s="647"/>
      <c r="M473" s="647"/>
      <c r="N473" s="725"/>
      <c r="O473" s="725"/>
      <c r="P473" s="725"/>
      <c r="Q473" s="343"/>
      <c r="R473" s="343"/>
      <c r="S473" s="343"/>
      <c r="T473" s="343"/>
      <c r="U473" s="343"/>
      <c r="V473" s="343"/>
      <c r="W473" s="343"/>
      <c r="X473" s="343"/>
      <c r="Y473" s="343"/>
      <c r="Z473" s="343"/>
      <c r="AA473" s="343"/>
      <c r="AB473" s="343"/>
      <c r="AC473" s="343"/>
      <c r="AD473" s="343"/>
      <c r="AE473" s="343"/>
    </row>
    <row r="474" spans="1:31" ht="13" hidden="1" x14ac:dyDescent="0.25">
      <c r="A474" s="343" t="s">
        <v>312</v>
      </c>
      <c r="B474" s="725"/>
      <c r="C474" s="725"/>
      <c r="D474" s="647">
        <v>5</v>
      </c>
      <c r="E474" s="1132" t="str">
        <f>INDEX(EUconst_FallBackListNames,D474)</f>
        <v>Подинсталация с горивен показател (с риск от ИВЕ | извън МКВЕГ)</v>
      </c>
      <c r="F474" s="1133"/>
      <c r="G474" s="1046" t="str">
        <f>EUconst_TJpa</f>
        <v>TJ / година</v>
      </c>
      <c r="H474" s="1156">
        <f>SUMIFS('G_Fall-back'!H:H,'G_Fall-back'!$Q:$Q,$Q474)</f>
        <v>0</v>
      </c>
      <c r="I474" s="1156">
        <f>SUMIFS('G_Fall-back'!I:I,'G_Fall-back'!$Q:$Q,$Q474)</f>
        <v>0</v>
      </c>
      <c r="J474" s="1156">
        <f>SUMIFS('G_Fall-back'!J:J,'G_Fall-back'!$Q:$Q,$Q474)</f>
        <v>0</v>
      </c>
      <c r="K474" s="1156">
        <f>SUMIFS('G_Fall-back'!K:K,'G_Fall-back'!$Q:$Q,$Q474)</f>
        <v>0</v>
      </c>
      <c r="L474" s="1156">
        <f>SUMIFS('G_Fall-back'!L:L,'G_Fall-back'!$Q:$Q,$Q474)</f>
        <v>0</v>
      </c>
      <c r="M474" s="1156">
        <f>SUMIFS('G_Fall-back'!M:M,'G_Fall-back'!$Q:$Q,$Q474)</f>
        <v>0</v>
      </c>
      <c r="N474" s="1157">
        <f>SUMIFS('G_Fall-back'!N:N,'G_Fall-back'!$Q:$Q,$Q474)</f>
        <v>0</v>
      </c>
      <c r="O474" s="725"/>
      <c r="P474" s="725"/>
      <c r="Q474" s="1158" t="str">
        <f>EUconst_CNTR_HeatExport &amp; E474</f>
        <v>HeatEx_Подинсталация с горивен показател (с риск от ИВЕ | извън МКВЕГ)</v>
      </c>
      <c r="R474" s="343"/>
      <c r="S474" s="343"/>
      <c r="T474" s="343"/>
      <c r="U474" s="343"/>
      <c r="V474" s="343"/>
      <c r="W474" s="343"/>
      <c r="X474" s="343"/>
      <c r="Y474" s="343"/>
      <c r="Z474" s="343"/>
      <c r="AA474" s="343"/>
      <c r="AB474" s="343"/>
      <c r="AC474" s="343"/>
      <c r="AD474" s="343"/>
      <c r="AE474" s="343"/>
    </row>
    <row r="475" spans="1:31" ht="13" hidden="1" x14ac:dyDescent="0.25">
      <c r="A475" s="343" t="s">
        <v>312</v>
      </c>
      <c r="B475" s="725"/>
      <c r="C475" s="725"/>
      <c r="D475" s="647">
        <v>6</v>
      </c>
      <c r="E475" s="1136" t="str">
        <f>INDEX(EUconst_FallBackListNames,D475)</f>
        <v>Подинсталация с горивен показател (без риск от ИВЕ | извън МКВЕГ)</v>
      </c>
      <c r="F475" s="1137"/>
      <c r="G475" s="1138" t="str">
        <f>EUconst_TJpa</f>
        <v>TJ / година</v>
      </c>
      <c r="H475" s="1159">
        <f>SUMIFS('G_Fall-back'!H:H,'G_Fall-back'!$Q:$Q,$Q475)</f>
        <v>0</v>
      </c>
      <c r="I475" s="1159">
        <f>SUMIFS('G_Fall-back'!I:I,'G_Fall-back'!$Q:$Q,$Q475)</f>
        <v>0</v>
      </c>
      <c r="J475" s="1159">
        <f>SUMIFS('G_Fall-back'!J:J,'G_Fall-back'!$Q:$Q,$Q475)</f>
        <v>0</v>
      </c>
      <c r="K475" s="1159">
        <f>SUMIFS('G_Fall-back'!K:K,'G_Fall-back'!$Q:$Q,$Q475)</f>
        <v>0</v>
      </c>
      <c r="L475" s="1159">
        <f>SUMIFS('G_Fall-back'!L:L,'G_Fall-back'!$Q:$Q,$Q475)</f>
        <v>0</v>
      </c>
      <c r="M475" s="1159">
        <f>SUMIFS('G_Fall-back'!M:M,'G_Fall-back'!$Q:$Q,$Q475)</f>
        <v>0</v>
      </c>
      <c r="N475" s="1160">
        <f>SUMIFS('G_Fall-back'!N:N,'G_Fall-back'!$Q:$Q,$Q475)</f>
        <v>0</v>
      </c>
      <c r="O475" s="725"/>
      <c r="P475" s="725"/>
      <c r="Q475" s="1158" t="str">
        <f>EUconst_CNTR_HeatExport &amp; E475</f>
        <v>HeatEx_Подинсталация с горивен показател (без риск от ИВЕ | извън МКВЕГ)</v>
      </c>
      <c r="R475" s="343"/>
      <c r="S475" s="343"/>
      <c r="T475" s="343"/>
      <c r="U475" s="343"/>
      <c r="V475" s="343"/>
      <c r="W475" s="343"/>
      <c r="X475" s="343"/>
      <c r="Y475" s="343"/>
      <c r="Z475" s="343"/>
      <c r="AA475" s="343"/>
      <c r="AB475" s="343"/>
      <c r="AC475" s="343"/>
      <c r="AD475" s="343"/>
      <c r="AE475" s="343"/>
    </row>
    <row r="476" spans="1:31" ht="13.5" hidden="1" thickBot="1" x14ac:dyDescent="0.3">
      <c r="A476" s="343" t="s">
        <v>312</v>
      </c>
      <c r="B476" s="725"/>
      <c r="C476" s="725"/>
      <c r="D476" s="647">
        <v>7</v>
      </c>
      <c r="E476" s="1053" t="str">
        <f>INDEX(EUconst_FallBackListNames,D476)</f>
        <v>Подинсталация с горивен показател (с риск от ИВЕ | в рамките на МКВЕГ)</v>
      </c>
      <c r="F476" s="1054"/>
      <c r="G476" s="1055" t="str">
        <f>EUconst_TJpa</f>
        <v>TJ / година</v>
      </c>
      <c r="H476" s="1161">
        <f>SUMIFS('G_Fall-back'!H:H,'G_Fall-back'!$Q:$Q,$Q476)</f>
        <v>0</v>
      </c>
      <c r="I476" s="1161">
        <f>SUMIFS('G_Fall-back'!I:I,'G_Fall-back'!$Q:$Q,$Q476)</f>
        <v>0</v>
      </c>
      <c r="J476" s="1161">
        <f>SUMIFS('G_Fall-back'!J:J,'G_Fall-back'!$Q:$Q,$Q476)</f>
        <v>0</v>
      </c>
      <c r="K476" s="1161">
        <f>SUMIFS('G_Fall-back'!K:K,'G_Fall-back'!$Q:$Q,$Q476)</f>
        <v>0</v>
      </c>
      <c r="L476" s="1161">
        <f>SUMIFS('G_Fall-back'!L:L,'G_Fall-back'!$Q:$Q,$Q476)</f>
        <v>0</v>
      </c>
      <c r="M476" s="1161">
        <f>SUMIFS('G_Fall-back'!M:M,'G_Fall-back'!$Q:$Q,$Q476)</f>
        <v>0</v>
      </c>
      <c r="N476" s="1162">
        <f>SUMIFS('G_Fall-back'!N:N,'G_Fall-back'!$Q:$Q,$Q476)</f>
        <v>0</v>
      </c>
      <c r="O476" s="725"/>
      <c r="P476" s="725"/>
      <c r="Q476" s="1158" t="str">
        <f>EUconst_CNTR_HeatExport &amp; E476</f>
        <v>HeatEx_Подинсталация с горивен показател (с риск от ИВЕ | в рамките на МКВЕГ)</v>
      </c>
      <c r="R476" s="343"/>
      <c r="S476" s="343"/>
      <c r="T476" s="343"/>
      <c r="U476" s="343"/>
      <c r="V476" s="343"/>
      <c r="W476" s="343"/>
      <c r="X476" s="343"/>
      <c r="Y476" s="343"/>
      <c r="Z476" s="343"/>
      <c r="AA476" s="343"/>
      <c r="AB476" s="343"/>
      <c r="AC476" s="343"/>
      <c r="AD476" s="343"/>
      <c r="AE476" s="343"/>
    </row>
    <row r="477" spans="1:31" hidden="1" x14ac:dyDescent="0.25">
      <c r="A477" s="343" t="s">
        <v>312</v>
      </c>
      <c r="E477" s="647"/>
      <c r="F477" s="647"/>
      <c r="G477" s="647"/>
      <c r="H477" s="647"/>
      <c r="I477" s="647"/>
      <c r="J477" s="647"/>
      <c r="K477" s="647"/>
      <c r="L477" s="647"/>
      <c r="M477" s="647"/>
      <c r="N477" s="725"/>
      <c r="O477" s="725"/>
      <c r="P477" s="725"/>
      <c r="Q477" s="343"/>
      <c r="R477" s="343"/>
      <c r="S477" s="343"/>
      <c r="T477" s="343"/>
      <c r="U477" s="343"/>
      <c r="V477" s="343"/>
      <c r="W477" s="343"/>
      <c r="X477" s="343"/>
      <c r="Y477" s="343"/>
      <c r="Z477" s="343"/>
      <c r="AA477" s="343"/>
      <c r="AB477" s="343"/>
      <c r="AC477" s="343"/>
      <c r="AD477" s="343"/>
      <c r="AE477" s="343"/>
    </row>
  </sheetData>
  <sheetProtection sheet="1" objects="1" scenarios="1" formatCells="0" formatColumns="0" formatRows="0"/>
  <mergeCells count="346">
    <mergeCell ref="E22:F22"/>
    <mergeCell ref="E23:F23"/>
    <mergeCell ref="E157:N157"/>
    <mergeCell ref="E158:N158"/>
    <mergeCell ref="E129:F129"/>
    <mergeCell ref="E130:F130"/>
    <mergeCell ref="E138:F138"/>
    <mergeCell ref="E139:F139"/>
    <mergeCell ref="E150:F150"/>
    <mergeCell ref="E148:N148"/>
    <mergeCell ref="E134:N134"/>
    <mergeCell ref="E137:F137"/>
    <mergeCell ref="E155:N155"/>
    <mergeCell ref="E135:N135"/>
    <mergeCell ref="E152:N152"/>
    <mergeCell ref="E153:N153"/>
    <mergeCell ref="E146:N146"/>
    <mergeCell ref="D91:N91"/>
    <mergeCell ref="F35:N35"/>
    <mergeCell ref="E40:N40"/>
    <mergeCell ref="E61:F61"/>
    <mergeCell ref="E69:N69"/>
    <mergeCell ref="E42:F42"/>
    <mergeCell ref="E43:F43"/>
    <mergeCell ref="E264:F264"/>
    <mergeCell ref="E268:F268"/>
    <mergeCell ref="E261:F261"/>
    <mergeCell ref="E68:N68"/>
    <mergeCell ref="E307:F307"/>
    <mergeCell ref="E379:N379"/>
    <mergeCell ref="E380:N380"/>
    <mergeCell ref="E381:F381"/>
    <mergeCell ref="E353:F353"/>
    <mergeCell ref="E354:F354"/>
    <mergeCell ref="E259:N259"/>
    <mergeCell ref="E162:F162"/>
    <mergeCell ref="E163:F163"/>
    <mergeCell ref="E170:F170"/>
    <mergeCell ref="E171:F171"/>
    <mergeCell ref="E172:F172"/>
    <mergeCell ref="E173:F173"/>
    <mergeCell ref="E176:F176"/>
    <mergeCell ref="E177:F177"/>
    <mergeCell ref="E178:F178"/>
    <mergeCell ref="E241:F241"/>
    <mergeCell ref="E243:F243"/>
    <mergeCell ref="E244:F244"/>
    <mergeCell ref="E250:F250"/>
    <mergeCell ref="E237:N237"/>
    <mergeCell ref="E238:N238"/>
    <mergeCell ref="P2:P4"/>
    <mergeCell ref="D278:N278"/>
    <mergeCell ref="E256:N256"/>
    <mergeCell ref="G2:H2"/>
    <mergeCell ref="M2:N2"/>
    <mergeCell ref="K2:L2"/>
    <mergeCell ref="I2:J2"/>
    <mergeCell ref="E4:F4"/>
    <mergeCell ref="G4:H4"/>
    <mergeCell ref="I4:J4"/>
    <mergeCell ref="F34:N34"/>
    <mergeCell ref="M3:N3"/>
    <mergeCell ref="E3:F3"/>
    <mergeCell ref="E25:H25"/>
    <mergeCell ref="F31:N31"/>
    <mergeCell ref="F32:N32"/>
    <mergeCell ref="E27:N27"/>
    <mergeCell ref="E14:N14"/>
    <mergeCell ref="E147:N147"/>
    <mergeCell ref="E119:N119"/>
    <mergeCell ref="E92:N92"/>
    <mergeCell ref="E98:N98"/>
    <mergeCell ref="E254:N254"/>
    <mergeCell ref="E154:N154"/>
    <mergeCell ref="E100:N100"/>
    <mergeCell ref="E101:N101"/>
    <mergeCell ref="E181:N181"/>
    <mergeCell ref="E184:N184"/>
    <mergeCell ref="G3:H3"/>
    <mergeCell ref="I3:J3"/>
    <mergeCell ref="K3:L3"/>
    <mergeCell ref="E82:N82"/>
    <mergeCell ref="E13:N13"/>
    <mergeCell ref="D8:N8"/>
    <mergeCell ref="M4:N4"/>
    <mergeCell ref="I25:J25"/>
    <mergeCell ref="E26:N26"/>
    <mergeCell ref="E29:N29"/>
    <mergeCell ref="D6:N6"/>
    <mergeCell ref="D78:N78"/>
    <mergeCell ref="E85:M85"/>
    <mergeCell ref="K4:L4"/>
    <mergeCell ref="D10:N10"/>
    <mergeCell ref="E39:N39"/>
    <mergeCell ref="E179:F179"/>
    <mergeCell ref="E143:N143"/>
    <mergeCell ref="E159:N159"/>
    <mergeCell ref="B2:D4"/>
    <mergeCell ref="E97:N97"/>
    <mergeCell ref="D94:N94"/>
    <mergeCell ref="E95:N95"/>
    <mergeCell ref="E253:N253"/>
    <mergeCell ref="E383:N383"/>
    <mergeCell ref="E99:N99"/>
    <mergeCell ref="E124:N124"/>
    <mergeCell ref="E127:F127"/>
    <mergeCell ref="E120:N120"/>
    <mergeCell ref="E133:N133"/>
    <mergeCell ref="E111:N111"/>
    <mergeCell ref="E136:N136"/>
    <mergeCell ref="E128:F128"/>
    <mergeCell ref="E117:F117"/>
    <mergeCell ref="E126:N126"/>
    <mergeCell ref="E115:F115"/>
    <mergeCell ref="E144:F144"/>
    <mergeCell ref="E258:N258"/>
    <mergeCell ref="E174:F174"/>
    <mergeCell ref="E175:F175"/>
    <mergeCell ref="E125:N125"/>
    <mergeCell ref="E216:F216"/>
    <mergeCell ref="D419:N419"/>
    <mergeCell ref="E288:F288"/>
    <mergeCell ref="E289:F289"/>
    <mergeCell ref="E290:F290"/>
    <mergeCell ref="E291:F291"/>
    <mergeCell ref="E304:F304"/>
    <mergeCell ref="E305:F305"/>
    <mergeCell ref="E310:F310"/>
    <mergeCell ref="E292:F292"/>
    <mergeCell ref="D390:N390"/>
    <mergeCell ref="E315:F315"/>
    <mergeCell ref="E316:F316"/>
    <mergeCell ref="E317:F317"/>
    <mergeCell ref="E318:F318"/>
    <mergeCell ref="E323:F323"/>
    <mergeCell ref="E324:F324"/>
    <mergeCell ref="E321:N321"/>
    <mergeCell ref="E322:N322"/>
    <mergeCell ref="E325:F325"/>
    <mergeCell ref="E326:F326"/>
    <mergeCell ref="E330:F330"/>
    <mergeCell ref="E334:F334"/>
    <mergeCell ref="E335:F335"/>
    <mergeCell ref="E369:F369"/>
    <mergeCell ref="F15:N15"/>
    <mergeCell ref="F16:N16"/>
    <mergeCell ref="F17:N17"/>
    <mergeCell ref="F18:N18"/>
    <mergeCell ref="F33:N33"/>
    <mergeCell ref="E38:N38"/>
    <mergeCell ref="E37:N37"/>
    <mergeCell ref="E30:N30"/>
    <mergeCell ref="E105:N105"/>
    <mergeCell ref="E66:N66"/>
    <mergeCell ref="E51:F51"/>
    <mergeCell ref="E56:F56"/>
    <mergeCell ref="E58:F58"/>
    <mergeCell ref="D76:N76"/>
    <mergeCell ref="D90:N90"/>
    <mergeCell ref="E93:N93"/>
    <mergeCell ref="E96:N96"/>
    <mergeCell ref="E103:N103"/>
    <mergeCell ref="E47:F47"/>
    <mergeCell ref="E48:F48"/>
    <mergeCell ref="E46:F46"/>
    <mergeCell ref="E59:F59"/>
    <mergeCell ref="E50:F50"/>
    <mergeCell ref="E21:F21"/>
    <mergeCell ref="E44:F44"/>
    <mergeCell ref="E71:F71"/>
    <mergeCell ref="E140:F140"/>
    <mergeCell ref="E106:N106"/>
    <mergeCell ref="D89:N89"/>
    <mergeCell ref="E45:F45"/>
    <mergeCell ref="E84:L84"/>
    <mergeCell ref="E57:F57"/>
    <mergeCell ref="E74:F74"/>
    <mergeCell ref="E60:F60"/>
    <mergeCell ref="E80:L80"/>
    <mergeCell ref="D87:N87"/>
    <mergeCell ref="E55:F55"/>
    <mergeCell ref="E73:F73"/>
    <mergeCell ref="E81:N81"/>
    <mergeCell ref="E67:N67"/>
    <mergeCell ref="E64:F64"/>
    <mergeCell ref="E49:F49"/>
    <mergeCell ref="E122:F122"/>
    <mergeCell ref="E63:F63"/>
    <mergeCell ref="E113:F113"/>
    <mergeCell ref="E116:F116"/>
    <mergeCell ref="E107:N107"/>
    <mergeCell ref="E109:N109"/>
    <mergeCell ref="E211:F211"/>
    <mergeCell ref="E182:F182"/>
    <mergeCell ref="E189:F189"/>
    <mergeCell ref="E185:N185"/>
    <mergeCell ref="E186:N186"/>
    <mergeCell ref="E188:N188"/>
    <mergeCell ref="E192:F192"/>
    <mergeCell ref="E198:F198"/>
    <mergeCell ref="E199:F199"/>
    <mergeCell ref="E200:F200"/>
    <mergeCell ref="E208:N208"/>
    <mergeCell ref="E206:N206"/>
    <mergeCell ref="E161:F161"/>
    <mergeCell ref="E197:N197"/>
    <mergeCell ref="E169:F169"/>
    <mergeCell ref="E366:F366"/>
    <mergeCell ref="E367:F367"/>
    <mergeCell ref="E368:F368"/>
    <mergeCell ref="E359:N359"/>
    <mergeCell ref="E360:F360"/>
    <mergeCell ref="E365:F365"/>
    <mergeCell ref="E341:F341"/>
    <mergeCell ref="E342:F342"/>
    <mergeCell ref="E332:N332"/>
    <mergeCell ref="E343:F343"/>
    <mergeCell ref="E344:F344"/>
    <mergeCell ref="E345:F345"/>
    <mergeCell ref="E349:F349"/>
    <mergeCell ref="E350:F350"/>
    <mergeCell ref="E347:N347"/>
    <mergeCell ref="E348:N348"/>
    <mergeCell ref="E351:F351"/>
    <mergeCell ref="E352:F352"/>
    <mergeCell ref="E213:N213"/>
    <mergeCell ref="E214:N214"/>
    <mergeCell ref="E215:F215"/>
    <mergeCell ref="E362:N362"/>
    <mergeCell ref="E363:N363"/>
    <mergeCell ref="E364:N364"/>
    <mergeCell ref="E252:H252"/>
    <mergeCell ref="I252:J252"/>
    <mergeCell ref="E333:N333"/>
    <mergeCell ref="E329:N329"/>
    <mergeCell ref="E336:F336"/>
    <mergeCell ref="E337:F337"/>
    <mergeCell ref="E338:F338"/>
    <mergeCell ref="E339:F339"/>
    <mergeCell ref="E340:F340"/>
    <mergeCell ref="E314:N314"/>
    <mergeCell ref="E294:F294"/>
    <mergeCell ref="E271:F271"/>
    <mergeCell ref="E272:F272"/>
    <mergeCell ref="D277:N277"/>
    <mergeCell ref="D276:N276"/>
    <mergeCell ref="D274:N274"/>
    <mergeCell ref="E284:N284"/>
    <mergeCell ref="E355:F355"/>
    <mergeCell ref="E356:F356"/>
    <mergeCell ref="E357:F357"/>
    <mergeCell ref="E303:F303"/>
    <mergeCell ref="E416:F416"/>
    <mergeCell ref="E402:N402"/>
    <mergeCell ref="E405:N405"/>
    <mergeCell ref="E408:N408"/>
    <mergeCell ref="E411:N411"/>
    <mergeCell ref="E414:N414"/>
    <mergeCell ref="E403:F403"/>
    <mergeCell ref="E406:F406"/>
    <mergeCell ref="E409:F409"/>
    <mergeCell ref="E412:F412"/>
    <mergeCell ref="E415:F415"/>
    <mergeCell ref="E399:F399"/>
    <mergeCell ref="E400:F400"/>
    <mergeCell ref="E396:N396"/>
    <mergeCell ref="E393:N393"/>
    <mergeCell ref="E392:L392"/>
    <mergeCell ref="E370:F370"/>
    <mergeCell ref="E371:F371"/>
    <mergeCell ref="E372:F372"/>
    <mergeCell ref="E373:F373"/>
    <mergeCell ref="E374:F374"/>
    <mergeCell ref="E375:F375"/>
    <mergeCell ref="E395:N395"/>
    <mergeCell ref="E384:N384"/>
    <mergeCell ref="E376:F376"/>
    <mergeCell ref="E377:F377"/>
    <mergeCell ref="E385:F385"/>
    <mergeCell ref="E386:F386"/>
    <mergeCell ref="E397:N397"/>
    <mergeCell ref="D388:N388"/>
    <mergeCell ref="E309:N309"/>
    <mergeCell ref="E312:N312"/>
    <mergeCell ref="E313:N313"/>
    <mergeCell ref="E287:F287"/>
    <mergeCell ref="E286:F286"/>
    <mergeCell ref="E282:N282"/>
    <mergeCell ref="E280:L280"/>
    <mergeCell ref="E281:M281"/>
    <mergeCell ref="E293:F293"/>
    <mergeCell ref="E299:N299"/>
    <mergeCell ref="E301:N301"/>
    <mergeCell ref="E300:N300"/>
    <mergeCell ref="E302:F302"/>
    <mergeCell ref="E295:F295"/>
    <mergeCell ref="E296:F296"/>
    <mergeCell ref="E297:F297"/>
    <mergeCell ref="E2:F2"/>
    <mergeCell ref="E20:F20"/>
    <mergeCell ref="E72:F72"/>
    <mergeCell ref="E218:N218"/>
    <mergeCell ref="E53:N53"/>
    <mergeCell ref="E202:F202"/>
    <mergeCell ref="E203:F203"/>
    <mergeCell ref="E204:F204"/>
    <mergeCell ref="E263:F263"/>
    <mergeCell ref="E219:F219"/>
    <mergeCell ref="E223:F223"/>
    <mergeCell ref="E228:F228"/>
    <mergeCell ref="E229:F229"/>
    <mergeCell ref="E225:N225"/>
    <mergeCell ref="E226:N226"/>
    <mergeCell ref="E221:N221"/>
    <mergeCell ref="E222:N222"/>
    <mergeCell ref="E201:F201"/>
    <mergeCell ref="E191:N191"/>
    <mergeCell ref="E194:N194"/>
    <mergeCell ref="E195:N195"/>
    <mergeCell ref="E196:N196"/>
    <mergeCell ref="F36:N36"/>
    <mergeCell ref="E62:F62"/>
    <mergeCell ref="E108:N108"/>
    <mergeCell ref="E110:N110"/>
    <mergeCell ref="E114:F114"/>
    <mergeCell ref="E262:F262"/>
    <mergeCell ref="E285:N285"/>
    <mergeCell ref="E246:N246"/>
    <mergeCell ref="E265:F265"/>
    <mergeCell ref="E267:F267"/>
    <mergeCell ref="E269:F269"/>
    <mergeCell ref="E270:F270"/>
    <mergeCell ref="E227:N227"/>
    <mergeCell ref="E247:N247"/>
    <mergeCell ref="E248:N248"/>
    <mergeCell ref="E257:N257"/>
    <mergeCell ref="E230:F230"/>
    <mergeCell ref="E231:F231"/>
    <mergeCell ref="E232:F232"/>
    <mergeCell ref="E233:F233"/>
    <mergeCell ref="E234:F234"/>
    <mergeCell ref="E240:F240"/>
    <mergeCell ref="E236:N236"/>
    <mergeCell ref="E165:N165"/>
    <mergeCell ref="E166:N166"/>
    <mergeCell ref="E167:N167"/>
  </mergeCells>
  <phoneticPr fontId="34" type="noConversion"/>
  <conditionalFormatting sqref="E37 E69">
    <cfRule type="expression" dxfId="730" priority="560" stopIfTrue="1">
      <formula>INDEX($AB:$AB,MATCH(MAX(INDIRECT(ADDRESS(1,3)&amp;":"&amp;ADDRESS(ROW(F37),3))),$C:$C,0))</formula>
    </cfRule>
  </conditionalFormatting>
  <conditionalFormatting sqref="G3:H3">
    <cfRule type="expression" dxfId="729" priority="18" stopIfTrue="1">
      <formula>COUNTIF($AE:$AE,1)&gt;0</formula>
    </cfRule>
  </conditionalFormatting>
  <conditionalFormatting sqref="G4:H4">
    <cfRule type="expression" dxfId="728" priority="14" stopIfTrue="1">
      <formula>COUNTIF($AE:$AE,5)&gt;0</formula>
    </cfRule>
  </conditionalFormatting>
  <conditionalFormatting sqref="G316:N318 H45:N47 H122:N122 G128:N130 G138:N140 H161:N161 H163:N163 H169:N178 G199:N203 H223:N223 G229:N233 H262:N265 G324:N326 H360:N360 H376:N376 E128:E130 E138:E140 E199:E203 E229:E233 E316:E318 E324:E326">
    <cfRule type="expression" dxfId="727" priority="33" stopIfTrue="1">
      <formula>$T45</formula>
    </cfRule>
  </conditionalFormatting>
  <conditionalFormatting sqref="H21:N22">
    <cfRule type="expression" dxfId="726" priority="12" stopIfTrue="1">
      <formula>V21</formula>
    </cfRule>
  </conditionalFormatting>
  <conditionalFormatting sqref="H43:N43">
    <cfRule type="expression" dxfId="725" priority="30" stopIfTrue="1">
      <formula>$T43</formula>
    </cfRule>
  </conditionalFormatting>
  <conditionalFormatting sqref="H43:N50 H72:N74 H122:N122 H128:N130 H138:N140 H161:N161 H163:N163 H169:N178 H199:N203 H223:N223 H229:N233 H262:N265 H324:N326 H360:N360 H376:N376 H399:N400 H403:N403 H406:N406 H412:N412">
    <cfRule type="expression" dxfId="724" priority="13" stopIfTrue="1">
      <formula>V$20</formula>
    </cfRule>
  </conditionalFormatting>
  <conditionalFormatting sqref="H72:N74">
    <cfRule type="expression" dxfId="723" priority="22" stopIfTrue="1">
      <formula>MSconst_RequireFuelEF</formula>
    </cfRule>
  </conditionalFormatting>
  <conditionalFormatting sqref="H113:N117 H307:N307 H381:N381">
    <cfRule type="expression" dxfId="722" priority="1" stopIfTrue="1">
      <formula>V$20</formula>
    </cfRule>
    <cfRule type="expression" dxfId="721" priority="2" stopIfTrue="1">
      <formula>$T113</formula>
    </cfRule>
  </conditionalFormatting>
  <conditionalFormatting sqref="H162:N162">
    <cfRule type="expression" dxfId="720" priority="72" stopIfTrue="1">
      <formula>ISNUMBER(H163)</formula>
    </cfRule>
  </conditionalFormatting>
  <conditionalFormatting sqref="H267:N270 H272:N272">
    <cfRule type="expression" dxfId="719" priority="11">
      <formula>ROUND(SUMIFS(H$262:H$270,$G$262:$G$270,"%"),0)&gt;100</formula>
    </cfRule>
  </conditionalFormatting>
  <conditionalFormatting sqref="H316:N318">
    <cfRule type="expression" dxfId="718" priority="21" stopIfTrue="1">
      <formula>V$20</formula>
    </cfRule>
  </conditionalFormatting>
  <conditionalFormatting sqref="H399:N400 H403:N403 H406:N406 H412:N412">
    <cfRule type="expression" dxfId="717" priority="63" stopIfTrue="1">
      <formula>$T399</formula>
    </cfRule>
  </conditionalFormatting>
  <conditionalFormatting sqref="I252">
    <cfRule type="expression" dxfId="716" priority="31" stopIfTrue="1">
      <formula>$T252</formula>
    </cfRule>
  </conditionalFormatting>
  <conditionalFormatting sqref="I3:J3">
    <cfRule type="expression" dxfId="715" priority="17" stopIfTrue="1">
      <formula>COUNTIF($AE:$AE,2)&gt;0</formula>
    </cfRule>
  </conditionalFormatting>
  <conditionalFormatting sqref="K3:L3">
    <cfRule type="expression" dxfId="714" priority="16" stopIfTrue="1">
      <formula>COUNTIF($AE:$AE,3)&gt;0</formula>
    </cfRule>
  </conditionalFormatting>
  <conditionalFormatting sqref="M84">
    <cfRule type="expression" dxfId="713" priority="382" stopIfTrue="1">
      <formula>$M$80</formula>
    </cfRule>
  </conditionalFormatting>
  <conditionalFormatting sqref="M3:N3">
    <cfRule type="expression" dxfId="712" priority="15" stopIfTrue="1">
      <formula>COUNTIF($AE:$AE,4)&gt;0</formula>
    </cfRule>
  </conditionalFormatting>
  <dataValidations count="6">
    <dataValidation type="list" allowBlank="1" showInputMessage="1" showErrorMessage="1" sqref="I252:J252 I25:J25" xr:uid="{00000000-0002-0000-0600-000000000000}">
      <formula1>EUconst_AbsRel</formula1>
    </dataValidation>
    <dataValidation type="list" allowBlank="1" showInputMessage="1" showErrorMessage="1" sqref="G199:G203 G128:G130 G316:G318 G229:G233 E128:E130 E199:E203 E229:E233 E316:E318 E324:E326 G324:G326" xr:uid="{00000000-0002-0000-0600-000001000000}">
      <formula1>CNTR_ConnectionEntityList</formula1>
    </dataValidation>
    <dataValidation type="list" allowBlank="1" showInputMessage="1" showErrorMessage="1" sqref="E138:E140 G138:G140" xr:uid="{00000000-0002-0000-0600-000002000000}">
      <formula1>CNTR_ConnectionListAndWithinInst</formula1>
    </dataValidation>
    <dataValidation type="list" allowBlank="1" showInputMessage="1" showErrorMessage="1" sqref="M392 M280 M84" xr:uid="{00000000-0002-0000-0600-000003000000}">
      <formula1>Euconst_TrueFalse</formula1>
    </dataValidation>
    <dataValidation type="list" allowBlank="1" showInputMessage="1" sqref="H72:N74" xr:uid="{00000000-0002-0000-0600-000004000000}">
      <formula1>EUconst_NA</formula1>
    </dataValidation>
    <dataValidation type="decimal" operator="greaterThanOrEqual" allowBlank="1" showInputMessage="1" showErrorMessage="1" sqref="H21:N22 H43:N50 H113:N116 H128:N130 H138:N140 H161:N161 H163:N163 H169:N178 H199:N203 H223:N223 H229:N233 H262:N265 H307:N307 H316:N318 H324:N326 H360:N360 H376:N376 H381:N381 H399:N400 H403:N403 H406:N406 H412:N412" xr:uid="{00000000-0002-0000-0600-000005000000}">
      <formula1>0</formula1>
    </dataValidation>
  </dataValidations>
  <hyperlinks>
    <hyperlink ref="G2:H2" location="JUMP_TOC_Home" display="Table of contents" xr:uid="{00000000-0004-0000-0600-000000000000}"/>
    <hyperlink ref="M2:N2" location="JUMP_K_I" display="Summary" xr:uid="{00000000-0004-0000-0600-000001000000}"/>
    <hyperlink ref="I2:J2" location="JUMP_D_Top" display="Previous sheet" xr:uid="{00000000-0004-0000-0600-000002000000}"/>
    <hyperlink ref="E3:F3" location="JUMP_E_Top" display="Top of sheet" xr:uid="{00000000-0004-0000-0600-000003000000}"/>
    <hyperlink ref="D419:N419" location="JUMP_F_Top" display="&lt;&lt;&lt; Click here to proceed to next sheet &gt;&gt;&gt; " xr:uid="{00000000-0004-0000-0600-000004000000}"/>
    <hyperlink ref="E4:F4" location="JUMP_E_Bottom" display="End of sheet" xr:uid="{00000000-0004-0000-0600-000005000000}"/>
    <hyperlink ref="K2:L2" location="JUMP_F_Top" display="Next sheet" xr:uid="{00000000-0004-0000-0600-000006000000}"/>
    <hyperlink ref="G3:H3" location="JUMP_E_I" display="Attribution of Fuels" xr:uid="{00000000-0004-0000-0600-000007000000}"/>
    <hyperlink ref="I3:J3" location="JUMP_E_II" display="Measurable heat (general)" xr:uid="{00000000-0004-0000-0600-000008000000}"/>
    <hyperlink ref="M3:N3" location="JUMP_E_III" display="Waste gases" xr:uid="{00000000-0004-0000-0600-000009000000}"/>
    <hyperlink ref="K3:L3" location="JUMP_E_HeatFinal" display="JUMP_E_HeatFinal" xr:uid="{00000000-0004-0000-0600-00000A000000}"/>
    <hyperlink ref="G4:H4" location="JUMP_E_IV" display="JUMP_E_IV" xr:uid="{00000000-0004-0000-0600-00000B000000}"/>
    <hyperlink ref="E37:M37" location="JUMP_D_III" display="For attributing emissions from cogeneration (CHP) to production of heat and electricity, the &quot;CHP tool&quot; in section D.III. has to be used." xr:uid="{00000000-0004-0000-0600-00000C000000}"/>
    <hyperlink ref="E69:M69" location="JUMP_D_III" display="For attributing emissions from cogeneration (CHP) to production of heat and electricity, the &quot;CHP tool&quot; in section D.III. has to be used." xr:uid="{00000000-0004-0000-0600-00000D000000}"/>
  </hyperlinks>
  <pageMargins left="0.78740157480314965" right="0.78740157480314965" top="0.78740157480314965" bottom="0.78740157480314965" header="0.51181102362204722" footer="0.51181102362204722"/>
  <pageSetup paperSize="9" scale="48" fitToHeight="10" orientation="portrait" r:id="rId1"/>
  <headerFooter alignWithMargins="0">
    <oddHeader>&amp;L&amp;F; &amp;A&amp;R&amp;D; &amp;T</oddHeader>
    <oddFooter>&amp;C&amp;P / &amp;N</oddFooter>
  </headerFooter>
  <rowBreaks count="5" manualBreakCount="5">
    <brk id="75" min="1" max="15" man="1"/>
    <brk id="144" min="1" max="15" man="1"/>
    <brk id="204" min="1" max="15" man="1"/>
    <brk id="273" min="1" max="15" man="1"/>
    <brk id="387" min="1" max="15"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tabColor indexed="48"/>
    <pageSetUpPr fitToPage="1"/>
  </sheetPr>
  <dimension ref="A1:AL2860"/>
  <sheetViews>
    <sheetView zoomScaleNormal="100" workbookViewId="0">
      <pane ySplit="5" topLeftCell="A6" activePane="bottomLeft" state="frozen"/>
      <selection pane="bottomLeft" activeCell="B2" sqref="B2:D4"/>
    </sheetView>
  </sheetViews>
  <sheetFormatPr defaultColWidth="11.453125" defaultRowHeight="12.5" x14ac:dyDescent="0.25"/>
  <cols>
    <col min="1" max="1" width="5" style="349" hidden="1" customWidth="1"/>
    <col min="2" max="2" width="2.7265625" style="349" customWidth="1"/>
    <col min="3" max="4" width="4.7265625" style="349" customWidth="1"/>
    <col min="5" max="5" width="30.7265625" style="349" customWidth="1"/>
    <col min="6" max="15" width="12.7265625" style="349" customWidth="1"/>
    <col min="16" max="16" width="25.7265625" style="349" customWidth="1"/>
    <col min="17" max="17" width="12.7265625" style="349" hidden="1" customWidth="1"/>
    <col min="18" max="38" width="11.453125" style="349" hidden="1" customWidth="1"/>
    <col min="39" max="16384" width="11.453125" style="349"/>
  </cols>
  <sheetData>
    <row r="1" spans="1:38" ht="13" hidden="1" thickBot="1" x14ac:dyDescent="0.3">
      <c r="A1" s="694" t="s">
        <v>312</v>
      </c>
      <c r="B1" s="694"/>
      <c r="C1" s="694"/>
      <c r="D1" s="694"/>
      <c r="E1" s="694"/>
      <c r="F1" s="694"/>
      <c r="G1" s="694"/>
      <c r="H1" s="694"/>
      <c r="I1" s="694"/>
      <c r="J1" s="694"/>
      <c r="K1" s="694"/>
      <c r="L1" s="694"/>
      <c r="M1" s="694"/>
      <c r="N1" s="694"/>
      <c r="O1" s="694"/>
      <c r="P1" s="694"/>
      <c r="Q1" s="694" t="s">
        <v>312</v>
      </c>
      <c r="R1" s="694" t="s">
        <v>312</v>
      </c>
      <c r="S1" s="694" t="s">
        <v>312</v>
      </c>
      <c r="T1" s="694" t="s">
        <v>312</v>
      </c>
      <c r="U1" s="694" t="s">
        <v>312</v>
      </c>
      <c r="V1" s="694" t="s">
        <v>312</v>
      </c>
      <c r="W1" s="694" t="s">
        <v>312</v>
      </c>
      <c r="X1" s="694" t="s">
        <v>312</v>
      </c>
      <c r="Y1" s="694" t="s">
        <v>312</v>
      </c>
      <c r="Z1" s="694" t="s">
        <v>312</v>
      </c>
      <c r="AA1" s="694" t="s">
        <v>312</v>
      </c>
      <c r="AB1" s="694" t="s">
        <v>312</v>
      </c>
      <c r="AC1" s="694" t="s">
        <v>312</v>
      </c>
      <c r="AD1" s="694" t="s">
        <v>312</v>
      </c>
      <c r="AE1" s="694" t="s">
        <v>312</v>
      </c>
      <c r="AF1" s="694" t="s">
        <v>312</v>
      </c>
      <c r="AG1" s="694" t="s">
        <v>312</v>
      </c>
      <c r="AH1" s="694" t="s">
        <v>312</v>
      </c>
      <c r="AI1" s="694" t="s">
        <v>312</v>
      </c>
      <c r="AJ1" s="694" t="s">
        <v>312</v>
      </c>
      <c r="AK1" s="694" t="s">
        <v>312</v>
      </c>
      <c r="AL1" s="694" t="s">
        <v>312</v>
      </c>
    </row>
    <row r="2" spans="1:38" ht="13.5" thickBot="1" x14ac:dyDescent="0.35">
      <c r="A2" s="694"/>
      <c r="B2" s="2879" t="str">
        <f>Translations!$B$470</f>
        <v>F.</v>
      </c>
      <c r="C2" s="2880"/>
      <c r="D2" s="2881"/>
      <c r="E2" s="2351" t="str">
        <f>Translations!$B$2</f>
        <v>Навигационно меню:</v>
      </c>
      <c r="F2" s="2352"/>
      <c r="G2" s="2466" t="str">
        <f>Translations!$B$16</f>
        <v>Съдържание</v>
      </c>
      <c r="H2" s="2233"/>
      <c r="I2" s="2233" t="str">
        <f>Translations!$B$17</f>
        <v>Предходен лист</v>
      </c>
      <c r="J2" s="2233"/>
      <c r="K2" s="2233" t="str">
        <f>Translations!$B$3</f>
        <v>Следващ лист</v>
      </c>
      <c r="L2" s="2233"/>
      <c r="M2" s="2233" t="str">
        <f>Translations!$B$4</f>
        <v>Обобщение</v>
      </c>
      <c r="N2" s="2233"/>
      <c r="O2" s="302"/>
      <c r="P2" s="2511" t="str">
        <f>Translations!$B$1314</f>
        <v>НЕЗАДЪЛЖИТЕЛНО:  
Колона за коментари 
(напр. каквито и да е било промени)</v>
      </c>
      <c r="Q2" s="729"/>
      <c r="R2" s="1163" t="s">
        <v>1179</v>
      </c>
      <c r="S2" s="1164" t="str">
        <f>ADDRESS(ROW($B$6),COLUMN($B$6)) &amp; ":" &amp; ADDRESS(MATCH("PRINT",$Q:$Q,0),COLUMN($P$6))</f>
        <v>$B$6:$P$292</v>
      </c>
      <c r="T2" s="729"/>
      <c r="U2" s="729"/>
      <c r="V2" s="729"/>
      <c r="W2" s="729"/>
      <c r="X2" s="729"/>
      <c r="Y2" s="729"/>
      <c r="Z2" s="1165"/>
      <c r="AA2" s="1165"/>
      <c r="AB2" s="1165"/>
      <c r="AC2" s="1165"/>
      <c r="AD2" s="1165"/>
      <c r="AE2" s="1165"/>
      <c r="AF2" s="1165"/>
      <c r="AG2" s="1165"/>
      <c r="AH2" s="1165"/>
      <c r="AI2" s="1165"/>
      <c r="AJ2" s="1165"/>
      <c r="AK2" s="1165"/>
      <c r="AL2" s="729"/>
    </row>
    <row r="3" spans="1:38" ht="13.5" thickBot="1" x14ac:dyDescent="0.3">
      <c r="A3" s="694"/>
      <c r="B3" s="2234"/>
      <c r="C3" s="2235"/>
      <c r="D3" s="2882"/>
      <c r="E3" s="2233" t="str">
        <f>Translations!$B$5</f>
        <v>Начало на листа</v>
      </c>
      <c r="F3" s="2477"/>
      <c r="G3" s="2877" t="str">
        <f>HYPERLINK("#" &amp; ADDRESS(MATCH(Q3,$C:$C,0),3),IF(INDEX(CNTR_SubInstListIsProdBM,Q3),"BM "&amp;Q3&amp;": "&amp;INDEX(CNTR_SubInstListNames,Q3),IF(CNTR_ExistSubInstEntries,"",EUconst_BM&amp;" "&amp;Q3)))</f>
        <v>Показател 1</v>
      </c>
      <c r="H3" s="2875"/>
      <c r="I3" s="2875" t="str">
        <f>HYPERLINK("#" &amp; ADDRESS(MATCH(S3,$C:$C,0),3),IF(INDEX(CNTR_SubInstListIsProdBM,S3),"BM "&amp;S3&amp;": "&amp;INDEX(CNTR_SubInstListNames,S3),IF(CNTR_ExistSubInstEntries,"",EUconst_BM&amp;" "&amp;S3)))</f>
        <v>Показател 2</v>
      </c>
      <c r="J3" s="2875"/>
      <c r="K3" s="2875" t="str">
        <f>HYPERLINK("#" &amp; ADDRESS(MATCH(U3,$C:$C,0),3),IF(INDEX(CNTR_SubInstListIsProdBM,U3),"BM "&amp;U3&amp;": "&amp;INDEX(CNTR_SubInstListNames,U3),IF(CNTR_ExistSubInstEntries,"",EUconst_BM&amp;" "&amp;U3)))</f>
        <v>Показател 3</v>
      </c>
      <c r="L3" s="2875"/>
      <c r="M3" s="2875" t="str">
        <f>HYPERLINK("#" &amp; ADDRESS(MATCH(W3,$C:$C,0),3),IF(INDEX(CNTR_SubInstListIsProdBM,W3),"BM "&amp;W3&amp;": "&amp;INDEX(CNTR_SubInstListNames,W3),IF(CNTR_ExistSubInstEntries,"",EUconst_BM&amp;" "&amp;W3)))</f>
        <v>Показател 4</v>
      </c>
      <c r="N3" s="2875"/>
      <c r="O3" s="302"/>
      <c r="P3" s="2512"/>
      <c r="Q3" s="2872">
        <v>1</v>
      </c>
      <c r="R3" s="2873"/>
      <c r="S3" s="2871">
        <v>2</v>
      </c>
      <c r="T3" s="2871"/>
      <c r="U3" s="2871">
        <v>3</v>
      </c>
      <c r="V3" s="2871"/>
      <c r="W3" s="2871">
        <v>4</v>
      </c>
      <c r="X3" s="2871"/>
      <c r="Y3" s="729"/>
      <c r="Z3" s="729"/>
      <c r="AA3" s="729"/>
      <c r="AB3" s="729"/>
      <c r="AC3" s="729"/>
      <c r="AD3" s="729"/>
      <c r="AE3" s="729"/>
      <c r="AF3" s="729"/>
      <c r="AG3" s="729"/>
      <c r="AH3" s="729"/>
      <c r="AI3" s="729"/>
      <c r="AJ3" s="729"/>
      <c r="AK3" s="729"/>
      <c r="AL3" s="729"/>
    </row>
    <row r="4" spans="1:38" ht="13.5" thickBot="1" x14ac:dyDescent="0.3">
      <c r="A4" s="694"/>
      <c r="B4" s="2883"/>
      <c r="C4" s="2884"/>
      <c r="D4" s="2885"/>
      <c r="E4" s="2233" t="str">
        <f>Translations!$B$6</f>
        <v>Край на листа</v>
      </c>
      <c r="F4" s="2233"/>
      <c r="G4" s="2876" t="str">
        <f>HYPERLINK("#" &amp; ADDRESS(MATCH(Q4,$C:$C,0),3),IF(INDEX(CNTR_SubInstListIsProdBM,Q4),"BM "&amp;Q4&amp;": "&amp;INDEX(CNTR_SubInstListNames,Q4),IF(CNTR_ExistSubInstEntries,"",EUconst_BM&amp;" "&amp;Q4)))</f>
        <v>Показател 5</v>
      </c>
      <c r="H4" s="2870"/>
      <c r="I4" s="2870" t="str">
        <f>HYPERLINK("#" &amp; ADDRESS(MATCH(S4,$C:$C,0),3),IF(INDEX(CNTR_SubInstListIsProdBM,S4),"BM "&amp;S4&amp;": "&amp;INDEX(CNTR_SubInstListNames,S4),IF(CNTR_ExistSubInstEntries,"",EUconst_BM&amp;" "&amp;S4)))</f>
        <v>Показател 6</v>
      </c>
      <c r="J4" s="2870"/>
      <c r="K4" s="2870" t="str">
        <f>HYPERLINK("#" &amp; ADDRESS(MATCH(U4,$C:$C,0),3),IF(INDEX(CNTR_SubInstListIsProdBM,U4),"BM "&amp;U4&amp;": "&amp;INDEX(CNTR_SubInstListNames,U4),IF(CNTR_ExistSubInstEntries,"",EUconst_BM&amp;" "&amp;U4)))</f>
        <v>Показател 7</v>
      </c>
      <c r="L4" s="2870"/>
      <c r="M4" s="2869" t="str">
        <f>HYPERLINK("#" &amp; ADDRESS(MATCH(W4,$C:$C,0),3),IF(INDEX(CNTR_SubInstListIsProdBM,W4),"BM "&amp;W4&amp;": "&amp;INDEX(CNTR_SubInstListNames,W4),IF(CNTR_ExistSubInstEntries,"",EUconst_BM&amp;" "&amp;W4)))</f>
        <v>Показател 8</v>
      </c>
      <c r="N4" s="2870"/>
      <c r="O4" s="302"/>
      <c r="P4" s="2512"/>
      <c r="Q4" s="2868">
        <v>5</v>
      </c>
      <c r="R4" s="2795"/>
      <c r="S4" s="2795">
        <v>6</v>
      </c>
      <c r="T4" s="2795"/>
      <c r="U4" s="2795">
        <v>7</v>
      </c>
      <c r="V4" s="2795"/>
      <c r="W4" s="2795">
        <v>8</v>
      </c>
      <c r="X4" s="2795"/>
      <c r="Y4" s="729"/>
      <c r="Z4" s="729"/>
      <c r="AA4" s="729"/>
      <c r="AB4" s="729"/>
      <c r="AC4" s="729"/>
      <c r="AD4" s="729"/>
      <c r="AE4" s="729"/>
      <c r="AF4" s="729"/>
      <c r="AG4" s="729"/>
      <c r="AH4" s="729"/>
      <c r="AI4" s="729"/>
      <c r="AJ4" s="729"/>
      <c r="AK4" s="729"/>
      <c r="AL4" s="729"/>
    </row>
    <row r="5" spans="1:38" ht="13.5" thickBot="1" x14ac:dyDescent="0.3">
      <c r="A5" s="694"/>
      <c r="B5" s="286"/>
      <c r="C5" s="286"/>
      <c r="D5" s="286"/>
      <c r="E5" s="220"/>
      <c r="F5" s="220"/>
      <c r="G5" s="2870" t="str">
        <f>HYPERLINK("#" &amp; ADDRESS(MATCH(Q5,$C:$C,0),3),IF(INDEX(CNTR_SubInstListIsProdBM,Q5),"BM "&amp;Q5&amp;": "&amp;INDEX(CNTR_SubInstListNames,Q5),IF(CNTR_ExistSubInstEntries,"",EUconst_BM&amp;" "&amp;Q5)))</f>
        <v>Показател 9</v>
      </c>
      <c r="H5" s="2870"/>
      <c r="I5" s="2870" t="str">
        <f>HYPERLINK("#" &amp; ADDRESS(MATCH(S5,$C:$C,0),3),IF(INDEX(CNTR_SubInstListIsProdBM,S5),"BM "&amp;S5&amp;": "&amp;INDEX(CNTR_SubInstListNames,S5),IF(CNTR_ExistSubInstEntries,"",EUconst_BM&amp;" "&amp;S5)))</f>
        <v>Показател 10</v>
      </c>
      <c r="J5" s="2870"/>
      <c r="K5" s="2878"/>
      <c r="L5" s="2878"/>
      <c r="M5" s="2878"/>
      <c r="N5" s="2878"/>
      <c r="O5" s="302"/>
      <c r="P5" s="2513"/>
      <c r="Q5" s="2868">
        <v>9</v>
      </c>
      <c r="R5" s="2795"/>
      <c r="S5" s="2874">
        <v>10</v>
      </c>
      <c r="T5" s="2867"/>
      <c r="U5" s="2874"/>
      <c r="V5" s="2867"/>
      <c r="W5" s="2867"/>
      <c r="X5" s="2867"/>
      <c r="Y5" s="729"/>
      <c r="Z5" s="729"/>
      <c r="AA5" s="729"/>
      <c r="AB5" s="729"/>
      <c r="AC5" s="729"/>
      <c r="AD5" s="729"/>
      <c r="AE5" s="729"/>
      <c r="AF5" s="729"/>
      <c r="AG5" s="729"/>
      <c r="AH5" s="729"/>
      <c r="AI5" s="729"/>
      <c r="AJ5" s="729"/>
      <c r="AK5" s="729"/>
      <c r="AL5" s="729"/>
    </row>
    <row r="6" spans="1:38" x14ac:dyDescent="0.25">
      <c r="A6" s="694"/>
      <c r="B6" s="298"/>
      <c r="C6" s="1166"/>
      <c r="D6" s="298"/>
      <c r="E6" s="298"/>
      <c r="F6" s="296"/>
      <c r="G6" s="296"/>
      <c r="H6" s="296"/>
      <c r="I6" s="298"/>
      <c r="J6" s="298"/>
      <c r="K6" s="298"/>
      <c r="L6" s="298"/>
      <c r="M6" s="302"/>
      <c r="N6" s="302"/>
      <c r="O6" s="302"/>
      <c r="P6" s="302"/>
      <c r="Q6" s="729"/>
      <c r="R6" s="85"/>
      <c r="S6" s="729"/>
      <c r="T6" s="729"/>
      <c r="U6" s="729"/>
      <c r="V6" s="729"/>
      <c r="W6" s="729"/>
      <c r="X6" s="729"/>
      <c r="Y6" s="729"/>
      <c r="Z6" s="729"/>
      <c r="AA6" s="729"/>
      <c r="AB6" s="729"/>
      <c r="AC6" s="729"/>
      <c r="AD6" s="729"/>
      <c r="AE6" s="729"/>
      <c r="AF6" s="729"/>
      <c r="AG6" s="729"/>
      <c r="AH6" s="729"/>
      <c r="AI6" s="729"/>
      <c r="AJ6" s="729"/>
      <c r="AK6" s="729"/>
      <c r="AL6" s="729"/>
    </row>
    <row r="7" spans="1:38" ht="23.25" customHeight="1" x14ac:dyDescent="0.25">
      <c r="A7" s="694"/>
      <c r="B7" s="298"/>
      <c r="C7" s="297" t="s">
        <v>698</v>
      </c>
      <c r="D7" s="2259" t="str">
        <f>Translations!$B$471</f>
        <v>Работен лист „ProductBM“ („Продуктов показател“) — ДАННИ ЗА ПОДИНСТАЛАЦИИТЕ, СВЪРЗАНИ С ПРОДУКТОВИТЕ ПОКАЗАТЕЛИ</v>
      </c>
      <c r="E7" s="2249"/>
      <c r="F7" s="2249"/>
      <c r="G7" s="2249"/>
      <c r="H7" s="2249"/>
      <c r="I7" s="2249"/>
      <c r="J7" s="2249"/>
      <c r="K7" s="2249"/>
      <c r="L7" s="2249"/>
      <c r="M7" s="2249"/>
      <c r="N7" s="2249"/>
      <c r="O7" s="302"/>
      <c r="P7" s="302"/>
      <c r="Q7" s="694"/>
      <c r="R7" s="694"/>
      <c r="S7" s="694"/>
      <c r="T7" s="694"/>
      <c r="U7" s="694"/>
      <c r="V7" s="694"/>
      <c r="W7" s="694"/>
      <c r="X7" s="694"/>
      <c r="Y7" s="694"/>
      <c r="Z7" s="694"/>
      <c r="AA7" s="694"/>
      <c r="AB7" s="694"/>
      <c r="AC7" s="694"/>
      <c r="AD7" s="694"/>
      <c r="AE7" s="694"/>
      <c r="AF7" s="694"/>
      <c r="AG7" s="694"/>
      <c r="AH7" s="694"/>
      <c r="AI7" s="694"/>
      <c r="AJ7" s="694"/>
      <c r="AK7" s="694"/>
      <c r="AL7" s="694"/>
    </row>
    <row r="8" spans="1:38" ht="5.15" customHeight="1" x14ac:dyDescent="0.25">
      <c r="A8" s="694"/>
      <c r="B8" s="298"/>
      <c r="C8" s="298"/>
      <c r="D8" s="298"/>
      <c r="E8" s="298"/>
      <c r="F8" s="298"/>
      <c r="G8" s="298"/>
      <c r="H8" s="298"/>
      <c r="I8" s="298"/>
      <c r="J8" s="298"/>
      <c r="K8" s="298"/>
      <c r="L8" s="298"/>
      <c r="M8" s="302"/>
      <c r="N8" s="302"/>
      <c r="O8" s="302"/>
      <c r="P8" s="302"/>
      <c r="Q8" s="1165"/>
      <c r="R8" s="1165"/>
      <c r="S8" s="1165"/>
      <c r="T8" s="1165"/>
      <c r="U8" s="1165"/>
      <c r="V8" s="1165"/>
      <c r="W8" s="1165"/>
      <c r="X8" s="1165"/>
      <c r="Y8" s="1165"/>
      <c r="Z8" s="1165"/>
      <c r="AA8" s="1165"/>
      <c r="AB8" s="1165"/>
      <c r="AC8" s="1165"/>
      <c r="AD8" s="1165"/>
      <c r="AE8" s="1165"/>
      <c r="AF8" s="1165"/>
      <c r="AG8" s="1165"/>
      <c r="AH8" s="1165"/>
      <c r="AI8" s="1165"/>
      <c r="AJ8" s="1165"/>
      <c r="AK8" s="1165"/>
      <c r="AL8" s="1165"/>
    </row>
    <row r="9" spans="1:38" ht="15" customHeight="1" x14ac:dyDescent="0.25">
      <c r="A9" s="694"/>
      <c r="B9" s="298"/>
      <c r="C9" s="298"/>
      <c r="D9" s="298"/>
      <c r="E9" s="2846" t="str">
        <f>Translations!$B$472</f>
        <v>Навигационната лента по-горе съдържа само връзки към съответните подинсталации, изброени в раздел A.III.1.</v>
      </c>
      <c r="F9" s="2846"/>
      <c r="G9" s="2846"/>
      <c r="H9" s="2846"/>
      <c r="I9" s="2846"/>
      <c r="J9" s="2846"/>
      <c r="K9" s="2846"/>
      <c r="L9" s="2846"/>
      <c r="M9" s="2846"/>
      <c r="N9" s="302"/>
      <c r="O9" s="302"/>
      <c r="P9" s="302"/>
      <c r="Q9" s="834" t="s">
        <v>232</v>
      </c>
      <c r="R9" s="834" t="s">
        <v>232</v>
      </c>
      <c r="S9" s="834" t="s">
        <v>232</v>
      </c>
      <c r="T9" s="834" t="s">
        <v>232</v>
      </c>
      <c r="U9" s="834" t="s">
        <v>232</v>
      </c>
      <c r="V9" s="834" t="s">
        <v>232</v>
      </c>
      <c r="W9" s="834" t="s">
        <v>232</v>
      </c>
      <c r="X9" s="834" t="s">
        <v>232</v>
      </c>
      <c r="Y9" s="834" t="s">
        <v>232</v>
      </c>
      <c r="Z9" s="834" t="s">
        <v>232</v>
      </c>
      <c r="AA9" s="834" t="s">
        <v>232</v>
      </c>
      <c r="AB9" s="834" t="s">
        <v>232</v>
      </c>
      <c r="AC9" s="834" t="s">
        <v>232</v>
      </c>
      <c r="AD9" s="834" t="s">
        <v>232</v>
      </c>
      <c r="AE9" s="834" t="s">
        <v>232</v>
      </c>
      <c r="AF9" s="834" t="s">
        <v>232</v>
      </c>
      <c r="AG9" s="834" t="s">
        <v>232</v>
      </c>
      <c r="AH9" s="834" t="s">
        <v>232</v>
      </c>
      <c r="AI9" s="834" t="s">
        <v>232</v>
      </c>
      <c r="AJ9" s="834" t="s">
        <v>232</v>
      </c>
      <c r="AK9" s="834" t="s">
        <v>232</v>
      </c>
      <c r="AL9" s="834" t="s">
        <v>232</v>
      </c>
    </row>
    <row r="10" spans="1:38" ht="13" thickBot="1" x14ac:dyDescent="0.3">
      <c r="A10" s="694"/>
      <c r="B10" s="298"/>
      <c r="C10" s="298"/>
      <c r="D10" s="298"/>
      <c r="E10" s="298"/>
      <c r="F10" s="298"/>
      <c r="G10" s="298"/>
      <c r="H10" s="298"/>
      <c r="I10" s="298"/>
      <c r="J10" s="298"/>
      <c r="K10" s="298"/>
      <c r="L10" s="298"/>
      <c r="M10" s="302"/>
      <c r="N10" s="302"/>
      <c r="O10" s="302"/>
      <c r="P10" s="302"/>
      <c r="Q10" s="1167" t="s">
        <v>740</v>
      </c>
      <c r="R10" s="1167" t="s">
        <v>740</v>
      </c>
      <c r="S10" s="1167" t="s">
        <v>740</v>
      </c>
      <c r="T10" s="1167" t="s">
        <v>740</v>
      </c>
      <c r="U10" s="1167" t="s">
        <v>740</v>
      </c>
      <c r="V10" s="1167" t="s">
        <v>740</v>
      </c>
      <c r="W10" s="1167" t="s">
        <v>740</v>
      </c>
      <c r="X10" s="1167" t="s">
        <v>740</v>
      </c>
      <c r="Y10" s="1167" t="s">
        <v>740</v>
      </c>
      <c r="Z10" s="1167" t="s">
        <v>740</v>
      </c>
      <c r="AA10" s="1167" t="s">
        <v>740</v>
      </c>
      <c r="AB10" s="1167" t="s">
        <v>740</v>
      </c>
      <c r="AC10" s="1167" t="s">
        <v>740</v>
      </c>
      <c r="AD10" s="1167" t="s">
        <v>740</v>
      </c>
      <c r="AE10" s="1167" t="s">
        <v>740</v>
      </c>
      <c r="AF10" s="1167" t="s">
        <v>740</v>
      </c>
      <c r="AG10" s="1167" t="s">
        <v>740</v>
      </c>
      <c r="AH10" s="1167" t="s">
        <v>740</v>
      </c>
      <c r="AI10" s="1167" t="s">
        <v>740</v>
      </c>
      <c r="AJ10" s="1167" t="s">
        <v>740</v>
      </c>
      <c r="AK10" s="1167" t="s">
        <v>740</v>
      </c>
      <c r="AL10" s="1167" t="s">
        <v>740</v>
      </c>
    </row>
    <row r="11" spans="1:38" ht="16" thickBot="1" x14ac:dyDescent="0.3">
      <c r="A11" s="694"/>
      <c r="B11" s="298"/>
      <c r="C11" s="1168" t="s">
        <v>1048</v>
      </c>
      <c r="D11" s="2245" t="str">
        <f>Translations!$B$473</f>
        <v>Исторически равнища на дейност и разбивка на данните за производството</v>
      </c>
      <c r="E11" s="2245"/>
      <c r="F11" s="2245"/>
      <c r="G11" s="2245"/>
      <c r="H11" s="2245"/>
      <c r="I11" s="2245"/>
      <c r="J11" s="2245"/>
      <c r="K11" s="2245"/>
      <c r="L11" s="2245"/>
      <c r="M11" s="2245"/>
      <c r="N11" s="2245"/>
      <c r="O11" s="302"/>
      <c r="P11" s="302"/>
      <c r="Q11" s="1169" t="s">
        <v>774</v>
      </c>
      <c r="R11" s="1170"/>
      <c r="S11" s="1170"/>
      <c r="T11" s="1170"/>
      <c r="U11" s="1170"/>
      <c r="V11" s="1170"/>
      <c r="W11" s="1170"/>
      <c r="X11" s="1170"/>
      <c r="Y11" s="1170"/>
      <c r="Z11" s="1170"/>
      <c r="AA11" s="1170"/>
      <c r="AB11" s="1170"/>
      <c r="AC11" s="1170"/>
      <c r="AD11" s="1170"/>
      <c r="AE11" s="1170"/>
      <c r="AF11" s="1170"/>
      <c r="AG11" s="1170"/>
      <c r="AH11" s="1170"/>
      <c r="AI11" s="1170"/>
      <c r="AJ11" s="1170"/>
      <c r="AK11" s="1171" t="s">
        <v>1073</v>
      </c>
      <c r="AL11" s="1172"/>
    </row>
    <row r="12" spans="1:38" ht="5.15" customHeight="1" thickBot="1" x14ac:dyDescent="0.3">
      <c r="A12" s="694"/>
      <c r="B12" s="298"/>
      <c r="C12" s="298"/>
      <c r="D12" s="298"/>
      <c r="E12" s="298"/>
      <c r="F12" s="298"/>
      <c r="G12" s="298"/>
      <c r="H12" s="298"/>
      <c r="I12" s="298"/>
      <c r="J12" s="298"/>
      <c r="K12" s="298"/>
      <c r="L12" s="298"/>
      <c r="M12" s="302"/>
      <c r="N12" s="302"/>
      <c r="O12" s="302"/>
      <c r="P12" s="302"/>
      <c r="Q12" s="729"/>
      <c r="R12" s="694"/>
      <c r="S12" s="729"/>
      <c r="T12" s="729"/>
      <c r="U12" s="694"/>
      <c r="V12" s="694"/>
      <c r="W12" s="694"/>
      <c r="X12" s="694"/>
      <c r="Y12" s="694"/>
      <c r="Z12" s="694"/>
      <c r="AA12" s="694"/>
      <c r="AB12" s="694"/>
      <c r="AC12" s="694"/>
      <c r="AD12" s="694"/>
      <c r="AE12" s="694"/>
      <c r="AF12" s="694"/>
      <c r="AG12" s="694"/>
      <c r="AH12" s="694"/>
      <c r="AI12" s="694"/>
      <c r="AJ12" s="694"/>
      <c r="AK12" s="694"/>
      <c r="AL12" s="694"/>
    </row>
    <row r="13" spans="1:38" ht="14.5" thickBot="1" x14ac:dyDescent="0.3">
      <c r="A13" s="694"/>
      <c r="B13" s="298"/>
      <c r="C13" s="1173">
        <v>1</v>
      </c>
      <c r="D13" s="2323" t="str">
        <f>EUconst_BMSubinst &amp; ":"</f>
        <v>Подинсталация с продуктов показател:</v>
      </c>
      <c r="E13" s="2249"/>
      <c r="F13" s="2249"/>
      <c r="G13" s="2249"/>
      <c r="H13" s="2295"/>
      <c r="I13" s="2843" t="str">
        <f>IF(INDEX(CNTR_SubInstListIsProdBM,$C13),INDEX(CNTR_SubInstListNames,$C13),"")</f>
        <v/>
      </c>
      <c r="J13" s="2844"/>
      <c r="K13" s="2844"/>
      <c r="L13" s="2844"/>
      <c r="M13" s="2844"/>
      <c r="N13" s="2865"/>
      <c r="O13" s="302"/>
      <c r="P13" s="302"/>
      <c r="Q13" s="1026">
        <f>C13</f>
        <v>1</v>
      </c>
      <c r="R13" s="694"/>
      <c r="S13" s="1174" t="str">
        <f>Translations!$B$898</f>
        <v>Дата на въвеждане в експлоатация:</v>
      </c>
      <c r="T13" s="1175" t="str">
        <f>IF(I13="","",MAX(INDEX(CNTR_SubInstStartDate,MATCH($I13,CNTR_SubInstListNames,0)),DATE(2005,1,1)))</f>
        <v/>
      </c>
      <c r="U13" s="729" t="s">
        <v>1731</v>
      </c>
      <c r="V13" s="1176">
        <f>IF(ISNUMBER(T13),YEAR($T13-IF(YEAR(T13)&gt;=2022,0,1))+1,2005)</f>
        <v>2005</v>
      </c>
      <c r="W13" s="1174" t="s">
        <v>1734</v>
      </c>
      <c r="X13" s="1175" t="str">
        <f>IF(I13="","",INDEX(CNTR_SubInstCessationDate,MATCH($I13,CNTR_SubInstListNames,0)))</f>
        <v/>
      </c>
      <c r="Y13" s="1174" t="s">
        <v>1735</v>
      </c>
      <c r="Z13" s="1176">
        <f>IF(SUM(X13)=0,2050,YEAR($X13))</f>
        <v>2050</v>
      </c>
      <c r="AA13" s="1174" t="s">
        <v>2009</v>
      </c>
      <c r="AB13" s="1176" t="b">
        <f>CNTR_ReportingYear&gt;V13</f>
        <v>1</v>
      </c>
      <c r="AC13" s="694"/>
      <c r="AD13" s="694"/>
      <c r="AE13" s="694"/>
      <c r="AF13" s="694"/>
      <c r="AG13" s="694"/>
      <c r="AH13" s="694"/>
      <c r="AI13" s="694"/>
      <c r="AJ13" s="694"/>
      <c r="AK13" s="694"/>
      <c r="AL13" s="1177" t="b">
        <f>AND(CNTR_ExistSubInstEntries,I13="")</f>
        <v>0</v>
      </c>
    </row>
    <row r="14" spans="1:38" x14ac:dyDescent="0.25">
      <c r="A14" s="694"/>
      <c r="B14" s="298"/>
      <c r="C14" s="298"/>
      <c r="D14" s="302"/>
      <c r="E14" s="2358" t="str">
        <f>Translations!$B$330</f>
        <v>Наименованието на подинсталацията с продуктов показател се показва автоматично въз основа на данните, въведени в лист „A_InstallationData“ („А_Данни за инсталацията“).</v>
      </c>
      <c r="F14" s="2249"/>
      <c r="G14" s="2249"/>
      <c r="H14" s="2249"/>
      <c r="I14" s="2249"/>
      <c r="J14" s="2249"/>
      <c r="K14" s="2249"/>
      <c r="L14" s="2249"/>
      <c r="M14" s="2249"/>
      <c r="N14" s="2249"/>
      <c r="O14" s="302"/>
      <c r="P14" s="302"/>
      <c r="Q14" s="729"/>
      <c r="R14" s="694"/>
      <c r="S14" s="729"/>
      <c r="T14" s="729"/>
      <c r="U14" s="694"/>
      <c r="V14" s="694"/>
      <c r="W14" s="694"/>
      <c r="X14" s="694"/>
      <c r="Y14" s="694"/>
      <c r="Z14" s="694"/>
      <c r="AA14" s="694"/>
      <c r="AB14" s="694"/>
      <c r="AC14" s="694"/>
      <c r="AD14" s="694"/>
      <c r="AE14" s="694"/>
      <c r="AF14" s="694"/>
      <c r="AG14" s="694"/>
      <c r="AH14" s="694"/>
      <c r="AI14" s="694"/>
      <c r="AJ14" s="694"/>
      <c r="AK14" s="694"/>
      <c r="AL14" s="694"/>
    </row>
    <row r="15" spans="1:38" ht="5.15" customHeight="1" x14ac:dyDescent="0.25">
      <c r="A15" s="694"/>
      <c r="B15" s="298"/>
      <c r="C15" s="298"/>
      <c r="D15" s="298"/>
      <c r="E15" s="298"/>
      <c r="F15" s="298"/>
      <c r="G15" s="298"/>
      <c r="H15" s="298"/>
      <c r="I15" s="298"/>
      <c r="J15" s="298"/>
      <c r="K15" s="298"/>
      <c r="L15" s="298"/>
      <c r="M15" s="302"/>
      <c r="N15" s="302"/>
      <c r="O15" s="302"/>
      <c r="P15" s="302"/>
      <c r="Q15" s="729"/>
      <c r="R15" s="694"/>
      <c r="S15" s="729"/>
      <c r="T15" s="729"/>
      <c r="U15" s="694"/>
      <c r="V15" s="694"/>
      <c r="W15" s="694"/>
      <c r="X15" s="694"/>
      <c r="Y15" s="694"/>
      <c r="Z15" s="694"/>
      <c r="AA15" s="694"/>
      <c r="AB15" s="694"/>
      <c r="AC15" s="694"/>
      <c r="AD15" s="694"/>
      <c r="AE15" s="694"/>
      <c r="AF15" s="694"/>
      <c r="AG15" s="694"/>
      <c r="AH15" s="694"/>
      <c r="AI15" s="694"/>
      <c r="AJ15" s="694"/>
      <c r="AK15" s="694"/>
      <c r="AL15" s="694"/>
    </row>
    <row r="16" spans="1:38" ht="13" x14ac:dyDescent="0.25">
      <c r="A16" s="694"/>
      <c r="B16" s="298"/>
      <c r="C16" s="298"/>
      <c r="D16" s="300" t="s">
        <v>408</v>
      </c>
      <c r="E16" s="2226" t="str">
        <f>Translations!$B$1315</f>
        <v>Равнища на дейност</v>
      </c>
      <c r="F16" s="2249"/>
      <c r="G16" s="2249"/>
      <c r="H16" s="2249"/>
      <c r="I16" s="2249"/>
      <c r="J16" s="2249"/>
      <c r="K16" s="2249"/>
      <c r="L16" s="2249"/>
      <c r="M16" s="2249"/>
      <c r="N16" s="2249"/>
      <c r="O16" s="302"/>
      <c r="P16" s="302"/>
      <c r="Q16" s="729"/>
      <c r="R16" s="694"/>
      <c r="S16" s="694"/>
      <c r="T16" s="694"/>
      <c r="U16" s="694"/>
      <c r="V16" s="694"/>
      <c r="W16" s="694"/>
      <c r="X16" s="694"/>
      <c r="Y16" s="694"/>
      <c r="Z16" s="694"/>
      <c r="AA16" s="694"/>
      <c r="AB16" s="694"/>
      <c r="AC16" s="694"/>
      <c r="AD16" s="694"/>
      <c r="AE16" s="694"/>
      <c r="AF16" s="694"/>
      <c r="AG16" s="694"/>
      <c r="AH16" s="694"/>
      <c r="AI16" s="694"/>
      <c r="AJ16" s="694"/>
      <c r="AK16" s="694"/>
      <c r="AL16" s="694"/>
    </row>
    <row r="17" spans="1:38" x14ac:dyDescent="0.25">
      <c r="A17" s="694"/>
      <c r="B17" s="298"/>
      <c r="C17" s="298"/>
      <c r="D17" s="302"/>
      <c r="E17" s="2358" t="str">
        <f>Translations!$B$474</f>
        <v>По тази точка следва да се отчетат „основните равнища на дейност“, т.е. данните, които се прилагат пряко за изчисляване на разпределението.</v>
      </c>
      <c r="F17" s="2249"/>
      <c r="G17" s="2249"/>
      <c r="H17" s="2249"/>
      <c r="I17" s="2249"/>
      <c r="J17" s="2249"/>
      <c r="K17" s="2249"/>
      <c r="L17" s="2249"/>
      <c r="M17" s="2249"/>
      <c r="N17" s="2249"/>
      <c r="O17" s="302"/>
      <c r="P17" s="302"/>
      <c r="Q17" s="729"/>
      <c r="R17" s="694"/>
      <c r="S17" s="729"/>
      <c r="T17" s="729"/>
      <c r="U17" s="729"/>
      <c r="V17" s="694"/>
      <c r="W17" s="694"/>
      <c r="X17" s="694"/>
      <c r="Y17" s="694"/>
      <c r="Z17" s="694"/>
      <c r="AA17" s="694"/>
      <c r="AB17" s="694"/>
      <c r="AC17" s="694"/>
      <c r="AD17" s="694"/>
      <c r="AE17" s="694"/>
      <c r="AF17" s="694"/>
      <c r="AG17" s="694"/>
      <c r="AH17" s="694"/>
      <c r="AI17" s="694"/>
      <c r="AJ17" s="694"/>
      <c r="AK17" s="694"/>
      <c r="AL17" s="694"/>
    </row>
    <row r="18" spans="1:38" x14ac:dyDescent="0.25">
      <c r="A18" s="694"/>
      <c r="B18" s="298"/>
      <c r="C18" s="298"/>
      <c r="D18" s="302"/>
      <c r="E18" s="2358" t="str">
        <f>Translations!$B$475</f>
        <v xml:space="preserve">Това обикновено са производствените данни за продукта, напр. тонове клинкер за сив цимент или тонове стъклени бутилки, както е определено в приложение I към ПБР. </v>
      </c>
      <c r="F18" s="2249"/>
      <c r="G18" s="2249"/>
      <c r="H18" s="2249"/>
      <c r="I18" s="2249"/>
      <c r="J18" s="2249"/>
      <c r="K18" s="2249"/>
      <c r="L18" s="2249"/>
      <c r="M18" s="2249"/>
      <c r="N18" s="2249"/>
      <c r="O18" s="302"/>
      <c r="P18" s="302"/>
      <c r="Q18" s="729"/>
      <c r="R18" s="694"/>
      <c r="S18" s="729"/>
      <c r="T18" s="729"/>
      <c r="U18" s="729"/>
      <c r="V18" s="694"/>
      <c r="W18" s="694"/>
      <c r="X18" s="694"/>
      <c r="Y18" s="694"/>
      <c r="Z18" s="694"/>
      <c r="AA18" s="694"/>
      <c r="AB18" s="694"/>
      <c r="AC18" s="694"/>
      <c r="AD18" s="694"/>
      <c r="AE18" s="694"/>
      <c r="AF18" s="694"/>
      <c r="AG18" s="694"/>
      <c r="AH18" s="694"/>
      <c r="AI18" s="694"/>
      <c r="AJ18" s="694"/>
      <c r="AK18" s="694"/>
      <c r="AL18" s="694"/>
    </row>
    <row r="19" spans="1:38" x14ac:dyDescent="0.25">
      <c r="A19" s="694"/>
      <c r="B19" s="298"/>
      <c r="C19" s="298"/>
      <c r="D19" s="302"/>
      <c r="E19" s="2358" t="str">
        <f>Translations!$B$476</f>
        <v>Въпреки това, ако се покаже съобщение съгласно буква b), трябва да се използва съответният инструмент за изчисляване, а резултатите от него автоматично се копират в тази таблица в ii).</v>
      </c>
      <c r="F19" s="2249"/>
      <c r="G19" s="2249"/>
      <c r="H19" s="2249"/>
      <c r="I19" s="2249"/>
      <c r="J19" s="2249"/>
      <c r="K19" s="2249"/>
      <c r="L19" s="2249"/>
      <c r="M19" s="2249"/>
      <c r="N19" s="2249"/>
      <c r="O19" s="302"/>
      <c r="P19" s="302"/>
      <c r="Q19" s="729"/>
      <c r="R19" s="694"/>
      <c r="S19" s="729"/>
      <c r="T19" s="694"/>
      <c r="U19" s="694"/>
      <c r="V19" s="694"/>
      <c r="W19" s="694"/>
      <c r="X19" s="694"/>
      <c r="Y19" s="694"/>
      <c r="Z19" s="729"/>
      <c r="AA19" s="694"/>
      <c r="AB19" s="694"/>
      <c r="AC19" s="694"/>
      <c r="AD19" s="694"/>
      <c r="AE19" s="694"/>
      <c r="AF19" s="694"/>
      <c r="AG19" s="694"/>
      <c r="AH19" s="694"/>
      <c r="AI19" s="694"/>
      <c r="AJ19" s="694"/>
      <c r="AK19" s="694"/>
      <c r="AL19" s="694"/>
    </row>
    <row r="20" spans="1:38" ht="13.5" customHeight="1" thickBot="1" x14ac:dyDescent="0.3">
      <c r="A20" s="694"/>
      <c r="B20" s="698"/>
      <c r="C20" s="698"/>
      <c r="D20" s="300"/>
      <c r="E20" s="2671" t="str">
        <f>Translations!$B$477</f>
        <v>Годишни равнища на дейност:</v>
      </c>
      <c r="F20" s="2671"/>
      <c r="G20" s="527" t="str">
        <f>EUconst_Unit</f>
        <v>Единица мярка</v>
      </c>
      <c r="H20" s="391">
        <f>H$2831</f>
        <v>2024</v>
      </c>
      <c r="I20" s="572">
        <f t="shared" ref="I20:N20" si="0">I$2831</f>
        <v>2025</v>
      </c>
      <c r="J20" s="757">
        <f>J$2831</f>
        <v>2026</v>
      </c>
      <c r="K20" s="391">
        <f t="shared" si="0"/>
        <v>2027</v>
      </c>
      <c r="L20" s="391">
        <f t="shared" si="0"/>
        <v>2028</v>
      </c>
      <c r="M20" s="391">
        <f t="shared" si="0"/>
        <v>2029</v>
      </c>
      <c r="N20" s="387">
        <f t="shared" si="0"/>
        <v>2030</v>
      </c>
      <c r="O20" s="302"/>
      <c r="P20" s="302"/>
      <c r="Q20" s="729"/>
      <c r="R20" s="694"/>
      <c r="S20" s="694"/>
      <c r="T20" s="1178">
        <f t="shared" ref="T20:Z20" si="1">H20</f>
        <v>2024</v>
      </c>
      <c r="U20" s="1178">
        <f t="shared" si="1"/>
        <v>2025</v>
      </c>
      <c r="V20" s="1178">
        <f t="shared" si="1"/>
        <v>2026</v>
      </c>
      <c r="W20" s="1178">
        <f t="shared" si="1"/>
        <v>2027</v>
      </c>
      <c r="X20" s="1178">
        <f t="shared" si="1"/>
        <v>2028</v>
      </c>
      <c r="Y20" s="1178">
        <f t="shared" si="1"/>
        <v>2029</v>
      </c>
      <c r="Z20" s="1178">
        <f t="shared" si="1"/>
        <v>2030</v>
      </c>
      <c r="AA20" s="694"/>
      <c r="AB20" s="694"/>
      <c r="AC20" s="1178">
        <f>H$20</f>
        <v>2024</v>
      </c>
      <c r="AD20" s="1178">
        <f t="shared" ref="AD20:AI20" si="2">I$20</f>
        <v>2025</v>
      </c>
      <c r="AE20" s="1178">
        <f t="shared" si="2"/>
        <v>2026</v>
      </c>
      <c r="AF20" s="1178">
        <f t="shared" si="2"/>
        <v>2027</v>
      </c>
      <c r="AG20" s="1178">
        <f t="shared" si="2"/>
        <v>2028</v>
      </c>
      <c r="AH20" s="1178">
        <f t="shared" si="2"/>
        <v>2029</v>
      </c>
      <c r="AI20" s="1178">
        <f t="shared" si="2"/>
        <v>2030</v>
      </c>
      <c r="AJ20" s="694"/>
      <c r="AK20" s="694"/>
      <c r="AL20" s="729"/>
    </row>
    <row r="21" spans="1:38" ht="13" thickBot="1" x14ac:dyDescent="0.3">
      <c r="A21" s="694"/>
      <c r="B21" s="698"/>
      <c r="C21" s="698"/>
      <c r="D21" s="1084" t="s">
        <v>6</v>
      </c>
      <c r="E21" s="2862" t="str">
        <f>I13</f>
        <v/>
      </c>
      <c r="F21" s="2862"/>
      <c r="G21" s="1032" t="str">
        <f>IF(INDEX(CNTR_SubInstListIsProdBM,$C13),INDEX(CNTR_SubInstListHALUnit,$C13),EUconst_Tons)</f>
        <v>тона</v>
      </c>
      <c r="H21" s="98"/>
      <c r="I21" s="101"/>
      <c r="J21" s="102"/>
      <c r="K21" s="98"/>
      <c r="L21" s="98"/>
      <c r="M21" s="98"/>
      <c r="N21" s="120"/>
      <c r="O21" s="302"/>
      <c r="P21" s="158"/>
      <c r="Q21" s="694"/>
      <c r="R21" s="694"/>
      <c r="S21" s="729" t="s">
        <v>1732</v>
      </c>
      <c r="T21" s="1179" t="b">
        <f t="shared" ref="T21:Z21" si="3">AND($I13&lt;&gt;"",H20&lt;CNTR_ReportingYear,H20&gt;=$V13-1)</f>
        <v>0</v>
      </c>
      <c r="U21" s="1180" t="b">
        <f t="shared" si="3"/>
        <v>0</v>
      </c>
      <c r="V21" s="1180" t="b">
        <f t="shared" si="3"/>
        <v>0</v>
      </c>
      <c r="W21" s="1180" t="b">
        <f t="shared" si="3"/>
        <v>0</v>
      </c>
      <c r="X21" s="1180" t="b">
        <f t="shared" si="3"/>
        <v>0</v>
      </c>
      <c r="Y21" s="1180" t="b">
        <f t="shared" si="3"/>
        <v>0</v>
      </c>
      <c r="Z21" s="1181" t="b">
        <f t="shared" si="3"/>
        <v>0</v>
      </c>
      <c r="AA21" s="729"/>
      <c r="AB21" s="1182" t="s">
        <v>737</v>
      </c>
      <c r="AC21" s="1183" t="b">
        <f t="shared" ref="AC21:AI21" si="4">IF(CNTR_ExistSubInstEntries,OR($I13="",$R25,H20&gt;=CNTR_ReportingYear,AC20&lt;$V13-1),FALSE)</f>
        <v>0</v>
      </c>
      <c r="AD21" s="1184" t="b">
        <f t="shared" si="4"/>
        <v>0</v>
      </c>
      <c r="AE21" s="1184" t="b">
        <f t="shared" si="4"/>
        <v>0</v>
      </c>
      <c r="AF21" s="1184" t="b">
        <f t="shared" si="4"/>
        <v>0</v>
      </c>
      <c r="AG21" s="1184" t="b">
        <f t="shared" si="4"/>
        <v>0</v>
      </c>
      <c r="AH21" s="1184" t="b">
        <f t="shared" si="4"/>
        <v>0</v>
      </c>
      <c r="AI21" s="1185" t="b">
        <f t="shared" si="4"/>
        <v>0</v>
      </c>
      <c r="AJ21" s="1174" t="s">
        <v>2039</v>
      </c>
      <c r="AK21" s="1176" t="str">
        <f>IF(AND(CNTR_ExistSubInstEntries,COUNTIFS(AC21:AI21,FALSE,H21:N21,"")&gt;0),EUconst_Error&amp;"BM"&amp;$Q13,"")</f>
        <v/>
      </c>
      <c r="AL21" s="694"/>
    </row>
    <row r="22" spans="1:38" ht="13" customHeight="1" thickBot="1" x14ac:dyDescent="0.3">
      <c r="A22" s="694"/>
      <c r="B22" s="698"/>
      <c r="C22" s="698"/>
      <c r="D22" s="1084" t="s">
        <v>7</v>
      </c>
      <c r="E22" s="2862" t="str">
        <f>Translations!$B$478</f>
        <v>От работен лист „H_SpecialBM“ („H_Специфичен показател“):</v>
      </c>
      <c r="F22" s="2862"/>
      <c r="G22" s="1032" t="str">
        <f>G21</f>
        <v>тона</v>
      </c>
      <c r="H22" s="1186" t="str">
        <f>IF(OR($I13="",H20&gt;=CNTR_ReportingYear),"",IF($R25,SUMIF(H_SpecialBM!$Q$9:$Q$483,$Q22,H_SpecialBM!H$9:H$483),""))</f>
        <v/>
      </c>
      <c r="I22" s="1187" t="str">
        <f>IF(OR($I13="",I20&gt;=CNTR_ReportingYear),"",IF($R25,SUMIF(H_SpecialBM!$Q$9:$Q$483,$Q22,H_SpecialBM!I$9:I$483),""))</f>
        <v/>
      </c>
      <c r="J22" s="1188" t="str">
        <f>IF(OR($I13="",J20&gt;=CNTR_ReportingYear),"",IF($R25,SUMIF(H_SpecialBM!$Q$9:$Q$483,$Q22,H_SpecialBM!J$9:J$483),""))</f>
        <v/>
      </c>
      <c r="K22" s="1186" t="str">
        <f>IF(OR($I13="",K20&gt;=CNTR_ReportingYear),"",IF($R25,SUMIF(H_SpecialBM!$Q$9:$Q$483,$Q22,H_SpecialBM!K$9:K$483),""))</f>
        <v/>
      </c>
      <c r="L22" s="1186" t="str">
        <f>IF(OR($I13="",L20&gt;=CNTR_ReportingYear),"",IF($R25,SUMIF(H_SpecialBM!$Q$9:$Q$483,$Q22,H_SpecialBM!L$9:L$483),""))</f>
        <v/>
      </c>
      <c r="M22" s="1186" t="str">
        <f>IF(OR($I13="",M20&gt;=CNTR_ReportingYear),"",IF($R25,SUMIF(H_SpecialBM!$Q$9:$Q$483,$Q22,H_SpecialBM!M$9:M$483),""))</f>
        <v/>
      </c>
      <c r="N22" s="1189" t="str">
        <f>IF(OR($I13="",N20&gt;=CNTR_ReportingYear),"",IF($R25,SUMIF(H_SpecialBM!$Q$9:$Q$483,$Q22,H_SpecialBM!N$9:N$483),""))</f>
        <v/>
      </c>
      <c r="O22" s="302"/>
      <c r="P22" s="302"/>
      <c r="Q22" s="1190" t="str">
        <f>EUconst_CNTR_HALspecial&amp;I13</f>
        <v>HALspecial_</v>
      </c>
      <c r="R22" s="694"/>
      <c r="S22" s="694"/>
      <c r="T22" s="694"/>
      <c r="U22" s="694"/>
      <c r="V22" s="694"/>
      <c r="W22" s="694"/>
      <c r="X22" s="694"/>
      <c r="Y22" s="694"/>
      <c r="Z22" s="694"/>
      <c r="AA22" s="694"/>
      <c r="AB22" s="1182" t="s">
        <v>737</v>
      </c>
      <c r="AC22" s="1183" t="b">
        <f t="shared" ref="AC22:AI22" si="5">AND(CNTR_HasEntries_A_I,OR($R25=FALSE,H20&gt;=CNTR_ReportingYear))</f>
        <v>0</v>
      </c>
      <c r="AD22" s="1184" t="b">
        <f t="shared" si="5"/>
        <v>0</v>
      </c>
      <c r="AE22" s="1184" t="b">
        <f t="shared" si="5"/>
        <v>0</v>
      </c>
      <c r="AF22" s="1184" t="b">
        <f t="shared" si="5"/>
        <v>0</v>
      </c>
      <c r="AG22" s="1184" t="b">
        <f t="shared" si="5"/>
        <v>0</v>
      </c>
      <c r="AH22" s="1184" t="b">
        <f t="shared" si="5"/>
        <v>0</v>
      </c>
      <c r="AI22" s="1185" t="b">
        <f t="shared" si="5"/>
        <v>0</v>
      </c>
      <c r="AJ22" s="1165"/>
      <c r="AK22" s="1165"/>
      <c r="AL22" s="729"/>
    </row>
    <row r="23" spans="1:38" ht="13" customHeight="1" x14ac:dyDescent="0.25">
      <c r="A23" s="694"/>
      <c r="B23" s="698"/>
      <c r="C23" s="698"/>
      <c r="D23" s="1084" t="s">
        <v>8</v>
      </c>
      <c r="E23" s="2862" t="str">
        <f>Translations!$B$479</f>
        <v>Стойности, използвани за изчислението:</v>
      </c>
      <c r="F23" s="2862"/>
      <c r="G23" s="1032" t="str">
        <f>G22</f>
        <v>тона</v>
      </c>
      <c r="H23" s="1186" t="str">
        <f t="shared" ref="H23:N23" si="6">IF(OR($I13="",H20&gt;=CNTR_ReportingYear),"",IF($R25=TRUE,IF(ISNUMBER(H22),H22,0),IF(AND(H20&gt;=$V13-1,ISNUMBER(H21)),H21,0)))</f>
        <v/>
      </c>
      <c r="I23" s="1187" t="str">
        <f t="shared" si="6"/>
        <v/>
      </c>
      <c r="J23" s="1188" t="str">
        <f t="shared" si="6"/>
        <v/>
      </c>
      <c r="K23" s="1186" t="str">
        <f t="shared" si="6"/>
        <v/>
      </c>
      <c r="L23" s="1186" t="str">
        <f t="shared" si="6"/>
        <v/>
      </c>
      <c r="M23" s="1186" t="str">
        <f t="shared" si="6"/>
        <v/>
      </c>
      <c r="N23" s="1189" t="str">
        <f t="shared" si="6"/>
        <v/>
      </c>
      <c r="O23" s="302"/>
      <c r="P23" s="710"/>
      <c r="Q23" s="1190" t="str">
        <f>EUconst_CNTR_HAL&amp;I13</f>
        <v>HAL_</v>
      </c>
      <c r="R23" s="694"/>
      <c r="S23" s="694"/>
      <c r="T23" s="694"/>
      <c r="U23" s="694"/>
      <c r="V23" s="694"/>
      <c r="W23" s="694"/>
      <c r="X23" s="694"/>
      <c r="Y23" s="694"/>
      <c r="Z23" s="694"/>
      <c r="AA23" s="694"/>
      <c r="AB23" s="694"/>
      <c r="AC23" s="694"/>
      <c r="AD23" s="694"/>
      <c r="AE23" s="694"/>
      <c r="AF23" s="694"/>
      <c r="AG23" s="694"/>
      <c r="AH23" s="694"/>
      <c r="AI23" s="694"/>
      <c r="AJ23" s="1174" t="s">
        <v>2033</v>
      </c>
      <c r="AK23" s="982" t="str">
        <f>IF(COUNTIFS(H20:N20,"&lt;"&amp;YEAR(SUM(T13)),H23:N23,"&gt;"&amp;0)&gt;0,EUconst_Error&amp;"BM"&amp;Q13,"")</f>
        <v/>
      </c>
      <c r="AL23" s="729"/>
    </row>
    <row r="24" spans="1:38" ht="5.15" customHeight="1" x14ac:dyDescent="0.25">
      <c r="A24" s="694"/>
      <c r="B24" s="298"/>
      <c r="C24" s="298"/>
      <c r="D24" s="298"/>
      <c r="E24" s="298"/>
      <c r="F24" s="298"/>
      <c r="G24" s="298"/>
      <c r="H24" s="298"/>
      <c r="I24" s="298"/>
      <c r="J24" s="298"/>
      <c r="K24" s="298"/>
      <c r="L24" s="298"/>
      <c r="M24" s="302"/>
      <c r="N24" s="302"/>
      <c r="O24" s="302"/>
      <c r="P24" s="302"/>
      <c r="Q24" s="729"/>
      <c r="R24" s="694"/>
      <c r="S24" s="729"/>
      <c r="T24" s="729"/>
      <c r="U24" s="694"/>
      <c r="V24" s="694"/>
      <c r="W24" s="694"/>
      <c r="X24" s="694"/>
      <c r="Y24" s="694"/>
      <c r="Z24" s="694"/>
      <c r="AA24" s="694"/>
      <c r="AB24" s="694"/>
      <c r="AC24" s="694"/>
      <c r="AD24" s="694"/>
      <c r="AE24" s="694"/>
      <c r="AF24" s="694"/>
      <c r="AG24" s="694"/>
      <c r="AH24" s="694"/>
      <c r="AI24" s="694"/>
      <c r="AJ24" s="694"/>
      <c r="AK24" s="694"/>
      <c r="AL24" s="694"/>
    </row>
    <row r="25" spans="1:38" ht="13" x14ac:dyDescent="0.25">
      <c r="A25" s="694"/>
      <c r="B25" s="298"/>
      <c r="C25" s="298"/>
      <c r="D25" s="360" t="s">
        <v>18</v>
      </c>
      <c r="E25" s="2226" t="str">
        <f>Translations!$B$480</f>
        <v>Специални изисквания за докладване:</v>
      </c>
      <c r="F25" s="2226"/>
      <c r="G25" s="2317"/>
      <c r="H25" s="2858" t="str">
        <f>IF(I13="","",HYPERLINK(INDEX(EUconst_BMlistSpecialJumpTable,MATCH(I13,EUconst_BMlistNames,0)),INDEX(EUconst_BMlistSpecialReporting,MATCH(I13,EUconst_BMlistNames,0))))</f>
        <v/>
      </c>
      <c r="I25" s="2863"/>
      <c r="J25" s="2863"/>
      <c r="K25" s="2863"/>
      <c r="L25" s="2863"/>
      <c r="M25" s="2863"/>
      <c r="N25" s="2864"/>
      <c r="O25" s="302"/>
      <c r="P25" s="302"/>
      <c r="Q25" s="1174" t="s">
        <v>119</v>
      </c>
      <c r="R25" s="982" t="str">
        <f>IF(I13="","",IF(AND(INDEX(EUconst_BMlistSpecialJumpTable,MATCH(I13,EUconst_BMlistNames,0))&lt;&gt;"",INDEX(EUconst_BMlistMainNumberOfBM,MATCH(I13,EUconst_BMlistNames,0))&lt;&gt;47),TRUE,FALSE))</f>
        <v/>
      </c>
      <c r="S25" s="729"/>
      <c r="T25" s="729"/>
      <c r="U25" s="694"/>
      <c r="V25" s="694"/>
      <c r="W25" s="694"/>
      <c r="X25" s="694"/>
      <c r="Y25" s="694"/>
      <c r="Z25" s="694"/>
      <c r="AA25" s="694"/>
      <c r="AB25" s="694"/>
      <c r="AC25" s="694"/>
      <c r="AD25" s="694"/>
      <c r="AE25" s="694"/>
      <c r="AF25" s="694"/>
      <c r="AG25" s="694"/>
      <c r="AH25" s="694"/>
      <c r="AI25" s="694"/>
      <c r="AJ25" s="694"/>
      <c r="AK25" s="694"/>
      <c r="AL25" s="694"/>
    </row>
    <row r="26" spans="1:38" x14ac:dyDescent="0.25">
      <c r="A26" s="694"/>
      <c r="B26" s="298"/>
      <c r="C26" s="298"/>
      <c r="D26" s="302"/>
      <c r="E26" s="2358" t="str">
        <f>Translations!$B$481</f>
        <v>При някои продуктови показатели се изисква да се отчита специфична информация (напр. стойности на приведени по CO2 тонове (CWT)). Ако е приложимо, тук ще се покаже автоматично съобщение.</v>
      </c>
      <c r="F26" s="2249"/>
      <c r="G26" s="2249"/>
      <c r="H26" s="2249"/>
      <c r="I26" s="2249"/>
      <c r="J26" s="2249"/>
      <c r="K26" s="2249"/>
      <c r="L26" s="2249"/>
      <c r="M26" s="2249"/>
      <c r="N26" s="2249"/>
      <c r="O26" s="302"/>
      <c r="P26" s="302"/>
      <c r="Q26" s="729"/>
      <c r="R26" s="694"/>
      <c r="S26" s="729"/>
      <c r="T26" s="729"/>
      <c r="U26" s="694"/>
      <c r="V26" s="694"/>
      <c r="W26" s="694"/>
      <c r="X26" s="694"/>
      <c r="Y26" s="694"/>
      <c r="Z26" s="694"/>
      <c r="AA26" s="694"/>
      <c r="AB26" s="694"/>
      <c r="AC26" s="694"/>
      <c r="AD26" s="694"/>
      <c r="AE26" s="694"/>
      <c r="AF26" s="694"/>
      <c r="AG26" s="694"/>
      <c r="AH26" s="694"/>
      <c r="AI26" s="694"/>
      <c r="AJ26" s="694"/>
      <c r="AK26" s="694"/>
      <c r="AL26" s="694"/>
    </row>
    <row r="27" spans="1:38" ht="5.15" customHeight="1" x14ac:dyDescent="0.25">
      <c r="A27" s="694"/>
      <c r="B27" s="298"/>
      <c r="C27" s="298"/>
      <c r="D27" s="302"/>
      <c r="E27" s="302"/>
      <c r="F27" s="302"/>
      <c r="G27" s="302"/>
      <c r="H27" s="302"/>
      <c r="I27" s="302"/>
      <c r="J27" s="302"/>
      <c r="K27" s="302"/>
      <c r="L27" s="302"/>
      <c r="M27" s="302"/>
      <c r="N27" s="302"/>
      <c r="O27" s="302"/>
      <c r="P27" s="302"/>
      <c r="Q27" s="729"/>
      <c r="R27" s="694"/>
      <c r="S27" s="729"/>
      <c r="T27" s="729"/>
      <c r="U27" s="694"/>
      <c r="V27" s="694"/>
      <c r="W27" s="694"/>
      <c r="X27" s="694"/>
      <c r="Y27" s="694"/>
      <c r="Z27" s="729"/>
      <c r="AA27" s="694"/>
      <c r="AB27" s="694"/>
      <c r="AC27" s="694"/>
      <c r="AD27" s="694"/>
      <c r="AE27" s="694"/>
      <c r="AF27" s="694"/>
      <c r="AG27" s="694"/>
      <c r="AH27" s="694"/>
      <c r="AI27" s="694"/>
      <c r="AJ27" s="694"/>
      <c r="AK27" s="694"/>
      <c r="AL27" s="729"/>
    </row>
    <row r="28" spans="1:38" ht="12.75" customHeight="1" x14ac:dyDescent="0.25">
      <c r="A28" s="694"/>
      <c r="B28" s="298"/>
      <c r="C28" s="298"/>
      <c r="D28" s="300" t="s">
        <v>901</v>
      </c>
      <c r="E28" s="2226" t="str">
        <f>Translations!$B$1316</f>
        <v>Определяне на корекции на равнището на дейност</v>
      </c>
      <c r="F28" s="2249"/>
      <c r="G28" s="2249"/>
      <c r="H28" s="2249"/>
      <c r="I28" s="2249"/>
      <c r="J28" s="2249"/>
      <c r="K28" s="2249"/>
      <c r="L28" s="2249"/>
      <c r="M28" s="2249"/>
      <c r="N28" s="2249"/>
      <c r="O28" s="302"/>
      <c r="P28" s="302"/>
      <c r="Q28" s="729"/>
      <c r="R28" s="694"/>
      <c r="S28" s="729"/>
      <c r="T28" s="729"/>
      <c r="U28" s="694"/>
      <c r="V28" s="694"/>
      <c r="W28" s="694"/>
      <c r="X28" s="694"/>
      <c r="Y28" s="694"/>
      <c r="Z28" s="729"/>
      <c r="AA28" s="694"/>
      <c r="AB28" s="694"/>
      <c r="AC28" s="694"/>
      <c r="AD28" s="694"/>
      <c r="AE28" s="694"/>
      <c r="AF28" s="694"/>
      <c r="AG28" s="694"/>
      <c r="AH28" s="694"/>
      <c r="AI28" s="694"/>
      <c r="AJ28" s="694"/>
      <c r="AK28" s="694"/>
      <c r="AL28" s="729"/>
    </row>
    <row r="29" spans="1:38" ht="12.75" customHeight="1" x14ac:dyDescent="0.25">
      <c r="A29" s="694"/>
      <c r="B29" s="298"/>
      <c r="C29" s="298"/>
      <c r="D29" s="302"/>
      <c r="E29" s="2358" t="str">
        <f>Translations!$B$1317</f>
        <v>Историческото равнище на дейността (HAL) ще бъде определено автоматично за данните по буква а) по-горе и данните в лист „B+C_SubInstallations“ („B+C_Подинсталации“). За нови подинсталации HAL ще бъде показано в v. на базата на първата пълна година на експлоатация.</v>
      </c>
      <c r="F29" s="2249"/>
      <c r="G29" s="2249"/>
      <c r="H29" s="2249"/>
      <c r="I29" s="2249"/>
      <c r="J29" s="2249"/>
      <c r="K29" s="2249"/>
      <c r="L29" s="2249"/>
      <c r="M29" s="2249"/>
      <c r="N29" s="2249"/>
      <c r="O29" s="302"/>
      <c r="P29" s="302"/>
      <c r="Q29" s="729"/>
      <c r="R29" s="694"/>
      <c r="S29" s="729"/>
      <c r="T29" s="729"/>
      <c r="U29" s="729"/>
      <c r="V29" s="694"/>
      <c r="W29" s="694"/>
      <c r="X29" s="694"/>
      <c r="Y29" s="694"/>
      <c r="Z29" s="694"/>
      <c r="AA29" s="694"/>
      <c r="AB29" s="694"/>
      <c r="AC29" s="694"/>
      <c r="AD29" s="694"/>
      <c r="AE29" s="694"/>
      <c r="AF29" s="694"/>
      <c r="AG29" s="694"/>
      <c r="AH29" s="694"/>
      <c r="AI29" s="694"/>
      <c r="AJ29" s="694"/>
      <c r="AK29" s="694"/>
      <c r="AL29" s="694"/>
    </row>
    <row r="30" spans="1:38" ht="25.5" customHeight="1" x14ac:dyDescent="0.25">
      <c r="A30" s="694"/>
      <c r="B30" s="298"/>
      <c r="C30" s="298"/>
      <c r="D30" s="302"/>
      <c r="E30" s="2358" t="str">
        <f>Translations!$B$1318</f>
        <v>На базата на стойностите на HAL и данните, въведени в буква а) по-горе, тук се определят средните равнища на дейност. Разпределението ще бъде променено само ако са надвишени всички долуизброени прагове по член 5 от Регламента за ALC:</v>
      </c>
      <c r="F30" s="2249"/>
      <c r="G30" s="2249"/>
      <c r="H30" s="2249"/>
      <c r="I30" s="2249"/>
      <c r="J30" s="2249"/>
      <c r="K30" s="2249"/>
      <c r="L30" s="2249"/>
      <c r="M30" s="2249"/>
      <c r="N30" s="2249"/>
      <c r="O30" s="302"/>
      <c r="P30" s="302"/>
      <c r="Q30" s="729"/>
      <c r="R30" s="694"/>
      <c r="S30" s="729"/>
      <c r="T30" s="729"/>
      <c r="U30" s="729"/>
      <c r="V30" s="694"/>
      <c r="W30" s="694"/>
      <c r="X30" s="694"/>
      <c r="Y30" s="694"/>
      <c r="Z30" s="694"/>
      <c r="AA30" s="694"/>
      <c r="AB30" s="694"/>
      <c r="AC30" s="694"/>
      <c r="AD30" s="694"/>
      <c r="AE30" s="694"/>
      <c r="AF30" s="694"/>
      <c r="AG30" s="694"/>
      <c r="AH30" s="694"/>
      <c r="AI30" s="694"/>
      <c r="AJ30" s="694"/>
      <c r="AK30" s="694"/>
      <c r="AL30" s="694"/>
    </row>
    <row r="31" spans="1:38" ht="12.75" customHeight="1" x14ac:dyDescent="0.25">
      <c r="A31" s="694"/>
      <c r="B31" s="298"/>
      <c r="C31" s="298"/>
      <c r="D31" s="302"/>
      <c r="E31" s="1191" t="s">
        <v>1052</v>
      </c>
      <c r="F31" s="2358" t="str">
        <f>Translations!$B$1319</f>
        <v>относителните прагове (15 % и 5 % за последващи промени) за средното равнище на дейност в сравнение с HAL</v>
      </c>
      <c r="G31" s="2861"/>
      <c r="H31" s="2861"/>
      <c r="I31" s="2861"/>
      <c r="J31" s="2861"/>
      <c r="K31" s="2861"/>
      <c r="L31" s="2861"/>
      <c r="M31" s="2861"/>
      <c r="N31" s="2861"/>
      <c r="O31" s="302"/>
      <c r="P31" s="302"/>
      <c r="Q31" s="729"/>
      <c r="R31" s="694"/>
      <c r="S31" s="729"/>
      <c r="T31" s="729"/>
      <c r="U31" s="729"/>
      <c r="V31" s="694"/>
      <c r="W31" s="694"/>
      <c r="X31" s="694"/>
      <c r="Y31" s="694"/>
      <c r="Z31" s="694"/>
      <c r="AA31" s="694"/>
      <c r="AB31" s="694"/>
      <c r="AC31" s="694"/>
      <c r="AD31" s="694"/>
      <c r="AE31" s="694"/>
      <c r="AF31" s="694"/>
      <c r="AG31" s="694"/>
      <c r="AH31" s="694"/>
      <c r="AI31" s="694"/>
      <c r="AJ31" s="694"/>
      <c r="AK31" s="694"/>
      <c r="AL31" s="694"/>
    </row>
    <row r="32" spans="1:38" ht="12.75" customHeight="1" thickBot="1" x14ac:dyDescent="0.3">
      <c r="A32" s="694"/>
      <c r="B32" s="298"/>
      <c r="C32" s="298"/>
      <c r="D32" s="302"/>
      <c r="E32" s="1191" t="s">
        <v>1052</v>
      </c>
      <c r="F32" s="2358" t="str">
        <f>Translations!$B$1514</f>
        <v>абсолютния праг, т.е. промяната би довела до разлика в предварителното разпределение от най-малко 300 квоти</v>
      </c>
      <c r="G32" s="2861"/>
      <c r="H32" s="2861"/>
      <c r="I32" s="2861"/>
      <c r="J32" s="2861"/>
      <c r="K32" s="2861"/>
      <c r="L32" s="2861"/>
      <c r="M32" s="2861"/>
      <c r="N32" s="2861"/>
      <c r="O32" s="302"/>
      <c r="P32" s="302"/>
      <c r="Q32" s="729"/>
      <c r="R32" s="694"/>
      <c r="S32" s="729"/>
      <c r="T32" s="729"/>
      <c r="U32" s="729"/>
      <c r="V32" s="694"/>
      <c r="W32" s="694"/>
      <c r="X32" s="694"/>
      <c r="Y32" s="694"/>
      <c r="Z32" s="694"/>
      <c r="AA32" s="694"/>
      <c r="AB32" s="694"/>
      <c r="AC32" s="694"/>
      <c r="AD32" s="694"/>
      <c r="AE32" s="694"/>
      <c r="AF32" s="694"/>
      <c r="AG32" s="694"/>
      <c r="AH32" s="694"/>
      <c r="AI32" s="694"/>
      <c r="AJ32" s="694"/>
      <c r="AK32" s="694"/>
      <c r="AL32" s="694"/>
    </row>
    <row r="33" spans="1:38" ht="5.15" customHeight="1" thickBot="1" x14ac:dyDescent="0.3">
      <c r="A33" s="694"/>
      <c r="B33" s="298"/>
      <c r="C33" s="298"/>
      <c r="D33" s="1192"/>
      <c r="E33" s="1193"/>
      <c r="F33" s="1194"/>
      <c r="G33" s="1195"/>
      <c r="H33" s="1195"/>
      <c r="I33" s="1195"/>
      <c r="J33" s="1195"/>
      <c r="K33" s="1195"/>
      <c r="L33" s="1195"/>
      <c r="M33" s="1195"/>
      <c r="N33" s="1196"/>
      <c r="O33" s="302"/>
      <c r="P33" s="302"/>
      <c r="Q33" s="729"/>
      <c r="R33" s="694"/>
      <c r="S33" s="729"/>
      <c r="T33" s="729"/>
      <c r="U33" s="729"/>
      <c r="V33" s="694"/>
      <c r="W33" s="694"/>
      <c r="X33" s="694"/>
      <c r="Y33" s="694"/>
      <c r="Z33" s="694"/>
      <c r="AA33" s="694"/>
      <c r="AB33" s="694"/>
      <c r="AC33" s="694"/>
      <c r="AD33" s="694"/>
      <c r="AE33" s="694"/>
      <c r="AF33" s="694"/>
      <c r="AG33" s="694"/>
      <c r="AH33" s="694"/>
      <c r="AI33" s="694"/>
      <c r="AJ33" s="694"/>
      <c r="AK33" s="694"/>
      <c r="AL33" s="694"/>
    </row>
    <row r="34" spans="1:38" ht="12.75" customHeight="1" x14ac:dyDescent="0.25">
      <c r="A34" s="694"/>
      <c r="B34" s="298"/>
      <c r="C34" s="298"/>
      <c r="D34" s="1197"/>
      <c r="E34" s="1198" t="str">
        <f>Translations!$B$1196</f>
        <v>Корекции</v>
      </c>
      <c r="F34" s="1199"/>
      <c r="G34" s="1199"/>
      <c r="H34" s="1200" t="str">
        <f>EUconst_Unit</f>
        <v>Единица мярка</v>
      </c>
      <c r="I34" s="1201" t="str">
        <f>Translations!$B$1320</f>
        <v>(НМИ) HAL</v>
      </c>
      <c r="J34" s="1202">
        <f>J$2831</f>
        <v>2026</v>
      </c>
      <c r="K34" s="1203">
        <f>K$2831</f>
        <v>2027</v>
      </c>
      <c r="L34" s="1203">
        <f>L$2831</f>
        <v>2028</v>
      </c>
      <c r="M34" s="1203">
        <f>M$2831</f>
        <v>2029</v>
      </c>
      <c r="N34" s="1204">
        <f>N$2831</f>
        <v>2030</v>
      </c>
      <c r="O34" s="302"/>
      <c r="P34" s="302"/>
      <c r="Q34" s="729"/>
      <c r="R34" s="694"/>
      <c r="S34" s="694"/>
      <c r="T34" s="694"/>
      <c r="U34" s="1205"/>
      <c r="V34" s="1206">
        <f>J34</f>
        <v>2026</v>
      </c>
      <c r="W34" s="1206">
        <f>K34</f>
        <v>2027</v>
      </c>
      <c r="X34" s="1206">
        <f>L34</f>
        <v>2028</v>
      </c>
      <c r="Y34" s="1206">
        <f>M34</f>
        <v>2029</v>
      </c>
      <c r="Z34" s="1207">
        <f>N34</f>
        <v>2030</v>
      </c>
      <c r="AA34" s="694"/>
      <c r="AB34" s="694"/>
      <c r="AC34" s="694"/>
      <c r="AD34" s="694"/>
      <c r="AE34" s="694"/>
      <c r="AF34" s="694"/>
      <c r="AG34" s="694"/>
      <c r="AH34" s="694"/>
      <c r="AI34" s="694"/>
      <c r="AJ34" s="694"/>
      <c r="AK34" s="694"/>
      <c r="AL34" s="694"/>
    </row>
    <row r="35" spans="1:38" ht="12.75" customHeight="1" x14ac:dyDescent="0.25">
      <c r="A35" s="694"/>
      <c r="B35" s="298"/>
      <c r="C35" s="298"/>
      <c r="D35" s="1208" t="s">
        <v>6</v>
      </c>
      <c r="E35" s="1209" t="str">
        <f>Translations!$B$1321</f>
        <v>Средно годишно равнище на дейност (стойност в НМИ)</v>
      </c>
      <c r="F35" s="1209"/>
      <c r="G35" s="1209"/>
      <c r="H35" s="1210" t="str">
        <f>IF(INDEX(CNTR_SubInstListIsProdBM,$C13),INDEX(CNTR_SubInstListHALUnit,$C13),EUconst_Tons)</f>
        <v>тона</v>
      </c>
      <c r="I35" s="1211" t="str">
        <f>IF(V13&gt;($J$2831-3),EUconst_NA,INDEX('B+C_SubInstallations'!$I:$I,MATCH(Q35,'B+C_SubInstallations'!$T:$T,0)))</f>
        <v/>
      </c>
      <c r="J35" s="1212" t="str">
        <f>IF(AND(V35&gt;=3,CNTR_ReportingYear&gt;J34-1),AVERAGE(H23:I23),"")</f>
        <v/>
      </c>
      <c r="K35" s="1213" t="str">
        <f>IF(AND(W35&gt;=3,CNTR_ReportingYear&gt;K34-1),AVERAGE(I23:J23),"")</f>
        <v/>
      </c>
      <c r="L35" s="1213" t="str">
        <f>IF(AND(X35&gt;=3,CNTR_ReportingYear&gt;L34-1),AVERAGE(J23:K23),"")</f>
        <v/>
      </c>
      <c r="M35" s="1213" t="str">
        <f>IF(AND(Y35&gt;=3,CNTR_ReportingYear&gt;M34-1),AVERAGE(K23:L23),"")</f>
        <v/>
      </c>
      <c r="N35" s="1214" t="str">
        <f>IF(AND(Z35&gt;=3,CNTR_ReportingYear&gt;N34-1),AVERAGE(L23:M23),"")</f>
        <v/>
      </c>
      <c r="O35" s="302"/>
      <c r="P35" s="302"/>
      <c r="Q35" s="1182" t="str">
        <f>EUconst_CNTR_HALinitial&amp;I13</f>
        <v>HALini_</v>
      </c>
      <c r="R35" s="694"/>
      <c r="S35" s="694"/>
      <c r="T35" s="694"/>
      <c r="U35" s="1215" t="s">
        <v>1710</v>
      </c>
      <c r="V35" s="1176">
        <f>IF($I13="",0,V34-$V13+1)</f>
        <v>0</v>
      </c>
      <c r="W35" s="1176">
        <f>IF($I13="",0,W34-$V13+1)</f>
        <v>0</v>
      </c>
      <c r="X35" s="1176">
        <f>IF($I13="",0,X34-$V13+1)</f>
        <v>0</v>
      </c>
      <c r="Y35" s="1176">
        <f>IF($I13="",0,Y34-$V13+1)</f>
        <v>0</v>
      </c>
      <c r="Z35" s="1216">
        <f>IF($I13="",0,Z34-$V13+1)</f>
        <v>0</v>
      </c>
      <c r="AA35" s="694"/>
      <c r="AB35" s="694"/>
      <c r="AC35" s="694"/>
      <c r="AD35" s="694"/>
      <c r="AE35" s="694"/>
      <c r="AF35" s="694"/>
      <c r="AG35" s="694"/>
      <c r="AH35" s="694"/>
      <c r="AI35" s="694"/>
      <c r="AJ35" s="694"/>
      <c r="AK35" s="694"/>
      <c r="AL35" s="694"/>
    </row>
    <row r="36" spans="1:38" ht="12.75" hidden="1" customHeight="1" x14ac:dyDescent="0.25">
      <c r="A36" s="729" t="s">
        <v>312</v>
      </c>
      <c r="B36" s="298"/>
      <c r="C36" s="298"/>
      <c r="D36" s="1217"/>
      <c r="E36" s="1218" t="str">
        <f>Translations!$B$1376</f>
        <v>Промяна в сравнение с HAL</v>
      </c>
      <c r="F36" s="1218"/>
      <c r="G36" s="1218"/>
      <c r="H36" s="1219"/>
      <c r="I36" s="1220"/>
      <c r="J36" s="103" t="str">
        <f>IF(J35="","",IF($I38=0,IF(J35=0,0%,100%),J35/$I38-1))</f>
        <v/>
      </c>
      <c r="K36" s="100" t="str">
        <f>IF(K35="","",IF($I38=0,IF(K35=0,0%,100%),K35/$I38-1))</f>
        <v/>
      </c>
      <c r="L36" s="100" t="str">
        <f>IF(L35="","",IF($I38=0,IF(L35=0,0%,100%),L35/$I38-1))</f>
        <v/>
      </c>
      <c r="M36" s="100" t="str">
        <f>IF(M35="","",IF($I38=0,IF(M35=0,0%,100%),M35/$I38-1))</f>
        <v/>
      </c>
      <c r="N36" s="122" t="str">
        <f>IF(N35="","",IF($I38=0,IF(N35=0,0%,100%),N35/$I38-1))</f>
        <v/>
      </c>
      <c r="O36" s="302"/>
      <c r="P36" s="302"/>
      <c r="Q36" s="1190" t="str">
        <f>EUconst_CNTR_RelThreshold &amp; Q38</f>
        <v>RelThresh_HALprelim_</v>
      </c>
      <c r="R36" s="694"/>
      <c r="S36" s="694"/>
      <c r="T36" s="694"/>
      <c r="U36" s="1215" t="s">
        <v>1715</v>
      </c>
      <c r="V36" s="727" t="str">
        <f>IF(J35="","",ABS(J36)&gt;15%)</f>
        <v/>
      </c>
      <c r="W36" s="727" t="str">
        <f>IF(K35="","",ABS(K36)&gt;15%)</f>
        <v/>
      </c>
      <c r="X36" s="727" t="str">
        <f>IF(L35="","",ABS(L36)&gt;15%)</f>
        <v/>
      </c>
      <c r="Y36" s="727" t="str">
        <f>IF(M35="","",ABS(M36)&gt;15%)</f>
        <v/>
      </c>
      <c r="Z36" s="1221" t="str">
        <f>IF(N35="","",ABS(N36)&gt;15%)</f>
        <v/>
      </c>
      <c r="AA36" s="694"/>
      <c r="AB36" s="694"/>
      <c r="AC36" s="694"/>
      <c r="AD36" s="694"/>
      <c r="AE36" s="694"/>
      <c r="AF36" s="694"/>
      <c r="AG36" s="694"/>
      <c r="AH36" s="694"/>
      <c r="AI36" s="694"/>
      <c r="AJ36" s="694"/>
      <c r="AK36" s="694"/>
      <c r="AL36" s="729"/>
    </row>
    <row r="37" spans="1:38" ht="12.75" customHeight="1" x14ac:dyDescent="0.25">
      <c r="A37" s="729"/>
      <c r="B37" s="298"/>
      <c r="C37" s="298"/>
      <c r="D37" s="1208" t="s">
        <v>7</v>
      </c>
      <c r="E37" s="1209" t="str">
        <f>Translations!$B$1322</f>
        <v>Предварителна корекция (ако са надвишени относителните прагове)</v>
      </c>
      <c r="F37" s="1209"/>
      <c r="G37" s="1209"/>
      <c r="H37" s="1222"/>
      <c r="I37" s="1223"/>
      <c r="J37" s="1224" t="str">
        <f>IF(J35="","",IF(V36=FALSE,0%,IF(V37,J36,I43)))</f>
        <v/>
      </c>
      <c r="K37" s="1225" t="str">
        <f>IF(K35="","",IF(W36=FALSE,0%,IF(W37,K36,J43)))</f>
        <v/>
      </c>
      <c r="L37" s="1225" t="str">
        <f>IF(L35="","",IF(X36=FALSE,0%,IF(X37,L36,K43)))</f>
        <v/>
      </c>
      <c r="M37" s="1225" t="str">
        <f>IF(M35="","",IF(Y36=FALSE,0%,IF(Y37,M36,L43)))</f>
        <v/>
      </c>
      <c r="N37" s="1226" t="str">
        <f>IF(N35="","",IF(Z36=FALSE,0%,IF(Z37,N36,M43)))</f>
        <v/>
      </c>
      <c r="O37" s="302"/>
      <c r="P37" s="302"/>
      <c r="Q37" s="694"/>
      <c r="R37" s="694"/>
      <c r="S37" s="694"/>
      <c r="T37" s="694"/>
      <c r="U37" s="1215" t="s">
        <v>1716</v>
      </c>
      <c r="V37" s="727" t="str">
        <f>IF(J35="","",AND(V36,IF(SUM(I43)&lt;0,OR(SUM(J36)&lt;SUM(I43)-MOD(SUM(I43),5%),J36&gt;=SUM(I43)+5%-MOD(SUM(I43),5%)),OR(SUM(J36)&lt;=SUM(I43)-MOD(SUM(I43),5%),SUM(J36)&gt;SUM(I43)+5%-MOD(SUM(I43),5%)))))</f>
        <v/>
      </c>
      <c r="W37" s="727" t="str">
        <f>IF(K35="","",AND(W36,IF(SUM(J43)&lt;0,OR(SUM(K36)&lt;SUM(J43)-MOD(SUM(J43),5%),K36&gt;=SUM(J43)+5%-MOD(SUM(J43),5%)),OR(SUM(K36)&lt;=SUM(J43)-MOD(SUM(J43),5%),SUM(K36)&gt;SUM(J43)+5%-MOD(SUM(J43),5%)))))</f>
        <v/>
      </c>
      <c r="X37" s="727" t="str">
        <f>IF(L35="","",AND(X36,IF(SUM(K43)&lt;0,OR(SUM(L36)&lt;SUM(K43)-MOD(SUM(K43),5%),L36&gt;=SUM(K43)+5%-MOD(SUM(K43),5%)),OR(SUM(L36)&lt;=SUM(K43)-MOD(SUM(K43),5%),SUM(L36)&gt;SUM(K43)+5%-MOD(SUM(K43),5%)))))</f>
        <v/>
      </c>
      <c r="Y37" s="727" t="str">
        <f>IF(M35="","",AND(Y36,IF(SUM(L43)&lt;0,OR(SUM(M36)&lt;SUM(L43)-MOD(SUM(L43),5%),M36&gt;=SUM(L43)+5%-MOD(SUM(L43),5%)),OR(SUM(M36)&lt;=SUM(L43)-MOD(SUM(L43),5%),SUM(M36)&gt;SUM(L43)+5%-MOD(SUM(L43),5%)))))</f>
        <v/>
      </c>
      <c r="Z37" s="1221" t="str">
        <f>IF(N35="","",AND(Z36,IF(SUM(M43)&lt;0,OR(SUM(N36)&lt;SUM(M43)-MOD(SUM(M43),5%),N36&gt;=SUM(M43)+5%-MOD(SUM(M43),5%)),OR(SUM(N36)&lt;=SUM(M43)-MOD(SUM(M43),5%),SUM(N36)&gt;SUM(M43)+5%-MOD(SUM(M43),5%)))))</f>
        <v/>
      </c>
      <c r="AA37" s="694"/>
      <c r="AB37" s="694"/>
      <c r="AC37" s="694"/>
      <c r="AD37" s="694"/>
      <c r="AE37" s="694"/>
      <c r="AF37" s="694"/>
      <c r="AG37" s="694"/>
      <c r="AH37" s="694"/>
      <c r="AI37" s="694"/>
      <c r="AJ37" s="694"/>
      <c r="AK37" s="694"/>
      <c r="AL37" s="729"/>
    </row>
    <row r="38" spans="1:38" ht="12.75" hidden="1" customHeight="1" x14ac:dyDescent="0.25">
      <c r="A38" s="729" t="s">
        <v>312</v>
      </c>
      <c r="B38" s="298"/>
      <c r="C38" s="298"/>
      <c r="D38" s="1217"/>
      <c r="E38" s="1209" t="str">
        <f>Translations!$B$1377</f>
        <v>Предварителна стойност</v>
      </c>
      <c r="F38" s="1209"/>
      <c r="G38" s="1209"/>
      <c r="H38" s="1210" t="str">
        <f>H35</f>
        <v>тона</v>
      </c>
      <c r="I38" s="1211" t="str">
        <f>IF(I13="","",IF(AB13=FALSE,EUconst_NA,IF(V13&gt;($J$2831-3),INDEX(H23:N23,MATCH(V13,H20:N20,0)),SUM(I35))))</f>
        <v/>
      </c>
      <c r="J38" s="1212" t="str">
        <f>IF($I13="","",IF(V35&lt;2,SUM(J23),IF(V35&lt;3,SUM(I23),IF(V38="",I38,V38))))</f>
        <v/>
      </c>
      <c r="K38" s="1213" t="str">
        <f>IF($I13="","",IF(W35&lt;2,SUM(K23),IF(W35&lt;3,SUM(J23),IF(W38="",J38,W38))))</f>
        <v/>
      </c>
      <c r="L38" s="1213" t="str">
        <f>IF($I13="","",IF(X35&lt;2,SUM(L23),IF(X35&lt;3,SUM(K23),IF(X38="",K38,X38))))</f>
        <v/>
      </c>
      <c r="M38" s="1213" t="str">
        <f>IF($I13="","",IF(Y35&lt;2,SUM(M23),IF(Y35&lt;3,SUM(L23),IF(Y38="",L38,Y38))))</f>
        <v/>
      </c>
      <c r="N38" s="1214" t="str">
        <f>IF($I13="","",IF(Z35&lt;2,SUM(N23),IF(Z35&lt;3,SUM(M23),IF(Z38="",M38,Z38))))</f>
        <v/>
      </c>
      <c r="O38" s="302"/>
      <c r="P38" s="302"/>
      <c r="Q38" s="1182" t="str">
        <f>EUconst_CNTR_HALprelim&amp;I13</f>
        <v>HALprelim_</v>
      </c>
      <c r="R38" s="694"/>
      <c r="S38" s="694"/>
      <c r="T38" s="694"/>
      <c r="U38" s="1215" t="s">
        <v>1756</v>
      </c>
      <c r="V38" s="1227" t="str">
        <f>IF(J35="","",IF(CNTR_ReportingYear&lt;J34,I37,IF($I38=0,J35,$I38*(1+J37))))</f>
        <v/>
      </c>
      <c r="W38" s="1227" t="str">
        <f>IF(K35="","",IF(CNTR_ReportingYear&lt;K34,J37,IF($I38=0,K35,$I38*(1+K37))))</f>
        <v/>
      </c>
      <c r="X38" s="1227" t="str">
        <f>IF(L35="","",IF(CNTR_ReportingYear&lt;L34,K37,IF($I38=0,L35,$I38*(1+L37))))</f>
        <v/>
      </c>
      <c r="Y38" s="1227" t="str">
        <f>IF(M35="","",IF(CNTR_ReportingYear&lt;M34,L37,IF($I38=0,M35,$I38*(1+M37))))</f>
        <v/>
      </c>
      <c r="Z38" s="1228" t="str">
        <f>IF(N35="","",IF(CNTR_ReportingYear&lt;N34,M37,IF($I38=0,N35,$I38*(1+N37))))</f>
        <v/>
      </c>
      <c r="AA38" s="694"/>
      <c r="AB38" s="694"/>
      <c r="AC38" s="694"/>
      <c r="AD38" s="694"/>
      <c r="AE38" s="694"/>
      <c r="AF38" s="694"/>
      <c r="AG38" s="694"/>
      <c r="AH38" s="694"/>
      <c r="AI38" s="694"/>
      <c r="AJ38" s="694"/>
      <c r="AK38" s="694"/>
      <c r="AL38" s="729"/>
    </row>
    <row r="39" spans="1:38" ht="5.15" customHeight="1" x14ac:dyDescent="0.25">
      <c r="A39" s="729"/>
      <c r="B39" s="298"/>
      <c r="C39" s="298"/>
      <c r="D39" s="1217"/>
      <c r="E39" s="1199"/>
      <c r="F39" s="1199"/>
      <c r="G39" s="1199"/>
      <c r="H39" s="1199"/>
      <c r="I39" s="1199"/>
      <c r="J39" s="1229"/>
      <c r="K39" s="1229"/>
      <c r="L39" s="1229"/>
      <c r="M39" s="1229"/>
      <c r="N39" s="1230"/>
      <c r="O39" s="302"/>
      <c r="P39" s="302"/>
      <c r="Q39" s="729"/>
      <c r="R39" s="694"/>
      <c r="S39" s="694"/>
      <c r="T39" s="694"/>
      <c r="U39" s="1231"/>
      <c r="V39" s="729"/>
      <c r="W39" s="694"/>
      <c r="X39" s="694"/>
      <c r="Y39" s="694"/>
      <c r="Z39" s="1232"/>
      <c r="AA39" s="694"/>
      <c r="AB39" s="694"/>
      <c r="AC39" s="694"/>
      <c r="AD39" s="694"/>
      <c r="AE39" s="694"/>
      <c r="AF39" s="694"/>
      <c r="AG39" s="694"/>
      <c r="AH39" s="694"/>
      <c r="AI39" s="694"/>
      <c r="AJ39" s="694"/>
      <c r="AK39" s="694"/>
      <c r="AL39" s="729"/>
    </row>
    <row r="40" spans="1:38" ht="12.75" customHeight="1" x14ac:dyDescent="0.25">
      <c r="A40" s="729"/>
      <c r="B40" s="298"/>
      <c r="C40" s="298"/>
      <c r="D40" s="1217"/>
      <c r="E40" s="1233" t="str">
        <f>Translations!$B$1323</f>
        <v>Действителна корекция (база за следващи години)</v>
      </c>
      <c r="F40" s="1233"/>
      <c r="G40" s="1233"/>
      <c r="H40" s="1233"/>
      <c r="I40" s="1233"/>
      <c r="J40" s="1202">
        <f>J$2831</f>
        <v>2026</v>
      </c>
      <c r="K40" s="1203">
        <f>K$2831</f>
        <v>2027</v>
      </c>
      <c r="L40" s="1203">
        <f>L$2831</f>
        <v>2028</v>
      </c>
      <c r="M40" s="1203">
        <f>M$2831</f>
        <v>2029</v>
      </c>
      <c r="N40" s="1204">
        <f>N$2831</f>
        <v>2030</v>
      </c>
      <c r="O40" s="302"/>
      <c r="P40" s="302"/>
      <c r="Q40" s="729"/>
      <c r="R40" s="694"/>
      <c r="S40" s="694"/>
      <c r="T40" s="694"/>
      <c r="U40" s="1234"/>
      <c r="V40" s="213"/>
      <c r="W40" s="214" t="s">
        <v>2101</v>
      </c>
      <c r="X40" s="215" t="str">
        <f>IF(OR($X13=0,$X13=""),"",MIN(1,1-(DATE($Z13,12,31)-$X13)/(DATE($Z13,12,31)-DATE($Z13,1,1)+1)))</f>
        <v/>
      </c>
      <c r="Y40" s="1165"/>
      <c r="Z40" s="1235"/>
      <c r="AA40" s="694"/>
      <c r="AB40" s="694"/>
      <c r="AC40" s="694"/>
      <c r="AD40" s="694"/>
      <c r="AE40" s="694"/>
      <c r="AF40" s="694"/>
      <c r="AG40" s="694"/>
      <c r="AH40" s="694"/>
      <c r="AI40" s="694"/>
      <c r="AJ40" s="694"/>
      <c r="AK40" s="694"/>
      <c r="AL40" s="729"/>
    </row>
    <row r="41" spans="1:38" ht="12.75" customHeight="1" x14ac:dyDescent="0.25">
      <c r="A41" s="729"/>
      <c r="B41" s="298"/>
      <c r="C41" s="298"/>
      <c r="D41" s="1208" t="s">
        <v>8</v>
      </c>
      <c r="E41" s="1209" t="str">
        <f>Translations!$B$1515</f>
        <v>изпълнен ли е критерият за &gt;=300 квоти за емисии?</v>
      </c>
      <c r="F41" s="1209"/>
      <c r="G41" s="1209"/>
      <c r="H41" s="1209"/>
      <c r="I41" s="1209"/>
      <c r="J41" s="1236" t="str">
        <f>IF($I13="","",INDEX(K_Summary!J:J,MATCH($Q41,K_Summary!$P:$P,0)))</f>
        <v/>
      </c>
      <c r="K41" s="385" t="str">
        <f>IF($I13="","",INDEX(K_Summary!K:K,MATCH($Q41,K_Summary!$P:$P,0)))</f>
        <v/>
      </c>
      <c r="L41" s="385" t="str">
        <f>IF($I13="","",INDEX(K_Summary!L:L,MATCH($Q41,K_Summary!$P:$P,0)))</f>
        <v/>
      </c>
      <c r="M41" s="385" t="str">
        <f>IF($I13="","",INDEX(K_Summary!M:M,MATCH($Q41,K_Summary!$P:$P,0)))</f>
        <v/>
      </c>
      <c r="N41" s="1237" t="str">
        <f>IF($I13="","",INDEX(K_Summary!N:N,MATCH($Q41,K_Summary!$P:$P,0)))</f>
        <v/>
      </c>
      <c r="O41" s="302"/>
      <c r="P41" s="302"/>
      <c r="Q41" s="1182" t="str">
        <f>EUconst_CNTR_300EUA&amp;I13</f>
        <v>EUA300_</v>
      </c>
      <c r="R41" s="694"/>
      <c r="S41" s="694"/>
      <c r="T41" s="694"/>
      <c r="U41" s="1234"/>
      <c r="V41" s="216">
        <f>IF(V34=$Z13,$X40,1)</f>
        <v>1</v>
      </c>
      <c r="W41" s="216">
        <f>IF(W34=$Z13,$X40,1)</f>
        <v>1</v>
      </c>
      <c r="X41" s="216">
        <f>IF(X34=$Z13,$X40,1)</f>
        <v>1</v>
      </c>
      <c r="Y41" s="216">
        <f>IF(Y34=$Z13,$X40,1)</f>
        <v>1</v>
      </c>
      <c r="Z41" s="217">
        <f>IF(Z34=$Z13,$X40,1)</f>
        <v>1</v>
      </c>
      <c r="AA41" s="694"/>
      <c r="AB41" s="694"/>
      <c r="AC41" s="694"/>
      <c r="AD41" s="694"/>
      <c r="AE41" s="694"/>
      <c r="AF41" s="694"/>
      <c r="AG41" s="694"/>
      <c r="AH41" s="694"/>
      <c r="AI41" s="694"/>
      <c r="AJ41" s="694"/>
      <c r="AK41" s="694"/>
      <c r="AL41" s="729"/>
    </row>
    <row r="42" spans="1:38" ht="5.15" customHeight="1" thickBot="1" x14ac:dyDescent="0.3">
      <c r="A42" s="729"/>
      <c r="B42" s="298"/>
      <c r="C42" s="298"/>
      <c r="D42" s="1217"/>
      <c r="E42" s="1199"/>
      <c r="F42" s="1199"/>
      <c r="G42" s="1199"/>
      <c r="H42" s="1199"/>
      <c r="I42" s="1199"/>
      <c r="J42" s="1199"/>
      <c r="K42" s="1199"/>
      <c r="L42" s="1199"/>
      <c r="M42" s="1199"/>
      <c r="N42" s="1238"/>
      <c r="O42" s="302"/>
      <c r="P42" s="302"/>
      <c r="Q42" s="729"/>
      <c r="R42" s="694"/>
      <c r="S42" s="694"/>
      <c r="T42" s="694"/>
      <c r="U42" s="1231"/>
      <c r="V42" s="729"/>
      <c r="W42" s="694"/>
      <c r="X42" s="694"/>
      <c r="Y42" s="694"/>
      <c r="Z42" s="1232"/>
      <c r="AA42" s="694"/>
      <c r="AB42" s="694"/>
      <c r="AC42" s="694"/>
      <c r="AD42" s="694"/>
      <c r="AE42" s="694"/>
      <c r="AF42" s="694"/>
      <c r="AG42" s="694"/>
      <c r="AH42" s="694"/>
      <c r="AI42" s="694"/>
      <c r="AJ42" s="694"/>
      <c r="AK42" s="694"/>
      <c r="AL42" s="729"/>
    </row>
    <row r="43" spans="1:38" ht="12.75" customHeight="1" thickBot="1" x14ac:dyDescent="0.3">
      <c r="A43" s="694"/>
      <c r="B43" s="298"/>
      <c r="C43" s="298"/>
      <c r="D43" s="1208" t="s">
        <v>18</v>
      </c>
      <c r="E43" s="1209" t="str">
        <f>Translations!$B$1324</f>
        <v>Действителна корекция (ако са надвишени всички прагове)</v>
      </c>
      <c r="F43" s="1209"/>
      <c r="G43" s="1209"/>
      <c r="H43" s="1222"/>
      <c r="I43" s="1239"/>
      <c r="J43" s="1240" t="str">
        <f>IF(J41="","",IF(J34&gt;$Z13,-100%,IF(OR(J41,V35&lt;1),J37,I43)))</f>
        <v/>
      </c>
      <c r="K43" s="1241" t="str">
        <f>IF(K41="","",IF(K34&gt;$Z13,-100%,IF(OR(K41,W35&lt;1),K37,J43)))</f>
        <v/>
      </c>
      <c r="L43" s="1241" t="str">
        <f>IF(L41="","",IF(L34&gt;$Z13,-100%,IF(OR(L41,X35&lt;1),L37,K43)))</f>
        <v/>
      </c>
      <c r="M43" s="1241" t="str">
        <f>IF(M41="","",IF(M34&gt;$Z13,-100%,IF(OR(M41,Y35&lt;1),M37,L43)))</f>
        <v/>
      </c>
      <c r="N43" s="1242" t="str">
        <f>IF(N41="","",IF(N34&gt;$Z13,-100%,IF(OR(N41,Z35&lt;1),N37,M43)))</f>
        <v/>
      </c>
      <c r="O43" s="302"/>
      <c r="P43" s="710"/>
      <c r="Q43" s="1190" t="str">
        <f>EUconst_CNTR_HALAdjPct &amp; I13</f>
        <v>HALAdjPct_</v>
      </c>
      <c r="R43" s="694"/>
      <c r="S43" s="694"/>
      <c r="T43" s="694"/>
      <c r="U43" s="1231" t="s">
        <v>1718</v>
      </c>
      <c r="V43" s="1243">
        <f>J40</f>
        <v>2026</v>
      </c>
      <c r="W43" s="1243">
        <f>K40</f>
        <v>2027</v>
      </c>
      <c r="X43" s="1243">
        <f>L40</f>
        <v>2028</v>
      </c>
      <c r="Y43" s="1243">
        <f>M40</f>
        <v>2029</v>
      </c>
      <c r="Z43" s="1244">
        <f>N40</f>
        <v>2030</v>
      </c>
      <c r="AA43" s="694"/>
      <c r="AB43" s="694"/>
      <c r="AC43" s="694"/>
      <c r="AD43" s="694"/>
      <c r="AE43" s="694"/>
      <c r="AF43" s="694"/>
      <c r="AG43" s="694"/>
      <c r="AH43" s="694"/>
      <c r="AI43" s="694"/>
      <c r="AJ43" s="694"/>
      <c r="AK43" s="694"/>
      <c r="AL43" s="729"/>
    </row>
    <row r="44" spans="1:38" ht="12.75" customHeight="1" thickBot="1" x14ac:dyDescent="0.3">
      <c r="A44" s="729"/>
      <c r="B44" s="298"/>
      <c r="C44" s="298"/>
      <c r="D44" s="1208" t="s">
        <v>810</v>
      </c>
      <c r="E44" s="1209" t="str">
        <f>Translations!$B$1325</f>
        <v>Действителна стойност</v>
      </c>
      <c r="F44" s="1209"/>
      <c r="G44" s="1209"/>
      <c r="H44" s="1210" t="str">
        <f>H35</f>
        <v>тона</v>
      </c>
      <c r="I44" s="1211" t="str">
        <f>I38</f>
        <v/>
      </c>
      <c r="J44" s="632" t="str">
        <f>IF($I13="","",IF(OR($I44=0,J43="",$I44=EUconst_NA),IF(OR(J41=TRUE,J40&lt;=$V13),J38,SUM(I44)),$I44*(1+SUM(J43))))</f>
        <v/>
      </c>
      <c r="K44" s="633" t="str">
        <f>IF($I13="","",IF(OR($I44=0,K43="",$I44=EUconst_NA),IF(OR(K41=TRUE,K40&lt;=$V13),K38,SUM(J44)),$I44*(1+SUM(K43))))</f>
        <v/>
      </c>
      <c r="L44" s="633" t="str">
        <f>IF($I13="","",IF(OR($I44=0,L43="",$I44=EUconst_NA),IF(OR(L41=TRUE,L40&lt;=$V13),L38,SUM(K44)),$I44*(1+SUM(L43))))</f>
        <v/>
      </c>
      <c r="M44" s="633" t="str">
        <f>IF($I13="","",IF(OR($I44=0,M43="",$I44=EUconst_NA),IF(OR(M41=TRUE,M40&lt;=$V13),M38,SUM(L44)),$I44*(1+SUM(M43))))</f>
        <v/>
      </c>
      <c r="N44" s="634" t="str">
        <f>IF($I13="","",IF(OR($I44=0,N43="",$I44=EUconst_NA),IF(OR(N41=TRUE,N40&lt;=$V13),N38,SUM(M44)),$I44*(1+SUM(N43))))</f>
        <v/>
      </c>
      <c r="O44" s="302"/>
      <c r="P44" s="302"/>
      <c r="Q44" s="1182" t="str">
        <f>EUconst_CNTR_HALfinal&amp;I13</f>
        <v>HALfinal_</v>
      </c>
      <c r="R44" s="694"/>
      <c r="S44" s="694"/>
      <c r="T44" s="694"/>
      <c r="U44" s="1245" t="b">
        <v>0</v>
      </c>
      <c r="V44" s="1246" t="str">
        <f>IF(V21,IF(J41=TRUE,V36,U44),"")</f>
        <v/>
      </c>
      <c r="W44" s="1246" t="str">
        <f>IF(W21,IF(K41=TRUE,W36,V44),"")</f>
        <v/>
      </c>
      <c r="X44" s="1246" t="str">
        <f>IF(X21,IF(L41=TRUE,X36,W44),"")</f>
        <v/>
      </c>
      <c r="Y44" s="1246" t="str">
        <f>IF(Y21,IF(M41=TRUE,Y36,X44),"")</f>
        <v/>
      </c>
      <c r="Z44" s="1247" t="str">
        <f>IF(Z21,IF(N41=TRUE,Z36,Y44),"")</f>
        <v/>
      </c>
      <c r="AA44" s="694"/>
      <c r="AB44" s="694"/>
      <c r="AC44" s="694"/>
      <c r="AD44" s="694"/>
      <c r="AE44" s="694"/>
      <c r="AF44" s="694"/>
      <c r="AG44" s="694"/>
      <c r="AH44" s="694"/>
      <c r="AI44" s="694"/>
      <c r="AJ44" s="1174" t="s">
        <v>2033</v>
      </c>
      <c r="AK44" s="982" t="str">
        <f>IF(OR(ISERROR(J44),ISERROR(K44),ISERROR(L44),ISERROR(M44),ISERROR(N44)),EUconst_Error &amp; "BM" &amp; Q13,"")</f>
        <v/>
      </c>
      <c r="AL44" s="729"/>
    </row>
    <row r="45" spans="1:38" ht="5.15" customHeight="1" thickBot="1" x14ac:dyDescent="0.3">
      <c r="A45" s="694"/>
      <c r="B45" s="298"/>
      <c r="C45" s="298"/>
      <c r="D45" s="1248"/>
      <c r="E45" s="1249"/>
      <c r="F45" s="1249"/>
      <c r="G45" s="1249"/>
      <c r="H45" s="1249"/>
      <c r="I45" s="1249"/>
      <c r="J45" s="1249"/>
      <c r="K45" s="1249"/>
      <c r="L45" s="1249"/>
      <c r="M45" s="1249"/>
      <c r="N45" s="1250"/>
      <c r="O45" s="302"/>
      <c r="P45" s="302"/>
      <c r="Q45" s="729"/>
      <c r="R45" s="694"/>
      <c r="S45" s="694"/>
      <c r="T45" s="694"/>
      <c r="U45" s="729"/>
      <c r="V45" s="729"/>
      <c r="W45" s="694"/>
      <c r="X45" s="694"/>
      <c r="Y45" s="694"/>
      <c r="Z45" s="694"/>
      <c r="AA45" s="694"/>
      <c r="AB45" s="694"/>
      <c r="AC45" s="694"/>
      <c r="AD45" s="694"/>
      <c r="AE45" s="694"/>
      <c r="AF45" s="694"/>
      <c r="AG45" s="694"/>
      <c r="AH45" s="694"/>
      <c r="AI45" s="694"/>
      <c r="AJ45" s="694"/>
      <c r="AK45" s="694"/>
      <c r="AL45" s="729"/>
    </row>
    <row r="46" spans="1:38" ht="5.15" customHeight="1" x14ac:dyDescent="0.25">
      <c r="A46" s="694"/>
      <c r="B46" s="298"/>
      <c r="C46" s="298"/>
      <c r="D46" s="302"/>
      <c r="E46" s="302"/>
      <c r="F46" s="302"/>
      <c r="G46" s="302"/>
      <c r="H46" s="302"/>
      <c r="I46" s="302"/>
      <c r="J46" s="302"/>
      <c r="K46" s="302"/>
      <c r="L46" s="302"/>
      <c r="M46" s="302"/>
      <c r="N46" s="302"/>
      <c r="O46" s="302"/>
      <c r="P46" s="302"/>
      <c r="Q46" s="729"/>
      <c r="R46" s="694"/>
      <c r="S46" s="694"/>
      <c r="T46" s="694"/>
      <c r="U46" s="729"/>
      <c r="V46" s="729"/>
      <c r="W46" s="694"/>
      <c r="X46" s="694"/>
      <c r="Y46" s="694"/>
      <c r="Z46" s="694"/>
      <c r="AA46" s="694"/>
      <c r="AB46" s="694"/>
      <c r="AC46" s="694"/>
      <c r="AD46" s="694"/>
      <c r="AE46" s="694"/>
      <c r="AF46" s="694"/>
      <c r="AG46" s="694"/>
      <c r="AH46" s="694"/>
      <c r="AI46" s="694"/>
      <c r="AJ46" s="694"/>
      <c r="AK46" s="694"/>
      <c r="AL46" s="729"/>
    </row>
    <row r="47" spans="1:38" ht="15" customHeight="1" x14ac:dyDescent="0.25">
      <c r="A47" s="694"/>
      <c r="B47" s="698"/>
      <c r="C47" s="298"/>
      <c r="D47" s="2323" t="str">
        <f>Translations!$B$482</f>
        <v>Други корекционни коефициенти</v>
      </c>
      <c r="E47" s="2249"/>
      <c r="F47" s="2249"/>
      <c r="G47" s="2249"/>
      <c r="H47" s="2249"/>
      <c r="I47" s="2249"/>
      <c r="J47" s="2249"/>
      <c r="K47" s="2249"/>
      <c r="L47" s="2249"/>
      <c r="M47" s="2249"/>
      <c r="N47" s="2249"/>
      <c r="O47" s="302"/>
      <c r="P47" s="302"/>
      <c r="Q47" s="694"/>
      <c r="R47" s="694"/>
      <c r="S47" s="694"/>
      <c r="T47" s="694"/>
      <c r="U47" s="729"/>
      <c r="V47" s="729"/>
      <c r="W47" s="694"/>
      <c r="X47" s="694"/>
      <c r="Y47" s="694"/>
      <c r="Z47" s="694"/>
      <c r="AA47" s="694"/>
      <c r="AB47" s="694"/>
      <c r="AC47" s="694"/>
      <c r="AD47" s="694"/>
      <c r="AE47" s="694"/>
      <c r="AF47" s="694"/>
      <c r="AG47" s="694"/>
      <c r="AH47" s="694"/>
      <c r="AI47" s="694"/>
      <c r="AJ47" s="694"/>
      <c r="AK47" s="694"/>
      <c r="AL47" s="694"/>
    </row>
    <row r="48" spans="1:38" ht="5.15" customHeight="1" x14ac:dyDescent="0.25">
      <c r="A48" s="694"/>
      <c r="B48" s="298"/>
      <c r="C48" s="298"/>
      <c r="D48" s="298"/>
      <c r="E48" s="298"/>
      <c r="F48" s="298"/>
      <c r="G48" s="298"/>
      <c r="H48" s="298"/>
      <c r="I48" s="298"/>
      <c r="J48" s="298"/>
      <c r="K48" s="298"/>
      <c r="L48" s="298"/>
      <c r="M48" s="298"/>
      <c r="N48" s="298"/>
      <c r="O48" s="302"/>
      <c r="P48" s="302"/>
      <c r="Q48" s="729"/>
      <c r="R48" s="694"/>
      <c r="S48" s="694"/>
      <c r="T48" s="694"/>
      <c r="U48" s="729"/>
      <c r="V48" s="729"/>
      <c r="W48" s="694"/>
      <c r="X48" s="694"/>
      <c r="Y48" s="694"/>
      <c r="Z48" s="694"/>
      <c r="AA48" s="694"/>
      <c r="AB48" s="694"/>
      <c r="AC48" s="694"/>
      <c r="AD48" s="694"/>
      <c r="AE48" s="694"/>
      <c r="AF48" s="694"/>
      <c r="AG48" s="694"/>
      <c r="AH48" s="694"/>
      <c r="AI48" s="694"/>
      <c r="AJ48" s="694"/>
      <c r="AK48" s="694"/>
      <c r="AL48" s="694"/>
    </row>
    <row r="49" spans="1:38" ht="13" x14ac:dyDescent="0.25">
      <c r="A49" s="694"/>
      <c r="B49" s="698"/>
      <c r="C49" s="698"/>
      <c r="D49" s="300" t="s">
        <v>46</v>
      </c>
      <c r="E49" s="2463" t="str">
        <f>Translations!$B$1516</f>
        <v>Потребление на електроенергия</v>
      </c>
      <c r="F49" s="2463"/>
      <c r="G49" s="2463"/>
      <c r="H49" s="2463"/>
      <c r="I49" s="2463"/>
      <c r="J49" s="2463"/>
      <c r="K49" s="2463"/>
      <c r="L49" s="2463"/>
      <c r="M49" s="2463"/>
      <c r="N49" s="2463"/>
      <c r="O49" s="302"/>
      <c r="P49" s="302"/>
      <c r="Q49" s="694" t="s">
        <v>450</v>
      </c>
      <c r="R49" s="1026" t="str">
        <f>"#"&amp;ADDRESS(ROW(D54),COLUMN(D54))</f>
        <v>#$D$54</v>
      </c>
      <c r="S49" s="1174" t="s">
        <v>1732</v>
      </c>
      <c r="T49" s="1190" t="str">
        <f>IF(I13="","",INDEX(EUconst_BMlistElExchangability,MATCH(I13,EUconst_BMlistNames,0)))</f>
        <v/>
      </c>
      <c r="U49" s="729"/>
      <c r="V49" s="729"/>
      <c r="W49" s="694"/>
      <c r="X49" s="694"/>
      <c r="Y49" s="694"/>
      <c r="Z49" s="694"/>
      <c r="AA49" s="694"/>
      <c r="AB49" s="694"/>
      <c r="AC49" s="694"/>
      <c r="AD49" s="694"/>
      <c r="AE49" s="694"/>
      <c r="AF49" s="694"/>
      <c r="AG49" s="694"/>
      <c r="AH49" s="694"/>
      <c r="AI49" s="694"/>
      <c r="AJ49" s="694"/>
      <c r="AK49" s="694"/>
      <c r="AL49" s="694"/>
    </row>
    <row r="50" spans="1:38" ht="25.5" customHeight="1" x14ac:dyDescent="0.25">
      <c r="A50" s="694"/>
      <c r="B50" s="298"/>
      <c r="C50" s="298"/>
      <c r="D50" s="302"/>
      <c r="E50" s="2358" t="str">
        <f>Translations!$B$1517</f>
        <v>Въведете тук електроенергията, потребена в системните граници на тази подинсталация. За продуктовите показатели, изброени в раздел 2 от приложение I към ПБР, въвеждането тук на данни е задължително, като те трябва да съответстват на съответните системни граници, посочени в този раздел.</v>
      </c>
      <c r="F50" s="2249"/>
      <c r="G50" s="2249"/>
      <c r="H50" s="2249"/>
      <c r="I50" s="2249"/>
      <c r="J50" s="2249"/>
      <c r="K50" s="2249"/>
      <c r="L50" s="2249"/>
      <c r="M50" s="2249"/>
      <c r="N50" s="2249"/>
      <c r="O50" s="302"/>
      <c r="P50" s="302"/>
      <c r="Q50" s="694"/>
      <c r="R50" s="694"/>
      <c r="S50" s="694"/>
      <c r="T50" s="694"/>
      <c r="U50" s="729"/>
      <c r="V50" s="729"/>
      <c r="W50" s="694"/>
      <c r="X50" s="694"/>
      <c r="Y50" s="694"/>
      <c r="Z50" s="694"/>
      <c r="AA50" s="694"/>
      <c r="AB50" s="694"/>
      <c r="AC50" s="694"/>
      <c r="AD50" s="694"/>
      <c r="AE50" s="694"/>
      <c r="AF50" s="694"/>
      <c r="AG50" s="694"/>
      <c r="AH50" s="694"/>
      <c r="AI50" s="694"/>
      <c r="AJ50" s="694"/>
      <c r="AK50" s="694"/>
      <c r="AL50" s="694"/>
    </row>
    <row r="51" spans="1:38" s="364" customFormat="1" ht="13.5" thickBot="1" x14ac:dyDescent="0.3">
      <c r="A51" s="729"/>
      <c r="B51" s="302"/>
      <c r="C51" s="302"/>
      <c r="D51" s="300"/>
      <c r="E51" s="1013" t="str">
        <f>Translations!$B$483</f>
        <v>Параметър</v>
      </c>
      <c r="F51" s="1015"/>
      <c r="G51" s="527" t="str">
        <f>EUconst_Unit</f>
        <v>Единица мярка</v>
      </c>
      <c r="H51" s="391">
        <f>H$2831</f>
        <v>2024</v>
      </c>
      <c r="I51" s="572">
        <f>I$2831</f>
        <v>2025</v>
      </c>
      <c r="J51" s="757">
        <f>J$91</f>
        <v>2026</v>
      </c>
      <c r="K51" s="758">
        <f>K$91</f>
        <v>2027</v>
      </c>
      <c r="L51" s="391">
        <f>L$91</f>
        <v>2028</v>
      </c>
      <c r="M51" s="391">
        <f>M$91</f>
        <v>2029</v>
      </c>
      <c r="N51" s="391">
        <f>N$91</f>
        <v>2030</v>
      </c>
      <c r="O51" s="302"/>
      <c r="P51" s="302"/>
      <c r="Q51" s="729"/>
      <c r="R51" s="729"/>
      <c r="S51" s="694"/>
      <c r="T51" s="694"/>
      <c r="U51" s="729"/>
      <c r="V51" s="729"/>
      <c r="W51" s="729"/>
      <c r="X51" s="729"/>
      <c r="Y51" s="729"/>
      <c r="Z51" s="729"/>
      <c r="AA51" s="729"/>
      <c r="AB51" s="694"/>
      <c r="AC51" s="1178">
        <f t="shared" ref="AC51:AI51" si="7">H$20</f>
        <v>2024</v>
      </c>
      <c r="AD51" s="1178">
        <f t="shared" si="7"/>
        <v>2025</v>
      </c>
      <c r="AE51" s="1178">
        <f t="shared" si="7"/>
        <v>2026</v>
      </c>
      <c r="AF51" s="1178">
        <f t="shared" si="7"/>
        <v>2027</v>
      </c>
      <c r="AG51" s="1178">
        <f t="shared" si="7"/>
        <v>2028</v>
      </c>
      <c r="AH51" s="1178">
        <f t="shared" si="7"/>
        <v>2029</v>
      </c>
      <c r="AI51" s="1178">
        <f t="shared" si="7"/>
        <v>2030</v>
      </c>
      <c r="AJ51" s="694"/>
      <c r="AK51" s="694"/>
      <c r="AL51" s="694"/>
    </row>
    <row r="52" spans="1:38" s="364" customFormat="1" ht="12.75" customHeight="1" thickBot="1" x14ac:dyDescent="0.3">
      <c r="A52" s="729"/>
      <c r="B52" s="302"/>
      <c r="C52" s="302"/>
      <c r="D52" s="360"/>
      <c r="E52" s="1251" t="str">
        <f>Translations!$B$485</f>
        <v>Съответно потребление на електроенергия</v>
      </c>
      <c r="F52" s="1252"/>
      <c r="G52" s="1253" t="str">
        <f>EUconst_MWhpa</f>
        <v>MWh / година</v>
      </c>
      <c r="H52" s="39"/>
      <c r="I52" s="194"/>
      <c r="J52" s="195"/>
      <c r="K52" s="208"/>
      <c r="L52" s="39"/>
      <c r="M52" s="39"/>
      <c r="N52" s="39"/>
      <c r="O52" s="302"/>
      <c r="P52" s="158"/>
      <c r="Q52" s="982" t="str">
        <f>EUconst_CNTR_HAL&amp;EUconst_CNTR_ELEXCH &amp;I13</f>
        <v>HAL_ELEXCH_</v>
      </c>
      <c r="R52" s="729"/>
      <c r="S52" s="729"/>
      <c r="T52" s="729"/>
      <c r="U52" s="729"/>
      <c r="V52" s="729"/>
      <c r="W52" s="729"/>
      <c r="X52" s="729"/>
      <c r="Y52" s="729"/>
      <c r="Z52" s="729"/>
      <c r="AA52" s="729"/>
      <c r="AB52" s="1182" t="s">
        <v>737</v>
      </c>
      <c r="AC52" s="1254" t="b">
        <f t="shared" ref="AC52:AI52" si="8">IF(CNTR_ExistSubInstEntries,IF($I13="",TRUE,OR(H51&gt;=CNTR_ReportingYear,AC51&lt;$V13-1,INDEX(EUconst_BMlistElExchangability,MATCH($I13,EUconst_BMlistNames,0))=FALSE)),FALSE)</f>
        <v>0</v>
      </c>
      <c r="AD52" s="1255" t="b">
        <f t="shared" si="8"/>
        <v>0</v>
      </c>
      <c r="AE52" s="1255" t="b">
        <f t="shared" si="8"/>
        <v>0</v>
      </c>
      <c r="AF52" s="1255" t="b">
        <f t="shared" si="8"/>
        <v>0</v>
      </c>
      <c r="AG52" s="1255" t="b">
        <f t="shared" si="8"/>
        <v>0</v>
      </c>
      <c r="AH52" s="1255" t="b">
        <f t="shared" si="8"/>
        <v>0</v>
      </c>
      <c r="AI52" s="1256" t="b">
        <f t="shared" si="8"/>
        <v>0</v>
      </c>
      <c r="AJ52" s="1174" t="s">
        <v>2039</v>
      </c>
      <c r="AK52" s="1176" t="str">
        <f>IF(AND(CNTR_ExistSubInstEntries,COUNTIFS(AC52:AI52,FALSE,H52:N52,"")&gt;0),EUconst_Error&amp;"BM"&amp;$Q13,"")</f>
        <v/>
      </c>
      <c r="AL52" s="694"/>
    </row>
    <row r="53" spans="1:38" ht="5.15" customHeight="1" x14ac:dyDescent="0.25">
      <c r="A53" s="694"/>
      <c r="B53" s="298"/>
      <c r="C53" s="298"/>
      <c r="D53" s="298"/>
      <c r="E53" s="298"/>
      <c r="F53" s="298"/>
      <c r="G53" s="298"/>
      <c r="H53" s="298"/>
      <c r="I53" s="298"/>
      <c r="J53" s="298"/>
      <c r="K53" s="298"/>
      <c r="L53" s="298"/>
      <c r="M53" s="302"/>
      <c r="N53" s="302"/>
      <c r="O53" s="302"/>
      <c r="P53" s="302"/>
      <c r="Q53" s="729"/>
      <c r="R53" s="694"/>
      <c r="S53" s="694"/>
      <c r="T53" s="694"/>
      <c r="U53" s="694"/>
      <c r="V53" s="694"/>
      <c r="W53" s="694"/>
      <c r="X53" s="694"/>
      <c r="Y53" s="694"/>
      <c r="Z53" s="694"/>
      <c r="AA53" s="694"/>
      <c r="AB53" s="694"/>
      <c r="AC53" s="694"/>
      <c r="AD53" s="694"/>
      <c r="AE53" s="694"/>
      <c r="AF53" s="694"/>
      <c r="AG53" s="694"/>
      <c r="AH53" s="694"/>
      <c r="AI53" s="694"/>
      <c r="AJ53" s="694"/>
      <c r="AK53" s="694"/>
      <c r="AL53" s="694"/>
    </row>
    <row r="54" spans="1:38" ht="13" x14ac:dyDescent="0.25">
      <c r="A54" s="694"/>
      <c r="B54" s="298"/>
      <c r="C54" s="298"/>
      <c r="D54" s="300" t="s">
        <v>906</v>
      </c>
      <c r="E54" s="2226" t="str">
        <f>Translations!$B$487</f>
        <v>Топлинна енергия, получена от инсталации или обекти извън СТЕ:</v>
      </c>
      <c r="F54" s="2226"/>
      <c r="G54" s="2226"/>
      <c r="H54" s="2226"/>
      <c r="I54" s="2317"/>
      <c r="J54" s="2858" t="str">
        <f>IF(I13="","",HYPERLINK(R54,EUconst_MsgGoOnIfNotRelevant))</f>
        <v/>
      </c>
      <c r="K54" s="2859"/>
      <c r="L54" s="2859"/>
      <c r="M54" s="2859"/>
      <c r="N54" s="2860"/>
      <c r="O54" s="302"/>
      <c r="P54" s="302"/>
      <c r="Q54" s="694" t="s">
        <v>450</v>
      </c>
      <c r="R54" s="1026" t="str">
        <f>"#"&amp;ADDRESS(ROW(D79),COLUMN(D79))</f>
        <v>#$D$79</v>
      </c>
      <c r="S54" s="694"/>
      <c r="T54" s="694"/>
      <c r="U54" s="694"/>
      <c r="V54" s="694"/>
      <c r="W54" s="694"/>
      <c r="X54" s="694"/>
      <c r="Y54" s="694"/>
      <c r="Z54" s="694"/>
      <c r="AA54" s="694"/>
      <c r="AB54" s="694"/>
      <c r="AC54" s="694"/>
      <c r="AD54" s="694"/>
      <c r="AE54" s="694"/>
      <c r="AF54" s="694"/>
      <c r="AG54" s="694"/>
      <c r="AH54" s="694"/>
      <c r="AI54" s="694"/>
      <c r="AJ54" s="694"/>
      <c r="AK54" s="694"/>
      <c r="AL54" s="694"/>
    </row>
    <row r="55" spans="1:38" x14ac:dyDescent="0.25">
      <c r="A55" s="694"/>
      <c r="B55" s="298"/>
      <c r="C55" s="298"/>
      <c r="D55" s="302"/>
      <c r="E55" s="2358" t="str">
        <f>Translations!$B$488</f>
        <v>Съгласно член 21 от ПБР определено количество емисии трябва да се приспадне от предварителното годишно разпределение за подинсталациите с продуктов показател.</v>
      </c>
      <c r="F55" s="2249"/>
      <c r="G55" s="2249"/>
      <c r="H55" s="2249"/>
      <c r="I55" s="2249"/>
      <c r="J55" s="2249"/>
      <c r="K55" s="2249"/>
      <c r="L55" s="2249"/>
      <c r="M55" s="2249"/>
      <c r="N55" s="2249"/>
      <c r="O55" s="302"/>
      <c r="P55" s="302"/>
      <c r="Q55" s="729"/>
      <c r="R55" s="694"/>
      <c r="S55" s="694"/>
      <c r="T55" s="694"/>
      <c r="U55" s="729"/>
      <c r="V55" s="729"/>
      <c r="W55" s="694"/>
      <c r="X55" s="694"/>
      <c r="Y55" s="694"/>
      <c r="Z55" s="694"/>
      <c r="AA55" s="694"/>
      <c r="AB55" s="694"/>
      <c r="AC55" s="694"/>
      <c r="AD55" s="694"/>
      <c r="AE55" s="694"/>
      <c r="AF55" s="694"/>
      <c r="AG55" s="694"/>
      <c r="AH55" s="694"/>
      <c r="AI55" s="694"/>
      <c r="AJ55" s="694"/>
      <c r="AK55" s="694"/>
      <c r="AL55" s="694"/>
    </row>
    <row r="56" spans="1:38" x14ac:dyDescent="0.25">
      <c r="A56" s="694"/>
      <c r="B56" s="298"/>
      <c r="C56" s="298"/>
      <c r="D56" s="302"/>
      <c r="E56" s="2358" t="str">
        <f>Translations!$B$489</f>
        <v>Това количество е количеството измерима топлинна енергия, внесена от инсталации или обекти извън СТЕ (включително всяка топлинна енергия от подинсталации за производство на азотна киселина), умножено по топлинния показател.</v>
      </c>
      <c r="F56" s="2249"/>
      <c r="G56" s="2249"/>
      <c r="H56" s="2249"/>
      <c r="I56" s="2249"/>
      <c r="J56" s="2249"/>
      <c r="K56" s="2249"/>
      <c r="L56" s="2249"/>
      <c r="M56" s="2249"/>
      <c r="N56" s="2249"/>
      <c r="O56" s="302"/>
      <c r="P56" s="302"/>
      <c r="Q56" s="729"/>
      <c r="R56" s="694"/>
      <c r="S56" s="694"/>
      <c r="T56" s="694"/>
      <c r="U56" s="729"/>
      <c r="V56" s="729"/>
      <c r="W56" s="694"/>
      <c r="X56" s="694"/>
      <c r="Y56" s="694"/>
      <c r="Z56" s="694"/>
      <c r="AA56" s="694"/>
      <c r="AB56" s="694"/>
      <c r="AC56" s="694"/>
      <c r="AD56" s="694"/>
      <c r="AE56" s="694"/>
      <c r="AF56" s="694"/>
      <c r="AG56" s="694"/>
      <c r="AH56" s="694"/>
      <c r="AI56" s="694"/>
      <c r="AJ56" s="694"/>
      <c r="AK56" s="694"/>
      <c r="AL56" s="694"/>
    </row>
    <row r="57" spans="1:38" x14ac:dyDescent="0.25">
      <c r="A57" s="694"/>
      <c r="B57" s="298"/>
      <c r="C57" s="298"/>
      <c r="D57" s="302"/>
      <c r="E57" s="2358" t="str">
        <f>Translations!$B$490</f>
        <v>Моля, въведете тук съответните стойности. Имайте предвид, че стойностите трябва да съответстват на сумите за енергията, получена от източници извън СТЕ, въведени в точка E.II.c в работен лист „E_Energy flows“ („E_Енергийни потоци“).</v>
      </c>
      <c r="F57" s="2249"/>
      <c r="G57" s="2249"/>
      <c r="H57" s="2249"/>
      <c r="I57" s="2249"/>
      <c r="J57" s="2249"/>
      <c r="K57" s="2249"/>
      <c r="L57" s="2249"/>
      <c r="M57" s="2249"/>
      <c r="N57" s="2249"/>
      <c r="O57" s="302"/>
      <c r="P57" s="302"/>
      <c r="Q57" s="729"/>
      <c r="R57" s="694"/>
      <c r="S57" s="694"/>
      <c r="T57" s="694"/>
      <c r="U57" s="729"/>
      <c r="V57" s="729"/>
      <c r="W57" s="694"/>
      <c r="X57" s="694"/>
      <c r="Y57" s="694"/>
      <c r="Z57" s="694"/>
      <c r="AA57" s="694"/>
      <c r="AB57" s="694"/>
      <c r="AC57" s="694"/>
      <c r="AD57" s="694"/>
      <c r="AE57" s="694"/>
      <c r="AF57" s="694"/>
      <c r="AG57" s="694"/>
      <c r="AH57" s="694"/>
      <c r="AI57" s="694"/>
      <c r="AJ57" s="694"/>
      <c r="AK57" s="694"/>
      <c r="AL57" s="694"/>
    </row>
    <row r="58" spans="1:38" x14ac:dyDescent="0.25">
      <c r="A58" s="694"/>
      <c r="B58" s="298"/>
      <c r="C58" s="298"/>
      <c r="D58" s="302"/>
      <c r="E58" s="2358" t="str">
        <f>Translations!$B$491</f>
        <v>Освен това данните трябва да съответстват и на общото нетно количество получена измерима топлинна енергия, въведено в k). i по-долу.</v>
      </c>
      <c r="F58" s="2249"/>
      <c r="G58" s="2249"/>
      <c r="H58" s="2249"/>
      <c r="I58" s="2249"/>
      <c r="J58" s="2249"/>
      <c r="K58" s="2249"/>
      <c r="L58" s="2249"/>
      <c r="M58" s="2249"/>
      <c r="N58" s="2249"/>
      <c r="O58" s="302"/>
      <c r="P58" s="302"/>
      <c r="Q58" s="729"/>
      <c r="R58" s="694"/>
      <c r="S58" s="694"/>
      <c r="T58" s="694"/>
      <c r="U58" s="729"/>
      <c r="V58" s="729"/>
      <c r="W58" s="729"/>
      <c r="X58" s="729"/>
      <c r="Y58" s="729"/>
      <c r="Z58" s="729"/>
      <c r="AA58" s="694"/>
      <c r="AB58" s="694"/>
      <c r="AC58" s="694"/>
      <c r="AD58" s="694"/>
      <c r="AE58" s="694"/>
      <c r="AF58" s="694"/>
      <c r="AG58" s="694"/>
      <c r="AH58" s="694"/>
      <c r="AI58" s="694"/>
      <c r="AJ58" s="694"/>
      <c r="AK58" s="694"/>
      <c r="AL58" s="694"/>
    </row>
    <row r="59" spans="1:38" ht="13.5" thickBot="1" x14ac:dyDescent="0.3">
      <c r="A59" s="694"/>
      <c r="B59" s="698"/>
      <c r="C59" s="698"/>
      <c r="D59" s="300"/>
      <c r="E59" s="1013" t="str">
        <f>Translations!$B$483</f>
        <v>Параметър</v>
      </c>
      <c r="F59" s="1015"/>
      <c r="G59" s="527" t="str">
        <f>EUconst_Unit</f>
        <v>Единица мярка</v>
      </c>
      <c r="H59" s="391">
        <f>H$2831</f>
        <v>2024</v>
      </c>
      <c r="I59" s="572">
        <f>I$2831</f>
        <v>2025</v>
      </c>
      <c r="J59" s="757">
        <f>J$91</f>
        <v>2026</v>
      </c>
      <c r="K59" s="391">
        <f>K$91</f>
        <v>2027</v>
      </c>
      <c r="L59" s="391">
        <f>L$91</f>
        <v>2028</v>
      </c>
      <c r="M59" s="391">
        <f>M$91</f>
        <v>2029</v>
      </c>
      <c r="N59" s="391">
        <f>N$91</f>
        <v>2030</v>
      </c>
      <c r="O59" s="302"/>
      <c r="P59" s="302"/>
      <c r="Q59" s="694"/>
      <c r="R59" s="1031"/>
      <c r="S59" s="1174" t="s">
        <v>1906</v>
      </c>
      <c r="T59" s="1178">
        <f>H59</f>
        <v>2024</v>
      </c>
      <c r="U59" s="1178">
        <f t="shared" ref="U59:Z59" si="9">I59</f>
        <v>2025</v>
      </c>
      <c r="V59" s="1178">
        <f t="shared" si="9"/>
        <v>2026</v>
      </c>
      <c r="W59" s="1178">
        <f t="shared" si="9"/>
        <v>2027</v>
      </c>
      <c r="X59" s="1178">
        <f t="shared" si="9"/>
        <v>2028</v>
      </c>
      <c r="Y59" s="1178">
        <f t="shared" si="9"/>
        <v>2029</v>
      </c>
      <c r="Z59" s="1178">
        <f t="shared" si="9"/>
        <v>2030</v>
      </c>
      <c r="AA59" s="1031"/>
      <c r="AB59" s="694"/>
      <c r="AC59" s="1178">
        <f t="shared" ref="AC59:AI59" si="10">H$20</f>
        <v>2024</v>
      </c>
      <c r="AD59" s="1178">
        <f t="shared" si="10"/>
        <v>2025</v>
      </c>
      <c r="AE59" s="1178">
        <f t="shared" si="10"/>
        <v>2026</v>
      </c>
      <c r="AF59" s="1178">
        <f t="shared" si="10"/>
        <v>2027</v>
      </c>
      <c r="AG59" s="1178">
        <f t="shared" si="10"/>
        <v>2028</v>
      </c>
      <c r="AH59" s="1178">
        <f t="shared" si="10"/>
        <v>2029</v>
      </c>
      <c r="AI59" s="1178">
        <f t="shared" si="10"/>
        <v>2030</v>
      </c>
      <c r="AJ59" s="694"/>
      <c r="AK59" s="694"/>
      <c r="AL59" s="694"/>
    </row>
    <row r="60" spans="1:38" ht="13" customHeight="1" thickBot="1" x14ac:dyDescent="0.3">
      <c r="A60" s="694"/>
      <c r="B60" s="698"/>
      <c r="C60" s="698"/>
      <c r="D60" s="1084" t="s">
        <v>6</v>
      </c>
      <c r="E60" s="2667" t="str">
        <f>Translations!$B$492</f>
        <v>Измерима топлинна енергия, получена от източници извън СТЕ:</v>
      </c>
      <c r="F60" s="2667"/>
      <c r="G60" s="1016" t="str">
        <f>EUconst_TJpa</f>
        <v>TJ / година</v>
      </c>
      <c r="H60" s="24"/>
      <c r="I60" s="59"/>
      <c r="J60" s="60"/>
      <c r="K60" s="24"/>
      <c r="L60" s="24"/>
      <c r="M60" s="24"/>
      <c r="N60" s="24"/>
      <c r="O60" s="302"/>
      <c r="P60" s="158"/>
      <c r="Q60" s="982" t="str">
        <f>EUconst_CNTR_HAL&amp;EUconst_CNTR_nonETSMeasHeat</f>
        <v>HAL_измерима топлинна енергия извън СТЕ</v>
      </c>
      <c r="R60" s="694"/>
      <c r="S60" s="1174"/>
      <c r="T60" s="1257" t="str">
        <f t="shared" ref="T60:Z60" si="11">IF(H60="","",SUM(H60)*EUconst_HeatBMvalue)</f>
        <v/>
      </c>
      <c r="U60" s="1257" t="str">
        <f t="shared" si="11"/>
        <v/>
      </c>
      <c r="V60" s="1257" t="str">
        <f t="shared" si="11"/>
        <v/>
      </c>
      <c r="W60" s="1257" t="str">
        <f t="shared" si="11"/>
        <v/>
      </c>
      <c r="X60" s="1257" t="str">
        <f t="shared" si="11"/>
        <v/>
      </c>
      <c r="Y60" s="1257" t="str">
        <f t="shared" si="11"/>
        <v/>
      </c>
      <c r="Z60" s="1257" t="str">
        <f t="shared" si="11"/>
        <v/>
      </c>
      <c r="AA60" s="694"/>
      <c r="AB60" s="1182" t="s">
        <v>737</v>
      </c>
      <c r="AC60" s="1183" t="b">
        <f t="shared" ref="AC60:AI60" si="12">IF(CNTR_ExistSubInstEntries,OR($I13="",H20&gt;=CNTR_ReportingYear,AC59&lt;$V13-1),FALSE)</f>
        <v>0</v>
      </c>
      <c r="AD60" s="1184" t="b">
        <f t="shared" si="12"/>
        <v>0</v>
      </c>
      <c r="AE60" s="1184" t="b">
        <f t="shared" si="12"/>
        <v>0</v>
      </c>
      <c r="AF60" s="1184" t="b">
        <f t="shared" si="12"/>
        <v>0</v>
      </c>
      <c r="AG60" s="1184" t="b">
        <f t="shared" si="12"/>
        <v>0</v>
      </c>
      <c r="AH60" s="1184" t="b">
        <f t="shared" si="12"/>
        <v>0</v>
      </c>
      <c r="AI60" s="1185" t="b">
        <f t="shared" si="12"/>
        <v>0</v>
      </c>
      <c r="AJ60" s="1174" t="s">
        <v>2039</v>
      </c>
      <c r="AK60" s="1176" t="str">
        <f>IF(AND(CNTR_ExistSubInstEntries,COUNTIFS(AC60:AI60,FALSE,H60:N60,"")&gt;0),EUconst_Error&amp;"BM"&amp;$Q13,"")</f>
        <v/>
      </c>
      <c r="AL60" s="694"/>
    </row>
    <row r="61" spans="1:38" ht="25.5" customHeight="1" x14ac:dyDescent="0.25">
      <c r="A61" s="694"/>
      <c r="B61" s="698"/>
      <c r="C61" s="698"/>
      <c r="D61" s="1084" t="s">
        <v>7</v>
      </c>
      <c r="E61" s="1258" t="str">
        <f>Translations!$B$493</f>
        <v>Проверка на съответствието с работен лист „E_Energy flows“ („E_Енергийни потоци“):</v>
      </c>
      <c r="F61" s="1258"/>
      <c r="G61" s="1259" t="s">
        <v>1053</v>
      </c>
      <c r="H61" s="16" t="str">
        <f>IF(AND(ISNUMBER(H60),ISNUMBER(E_EnergyFlows!H$141)), H60/E_EnergyFlows!H$141*100,"")</f>
        <v/>
      </c>
      <c r="I61" s="105" t="str">
        <f>IF(AND(ISNUMBER(I60),ISNUMBER(E_EnergyFlows!I$141)), I60/E_EnergyFlows!I$141*100,"")</f>
        <v/>
      </c>
      <c r="J61" s="107" t="str">
        <f>IF(AND(ISNUMBER(J60),ISNUMBER(E_EnergyFlows!J$141)), J60/E_EnergyFlows!J$141*100,"")</f>
        <v/>
      </c>
      <c r="K61" s="16" t="str">
        <f>IF(AND(ISNUMBER(K60),ISNUMBER(E_EnergyFlows!K$141)), K60/E_EnergyFlows!K$141*100,"")</f>
        <v/>
      </c>
      <c r="L61" s="16" t="str">
        <f>IF(AND(ISNUMBER(L60),ISNUMBER(E_EnergyFlows!L$141)), L60/E_EnergyFlows!L$141*100,"")</f>
        <v/>
      </c>
      <c r="M61" s="16" t="str">
        <f>IF(AND(ISNUMBER(M60),ISNUMBER(E_EnergyFlows!M$141)), M60/E_EnergyFlows!M$141*100,"")</f>
        <v/>
      </c>
      <c r="N61" s="16" t="str">
        <f>IF(AND(ISNUMBER(N60),ISNUMBER(E_EnergyFlows!N$141)), N60/E_EnergyFlows!N$141*100,"")</f>
        <v/>
      </c>
      <c r="O61" s="302"/>
      <c r="P61" s="302"/>
      <c r="Q61" s="1033" t="str">
        <f>EUconst_CNTR_HEAT &amp; I13</f>
        <v>HEAT_</v>
      </c>
      <c r="R61" s="729"/>
      <c r="S61" s="694"/>
      <c r="T61" s="694"/>
      <c r="U61" s="729"/>
      <c r="V61" s="729"/>
      <c r="W61" s="694"/>
      <c r="X61" s="694"/>
      <c r="Y61" s="694"/>
      <c r="Z61" s="694"/>
      <c r="AA61" s="694"/>
      <c r="AB61" s="694"/>
      <c r="AC61" s="694"/>
      <c r="AD61" s="694"/>
      <c r="AE61" s="694"/>
      <c r="AF61" s="694"/>
      <c r="AG61" s="694"/>
      <c r="AH61" s="694"/>
      <c r="AI61" s="694"/>
      <c r="AJ61" s="694"/>
      <c r="AK61" s="694"/>
      <c r="AL61" s="694"/>
    </row>
    <row r="62" spans="1:38" ht="12.65" customHeight="1" x14ac:dyDescent="0.25">
      <c r="A62" s="694"/>
      <c r="B62" s="698"/>
      <c r="C62" s="698"/>
      <c r="D62" s="1084" t="s">
        <v>8</v>
      </c>
      <c r="E62" s="1260" t="str">
        <f>Translations!$B$494</f>
        <v>Проверка на съответствието с k).i):</v>
      </c>
      <c r="F62" s="1261"/>
      <c r="G62" s="1262" t="s">
        <v>1053</v>
      </c>
      <c r="H62" s="15" t="str">
        <f t="shared" ref="H62:N62" si="13">IF(AND(H185&gt;0,ISNUMBER(H60)), H60/H185*100,"")</f>
        <v/>
      </c>
      <c r="I62" s="106" t="str">
        <f t="shared" si="13"/>
        <v/>
      </c>
      <c r="J62" s="108" t="str">
        <f t="shared" si="13"/>
        <v/>
      </c>
      <c r="K62" s="15" t="str">
        <f t="shared" si="13"/>
        <v/>
      </c>
      <c r="L62" s="15" t="str">
        <f t="shared" si="13"/>
        <v/>
      </c>
      <c r="M62" s="15" t="str">
        <f t="shared" si="13"/>
        <v/>
      </c>
      <c r="N62" s="15" t="str">
        <f t="shared" si="13"/>
        <v/>
      </c>
      <c r="O62" s="302"/>
      <c r="P62" s="302"/>
      <c r="Q62" s="694"/>
      <c r="R62" s="694"/>
      <c r="S62" s="694"/>
      <c r="T62" s="694"/>
      <c r="U62" s="729"/>
      <c r="V62" s="729"/>
      <c r="W62" s="694"/>
      <c r="X62" s="694"/>
      <c r="Y62" s="694"/>
      <c r="Z62" s="694"/>
      <c r="AA62" s="694"/>
      <c r="AB62" s="694"/>
      <c r="AC62" s="694"/>
      <c r="AD62" s="694"/>
      <c r="AE62" s="694"/>
      <c r="AF62" s="694"/>
      <c r="AG62" s="694"/>
      <c r="AH62" s="694"/>
      <c r="AI62" s="694"/>
      <c r="AJ62" s="694"/>
      <c r="AK62" s="694"/>
      <c r="AL62" s="694"/>
    </row>
    <row r="63" spans="1:38" ht="5.15" customHeight="1" x14ac:dyDescent="0.25">
      <c r="A63" s="694"/>
      <c r="B63" s="698"/>
      <c r="C63" s="698"/>
      <c r="D63" s="698"/>
      <c r="E63" s="698"/>
      <c r="F63" s="698"/>
      <c r="G63" s="698"/>
      <c r="H63" s="698"/>
      <c r="I63" s="1025"/>
      <c r="J63" s="698"/>
      <c r="K63" s="698"/>
      <c r="L63" s="698"/>
      <c r="M63" s="698"/>
      <c r="N63" s="698"/>
      <c r="O63" s="302"/>
      <c r="P63" s="302"/>
      <c r="Q63" s="1263"/>
      <c r="R63" s="694"/>
      <c r="S63" s="694"/>
      <c r="T63" s="694"/>
      <c r="U63" s="729"/>
      <c r="V63" s="729"/>
      <c r="W63" s="694"/>
      <c r="X63" s="694"/>
      <c r="Y63" s="694"/>
      <c r="Z63" s="694"/>
      <c r="AA63" s="694"/>
      <c r="AB63" s="694"/>
      <c r="AC63" s="694"/>
      <c r="AD63" s="694"/>
      <c r="AE63" s="694"/>
      <c r="AF63" s="694"/>
      <c r="AG63" s="694"/>
      <c r="AH63" s="694"/>
      <c r="AI63" s="694"/>
      <c r="AJ63" s="694"/>
      <c r="AK63" s="694"/>
      <c r="AL63" s="694"/>
    </row>
    <row r="64" spans="1:38" ht="25.5" customHeight="1" thickBot="1" x14ac:dyDescent="0.3">
      <c r="A64" s="694"/>
      <c r="B64" s="298"/>
      <c r="C64" s="298"/>
      <c r="D64" s="302"/>
      <c r="E64" s="2358" t="str">
        <f>Translations!$B$1326</f>
        <v>На базата на данните по-горе тук се определят средните годишни стойности на стойностите от i. Разпределението ще бъде променено само ако са надвишени относителният праг (15 % в сравнение със стойността в НМИ) и абсолютният праг (промяната води до корекция с повече от 100 квоти), определени в член 6, параграф 4 от Регламента за ALC.</v>
      </c>
      <c r="F64" s="2249"/>
      <c r="G64" s="2249"/>
      <c r="H64" s="2249"/>
      <c r="I64" s="2249"/>
      <c r="J64" s="2249"/>
      <c r="K64" s="2249"/>
      <c r="L64" s="2249"/>
      <c r="M64" s="2249"/>
      <c r="N64" s="2249"/>
      <c r="O64" s="302"/>
      <c r="P64" s="302"/>
      <c r="Q64" s="729"/>
      <c r="R64" s="694"/>
      <c r="S64" s="729"/>
      <c r="T64" s="729"/>
      <c r="U64" s="729"/>
      <c r="V64" s="694"/>
      <c r="W64" s="694"/>
      <c r="X64" s="694"/>
      <c r="Y64" s="694"/>
      <c r="Z64" s="694"/>
      <c r="AA64" s="694"/>
      <c r="AB64" s="694"/>
      <c r="AC64" s="694"/>
      <c r="AD64" s="694"/>
      <c r="AE64" s="694"/>
      <c r="AF64" s="694"/>
      <c r="AG64" s="694"/>
      <c r="AH64" s="694"/>
      <c r="AI64" s="694"/>
      <c r="AJ64" s="694"/>
      <c r="AK64" s="694"/>
      <c r="AL64" s="694"/>
    </row>
    <row r="65" spans="1:38" ht="5.15" customHeight="1" thickBot="1" x14ac:dyDescent="0.3">
      <c r="A65" s="694"/>
      <c r="B65" s="298"/>
      <c r="C65" s="298"/>
      <c r="D65" s="1192"/>
      <c r="E65" s="1194"/>
      <c r="F65" s="1264"/>
      <c r="G65" s="1264"/>
      <c r="H65" s="1264"/>
      <c r="I65" s="1264"/>
      <c r="J65" s="1264"/>
      <c r="K65" s="1264"/>
      <c r="L65" s="1264"/>
      <c r="M65" s="1264"/>
      <c r="N65" s="1265"/>
      <c r="O65" s="302"/>
      <c r="P65" s="302"/>
      <c r="Q65" s="729"/>
      <c r="R65" s="694"/>
      <c r="S65" s="729"/>
      <c r="T65" s="729"/>
      <c r="U65" s="729"/>
      <c r="V65" s="694"/>
      <c r="W65" s="694"/>
      <c r="X65" s="694"/>
      <c r="Y65" s="694"/>
      <c r="Z65" s="694"/>
      <c r="AA65" s="694"/>
      <c r="AB65" s="694"/>
      <c r="AC65" s="694"/>
      <c r="AD65" s="694"/>
      <c r="AE65" s="694"/>
      <c r="AF65" s="694"/>
      <c r="AG65" s="694"/>
      <c r="AH65" s="694"/>
      <c r="AI65" s="694"/>
      <c r="AJ65" s="694"/>
      <c r="AK65" s="694"/>
      <c r="AL65" s="694"/>
    </row>
    <row r="66" spans="1:38" ht="12.75" customHeight="1" x14ac:dyDescent="0.25">
      <c r="A66" s="694"/>
      <c r="B66" s="298"/>
      <c r="C66" s="298"/>
      <c r="D66" s="1197" t="s">
        <v>2003</v>
      </c>
      <c r="E66" s="1198" t="str">
        <f>Translations!$B$1329</f>
        <v>Корекции: Топлинна енергия извън СТЕ</v>
      </c>
      <c r="F66" s="1199"/>
      <c r="G66" s="1199"/>
      <c r="H66" s="1200" t="str">
        <f>EUconst_Unit</f>
        <v>Единица мярка</v>
      </c>
      <c r="I66" s="1201" t="str">
        <f>Translations!$B$1327</f>
        <v>(НМИ) стойност</v>
      </c>
      <c r="J66" s="1202">
        <f>J$2831</f>
        <v>2026</v>
      </c>
      <c r="K66" s="1203">
        <f>K$2831</f>
        <v>2027</v>
      </c>
      <c r="L66" s="1203">
        <f>L$2831</f>
        <v>2028</v>
      </c>
      <c r="M66" s="1203">
        <f>M$2831</f>
        <v>2029</v>
      </c>
      <c r="N66" s="1204">
        <f>N$2831</f>
        <v>2030</v>
      </c>
      <c r="O66" s="302"/>
      <c r="P66" s="302"/>
      <c r="Q66" s="729"/>
      <c r="R66" s="694"/>
      <c r="S66" s="694"/>
      <c r="T66" s="694"/>
      <c r="U66" s="1205"/>
      <c r="V66" s="1206">
        <f>J66</f>
        <v>2026</v>
      </c>
      <c r="W66" s="1206">
        <f>K66</f>
        <v>2027</v>
      </c>
      <c r="X66" s="1206">
        <f>L66</f>
        <v>2028</v>
      </c>
      <c r="Y66" s="1206">
        <f>M66</f>
        <v>2029</v>
      </c>
      <c r="Z66" s="1207">
        <f>N66</f>
        <v>2030</v>
      </c>
      <c r="AA66" s="694"/>
      <c r="AB66" s="694"/>
      <c r="AC66" s="694"/>
      <c r="AD66" s="694"/>
      <c r="AE66" s="694"/>
      <c r="AF66" s="694"/>
      <c r="AG66" s="694"/>
      <c r="AH66" s="694"/>
      <c r="AI66" s="694"/>
      <c r="AJ66" s="694"/>
      <c r="AK66" s="694"/>
      <c r="AL66" s="694"/>
    </row>
    <row r="67" spans="1:38" ht="12.75" customHeight="1" x14ac:dyDescent="0.25">
      <c r="A67" s="694"/>
      <c r="B67" s="298"/>
      <c r="C67" s="298"/>
      <c r="D67" s="1208" t="s">
        <v>6</v>
      </c>
      <c r="E67" s="1209" t="str">
        <f>Translations!$B$1328</f>
        <v>Средна годишна стойност</v>
      </c>
      <c r="F67" s="1209"/>
      <c r="G67" s="1209"/>
      <c r="H67" s="1266" t="str">
        <f>EUconst_tCO2</f>
        <v>t CO2</v>
      </c>
      <c r="I67" s="1211" t="str">
        <f>INDEX('B+C_SubInstallations'!$J:$J,MATCH(Q67,'B+C_SubInstallations'!$U:$U,0))</f>
        <v/>
      </c>
      <c r="J67" s="1267" t="str">
        <f>IF(AND(V67&gt;=3,CNTR_ReportingYear&gt;J66-1),AVERAGE(SUM(T60),SUM(U60)),"")</f>
        <v/>
      </c>
      <c r="K67" s="1268" t="str">
        <f>IF(AND(W67&gt;=3,CNTR_ReportingYear&gt;K66-1),AVERAGE(SUM(U60),SUM(V60)),"")</f>
        <v/>
      </c>
      <c r="L67" s="1268" t="str">
        <f>IF(AND(X67&gt;=3,CNTR_ReportingYear&gt;L66-1),AVERAGE(SUM(V60),SUM(W60)),"")</f>
        <v/>
      </c>
      <c r="M67" s="1268" t="str">
        <f>IF(AND(Y67&gt;=3,CNTR_ReportingYear&gt;M66-1),AVERAGE(SUM(W60),SUM(X60)),"")</f>
        <v/>
      </c>
      <c r="N67" s="1269" t="str">
        <f>IF(AND(Z67&gt;=3,CNTR_ReportingYear&gt;N66-1),AVERAGE(SUM(X60),SUM(Y60)),"")</f>
        <v/>
      </c>
      <c r="O67" s="302"/>
      <c r="P67" s="302"/>
      <c r="Q67" s="1270" t="str">
        <f>EUconst_CNTR_HEATInitial &amp; I13</f>
        <v>HEATIni_</v>
      </c>
      <c r="R67" s="694"/>
      <c r="S67" s="694"/>
      <c r="T67" s="694"/>
      <c r="U67" s="1231" t="s">
        <v>1710</v>
      </c>
      <c r="V67" s="1176">
        <f>V35</f>
        <v>0</v>
      </c>
      <c r="W67" s="1176">
        <f>W35</f>
        <v>0</v>
      </c>
      <c r="X67" s="1176">
        <f>X35</f>
        <v>0</v>
      </c>
      <c r="Y67" s="1176">
        <f>Y35</f>
        <v>0</v>
      </c>
      <c r="Z67" s="1216">
        <f>Z35</f>
        <v>0</v>
      </c>
      <c r="AA67" s="694"/>
      <c r="AB67" s="694"/>
      <c r="AC67" s="694"/>
      <c r="AD67" s="694"/>
      <c r="AE67" s="694"/>
      <c r="AF67" s="694"/>
      <c r="AG67" s="694"/>
      <c r="AH67" s="694"/>
      <c r="AI67" s="694"/>
      <c r="AJ67" s="694"/>
      <c r="AK67" s="694"/>
      <c r="AL67" s="694"/>
    </row>
    <row r="68" spans="1:38" ht="12.75" hidden="1" customHeight="1" x14ac:dyDescent="0.25">
      <c r="A68" s="729" t="s">
        <v>312</v>
      </c>
      <c r="B68" s="298"/>
      <c r="C68" s="298"/>
      <c r="D68" s="1208"/>
      <c r="E68" s="1209" t="str">
        <f>Translations!$B$1378</f>
        <v>Промяна в сравнение със стойността в НМИ</v>
      </c>
      <c r="F68" s="1209"/>
      <c r="G68" s="1209"/>
      <c r="H68" s="1222"/>
      <c r="I68" s="1223"/>
      <c r="J68" s="104" t="str">
        <f>IF(J67="","",IF($I70=0,IF(J67=0,0%,100%),J67/$I70-1))</f>
        <v/>
      </c>
      <c r="K68" s="99" t="str">
        <f>IF(K67="","",IF($I70=0,IF(K67=0,0%,100%),K67/$I70-1))</f>
        <v/>
      </c>
      <c r="L68" s="99" t="str">
        <f>IF(L67="","",IF($I70=0,IF(L67=0,0%,100%),L67/$I70-1))</f>
        <v/>
      </c>
      <c r="M68" s="99" t="str">
        <f>IF(M67="","",IF($I70=0,IF(M67=0,0%,100%),M67/$I70-1))</f>
        <v/>
      </c>
      <c r="N68" s="123" t="str">
        <f>IF(N67="","",IF($I70=0,IF(N67=0,0%,100%),N67/$I70-1))</f>
        <v/>
      </c>
      <c r="O68" s="302"/>
      <c r="P68" s="302"/>
      <c r="Q68" s="1190" t="str">
        <f>EUconst_CNTR_RelThreshold &amp; Q70</f>
        <v>RelThresh_HEATprelim_</v>
      </c>
      <c r="R68" s="694"/>
      <c r="S68" s="694"/>
      <c r="T68" s="694"/>
      <c r="U68" s="1231" t="s">
        <v>1715</v>
      </c>
      <c r="V68" s="727" t="str">
        <f>IF(J67="","",ABS(J68)&gt;15%)</f>
        <v/>
      </c>
      <c r="W68" s="727" t="str">
        <f>IF(K67="","",ABS(K68)&gt;15%)</f>
        <v/>
      </c>
      <c r="X68" s="727" t="str">
        <f>IF(L67="","",ABS(L68)&gt;15%)</f>
        <v/>
      </c>
      <c r="Y68" s="727" t="str">
        <f>IF(M67="","",ABS(M68)&gt;15%)</f>
        <v/>
      </c>
      <c r="Z68" s="1221" t="str">
        <f>IF(N67="","",ABS(N68)&gt;15%)</f>
        <v/>
      </c>
      <c r="AA68" s="694"/>
      <c r="AB68" s="694"/>
      <c r="AC68" s="694"/>
      <c r="AD68" s="694"/>
      <c r="AE68" s="694"/>
      <c r="AF68" s="694"/>
      <c r="AG68" s="694"/>
      <c r="AH68" s="694"/>
      <c r="AI68" s="694"/>
      <c r="AJ68" s="694"/>
      <c r="AK68" s="694"/>
      <c r="AL68" s="694"/>
    </row>
    <row r="69" spans="1:38" ht="12.75" customHeight="1" x14ac:dyDescent="0.25">
      <c r="A69" s="729"/>
      <c r="B69" s="298"/>
      <c r="C69" s="298"/>
      <c r="D69" s="1208" t="s">
        <v>7</v>
      </c>
      <c r="E69" s="1209" t="str">
        <f>Translations!$B$1322</f>
        <v>Предварителна корекция (ако са надвишени относителните прагове)</v>
      </c>
      <c r="F69" s="1209"/>
      <c r="G69" s="1209"/>
      <c r="H69" s="1222"/>
      <c r="I69" s="1223"/>
      <c r="J69" s="1224" t="str">
        <f>IF(J67="","",IF(V68=FALSE,0%,IF(V69,J68,I75)))</f>
        <v/>
      </c>
      <c r="K69" s="1225" t="str">
        <f>IF(K67="","",IF(W68=FALSE,0%,IF(W69,K68,J75)))</f>
        <v/>
      </c>
      <c r="L69" s="1225" t="str">
        <f>IF(L67="","",IF(X68=FALSE,0%,IF(X69,L68,K75)))</f>
        <v/>
      </c>
      <c r="M69" s="1225" t="str">
        <f>IF(M67="","",IF(Y68=FALSE,0%,IF(Y69,M68,L75)))</f>
        <v/>
      </c>
      <c r="N69" s="1226" t="str">
        <f>IF(N67="","",IF(Z68=FALSE,0%,IF(Z69,N68,M75)))</f>
        <v/>
      </c>
      <c r="O69" s="302"/>
      <c r="P69" s="302"/>
      <c r="Q69" s="729"/>
      <c r="R69" s="694"/>
      <c r="S69" s="694"/>
      <c r="T69" s="694"/>
      <c r="U69" s="1215" t="s">
        <v>1716</v>
      </c>
      <c r="V69" s="727" t="str">
        <f>IF(J67="","",AND(V68,IF(SUM(I75)&lt;0,OR(SUM(J68)&lt;SUM(I75)-MOD(SUM(I75),5%),J68&gt;=SUM(I75)+5%-MOD(SUM(I75),5%)),OR(SUM(J68)&lt;=SUM(I75)-MOD(SUM(I75),5%),SUM(J68)&gt;SUM(I75)+5%-MOD(SUM(I75),5%)))))</f>
        <v/>
      </c>
      <c r="W69" s="727" t="str">
        <f>IF(K67="","",AND(W68,IF(SUM(J75)&lt;0,OR(SUM(K68)&lt;SUM(J75)-MOD(SUM(J75),5%),K68&gt;=SUM(J75)+5%-MOD(SUM(J75),5%)),OR(SUM(K68)&lt;=SUM(J75)-MOD(SUM(J75),5%),SUM(K68)&gt;SUM(J75)+5%-MOD(SUM(J75),5%)))))</f>
        <v/>
      </c>
      <c r="X69" s="727" t="str">
        <f>IF(L67="","",AND(X68,IF(SUM(K75)&lt;0,OR(SUM(L68)&lt;SUM(K75)-MOD(SUM(K75),5%),L68&gt;=SUM(K75)+5%-MOD(SUM(K75),5%)),OR(SUM(L68)&lt;=SUM(K75)-MOD(SUM(K75),5%),SUM(L68)&gt;SUM(K75)+5%-MOD(SUM(K75),5%)))))</f>
        <v/>
      </c>
      <c r="Y69" s="727" t="str">
        <f>IF(M67="","",AND(Y68,IF(SUM(L75)&lt;0,OR(SUM(M68)&lt;SUM(L75)-MOD(SUM(L75),5%),M68&gt;=SUM(L75)+5%-MOD(SUM(L75),5%)),OR(SUM(M68)&lt;=SUM(L75)-MOD(SUM(L75),5%),SUM(M68)&gt;SUM(L75)+5%-MOD(SUM(L75),5%)))))</f>
        <v/>
      </c>
      <c r="Z69" s="1221" t="str">
        <f>IF(N67="","",AND(Z68,IF(SUM(M75)&lt;0,OR(SUM(N68)&lt;SUM(M75)-MOD(SUM(M75),5%),N68&gt;=SUM(M75)+5%-MOD(SUM(M75),5%)),OR(SUM(N68)&lt;=SUM(M75)-MOD(SUM(M75),5%),SUM(N68)&gt;SUM(M75)+5%-MOD(SUM(M75),5%)))))</f>
        <v/>
      </c>
      <c r="AA69" s="694"/>
      <c r="AB69" s="694"/>
      <c r="AC69" s="694"/>
      <c r="AD69" s="694"/>
      <c r="AE69" s="694"/>
      <c r="AF69" s="694"/>
      <c r="AG69" s="694"/>
      <c r="AH69" s="694"/>
      <c r="AI69" s="694"/>
      <c r="AJ69" s="694"/>
      <c r="AK69" s="694"/>
      <c r="AL69" s="729"/>
    </row>
    <row r="70" spans="1:38" ht="12.75" hidden="1" customHeight="1" x14ac:dyDescent="0.25">
      <c r="A70" s="729" t="s">
        <v>312</v>
      </c>
      <c r="B70" s="298"/>
      <c r="C70" s="298"/>
      <c r="D70" s="1208"/>
      <c r="E70" s="1209" t="str">
        <f>Translations!$B$1377</f>
        <v>Предварителна стойност</v>
      </c>
      <c r="F70" s="1209"/>
      <c r="G70" s="1209"/>
      <c r="H70" s="1266" t="str">
        <f>H67</f>
        <v>t CO2</v>
      </c>
      <c r="I70" s="1211" t="str">
        <f>IF($I13="","",IF(AB13=FALSE,EUconst_NA,IF(V13&gt;($J$2831-3),SUM(INDEX(H60:N60,MATCH(V13,H59:N59,0))*EUconst_HeatBMvalue),SUM(I67))))</f>
        <v/>
      </c>
      <c r="J70" s="1212" t="str">
        <f>IF($I13="","",IF(V67&lt;2,SUM(V60),IF(V67&lt;3,SUM(U60),IF(V70="",I70,V70))))</f>
        <v/>
      </c>
      <c r="K70" s="1213" t="str">
        <f>IF($I13="","",IF(W67&lt;2,SUM(W60),IF(W67&lt;3,SUM(V60),IF(W70="",J70,W70))))</f>
        <v/>
      </c>
      <c r="L70" s="1213" t="str">
        <f>IF($I13="","",IF(X67&lt;2,SUM(X60),IF(X67&lt;3,SUM(W60),IF(X70="",K70,X70))))</f>
        <v/>
      </c>
      <c r="M70" s="1213" t="str">
        <f>IF($I13="","",IF(Y67&lt;2,SUM(Y60),IF(Y67&lt;3,SUM(X60),IF(Y70="",L70,Y70))))</f>
        <v/>
      </c>
      <c r="N70" s="1214" t="str">
        <f>IF($I13="","",IF(Z67&lt;2,SUM(Z60),IF(Z67&lt;3,SUM(Y60),IF(Z70="",M70,Z70))))</f>
        <v/>
      </c>
      <c r="O70" s="302"/>
      <c r="P70" s="302"/>
      <c r="Q70" s="1190" t="str">
        <f>EUconst_CNTR_HEATprelim &amp; I13</f>
        <v>HEATprelim_</v>
      </c>
      <c r="R70" s="694"/>
      <c r="S70" s="694"/>
      <c r="T70" s="694"/>
      <c r="U70" s="1231" t="s">
        <v>1756</v>
      </c>
      <c r="V70" s="1271" t="str">
        <f>IF(J67="","",IF(CNTR_ReportingYear&lt;J66,I69,IF($I70=0,J67,$I70*(1+J69))))</f>
        <v/>
      </c>
      <c r="W70" s="1271" t="str">
        <f>IF(K67="","",IF(CNTR_ReportingYear&lt;K66,J69,IF($I70=0,K67,$I70*(1+K69))))</f>
        <v/>
      </c>
      <c r="X70" s="1271" t="str">
        <f>IF(L67="","",IF(CNTR_ReportingYear&lt;L66,K69,IF($I70=0,L67,$I70*(1+L69))))</f>
        <v/>
      </c>
      <c r="Y70" s="1271" t="str">
        <f>IF(M67="","",IF(CNTR_ReportingYear&lt;M66,L69,IF($I70=0,M67,$I70*(1+M69))))</f>
        <v/>
      </c>
      <c r="Z70" s="1272" t="str">
        <f>IF(N67="","",IF(CNTR_ReportingYear&lt;N66,M69,IF($I70=0,N67,$I70*(1+N69))))</f>
        <v/>
      </c>
      <c r="AA70" s="694"/>
      <c r="AB70" s="694"/>
      <c r="AC70" s="694"/>
      <c r="AD70" s="694"/>
      <c r="AE70" s="694"/>
      <c r="AF70" s="694"/>
      <c r="AG70" s="694"/>
      <c r="AH70" s="694"/>
      <c r="AI70" s="694"/>
      <c r="AJ70" s="694"/>
      <c r="AK70" s="694"/>
      <c r="AL70" s="729"/>
    </row>
    <row r="71" spans="1:38" ht="5.15" customHeight="1" x14ac:dyDescent="0.25">
      <c r="A71" s="729"/>
      <c r="B71" s="298"/>
      <c r="C71" s="298"/>
      <c r="D71" s="1208"/>
      <c r="E71" s="1199"/>
      <c r="F71" s="1199"/>
      <c r="G71" s="1199"/>
      <c r="H71" s="1199"/>
      <c r="I71" s="1199"/>
      <c r="J71" s="1229"/>
      <c r="K71" s="1229"/>
      <c r="L71" s="1229"/>
      <c r="M71" s="1229"/>
      <c r="N71" s="1230"/>
      <c r="O71" s="302"/>
      <c r="P71" s="302"/>
      <c r="Q71" s="729"/>
      <c r="R71" s="694"/>
      <c r="S71" s="694"/>
      <c r="T71" s="694"/>
      <c r="U71" s="1231"/>
      <c r="V71" s="729"/>
      <c r="W71" s="694"/>
      <c r="X71" s="694"/>
      <c r="Y71" s="694"/>
      <c r="Z71" s="1232"/>
      <c r="AA71" s="694"/>
      <c r="AB71" s="694"/>
      <c r="AC71" s="694"/>
      <c r="AD71" s="694"/>
      <c r="AE71" s="694"/>
      <c r="AF71" s="694"/>
      <c r="AG71" s="694"/>
      <c r="AH71" s="694"/>
      <c r="AI71" s="694"/>
      <c r="AJ71" s="694"/>
      <c r="AK71" s="694"/>
      <c r="AL71" s="729"/>
    </row>
    <row r="72" spans="1:38" ht="12.75" customHeight="1" x14ac:dyDescent="0.25">
      <c r="A72" s="729"/>
      <c r="B72" s="298"/>
      <c r="C72" s="298"/>
      <c r="D72" s="1208"/>
      <c r="E72" s="1233" t="str">
        <f>Translations!$B$1323</f>
        <v>Действителна корекция (база за следващи години)</v>
      </c>
      <c r="F72" s="1233"/>
      <c r="G72" s="1233"/>
      <c r="H72" s="1233"/>
      <c r="I72" s="1233"/>
      <c r="J72" s="1202">
        <f>J$2831</f>
        <v>2026</v>
      </c>
      <c r="K72" s="1203">
        <f>K$2831</f>
        <v>2027</v>
      </c>
      <c r="L72" s="1203">
        <f>L$2831</f>
        <v>2028</v>
      </c>
      <c r="M72" s="1203">
        <f>M$2831</f>
        <v>2029</v>
      </c>
      <c r="N72" s="1204">
        <f>N$2831</f>
        <v>2030</v>
      </c>
      <c r="O72" s="302"/>
      <c r="P72" s="302"/>
      <c r="Q72" s="729"/>
      <c r="R72" s="694"/>
      <c r="S72" s="694"/>
      <c r="T72" s="694"/>
      <c r="U72" s="1234"/>
      <c r="V72" s="694"/>
      <c r="W72" s="694"/>
      <c r="X72" s="694"/>
      <c r="Y72" s="694"/>
      <c r="Z72" s="1232"/>
      <c r="AA72" s="694"/>
      <c r="AB72" s="694"/>
      <c r="AC72" s="694"/>
      <c r="AD72" s="694"/>
      <c r="AE72" s="694"/>
      <c r="AF72" s="694"/>
      <c r="AG72" s="694"/>
      <c r="AH72" s="694"/>
      <c r="AI72" s="694"/>
      <c r="AJ72" s="694"/>
      <c r="AK72" s="694"/>
      <c r="AL72" s="729"/>
    </row>
    <row r="73" spans="1:38" ht="12.75" customHeight="1" x14ac:dyDescent="0.25">
      <c r="A73" s="729"/>
      <c r="B73" s="298"/>
      <c r="C73" s="298"/>
      <c r="D73" s="1208" t="s">
        <v>8</v>
      </c>
      <c r="E73" s="1209" t="str">
        <f>Translations!$B$1515</f>
        <v>изпълнен ли е критерият за &gt;=300 квоти за емисии?</v>
      </c>
      <c r="F73" s="1209"/>
      <c r="G73" s="1209"/>
      <c r="H73" s="1209"/>
      <c r="I73" s="1209"/>
      <c r="J73" s="1236" t="str">
        <f>IF($I13="","",INDEX(K_Summary!J:J,MATCH($Q73,K_Summary!$P:$P,0)))</f>
        <v/>
      </c>
      <c r="K73" s="385" t="str">
        <f>IF($I13="","",INDEX(K_Summary!K:K,MATCH($Q73,K_Summary!$P:$P,0)))</f>
        <v/>
      </c>
      <c r="L73" s="385" t="str">
        <f>IF($I13="","",INDEX(K_Summary!L:L,MATCH($Q73,K_Summary!$P:$P,0)))</f>
        <v/>
      </c>
      <c r="M73" s="385" t="str">
        <f>IF($I13="","",INDEX(K_Summary!M:M,MATCH($Q73,K_Summary!$P:$P,0)))</f>
        <v/>
      </c>
      <c r="N73" s="1237" t="str">
        <f>IF($I13="","",INDEX(K_Summary!N:N,MATCH($Q73,K_Summary!$P:$P,0)))</f>
        <v/>
      </c>
      <c r="O73" s="302"/>
      <c r="P73" s="302"/>
      <c r="Q73" s="1182" t="str">
        <f>EUconst_CNTR_300EUA&amp;I13</f>
        <v>EUA300_</v>
      </c>
      <c r="R73" s="694"/>
      <c r="S73" s="694"/>
      <c r="T73" s="694"/>
      <c r="U73" s="1234"/>
      <c r="V73" s="694"/>
      <c r="W73" s="694"/>
      <c r="X73" s="694"/>
      <c r="Y73" s="694"/>
      <c r="Z73" s="1232"/>
      <c r="AA73" s="694"/>
      <c r="AB73" s="694"/>
      <c r="AC73" s="694"/>
      <c r="AD73" s="694"/>
      <c r="AE73" s="694"/>
      <c r="AF73" s="694"/>
      <c r="AG73" s="694"/>
      <c r="AH73" s="694"/>
      <c r="AI73" s="694"/>
      <c r="AJ73" s="694"/>
      <c r="AK73" s="694"/>
      <c r="AL73" s="729"/>
    </row>
    <row r="74" spans="1:38" ht="5.15" customHeight="1" thickBot="1" x14ac:dyDescent="0.3">
      <c r="A74" s="729"/>
      <c r="B74" s="298"/>
      <c r="C74" s="298"/>
      <c r="D74" s="1208"/>
      <c r="E74" s="1199"/>
      <c r="F74" s="1199"/>
      <c r="G74" s="1199"/>
      <c r="H74" s="1199"/>
      <c r="I74" s="1199"/>
      <c r="J74" s="1199"/>
      <c r="K74" s="1199"/>
      <c r="L74" s="1199"/>
      <c r="M74" s="1199"/>
      <c r="N74" s="1238"/>
      <c r="O74" s="302"/>
      <c r="P74" s="302"/>
      <c r="Q74" s="729"/>
      <c r="R74" s="694"/>
      <c r="S74" s="694"/>
      <c r="T74" s="694"/>
      <c r="U74" s="1231"/>
      <c r="V74" s="729"/>
      <c r="W74" s="694"/>
      <c r="X74" s="694"/>
      <c r="Y74" s="694"/>
      <c r="Z74" s="1232"/>
      <c r="AA74" s="694"/>
      <c r="AB74" s="694"/>
      <c r="AC74" s="694"/>
      <c r="AD74" s="694"/>
      <c r="AE74" s="694"/>
      <c r="AF74" s="694"/>
      <c r="AG74" s="694"/>
      <c r="AH74" s="694"/>
      <c r="AI74" s="694"/>
      <c r="AJ74" s="694"/>
      <c r="AK74" s="694"/>
      <c r="AL74" s="729"/>
    </row>
    <row r="75" spans="1:38" ht="12.75" customHeight="1" thickBot="1" x14ac:dyDescent="0.3">
      <c r="A75" s="694"/>
      <c r="B75" s="298"/>
      <c r="C75" s="298"/>
      <c r="D75" s="1208" t="s">
        <v>18</v>
      </c>
      <c r="E75" s="1209" t="str">
        <f>Translations!$B$1324</f>
        <v>Действителна корекция (ако са надвишени всички прагове)</v>
      </c>
      <c r="F75" s="1209"/>
      <c r="G75" s="1209"/>
      <c r="H75" s="1222"/>
      <c r="I75" s="1239"/>
      <c r="J75" s="1240" t="str">
        <f>IF(J73="","",IF(OR(J73,V67&lt;1),J69,I75))</f>
        <v/>
      </c>
      <c r="K75" s="1241" t="str">
        <f>IF(K73="","",IF(OR(K73,W67&lt;1),K69,J75))</f>
        <v/>
      </c>
      <c r="L75" s="1241" t="str">
        <f>IF(L73="","",IF(OR(L73,X67&lt;1),L69,K75))</f>
        <v/>
      </c>
      <c r="M75" s="1241" t="str">
        <f>IF(M73="","",IF(OR(M73,Y67&lt;1),M69,L75))</f>
        <v/>
      </c>
      <c r="N75" s="1242" t="str">
        <f>IF(N73="","",IF(OR(N73,Z67&lt;1),N69,M75))</f>
        <v/>
      </c>
      <c r="O75" s="302"/>
      <c r="P75" s="302"/>
      <c r="Q75" s="729"/>
      <c r="R75" s="694"/>
      <c r="S75" s="694"/>
      <c r="T75" s="694"/>
      <c r="U75" s="1231" t="s">
        <v>1718</v>
      </c>
      <c r="V75" s="1243">
        <f>J72</f>
        <v>2026</v>
      </c>
      <c r="W75" s="1243">
        <f>K72</f>
        <v>2027</v>
      </c>
      <c r="X75" s="1243">
        <f>L72</f>
        <v>2028</v>
      </c>
      <c r="Y75" s="1243">
        <f>M72</f>
        <v>2029</v>
      </c>
      <c r="Z75" s="1244">
        <f>N72</f>
        <v>2030</v>
      </c>
      <c r="AA75" s="694"/>
      <c r="AB75" s="694"/>
      <c r="AC75" s="694"/>
      <c r="AD75" s="694"/>
      <c r="AE75" s="694"/>
      <c r="AF75" s="694"/>
      <c r="AG75" s="694"/>
      <c r="AH75" s="694"/>
      <c r="AI75" s="694"/>
      <c r="AJ75" s="694"/>
      <c r="AK75" s="694"/>
      <c r="AL75" s="729"/>
    </row>
    <row r="76" spans="1:38" ht="12.75" customHeight="1" thickBot="1" x14ac:dyDescent="0.3">
      <c r="A76" s="729"/>
      <c r="B76" s="298"/>
      <c r="C76" s="298"/>
      <c r="D76" s="1208" t="s">
        <v>810</v>
      </c>
      <c r="E76" s="1209" t="str">
        <f>Translations!$B$1325</f>
        <v>Действителна стойност</v>
      </c>
      <c r="F76" s="1209"/>
      <c r="G76" s="1209"/>
      <c r="H76" s="1266" t="str">
        <f>H67</f>
        <v>t CO2</v>
      </c>
      <c r="I76" s="1211" t="str">
        <f>I70</f>
        <v/>
      </c>
      <c r="J76" s="632" t="str">
        <f>IF($I13="","",IF(OR($I76=0,$I76=EUconst_NA,J75=""),IF(OR(J73=TRUE,J72&lt;=$V13),J70,SUM(I76)),$I76*(1+SUM(J75))))</f>
        <v/>
      </c>
      <c r="K76" s="633" t="str">
        <f>IF($I13="","",IF(OR($I76=0,$I76=EUconst_NA,K75=""),IF(OR(K73=TRUE,K72&lt;=$V13),K70,SUM(J76)),$I76*(1+SUM(K75))))</f>
        <v/>
      </c>
      <c r="L76" s="633" t="str">
        <f>IF($I13="","",IF(OR($I76=0,$I76=EUconst_NA,L75=""),IF(OR(L73=TRUE,L72&lt;=$V13),L70,SUM(K76)),$I76*(1+SUM(L75))))</f>
        <v/>
      </c>
      <c r="M76" s="633" t="str">
        <f>IF($I13="","",IF(OR($I76=0,$I76=EUconst_NA,M75=""),IF(OR(M73=TRUE,M72&lt;=$V13),M70,SUM(L76)),$I76*(1+SUM(M75))))</f>
        <v/>
      </c>
      <c r="N76" s="634" t="str">
        <f>IF($I13="","",IF(OR($I76=0,$I76=EUconst_NA,N75=""),IF(OR(N73=TRUE,N72&lt;=$V13),N70,SUM(M76)),$I76*(1+SUM(N75))))</f>
        <v/>
      </c>
      <c r="O76" s="302"/>
      <c r="P76" s="302"/>
      <c r="Q76" s="1190" t="str">
        <f>EUconst_CNTR_HEATfinal &amp; I13</f>
        <v>HEATfinal_</v>
      </c>
      <c r="R76" s="694"/>
      <c r="S76" s="694"/>
      <c r="T76" s="694"/>
      <c r="U76" s="1245" t="b">
        <v>0</v>
      </c>
      <c r="V76" s="1246" t="str">
        <f>IF(V21,IF(J73=TRUE,V68,U76),"")</f>
        <v/>
      </c>
      <c r="W76" s="1246" t="str">
        <f>IF(W21,IF(K73=TRUE,W68,V76),"")</f>
        <v/>
      </c>
      <c r="X76" s="1246" t="str">
        <f>IF(X21,IF(L73=TRUE,X68,W76),"")</f>
        <v/>
      </c>
      <c r="Y76" s="1246" t="str">
        <f>IF(Y21,IF(M73=TRUE,Y68,X76),"")</f>
        <v/>
      </c>
      <c r="Z76" s="1247" t="str">
        <f>IF(Z21,IF(N73=TRUE,Z68,Y76),"")</f>
        <v/>
      </c>
      <c r="AA76" s="694"/>
      <c r="AB76" s="694"/>
      <c r="AC76" s="694"/>
      <c r="AD76" s="694"/>
      <c r="AE76" s="694"/>
      <c r="AF76" s="694"/>
      <c r="AG76" s="694"/>
      <c r="AH76" s="694"/>
      <c r="AI76" s="694"/>
      <c r="AJ76" s="1174" t="s">
        <v>2033</v>
      </c>
      <c r="AK76" s="982" t="str">
        <f>IF(OR(ISERROR(J76),ISERROR(K76),ISERROR(L76),ISERROR(M76),ISERROR(N76)),EUconst_Error &amp; "BM" &amp; Q13,"")</f>
        <v/>
      </c>
      <c r="AL76" s="694"/>
    </row>
    <row r="77" spans="1:38" ht="5.15" customHeight="1" thickBot="1" x14ac:dyDescent="0.3">
      <c r="A77" s="694"/>
      <c r="B77" s="698"/>
      <c r="C77" s="698"/>
      <c r="D77" s="1273"/>
      <c r="E77" s="1274"/>
      <c r="F77" s="1274"/>
      <c r="G77" s="1274"/>
      <c r="H77" s="1274"/>
      <c r="I77" s="1275"/>
      <c r="J77" s="1274"/>
      <c r="K77" s="1274"/>
      <c r="L77" s="1274"/>
      <c r="M77" s="1274"/>
      <c r="N77" s="1276"/>
      <c r="O77" s="302"/>
      <c r="P77" s="302"/>
      <c r="Q77" s="1263"/>
      <c r="R77" s="694"/>
      <c r="S77" s="729"/>
      <c r="T77" s="729"/>
      <c r="U77" s="694"/>
      <c r="V77" s="694"/>
      <c r="W77" s="694"/>
      <c r="X77" s="694"/>
      <c r="Y77" s="694"/>
      <c r="Z77" s="694"/>
      <c r="AA77" s="694"/>
      <c r="AB77" s="694"/>
      <c r="AC77" s="694"/>
      <c r="AD77" s="694"/>
      <c r="AE77" s="694"/>
      <c r="AF77" s="694"/>
      <c r="AG77" s="694"/>
      <c r="AH77" s="694"/>
      <c r="AI77" s="694"/>
      <c r="AJ77" s="694"/>
      <c r="AK77" s="694"/>
      <c r="AL77" s="694"/>
    </row>
    <row r="78" spans="1:38" ht="5.15" customHeight="1" x14ac:dyDescent="0.25">
      <c r="A78" s="694"/>
      <c r="B78" s="698"/>
      <c r="C78" s="698"/>
      <c r="D78" s="698"/>
      <c r="E78" s="698"/>
      <c r="F78" s="698"/>
      <c r="G78" s="698"/>
      <c r="H78" s="698"/>
      <c r="I78" s="1025"/>
      <c r="J78" s="698"/>
      <c r="K78" s="698"/>
      <c r="L78" s="698"/>
      <c r="M78" s="698"/>
      <c r="N78" s="698"/>
      <c r="O78" s="302"/>
      <c r="P78" s="302"/>
      <c r="Q78" s="1263"/>
      <c r="R78" s="694"/>
      <c r="S78" s="729"/>
      <c r="T78" s="729"/>
      <c r="U78" s="694"/>
      <c r="V78" s="694"/>
      <c r="W78" s="694"/>
      <c r="X78" s="694"/>
      <c r="Y78" s="694"/>
      <c r="Z78" s="694"/>
      <c r="AA78" s="694"/>
      <c r="AB78" s="694"/>
      <c r="AC78" s="694"/>
      <c r="AD78" s="694"/>
      <c r="AE78" s="694"/>
      <c r="AF78" s="694"/>
      <c r="AG78" s="694"/>
      <c r="AH78" s="694"/>
      <c r="AI78" s="694"/>
      <c r="AJ78" s="694"/>
      <c r="AK78" s="694"/>
      <c r="AL78" s="694"/>
    </row>
    <row r="79" spans="1:38" ht="14" x14ac:dyDescent="0.25">
      <c r="A79" s="694"/>
      <c r="B79" s="698"/>
      <c r="C79" s="358"/>
      <c r="D79" s="2323" t="str">
        <f>Translations!$B$495</f>
        <v>Данни за производството</v>
      </c>
      <c r="E79" s="2249"/>
      <c r="F79" s="2249"/>
      <c r="G79" s="2249"/>
      <c r="H79" s="2249"/>
      <c r="I79" s="2249"/>
      <c r="J79" s="2249"/>
      <c r="K79" s="2249"/>
      <c r="L79" s="2249"/>
      <c r="M79" s="2249"/>
      <c r="N79" s="2249"/>
      <c r="O79" s="302"/>
      <c r="P79" s="302"/>
      <c r="Q79" s="694"/>
      <c r="R79" s="694"/>
      <c r="S79" s="729"/>
      <c r="T79" s="729"/>
      <c r="U79" s="694"/>
      <c r="V79" s="694"/>
      <c r="W79" s="694"/>
      <c r="X79" s="694"/>
      <c r="Y79" s="694"/>
      <c r="Z79" s="694"/>
      <c r="AA79" s="694"/>
      <c r="AB79" s="694"/>
      <c r="AC79" s="694"/>
      <c r="AD79" s="694"/>
      <c r="AE79" s="694"/>
      <c r="AF79" s="694"/>
      <c r="AG79" s="694"/>
      <c r="AH79" s="694"/>
      <c r="AI79" s="694"/>
      <c r="AJ79" s="694"/>
      <c r="AK79" s="694"/>
      <c r="AL79" s="694"/>
    </row>
    <row r="80" spans="1:38" ht="5.15" customHeight="1" x14ac:dyDescent="0.25">
      <c r="A80" s="694"/>
      <c r="B80" s="298"/>
      <c r="C80" s="298"/>
      <c r="D80" s="298"/>
      <c r="E80" s="298"/>
      <c r="F80" s="298"/>
      <c r="G80" s="298"/>
      <c r="H80" s="298"/>
      <c r="I80" s="298"/>
      <c r="J80" s="298"/>
      <c r="K80" s="298"/>
      <c r="L80" s="298"/>
      <c r="M80" s="298"/>
      <c r="N80" s="298"/>
      <c r="O80" s="302"/>
      <c r="P80" s="302"/>
      <c r="Q80" s="729"/>
      <c r="R80" s="729"/>
      <c r="S80" s="729"/>
      <c r="T80" s="729"/>
      <c r="U80" s="694"/>
      <c r="V80" s="694"/>
      <c r="W80" s="694"/>
      <c r="X80" s="694"/>
      <c r="Y80" s="694"/>
      <c r="Z80" s="694"/>
      <c r="AA80" s="694"/>
      <c r="AB80" s="694"/>
      <c r="AC80" s="694"/>
      <c r="AD80" s="694"/>
      <c r="AE80" s="694"/>
      <c r="AF80" s="694"/>
      <c r="AG80" s="694"/>
      <c r="AH80" s="694"/>
      <c r="AI80" s="694"/>
      <c r="AJ80" s="694"/>
      <c r="AK80" s="694"/>
      <c r="AL80" s="694"/>
    </row>
    <row r="81" spans="1:38" ht="13" x14ac:dyDescent="0.25">
      <c r="A81" s="694"/>
      <c r="B81" s="298"/>
      <c r="C81" s="300"/>
      <c r="D81" s="300" t="s">
        <v>54</v>
      </c>
      <c r="E81" s="2226" t="str">
        <f>Translations!$B$496</f>
        <v>Идентификация на продуктите, включени в тази подинсталация с продуктов показател</v>
      </c>
      <c r="F81" s="2249"/>
      <c r="G81" s="2249"/>
      <c r="H81" s="2249"/>
      <c r="I81" s="2249"/>
      <c r="J81" s="2249"/>
      <c r="K81" s="2249"/>
      <c r="L81" s="2249"/>
      <c r="M81" s="2249"/>
      <c r="N81" s="2249"/>
      <c r="O81" s="302"/>
      <c r="P81" s="302"/>
      <c r="Q81" s="729"/>
      <c r="R81" s="694"/>
      <c r="S81" s="729"/>
      <c r="T81" s="729"/>
      <c r="U81" s="694"/>
      <c r="V81" s="694"/>
      <c r="W81" s="694"/>
      <c r="X81" s="694"/>
      <c r="Y81" s="694"/>
      <c r="Z81" s="694"/>
      <c r="AA81" s="694"/>
      <c r="AB81" s="694"/>
      <c r="AC81" s="694"/>
      <c r="AD81" s="694"/>
      <c r="AE81" s="694"/>
      <c r="AF81" s="694"/>
      <c r="AG81" s="694"/>
      <c r="AH81" s="694"/>
      <c r="AI81" s="694"/>
      <c r="AJ81" s="694"/>
      <c r="AK81" s="694"/>
      <c r="AL81" s="694"/>
    </row>
    <row r="82" spans="1:38" ht="5.15" customHeight="1" x14ac:dyDescent="0.25">
      <c r="A82" s="694"/>
      <c r="B82" s="298"/>
      <c r="C82" s="302"/>
      <c r="D82" s="302"/>
      <c r="E82" s="2358" t="str">
        <f>Translations!$B$1518</f>
        <v xml:space="preserve"> </v>
      </c>
      <c r="F82" s="2249"/>
      <c r="G82" s="2249"/>
      <c r="H82" s="2249"/>
      <c r="I82" s="2249"/>
      <c r="J82" s="2249"/>
      <c r="K82" s="2249"/>
      <c r="L82" s="2249"/>
      <c r="M82" s="2249"/>
      <c r="N82" s="2249"/>
      <c r="O82" s="302"/>
      <c r="P82" s="302"/>
      <c r="Q82" s="729"/>
      <c r="R82" s="694"/>
      <c r="S82" s="729"/>
      <c r="T82" s="729"/>
      <c r="U82" s="694"/>
      <c r="V82" s="694"/>
      <c r="W82" s="694"/>
      <c r="X82" s="694"/>
      <c r="Y82" s="694"/>
      <c r="Z82" s="694"/>
      <c r="AA82" s="694"/>
      <c r="AB82" s="694"/>
      <c r="AC82" s="694"/>
      <c r="AD82" s="694"/>
      <c r="AE82" s="694"/>
      <c r="AF82" s="694"/>
      <c r="AG82" s="694"/>
      <c r="AH82" s="694"/>
      <c r="AI82" s="694"/>
      <c r="AJ82" s="694"/>
      <c r="AK82" s="694"/>
      <c r="AL82" s="694"/>
    </row>
    <row r="83" spans="1:38" ht="25.5" customHeight="1" x14ac:dyDescent="0.25">
      <c r="A83" s="694"/>
      <c r="B83" s="298"/>
      <c r="C83" s="302"/>
      <c r="D83" s="302"/>
      <c r="E83" s="2358" t="str">
        <f>Translations!$B$497</f>
        <v>Кодовете по Продком се въвеждат като низове във вида „nnnnnnnn“, т.е. без точки или други разделителни знаци между тях. Само когато липсва код по Продком, се посочва 4-цифрения код по статистическата класификация на икономическите дейности в Европейския съюз (NACE) във вида „nnnn“.</v>
      </c>
      <c r="F83" s="2249"/>
      <c r="G83" s="2249"/>
      <c r="H83" s="2249"/>
      <c r="I83" s="2249"/>
      <c r="J83" s="2249"/>
      <c r="K83" s="2249"/>
      <c r="L83" s="2249"/>
      <c r="M83" s="2249"/>
      <c r="N83" s="2249"/>
      <c r="O83" s="302"/>
      <c r="P83" s="302"/>
      <c r="Q83" s="729"/>
      <c r="R83" s="694"/>
      <c r="S83" s="729"/>
      <c r="T83" s="729"/>
      <c r="U83" s="694"/>
      <c r="V83" s="694"/>
      <c r="W83" s="694"/>
      <c r="X83" s="694"/>
      <c r="Y83" s="694"/>
      <c r="Z83" s="694"/>
      <c r="AA83" s="694"/>
      <c r="AB83" s="694"/>
      <c r="AC83" s="694"/>
      <c r="AD83" s="694"/>
      <c r="AE83" s="694"/>
      <c r="AF83" s="694"/>
      <c r="AG83" s="694"/>
      <c r="AH83" s="694"/>
      <c r="AI83" s="694"/>
      <c r="AJ83" s="694"/>
      <c r="AK83" s="694"/>
      <c r="AL83" s="694"/>
    </row>
    <row r="84" spans="1:38" x14ac:dyDescent="0.25">
      <c r="A84" s="694"/>
      <c r="B84" s="298"/>
      <c r="C84" s="302"/>
      <c r="D84" s="302"/>
      <c r="E84" s="2358" t="str">
        <f>Translations!$B$498</f>
        <v>Продком списъкът за 2010 г. може да се намери на адрес: http://ec.europa.eu/eurostat/ramon/nomenclatures/index.cfm?TargetUrl=LST_CLS_DLD&amp;StrNom=PRD_2010&amp;StrLanguageCode=EN&amp;StrLayoutCode=HIERARCHIChttp://ec.europa.eu/eurostat/ramon/nomenclatures/index.cfm?TargetUrl=LST_CLS_DLD&amp;StrNom=PRD_2010&amp;StrLanguageCode=EN&amp;StrLayoutCode=HIERARCHIC</v>
      </c>
      <c r="F84" s="2249"/>
      <c r="G84" s="2249"/>
      <c r="H84" s="2249"/>
      <c r="I84" s="2249"/>
      <c r="J84" s="2249"/>
      <c r="K84" s="2249"/>
      <c r="L84" s="2249"/>
      <c r="M84" s="2249"/>
      <c r="N84" s="2249"/>
      <c r="O84" s="302"/>
      <c r="P84" s="302"/>
      <c r="Q84" s="729"/>
      <c r="R84" s="694"/>
      <c r="S84" s="729"/>
      <c r="T84" s="729"/>
      <c r="U84" s="694"/>
      <c r="V84" s="694"/>
      <c r="W84" s="694"/>
      <c r="X84" s="694"/>
      <c r="Y84" s="694"/>
      <c r="Z84" s="694"/>
      <c r="AA84" s="694"/>
      <c r="AB84" s="694"/>
      <c r="AC84" s="694"/>
      <c r="AD84" s="694"/>
      <c r="AE84" s="694"/>
      <c r="AF84" s="694"/>
      <c r="AG84" s="694"/>
      <c r="AH84" s="694"/>
      <c r="AI84" s="694"/>
      <c r="AJ84" s="694"/>
      <c r="AK84" s="694"/>
      <c r="AL84" s="694"/>
    </row>
    <row r="85" spans="1:38" x14ac:dyDescent="0.25">
      <c r="A85" s="694"/>
      <c r="B85" s="298"/>
      <c r="C85" s="302"/>
      <c r="D85" s="302"/>
      <c r="E85" s="2855" t="str">
        <f>Translations!$B$1519</f>
        <v>https://eur-lex.europa.eu/eli/reg/2010/860/oj/bul</v>
      </c>
      <c r="F85" s="2856"/>
      <c r="G85" s="2856"/>
      <c r="H85" s="2856"/>
      <c r="I85" s="2856"/>
      <c r="J85" s="2856"/>
      <c r="K85" s="2856"/>
      <c r="L85" s="2856"/>
      <c r="M85" s="2856"/>
      <c r="N85" s="2856"/>
      <c r="O85" s="302"/>
      <c r="P85" s="302"/>
      <c r="Q85" s="729"/>
      <c r="R85" s="694"/>
      <c r="S85" s="729"/>
      <c r="T85" s="729"/>
      <c r="U85" s="694"/>
      <c r="V85" s="694"/>
      <c r="W85" s="694"/>
      <c r="X85" s="694"/>
      <c r="Y85" s="694"/>
      <c r="Z85" s="694"/>
      <c r="AA85" s="694"/>
      <c r="AB85" s="694"/>
      <c r="AC85" s="694"/>
      <c r="AD85" s="694"/>
      <c r="AE85" s="694"/>
      <c r="AF85" s="694"/>
      <c r="AG85" s="694"/>
      <c r="AH85" s="694"/>
      <c r="AI85" s="694"/>
      <c r="AJ85" s="694"/>
      <c r="AK85" s="694"/>
      <c r="AL85" s="694"/>
    </row>
    <row r="86" spans="1:38" x14ac:dyDescent="0.25">
      <c r="A86" s="694"/>
      <c r="B86" s="298"/>
      <c r="C86" s="302"/>
      <c r="D86" s="302"/>
      <c r="E86" s="2358" t="str">
        <f>Translations!$B$1520</f>
        <v>Кодовете по КН са кодовете съгласно Регламент (ЕИО) № 2658/87, които са на разположение на следния адрес:</v>
      </c>
      <c r="F86" s="2249"/>
      <c r="G86" s="2249"/>
      <c r="H86" s="2249"/>
      <c r="I86" s="2249"/>
      <c r="J86" s="2249"/>
      <c r="K86" s="2249"/>
      <c r="L86" s="2249"/>
      <c r="M86" s="2249"/>
      <c r="N86" s="2249"/>
      <c r="O86" s="302"/>
      <c r="P86" s="302"/>
      <c r="Q86" s="729"/>
      <c r="R86" s="694"/>
      <c r="S86" s="729"/>
      <c r="T86" s="729"/>
      <c r="U86" s="694"/>
      <c r="V86" s="694"/>
      <c r="W86" s="694"/>
      <c r="X86" s="694"/>
      <c r="Y86" s="694"/>
      <c r="Z86" s="694"/>
      <c r="AA86" s="694"/>
      <c r="AB86" s="694"/>
      <c r="AC86" s="694"/>
      <c r="AD86" s="694"/>
      <c r="AE86" s="694"/>
      <c r="AF86" s="694"/>
      <c r="AG86" s="694"/>
      <c r="AH86" s="694"/>
      <c r="AI86" s="694"/>
      <c r="AJ86" s="694"/>
      <c r="AK86" s="694"/>
      <c r="AL86" s="694"/>
    </row>
    <row r="87" spans="1:38" x14ac:dyDescent="0.25">
      <c r="A87" s="694"/>
      <c r="B87" s="298"/>
      <c r="C87" s="302"/>
      <c r="D87" s="302"/>
      <c r="E87" s="2855" t="str">
        <f>Translations!$B$1521</f>
        <v>https://eur-lex.europa.eu/eli/reg/1987/2658/2023-06-17</v>
      </c>
      <c r="F87" s="2856"/>
      <c r="G87" s="2856"/>
      <c r="H87" s="2856"/>
      <c r="I87" s="2856"/>
      <c r="J87" s="2856"/>
      <c r="K87" s="2856"/>
      <c r="L87" s="2856"/>
      <c r="M87" s="2856"/>
      <c r="N87" s="2856"/>
      <c r="O87" s="302"/>
      <c r="P87" s="302"/>
      <c r="Q87" s="729"/>
      <c r="R87" s="694"/>
      <c r="S87" s="729"/>
      <c r="T87" s="729"/>
      <c r="U87" s="694"/>
      <c r="V87" s="694"/>
      <c r="W87" s="694"/>
      <c r="X87" s="694"/>
      <c r="Y87" s="694"/>
      <c r="Z87" s="694"/>
      <c r="AA87" s="694"/>
      <c r="AB87" s="694"/>
      <c r="AC87" s="694"/>
      <c r="AD87" s="694"/>
      <c r="AE87" s="694"/>
      <c r="AF87" s="694"/>
      <c r="AG87" s="694"/>
      <c r="AH87" s="694"/>
      <c r="AI87" s="694"/>
      <c r="AJ87" s="694"/>
      <c r="AK87" s="694"/>
      <c r="AL87" s="694"/>
    </row>
    <row r="88" spans="1:38" ht="5.15" customHeight="1" x14ac:dyDescent="0.25">
      <c r="A88" s="694"/>
      <c r="B88" s="298"/>
      <c r="C88" s="298"/>
      <c r="D88" s="298"/>
      <c r="E88" s="298"/>
      <c r="F88" s="298"/>
      <c r="G88" s="298"/>
      <c r="H88" s="298"/>
      <c r="I88" s="298"/>
      <c r="J88" s="298"/>
      <c r="K88" s="298"/>
      <c r="L88" s="298"/>
      <c r="M88" s="298"/>
      <c r="N88" s="298"/>
      <c r="O88" s="302"/>
      <c r="P88" s="302"/>
      <c r="Q88" s="729"/>
      <c r="R88" s="729"/>
      <c r="S88" s="729"/>
      <c r="T88" s="729"/>
      <c r="U88" s="694"/>
      <c r="V88" s="694"/>
      <c r="W88" s="694"/>
      <c r="X88" s="694"/>
      <c r="Y88" s="694"/>
      <c r="Z88" s="694"/>
      <c r="AA88" s="694"/>
      <c r="AB88" s="694"/>
      <c r="AC88" s="694"/>
      <c r="AD88" s="694"/>
      <c r="AE88" s="694"/>
      <c r="AF88" s="694"/>
      <c r="AG88" s="694"/>
      <c r="AH88" s="694"/>
      <c r="AI88" s="694"/>
      <c r="AJ88" s="694"/>
      <c r="AK88" s="694"/>
      <c r="AL88" s="694"/>
    </row>
    <row r="89" spans="1:38" ht="13" x14ac:dyDescent="0.25">
      <c r="A89" s="694"/>
      <c r="B89" s="298"/>
      <c r="C89" s="300"/>
      <c r="D89" s="300" t="s">
        <v>55</v>
      </c>
      <c r="E89" s="2226" t="str">
        <f>Translations!$B$499</f>
        <v>Индивидуални равнища на производство за продуктите, включени в тази подинсталация с продуктов показател</v>
      </c>
      <c r="F89" s="2249"/>
      <c r="G89" s="2249"/>
      <c r="H89" s="2249"/>
      <c r="I89" s="2249"/>
      <c r="J89" s="2249"/>
      <c r="K89" s="2249"/>
      <c r="L89" s="2249"/>
      <c r="M89" s="2249"/>
      <c r="N89" s="2249"/>
      <c r="O89" s="302"/>
      <c r="P89" s="302"/>
      <c r="Q89" s="729"/>
      <c r="R89" s="694"/>
      <c r="S89" s="729"/>
      <c r="T89" s="729"/>
      <c r="U89" s="694"/>
      <c r="V89" s="694"/>
      <c r="W89" s="694"/>
      <c r="X89" s="694"/>
      <c r="Y89" s="694"/>
      <c r="Z89" s="694"/>
      <c r="AA89" s="694"/>
      <c r="AB89" s="694"/>
      <c r="AC89" s="694"/>
      <c r="AD89" s="694"/>
      <c r="AE89" s="694"/>
      <c r="AF89" s="694"/>
      <c r="AG89" s="694"/>
      <c r="AH89" s="694"/>
      <c r="AI89" s="694"/>
      <c r="AJ89" s="694"/>
      <c r="AK89" s="694"/>
      <c r="AL89" s="694"/>
    </row>
    <row r="90" spans="1:38" ht="5.15" customHeight="1" x14ac:dyDescent="0.25">
      <c r="A90" s="694"/>
      <c r="B90" s="298"/>
      <c r="C90" s="298"/>
      <c r="D90" s="302"/>
      <c r="E90" s="460"/>
      <c r="F90" s="460"/>
      <c r="G90" s="460"/>
      <c r="H90" s="460"/>
      <c r="I90" s="460"/>
      <c r="J90" s="329"/>
      <c r="K90" s="329"/>
      <c r="L90" s="329"/>
      <c r="M90" s="302"/>
      <c r="N90" s="302"/>
      <c r="O90" s="302"/>
      <c r="P90" s="302"/>
      <c r="Q90" s="729"/>
      <c r="R90" s="694"/>
      <c r="S90" s="729"/>
      <c r="T90" s="729"/>
      <c r="U90" s="694"/>
      <c r="V90" s="694"/>
      <c r="W90" s="694"/>
      <c r="X90" s="694"/>
      <c r="Y90" s="694"/>
      <c r="Z90" s="694"/>
      <c r="AA90" s="694"/>
      <c r="AB90" s="694"/>
      <c r="AC90" s="694"/>
      <c r="AD90" s="694"/>
      <c r="AE90" s="694"/>
      <c r="AF90" s="694"/>
      <c r="AG90" s="694"/>
      <c r="AH90" s="694"/>
      <c r="AI90" s="694"/>
      <c r="AJ90" s="694"/>
      <c r="AK90" s="694"/>
      <c r="AL90" s="694"/>
    </row>
    <row r="91" spans="1:38" ht="25.5" customHeight="1" thickBot="1" x14ac:dyDescent="0.3">
      <c r="A91" s="694"/>
      <c r="B91" s="698"/>
      <c r="C91" s="698"/>
      <c r="D91" s="1014"/>
      <c r="E91" s="1277" t="str">
        <f>Translations!$B$1522</f>
        <v>ПРОДКОМ за 2010 г.</v>
      </c>
      <c r="F91" s="1278" t="str">
        <f>Translations!$B$500</f>
        <v>Име на продукта или групата продукти</v>
      </c>
      <c r="G91" s="672" t="str">
        <f>EUconst_Unit</f>
        <v>Единица мярка</v>
      </c>
      <c r="H91" s="391">
        <f t="shared" ref="H91:N91" si="14">H$2831</f>
        <v>2024</v>
      </c>
      <c r="I91" s="572">
        <f t="shared" si="14"/>
        <v>2025</v>
      </c>
      <c r="J91" s="757">
        <f t="shared" si="14"/>
        <v>2026</v>
      </c>
      <c r="K91" s="391">
        <f t="shared" si="14"/>
        <v>2027</v>
      </c>
      <c r="L91" s="391">
        <f t="shared" si="14"/>
        <v>2028</v>
      </c>
      <c r="M91" s="391">
        <f t="shared" si="14"/>
        <v>2029</v>
      </c>
      <c r="N91" s="391">
        <f t="shared" si="14"/>
        <v>2030</v>
      </c>
      <c r="O91" s="1277" t="str">
        <f>Translations!$B$1523</f>
        <v>Код по КН</v>
      </c>
      <c r="P91" s="1278"/>
      <c r="Q91" s="694"/>
      <c r="R91" s="694"/>
      <c r="S91" s="729"/>
      <c r="T91" s="729"/>
      <c r="U91" s="694"/>
      <c r="V91" s="694"/>
      <c r="W91" s="694"/>
      <c r="X91" s="694"/>
      <c r="Y91" s="694"/>
      <c r="Z91" s="1279" t="s">
        <v>737</v>
      </c>
      <c r="AA91" s="694"/>
      <c r="AB91" s="694"/>
      <c r="AC91" s="1178">
        <f t="shared" ref="AC91:AI91" si="15">H$20</f>
        <v>2024</v>
      </c>
      <c r="AD91" s="1178">
        <f t="shared" si="15"/>
        <v>2025</v>
      </c>
      <c r="AE91" s="1178">
        <f t="shared" si="15"/>
        <v>2026</v>
      </c>
      <c r="AF91" s="1178">
        <f t="shared" si="15"/>
        <v>2027</v>
      </c>
      <c r="AG91" s="1178">
        <f t="shared" si="15"/>
        <v>2028</v>
      </c>
      <c r="AH91" s="1178">
        <f t="shared" si="15"/>
        <v>2029</v>
      </c>
      <c r="AI91" s="1178">
        <f t="shared" si="15"/>
        <v>2030</v>
      </c>
      <c r="AJ91" s="694"/>
      <c r="AK91" s="694"/>
      <c r="AL91" s="694"/>
    </row>
    <row r="92" spans="1:38" x14ac:dyDescent="0.25">
      <c r="A92" s="694"/>
      <c r="B92" s="698"/>
      <c r="C92" s="698"/>
      <c r="D92" s="981">
        <v>1</v>
      </c>
      <c r="E92" s="221"/>
      <c r="F92" s="109"/>
      <c r="G92" s="57"/>
      <c r="H92" s="40"/>
      <c r="I92" s="46"/>
      <c r="J92" s="116"/>
      <c r="K92" s="40"/>
      <c r="L92" s="40"/>
      <c r="M92" s="40"/>
      <c r="N92" s="40"/>
      <c r="O92" s="221"/>
      <c r="P92" s="158"/>
      <c r="Q92" s="694"/>
      <c r="R92" s="694"/>
      <c r="S92" s="729"/>
      <c r="T92" s="729"/>
      <c r="U92" s="694"/>
      <c r="V92" s="694"/>
      <c r="W92" s="694"/>
      <c r="X92" s="694"/>
      <c r="Y92" s="694"/>
      <c r="Z92" s="1280" t="b">
        <f t="shared" ref="Z92:AA101" si="16">AA92</f>
        <v>0</v>
      </c>
      <c r="AA92" s="1281" t="b">
        <f t="shared" si="16"/>
        <v>0</v>
      </c>
      <c r="AB92" s="1282" t="b">
        <f>AND(AC92:AI92)</f>
        <v>0</v>
      </c>
      <c r="AC92" s="1283" t="b">
        <f t="shared" ref="AC92:AI92" si="17">AC60</f>
        <v>0</v>
      </c>
      <c r="AD92" s="1284" t="b">
        <f t="shared" si="17"/>
        <v>0</v>
      </c>
      <c r="AE92" s="1284" t="b">
        <f>AE60</f>
        <v>0</v>
      </c>
      <c r="AF92" s="1284" t="b">
        <f t="shared" si="17"/>
        <v>0</v>
      </c>
      <c r="AG92" s="1284" t="b">
        <f>AG60</f>
        <v>0</v>
      </c>
      <c r="AH92" s="1284" t="b">
        <f t="shared" si="17"/>
        <v>0</v>
      </c>
      <c r="AI92" s="1285" t="b">
        <f t="shared" si="17"/>
        <v>0</v>
      </c>
      <c r="AJ92" s="1174" t="s">
        <v>2039</v>
      </c>
      <c r="AK92" s="1176" t="str">
        <f>IF(AND(CNTR_ExistSubInstEntries,COUNTIFS(AC92:AI92,FALSE,H92:N92,"")&gt;0),EUconst_Error&amp;"BM"&amp;$Q13,"")</f>
        <v/>
      </c>
      <c r="AL92" s="694"/>
    </row>
    <row r="93" spans="1:38" x14ac:dyDescent="0.25">
      <c r="A93" s="694"/>
      <c r="B93" s="698"/>
      <c r="C93" s="698"/>
      <c r="D93" s="990">
        <f>D92+1</f>
        <v>2</v>
      </c>
      <c r="E93" s="222"/>
      <c r="F93" s="110"/>
      <c r="G93" s="44"/>
      <c r="H93" s="43"/>
      <c r="I93" s="47"/>
      <c r="J93" s="119"/>
      <c r="K93" s="43"/>
      <c r="L93" s="43"/>
      <c r="M93" s="43"/>
      <c r="N93" s="43"/>
      <c r="O93" s="222"/>
      <c r="P93" s="158"/>
      <c r="Q93" s="694"/>
      <c r="R93" s="694"/>
      <c r="S93" s="729"/>
      <c r="T93" s="729"/>
      <c r="U93" s="694"/>
      <c r="V93" s="694"/>
      <c r="W93" s="694"/>
      <c r="X93" s="694"/>
      <c r="Y93" s="694"/>
      <c r="Z93" s="1286" t="b">
        <f t="shared" si="16"/>
        <v>0</v>
      </c>
      <c r="AA93" s="982" t="b">
        <f t="shared" si="16"/>
        <v>0</v>
      </c>
      <c r="AB93" s="1287" t="b">
        <f t="shared" ref="AB93:AB101" si="18">AND(AC93:AI93)</f>
        <v>0</v>
      </c>
      <c r="AC93" s="1288" t="b">
        <f>AC92</f>
        <v>0</v>
      </c>
      <c r="AD93" s="982" t="b">
        <f t="shared" ref="AD93:AD101" si="19">AD92</f>
        <v>0</v>
      </c>
      <c r="AE93" s="982" t="b">
        <f t="shared" ref="AE93:AE101" si="20">AE92</f>
        <v>0</v>
      </c>
      <c r="AF93" s="982" t="b">
        <f t="shared" ref="AF93:AF101" si="21">AF92</f>
        <v>0</v>
      </c>
      <c r="AG93" s="982" t="b">
        <f t="shared" ref="AG93:AG101" si="22">AG92</f>
        <v>0</v>
      </c>
      <c r="AH93" s="982" t="b">
        <f t="shared" ref="AH93:AH101" si="23">AH92</f>
        <v>0</v>
      </c>
      <c r="AI93" s="1287" t="b">
        <f t="shared" ref="AI93:AI101" si="24">AI92</f>
        <v>0</v>
      </c>
      <c r="AJ93" s="694"/>
      <c r="AK93" s="694"/>
      <c r="AL93" s="694"/>
    </row>
    <row r="94" spans="1:38" x14ac:dyDescent="0.25">
      <c r="A94" s="694"/>
      <c r="B94" s="698"/>
      <c r="C94" s="698"/>
      <c r="D94" s="990">
        <f t="shared" ref="D94:D101" si="25">D93+1</f>
        <v>3</v>
      </c>
      <c r="E94" s="222"/>
      <c r="F94" s="111"/>
      <c r="G94" s="44"/>
      <c r="H94" s="43"/>
      <c r="I94" s="47"/>
      <c r="J94" s="119"/>
      <c r="K94" s="43"/>
      <c r="L94" s="43"/>
      <c r="M94" s="43"/>
      <c r="N94" s="43"/>
      <c r="O94" s="222"/>
      <c r="P94" s="158"/>
      <c r="Q94" s="694"/>
      <c r="R94" s="694"/>
      <c r="S94" s="729"/>
      <c r="T94" s="729"/>
      <c r="U94" s="694"/>
      <c r="V94" s="694"/>
      <c r="W94" s="694"/>
      <c r="X94" s="694"/>
      <c r="Y94" s="694"/>
      <c r="Z94" s="1286" t="b">
        <f t="shared" si="16"/>
        <v>0</v>
      </c>
      <c r="AA94" s="982" t="b">
        <f t="shared" si="16"/>
        <v>0</v>
      </c>
      <c r="AB94" s="1287" t="b">
        <f t="shared" si="18"/>
        <v>0</v>
      </c>
      <c r="AC94" s="1288" t="b">
        <f t="shared" ref="AC94:AC101" si="26">AC93</f>
        <v>0</v>
      </c>
      <c r="AD94" s="982" t="b">
        <f t="shared" si="19"/>
        <v>0</v>
      </c>
      <c r="AE94" s="982" t="b">
        <f t="shared" si="20"/>
        <v>0</v>
      </c>
      <c r="AF94" s="982" t="b">
        <f t="shared" si="21"/>
        <v>0</v>
      </c>
      <c r="AG94" s="982" t="b">
        <f t="shared" si="22"/>
        <v>0</v>
      </c>
      <c r="AH94" s="982" t="b">
        <f t="shared" si="23"/>
        <v>0</v>
      </c>
      <c r="AI94" s="1287" t="b">
        <f t="shared" si="24"/>
        <v>0</v>
      </c>
      <c r="AJ94" s="694"/>
      <c r="AK94" s="694"/>
      <c r="AL94" s="694"/>
    </row>
    <row r="95" spans="1:38" x14ac:dyDescent="0.25">
      <c r="A95" s="694"/>
      <c r="B95" s="698"/>
      <c r="C95" s="698"/>
      <c r="D95" s="990">
        <f t="shared" si="25"/>
        <v>4</v>
      </c>
      <c r="E95" s="222"/>
      <c r="F95" s="111"/>
      <c r="G95" s="44"/>
      <c r="H95" s="43"/>
      <c r="I95" s="47"/>
      <c r="J95" s="119"/>
      <c r="K95" s="43"/>
      <c r="L95" s="43"/>
      <c r="M95" s="43"/>
      <c r="N95" s="43"/>
      <c r="O95" s="222"/>
      <c r="P95" s="158"/>
      <c r="Q95" s="694"/>
      <c r="R95" s="694"/>
      <c r="S95" s="729"/>
      <c r="T95" s="729"/>
      <c r="U95" s="694"/>
      <c r="V95" s="694"/>
      <c r="W95" s="694"/>
      <c r="X95" s="694"/>
      <c r="Y95" s="694"/>
      <c r="Z95" s="1286" t="b">
        <f t="shared" si="16"/>
        <v>0</v>
      </c>
      <c r="AA95" s="982" t="b">
        <f t="shared" si="16"/>
        <v>0</v>
      </c>
      <c r="AB95" s="1287" t="b">
        <f t="shared" si="18"/>
        <v>0</v>
      </c>
      <c r="AC95" s="1288" t="b">
        <f t="shared" si="26"/>
        <v>0</v>
      </c>
      <c r="AD95" s="982" t="b">
        <f t="shared" si="19"/>
        <v>0</v>
      </c>
      <c r="AE95" s="982" t="b">
        <f t="shared" si="20"/>
        <v>0</v>
      </c>
      <c r="AF95" s="982" t="b">
        <f t="shared" si="21"/>
        <v>0</v>
      </c>
      <c r="AG95" s="982" t="b">
        <f t="shared" si="22"/>
        <v>0</v>
      </c>
      <c r="AH95" s="982" t="b">
        <f t="shared" si="23"/>
        <v>0</v>
      </c>
      <c r="AI95" s="1287" t="b">
        <f t="shared" si="24"/>
        <v>0</v>
      </c>
      <c r="AJ95" s="694"/>
      <c r="AK95" s="694"/>
      <c r="AL95" s="694"/>
    </row>
    <row r="96" spans="1:38" x14ac:dyDescent="0.25">
      <c r="A96" s="694"/>
      <c r="B96" s="698"/>
      <c r="C96" s="698"/>
      <c r="D96" s="990">
        <f t="shared" si="25"/>
        <v>5</v>
      </c>
      <c r="E96" s="222"/>
      <c r="F96" s="111"/>
      <c r="G96" s="44"/>
      <c r="H96" s="43"/>
      <c r="I96" s="47"/>
      <c r="J96" s="119"/>
      <c r="K96" s="43"/>
      <c r="L96" s="43"/>
      <c r="M96" s="43"/>
      <c r="N96" s="43"/>
      <c r="O96" s="222"/>
      <c r="P96" s="158"/>
      <c r="Q96" s="694"/>
      <c r="R96" s="694"/>
      <c r="S96" s="729"/>
      <c r="T96" s="729"/>
      <c r="U96" s="694"/>
      <c r="V96" s="694"/>
      <c r="W96" s="694"/>
      <c r="X96" s="694"/>
      <c r="Y96" s="694"/>
      <c r="Z96" s="1286" t="b">
        <f t="shared" si="16"/>
        <v>0</v>
      </c>
      <c r="AA96" s="982" t="b">
        <f t="shared" si="16"/>
        <v>0</v>
      </c>
      <c r="AB96" s="1287" t="b">
        <f t="shared" si="18"/>
        <v>0</v>
      </c>
      <c r="AC96" s="1288" t="b">
        <f t="shared" si="26"/>
        <v>0</v>
      </c>
      <c r="AD96" s="982" t="b">
        <f t="shared" si="19"/>
        <v>0</v>
      </c>
      <c r="AE96" s="982" t="b">
        <f t="shared" si="20"/>
        <v>0</v>
      </c>
      <c r="AF96" s="982" t="b">
        <f t="shared" si="21"/>
        <v>0</v>
      </c>
      <c r="AG96" s="982" t="b">
        <f t="shared" si="22"/>
        <v>0</v>
      </c>
      <c r="AH96" s="982" t="b">
        <f t="shared" si="23"/>
        <v>0</v>
      </c>
      <c r="AI96" s="1287" t="b">
        <f t="shared" si="24"/>
        <v>0</v>
      </c>
      <c r="AJ96" s="694"/>
      <c r="AK96" s="694"/>
      <c r="AL96" s="694"/>
    </row>
    <row r="97" spans="1:38" x14ac:dyDescent="0.25">
      <c r="A97" s="694"/>
      <c r="B97" s="698"/>
      <c r="C97" s="698"/>
      <c r="D97" s="990">
        <f t="shared" si="25"/>
        <v>6</v>
      </c>
      <c r="E97" s="222"/>
      <c r="F97" s="111"/>
      <c r="G97" s="44"/>
      <c r="H97" s="43"/>
      <c r="I97" s="47"/>
      <c r="J97" s="119"/>
      <c r="K97" s="43"/>
      <c r="L97" s="43"/>
      <c r="M97" s="43"/>
      <c r="N97" s="43"/>
      <c r="O97" s="222"/>
      <c r="P97" s="158"/>
      <c r="Q97" s="694"/>
      <c r="R97" s="694"/>
      <c r="S97" s="729"/>
      <c r="T97" s="729"/>
      <c r="U97" s="694"/>
      <c r="V97" s="694"/>
      <c r="W97" s="694"/>
      <c r="X97" s="694"/>
      <c r="Y97" s="694"/>
      <c r="Z97" s="1286" t="b">
        <f t="shared" si="16"/>
        <v>0</v>
      </c>
      <c r="AA97" s="982" t="b">
        <f t="shared" si="16"/>
        <v>0</v>
      </c>
      <c r="AB97" s="1287" t="b">
        <f t="shared" si="18"/>
        <v>0</v>
      </c>
      <c r="AC97" s="1288" t="b">
        <f t="shared" si="26"/>
        <v>0</v>
      </c>
      <c r="AD97" s="982" t="b">
        <f t="shared" si="19"/>
        <v>0</v>
      </c>
      <c r="AE97" s="982" t="b">
        <f t="shared" si="20"/>
        <v>0</v>
      </c>
      <c r="AF97" s="982" t="b">
        <f t="shared" si="21"/>
        <v>0</v>
      </c>
      <c r="AG97" s="982" t="b">
        <f t="shared" si="22"/>
        <v>0</v>
      </c>
      <c r="AH97" s="982" t="b">
        <f t="shared" si="23"/>
        <v>0</v>
      </c>
      <c r="AI97" s="1287" t="b">
        <f t="shared" si="24"/>
        <v>0</v>
      </c>
      <c r="AJ97" s="694"/>
      <c r="AK97" s="694"/>
      <c r="AL97" s="694"/>
    </row>
    <row r="98" spans="1:38" x14ac:dyDescent="0.25">
      <c r="A98" s="694"/>
      <c r="B98" s="698"/>
      <c r="C98" s="698"/>
      <c r="D98" s="990">
        <f t="shared" si="25"/>
        <v>7</v>
      </c>
      <c r="E98" s="222"/>
      <c r="F98" s="111"/>
      <c r="G98" s="44"/>
      <c r="H98" s="43"/>
      <c r="I98" s="47"/>
      <c r="J98" s="119"/>
      <c r="K98" s="43"/>
      <c r="L98" s="43"/>
      <c r="M98" s="43"/>
      <c r="N98" s="43"/>
      <c r="O98" s="222"/>
      <c r="P98" s="158"/>
      <c r="Q98" s="694"/>
      <c r="R98" s="694"/>
      <c r="S98" s="729"/>
      <c r="T98" s="729"/>
      <c r="U98" s="694"/>
      <c r="V98" s="694"/>
      <c r="W98" s="694"/>
      <c r="X98" s="694"/>
      <c r="Y98" s="694"/>
      <c r="Z98" s="1286" t="b">
        <f t="shared" si="16"/>
        <v>0</v>
      </c>
      <c r="AA98" s="982" t="b">
        <f t="shared" si="16"/>
        <v>0</v>
      </c>
      <c r="AB98" s="1287" t="b">
        <f t="shared" si="18"/>
        <v>0</v>
      </c>
      <c r="AC98" s="1288" t="b">
        <f t="shared" si="26"/>
        <v>0</v>
      </c>
      <c r="AD98" s="982" t="b">
        <f t="shared" si="19"/>
        <v>0</v>
      </c>
      <c r="AE98" s="982" t="b">
        <f t="shared" si="20"/>
        <v>0</v>
      </c>
      <c r="AF98" s="982" t="b">
        <f t="shared" si="21"/>
        <v>0</v>
      </c>
      <c r="AG98" s="982" t="b">
        <f t="shared" si="22"/>
        <v>0</v>
      </c>
      <c r="AH98" s="982" t="b">
        <f t="shared" si="23"/>
        <v>0</v>
      </c>
      <c r="AI98" s="1287" t="b">
        <f t="shared" si="24"/>
        <v>0</v>
      </c>
      <c r="AJ98" s="694"/>
      <c r="AK98" s="694"/>
      <c r="AL98" s="694"/>
    </row>
    <row r="99" spans="1:38" x14ac:dyDescent="0.25">
      <c r="A99" s="694"/>
      <c r="B99" s="698"/>
      <c r="C99" s="698"/>
      <c r="D99" s="990">
        <f t="shared" si="25"/>
        <v>8</v>
      </c>
      <c r="E99" s="222"/>
      <c r="F99" s="111"/>
      <c r="G99" s="44"/>
      <c r="H99" s="43"/>
      <c r="I99" s="47"/>
      <c r="J99" s="119"/>
      <c r="K99" s="43"/>
      <c r="L99" s="43"/>
      <c r="M99" s="43"/>
      <c r="N99" s="43"/>
      <c r="O99" s="222"/>
      <c r="P99" s="158"/>
      <c r="Q99" s="694"/>
      <c r="R99" s="694"/>
      <c r="S99" s="729"/>
      <c r="T99" s="729"/>
      <c r="U99" s="694"/>
      <c r="V99" s="694"/>
      <c r="W99" s="694"/>
      <c r="X99" s="694"/>
      <c r="Y99" s="694"/>
      <c r="Z99" s="1286" t="b">
        <f t="shared" si="16"/>
        <v>0</v>
      </c>
      <c r="AA99" s="982" t="b">
        <f t="shared" si="16"/>
        <v>0</v>
      </c>
      <c r="AB99" s="1287" t="b">
        <f t="shared" si="18"/>
        <v>0</v>
      </c>
      <c r="AC99" s="1288" t="b">
        <f t="shared" si="26"/>
        <v>0</v>
      </c>
      <c r="AD99" s="982" t="b">
        <f t="shared" si="19"/>
        <v>0</v>
      </c>
      <c r="AE99" s="982" t="b">
        <f t="shared" si="20"/>
        <v>0</v>
      </c>
      <c r="AF99" s="982" t="b">
        <f t="shared" si="21"/>
        <v>0</v>
      </c>
      <c r="AG99" s="982" t="b">
        <f t="shared" si="22"/>
        <v>0</v>
      </c>
      <c r="AH99" s="982" t="b">
        <f t="shared" si="23"/>
        <v>0</v>
      </c>
      <c r="AI99" s="1287" t="b">
        <f t="shared" si="24"/>
        <v>0</v>
      </c>
      <c r="AJ99" s="694"/>
      <c r="AK99" s="694"/>
      <c r="AL99" s="694"/>
    </row>
    <row r="100" spans="1:38" x14ac:dyDescent="0.25">
      <c r="A100" s="694"/>
      <c r="B100" s="698"/>
      <c r="C100" s="698"/>
      <c r="D100" s="990">
        <f t="shared" si="25"/>
        <v>9</v>
      </c>
      <c r="E100" s="222"/>
      <c r="F100" s="111"/>
      <c r="G100" s="44"/>
      <c r="H100" s="43"/>
      <c r="I100" s="47"/>
      <c r="J100" s="119"/>
      <c r="K100" s="43"/>
      <c r="L100" s="43"/>
      <c r="M100" s="43"/>
      <c r="N100" s="43"/>
      <c r="O100" s="222"/>
      <c r="P100" s="158"/>
      <c r="Q100" s="694"/>
      <c r="R100" s="694"/>
      <c r="S100" s="729"/>
      <c r="T100" s="729"/>
      <c r="U100" s="694"/>
      <c r="V100" s="694"/>
      <c r="W100" s="694"/>
      <c r="X100" s="694"/>
      <c r="Y100" s="694"/>
      <c r="Z100" s="1286" t="b">
        <f t="shared" si="16"/>
        <v>0</v>
      </c>
      <c r="AA100" s="982" t="b">
        <f t="shared" si="16"/>
        <v>0</v>
      </c>
      <c r="AB100" s="1287" t="b">
        <f t="shared" si="18"/>
        <v>0</v>
      </c>
      <c r="AC100" s="1288" t="b">
        <f t="shared" si="26"/>
        <v>0</v>
      </c>
      <c r="AD100" s="982" t="b">
        <f t="shared" si="19"/>
        <v>0</v>
      </c>
      <c r="AE100" s="982" t="b">
        <f t="shared" si="20"/>
        <v>0</v>
      </c>
      <c r="AF100" s="982" t="b">
        <f t="shared" si="21"/>
        <v>0</v>
      </c>
      <c r="AG100" s="982" t="b">
        <f t="shared" si="22"/>
        <v>0</v>
      </c>
      <c r="AH100" s="982" t="b">
        <f t="shared" si="23"/>
        <v>0</v>
      </c>
      <c r="AI100" s="1287" t="b">
        <f t="shared" si="24"/>
        <v>0</v>
      </c>
      <c r="AJ100" s="694"/>
      <c r="AK100" s="694"/>
      <c r="AL100" s="694"/>
    </row>
    <row r="101" spans="1:38" ht="13" thickBot="1" x14ac:dyDescent="0.3">
      <c r="A101" s="694"/>
      <c r="B101" s="698"/>
      <c r="C101" s="698"/>
      <c r="D101" s="994">
        <f t="shared" si="25"/>
        <v>10</v>
      </c>
      <c r="E101" s="223"/>
      <c r="F101" s="112"/>
      <c r="G101" s="45"/>
      <c r="H101" s="38"/>
      <c r="I101" s="48"/>
      <c r="J101" s="117"/>
      <c r="K101" s="38"/>
      <c r="L101" s="38"/>
      <c r="M101" s="38"/>
      <c r="N101" s="38"/>
      <c r="O101" s="223"/>
      <c r="P101" s="158"/>
      <c r="Q101" s="694"/>
      <c r="R101" s="694"/>
      <c r="S101" s="729"/>
      <c r="T101" s="729"/>
      <c r="U101" s="694"/>
      <c r="V101" s="694"/>
      <c r="W101" s="694"/>
      <c r="X101" s="694"/>
      <c r="Y101" s="694"/>
      <c r="Z101" s="1289" t="b">
        <f t="shared" si="16"/>
        <v>0</v>
      </c>
      <c r="AA101" s="1290" t="b">
        <f t="shared" si="16"/>
        <v>0</v>
      </c>
      <c r="AB101" s="1291" t="b">
        <f t="shared" si="18"/>
        <v>0</v>
      </c>
      <c r="AC101" s="1292" t="b">
        <f t="shared" si="26"/>
        <v>0</v>
      </c>
      <c r="AD101" s="1290" t="b">
        <f t="shared" si="19"/>
        <v>0</v>
      </c>
      <c r="AE101" s="1290" t="b">
        <f t="shared" si="20"/>
        <v>0</v>
      </c>
      <c r="AF101" s="1290" t="b">
        <f t="shared" si="21"/>
        <v>0</v>
      </c>
      <c r="AG101" s="1290" t="b">
        <f t="shared" si="22"/>
        <v>0</v>
      </c>
      <c r="AH101" s="1290" t="b">
        <f t="shared" si="23"/>
        <v>0</v>
      </c>
      <c r="AI101" s="1291" t="b">
        <f t="shared" si="24"/>
        <v>0</v>
      </c>
      <c r="AJ101" s="694"/>
      <c r="AK101" s="694"/>
      <c r="AL101" s="694"/>
    </row>
    <row r="102" spans="1:38" ht="12.75" customHeight="1" thickBot="1" x14ac:dyDescent="0.3">
      <c r="A102" s="694"/>
      <c r="B102" s="698"/>
      <c r="C102" s="698"/>
      <c r="D102" s="1293"/>
      <c r="E102" s="1294" t="str">
        <f>Translations!$B$501</f>
        <v>Сума на равнищата на производство</v>
      </c>
      <c r="F102" s="1295"/>
      <c r="G102" s="49"/>
      <c r="H102" s="1104" t="str">
        <f t="shared" ref="H102:N102" si="27">IF(COUNT(H92:H101)&gt;0,SUM(H92:H101),"")</f>
        <v/>
      </c>
      <c r="I102" s="1296" t="str">
        <f t="shared" si="27"/>
        <v/>
      </c>
      <c r="J102" s="1297" t="str">
        <f t="shared" si="27"/>
        <v/>
      </c>
      <c r="K102" s="1104" t="str">
        <f t="shared" si="27"/>
        <v/>
      </c>
      <c r="L102" s="1104" t="str">
        <f t="shared" si="27"/>
        <v/>
      </c>
      <c r="M102" s="1104" t="str">
        <f t="shared" si="27"/>
        <v/>
      </c>
      <c r="N102" s="1104" t="str">
        <f t="shared" si="27"/>
        <v/>
      </c>
      <c r="O102" s="302"/>
      <c r="P102" s="302"/>
      <c r="Q102" s="694"/>
      <c r="R102" s="694"/>
      <c r="S102" s="729"/>
      <c r="T102" s="729"/>
      <c r="U102" s="694"/>
      <c r="V102" s="694"/>
      <c r="W102" s="694"/>
      <c r="X102" s="694"/>
      <c r="Y102" s="694"/>
      <c r="Z102" s="694"/>
      <c r="AA102" s="694"/>
      <c r="AB102" s="1177" t="b">
        <f>AND(AB92:AB101)</f>
        <v>0</v>
      </c>
      <c r="AC102" s="694"/>
      <c r="AD102" s="694"/>
      <c r="AE102" s="694"/>
      <c r="AF102" s="694"/>
      <c r="AG102" s="694"/>
      <c r="AH102" s="694"/>
      <c r="AI102" s="694"/>
      <c r="AJ102" s="694"/>
      <c r="AK102" s="694"/>
      <c r="AL102" s="694"/>
    </row>
    <row r="103" spans="1:38" ht="12.75" customHeight="1" thickBot="1" x14ac:dyDescent="0.3">
      <c r="A103" s="694"/>
      <c r="B103" s="298"/>
      <c r="C103" s="298"/>
      <c r="D103" s="298"/>
      <c r="E103" s="298"/>
      <c r="F103" s="298"/>
      <c r="G103" s="298"/>
      <c r="H103" s="298"/>
      <c r="I103" s="298"/>
      <c r="J103" s="298"/>
      <c r="K103" s="298"/>
      <c r="L103" s="298"/>
      <c r="M103" s="302"/>
      <c r="N103" s="302"/>
      <c r="O103" s="302"/>
      <c r="P103" s="302"/>
      <c r="Q103" s="729"/>
      <c r="R103" s="694"/>
      <c r="S103" s="729"/>
      <c r="T103" s="729"/>
      <c r="U103" s="694"/>
      <c r="V103" s="694"/>
      <c r="W103" s="694"/>
      <c r="X103" s="694"/>
      <c r="Y103" s="694"/>
      <c r="Z103" s="694"/>
      <c r="AA103" s="694"/>
      <c r="AB103" s="694"/>
      <c r="AC103" s="694"/>
      <c r="AD103" s="694"/>
      <c r="AE103" s="694"/>
      <c r="AF103" s="694"/>
      <c r="AG103" s="694"/>
      <c r="AH103" s="694"/>
      <c r="AI103" s="694"/>
      <c r="AJ103" s="694"/>
      <c r="AK103" s="694"/>
      <c r="AL103" s="694"/>
    </row>
    <row r="104" spans="1:38" ht="5.15" customHeight="1" x14ac:dyDescent="0.25">
      <c r="A104" s="694"/>
      <c r="B104" s="298"/>
      <c r="C104" s="1298"/>
      <c r="D104" s="1299"/>
      <c r="E104" s="1299"/>
      <c r="F104" s="1299"/>
      <c r="G104" s="1299"/>
      <c r="H104" s="1299"/>
      <c r="I104" s="1299"/>
      <c r="J104" s="1299"/>
      <c r="K104" s="1299"/>
      <c r="L104" s="1299"/>
      <c r="M104" s="1300"/>
      <c r="N104" s="1301"/>
      <c r="O104" s="302"/>
      <c r="P104" s="302"/>
      <c r="Q104" s="729"/>
      <c r="R104" s="694"/>
      <c r="S104" s="729"/>
      <c r="T104" s="729"/>
      <c r="U104" s="694"/>
      <c r="V104" s="694"/>
      <c r="W104" s="694"/>
      <c r="X104" s="694"/>
      <c r="Y104" s="694"/>
      <c r="Z104" s="694"/>
      <c r="AA104" s="694"/>
      <c r="AB104" s="694"/>
      <c r="AC104" s="694"/>
      <c r="AD104" s="694"/>
      <c r="AE104" s="694"/>
      <c r="AF104" s="694"/>
      <c r="AG104" s="694"/>
      <c r="AH104" s="694"/>
      <c r="AI104" s="694"/>
      <c r="AJ104" s="694"/>
      <c r="AK104" s="694"/>
      <c r="AL104" s="694"/>
    </row>
    <row r="105" spans="1:38" ht="15" customHeight="1" x14ac:dyDescent="0.25">
      <c r="A105" s="694"/>
      <c r="B105" s="698"/>
      <c r="C105" s="1302"/>
      <c r="D105" s="2857" t="str">
        <f>Translations!$B$502</f>
        <v>Данни, необходими за определяне на нивото на подобрение на продуктовите показатели съгласно 10а, параграф 2 от Директивата за СТЕ на ЕС</v>
      </c>
      <c r="E105" s="2851"/>
      <c r="F105" s="2851"/>
      <c r="G105" s="2851"/>
      <c r="H105" s="2851"/>
      <c r="I105" s="2851"/>
      <c r="J105" s="2851"/>
      <c r="K105" s="2851"/>
      <c r="L105" s="2851"/>
      <c r="M105" s="2851"/>
      <c r="N105" s="2852"/>
      <c r="O105" s="302"/>
      <c r="P105" s="302"/>
      <c r="Q105" s="694"/>
      <c r="R105" s="694"/>
      <c r="S105" s="729"/>
      <c r="T105" s="729"/>
      <c r="U105" s="694"/>
      <c r="V105" s="694"/>
      <c r="W105" s="694"/>
      <c r="X105" s="694"/>
      <c r="Y105" s="694"/>
      <c r="Z105" s="694"/>
      <c r="AA105" s="694"/>
      <c r="AB105" s="694"/>
      <c r="AC105" s="694"/>
      <c r="AD105" s="694"/>
      <c r="AE105" s="694"/>
      <c r="AF105" s="694"/>
      <c r="AG105" s="694"/>
      <c r="AH105" s="694"/>
      <c r="AI105" s="694"/>
      <c r="AJ105" s="694"/>
      <c r="AK105" s="694"/>
      <c r="AL105" s="694"/>
    </row>
    <row r="106" spans="1:38" ht="5.15" customHeight="1" x14ac:dyDescent="0.25">
      <c r="A106" s="694"/>
      <c r="B106" s="698"/>
      <c r="C106" s="1303"/>
      <c r="D106" s="1304"/>
      <c r="E106" s="1304"/>
      <c r="F106" s="1304"/>
      <c r="G106" s="1304"/>
      <c r="H106" s="1304"/>
      <c r="I106" s="1304"/>
      <c r="J106" s="1304"/>
      <c r="K106" s="1304"/>
      <c r="L106" s="1304"/>
      <c r="M106" s="1304"/>
      <c r="N106" s="1305"/>
      <c r="O106" s="302"/>
      <c r="P106" s="302"/>
      <c r="Q106" s="694"/>
      <c r="R106" s="694"/>
      <c r="S106" s="729"/>
      <c r="T106" s="729"/>
      <c r="U106" s="694"/>
      <c r="V106" s="694"/>
      <c r="W106" s="694"/>
      <c r="X106" s="694"/>
      <c r="Y106" s="694"/>
      <c r="Z106" s="694"/>
      <c r="AA106" s="694"/>
      <c r="AB106" s="694"/>
      <c r="AC106" s="694"/>
      <c r="AD106" s="694"/>
      <c r="AE106" s="694"/>
      <c r="AF106" s="694"/>
      <c r="AG106" s="694"/>
      <c r="AH106" s="694"/>
      <c r="AI106" s="694"/>
      <c r="AJ106" s="694"/>
      <c r="AK106" s="694"/>
      <c r="AL106" s="694"/>
    </row>
    <row r="107" spans="1:38" ht="15" customHeight="1" x14ac:dyDescent="0.25">
      <c r="A107" s="694"/>
      <c r="B107" s="698"/>
      <c r="C107" s="1303"/>
      <c r="D107" s="2841" t="str">
        <f>EUconst_BMSubinst &amp; ":"</f>
        <v>Подинсталация с продуктов показател:</v>
      </c>
      <c r="E107" s="2839"/>
      <c r="F107" s="2839"/>
      <c r="G107" s="2839"/>
      <c r="H107" s="2842"/>
      <c r="I107" s="2843" t="str">
        <f>I13</f>
        <v/>
      </c>
      <c r="J107" s="2844"/>
      <c r="K107" s="2844"/>
      <c r="L107" s="2844"/>
      <c r="M107" s="2844"/>
      <c r="N107" s="2845"/>
      <c r="O107" s="302"/>
      <c r="P107" s="302"/>
      <c r="Q107" s="694"/>
      <c r="R107" s="694"/>
      <c r="S107" s="729"/>
      <c r="T107" s="729"/>
      <c r="U107" s="694"/>
      <c r="V107" s="694"/>
      <c r="W107" s="694"/>
      <c r="X107" s="694"/>
      <c r="Y107" s="694"/>
      <c r="Z107" s="694"/>
      <c r="AA107" s="694"/>
      <c r="AB107" s="694"/>
      <c r="AC107" s="694"/>
      <c r="AD107" s="694"/>
      <c r="AE107" s="694"/>
      <c r="AF107" s="694"/>
      <c r="AG107" s="694"/>
      <c r="AH107" s="694"/>
      <c r="AI107" s="694"/>
      <c r="AJ107" s="694"/>
      <c r="AK107" s="694"/>
      <c r="AL107" s="694"/>
    </row>
    <row r="108" spans="1:38" ht="5.15" customHeight="1" x14ac:dyDescent="0.25">
      <c r="A108" s="694"/>
      <c r="B108" s="698"/>
      <c r="C108" s="1303"/>
      <c r="D108" s="1304"/>
      <c r="E108" s="1304"/>
      <c r="F108" s="1304"/>
      <c r="G108" s="1304"/>
      <c r="H108" s="1304"/>
      <c r="I108" s="1304"/>
      <c r="J108" s="1304"/>
      <c r="K108" s="1304"/>
      <c r="L108" s="1304"/>
      <c r="M108" s="1304"/>
      <c r="N108" s="1305"/>
      <c r="O108" s="302"/>
      <c r="P108" s="302"/>
      <c r="Q108" s="694"/>
      <c r="R108" s="694"/>
      <c r="S108" s="729"/>
      <c r="T108" s="729"/>
      <c r="U108" s="694"/>
      <c r="V108" s="694"/>
      <c r="W108" s="694"/>
      <c r="X108" s="694"/>
      <c r="Y108" s="694"/>
      <c r="Z108" s="694"/>
      <c r="AA108" s="694"/>
      <c r="AB108" s="694"/>
      <c r="AC108" s="694"/>
      <c r="AD108" s="694"/>
      <c r="AE108" s="694"/>
      <c r="AF108" s="694"/>
      <c r="AG108" s="694"/>
      <c r="AH108" s="694"/>
      <c r="AI108" s="694"/>
      <c r="AJ108" s="694"/>
      <c r="AK108" s="694"/>
      <c r="AL108" s="694"/>
    </row>
    <row r="109" spans="1:38" ht="30" customHeight="1" x14ac:dyDescent="0.25">
      <c r="A109" s="694"/>
      <c r="B109" s="298"/>
      <c r="C109" s="1302"/>
      <c r="D109" s="1306"/>
      <c r="E109" s="2846" t="str">
        <f>Translations!$B$503</f>
        <v>В този подраздел се обхваща разпределението на емисии по пораждащи емисии потоци, източници на емисии, получена или подадена измерима топлинна енергия и отпадни газове, включително загубите на топлинна енергия съгласно раздел 10 от приложение VII към ПБР.</v>
      </c>
      <c r="F109" s="2846"/>
      <c r="G109" s="2846"/>
      <c r="H109" s="2846"/>
      <c r="I109" s="2846"/>
      <c r="J109" s="2846"/>
      <c r="K109" s="2846"/>
      <c r="L109" s="2846"/>
      <c r="M109" s="2846"/>
      <c r="N109" s="2847"/>
      <c r="O109" s="302"/>
      <c r="P109" s="302"/>
      <c r="Q109" s="729"/>
      <c r="R109" s="694"/>
      <c r="S109" s="694"/>
      <c r="T109" s="694"/>
      <c r="U109" s="694"/>
      <c r="V109" s="694"/>
      <c r="W109" s="694"/>
      <c r="X109" s="694"/>
      <c r="Y109" s="694"/>
      <c r="Z109" s="694"/>
      <c r="AA109" s="694"/>
      <c r="AB109" s="694"/>
      <c r="AC109" s="694"/>
      <c r="AD109" s="694"/>
      <c r="AE109" s="694"/>
      <c r="AF109" s="694"/>
      <c r="AG109" s="694"/>
      <c r="AH109" s="694"/>
      <c r="AI109" s="694"/>
      <c r="AJ109" s="694"/>
      <c r="AK109" s="694"/>
      <c r="AL109" s="694"/>
    </row>
    <row r="110" spans="1:38" ht="30" customHeight="1" x14ac:dyDescent="0.25">
      <c r="A110" s="694"/>
      <c r="B110" s="298"/>
      <c r="C110" s="1302"/>
      <c r="D110" s="1306"/>
      <c r="E110" s="2846" t="str">
        <f>Translations!$B$504</f>
        <v xml:space="preserve">Моля, имайте предвид, че въпреки дадените известни насоки по всяка от точките по-долу трябва да потърсите допълнителна информация в обяснителна бележка № 5 („Мониторинг и докладване във връзка с ПБР“), която съдържа и примери. </v>
      </c>
      <c r="F110" s="2846"/>
      <c r="G110" s="2846"/>
      <c r="H110" s="2846"/>
      <c r="I110" s="2846"/>
      <c r="J110" s="2846"/>
      <c r="K110" s="2846"/>
      <c r="L110" s="2846"/>
      <c r="M110" s="2846"/>
      <c r="N110" s="2811"/>
      <c r="O110" s="302"/>
      <c r="P110" s="302"/>
      <c r="Q110" s="729"/>
      <c r="R110" s="694"/>
      <c r="S110" s="694"/>
      <c r="T110" s="694"/>
      <c r="U110" s="694"/>
      <c r="V110" s="694"/>
      <c r="W110" s="694"/>
      <c r="X110" s="694"/>
      <c r="Y110" s="694"/>
      <c r="Z110" s="694"/>
      <c r="AA110" s="694"/>
      <c r="AB110" s="694"/>
      <c r="AC110" s="694"/>
      <c r="AD110" s="694"/>
      <c r="AE110" s="694"/>
      <c r="AF110" s="694"/>
      <c r="AG110" s="694"/>
      <c r="AH110" s="694"/>
      <c r="AI110" s="694"/>
      <c r="AJ110" s="694"/>
      <c r="AK110" s="694"/>
      <c r="AL110" s="694"/>
    </row>
    <row r="111" spans="1:38" ht="12.75" customHeight="1" x14ac:dyDescent="0.25">
      <c r="A111" s="694"/>
      <c r="B111" s="298"/>
      <c r="C111" s="1302"/>
      <c r="D111" s="1306"/>
      <c r="E111" s="2846" t="str">
        <f>Translations!$B$505</f>
        <v>Можете да изтеглите насоките на адрес: https://ec.europa.eu/clima/policies/ets/allowances_en#tab-0-1</v>
      </c>
      <c r="F111" s="2240"/>
      <c r="G111" s="2240"/>
      <c r="H111" s="2240"/>
      <c r="I111" s="2240"/>
      <c r="J111" s="2240"/>
      <c r="K111" s="2240"/>
      <c r="L111" s="2240"/>
      <c r="M111" s="2240"/>
      <c r="N111" s="2811"/>
      <c r="O111" s="302"/>
      <c r="P111" s="302"/>
      <c r="Q111" s="729"/>
      <c r="R111" s="694"/>
      <c r="S111" s="694"/>
      <c r="T111" s="694"/>
      <c r="U111" s="694"/>
      <c r="V111" s="694"/>
      <c r="W111" s="694"/>
      <c r="X111" s="694"/>
      <c r="Y111" s="694"/>
      <c r="Z111" s="694"/>
      <c r="AA111" s="694"/>
      <c r="AB111" s="694"/>
      <c r="AC111" s="694"/>
      <c r="AD111" s="694"/>
      <c r="AE111" s="694"/>
      <c r="AF111" s="694"/>
      <c r="AG111" s="694"/>
      <c r="AH111" s="694"/>
      <c r="AI111" s="694"/>
      <c r="AJ111" s="694"/>
      <c r="AK111" s="694"/>
      <c r="AL111" s="694"/>
    </row>
    <row r="112" spans="1:38" ht="15" customHeight="1" x14ac:dyDescent="0.25">
      <c r="A112" s="694"/>
      <c r="B112" s="298"/>
      <c r="C112" s="1302"/>
      <c r="D112" s="1306"/>
      <c r="E112" s="2848" t="s">
        <v>2540</v>
      </c>
      <c r="F112" s="2848"/>
      <c r="G112" s="2848"/>
      <c r="H112" s="2848"/>
      <c r="I112" s="2848"/>
      <c r="J112" s="2848"/>
      <c r="K112" s="2848"/>
      <c r="L112" s="2848"/>
      <c r="M112" s="2848"/>
      <c r="N112" s="2827"/>
      <c r="O112" s="302"/>
      <c r="P112" s="302"/>
      <c r="Q112" s="729"/>
      <c r="R112" s="694"/>
      <c r="S112" s="694"/>
      <c r="T112" s="694"/>
      <c r="U112" s="694"/>
      <c r="V112" s="694"/>
      <c r="W112" s="694"/>
      <c r="X112" s="694"/>
      <c r="Y112" s="694"/>
      <c r="Z112" s="694"/>
      <c r="AA112" s="694"/>
      <c r="AB112" s="694"/>
      <c r="AC112" s="694"/>
      <c r="AD112" s="694"/>
      <c r="AE112" s="694"/>
      <c r="AF112" s="694"/>
      <c r="AG112" s="694"/>
      <c r="AH112" s="694"/>
      <c r="AI112" s="694"/>
      <c r="AJ112" s="694"/>
      <c r="AK112" s="694"/>
      <c r="AL112" s="694"/>
    </row>
    <row r="113" spans="1:38" ht="5.15" customHeight="1" x14ac:dyDescent="0.25">
      <c r="A113" s="694"/>
      <c r="B113" s="698"/>
      <c r="C113" s="1303"/>
      <c r="D113" s="1304"/>
      <c r="E113" s="1304"/>
      <c r="F113" s="1304"/>
      <c r="G113" s="1304"/>
      <c r="H113" s="1304"/>
      <c r="I113" s="1304"/>
      <c r="J113" s="1304"/>
      <c r="K113" s="1304"/>
      <c r="L113" s="1304"/>
      <c r="M113" s="1304"/>
      <c r="N113" s="1305"/>
      <c r="O113" s="302"/>
      <c r="P113" s="302"/>
      <c r="Q113" s="694"/>
      <c r="R113" s="694"/>
      <c r="S113" s="729"/>
      <c r="T113" s="729"/>
      <c r="U113" s="694"/>
      <c r="V113" s="694"/>
      <c r="W113" s="694"/>
      <c r="X113" s="694"/>
      <c r="Y113" s="694"/>
      <c r="Z113" s="694"/>
      <c r="AA113" s="694"/>
      <c r="AB113" s="694"/>
      <c r="AC113" s="694"/>
      <c r="AD113" s="694"/>
      <c r="AE113" s="694"/>
      <c r="AF113" s="694"/>
      <c r="AG113" s="694"/>
      <c r="AH113" s="694"/>
      <c r="AI113" s="694"/>
      <c r="AJ113" s="694"/>
      <c r="AK113" s="694"/>
      <c r="AL113" s="694"/>
    </row>
    <row r="114" spans="1:38" ht="15" customHeight="1" x14ac:dyDescent="0.25">
      <c r="A114" s="694"/>
      <c r="B114" s="298"/>
      <c r="C114" s="1302"/>
      <c r="D114" s="1306"/>
      <c r="E114" s="2849" t="str">
        <f>Translations!$B$506</f>
        <v>При въвеждане на данните по-долу емисиите, които могат да бъдат зададени, са изчислени в раздел K.III.2 в листа за обобщение.</v>
      </c>
      <c r="F114" s="2849"/>
      <c r="G114" s="2849"/>
      <c r="H114" s="2849"/>
      <c r="I114" s="2849"/>
      <c r="J114" s="2849"/>
      <c r="K114" s="2849"/>
      <c r="L114" s="2849"/>
      <c r="M114" s="2849"/>
      <c r="N114" s="2827"/>
      <c r="O114" s="302"/>
      <c r="P114" s="302"/>
      <c r="Q114" s="729"/>
      <c r="R114" s="694"/>
      <c r="S114" s="694"/>
      <c r="T114" s="694"/>
      <c r="U114" s="694"/>
      <c r="V114" s="694"/>
      <c r="W114" s="694"/>
      <c r="X114" s="694"/>
      <c r="Y114" s="694"/>
      <c r="Z114" s="694"/>
      <c r="AA114" s="694"/>
      <c r="AB114" s="694"/>
      <c r="AC114" s="694"/>
      <c r="AD114" s="694"/>
      <c r="AE114" s="694"/>
      <c r="AF114" s="694"/>
      <c r="AG114" s="694"/>
      <c r="AH114" s="694"/>
      <c r="AI114" s="694"/>
      <c r="AJ114" s="694"/>
      <c r="AK114" s="694"/>
      <c r="AL114" s="694"/>
    </row>
    <row r="115" spans="1:38" ht="5.15" customHeight="1" x14ac:dyDescent="0.25">
      <c r="A115" s="694"/>
      <c r="B115" s="698"/>
      <c r="C115" s="1303"/>
      <c r="D115" s="1304"/>
      <c r="E115" s="1304"/>
      <c r="F115" s="1304"/>
      <c r="G115" s="1304"/>
      <c r="H115" s="1304"/>
      <c r="I115" s="1304"/>
      <c r="J115" s="1304"/>
      <c r="K115" s="1304"/>
      <c r="L115" s="1304"/>
      <c r="M115" s="1304"/>
      <c r="N115" s="1305"/>
      <c r="O115" s="302"/>
      <c r="P115" s="302"/>
      <c r="Q115" s="694"/>
      <c r="R115" s="694"/>
      <c r="S115" s="729"/>
      <c r="T115" s="729"/>
      <c r="U115" s="694"/>
      <c r="V115" s="694"/>
      <c r="W115" s="694"/>
      <c r="X115" s="694"/>
      <c r="Y115" s="694"/>
      <c r="Z115" s="694"/>
      <c r="AA115" s="694"/>
      <c r="AB115" s="694"/>
      <c r="AC115" s="694"/>
      <c r="AD115" s="694"/>
      <c r="AE115" s="694"/>
      <c r="AF115" s="694"/>
      <c r="AG115" s="694"/>
      <c r="AH115" s="694"/>
      <c r="AI115" s="694"/>
      <c r="AJ115" s="694"/>
      <c r="AK115" s="694"/>
      <c r="AL115" s="694"/>
    </row>
    <row r="116" spans="1:38" ht="12.75" customHeight="1" x14ac:dyDescent="0.25">
      <c r="A116" s="694"/>
      <c r="B116" s="298"/>
      <c r="C116" s="1302"/>
      <c r="D116" s="1307" t="s">
        <v>273</v>
      </c>
      <c r="E116" s="2850" t="str">
        <f>Translations!$B$507</f>
        <v>Емисии, които могат се зададат пряко (DirEm* (пораждащи емисии потоци от плана за мониторинг)) на тази подинсталация</v>
      </c>
      <c r="F116" s="2851"/>
      <c r="G116" s="2851"/>
      <c r="H116" s="2851"/>
      <c r="I116" s="2851"/>
      <c r="J116" s="2851"/>
      <c r="K116" s="2851"/>
      <c r="L116" s="2851"/>
      <c r="M116" s="2851"/>
      <c r="N116" s="2852"/>
      <c r="O116" s="302"/>
      <c r="P116" s="302"/>
      <c r="Q116" s="729"/>
      <c r="R116" s="694"/>
      <c r="S116" s="729"/>
      <c r="T116" s="729"/>
      <c r="U116" s="694"/>
      <c r="V116" s="694"/>
      <c r="W116" s="694"/>
      <c r="X116" s="694"/>
      <c r="Y116" s="694"/>
      <c r="Z116" s="694"/>
      <c r="AA116" s="694"/>
      <c r="AB116" s="694"/>
      <c r="AC116" s="694"/>
      <c r="AD116" s="694"/>
      <c r="AE116" s="694"/>
      <c r="AF116" s="694"/>
      <c r="AG116" s="694"/>
      <c r="AH116" s="694"/>
      <c r="AI116" s="694"/>
      <c r="AJ116" s="694"/>
      <c r="AK116" s="694"/>
      <c r="AL116" s="694"/>
    </row>
    <row r="117" spans="1:38" ht="12.75" customHeight="1" x14ac:dyDescent="0.25">
      <c r="A117" s="694"/>
      <c r="B117" s="298"/>
      <c r="C117" s="1302"/>
      <c r="D117" s="625"/>
      <c r="E117" s="2853" t="str">
        <f>Translations!$B$508</f>
        <v>Посочените тук данни ще се отразят на емисиите, които могат да бъдат зададени съгласно раздел 10.1.1 от приложение VII към ПБР.</v>
      </c>
      <c r="F117" s="2850"/>
      <c r="G117" s="2850"/>
      <c r="H117" s="2850"/>
      <c r="I117" s="2850"/>
      <c r="J117" s="2850"/>
      <c r="K117" s="2850"/>
      <c r="L117" s="2850"/>
      <c r="M117" s="2850"/>
      <c r="N117" s="2854"/>
      <c r="O117" s="302"/>
      <c r="P117" s="302"/>
      <c r="Q117" s="729"/>
      <c r="R117" s="694"/>
      <c r="S117" s="729"/>
      <c r="T117" s="729"/>
      <c r="U117" s="694"/>
      <c r="V117" s="694"/>
      <c r="W117" s="694"/>
      <c r="X117" s="694"/>
      <c r="Y117" s="694"/>
      <c r="Z117" s="694"/>
      <c r="AA117" s="694"/>
      <c r="AB117" s="694"/>
      <c r="AC117" s="694"/>
      <c r="AD117" s="694"/>
      <c r="AE117" s="694"/>
      <c r="AF117" s="694"/>
      <c r="AG117" s="694"/>
      <c r="AH117" s="694"/>
      <c r="AI117" s="694"/>
      <c r="AJ117" s="694"/>
      <c r="AK117" s="694"/>
      <c r="AL117" s="694"/>
    </row>
    <row r="118" spans="1:38" ht="12.75" customHeight="1" x14ac:dyDescent="0.25">
      <c r="A118" s="694"/>
      <c r="B118" s="298"/>
      <c r="C118" s="1302"/>
      <c r="D118" s="1306"/>
      <c r="E118" s="2836" t="str">
        <f>Translations!$B$509</f>
        <v>Моля, въведете тук емисиите, които могат да се зададат пряко (DirEm* (пораждащи емисии потоци от плана за мониторинг)) на тази подинсталация, като се имат предвид следните уговорки:</v>
      </c>
      <c r="F118" s="2836"/>
      <c r="G118" s="2836"/>
      <c r="H118" s="2836"/>
      <c r="I118" s="2836"/>
      <c r="J118" s="2836"/>
      <c r="K118" s="2836"/>
      <c r="L118" s="2836"/>
      <c r="M118" s="2836"/>
      <c r="N118" s="2837"/>
      <c r="O118" s="302"/>
      <c r="P118" s="302"/>
      <c r="Q118" s="729"/>
      <c r="R118" s="694"/>
      <c r="S118" s="729"/>
      <c r="T118" s="694"/>
      <c r="U118" s="694"/>
      <c r="V118" s="694"/>
      <c r="W118" s="694"/>
      <c r="X118" s="694"/>
      <c r="Y118" s="694"/>
      <c r="Z118" s="694"/>
      <c r="AA118" s="694"/>
      <c r="AB118" s="694"/>
      <c r="AC118" s="694"/>
      <c r="AD118" s="694"/>
      <c r="AE118" s="694"/>
      <c r="AF118" s="694"/>
      <c r="AG118" s="694"/>
      <c r="AH118" s="694"/>
      <c r="AI118" s="694"/>
      <c r="AJ118" s="694"/>
      <c r="AK118" s="694"/>
      <c r="AL118" s="694"/>
    </row>
    <row r="119" spans="1:38" ht="25.5" customHeight="1" x14ac:dyDescent="0.25">
      <c r="A119" s="694"/>
      <c r="B119" s="298"/>
      <c r="C119" s="1302"/>
      <c r="D119" s="1306"/>
      <c r="E119" s="1308" t="s">
        <v>1052</v>
      </c>
      <c r="F119" s="2838" t="str">
        <f>Translations!$B$510</f>
        <v>„емисиите, които могат да се зададат пряко“, се следят в съответствие с плана за мониторинг, одобрен съгласно Регламента относно мониторинга и докладването (РМД), т.е. като се отчитат емисиите, получени по методики, основани на изчисления (като се използват пораждащите емисии потоци), по базиращи се на измервания методики (БИМ), както и по подходи без подреждане („fall-backs“).</v>
      </c>
      <c r="G119" s="2839"/>
      <c r="H119" s="2839"/>
      <c r="I119" s="2839"/>
      <c r="J119" s="2839"/>
      <c r="K119" s="2839"/>
      <c r="L119" s="2839"/>
      <c r="M119" s="2839"/>
      <c r="N119" s="2840"/>
      <c r="O119" s="302"/>
      <c r="P119" s="302"/>
      <c r="Q119" s="729"/>
      <c r="R119" s="694"/>
      <c r="S119" s="729"/>
      <c r="T119" s="694"/>
      <c r="U119" s="694"/>
      <c r="V119" s="694"/>
      <c r="W119" s="694"/>
      <c r="X119" s="694"/>
      <c r="Y119" s="694"/>
      <c r="Z119" s="694"/>
      <c r="AA119" s="694"/>
      <c r="AB119" s="694"/>
      <c r="AC119" s="694"/>
      <c r="AD119" s="694"/>
      <c r="AE119" s="694"/>
      <c r="AF119" s="694"/>
      <c r="AG119" s="694"/>
      <c r="AH119" s="694"/>
      <c r="AI119" s="694"/>
      <c r="AJ119" s="694"/>
      <c r="AK119" s="694"/>
      <c r="AL119" s="694"/>
    </row>
    <row r="120" spans="1:38" ht="38.25" customHeight="1" x14ac:dyDescent="0.25">
      <c r="A120" s="694"/>
      <c r="B120" s="298"/>
      <c r="C120" s="1302"/>
      <c r="D120" s="1306"/>
      <c r="E120" s="1308"/>
      <c r="F120" s="2810" t="str">
        <f>Translations!$B$511</f>
        <v>В някои случая обаче в този раздел „емисиите, които могат да се зададат пряко“, не са същите като отчетените съгласно РМД. Такива случаи са например пораждащи емисии потоци, използвани за производство на измерима топлинна енергия, отпадни газове и др. С други думи, трябва да попълните разделите по-долу много внимателно и да спазите строго инструкциите, за да се избегнат двойно отчитане или пропуски.</v>
      </c>
      <c r="G120" s="2240"/>
      <c r="H120" s="2240"/>
      <c r="I120" s="2240"/>
      <c r="J120" s="2240"/>
      <c r="K120" s="2240"/>
      <c r="L120" s="2240"/>
      <c r="M120" s="2240"/>
      <c r="N120" s="2811"/>
      <c r="O120" s="302"/>
      <c r="P120" s="302"/>
      <c r="Q120" s="729"/>
      <c r="R120" s="694"/>
      <c r="S120" s="729"/>
      <c r="T120" s="694"/>
      <c r="U120" s="694"/>
      <c r="V120" s="694"/>
      <c r="W120" s="694"/>
      <c r="X120" s="694"/>
      <c r="Y120" s="694"/>
      <c r="Z120" s="694"/>
      <c r="AA120" s="694"/>
      <c r="AB120" s="694"/>
      <c r="AC120" s="694"/>
      <c r="AD120" s="694"/>
      <c r="AE120" s="694"/>
      <c r="AF120" s="694"/>
      <c r="AG120" s="694"/>
      <c r="AH120" s="694"/>
      <c r="AI120" s="694"/>
      <c r="AJ120" s="694"/>
      <c r="AK120" s="694"/>
      <c r="AL120" s="694"/>
    </row>
    <row r="121" spans="1:38" ht="12.75" customHeight="1" x14ac:dyDescent="0.25">
      <c r="A121" s="694"/>
      <c r="B121" s="298"/>
      <c r="C121" s="1302"/>
      <c r="D121" s="1306"/>
      <c r="E121" s="1308" t="s">
        <v>1052</v>
      </c>
      <c r="F121" s="2838" t="str">
        <f>Translations!$B$512</f>
        <v xml:space="preserve">Измерима топлинна енергия: в случай че топлинната енергия е произведена изключително за една подинсталация, емисиите могат да се зададат пряко тук чрез емисиите за горивата. </v>
      </c>
      <c r="G121" s="2839"/>
      <c r="H121" s="2839"/>
      <c r="I121" s="2839"/>
      <c r="J121" s="2839"/>
      <c r="K121" s="2839"/>
      <c r="L121" s="2839"/>
      <c r="M121" s="2839"/>
      <c r="N121" s="2840"/>
      <c r="O121" s="302"/>
      <c r="P121" s="302"/>
      <c r="Q121" s="729"/>
      <c r="R121" s="694"/>
      <c r="S121" s="729"/>
      <c r="T121" s="694"/>
      <c r="U121" s="694"/>
      <c r="V121" s="694"/>
      <c r="W121" s="694"/>
      <c r="X121" s="694"/>
      <c r="Y121" s="694"/>
      <c r="Z121" s="694"/>
      <c r="AA121" s="694"/>
      <c r="AB121" s="694"/>
      <c r="AC121" s="694"/>
      <c r="AD121" s="694"/>
      <c r="AE121" s="694"/>
      <c r="AF121" s="694"/>
      <c r="AG121" s="694"/>
      <c r="AH121" s="694"/>
      <c r="AI121" s="694"/>
      <c r="AJ121" s="694"/>
      <c r="AK121" s="694"/>
      <c r="AL121" s="694"/>
    </row>
    <row r="122" spans="1:38" ht="38.9" customHeight="1" x14ac:dyDescent="0.25">
      <c r="A122" s="694"/>
      <c r="B122" s="298"/>
      <c r="C122" s="1302"/>
      <c r="D122" s="1306"/>
      <c r="E122" s="1308"/>
      <c r="F122" s="2838" t="str">
        <f>Translations!$B$513</f>
        <v>Когато за производството на измерима топлинна енергия са използвани горива като „входящи потоци“ към повече от една подинсталация, в която се консумира топлинната енергия (което включва случаи с входящи и изходящи потоци от и към други инсталации), горивата не трябва да се включват в „емисиите, които могат да се зададат пряко“ на подинсталацията, а в буква k) по-долу.</v>
      </c>
      <c r="G122" s="2839"/>
      <c r="H122" s="2839"/>
      <c r="I122" s="2839"/>
      <c r="J122" s="2839"/>
      <c r="K122" s="2839"/>
      <c r="L122" s="2839"/>
      <c r="M122" s="2839"/>
      <c r="N122" s="2840"/>
      <c r="O122" s="302"/>
      <c r="P122" s="302"/>
      <c r="Q122" s="729"/>
      <c r="R122" s="694"/>
      <c r="S122" s="729"/>
      <c r="T122" s="694"/>
      <c r="U122" s="694"/>
      <c r="V122" s="694"/>
      <c r="W122" s="694"/>
      <c r="X122" s="694"/>
      <c r="Y122" s="694"/>
      <c r="Z122" s="694"/>
      <c r="AA122" s="694"/>
      <c r="AB122" s="694"/>
      <c r="AC122" s="694"/>
      <c r="AD122" s="694"/>
      <c r="AE122" s="694"/>
      <c r="AF122" s="694"/>
      <c r="AG122" s="694"/>
      <c r="AH122" s="694"/>
      <c r="AI122" s="694"/>
      <c r="AJ122" s="694"/>
      <c r="AK122" s="694"/>
      <c r="AL122" s="694"/>
    </row>
    <row r="123" spans="1:38" ht="25.5" customHeight="1" x14ac:dyDescent="0.25">
      <c r="A123" s="694"/>
      <c r="B123" s="298"/>
      <c r="C123" s="1302"/>
      <c r="D123" s="1306"/>
      <c r="E123" s="1308"/>
      <c r="F123" s="2838" t="str">
        <f>Translations!$B$514</f>
        <v>„Входящите потоци“ включват измеримата топлинна енергия от съоръжения в рамките на обекта (напр. централна електростанция в инсталацията или по-сложна мрежа за генериране на пара с няколко съоръжения за производство на топлинна енергия), които доставят топлинна енергия до повече от една подинсталация. В такъв случай емисиите също не трябва да се задават тук, а в точка k).i. по-долу.</v>
      </c>
      <c r="G123" s="2839"/>
      <c r="H123" s="2839"/>
      <c r="I123" s="2839"/>
      <c r="J123" s="2839"/>
      <c r="K123" s="2839"/>
      <c r="L123" s="2839"/>
      <c r="M123" s="2839"/>
      <c r="N123" s="2840"/>
      <c r="O123" s="302"/>
      <c r="P123" s="302"/>
      <c r="Q123" s="729"/>
      <c r="R123" s="694"/>
      <c r="S123" s="729"/>
      <c r="T123" s="694"/>
      <c r="U123" s="694"/>
      <c r="V123" s="694"/>
      <c r="W123" s="694"/>
      <c r="X123" s="694"/>
      <c r="Y123" s="694"/>
      <c r="Z123" s="694"/>
      <c r="AA123" s="694"/>
      <c r="AB123" s="694"/>
      <c r="AC123" s="694"/>
      <c r="AD123" s="694"/>
      <c r="AE123" s="694"/>
      <c r="AF123" s="694"/>
      <c r="AG123" s="694"/>
      <c r="AH123" s="694"/>
      <c r="AI123" s="694"/>
      <c r="AJ123" s="694"/>
      <c r="AK123" s="694"/>
      <c r="AL123" s="694"/>
    </row>
    <row r="124" spans="1:38" ht="25.5" customHeight="1" x14ac:dyDescent="0.25">
      <c r="A124" s="694"/>
      <c r="B124" s="298"/>
      <c r="C124" s="1302"/>
      <c r="D124" s="1306"/>
      <c r="E124" s="1308" t="s">
        <v>1052</v>
      </c>
      <c r="F124" s="2838" t="str">
        <f>Translations!$B$515</f>
        <v>Подавана навън измерима топлинна енергия: Когато тази топлинна енергия се извлича от процеси или се подава навън, тук не се правят корекции. Приспадането на свързаните емисиите се извършва съгласно данните, въведени в точка k).v. по-долу.</v>
      </c>
      <c r="G124" s="2839"/>
      <c r="H124" s="2839"/>
      <c r="I124" s="2839"/>
      <c r="J124" s="2839"/>
      <c r="K124" s="2839"/>
      <c r="L124" s="2839"/>
      <c r="M124" s="2839"/>
      <c r="N124" s="2840"/>
      <c r="O124" s="302"/>
      <c r="P124" s="302"/>
      <c r="Q124" s="729"/>
      <c r="R124" s="694"/>
      <c r="S124" s="729"/>
      <c r="T124" s="694"/>
      <c r="U124" s="694"/>
      <c r="V124" s="694"/>
      <c r="W124" s="694"/>
      <c r="X124" s="694"/>
      <c r="Y124" s="694"/>
      <c r="Z124" s="694"/>
      <c r="AA124" s="694"/>
      <c r="AB124" s="694"/>
      <c r="AC124" s="694"/>
      <c r="AD124" s="694"/>
      <c r="AE124" s="694"/>
      <c r="AF124" s="694"/>
      <c r="AG124" s="694"/>
      <c r="AH124" s="694"/>
      <c r="AI124" s="694"/>
      <c r="AJ124" s="694"/>
      <c r="AK124" s="694"/>
      <c r="AL124" s="694"/>
    </row>
    <row r="125" spans="1:38" ht="25.5" customHeight="1" thickBot="1" x14ac:dyDescent="0.3">
      <c r="A125" s="694"/>
      <c r="B125" s="298"/>
      <c r="C125" s="1302"/>
      <c r="D125" s="1306"/>
      <c r="E125" s="1308" t="s">
        <v>1052</v>
      </c>
      <c r="F125" s="2838" t="str">
        <f>Translations!$B$516</f>
        <v>Отпадни газове: емисиите от отпадните газове, които са ПОЛУЧЕНИ от други инсталации или подинсталации и са консумирани в подинсталацията, не се включват тук, а се въвеждат в буква l) по-долу.</v>
      </c>
      <c r="G125" s="2839"/>
      <c r="H125" s="2839"/>
      <c r="I125" s="2839"/>
      <c r="J125" s="2839"/>
      <c r="K125" s="2839"/>
      <c r="L125" s="2839"/>
      <c r="M125" s="2839"/>
      <c r="N125" s="2840"/>
      <c r="O125" s="302"/>
      <c r="P125" s="302"/>
      <c r="Q125" s="729"/>
      <c r="R125" s="694"/>
      <c r="S125" s="729"/>
      <c r="T125" s="694"/>
      <c r="U125" s="694"/>
      <c r="V125" s="694"/>
      <c r="W125" s="694"/>
      <c r="X125" s="694"/>
      <c r="Y125" s="694"/>
      <c r="Z125" s="694"/>
      <c r="AA125" s="694"/>
      <c r="AB125" s="694"/>
      <c r="AC125" s="694"/>
      <c r="AD125" s="694"/>
      <c r="AE125" s="694"/>
      <c r="AF125" s="694"/>
      <c r="AG125" s="694"/>
      <c r="AH125" s="694"/>
      <c r="AI125" s="694"/>
      <c r="AJ125" s="694"/>
      <c r="AK125" s="694"/>
      <c r="AL125" s="694"/>
    </row>
    <row r="126" spans="1:38" ht="12.75" customHeight="1" thickBot="1" x14ac:dyDescent="0.3">
      <c r="A126" s="694"/>
      <c r="B126" s="298"/>
      <c r="C126" s="1302"/>
      <c r="D126" s="1307"/>
      <c r="E126" s="2803" t="str">
        <f>Translations!$B$517</f>
        <v>Емисии, които могат да се зададат пряко (DirEm*)</v>
      </c>
      <c r="F126" s="2803"/>
      <c r="G126" s="1309" t="str">
        <f>EUconst_Unit</f>
        <v>Единица мярка</v>
      </c>
      <c r="H126" s="629">
        <f t="shared" ref="H126:N126" si="28">H$2831</f>
        <v>2024</v>
      </c>
      <c r="I126" s="1310">
        <f t="shared" si="28"/>
        <v>2025</v>
      </c>
      <c r="J126" s="1311">
        <f t="shared" si="28"/>
        <v>2026</v>
      </c>
      <c r="K126" s="629">
        <f t="shared" si="28"/>
        <v>2027</v>
      </c>
      <c r="L126" s="629">
        <f t="shared" si="28"/>
        <v>2028</v>
      </c>
      <c r="M126" s="629">
        <f t="shared" si="28"/>
        <v>2029</v>
      </c>
      <c r="N126" s="1312">
        <f t="shared" si="28"/>
        <v>2030</v>
      </c>
      <c r="O126" s="302"/>
      <c r="P126" s="302"/>
      <c r="Q126" s="729"/>
      <c r="R126" s="694"/>
      <c r="S126" s="1205"/>
      <c r="T126" s="1313">
        <f t="shared" ref="T126:Z126" si="29">H126</f>
        <v>2024</v>
      </c>
      <c r="U126" s="1313">
        <f t="shared" si="29"/>
        <v>2025</v>
      </c>
      <c r="V126" s="1313">
        <f t="shared" si="29"/>
        <v>2026</v>
      </c>
      <c r="W126" s="1313">
        <f t="shared" si="29"/>
        <v>2027</v>
      </c>
      <c r="X126" s="1313">
        <f t="shared" si="29"/>
        <v>2028</v>
      </c>
      <c r="Y126" s="1313">
        <f t="shared" si="29"/>
        <v>2029</v>
      </c>
      <c r="Z126" s="1314">
        <f t="shared" si="29"/>
        <v>2030</v>
      </c>
      <c r="AA126" s="694"/>
      <c r="AB126" s="694"/>
      <c r="AC126" s="1178">
        <f t="shared" ref="AC126:AI126" si="30">H$20</f>
        <v>2024</v>
      </c>
      <c r="AD126" s="1178">
        <f t="shared" si="30"/>
        <v>2025</v>
      </c>
      <c r="AE126" s="1178">
        <f t="shared" si="30"/>
        <v>2026</v>
      </c>
      <c r="AF126" s="1178">
        <f t="shared" si="30"/>
        <v>2027</v>
      </c>
      <c r="AG126" s="1178">
        <f t="shared" si="30"/>
        <v>2028</v>
      </c>
      <c r="AH126" s="1178">
        <f t="shared" si="30"/>
        <v>2029</v>
      </c>
      <c r="AI126" s="1178">
        <f t="shared" si="30"/>
        <v>2030</v>
      </c>
      <c r="AJ126" s="694"/>
      <c r="AK126" s="694"/>
      <c r="AL126" s="694"/>
    </row>
    <row r="127" spans="1:38" ht="12.75" customHeight="1" thickBot="1" x14ac:dyDescent="0.3">
      <c r="A127" s="694"/>
      <c r="B127" s="298"/>
      <c r="C127" s="1302"/>
      <c r="D127" s="1306"/>
      <c r="E127" s="2814" t="str">
        <f>I13</f>
        <v/>
      </c>
      <c r="F127" s="2258"/>
      <c r="G127" s="642" t="str">
        <f>EUconst_tCO2epa</f>
        <v>t CO2e/година</v>
      </c>
      <c r="H127" s="56"/>
      <c r="I127" s="115"/>
      <c r="J127" s="118"/>
      <c r="K127" s="56"/>
      <c r="L127" s="56"/>
      <c r="M127" s="56"/>
      <c r="N127" s="121"/>
      <c r="O127" s="302"/>
      <c r="P127" s="158"/>
      <c r="Q127" s="1190" t="str">
        <f>EUconst_CNTR_Emissions &amp; I13</f>
        <v>DirEmissions_</v>
      </c>
      <c r="R127" s="694"/>
      <c r="S127" s="1315" t="str">
        <f>EUconst_CNTR_AttributedEmissions &amp; I13</f>
        <v>AttrEmissions_</v>
      </c>
      <c r="T127" s="1290" t="str">
        <f t="shared" ref="T127:Z127" si="31">IF(T21,SUM(H127),"")</f>
        <v/>
      </c>
      <c r="U127" s="1290" t="str">
        <f t="shared" si="31"/>
        <v/>
      </c>
      <c r="V127" s="1290" t="str">
        <f t="shared" si="31"/>
        <v/>
      </c>
      <c r="W127" s="1290" t="str">
        <f t="shared" si="31"/>
        <v/>
      </c>
      <c r="X127" s="1290" t="str">
        <f t="shared" si="31"/>
        <v/>
      </c>
      <c r="Y127" s="1290" t="str">
        <f t="shared" si="31"/>
        <v/>
      </c>
      <c r="Z127" s="1291" t="str">
        <f t="shared" si="31"/>
        <v/>
      </c>
      <c r="AA127" s="694"/>
      <c r="AB127" s="1182" t="s">
        <v>737</v>
      </c>
      <c r="AC127" s="982" t="b">
        <f>AC60</f>
        <v>0</v>
      </c>
      <c r="AD127" s="982" t="b">
        <f t="shared" ref="AD127:AI127" si="32">AD60</f>
        <v>0</v>
      </c>
      <c r="AE127" s="982" t="b">
        <f t="shared" si="32"/>
        <v>0</v>
      </c>
      <c r="AF127" s="982" t="b">
        <f t="shared" si="32"/>
        <v>0</v>
      </c>
      <c r="AG127" s="982" t="b">
        <f t="shared" si="32"/>
        <v>0</v>
      </c>
      <c r="AH127" s="982" t="b">
        <f t="shared" si="32"/>
        <v>0</v>
      </c>
      <c r="AI127" s="982" t="b">
        <f t="shared" si="32"/>
        <v>0</v>
      </c>
      <c r="AJ127" s="1174" t="s">
        <v>2039</v>
      </c>
      <c r="AK127" s="1176" t="str">
        <f>IF(AND(CNTR_ExistSubInstEntries,MSconst_RequireSubAttrEmissions,COUNTIFS(AC127:AI127,FALSE,H127:N127,"")&gt;0),EUconst_Error&amp;"BM"&amp;$Q13,"")</f>
        <v/>
      </c>
      <c r="AL127" s="694"/>
    </row>
    <row r="128" spans="1:38" ht="12.75" customHeight="1" x14ac:dyDescent="0.25">
      <c r="A128" s="694"/>
      <c r="B128" s="298"/>
      <c r="C128" s="1302"/>
      <c r="D128" s="1306"/>
      <c r="E128" s="1306"/>
      <c r="F128" s="1306"/>
      <c r="G128" s="1306"/>
      <c r="H128" s="1306"/>
      <c r="I128" s="1306"/>
      <c r="J128" s="1306"/>
      <c r="K128" s="1306"/>
      <c r="L128" s="1306"/>
      <c r="M128" s="626"/>
      <c r="N128" s="1316"/>
      <c r="O128" s="302"/>
      <c r="P128" s="302"/>
      <c r="Q128" s="729"/>
      <c r="R128" s="694"/>
      <c r="S128" s="729"/>
      <c r="T128" s="694"/>
      <c r="U128" s="694"/>
      <c r="V128" s="694"/>
      <c r="W128" s="694"/>
      <c r="X128" s="694"/>
      <c r="Y128" s="694"/>
      <c r="Z128" s="694"/>
      <c r="AA128" s="694"/>
      <c r="AB128" s="694"/>
      <c r="AC128" s="694"/>
      <c r="AD128" s="694"/>
      <c r="AE128" s="694"/>
      <c r="AF128" s="694"/>
      <c r="AG128" s="694"/>
      <c r="AH128" s="694"/>
      <c r="AI128" s="694"/>
      <c r="AJ128" s="694"/>
      <c r="AK128" s="694"/>
      <c r="AL128" s="694"/>
    </row>
    <row r="129" spans="1:38" ht="12.75" customHeight="1" x14ac:dyDescent="0.25">
      <c r="A129" s="694"/>
      <c r="B129" s="298"/>
      <c r="C129" s="1302"/>
      <c r="D129" s="1307" t="s">
        <v>277</v>
      </c>
      <c r="E129" s="2815" t="str">
        <f>Translations!$B$1524</f>
        <v>Вложена енергия в тази подинсталация и съответен емисионен фактор</v>
      </c>
      <c r="F129" s="2240"/>
      <c r="G129" s="2240"/>
      <c r="H129" s="2240"/>
      <c r="I129" s="2240"/>
      <c r="J129" s="2240"/>
      <c r="K129" s="2240"/>
      <c r="L129" s="2240"/>
      <c r="M129" s="2240"/>
      <c r="N129" s="2811"/>
      <c r="O129" s="302"/>
      <c r="P129" s="302"/>
      <c r="Q129" s="729"/>
      <c r="R129" s="729"/>
      <c r="S129" s="729"/>
      <c r="T129" s="694"/>
      <c r="U129" s="694"/>
      <c r="V129" s="694"/>
      <c r="W129" s="694"/>
      <c r="X129" s="694"/>
      <c r="Y129" s="694"/>
      <c r="Z129" s="694"/>
      <c r="AA129" s="694"/>
      <c r="AB129" s="694"/>
      <c r="AC129" s="694"/>
      <c r="AD129" s="694"/>
      <c r="AE129" s="694"/>
      <c r="AF129" s="694"/>
      <c r="AG129" s="694"/>
      <c r="AH129" s="694"/>
      <c r="AI129" s="694"/>
      <c r="AJ129" s="694"/>
      <c r="AK129" s="694"/>
      <c r="AL129" s="694"/>
    </row>
    <row r="130" spans="1:38" ht="25.5" customHeight="1" x14ac:dyDescent="0.25">
      <c r="A130" s="694"/>
      <c r="B130" s="298"/>
      <c r="C130" s="1302"/>
      <c r="D130" s="1306"/>
      <c r="E130" s="2836" t="str">
        <f>Translations!$B$1525</f>
        <v>Съгласно изискванията в приложение IV, раздел 2.4, буква а) към ПБР посочете общото количество вложена енергия от горива, материали и електроенергия за генериране на топлинна енергия от подинсталацията и съответния претеглен емисионен фактор, като вземете предвид съответното енергийно съдържание на всяко гориво, включено в числовата стойност, посочена в буква ж), и приложите същите системни граници от буква ж).</v>
      </c>
      <c r="F130" s="2836"/>
      <c r="G130" s="2836"/>
      <c r="H130" s="2836"/>
      <c r="I130" s="2836"/>
      <c r="J130" s="2836"/>
      <c r="K130" s="2836"/>
      <c r="L130" s="2836"/>
      <c r="M130" s="2836"/>
      <c r="N130" s="2837"/>
      <c r="O130" s="302"/>
      <c r="P130" s="302"/>
      <c r="Q130" s="729"/>
      <c r="R130" s="729"/>
      <c r="S130" s="729"/>
      <c r="T130" s="694"/>
      <c r="U130" s="694"/>
      <c r="V130" s="694"/>
      <c r="W130" s="694"/>
      <c r="X130" s="694"/>
      <c r="Y130" s="694"/>
      <c r="Z130" s="694"/>
      <c r="AA130" s="694"/>
      <c r="AB130" s="694"/>
      <c r="AC130" s="694"/>
      <c r="AD130" s="694"/>
      <c r="AE130" s="694"/>
      <c r="AF130" s="694"/>
      <c r="AG130" s="694"/>
      <c r="AH130" s="694"/>
      <c r="AI130" s="694"/>
      <c r="AJ130" s="694"/>
      <c r="AK130" s="694"/>
      <c r="AL130" s="694"/>
    </row>
    <row r="131" spans="1:38" ht="25.5" customHeight="1" x14ac:dyDescent="0.25">
      <c r="A131" s="694"/>
      <c r="B131" s="298"/>
      <c r="C131" s="1302"/>
      <c r="D131" s="1306"/>
      <c r="E131" s="2836" t="str">
        <f>Translations!$B$1526</f>
        <v>Терминът „гориво“ следва да се тълкува като всеки запалим пораждащ емисии поток съгласно РМД, за който може да се установи долната топлина на изгаряне. Претегленият емисионен фактор съответства на натрупаните емисии от горива, разделени на общото енергийно съдържание.</v>
      </c>
      <c r="F131" s="2836"/>
      <c r="G131" s="2836"/>
      <c r="H131" s="2836"/>
      <c r="I131" s="2836"/>
      <c r="J131" s="2836"/>
      <c r="K131" s="2836"/>
      <c r="L131" s="2836"/>
      <c r="M131" s="2836"/>
      <c r="N131" s="2837"/>
      <c r="O131" s="302"/>
      <c r="P131" s="302"/>
      <c r="Q131" s="729"/>
      <c r="R131" s="694"/>
      <c r="S131" s="729"/>
      <c r="T131" s="694"/>
      <c r="U131" s="694"/>
      <c r="V131" s="694"/>
      <c r="W131" s="694"/>
      <c r="X131" s="694"/>
      <c r="Y131" s="694"/>
      <c r="Z131" s="694"/>
      <c r="AA131" s="694"/>
      <c r="AB131" s="694"/>
      <c r="AC131" s="694"/>
      <c r="AD131" s="694"/>
      <c r="AE131" s="694"/>
      <c r="AF131" s="694"/>
      <c r="AG131" s="694"/>
      <c r="AH131" s="694"/>
      <c r="AI131" s="694"/>
      <c r="AJ131" s="694"/>
      <c r="AK131" s="694"/>
      <c r="AL131" s="694"/>
    </row>
    <row r="132" spans="1:38" ht="12.75" customHeight="1" x14ac:dyDescent="0.25">
      <c r="A132" s="694"/>
      <c r="B132" s="298"/>
      <c r="C132" s="1302"/>
      <c r="D132" s="1306"/>
      <c r="E132" s="2836" t="str">
        <f>Translations!$B$519</f>
        <v>Претегленият емисионен фактор следва също така да включва и емисии от съответното очистване на димни газове, ако е приложимо.</v>
      </c>
      <c r="F132" s="2836"/>
      <c r="G132" s="2836"/>
      <c r="H132" s="2836"/>
      <c r="I132" s="2836"/>
      <c r="J132" s="2836"/>
      <c r="K132" s="2836"/>
      <c r="L132" s="2836"/>
      <c r="M132" s="2836"/>
      <c r="N132" s="2837"/>
      <c r="O132" s="302"/>
      <c r="P132" s="302"/>
      <c r="Q132" s="729"/>
      <c r="R132" s="694"/>
      <c r="S132" s="729"/>
      <c r="T132" s="694"/>
      <c r="U132" s="694"/>
      <c r="V132" s="694"/>
      <c r="W132" s="694"/>
      <c r="X132" s="694"/>
      <c r="Y132" s="694"/>
      <c r="Z132" s="694"/>
      <c r="AA132" s="694"/>
      <c r="AB132" s="694"/>
      <c r="AC132" s="694"/>
      <c r="AD132" s="694"/>
      <c r="AE132" s="694"/>
      <c r="AF132" s="694"/>
      <c r="AG132" s="694"/>
      <c r="AH132" s="694"/>
      <c r="AI132" s="694"/>
      <c r="AJ132" s="694"/>
      <c r="AK132" s="694"/>
      <c r="AL132" s="694"/>
    </row>
    <row r="133" spans="1:38" ht="12.75" customHeight="1" x14ac:dyDescent="0.25">
      <c r="A133" s="694"/>
      <c r="B133" s="298"/>
      <c r="C133" s="1302"/>
      <c r="D133" s="1306"/>
      <c r="E133" s="2816" t="str">
        <f>Translations!$B$520</f>
        <v>Посочените тук данни се използват само с цел проверка на съответствието и нямат пряко отражение върху емисиите, които могат да бъдат зададени, или на разпределението на квотите.</v>
      </c>
      <c r="F133" s="2240"/>
      <c r="G133" s="2240"/>
      <c r="H133" s="2240"/>
      <c r="I133" s="2240"/>
      <c r="J133" s="2240"/>
      <c r="K133" s="2240"/>
      <c r="L133" s="2240"/>
      <c r="M133" s="2240"/>
      <c r="N133" s="2811"/>
      <c r="O133" s="302"/>
      <c r="P133" s="302"/>
      <c r="Q133" s="729"/>
      <c r="R133" s="694"/>
      <c r="S133" s="729"/>
      <c r="T133" s="694"/>
      <c r="U133" s="694"/>
      <c r="V133" s="694"/>
      <c r="W133" s="694"/>
      <c r="X133" s="694"/>
      <c r="Y133" s="694"/>
      <c r="Z133" s="694"/>
      <c r="AA133" s="694"/>
      <c r="AB133" s="694"/>
      <c r="AC133" s="694"/>
      <c r="AD133" s="694"/>
      <c r="AE133" s="694"/>
      <c r="AF133" s="694"/>
      <c r="AG133" s="694"/>
      <c r="AH133" s="694"/>
      <c r="AI133" s="694"/>
      <c r="AJ133" s="694"/>
      <c r="AK133" s="694"/>
      <c r="AL133" s="694"/>
    </row>
    <row r="134" spans="1:38" ht="12.75" customHeight="1" thickBot="1" x14ac:dyDescent="0.3">
      <c r="A134" s="694"/>
      <c r="B134" s="298"/>
      <c r="C134" s="1302"/>
      <c r="D134" s="1307"/>
      <c r="E134" s="1317"/>
      <c r="F134" s="1318"/>
      <c r="G134" s="1309" t="str">
        <f>EUconst_Unit</f>
        <v>Единица мярка</v>
      </c>
      <c r="H134" s="629">
        <f t="shared" ref="H134:N134" si="33">H$2831</f>
        <v>2024</v>
      </c>
      <c r="I134" s="1310">
        <f t="shared" si="33"/>
        <v>2025</v>
      </c>
      <c r="J134" s="1311">
        <f t="shared" si="33"/>
        <v>2026</v>
      </c>
      <c r="K134" s="629">
        <f t="shared" si="33"/>
        <v>2027</v>
      </c>
      <c r="L134" s="629">
        <f t="shared" si="33"/>
        <v>2028</v>
      </c>
      <c r="M134" s="629">
        <f t="shared" si="33"/>
        <v>2029</v>
      </c>
      <c r="N134" s="1312">
        <f t="shared" si="33"/>
        <v>2030</v>
      </c>
      <c r="O134" s="302"/>
      <c r="P134" s="302"/>
      <c r="Q134" s="729"/>
      <c r="R134" s="694"/>
      <c r="S134" s="729"/>
      <c r="T134" s="694"/>
      <c r="U134" s="694"/>
      <c r="V134" s="694"/>
      <c r="W134" s="694"/>
      <c r="X134" s="694"/>
      <c r="Y134" s="694"/>
      <c r="Z134" s="694"/>
      <c r="AA134" s="694"/>
      <c r="AB134" s="694"/>
      <c r="AC134" s="1178">
        <f t="shared" ref="AC134:AI134" si="34">H$20</f>
        <v>2024</v>
      </c>
      <c r="AD134" s="1178">
        <f t="shared" si="34"/>
        <v>2025</v>
      </c>
      <c r="AE134" s="1178">
        <f t="shared" si="34"/>
        <v>2026</v>
      </c>
      <c r="AF134" s="1178">
        <f t="shared" si="34"/>
        <v>2027</v>
      </c>
      <c r="AG134" s="1178">
        <f t="shared" si="34"/>
        <v>2028</v>
      </c>
      <c r="AH134" s="1178">
        <f t="shared" si="34"/>
        <v>2029</v>
      </c>
      <c r="AI134" s="1178">
        <f t="shared" si="34"/>
        <v>2030</v>
      </c>
      <c r="AJ134" s="694"/>
      <c r="AK134" s="694"/>
      <c r="AL134" s="694"/>
    </row>
    <row r="135" spans="1:38" ht="12.75" customHeight="1" x14ac:dyDescent="0.25">
      <c r="A135" s="694"/>
      <c r="B135" s="298"/>
      <c r="C135" s="1302"/>
      <c r="D135" s="625" t="s">
        <v>6</v>
      </c>
      <c r="E135" s="2820" t="str">
        <f>Translations!$B$1527</f>
        <v>Вложена енергия</v>
      </c>
      <c r="F135" s="2258"/>
      <c r="G135" s="1319" t="str">
        <f>EUconst_TJpa</f>
        <v>TJ / година</v>
      </c>
      <c r="H135" s="56"/>
      <c r="I135" s="115"/>
      <c r="J135" s="118"/>
      <c r="K135" s="56"/>
      <c r="L135" s="56"/>
      <c r="M135" s="56"/>
      <c r="N135" s="121"/>
      <c r="O135" s="302"/>
      <c r="P135" s="158"/>
      <c r="Q135" s="1190" t="str">
        <f>EUconst_CNTR_FuelInput &amp; I13</f>
        <v>FuelInput_</v>
      </c>
      <c r="R135" s="694"/>
      <c r="S135" s="729"/>
      <c r="T135" s="694"/>
      <c r="U135" s="694"/>
      <c r="V135" s="694"/>
      <c r="W135" s="694"/>
      <c r="X135" s="694"/>
      <c r="Y135" s="694"/>
      <c r="Z135" s="694"/>
      <c r="AA135" s="694"/>
      <c r="AB135" s="1182" t="s">
        <v>737</v>
      </c>
      <c r="AC135" s="982" t="b">
        <f>AC60</f>
        <v>0</v>
      </c>
      <c r="AD135" s="982" t="b">
        <f t="shared" ref="AD135:AI135" si="35">AD60</f>
        <v>0</v>
      </c>
      <c r="AE135" s="982" t="b">
        <f t="shared" si="35"/>
        <v>0</v>
      </c>
      <c r="AF135" s="982" t="b">
        <f t="shared" si="35"/>
        <v>0</v>
      </c>
      <c r="AG135" s="982" t="b">
        <f t="shared" si="35"/>
        <v>0</v>
      </c>
      <c r="AH135" s="982" t="b">
        <f t="shared" si="35"/>
        <v>0</v>
      </c>
      <c r="AI135" s="982" t="b">
        <f t="shared" si="35"/>
        <v>0</v>
      </c>
      <c r="AJ135" s="1174" t="s">
        <v>2039</v>
      </c>
      <c r="AK135" s="1176" t="str">
        <f>IF(AND(CNTR_ExistSubInstEntries,MSconst_RequireSubAttrEmissions,COUNTIFS(AC135:AI135,FALSE,H135:N135,"")&gt;0),EUconst_Error&amp;"BM"&amp;$Q13,"")</f>
        <v/>
      </c>
      <c r="AL135" s="694"/>
    </row>
    <row r="136" spans="1:38" ht="12.75" customHeight="1" x14ac:dyDescent="0.25">
      <c r="A136" s="694"/>
      <c r="B136" s="298"/>
      <c r="C136" s="1302"/>
      <c r="D136" s="625" t="s">
        <v>7</v>
      </c>
      <c r="E136" s="2820" t="str">
        <f>Translations!$B$522</f>
        <v>Претеглен емисионен фактор</v>
      </c>
      <c r="F136" s="2258"/>
      <c r="G136" s="1320" t="str">
        <f>EUconst_tCO2pTJ</f>
        <v>t CO2 / TJ</v>
      </c>
      <c r="H136" s="82"/>
      <c r="I136" s="126"/>
      <c r="J136" s="127"/>
      <c r="K136" s="82"/>
      <c r="L136" s="82"/>
      <c r="M136" s="82"/>
      <c r="N136" s="128"/>
      <c r="O136" s="302"/>
      <c r="P136" s="158"/>
      <c r="Q136" s="1190" t="str">
        <f>EUconst_CNTR_FuelEF &amp; I13</f>
        <v>FuelEF_</v>
      </c>
      <c r="R136" s="694"/>
      <c r="S136" s="729"/>
      <c r="T136" s="694"/>
      <c r="U136" s="694"/>
      <c r="V136" s="694"/>
      <c r="W136" s="694"/>
      <c r="X136" s="694"/>
      <c r="Y136" s="694"/>
      <c r="Z136" s="694"/>
      <c r="AA136" s="694"/>
      <c r="AB136" s="694"/>
      <c r="AC136" s="982" t="b">
        <f>AC135</f>
        <v>0</v>
      </c>
      <c r="AD136" s="982" t="b">
        <f t="shared" ref="AD136:AI136" si="36">AD135</f>
        <v>0</v>
      </c>
      <c r="AE136" s="982" t="b">
        <f t="shared" si="36"/>
        <v>0</v>
      </c>
      <c r="AF136" s="982" t="b">
        <f t="shared" si="36"/>
        <v>0</v>
      </c>
      <c r="AG136" s="982" t="b">
        <f t="shared" si="36"/>
        <v>0</v>
      </c>
      <c r="AH136" s="982" t="b">
        <f t="shared" si="36"/>
        <v>0</v>
      </c>
      <c r="AI136" s="982" t="b">
        <f t="shared" si="36"/>
        <v>0</v>
      </c>
      <c r="AJ136" s="1174" t="s">
        <v>2039</v>
      </c>
      <c r="AK136" s="1176" t="str">
        <f>IF(AND(CNTR_ExistSubInstEntries,MSconst_RequireSubAttrEmissions,COUNTIFS(AC136:AI136,FALSE,H136:N136,"")&gt;0),EUconst_Error&amp;"BM"&amp;$Q13,"")</f>
        <v/>
      </c>
      <c r="AL136" s="694"/>
    </row>
    <row r="137" spans="1:38" ht="12.75" customHeight="1" x14ac:dyDescent="0.25">
      <c r="A137" s="694"/>
      <c r="B137" s="298"/>
      <c r="C137" s="1302"/>
      <c r="D137" s="1306"/>
      <c r="E137" s="1306"/>
      <c r="F137" s="1306"/>
      <c r="G137" s="1306"/>
      <c r="H137" s="1306"/>
      <c r="I137" s="1306"/>
      <c r="J137" s="1306"/>
      <c r="K137" s="1306"/>
      <c r="L137" s="1306"/>
      <c r="M137" s="626"/>
      <c r="N137" s="1316"/>
      <c r="O137" s="302"/>
      <c r="P137" s="302"/>
      <c r="Q137" s="729"/>
      <c r="R137" s="694"/>
      <c r="S137" s="729"/>
      <c r="T137" s="694"/>
      <c r="U137" s="694"/>
      <c r="V137" s="694"/>
      <c r="W137" s="694"/>
      <c r="X137" s="694"/>
      <c r="Y137" s="694"/>
      <c r="Z137" s="694"/>
      <c r="AA137" s="694"/>
      <c r="AB137" s="694"/>
      <c r="AC137" s="694"/>
      <c r="AD137" s="694"/>
      <c r="AE137" s="694"/>
      <c r="AF137" s="694"/>
      <c r="AG137" s="694"/>
      <c r="AH137" s="694"/>
      <c r="AI137" s="694"/>
      <c r="AJ137" s="694"/>
      <c r="AK137" s="694"/>
      <c r="AL137" s="694"/>
    </row>
    <row r="138" spans="1:38" ht="12.75" customHeight="1" x14ac:dyDescent="0.25">
      <c r="A138" s="694"/>
      <c r="B138" s="298"/>
      <c r="C138" s="1302"/>
      <c r="D138" s="1307" t="s">
        <v>279</v>
      </c>
      <c r="E138" s="2815" t="str">
        <f>Translations!$B$523</f>
        <v>Други вътрешни пораждащи емисии потоци, получени или подадени от тази подинсталация</v>
      </c>
      <c r="F138" s="2240"/>
      <c r="G138" s="2240"/>
      <c r="H138" s="2240"/>
      <c r="I138" s="2240"/>
      <c r="J138" s="2240"/>
      <c r="K138" s="2240"/>
      <c r="L138" s="2240"/>
      <c r="M138" s="2240"/>
      <c r="N138" s="2811"/>
      <c r="O138" s="302"/>
      <c r="P138" s="302"/>
      <c r="Q138" s="729"/>
      <c r="R138" s="729"/>
      <c r="S138" s="729"/>
      <c r="T138" s="694"/>
      <c r="U138" s="694"/>
      <c r="V138" s="694"/>
      <c r="W138" s="694"/>
      <c r="X138" s="694"/>
      <c r="Y138" s="694"/>
      <c r="Z138" s="694"/>
      <c r="AA138" s="694"/>
      <c r="AB138" s="694"/>
      <c r="AC138" s="694"/>
      <c r="AD138" s="694"/>
      <c r="AE138" s="694"/>
      <c r="AF138" s="694"/>
      <c r="AG138" s="694"/>
      <c r="AH138" s="694"/>
      <c r="AI138" s="694"/>
      <c r="AJ138" s="694"/>
      <c r="AK138" s="694"/>
      <c r="AL138" s="694"/>
    </row>
    <row r="139" spans="1:38" ht="12.75" customHeight="1" x14ac:dyDescent="0.25">
      <c r="A139" s="694"/>
      <c r="B139" s="298"/>
      <c r="C139" s="1302"/>
      <c r="D139" s="625"/>
      <c r="E139" s="2816" t="str">
        <f>Translations!$B$508</f>
        <v>Посочените тук данни ще се отразят на емисиите, които могат да бъдат зададени съгласно раздел 10.1.1 от приложение VII към ПБР.</v>
      </c>
      <c r="F139" s="2240"/>
      <c r="G139" s="2240"/>
      <c r="H139" s="2240"/>
      <c r="I139" s="2240"/>
      <c r="J139" s="2240"/>
      <c r="K139" s="2240"/>
      <c r="L139" s="2240"/>
      <c r="M139" s="2240"/>
      <c r="N139" s="2811"/>
      <c r="O139" s="302"/>
      <c r="P139" s="302"/>
      <c r="Q139" s="729"/>
      <c r="R139" s="694"/>
      <c r="S139" s="729"/>
      <c r="T139" s="729"/>
      <c r="U139" s="729"/>
      <c r="V139" s="729"/>
      <c r="W139" s="694"/>
      <c r="X139" s="694"/>
      <c r="Y139" s="694"/>
      <c r="Z139" s="694"/>
      <c r="AA139" s="694"/>
      <c r="AB139" s="694"/>
      <c r="AC139" s="694"/>
      <c r="AD139" s="694"/>
      <c r="AE139" s="694"/>
      <c r="AF139" s="694"/>
      <c r="AG139" s="694"/>
      <c r="AH139" s="694"/>
      <c r="AI139" s="694"/>
      <c r="AJ139" s="694"/>
      <c r="AK139" s="694"/>
      <c r="AL139" s="694"/>
    </row>
    <row r="140" spans="1:38" ht="25.5" customHeight="1" x14ac:dyDescent="0.25">
      <c r="A140" s="694"/>
      <c r="B140" s="298"/>
      <c r="C140" s="1302"/>
      <c r="D140" s="1306"/>
      <c r="E140" s="2816" t="str">
        <f>Translations!$B$524</f>
        <v>Имайте предвид, че всички пораждащи емисии потоци трябва да се изброят тук само ако не са обхванати от преките емисии в буква g) по-горе, за да се избегнат пропуски в данните или двойно отчитане. Емисиите, свързани с отпадните газове, НЕ могат да се изброяват тук, а трябва да се посочват в буква l) по-долу.</v>
      </c>
      <c r="F140" s="2240"/>
      <c r="G140" s="2240"/>
      <c r="H140" s="2240"/>
      <c r="I140" s="2240"/>
      <c r="J140" s="2240"/>
      <c r="K140" s="2240"/>
      <c r="L140" s="2240"/>
      <c r="M140" s="2240"/>
      <c r="N140" s="2811"/>
      <c r="O140" s="302"/>
      <c r="P140" s="302"/>
      <c r="Q140" s="729"/>
      <c r="R140" s="729"/>
      <c r="S140" s="729"/>
      <c r="T140" s="694"/>
      <c r="U140" s="694"/>
      <c r="V140" s="694"/>
      <c r="W140" s="694"/>
      <c r="X140" s="694"/>
      <c r="Y140" s="694"/>
      <c r="Z140" s="694"/>
      <c r="AA140" s="694"/>
      <c r="AB140" s="694"/>
      <c r="AC140" s="694"/>
      <c r="AD140" s="694"/>
      <c r="AE140" s="694"/>
      <c r="AF140" s="694"/>
      <c r="AG140" s="694"/>
      <c r="AH140" s="694"/>
      <c r="AI140" s="694"/>
      <c r="AJ140" s="694"/>
      <c r="AK140" s="694"/>
      <c r="AL140" s="694"/>
    </row>
    <row r="141" spans="1:38" ht="12.75" customHeight="1" x14ac:dyDescent="0.25">
      <c r="A141" s="694"/>
      <c r="B141" s="298"/>
      <c r="C141" s="1302"/>
      <c r="D141" s="1306"/>
      <c r="E141" s="2810" t="str">
        <f>Translations!$B$525</f>
        <v>Тук въведете информация за т.нар. вътрешни пораждащи емисии потоци, които се пренасят между подинсталациите, т.е. са получени или подадени от тази подинсталация.</v>
      </c>
      <c r="F141" s="2240"/>
      <c r="G141" s="2240"/>
      <c r="H141" s="2240"/>
      <c r="I141" s="2240"/>
      <c r="J141" s="2240"/>
      <c r="K141" s="2240"/>
      <c r="L141" s="2240"/>
      <c r="M141" s="2240"/>
      <c r="N141" s="2811"/>
      <c r="O141" s="302"/>
      <c r="P141" s="302"/>
      <c r="Q141" s="729"/>
      <c r="R141" s="729"/>
      <c r="S141" s="729"/>
      <c r="T141" s="694"/>
      <c r="U141" s="694"/>
      <c r="V141" s="694"/>
      <c r="W141" s="694"/>
      <c r="X141" s="694"/>
      <c r="Y141" s="694"/>
      <c r="Z141" s="694"/>
      <c r="AA141" s="694"/>
      <c r="AB141" s="694"/>
      <c r="AC141" s="694"/>
      <c r="AD141" s="694"/>
      <c r="AE141" s="694"/>
      <c r="AF141" s="694"/>
      <c r="AG141" s="694"/>
      <c r="AH141" s="694"/>
      <c r="AI141" s="694"/>
      <c r="AJ141" s="694"/>
      <c r="AK141" s="694"/>
      <c r="AL141" s="694"/>
    </row>
    <row r="142" spans="1:38" ht="38.9" customHeight="1" x14ac:dyDescent="0.25">
      <c r="A142" s="694"/>
      <c r="B142" s="298"/>
      <c r="C142" s="1302"/>
      <c r="D142" s="1306"/>
      <c r="E142" s="2810" t="str">
        <f>Translations!$B$526</f>
        <v>Така например, ако това е подинсталацията за „кокс“ на комбинирана инсталация за чугун и стомана, емисиите, свързани с консумацията на кокс, възникват в доменната пещ и не трябва да се задават на тази подинсталация (т.е. подинсталацията за „кокс“). Въпреки това част от емисиите се включват в буква g) по-горе, защото въглищата, които се вкарват в коксовата пещ, ще са един от зададените на първата стъпка пораждащи емисии потоци.</v>
      </c>
      <c r="F142" s="2240"/>
      <c r="G142" s="2240"/>
      <c r="H142" s="2240"/>
      <c r="I142" s="2240"/>
      <c r="J142" s="2240"/>
      <c r="K142" s="2240"/>
      <c r="L142" s="2240"/>
      <c r="M142" s="2240"/>
      <c r="N142" s="2811"/>
      <c r="O142" s="302"/>
      <c r="P142" s="302"/>
      <c r="Q142" s="729"/>
      <c r="R142" s="694"/>
      <c r="S142" s="729"/>
      <c r="T142" s="694"/>
      <c r="U142" s="694"/>
      <c r="V142" s="694"/>
      <c r="W142" s="694"/>
      <c r="X142" s="694"/>
      <c r="Y142" s="694"/>
      <c r="Z142" s="694"/>
      <c r="AA142" s="694"/>
      <c r="AB142" s="694"/>
      <c r="AC142" s="694"/>
      <c r="AD142" s="694"/>
      <c r="AE142" s="694"/>
      <c r="AF142" s="694"/>
      <c r="AG142" s="694"/>
      <c r="AH142" s="694"/>
      <c r="AI142" s="694"/>
      <c r="AJ142" s="694"/>
      <c r="AK142" s="694"/>
      <c r="AL142" s="694"/>
    </row>
    <row r="143" spans="1:38" ht="51" customHeight="1" x14ac:dyDescent="0.25">
      <c r="A143" s="694"/>
      <c r="B143" s="298"/>
      <c r="C143" s="1302"/>
      <c r="D143" s="1306"/>
      <c r="E143" s="2810" t="str">
        <f>Translations!$B$527</f>
        <v>За да се избегне двойно отчитане, коксът, който излиза от коксовата подинсталация, трябва да се коригира като изходящ „вътрешен пораждащ емисии поток“. Това става чрез отрицателна стойност за количеството кокс в случай на „подаване“. За да се получи пълен баланс на емисиите от въглищата, вкарани в коксовата подинсталация, емисиите, свързани с използването на коксов газ (= отпаден газ), са отразени в буква g) по-горе (както е включено в емисиите от въглища), до степента на използване на газа в рамките на подинсталацията. Тук не трябва да се внасят корекции, за да се отчетат подадените количества отпаден газ; това се прави в l).xx. по-долу.</v>
      </c>
      <c r="F143" s="2240"/>
      <c r="G143" s="2240"/>
      <c r="H143" s="2240"/>
      <c r="I143" s="2240"/>
      <c r="J143" s="2240"/>
      <c r="K143" s="2240"/>
      <c r="L143" s="2240"/>
      <c r="M143" s="2240"/>
      <c r="N143" s="2811"/>
      <c r="O143" s="302"/>
      <c r="P143" s="302"/>
      <c r="Q143" s="729"/>
      <c r="R143" s="694"/>
      <c r="S143" s="729"/>
      <c r="T143" s="694"/>
      <c r="U143" s="694"/>
      <c r="V143" s="694"/>
      <c r="W143" s="694"/>
      <c r="X143" s="694"/>
      <c r="Y143" s="694"/>
      <c r="Z143" s="694"/>
      <c r="AA143" s="694"/>
      <c r="AB143" s="694"/>
      <c r="AC143" s="694"/>
      <c r="AD143" s="694"/>
      <c r="AE143" s="694"/>
      <c r="AF143" s="694"/>
      <c r="AG143" s="694"/>
      <c r="AH143" s="694"/>
      <c r="AI143" s="694"/>
      <c r="AJ143" s="694"/>
      <c r="AK143" s="694"/>
      <c r="AL143" s="694"/>
    </row>
    <row r="144" spans="1:38" ht="25.5" customHeight="1" x14ac:dyDescent="0.25">
      <c r="A144" s="694"/>
      <c r="B144" s="298"/>
      <c r="C144" s="1302"/>
      <c r="D144" s="1306"/>
      <c r="E144" s="2810" t="str">
        <f>Translations!$B$528</f>
        <v>И обратно, ако това е подинсталация с показател за течни черни метали в комбинирана инсталация за чугун и стомана, коксът трябва да се посочи тук като входящ/получен „вътрешен“ пораждащ емисии поток с положително количество.</v>
      </c>
      <c r="F144" s="2240"/>
      <c r="G144" s="2240"/>
      <c r="H144" s="2240"/>
      <c r="I144" s="2240"/>
      <c r="J144" s="2240"/>
      <c r="K144" s="2240"/>
      <c r="L144" s="2240"/>
      <c r="M144" s="2240"/>
      <c r="N144" s="2811"/>
      <c r="O144" s="302"/>
      <c r="P144" s="302"/>
      <c r="Q144" s="729"/>
      <c r="R144" s="694"/>
      <c r="S144" s="729"/>
      <c r="T144" s="694"/>
      <c r="U144" s="694"/>
      <c r="V144" s="694"/>
      <c r="W144" s="694"/>
      <c r="X144" s="694"/>
      <c r="Y144" s="694"/>
      <c r="Z144" s="694"/>
      <c r="AA144" s="694"/>
      <c r="AB144" s="694"/>
      <c r="AC144" s="694"/>
      <c r="AD144" s="694"/>
      <c r="AE144" s="694"/>
      <c r="AF144" s="694"/>
      <c r="AG144" s="694"/>
      <c r="AH144" s="694"/>
      <c r="AI144" s="694"/>
      <c r="AJ144" s="694"/>
      <c r="AK144" s="694"/>
      <c r="AL144" s="694"/>
    </row>
    <row r="145" spans="1:38" ht="12.75" customHeight="1" x14ac:dyDescent="0.25">
      <c r="A145" s="694"/>
      <c r="B145" s="298"/>
      <c r="C145" s="1302"/>
      <c r="D145" s="625" t="s">
        <v>6</v>
      </c>
      <c r="E145" s="2817" t="str">
        <f>Translations!$B$529</f>
        <v>За тази подинсталация отнасят ли се други получени или подадени вътрешни пораждащи емисии потоци?</v>
      </c>
      <c r="F145" s="2240"/>
      <c r="G145" s="2240"/>
      <c r="H145" s="2240"/>
      <c r="I145" s="2240"/>
      <c r="J145" s="2240"/>
      <c r="K145" s="2684"/>
      <c r="L145" s="83"/>
      <c r="M145" s="1322"/>
      <c r="N145" s="1323"/>
      <c r="O145" s="302"/>
      <c r="P145" s="158"/>
      <c r="Q145" s="729"/>
      <c r="R145" s="694"/>
      <c r="S145" s="729"/>
      <c r="T145" s="694"/>
      <c r="U145" s="694"/>
      <c r="V145" s="694"/>
      <c r="W145" s="694"/>
      <c r="X145" s="694"/>
      <c r="Y145" s="694"/>
      <c r="Z145" s="694"/>
      <c r="AA145" s="694"/>
      <c r="AB145" s="694"/>
      <c r="AC145" s="694"/>
      <c r="AD145" s="694"/>
      <c r="AE145" s="694"/>
      <c r="AF145" s="1182" t="s">
        <v>737</v>
      </c>
      <c r="AG145" s="901" t="b">
        <f>AND(CNTR_ExistSubInstEntries,I13="")</f>
        <v>0</v>
      </c>
      <c r="AH145" s="694"/>
      <c r="AI145" s="694"/>
      <c r="AJ145" s="694"/>
      <c r="AK145" s="694"/>
      <c r="AL145" s="694"/>
    </row>
    <row r="146" spans="1:38" ht="12.75" customHeight="1" x14ac:dyDescent="0.25">
      <c r="A146" s="694"/>
      <c r="B146" s="298"/>
      <c r="C146" s="1302"/>
      <c r="D146" s="1306"/>
      <c r="E146" s="2810" t="str">
        <f>Translations!$B$530</f>
        <v>Ако има над два получени или подадени пораждащи емисии потока, тези няколко пораждащи емисии потока следва да се групират заедно и да се посочат имената им.</v>
      </c>
      <c r="F146" s="2240"/>
      <c r="G146" s="2240"/>
      <c r="H146" s="2240"/>
      <c r="I146" s="2240"/>
      <c r="J146" s="2240"/>
      <c r="K146" s="2240"/>
      <c r="L146" s="2240"/>
      <c r="M146" s="2240"/>
      <c r="N146" s="2811"/>
      <c r="O146" s="302"/>
      <c r="P146" s="302"/>
      <c r="Q146" s="729"/>
      <c r="R146" s="694"/>
      <c r="S146" s="729"/>
      <c r="T146" s="694"/>
      <c r="U146" s="694"/>
      <c r="V146" s="694"/>
      <c r="W146" s="694"/>
      <c r="X146" s="694"/>
      <c r="Y146" s="694"/>
      <c r="Z146" s="694"/>
      <c r="AA146" s="694"/>
      <c r="AB146" s="694"/>
      <c r="AC146" s="694"/>
      <c r="AD146" s="694"/>
      <c r="AE146" s="694"/>
      <c r="AF146" s="694"/>
      <c r="AG146" s="694"/>
      <c r="AH146" s="694"/>
      <c r="AI146" s="694"/>
      <c r="AJ146" s="694"/>
      <c r="AK146" s="694"/>
      <c r="AL146" s="694"/>
    </row>
    <row r="147" spans="1:38" ht="12.75" customHeight="1" x14ac:dyDescent="0.25">
      <c r="A147" s="694"/>
      <c r="B147" s="298"/>
      <c r="C147" s="1302"/>
      <c r="D147" s="625" t="s">
        <v>7</v>
      </c>
      <c r="E147" s="2815" t="str">
        <f>Translations!$B$531</f>
        <v>Име на други пораждащи емисии потоци — 1:</v>
      </c>
      <c r="F147" s="2240"/>
      <c r="G147" s="2240"/>
      <c r="H147" s="2684"/>
      <c r="I147" s="2821"/>
      <c r="J147" s="2834"/>
      <c r="K147" s="2834"/>
      <c r="L147" s="2834"/>
      <c r="M147" s="2835"/>
      <c r="N147" s="1324"/>
      <c r="O147" s="302"/>
      <c r="P147" s="158"/>
      <c r="Q147" s="729"/>
      <c r="R147" s="694"/>
      <c r="S147" s="729"/>
      <c r="T147" s="694"/>
      <c r="U147" s="694"/>
      <c r="V147" s="694"/>
      <c r="W147" s="694"/>
      <c r="X147" s="694"/>
      <c r="Y147" s="694"/>
      <c r="Z147" s="694"/>
      <c r="AA147" s="694"/>
      <c r="AB147" s="694"/>
      <c r="AC147" s="1182" t="s">
        <v>737</v>
      </c>
      <c r="AD147" s="901" t="b">
        <f>OR(AG145,AND($L145&lt;&gt;"",$L145=FALSE))</f>
        <v>0</v>
      </c>
      <c r="AE147" s="694"/>
      <c r="AF147" s="694"/>
      <c r="AG147" s="694"/>
      <c r="AH147" s="694"/>
      <c r="AI147" s="694"/>
      <c r="AJ147" s="694"/>
      <c r="AK147" s="694"/>
      <c r="AL147" s="694"/>
    </row>
    <row r="148" spans="1:38" ht="5.15" customHeight="1" x14ac:dyDescent="0.25">
      <c r="A148" s="694"/>
      <c r="B148" s="298"/>
      <c r="C148" s="1302"/>
      <c r="D148" s="1306"/>
      <c r="E148" s="1325"/>
      <c r="F148" s="1322"/>
      <c r="G148" s="1322"/>
      <c r="H148" s="1322"/>
      <c r="I148" s="1322"/>
      <c r="J148" s="1322"/>
      <c r="K148" s="1322"/>
      <c r="L148" s="1322"/>
      <c r="M148" s="1322"/>
      <c r="N148" s="1323"/>
      <c r="O148" s="302"/>
      <c r="P148" s="302"/>
      <c r="Q148" s="729"/>
      <c r="R148" s="694"/>
      <c r="S148" s="729"/>
      <c r="T148" s="694"/>
      <c r="U148" s="694"/>
      <c r="V148" s="694"/>
      <c r="W148" s="694"/>
      <c r="X148" s="694"/>
      <c r="Y148" s="694"/>
      <c r="Z148" s="694"/>
      <c r="AA148" s="694"/>
      <c r="AB148" s="694"/>
      <c r="AC148" s="694"/>
      <c r="AD148" s="694"/>
      <c r="AE148" s="694"/>
      <c r="AF148" s="694"/>
      <c r="AG148" s="694"/>
      <c r="AH148" s="694"/>
      <c r="AI148" s="694"/>
      <c r="AJ148" s="694"/>
      <c r="AK148" s="694"/>
      <c r="AL148" s="694"/>
    </row>
    <row r="149" spans="1:38" ht="12.75" customHeight="1" thickBot="1" x14ac:dyDescent="0.3">
      <c r="A149" s="694"/>
      <c r="B149" s="298"/>
      <c r="C149" s="1302"/>
      <c r="D149" s="1306"/>
      <c r="E149" s="2803" t="str">
        <f>Translations!$B$532</f>
        <v>Други пораждащи емисии потоци — 1</v>
      </c>
      <c r="F149" s="2672"/>
      <c r="G149" s="1309" t="str">
        <f>EUconst_Unit</f>
        <v>Единица мярка</v>
      </c>
      <c r="H149" s="629">
        <f t="shared" ref="H149:N149" si="37">H$2831</f>
        <v>2024</v>
      </c>
      <c r="I149" s="1310">
        <f t="shared" si="37"/>
        <v>2025</v>
      </c>
      <c r="J149" s="1311">
        <f t="shared" si="37"/>
        <v>2026</v>
      </c>
      <c r="K149" s="629">
        <f t="shared" si="37"/>
        <v>2027</v>
      </c>
      <c r="L149" s="629">
        <f t="shared" si="37"/>
        <v>2028</v>
      </c>
      <c r="M149" s="629">
        <f t="shared" si="37"/>
        <v>2029</v>
      </c>
      <c r="N149" s="1312">
        <f t="shared" si="37"/>
        <v>2030</v>
      </c>
      <c r="O149" s="302"/>
      <c r="P149" s="302"/>
      <c r="Q149" s="729"/>
      <c r="R149" s="694"/>
      <c r="S149" s="729"/>
      <c r="T149" s="694"/>
      <c r="U149" s="694"/>
      <c r="V149" s="694"/>
      <c r="W149" s="694"/>
      <c r="X149" s="694"/>
      <c r="Y149" s="694"/>
      <c r="Z149" s="694"/>
      <c r="AA149" s="694"/>
      <c r="AB149" s="694"/>
      <c r="AC149" s="1178">
        <f t="shared" ref="AC149:AI149" si="38">H$20</f>
        <v>2024</v>
      </c>
      <c r="AD149" s="1178">
        <f t="shared" si="38"/>
        <v>2025</v>
      </c>
      <c r="AE149" s="1178">
        <f t="shared" si="38"/>
        <v>2026</v>
      </c>
      <c r="AF149" s="1178">
        <f t="shared" si="38"/>
        <v>2027</v>
      </c>
      <c r="AG149" s="1178">
        <f t="shared" si="38"/>
        <v>2028</v>
      </c>
      <c r="AH149" s="1178">
        <f t="shared" si="38"/>
        <v>2029</v>
      </c>
      <c r="AI149" s="1178">
        <f t="shared" si="38"/>
        <v>2030</v>
      </c>
      <c r="AJ149" s="694"/>
      <c r="AK149" s="694"/>
      <c r="AL149" s="694"/>
    </row>
    <row r="150" spans="1:38" ht="12.75" customHeight="1" x14ac:dyDescent="0.25">
      <c r="A150" s="694"/>
      <c r="B150" s="298"/>
      <c r="C150" s="1302"/>
      <c r="D150" s="625" t="s">
        <v>8</v>
      </c>
      <c r="E150" s="2818" t="str">
        <f>Translations!$B$533</f>
        <v>Получено или подадено количество</v>
      </c>
      <c r="F150" s="2701"/>
      <c r="G150" s="1326" t="str">
        <f>EUconst_tpa</f>
        <v>t / година</v>
      </c>
      <c r="H150" s="129"/>
      <c r="I150" s="130"/>
      <c r="J150" s="131"/>
      <c r="K150" s="129"/>
      <c r="L150" s="129"/>
      <c r="M150" s="129"/>
      <c r="N150" s="132"/>
      <c r="O150" s="302"/>
      <c r="P150" s="158"/>
      <c r="Q150" s="729"/>
      <c r="R150" s="694"/>
      <c r="S150" s="729"/>
      <c r="T150" s="694"/>
      <c r="U150" s="694"/>
      <c r="V150" s="694"/>
      <c r="W150" s="694"/>
      <c r="X150" s="694"/>
      <c r="Y150" s="694"/>
      <c r="Z150" s="694"/>
      <c r="AA150" s="694"/>
      <c r="AB150" s="1182" t="s">
        <v>737</v>
      </c>
      <c r="AC150" s="901" t="b">
        <f>OR(AND($L145&lt;&gt;"",$L145=FALSE),AC60)</f>
        <v>0</v>
      </c>
      <c r="AD150" s="982" t="b">
        <f t="shared" ref="AD150:AI150" si="39">OR(AND($L145&lt;&gt;"",$L145=FALSE),AD60)</f>
        <v>0</v>
      </c>
      <c r="AE150" s="982" t="b">
        <f t="shared" si="39"/>
        <v>0</v>
      </c>
      <c r="AF150" s="982" t="b">
        <f t="shared" si="39"/>
        <v>0</v>
      </c>
      <c r="AG150" s="982" t="b">
        <f t="shared" si="39"/>
        <v>0</v>
      </c>
      <c r="AH150" s="982" t="b">
        <f t="shared" si="39"/>
        <v>0</v>
      </c>
      <c r="AI150" s="982" t="b">
        <f t="shared" si="39"/>
        <v>0</v>
      </c>
      <c r="AJ150" s="1174" t="s">
        <v>2039</v>
      </c>
      <c r="AK150" s="1176" t="str">
        <f>IF(AND(CNTR_ExistSubInstEntries,MSconst_RequireSubAttrEmissions,COUNTIFS(AC150:AI150,FALSE,H150:N150,"")&gt;0),EUconst_Error&amp;"BM"&amp;$Q13,"")</f>
        <v/>
      </c>
      <c r="AL150" s="694"/>
    </row>
    <row r="151" spans="1:38" ht="12.75" customHeight="1" x14ac:dyDescent="0.25">
      <c r="A151" s="694"/>
      <c r="B151" s="298"/>
      <c r="C151" s="1302"/>
      <c r="D151" s="625" t="s">
        <v>18</v>
      </c>
      <c r="E151" s="2831" t="str">
        <f>Translations!$B$534</f>
        <v>Долна топлина на изгаряне (NCV), ако е приложимо</v>
      </c>
      <c r="F151" s="2703"/>
      <c r="G151" s="1327" t="str">
        <f>EUconst_GJpt</f>
        <v>GJ / t</v>
      </c>
      <c r="H151" s="133"/>
      <c r="I151" s="134"/>
      <c r="J151" s="135"/>
      <c r="K151" s="133"/>
      <c r="L151" s="133"/>
      <c r="M151" s="133"/>
      <c r="N151" s="136"/>
      <c r="O151" s="302"/>
      <c r="P151" s="158"/>
      <c r="Q151" s="729"/>
      <c r="R151" s="694"/>
      <c r="S151" s="729"/>
      <c r="T151" s="694"/>
      <c r="U151" s="694"/>
      <c r="V151" s="694"/>
      <c r="W151" s="694"/>
      <c r="X151" s="694"/>
      <c r="Y151" s="694"/>
      <c r="Z151" s="694"/>
      <c r="AA151" s="694"/>
      <c r="AB151" s="694"/>
      <c r="AC151" s="982" t="b">
        <f t="shared" ref="AC151:AI153" si="40">AC150</f>
        <v>0</v>
      </c>
      <c r="AD151" s="982" t="b">
        <f t="shared" si="40"/>
        <v>0</v>
      </c>
      <c r="AE151" s="982" t="b">
        <f t="shared" si="40"/>
        <v>0</v>
      </c>
      <c r="AF151" s="982" t="b">
        <f t="shared" si="40"/>
        <v>0</v>
      </c>
      <c r="AG151" s="982" t="b">
        <f t="shared" si="40"/>
        <v>0</v>
      </c>
      <c r="AH151" s="982" t="b">
        <f t="shared" si="40"/>
        <v>0</v>
      </c>
      <c r="AI151" s="982" t="b">
        <f t="shared" si="40"/>
        <v>0</v>
      </c>
      <c r="AJ151" s="1174" t="s">
        <v>2039</v>
      </c>
      <c r="AK151" s="1176" t="str">
        <f>IF(AND(CNTR_ExistSubInstEntries,MSconst_RequireSubAttrEmissions,COUNTIFS(AC151:AI151,FALSE,H151:N151,"")&gt;0),EUconst_Error&amp;"BM"&amp;$Q13,"")</f>
        <v/>
      </c>
      <c r="AL151" s="694"/>
    </row>
    <row r="152" spans="1:38" ht="12.75" customHeight="1" thickBot="1" x14ac:dyDescent="0.3">
      <c r="A152" s="694"/>
      <c r="B152" s="298"/>
      <c r="C152" s="1302"/>
      <c r="D152" s="625" t="s">
        <v>810</v>
      </c>
      <c r="E152" s="2831" t="str">
        <f>Translations!$B$535</f>
        <v>Въглеродно съдържание (тегловни %)</v>
      </c>
      <c r="F152" s="2703"/>
      <c r="G152" s="1328" t="s">
        <v>903</v>
      </c>
      <c r="H152" s="133"/>
      <c r="I152" s="134"/>
      <c r="J152" s="135"/>
      <c r="K152" s="133"/>
      <c r="L152" s="133"/>
      <c r="M152" s="133"/>
      <c r="N152" s="136"/>
      <c r="O152" s="302"/>
      <c r="P152" s="158"/>
      <c r="Q152" s="729"/>
      <c r="R152" s="694"/>
      <c r="S152" s="729"/>
      <c r="T152" s="694"/>
      <c r="U152" s="694"/>
      <c r="V152" s="694"/>
      <c r="W152" s="694"/>
      <c r="X152" s="694"/>
      <c r="Y152" s="694"/>
      <c r="Z152" s="694"/>
      <c r="AA152" s="694"/>
      <c r="AB152" s="694"/>
      <c r="AC152" s="982" t="b">
        <f t="shared" si="40"/>
        <v>0</v>
      </c>
      <c r="AD152" s="982" t="b">
        <f t="shared" si="40"/>
        <v>0</v>
      </c>
      <c r="AE152" s="982" t="b">
        <f t="shared" si="40"/>
        <v>0</v>
      </c>
      <c r="AF152" s="982" t="b">
        <f t="shared" si="40"/>
        <v>0</v>
      </c>
      <c r="AG152" s="982" t="b">
        <f t="shared" si="40"/>
        <v>0</v>
      </c>
      <c r="AH152" s="982" t="b">
        <f t="shared" si="40"/>
        <v>0</v>
      </c>
      <c r="AI152" s="982" t="b">
        <f t="shared" si="40"/>
        <v>0</v>
      </c>
      <c r="AJ152" s="1174" t="s">
        <v>2039</v>
      </c>
      <c r="AK152" s="1176" t="str">
        <f>IF(AND(CNTR_ExistSubInstEntries,MSconst_RequireSubAttrEmissions,COUNTIFS(AC152:AI152,FALSE,H152:N152,"")&gt;0),EUconst_Error&amp;"BM"&amp;$Q13,"")</f>
        <v/>
      </c>
      <c r="AL152" s="694"/>
    </row>
    <row r="153" spans="1:38" ht="12.75" customHeight="1" x14ac:dyDescent="0.25">
      <c r="A153" s="694"/>
      <c r="B153" s="298"/>
      <c r="C153" s="1302"/>
      <c r="D153" s="625" t="s">
        <v>811</v>
      </c>
      <c r="E153" s="2828" t="str">
        <f>Translations!$B$536</f>
        <v>Съдържание на биомаса (като дял от въглеродното съдържание)</v>
      </c>
      <c r="F153" s="2705"/>
      <c r="G153" s="1329" t="s">
        <v>903</v>
      </c>
      <c r="H153" s="137"/>
      <c r="I153" s="138"/>
      <c r="J153" s="139"/>
      <c r="K153" s="137"/>
      <c r="L153" s="137"/>
      <c r="M153" s="137"/>
      <c r="N153" s="140"/>
      <c r="O153" s="302"/>
      <c r="P153" s="158"/>
      <c r="Q153" s="729"/>
      <c r="R153" s="694"/>
      <c r="S153" s="1205"/>
      <c r="T153" s="1313">
        <f t="shared" ref="T153:Z153" si="41">H149</f>
        <v>2024</v>
      </c>
      <c r="U153" s="1313">
        <f t="shared" si="41"/>
        <v>2025</v>
      </c>
      <c r="V153" s="1313">
        <f t="shared" si="41"/>
        <v>2026</v>
      </c>
      <c r="W153" s="1313">
        <f t="shared" si="41"/>
        <v>2027</v>
      </c>
      <c r="X153" s="1313">
        <f t="shared" si="41"/>
        <v>2028</v>
      </c>
      <c r="Y153" s="1313">
        <f t="shared" si="41"/>
        <v>2029</v>
      </c>
      <c r="Z153" s="1314">
        <f t="shared" si="41"/>
        <v>2030</v>
      </c>
      <c r="AA153" s="694"/>
      <c r="AB153" s="694"/>
      <c r="AC153" s="982" t="b">
        <f t="shared" si="40"/>
        <v>0</v>
      </c>
      <c r="AD153" s="982" t="b">
        <f t="shared" si="40"/>
        <v>0</v>
      </c>
      <c r="AE153" s="982" t="b">
        <f t="shared" si="40"/>
        <v>0</v>
      </c>
      <c r="AF153" s="982" t="b">
        <f t="shared" si="40"/>
        <v>0</v>
      </c>
      <c r="AG153" s="982" t="b">
        <f t="shared" si="40"/>
        <v>0</v>
      </c>
      <c r="AH153" s="982" t="b">
        <f t="shared" si="40"/>
        <v>0</v>
      </c>
      <c r="AI153" s="982" t="b">
        <f t="shared" si="40"/>
        <v>0</v>
      </c>
      <c r="AJ153" s="1174" t="s">
        <v>2039</v>
      </c>
      <c r="AK153" s="1176" t="str">
        <f>IF(AND(CNTR_ExistSubInstEntries,MSconst_RequireSubAttrEmissions,COUNTIFS(AC153:AI153,FALSE,H153:N153,"")&gt;0),EUconst_Error&amp;"BM"&amp;$Q13,"")</f>
        <v/>
      </c>
      <c r="AL153" s="694"/>
    </row>
    <row r="154" spans="1:38" ht="12.75" customHeight="1" thickBot="1" x14ac:dyDescent="0.3">
      <c r="A154" s="694"/>
      <c r="B154" s="298"/>
      <c r="C154" s="1302"/>
      <c r="D154" s="625" t="s">
        <v>812</v>
      </c>
      <c r="E154" s="2832" t="str">
        <f>Translations!$B$537</f>
        <v>Емисии (от горива, изчислени)</v>
      </c>
      <c r="F154" s="2701"/>
      <c r="G154" s="1330" t="str">
        <f>EUconst_tCO2pa</f>
        <v>t CO2 / година</v>
      </c>
      <c r="H154" s="1331" t="str">
        <f t="shared" ref="H154:N154" si="42">IF(AND(COUNT(H150:H153)&gt;0,H157=""),3.664*H150*(H152/100)*(1-H153/100),"")</f>
        <v/>
      </c>
      <c r="I154" s="1332" t="str">
        <f t="shared" si="42"/>
        <v/>
      </c>
      <c r="J154" s="1333" t="str">
        <f t="shared" si="42"/>
        <v/>
      </c>
      <c r="K154" s="1331" t="str">
        <f t="shared" si="42"/>
        <v/>
      </c>
      <c r="L154" s="1331" t="str">
        <f t="shared" si="42"/>
        <v/>
      </c>
      <c r="M154" s="1331" t="str">
        <f t="shared" si="42"/>
        <v/>
      </c>
      <c r="N154" s="1334" t="str">
        <f t="shared" si="42"/>
        <v/>
      </c>
      <c r="O154" s="302"/>
      <c r="P154" s="302"/>
      <c r="Q154" s="1190" t="str">
        <f>EUconst_CNTR_EmissionsIntSource1 &amp; I13</f>
        <v>EmInternalSource1_</v>
      </c>
      <c r="R154" s="694"/>
      <c r="S154" s="1315" t="str">
        <f>EUconst_CNTR_AttributedEmissions &amp; I13</f>
        <v>AttrEmissions_</v>
      </c>
      <c r="T154" s="1290" t="str">
        <f t="shared" ref="T154:Z154" si="43">IF(T21,SUM(H154),"")</f>
        <v/>
      </c>
      <c r="U154" s="1290" t="str">
        <f t="shared" si="43"/>
        <v/>
      </c>
      <c r="V154" s="1290" t="str">
        <f t="shared" si="43"/>
        <v/>
      </c>
      <c r="W154" s="1290" t="str">
        <f t="shared" si="43"/>
        <v/>
      </c>
      <c r="X154" s="1290" t="str">
        <f t="shared" si="43"/>
        <v/>
      </c>
      <c r="Y154" s="1290" t="str">
        <f t="shared" si="43"/>
        <v/>
      </c>
      <c r="Z154" s="1291" t="str">
        <f t="shared" si="43"/>
        <v/>
      </c>
      <c r="AA154" s="694"/>
      <c r="AB154" s="694"/>
      <c r="AC154" s="694"/>
      <c r="AD154" s="694"/>
      <c r="AE154" s="694"/>
      <c r="AF154" s="694"/>
      <c r="AG154" s="694"/>
      <c r="AH154" s="694"/>
      <c r="AI154" s="694"/>
      <c r="AJ154" s="694"/>
      <c r="AK154" s="694"/>
      <c r="AL154" s="694"/>
    </row>
    <row r="155" spans="1:38" ht="12.75" customHeight="1" x14ac:dyDescent="0.25">
      <c r="A155" s="694"/>
      <c r="B155" s="298"/>
      <c r="C155" s="1302"/>
      <c r="D155" s="625" t="s">
        <v>813</v>
      </c>
      <c r="E155" s="2833" t="str">
        <f>Translations!$B$538</f>
        <v>Допълнителна информация за справка: Емисии от биомаса</v>
      </c>
      <c r="F155" s="2703"/>
      <c r="G155" s="1335" t="str">
        <f>EUconst_tCO2pa</f>
        <v>t CO2 / година</v>
      </c>
      <c r="H155" s="1336" t="str">
        <f t="shared" ref="H155:N155" si="44">IF(ISNUMBER(H154),3.664*H150*(H152/100)*(H153/100),"")</f>
        <v/>
      </c>
      <c r="I155" s="1337" t="str">
        <f t="shared" si="44"/>
        <v/>
      </c>
      <c r="J155" s="1338" t="str">
        <f t="shared" si="44"/>
        <v/>
      </c>
      <c r="K155" s="1336" t="str">
        <f t="shared" si="44"/>
        <v/>
      </c>
      <c r="L155" s="1336" t="str">
        <f t="shared" si="44"/>
        <v/>
      </c>
      <c r="M155" s="1336" t="str">
        <f t="shared" si="44"/>
        <v/>
      </c>
      <c r="N155" s="1339" t="str">
        <f t="shared" si="44"/>
        <v/>
      </c>
      <c r="O155" s="302"/>
      <c r="P155" s="302"/>
      <c r="Q155" s="729"/>
      <c r="R155" s="694"/>
      <c r="S155" s="729"/>
      <c r="T155" s="694"/>
      <c r="U155" s="694"/>
      <c r="V155" s="694"/>
      <c r="W155" s="694"/>
      <c r="X155" s="694"/>
      <c r="Y155" s="694"/>
      <c r="Z155" s="694"/>
      <c r="AA155" s="694"/>
      <c r="AB155" s="694"/>
      <c r="AC155" s="694"/>
      <c r="AD155" s="694"/>
      <c r="AE155" s="694"/>
      <c r="AF155" s="694"/>
      <c r="AG155" s="694"/>
      <c r="AH155" s="694"/>
      <c r="AI155" s="694"/>
      <c r="AJ155" s="694"/>
      <c r="AK155" s="694"/>
      <c r="AL155" s="694"/>
    </row>
    <row r="156" spans="1:38" ht="12.75" customHeight="1" x14ac:dyDescent="0.25">
      <c r="A156" s="694"/>
      <c r="B156" s="298"/>
      <c r="C156" s="1302"/>
      <c r="D156" s="625" t="s">
        <v>814</v>
      </c>
      <c r="E156" s="2828" t="str">
        <f>Translations!$B$539</f>
        <v>Енергийно съдържание (изчислено)</v>
      </c>
      <c r="F156" s="2705"/>
      <c r="G156" s="1340" t="str">
        <f>EUconst_TJpa</f>
        <v>TJ / година</v>
      </c>
      <c r="H156" s="1104" t="str">
        <f t="shared" ref="H156:N156" si="45">IF(COUNT(H150:H151)=2,H150*H151/1000,"")</f>
        <v/>
      </c>
      <c r="I156" s="1296" t="str">
        <f t="shared" si="45"/>
        <v/>
      </c>
      <c r="J156" s="1297" t="str">
        <f t="shared" si="45"/>
        <v/>
      </c>
      <c r="K156" s="1104" t="str">
        <f t="shared" si="45"/>
        <v/>
      </c>
      <c r="L156" s="1104" t="str">
        <f t="shared" si="45"/>
        <v/>
      </c>
      <c r="M156" s="1104" t="str">
        <f t="shared" si="45"/>
        <v/>
      </c>
      <c r="N156" s="1341" t="str">
        <f t="shared" si="45"/>
        <v/>
      </c>
      <c r="O156" s="302"/>
      <c r="P156" s="302"/>
      <c r="Q156" s="729"/>
      <c r="R156" s="694"/>
      <c r="S156" s="729"/>
      <c r="T156" s="694"/>
      <c r="U156" s="694"/>
      <c r="V156" s="694"/>
      <c r="W156" s="694"/>
      <c r="X156" s="694"/>
      <c r="Y156" s="694"/>
      <c r="Z156" s="694"/>
      <c r="AA156" s="694"/>
      <c r="AB156" s="694"/>
      <c r="AC156" s="694"/>
      <c r="AD156" s="694"/>
      <c r="AE156" s="694"/>
      <c r="AF156" s="694"/>
      <c r="AG156" s="694"/>
      <c r="AH156" s="694"/>
      <c r="AI156" s="694"/>
      <c r="AJ156" s="694"/>
      <c r="AK156" s="694"/>
      <c r="AL156" s="694"/>
    </row>
    <row r="157" spans="1:38" ht="12.75" customHeight="1" x14ac:dyDescent="0.25">
      <c r="A157" s="694"/>
      <c r="B157" s="298"/>
      <c r="C157" s="1302"/>
      <c r="D157" s="625" t="s">
        <v>61</v>
      </c>
      <c r="E157" s="2829" t="str">
        <f>Translations!$B$540</f>
        <v>Съобщения за грешка (емисии)</v>
      </c>
      <c r="F157" s="2830"/>
      <c r="G157" s="1342"/>
      <c r="H157" s="1343" t="str">
        <f t="shared" ref="H157:N157" si="46">IF(COUNT(H150,H152:H153)&gt;0,IF(COUNTIF(H151:H153,"&lt;0")&gt;0,EUconst_Negative,IF(COUNT(H150,H152:H153)&lt;3,EUconst_Incomplete,"")),"")</f>
        <v/>
      </c>
      <c r="I157" s="1344" t="str">
        <f t="shared" si="46"/>
        <v/>
      </c>
      <c r="J157" s="1345" t="str">
        <f t="shared" si="46"/>
        <v/>
      </c>
      <c r="K157" s="1343" t="str">
        <f t="shared" si="46"/>
        <v/>
      </c>
      <c r="L157" s="1343" t="str">
        <f t="shared" si="46"/>
        <v/>
      </c>
      <c r="M157" s="1343" t="str">
        <f t="shared" si="46"/>
        <v/>
      </c>
      <c r="N157" s="1346" t="str">
        <f t="shared" si="46"/>
        <v/>
      </c>
      <c r="O157" s="302"/>
      <c r="P157" s="302"/>
      <c r="Q157" s="729"/>
      <c r="R157" s="694"/>
      <c r="S157" s="729"/>
      <c r="T157" s="694"/>
      <c r="U157" s="694"/>
      <c r="V157" s="694"/>
      <c r="W157" s="694"/>
      <c r="X157" s="694"/>
      <c r="Y157" s="694"/>
      <c r="Z157" s="694"/>
      <c r="AA157" s="694"/>
      <c r="AB157" s="694"/>
      <c r="AC157" s="694"/>
      <c r="AD157" s="694"/>
      <c r="AE157" s="694"/>
      <c r="AF157" s="694"/>
      <c r="AG157" s="694"/>
      <c r="AH157" s="694"/>
      <c r="AI157" s="694"/>
      <c r="AJ157" s="694"/>
      <c r="AK157" s="694"/>
      <c r="AL157" s="694"/>
    </row>
    <row r="158" spans="1:38" ht="12.75" customHeight="1" x14ac:dyDescent="0.25">
      <c r="A158" s="694"/>
      <c r="B158" s="298"/>
      <c r="C158" s="1302"/>
      <c r="D158" s="625"/>
      <c r="E158" s="1306"/>
      <c r="F158" s="1306"/>
      <c r="G158" s="1306"/>
      <c r="H158" s="1306"/>
      <c r="I158" s="1306"/>
      <c r="J158" s="1306"/>
      <c r="K158" s="1306"/>
      <c r="L158" s="1306"/>
      <c r="M158" s="626"/>
      <c r="N158" s="1316"/>
      <c r="O158" s="302"/>
      <c r="P158" s="302"/>
      <c r="Q158" s="729"/>
      <c r="R158" s="694"/>
      <c r="S158" s="729"/>
      <c r="T158" s="694"/>
      <c r="U158" s="694"/>
      <c r="V158" s="694"/>
      <c r="W158" s="694"/>
      <c r="X158" s="694"/>
      <c r="Y158" s="694"/>
      <c r="Z158" s="694"/>
      <c r="AA158" s="694"/>
      <c r="AB158" s="694"/>
      <c r="AC158" s="694"/>
      <c r="AD158" s="694"/>
      <c r="AE158" s="694"/>
      <c r="AF158" s="694"/>
      <c r="AG158" s="694"/>
      <c r="AH158" s="694"/>
      <c r="AI158" s="694"/>
      <c r="AJ158" s="694"/>
      <c r="AK158" s="694"/>
      <c r="AL158" s="694"/>
    </row>
    <row r="159" spans="1:38" ht="12.75" customHeight="1" x14ac:dyDescent="0.25">
      <c r="A159" s="694"/>
      <c r="B159" s="298"/>
      <c r="C159" s="1302"/>
      <c r="D159" s="625" t="s">
        <v>62</v>
      </c>
      <c r="E159" s="2815" t="str">
        <f>Translations!$B$541</f>
        <v>Име на други пораждащи емисии потоци — 2:</v>
      </c>
      <c r="F159" s="2240"/>
      <c r="G159" s="2240"/>
      <c r="H159" s="2684"/>
      <c r="I159" s="2821"/>
      <c r="J159" s="2674"/>
      <c r="K159" s="2674"/>
      <c r="L159" s="2674"/>
      <c r="M159" s="2675"/>
      <c r="N159" s="1323"/>
      <c r="O159" s="302"/>
      <c r="P159" s="158"/>
      <c r="Q159" s="729"/>
      <c r="R159" s="694"/>
      <c r="S159" s="729"/>
      <c r="T159" s="694"/>
      <c r="U159" s="694"/>
      <c r="V159" s="694"/>
      <c r="W159" s="694"/>
      <c r="X159" s="694"/>
      <c r="Y159" s="694"/>
      <c r="Z159" s="694"/>
      <c r="AA159" s="694"/>
      <c r="AB159" s="694"/>
      <c r="AC159" s="1182" t="s">
        <v>737</v>
      </c>
      <c r="AD159" s="982" t="b">
        <f>AD147</f>
        <v>0</v>
      </c>
      <c r="AE159" s="694"/>
      <c r="AF159" s="694"/>
      <c r="AG159" s="694"/>
      <c r="AH159" s="694"/>
      <c r="AI159" s="694"/>
      <c r="AJ159" s="694"/>
      <c r="AK159" s="694"/>
      <c r="AL159" s="694"/>
    </row>
    <row r="160" spans="1:38" ht="5.15" customHeight="1" x14ac:dyDescent="0.25">
      <c r="A160" s="694"/>
      <c r="B160" s="298"/>
      <c r="C160" s="1302"/>
      <c r="D160" s="1306"/>
      <c r="E160" s="1325"/>
      <c r="F160" s="1322"/>
      <c r="G160" s="1306"/>
      <c r="H160" s="1306"/>
      <c r="I160" s="1322"/>
      <c r="J160" s="1322"/>
      <c r="K160" s="1322"/>
      <c r="L160" s="1322"/>
      <c r="M160" s="1322"/>
      <c r="N160" s="1323"/>
      <c r="O160" s="302"/>
      <c r="P160" s="302"/>
      <c r="Q160" s="729"/>
      <c r="R160" s="694"/>
      <c r="S160" s="729"/>
      <c r="T160" s="694"/>
      <c r="U160" s="694"/>
      <c r="V160" s="694"/>
      <c r="W160" s="694"/>
      <c r="X160" s="694"/>
      <c r="Y160" s="694"/>
      <c r="Z160" s="694"/>
      <c r="AA160" s="694"/>
      <c r="AB160" s="694"/>
      <c r="AC160" s="694"/>
      <c r="AD160" s="694"/>
      <c r="AE160" s="694"/>
      <c r="AF160" s="694"/>
      <c r="AG160" s="694"/>
      <c r="AH160" s="694"/>
      <c r="AI160" s="694"/>
      <c r="AJ160" s="694"/>
      <c r="AK160" s="694"/>
      <c r="AL160" s="694"/>
    </row>
    <row r="161" spans="1:38" ht="12.75" customHeight="1" thickBot="1" x14ac:dyDescent="0.3">
      <c r="A161" s="694"/>
      <c r="B161" s="298"/>
      <c r="C161" s="1302"/>
      <c r="D161" s="625"/>
      <c r="E161" s="2803" t="str">
        <f>Translations!$B$542</f>
        <v>Други пораждащи емисии потоци — 2</v>
      </c>
      <c r="F161" s="2672"/>
      <c r="G161" s="1309" t="str">
        <f>EUconst_Unit</f>
        <v>Единица мярка</v>
      </c>
      <c r="H161" s="629">
        <f t="shared" ref="H161:N161" si="47">H$2831</f>
        <v>2024</v>
      </c>
      <c r="I161" s="1310">
        <f t="shared" si="47"/>
        <v>2025</v>
      </c>
      <c r="J161" s="1311">
        <f t="shared" si="47"/>
        <v>2026</v>
      </c>
      <c r="K161" s="629">
        <f t="shared" si="47"/>
        <v>2027</v>
      </c>
      <c r="L161" s="629">
        <f t="shared" si="47"/>
        <v>2028</v>
      </c>
      <c r="M161" s="629">
        <f t="shared" si="47"/>
        <v>2029</v>
      </c>
      <c r="N161" s="1312">
        <f t="shared" si="47"/>
        <v>2030</v>
      </c>
      <c r="O161" s="302"/>
      <c r="P161" s="302"/>
      <c r="Q161" s="729"/>
      <c r="R161" s="694"/>
      <c r="S161" s="729"/>
      <c r="T161" s="694"/>
      <c r="U161" s="694"/>
      <c r="V161" s="694"/>
      <c r="W161" s="694"/>
      <c r="X161" s="694"/>
      <c r="Y161" s="694"/>
      <c r="Z161" s="694"/>
      <c r="AA161" s="694"/>
      <c r="AB161" s="694"/>
      <c r="AC161" s="1178">
        <f t="shared" ref="AC161:AI161" si="48">H$20</f>
        <v>2024</v>
      </c>
      <c r="AD161" s="1178">
        <f t="shared" si="48"/>
        <v>2025</v>
      </c>
      <c r="AE161" s="1178">
        <f t="shared" si="48"/>
        <v>2026</v>
      </c>
      <c r="AF161" s="1178">
        <f t="shared" si="48"/>
        <v>2027</v>
      </c>
      <c r="AG161" s="1178">
        <f t="shared" si="48"/>
        <v>2028</v>
      </c>
      <c r="AH161" s="1178">
        <f t="shared" si="48"/>
        <v>2029</v>
      </c>
      <c r="AI161" s="1178">
        <f t="shared" si="48"/>
        <v>2030</v>
      </c>
      <c r="AJ161" s="694"/>
      <c r="AK161" s="694"/>
      <c r="AL161" s="694"/>
    </row>
    <row r="162" spans="1:38" ht="12.75" customHeight="1" x14ac:dyDescent="0.25">
      <c r="A162" s="694"/>
      <c r="B162" s="298"/>
      <c r="C162" s="1302"/>
      <c r="D162" s="625" t="s">
        <v>63</v>
      </c>
      <c r="E162" s="2818" t="str">
        <f>Translations!$B$533</f>
        <v>Получено или подадено количество</v>
      </c>
      <c r="F162" s="2701"/>
      <c r="G162" s="1326" t="str">
        <f>EUconst_tpa</f>
        <v>t / година</v>
      </c>
      <c r="H162" s="129"/>
      <c r="I162" s="130"/>
      <c r="J162" s="131"/>
      <c r="K162" s="129"/>
      <c r="L162" s="129"/>
      <c r="M162" s="129"/>
      <c r="N162" s="132"/>
      <c r="O162" s="302"/>
      <c r="P162" s="158"/>
      <c r="Q162" s="729"/>
      <c r="R162" s="694"/>
      <c r="S162" s="729"/>
      <c r="T162" s="694"/>
      <c r="U162" s="694"/>
      <c r="V162" s="694"/>
      <c r="W162" s="694"/>
      <c r="X162" s="694"/>
      <c r="Y162" s="694"/>
      <c r="Z162" s="694"/>
      <c r="AA162" s="694"/>
      <c r="AB162" s="1182" t="s">
        <v>737</v>
      </c>
      <c r="AC162" s="982" t="b">
        <f>AC150</f>
        <v>0</v>
      </c>
      <c r="AD162" s="982" t="b">
        <f t="shared" ref="AD162:AI162" si="49">AD150</f>
        <v>0</v>
      </c>
      <c r="AE162" s="982" t="b">
        <f t="shared" si="49"/>
        <v>0</v>
      </c>
      <c r="AF162" s="982" t="b">
        <f t="shared" si="49"/>
        <v>0</v>
      </c>
      <c r="AG162" s="982" t="b">
        <f t="shared" si="49"/>
        <v>0</v>
      </c>
      <c r="AH162" s="982" t="b">
        <f t="shared" si="49"/>
        <v>0</v>
      </c>
      <c r="AI162" s="982" t="b">
        <f t="shared" si="49"/>
        <v>0</v>
      </c>
      <c r="AJ162" s="1174" t="s">
        <v>2039</v>
      </c>
      <c r="AK162" s="1176" t="str">
        <f>IF(AND(CNTR_ExistSubInstEntries,MSconst_RequireSubAttrEmissions,COUNTIFS(AC162:AI162,FALSE,H162:N162,"")&gt;0),EUconst_Error&amp;"BM"&amp;$Q13,"")</f>
        <v/>
      </c>
      <c r="AL162" s="694"/>
    </row>
    <row r="163" spans="1:38" ht="12.75" customHeight="1" x14ac:dyDescent="0.25">
      <c r="A163" s="694"/>
      <c r="B163" s="298"/>
      <c r="C163" s="1302"/>
      <c r="D163" s="625" t="s">
        <v>1136</v>
      </c>
      <c r="E163" s="2831" t="str">
        <f>Translations!$B$534</f>
        <v>Долна топлина на изгаряне (NCV), ако е приложимо</v>
      </c>
      <c r="F163" s="2703"/>
      <c r="G163" s="1327" t="str">
        <f>EUconst_GJpt</f>
        <v>GJ / t</v>
      </c>
      <c r="H163" s="133"/>
      <c r="I163" s="134"/>
      <c r="J163" s="135"/>
      <c r="K163" s="133"/>
      <c r="L163" s="133"/>
      <c r="M163" s="133"/>
      <c r="N163" s="136"/>
      <c r="O163" s="302"/>
      <c r="P163" s="158"/>
      <c r="Q163" s="729"/>
      <c r="R163" s="694"/>
      <c r="S163" s="729"/>
      <c r="T163" s="694"/>
      <c r="U163" s="694"/>
      <c r="V163" s="694"/>
      <c r="W163" s="694"/>
      <c r="X163" s="694"/>
      <c r="Y163" s="694"/>
      <c r="Z163" s="694"/>
      <c r="AA163" s="694"/>
      <c r="AB163" s="694"/>
      <c r="AC163" s="982" t="b">
        <f t="shared" ref="AC163:AI163" si="50">AC151</f>
        <v>0</v>
      </c>
      <c r="AD163" s="982" t="b">
        <f t="shared" si="50"/>
        <v>0</v>
      </c>
      <c r="AE163" s="982" t="b">
        <f t="shared" si="50"/>
        <v>0</v>
      </c>
      <c r="AF163" s="982" t="b">
        <f t="shared" si="50"/>
        <v>0</v>
      </c>
      <c r="AG163" s="982" t="b">
        <f t="shared" si="50"/>
        <v>0</v>
      </c>
      <c r="AH163" s="982" t="b">
        <f t="shared" si="50"/>
        <v>0</v>
      </c>
      <c r="AI163" s="982" t="b">
        <f t="shared" si="50"/>
        <v>0</v>
      </c>
      <c r="AJ163" s="1174" t="s">
        <v>2039</v>
      </c>
      <c r="AK163" s="1176" t="str">
        <f>IF(AND(CNTR_ExistSubInstEntries,MSconst_RequireSubAttrEmissions,COUNTIFS(AC163:AI163,FALSE,H163:N163,"")&gt;0),EUconst_Error&amp;"BM"&amp;$Q13,"")</f>
        <v/>
      </c>
      <c r="AL163" s="694"/>
    </row>
    <row r="164" spans="1:38" ht="12.75" customHeight="1" thickBot="1" x14ac:dyDescent="0.3">
      <c r="A164" s="694"/>
      <c r="B164" s="298"/>
      <c r="C164" s="1302"/>
      <c r="D164" s="625" t="s">
        <v>1137</v>
      </c>
      <c r="E164" s="2831" t="str">
        <f>Translations!$B$535</f>
        <v>Въглеродно съдържание (тегловни %)</v>
      </c>
      <c r="F164" s="2703"/>
      <c r="G164" s="1328" t="s">
        <v>903</v>
      </c>
      <c r="H164" s="133"/>
      <c r="I164" s="134"/>
      <c r="J164" s="135"/>
      <c r="K164" s="133"/>
      <c r="L164" s="133"/>
      <c r="M164" s="133"/>
      <c r="N164" s="136"/>
      <c r="O164" s="302"/>
      <c r="P164" s="158"/>
      <c r="Q164" s="729"/>
      <c r="R164" s="694"/>
      <c r="S164" s="729"/>
      <c r="T164" s="694"/>
      <c r="U164" s="694"/>
      <c r="V164" s="694"/>
      <c r="W164" s="694"/>
      <c r="X164" s="694"/>
      <c r="Y164" s="694"/>
      <c r="Z164" s="694"/>
      <c r="AA164" s="694"/>
      <c r="AB164" s="694"/>
      <c r="AC164" s="982" t="b">
        <f t="shared" ref="AC164:AI164" si="51">AC152</f>
        <v>0</v>
      </c>
      <c r="AD164" s="982" t="b">
        <f t="shared" si="51"/>
        <v>0</v>
      </c>
      <c r="AE164" s="982" t="b">
        <f t="shared" si="51"/>
        <v>0</v>
      </c>
      <c r="AF164" s="982" t="b">
        <f t="shared" si="51"/>
        <v>0</v>
      </c>
      <c r="AG164" s="982" t="b">
        <f t="shared" si="51"/>
        <v>0</v>
      </c>
      <c r="AH164" s="982" t="b">
        <f t="shared" si="51"/>
        <v>0</v>
      </c>
      <c r="AI164" s="982" t="b">
        <f t="shared" si="51"/>
        <v>0</v>
      </c>
      <c r="AJ164" s="1174" t="s">
        <v>2039</v>
      </c>
      <c r="AK164" s="1176" t="str">
        <f>IF(AND(CNTR_ExistSubInstEntries,MSconst_RequireSubAttrEmissions,COUNTIFS(AC164:AI164,FALSE,H164:N164,"")&gt;0),EUconst_Error&amp;"BM"&amp;$Q13,"")</f>
        <v/>
      </c>
      <c r="AL164" s="694"/>
    </row>
    <row r="165" spans="1:38" ht="12.75" customHeight="1" x14ac:dyDescent="0.25">
      <c r="A165" s="694"/>
      <c r="B165" s="298"/>
      <c r="C165" s="1302"/>
      <c r="D165" s="625" t="s">
        <v>1138</v>
      </c>
      <c r="E165" s="2828" t="str">
        <f>Translations!$B$536</f>
        <v>Съдържание на биомаса (като дял от въглеродното съдържание)</v>
      </c>
      <c r="F165" s="2705"/>
      <c r="G165" s="1329" t="s">
        <v>903</v>
      </c>
      <c r="H165" s="137"/>
      <c r="I165" s="138"/>
      <c r="J165" s="139"/>
      <c r="K165" s="137"/>
      <c r="L165" s="137"/>
      <c r="M165" s="137"/>
      <c r="N165" s="140"/>
      <c r="O165" s="302"/>
      <c r="P165" s="158"/>
      <c r="Q165" s="729"/>
      <c r="R165" s="694"/>
      <c r="S165" s="1205"/>
      <c r="T165" s="1313">
        <f t="shared" ref="T165:Z165" si="52">H161</f>
        <v>2024</v>
      </c>
      <c r="U165" s="1313">
        <f t="shared" si="52"/>
        <v>2025</v>
      </c>
      <c r="V165" s="1313">
        <f t="shared" si="52"/>
        <v>2026</v>
      </c>
      <c r="W165" s="1313">
        <f t="shared" si="52"/>
        <v>2027</v>
      </c>
      <c r="X165" s="1313">
        <f t="shared" si="52"/>
        <v>2028</v>
      </c>
      <c r="Y165" s="1313">
        <f t="shared" si="52"/>
        <v>2029</v>
      </c>
      <c r="Z165" s="1314">
        <f t="shared" si="52"/>
        <v>2030</v>
      </c>
      <c r="AA165" s="694"/>
      <c r="AB165" s="694"/>
      <c r="AC165" s="982" t="b">
        <f t="shared" ref="AC165:AI165" si="53">AC153</f>
        <v>0</v>
      </c>
      <c r="AD165" s="982" t="b">
        <f t="shared" si="53"/>
        <v>0</v>
      </c>
      <c r="AE165" s="982" t="b">
        <f t="shared" si="53"/>
        <v>0</v>
      </c>
      <c r="AF165" s="982" t="b">
        <f t="shared" si="53"/>
        <v>0</v>
      </c>
      <c r="AG165" s="982" t="b">
        <f t="shared" si="53"/>
        <v>0</v>
      </c>
      <c r="AH165" s="982" t="b">
        <f t="shared" si="53"/>
        <v>0</v>
      </c>
      <c r="AI165" s="982" t="b">
        <f t="shared" si="53"/>
        <v>0</v>
      </c>
      <c r="AJ165" s="1174" t="s">
        <v>2039</v>
      </c>
      <c r="AK165" s="1176" t="str">
        <f>IF(AND(CNTR_ExistSubInstEntries,MSconst_RequireSubAttrEmissions,COUNTIFS(AC165:AI165,FALSE,H165:N165,"")&gt;0),EUconst_Error&amp;"BM"&amp;$Q13,"")</f>
        <v/>
      </c>
      <c r="AL165" s="694"/>
    </row>
    <row r="166" spans="1:38" ht="12.75" customHeight="1" thickBot="1" x14ac:dyDescent="0.3">
      <c r="A166" s="694"/>
      <c r="B166" s="298"/>
      <c r="C166" s="1302"/>
      <c r="D166" s="625" t="s">
        <v>1139</v>
      </c>
      <c r="E166" s="2832" t="str">
        <f>Translations!$B$537</f>
        <v>Емисии (от горива, изчислени)</v>
      </c>
      <c r="F166" s="2701"/>
      <c r="G166" s="1330" t="str">
        <f>EUconst_tCO2pa</f>
        <v>t CO2 / година</v>
      </c>
      <c r="H166" s="1331" t="str">
        <f t="shared" ref="H166:N166" si="54">IF(AND(COUNT(H162:H165)&gt;0,H169=""),3.664*H162*(H164/100)*(1-H165/100),"")</f>
        <v/>
      </c>
      <c r="I166" s="1332" t="str">
        <f t="shared" si="54"/>
        <v/>
      </c>
      <c r="J166" s="1333" t="str">
        <f t="shared" si="54"/>
        <v/>
      </c>
      <c r="K166" s="1331" t="str">
        <f t="shared" si="54"/>
        <v/>
      </c>
      <c r="L166" s="1331" t="str">
        <f t="shared" si="54"/>
        <v/>
      </c>
      <c r="M166" s="1331" t="str">
        <f t="shared" si="54"/>
        <v/>
      </c>
      <c r="N166" s="1334" t="str">
        <f t="shared" si="54"/>
        <v/>
      </c>
      <c r="O166" s="302"/>
      <c r="P166" s="302"/>
      <c r="Q166" s="1190" t="str">
        <f>EUconst_CNTR_EmissionsIntSource2 &amp; I13</f>
        <v>EmInternalSource2_</v>
      </c>
      <c r="R166" s="694"/>
      <c r="S166" s="1315" t="str">
        <f>EUconst_CNTR_AttributedEmissions &amp; I13</f>
        <v>AttrEmissions_</v>
      </c>
      <c r="T166" s="1290" t="str">
        <f t="shared" ref="T166:Z166" si="55">IF(T21,SUM(H166),"")</f>
        <v/>
      </c>
      <c r="U166" s="1290" t="str">
        <f t="shared" si="55"/>
        <v/>
      </c>
      <c r="V166" s="1290" t="str">
        <f t="shared" si="55"/>
        <v/>
      </c>
      <c r="W166" s="1290" t="str">
        <f t="shared" si="55"/>
        <v/>
      </c>
      <c r="X166" s="1290" t="str">
        <f t="shared" si="55"/>
        <v/>
      </c>
      <c r="Y166" s="1290" t="str">
        <f t="shared" si="55"/>
        <v/>
      </c>
      <c r="Z166" s="1291" t="str">
        <f t="shared" si="55"/>
        <v/>
      </c>
      <c r="AA166" s="694"/>
      <c r="AB166" s="694"/>
      <c r="AC166" s="694"/>
      <c r="AD166" s="694"/>
      <c r="AE166" s="694"/>
      <c r="AF166" s="694"/>
      <c r="AG166" s="694"/>
      <c r="AH166" s="694"/>
      <c r="AI166" s="694"/>
      <c r="AJ166" s="694"/>
      <c r="AK166" s="694"/>
      <c r="AL166" s="694"/>
    </row>
    <row r="167" spans="1:38" ht="12.75" customHeight="1" x14ac:dyDescent="0.25">
      <c r="A167" s="694"/>
      <c r="B167" s="298"/>
      <c r="C167" s="1302"/>
      <c r="D167" s="625" t="s">
        <v>1140</v>
      </c>
      <c r="E167" s="2833" t="str">
        <f>Translations!$B$538</f>
        <v>Допълнителна информация за справка: Емисии от биомаса</v>
      </c>
      <c r="F167" s="2703"/>
      <c r="G167" s="1335" t="str">
        <f>EUconst_tCO2pa</f>
        <v>t CO2 / година</v>
      </c>
      <c r="H167" s="1336" t="str">
        <f t="shared" ref="H167:N167" si="56">IF(ISNUMBER(H166),3.664*H162*(H164/100)*(H165/100),"")</f>
        <v/>
      </c>
      <c r="I167" s="1337" t="str">
        <f t="shared" si="56"/>
        <v/>
      </c>
      <c r="J167" s="1338" t="str">
        <f t="shared" si="56"/>
        <v/>
      </c>
      <c r="K167" s="1336" t="str">
        <f t="shared" si="56"/>
        <v/>
      </c>
      <c r="L167" s="1336" t="str">
        <f t="shared" si="56"/>
        <v/>
      </c>
      <c r="M167" s="1336" t="str">
        <f t="shared" si="56"/>
        <v/>
      </c>
      <c r="N167" s="1339" t="str">
        <f t="shared" si="56"/>
        <v/>
      </c>
      <c r="O167" s="302"/>
      <c r="P167" s="302"/>
      <c r="Q167" s="729"/>
      <c r="R167" s="694"/>
      <c r="S167" s="729"/>
      <c r="T167" s="694"/>
      <c r="U167" s="694"/>
      <c r="V167" s="694"/>
      <c r="W167" s="694"/>
      <c r="X167" s="694"/>
      <c r="Y167" s="694"/>
      <c r="Z167" s="694"/>
      <c r="AA167" s="694"/>
      <c r="AB167" s="694"/>
      <c r="AC167" s="694"/>
      <c r="AD167" s="694"/>
      <c r="AE167" s="694"/>
      <c r="AF167" s="694"/>
      <c r="AG167" s="694"/>
      <c r="AH167" s="694"/>
      <c r="AI167" s="694"/>
      <c r="AJ167" s="694"/>
      <c r="AK167" s="694"/>
      <c r="AL167" s="694"/>
    </row>
    <row r="168" spans="1:38" ht="12.75" customHeight="1" x14ac:dyDescent="0.25">
      <c r="A168" s="694"/>
      <c r="B168" s="298"/>
      <c r="C168" s="1302"/>
      <c r="D168" s="625" t="s">
        <v>1141</v>
      </c>
      <c r="E168" s="2828" t="str">
        <f>Translations!$B$539</f>
        <v>Енергийно съдържание (изчислено)</v>
      </c>
      <c r="F168" s="2705"/>
      <c r="G168" s="1340" t="str">
        <f>EUconst_TJpa</f>
        <v>TJ / година</v>
      </c>
      <c r="H168" s="1104" t="str">
        <f t="shared" ref="H168:N168" si="57">IF(COUNT(H162:H163)=2,H162*H163/1000,"")</f>
        <v/>
      </c>
      <c r="I168" s="1296" t="str">
        <f t="shared" si="57"/>
        <v/>
      </c>
      <c r="J168" s="1297" t="str">
        <f t="shared" si="57"/>
        <v/>
      </c>
      <c r="K168" s="1104" t="str">
        <f t="shared" si="57"/>
        <v/>
      </c>
      <c r="L168" s="1104" t="str">
        <f t="shared" si="57"/>
        <v/>
      </c>
      <c r="M168" s="1104" t="str">
        <f t="shared" si="57"/>
        <v/>
      </c>
      <c r="N168" s="1341" t="str">
        <f t="shared" si="57"/>
        <v/>
      </c>
      <c r="O168" s="302"/>
      <c r="P168" s="302"/>
      <c r="Q168" s="729"/>
      <c r="R168" s="694"/>
      <c r="S168" s="729"/>
      <c r="T168" s="694"/>
      <c r="U168" s="694"/>
      <c r="V168" s="694"/>
      <c r="W168" s="694"/>
      <c r="X168" s="694"/>
      <c r="Y168" s="694"/>
      <c r="Z168" s="694"/>
      <c r="AA168" s="694"/>
      <c r="AB168" s="694"/>
      <c r="AC168" s="694"/>
      <c r="AD168" s="694"/>
      <c r="AE168" s="694"/>
      <c r="AF168" s="694"/>
      <c r="AG168" s="694"/>
      <c r="AH168" s="694"/>
      <c r="AI168" s="694"/>
      <c r="AJ168" s="694"/>
      <c r="AK168" s="694"/>
      <c r="AL168" s="694"/>
    </row>
    <row r="169" spans="1:38" ht="12.75" customHeight="1" x14ac:dyDescent="0.25">
      <c r="A169" s="694"/>
      <c r="B169" s="298"/>
      <c r="C169" s="1302"/>
      <c r="D169" s="625" t="s">
        <v>1137</v>
      </c>
      <c r="E169" s="2829" t="str">
        <f>Translations!$B$540</f>
        <v>Съобщения за грешка (емисии)</v>
      </c>
      <c r="F169" s="2830"/>
      <c r="G169" s="1342"/>
      <c r="H169" s="1343" t="str">
        <f t="shared" ref="H169:N169" si="58">IF(COUNT(H162,H164:H165)&gt;0,IF(COUNTIF(H163:H165,"&lt;0")&gt;0,EUconst_Negative,IF(COUNT(H162,H164:H165)&lt;3,EUconst_Incomplete,"")),"")</f>
        <v/>
      </c>
      <c r="I169" s="1344" t="str">
        <f t="shared" si="58"/>
        <v/>
      </c>
      <c r="J169" s="1345" t="str">
        <f t="shared" si="58"/>
        <v/>
      </c>
      <c r="K169" s="1343" t="str">
        <f t="shared" si="58"/>
        <v/>
      </c>
      <c r="L169" s="1343" t="str">
        <f t="shared" si="58"/>
        <v/>
      </c>
      <c r="M169" s="1343" t="str">
        <f t="shared" si="58"/>
        <v/>
      </c>
      <c r="N169" s="1346" t="str">
        <f t="shared" si="58"/>
        <v/>
      </c>
      <c r="O169" s="302"/>
      <c r="P169" s="302"/>
      <c r="Q169" s="729"/>
      <c r="R169" s="694"/>
      <c r="S169" s="729"/>
      <c r="T169" s="694"/>
      <c r="U169" s="694"/>
      <c r="V169" s="694"/>
      <c r="W169" s="694"/>
      <c r="X169" s="694"/>
      <c r="Y169" s="694"/>
      <c r="Z169" s="694"/>
      <c r="AA169" s="694"/>
      <c r="AB169" s="694"/>
      <c r="AC169" s="694"/>
      <c r="AD169" s="694"/>
      <c r="AE169" s="694"/>
      <c r="AF169" s="694"/>
      <c r="AG169" s="694"/>
      <c r="AH169" s="694"/>
      <c r="AI169" s="694"/>
      <c r="AJ169" s="694"/>
      <c r="AK169" s="694"/>
      <c r="AL169" s="694"/>
    </row>
    <row r="170" spans="1:38" ht="12.75" customHeight="1" x14ac:dyDescent="0.25">
      <c r="A170" s="694"/>
      <c r="B170" s="298"/>
      <c r="C170" s="1302"/>
      <c r="D170" s="1306"/>
      <c r="E170" s="1306"/>
      <c r="F170" s="1306"/>
      <c r="G170" s="1306"/>
      <c r="H170" s="1306"/>
      <c r="I170" s="1306"/>
      <c r="J170" s="1306"/>
      <c r="K170" s="1306"/>
      <c r="L170" s="1306"/>
      <c r="M170" s="626"/>
      <c r="N170" s="1316"/>
      <c r="O170" s="302"/>
      <c r="P170" s="302"/>
      <c r="Q170" s="729"/>
      <c r="R170" s="694"/>
      <c r="S170" s="729"/>
      <c r="T170" s="694"/>
      <c r="U170" s="694"/>
      <c r="V170" s="694"/>
      <c r="W170" s="694"/>
      <c r="X170" s="694"/>
      <c r="Y170" s="694"/>
      <c r="Z170" s="694"/>
      <c r="AA170" s="694"/>
      <c r="AB170" s="694"/>
      <c r="AC170" s="694"/>
      <c r="AD170" s="694"/>
      <c r="AE170" s="694"/>
      <c r="AF170" s="694"/>
      <c r="AG170" s="694"/>
      <c r="AH170" s="694"/>
      <c r="AI170" s="694"/>
      <c r="AJ170" s="694"/>
      <c r="AK170" s="694"/>
      <c r="AL170" s="694"/>
    </row>
    <row r="171" spans="1:38" ht="12.75" customHeight="1" x14ac:dyDescent="0.25">
      <c r="A171" s="694"/>
      <c r="B171" s="298"/>
      <c r="C171" s="1302"/>
      <c r="D171" s="1307" t="s">
        <v>489</v>
      </c>
      <c r="E171" s="2815" t="str">
        <f>Translations!$B$543</f>
        <v>Количество на парникови газове, които са получени или подадени като суровини</v>
      </c>
      <c r="F171" s="2240"/>
      <c r="G171" s="2240"/>
      <c r="H171" s="2240"/>
      <c r="I171" s="2240"/>
      <c r="J171" s="2240"/>
      <c r="K171" s="2240"/>
      <c r="L171" s="2240"/>
      <c r="M171" s="2240"/>
      <c r="N171" s="2811"/>
      <c r="O171" s="302"/>
      <c r="P171" s="302"/>
      <c r="Q171" s="729"/>
      <c r="R171" s="694"/>
      <c r="S171" s="729"/>
      <c r="T171" s="694"/>
      <c r="U171" s="694"/>
      <c r="V171" s="694"/>
      <c r="W171" s="694"/>
      <c r="X171" s="694"/>
      <c r="Y171" s="694"/>
      <c r="Z171" s="694"/>
      <c r="AA171" s="694"/>
      <c r="AB171" s="694"/>
      <c r="AC171" s="694"/>
      <c r="AD171" s="694"/>
      <c r="AE171" s="694"/>
      <c r="AF171" s="694"/>
      <c r="AG171" s="694"/>
      <c r="AH171" s="694"/>
      <c r="AI171" s="694"/>
      <c r="AJ171" s="694"/>
      <c r="AK171" s="694"/>
      <c r="AL171" s="694"/>
    </row>
    <row r="172" spans="1:38" ht="12.75" customHeight="1" x14ac:dyDescent="0.25">
      <c r="A172" s="694"/>
      <c r="B172" s="298"/>
      <c r="C172" s="1302"/>
      <c r="D172" s="625"/>
      <c r="E172" s="2816" t="str">
        <f>Translations!$B$508</f>
        <v>Посочените тук данни ще се отразят на емисиите, които могат да бъдат зададени съгласно раздел 10.1.1 от приложение VII към ПБР.</v>
      </c>
      <c r="F172" s="2240"/>
      <c r="G172" s="2240"/>
      <c r="H172" s="2240"/>
      <c r="I172" s="2240"/>
      <c r="J172" s="2240"/>
      <c r="K172" s="2240"/>
      <c r="L172" s="2240"/>
      <c r="M172" s="2240"/>
      <c r="N172" s="2811"/>
      <c r="O172" s="302"/>
      <c r="P172" s="302"/>
      <c r="Q172" s="729"/>
      <c r="R172" s="694"/>
      <c r="S172" s="729"/>
      <c r="T172" s="729"/>
      <c r="U172" s="729"/>
      <c r="V172" s="729"/>
      <c r="W172" s="694"/>
      <c r="X172" s="694"/>
      <c r="Y172" s="694"/>
      <c r="Z172" s="694"/>
      <c r="AA172" s="694"/>
      <c r="AB172" s="694"/>
      <c r="AC172" s="694"/>
      <c r="AD172" s="694"/>
      <c r="AE172" s="694"/>
      <c r="AF172" s="694"/>
      <c r="AG172" s="694"/>
      <c r="AH172" s="694"/>
      <c r="AI172" s="694"/>
      <c r="AJ172" s="694"/>
      <c r="AK172" s="694"/>
      <c r="AL172" s="694"/>
    </row>
    <row r="173" spans="1:38" ht="25.5" customHeight="1" x14ac:dyDescent="0.25">
      <c r="A173" s="694"/>
      <c r="B173" s="298"/>
      <c r="C173" s="1302"/>
      <c r="D173" s="1306"/>
      <c r="E173" s="2810" t="str">
        <f>Translations!$B$544</f>
        <v>Съгласно раздел 3.1, букви к) и л) от приложение IV към ПБР, моля, посочете тук количеството на прехвърления CO2, получен от или подаден към други подинсталации, инсталации или други обекти, съгласно правилата, определени в Регламента относно мониторинга и докладването.</v>
      </c>
      <c r="F173" s="2240"/>
      <c r="G173" s="2240"/>
      <c r="H173" s="2240"/>
      <c r="I173" s="2240"/>
      <c r="J173" s="2240"/>
      <c r="K173" s="2240"/>
      <c r="L173" s="2240"/>
      <c r="M173" s="2240"/>
      <c r="N173" s="2811"/>
      <c r="O173" s="302"/>
      <c r="P173" s="302"/>
      <c r="Q173" s="729"/>
      <c r="R173" s="694"/>
      <c r="S173" s="729"/>
      <c r="T173" s="694"/>
      <c r="U173" s="694"/>
      <c r="V173" s="694"/>
      <c r="W173" s="694"/>
      <c r="X173" s="694"/>
      <c r="Y173" s="694"/>
      <c r="Z173" s="694"/>
      <c r="AA173" s="694"/>
      <c r="AB173" s="694"/>
      <c r="AC173" s="694"/>
      <c r="AD173" s="694"/>
      <c r="AE173" s="694"/>
      <c r="AF173" s="694"/>
      <c r="AG173" s="694"/>
      <c r="AH173" s="694"/>
      <c r="AI173" s="694"/>
      <c r="AJ173" s="694"/>
      <c r="AK173" s="694"/>
      <c r="AL173" s="694"/>
    </row>
    <row r="174" spans="1:38" ht="12.75" customHeight="1" thickBot="1" x14ac:dyDescent="0.3">
      <c r="A174" s="694"/>
      <c r="B174" s="298"/>
      <c r="C174" s="1302"/>
      <c r="D174" s="1306"/>
      <c r="E174" s="2810" t="str">
        <f>Translations!$B$545</f>
        <v>Подадените количества трябва да се въведат като отрицателни стойности и да съответстват на подадения CO2, който не е изпуснат в атмосферата от тази подинсталация.</v>
      </c>
      <c r="F174" s="2240"/>
      <c r="G174" s="2240"/>
      <c r="H174" s="2240"/>
      <c r="I174" s="2240"/>
      <c r="J174" s="2240"/>
      <c r="K174" s="2240"/>
      <c r="L174" s="2240"/>
      <c r="M174" s="2240"/>
      <c r="N174" s="2811"/>
      <c r="O174" s="302"/>
      <c r="P174" s="302"/>
      <c r="Q174" s="729"/>
      <c r="R174" s="694"/>
      <c r="S174" s="729"/>
      <c r="T174" s="694"/>
      <c r="U174" s="694"/>
      <c r="V174" s="694"/>
      <c r="W174" s="694"/>
      <c r="X174" s="694"/>
      <c r="Y174" s="694"/>
      <c r="Z174" s="694"/>
      <c r="AA174" s="694"/>
      <c r="AB174" s="694"/>
      <c r="AC174" s="694"/>
      <c r="AD174" s="694"/>
      <c r="AE174" s="694"/>
      <c r="AF174" s="694"/>
      <c r="AG174" s="694"/>
      <c r="AH174" s="694"/>
      <c r="AI174" s="694"/>
      <c r="AJ174" s="694"/>
      <c r="AK174" s="694"/>
      <c r="AL174" s="694"/>
    </row>
    <row r="175" spans="1:38" ht="12.75" customHeight="1" thickBot="1" x14ac:dyDescent="0.3">
      <c r="A175" s="694"/>
      <c r="B175" s="298"/>
      <c r="C175" s="1302"/>
      <c r="D175" s="1307"/>
      <c r="E175" s="1317"/>
      <c r="F175" s="1318"/>
      <c r="G175" s="1309" t="str">
        <f>EUconst_Unit</f>
        <v>Единица мярка</v>
      </c>
      <c r="H175" s="629">
        <f t="shared" ref="H175:N175" si="59">H$2831</f>
        <v>2024</v>
      </c>
      <c r="I175" s="1310">
        <f t="shared" si="59"/>
        <v>2025</v>
      </c>
      <c r="J175" s="1311">
        <f t="shared" si="59"/>
        <v>2026</v>
      </c>
      <c r="K175" s="629">
        <f t="shared" si="59"/>
        <v>2027</v>
      </c>
      <c r="L175" s="629">
        <f t="shared" si="59"/>
        <v>2028</v>
      </c>
      <c r="M175" s="629">
        <f t="shared" si="59"/>
        <v>2029</v>
      </c>
      <c r="N175" s="1312">
        <f t="shared" si="59"/>
        <v>2030</v>
      </c>
      <c r="O175" s="302"/>
      <c r="P175" s="302"/>
      <c r="Q175" s="729"/>
      <c r="R175" s="694"/>
      <c r="S175" s="1205"/>
      <c r="T175" s="1313">
        <f t="shared" ref="T175:Z175" si="60">H175</f>
        <v>2024</v>
      </c>
      <c r="U175" s="1313">
        <f t="shared" si="60"/>
        <v>2025</v>
      </c>
      <c r="V175" s="1313">
        <f t="shared" si="60"/>
        <v>2026</v>
      </c>
      <c r="W175" s="1313">
        <f t="shared" si="60"/>
        <v>2027</v>
      </c>
      <c r="X175" s="1313">
        <f t="shared" si="60"/>
        <v>2028</v>
      </c>
      <c r="Y175" s="1313">
        <f t="shared" si="60"/>
        <v>2029</v>
      </c>
      <c r="Z175" s="1314">
        <f t="shared" si="60"/>
        <v>2030</v>
      </c>
      <c r="AA175" s="694"/>
      <c r="AB175" s="694"/>
      <c r="AC175" s="1178">
        <f t="shared" ref="AC175:AI175" si="61">H$20</f>
        <v>2024</v>
      </c>
      <c r="AD175" s="1178">
        <f t="shared" si="61"/>
        <v>2025</v>
      </c>
      <c r="AE175" s="1178">
        <f t="shared" si="61"/>
        <v>2026</v>
      </c>
      <c r="AF175" s="1178">
        <f t="shared" si="61"/>
        <v>2027</v>
      </c>
      <c r="AG175" s="1178">
        <f t="shared" si="61"/>
        <v>2028</v>
      </c>
      <c r="AH175" s="1178">
        <f t="shared" si="61"/>
        <v>2029</v>
      </c>
      <c r="AI175" s="1178">
        <f t="shared" si="61"/>
        <v>2030</v>
      </c>
      <c r="AJ175" s="694"/>
      <c r="AK175" s="694"/>
      <c r="AL175" s="694"/>
    </row>
    <row r="176" spans="1:38" ht="12.75" customHeight="1" thickBot="1" x14ac:dyDescent="0.3">
      <c r="A176" s="694"/>
      <c r="B176" s="298"/>
      <c r="C176" s="1302"/>
      <c r="D176" s="625"/>
      <c r="E176" s="2820" t="str">
        <f>Translations!$B$546</f>
        <v>Получени или подадени парникови газове</v>
      </c>
      <c r="F176" s="2258"/>
      <c r="G176" s="1319" t="str">
        <f>EUconst_tCO2epa</f>
        <v>t CO2e/година</v>
      </c>
      <c r="H176" s="56"/>
      <c r="I176" s="115"/>
      <c r="J176" s="118"/>
      <c r="K176" s="56"/>
      <c r="L176" s="56"/>
      <c r="M176" s="56"/>
      <c r="N176" s="121"/>
      <c r="O176" s="302"/>
      <c r="P176" s="158"/>
      <c r="Q176" s="1190" t="str">
        <f>EUconst_CNTR_CO2Feedstock &amp; I13</f>
        <v>EmCO2Feedstock_</v>
      </c>
      <c r="R176" s="694"/>
      <c r="S176" s="1315" t="str">
        <f>EUconst_CNTR_AttributedEmissions &amp; I13</f>
        <v>AttrEmissions_</v>
      </c>
      <c r="T176" s="1290" t="str">
        <f t="shared" ref="T176:Z176" si="62">IF(T21,SUM(H176),"")</f>
        <v/>
      </c>
      <c r="U176" s="1290" t="str">
        <f t="shared" si="62"/>
        <v/>
      </c>
      <c r="V176" s="1290" t="str">
        <f t="shared" si="62"/>
        <v/>
      </c>
      <c r="W176" s="1290" t="str">
        <f t="shared" si="62"/>
        <v/>
      </c>
      <c r="X176" s="1290" t="str">
        <f t="shared" si="62"/>
        <v/>
      </c>
      <c r="Y176" s="1290" t="str">
        <f t="shared" si="62"/>
        <v/>
      </c>
      <c r="Z176" s="1291" t="str">
        <f t="shared" si="62"/>
        <v/>
      </c>
      <c r="AA176" s="694"/>
      <c r="AB176" s="1182" t="s">
        <v>737</v>
      </c>
      <c r="AC176" s="982" t="b">
        <f>AC60</f>
        <v>0</v>
      </c>
      <c r="AD176" s="982" t="b">
        <f t="shared" ref="AD176:AI176" si="63">AD60</f>
        <v>0</v>
      </c>
      <c r="AE176" s="982" t="b">
        <f t="shared" si="63"/>
        <v>0</v>
      </c>
      <c r="AF176" s="982" t="b">
        <f t="shared" si="63"/>
        <v>0</v>
      </c>
      <c r="AG176" s="982" t="b">
        <f t="shared" si="63"/>
        <v>0</v>
      </c>
      <c r="AH176" s="982" t="b">
        <f t="shared" si="63"/>
        <v>0</v>
      </c>
      <c r="AI176" s="982" t="b">
        <f t="shared" si="63"/>
        <v>0</v>
      </c>
      <c r="AJ176" s="1174" t="s">
        <v>2039</v>
      </c>
      <c r="AK176" s="1176" t="str">
        <f>IF(AND(CNTR_ExistSubInstEntries,MSconst_RequireSubAttrEmissions,COUNTIFS(AC176:AI176,FALSE,H176:N176,"")&gt;0),EUconst_Error&amp;"BM"&amp;$Q13,"")</f>
        <v/>
      </c>
      <c r="AL176" s="694"/>
    </row>
    <row r="177" spans="1:38" ht="12.75" customHeight="1" x14ac:dyDescent="0.25">
      <c r="A177" s="694"/>
      <c r="B177" s="298"/>
      <c r="C177" s="1302"/>
      <c r="D177" s="1306"/>
      <c r="E177" s="1306"/>
      <c r="F177" s="1306"/>
      <c r="G177" s="1306"/>
      <c r="H177" s="1306"/>
      <c r="I177" s="1306"/>
      <c r="J177" s="1306"/>
      <c r="K177" s="1306"/>
      <c r="L177" s="1306"/>
      <c r="M177" s="626"/>
      <c r="N177" s="1316"/>
      <c r="O177" s="302"/>
      <c r="P177" s="302"/>
      <c r="Q177" s="729"/>
      <c r="R177" s="694"/>
      <c r="S177" s="729"/>
      <c r="T177" s="694"/>
      <c r="U177" s="694"/>
      <c r="V177" s="694"/>
      <c r="W177" s="694"/>
      <c r="X177" s="694"/>
      <c r="Y177" s="694"/>
      <c r="Z177" s="694"/>
      <c r="AA177" s="694"/>
      <c r="AB177" s="694"/>
      <c r="AC177" s="694"/>
      <c r="AD177" s="694"/>
      <c r="AE177" s="694"/>
      <c r="AF177" s="694"/>
      <c r="AG177" s="694"/>
      <c r="AH177" s="694"/>
      <c r="AI177" s="694"/>
      <c r="AJ177" s="694"/>
      <c r="AK177" s="694"/>
      <c r="AL177" s="694"/>
    </row>
    <row r="178" spans="1:38" ht="12.75" customHeight="1" x14ac:dyDescent="0.25">
      <c r="A178" s="694"/>
      <c r="B178" s="298"/>
      <c r="C178" s="1302"/>
      <c r="D178" s="1307" t="s">
        <v>490</v>
      </c>
      <c r="E178" s="2815" t="str">
        <f>Translations!$B$547</f>
        <v>Получаване и подаване на измерима топлинна енергия от тази подинсталация</v>
      </c>
      <c r="F178" s="2240"/>
      <c r="G178" s="2240"/>
      <c r="H178" s="2240"/>
      <c r="I178" s="2240"/>
      <c r="J178" s="2240"/>
      <c r="K178" s="2240"/>
      <c r="L178" s="2240"/>
      <c r="M178" s="2240"/>
      <c r="N178" s="2811"/>
      <c r="O178" s="302"/>
      <c r="P178" s="302"/>
      <c r="Q178" s="729"/>
      <c r="R178" s="694"/>
      <c r="S178" s="729"/>
      <c r="T178" s="694"/>
      <c r="U178" s="694"/>
      <c r="V178" s="694"/>
      <c r="W178" s="694"/>
      <c r="X178" s="694"/>
      <c r="Y178" s="694"/>
      <c r="Z178" s="694"/>
      <c r="AA178" s="694"/>
      <c r="AB178" s="694"/>
      <c r="AC178" s="694"/>
      <c r="AD178" s="694"/>
      <c r="AE178" s="694"/>
      <c r="AF178" s="694"/>
      <c r="AG178" s="694"/>
      <c r="AH178" s="694"/>
      <c r="AI178" s="694"/>
      <c r="AJ178" s="694"/>
      <c r="AK178" s="694"/>
      <c r="AL178" s="694"/>
    </row>
    <row r="179" spans="1:38" ht="12.75" customHeight="1" x14ac:dyDescent="0.25">
      <c r="A179" s="694"/>
      <c r="B179" s="298"/>
      <c r="C179" s="1302"/>
      <c r="D179" s="625"/>
      <c r="E179" s="2816" t="str">
        <f>Translations!$B$548</f>
        <v>Посочените тук данни ще се отразят на емисиите, които могат да бъдат зададени съгласно раздел 10.1.2 и 10.1.3 от приложение VII към ПБР.</v>
      </c>
      <c r="F179" s="2240"/>
      <c r="G179" s="2240"/>
      <c r="H179" s="2240"/>
      <c r="I179" s="2240"/>
      <c r="J179" s="2240"/>
      <c r="K179" s="2240"/>
      <c r="L179" s="2240"/>
      <c r="M179" s="2240"/>
      <c r="N179" s="2811"/>
      <c r="O179" s="302"/>
      <c r="P179" s="302"/>
      <c r="Q179" s="729"/>
      <c r="R179" s="694"/>
      <c r="S179" s="729"/>
      <c r="T179" s="729"/>
      <c r="U179" s="729"/>
      <c r="V179" s="729"/>
      <c r="W179" s="694"/>
      <c r="X179" s="694"/>
      <c r="Y179" s="694"/>
      <c r="Z179" s="694"/>
      <c r="AA179" s="694"/>
      <c r="AB179" s="694"/>
      <c r="AC179" s="694"/>
      <c r="AD179" s="694"/>
      <c r="AE179" s="694"/>
      <c r="AF179" s="694"/>
      <c r="AG179" s="694"/>
      <c r="AH179" s="694"/>
      <c r="AI179" s="694"/>
      <c r="AJ179" s="694"/>
      <c r="AK179" s="694"/>
      <c r="AL179" s="694"/>
    </row>
    <row r="180" spans="1:38" ht="38.9" customHeight="1" x14ac:dyDescent="0.25">
      <c r="A180" s="694"/>
      <c r="B180" s="298"/>
      <c r="C180" s="1302"/>
      <c r="D180" s="1306"/>
      <c r="E180" s="2810" t="str">
        <f>Translations!$B$549</f>
        <v>Това включва общото количество топлинна енергия, произведено във, получено от или подадено към (под)инсталации, обхванати от СТЕ на ЕС, или инсталации или обекти извън СТЕ на ЕС. При специфичните емисионни фактори (EF), свързани с топлинната енергия, трябва да се отчитат разпоредбите на раздели 8 и 10 от приложение VII към ПБР, и по-специално раздели 10.1.2 и 10.1.3.</v>
      </c>
      <c r="F180" s="2240"/>
      <c r="G180" s="2240"/>
      <c r="H180" s="2240"/>
      <c r="I180" s="2240"/>
      <c r="J180" s="2240"/>
      <c r="K180" s="2240"/>
      <c r="L180" s="2240"/>
      <c r="M180" s="2240"/>
      <c r="N180" s="2811"/>
      <c r="O180" s="302"/>
      <c r="P180" s="302"/>
      <c r="Q180" s="729"/>
      <c r="R180" s="694"/>
      <c r="S180" s="729"/>
      <c r="T180" s="694"/>
      <c r="U180" s="694"/>
      <c r="V180" s="694"/>
      <c r="W180" s="694"/>
      <c r="X180" s="694"/>
      <c r="Y180" s="694"/>
      <c r="Z180" s="694"/>
      <c r="AA180" s="694"/>
      <c r="AB180" s="694"/>
      <c r="AC180" s="694"/>
      <c r="AD180" s="694"/>
      <c r="AE180" s="694"/>
      <c r="AF180" s="694"/>
      <c r="AG180" s="694"/>
      <c r="AH180" s="694"/>
      <c r="AI180" s="694"/>
      <c r="AJ180" s="694"/>
      <c r="AK180" s="694"/>
      <c r="AL180" s="694"/>
    </row>
    <row r="181" spans="1:38" ht="25.5" customHeight="1" x14ac:dyDescent="0.25">
      <c r="A181" s="694"/>
      <c r="B181" s="298"/>
      <c r="C181" s="1302"/>
      <c r="D181" s="1306"/>
      <c r="E181" s="2810" t="str">
        <f>Translations!$B$550</f>
        <v>Емисиите, свързани с измерима топлинна енергия, произведена в рамките на обекта от съоръжения, които обслужват повече от една подинсталация, също трябва да се въведат тук под „получени емисии“, вместо да се зададат директно чрез емисионния фактор за горивата от буква g) по-горе. Същото важи и за всяка топлинна енергия, „получена“ от други подинсталации.</v>
      </c>
      <c r="F181" s="2240"/>
      <c r="G181" s="2240"/>
      <c r="H181" s="2240"/>
      <c r="I181" s="2240"/>
      <c r="J181" s="2240"/>
      <c r="K181" s="2240"/>
      <c r="L181" s="2240"/>
      <c r="M181" s="2240"/>
      <c r="N181" s="2811"/>
      <c r="O181" s="302"/>
      <c r="P181" s="302"/>
      <c r="Q181" s="729"/>
      <c r="R181" s="694"/>
      <c r="S181" s="729"/>
      <c r="T181" s="694"/>
      <c r="U181" s="694"/>
      <c r="V181" s="694"/>
      <c r="W181" s="694"/>
      <c r="X181" s="694"/>
      <c r="Y181" s="694"/>
      <c r="Z181" s="694"/>
      <c r="AA181" s="694"/>
      <c r="AB181" s="694"/>
      <c r="AC181" s="694"/>
      <c r="AD181" s="694"/>
      <c r="AE181" s="694"/>
      <c r="AF181" s="694"/>
      <c r="AG181" s="694"/>
      <c r="AH181" s="694"/>
      <c r="AI181" s="694"/>
      <c r="AJ181" s="694"/>
      <c r="AK181" s="694"/>
      <c r="AL181" s="694"/>
    </row>
    <row r="182" spans="1:38" ht="25.5" customHeight="1" x14ac:dyDescent="0.25">
      <c r="A182" s="694"/>
      <c r="B182" s="298"/>
      <c r="C182" s="1302"/>
      <c r="D182" s="1306"/>
      <c r="E182" s="2810" t="str">
        <f>Translations!$B$551</f>
        <v xml:space="preserve">Когато топлинната енергия е произведена изключително за една подинсталация и поради това съответните емисии са вписани в буква g) по-горе, съответните количества не трябва да се докладват тук като „получени“, за да се избегне двойно отчитане. </v>
      </c>
      <c r="F182" s="2240"/>
      <c r="G182" s="2240"/>
      <c r="H182" s="2240"/>
      <c r="I182" s="2240"/>
      <c r="J182" s="2240"/>
      <c r="K182" s="2240"/>
      <c r="L182" s="2240"/>
      <c r="M182" s="2240"/>
      <c r="N182" s="2811"/>
      <c r="O182" s="302"/>
      <c r="P182" s="302"/>
      <c r="Q182" s="729"/>
      <c r="R182" s="694"/>
      <c r="S182" s="729"/>
      <c r="T182" s="694"/>
      <c r="U182" s="694"/>
      <c r="V182" s="694"/>
      <c r="W182" s="694"/>
      <c r="X182" s="694"/>
      <c r="Y182" s="694"/>
      <c r="Z182" s="694"/>
      <c r="AA182" s="694"/>
      <c r="AB182" s="694"/>
      <c r="AC182" s="694"/>
      <c r="AD182" s="694"/>
      <c r="AE182" s="694"/>
      <c r="AF182" s="694"/>
      <c r="AG182" s="694"/>
      <c r="AH182" s="694"/>
      <c r="AI182" s="694"/>
      <c r="AJ182" s="694"/>
      <c r="AK182" s="694"/>
      <c r="AL182" s="694"/>
    </row>
    <row r="183" spans="1:38" ht="12.75" customHeight="1" thickBot="1" x14ac:dyDescent="0.3">
      <c r="A183" s="694"/>
      <c r="B183" s="298"/>
      <c r="C183" s="1302"/>
      <c r="D183" s="1306"/>
      <c r="E183" s="2825" t="str">
        <f>Translations!$B$552</f>
        <v>За задаването на емисии от комбинираното производство на енергия (КПТЕ) при производството на топлинна енергия трябва да използвате „Инструмента за КПТЕ“ от раздел D.III от настоящия образец.</v>
      </c>
      <c r="F183" s="2826"/>
      <c r="G183" s="2826"/>
      <c r="H183" s="2826"/>
      <c r="I183" s="2826"/>
      <c r="J183" s="2826"/>
      <c r="K183" s="2826"/>
      <c r="L183" s="2826"/>
      <c r="M183" s="2826"/>
      <c r="N183" s="2827"/>
      <c r="O183" s="302"/>
      <c r="P183" s="302"/>
      <c r="Q183" s="729"/>
      <c r="R183" s="694"/>
      <c r="S183" s="694"/>
      <c r="T183" s="694"/>
      <c r="U183" s="694"/>
      <c r="V183" s="694"/>
      <c r="W183" s="694"/>
      <c r="X183" s="694"/>
      <c r="Y183" s="694"/>
      <c r="Z183" s="694"/>
      <c r="AA183" s="694"/>
      <c r="AB183" s="694"/>
      <c r="AC183" s="694"/>
      <c r="AD183" s="694"/>
      <c r="AE183" s="694"/>
      <c r="AF183" s="694"/>
      <c r="AG183" s="694"/>
      <c r="AH183" s="694"/>
      <c r="AI183" s="694"/>
      <c r="AJ183" s="694"/>
      <c r="AK183" s="694"/>
      <c r="AL183" s="694"/>
    </row>
    <row r="184" spans="1:38" ht="12.75" customHeight="1" thickBot="1" x14ac:dyDescent="0.3">
      <c r="A184" s="694"/>
      <c r="B184" s="298"/>
      <c r="C184" s="1302"/>
      <c r="D184" s="1306"/>
      <c r="E184" s="2803" t="str">
        <f>Translations!$B$553</f>
        <v>Общо получена топлинна енергия</v>
      </c>
      <c r="F184" s="2672"/>
      <c r="G184" s="1309" t="str">
        <f>EUconst_Unit</f>
        <v>Единица мярка</v>
      </c>
      <c r="H184" s="629">
        <f t="shared" ref="H184:N184" si="64">H$2831</f>
        <v>2024</v>
      </c>
      <c r="I184" s="1310">
        <f t="shared" si="64"/>
        <v>2025</v>
      </c>
      <c r="J184" s="1311">
        <f t="shared" si="64"/>
        <v>2026</v>
      </c>
      <c r="K184" s="629">
        <f t="shared" si="64"/>
        <v>2027</v>
      </c>
      <c r="L184" s="629">
        <f t="shared" si="64"/>
        <v>2028</v>
      </c>
      <c r="M184" s="629">
        <f t="shared" si="64"/>
        <v>2029</v>
      </c>
      <c r="N184" s="1312">
        <f t="shared" si="64"/>
        <v>2030</v>
      </c>
      <c r="O184" s="302"/>
      <c r="P184" s="302"/>
      <c r="Q184" s="729"/>
      <c r="R184" s="694"/>
      <c r="S184" s="1205"/>
      <c r="T184" s="1313">
        <f t="shared" ref="T184:Z184" si="65">H184</f>
        <v>2024</v>
      </c>
      <c r="U184" s="1313">
        <f t="shared" si="65"/>
        <v>2025</v>
      </c>
      <c r="V184" s="1313">
        <f t="shared" si="65"/>
        <v>2026</v>
      </c>
      <c r="W184" s="1313">
        <f t="shared" si="65"/>
        <v>2027</v>
      </c>
      <c r="X184" s="1313">
        <f t="shared" si="65"/>
        <v>2028</v>
      </c>
      <c r="Y184" s="1313">
        <f t="shared" si="65"/>
        <v>2029</v>
      </c>
      <c r="Z184" s="1314">
        <f t="shared" si="65"/>
        <v>2030</v>
      </c>
      <c r="AA184" s="694"/>
      <c r="AB184" s="694"/>
      <c r="AC184" s="1178">
        <f t="shared" ref="AC184:AI184" si="66">H$20</f>
        <v>2024</v>
      </c>
      <c r="AD184" s="1178">
        <f t="shared" si="66"/>
        <v>2025</v>
      </c>
      <c r="AE184" s="1178">
        <f t="shared" si="66"/>
        <v>2026</v>
      </c>
      <c r="AF184" s="1178">
        <f t="shared" si="66"/>
        <v>2027</v>
      </c>
      <c r="AG184" s="1178">
        <f t="shared" si="66"/>
        <v>2028</v>
      </c>
      <c r="AH184" s="1178">
        <f t="shared" si="66"/>
        <v>2029</v>
      </c>
      <c r="AI184" s="1178">
        <f t="shared" si="66"/>
        <v>2030</v>
      </c>
      <c r="AJ184" s="694"/>
      <c r="AK184" s="694"/>
      <c r="AL184" s="694"/>
    </row>
    <row r="185" spans="1:38" ht="12.75" customHeight="1" x14ac:dyDescent="0.25">
      <c r="A185" s="694"/>
      <c r="B185" s="298"/>
      <c r="C185" s="1302"/>
      <c r="D185" s="625" t="s">
        <v>6</v>
      </c>
      <c r="E185" s="2820" t="str">
        <f>Translations!$B$554</f>
        <v>Нетно количество получена топлинна енергия</v>
      </c>
      <c r="F185" s="2258"/>
      <c r="G185" s="1319" t="str">
        <f>EUconst_TJpa</f>
        <v>TJ / година</v>
      </c>
      <c r="H185" s="56"/>
      <c r="I185" s="115"/>
      <c r="J185" s="118"/>
      <c r="K185" s="56"/>
      <c r="L185" s="56"/>
      <c r="M185" s="56"/>
      <c r="N185" s="121"/>
      <c r="O185" s="302"/>
      <c r="P185" s="158"/>
      <c r="Q185" s="1190" t="str">
        <f>EUconst_CNTR_HeatImport &amp; I13</f>
        <v>HeatIm_</v>
      </c>
      <c r="R185" s="694"/>
      <c r="S185" s="1347" t="str">
        <f>EUconst_ERR_AttrEmBMapplied &amp; I13</f>
        <v>ERR_AttrEmBM_</v>
      </c>
      <c r="T185" s="982">
        <f t="shared" ref="T185:Z185" si="67">IF(AND(H185&lt;&gt;0,H186="",EUconst_StatusOfDataCollection=FALSE),1,0)</f>
        <v>0</v>
      </c>
      <c r="U185" s="982">
        <f t="shared" si="67"/>
        <v>0</v>
      </c>
      <c r="V185" s="982">
        <f t="shared" si="67"/>
        <v>0</v>
      </c>
      <c r="W185" s="982">
        <f t="shared" si="67"/>
        <v>0</v>
      </c>
      <c r="X185" s="982">
        <f t="shared" si="67"/>
        <v>0</v>
      </c>
      <c r="Y185" s="982">
        <f t="shared" si="67"/>
        <v>0</v>
      </c>
      <c r="Z185" s="1287">
        <f t="shared" si="67"/>
        <v>0</v>
      </c>
      <c r="AA185" s="1031"/>
      <c r="AB185" s="1182" t="s">
        <v>737</v>
      </c>
      <c r="AC185" s="982" t="b">
        <f t="shared" ref="AC185:AI185" si="68">AC60</f>
        <v>0</v>
      </c>
      <c r="AD185" s="982" t="b">
        <f t="shared" si="68"/>
        <v>0</v>
      </c>
      <c r="AE185" s="982" t="b">
        <f t="shared" si="68"/>
        <v>0</v>
      </c>
      <c r="AF185" s="982" t="b">
        <f t="shared" si="68"/>
        <v>0</v>
      </c>
      <c r="AG185" s="982" t="b">
        <f t="shared" si="68"/>
        <v>0</v>
      </c>
      <c r="AH185" s="982" t="b">
        <f t="shared" si="68"/>
        <v>0</v>
      </c>
      <c r="AI185" s="982" t="b">
        <f t="shared" si="68"/>
        <v>0</v>
      </c>
      <c r="AJ185" s="1174" t="s">
        <v>2039</v>
      </c>
      <c r="AK185" s="1176" t="str">
        <f>IF(AND(CNTR_ExistSubInstEntries,MSconst_RequireSubAttrEmissions,COUNTIFS(AC185:AI185,FALSE,H185:N185,"")&gt;0),EUconst_Error&amp;"BM"&amp;$Q13,"")</f>
        <v/>
      </c>
      <c r="AL185" s="694"/>
    </row>
    <row r="186" spans="1:38" ht="12.75" customHeight="1" thickBot="1" x14ac:dyDescent="0.3">
      <c r="A186" s="694"/>
      <c r="B186" s="298"/>
      <c r="C186" s="1302"/>
      <c r="D186" s="625" t="s">
        <v>7</v>
      </c>
      <c r="E186" s="2820" t="str">
        <f>Translations!$B$555</f>
        <v>Специфичен EF (получена топлинна енергия)</v>
      </c>
      <c r="F186" s="2258"/>
      <c r="G186" s="1319" t="str">
        <f>EUconst_tCO2pTJ</f>
        <v>t CO2 / TJ</v>
      </c>
      <c r="H186" s="56"/>
      <c r="I186" s="115"/>
      <c r="J186" s="118"/>
      <c r="K186" s="56"/>
      <c r="L186" s="56"/>
      <c r="M186" s="56"/>
      <c r="N186" s="121"/>
      <c r="O186" s="302"/>
      <c r="P186" s="158"/>
      <c r="Q186" s="1190" t="str">
        <f>EUconst_CNTR_HeatImportEF &amp; I13</f>
        <v>HeatImEF_</v>
      </c>
      <c r="R186" s="694"/>
      <c r="S186" s="1315" t="str">
        <f>EUconst_CNTR_AttributedEmissions &amp; I13</f>
        <v>AttrEmissions_</v>
      </c>
      <c r="T186" s="1290" t="str">
        <f t="shared" ref="T186:Z186" si="69">IF(T21,SUM(H185)*IF(ISNUMBER(H186),H186,EUconst_HeatBMvalue),"")</f>
        <v/>
      </c>
      <c r="U186" s="1290" t="str">
        <f t="shared" si="69"/>
        <v/>
      </c>
      <c r="V186" s="1290" t="str">
        <f t="shared" si="69"/>
        <v/>
      </c>
      <c r="W186" s="1290" t="str">
        <f t="shared" si="69"/>
        <v/>
      </c>
      <c r="X186" s="1290" t="str">
        <f t="shared" si="69"/>
        <v/>
      </c>
      <c r="Y186" s="1290" t="str">
        <f t="shared" si="69"/>
        <v/>
      </c>
      <c r="Z186" s="1291" t="str">
        <f t="shared" si="69"/>
        <v/>
      </c>
      <c r="AA186" s="694"/>
      <c r="AB186" s="694"/>
      <c r="AC186" s="982" t="b">
        <f>AC185</f>
        <v>0</v>
      </c>
      <c r="AD186" s="982" t="b">
        <f t="shared" ref="AD186:AI186" si="70">AD185</f>
        <v>0</v>
      </c>
      <c r="AE186" s="982" t="b">
        <f t="shared" si="70"/>
        <v>0</v>
      </c>
      <c r="AF186" s="982" t="b">
        <f t="shared" si="70"/>
        <v>0</v>
      </c>
      <c r="AG186" s="982" t="b">
        <f t="shared" si="70"/>
        <v>0</v>
      </c>
      <c r="AH186" s="982" t="b">
        <f t="shared" si="70"/>
        <v>0</v>
      </c>
      <c r="AI186" s="982" t="b">
        <f t="shared" si="70"/>
        <v>0</v>
      </c>
      <c r="AJ186" s="694"/>
      <c r="AK186" s="694"/>
      <c r="AL186" s="694"/>
    </row>
    <row r="187" spans="1:38" ht="5.15" customHeight="1" x14ac:dyDescent="0.25">
      <c r="A187" s="694"/>
      <c r="B187" s="298"/>
      <c r="C187" s="1302"/>
      <c r="D187" s="1306"/>
      <c r="E187" s="1306"/>
      <c r="F187" s="1306"/>
      <c r="G187" s="1306"/>
      <c r="H187" s="1306"/>
      <c r="I187" s="1306"/>
      <c r="J187" s="1306"/>
      <c r="K187" s="1306"/>
      <c r="L187" s="1306"/>
      <c r="M187" s="1306"/>
      <c r="N187" s="1316"/>
      <c r="O187" s="302"/>
      <c r="P187" s="302"/>
      <c r="Q187" s="729"/>
      <c r="R187" s="694"/>
      <c r="S187" s="729"/>
      <c r="T187" s="729"/>
      <c r="U187" s="729"/>
      <c r="V187" s="729"/>
      <c r="W187" s="694"/>
      <c r="X187" s="694"/>
      <c r="Y187" s="694"/>
      <c r="Z187" s="694"/>
      <c r="AA187" s="694"/>
      <c r="AB187" s="694"/>
      <c r="AC187" s="694"/>
      <c r="AD187" s="694"/>
      <c r="AE187" s="694"/>
      <c r="AF187" s="694"/>
      <c r="AG187" s="694"/>
      <c r="AH187" s="694"/>
      <c r="AI187" s="694"/>
      <c r="AJ187" s="694"/>
      <c r="AK187" s="694"/>
      <c r="AL187" s="694"/>
    </row>
    <row r="188" spans="1:38" ht="12.75" customHeight="1" thickBot="1" x14ac:dyDescent="0.3">
      <c r="A188" s="694"/>
      <c r="B188" s="298"/>
      <c r="C188" s="1302"/>
      <c r="D188" s="1306"/>
      <c r="E188" s="2803" t="str">
        <f>Translations!$B$556</f>
        <v>Специфична получена топлинна енергия</v>
      </c>
      <c r="F188" s="2672"/>
      <c r="G188" s="1309" t="str">
        <f>EUconst_Unit</f>
        <v>Единица мярка</v>
      </c>
      <c r="H188" s="629">
        <f t="shared" ref="H188:N188" si="71">H$2831</f>
        <v>2024</v>
      </c>
      <c r="I188" s="1310">
        <f t="shared" si="71"/>
        <v>2025</v>
      </c>
      <c r="J188" s="1311">
        <f t="shared" si="71"/>
        <v>2026</v>
      </c>
      <c r="K188" s="629">
        <f t="shared" si="71"/>
        <v>2027</v>
      </c>
      <c r="L188" s="629">
        <f t="shared" si="71"/>
        <v>2028</v>
      </c>
      <c r="M188" s="629">
        <f t="shared" si="71"/>
        <v>2029</v>
      </c>
      <c r="N188" s="1312">
        <f t="shared" si="71"/>
        <v>2030</v>
      </c>
      <c r="O188" s="302"/>
      <c r="P188" s="302"/>
      <c r="Q188" s="729"/>
      <c r="R188" s="694"/>
      <c r="S188" s="729"/>
      <c r="T188" s="729"/>
      <c r="U188" s="729"/>
      <c r="V188" s="729"/>
      <c r="W188" s="694"/>
      <c r="X188" s="694"/>
      <c r="Y188" s="694"/>
      <c r="Z188" s="694"/>
      <c r="AA188" s="694"/>
      <c r="AB188" s="694"/>
      <c r="AC188" s="1178">
        <f t="shared" ref="AC188:AI188" si="72">H$20</f>
        <v>2024</v>
      </c>
      <c r="AD188" s="1178">
        <f t="shared" si="72"/>
        <v>2025</v>
      </c>
      <c r="AE188" s="1178">
        <f t="shared" si="72"/>
        <v>2026</v>
      </c>
      <c r="AF188" s="1178">
        <f t="shared" si="72"/>
        <v>2027</v>
      </c>
      <c r="AG188" s="1178">
        <f t="shared" si="72"/>
        <v>2028</v>
      </c>
      <c r="AH188" s="1178">
        <f t="shared" si="72"/>
        <v>2029</v>
      </c>
      <c r="AI188" s="1178">
        <f t="shared" si="72"/>
        <v>2030</v>
      </c>
      <c r="AJ188" s="694"/>
      <c r="AK188" s="694"/>
      <c r="AL188" s="694"/>
    </row>
    <row r="189" spans="1:38" ht="12.75" customHeight="1" x14ac:dyDescent="0.25">
      <c r="A189" s="694"/>
      <c r="B189" s="298"/>
      <c r="C189" s="1302"/>
      <c r="D189" s="625" t="s">
        <v>8</v>
      </c>
      <c r="E189" s="2820" t="str">
        <f>Translations!$B$557</f>
        <v>Нетно количество топлинна енергия, получена от подинсталации за пулп</v>
      </c>
      <c r="F189" s="2258"/>
      <c r="G189" s="1319" t="str">
        <f>EUconst_TJpa</f>
        <v>TJ / година</v>
      </c>
      <c r="H189" s="141"/>
      <c r="I189" s="142"/>
      <c r="J189" s="143"/>
      <c r="K189" s="141"/>
      <c r="L189" s="141"/>
      <c r="M189" s="141"/>
      <c r="N189" s="144"/>
      <c r="O189" s="302"/>
      <c r="P189" s="158"/>
      <c r="Q189" s="1190" t="str">
        <f>EUconst_CNTR_HeatImportPulp &amp; I13</f>
        <v>HeatImPulp_</v>
      </c>
      <c r="R189" s="694"/>
      <c r="S189" s="729"/>
      <c r="T189" s="729"/>
      <c r="U189" s="729"/>
      <c r="V189" s="729"/>
      <c r="W189" s="694"/>
      <c r="X189" s="694"/>
      <c r="Y189" s="694"/>
      <c r="Z189" s="694"/>
      <c r="AA189" s="694"/>
      <c r="AB189" s="1182" t="s">
        <v>737</v>
      </c>
      <c r="AC189" s="982" t="b">
        <f>AC60</f>
        <v>0</v>
      </c>
      <c r="AD189" s="982" t="b">
        <f t="shared" ref="AD189:AI189" si="73">AD60</f>
        <v>0</v>
      </c>
      <c r="AE189" s="982" t="b">
        <f t="shared" si="73"/>
        <v>0</v>
      </c>
      <c r="AF189" s="982" t="b">
        <f t="shared" si="73"/>
        <v>0</v>
      </c>
      <c r="AG189" s="982" t="b">
        <f t="shared" si="73"/>
        <v>0</v>
      </c>
      <c r="AH189" s="982" t="b">
        <f t="shared" si="73"/>
        <v>0</v>
      </c>
      <c r="AI189" s="982" t="b">
        <f t="shared" si="73"/>
        <v>0</v>
      </c>
      <c r="AJ189" s="1174" t="s">
        <v>2039</v>
      </c>
      <c r="AK189" s="1176" t="str">
        <f>IF(AND(CNTR_ExistSubInstEntries,MSconst_RequireSubAttrEmissions,COUNTIFS(AC189:AI189,FALSE,H189:N189,"")&gt;0),EUconst_Error&amp;"BM"&amp;$Q13,"")</f>
        <v/>
      </c>
      <c r="AL189" s="694"/>
    </row>
    <row r="190" spans="1:38" ht="25.5" customHeight="1" x14ac:dyDescent="0.25">
      <c r="A190" s="694"/>
      <c r="B190" s="298"/>
      <c r="C190" s="1302"/>
      <c r="D190" s="625" t="s">
        <v>18</v>
      </c>
      <c r="E190" s="2820" t="str">
        <f>Translations!$B$558</f>
        <v>Нетно количество топлинна енергия, получена от подинсталации за азотна киселина</v>
      </c>
      <c r="F190" s="2258"/>
      <c r="G190" s="1319" t="str">
        <f>EUconst_TJpa</f>
        <v>TJ / година</v>
      </c>
      <c r="H190" s="56"/>
      <c r="I190" s="115"/>
      <c r="J190" s="118"/>
      <c r="K190" s="56"/>
      <c r="L190" s="56"/>
      <c r="M190" s="56"/>
      <c r="N190" s="121"/>
      <c r="O190" s="302"/>
      <c r="P190" s="158"/>
      <c r="Q190" s="1190" t="str">
        <f>EUconst_CNTR_HeatImportNitric &amp; I13</f>
        <v>HeatImNitric_</v>
      </c>
      <c r="R190" s="694"/>
      <c r="S190" s="729"/>
      <c r="T190" s="729"/>
      <c r="U190" s="729"/>
      <c r="V190" s="729"/>
      <c r="W190" s="694"/>
      <c r="X190" s="694"/>
      <c r="Y190" s="694"/>
      <c r="Z190" s="694"/>
      <c r="AA190" s="694"/>
      <c r="AB190" s="694"/>
      <c r="AC190" s="982" t="b">
        <f>AC189</f>
        <v>0</v>
      </c>
      <c r="AD190" s="982" t="b">
        <f t="shared" ref="AD190:AI190" si="74">AD189</f>
        <v>0</v>
      </c>
      <c r="AE190" s="982" t="b">
        <f t="shared" si="74"/>
        <v>0</v>
      </c>
      <c r="AF190" s="982" t="b">
        <f t="shared" si="74"/>
        <v>0</v>
      </c>
      <c r="AG190" s="982" t="b">
        <f t="shared" si="74"/>
        <v>0</v>
      </c>
      <c r="AH190" s="982" t="b">
        <f t="shared" si="74"/>
        <v>0</v>
      </c>
      <c r="AI190" s="982" t="b">
        <f t="shared" si="74"/>
        <v>0</v>
      </c>
      <c r="AJ190" s="1174" t="s">
        <v>2039</v>
      </c>
      <c r="AK190" s="1176" t="str">
        <f>IF(AND(CNTR_ExistSubInstEntries,MSconst_RequireSubAttrEmissions,COUNTIFS(AC190:AI190,FALSE,H190:N190,"")&gt;0),EUconst_Error&amp;"BM"&amp;$Q13,"")</f>
        <v/>
      </c>
      <c r="AL190" s="694"/>
    </row>
    <row r="191" spans="1:38" ht="5.15" customHeight="1" thickBot="1" x14ac:dyDescent="0.3">
      <c r="A191" s="694"/>
      <c r="B191" s="298"/>
      <c r="C191" s="1302"/>
      <c r="D191" s="1306"/>
      <c r="E191" s="1306"/>
      <c r="F191" s="1306"/>
      <c r="G191" s="1306"/>
      <c r="H191" s="1306"/>
      <c r="I191" s="1306"/>
      <c r="J191" s="1306"/>
      <c r="K191" s="1306"/>
      <c r="L191" s="1306"/>
      <c r="M191" s="1306"/>
      <c r="N191" s="1316"/>
      <c r="O191" s="302"/>
      <c r="P191" s="302"/>
      <c r="Q191" s="729"/>
      <c r="R191" s="694"/>
      <c r="S191" s="729"/>
      <c r="T191" s="729"/>
      <c r="U191" s="729"/>
      <c r="V191" s="729"/>
      <c r="W191" s="694"/>
      <c r="X191" s="694"/>
      <c r="Y191" s="694"/>
      <c r="Z191" s="694"/>
      <c r="AA191" s="694"/>
      <c r="AB191" s="694"/>
      <c r="AC191" s="694"/>
      <c r="AD191" s="694"/>
      <c r="AE191" s="694"/>
      <c r="AF191" s="694"/>
      <c r="AG191" s="694"/>
      <c r="AH191" s="694"/>
      <c r="AI191" s="694"/>
      <c r="AJ191" s="694"/>
      <c r="AK191" s="694"/>
      <c r="AL191" s="694"/>
    </row>
    <row r="192" spans="1:38" ht="12.75" customHeight="1" thickBot="1" x14ac:dyDescent="0.3">
      <c r="A192" s="694"/>
      <c r="B192" s="298"/>
      <c r="C192" s="1302"/>
      <c r="D192" s="1306"/>
      <c r="E192" s="2803" t="str">
        <f>Translations!$B$559</f>
        <v>Общо подадена топлинна енергия</v>
      </c>
      <c r="F192" s="2672"/>
      <c r="G192" s="1309" t="str">
        <f>EUconst_Unit</f>
        <v>Единица мярка</v>
      </c>
      <c r="H192" s="629">
        <f t="shared" ref="H192:N192" si="75">H$2831</f>
        <v>2024</v>
      </c>
      <c r="I192" s="1310">
        <f t="shared" si="75"/>
        <v>2025</v>
      </c>
      <c r="J192" s="1311">
        <f t="shared" si="75"/>
        <v>2026</v>
      </c>
      <c r="K192" s="629">
        <f t="shared" si="75"/>
        <v>2027</v>
      </c>
      <c r="L192" s="629">
        <f t="shared" si="75"/>
        <v>2028</v>
      </c>
      <c r="M192" s="629">
        <f t="shared" si="75"/>
        <v>2029</v>
      </c>
      <c r="N192" s="1312">
        <f t="shared" si="75"/>
        <v>2030</v>
      </c>
      <c r="O192" s="302"/>
      <c r="P192" s="302"/>
      <c r="Q192" s="729"/>
      <c r="R192" s="694"/>
      <c r="S192" s="1205"/>
      <c r="T192" s="1313">
        <f t="shared" ref="T192:Z192" si="76">H192</f>
        <v>2024</v>
      </c>
      <c r="U192" s="1313">
        <f t="shared" si="76"/>
        <v>2025</v>
      </c>
      <c r="V192" s="1313">
        <f t="shared" si="76"/>
        <v>2026</v>
      </c>
      <c r="W192" s="1313">
        <f t="shared" si="76"/>
        <v>2027</v>
      </c>
      <c r="X192" s="1313">
        <f t="shared" si="76"/>
        <v>2028</v>
      </c>
      <c r="Y192" s="1313">
        <f t="shared" si="76"/>
        <v>2029</v>
      </c>
      <c r="Z192" s="1314">
        <f t="shared" si="76"/>
        <v>2030</v>
      </c>
      <c r="AA192" s="694"/>
      <c r="AB192" s="694"/>
      <c r="AC192" s="1178">
        <f t="shared" ref="AC192:AI192" si="77">H$20</f>
        <v>2024</v>
      </c>
      <c r="AD192" s="1178">
        <f t="shared" si="77"/>
        <v>2025</v>
      </c>
      <c r="AE192" s="1178">
        <f t="shared" si="77"/>
        <v>2026</v>
      </c>
      <c r="AF192" s="1178">
        <f t="shared" si="77"/>
        <v>2027</v>
      </c>
      <c r="AG192" s="1178">
        <f t="shared" si="77"/>
        <v>2028</v>
      </c>
      <c r="AH192" s="1178">
        <f t="shared" si="77"/>
        <v>2029</v>
      </c>
      <c r="AI192" s="1178">
        <f t="shared" si="77"/>
        <v>2030</v>
      </c>
      <c r="AJ192" s="694"/>
      <c r="AK192" s="694"/>
      <c r="AL192" s="694"/>
    </row>
    <row r="193" spans="1:38" ht="12.75" customHeight="1" x14ac:dyDescent="0.25">
      <c r="A193" s="694"/>
      <c r="B193" s="298"/>
      <c r="C193" s="1302"/>
      <c r="D193" s="625" t="s">
        <v>810</v>
      </c>
      <c r="E193" s="2820" t="str">
        <f>Translations!$B$560</f>
        <v>Нетно количество подадена топлинна енергия</v>
      </c>
      <c r="F193" s="2258"/>
      <c r="G193" s="1319" t="str">
        <f>EUconst_TJpa</f>
        <v>TJ / година</v>
      </c>
      <c r="H193" s="56"/>
      <c r="I193" s="115"/>
      <c r="J193" s="118"/>
      <c r="K193" s="56"/>
      <c r="L193" s="56"/>
      <c r="M193" s="56"/>
      <c r="N193" s="121"/>
      <c r="O193" s="302"/>
      <c r="P193" s="158"/>
      <c r="Q193" s="1190" t="str">
        <f>EUconst_CNTR_HeatExport &amp; I13</f>
        <v>HeatEx_</v>
      </c>
      <c r="R193" s="694"/>
      <c r="S193" s="1347" t="str">
        <f>EUconst_ERR_AttrEmBMapplied &amp; I13</f>
        <v>ERR_AttrEmBM_</v>
      </c>
      <c r="T193" s="982">
        <f t="shared" ref="T193:Z193" si="78">IF(AND(H193&lt;&gt;0,H194="",EUconst_StatusOfDataCollection=FALSE),1,0)</f>
        <v>0</v>
      </c>
      <c r="U193" s="982">
        <f t="shared" si="78"/>
        <v>0</v>
      </c>
      <c r="V193" s="982">
        <f t="shared" si="78"/>
        <v>0</v>
      </c>
      <c r="W193" s="982">
        <f t="shared" si="78"/>
        <v>0</v>
      </c>
      <c r="X193" s="982">
        <f t="shared" si="78"/>
        <v>0</v>
      </c>
      <c r="Y193" s="982">
        <f t="shared" si="78"/>
        <v>0</v>
      </c>
      <c r="Z193" s="1287">
        <f t="shared" si="78"/>
        <v>0</v>
      </c>
      <c r="AA193" s="694"/>
      <c r="AB193" s="1182" t="s">
        <v>737</v>
      </c>
      <c r="AC193" s="982" t="b">
        <f>AC189</f>
        <v>0</v>
      </c>
      <c r="AD193" s="982" t="b">
        <f t="shared" ref="AD193:AI193" si="79">AD189</f>
        <v>0</v>
      </c>
      <c r="AE193" s="982" t="b">
        <f t="shared" si="79"/>
        <v>0</v>
      </c>
      <c r="AF193" s="982" t="b">
        <f t="shared" si="79"/>
        <v>0</v>
      </c>
      <c r="AG193" s="982" t="b">
        <f t="shared" si="79"/>
        <v>0</v>
      </c>
      <c r="AH193" s="982" t="b">
        <f t="shared" si="79"/>
        <v>0</v>
      </c>
      <c r="AI193" s="982" t="b">
        <f t="shared" si="79"/>
        <v>0</v>
      </c>
      <c r="AJ193" s="1174" t="s">
        <v>2039</v>
      </c>
      <c r="AK193" s="1176" t="str">
        <f>IF(AND(CNTR_ExistSubInstEntries,MSconst_RequireSubAttrEmissions,COUNTIFS(AC193:AI193,FALSE,H193:N193,"")&gt;0),EUconst_Error&amp;"BM"&amp;$Q13,"")</f>
        <v/>
      </c>
      <c r="AL193" s="694"/>
    </row>
    <row r="194" spans="1:38" ht="12.75" customHeight="1" thickBot="1" x14ac:dyDescent="0.3">
      <c r="A194" s="694"/>
      <c r="B194" s="298"/>
      <c r="C194" s="1302"/>
      <c r="D194" s="625" t="s">
        <v>811</v>
      </c>
      <c r="E194" s="2820" t="str">
        <f>Translations!$B$561</f>
        <v>Специфичен EF (подадена топлинна енергия)</v>
      </c>
      <c r="F194" s="2258"/>
      <c r="G194" s="1319" t="str">
        <f>EUconst_tCO2pTJ</f>
        <v>t CO2 / TJ</v>
      </c>
      <c r="H194" s="56"/>
      <c r="I194" s="115"/>
      <c r="J194" s="118"/>
      <c r="K194" s="56"/>
      <c r="L194" s="56"/>
      <c r="M194" s="56"/>
      <c r="N194" s="121"/>
      <c r="O194" s="302"/>
      <c r="P194" s="158"/>
      <c r="Q194" s="1190" t="str">
        <f>EUconst_CNTR_HeatExportEF &amp; I13</f>
        <v>HeatExEF_</v>
      </c>
      <c r="R194" s="694"/>
      <c r="S194" s="1315" t="str">
        <f>EUconst_CNTR_AttributedEmissions &amp; I13</f>
        <v>AttrEmissions_</v>
      </c>
      <c r="T194" s="1290" t="str">
        <f t="shared" ref="T194:Z194" si="80">IF(T21,-SUM(H193)*IF(INDEX(EUconst_BMlistMainNumberOfBM,MATCH($I13,EUconst_BMlistNames,0))=39,0,IF(ISNUMBER(H194),H194,EUconst_HeatBMvalue)),"")</f>
        <v/>
      </c>
      <c r="U194" s="1290" t="str">
        <f t="shared" si="80"/>
        <v/>
      </c>
      <c r="V194" s="1290" t="str">
        <f t="shared" si="80"/>
        <v/>
      </c>
      <c r="W194" s="1290" t="str">
        <f t="shared" si="80"/>
        <v/>
      </c>
      <c r="X194" s="1290" t="str">
        <f t="shared" si="80"/>
        <v/>
      </c>
      <c r="Y194" s="1290" t="str">
        <f t="shared" si="80"/>
        <v/>
      </c>
      <c r="Z194" s="1291" t="str">
        <f t="shared" si="80"/>
        <v/>
      </c>
      <c r="AA194" s="694"/>
      <c r="AB194" s="694"/>
      <c r="AC194" s="982" t="b">
        <f>AC193</f>
        <v>0</v>
      </c>
      <c r="AD194" s="982" t="b">
        <f t="shared" ref="AD194:AI194" si="81">AD193</f>
        <v>0</v>
      </c>
      <c r="AE194" s="982" t="b">
        <f t="shared" si="81"/>
        <v>0</v>
      </c>
      <c r="AF194" s="982" t="b">
        <f t="shared" si="81"/>
        <v>0</v>
      </c>
      <c r="AG194" s="982" t="b">
        <f t="shared" si="81"/>
        <v>0</v>
      </c>
      <c r="AH194" s="982" t="b">
        <f t="shared" si="81"/>
        <v>0</v>
      </c>
      <c r="AI194" s="982" t="b">
        <f t="shared" si="81"/>
        <v>0</v>
      </c>
      <c r="AJ194" s="694"/>
      <c r="AK194" s="694"/>
      <c r="AL194" s="694"/>
    </row>
    <row r="195" spans="1:38" ht="12.75" customHeight="1" x14ac:dyDescent="0.25">
      <c r="A195" s="694"/>
      <c r="B195" s="298"/>
      <c r="C195" s="1302"/>
      <c r="D195" s="1306"/>
      <c r="E195" s="1306"/>
      <c r="F195" s="1306"/>
      <c r="G195" s="1306"/>
      <c r="H195" s="1306"/>
      <c r="I195" s="1306"/>
      <c r="J195" s="1306"/>
      <c r="K195" s="1306"/>
      <c r="L195" s="1306"/>
      <c r="M195" s="626"/>
      <c r="N195" s="1316"/>
      <c r="O195" s="302"/>
      <c r="P195" s="302"/>
      <c r="Q195" s="729"/>
      <c r="R195" s="694"/>
      <c r="S195" s="729"/>
      <c r="T195" s="729"/>
      <c r="U195" s="729"/>
      <c r="V195" s="729"/>
      <c r="W195" s="694"/>
      <c r="X195" s="694"/>
      <c r="Y195" s="694"/>
      <c r="Z195" s="694"/>
      <c r="AA195" s="694"/>
      <c r="AB195" s="694"/>
      <c r="AC195" s="694"/>
      <c r="AD195" s="694"/>
      <c r="AE195" s="694"/>
      <c r="AF195" s="694"/>
      <c r="AG195" s="694"/>
      <c r="AH195" s="694"/>
      <c r="AI195" s="694"/>
      <c r="AJ195" s="694"/>
      <c r="AK195" s="694"/>
      <c r="AL195" s="694"/>
    </row>
    <row r="196" spans="1:38" ht="12.75" customHeight="1" x14ac:dyDescent="0.25">
      <c r="A196" s="694"/>
      <c r="B196" s="298"/>
      <c r="C196" s="1302"/>
      <c r="D196" s="1307" t="s">
        <v>492</v>
      </c>
      <c r="E196" s="2815" t="str">
        <f>Translations!$B$562</f>
        <v>Баланс на отпадните газове за тази инсталация</v>
      </c>
      <c r="F196" s="2240"/>
      <c r="G196" s="2240"/>
      <c r="H196" s="2240"/>
      <c r="I196" s="2240"/>
      <c r="J196" s="2240"/>
      <c r="K196" s="2240"/>
      <c r="L196" s="2240"/>
      <c r="M196" s="2240"/>
      <c r="N196" s="2811"/>
      <c r="O196" s="302"/>
      <c r="P196" s="302"/>
      <c r="Q196" s="729"/>
      <c r="R196" s="694"/>
      <c r="S196" s="729"/>
      <c r="T196" s="729"/>
      <c r="U196" s="729"/>
      <c r="V196" s="729"/>
      <c r="W196" s="694"/>
      <c r="X196" s="694"/>
      <c r="Y196" s="694"/>
      <c r="Z196" s="694"/>
      <c r="AA196" s="694"/>
      <c r="AB196" s="694"/>
      <c r="AC196" s="694"/>
      <c r="AD196" s="694"/>
      <c r="AE196" s="694"/>
      <c r="AF196" s="694"/>
      <c r="AG196" s="694"/>
      <c r="AH196" s="694"/>
      <c r="AI196" s="694"/>
      <c r="AJ196" s="694"/>
      <c r="AK196" s="694"/>
      <c r="AL196" s="694"/>
    </row>
    <row r="197" spans="1:38" ht="5.15" customHeight="1" x14ac:dyDescent="0.25">
      <c r="A197" s="694"/>
      <c r="B197" s="298"/>
      <c r="C197" s="1302"/>
      <c r="D197" s="1306"/>
      <c r="E197" s="1325"/>
      <c r="F197" s="1325"/>
      <c r="G197" s="1325"/>
      <c r="H197" s="1325"/>
      <c r="I197" s="1325"/>
      <c r="J197" s="1325"/>
      <c r="K197" s="1325"/>
      <c r="L197" s="1325"/>
      <c r="M197" s="1325"/>
      <c r="N197" s="1348"/>
      <c r="O197" s="302"/>
      <c r="P197" s="302"/>
      <c r="Q197" s="729"/>
      <c r="R197" s="694"/>
      <c r="S197" s="729"/>
      <c r="T197" s="729"/>
      <c r="U197" s="729"/>
      <c r="V197" s="729"/>
      <c r="W197" s="694"/>
      <c r="X197" s="694"/>
      <c r="Y197" s="694"/>
      <c r="Z197" s="694"/>
      <c r="AA197" s="694"/>
      <c r="AB197" s="694"/>
      <c r="AC197" s="694"/>
      <c r="AD197" s="694"/>
      <c r="AE197" s="694"/>
      <c r="AF197" s="694"/>
      <c r="AG197" s="694"/>
      <c r="AH197" s="694"/>
      <c r="AI197" s="694"/>
      <c r="AJ197" s="694"/>
      <c r="AK197" s="694"/>
      <c r="AL197" s="694"/>
    </row>
    <row r="198" spans="1:38" ht="12.75" customHeight="1" x14ac:dyDescent="0.25">
      <c r="A198" s="694"/>
      <c r="B198" s="298"/>
      <c r="C198" s="1302"/>
      <c r="D198" s="625" t="s">
        <v>6</v>
      </c>
      <c r="E198" s="2815" t="str">
        <f>Translations!$B$563</f>
        <v>От значение ли са отпадните газове за тази подинсталация?</v>
      </c>
      <c r="F198" s="2240"/>
      <c r="G198" s="2240"/>
      <c r="H198" s="2240"/>
      <c r="I198" s="2240"/>
      <c r="J198" s="2240"/>
      <c r="K198" s="2684"/>
      <c r="L198" s="83"/>
      <c r="M198" s="1322"/>
      <c r="N198" s="1323"/>
      <c r="O198" s="302"/>
      <c r="P198" s="158"/>
      <c r="Q198" s="729"/>
      <c r="R198" s="694"/>
      <c r="S198" s="729"/>
      <c r="T198" s="694"/>
      <c r="U198" s="694"/>
      <c r="V198" s="694"/>
      <c r="W198" s="694"/>
      <c r="X198" s="694"/>
      <c r="Y198" s="694"/>
      <c r="Z198" s="694"/>
      <c r="AA198" s="694"/>
      <c r="AB198" s="694"/>
      <c r="AC198" s="694"/>
      <c r="AD198" s="694"/>
      <c r="AE198" s="694"/>
      <c r="AF198" s="1182" t="s">
        <v>737</v>
      </c>
      <c r="AG198" s="901" t="b">
        <f>AND(CNTR_ExistSubInstEntries,I13="")</f>
        <v>0</v>
      </c>
      <c r="AH198" s="694"/>
      <c r="AI198" s="694"/>
      <c r="AJ198" s="694"/>
      <c r="AK198" s="694"/>
      <c r="AL198" s="694"/>
    </row>
    <row r="199" spans="1:38" ht="12.75" customHeight="1" x14ac:dyDescent="0.25">
      <c r="A199" s="694"/>
      <c r="B199" s="298"/>
      <c r="C199" s="1302"/>
      <c r="D199" s="1306"/>
      <c r="E199" s="2810" t="str">
        <f>Translations!$B$564</f>
        <v>Ако отговорът е „невярно“, целият раздел ще бъде защрихован в сиво и можете да продължите към следващите точки по-долу.</v>
      </c>
      <c r="F199" s="2240"/>
      <c r="G199" s="2240"/>
      <c r="H199" s="2240"/>
      <c r="I199" s="2240"/>
      <c r="J199" s="2240"/>
      <c r="K199" s="2240"/>
      <c r="L199" s="2240"/>
      <c r="M199" s="2240"/>
      <c r="N199" s="2811"/>
      <c r="O199" s="302"/>
      <c r="P199" s="302"/>
      <c r="Q199" s="729"/>
      <c r="R199" s="694"/>
      <c r="S199" s="729"/>
      <c r="T199" s="694"/>
      <c r="U199" s="694"/>
      <c r="V199" s="694"/>
      <c r="W199" s="694"/>
      <c r="X199" s="694"/>
      <c r="Y199" s="694"/>
      <c r="Z199" s="694"/>
      <c r="AA199" s="694"/>
      <c r="AB199" s="694"/>
      <c r="AC199" s="694"/>
      <c r="AD199" s="694"/>
      <c r="AE199" s="694"/>
      <c r="AF199" s="694"/>
      <c r="AG199" s="694"/>
      <c r="AH199" s="694"/>
      <c r="AI199" s="694"/>
      <c r="AJ199" s="694"/>
      <c r="AK199" s="694"/>
      <c r="AL199" s="694"/>
    </row>
    <row r="200" spans="1:38" ht="12.75" customHeight="1" x14ac:dyDescent="0.25">
      <c r="A200" s="694"/>
      <c r="B200" s="298"/>
      <c r="C200" s="1302"/>
      <c r="D200" s="625" t="s">
        <v>7</v>
      </c>
      <c r="E200" s="2815" t="str">
        <f>Translations!$B$565</f>
        <v>Видове произведени отпадни газове:</v>
      </c>
      <c r="F200" s="2240"/>
      <c r="G200" s="2240"/>
      <c r="H200" s="2684"/>
      <c r="I200" s="2821"/>
      <c r="J200" s="2674"/>
      <c r="K200" s="2674"/>
      <c r="L200" s="2674"/>
      <c r="M200" s="2675"/>
      <c r="N200" s="1323"/>
      <c r="O200" s="302"/>
      <c r="P200" s="158"/>
      <c r="Q200" s="729"/>
      <c r="R200" s="694"/>
      <c r="S200" s="729"/>
      <c r="T200" s="694"/>
      <c r="U200" s="694"/>
      <c r="V200" s="694"/>
      <c r="W200" s="694"/>
      <c r="X200" s="694"/>
      <c r="Y200" s="694"/>
      <c r="Z200" s="694"/>
      <c r="AA200" s="694"/>
      <c r="AB200" s="694"/>
      <c r="AC200" s="1182" t="s">
        <v>737</v>
      </c>
      <c r="AD200" s="901" t="b">
        <f>OR(AG198,AND($L198&lt;&gt;"",$L198=FALSE))</f>
        <v>0</v>
      </c>
      <c r="AE200" s="694"/>
      <c r="AF200" s="694"/>
      <c r="AG200" s="694"/>
      <c r="AH200" s="694"/>
      <c r="AI200" s="694"/>
      <c r="AJ200" s="694"/>
      <c r="AK200" s="694"/>
      <c r="AL200" s="694"/>
    </row>
    <row r="201" spans="1:38" ht="12.75" customHeight="1" x14ac:dyDescent="0.25">
      <c r="A201" s="694"/>
      <c r="B201" s="298"/>
      <c r="C201" s="1302"/>
      <c r="D201" s="1306"/>
      <c r="E201" s="2810" t="str">
        <f>Translations!$B$566</f>
        <v>Можете да изберете да подадете данните в тонове или 1000 Nm3. Мерните единици трябва да съответстват на използваните за долна топлина на изгаряне (NCV) и емисионния фактор по-долу.</v>
      </c>
      <c r="F201" s="2240"/>
      <c r="G201" s="2240"/>
      <c r="H201" s="2240"/>
      <c r="I201" s="2240"/>
      <c r="J201" s="2240"/>
      <c r="K201" s="2240"/>
      <c r="L201" s="2240"/>
      <c r="M201" s="2240"/>
      <c r="N201" s="2811"/>
      <c r="O201" s="302"/>
      <c r="P201" s="302"/>
      <c r="Q201" s="729"/>
      <c r="R201" s="694"/>
      <c r="S201" s="729"/>
      <c r="T201" s="729"/>
      <c r="U201" s="729"/>
      <c r="V201" s="729"/>
      <c r="W201" s="694"/>
      <c r="X201" s="694"/>
      <c r="Y201" s="694"/>
      <c r="Z201" s="694"/>
      <c r="AA201" s="694"/>
      <c r="AB201" s="694"/>
      <c r="AC201" s="694"/>
      <c r="AD201" s="694"/>
      <c r="AE201" s="694"/>
      <c r="AF201" s="694"/>
      <c r="AG201" s="694"/>
      <c r="AH201" s="694"/>
      <c r="AI201" s="694"/>
      <c r="AJ201" s="694"/>
      <c r="AK201" s="694"/>
      <c r="AL201" s="694"/>
    </row>
    <row r="202" spans="1:38" ht="12.75" customHeight="1" x14ac:dyDescent="0.25">
      <c r="A202" s="694"/>
      <c r="B202" s="298"/>
      <c r="C202" s="1302"/>
      <c r="D202" s="1306"/>
      <c r="E202" s="2816" t="str">
        <f>Translations!$B$520</f>
        <v>Посочените тук данни се използват само с цел проверка на съответствието и нямат пряко отражение върху емисиите, които могат да бъдат зададени, или на разпределението на квотите.</v>
      </c>
      <c r="F202" s="2240"/>
      <c r="G202" s="2240"/>
      <c r="H202" s="2240"/>
      <c r="I202" s="2240"/>
      <c r="J202" s="2240"/>
      <c r="K202" s="2240"/>
      <c r="L202" s="2240"/>
      <c r="M202" s="2240"/>
      <c r="N202" s="2811"/>
      <c r="O202" s="302"/>
      <c r="P202" s="302"/>
      <c r="Q202" s="729"/>
      <c r="R202" s="694"/>
      <c r="S202" s="729"/>
      <c r="T202" s="729"/>
      <c r="U202" s="729"/>
      <c r="V202" s="729"/>
      <c r="W202" s="694"/>
      <c r="X202" s="694"/>
      <c r="Y202" s="694"/>
      <c r="Z202" s="694"/>
      <c r="AA202" s="694"/>
      <c r="AB202" s="694"/>
      <c r="AC202" s="694"/>
      <c r="AD202" s="694"/>
      <c r="AE202" s="694"/>
      <c r="AF202" s="694"/>
      <c r="AG202" s="694"/>
      <c r="AH202" s="694"/>
      <c r="AI202" s="694"/>
      <c r="AJ202" s="694"/>
      <c r="AK202" s="694"/>
      <c r="AL202" s="694"/>
    </row>
    <row r="203" spans="1:38" ht="12.75" customHeight="1" thickBot="1" x14ac:dyDescent="0.3">
      <c r="A203" s="694"/>
      <c r="B203" s="298"/>
      <c r="C203" s="1302"/>
      <c r="D203" s="1306"/>
      <c r="E203" s="1317"/>
      <c r="F203" s="1318"/>
      <c r="G203" s="1309" t="str">
        <f>EUconst_Unit</f>
        <v>Единица мярка</v>
      </c>
      <c r="H203" s="629">
        <f t="shared" ref="H203:N203" si="82">H$2831</f>
        <v>2024</v>
      </c>
      <c r="I203" s="1310">
        <f t="shared" si="82"/>
        <v>2025</v>
      </c>
      <c r="J203" s="1311">
        <f t="shared" si="82"/>
        <v>2026</v>
      </c>
      <c r="K203" s="629">
        <f t="shared" si="82"/>
        <v>2027</v>
      </c>
      <c r="L203" s="629">
        <f t="shared" si="82"/>
        <v>2028</v>
      </c>
      <c r="M203" s="629">
        <f t="shared" si="82"/>
        <v>2029</v>
      </c>
      <c r="N203" s="1312">
        <f t="shared" si="82"/>
        <v>2030</v>
      </c>
      <c r="O203" s="302"/>
      <c r="P203" s="302"/>
      <c r="Q203" s="729"/>
      <c r="R203" s="694"/>
      <c r="S203" s="729"/>
      <c r="T203" s="729"/>
      <c r="U203" s="729"/>
      <c r="V203" s="729"/>
      <c r="W203" s="694"/>
      <c r="X203" s="694"/>
      <c r="Y203" s="694"/>
      <c r="Z203" s="694"/>
      <c r="AA203" s="694"/>
      <c r="AB203" s="694"/>
      <c r="AC203" s="1178">
        <f t="shared" ref="AC203:AI203" si="83">H$20</f>
        <v>2024</v>
      </c>
      <c r="AD203" s="1178">
        <f t="shared" si="83"/>
        <v>2025</v>
      </c>
      <c r="AE203" s="1178">
        <f t="shared" si="83"/>
        <v>2026</v>
      </c>
      <c r="AF203" s="1178">
        <f t="shared" si="83"/>
        <v>2027</v>
      </c>
      <c r="AG203" s="1178">
        <f t="shared" si="83"/>
        <v>2028</v>
      </c>
      <c r="AH203" s="1178">
        <f t="shared" si="83"/>
        <v>2029</v>
      </c>
      <c r="AI203" s="1178">
        <f t="shared" si="83"/>
        <v>2030</v>
      </c>
      <c r="AJ203" s="694"/>
      <c r="AK203" s="694"/>
      <c r="AL203" s="694"/>
    </row>
    <row r="204" spans="1:38" ht="12.75" customHeight="1" x14ac:dyDescent="0.25">
      <c r="A204" s="694"/>
      <c r="B204" s="298"/>
      <c r="C204" s="1302"/>
      <c r="D204" s="625" t="s">
        <v>8</v>
      </c>
      <c r="E204" s="2818" t="str">
        <f>Translations!$B$567</f>
        <v>Произведени количества</v>
      </c>
      <c r="F204" s="2701"/>
      <c r="G204" s="145"/>
      <c r="H204" s="129"/>
      <c r="I204" s="130"/>
      <c r="J204" s="131"/>
      <c r="K204" s="129"/>
      <c r="L204" s="129"/>
      <c r="M204" s="129"/>
      <c r="N204" s="132"/>
      <c r="O204" s="302"/>
      <c r="P204" s="158"/>
      <c r="Q204" s="729"/>
      <c r="R204" s="694"/>
      <c r="S204" s="729"/>
      <c r="T204" s="729"/>
      <c r="U204" s="729"/>
      <c r="V204" s="729"/>
      <c r="W204" s="694"/>
      <c r="X204" s="694"/>
      <c r="Y204" s="694"/>
      <c r="Z204" s="694"/>
      <c r="AA204" s="694"/>
      <c r="AB204" s="1182" t="s">
        <v>737</v>
      </c>
      <c r="AC204" s="901" t="b">
        <f>OR(AND($L198&lt;&gt;"",$L198=FALSE),AC60)</f>
        <v>0</v>
      </c>
      <c r="AD204" s="982" t="b">
        <f t="shared" ref="AD204:AI204" si="84">OR(AND($L198&lt;&gt;"",$L198=FALSE),AD60)</f>
        <v>0</v>
      </c>
      <c r="AE204" s="982" t="b">
        <f t="shared" si="84"/>
        <v>0</v>
      </c>
      <c r="AF204" s="982" t="b">
        <f t="shared" si="84"/>
        <v>0</v>
      </c>
      <c r="AG204" s="982" t="b">
        <f t="shared" si="84"/>
        <v>0</v>
      </c>
      <c r="AH204" s="982" t="b">
        <f t="shared" si="84"/>
        <v>0</v>
      </c>
      <c r="AI204" s="982" t="b">
        <f t="shared" si="84"/>
        <v>0</v>
      </c>
      <c r="AJ204" s="1174" t="s">
        <v>2039</v>
      </c>
      <c r="AK204" s="1176" t="str">
        <f>IF(AND(CNTR_ExistSubInstEntries,MSconst_RequireSubAttrEmissions,COUNTIFS(AC204:AI204,FALSE,H204:N204,"")&gt;0),EUconst_Error&amp;"BM"&amp;$Q13,"")</f>
        <v/>
      </c>
      <c r="AL204" s="694"/>
    </row>
    <row r="205" spans="1:38" ht="12.75" customHeight="1" x14ac:dyDescent="0.25">
      <c r="A205" s="694"/>
      <c r="B205" s="298"/>
      <c r="C205" s="1302"/>
      <c r="D205" s="625" t="s">
        <v>18</v>
      </c>
      <c r="E205" s="2819" t="str">
        <f>Translations!$B$296</f>
        <v>Долна топлина на изгаряне</v>
      </c>
      <c r="F205" s="2705"/>
      <c r="G205" s="1349" t="str">
        <f>IF(ISBLANK(G204),EUconst_GJperUnit,INDEX(EUconst_GJperTorKNm3,MATCH(G204,EUconst_TonnesOrkNm3pa,0)))</f>
        <v>GJ / Единица мярка</v>
      </c>
      <c r="H205" s="137"/>
      <c r="I205" s="138"/>
      <c r="J205" s="139"/>
      <c r="K205" s="137"/>
      <c r="L205" s="137"/>
      <c r="M205" s="137"/>
      <c r="N205" s="140"/>
      <c r="O205" s="302"/>
      <c r="P205" s="158"/>
      <c r="Q205" s="694"/>
      <c r="R205" s="694"/>
      <c r="S205" s="729"/>
      <c r="T205" s="729"/>
      <c r="U205" s="729"/>
      <c r="V205" s="729"/>
      <c r="W205" s="729"/>
      <c r="X205" s="729"/>
      <c r="Y205" s="729"/>
      <c r="Z205" s="729"/>
      <c r="AA205" s="694"/>
      <c r="AB205" s="694"/>
      <c r="AC205" s="982" t="b">
        <f>AC204</f>
        <v>0</v>
      </c>
      <c r="AD205" s="982" t="b">
        <f t="shared" ref="AD205:AI205" si="85">AD204</f>
        <v>0</v>
      </c>
      <c r="AE205" s="982" t="b">
        <f t="shared" si="85"/>
        <v>0</v>
      </c>
      <c r="AF205" s="982" t="b">
        <f t="shared" si="85"/>
        <v>0</v>
      </c>
      <c r="AG205" s="982" t="b">
        <f t="shared" si="85"/>
        <v>0</v>
      </c>
      <c r="AH205" s="982" t="b">
        <f t="shared" si="85"/>
        <v>0</v>
      </c>
      <c r="AI205" s="982" t="b">
        <f t="shared" si="85"/>
        <v>0</v>
      </c>
      <c r="AJ205" s="1174" t="s">
        <v>2039</v>
      </c>
      <c r="AK205" s="1176" t="str">
        <f>IF(AND(CNTR_ExistSubInstEntries,MSconst_RequireSubAttrEmissions,COUNTIFS(AC205:AI205,FALSE,H205:N205,"")&gt;0),EUconst_Error&amp;"BM"&amp;$Q13,"")</f>
        <v/>
      </c>
      <c r="AL205" s="694"/>
    </row>
    <row r="206" spans="1:38" ht="12.75" customHeight="1" x14ac:dyDescent="0.25">
      <c r="A206" s="694"/>
      <c r="B206" s="298"/>
      <c r="C206" s="1302"/>
      <c r="D206" s="625" t="s">
        <v>810</v>
      </c>
      <c r="E206" s="2820" t="str">
        <f>Translations!$B$568</f>
        <v>Произведен отпаден газ</v>
      </c>
      <c r="F206" s="2258"/>
      <c r="G206" s="1319" t="str">
        <f>EUconst_TJpa</f>
        <v>TJ / година</v>
      </c>
      <c r="H206" s="1350" t="str">
        <f t="shared" ref="H206:N206" si="86">IF(COUNT(H204:H205)=2,H204*H205/1000,"")</f>
        <v/>
      </c>
      <c r="I206" s="1351" t="str">
        <f t="shared" si="86"/>
        <v/>
      </c>
      <c r="J206" s="1352" t="str">
        <f t="shared" si="86"/>
        <v/>
      </c>
      <c r="K206" s="1350" t="str">
        <f t="shared" si="86"/>
        <v/>
      </c>
      <c r="L206" s="1350" t="str">
        <f t="shared" si="86"/>
        <v/>
      </c>
      <c r="M206" s="1350" t="str">
        <f t="shared" si="86"/>
        <v/>
      </c>
      <c r="N206" s="1353" t="str">
        <f t="shared" si="86"/>
        <v/>
      </c>
      <c r="O206" s="302"/>
      <c r="P206" s="302"/>
      <c r="Q206" s="1190" t="str">
        <f>EUconst_CNTR_WGProduced &amp; I13</f>
        <v>WasteGasProd_</v>
      </c>
      <c r="R206" s="694"/>
      <c r="S206" s="729"/>
      <c r="T206" s="729"/>
      <c r="U206" s="729"/>
      <c r="V206" s="729"/>
      <c r="W206" s="729"/>
      <c r="X206" s="729"/>
      <c r="Y206" s="729"/>
      <c r="Z206" s="729"/>
      <c r="AA206" s="694"/>
      <c r="AB206" s="694"/>
      <c r="AC206" s="694"/>
      <c r="AD206" s="694"/>
      <c r="AE206" s="694"/>
      <c r="AF206" s="694"/>
      <c r="AG206" s="694"/>
      <c r="AH206" s="694"/>
      <c r="AI206" s="694"/>
      <c r="AJ206" s="694"/>
      <c r="AK206" s="694"/>
      <c r="AL206" s="694"/>
    </row>
    <row r="207" spans="1:38" ht="12.75" customHeight="1" x14ac:dyDescent="0.25">
      <c r="A207" s="694"/>
      <c r="B207" s="298"/>
      <c r="C207" s="1302"/>
      <c r="D207" s="625" t="s">
        <v>811</v>
      </c>
      <c r="E207" s="2820" t="str">
        <f>Translations!$B$569</f>
        <v>Специфичен EF (произведен отпаден газ)</v>
      </c>
      <c r="F207" s="2258"/>
      <c r="G207" s="1319" t="str">
        <f>EUconst_tCO2pTJ</f>
        <v>t CO2 / TJ</v>
      </c>
      <c r="H207" s="56"/>
      <c r="I207" s="115"/>
      <c r="J207" s="118"/>
      <c r="K207" s="56"/>
      <c r="L207" s="56"/>
      <c r="M207" s="56"/>
      <c r="N207" s="121"/>
      <c r="O207" s="302"/>
      <c r="P207" s="158"/>
      <c r="Q207" s="1190" t="str">
        <f>EUconst_CNTR_WGProducedEF &amp; I13</f>
        <v>WasteGasProdEF_</v>
      </c>
      <c r="R207" s="694"/>
      <c r="S207" s="729"/>
      <c r="T207" s="729"/>
      <c r="U207" s="729"/>
      <c r="V207" s="729"/>
      <c r="W207" s="729"/>
      <c r="X207" s="729"/>
      <c r="Y207" s="729"/>
      <c r="Z207" s="729"/>
      <c r="AA207" s="694"/>
      <c r="AB207" s="1182" t="s">
        <v>737</v>
      </c>
      <c r="AC207" s="982" t="b">
        <f>AC205</f>
        <v>0</v>
      </c>
      <c r="AD207" s="982" t="b">
        <f t="shared" ref="AD207:AI207" si="87">AD205</f>
        <v>0</v>
      </c>
      <c r="AE207" s="982" t="b">
        <f t="shared" si="87"/>
        <v>0</v>
      </c>
      <c r="AF207" s="982" t="b">
        <f t="shared" si="87"/>
        <v>0</v>
      </c>
      <c r="AG207" s="982" t="b">
        <f t="shared" si="87"/>
        <v>0</v>
      </c>
      <c r="AH207" s="982" t="b">
        <f t="shared" si="87"/>
        <v>0</v>
      </c>
      <c r="AI207" s="982" t="b">
        <f t="shared" si="87"/>
        <v>0</v>
      </c>
      <c r="AJ207" s="1174" t="s">
        <v>2039</v>
      </c>
      <c r="AK207" s="1176" t="str">
        <f>IF(AND(CNTR_ExistSubInstEntries,MSconst_RequireSubAttrEmissions,COUNTIFS(AC207:AI207,FALSE,H207:N207,"")&gt;0),EUconst_Error&amp;"BM"&amp;$Q13,"")</f>
        <v/>
      </c>
      <c r="AL207" s="694"/>
    </row>
    <row r="208" spans="1:38" ht="12.75" customHeight="1" x14ac:dyDescent="0.25">
      <c r="A208" s="694"/>
      <c r="B208" s="298"/>
      <c r="C208" s="1302"/>
      <c r="D208" s="1306"/>
      <c r="E208" s="1306"/>
      <c r="F208" s="1306"/>
      <c r="G208" s="1306"/>
      <c r="H208" s="1354"/>
      <c r="I208" s="1306"/>
      <c r="J208" s="1306"/>
      <c r="K208" s="1306"/>
      <c r="L208" s="1306"/>
      <c r="M208" s="626"/>
      <c r="N208" s="1316"/>
      <c r="O208" s="302"/>
      <c r="P208" s="302"/>
      <c r="Q208" s="729"/>
      <c r="R208" s="694"/>
      <c r="S208" s="729"/>
      <c r="T208" s="729"/>
      <c r="U208" s="729"/>
      <c r="V208" s="729"/>
      <c r="W208" s="729"/>
      <c r="X208" s="729"/>
      <c r="Y208" s="729"/>
      <c r="Z208" s="729"/>
      <c r="AA208" s="694"/>
      <c r="AB208" s="694"/>
      <c r="AC208" s="694"/>
      <c r="AD208" s="694"/>
      <c r="AE208" s="694"/>
      <c r="AF208" s="694"/>
      <c r="AG208" s="694"/>
      <c r="AH208" s="694"/>
      <c r="AI208" s="694"/>
      <c r="AJ208" s="694"/>
      <c r="AK208" s="694"/>
      <c r="AL208" s="694"/>
    </row>
    <row r="209" spans="1:38" ht="12.75" customHeight="1" x14ac:dyDescent="0.25">
      <c r="A209" s="694"/>
      <c r="B209" s="298"/>
      <c r="C209" s="1302"/>
      <c r="D209" s="625" t="s">
        <v>812</v>
      </c>
      <c r="E209" s="2815" t="str">
        <f>Translations!$B$570</f>
        <v>Видове консумирани отпадни газове:</v>
      </c>
      <c r="F209" s="2240"/>
      <c r="G209" s="2240"/>
      <c r="H209" s="2684"/>
      <c r="I209" s="2821"/>
      <c r="J209" s="2674"/>
      <c r="K209" s="2674"/>
      <c r="L209" s="2674"/>
      <c r="M209" s="2675"/>
      <c r="N209" s="1323"/>
      <c r="O209" s="302"/>
      <c r="P209" s="158"/>
      <c r="Q209" s="729"/>
      <c r="R209" s="694"/>
      <c r="S209" s="729"/>
      <c r="T209" s="729"/>
      <c r="U209" s="729"/>
      <c r="V209" s="729"/>
      <c r="W209" s="729"/>
      <c r="X209" s="729"/>
      <c r="Y209" s="729"/>
      <c r="Z209" s="729"/>
      <c r="AA209" s="694"/>
      <c r="AB209" s="694"/>
      <c r="AC209" s="1182" t="s">
        <v>737</v>
      </c>
      <c r="AD209" s="982" t="b">
        <f>AD200</f>
        <v>0</v>
      </c>
      <c r="AE209" s="694"/>
      <c r="AF209" s="694"/>
      <c r="AG209" s="694"/>
      <c r="AH209" s="694"/>
      <c r="AI209" s="694"/>
      <c r="AJ209" s="694"/>
      <c r="AK209" s="694"/>
      <c r="AL209" s="694"/>
    </row>
    <row r="210" spans="1:38" ht="25.5" customHeight="1" x14ac:dyDescent="0.25">
      <c r="A210" s="694"/>
      <c r="B210" s="298"/>
      <c r="C210" s="1302"/>
      <c r="D210" s="625"/>
      <c r="E210" s="2810" t="str">
        <f>Translations!$B$571</f>
        <v>Това включва всички видове отпадни газове, които се консумират от тази подинсталация при производството на измерима топлинна енергия, неизмерима топлинна енергия (включително необходимото за безопасността изгаряне във факел) или механична енергия (различна от тази за електропроизводство). Количествата, резултат от изгаряне във факел, различни от необходимото за безопасността изгаряне във факел, се отчитат в следващата точка по-долу.</v>
      </c>
      <c r="F210" s="2240"/>
      <c r="G210" s="2240"/>
      <c r="H210" s="2240"/>
      <c r="I210" s="2240"/>
      <c r="J210" s="2240"/>
      <c r="K210" s="2240"/>
      <c r="L210" s="2240"/>
      <c r="M210" s="2240"/>
      <c r="N210" s="2811"/>
      <c r="O210" s="302"/>
      <c r="P210" s="302"/>
      <c r="Q210" s="729"/>
      <c r="R210" s="694"/>
      <c r="S210" s="729"/>
      <c r="T210" s="729"/>
      <c r="U210" s="729"/>
      <c r="V210" s="729"/>
      <c r="W210" s="729"/>
      <c r="X210" s="729"/>
      <c r="Y210" s="729"/>
      <c r="Z210" s="729"/>
      <c r="AA210" s="694"/>
      <c r="AB210" s="694"/>
      <c r="AC210" s="694"/>
      <c r="AD210" s="694"/>
      <c r="AE210" s="694"/>
      <c r="AF210" s="694"/>
      <c r="AG210" s="694"/>
      <c r="AH210" s="694"/>
      <c r="AI210" s="694"/>
      <c r="AJ210" s="694"/>
      <c r="AK210" s="694"/>
      <c r="AL210" s="694"/>
    </row>
    <row r="211" spans="1:38" ht="12.75" customHeight="1" x14ac:dyDescent="0.25">
      <c r="A211" s="694"/>
      <c r="B211" s="298"/>
      <c r="C211" s="1302"/>
      <c r="D211" s="1306"/>
      <c r="E211" s="2816" t="str">
        <f>Translations!$B$520</f>
        <v>Посочените тук данни се използват само с цел проверка на съответствието и нямат пряко отражение върху емисиите, които могат да бъдат зададени, или на разпределението на квотите.</v>
      </c>
      <c r="F211" s="2240"/>
      <c r="G211" s="2240"/>
      <c r="H211" s="2240"/>
      <c r="I211" s="2240"/>
      <c r="J211" s="2240"/>
      <c r="K211" s="2240"/>
      <c r="L211" s="2240"/>
      <c r="M211" s="2240"/>
      <c r="N211" s="2811"/>
      <c r="O211" s="302"/>
      <c r="P211" s="302"/>
      <c r="Q211" s="729"/>
      <c r="R211" s="694"/>
      <c r="S211" s="729"/>
      <c r="T211" s="729"/>
      <c r="U211" s="729"/>
      <c r="V211" s="729"/>
      <c r="W211" s="729"/>
      <c r="X211" s="729"/>
      <c r="Y211" s="729"/>
      <c r="Z211" s="729"/>
      <c r="AA211" s="694"/>
      <c r="AB211" s="694"/>
      <c r="AC211" s="694"/>
      <c r="AD211" s="694"/>
      <c r="AE211" s="694"/>
      <c r="AF211" s="694"/>
      <c r="AG211" s="694"/>
      <c r="AH211" s="694"/>
      <c r="AI211" s="694"/>
      <c r="AJ211" s="694"/>
      <c r="AK211" s="694"/>
      <c r="AL211" s="694"/>
    </row>
    <row r="212" spans="1:38" ht="12.75" customHeight="1" thickBot="1" x14ac:dyDescent="0.3">
      <c r="A212" s="694"/>
      <c r="B212" s="298"/>
      <c r="C212" s="1302"/>
      <c r="D212" s="1306"/>
      <c r="E212" s="1317"/>
      <c r="F212" s="1318"/>
      <c r="G212" s="1309" t="str">
        <f>EUconst_Unit</f>
        <v>Единица мярка</v>
      </c>
      <c r="H212" s="629">
        <f t="shared" ref="H212:N212" si="88">H$2831</f>
        <v>2024</v>
      </c>
      <c r="I212" s="1310">
        <f t="shared" si="88"/>
        <v>2025</v>
      </c>
      <c r="J212" s="1311">
        <f t="shared" si="88"/>
        <v>2026</v>
      </c>
      <c r="K212" s="629">
        <f t="shared" si="88"/>
        <v>2027</v>
      </c>
      <c r="L212" s="629">
        <f t="shared" si="88"/>
        <v>2028</v>
      </c>
      <c r="M212" s="629">
        <f t="shared" si="88"/>
        <v>2029</v>
      </c>
      <c r="N212" s="1312">
        <f t="shared" si="88"/>
        <v>2030</v>
      </c>
      <c r="O212" s="302"/>
      <c r="P212" s="302"/>
      <c r="Q212" s="729"/>
      <c r="R212" s="694"/>
      <c r="S212" s="729"/>
      <c r="T212" s="729"/>
      <c r="U212" s="729"/>
      <c r="V212" s="729"/>
      <c r="W212" s="729"/>
      <c r="X212" s="729"/>
      <c r="Y212" s="729"/>
      <c r="Z212" s="729"/>
      <c r="AA212" s="694"/>
      <c r="AB212" s="694"/>
      <c r="AC212" s="1178">
        <f t="shared" ref="AC212:AI212" si="89">H$20</f>
        <v>2024</v>
      </c>
      <c r="AD212" s="1178">
        <f t="shared" si="89"/>
        <v>2025</v>
      </c>
      <c r="AE212" s="1178">
        <f t="shared" si="89"/>
        <v>2026</v>
      </c>
      <c r="AF212" s="1178">
        <f t="shared" si="89"/>
        <v>2027</v>
      </c>
      <c r="AG212" s="1178">
        <f t="shared" si="89"/>
        <v>2028</v>
      </c>
      <c r="AH212" s="1178">
        <f t="shared" si="89"/>
        <v>2029</v>
      </c>
      <c r="AI212" s="1178">
        <f t="shared" si="89"/>
        <v>2030</v>
      </c>
      <c r="AJ212" s="694"/>
      <c r="AK212" s="694"/>
      <c r="AL212" s="694"/>
    </row>
    <row r="213" spans="1:38" ht="12.75" customHeight="1" x14ac:dyDescent="0.25">
      <c r="A213" s="694"/>
      <c r="B213" s="298"/>
      <c r="C213" s="1302"/>
      <c r="D213" s="625" t="s">
        <v>813</v>
      </c>
      <c r="E213" s="2818" t="str">
        <f>Translations!$B$572</f>
        <v>Консумирани количества</v>
      </c>
      <c r="F213" s="2701"/>
      <c r="G213" s="145"/>
      <c r="H213" s="129"/>
      <c r="I213" s="130"/>
      <c r="J213" s="131"/>
      <c r="K213" s="129"/>
      <c r="L213" s="129"/>
      <c r="M213" s="129"/>
      <c r="N213" s="132"/>
      <c r="O213" s="302"/>
      <c r="P213" s="158"/>
      <c r="Q213" s="729"/>
      <c r="R213" s="694"/>
      <c r="S213" s="729"/>
      <c r="T213" s="729"/>
      <c r="U213" s="729"/>
      <c r="V213" s="729"/>
      <c r="W213" s="729"/>
      <c r="X213" s="729"/>
      <c r="Y213" s="729"/>
      <c r="Z213" s="729"/>
      <c r="AA213" s="694"/>
      <c r="AB213" s="1182" t="s">
        <v>737</v>
      </c>
      <c r="AC213" s="982" t="b">
        <f>AC204</f>
        <v>0</v>
      </c>
      <c r="AD213" s="982" t="b">
        <f t="shared" ref="AD213:AI213" si="90">AD204</f>
        <v>0</v>
      </c>
      <c r="AE213" s="982" t="b">
        <f t="shared" si="90"/>
        <v>0</v>
      </c>
      <c r="AF213" s="982" t="b">
        <f t="shared" si="90"/>
        <v>0</v>
      </c>
      <c r="AG213" s="982" t="b">
        <f t="shared" si="90"/>
        <v>0</v>
      </c>
      <c r="AH213" s="982" t="b">
        <f t="shared" si="90"/>
        <v>0</v>
      </c>
      <c r="AI213" s="982" t="b">
        <f t="shared" si="90"/>
        <v>0</v>
      </c>
      <c r="AJ213" s="1174" t="s">
        <v>2039</v>
      </c>
      <c r="AK213" s="1176" t="str">
        <f>IF(AND(CNTR_ExistSubInstEntries,MSconst_RequireSubAttrEmissions,COUNTIFS(AC213:AI213,FALSE,H213:N213,"")&gt;0),EUconst_Error&amp;"BM"&amp;$Q13,"")</f>
        <v/>
      </c>
      <c r="AL213" s="694"/>
    </row>
    <row r="214" spans="1:38" ht="12.75" customHeight="1" x14ac:dyDescent="0.25">
      <c r="A214" s="694"/>
      <c r="B214" s="298"/>
      <c r="C214" s="1302"/>
      <c r="D214" s="625" t="s">
        <v>814</v>
      </c>
      <c r="E214" s="2819" t="str">
        <f>Translations!$B$296</f>
        <v>Долна топлина на изгаряне</v>
      </c>
      <c r="F214" s="2705"/>
      <c r="G214" s="1349" t="str">
        <f>IF(ISBLANK(G213),EUconst_GJperUnit,INDEX(EUconst_GJperTorKNm3,MATCH(G213,EUconst_TonnesOrkNm3pa,0)))</f>
        <v>GJ / Единица мярка</v>
      </c>
      <c r="H214" s="137"/>
      <c r="I214" s="138"/>
      <c r="J214" s="139"/>
      <c r="K214" s="137"/>
      <c r="L214" s="137"/>
      <c r="M214" s="137"/>
      <c r="N214" s="140"/>
      <c r="O214" s="302"/>
      <c r="P214" s="158"/>
      <c r="Q214" s="694"/>
      <c r="R214" s="694"/>
      <c r="S214" s="729"/>
      <c r="T214" s="729"/>
      <c r="U214" s="729"/>
      <c r="V214" s="729"/>
      <c r="W214" s="729"/>
      <c r="X214" s="729"/>
      <c r="Y214" s="729"/>
      <c r="Z214" s="729"/>
      <c r="AA214" s="694"/>
      <c r="AB214" s="694"/>
      <c r="AC214" s="982" t="b">
        <f>AC213</f>
        <v>0</v>
      </c>
      <c r="AD214" s="982" t="b">
        <f t="shared" ref="AD214:AI214" si="91">AD213</f>
        <v>0</v>
      </c>
      <c r="AE214" s="982" t="b">
        <f t="shared" si="91"/>
        <v>0</v>
      </c>
      <c r="AF214" s="982" t="b">
        <f t="shared" si="91"/>
        <v>0</v>
      </c>
      <c r="AG214" s="982" t="b">
        <f t="shared" si="91"/>
        <v>0</v>
      </c>
      <c r="AH214" s="982" t="b">
        <f t="shared" si="91"/>
        <v>0</v>
      </c>
      <c r="AI214" s="982" t="b">
        <f t="shared" si="91"/>
        <v>0</v>
      </c>
      <c r="AJ214" s="1174" t="s">
        <v>2039</v>
      </c>
      <c r="AK214" s="1176" t="str">
        <f>IF(AND(CNTR_ExistSubInstEntries,MSconst_RequireSubAttrEmissions,COUNTIFS(AC214:AI214,FALSE,H214:N214,"")&gt;0),EUconst_Error&amp;"BM"&amp;$Q13,"")</f>
        <v/>
      </c>
      <c r="AL214" s="694"/>
    </row>
    <row r="215" spans="1:38" ht="12.75" customHeight="1" x14ac:dyDescent="0.25">
      <c r="A215" s="694"/>
      <c r="B215" s="298"/>
      <c r="C215" s="1302"/>
      <c r="D215" s="625" t="s">
        <v>61</v>
      </c>
      <c r="E215" s="2820" t="str">
        <f>Translations!$B$573</f>
        <v>Консумиран отпаден газ</v>
      </c>
      <c r="F215" s="2258"/>
      <c r="G215" s="1319" t="str">
        <f>EUconst_TJpa</f>
        <v>TJ / година</v>
      </c>
      <c r="H215" s="1350" t="str">
        <f t="shared" ref="H215:N215" si="92">IF(COUNT(H213:H214)=2,H213*H214/1000,"")</f>
        <v/>
      </c>
      <c r="I215" s="1351" t="str">
        <f t="shared" si="92"/>
        <v/>
      </c>
      <c r="J215" s="1352" t="str">
        <f t="shared" si="92"/>
        <v/>
      </c>
      <c r="K215" s="1350" t="str">
        <f t="shared" si="92"/>
        <v/>
      </c>
      <c r="L215" s="1350" t="str">
        <f t="shared" si="92"/>
        <v/>
      </c>
      <c r="M215" s="1350" t="str">
        <f t="shared" si="92"/>
        <v/>
      </c>
      <c r="N215" s="1353" t="str">
        <f t="shared" si="92"/>
        <v/>
      </c>
      <c r="O215" s="302"/>
      <c r="P215" s="302"/>
      <c r="Q215" s="1190" t="str">
        <f>EUconst_CNTR_WGConsumed &amp; I13</f>
        <v>WasteGasCons_</v>
      </c>
      <c r="R215" s="694"/>
      <c r="S215" s="729"/>
      <c r="T215" s="729"/>
      <c r="U215" s="729"/>
      <c r="V215" s="729"/>
      <c r="W215" s="729"/>
      <c r="X215" s="729"/>
      <c r="Y215" s="729"/>
      <c r="Z215" s="729"/>
      <c r="AA215" s="694"/>
      <c r="AB215" s="694"/>
      <c r="AC215" s="694"/>
      <c r="AD215" s="694"/>
      <c r="AE215" s="694"/>
      <c r="AF215" s="694"/>
      <c r="AG215" s="694"/>
      <c r="AH215" s="694"/>
      <c r="AI215" s="694"/>
      <c r="AJ215" s="694"/>
      <c r="AK215" s="694"/>
      <c r="AL215" s="694"/>
    </row>
    <row r="216" spans="1:38" ht="12.75" customHeight="1" x14ac:dyDescent="0.25">
      <c r="A216" s="694"/>
      <c r="B216" s="298"/>
      <c r="C216" s="1302"/>
      <c r="D216" s="625" t="s">
        <v>62</v>
      </c>
      <c r="E216" s="2820" t="str">
        <f>Translations!$B$574</f>
        <v>Специфичен EF (консумиран отпаден газ)</v>
      </c>
      <c r="F216" s="2258"/>
      <c r="G216" s="1319" t="str">
        <f>EUconst_tCO2pTJ</f>
        <v>t CO2 / TJ</v>
      </c>
      <c r="H216" s="56"/>
      <c r="I216" s="115"/>
      <c r="J216" s="118"/>
      <c r="K216" s="56"/>
      <c r="L216" s="56"/>
      <c r="M216" s="56"/>
      <c r="N216" s="121"/>
      <c r="O216" s="302"/>
      <c r="P216" s="158"/>
      <c r="Q216" s="1190" t="str">
        <f>EUconst_CNTR_WGConsumedEF &amp; I13</f>
        <v>WasteGasConsEF_</v>
      </c>
      <c r="R216" s="694"/>
      <c r="S216" s="729"/>
      <c r="T216" s="729"/>
      <c r="U216" s="729"/>
      <c r="V216" s="729"/>
      <c r="W216" s="729"/>
      <c r="X216" s="729"/>
      <c r="Y216" s="729"/>
      <c r="Z216" s="729"/>
      <c r="AA216" s="694"/>
      <c r="AB216" s="1182" t="s">
        <v>737</v>
      </c>
      <c r="AC216" s="982" t="b">
        <f>AC214</f>
        <v>0</v>
      </c>
      <c r="AD216" s="982" t="b">
        <f t="shared" ref="AD216:AI216" si="93">AD214</f>
        <v>0</v>
      </c>
      <c r="AE216" s="982" t="b">
        <f t="shared" si="93"/>
        <v>0</v>
      </c>
      <c r="AF216" s="982" t="b">
        <f t="shared" si="93"/>
        <v>0</v>
      </c>
      <c r="AG216" s="982" t="b">
        <f t="shared" si="93"/>
        <v>0</v>
      </c>
      <c r="AH216" s="982" t="b">
        <f t="shared" si="93"/>
        <v>0</v>
      </c>
      <c r="AI216" s="982" t="b">
        <f t="shared" si="93"/>
        <v>0</v>
      </c>
      <c r="AJ216" s="1174" t="s">
        <v>2039</v>
      </c>
      <c r="AK216" s="1176" t="str">
        <f>IF(AND(CNTR_ExistSubInstEntries,MSconst_RequireSubAttrEmissions,COUNTIFS(AC216:AI216,FALSE,H216:N216,"")&gt;0),EUconst_Error&amp;"BM"&amp;$Q13,"")</f>
        <v/>
      </c>
      <c r="AL216" s="694"/>
    </row>
    <row r="217" spans="1:38" ht="12.75" customHeight="1" x14ac:dyDescent="0.25">
      <c r="A217" s="694"/>
      <c r="B217" s="298"/>
      <c r="C217" s="1302"/>
      <c r="D217" s="1306"/>
      <c r="E217" s="1306"/>
      <c r="F217" s="1306"/>
      <c r="G217" s="1306"/>
      <c r="H217" s="1354"/>
      <c r="I217" s="1306"/>
      <c r="J217" s="1306"/>
      <c r="K217" s="1306"/>
      <c r="L217" s="1306"/>
      <c r="M217" s="626"/>
      <c r="N217" s="1316"/>
      <c r="O217" s="302"/>
      <c r="P217" s="302"/>
      <c r="Q217" s="729"/>
      <c r="R217" s="694"/>
      <c r="S217" s="729"/>
      <c r="T217" s="729"/>
      <c r="U217" s="729"/>
      <c r="V217" s="729"/>
      <c r="W217" s="694"/>
      <c r="X217" s="694"/>
      <c r="Y217" s="694"/>
      <c r="Z217" s="694"/>
      <c r="AA217" s="694"/>
      <c r="AB217" s="694"/>
      <c r="AC217" s="694"/>
      <c r="AD217" s="694"/>
      <c r="AE217" s="694"/>
      <c r="AF217" s="694"/>
      <c r="AG217" s="694"/>
      <c r="AH217" s="694"/>
      <c r="AI217" s="694"/>
      <c r="AJ217" s="694"/>
      <c r="AK217" s="694"/>
      <c r="AL217" s="694"/>
    </row>
    <row r="218" spans="1:38" ht="12.75" customHeight="1" x14ac:dyDescent="0.25">
      <c r="A218" s="694"/>
      <c r="B218" s="298"/>
      <c r="C218" s="1302"/>
      <c r="D218" s="625" t="s">
        <v>63</v>
      </c>
      <c r="E218" s="2815" t="str">
        <f>Translations!$B$575</f>
        <v>Видове отпадни газове резултат от изгаряне във факел:</v>
      </c>
      <c r="F218" s="2240"/>
      <c r="G218" s="2240"/>
      <c r="H218" s="2684"/>
      <c r="I218" s="2821"/>
      <c r="J218" s="2674"/>
      <c r="K218" s="2674"/>
      <c r="L218" s="2674"/>
      <c r="M218" s="2675"/>
      <c r="N218" s="1323"/>
      <c r="O218" s="302"/>
      <c r="P218" s="158"/>
      <c r="Q218" s="729"/>
      <c r="R218" s="694"/>
      <c r="S218" s="729"/>
      <c r="T218" s="694"/>
      <c r="U218" s="694"/>
      <c r="V218" s="694"/>
      <c r="W218" s="694"/>
      <c r="X218" s="694"/>
      <c r="Y218" s="694"/>
      <c r="Z218" s="694"/>
      <c r="AA218" s="694"/>
      <c r="AB218" s="694"/>
      <c r="AC218" s="1182" t="s">
        <v>737</v>
      </c>
      <c r="AD218" s="982" t="b">
        <f>AD209</f>
        <v>0</v>
      </c>
      <c r="AE218" s="694"/>
      <c r="AF218" s="694"/>
      <c r="AG218" s="694"/>
      <c r="AH218" s="694"/>
      <c r="AI218" s="694"/>
      <c r="AJ218" s="694"/>
      <c r="AK218" s="694"/>
      <c r="AL218" s="694"/>
    </row>
    <row r="219" spans="1:38" ht="12.75" customHeight="1" x14ac:dyDescent="0.25">
      <c r="A219" s="694"/>
      <c r="B219" s="298"/>
      <c r="C219" s="1302"/>
      <c r="D219" s="625"/>
      <c r="E219" s="2810" t="str">
        <f>Translations!$B$576</f>
        <v>Това включва всички видове отпадни газове, които в крайна сметка са изгорени във факел, различни от необходимото за безопасността изгаряне във факел, в подинсталацията или извън нея.</v>
      </c>
      <c r="F219" s="2240"/>
      <c r="G219" s="2240"/>
      <c r="H219" s="2240"/>
      <c r="I219" s="2240"/>
      <c r="J219" s="2240"/>
      <c r="K219" s="2240"/>
      <c r="L219" s="2240"/>
      <c r="M219" s="2240"/>
      <c r="N219" s="2811"/>
      <c r="O219" s="302"/>
      <c r="P219" s="302"/>
      <c r="Q219" s="729"/>
      <c r="R219" s="694"/>
      <c r="S219" s="694"/>
      <c r="T219" s="729"/>
      <c r="U219" s="729"/>
      <c r="V219" s="729"/>
      <c r="W219" s="694"/>
      <c r="X219" s="694"/>
      <c r="Y219" s="694"/>
      <c r="Z219" s="694"/>
      <c r="AA219" s="694"/>
      <c r="AB219" s="694"/>
      <c r="AC219" s="694"/>
      <c r="AD219" s="694"/>
      <c r="AE219" s="694"/>
      <c r="AF219" s="694"/>
      <c r="AG219" s="694"/>
      <c r="AH219" s="694"/>
      <c r="AI219" s="694"/>
      <c r="AJ219" s="694"/>
      <c r="AK219" s="694"/>
      <c r="AL219" s="694"/>
    </row>
    <row r="220" spans="1:38" ht="12.75" customHeight="1" x14ac:dyDescent="0.25">
      <c r="A220" s="694"/>
      <c r="B220" s="298"/>
      <c r="C220" s="1302"/>
      <c r="D220" s="1306"/>
      <c r="E220" s="2810" t="str">
        <f>Translations!$B$577</f>
        <v>Посочените тук данни се използват само с цел проверка на съответствието и нямат пряко отражение върху емисиите, които могат да бъдат зададени.</v>
      </c>
      <c r="F220" s="2240"/>
      <c r="G220" s="2240"/>
      <c r="H220" s="2240"/>
      <c r="I220" s="2240"/>
      <c r="J220" s="2240"/>
      <c r="K220" s="2240"/>
      <c r="L220" s="2240"/>
      <c r="M220" s="2240"/>
      <c r="N220" s="2811"/>
      <c r="O220" s="302"/>
      <c r="P220" s="302"/>
      <c r="Q220" s="729"/>
      <c r="R220" s="694"/>
      <c r="S220" s="729"/>
      <c r="T220" s="729"/>
      <c r="U220" s="729"/>
      <c r="V220" s="729"/>
      <c r="W220" s="694"/>
      <c r="X220" s="694"/>
      <c r="Y220" s="694"/>
      <c r="Z220" s="694"/>
      <c r="AA220" s="694"/>
      <c r="AB220" s="694"/>
      <c r="AC220" s="694"/>
      <c r="AD220" s="694"/>
      <c r="AE220" s="694"/>
      <c r="AF220" s="694"/>
      <c r="AG220" s="694"/>
      <c r="AH220" s="694"/>
      <c r="AI220" s="694"/>
      <c r="AJ220" s="694"/>
      <c r="AK220" s="694"/>
      <c r="AL220" s="694"/>
    </row>
    <row r="221" spans="1:38" ht="12.75" customHeight="1" x14ac:dyDescent="0.25">
      <c r="A221" s="694"/>
      <c r="B221" s="298"/>
      <c r="C221" s="1302"/>
      <c r="D221" s="1306"/>
      <c r="E221" s="2816" t="str">
        <f>Translations!$B$578</f>
        <v>Въпреки това от 2026 г. квотите ще бъдат намалени по отношение на факелното изгаряне на отпадни газове, различно от необходимото за безопасността изгаряне във факел.</v>
      </c>
      <c r="F221" s="2240"/>
      <c r="G221" s="2240"/>
      <c r="H221" s="2240"/>
      <c r="I221" s="2240"/>
      <c r="J221" s="2240"/>
      <c r="K221" s="2240"/>
      <c r="L221" s="2240"/>
      <c r="M221" s="2240"/>
      <c r="N221" s="2811"/>
      <c r="O221" s="302"/>
      <c r="P221" s="302"/>
      <c r="Q221" s="729"/>
      <c r="R221" s="694"/>
      <c r="S221" s="729"/>
      <c r="T221" s="729"/>
      <c r="U221" s="729"/>
      <c r="V221" s="729"/>
      <c r="W221" s="729"/>
      <c r="X221" s="729"/>
      <c r="Y221" s="729"/>
      <c r="Z221" s="729"/>
      <c r="AA221" s="694"/>
      <c r="AB221" s="694"/>
      <c r="AC221" s="694"/>
      <c r="AD221" s="694"/>
      <c r="AE221" s="694"/>
      <c r="AF221" s="694"/>
      <c r="AG221" s="694"/>
      <c r="AH221" s="694"/>
      <c r="AI221" s="694"/>
      <c r="AJ221" s="694"/>
      <c r="AK221" s="694"/>
      <c r="AL221" s="694"/>
    </row>
    <row r="222" spans="1:38" ht="12.75" customHeight="1" thickBot="1" x14ac:dyDescent="0.3">
      <c r="A222" s="694"/>
      <c r="B222" s="298"/>
      <c r="C222" s="1302"/>
      <c r="D222" s="1306"/>
      <c r="E222" s="1317"/>
      <c r="F222" s="1318"/>
      <c r="G222" s="1309" t="str">
        <f>EUconst_Unit</f>
        <v>Единица мярка</v>
      </c>
      <c r="H222" s="629">
        <f t="shared" ref="H222:N222" si="94">H$2831</f>
        <v>2024</v>
      </c>
      <c r="I222" s="1310">
        <f t="shared" si="94"/>
        <v>2025</v>
      </c>
      <c r="J222" s="1311">
        <f t="shared" si="94"/>
        <v>2026</v>
      </c>
      <c r="K222" s="629">
        <f t="shared" si="94"/>
        <v>2027</v>
      </c>
      <c r="L222" s="629">
        <f t="shared" si="94"/>
        <v>2028</v>
      </c>
      <c r="M222" s="629">
        <f t="shared" si="94"/>
        <v>2029</v>
      </c>
      <c r="N222" s="1312">
        <f t="shared" si="94"/>
        <v>2030</v>
      </c>
      <c r="O222" s="302"/>
      <c r="P222" s="302"/>
      <c r="Q222" s="729"/>
      <c r="R222" s="694"/>
      <c r="S222" s="729"/>
      <c r="T222" s="729"/>
      <c r="U222" s="729"/>
      <c r="V222" s="729"/>
      <c r="W222" s="729"/>
      <c r="X222" s="729"/>
      <c r="Y222" s="729"/>
      <c r="Z222" s="729"/>
      <c r="AA222" s="694"/>
      <c r="AB222" s="694"/>
      <c r="AC222" s="1178">
        <f t="shared" ref="AC222:AI222" si="95">H$20</f>
        <v>2024</v>
      </c>
      <c r="AD222" s="1178">
        <f t="shared" si="95"/>
        <v>2025</v>
      </c>
      <c r="AE222" s="1178">
        <f t="shared" si="95"/>
        <v>2026</v>
      </c>
      <c r="AF222" s="1178">
        <f t="shared" si="95"/>
        <v>2027</v>
      </c>
      <c r="AG222" s="1178">
        <f t="shared" si="95"/>
        <v>2028</v>
      </c>
      <c r="AH222" s="1178">
        <f t="shared" si="95"/>
        <v>2029</v>
      </c>
      <c r="AI222" s="1178">
        <f t="shared" si="95"/>
        <v>2030</v>
      </c>
      <c r="AJ222" s="694"/>
      <c r="AK222" s="694"/>
      <c r="AL222" s="694"/>
    </row>
    <row r="223" spans="1:38" ht="12.75" customHeight="1" x14ac:dyDescent="0.25">
      <c r="A223" s="694"/>
      <c r="B223" s="298"/>
      <c r="C223" s="1302"/>
      <c r="D223" s="625" t="s">
        <v>1136</v>
      </c>
      <c r="E223" s="2818" t="str">
        <f>Translations!$B$579</f>
        <v>Количества, изгорени във факел</v>
      </c>
      <c r="F223" s="2701"/>
      <c r="G223" s="145"/>
      <c r="H223" s="129"/>
      <c r="I223" s="130"/>
      <c r="J223" s="131"/>
      <c r="K223" s="129"/>
      <c r="L223" s="129"/>
      <c r="M223" s="129"/>
      <c r="N223" s="132"/>
      <c r="O223" s="302"/>
      <c r="P223" s="158"/>
      <c r="Q223" s="729"/>
      <c r="R223" s="694"/>
      <c r="S223" s="729"/>
      <c r="T223" s="729"/>
      <c r="U223" s="729"/>
      <c r="V223" s="729"/>
      <c r="W223" s="729"/>
      <c r="X223" s="729"/>
      <c r="Y223" s="729"/>
      <c r="Z223" s="729"/>
      <c r="AA223" s="694"/>
      <c r="AB223" s="1182" t="s">
        <v>737</v>
      </c>
      <c r="AC223" s="982" t="b">
        <f>AC213</f>
        <v>0</v>
      </c>
      <c r="AD223" s="982" t="b">
        <f t="shared" ref="AD223:AI223" si="96">AD213</f>
        <v>0</v>
      </c>
      <c r="AE223" s="982" t="b">
        <f t="shared" si="96"/>
        <v>0</v>
      </c>
      <c r="AF223" s="982" t="b">
        <f t="shared" si="96"/>
        <v>0</v>
      </c>
      <c r="AG223" s="982" t="b">
        <f t="shared" si="96"/>
        <v>0</v>
      </c>
      <c r="AH223" s="982" t="b">
        <f t="shared" si="96"/>
        <v>0</v>
      </c>
      <c r="AI223" s="982" t="b">
        <f t="shared" si="96"/>
        <v>0</v>
      </c>
      <c r="AJ223" s="1174" t="s">
        <v>2039</v>
      </c>
      <c r="AK223" s="1176" t="str">
        <f>IF(AND(CNTR_ExistSubInstEntries,MSconst_RequireSubAttrEmissions,COUNTIFS(AC223:AI223,FALSE,H223:N223,"")&gt;0),EUconst_Error&amp;"BM"&amp;$Q13,"")</f>
        <v/>
      </c>
      <c r="AL223" s="694"/>
    </row>
    <row r="224" spans="1:38" ht="12.75" customHeight="1" x14ac:dyDescent="0.25">
      <c r="A224" s="694"/>
      <c r="B224" s="298"/>
      <c r="C224" s="1302"/>
      <c r="D224" s="625" t="s">
        <v>1137</v>
      </c>
      <c r="E224" s="2819" t="str">
        <f>Translations!$B$296</f>
        <v>Долна топлина на изгаряне</v>
      </c>
      <c r="F224" s="2705"/>
      <c r="G224" s="1349" t="str">
        <f>IF(ISBLANK(G223),EUconst_GJperUnit,INDEX(EUconst_GJperTorKNm3,MATCH(G223,EUconst_TonnesOrkNm3pa,0)))</f>
        <v>GJ / Единица мярка</v>
      </c>
      <c r="H224" s="137"/>
      <c r="I224" s="138"/>
      <c r="J224" s="139"/>
      <c r="K224" s="137"/>
      <c r="L224" s="137"/>
      <c r="M224" s="137"/>
      <c r="N224" s="140"/>
      <c r="O224" s="302"/>
      <c r="P224" s="158"/>
      <c r="Q224" s="694"/>
      <c r="R224" s="694"/>
      <c r="S224" s="729"/>
      <c r="T224" s="729"/>
      <c r="U224" s="729"/>
      <c r="V224" s="729"/>
      <c r="W224" s="729"/>
      <c r="X224" s="729"/>
      <c r="Y224" s="729"/>
      <c r="Z224" s="729"/>
      <c r="AA224" s="694"/>
      <c r="AB224" s="694"/>
      <c r="AC224" s="982" t="b">
        <f>AC223</f>
        <v>0</v>
      </c>
      <c r="AD224" s="982" t="b">
        <f t="shared" ref="AD224:AI224" si="97">AD223</f>
        <v>0</v>
      </c>
      <c r="AE224" s="982" t="b">
        <f t="shared" si="97"/>
        <v>0</v>
      </c>
      <c r="AF224" s="982" t="b">
        <f t="shared" si="97"/>
        <v>0</v>
      </c>
      <c r="AG224" s="982" t="b">
        <f t="shared" si="97"/>
        <v>0</v>
      </c>
      <c r="AH224" s="982" t="b">
        <f t="shared" si="97"/>
        <v>0</v>
      </c>
      <c r="AI224" s="982" t="b">
        <f t="shared" si="97"/>
        <v>0</v>
      </c>
      <c r="AJ224" s="1174" t="s">
        <v>2039</v>
      </c>
      <c r="AK224" s="1176" t="str">
        <f>IF(AND(CNTR_ExistSubInstEntries,MSconst_RequireSubAttrEmissions,COUNTIFS(AC224:AI224,FALSE,H224:N224,"")&gt;0),EUconst_Error&amp;"BM"&amp;$Q13,"")</f>
        <v/>
      </c>
      <c r="AL224" s="694"/>
    </row>
    <row r="225" spans="1:38" ht="12.75" customHeight="1" x14ac:dyDescent="0.25">
      <c r="A225" s="694"/>
      <c r="B225" s="298"/>
      <c r="C225" s="1302"/>
      <c r="D225" s="625" t="s">
        <v>1138</v>
      </c>
      <c r="E225" s="2820" t="str">
        <f>Translations!$B$580</f>
        <v>Изгорен във факел отпаден газ</v>
      </c>
      <c r="F225" s="2258"/>
      <c r="G225" s="1319" t="str">
        <f>EUconst_TJpa</f>
        <v>TJ / година</v>
      </c>
      <c r="H225" s="1350" t="str">
        <f t="shared" ref="H225:N225" si="98">IF(COUNT(H223:H224)=2,H223*H224/1000,"")</f>
        <v/>
      </c>
      <c r="I225" s="1351" t="str">
        <f t="shared" si="98"/>
        <v/>
      </c>
      <c r="J225" s="1352" t="str">
        <f t="shared" si="98"/>
        <v/>
      </c>
      <c r="K225" s="1350" t="str">
        <f t="shared" si="98"/>
        <v/>
      </c>
      <c r="L225" s="1350" t="str">
        <f t="shared" si="98"/>
        <v/>
      </c>
      <c r="M225" s="1350" t="str">
        <f t="shared" si="98"/>
        <v/>
      </c>
      <c r="N225" s="1353" t="str">
        <f t="shared" si="98"/>
        <v/>
      </c>
      <c r="O225" s="302"/>
      <c r="P225" s="302"/>
      <c r="Q225" s="1190" t="str">
        <f>EUconst_CNTR_WGFlared &amp; I13</f>
        <v>WasteGasFlare_</v>
      </c>
      <c r="R225" s="694"/>
      <c r="S225" s="729"/>
      <c r="T225" s="729"/>
      <c r="U225" s="729"/>
      <c r="V225" s="729"/>
      <c r="W225" s="729"/>
      <c r="X225" s="729"/>
      <c r="Y225" s="729"/>
      <c r="Z225" s="729"/>
      <c r="AA225" s="694"/>
      <c r="AB225" s="694"/>
      <c r="AC225" s="694"/>
      <c r="AD225" s="694"/>
      <c r="AE225" s="694"/>
      <c r="AF225" s="694"/>
      <c r="AG225" s="694"/>
      <c r="AH225" s="694"/>
      <c r="AI225" s="694"/>
      <c r="AJ225" s="694"/>
      <c r="AK225" s="694"/>
      <c r="AL225" s="694"/>
    </row>
    <row r="226" spans="1:38" ht="12.75" customHeight="1" x14ac:dyDescent="0.25">
      <c r="A226" s="694"/>
      <c r="B226" s="298"/>
      <c r="C226" s="1302"/>
      <c r="D226" s="625" t="s">
        <v>1139</v>
      </c>
      <c r="E226" s="2820" t="str">
        <f>Translations!$B$581</f>
        <v>Специфичен EF (изгорен във факел отпаден газ)</v>
      </c>
      <c r="F226" s="2258"/>
      <c r="G226" s="1319" t="str">
        <f>EUconst_tCO2pTJ</f>
        <v>t CO2 / TJ</v>
      </c>
      <c r="H226" s="56"/>
      <c r="I226" s="115"/>
      <c r="J226" s="118"/>
      <c r="K226" s="56"/>
      <c r="L226" s="56"/>
      <c r="M226" s="56"/>
      <c r="N226" s="121"/>
      <c r="O226" s="302"/>
      <c r="P226" s="158"/>
      <c r="Q226" s="1190" t="str">
        <f>EUconst_CNTR_WGFlaredEF &amp; I13</f>
        <v>WasteGasFlareEF_</v>
      </c>
      <c r="R226" s="694"/>
      <c r="S226" s="729"/>
      <c r="T226" s="729"/>
      <c r="U226" s="729"/>
      <c r="V226" s="729"/>
      <c r="W226" s="729"/>
      <c r="X226" s="729"/>
      <c r="Y226" s="729"/>
      <c r="Z226" s="729"/>
      <c r="AA226" s="694"/>
      <c r="AB226" s="1182" t="s">
        <v>737</v>
      </c>
      <c r="AC226" s="982" t="b">
        <f>AC224</f>
        <v>0</v>
      </c>
      <c r="AD226" s="982" t="b">
        <f t="shared" ref="AD226:AI226" si="99">AD224</f>
        <v>0</v>
      </c>
      <c r="AE226" s="982" t="b">
        <f t="shared" si="99"/>
        <v>0</v>
      </c>
      <c r="AF226" s="982" t="b">
        <f t="shared" si="99"/>
        <v>0</v>
      </c>
      <c r="AG226" s="982" t="b">
        <f t="shared" si="99"/>
        <v>0</v>
      </c>
      <c r="AH226" s="982" t="b">
        <f t="shared" si="99"/>
        <v>0</v>
      </c>
      <c r="AI226" s="982" t="b">
        <f t="shared" si="99"/>
        <v>0</v>
      </c>
      <c r="AJ226" s="1174" t="s">
        <v>2039</v>
      </c>
      <c r="AK226" s="1176" t="str">
        <f>IF(AND(CNTR_ExistSubInstEntries,MSconst_RequireSubAttrEmissions,COUNTIFS(AC226:AI226,FALSE,H226:N226,"")&gt;0),EUconst_Error&amp;"BM"&amp;$Q13,"")</f>
        <v/>
      </c>
      <c r="AL226" s="694"/>
    </row>
    <row r="227" spans="1:38" ht="5.15" customHeight="1" thickBot="1" x14ac:dyDescent="0.3">
      <c r="A227" s="694"/>
      <c r="B227" s="298"/>
      <c r="C227" s="1302"/>
      <c r="D227" s="1306"/>
      <c r="E227" s="1306"/>
      <c r="F227" s="1306"/>
      <c r="G227" s="1306"/>
      <c r="H227" s="1354"/>
      <c r="I227" s="1306"/>
      <c r="J227" s="1306"/>
      <c r="K227" s="1306"/>
      <c r="L227" s="1306"/>
      <c r="M227" s="626"/>
      <c r="N227" s="1316"/>
      <c r="O227" s="302"/>
      <c r="P227" s="302"/>
      <c r="Q227" s="729"/>
      <c r="R227" s="694"/>
      <c r="S227" s="729"/>
      <c r="T227" s="729"/>
      <c r="U227" s="729"/>
      <c r="V227" s="729"/>
      <c r="W227" s="694"/>
      <c r="X227" s="694"/>
      <c r="Y227" s="694"/>
      <c r="Z227" s="694"/>
      <c r="AA227" s="694"/>
      <c r="AB227" s="694"/>
      <c r="AC227" s="694"/>
      <c r="AD227" s="694"/>
      <c r="AE227" s="694"/>
      <c r="AF227" s="694"/>
      <c r="AG227" s="694"/>
      <c r="AH227" s="694"/>
      <c r="AI227" s="694"/>
      <c r="AJ227" s="694"/>
      <c r="AK227" s="694"/>
      <c r="AL227" s="694"/>
    </row>
    <row r="228" spans="1:38" ht="12.75" customHeight="1" thickBot="1" x14ac:dyDescent="0.3">
      <c r="A228" s="694"/>
      <c r="B228" s="298"/>
      <c r="C228" s="1302"/>
      <c r="D228" s="1306"/>
      <c r="E228" s="2820" t="str">
        <f>Translations!$B$1330</f>
        <v>Количество изгорен във факел отпаден газ</v>
      </c>
      <c r="F228" s="2820"/>
      <c r="G228" s="1355" t="str">
        <f>EUconst_tCO2</f>
        <v>t CO2</v>
      </c>
      <c r="H228" s="1356" t="str">
        <f t="shared" ref="H228:N228" si="100">IF(T21,SUM(H225)*SUM(H226),"")</f>
        <v/>
      </c>
      <c r="I228" s="1357" t="str">
        <f t="shared" si="100"/>
        <v/>
      </c>
      <c r="J228" s="1358" t="str">
        <f t="shared" si="100"/>
        <v/>
      </c>
      <c r="K228" s="1356" t="str">
        <f t="shared" si="100"/>
        <v/>
      </c>
      <c r="L228" s="1356" t="str">
        <f t="shared" si="100"/>
        <v/>
      </c>
      <c r="M228" s="1356" t="str">
        <f t="shared" si="100"/>
        <v/>
      </c>
      <c r="N228" s="1356" t="str">
        <f t="shared" si="100"/>
        <v/>
      </c>
      <c r="O228" s="302"/>
      <c r="P228" s="302"/>
      <c r="Q228" s="1190" t="str">
        <f>EUconst_CNTR_HAL &amp; EUconst_CNTR_WGFlared &amp; I13</f>
        <v>HAL_WasteGasFlare_</v>
      </c>
      <c r="R228" s="694"/>
      <c r="S228" s="1174" t="s">
        <v>1811</v>
      </c>
      <c r="T228" s="1169" t="b">
        <f>CNTR_SubPeriod=2</f>
        <v>1</v>
      </c>
      <c r="U228" s="729"/>
      <c r="V228" s="729"/>
      <c r="W228" s="694"/>
      <c r="X228" s="694"/>
      <c r="Y228" s="694"/>
      <c r="Z228" s="694"/>
      <c r="AA228" s="694"/>
      <c r="AB228" s="694"/>
      <c r="AC228" s="694"/>
      <c r="AD228" s="694"/>
      <c r="AE228" s="694"/>
      <c r="AF228" s="694"/>
      <c r="AG228" s="694"/>
      <c r="AH228" s="694"/>
      <c r="AI228" s="694"/>
      <c r="AJ228" s="694"/>
      <c r="AK228" s="694"/>
      <c r="AL228" s="694"/>
    </row>
    <row r="229" spans="1:38" ht="5.15" customHeight="1" thickBot="1" x14ac:dyDescent="0.3">
      <c r="A229" s="694"/>
      <c r="B229" s="298"/>
      <c r="C229" s="1302"/>
      <c r="D229" s="1306"/>
      <c r="E229" s="1306"/>
      <c r="F229" s="1306"/>
      <c r="G229" s="1306"/>
      <c r="H229" s="1354"/>
      <c r="I229" s="1306"/>
      <c r="J229" s="1306"/>
      <c r="K229" s="1306"/>
      <c r="L229" s="1306"/>
      <c r="M229" s="626"/>
      <c r="N229" s="1316"/>
      <c r="O229" s="302"/>
      <c r="P229" s="302"/>
      <c r="Q229" s="729"/>
      <c r="R229" s="694"/>
      <c r="S229" s="729"/>
      <c r="T229" s="729"/>
      <c r="U229" s="729"/>
      <c r="V229" s="729"/>
      <c r="W229" s="694"/>
      <c r="X229" s="694"/>
      <c r="Y229" s="694"/>
      <c r="Z229" s="694"/>
      <c r="AA229" s="694"/>
      <c r="AB229" s="694"/>
      <c r="AC229" s="694"/>
      <c r="AD229" s="694"/>
      <c r="AE229" s="694"/>
      <c r="AF229" s="694"/>
      <c r="AG229" s="694"/>
      <c r="AH229" s="694"/>
      <c r="AI229" s="694"/>
      <c r="AJ229" s="694"/>
      <c r="AK229" s="694"/>
      <c r="AL229" s="694"/>
    </row>
    <row r="230" spans="1:38" ht="5.15" customHeight="1" thickBot="1" x14ac:dyDescent="0.3">
      <c r="A230" s="694"/>
      <c r="B230" s="298"/>
      <c r="C230" s="1302"/>
      <c r="D230" s="1359"/>
      <c r="E230" s="1360"/>
      <c r="F230" s="1360"/>
      <c r="G230" s="1360"/>
      <c r="H230" s="1361"/>
      <c r="I230" s="1360"/>
      <c r="J230" s="1360"/>
      <c r="K230" s="1360"/>
      <c r="L230" s="1360"/>
      <c r="M230" s="1362"/>
      <c r="N230" s="1363"/>
      <c r="O230" s="302"/>
      <c r="P230" s="302"/>
      <c r="Q230" s="729"/>
      <c r="R230" s="694"/>
      <c r="S230" s="729"/>
      <c r="T230" s="729"/>
      <c r="U230" s="729"/>
      <c r="V230" s="729"/>
      <c r="W230" s="694"/>
      <c r="X230" s="694"/>
      <c r="Y230" s="694"/>
      <c r="Z230" s="694"/>
      <c r="AA230" s="694"/>
      <c r="AB230" s="694"/>
      <c r="AC230" s="694"/>
      <c r="AD230" s="694"/>
      <c r="AE230" s="694"/>
      <c r="AF230" s="694"/>
      <c r="AG230" s="694"/>
      <c r="AH230" s="694"/>
      <c r="AI230" s="694"/>
      <c r="AJ230" s="694"/>
      <c r="AK230" s="694"/>
      <c r="AL230" s="694"/>
    </row>
    <row r="231" spans="1:38" ht="12.75" customHeight="1" x14ac:dyDescent="0.25">
      <c r="A231" s="694"/>
      <c r="B231" s="298"/>
      <c r="C231" s="1302"/>
      <c r="D231" s="1197" t="s">
        <v>2004</v>
      </c>
      <c r="E231" s="2823" t="str">
        <f>Translations!$B$1331</f>
        <v>Корекции: изгорени във факел отпадни газове</v>
      </c>
      <c r="F231" s="2672"/>
      <c r="G231" s="2672"/>
      <c r="H231" s="1200" t="str">
        <f>EUconst_Unit</f>
        <v>Единица мярка</v>
      </c>
      <c r="I231" s="1201" t="str">
        <f>Translations!$B$1327</f>
        <v>(НМИ) стойност</v>
      </c>
      <c r="J231" s="1202">
        <f>J$2831</f>
        <v>2026</v>
      </c>
      <c r="K231" s="1203">
        <f>K$2831</f>
        <v>2027</v>
      </c>
      <c r="L231" s="1203">
        <f>L$2831</f>
        <v>2028</v>
      </c>
      <c r="M231" s="1203">
        <f>M$2831</f>
        <v>2029</v>
      </c>
      <c r="N231" s="1204">
        <f>N$2831</f>
        <v>2030</v>
      </c>
      <c r="O231" s="302"/>
      <c r="P231" s="302"/>
      <c r="Q231" s="729"/>
      <c r="R231" s="694"/>
      <c r="S231" s="694"/>
      <c r="T231" s="694"/>
      <c r="U231" s="1205"/>
      <c r="V231" s="1206">
        <f>J231</f>
        <v>2026</v>
      </c>
      <c r="W231" s="1206">
        <f>K231</f>
        <v>2027</v>
      </c>
      <c r="X231" s="1206">
        <f>L231</f>
        <v>2028</v>
      </c>
      <c r="Y231" s="1206">
        <f>M231</f>
        <v>2029</v>
      </c>
      <c r="Z231" s="1207">
        <f>N231</f>
        <v>2030</v>
      </c>
      <c r="AA231" s="694"/>
      <c r="AB231" s="694"/>
      <c r="AC231" s="694"/>
      <c r="AD231" s="694"/>
      <c r="AE231" s="694"/>
      <c r="AF231" s="694"/>
      <c r="AG231" s="694"/>
      <c r="AH231" s="694"/>
      <c r="AI231" s="694"/>
      <c r="AJ231" s="694"/>
      <c r="AK231" s="694"/>
      <c r="AL231" s="694"/>
    </row>
    <row r="232" spans="1:38" ht="12.75" customHeight="1" x14ac:dyDescent="0.25">
      <c r="A232" s="694"/>
      <c r="B232" s="298"/>
      <c r="C232" s="1302"/>
      <c r="D232" s="1208" t="s">
        <v>6</v>
      </c>
      <c r="E232" s="2822" t="str">
        <f>Translations!$B$1328</f>
        <v>Средна годишна стойност</v>
      </c>
      <c r="F232" s="2258"/>
      <c r="G232" s="2258"/>
      <c r="H232" s="1266" t="str">
        <f>G228</f>
        <v>t CO2</v>
      </c>
      <c r="I232" s="1211" t="str">
        <f>INDEX('B+C_SubInstallations'!$K:$K,MATCH(Q232,'B+C_SubInstallations'!$V:$V,0))</f>
        <v/>
      </c>
      <c r="J232" s="1267" t="str">
        <f>IF($T228&lt;&gt;TRUE,"",IF(AND(V232&gt;=3,CNTR_ReportingYear&gt;J231-1),AVERAGE(SUM(H228),SUM(I228)),""))</f>
        <v/>
      </c>
      <c r="K232" s="1268" t="str">
        <f>IF($T228&lt;&gt;TRUE,"",IF(AND(W232&gt;=3,CNTR_ReportingYear&gt;K231-1),AVERAGE(SUM(I228),SUM(J228)),""))</f>
        <v/>
      </c>
      <c r="L232" s="1268" t="str">
        <f>IF($T228&lt;&gt;TRUE,"",IF(AND(X232&gt;=3,CNTR_ReportingYear&gt;L231-1),AVERAGE(SUM(J228),SUM(K228)),""))</f>
        <v/>
      </c>
      <c r="M232" s="1268" t="str">
        <f>IF($T228&lt;&gt;TRUE,"",IF(AND(Y232&gt;=3,CNTR_ReportingYear&gt;M231-1),AVERAGE(SUM(K228),SUM(L228)),""))</f>
        <v/>
      </c>
      <c r="N232" s="1269" t="str">
        <f>IF($T228&lt;&gt;TRUE,"",IF(AND(Z232&gt;=3,CNTR_ReportingYear&gt;N231-1),AVERAGE(SUM(L228),SUM(M228)),""))</f>
        <v/>
      </c>
      <c r="O232" s="302"/>
      <c r="P232" s="302"/>
      <c r="Q232" s="1190" t="str">
        <f>EUconst_CNTR_HALinitial &amp; EUconst_CNTR_WGFlared &amp; I13</f>
        <v>HALini_WasteGasFlare_</v>
      </c>
      <c r="R232" s="694"/>
      <c r="S232" s="694"/>
      <c r="T232" s="694"/>
      <c r="U232" s="1365" t="s">
        <v>1710</v>
      </c>
      <c r="V232" s="1176">
        <f>V35</f>
        <v>0</v>
      </c>
      <c r="W232" s="1176">
        <f>W35</f>
        <v>0</v>
      </c>
      <c r="X232" s="1176">
        <f>X35</f>
        <v>0</v>
      </c>
      <c r="Y232" s="1176">
        <f>Y35</f>
        <v>0</v>
      </c>
      <c r="Z232" s="1216">
        <f>Z35</f>
        <v>0</v>
      </c>
      <c r="AA232" s="694"/>
      <c r="AB232" s="694"/>
      <c r="AC232" s="694"/>
      <c r="AD232" s="694"/>
      <c r="AE232" s="694"/>
      <c r="AF232" s="694"/>
      <c r="AG232" s="694"/>
      <c r="AH232" s="694"/>
      <c r="AI232" s="694"/>
      <c r="AJ232" s="694"/>
      <c r="AK232" s="694"/>
      <c r="AL232" s="694"/>
    </row>
    <row r="233" spans="1:38" ht="12.75" hidden="1" customHeight="1" x14ac:dyDescent="0.25">
      <c r="A233" s="729" t="s">
        <v>312</v>
      </c>
      <c r="B233" s="298"/>
      <c r="C233" s="1302"/>
      <c r="D233" s="1208"/>
      <c r="E233" s="2822" t="str">
        <f>Translations!$B$1378</f>
        <v>Промяна в сравнение със стойността в НМИ</v>
      </c>
      <c r="F233" s="2258"/>
      <c r="G233" s="2258"/>
      <c r="H233" s="1222"/>
      <c r="I233" s="1223"/>
      <c r="J233" s="104" t="str">
        <f>IF(J232="","",IF($I235=0,IF(J232=0,0%,100%),J232/$I235-1))</f>
        <v/>
      </c>
      <c r="K233" s="99" t="str">
        <f>IF(K232="","",IF($I235=0,IF(K232=0,0%,100%),K232/$I235-1))</f>
        <v/>
      </c>
      <c r="L233" s="99" t="str">
        <f>IF(L232="","",IF($I235=0,IF(L232=0,0%,100%),L232/$I235-1))</f>
        <v/>
      </c>
      <c r="M233" s="99" t="str">
        <f>IF(M232="","",IF($I235=0,IF(M232=0,0%,100%),M232/$I235-1))</f>
        <v/>
      </c>
      <c r="N233" s="123" t="str">
        <f>IF(N232="","",IF($I235=0,IF(N232=0,0%,100%),N232/$I235-1))</f>
        <v/>
      </c>
      <c r="O233" s="302"/>
      <c r="P233" s="302"/>
      <c r="Q233" s="1190" t="str">
        <f>EUconst_CNTR_RelThreshold &amp; Q235</f>
        <v>RelThresh_HALprelim_WasteGasFlare_</v>
      </c>
      <c r="R233" s="694"/>
      <c r="S233" s="694"/>
      <c r="T233" s="694"/>
      <c r="U233" s="1365" t="s">
        <v>1715</v>
      </c>
      <c r="V233" s="727" t="str">
        <f>IF(J232="","",ABS(J233)&gt;15%)</f>
        <v/>
      </c>
      <c r="W233" s="727" t="str">
        <f>IF(K232="","",ABS(K233)&gt;15%)</f>
        <v/>
      </c>
      <c r="X233" s="727" t="str">
        <f>IF(L232="","",ABS(L233)&gt;15%)</f>
        <v/>
      </c>
      <c r="Y233" s="727" t="str">
        <f>IF(M232="","",ABS(M233)&gt;15%)</f>
        <v/>
      </c>
      <c r="Z233" s="1221" t="str">
        <f>IF(N232="","",ABS(N233)&gt;15%)</f>
        <v/>
      </c>
      <c r="AA233" s="694"/>
      <c r="AB233" s="694"/>
      <c r="AC233" s="694"/>
      <c r="AD233" s="694"/>
      <c r="AE233" s="694"/>
      <c r="AF233" s="694"/>
      <c r="AG233" s="694"/>
      <c r="AH233" s="694"/>
      <c r="AI233" s="694"/>
      <c r="AJ233" s="694"/>
      <c r="AK233" s="694"/>
      <c r="AL233" s="694"/>
    </row>
    <row r="234" spans="1:38" ht="12.75" customHeight="1" x14ac:dyDescent="0.25">
      <c r="A234" s="729"/>
      <c r="B234" s="298"/>
      <c r="C234" s="1302"/>
      <c r="D234" s="1208" t="s">
        <v>7</v>
      </c>
      <c r="E234" s="2822" t="str">
        <f>Translations!$B$1322</f>
        <v>Предварителна корекция (ако са надвишени относителните прагове)</v>
      </c>
      <c r="F234" s="2258"/>
      <c r="G234" s="2258"/>
      <c r="H234" s="1222"/>
      <c r="I234" s="1223"/>
      <c r="J234" s="1224" t="str">
        <f>IF(J232="","",IF(V233=FALSE,0%,IF(V234,J233,I240)))</f>
        <v/>
      </c>
      <c r="K234" s="1225" t="str">
        <f>IF(K232="","",IF(W233=FALSE,0%,IF(W234,K233,J240)))</f>
        <v/>
      </c>
      <c r="L234" s="1225" t="str">
        <f>IF(L232="","",IF(X233=FALSE,0%,IF(X234,L233,K240)))</f>
        <v/>
      </c>
      <c r="M234" s="1225" t="str">
        <f>IF(M232="","",IF(Y233=FALSE,0%,IF(Y234,M233,L240)))</f>
        <v/>
      </c>
      <c r="N234" s="1226" t="str">
        <f>IF(N232="","",IF(Z233=FALSE,0%,IF(Z234,N233,M240)))</f>
        <v/>
      </c>
      <c r="O234" s="302"/>
      <c r="P234" s="302"/>
      <c r="Q234" s="729"/>
      <c r="R234" s="694"/>
      <c r="S234" s="694"/>
      <c r="T234" s="694"/>
      <c r="U234" s="1215" t="s">
        <v>1716</v>
      </c>
      <c r="V234" s="727" t="str">
        <f>IF(J232="","",AND(V233,IF(SUM(I240)&lt;0,OR(SUM(J233)&lt;SUM(I240)-MOD(SUM(I240),5%),J233&gt;=SUM(I240)+5%-MOD(SUM(I240),5%)),OR(SUM(J233)&lt;=SUM(I240)-MOD(SUM(I240),5%),SUM(J233)&gt;SUM(I240)+5%-MOD(SUM(I240),5%)))))</f>
        <v/>
      </c>
      <c r="W234" s="727" t="str">
        <f>IF(K232="","",AND(W233,IF(SUM(J240)&lt;0,OR(SUM(K233)&lt;SUM(J240)-MOD(SUM(J240),5%),K233&gt;=SUM(J240)+5%-MOD(SUM(J240),5%)),OR(SUM(K233)&lt;=SUM(J240)-MOD(SUM(J240),5%),SUM(K233)&gt;SUM(J240)+5%-MOD(SUM(J240),5%)))))</f>
        <v/>
      </c>
      <c r="X234" s="727" t="str">
        <f>IF(L232="","",AND(X233,IF(SUM(K240)&lt;0,OR(SUM(L233)&lt;SUM(K240)-MOD(SUM(K240),5%),L233&gt;=SUM(K240)+5%-MOD(SUM(K240),5%)),OR(SUM(L233)&lt;=SUM(K240)-MOD(SUM(K240),5%),SUM(L233)&gt;SUM(K240)+5%-MOD(SUM(K240),5%)))))</f>
        <v/>
      </c>
      <c r="Y234" s="727" t="str">
        <f>IF(M232="","",AND(Y233,IF(SUM(L240)&lt;0,OR(SUM(M233)&lt;SUM(L240)-MOD(SUM(L240),5%),M233&gt;=SUM(L240)+5%-MOD(SUM(L240),5%)),OR(SUM(M233)&lt;=SUM(L240)-MOD(SUM(L240),5%),SUM(M233)&gt;SUM(L240)+5%-MOD(SUM(L240),5%)))))</f>
        <v/>
      </c>
      <c r="Z234" s="1221" t="str">
        <f>IF(N232="","",AND(Z233,IF(SUM(M240)&lt;0,OR(SUM(N233)&lt;SUM(M240)-MOD(SUM(M240),5%),N233&gt;=SUM(M240)+5%-MOD(SUM(M240),5%)),OR(SUM(N233)&lt;=SUM(M240)-MOD(SUM(M240),5%),SUM(N233)&gt;SUM(M240)+5%-MOD(SUM(M240),5%)))))</f>
        <v/>
      </c>
      <c r="AA234" s="694"/>
      <c r="AB234" s="694"/>
      <c r="AC234" s="694"/>
      <c r="AD234" s="694"/>
      <c r="AE234" s="694"/>
      <c r="AF234" s="694"/>
      <c r="AG234" s="694"/>
      <c r="AH234" s="694"/>
      <c r="AI234" s="694"/>
      <c r="AJ234" s="694"/>
      <c r="AK234" s="694"/>
      <c r="AL234" s="694"/>
    </row>
    <row r="235" spans="1:38" ht="12.75" hidden="1" customHeight="1" x14ac:dyDescent="0.25">
      <c r="A235" s="729" t="s">
        <v>312</v>
      </c>
      <c r="B235" s="298"/>
      <c r="C235" s="1302"/>
      <c r="D235" s="1208"/>
      <c r="E235" s="2822" t="str">
        <f>Translations!$B$1377</f>
        <v>Предварителна стойност</v>
      </c>
      <c r="F235" s="2258"/>
      <c r="G235" s="2258"/>
      <c r="H235" s="1266" t="str">
        <f>H232</f>
        <v>t CO2</v>
      </c>
      <c r="I235" s="1211" t="str">
        <f>IF($I13="","",IF(AB13=FALSE,EUconst_NA,IF(V13&gt;($J$2831-3),INDEX(H228:N228,MATCH(V13,H222:N222,0)),SUM(I232))))</f>
        <v/>
      </c>
      <c r="J235" s="1212" t="str">
        <f>IF($I13="","",IF(V232&lt;2,SUM(J228),IF(V232&lt;3,SUM(I228),IF(V235="",I235,V235))))</f>
        <v/>
      </c>
      <c r="K235" s="1213" t="str">
        <f>IF($I13="","",IF(W232&lt;2,SUM(K228),IF(W232&lt;3,SUM(J228),IF(W235="",J235,W235))))</f>
        <v/>
      </c>
      <c r="L235" s="1213" t="str">
        <f>IF($I13="","",IF(X232&lt;2,SUM(L228),IF(X232&lt;3,SUM(K228),IF(X235="",K235,X235))))</f>
        <v/>
      </c>
      <c r="M235" s="1213" t="str">
        <f>IF($I13="","",IF(Y232&lt;2,SUM(M228),IF(Y232&lt;3,SUM(L228),IF(Y235="",L235,Y235))))</f>
        <v/>
      </c>
      <c r="N235" s="1214" t="str">
        <f>IF($I13="","",IF(Z232&lt;2,SUM(N228),IF(Z232&lt;3,SUM(M228),IF(Z235="",M235,Z235))))</f>
        <v/>
      </c>
      <c r="O235" s="302"/>
      <c r="P235" s="302"/>
      <c r="Q235" s="1190" t="str">
        <f>EUconst_CNTR_HALprelim&amp;EUconst_CNTR_WGFlared &amp; I13</f>
        <v>HALprelim_WasteGasFlare_</v>
      </c>
      <c r="R235" s="694"/>
      <c r="S235" s="694"/>
      <c r="T235" s="694"/>
      <c r="U235" s="1365" t="s">
        <v>1756</v>
      </c>
      <c r="V235" s="1227" t="str">
        <f>IF(J232="","",IF(CNTR_ReportingYear&lt;J231,I234,IF($I235=0,J232,$I235*(1+J234))))</f>
        <v/>
      </c>
      <c r="W235" s="1227" t="str">
        <f>IF(K232="","",IF(CNTR_ReportingYear&lt;K231,J234,IF($I235=0,K232,$I235*(1+K234))))</f>
        <v/>
      </c>
      <c r="X235" s="1227" t="str">
        <f>IF(L232="","",IF(CNTR_ReportingYear&lt;L231,K234,IF($I235=0,L232,$I235*(1+L234))))</f>
        <v/>
      </c>
      <c r="Y235" s="1227" t="str">
        <f>IF(M232="","",IF(CNTR_ReportingYear&lt;M231,L234,IF($I235=0,M232,$I235*(1+M234))))</f>
        <v/>
      </c>
      <c r="Z235" s="1228" t="str">
        <f>IF(N232="","",IF(CNTR_ReportingYear&lt;N231,M234,IF($I235=0,N232,$I235*(1+N234))))</f>
        <v/>
      </c>
      <c r="AA235" s="694"/>
      <c r="AB235" s="694"/>
      <c r="AC235" s="694"/>
      <c r="AD235" s="694"/>
      <c r="AE235" s="694"/>
      <c r="AF235" s="694"/>
      <c r="AG235" s="694"/>
      <c r="AH235" s="694"/>
      <c r="AI235" s="694"/>
      <c r="AJ235" s="694"/>
      <c r="AK235" s="694"/>
      <c r="AL235" s="694"/>
    </row>
    <row r="236" spans="1:38" ht="5.15" customHeight="1" x14ac:dyDescent="0.25">
      <c r="A236" s="729"/>
      <c r="B236" s="298"/>
      <c r="C236" s="1302"/>
      <c r="D236" s="1208"/>
      <c r="E236" s="1199"/>
      <c r="F236" s="1199"/>
      <c r="G236" s="1199"/>
      <c r="H236" s="1199"/>
      <c r="I236" s="1199"/>
      <c r="J236" s="1229"/>
      <c r="K236" s="1229"/>
      <c r="L236" s="1229"/>
      <c r="M236" s="1229"/>
      <c r="N236" s="1230"/>
      <c r="O236" s="302"/>
      <c r="P236" s="302"/>
      <c r="Q236" s="729"/>
      <c r="R236" s="694"/>
      <c r="S236" s="694"/>
      <c r="T236" s="694"/>
      <c r="U236" s="1231"/>
      <c r="V236" s="729"/>
      <c r="W236" s="694"/>
      <c r="X236" s="694"/>
      <c r="Y236" s="694"/>
      <c r="Z236" s="1232"/>
      <c r="AA236" s="694"/>
      <c r="AB236" s="694"/>
      <c r="AC236" s="694"/>
      <c r="AD236" s="694"/>
      <c r="AE236" s="694"/>
      <c r="AF236" s="694"/>
      <c r="AG236" s="694"/>
      <c r="AH236" s="694"/>
      <c r="AI236" s="694"/>
      <c r="AJ236" s="694"/>
      <c r="AK236" s="694"/>
      <c r="AL236" s="694"/>
    </row>
    <row r="237" spans="1:38" ht="12.75" customHeight="1" x14ac:dyDescent="0.25">
      <c r="A237" s="729"/>
      <c r="B237" s="298"/>
      <c r="C237" s="1302"/>
      <c r="D237" s="1208"/>
      <c r="E237" s="2823" t="str">
        <f>Translations!$B$1323</f>
        <v>Действителна корекция (база за следващи години)</v>
      </c>
      <c r="F237" s="2672"/>
      <c r="G237" s="2672"/>
      <c r="H237" s="2672"/>
      <c r="I237" s="2813"/>
      <c r="J237" s="1202">
        <f>J$2831</f>
        <v>2026</v>
      </c>
      <c r="K237" s="1203">
        <f>K$2831</f>
        <v>2027</v>
      </c>
      <c r="L237" s="1203">
        <f>L$2831</f>
        <v>2028</v>
      </c>
      <c r="M237" s="1203">
        <f>M$2831</f>
        <v>2029</v>
      </c>
      <c r="N237" s="1204">
        <f>N$2831</f>
        <v>2030</v>
      </c>
      <c r="O237" s="302"/>
      <c r="P237" s="302"/>
      <c r="Q237" s="729"/>
      <c r="R237" s="694"/>
      <c r="S237" s="694"/>
      <c r="T237" s="694"/>
      <c r="U237" s="1234"/>
      <c r="V237" s="694"/>
      <c r="W237" s="694"/>
      <c r="X237" s="694"/>
      <c r="Y237" s="694"/>
      <c r="Z237" s="1232"/>
      <c r="AA237" s="694"/>
      <c r="AB237" s="694"/>
      <c r="AC237" s="694"/>
      <c r="AD237" s="694"/>
      <c r="AE237" s="694"/>
      <c r="AF237" s="694"/>
      <c r="AG237" s="694"/>
      <c r="AH237" s="694"/>
      <c r="AI237" s="694"/>
      <c r="AJ237" s="694"/>
      <c r="AK237" s="694"/>
      <c r="AL237" s="694"/>
    </row>
    <row r="238" spans="1:38" ht="12.75" customHeight="1" x14ac:dyDescent="0.25">
      <c r="A238" s="729"/>
      <c r="B238" s="298"/>
      <c r="C238" s="1302"/>
      <c r="D238" s="1208" t="s">
        <v>8</v>
      </c>
      <c r="E238" s="2822" t="str">
        <f>Translations!$B$1515</f>
        <v>изпълнен ли е критерият за &gt;=300 квоти за емисии?</v>
      </c>
      <c r="F238" s="2258"/>
      <c r="G238" s="2258"/>
      <c r="H238" s="2258"/>
      <c r="I238" s="2824"/>
      <c r="J238" s="1236" t="str">
        <f>IF($I13="","",INDEX(K_Summary!J:J,MATCH($Q238,K_Summary!$P:$P,0)))</f>
        <v/>
      </c>
      <c r="K238" s="385" t="str">
        <f>IF($I13="","",INDEX(K_Summary!K:K,MATCH($Q238,K_Summary!$P:$P,0)))</f>
        <v/>
      </c>
      <c r="L238" s="385" t="str">
        <f>IF($I13="","",INDEX(K_Summary!L:L,MATCH($Q238,K_Summary!$P:$P,0)))</f>
        <v/>
      </c>
      <c r="M238" s="385" t="str">
        <f>IF($I13="","",INDEX(K_Summary!M:M,MATCH($Q238,K_Summary!$P:$P,0)))</f>
        <v/>
      </c>
      <c r="N238" s="1237" t="str">
        <f>IF($I13="","",INDEX(K_Summary!N:N,MATCH($Q238,K_Summary!$P:$P,0)))</f>
        <v/>
      </c>
      <c r="O238" s="302"/>
      <c r="P238" s="302"/>
      <c r="Q238" s="1182" t="str">
        <f>EUconst_CNTR_300EUA&amp;I13</f>
        <v>EUA300_</v>
      </c>
      <c r="R238" s="694"/>
      <c r="S238" s="694"/>
      <c r="T238" s="694"/>
      <c r="U238" s="1234"/>
      <c r="V238" s="694"/>
      <c r="W238" s="694"/>
      <c r="X238" s="694"/>
      <c r="Y238" s="694"/>
      <c r="Z238" s="1232"/>
      <c r="AA238" s="694"/>
      <c r="AB238" s="694"/>
      <c r="AC238" s="694"/>
      <c r="AD238" s="694"/>
      <c r="AE238" s="694"/>
      <c r="AF238" s="694"/>
      <c r="AG238" s="694"/>
      <c r="AH238" s="694"/>
      <c r="AI238" s="694"/>
      <c r="AJ238" s="694"/>
      <c r="AK238" s="694"/>
      <c r="AL238" s="694"/>
    </row>
    <row r="239" spans="1:38" ht="5.15" customHeight="1" thickBot="1" x14ac:dyDescent="0.3">
      <c r="A239" s="729"/>
      <c r="B239" s="298"/>
      <c r="C239" s="1302"/>
      <c r="D239" s="1208"/>
      <c r="E239" s="1199"/>
      <c r="F239" s="1199"/>
      <c r="G239" s="1199"/>
      <c r="H239" s="1199"/>
      <c r="I239" s="1199"/>
      <c r="J239" s="1199"/>
      <c r="K239" s="1199"/>
      <c r="L239" s="1199"/>
      <c r="M239" s="1199"/>
      <c r="N239" s="1238"/>
      <c r="O239" s="302"/>
      <c r="P239" s="302"/>
      <c r="Q239" s="729"/>
      <c r="R239" s="694"/>
      <c r="S239" s="694"/>
      <c r="T239" s="694"/>
      <c r="U239" s="1231"/>
      <c r="V239" s="729"/>
      <c r="W239" s="694"/>
      <c r="X239" s="694"/>
      <c r="Y239" s="694"/>
      <c r="Z239" s="1232"/>
      <c r="AA239" s="694"/>
      <c r="AB239" s="694"/>
      <c r="AC239" s="694"/>
      <c r="AD239" s="694"/>
      <c r="AE239" s="694"/>
      <c r="AF239" s="694"/>
      <c r="AG239" s="694"/>
      <c r="AH239" s="694"/>
      <c r="AI239" s="694"/>
      <c r="AJ239" s="694"/>
      <c r="AK239" s="694"/>
      <c r="AL239" s="694"/>
    </row>
    <row r="240" spans="1:38" ht="12.75" customHeight="1" thickBot="1" x14ac:dyDescent="0.3">
      <c r="A240" s="694"/>
      <c r="B240" s="298"/>
      <c r="C240" s="1302"/>
      <c r="D240" s="1208" t="s">
        <v>18</v>
      </c>
      <c r="E240" s="2822" t="str">
        <f>Translations!$B$1324</f>
        <v>Действителна корекция (ако са надвишени всички прагове)</v>
      </c>
      <c r="F240" s="2258"/>
      <c r="G240" s="2258"/>
      <c r="H240" s="2258"/>
      <c r="I240" s="2824"/>
      <c r="J240" s="1240" t="str">
        <f>IF(J238="","",IF(OR(J238,V232&lt;1),J234,I240))</f>
        <v/>
      </c>
      <c r="K240" s="1241" t="str">
        <f>IF(K238="","",IF(OR(K238,W232&lt;1),K234,J240))</f>
        <v/>
      </c>
      <c r="L240" s="1241" t="str">
        <f>IF(L238="","",IF(OR(L238,X232&lt;1),L234,K240))</f>
        <v/>
      </c>
      <c r="M240" s="1241" t="str">
        <f>IF(M238="","",IF(OR(M238,Y232&lt;1),M234,L240))</f>
        <v/>
      </c>
      <c r="N240" s="1242" t="str">
        <f>IF(N238="","",IF(OR(N238,Z232&lt;1),N234,M240))</f>
        <v/>
      </c>
      <c r="O240" s="302"/>
      <c r="P240" s="302"/>
      <c r="Q240" s="729"/>
      <c r="R240" s="694"/>
      <c r="S240" s="694"/>
      <c r="T240" s="694"/>
      <c r="U240" s="1231" t="s">
        <v>1718</v>
      </c>
      <c r="V240" s="1243">
        <f>J237</f>
        <v>2026</v>
      </c>
      <c r="W240" s="1243">
        <f>K237</f>
        <v>2027</v>
      </c>
      <c r="X240" s="1243">
        <f>L237</f>
        <v>2028</v>
      </c>
      <c r="Y240" s="1243">
        <f>M237</f>
        <v>2029</v>
      </c>
      <c r="Z240" s="1244">
        <f>N237</f>
        <v>2030</v>
      </c>
      <c r="AA240" s="694"/>
      <c r="AB240" s="694"/>
      <c r="AC240" s="694"/>
      <c r="AD240" s="694"/>
      <c r="AE240" s="694"/>
      <c r="AF240" s="694"/>
      <c r="AG240" s="694"/>
      <c r="AH240" s="694"/>
      <c r="AI240" s="694"/>
      <c r="AJ240" s="694"/>
      <c r="AK240" s="694"/>
      <c r="AL240" s="694"/>
    </row>
    <row r="241" spans="1:38" ht="12.75" customHeight="1" thickBot="1" x14ac:dyDescent="0.3">
      <c r="A241" s="729"/>
      <c r="B241" s="298"/>
      <c r="C241" s="1302"/>
      <c r="D241" s="1208" t="s">
        <v>810</v>
      </c>
      <c r="E241" s="2822" t="str">
        <f>Translations!$B$1325</f>
        <v>Действителна стойност</v>
      </c>
      <c r="F241" s="2258"/>
      <c r="G241" s="2258"/>
      <c r="H241" s="1266" t="str">
        <f>H232</f>
        <v>t CO2</v>
      </c>
      <c r="I241" s="1211" t="str">
        <f>I235</f>
        <v/>
      </c>
      <c r="J241" s="632" t="str">
        <f>IF($I13="","",IF(OR($I241=0,$I241=EUconst_NA),IF(OR(J238=TRUE,J237=$V13),J235,SUM(I241)),IF(J240="",J235,$I241*(1+SUM(J240)))))</f>
        <v/>
      </c>
      <c r="K241" s="633" t="str">
        <f>IF($I13="","",IF(OR($I241=0,$I241=EUconst_NA),IF(OR(K238=TRUE,K237=$V13),K235,SUM(J241)),IF(K240="",K235,$I241*(1+SUM(K240)))))</f>
        <v/>
      </c>
      <c r="L241" s="633" t="str">
        <f>IF($I13="","",IF(OR($I241=0,$I241=EUconst_NA),IF(OR(L238=TRUE,L237=$V13),L235,SUM(K241)),IF(L240="",L235,$I241*(1+SUM(L240)))))</f>
        <v/>
      </c>
      <c r="M241" s="633" t="str">
        <f>IF($I13="","",IF(OR($I241=0,$I241=EUconst_NA),IF(OR(M238=TRUE,M237=$V13),M235,SUM(L241)),IF(M240="",M235,$I241*(1+SUM(M240)))))</f>
        <v/>
      </c>
      <c r="N241" s="634" t="str">
        <f>IF($I13="","",IF(OR($I241=0,$I241=EUconst_NA),IF(OR(N238=TRUE,N237=$V13),N235,SUM(M241)),IF(N240="",N235,$I241*(1+SUM(N240)))))</f>
        <v/>
      </c>
      <c r="O241" s="302"/>
      <c r="P241" s="302"/>
      <c r="Q241" s="1190" t="str">
        <f>EUconst_CNTR_HALfinal&amp;EUconst_CNTR_WGFlared &amp; I13</f>
        <v>HALfinal_WasteGasFlare_</v>
      </c>
      <c r="R241" s="694"/>
      <c r="S241" s="694"/>
      <c r="T241" s="694"/>
      <c r="U241" s="1245" t="b">
        <v>0</v>
      </c>
      <c r="V241" s="1246" t="str">
        <f>IF(V191,IF(J238=TRUE,V21,U241),"")</f>
        <v/>
      </c>
      <c r="W241" s="1246" t="str">
        <f>IF(W191,IF(K238=TRUE,W21,V241),"")</f>
        <v/>
      </c>
      <c r="X241" s="1246" t="str">
        <f>IF(X191,IF(L238=TRUE,X21,W241),"")</f>
        <v/>
      </c>
      <c r="Y241" s="1246" t="str">
        <f>IF(Y191,IF(M238=TRUE,Y21,X241),"")</f>
        <v/>
      </c>
      <c r="Z241" s="1247" t="str">
        <f>IF(Z191,IF(N238=TRUE,Z21,Y241),"")</f>
        <v/>
      </c>
      <c r="AA241" s="694"/>
      <c r="AB241" s="694"/>
      <c r="AC241" s="694"/>
      <c r="AD241" s="694"/>
      <c r="AE241" s="694"/>
      <c r="AF241" s="694"/>
      <c r="AG241" s="694"/>
      <c r="AH241" s="694"/>
      <c r="AI241" s="694"/>
      <c r="AJ241" s="1174" t="s">
        <v>2033</v>
      </c>
      <c r="AK241" s="982" t="str">
        <f>IF(OR(ISERROR(J241),ISERROR(K241),ISERROR(L241),ISERROR(M241),ISERROR(N241)),EUconst_Error &amp; "BM" &amp; Q13,"")</f>
        <v/>
      </c>
      <c r="AL241" s="694"/>
    </row>
    <row r="242" spans="1:38" ht="5.15" customHeight="1" thickBot="1" x14ac:dyDescent="0.3">
      <c r="A242" s="694"/>
      <c r="B242" s="298"/>
      <c r="C242" s="1302"/>
      <c r="D242" s="1366"/>
      <c r="E242" s="1367"/>
      <c r="F242" s="1367"/>
      <c r="G242" s="1367"/>
      <c r="H242" s="1368"/>
      <c r="I242" s="1367"/>
      <c r="J242" s="1367"/>
      <c r="K242" s="1367"/>
      <c r="L242" s="1367"/>
      <c r="M242" s="1249"/>
      <c r="N242" s="1250"/>
      <c r="O242" s="302"/>
      <c r="P242" s="302"/>
      <c r="Q242" s="729"/>
      <c r="R242" s="694"/>
      <c r="S242" s="729"/>
      <c r="T242" s="729"/>
      <c r="U242" s="729"/>
      <c r="V242" s="729"/>
      <c r="W242" s="694"/>
      <c r="X242" s="694"/>
      <c r="Y242" s="694"/>
      <c r="Z242" s="694"/>
      <c r="AA242" s="694"/>
      <c r="AB242" s="694"/>
      <c r="AC242" s="694"/>
      <c r="AD242" s="694"/>
      <c r="AE242" s="694"/>
      <c r="AF242" s="694"/>
      <c r="AG242" s="694"/>
      <c r="AH242" s="694"/>
      <c r="AI242" s="694"/>
      <c r="AJ242" s="694"/>
      <c r="AK242" s="694"/>
      <c r="AL242" s="694"/>
    </row>
    <row r="243" spans="1:38" ht="5.15" customHeight="1" x14ac:dyDescent="0.25">
      <c r="A243" s="694"/>
      <c r="B243" s="298"/>
      <c r="C243" s="1302"/>
      <c r="D243" s="1306"/>
      <c r="E243" s="1306"/>
      <c r="F243" s="1306"/>
      <c r="G243" s="1306"/>
      <c r="H243" s="1354"/>
      <c r="I243" s="1306"/>
      <c r="J243" s="1306"/>
      <c r="K243" s="1306"/>
      <c r="L243" s="1306"/>
      <c r="M243" s="626"/>
      <c r="N243" s="1316"/>
      <c r="O243" s="302"/>
      <c r="P243" s="302"/>
      <c r="Q243" s="729"/>
      <c r="R243" s="694"/>
      <c r="S243" s="729"/>
      <c r="T243" s="729"/>
      <c r="U243" s="729"/>
      <c r="V243" s="729"/>
      <c r="W243" s="694"/>
      <c r="X243" s="694"/>
      <c r="Y243" s="694"/>
      <c r="Z243" s="694"/>
      <c r="AA243" s="694"/>
      <c r="AB243" s="694"/>
      <c r="AC243" s="694"/>
      <c r="AD243" s="694"/>
      <c r="AE243" s="694"/>
      <c r="AF243" s="694"/>
      <c r="AG243" s="694"/>
      <c r="AH243" s="694"/>
      <c r="AI243" s="694"/>
      <c r="AJ243" s="694"/>
      <c r="AK243" s="694"/>
      <c r="AL243" s="694"/>
    </row>
    <row r="244" spans="1:38" ht="12.75" customHeight="1" x14ac:dyDescent="0.25">
      <c r="A244" s="694"/>
      <c r="B244" s="298"/>
      <c r="C244" s="1302"/>
      <c r="D244" s="625" t="s">
        <v>1140</v>
      </c>
      <c r="E244" s="2815" t="str">
        <f>Translations!$B$582</f>
        <v>Видове получени отпадни газове:</v>
      </c>
      <c r="F244" s="2240"/>
      <c r="G244" s="2240"/>
      <c r="H244" s="2684"/>
      <c r="I244" s="2821"/>
      <c r="J244" s="2674"/>
      <c r="K244" s="2674"/>
      <c r="L244" s="2674"/>
      <c r="M244" s="2675"/>
      <c r="N244" s="1316"/>
      <c r="O244" s="302"/>
      <c r="P244" s="158"/>
      <c r="Q244" s="729"/>
      <c r="R244" s="694"/>
      <c r="S244" s="729"/>
      <c r="T244" s="694"/>
      <c r="U244" s="694"/>
      <c r="V244" s="694"/>
      <c r="W244" s="694"/>
      <c r="X244" s="694"/>
      <c r="Y244" s="694"/>
      <c r="Z244" s="694"/>
      <c r="AA244" s="694"/>
      <c r="AB244" s="694"/>
      <c r="AC244" s="1182" t="s">
        <v>737</v>
      </c>
      <c r="AD244" s="982" t="b">
        <f>AD218</f>
        <v>0</v>
      </c>
      <c r="AE244" s="694"/>
      <c r="AF244" s="694"/>
      <c r="AG244" s="694"/>
      <c r="AH244" s="694"/>
      <c r="AI244" s="694"/>
      <c r="AJ244" s="694"/>
      <c r="AK244" s="694"/>
      <c r="AL244" s="694"/>
    </row>
    <row r="245" spans="1:38" ht="12.75" customHeight="1" x14ac:dyDescent="0.25">
      <c r="A245" s="694"/>
      <c r="B245" s="298"/>
      <c r="C245" s="1302"/>
      <c r="D245" s="625"/>
      <c r="E245" s="2816" t="str">
        <f>Translations!$B$583</f>
        <v>Посочените тук данни ще се отразят на емисиите, които могат да бъдат зададени съгласно раздел 10.1.5 от приложение VII към ПБР.</v>
      </c>
      <c r="F245" s="2240"/>
      <c r="G245" s="2240"/>
      <c r="H245" s="2240"/>
      <c r="I245" s="2240"/>
      <c r="J245" s="2240"/>
      <c r="K245" s="2240"/>
      <c r="L245" s="2240"/>
      <c r="M245" s="2240"/>
      <c r="N245" s="2811"/>
      <c r="O245" s="302"/>
      <c r="P245" s="302"/>
      <c r="Q245" s="729"/>
      <c r="R245" s="694"/>
      <c r="S245" s="729"/>
      <c r="T245" s="729"/>
      <c r="U245" s="729"/>
      <c r="V245" s="729"/>
      <c r="W245" s="694"/>
      <c r="X245" s="694"/>
      <c r="Y245" s="694"/>
      <c r="Z245" s="694"/>
      <c r="AA245" s="694"/>
      <c r="AB245" s="694"/>
      <c r="AC245" s="694"/>
      <c r="AD245" s="694"/>
      <c r="AE245" s="694"/>
      <c r="AF245" s="694"/>
      <c r="AG245" s="694"/>
      <c r="AH245" s="694"/>
      <c r="AI245" s="694"/>
      <c r="AJ245" s="694"/>
      <c r="AK245" s="694"/>
      <c r="AL245" s="694"/>
    </row>
    <row r="246" spans="1:38" ht="25.5" customHeight="1" x14ac:dyDescent="0.25">
      <c r="A246" s="694"/>
      <c r="B246" s="298"/>
      <c r="C246" s="1302"/>
      <c r="D246" s="625"/>
      <c r="E246" s="2810" t="str">
        <f>Translations!$B$584</f>
        <v>Това включва всички видове отпадни газове, произведени извън системните граници на тази подинсталация, но получени от нея и използвани за производството на измерима топлинна енергия, неизмерима топлинна енергия (включително необходимото за безопасността изгаряне във факел) или механична енергия (различна от тази за електропроизводство).</v>
      </c>
      <c r="F246" s="2240"/>
      <c r="G246" s="2240"/>
      <c r="H246" s="2240"/>
      <c r="I246" s="2240"/>
      <c r="J246" s="2240"/>
      <c r="K246" s="2240"/>
      <c r="L246" s="2240"/>
      <c r="M246" s="2240"/>
      <c r="N246" s="2811"/>
      <c r="O246" s="302"/>
      <c r="P246" s="302"/>
      <c r="Q246" s="729"/>
      <c r="R246" s="694"/>
      <c r="S246" s="729"/>
      <c r="T246" s="729"/>
      <c r="U246" s="729"/>
      <c r="V246" s="729"/>
      <c r="W246" s="694"/>
      <c r="X246" s="694"/>
      <c r="Y246" s="694"/>
      <c r="Z246" s="694"/>
      <c r="AA246" s="694"/>
      <c r="AB246" s="694"/>
      <c r="AC246" s="694"/>
      <c r="AD246" s="694"/>
      <c r="AE246" s="694"/>
      <c r="AF246" s="694"/>
      <c r="AG246" s="694"/>
      <c r="AH246" s="694"/>
      <c r="AI246" s="694"/>
      <c r="AJ246" s="694"/>
      <c r="AK246" s="694"/>
      <c r="AL246" s="694"/>
    </row>
    <row r="247" spans="1:38" ht="12.75" customHeight="1" thickBot="1" x14ac:dyDescent="0.3">
      <c r="A247" s="694"/>
      <c r="B247" s="298"/>
      <c r="C247" s="1302"/>
      <c r="D247" s="1306"/>
      <c r="E247" s="1317"/>
      <c r="F247" s="1318"/>
      <c r="G247" s="1309" t="str">
        <f>EUconst_Unit</f>
        <v>Единица мярка</v>
      </c>
      <c r="H247" s="629">
        <f t="shared" ref="H247:N247" si="101">H$2831</f>
        <v>2024</v>
      </c>
      <c r="I247" s="1310">
        <f t="shared" si="101"/>
        <v>2025</v>
      </c>
      <c r="J247" s="1311">
        <f t="shared" si="101"/>
        <v>2026</v>
      </c>
      <c r="K247" s="629">
        <f t="shared" si="101"/>
        <v>2027</v>
      </c>
      <c r="L247" s="629">
        <f t="shared" si="101"/>
        <v>2028</v>
      </c>
      <c r="M247" s="629">
        <f t="shared" si="101"/>
        <v>2029</v>
      </c>
      <c r="N247" s="1312">
        <f t="shared" si="101"/>
        <v>2030</v>
      </c>
      <c r="O247" s="302"/>
      <c r="P247" s="302"/>
      <c r="Q247" s="729"/>
      <c r="R247" s="694"/>
      <c r="S247" s="729"/>
      <c r="T247" s="729"/>
      <c r="U247" s="729"/>
      <c r="V247" s="729"/>
      <c r="W247" s="694"/>
      <c r="X247" s="694"/>
      <c r="Y247" s="694"/>
      <c r="Z247" s="694"/>
      <c r="AA247" s="694"/>
      <c r="AB247" s="694"/>
      <c r="AC247" s="1178">
        <f t="shared" ref="AC247:AI247" si="102">H$20</f>
        <v>2024</v>
      </c>
      <c r="AD247" s="1178">
        <f t="shared" si="102"/>
        <v>2025</v>
      </c>
      <c r="AE247" s="1178">
        <f t="shared" si="102"/>
        <v>2026</v>
      </c>
      <c r="AF247" s="1178">
        <f t="shared" si="102"/>
        <v>2027</v>
      </c>
      <c r="AG247" s="1178">
        <f t="shared" si="102"/>
        <v>2028</v>
      </c>
      <c r="AH247" s="1178">
        <f t="shared" si="102"/>
        <v>2029</v>
      </c>
      <c r="AI247" s="1178">
        <f t="shared" si="102"/>
        <v>2030</v>
      </c>
      <c r="AJ247" s="694"/>
      <c r="AK247" s="694"/>
      <c r="AL247" s="694"/>
    </row>
    <row r="248" spans="1:38" ht="12.75" customHeight="1" thickBot="1" x14ac:dyDescent="0.3">
      <c r="A248" s="694"/>
      <c r="B248" s="298"/>
      <c r="C248" s="1302"/>
      <c r="D248" s="625" t="s">
        <v>1141</v>
      </c>
      <c r="E248" s="2818" t="str">
        <f>Translations!$B$585</f>
        <v>Получени количества</v>
      </c>
      <c r="F248" s="2701"/>
      <c r="G248" s="145"/>
      <c r="H248" s="129"/>
      <c r="I248" s="130"/>
      <c r="J248" s="131"/>
      <c r="K248" s="129"/>
      <c r="L248" s="129"/>
      <c r="M248" s="129"/>
      <c r="N248" s="132"/>
      <c r="O248" s="302"/>
      <c r="P248" s="158"/>
      <c r="Q248" s="729"/>
      <c r="R248" s="694"/>
      <c r="S248" s="729"/>
      <c r="T248" s="729"/>
      <c r="U248" s="729"/>
      <c r="V248" s="729"/>
      <c r="W248" s="694"/>
      <c r="X248" s="694"/>
      <c r="Y248" s="694"/>
      <c r="Z248" s="694"/>
      <c r="AA248" s="694"/>
      <c r="AB248" s="1182" t="s">
        <v>737</v>
      </c>
      <c r="AC248" s="982" t="b">
        <f t="shared" ref="AC248:AI248" si="103">AC204</f>
        <v>0</v>
      </c>
      <c r="AD248" s="982" t="b">
        <f t="shared" si="103"/>
        <v>0</v>
      </c>
      <c r="AE248" s="982" t="b">
        <f t="shared" si="103"/>
        <v>0</v>
      </c>
      <c r="AF248" s="982" t="b">
        <f t="shared" si="103"/>
        <v>0</v>
      </c>
      <c r="AG248" s="982" t="b">
        <f t="shared" si="103"/>
        <v>0</v>
      </c>
      <c r="AH248" s="982" t="b">
        <f t="shared" si="103"/>
        <v>0</v>
      </c>
      <c r="AI248" s="982" t="b">
        <f t="shared" si="103"/>
        <v>0</v>
      </c>
      <c r="AJ248" s="1174" t="s">
        <v>2039</v>
      </c>
      <c r="AK248" s="1176" t="str">
        <f>IF(AND(CNTR_ExistSubInstEntries,MSconst_RequireSubAttrEmissions,COUNTIFS(AC248:AI248,FALSE,H248:N248,"")&gt;0),EUconst_Error&amp;"BM"&amp;$Q13,"")</f>
        <v/>
      </c>
      <c r="AL248" s="694"/>
    </row>
    <row r="249" spans="1:38" ht="12.75" customHeight="1" x14ac:dyDescent="0.25">
      <c r="A249" s="694"/>
      <c r="B249" s="298"/>
      <c r="C249" s="1302"/>
      <c r="D249" s="625" t="s">
        <v>1142</v>
      </c>
      <c r="E249" s="2819" t="str">
        <f>Translations!$B$296</f>
        <v>Долна топлина на изгаряне</v>
      </c>
      <c r="F249" s="2705"/>
      <c r="G249" s="1349" t="str">
        <f>IF(ISBLANK(G248),EUconst_GJperUnit,INDEX(EUconst_GJperTorKNm3,MATCH(G248,EUconst_TonnesOrkNm3pa,0)))</f>
        <v>GJ / Единица мярка</v>
      </c>
      <c r="H249" s="137"/>
      <c r="I249" s="138"/>
      <c r="J249" s="139"/>
      <c r="K249" s="137"/>
      <c r="L249" s="137"/>
      <c r="M249" s="137"/>
      <c r="N249" s="140"/>
      <c r="O249" s="302"/>
      <c r="P249" s="158"/>
      <c r="Q249" s="729"/>
      <c r="R249" s="694"/>
      <c r="S249" s="1205"/>
      <c r="T249" s="1313">
        <f t="shared" ref="T249:Z249" si="104">H247</f>
        <v>2024</v>
      </c>
      <c r="U249" s="1313">
        <f t="shared" si="104"/>
        <v>2025</v>
      </c>
      <c r="V249" s="1313">
        <f t="shared" si="104"/>
        <v>2026</v>
      </c>
      <c r="W249" s="1313">
        <f t="shared" si="104"/>
        <v>2027</v>
      </c>
      <c r="X249" s="1313">
        <f t="shared" si="104"/>
        <v>2028</v>
      </c>
      <c r="Y249" s="1313">
        <f t="shared" si="104"/>
        <v>2029</v>
      </c>
      <c r="Z249" s="1314">
        <f t="shared" si="104"/>
        <v>2030</v>
      </c>
      <c r="AA249" s="694"/>
      <c r="AB249" s="694"/>
      <c r="AC249" s="982" t="b">
        <f>AC248</f>
        <v>0</v>
      </c>
      <c r="AD249" s="982" t="b">
        <f t="shared" ref="AD249:AI249" si="105">AD248</f>
        <v>0</v>
      </c>
      <c r="AE249" s="982" t="b">
        <f t="shared" si="105"/>
        <v>0</v>
      </c>
      <c r="AF249" s="982" t="b">
        <f t="shared" si="105"/>
        <v>0</v>
      </c>
      <c r="AG249" s="982" t="b">
        <f t="shared" si="105"/>
        <v>0</v>
      </c>
      <c r="AH249" s="982" t="b">
        <f t="shared" si="105"/>
        <v>0</v>
      </c>
      <c r="AI249" s="982" t="b">
        <f t="shared" si="105"/>
        <v>0</v>
      </c>
      <c r="AJ249" s="1174" t="s">
        <v>2039</v>
      </c>
      <c r="AK249" s="1176" t="str">
        <f>IF(AND(CNTR_ExistSubInstEntries,MSconst_RequireSubAttrEmissions,COUNTIFS(AC249:AI249,FALSE,H249:N249,"")&gt;0),EUconst_Error&amp;"BM"&amp;$Q13,"")</f>
        <v/>
      </c>
      <c r="AL249" s="694"/>
    </row>
    <row r="250" spans="1:38" ht="12.75" customHeight="1" x14ac:dyDescent="0.25">
      <c r="A250" s="694"/>
      <c r="B250" s="298"/>
      <c r="C250" s="1302"/>
      <c r="D250" s="625" t="s">
        <v>1143</v>
      </c>
      <c r="E250" s="2820" t="str">
        <f>Translations!$B$586</f>
        <v>Получен отпаден газ</v>
      </c>
      <c r="F250" s="2258"/>
      <c r="G250" s="1319" t="str">
        <f>EUconst_TJpa</f>
        <v>TJ / година</v>
      </c>
      <c r="H250" s="1020" t="str">
        <f t="shared" ref="H250:N250" si="106">IF(COUNT(H248:H249)=2,H248*H249/1000,"")</f>
        <v/>
      </c>
      <c r="I250" s="1369" t="str">
        <f t="shared" si="106"/>
        <v/>
      </c>
      <c r="J250" s="1370" t="str">
        <f t="shared" si="106"/>
        <v/>
      </c>
      <c r="K250" s="1020" t="str">
        <f t="shared" si="106"/>
        <v/>
      </c>
      <c r="L250" s="1020" t="str">
        <f t="shared" si="106"/>
        <v/>
      </c>
      <c r="M250" s="1020" t="str">
        <f t="shared" si="106"/>
        <v/>
      </c>
      <c r="N250" s="1371" t="str">
        <f t="shared" si="106"/>
        <v/>
      </c>
      <c r="O250" s="302"/>
      <c r="P250" s="302"/>
      <c r="Q250" s="1190" t="str">
        <f>EUconst_CNTR_WGImport &amp; I13</f>
        <v>WasteGasIm_</v>
      </c>
      <c r="R250" s="694"/>
      <c r="S250" s="1347" t="str">
        <f>EUconst_ERR_AttrEmBMapplied &amp; I13</f>
        <v>ERR_AttrEmBM_</v>
      </c>
      <c r="T250" s="982">
        <f t="shared" ref="T250:Z250" si="107">IF(AND(H250&lt;&gt;"",EUconst_StatusOfDataCollection=FALSE),1,0)</f>
        <v>0</v>
      </c>
      <c r="U250" s="982">
        <f t="shared" si="107"/>
        <v>0</v>
      </c>
      <c r="V250" s="982">
        <f t="shared" si="107"/>
        <v>0</v>
      </c>
      <c r="W250" s="982">
        <f t="shared" si="107"/>
        <v>0</v>
      </c>
      <c r="X250" s="982">
        <f t="shared" si="107"/>
        <v>0</v>
      </c>
      <c r="Y250" s="982">
        <f t="shared" si="107"/>
        <v>0</v>
      </c>
      <c r="Z250" s="1287">
        <f t="shared" si="107"/>
        <v>0</v>
      </c>
      <c r="AA250" s="694"/>
      <c r="AB250" s="694"/>
      <c r="AC250" s="694"/>
      <c r="AD250" s="694"/>
      <c r="AE250" s="694"/>
      <c r="AF250" s="694"/>
      <c r="AG250" s="694"/>
      <c r="AH250" s="694"/>
      <c r="AI250" s="694"/>
      <c r="AJ250" s="694"/>
      <c r="AK250" s="694"/>
      <c r="AL250" s="694"/>
    </row>
    <row r="251" spans="1:38" s="364" customFormat="1" ht="12.75" customHeight="1" thickBot="1" x14ac:dyDescent="0.3">
      <c r="A251" s="729"/>
      <c r="B251" s="298"/>
      <c r="C251" s="1302"/>
      <c r="D251" s="625" t="s">
        <v>1144</v>
      </c>
      <c r="E251" s="2820" t="str">
        <f>Translations!$B$587</f>
        <v>Специфичен EF (получен отпаден газ)</v>
      </c>
      <c r="F251" s="2258"/>
      <c r="G251" s="642" t="str">
        <f>EUconst_tCO2pTJ</f>
        <v>t CO2 / TJ</v>
      </c>
      <c r="H251" s="146"/>
      <c r="I251" s="147"/>
      <c r="J251" s="148"/>
      <c r="K251" s="146"/>
      <c r="L251" s="146"/>
      <c r="M251" s="146"/>
      <c r="N251" s="149"/>
      <c r="O251" s="302"/>
      <c r="P251" s="158"/>
      <c r="Q251" s="1190" t="str">
        <f>EUconst_CNTR_WGImportEF &amp; I13</f>
        <v>WasteGasImEF_</v>
      </c>
      <c r="R251" s="729"/>
      <c r="S251" s="1315" t="str">
        <f>EUconst_CNTR_AttributedEmissions &amp; I13</f>
        <v>AttrEmissions_</v>
      </c>
      <c r="T251" s="1290" t="str">
        <f t="shared" ref="T251:Z251" si="108">IF(T21,SUM(H250)*EUconst_FuelBMvalue,"")</f>
        <v/>
      </c>
      <c r="U251" s="1290" t="str">
        <f t="shared" si="108"/>
        <v/>
      </c>
      <c r="V251" s="1290" t="str">
        <f t="shared" si="108"/>
        <v/>
      </c>
      <c r="W251" s="1290" t="str">
        <f t="shared" si="108"/>
        <v/>
      </c>
      <c r="X251" s="1290" t="str">
        <f t="shared" si="108"/>
        <v/>
      </c>
      <c r="Y251" s="1290" t="str">
        <f t="shared" si="108"/>
        <v/>
      </c>
      <c r="Z251" s="1291" t="str">
        <f t="shared" si="108"/>
        <v/>
      </c>
      <c r="AA251" s="729"/>
      <c r="AB251" s="1182" t="s">
        <v>737</v>
      </c>
      <c r="AC251" s="982" t="b">
        <f>AC249</f>
        <v>0</v>
      </c>
      <c r="AD251" s="982" t="b">
        <f t="shared" ref="AD251:AI251" si="109">AD249</f>
        <v>0</v>
      </c>
      <c r="AE251" s="982" t="b">
        <f t="shared" si="109"/>
        <v>0</v>
      </c>
      <c r="AF251" s="982" t="b">
        <f t="shared" si="109"/>
        <v>0</v>
      </c>
      <c r="AG251" s="982" t="b">
        <f t="shared" si="109"/>
        <v>0</v>
      </c>
      <c r="AH251" s="982" t="b">
        <f t="shared" si="109"/>
        <v>0</v>
      </c>
      <c r="AI251" s="982" t="b">
        <f t="shared" si="109"/>
        <v>0</v>
      </c>
      <c r="AJ251" s="1174" t="s">
        <v>2039</v>
      </c>
      <c r="AK251" s="1176" t="str">
        <f>IF(AND(CNTR_ExistSubInstEntries,MSconst_RequireSubAttrEmissions,COUNTIFS(AC251:AI251,FALSE,H251:N251,"")&gt;0),EUconst_Error&amp;"BM"&amp;$Q13,"")</f>
        <v/>
      </c>
      <c r="AL251" s="694"/>
    </row>
    <row r="252" spans="1:38" ht="12.75" customHeight="1" x14ac:dyDescent="0.25">
      <c r="A252" s="694"/>
      <c r="B252" s="298"/>
      <c r="C252" s="1302"/>
      <c r="D252" s="1306"/>
      <c r="E252" s="1306"/>
      <c r="F252" s="1306"/>
      <c r="G252" s="1306"/>
      <c r="H252" s="1354"/>
      <c r="I252" s="1306"/>
      <c r="J252" s="1306"/>
      <c r="K252" s="1306"/>
      <c r="L252" s="1306"/>
      <c r="M252" s="626"/>
      <c r="N252" s="1316"/>
      <c r="O252" s="302"/>
      <c r="P252" s="302"/>
      <c r="Q252" s="729"/>
      <c r="R252" s="694"/>
      <c r="S252" s="729"/>
      <c r="T252" s="729"/>
      <c r="U252" s="729"/>
      <c r="V252" s="729"/>
      <c r="W252" s="694"/>
      <c r="X252" s="694"/>
      <c r="Y252" s="694"/>
      <c r="Z252" s="694"/>
      <c r="AA252" s="694"/>
      <c r="AB252" s="694"/>
      <c r="AC252" s="694"/>
      <c r="AD252" s="694"/>
      <c r="AE252" s="694"/>
      <c r="AF252" s="694"/>
      <c r="AG252" s="694"/>
      <c r="AH252" s="694"/>
      <c r="AI252" s="694"/>
      <c r="AJ252" s="694"/>
      <c r="AK252" s="694"/>
      <c r="AL252" s="694"/>
    </row>
    <row r="253" spans="1:38" ht="12.75" customHeight="1" x14ac:dyDescent="0.25">
      <c r="A253" s="694"/>
      <c r="B253" s="298"/>
      <c r="C253" s="1302"/>
      <c r="D253" s="625" t="s">
        <v>1145</v>
      </c>
      <c r="E253" s="2815" t="str">
        <f>Translations!$B$588</f>
        <v>Видове подадени отпадни газове:</v>
      </c>
      <c r="F253" s="2240"/>
      <c r="G253" s="2240"/>
      <c r="H253" s="2684"/>
      <c r="I253" s="2821"/>
      <c r="J253" s="2674"/>
      <c r="K253" s="2674"/>
      <c r="L253" s="2674"/>
      <c r="M253" s="2675"/>
      <c r="N253" s="1323"/>
      <c r="O253" s="302"/>
      <c r="P253" s="158"/>
      <c r="Q253" s="729"/>
      <c r="R253" s="694"/>
      <c r="S253" s="729"/>
      <c r="T253" s="694"/>
      <c r="U253" s="694"/>
      <c r="V253" s="694"/>
      <c r="W253" s="694"/>
      <c r="X253" s="694"/>
      <c r="Y253" s="694"/>
      <c r="Z253" s="694"/>
      <c r="AA253" s="694"/>
      <c r="AB253" s="694"/>
      <c r="AC253" s="1182" t="s">
        <v>737</v>
      </c>
      <c r="AD253" s="982" t="b">
        <f>AD244</f>
        <v>0</v>
      </c>
      <c r="AE253" s="694"/>
      <c r="AF253" s="694"/>
      <c r="AG253" s="694"/>
      <c r="AH253" s="694"/>
      <c r="AI253" s="694"/>
      <c r="AJ253" s="694"/>
      <c r="AK253" s="694"/>
      <c r="AL253" s="694"/>
    </row>
    <row r="254" spans="1:38" ht="12.75" customHeight="1" x14ac:dyDescent="0.25">
      <c r="A254" s="694"/>
      <c r="B254" s="298"/>
      <c r="C254" s="1302"/>
      <c r="D254" s="625"/>
      <c r="E254" s="2816" t="str">
        <f>Translations!$B$583</f>
        <v>Посочените тук данни ще се отразят на емисиите, които могат да бъдат зададени съгласно раздел 10.1.5 от приложение VII към ПБР.</v>
      </c>
      <c r="F254" s="2240"/>
      <c r="G254" s="2240"/>
      <c r="H254" s="2240"/>
      <c r="I254" s="2240"/>
      <c r="J254" s="2240"/>
      <c r="K254" s="2240"/>
      <c r="L254" s="2240"/>
      <c r="M254" s="2240"/>
      <c r="N254" s="2811"/>
      <c r="O254" s="302"/>
      <c r="P254" s="302"/>
      <c r="Q254" s="729"/>
      <c r="R254" s="694"/>
      <c r="S254" s="729"/>
      <c r="T254" s="729"/>
      <c r="U254" s="729"/>
      <c r="V254" s="729"/>
      <c r="W254" s="694"/>
      <c r="X254" s="694"/>
      <c r="Y254" s="694"/>
      <c r="Z254" s="694"/>
      <c r="AA254" s="694"/>
      <c r="AB254" s="694"/>
      <c r="AC254" s="694"/>
      <c r="AD254" s="694"/>
      <c r="AE254" s="694"/>
      <c r="AF254" s="694"/>
      <c r="AG254" s="694"/>
      <c r="AH254" s="694"/>
      <c r="AI254" s="694"/>
      <c r="AJ254" s="694"/>
      <c r="AK254" s="694"/>
      <c r="AL254" s="694"/>
    </row>
    <row r="255" spans="1:38" ht="25.5" customHeight="1" x14ac:dyDescent="0.25">
      <c r="A255" s="694"/>
      <c r="B255" s="298"/>
      <c r="C255" s="1302"/>
      <c r="D255" s="625"/>
      <c r="E255" s="2810" t="str">
        <f>Translations!$B$589</f>
        <v>Това включва всички видове отпадни газове, произведени в системните граници на тази подинсталация и подадени от тази инсталация към други подинсталации, както и към всички други инсталации или обекти.</v>
      </c>
      <c r="F255" s="2240"/>
      <c r="G255" s="2240"/>
      <c r="H255" s="2240"/>
      <c r="I255" s="2240"/>
      <c r="J255" s="2240"/>
      <c r="K255" s="2240"/>
      <c r="L255" s="2240"/>
      <c r="M255" s="2240"/>
      <c r="N255" s="2811"/>
      <c r="O255" s="302"/>
      <c r="P255" s="302"/>
      <c r="Q255" s="729"/>
      <c r="R255" s="694"/>
      <c r="S255" s="729"/>
      <c r="T255" s="729"/>
      <c r="U255" s="729"/>
      <c r="V255" s="729"/>
      <c r="W255" s="694"/>
      <c r="X255" s="694"/>
      <c r="Y255" s="694"/>
      <c r="Z255" s="694"/>
      <c r="AA255" s="694"/>
      <c r="AB255" s="694"/>
      <c r="AC255" s="694"/>
      <c r="AD255" s="694"/>
      <c r="AE255" s="694"/>
      <c r="AF255" s="694"/>
      <c r="AG255" s="694"/>
      <c r="AH255" s="694"/>
      <c r="AI255" s="694"/>
      <c r="AJ255" s="694"/>
      <c r="AK255" s="694"/>
      <c r="AL255" s="694"/>
    </row>
    <row r="256" spans="1:38" ht="12.75" customHeight="1" thickBot="1" x14ac:dyDescent="0.3">
      <c r="A256" s="694"/>
      <c r="B256" s="298"/>
      <c r="C256" s="1302"/>
      <c r="D256" s="1306"/>
      <c r="E256" s="1317"/>
      <c r="F256" s="1318"/>
      <c r="G256" s="1309" t="str">
        <f>EUconst_Unit</f>
        <v>Единица мярка</v>
      </c>
      <c r="H256" s="629">
        <f t="shared" ref="H256:N256" si="110">H$2831</f>
        <v>2024</v>
      </c>
      <c r="I256" s="1310">
        <f t="shared" si="110"/>
        <v>2025</v>
      </c>
      <c r="J256" s="1311">
        <f t="shared" si="110"/>
        <v>2026</v>
      </c>
      <c r="K256" s="629">
        <f t="shared" si="110"/>
        <v>2027</v>
      </c>
      <c r="L256" s="629">
        <f t="shared" si="110"/>
        <v>2028</v>
      </c>
      <c r="M256" s="629">
        <f t="shared" si="110"/>
        <v>2029</v>
      </c>
      <c r="N256" s="1312">
        <f t="shared" si="110"/>
        <v>2030</v>
      </c>
      <c r="O256" s="302"/>
      <c r="P256" s="302"/>
      <c r="Q256" s="729"/>
      <c r="R256" s="694"/>
      <c r="S256" s="729"/>
      <c r="T256" s="729"/>
      <c r="U256" s="729"/>
      <c r="V256" s="729"/>
      <c r="W256" s="694"/>
      <c r="X256" s="694"/>
      <c r="Y256" s="694"/>
      <c r="Z256" s="694"/>
      <c r="AA256" s="694"/>
      <c r="AB256" s="694"/>
      <c r="AC256" s="1178">
        <f t="shared" ref="AC256:AI256" si="111">H$20</f>
        <v>2024</v>
      </c>
      <c r="AD256" s="1178">
        <f t="shared" si="111"/>
        <v>2025</v>
      </c>
      <c r="AE256" s="1178">
        <f t="shared" si="111"/>
        <v>2026</v>
      </c>
      <c r="AF256" s="1178">
        <f t="shared" si="111"/>
        <v>2027</v>
      </c>
      <c r="AG256" s="1178">
        <f t="shared" si="111"/>
        <v>2028</v>
      </c>
      <c r="AH256" s="1178">
        <f t="shared" si="111"/>
        <v>2029</v>
      </c>
      <c r="AI256" s="1178">
        <f t="shared" si="111"/>
        <v>2030</v>
      </c>
      <c r="AJ256" s="694"/>
      <c r="AK256" s="694"/>
      <c r="AL256" s="694"/>
    </row>
    <row r="257" spans="1:38" ht="12.75" customHeight="1" x14ac:dyDescent="0.25">
      <c r="A257" s="694"/>
      <c r="B257" s="298"/>
      <c r="C257" s="1302"/>
      <c r="D257" s="625" t="s">
        <v>1146</v>
      </c>
      <c r="E257" s="2818" t="str">
        <f>Translations!$B$590</f>
        <v>Подадени количества</v>
      </c>
      <c r="F257" s="2701"/>
      <c r="G257" s="145"/>
      <c r="H257" s="129"/>
      <c r="I257" s="130"/>
      <c r="J257" s="131"/>
      <c r="K257" s="129"/>
      <c r="L257" s="129"/>
      <c r="M257" s="129"/>
      <c r="N257" s="132"/>
      <c r="O257" s="302"/>
      <c r="P257" s="158"/>
      <c r="Q257" s="729"/>
      <c r="R257" s="694"/>
      <c r="S257" s="729"/>
      <c r="T257" s="729"/>
      <c r="U257" s="729"/>
      <c r="V257" s="729"/>
      <c r="W257" s="694"/>
      <c r="X257" s="694"/>
      <c r="Y257" s="694"/>
      <c r="Z257" s="694"/>
      <c r="AA257" s="694"/>
      <c r="AB257" s="1182" t="s">
        <v>737</v>
      </c>
      <c r="AC257" s="982" t="b">
        <f>AC204</f>
        <v>0</v>
      </c>
      <c r="AD257" s="982" t="b">
        <f t="shared" ref="AD257:AI257" si="112">AD204</f>
        <v>0</v>
      </c>
      <c r="AE257" s="982" t="b">
        <f t="shared" si="112"/>
        <v>0</v>
      </c>
      <c r="AF257" s="982" t="b">
        <f t="shared" si="112"/>
        <v>0</v>
      </c>
      <c r="AG257" s="982" t="b">
        <f t="shared" si="112"/>
        <v>0</v>
      </c>
      <c r="AH257" s="982" t="b">
        <f t="shared" si="112"/>
        <v>0</v>
      </c>
      <c r="AI257" s="982" t="b">
        <f t="shared" si="112"/>
        <v>0</v>
      </c>
      <c r="AJ257" s="1174" t="s">
        <v>2039</v>
      </c>
      <c r="AK257" s="1176" t="str">
        <f>IF(AND(CNTR_ExistSubInstEntries,MSconst_RequireSubAttrEmissions,COUNTIFS(AC257:AI257,FALSE,H257:N257,"")&gt;0),EUconst_Error&amp;"BM"&amp;$Q13,"")</f>
        <v/>
      </c>
      <c r="AL257" s="694"/>
    </row>
    <row r="258" spans="1:38" ht="12.75" customHeight="1" thickBot="1" x14ac:dyDescent="0.3">
      <c r="A258" s="694"/>
      <c r="B258" s="298"/>
      <c r="C258" s="1302"/>
      <c r="D258" s="625" t="s">
        <v>1619</v>
      </c>
      <c r="E258" s="2819" t="str">
        <f>Translations!$B$296</f>
        <v>Долна топлина на изгаряне</v>
      </c>
      <c r="F258" s="2705"/>
      <c r="G258" s="1349" t="str">
        <f>IF(ISBLANK(G257),EUconst_GJperUnit,INDEX(EUconst_GJperTorKNm3,MATCH(G257,EUconst_TonnesOrkNm3pa,0)))</f>
        <v>GJ / Единица мярка</v>
      </c>
      <c r="H258" s="137"/>
      <c r="I258" s="138"/>
      <c r="J258" s="139"/>
      <c r="K258" s="137"/>
      <c r="L258" s="137"/>
      <c r="M258" s="137"/>
      <c r="N258" s="140"/>
      <c r="O258" s="302"/>
      <c r="P258" s="158"/>
      <c r="Q258" s="729"/>
      <c r="R258" s="694"/>
      <c r="S258" s="729"/>
      <c r="T258" s="729"/>
      <c r="U258" s="729"/>
      <c r="V258" s="729"/>
      <c r="W258" s="694"/>
      <c r="X258" s="694"/>
      <c r="Y258" s="694"/>
      <c r="Z258" s="694"/>
      <c r="AA258" s="694"/>
      <c r="AB258" s="694"/>
      <c r="AC258" s="982" t="b">
        <f>AC257</f>
        <v>0</v>
      </c>
      <c r="AD258" s="982" t="b">
        <f t="shared" ref="AD258:AI258" si="113">AD257</f>
        <v>0</v>
      </c>
      <c r="AE258" s="982" t="b">
        <f t="shared" si="113"/>
        <v>0</v>
      </c>
      <c r="AF258" s="982" t="b">
        <f t="shared" si="113"/>
        <v>0</v>
      </c>
      <c r="AG258" s="982" t="b">
        <f t="shared" si="113"/>
        <v>0</v>
      </c>
      <c r="AH258" s="982" t="b">
        <f t="shared" si="113"/>
        <v>0</v>
      </c>
      <c r="AI258" s="982" t="b">
        <f t="shared" si="113"/>
        <v>0</v>
      </c>
      <c r="AJ258" s="1174" t="s">
        <v>2039</v>
      </c>
      <c r="AK258" s="1176" t="str">
        <f>IF(AND(CNTR_ExistSubInstEntries,MSconst_RequireSubAttrEmissions,COUNTIFS(AC258:AI258,FALSE,H258:N258,"")&gt;0),EUconst_Error&amp;"BM"&amp;$Q13,"")</f>
        <v/>
      </c>
      <c r="AL258" s="694"/>
    </row>
    <row r="259" spans="1:38" ht="12.75" customHeight="1" x14ac:dyDescent="0.25">
      <c r="A259" s="694"/>
      <c r="B259" s="298"/>
      <c r="C259" s="1302"/>
      <c r="D259" s="625" t="s">
        <v>1659</v>
      </c>
      <c r="E259" s="2820" t="str">
        <f>Translations!$B$591</f>
        <v>Подаден отпаден газ</v>
      </c>
      <c r="F259" s="2258"/>
      <c r="G259" s="1319" t="str">
        <f>EUconst_TJpa</f>
        <v>TJ / година</v>
      </c>
      <c r="H259" s="1020" t="str">
        <f t="shared" ref="H259:N259" si="114">IF(COUNT(H257:H258)=2,H257*H258/1000,"")</f>
        <v/>
      </c>
      <c r="I259" s="1369" t="str">
        <f t="shared" si="114"/>
        <v/>
      </c>
      <c r="J259" s="1370" t="str">
        <f t="shared" si="114"/>
        <v/>
      </c>
      <c r="K259" s="1020" t="str">
        <f t="shared" si="114"/>
        <v/>
      </c>
      <c r="L259" s="1020" t="str">
        <f t="shared" si="114"/>
        <v/>
      </c>
      <c r="M259" s="1020" t="str">
        <f t="shared" si="114"/>
        <v/>
      </c>
      <c r="N259" s="1371" t="str">
        <f t="shared" si="114"/>
        <v/>
      </c>
      <c r="O259" s="302"/>
      <c r="P259" s="302"/>
      <c r="Q259" s="1190" t="str">
        <f>EUconst_CNTR_WGExport &amp; I13</f>
        <v>WasteGasEx_</v>
      </c>
      <c r="R259" s="694"/>
      <c r="S259" s="1205"/>
      <c r="T259" s="1313">
        <f t="shared" ref="T259:Z259" si="115">H256</f>
        <v>2024</v>
      </c>
      <c r="U259" s="1313">
        <f t="shared" si="115"/>
        <v>2025</v>
      </c>
      <c r="V259" s="1313">
        <f t="shared" si="115"/>
        <v>2026</v>
      </c>
      <c r="W259" s="1313">
        <f t="shared" si="115"/>
        <v>2027</v>
      </c>
      <c r="X259" s="1313">
        <f t="shared" si="115"/>
        <v>2028</v>
      </c>
      <c r="Y259" s="1313">
        <f t="shared" si="115"/>
        <v>2029</v>
      </c>
      <c r="Z259" s="1314">
        <f t="shared" si="115"/>
        <v>2030</v>
      </c>
      <c r="AA259" s="694"/>
      <c r="AB259" s="694"/>
      <c r="AC259" s="694"/>
      <c r="AD259" s="694"/>
      <c r="AE259" s="694"/>
      <c r="AF259" s="694"/>
      <c r="AG259" s="694"/>
      <c r="AH259" s="694"/>
      <c r="AI259" s="694"/>
      <c r="AJ259" s="694"/>
      <c r="AK259" s="694"/>
      <c r="AL259" s="694"/>
    </row>
    <row r="260" spans="1:38" s="364" customFormat="1" ht="12.75" customHeight="1" thickBot="1" x14ac:dyDescent="0.3">
      <c r="A260" s="694"/>
      <c r="B260" s="298"/>
      <c r="C260" s="1302"/>
      <c r="D260" s="625" t="s">
        <v>1660</v>
      </c>
      <c r="E260" s="2820" t="str">
        <f>Translations!$B$592</f>
        <v>Специфичен EF (подаден отпаден газ)</v>
      </c>
      <c r="F260" s="2258"/>
      <c r="G260" s="642" t="str">
        <f>EUconst_tCO2pTJ</f>
        <v>t CO2 / TJ</v>
      </c>
      <c r="H260" s="146"/>
      <c r="I260" s="147"/>
      <c r="J260" s="148"/>
      <c r="K260" s="146"/>
      <c r="L260" s="146"/>
      <c r="M260" s="146"/>
      <c r="N260" s="149"/>
      <c r="O260" s="302"/>
      <c r="P260" s="158"/>
      <c r="Q260" s="1190" t="str">
        <f>EUconst_CNTR_WGExportEF &amp; I13</f>
        <v>WasteGasExEF_</v>
      </c>
      <c r="R260" s="729"/>
      <c r="S260" s="1315" t="str">
        <f>EUconst_CNTR_AttributedEmissions &amp; I13</f>
        <v>AttrEmissions_</v>
      </c>
      <c r="T260" s="1290" t="str">
        <f t="shared" ref="T260:Z260" si="116">IF(T21,-SUM(H259)*EUconst_NGEFvalue*EUconst_WasteGasCorrFactor,"")</f>
        <v/>
      </c>
      <c r="U260" s="1290" t="str">
        <f t="shared" si="116"/>
        <v/>
      </c>
      <c r="V260" s="1290" t="str">
        <f t="shared" si="116"/>
        <v/>
      </c>
      <c r="W260" s="1290" t="str">
        <f t="shared" si="116"/>
        <v/>
      </c>
      <c r="X260" s="1290" t="str">
        <f t="shared" si="116"/>
        <v/>
      </c>
      <c r="Y260" s="1290" t="str">
        <f t="shared" si="116"/>
        <v/>
      </c>
      <c r="Z260" s="1291" t="str">
        <f t="shared" si="116"/>
        <v/>
      </c>
      <c r="AA260" s="729"/>
      <c r="AB260" s="1182" t="s">
        <v>737</v>
      </c>
      <c r="AC260" s="982" t="b">
        <f t="shared" ref="AC260:AI260" si="117">AC207</f>
        <v>0</v>
      </c>
      <c r="AD260" s="982" t="b">
        <f t="shared" si="117"/>
        <v>0</v>
      </c>
      <c r="AE260" s="982" t="b">
        <f t="shared" si="117"/>
        <v>0</v>
      </c>
      <c r="AF260" s="982" t="b">
        <f t="shared" si="117"/>
        <v>0</v>
      </c>
      <c r="AG260" s="982" t="b">
        <f t="shared" si="117"/>
        <v>0</v>
      </c>
      <c r="AH260" s="982" t="b">
        <f t="shared" si="117"/>
        <v>0</v>
      </c>
      <c r="AI260" s="982" t="b">
        <f t="shared" si="117"/>
        <v>0</v>
      </c>
      <c r="AJ260" s="1174" t="s">
        <v>2039</v>
      </c>
      <c r="AK260" s="1176" t="str">
        <f>IF(AND(CNTR_ExistSubInstEntries,MSconst_RequireSubAttrEmissions,COUNTIFS(AC260:AI260,FALSE,H260:N260,"")&gt;0),EUconst_Error&amp;"BM"&amp;$Q13,"")</f>
        <v/>
      </c>
      <c r="AL260" s="694"/>
    </row>
    <row r="261" spans="1:38" ht="12.75" customHeight="1" x14ac:dyDescent="0.25">
      <c r="A261" s="694"/>
      <c r="B261" s="298"/>
      <c r="C261" s="1302"/>
      <c r="D261" s="1306"/>
      <c r="E261" s="1306"/>
      <c r="F261" s="1306"/>
      <c r="G261" s="1306"/>
      <c r="H261" s="1306"/>
      <c r="I261" s="1354"/>
      <c r="J261" s="1306"/>
      <c r="K261" s="1306"/>
      <c r="L261" s="1306"/>
      <c r="M261" s="1306"/>
      <c r="N261" s="1316"/>
      <c r="O261" s="302"/>
      <c r="P261" s="302"/>
      <c r="Q261" s="729"/>
      <c r="R261" s="694"/>
      <c r="S261" s="729"/>
      <c r="T261" s="694"/>
      <c r="U261" s="694"/>
      <c r="V261" s="694"/>
      <c r="W261" s="694"/>
      <c r="X261" s="694"/>
      <c r="Y261" s="694"/>
      <c r="Z261" s="694"/>
      <c r="AA261" s="694"/>
      <c r="AB261" s="694"/>
      <c r="AC261" s="694"/>
      <c r="AD261" s="694"/>
      <c r="AE261" s="694"/>
      <c r="AF261" s="694"/>
      <c r="AG261" s="694"/>
      <c r="AH261" s="694"/>
      <c r="AI261" s="694"/>
      <c r="AJ261" s="694"/>
      <c r="AK261" s="694"/>
      <c r="AL261" s="694"/>
    </row>
    <row r="262" spans="1:38" ht="12.75" customHeight="1" x14ac:dyDescent="0.25">
      <c r="A262" s="694"/>
      <c r="B262" s="298"/>
      <c r="C262" s="1302"/>
      <c r="D262" s="1307" t="s">
        <v>493</v>
      </c>
      <c r="E262" s="2815" t="str">
        <f>Translations!$B$246</f>
        <v>Производство на електроенергия</v>
      </c>
      <c r="F262" s="2240"/>
      <c r="G262" s="2240"/>
      <c r="H262" s="2240"/>
      <c r="I262" s="2240"/>
      <c r="J262" s="2240"/>
      <c r="K262" s="2240"/>
      <c r="L262" s="2240"/>
      <c r="M262" s="2240"/>
      <c r="N262" s="2811"/>
      <c r="O262" s="302"/>
      <c r="P262" s="302"/>
      <c r="Q262" s="729"/>
      <c r="R262" s="694"/>
      <c r="S262" s="729"/>
      <c r="T262" s="694"/>
      <c r="U262" s="694"/>
      <c r="V262" s="694"/>
      <c r="W262" s="694"/>
      <c r="X262" s="694"/>
      <c r="Y262" s="694"/>
      <c r="Z262" s="694"/>
      <c r="AA262" s="694"/>
      <c r="AB262" s="694"/>
      <c r="AC262" s="694"/>
      <c r="AD262" s="694"/>
      <c r="AE262" s="694"/>
      <c r="AF262" s="694"/>
      <c r="AG262" s="694"/>
      <c r="AH262" s="694"/>
      <c r="AI262" s="694"/>
      <c r="AJ262" s="694"/>
      <c r="AK262" s="694"/>
      <c r="AL262" s="694"/>
    </row>
    <row r="263" spans="1:38" ht="12.75" customHeight="1" x14ac:dyDescent="0.25">
      <c r="A263" s="694"/>
      <c r="B263" s="298"/>
      <c r="C263" s="1302"/>
      <c r="D263" s="625"/>
      <c r="E263" s="2816" t="str">
        <f>Translations!$B$593</f>
        <v>Посочените тук данни ще се отразят на емисиите, които могат да бъдат зададени съгласно раздел 10 от приложение VII към ПБР.</v>
      </c>
      <c r="F263" s="2240"/>
      <c r="G263" s="2240"/>
      <c r="H263" s="2240"/>
      <c r="I263" s="2240"/>
      <c r="J263" s="2240"/>
      <c r="K263" s="2240"/>
      <c r="L263" s="2240"/>
      <c r="M263" s="2240"/>
      <c r="N263" s="2811"/>
      <c r="O263" s="302"/>
      <c r="P263" s="302"/>
      <c r="Q263" s="729"/>
      <c r="R263" s="694"/>
      <c r="S263" s="729"/>
      <c r="T263" s="729"/>
      <c r="U263" s="729"/>
      <c r="V263" s="729"/>
      <c r="W263" s="694"/>
      <c r="X263" s="694"/>
      <c r="Y263" s="694"/>
      <c r="Z263" s="694"/>
      <c r="AA263" s="694"/>
      <c r="AB263" s="694"/>
      <c r="AC263" s="694"/>
      <c r="AD263" s="694"/>
      <c r="AE263" s="694"/>
      <c r="AF263" s="694"/>
      <c r="AG263" s="694"/>
      <c r="AH263" s="694"/>
      <c r="AI263" s="694"/>
      <c r="AJ263" s="694"/>
      <c r="AK263" s="694"/>
      <c r="AL263" s="694"/>
    </row>
    <row r="264" spans="1:38" ht="25.5" customHeight="1" thickBot="1" x14ac:dyDescent="0.3">
      <c r="A264" s="694"/>
      <c r="B264" s="298"/>
      <c r="C264" s="1302"/>
      <c r="D264" s="1306"/>
      <c r="E264" s="2810" t="str">
        <f>Translations!$B$594</f>
        <v>Това включва електроенергията, произведена директно от тази подинсталация, съгласно раздел 3.1, буква и) от приложение IV към ПБР. Електроенергията, произведена чрез междинна измерима топлинна енергия, не се посочват тук, а като подадена измерима топлинна енергия в k).v по-горе.</v>
      </c>
      <c r="F264" s="2240"/>
      <c r="G264" s="2240"/>
      <c r="H264" s="2240"/>
      <c r="I264" s="2240"/>
      <c r="J264" s="2240"/>
      <c r="K264" s="2240"/>
      <c r="L264" s="2240"/>
      <c r="M264" s="2240"/>
      <c r="N264" s="2811"/>
      <c r="O264" s="302"/>
      <c r="P264" s="302"/>
      <c r="Q264" s="729"/>
      <c r="R264" s="694"/>
      <c r="S264" s="729"/>
      <c r="T264" s="694"/>
      <c r="U264" s="694"/>
      <c r="V264" s="694"/>
      <c r="W264" s="694"/>
      <c r="X264" s="694"/>
      <c r="Y264" s="694"/>
      <c r="Z264" s="694"/>
      <c r="AA264" s="694"/>
      <c r="AB264" s="694"/>
      <c r="AC264" s="694"/>
      <c r="AD264" s="694"/>
      <c r="AE264" s="694"/>
      <c r="AF264" s="694"/>
      <c r="AG264" s="694"/>
      <c r="AH264" s="694"/>
      <c r="AI264" s="694"/>
      <c r="AJ264" s="694"/>
      <c r="AK264" s="694"/>
      <c r="AL264" s="694"/>
    </row>
    <row r="265" spans="1:38" ht="12.75" customHeight="1" thickBot="1" x14ac:dyDescent="0.3">
      <c r="A265" s="694"/>
      <c r="B265" s="298"/>
      <c r="C265" s="1302"/>
      <c r="D265" s="1307"/>
      <c r="E265" s="1317"/>
      <c r="F265" s="1318"/>
      <c r="G265" s="1309" t="str">
        <f>EUconst_Unit</f>
        <v>Единица мярка</v>
      </c>
      <c r="H265" s="629">
        <f t="shared" ref="H265:N265" si="118">H$2831</f>
        <v>2024</v>
      </c>
      <c r="I265" s="1310">
        <f t="shared" si="118"/>
        <v>2025</v>
      </c>
      <c r="J265" s="1311">
        <f t="shared" si="118"/>
        <v>2026</v>
      </c>
      <c r="K265" s="629">
        <f t="shared" si="118"/>
        <v>2027</v>
      </c>
      <c r="L265" s="629">
        <f t="shared" si="118"/>
        <v>2028</v>
      </c>
      <c r="M265" s="629">
        <f t="shared" si="118"/>
        <v>2029</v>
      </c>
      <c r="N265" s="1312">
        <f t="shared" si="118"/>
        <v>2030</v>
      </c>
      <c r="O265" s="302"/>
      <c r="P265" s="302"/>
      <c r="Q265" s="729"/>
      <c r="R265" s="694"/>
      <c r="S265" s="1205"/>
      <c r="T265" s="1313">
        <f t="shared" ref="T265:Z265" si="119">H265</f>
        <v>2024</v>
      </c>
      <c r="U265" s="1313">
        <f t="shared" si="119"/>
        <v>2025</v>
      </c>
      <c r="V265" s="1313">
        <f t="shared" si="119"/>
        <v>2026</v>
      </c>
      <c r="W265" s="1313">
        <f t="shared" si="119"/>
        <v>2027</v>
      </c>
      <c r="X265" s="1313">
        <f t="shared" si="119"/>
        <v>2028</v>
      </c>
      <c r="Y265" s="1313">
        <f t="shared" si="119"/>
        <v>2029</v>
      </c>
      <c r="Z265" s="1314">
        <f t="shared" si="119"/>
        <v>2030</v>
      </c>
      <c r="AA265" s="694"/>
      <c r="AB265" s="694"/>
      <c r="AC265" s="1178">
        <f t="shared" ref="AC265:AI265" si="120">H$20</f>
        <v>2024</v>
      </c>
      <c r="AD265" s="1178">
        <f t="shared" si="120"/>
        <v>2025</v>
      </c>
      <c r="AE265" s="1178">
        <f t="shared" si="120"/>
        <v>2026</v>
      </c>
      <c r="AF265" s="1178">
        <f t="shared" si="120"/>
        <v>2027</v>
      </c>
      <c r="AG265" s="1178">
        <f t="shared" si="120"/>
        <v>2028</v>
      </c>
      <c r="AH265" s="1178">
        <f t="shared" si="120"/>
        <v>2029</v>
      </c>
      <c r="AI265" s="1178">
        <f t="shared" si="120"/>
        <v>2030</v>
      </c>
      <c r="AJ265" s="694"/>
      <c r="AK265" s="694"/>
      <c r="AL265" s="694"/>
    </row>
    <row r="266" spans="1:38" ht="12.75" customHeight="1" thickBot="1" x14ac:dyDescent="0.3">
      <c r="A266" s="694"/>
      <c r="B266" s="298"/>
      <c r="C266" s="1302"/>
      <c r="D266" s="625"/>
      <c r="E266" s="2820" t="str">
        <f>Translations!$B$595</f>
        <v>Произведена електроенергия</v>
      </c>
      <c r="F266" s="2258"/>
      <c r="G266" s="1319" t="str">
        <f>EUconst_MWhpa</f>
        <v>MWh / година</v>
      </c>
      <c r="H266" s="56"/>
      <c r="I266" s="115"/>
      <c r="J266" s="118"/>
      <c r="K266" s="56"/>
      <c r="L266" s="56"/>
      <c r="M266" s="56"/>
      <c r="N266" s="121"/>
      <c r="O266" s="302"/>
      <c r="P266" s="158"/>
      <c r="Q266" s="1190" t="str">
        <f>EUconst_CNTR_ElectricityExported &amp; I13</f>
        <v>ElecEx_</v>
      </c>
      <c r="R266" s="694"/>
      <c r="S266" s="1315" t="str">
        <f>EUconst_CNTR_AttributedEmissions &amp; I13</f>
        <v>AttrEmissions_</v>
      </c>
      <c r="T266" s="1290" t="str">
        <f t="shared" ref="T266:Z266" si="121">IF(T21,-SUM(H266)*EUconst_ElBM,"")</f>
        <v/>
      </c>
      <c r="U266" s="1290" t="str">
        <f t="shared" si="121"/>
        <v/>
      </c>
      <c r="V266" s="1290" t="str">
        <f t="shared" si="121"/>
        <v/>
      </c>
      <c r="W266" s="1290" t="str">
        <f t="shared" si="121"/>
        <v/>
      </c>
      <c r="X266" s="1290" t="str">
        <f t="shared" si="121"/>
        <v/>
      </c>
      <c r="Y266" s="1290" t="str">
        <f t="shared" si="121"/>
        <v/>
      </c>
      <c r="Z266" s="1291" t="str">
        <f t="shared" si="121"/>
        <v/>
      </c>
      <c r="AA266" s="694"/>
      <c r="AB266" s="1182" t="s">
        <v>737</v>
      </c>
      <c r="AC266" s="982" t="b">
        <f>AC60</f>
        <v>0</v>
      </c>
      <c r="AD266" s="982" t="b">
        <f t="shared" ref="AD266:AI266" si="122">AD60</f>
        <v>0</v>
      </c>
      <c r="AE266" s="982" t="b">
        <f t="shared" si="122"/>
        <v>0</v>
      </c>
      <c r="AF266" s="982" t="b">
        <f t="shared" si="122"/>
        <v>0</v>
      </c>
      <c r="AG266" s="982" t="b">
        <f t="shared" si="122"/>
        <v>0</v>
      </c>
      <c r="AH266" s="982" t="b">
        <f t="shared" si="122"/>
        <v>0</v>
      </c>
      <c r="AI266" s="982" t="b">
        <f t="shared" si="122"/>
        <v>0</v>
      </c>
      <c r="AJ266" s="1174" t="s">
        <v>2039</v>
      </c>
      <c r="AK266" s="1176" t="str">
        <f>IF(AND(CNTR_ExistSubInstEntries,MSconst_RequireSubAttrEmissions,COUNTIFS(AC266:AI266,FALSE,H266:N266,"")&gt;0),EUconst_Error&amp;"BM"&amp;$Q13,"")</f>
        <v/>
      </c>
      <c r="AL266" s="694"/>
    </row>
    <row r="267" spans="1:38" ht="12.75" customHeight="1" x14ac:dyDescent="0.25">
      <c r="A267" s="694"/>
      <c r="B267" s="298"/>
      <c r="C267" s="1302"/>
      <c r="D267" s="1306"/>
      <c r="E267" s="1306"/>
      <c r="F267" s="1306"/>
      <c r="G267" s="1306"/>
      <c r="H267" s="1306"/>
      <c r="I267" s="1354"/>
      <c r="J267" s="1306"/>
      <c r="K267" s="1306"/>
      <c r="L267" s="1306"/>
      <c r="M267" s="1306"/>
      <c r="N267" s="1316"/>
      <c r="O267" s="302"/>
      <c r="P267" s="302"/>
      <c r="Q267" s="729"/>
      <c r="R267" s="694"/>
      <c r="S267" s="729"/>
      <c r="T267" s="694"/>
      <c r="U267" s="694"/>
      <c r="V267" s="729"/>
      <c r="W267" s="694"/>
      <c r="X267" s="694"/>
      <c r="Y267" s="694"/>
      <c r="Z267" s="694"/>
      <c r="AA267" s="694"/>
      <c r="AB267" s="694"/>
      <c r="AC267" s="694"/>
      <c r="AD267" s="694"/>
      <c r="AE267" s="694"/>
      <c r="AF267" s="694"/>
      <c r="AG267" s="694"/>
      <c r="AH267" s="694"/>
      <c r="AI267" s="694"/>
      <c r="AJ267" s="694"/>
      <c r="AK267" s="694"/>
      <c r="AL267" s="694"/>
    </row>
    <row r="268" spans="1:38" ht="12.75" customHeight="1" x14ac:dyDescent="0.25">
      <c r="A268" s="694"/>
      <c r="B268" s="298"/>
      <c r="C268" s="1302"/>
      <c r="D268" s="1307" t="s">
        <v>249</v>
      </c>
      <c r="E268" s="2815" t="str">
        <f>Translations!$B$596</f>
        <v>Общо количество произведен пулп</v>
      </c>
      <c r="F268" s="2240"/>
      <c r="G268" s="2240"/>
      <c r="H268" s="2240"/>
      <c r="I268" s="2240"/>
      <c r="J268" s="2240"/>
      <c r="K268" s="2240"/>
      <c r="L268" s="2240"/>
      <c r="M268" s="2240"/>
      <c r="N268" s="2811"/>
      <c r="O268" s="302"/>
      <c r="P268" s="302"/>
      <c r="Q268" s="694"/>
      <c r="R268" s="694"/>
      <c r="S268" s="694"/>
      <c r="T268" s="694"/>
      <c r="U268" s="694"/>
      <c r="V268" s="729"/>
      <c r="W268" s="694"/>
      <c r="X268" s="694"/>
      <c r="Y268" s="694"/>
      <c r="Z268" s="694"/>
      <c r="AA268" s="694"/>
      <c r="AB268" s="694"/>
      <c r="AC268" s="694"/>
      <c r="AD268" s="694"/>
      <c r="AE268" s="694"/>
      <c r="AF268" s="694"/>
      <c r="AG268" s="694"/>
      <c r="AH268" s="694"/>
      <c r="AI268" s="694"/>
      <c r="AJ268" s="694"/>
      <c r="AK268" s="694"/>
      <c r="AL268" s="694"/>
    </row>
    <row r="269" spans="1:38" ht="25.5" customHeight="1" x14ac:dyDescent="0.25">
      <c r="A269" s="694"/>
      <c r="B269" s="298"/>
      <c r="C269" s="1302"/>
      <c r="D269" s="1306"/>
      <c r="E269" s="2810" t="str">
        <f>Translations!$B$597</f>
        <v>Съгласно раздел 2.7, буква к) от приложение IV към ПБР се отчита общото количество пулп, произведен за подинсталации с продуктов показател за късовлакнест крафт-пулп, дълговлакнест крафт-пулп, термомеханичен пулп и механичен пулп или сулфитен пулп.</v>
      </c>
      <c r="F269" s="2240"/>
      <c r="G269" s="2240"/>
      <c r="H269" s="2240"/>
      <c r="I269" s="2240"/>
      <c r="J269" s="2240"/>
      <c r="K269" s="2240"/>
      <c r="L269" s="2240"/>
      <c r="M269" s="2240"/>
      <c r="N269" s="2811"/>
      <c r="O269" s="302"/>
      <c r="P269" s="302"/>
      <c r="Q269" s="729"/>
      <c r="R269" s="694"/>
      <c r="S269" s="729"/>
      <c r="T269" s="694"/>
      <c r="U269" s="694"/>
      <c r="V269" s="729"/>
      <c r="W269" s="694"/>
      <c r="X269" s="694"/>
      <c r="Y269" s="694"/>
      <c r="Z269" s="694"/>
      <c r="AA269" s="694"/>
      <c r="AB269" s="694"/>
      <c r="AC269" s="694"/>
      <c r="AD269" s="694"/>
      <c r="AE269" s="694"/>
      <c r="AF269" s="694"/>
      <c r="AG269" s="694"/>
      <c r="AH269" s="694"/>
      <c r="AI269" s="694"/>
      <c r="AJ269" s="694"/>
      <c r="AK269" s="694"/>
      <c r="AL269" s="694"/>
    </row>
    <row r="270" spans="1:38" ht="12.75" customHeight="1" x14ac:dyDescent="0.25">
      <c r="A270" s="694"/>
      <c r="B270" s="298"/>
      <c r="C270" s="1302"/>
      <c r="D270" s="1306"/>
      <c r="E270" s="2810" t="str">
        <f>Translations!$B$598</f>
        <v>Този раздел ще бъде защрихован в сиво, ако тази подинсталация не е една от тези видове подинсталации за производство на пулп. В такъв случай, моля, продължете с точките по-долу.</v>
      </c>
      <c r="F270" s="2240"/>
      <c r="G270" s="2240"/>
      <c r="H270" s="2240"/>
      <c r="I270" s="2240"/>
      <c r="J270" s="2240"/>
      <c r="K270" s="2240"/>
      <c r="L270" s="2240"/>
      <c r="M270" s="2240"/>
      <c r="N270" s="2811"/>
      <c r="O270" s="302"/>
      <c r="P270" s="302"/>
      <c r="Q270" s="729"/>
      <c r="R270" s="694"/>
      <c r="S270" s="729"/>
      <c r="T270" s="694"/>
      <c r="U270" s="694"/>
      <c r="V270" s="729"/>
      <c r="W270" s="694"/>
      <c r="X270" s="694"/>
      <c r="Y270" s="694"/>
      <c r="Z270" s="694"/>
      <c r="AA270" s="694"/>
      <c r="AB270" s="694"/>
      <c r="AC270" s="694"/>
      <c r="AD270" s="694"/>
      <c r="AE270" s="694"/>
      <c r="AF270" s="694"/>
      <c r="AG270" s="694"/>
      <c r="AH270" s="694"/>
      <c r="AI270" s="694"/>
      <c r="AJ270" s="694"/>
      <c r="AK270" s="694"/>
      <c r="AL270" s="694"/>
    </row>
    <row r="271" spans="1:38" ht="12.75" customHeight="1" thickBot="1" x14ac:dyDescent="0.3">
      <c r="A271" s="694"/>
      <c r="B271" s="298"/>
      <c r="C271" s="1302"/>
      <c r="D271" s="625"/>
      <c r="E271" s="2812" t="str">
        <f>Translations!$B$599</f>
        <v>Посочените тук данни ще са необходими при актуализацията на конкретния показател за пулп.</v>
      </c>
      <c r="F271" s="2672"/>
      <c r="G271" s="2672"/>
      <c r="H271" s="2672"/>
      <c r="I271" s="2672"/>
      <c r="J271" s="2672"/>
      <c r="K271" s="2672"/>
      <c r="L271" s="2672"/>
      <c r="M271" s="2672"/>
      <c r="N271" s="2813"/>
      <c r="O271" s="302"/>
      <c r="P271" s="302"/>
      <c r="Q271" s="729"/>
      <c r="R271" s="694"/>
      <c r="S271" s="729"/>
      <c r="T271" s="694"/>
      <c r="U271" s="694"/>
      <c r="V271" s="729"/>
      <c r="W271" s="694"/>
      <c r="X271" s="694"/>
      <c r="Y271" s="694"/>
      <c r="Z271" s="694"/>
      <c r="AA271" s="694"/>
      <c r="AB271" s="694"/>
      <c r="AC271" s="1178">
        <f t="shared" ref="AC271:AI271" si="123">H$20</f>
        <v>2024</v>
      </c>
      <c r="AD271" s="1178">
        <f t="shared" si="123"/>
        <v>2025</v>
      </c>
      <c r="AE271" s="1178">
        <f t="shared" si="123"/>
        <v>2026</v>
      </c>
      <c r="AF271" s="1178">
        <f t="shared" si="123"/>
        <v>2027</v>
      </c>
      <c r="AG271" s="1178">
        <f t="shared" si="123"/>
        <v>2028</v>
      </c>
      <c r="AH271" s="1178">
        <f t="shared" si="123"/>
        <v>2029</v>
      </c>
      <c r="AI271" s="1178">
        <f t="shared" si="123"/>
        <v>2030</v>
      </c>
      <c r="AJ271" s="694"/>
      <c r="AK271" s="694"/>
      <c r="AL271" s="694"/>
    </row>
    <row r="272" spans="1:38" ht="12.75" customHeight="1" x14ac:dyDescent="0.25">
      <c r="A272" s="694"/>
      <c r="B272" s="298"/>
      <c r="C272" s="1302"/>
      <c r="D272" s="625"/>
      <c r="E272" s="2814" t="str">
        <f>IF(I13="","",IF(INDEX(EUconst_BMlistPulp,MATCH(I13,EUconst_BMlistNames,0)),I13,""))</f>
        <v/>
      </c>
      <c r="F272" s="2258"/>
      <c r="G272" s="1319" t="str">
        <f>EUconst_Tons</f>
        <v>тона</v>
      </c>
      <c r="H272" s="56"/>
      <c r="I272" s="115"/>
      <c r="J272" s="118"/>
      <c r="K272" s="56"/>
      <c r="L272" s="56"/>
      <c r="M272" s="56"/>
      <c r="N272" s="121"/>
      <c r="O272" s="302"/>
      <c r="P272" s="158"/>
      <c r="Q272" s="1190" t="str">
        <f>EUconst_CNTR_HALPulpTotal &amp; I13</f>
        <v>HALPulpTotal_</v>
      </c>
      <c r="R272" s="694"/>
      <c r="S272" s="729"/>
      <c r="T272" s="694"/>
      <c r="U272" s="694"/>
      <c r="V272" s="694"/>
      <c r="W272" s="694"/>
      <c r="X272" s="694"/>
      <c r="Y272" s="694"/>
      <c r="Z272" s="694"/>
      <c r="AA272" s="694"/>
      <c r="AB272" s="1182" t="s">
        <v>737</v>
      </c>
      <c r="AC272" s="901" t="b">
        <f t="shared" ref="AC272:AI272" si="124">IF($I13&lt;&gt;"",IF(INDEX(EUconst_BMlistPulp,MATCH($I13,EUconst_BMlistNames,0))=TRUE,FALSE,TRUE),AC60)</f>
        <v>0</v>
      </c>
      <c r="AD272" s="982" t="b">
        <f t="shared" si="124"/>
        <v>0</v>
      </c>
      <c r="AE272" s="982" t="b">
        <f t="shared" si="124"/>
        <v>0</v>
      </c>
      <c r="AF272" s="982" t="b">
        <f t="shared" si="124"/>
        <v>0</v>
      </c>
      <c r="AG272" s="982" t="b">
        <f t="shared" si="124"/>
        <v>0</v>
      </c>
      <c r="AH272" s="982" t="b">
        <f t="shared" si="124"/>
        <v>0</v>
      </c>
      <c r="AI272" s="982" t="b">
        <f t="shared" si="124"/>
        <v>0</v>
      </c>
      <c r="AJ272" s="1174" t="s">
        <v>2039</v>
      </c>
      <c r="AK272" s="1176" t="str">
        <f>IF(AND(CNTR_ExistSubInstEntries,MSconst_RequireSubAttrEmissions,COUNTIFS(AC272:AI272,FALSE,H272:N272,"")&gt;0),EUconst_Error&amp;"BM"&amp;$Q13,"")</f>
        <v/>
      </c>
      <c r="AL272" s="694"/>
    </row>
    <row r="273" spans="1:38" ht="12.75" customHeight="1" x14ac:dyDescent="0.25">
      <c r="A273" s="694"/>
      <c r="B273" s="298"/>
      <c r="C273" s="1302"/>
      <c r="D273" s="625"/>
      <c r="E273" s="625"/>
      <c r="F273" s="625"/>
      <c r="G273" s="625"/>
      <c r="H273" s="1354"/>
      <c r="I273" s="625"/>
      <c r="J273" s="625"/>
      <c r="K273" s="625"/>
      <c r="L273" s="625"/>
      <c r="M273" s="625"/>
      <c r="N273" s="1348"/>
      <c r="O273" s="302"/>
      <c r="P273" s="302"/>
      <c r="Q273" s="729"/>
      <c r="R273" s="694"/>
      <c r="S273" s="729"/>
      <c r="T273" s="694"/>
      <c r="U273" s="694"/>
      <c r="V273" s="729"/>
      <c r="W273" s="694"/>
      <c r="X273" s="694"/>
      <c r="Y273" s="694"/>
      <c r="Z273" s="694"/>
      <c r="AA273" s="694"/>
      <c r="AB273" s="694"/>
      <c r="AC273" s="694"/>
      <c r="AD273" s="694"/>
      <c r="AE273" s="694"/>
      <c r="AF273" s="694"/>
      <c r="AG273" s="694"/>
      <c r="AH273" s="694"/>
      <c r="AI273" s="694"/>
      <c r="AJ273" s="694"/>
      <c r="AK273" s="694"/>
      <c r="AL273" s="694"/>
    </row>
    <row r="274" spans="1:38" ht="12.75" customHeight="1" x14ac:dyDescent="0.25">
      <c r="A274" s="694"/>
      <c r="B274" s="298"/>
      <c r="C274" s="1302"/>
      <c r="D274" s="1307" t="s">
        <v>852</v>
      </c>
      <c r="E274" s="2815" t="str">
        <f>Translations!$B$600</f>
        <v>Получаване или подаване на междинни продукти, обхванати от продуктови показатели</v>
      </c>
      <c r="F274" s="2240"/>
      <c r="G274" s="2240"/>
      <c r="H274" s="2240"/>
      <c r="I274" s="2240"/>
      <c r="J274" s="2240"/>
      <c r="K274" s="2240"/>
      <c r="L274" s="2240"/>
      <c r="M274" s="2240"/>
      <c r="N274" s="2811"/>
      <c r="O274" s="302"/>
      <c r="P274" s="302"/>
      <c r="Q274" s="729"/>
      <c r="R274" s="694"/>
      <c r="S274" s="729"/>
      <c r="T274" s="694"/>
      <c r="U274" s="694"/>
      <c r="V274" s="729"/>
      <c r="W274" s="694"/>
      <c r="X274" s="694"/>
      <c r="Y274" s="694"/>
      <c r="Z274" s="694"/>
      <c r="AA274" s="694"/>
      <c r="AB274" s="694"/>
      <c r="AC274" s="694"/>
      <c r="AD274" s="694"/>
      <c r="AE274" s="694"/>
      <c r="AF274" s="694"/>
      <c r="AG274" s="694"/>
      <c r="AH274" s="694"/>
      <c r="AI274" s="694"/>
      <c r="AJ274" s="694"/>
      <c r="AK274" s="694"/>
      <c r="AL274" s="694"/>
    </row>
    <row r="275" spans="1:38" ht="25.5" customHeight="1" x14ac:dyDescent="0.25">
      <c r="A275" s="694"/>
      <c r="B275" s="298"/>
      <c r="C275" s="1302"/>
      <c r="D275" s="1306"/>
      <c r="E275" s="2810" t="str">
        <f>Translations!$B$601</f>
        <v>За да се избегне двойно отчитане или пропуски в зададените емисии при определянето на актуализираните показатели, съгласно изискванията на раздел 2.7, буква г) от приложение IV към ПБР е необходимо да подадете данни за получените или подадените междинни продукти, обхванати от който и да било от продуктовите показатели, изброени в приложение I към ПБР.</v>
      </c>
      <c r="F275" s="2240"/>
      <c r="G275" s="2240"/>
      <c r="H275" s="2240"/>
      <c r="I275" s="2240"/>
      <c r="J275" s="2240"/>
      <c r="K275" s="2240"/>
      <c r="L275" s="2240"/>
      <c r="M275" s="2240"/>
      <c r="N275" s="2811"/>
      <c r="O275" s="302"/>
      <c r="P275" s="302"/>
      <c r="Q275" s="729"/>
      <c r="R275" s="694"/>
      <c r="S275" s="729"/>
      <c r="T275" s="694"/>
      <c r="U275" s="694"/>
      <c r="V275" s="729"/>
      <c r="W275" s="694"/>
      <c r="X275" s="694"/>
      <c r="Y275" s="694"/>
      <c r="Z275" s="694"/>
      <c r="AA275" s="694"/>
      <c r="AB275" s="694"/>
      <c r="AC275" s="694"/>
      <c r="AD275" s="694"/>
      <c r="AE275" s="694"/>
      <c r="AF275" s="694"/>
      <c r="AG275" s="694"/>
      <c r="AH275" s="694"/>
      <c r="AI275" s="694"/>
      <c r="AJ275" s="694"/>
      <c r="AK275" s="694"/>
      <c r="AL275" s="694"/>
    </row>
    <row r="276" spans="1:38" ht="12.75" customHeight="1" x14ac:dyDescent="0.25">
      <c r="A276" s="694"/>
      <c r="B276" s="298"/>
      <c r="C276" s="1302"/>
      <c r="D276" s="1306"/>
      <c r="E276" s="2816" t="str">
        <f>Translations!$B$602</f>
        <v>Посочените тук данни могат да се отразят на актуализацията на конкретния показател.</v>
      </c>
      <c r="F276" s="2240"/>
      <c r="G276" s="2240"/>
      <c r="H276" s="2240"/>
      <c r="I276" s="2240"/>
      <c r="J276" s="2240"/>
      <c r="K276" s="2240"/>
      <c r="L276" s="2240"/>
      <c r="M276" s="2240"/>
      <c r="N276" s="2811"/>
      <c r="O276" s="302"/>
      <c r="P276" s="302"/>
      <c r="Q276" s="729"/>
      <c r="R276" s="694"/>
      <c r="S276" s="729"/>
      <c r="T276" s="694"/>
      <c r="U276" s="694"/>
      <c r="V276" s="729"/>
      <c r="W276" s="694"/>
      <c r="X276" s="694"/>
      <c r="Y276" s="694"/>
      <c r="Z276" s="694"/>
      <c r="AA276" s="694"/>
      <c r="AB276" s="694"/>
      <c r="AC276" s="694"/>
      <c r="AD276" s="694"/>
      <c r="AE276" s="694"/>
      <c r="AF276" s="694"/>
      <c r="AG276" s="694"/>
      <c r="AH276" s="694"/>
      <c r="AI276" s="694"/>
      <c r="AJ276" s="694"/>
      <c r="AK276" s="694"/>
      <c r="AL276" s="694"/>
    </row>
    <row r="277" spans="1:38" ht="12.75" customHeight="1" x14ac:dyDescent="0.25">
      <c r="A277" s="694"/>
      <c r="B277" s="698"/>
      <c r="C277" s="1302"/>
      <c r="D277" s="625" t="s">
        <v>6</v>
      </c>
      <c r="E277" s="2817" t="str">
        <f>Translations!$B$603</f>
        <v>Има ли получени или подадени междинни продукти, които са обхванати от продуктови показатели?</v>
      </c>
      <c r="F277" s="2240"/>
      <c r="G277" s="2240"/>
      <c r="H277" s="2240"/>
      <c r="I277" s="2240"/>
      <c r="J277" s="2240"/>
      <c r="K277" s="2684"/>
      <c r="L277" s="83"/>
      <c r="M277" s="1304"/>
      <c r="N277" s="1372"/>
      <c r="O277" s="302"/>
      <c r="P277" s="158"/>
      <c r="Q277" s="694"/>
      <c r="R277" s="694"/>
      <c r="S277" s="694"/>
      <c r="T277" s="694"/>
      <c r="U277" s="694"/>
      <c r="V277" s="694"/>
      <c r="W277" s="694"/>
      <c r="X277" s="694"/>
      <c r="Y277" s="694"/>
      <c r="Z277" s="694"/>
      <c r="AA277" s="694"/>
      <c r="AB277" s="694"/>
      <c r="AC277" s="694"/>
      <c r="AD277" s="694"/>
      <c r="AE277" s="694"/>
      <c r="AF277" s="1182" t="s">
        <v>737</v>
      </c>
      <c r="AG277" s="901" t="b">
        <f>AND(CNTR_ExistSubInstEntries,I13="")</f>
        <v>0</v>
      </c>
      <c r="AH277" s="694"/>
      <c r="AI277" s="694"/>
      <c r="AJ277" s="694"/>
      <c r="AK277" s="694"/>
      <c r="AL277" s="694"/>
    </row>
    <row r="278" spans="1:38" ht="5.15" customHeight="1" x14ac:dyDescent="0.25">
      <c r="A278" s="694"/>
      <c r="B278" s="298"/>
      <c r="C278" s="1302"/>
      <c r="D278" s="625"/>
      <c r="E278" s="625"/>
      <c r="F278" s="625"/>
      <c r="G278" s="625"/>
      <c r="H278" s="1354"/>
      <c r="I278" s="625"/>
      <c r="J278" s="625"/>
      <c r="K278" s="625"/>
      <c r="L278" s="625"/>
      <c r="M278" s="625"/>
      <c r="N278" s="1348"/>
      <c r="O278" s="302"/>
      <c r="P278" s="302"/>
      <c r="Q278" s="729"/>
      <c r="R278" s="694"/>
      <c r="S278" s="729"/>
      <c r="T278" s="694"/>
      <c r="U278" s="694"/>
      <c r="V278" s="729"/>
      <c r="W278" s="694"/>
      <c r="X278" s="694"/>
      <c r="Y278" s="694"/>
      <c r="Z278" s="694"/>
      <c r="AA278" s="694"/>
      <c r="AB278" s="694"/>
      <c r="AC278" s="694"/>
      <c r="AD278" s="694"/>
      <c r="AE278" s="694"/>
      <c r="AF278" s="694"/>
      <c r="AG278" s="694"/>
      <c r="AH278" s="694"/>
      <c r="AI278" s="694"/>
      <c r="AJ278" s="694"/>
      <c r="AK278" s="694"/>
      <c r="AL278" s="694"/>
    </row>
    <row r="279" spans="1:38" ht="12.75" customHeight="1" thickBot="1" x14ac:dyDescent="0.3">
      <c r="A279" s="694"/>
      <c r="B279" s="298"/>
      <c r="C279" s="1302"/>
      <c r="D279" s="1307"/>
      <c r="E279" s="2803" t="str">
        <f>Translations!$B$604</f>
        <v>Получени количества:</v>
      </c>
      <c r="F279" s="2672"/>
      <c r="G279" s="627" t="str">
        <f>EUconst_Unit</f>
        <v>Единица мярка</v>
      </c>
      <c r="H279" s="629">
        <f t="shared" ref="H279:N279" si="125">H$2831</f>
        <v>2024</v>
      </c>
      <c r="I279" s="1310">
        <f t="shared" si="125"/>
        <v>2025</v>
      </c>
      <c r="J279" s="1311">
        <f t="shared" si="125"/>
        <v>2026</v>
      </c>
      <c r="K279" s="629">
        <f t="shared" si="125"/>
        <v>2027</v>
      </c>
      <c r="L279" s="629">
        <f t="shared" si="125"/>
        <v>2028</v>
      </c>
      <c r="M279" s="629">
        <f t="shared" si="125"/>
        <v>2029</v>
      </c>
      <c r="N279" s="1312">
        <f t="shared" si="125"/>
        <v>2030</v>
      </c>
      <c r="O279" s="302"/>
      <c r="P279" s="302"/>
      <c r="Q279" s="729"/>
      <c r="R279" s="694"/>
      <c r="S279" s="729"/>
      <c r="T279" s="694"/>
      <c r="U279" s="694"/>
      <c r="V279" s="729"/>
      <c r="W279" s="694"/>
      <c r="X279" s="694"/>
      <c r="Y279" s="694"/>
      <c r="Z279" s="694"/>
      <c r="AA279" s="694"/>
      <c r="AB279" s="694"/>
      <c r="AC279" s="1178">
        <f t="shared" ref="AC279:AI279" si="126">H$20</f>
        <v>2024</v>
      </c>
      <c r="AD279" s="1178">
        <f t="shared" si="126"/>
        <v>2025</v>
      </c>
      <c r="AE279" s="1178">
        <f t="shared" si="126"/>
        <v>2026</v>
      </c>
      <c r="AF279" s="1178">
        <f t="shared" si="126"/>
        <v>2027</v>
      </c>
      <c r="AG279" s="1178">
        <f t="shared" si="126"/>
        <v>2028</v>
      </c>
      <c r="AH279" s="1178">
        <f t="shared" si="126"/>
        <v>2029</v>
      </c>
      <c r="AI279" s="1178">
        <f t="shared" si="126"/>
        <v>2030</v>
      </c>
      <c r="AJ279" s="694"/>
      <c r="AK279" s="694"/>
      <c r="AL279" s="694"/>
    </row>
    <row r="280" spans="1:38" ht="12.75" customHeight="1" x14ac:dyDescent="0.25">
      <c r="A280" s="694"/>
      <c r="B280" s="298"/>
      <c r="C280" s="1302"/>
      <c r="D280" s="625" t="s">
        <v>7</v>
      </c>
      <c r="E280" s="2799"/>
      <c r="F280" s="2800"/>
      <c r="G280" s="1116" t="str">
        <f>IF(E280&lt;&gt;"",INDEX(EUconst_BMlistUnits,MATCH(E280,EUconst_BMlistNames,0)),EUconst_Tons)</f>
        <v>тона</v>
      </c>
      <c r="H280" s="150"/>
      <c r="I280" s="151"/>
      <c r="J280" s="152"/>
      <c r="K280" s="150"/>
      <c r="L280" s="150"/>
      <c r="M280" s="150"/>
      <c r="N280" s="153"/>
      <c r="O280" s="302"/>
      <c r="P280" s="158"/>
      <c r="Q280" s="1190" t="str">
        <f>EUconst_CNTR_IntermediateImport &amp; S280 &amp; "_" &amp; I13</f>
        <v>IntImp_1_</v>
      </c>
      <c r="R280" s="694"/>
      <c r="S280" s="1190">
        <v>1</v>
      </c>
      <c r="T280" s="694"/>
      <c r="U280" s="694"/>
      <c r="V280" s="729"/>
      <c r="W280" s="694"/>
      <c r="X280" s="694"/>
      <c r="Y280" s="694"/>
      <c r="Z280" s="694"/>
      <c r="AA280" s="694"/>
      <c r="AB280" s="1182" t="s">
        <v>737</v>
      </c>
      <c r="AC280" s="901" t="b">
        <f>OR(AND($L277&lt;&gt;"",$L277=FALSE),AC60)</f>
        <v>0</v>
      </c>
      <c r="AD280" s="982" t="b">
        <f t="shared" ref="AD280:AI280" si="127">OR(AND($L277&lt;&gt;"",$L277=FALSE),AD60)</f>
        <v>0</v>
      </c>
      <c r="AE280" s="982" t="b">
        <f t="shared" si="127"/>
        <v>0</v>
      </c>
      <c r="AF280" s="982" t="b">
        <f t="shared" si="127"/>
        <v>0</v>
      </c>
      <c r="AG280" s="982" t="b">
        <f t="shared" si="127"/>
        <v>0</v>
      </c>
      <c r="AH280" s="982" t="b">
        <f t="shared" si="127"/>
        <v>0</v>
      </c>
      <c r="AI280" s="982" t="b">
        <f t="shared" si="127"/>
        <v>0</v>
      </c>
      <c r="AJ280" s="1174" t="s">
        <v>2039</v>
      </c>
      <c r="AK280" s="1176" t="str">
        <f>IF(AND(CNTR_ExistSubInstEntries,MSconst_RequireSubAttrEmissions,COUNTIFS(AC280:AI280,FALSE,H280:N280,"")&gt;0),EUconst_Error&amp;"BM"&amp;$Q13,"")</f>
        <v/>
      </c>
      <c r="AL280" s="694"/>
    </row>
    <row r="281" spans="1:38" ht="12.75" customHeight="1" x14ac:dyDescent="0.25">
      <c r="A281" s="694"/>
      <c r="B281" s="298"/>
      <c r="C281" s="1302"/>
      <c r="D281" s="625" t="s">
        <v>8</v>
      </c>
      <c r="E281" s="2801"/>
      <c r="F281" s="2802"/>
      <c r="G281" s="1349" t="str">
        <f>IF(E281&lt;&gt;"",INDEX(EUconst_BMlistUnits,MATCH(E281,EUconst_BMlistNames,0)),EUconst_Tons)</f>
        <v>тона</v>
      </c>
      <c r="H281" s="154"/>
      <c r="I281" s="155"/>
      <c r="J281" s="156"/>
      <c r="K281" s="154"/>
      <c r="L281" s="154"/>
      <c r="M281" s="154"/>
      <c r="N281" s="157"/>
      <c r="O281" s="302"/>
      <c r="P281" s="158"/>
      <c r="Q281" s="1190" t="str">
        <f>EUconst_CNTR_IntermediateImport &amp; S281 &amp; "_" &amp; I13</f>
        <v>IntImp_2_</v>
      </c>
      <c r="R281" s="694"/>
      <c r="S281" s="1190">
        <v>2</v>
      </c>
      <c r="T281" s="694"/>
      <c r="U281" s="694"/>
      <c r="V281" s="729"/>
      <c r="W281" s="694"/>
      <c r="X281" s="694"/>
      <c r="Y281" s="694"/>
      <c r="Z281" s="694"/>
      <c r="AA281" s="694"/>
      <c r="AB281" s="694"/>
      <c r="AC281" s="982" t="b">
        <f>AC280</f>
        <v>0</v>
      </c>
      <c r="AD281" s="982" t="b">
        <f t="shared" ref="AD281:AI281" si="128">AD280</f>
        <v>0</v>
      </c>
      <c r="AE281" s="982" t="b">
        <f t="shared" si="128"/>
        <v>0</v>
      </c>
      <c r="AF281" s="982" t="b">
        <f t="shared" si="128"/>
        <v>0</v>
      </c>
      <c r="AG281" s="982" t="b">
        <f t="shared" si="128"/>
        <v>0</v>
      </c>
      <c r="AH281" s="982" t="b">
        <f t="shared" si="128"/>
        <v>0</v>
      </c>
      <c r="AI281" s="982" t="b">
        <f t="shared" si="128"/>
        <v>0</v>
      </c>
      <c r="AJ281" s="694"/>
      <c r="AK281" s="694"/>
      <c r="AL281" s="694"/>
    </row>
    <row r="282" spans="1:38" ht="5.15" customHeight="1" x14ac:dyDescent="0.25">
      <c r="A282" s="694"/>
      <c r="B282" s="298"/>
      <c r="C282" s="1302"/>
      <c r="D282" s="625"/>
      <c r="E282" s="625"/>
      <c r="F282" s="625"/>
      <c r="G282" s="625"/>
      <c r="H282" s="625"/>
      <c r="I282" s="625"/>
      <c r="J282" s="625"/>
      <c r="K282" s="625"/>
      <c r="L282" s="625"/>
      <c r="M282" s="625"/>
      <c r="N282" s="1373"/>
      <c r="O282" s="302"/>
      <c r="P282" s="302"/>
      <c r="Q282" s="729"/>
      <c r="R282" s="694"/>
      <c r="S282" s="729"/>
      <c r="T282" s="694"/>
      <c r="U282" s="694"/>
      <c r="V282" s="729"/>
      <c r="W282" s="694"/>
      <c r="X282" s="694"/>
      <c r="Y282" s="694"/>
      <c r="Z282" s="694"/>
      <c r="AA282" s="694"/>
      <c r="AB282" s="694"/>
      <c r="AC282" s="694"/>
      <c r="AD282" s="694"/>
      <c r="AE282" s="694"/>
      <c r="AF282" s="694"/>
      <c r="AG282" s="694"/>
      <c r="AH282" s="694"/>
      <c r="AI282" s="694"/>
      <c r="AJ282" s="694"/>
      <c r="AK282" s="694"/>
      <c r="AL282" s="694"/>
    </row>
    <row r="283" spans="1:38" ht="12.75" customHeight="1" thickBot="1" x14ac:dyDescent="0.3">
      <c r="A283" s="694"/>
      <c r="B283" s="298"/>
      <c r="C283" s="1302"/>
      <c r="D283" s="1307"/>
      <c r="E283" s="2803" t="str">
        <f>Translations!$B$605</f>
        <v>Подадени количества:</v>
      </c>
      <c r="F283" s="2672"/>
      <c r="G283" s="627" t="str">
        <f>EUconst_Unit</f>
        <v>Единица мярка</v>
      </c>
      <c r="H283" s="629">
        <f t="shared" ref="H283:N283" si="129">H$2831</f>
        <v>2024</v>
      </c>
      <c r="I283" s="1310">
        <f t="shared" si="129"/>
        <v>2025</v>
      </c>
      <c r="J283" s="1311">
        <f t="shared" si="129"/>
        <v>2026</v>
      </c>
      <c r="K283" s="629">
        <f t="shared" si="129"/>
        <v>2027</v>
      </c>
      <c r="L283" s="629">
        <f t="shared" si="129"/>
        <v>2028</v>
      </c>
      <c r="M283" s="629">
        <f t="shared" si="129"/>
        <v>2029</v>
      </c>
      <c r="N283" s="1312">
        <f t="shared" si="129"/>
        <v>2030</v>
      </c>
      <c r="O283" s="302"/>
      <c r="P283" s="302"/>
      <c r="Q283" s="729"/>
      <c r="R283" s="694"/>
      <c r="S283" s="729"/>
      <c r="T283" s="694"/>
      <c r="U283" s="694"/>
      <c r="V283" s="729"/>
      <c r="W283" s="694"/>
      <c r="X283" s="694"/>
      <c r="Y283" s="694"/>
      <c r="Z283" s="694"/>
      <c r="AA283" s="694"/>
      <c r="AB283" s="694"/>
      <c r="AC283" s="1178">
        <f t="shared" ref="AC283:AI283" si="130">H$20</f>
        <v>2024</v>
      </c>
      <c r="AD283" s="1178">
        <f t="shared" si="130"/>
        <v>2025</v>
      </c>
      <c r="AE283" s="1178">
        <f t="shared" si="130"/>
        <v>2026</v>
      </c>
      <c r="AF283" s="1178">
        <f t="shared" si="130"/>
        <v>2027</v>
      </c>
      <c r="AG283" s="1178">
        <f t="shared" si="130"/>
        <v>2028</v>
      </c>
      <c r="AH283" s="1178">
        <f t="shared" si="130"/>
        <v>2029</v>
      </c>
      <c r="AI283" s="1178">
        <f t="shared" si="130"/>
        <v>2030</v>
      </c>
      <c r="AJ283" s="694"/>
      <c r="AK283" s="694"/>
      <c r="AL283" s="694"/>
    </row>
    <row r="284" spans="1:38" ht="12.75" customHeight="1" x14ac:dyDescent="0.25">
      <c r="A284" s="694"/>
      <c r="B284" s="298"/>
      <c r="C284" s="1302"/>
      <c r="D284" s="625" t="s">
        <v>18</v>
      </c>
      <c r="E284" s="2799"/>
      <c r="F284" s="2800"/>
      <c r="G284" s="1116" t="str">
        <f>IF(E284&lt;&gt;"",INDEX(EUconst_BMlistUnits,MATCH(E284,EUconst_BMlistNames,0)),EUconst_Tons)</f>
        <v>тона</v>
      </c>
      <c r="H284" s="150"/>
      <c r="I284" s="151"/>
      <c r="J284" s="152"/>
      <c r="K284" s="150"/>
      <c r="L284" s="150"/>
      <c r="M284" s="150"/>
      <c r="N284" s="153"/>
      <c r="O284" s="302"/>
      <c r="P284" s="158"/>
      <c r="Q284" s="1190" t="str">
        <f>EUconst_CNTR_IntermediateExport &amp; S280 &amp; "_" &amp; I13</f>
        <v>IntExp_1_</v>
      </c>
      <c r="R284" s="694"/>
      <c r="S284" s="1190">
        <v>1</v>
      </c>
      <c r="T284" s="694"/>
      <c r="U284" s="694"/>
      <c r="V284" s="729"/>
      <c r="W284" s="694"/>
      <c r="X284" s="1374"/>
      <c r="Y284" s="1374"/>
      <c r="Z284" s="694"/>
      <c r="AA284" s="694"/>
      <c r="AB284" s="1182" t="s">
        <v>737</v>
      </c>
      <c r="AC284" s="982" t="b">
        <f>AC280</f>
        <v>0</v>
      </c>
      <c r="AD284" s="982" t="b">
        <f t="shared" ref="AD284:AI284" si="131">AD280</f>
        <v>0</v>
      </c>
      <c r="AE284" s="982" t="b">
        <f t="shared" si="131"/>
        <v>0</v>
      </c>
      <c r="AF284" s="982" t="b">
        <f t="shared" si="131"/>
        <v>0</v>
      </c>
      <c r="AG284" s="982" t="b">
        <f t="shared" si="131"/>
        <v>0</v>
      </c>
      <c r="AH284" s="982" t="b">
        <f t="shared" si="131"/>
        <v>0</v>
      </c>
      <c r="AI284" s="982" t="b">
        <f t="shared" si="131"/>
        <v>0</v>
      </c>
      <c r="AJ284" s="1174" t="s">
        <v>2039</v>
      </c>
      <c r="AK284" s="1176" t="str">
        <f>IF(AND(CNTR_ExistSubInstEntries,MSconst_RequireSubAttrEmissions,COUNTIFS(AC284:AI284,FALSE,H284:N284,"")&gt;0),EUconst_Error&amp;"BM"&amp;$Q13,"")</f>
        <v/>
      </c>
      <c r="AL284" s="694"/>
    </row>
    <row r="285" spans="1:38" ht="12.75" customHeight="1" x14ac:dyDescent="0.25">
      <c r="A285" s="694"/>
      <c r="B285" s="298"/>
      <c r="C285" s="1302"/>
      <c r="D285" s="625" t="s">
        <v>810</v>
      </c>
      <c r="E285" s="2801"/>
      <c r="F285" s="2802"/>
      <c r="G285" s="1349" t="str">
        <f>IF(E285&lt;&gt;"",INDEX(EUconst_BMlistUnits,MATCH(E285,EUconst_BMlistNames,0)),EUconst_Tons)</f>
        <v>тона</v>
      </c>
      <c r="H285" s="154"/>
      <c r="I285" s="155"/>
      <c r="J285" s="156"/>
      <c r="K285" s="154"/>
      <c r="L285" s="154"/>
      <c r="M285" s="154"/>
      <c r="N285" s="157"/>
      <c r="O285" s="302"/>
      <c r="P285" s="158"/>
      <c r="Q285" s="1190" t="str">
        <f>EUconst_CNTR_IntermediateExport &amp; S285 &amp; "_" &amp; I13</f>
        <v>IntExp_2_</v>
      </c>
      <c r="R285" s="694"/>
      <c r="S285" s="1190">
        <v>2</v>
      </c>
      <c r="T285" s="694"/>
      <c r="U285" s="694"/>
      <c r="V285" s="729"/>
      <c r="W285" s="694"/>
      <c r="X285" s="1374"/>
      <c r="Y285" s="1374"/>
      <c r="Z285" s="694"/>
      <c r="AA285" s="694"/>
      <c r="AB285" s="694"/>
      <c r="AC285" s="982" t="b">
        <f t="shared" ref="AC285:AI285" si="132">AC281</f>
        <v>0</v>
      </c>
      <c r="AD285" s="982" t="b">
        <f t="shared" si="132"/>
        <v>0</v>
      </c>
      <c r="AE285" s="982" t="b">
        <f t="shared" si="132"/>
        <v>0</v>
      </c>
      <c r="AF285" s="982" t="b">
        <f t="shared" si="132"/>
        <v>0</v>
      </c>
      <c r="AG285" s="982" t="b">
        <f t="shared" si="132"/>
        <v>0</v>
      </c>
      <c r="AH285" s="982" t="b">
        <f t="shared" si="132"/>
        <v>0</v>
      </c>
      <c r="AI285" s="982" t="b">
        <f t="shared" si="132"/>
        <v>0</v>
      </c>
      <c r="AJ285" s="694"/>
      <c r="AK285" s="694"/>
      <c r="AL285" s="694"/>
    </row>
    <row r="286" spans="1:38" ht="5.15" customHeight="1" x14ac:dyDescent="0.25">
      <c r="A286" s="694"/>
      <c r="B286" s="298"/>
      <c r="C286" s="1302"/>
      <c r="D286" s="625"/>
      <c r="E286" s="625"/>
      <c r="F286" s="625"/>
      <c r="G286" s="625"/>
      <c r="H286" s="625"/>
      <c r="I286" s="625"/>
      <c r="J286" s="625"/>
      <c r="K286" s="625"/>
      <c r="L286" s="625"/>
      <c r="M286" s="625"/>
      <c r="N286" s="1348"/>
      <c r="O286" s="302"/>
      <c r="P286" s="302"/>
      <c r="Q286" s="729"/>
      <c r="R286" s="694"/>
      <c r="S286" s="729"/>
      <c r="T286" s="694"/>
      <c r="U286" s="694"/>
      <c r="V286" s="729"/>
      <c r="W286" s="694"/>
      <c r="X286" s="1374"/>
      <c r="Y286" s="1374"/>
      <c r="Z286" s="694"/>
      <c r="AA286" s="694"/>
      <c r="AB286" s="694"/>
      <c r="AC286" s="694"/>
      <c r="AD286" s="694"/>
      <c r="AE286" s="694"/>
      <c r="AF286" s="694"/>
      <c r="AG286" s="694"/>
      <c r="AH286" s="694"/>
      <c r="AI286" s="694"/>
      <c r="AJ286" s="694"/>
      <c r="AK286" s="694"/>
      <c r="AL286" s="694"/>
    </row>
    <row r="287" spans="1:38" ht="12.75" customHeight="1" x14ac:dyDescent="0.25">
      <c r="A287" s="694"/>
      <c r="B287" s="298"/>
      <c r="C287" s="1302"/>
      <c r="D287" s="625" t="s">
        <v>811</v>
      </c>
      <c r="E287" s="626" t="str">
        <f>Translations!$B$606</f>
        <v>Описание на получените или подадените междинни продукти</v>
      </c>
      <c r="F287" s="626"/>
      <c r="G287" s="626"/>
      <c r="H287" s="626"/>
      <c r="I287" s="626"/>
      <c r="J287" s="626"/>
      <c r="K287" s="626"/>
      <c r="L287" s="626"/>
      <c r="M287" s="626"/>
      <c r="N287" s="1348"/>
      <c r="O287" s="302"/>
      <c r="P287" s="302"/>
      <c r="Q287" s="729"/>
      <c r="R287" s="694"/>
      <c r="S287" s="729"/>
      <c r="T287" s="694"/>
      <c r="U287" s="694"/>
      <c r="V287" s="729"/>
      <c r="W287" s="694"/>
      <c r="X287" s="1374"/>
      <c r="Y287" s="1374"/>
      <c r="Z287" s="694"/>
      <c r="AA287" s="694"/>
      <c r="AB287" s="694"/>
      <c r="AC287" s="694"/>
      <c r="AD287" s="694"/>
      <c r="AE287" s="694"/>
      <c r="AF287" s="694"/>
      <c r="AG287" s="694"/>
      <c r="AH287" s="694"/>
      <c r="AI287" s="694"/>
      <c r="AJ287" s="694"/>
      <c r="AK287" s="694"/>
      <c r="AL287" s="694"/>
    </row>
    <row r="288" spans="1:38" ht="12.75" customHeight="1" x14ac:dyDescent="0.25">
      <c r="A288" s="694"/>
      <c r="B288" s="298"/>
      <c r="C288" s="1302"/>
      <c r="D288" s="625"/>
      <c r="E288" s="1375" t="str">
        <f>Translations!$B$607</f>
        <v>Моля, опишете накратко производствения процес във връзка с получени или подадени междинни продукти.</v>
      </c>
      <c r="F288" s="1322"/>
      <c r="G288" s="1322"/>
      <c r="H288" s="1322"/>
      <c r="I288" s="1322"/>
      <c r="J288" s="1322"/>
      <c r="K288" s="1322"/>
      <c r="L288" s="1322"/>
      <c r="M288" s="1322"/>
      <c r="N288" s="1323"/>
      <c r="O288" s="302"/>
      <c r="P288" s="302"/>
      <c r="Q288" s="729"/>
      <c r="R288" s="694"/>
      <c r="S288" s="729"/>
      <c r="T288" s="694"/>
      <c r="U288" s="694"/>
      <c r="V288" s="729"/>
      <c r="W288" s="694"/>
      <c r="X288" s="1374"/>
      <c r="Y288" s="1374"/>
      <c r="Z288" s="694"/>
      <c r="AA288" s="694"/>
      <c r="AB288" s="694"/>
      <c r="AC288" s="694"/>
      <c r="AD288" s="694"/>
      <c r="AE288" s="694"/>
      <c r="AF288" s="694"/>
      <c r="AG288" s="694"/>
      <c r="AH288" s="694"/>
      <c r="AI288" s="694"/>
      <c r="AJ288" s="694"/>
      <c r="AK288" s="694"/>
      <c r="AL288" s="694"/>
    </row>
    <row r="289" spans="1:38" ht="12.75" customHeight="1" x14ac:dyDescent="0.25">
      <c r="A289" s="694"/>
      <c r="B289" s="298"/>
      <c r="C289" s="1302"/>
      <c r="D289" s="625"/>
      <c r="E289" s="2804"/>
      <c r="F289" s="2805"/>
      <c r="G289" s="2805"/>
      <c r="H289" s="2805"/>
      <c r="I289" s="2805"/>
      <c r="J289" s="2805"/>
      <c r="K289" s="2805"/>
      <c r="L289" s="2805"/>
      <c r="M289" s="2806"/>
      <c r="N289" s="1348"/>
      <c r="O289" s="302"/>
      <c r="P289" s="158"/>
      <c r="Q289" s="729"/>
      <c r="R289" s="694"/>
      <c r="S289" s="729"/>
      <c r="T289" s="694"/>
      <c r="U289" s="694"/>
      <c r="V289" s="729"/>
      <c r="W289" s="694"/>
      <c r="X289" s="1374"/>
      <c r="Y289" s="1374"/>
      <c r="Z289" s="694"/>
      <c r="AA289" s="694"/>
      <c r="AB289" s="1182" t="s">
        <v>737</v>
      </c>
      <c r="AC289" s="982" t="b">
        <f>AND(AC284:AI284)</f>
        <v>0</v>
      </c>
      <c r="AD289" s="694"/>
      <c r="AE289" s="694"/>
      <c r="AF289" s="694"/>
      <c r="AG289" s="694"/>
      <c r="AH289" s="694"/>
      <c r="AI289" s="694"/>
      <c r="AJ289" s="694"/>
      <c r="AK289" s="694"/>
      <c r="AL289" s="694"/>
    </row>
    <row r="290" spans="1:38" ht="12.75" customHeight="1" x14ac:dyDescent="0.25">
      <c r="A290" s="694"/>
      <c r="B290" s="298"/>
      <c r="C290" s="1302"/>
      <c r="D290" s="625"/>
      <c r="E290" s="2807"/>
      <c r="F290" s="2808"/>
      <c r="G290" s="2808"/>
      <c r="H290" s="2808"/>
      <c r="I290" s="2808"/>
      <c r="J290" s="2808"/>
      <c r="K290" s="2808"/>
      <c r="L290" s="2808"/>
      <c r="M290" s="2809"/>
      <c r="N290" s="1348"/>
      <c r="O290" s="302"/>
      <c r="P290" s="302"/>
      <c r="Q290" s="729"/>
      <c r="R290" s="694"/>
      <c r="S290" s="729"/>
      <c r="T290" s="694"/>
      <c r="U290" s="694"/>
      <c r="V290" s="729"/>
      <c r="W290" s="694"/>
      <c r="X290" s="1374"/>
      <c r="Y290" s="1374"/>
      <c r="Z290" s="694"/>
      <c r="AA290" s="694"/>
      <c r="AB290" s="694"/>
      <c r="AC290" s="982" t="b">
        <f>AC289</f>
        <v>0</v>
      </c>
      <c r="AD290" s="694"/>
      <c r="AE290" s="694"/>
      <c r="AF290" s="694"/>
      <c r="AG290" s="694"/>
      <c r="AH290" s="694"/>
      <c r="AI290" s="694"/>
      <c r="AJ290" s="694"/>
      <c r="AK290" s="694"/>
      <c r="AL290" s="694"/>
    </row>
    <row r="291" spans="1:38" ht="12.75" customHeight="1" thickBot="1" x14ac:dyDescent="0.3">
      <c r="A291" s="694"/>
      <c r="B291" s="298"/>
      <c r="C291" s="1376"/>
      <c r="D291" s="1377"/>
      <c r="E291" s="1377"/>
      <c r="F291" s="1377"/>
      <c r="G291" s="1377"/>
      <c r="H291" s="1377"/>
      <c r="I291" s="1377"/>
      <c r="J291" s="1377"/>
      <c r="K291" s="1377"/>
      <c r="L291" s="1377"/>
      <c r="M291" s="1378"/>
      <c r="N291" s="1379"/>
      <c r="O291" s="302"/>
      <c r="P291" s="302"/>
      <c r="Q291" s="729"/>
      <c r="R291" s="694"/>
      <c r="S291" s="729"/>
      <c r="T291" s="694"/>
      <c r="U291" s="694"/>
      <c r="V291" s="729"/>
      <c r="W291" s="694"/>
      <c r="X291" s="694"/>
      <c r="Y291" s="694"/>
      <c r="Z291" s="694"/>
      <c r="AA291" s="694"/>
      <c r="AB291" s="694"/>
      <c r="AC291" s="694"/>
      <c r="AD291" s="694"/>
      <c r="AE291" s="694"/>
      <c r="AF291" s="694"/>
      <c r="AG291" s="694"/>
      <c r="AH291" s="694"/>
      <c r="AI291" s="694"/>
      <c r="AJ291" s="694"/>
      <c r="AK291" s="694"/>
      <c r="AL291" s="694"/>
    </row>
    <row r="292" spans="1:38" ht="12.75" customHeight="1" thickBot="1" x14ac:dyDescent="0.3">
      <c r="A292" s="729"/>
      <c r="B292" s="284"/>
      <c r="C292" s="284"/>
      <c r="D292" s="284"/>
      <c r="E292" s="284"/>
      <c r="F292" s="284"/>
      <c r="G292" s="284"/>
      <c r="H292" s="284"/>
      <c r="I292" s="284"/>
      <c r="J292" s="284"/>
      <c r="K292" s="284"/>
      <c r="L292" s="284"/>
      <c r="M292" s="336"/>
      <c r="N292" s="336"/>
      <c r="O292" s="336"/>
      <c r="P292" s="336"/>
      <c r="Q292" s="1026" t="str">
        <f>IF(OR(AND(CNTR_ExistProductSubEntries=FALSE,Q13=1),AND(I13&lt;&gt;"",COUNTIF(Q293:Q$2825,"PRINT")=0)),"PRINT","")</f>
        <v>PRINT</v>
      </c>
      <c r="R292" s="770"/>
      <c r="S292" s="770"/>
      <c r="T292" s="770"/>
      <c r="U292" s="770"/>
      <c r="V292" s="770"/>
      <c r="W292" s="770"/>
      <c r="X292" s="770"/>
      <c r="Y292" s="770"/>
      <c r="Z292" s="694"/>
      <c r="AA292" s="694"/>
      <c r="AB292" s="694"/>
      <c r="AC292" s="694"/>
      <c r="AD292" s="694"/>
      <c r="AE292" s="343"/>
      <c r="AF292" s="343"/>
      <c r="AG292" s="343"/>
      <c r="AH292" s="343"/>
      <c r="AI292" s="343"/>
      <c r="AJ292" s="343"/>
      <c r="AK292" s="343"/>
      <c r="AL292" s="343"/>
    </row>
    <row r="293" spans="1:38" ht="5.15" customHeight="1" thickBot="1" x14ac:dyDescent="0.3">
      <c r="A293" s="694"/>
      <c r="B293" s="298"/>
      <c r="C293" s="1380"/>
      <c r="D293" s="1380"/>
      <c r="E293" s="1380"/>
      <c r="F293" s="1380"/>
      <c r="G293" s="1380"/>
      <c r="H293" s="1380"/>
      <c r="I293" s="1380"/>
      <c r="J293" s="1380"/>
      <c r="K293" s="1380"/>
      <c r="L293" s="1380"/>
      <c r="M293" s="1380"/>
      <c r="N293" s="1380"/>
      <c r="O293" s="302"/>
      <c r="P293" s="302"/>
      <c r="Q293" s="1381"/>
      <c r="R293" s="1381"/>
      <c r="S293" s="1381"/>
      <c r="T293" s="1381"/>
      <c r="U293" s="1381"/>
      <c r="V293" s="1381"/>
      <c r="W293" s="1381"/>
      <c r="X293" s="1381"/>
      <c r="Y293" s="1381"/>
      <c r="Z293" s="1381"/>
      <c r="AA293" s="1381"/>
      <c r="AB293" s="1381"/>
      <c r="AC293" s="1381"/>
      <c r="AD293" s="1381"/>
      <c r="AE293" s="1381"/>
      <c r="AF293" s="1381"/>
      <c r="AG293" s="1381"/>
      <c r="AH293" s="1381"/>
      <c r="AI293" s="1381"/>
      <c r="AJ293" s="1381"/>
      <c r="AK293" s="1381"/>
      <c r="AL293" s="1381"/>
    </row>
    <row r="294" spans="1:38" ht="14.5" thickBot="1" x14ac:dyDescent="0.3">
      <c r="A294" s="694"/>
      <c r="B294" s="298"/>
      <c r="C294" s="1173">
        <f>C13+1</f>
        <v>2</v>
      </c>
      <c r="D294" s="2323" t="str">
        <f>EUconst_BMSubinst &amp; ":"</f>
        <v>Подинсталация с продуктов показател:</v>
      </c>
      <c r="E294" s="2249"/>
      <c r="F294" s="2249"/>
      <c r="G294" s="2249"/>
      <c r="H294" s="2295"/>
      <c r="I294" s="2843" t="str">
        <f>IF(INDEX(CNTR_SubInstListIsProdBM,$C294),INDEX(CNTR_SubInstListNames,$C294),"")</f>
        <v/>
      </c>
      <c r="J294" s="2844"/>
      <c r="K294" s="2844"/>
      <c r="L294" s="2844"/>
      <c r="M294" s="2844"/>
      <c r="N294" s="2865"/>
      <c r="O294" s="302"/>
      <c r="P294" s="302"/>
      <c r="Q294" s="1026">
        <f>C294</f>
        <v>2</v>
      </c>
      <c r="R294" s="694"/>
      <c r="S294" s="1174" t="str">
        <f>Translations!$B$898</f>
        <v>Дата на въвеждане в експлоатация:</v>
      </c>
      <c r="T294" s="1175" t="str">
        <f>IF(I294="","",MAX(INDEX(CNTR_SubInstStartDate,MATCH($I294,CNTR_SubInstListNames,0)),DATE(2005,1,1)))</f>
        <v/>
      </c>
      <c r="U294" s="729" t="s">
        <v>1731</v>
      </c>
      <c r="V294" s="1176">
        <f>IF(ISNUMBER(T294),YEAR($T294-IF(YEAR(T294)&gt;=2022,0,1))+1,2005)</f>
        <v>2005</v>
      </c>
      <c r="W294" s="1174" t="s">
        <v>1734</v>
      </c>
      <c r="X294" s="1175" t="str">
        <f>IF(I294="","",INDEX(CNTR_SubInstCessationDate,MATCH($I294,CNTR_SubInstListNames,0)))</f>
        <v/>
      </c>
      <c r="Y294" s="1174" t="s">
        <v>1735</v>
      </c>
      <c r="Z294" s="1176">
        <f>IF(SUM(X294)=0,2050,YEAR($X294))</f>
        <v>2050</v>
      </c>
      <c r="AA294" s="1174" t="s">
        <v>2009</v>
      </c>
      <c r="AB294" s="1176" t="b">
        <f>CNTR_ReportingYear&gt;V294</f>
        <v>1</v>
      </c>
      <c r="AC294" s="694"/>
      <c r="AD294" s="694"/>
      <c r="AE294" s="694"/>
      <c r="AF294" s="694"/>
      <c r="AG294" s="694"/>
      <c r="AH294" s="694"/>
      <c r="AI294" s="694"/>
      <c r="AJ294" s="694"/>
      <c r="AK294" s="694"/>
      <c r="AL294" s="1177" t="b">
        <f>AND(CNTR_ExistSubInstEntries,I294="")</f>
        <v>0</v>
      </c>
    </row>
    <row r="295" spans="1:38" x14ac:dyDescent="0.25">
      <c r="A295" s="694"/>
      <c r="B295" s="298"/>
      <c r="C295" s="298"/>
      <c r="D295" s="302"/>
      <c r="E295" s="2358" t="str">
        <f>Translations!$B$330</f>
        <v>Наименованието на подинсталацията с продуктов показател се показва автоматично въз основа на данните, въведени в лист „A_InstallationData“ („А_Данни за инсталацията“).</v>
      </c>
      <c r="F295" s="2249"/>
      <c r="G295" s="2249"/>
      <c r="H295" s="2249"/>
      <c r="I295" s="2249"/>
      <c r="J295" s="2249"/>
      <c r="K295" s="2249"/>
      <c r="L295" s="2249"/>
      <c r="M295" s="2249"/>
      <c r="N295" s="2249"/>
      <c r="O295" s="302"/>
      <c r="P295" s="302"/>
      <c r="Q295" s="729"/>
      <c r="R295" s="694"/>
      <c r="S295" s="729"/>
      <c r="T295" s="729"/>
      <c r="U295" s="694"/>
      <c r="V295" s="694"/>
      <c r="W295" s="694"/>
      <c r="X295" s="694"/>
      <c r="Y295" s="694"/>
      <c r="Z295" s="694"/>
      <c r="AA295" s="694"/>
      <c r="AB295" s="694"/>
      <c r="AC295" s="694"/>
      <c r="AD295" s="694"/>
      <c r="AE295" s="694"/>
      <c r="AF295" s="694"/>
      <c r="AG295" s="694"/>
      <c r="AH295" s="694"/>
      <c r="AI295" s="694"/>
      <c r="AJ295" s="694"/>
      <c r="AK295" s="694"/>
      <c r="AL295" s="694"/>
    </row>
    <row r="296" spans="1:38" ht="5.15" customHeight="1" x14ac:dyDescent="0.25">
      <c r="A296" s="694"/>
      <c r="B296" s="298"/>
      <c r="C296" s="298"/>
      <c r="D296" s="298"/>
      <c r="E296" s="298"/>
      <c r="F296" s="298"/>
      <c r="G296" s="298"/>
      <c r="H296" s="298"/>
      <c r="I296" s="298"/>
      <c r="J296" s="298"/>
      <c r="K296" s="298"/>
      <c r="L296" s="298"/>
      <c r="M296" s="302"/>
      <c r="N296" s="302"/>
      <c r="O296" s="302"/>
      <c r="P296" s="302"/>
      <c r="Q296" s="729"/>
      <c r="R296" s="694"/>
      <c r="S296" s="729"/>
      <c r="T296" s="729"/>
      <c r="U296" s="694"/>
      <c r="V296" s="694"/>
      <c r="W296" s="694"/>
      <c r="X296" s="694"/>
      <c r="Y296" s="694"/>
      <c r="Z296" s="694"/>
      <c r="AA296" s="694"/>
      <c r="AB296" s="694"/>
      <c r="AC296" s="694"/>
      <c r="AD296" s="694"/>
      <c r="AE296" s="694"/>
      <c r="AF296" s="694"/>
      <c r="AG296" s="694"/>
      <c r="AH296" s="694"/>
      <c r="AI296" s="694"/>
      <c r="AJ296" s="694"/>
      <c r="AK296" s="694"/>
      <c r="AL296" s="694"/>
    </row>
    <row r="297" spans="1:38" ht="13" x14ac:dyDescent="0.25">
      <c r="A297" s="694"/>
      <c r="B297" s="298"/>
      <c r="C297" s="298"/>
      <c r="D297" s="300" t="s">
        <v>408</v>
      </c>
      <c r="E297" s="2226" t="str">
        <f>Translations!$B$1315</f>
        <v>Равнища на дейност</v>
      </c>
      <c r="F297" s="2249"/>
      <c r="G297" s="2249"/>
      <c r="H297" s="2249"/>
      <c r="I297" s="2249"/>
      <c r="J297" s="2249"/>
      <c r="K297" s="2249"/>
      <c r="L297" s="2249"/>
      <c r="M297" s="2249"/>
      <c r="N297" s="2249"/>
      <c r="O297" s="302"/>
      <c r="P297" s="302"/>
      <c r="Q297" s="729"/>
      <c r="R297" s="694"/>
      <c r="S297" s="694"/>
      <c r="T297" s="694"/>
      <c r="U297" s="694"/>
      <c r="V297" s="694"/>
      <c r="W297" s="694"/>
      <c r="X297" s="694"/>
      <c r="Y297" s="694"/>
      <c r="Z297" s="694"/>
      <c r="AA297" s="694"/>
      <c r="AB297" s="694"/>
      <c r="AC297" s="694"/>
      <c r="AD297" s="694"/>
      <c r="AE297" s="694"/>
      <c r="AF297" s="694"/>
      <c r="AG297" s="694"/>
      <c r="AH297" s="694"/>
      <c r="AI297" s="694"/>
      <c r="AJ297" s="694"/>
      <c r="AK297" s="694"/>
      <c r="AL297" s="694"/>
    </row>
    <row r="298" spans="1:38" x14ac:dyDescent="0.25">
      <c r="A298" s="694"/>
      <c r="B298" s="298"/>
      <c r="C298" s="298"/>
      <c r="D298" s="302"/>
      <c r="E298" s="2358" t="str">
        <f>Translations!$B$474</f>
        <v>По тази точка следва да се отчетат „основните равнища на дейност“, т.е. данните, които се прилагат пряко за изчисляване на разпределението.</v>
      </c>
      <c r="F298" s="2249"/>
      <c r="G298" s="2249"/>
      <c r="H298" s="2249"/>
      <c r="I298" s="2249"/>
      <c r="J298" s="2249"/>
      <c r="K298" s="2249"/>
      <c r="L298" s="2249"/>
      <c r="M298" s="2249"/>
      <c r="N298" s="2249"/>
      <c r="O298" s="302"/>
      <c r="P298" s="302"/>
      <c r="Q298" s="729"/>
      <c r="R298" s="694"/>
      <c r="S298" s="729"/>
      <c r="T298" s="729"/>
      <c r="U298" s="729"/>
      <c r="V298" s="694"/>
      <c r="W298" s="694"/>
      <c r="X298" s="694"/>
      <c r="Y298" s="694"/>
      <c r="Z298" s="694"/>
      <c r="AA298" s="694"/>
      <c r="AB298" s="694"/>
      <c r="AC298" s="694"/>
      <c r="AD298" s="694"/>
      <c r="AE298" s="694"/>
      <c r="AF298" s="694"/>
      <c r="AG298" s="694"/>
      <c r="AH298" s="694"/>
      <c r="AI298" s="694"/>
      <c r="AJ298" s="694"/>
      <c r="AK298" s="694"/>
      <c r="AL298" s="694"/>
    </row>
    <row r="299" spans="1:38" x14ac:dyDescent="0.25">
      <c r="A299" s="694"/>
      <c r="B299" s="298"/>
      <c r="C299" s="298"/>
      <c r="D299" s="302"/>
      <c r="E299" s="2358" t="str">
        <f>Translations!$B$475</f>
        <v xml:space="preserve">Това обикновено са производствените данни за продукта, напр. тонове клинкер за сив цимент или тонове стъклени бутилки, както е определено в приложение I към ПБР. </v>
      </c>
      <c r="F299" s="2249"/>
      <c r="G299" s="2249"/>
      <c r="H299" s="2249"/>
      <c r="I299" s="2249"/>
      <c r="J299" s="2249"/>
      <c r="K299" s="2249"/>
      <c r="L299" s="2249"/>
      <c r="M299" s="2249"/>
      <c r="N299" s="2249"/>
      <c r="O299" s="302"/>
      <c r="P299" s="302"/>
      <c r="Q299" s="729"/>
      <c r="R299" s="694"/>
      <c r="S299" s="729"/>
      <c r="T299" s="729"/>
      <c r="U299" s="729"/>
      <c r="V299" s="694"/>
      <c r="W299" s="694"/>
      <c r="X299" s="694"/>
      <c r="Y299" s="694"/>
      <c r="Z299" s="694"/>
      <c r="AA299" s="694"/>
      <c r="AB299" s="694"/>
      <c r="AC299" s="694"/>
      <c r="AD299" s="694"/>
      <c r="AE299" s="694"/>
      <c r="AF299" s="694"/>
      <c r="AG299" s="694"/>
      <c r="AH299" s="694"/>
      <c r="AI299" s="694"/>
      <c r="AJ299" s="694"/>
      <c r="AK299" s="694"/>
      <c r="AL299" s="694"/>
    </row>
    <row r="300" spans="1:38" x14ac:dyDescent="0.25">
      <c r="A300" s="694"/>
      <c r="B300" s="298"/>
      <c r="C300" s="298"/>
      <c r="D300" s="302"/>
      <c r="E300" s="2358" t="str">
        <f>Translations!$B$476</f>
        <v>Въпреки това, ако се покаже съобщение съгласно буква b), трябва да се използва съответният инструмент за изчисляване, а резултатите от него автоматично се копират в тази таблица в ii).</v>
      </c>
      <c r="F300" s="2249"/>
      <c r="G300" s="2249"/>
      <c r="H300" s="2249"/>
      <c r="I300" s="2249"/>
      <c r="J300" s="2249"/>
      <c r="K300" s="2249"/>
      <c r="L300" s="2249"/>
      <c r="M300" s="2249"/>
      <c r="N300" s="2249"/>
      <c r="O300" s="302"/>
      <c r="P300" s="302"/>
      <c r="Q300" s="729"/>
      <c r="R300" s="694"/>
      <c r="S300" s="729"/>
      <c r="T300" s="694"/>
      <c r="U300" s="694"/>
      <c r="V300" s="694"/>
      <c r="W300" s="694"/>
      <c r="X300" s="694"/>
      <c r="Y300" s="694"/>
      <c r="Z300" s="729"/>
      <c r="AA300" s="694"/>
      <c r="AB300" s="694"/>
      <c r="AC300" s="694"/>
      <c r="AD300" s="694"/>
      <c r="AE300" s="694"/>
      <c r="AF300" s="694"/>
      <c r="AG300" s="694"/>
      <c r="AH300" s="694"/>
      <c r="AI300" s="694"/>
      <c r="AJ300" s="694"/>
      <c r="AK300" s="694"/>
      <c r="AL300" s="694"/>
    </row>
    <row r="301" spans="1:38" ht="13.5" customHeight="1" thickBot="1" x14ac:dyDescent="0.3">
      <c r="A301" s="694"/>
      <c r="B301" s="698"/>
      <c r="C301" s="698"/>
      <c r="D301" s="300"/>
      <c r="E301" s="2671" t="str">
        <f>Translations!$B$477</f>
        <v>Годишни равнища на дейност:</v>
      </c>
      <c r="F301" s="2671"/>
      <c r="G301" s="527" t="str">
        <f>EUconst_Unit</f>
        <v>Единица мярка</v>
      </c>
      <c r="H301" s="391">
        <f>H$2831</f>
        <v>2024</v>
      </c>
      <c r="I301" s="572">
        <f t="shared" ref="I301:N301" si="133">I$2831</f>
        <v>2025</v>
      </c>
      <c r="J301" s="757">
        <f>J$2831</f>
        <v>2026</v>
      </c>
      <c r="K301" s="391">
        <f t="shared" si="133"/>
        <v>2027</v>
      </c>
      <c r="L301" s="391">
        <f t="shared" si="133"/>
        <v>2028</v>
      </c>
      <c r="M301" s="391">
        <f t="shared" si="133"/>
        <v>2029</v>
      </c>
      <c r="N301" s="387">
        <f t="shared" si="133"/>
        <v>2030</v>
      </c>
      <c r="O301" s="302"/>
      <c r="P301" s="302"/>
      <c r="Q301" s="729"/>
      <c r="R301" s="694"/>
      <c r="S301" s="694"/>
      <c r="T301" s="1178">
        <f t="shared" ref="T301" si="134">H301</f>
        <v>2024</v>
      </c>
      <c r="U301" s="1178">
        <f t="shared" ref="U301" si="135">I301</f>
        <v>2025</v>
      </c>
      <c r="V301" s="1178">
        <f t="shared" ref="V301" si="136">J301</f>
        <v>2026</v>
      </c>
      <c r="W301" s="1178">
        <f t="shared" ref="W301" si="137">K301</f>
        <v>2027</v>
      </c>
      <c r="X301" s="1178">
        <f t="shared" ref="X301" si="138">L301</f>
        <v>2028</v>
      </c>
      <c r="Y301" s="1178">
        <f t="shared" ref="Y301" si="139">M301</f>
        <v>2029</v>
      </c>
      <c r="Z301" s="1178">
        <f t="shared" ref="Z301" si="140">N301</f>
        <v>2030</v>
      </c>
      <c r="AA301" s="694"/>
      <c r="AB301" s="694"/>
      <c r="AC301" s="1178">
        <f>H$20</f>
        <v>2024</v>
      </c>
      <c r="AD301" s="1178">
        <f t="shared" ref="AD301" si="141">I$20</f>
        <v>2025</v>
      </c>
      <c r="AE301" s="1178">
        <f t="shared" ref="AE301" si="142">J$20</f>
        <v>2026</v>
      </c>
      <c r="AF301" s="1178">
        <f t="shared" ref="AF301" si="143">K$20</f>
        <v>2027</v>
      </c>
      <c r="AG301" s="1178">
        <f t="shared" ref="AG301" si="144">L$20</f>
        <v>2028</v>
      </c>
      <c r="AH301" s="1178">
        <f t="shared" ref="AH301" si="145">M$20</f>
        <v>2029</v>
      </c>
      <c r="AI301" s="1178">
        <f t="shared" ref="AI301" si="146">N$20</f>
        <v>2030</v>
      </c>
      <c r="AJ301" s="694"/>
      <c r="AK301" s="694"/>
      <c r="AL301" s="729"/>
    </row>
    <row r="302" spans="1:38" ht="13" thickBot="1" x14ac:dyDescent="0.3">
      <c r="A302" s="694"/>
      <c r="B302" s="698"/>
      <c r="C302" s="698"/>
      <c r="D302" s="1084" t="s">
        <v>6</v>
      </c>
      <c r="E302" s="2862" t="str">
        <f>I294</f>
        <v/>
      </c>
      <c r="F302" s="2862"/>
      <c r="G302" s="1032" t="str">
        <f>IF(INDEX(CNTR_SubInstListIsProdBM,$C294),INDEX(CNTR_SubInstListHALUnit,$C294),EUconst_Tons)</f>
        <v>тона</v>
      </c>
      <c r="H302" s="98"/>
      <c r="I302" s="101"/>
      <c r="J302" s="102"/>
      <c r="K302" s="98"/>
      <c r="L302" s="98"/>
      <c r="M302" s="98"/>
      <c r="N302" s="120"/>
      <c r="O302" s="302"/>
      <c r="P302" s="158"/>
      <c r="Q302" s="694"/>
      <c r="R302" s="694"/>
      <c r="S302" s="729" t="s">
        <v>1732</v>
      </c>
      <c r="T302" s="1179" t="b">
        <f t="shared" ref="T302" si="147">AND($I294&lt;&gt;"",H301&lt;CNTR_ReportingYear,H301&gt;=$V294-1)</f>
        <v>0</v>
      </c>
      <c r="U302" s="1180" t="b">
        <f t="shared" ref="U302" si="148">AND($I294&lt;&gt;"",I301&lt;CNTR_ReportingYear,I301&gt;=$V294-1)</f>
        <v>0</v>
      </c>
      <c r="V302" s="1180" t="b">
        <f t="shared" ref="V302" si="149">AND($I294&lt;&gt;"",J301&lt;CNTR_ReportingYear,J301&gt;=$V294-1)</f>
        <v>0</v>
      </c>
      <c r="W302" s="1180" t="b">
        <f t="shared" ref="W302" si="150">AND($I294&lt;&gt;"",K301&lt;CNTR_ReportingYear,K301&gt;=$V294-1)</f>
        <v>0</v>
      </c>
      <c r="X302" s="1180" t="b">
        <f t="shared" ref="X302" si="151">AND($I294&lt;&gt;"",L301&lt;CNTR_ReportingYear,L301&gt;=$V294-1)</f>
        <v>0</v>
      </c>
      <c r="Y302" s="1180" t="b">
        <f t="shared" ref="Y302" si="152">AND($I294&lt;&gt;"",M301&lt;CNTR_ReportingYear,M301&gt;=$V294-1)</f>
        <v>0</v>
      </c>
      <c r="Z302" s="1181" t="b">
        <f t="shared" ref="Z302" si="153">AND($I294&lt;&gt;"",N301&lt;CNTR_ReportingYear,N301&gt;=$V294-1)</f>
        <v>0</v>
      </c>
      <c r="AA302" s="729"/>
      <c r="AB302" s="1182" t="s">
        <v>737</v>
      </c>
      <c r="AC302" s="1183" t="b">
        <f t="shared" ref="AC302" si="154">IF(CNTR_ExistSubInstEntries,OR($I294="",$R306,H301&gt;=CNTR_ReportingYear,AC301&lt;$V294-1),FALSE)</f>
        <v>0</v>
      </c>
      <c r="AD302" s="1184" t="b">
        <f t="shared" ref="AD302" si="155">IF(CNTR_ExistSubInstEntries,OR($I294="",$R306,I301&gt;=CNTR_ReportingYear,AD301&lt;$V294-1),FALSE)</f>
        <v>0</v>
      </c>
      <c r="AE302" s="1184" t="b">
        <f t="shared" ref="AE302" si="156">IF(CNTR_ExistSubInstEntries,OR($I294="",$R306,J301&gt;=CNTR_ReportingYear,AE301&lt;$V294-1),FALSE)</f>
        <v>0</v>
      </c>
      <c r="AF302" s="1184" t="b">
        <f t="shared" ref="AF302" si="157">IF(CNTR_ExistSubInstEntries,OR($I294="",$R306,K301&gt;=CNTR_ReportingYear,AF301&lt;$V294-1),FALSE)</f>
        <v>0</v>
      </c>
      <c r="AG302" s="1184" t="b">
        <f t="shared" ref="AG302" si="158">IF(CNTR_ExistSubInstEntries,OR($I294="",$R306,L301&gt;=CNTR_ReportingYear,AG301&lt;$V294-1),FALSE)</f>
        <v>0</v>
      </c>
      <c r="AH302" s="1184" t="b">
        <f t="shared" ref="AH302" si="159">IF(CNTR_ExistSubInstEntries,OR($I294="",$R306,M301&gt;=CNTR_ReportingYear,AH301&lt;$V294-1),FALSE)</f>
        <v>0</v>
      </c>
      <c r="AI302" s="1185" t="b">
        <f t="shared" ref="AI302" si="160">IF(CNTR_ExistSubInstEntries,OR($I294="",$R306,N301&gt;=CNTR_ReportingYear,AI301&lt;$V294-1),FALSE)</f>
        <v>0</v>
      </c>
      <c r="AJ302" s="1174" t="s">
        <v>2039</v>
      </c>
      <c r="AK302" s="1176" t="str">
        <f>IF(AND(CNTR_ExistSubInstEntries,COUNTIFS(AC302:AI302,FALSE,H302:N302,"")&gt;0),EUconst_Error&amp;"BM"&amp;$Q294,"")</f>
        <v/>
      </c>
      <c r="AL302" s="694"/>
    </row>
    <row r="303" spans="1:38" ht="13" customHeight="1" thickBot="1" x14ac:dyDescent="0.3">
      <c r="A303" s="694"/>
      <c r="B303" s="698"/>
      <c r="C303" s="698"/>
      <c r="D303" s="1084" t="s">
        <v>7</v>
      </c>
      <c r="E303" s="2862" t="str">
        <f>Translations!$B$478</f>
        <v>От работен лист „H_SpecialBM“ („H_Специфичен показател“):</v>
      </c>
      <c r="F303" s="2862"/>
      <c r="G303" s="1032" t="str">
        <f>G302</f>
        <v>тона</v>
      </c>
      <c r="H303" s="1186" t="str">
        <f>IF(OR($I294="",H301&gt;=CNTR_ReportingYear),"",IF($R306,SUMIF(H_SpecialBM!$Q$9:$Q$483,$Q303,H_SpecialBM!H$9:H$483),""))</f>
        <v/>
      </c>
      <c r="I303" s="1187" t="str">
        <f>IF(OR($I294="",I301&gt;=CNTR_ReportingYear),"",IF($R306,SUMIF(H_SpecialBM!$Q$9:$Q$483,$Q303,H_SpecialBM!I$9:I$483),""))</f>
        <v/>
      </c>
      <c r="J303" s="1188" t="str">
        <f>IF(OR($I294="",J301&gt;=CNTR_ReportingYear),"",IF($R306,SUMIF(H_SpecialBM!$Q$9:$Q$483,$Q303,H_SpecialBM!J$9:J$483),""))</f>
        <v/>
      </c>
      <c r="K303" s="1186" t="str">
        <f>IF(OR($I294="",K301&gt;=CNTR_ReportingYear),"",IF($R306,SUMIF(H_SpecialBM!$Q$9:$Q$483,$Q303,H_SpecialBM!K$9:K$483),""))</f>
        <v/>
      </c>
      <c r="L303" s="1186" t="str">
        <f>IF(OR($I294="",L301&gt;=CNTR_ReportingYear),"",IF($R306,SUMIF(H_SpecialBM!$Q$9:$Q$483,$Q303,H_SpecialBM!L$9:L$483),""))</f>
        <v/>
      </c>
      <c r="M303" s="1186" t="str">
        <f>IF(OR($I294="",M301&gt;=CNTR_ReportingYear),"",IF($R306,SUMIF(H_SpecialBM!$Q$9:$Q$483,$Q303,H_SpecialBM!M$9:M$483),""))</f>
        <v/>
      </c>
      <c r="N303" s="1189" t="str">
        <f>IF(OR($I294="",N301&gt;=CNTR_ReportingYear),"",IF($R306,SUMIF(H_SpecialBM!$Q$9:$Q$483,$Q303,H_SpecialBM!N$9:N$483),""))</f>
        <v/>
      </c>
      <c r="O303" s="302"/>
      <c r="P303" s="302"/>
      <c r="Q303" s="1190" t="str">
        <f>EUconst_CNTR_HALspecial&amp;I294</f>
        <v>HALspecial_</v>
      </c>
      <c r="R303" s="694"/>
      <c r="S303" s="694"/>
      <c r="T303" s="694"/>
      <c r="U303" s="694"/>
      <c r="V303" s="694"/>
      <c r="W303" s="694"/>
      <c r="X303" s="694"/>
      <c r="Y303" s="694"/>
      <c r="Z303" s="694"/>
      <c r="AA303" s="694"/>
      <c r="AB303" s="1182" t="s">
        <v>737</v>
      </c>
      <c r="AC303" s="1183" t="b">
        <f t="shared" ref="AC303" si="161">AND(CNTR_HasEntries_A_I,OR($R306=FALSE,H301&gt;=CNTR_ReportingYear))</f>
        <v>0</v>
      </c>
      <c r="AD303" s="1184" t="b">
        <f t="shared" ref="AD303" si="162">AND(CNTR_HasEntries_A_I,OR($R306=FALSE,I301&gt;=CNTR_ReportingYear))</f>
        <v>0</v>
      </c>
      <c r="AE303" s="1184" t="b">
        <f t="shared" ref="AE303" si="163">AND(CNTR_HasEntries_A_I,OR($R306=FALSE,J301&gt;=CNTR_ReportingYear))</f>
        <v>0</v>
      </c>
      <c r="AF303" s="1184" t="b">
        <f t="shared" ref="AF303" si="164">AND(CNTR_HasEntries_A_I,OR($R306=FALSE,K301&gt;=CNTR_ReportingYear))</f>
        <v>0</v>
      </c>
      <c r="AG303" s="1184" t="b">
        <f t="shared" ref="AG303" si="165">AND(CNTR_HasEntries_A_I,OR($R306=FALSE,L301&gt;=CNTR_ReportingYear))</f>
        <v>0</v>
      </c>
      <c r="AH303" s="1184" t="b">
        <f t="shared" ref="AH303" si="166">AND(CNTR_HasEntries_A_I,OR($R306=FALSE,M301&gt;=CNTR_ReportingYear))</f>
        <v>0</v>
      </c>
      <c r="AI303" s="1185" t="b">
        <f t="shared" ref="AI303" si="167">AND(CNTR_HasEntries_A_I,OR($R306=FALSE,N301&gt;=CNTR_ReportingYear))</f>
        <v>0</v>
      </c>
      <c r="AJ303" s="1165"/>
      <c r="AK303" s="1165"/>
      <c r="AL303" s="729"/>
    </row>
    <row r="304" spans="1:38" ht="13" customHeight="1" x14ac:dyDescent="0.25">
      <c r="A304" s="694"/>
      <c r="B304" s="698"/>
      <c r="C304" s="698"/>
      <c r="D304" s="1084" t="s">
        <v>8</v>
      </c>
      <c r="E304" s="2862" t="str">
        <f>Translations!$B$479</f>
        <v>Стойности, използвани за изчислението:</v>
      </c>
      <c r="F304" s="2862"/>
      <c r="G304" s="1032" t="str">
        <f>G303</f>
        <v>тона</v>
      </c>
      <c r="H304" s="1186" t="str">
        <f t="shared" ref="H304:N304" si="168">IF(OR($I294="",H301&gt;=CNTR_ReportingYear),"",IF($R306=TRUE,IF(ISNUMBER(H303),H303,0),IF(AND(H301&gt;=$V294-1,ISNUMBER(H302)),H302,0)))</f>
        <v/>
      </c>
      <c r="I304" s="1187" t="str">
        <f t="shared" si="168"/>
        <v/>
      </c>
      <c r="J304" s="1188" t="str">
        <f t="shared" si="168"/>
        <v/>
      </c>
      <c r="K304" s="1186" t="str">
        <f t="shared" si="168"/>
        <v/>
      </c>
      <c r="L304" s="1186" t="str">
        <f t="shared" si="168"/>
        <v/>
      </c>
      <c r="M304" s="1186" t="str">
        <f t="shared" si="168"/>
        <v/>
      </c>
      <c r="N304" s="1189" t="str">
        <f t="shared" si="168"/>
        <v/>
      </c>
      <c r="O304" s="302"/>
      <c r="P304" s="710"/>
      <c r="Q304" s="1190" t="str">
        <f>EUconst_CNTR_HAL&amp;I294</f>
        <v>HAL_</v>
      </c>
      <c r="R304" s="694"/>
      <c r="S304" s="694"/>
      <c r="T304" s="694"/>
      <c r="U304" s="694"/>
      <c r="V304" s="694"/>
      <c r="W304" s="694"/>
      <c r="X304" s="694"/>
      <c r="Y304" s="694"/>
      <c r="Z304" s="694"/>
      <c r="AA304" s="694"/>
      <c r="AB304" s="694"/>
      <c r="AC304" s="694"/>
      <c r="AD304" s="694"/>
      <c r="AE304" s="694"/>
      <c r="AF304" s="694"/>
      <c r="AG304" s="694"/>
      <c r="AH304" s="694"/>
      <c r="AI304" s="694"/>
      <c r="AJ304" s="1174" t="s">
        <v>2033</v>
      </c>
      <c r="AK304" s="982" t="str">
        <f>IF(COUNTIFS(H301:N301,"&lt;"&amp;YEAR(SUM(T294)),H304:N304,"&gt;"&amp;0)&gt;0,EUconst_Error&amp;"BM"&amp;Q294,"")</f>
        <v/>
      </c>
      <c r="AL304" s="729"/>
    </row>
    <row r="305" spans="1:38" ht="5.15" customHeight="1" x14ac:dyDescent="0.25">
      <c r="A305" s="694"/>
      <c r="B305" s="298"/>
      <c r="C305" s="298"/>
      <c r="D305" s="298"/>
      <c r="E305" s="298"/>
      <c r="F305" s="298"/>
      <c r="G305" s="298"/>
      <c r="H305" s="298"/>
      <c r="I305" s="298"/>
      <c r="J305" s="298"/>
      <c r="K305" s="298"/>
      <c r="L305" s="298"/>
      <c r="M305" s="302"/>
      <c r="N305" s="302"/>
      <c r="O305" s="302"/>
      <c r="P305" s="302"/>
      <c r="Q305" s="729"/>
      <c r="R305" s="694"/>
      <c r="S305" s="729"/>
      <c r="T305" s="729"/>
      <c r="U305" s="694"/>
      <c r="V305" s="694"/>
      <c r="W305" s="694"/>
      <c r="X305" s="694"/>
      <c r="Y305" s="694"/>
      <c r="Z305" s="694"/>
      <c r="AA305" s="694"/>
      <c r="AB305" s="694"/>
      <c r="AC305" s="694"/>
      <c r="AD305" s="694"/>
      <c r="AE305" s="694"/>
      <c r="AF305" s="694"/>
      <c r="AG305" s="694"/>
      <c r="AH305" s="694"/>
      <c r="AI305" s="694"/>
      <c r="AJ305" s="694"/>
      <c r="AK305" s="694"/>
      <c r="AL305" s="694"/>
    </row>
    <row r="306" spans="1:38" ht="13" x14ac:dyDescent="0.25">
      <c r="A306" s="694"/>
      <c r="B306" s="298"/>
      <c r="C306" s="298"/>
      <c r="D306" s="360" t="s">
        <v>18</v>
      </c>
      <c r="E306" s="2226" t="str">
        <f>Translations!$B$480</f>
        <v>Специални изисквания за докладване:</v>
      </c>
      <c r="F306" s="2226"/>
      <c r="G306" s="2317"/>
      <c r="H306" s="2858" t="str">
        <f>IF(I294="","",HYPERLINK(INDEX(EUconst_BMlistSpecialJumpTable,MATCH(I294,EUconst_BMlistNames,0)),INDEX(EUconst_BMlistSpecialReporting,MATCH(I294,EUconst_BMlistNames,0))))</f>
        <v/>
      </c>
      <c r="I306" s="2863"/>
      <c r="J306" s="2863"/>
      <c r="K306" s="2863"/>
      <c r="L306" s="2863"/>
      <c r="M306" s="2863"/>
      <c r="N306" s="2864"/>
      <c r="O306" s="302"/>
      <c r="P306" s="302"/>
      <c r="Q306" s="1174" t="s">
        <v>119</v>
      </c>
      <c r="R306" s="982" t="str">
        <f>IF(I294="","",IF(AND(INDEX(EUconst_BMlistSpecialJumpTable,MATCH(I294,EUconst_BMlistNames,0))&lt;&gt;"",INDEX(EUconst_BMlistMainNumberOfBM,MATCH(I294,EUconst_BMlistNames,0))&lt;&gt;47),TRUE,FALSE))</f>
        <v/>
      </c>
      <c r="S306" s="729"/>
      <c r="T306" s="729"/>
      <c r="U306" s="694"/>
      <c r="V306" s="694"/>
      <c r="W306" s="694"/>
      <c r="X306" s="694"/>
      <c r="Y306" s="694"/>
      <c r="Z306" s="694"/>
      <c r="AA306" s="694"/>
      <c r="AB306" s="694"/>
      <c r="AC306" s="694"/>
      <c r="AD306" s="694"/>
      <c r="AE306" s="694"/>
      <c r="AF306" s="694"/>
      <c r="AG306" s="694"/>
      <c r="AH306" s="694"/>
      <c r="AI306" s="694"/>
      <c r="AJ306" s="694"/>
      <c r="AK306" s="694"/>
      <c r="AL306" s="694"/>
    </row>
    <row r="307" spans="1:38" x14ac:dyDescent="0.25">
      <c r="A307" s="694"/>
      <c r="B307" s="298"/>
      <c r="C307" s="298"/>
      <c r="D307" s="302"/>
      <c r="E307" s="2358" t="str">
        <f>Translations!$B$481</f>
        <v>При някои продуктови показатели се изисква да се отчита специфична информация (напр. стойности на приведени по CO2 тонове (CWT)). Ако е приложимо, тук ще се покаже автоматично съобщение.</v>
      </c>
      <c r="F307" s="2249"/>
      <c r="G307" s="2249"/>
      <c r="H307" s="2249"/>
      <c r="I307" s="2249"/>
      <c r="J307" s="2249"/>
      <c r="K307" s="2249"/>
      <c r="L307" s="2249"/>
      <c r="M307" s="2249"/>
      <c r="N307" s="2249"/>
      <c r="O307" s="302"/>
      <c r="P307" s="302"/>
      <c r="Q307" s="729"/>
      <c r="R307" s="694"/>
      <c r="S307" s="729"/>
      <c r="T307" s="729"/>
      <c r="U307" s="694"/>
      <c r="V307" s="694"/>
      <c r="W307" s="694"/>
      <c r="X307" s="694"/>
      <c r="Y307" s="694"/>
      <c r="Z307" s="694"/>
      <c r="AA307" s="694"/>
      <c r="AB307" s="694"/>
      <c r="AC307" s="694"/>
      <c r="AD307" s="694"/>
      <c r="AE307" s="694"/>
      <c r="AF307" s="694"/>
      <c r="AG307" s="694"/>
      <c r="AH307" s="694"/>
      <c r="AI307" s="694"/>
      <c r="AJ307" s="694"/>
      <c r="AK307" s="694"/>
      <c r="AL307" s="694"/>
    </row>
    <row r="308" spans="1:38" ht="5.15" customHeight="1" x14ac:dyDescent="0.25">
      <c r="A308" s="694"/>
      <c r="B308" s="298"/>
      <c r="C308" s="298"/>
      <c r="D308" s="302"/>
      <c r="E308" s="302"/>
      <c r="F308" s="302"/>
      <c r="G308" s="302"/>
      <c r="H308" s="302"/>
      <c r="I308" s="302"/>
      <c r="J308" s="302"/>
      <c r="K308" s="302"/>
      <c r="L308" s="302"/>
      <c r="M308" s="302"/>
      <c r="N308" s="302"/>
      <c r="O308" s="302"/>
      <c r="P308" s="302"/>
      <c r="Q308" s="729"/>
      <c r="R308" s="694"/>
      <c r="S308" s="729"/>
      <c r="T308" s="729"/>
      <c r="U308" s="694"/>
      <c r="V308" s="694"/>
      <c r="W308" s="694"/>
      <c r="X308" s="694"/>
      <c r="Y308" s="694"/>
      <c r="Z308" s="729"/>
      <c r="AA308" s="694"/>
      <c r="AB308" s="694"/>
      <c r="AC308" s="694"/>
      <c r="AD308" s="694"/>
      <c r="AE308" s="694"/>
      <c r="AF308" s="694"/>
      <c r="AG308" s="694"/>
      <c r="AH308" s="694"/>
      <c r="AI308" s="694"/>
      <c r="AJ308" s="694"/>
      <c r="AK308" s="694"/>
      <c r="AL308" s="729"/>
    </row>
    <row r="309" spans="1:38" ht="12.75" customHeight="1" x14ac:dyDescent="0.25">
      <c r="A309" s="694"/>
      <c r="B309" s="298"/>
      <c r="C309" s="298"/>
      <c r="D309" s="300" t="s">
        <v>901</v>
      </c>
      <c r="E309" s="2226" t="str">
        <f>Translations!$B$1316</f>
        <v>Определяне на корекции на равнището на дейност</v>
      </c>
      <c r="F309" s="2249"/>
      <c r="G309" s="2249"/>
      <c r="H309" s="2249"/>
      <c r="I309" s="2249"/>
      <c r="J309" s="2249"/>
      <c r="K309" s="2249"/>
      <c r="L309" s="2249"/>
      <c r="M309" s="2249"/>
      <c r="N309" s="2249"/>
      <c r="O309" s="302"/>
      <c r="P309" s="302"/>
      <c r="Q309" s="729"/>
      <c r="R309" s="694"/>
      <c r="S309" s="729"/>
      <c r="T309" s="729"/>
      <c r="U309" s="694"/>
      <c r="V309" s="694"/>
      <c r="W309" s="694"/>
      <c r="X309" s="694"/>
      <c r="Y309" s="694"/>
      <c r="Z309" s="729"/>
      <c r="AA309" s="694"/>
      <c r="AB309" s="694"/>
      <c r="AC309" s="694"/>
      <c r="AD309" s="694"/>
      <c r="AE309" s="694"/>
      <c r="AF309" s="694"/>
      <c r="AG309" s="694"/>
      <c r="AH309" s="694"/>
      <c r="AI309" s="694"/>
      <c r="AJ309" s="694"/>
      <c r="AK309" s="694"/>
      <c r="AL309" s="729"/>
    </row>
    <row r="310" spans="1:38" ht="12.75" customHeight="1" x14ac:dyDescent="0.25">
      <c r="A310" s="694"/>
      <c r="B310" s="298"/>
      <c r="C310" s="298"/>
      <c r="D310" s="302"/>
      <c r="E310" s="2358" t="str">
        <f>Translations!$B$1317</f>
        <v>Историческото равнище на дейността (HAL) ще бъде определено автоматично за данните по буква а) по-горе и данните в лист „B+C_SubInstallations“ („B+C_Подинсталации“). За нови подинсталации HAL ще бъде показано в v. на базата на първата пълна година на експлоатация.</v>
      </c>
      <c r="F310" s="2249"/>
      <c r="G310" s="2249"/>
      <c r="H310" s="2249"/>
      <c r="I310" s="2249"/>
      <c r="J310" s="2249"/>
      <c r="K310" s="2249"/>
      <c r="L310" s="2249"/>
      <c r="M310" s="2249"/>
      <c r="N310" s="2249"/>
      <c r="O310" s="302"/>
      <c r="P310" s="302"/>
      <c r="Q310" s="729"/>
      <c r="R310" s="694"/>
      <c r="S310" s="729"/>
      <c r="T310" s="729"/>
      <c r="U310" s="729"/>
      <c r="V310" s="694"/>
      <c r="W310" s="694"/>
      <c r="X310" s="694"/>
      <c r="Y310" s="694"/>
      <c r="Z310" s="694"/>
      <c r="AA310" s="694"/>
      <c r="AB310" s="694"/>
      <c r="AC310" s="694"/>
      <c r="AD310" s="694"/>
      <c r="AE310" s="694"/>
      <c r="AF310" s="694"/>
      <c r="AG310" s="694"/>
      <c r="AH310" s="694"/>
      <c r="AI310" s="694"/>
      <c r="AJ310" s="694"/>
      <c r="AK310" s="694"/>
      <c r="AL310" s="694"/>
    </row>
    <row r="311" spans="1:38" ht="25.5" customHeight="1" x14ac:dyDescent="0.25">
      <c r="A311" s="694"/>
      <c r="B311" s="298"/>
      <c r="C311" s="298"/>
      <c r="D311" s="302"/>
      <c r="E311" s="2358" t="str">
        <f>Translations!$B$1318</f>
        <v>На базата на стойностите на HAL и данните, въведени в буква а) по-горе, тук се определят средните равнища на дейност. Разпределението ще бъде променено само ако са надвишени всички долуизброени прагове по член 5 от Регламента за ALC:</v>
      </c>
      <c r="F311" s="2249"/>
      <c r="G311" s="2249"/>
      <c r="H311" s="2249"/>
      <c r="I311" s="2249"/>
      <c r="J311" s="2249"/>
      <c r="K311" s="2249"/>
      <c r="L311" s="2249"/>
      <c r="M311" s="2249"/>
      <c r="N311" s="2249"/>
      <c r="O311" s="302"/>
      <c r="P311" s="302"/>
      <c r="Q311" s="729"/>
      <c r="R311" s="694"/>
      <c r="S311" s="729"/>
      <c r="T311" s="729"/>
      <c r="U311" s="729"/>
      <c r="V311" s="694"/>
      <c r="W311" s="694"/>
      <c r="X311" s="694"/>
      <c r="Y311" s="694"/>
      <c r="Z311" s="694"/>
      <c r="AA311" s="694"/>
      <c r="AB311" s="694"/>
      <c r="AC311" s="694"/>
      <c r="AD311" s="694"/>
      <c r="AE311" s="694"/>
      <c r="AF311" s="694"/>
      <c r="AG311" s="694"/>
      <c r="AH311" s="694"/>
      <c r="AI311" s="694"/>
      <c r="AJ311" s="694"/>
      <c r="AK311" s="694"/>
      <c r="AL311" s="694"/>
    </row>
    <row r="312" spans="1:38" ht="12.75" customHeight="1" x14ac:dyDescent="0.25">
      <c r="A312" s="694"/>
      <c r="B312" s="298"/>
      <c r="C312" s="298"/>
      <c r="D312" s="302"/>
      <c r="E312" s="1191" t="s">
        <v>1052</v>
      </c>
      <c r="F312" s="2358" t="str">
        <f>Translations!$B$1319</f>
        <v>относителните прагове (15 % и 5 % за последващи промени) за средното равнище на дейност в сравнение с HAL</v>
      </c>
      <c r="G312" s="2861"/>
      <c r="H312" s="2861"/>
      <c r="I312" s="2861"/>
      <c r="J312" s="2861"/>
      <c r="K312" s="2861"/>
      <c r="L312" s="2861"/>
      <c r="M312" s="2861"/>
      <c r="N312" s="2861"/>
      <c r="O312" s="302"/>
      <c r="P312" s="302"/>
      <c r="Q312" s="729"/>
      <c r="R312" s="694"/>
      <c r="S312" s="729"/>
      <c r="T312" s="729"/>
      <c r="U312" s="729"/>
      <c r="V312" s="694"/>
      <c r="W312" s="694"/>
      <c r="X312" s="694"/>
      <c r="Y312" s="694"/>
      <c r="Z312" s="694"/>
      <c r="AA312" s="694"/>
      <c r="AB312" s="694"/>
      <c r="AC312" s="694"/>
      <c r="AD312" s="694"/>
      <c r="AE312" s="694"/>
      <c r="AF312" s="694"/>
      <c r="AG312" s="694"/>
      <c r="AH312" s="694"/>
      <c r="AI312" s="694"/>
      <c r="AJ312" s="694"/>
      <c r="AK312" s="694"/>
      <c r="AL312" s="694"/>
    </row>
    <row r="313" spans="1:38" ht="12.75" customHeight="1" thickBot="1" x14ac:dyDescent="0.3">
      <c r="A313" s="694"/>
      <c r="B313" s="298"/>
      <c r="C313" s="298"/>
      <c r="D313" s="302"/>
      <c r="E313" s="1191" t="s">
        <v>1052</v>
      </c>
      <c r="F313" s="2358" t="str">
        <f>Translations!$B$1514</f>
        <v>абсолютния праг, т.е. промяната би довела до разлика в предварителното разпределение от най-малко 300 квоти</v>
      </c>
      <c r="G313" s="2861"/>
      <c r="H313" s="2861"/>
      <c r="I313" s="2861"/>
      <c r="J313" s="2861"/>
      <c r="K313" s="2861"/>
      <c r="L313" s="2861"/>
      <c r="M313" s="2861"/>
      <c r="N313" s="2861"/>
      <c r="O313" s="302"/>
      <c r="P313" s="302"/>
      <c r="Q313" s="729"/>
      <c r="R313" s="694"/>
      <c r="S313" s="729"/>
      <c r="T313" s="729"/>
      <c r="U313" s="729"/>
      <c r="V313" s="694"/>
      <c r="W313" s="694"/>
      <c r="X313" s="694"/>
      <c r="Y313" s="694"/>
      <c r="Z313" s="694"/>
      <c r="AA313" s="694"/>
      <c r="AB313" s="694"/>
      <c r="AC313" s="694"/>
      <c r="AD313" s="694"/>
      <c r="AE313" s="694"/>
      <c r="AF313" s="694"/>
      <c r="AG313" s="694"/>
      <c r="AH313" s="694"/>
      <c r="AI313" s="694"/>
      <c r="AJ313" s="694"/>
      <c r="AK313" s="694"/>
      <c r="AL313" s="694"/>
    </row>
    <row r="314" spans="1:38" ht="5.15" customHeight="1" thickBot="1" x14ac:dyDescent="0.3">
      <c r="A314" s="694"/>
      <c r="B314" s="298"/>
      <c r="C314" s="298"/>
      <c r="D314" s="1192"/>
      <c r="E314" s="1193"/>
      <c r="F314" s="1194"/>
      <c r="G314" s="1195"/>
      <c r="H314" s="1195"/>
      <c r="I314" s="1195"/>
      <c r="J314" s="1195"/>
      <c r="K314" s="1195"/>
      <c r="L314" s="1195"/>
      <c r="M314" s="1195"/>
      <c r="N314" s="1196"/>
      <c r="O314" s="302"/>
      <c r="P314" s="302"/>
      <c r="Q314" s="729"/>
      <c r="R314" s="694"/>
      <c r="S314" s="729"/>
      <c r="T314" s="729"/>
      <c r="U314" s="729"/>
      <c r="V314" s="694"/>
      <c r="W314" s="694"/>
      <c r="X314" s="694"/>
      <c r="Y314" s="694"/>
      <c r="Z314" s="694"/>
      <c r="AA314" s="694"/>
      <c r="AB314" s="694"/>
      <c r="AC314" s="694"/>
      <c r="AD314" s="694"/>
      <c r="AE314" s="694"/>
      <c r="AF314" s="694"/>
      <c r="AG314" s="694"/>
      <c r="AH314" s="694"/>
      <c r="AI314" s="694"/>
      <c r="AJ314" s="694"/>
      <c r="AK314" s="694"/>
      <c r="AL314" s="694"/>
    </row>
    <row r="315" spans="1:38" ht="12.75" customHeight="1" x14ac:dyDescent="0.25">
      <c r="A315" s="694"/>
      <c r="B315" s="298"/>
      <c r="C315" s="298"/>
      <c r="D315" s="1197"/>
      <c r="E315" s="1198" t="str">
        <f>Translations!$B$1196</f>
        <v>Корекции</v>
      </c>
      <c r="F315" s="1199"/>
      <c r="G315" s="1199"/>
      <c r="H315" s="1200" t="str">
        <f>EUconst_Unit</f>
        <v>Единица мярка</v>
      </c>
      <c r="I315" s="1201" t="str">
        <f>Translations!$B$1320</f>
        <v>(НМИ) HAL</v>
      </c>
      <c r="J315" s="1202">
        <f>J$2831</f>
        <v>2026</v>
      </c>
      <c r="K315" s="1203">
        <f>K$2831</f>
        <v>2027</v>
      </c>
      <c r="L315" s="1203">
        <f>L$2831</f>
        <v>2028</v>
      </c>
      <c r="M315" s="1203">
        <f>M$2831</f>
        <v>2029</v>
      </c>
      <c r="N315" s="1204">
        <f>N$2831</f>
        <v>2030</v>
      </c>
      <c r="O315" s="302"/>
      <c r="P315" s="302"/>
      <c r="Q315" s="729"/>
      <c r="R315" s="694"/>
      <c r="S315" s="694"/>
      <c r="T315" s="694"/>
      <c r="U315" s="1205"/>
      <c r="V315" s="1206">
        <f>J315</f>
        <v>2026</v>
      </c>
      <c r="W315" s="1206">
        <f>K315</f>
        <v>2027</v>
      </c>
      <c r="X315" s="1206">
        <f>L315</f>
        <v>2028</v>
      </c>
      <c r="Y315" s="1206">
        <f>M315</f>
        <v>2029</v>
      </c>
      <c r="Z315" s="1207">
        <f>N315</f>
        <v>2030</v>
      </c>
      <c r="AA315" s="694"/>
      <c r="AB315" s="694"/>
      <c r="AC315" s="694"/>
      <c r="AD315" s="694"/>
      <c r="AE315" s="694"/>
      <c r="AF315" s="694"/>
      <c r="AG315" s="694"/>
      <c r="AH315" s="694"/>
      <c r="AI315" s="694"/>
      <c r="AJ315" s="694"/>
      <c r="AK315" s="694"/>
      <c r="AL315" s="694"/>
    </row>
    <row r="316" spans="1:38" ht="12.75" customHeight="1" x14ac:dyDescent="0.25">
      <c r="A316" s="694"/>
      <c r="B316" s="298"/>
      <c r="C316" s="298"/>
      <c r="D316" s="1208" t="s">
        <v>6</v>
      </c>
      <c r="E316" s="1209" t="str">
        <f>Translations!$B$1321</f>
        <v>Средно годишно равнище на дейност (стойност в НМИ)</v>
      </c>
      <c r="F316" s="1209"/>
      <c r="G316" s="1209"/>
      <c r="H316" s="1210" t="str">
        <f>IF(INDEX(CNTR_SubInstListIsProdBM,$C294),INDEX(CNTR_SubInstListHALUnit,$C294),EUconst_Tons)</f>
        <v>тона</v>
      </c>
      <c r="I316" s="1211" t="str">
        <f>IF(V294&gt;($J$2831-3),EUconst_NA,INDEX('B+C_SubInstallations'!$I:$I,MATCH(Q316,'B+C_SubInstallations'!$T:$T,0)))</f>
        <v/>
      </c>
      <c r="J316" s="1212" t="str">
        <f>IF(AND(V316&gt;=3,CNTR_ReportingYear&gt;J315-1),AVERAGE(H304:I304),"")</f>
        <v/>
      </c>
      <c r="K316" s="1213" t="str">
        <f>IF(AND(W316&gt;=3,CNTR_ReportingYear&gt;K315-1),AVERAGE(I304:J304),"")</f>
        <v/>
      </c>
      <c r="L316" s="1213" t="str">
        <f>IF(AND(X316&gt;=3,CNTR_ReportingYear&gt;L315-1),AVERAGE(J304:K304),"")</f>
        <v/>
      </c>
      <c r="M316" s="1213" t="str">
        <f>IF(AND(Y316&gt;=3,CNTR_ReportingYear&gt;M315-1),AVERAGE(K304:L304),"")</f>
        <v/>
      </c>
      <c r="N316" s="1214" t="str">
        <f>IF(AND(Z316&gt;=3,CNTR_ReportingYear&gt;N315-1),AVERAGE(L304:M304),"")</f>
        <v/>
      </c>
      <c r="O316" s="302"/>
      <c r="P316" s="302"/>
      <c r="Q316" s="1182" t="str">
        <f>EUconst_CNTR_HALinitial&amp;I294</f>
        <v>HALini_</v>
      </c>
      <c r="R316" s="694"/>
      <c r="S316" s="694"/>
      <c r="T316" s="694"/>
      <c r="U316" s="1215" t="s">
        <v>1710</v>
      </c>
      <c r="V316" s="1176">
        <f>IF($I294="",0,V315-$V294+1)</f>
        <v>0</v>
      </c>
      <c r="W316" s="1176">
        <f>IF($I294="",0,W315-$V294+1)</f>
        <v>0</v>
      </c>
      <c r="X316" s="1176">
        <f>IF($I294="",0,X315-$V294+1)</f>
        <v>0</v>
      </c>
      <c r="Y316" s="1176">
        <f>IF($I294="",0,Y315-$V294+1)</f>
        <v>0</v>
      </c>
      <c r="Z316" s="1216">
        <f>IF($I294="",0,Z315-$V294+1)</f>
        <v>0</v>
      </c>
      <c r="AA316" s="694"/>
      <c r="AB316" s="694"/>
      <c r="AC316" s="694"/>
      <c r="AD316" s="694"/>
      <c r="AE316" s="694"/>
      <c r="AF316" s="694"/>
      <c r="AG316" s="694"/>
      <c r="AH316" s="694"/>
      <c r="AI316" s="694"/>
      <c r="AJ316" s="694"/>
      <c r="AK316" s="694"/>
      <c r="AL316" s="694"/>
    </row>
    <row r="317" spans="1:38" ht="12.75" hidden="1" customHeight="1" x14ac:dyDescent="0.25">
      <c r="A317" s="729" t="s">
        <v>312</v>
      </c>
      <c r="B317" s="298"/>
      <c r="C317" s="298"/>
      <c r="D317" s="1217"/>
      <c r="E317" s="1218" t="str">
        <f>Translations!$B$1376</f>
        <v>Промяна в сравнение с HAL</v>
      </c>
      <c r="F317" s="1218"/>
      <c r="G317" s="1218"/>
      <c r="H317" s="1219"/>
      <c r="I317" s="1220"/>
      <c r="J317" s="103" t="str">
        <f>IF(J316="","",IF($I319=0,IF(J316=0,0%,100%),J316/$I319-1))</f>
        <v/>
      </c>
      <c r="K317" s="100" t="str">
        <f>IF(K316="","",IF($I319=0,IF(K316=0,0%,100%),K316/$I319-1))</f>
        <v/>
      </c>
      <c r="L317" s="100" t="str">
        <f>IF(L316="","",IF($I319=0,IF(L316=0,0%,100%),L316/$I319-1))</f>
        <v/>
      </c>
      <c r="M317" s="100" t="str">
        <f>IF(M316="","",IF($I319=0,IF(M316=0,0%,100%),M316/$I319-1))</f>
        <v/>
      </c>
      <c r="N317" s="122" t="str">
        <f>IF(N316="","",IF($I319=0,IF(N316=0,0%,100%),N316/$I319-1))</f>
        <v/>
      </c>
      <c r="O317" s="302"/>
      <c r="P317" s="302"/>
      <c r="Q317" s="1190" t="str">
        <f>EUconst_CNTR_RelThreshold &amp; Q319</f>
        <v>RelThresh_HALprelim_</v>
      </c>
      <c r="R317" s="694"/>
      <c r="S317" s="694"/>
      <c r="T317" s="694"/>
      <c r="U317" s="1215" t="s">
        <v>1715</v>
      </c>
      <c r="V317" s="727" t="str">
        <f>IF(J316="","",ABS(J317)&gt;15%)</f>
        <v/>
      </c>
      <c r="W317" s="727" t="str">
        <f>IF(K316="","",ABS(K317)&gt;15%)</f>
        <v/>
      </c>
      <c r="X317" s="727" t="str">
        <f>IF(L316="","",ABS(L317)&gt;15%)</f>
        <v/>
      </c>
      <c r="Y317" s="727" t="str">
        <f>IF(M316="","",ABS(M317)&gt;15%)</f>
        <v/>
      </c>
      <c r="Z317" s="1221" t="str">
        <f>IF(N316="","",ABS(N317)&gt;15%)</f>
        <v/>
      </c>
      <c r="AA317" s="694"/>
      <c r="AB317" s="694"/>
      <c r="AC317" s="694"/>
      <c r="AD317" s="694"/>
      <c r="AE317" s="694"/>
      <c r="AF317" s="694"/>
      <c r="AG317" s="694"/>
      <c r="AH317" s="694"/>
      <c r="AI317" s="694"/>
      <c r="AJ317" s="694"/>
      <c r="AK317" s="694"/>
      <c r="AL317" s="729"/>
    </row>
    <row r="318" spans="1:38" ht="12.75" customHeight="1" x14ac:dyDescent="0.25">
      <c r="A318" s="729"/>
      <c r="B318" s="298"/>
      <c r="C318" s="298"/>
      <c r="D318" s="1208" t="s">
        <v>7</v>
      </c>
      <c r="E318" s="1209" t="str">
        <f>Translations!$B$1322</f>
        <v>Предварителна корекция (ако са надвишени относителните прагове)</v>
      </c>
      <c r="F318" s="1209"/>
      <c r="G318" s="1209"/>
      <c r="H318" s="1222"/>
      <c r="I318" s="1223"/>
      <c r="J318" s="1224" t="str">
        <f>IF(J316="","",IF(V317=FALSE,0%,IF(V318,J317,I324)))</f>
        <v/>
      </c>
      <c r="K318" s="1225" t="str">
        <f>IF(K316="","",IF(W317=FALSE,0%,IF(W318,K317,J324)))</f>
        <v/>
      </c>
      <c r="L318" s="1225" t="str">
        <f>IF(L316="","",IF(X317=FALSE,0%,IF(X318,L317,K324)))</f>
        <v/>
      </c>
      <c r="M318" s="1225" t="str">
        <f>IF(M316="","",IF(Y317=FALSE,0%,IF(Y318,M317,L324)))</f>
        <v/>
      </c>
      <c r="N318" s="1226" t="str">
        <f>IF(N316="","",IF(Z317=FALSE,0%,IF(Z318,N317,M324)))</f>
        <v/>
      </c>
      <c r="O318" s="302"/>
      <c r="P318" s="302"/>
      <c r="Q318" s="694"/>
      <c r="R318" s="694"/>
      <c r="S318" s="694"/>
      <c r="T318" s="694"/>
      <c r="U318" s="1215" t="s">
        <v>1716</v>
      </c>
      <c r="V318" s="727" t="str">
        <f>IF(J316="","",AND(V317,IF(SUM(I324)&lt;0,OR(SUM(J317)&lt;SUM(I324)-MOD(SUM(I324),5%),J317&gt;=SUM(I324)+5%-MOD(SUM(I324),5%)),OR(SUM(J317)&lt;=SUM(I324)-MOD(SUM(I324),5%),SUM(J317)&gt;SUM(I324)+5%-MOD(SUM(I324),5%)))))</f>
        <v/>
      </c>
      <c r="W318" s="727" t="str">
        <f>IF(K316="","",AND(W317,IF(SUM(J324)&lt;0,OR(SUM(K317)&lt;SUM(J324)-MOD(SUM(J324),5%),K317&gt;=SUM(J324)+5%-MOD(SUM(J324),5%)),OR(SUM(K317)&lt;=SUM(J324)-MOD(SUM(J324),5%),SUM(K317)&gt;SUM(J324)+5%-MOD(SUM(J324),5%)))))</f>
        <v/>
      </c>
      <c r="X318" s="727" t="str">
        <f>IF(L316="","",AND(X317,IF(SUM(K324)&lt;0,OR(SUM(L317)&lt;SUM(K324)-MOD(SUM(K324),5%),L317&gt;=SUM(K324)+5%-MOD(SUM(K324),5%)),OR(SUM(L317)&lt;=SUM(K324)-MOD(SUM(K324),5%),SUM(L317)&gt;SUM(K324)+5%-MOD(SUM(K324),5%)))))</f>
        <v/>
      </c>
      <c r="Y318" s="727" t="str">
        <f>IF(M316="","",AND(Y317,IF(SUM(L324)&lt;0,OR(SUM(M317)&lt;SUM(L324)-MOD(SUM(L324),5%),M317&gt;=SUM(L324)+5%-MOD(SUM(L324),5%)),OR(SUM(M317)&lt;=SUM(L324)-MOD(SUM(L324),5%),SUM(M317)&gt;SUM(L324)+5%-MOD(SUM(L324),5%)))))</f>
        <v/>
      </c>
      <c r="Z318" s="1221" t="str">
        <f>IF(N316="","",AND(Z317,IF(SUM(M324)&lt;0,OR(SUM(N317)&lt;SUM(M324)-MOD(SUM(M324),5%),N317&gt;=SUM(M324)+5%-MOD(SUM(M324),5%)),OR(SUM(N317)&lt;=SUM(M324)-MOD(SUM(M324),5%),SUM(N317)&gt;SUM(M324)+5%-MOD(SUM(M324),5%)))))</f>
        <v/>
      </c>
      <c r="AA318" s="694"/>
      <c r="AB318" s="694"/>
      <c r="AC318" s="694"/>
      <c r="AD318" s="694"/>
      <c r="AE318" s="694"/>
      <c r="AF318" s="694"/>
      <c r="AG318" s="694"/>
      <c r="AH318" s="694"/>
      <c r="AI318" s="694"/>
      <c r="AJ318" s="694"/>
      <c r="AK318" s="694"/>
      <c r="AL318" s="729"/>
    </row>
    <row r="319" spans="1:38" ht="12.75" hidden="1" customHeight="1" x14ac:dyDescent="0.25">
      <c r="A319" s="729" t="s">
        <v>312</v>
      </c>
      <c r="B319" s="298"/>
      <c r="C319" s="298"/>
      <c r="D319" s="1217"/>
      <c r="E319" s="1209" t="str">
        <f>Translations!$B$1377</f>
        <v>Предварителна стойност</v>
      </c>
      <c r="F319" s="1209"/>
      <c r="G319" s="1209"/>
      <c r="H319" s="1210" t="str">
        <f>H316</f>
        <v>тона</v>
      </c>
      <c r="I319" s="1211" t="str">
        <f>IF(I294="","",IF(AB294=FALSE,EUconst_NA,IF(V294&gt;($J$2831-3),INDEX(H304:N304,MATCH(V294,H301:N301,0)),SUM(I316))))</f>
        <v/>
      </c>
      <c r="J319" s="1212" t="str">
        <f>IF($I294="","",IF(V316&lt;2,SUM(J304),IF(V316&lt;3,SUM(I304),IF(V319="",I319,V319))))</f>
        <v/>
      </c>
      <c r="K319" s="1213" t="str">
        <f>IF($I294="","",IF(W316&lt;2,SUM(K304),IF(W316&lt;3,SUM(J304),IF(W319="",J319,W319))))</f>
        <v/>
      </c>
      <c r="L319" s="1213" t="str">
        <f>IF($I294="","",IF(X316&lt;2,SUM(L304),IF(X316&lt;3,SUM(K304),IF(X319="",K319,X319))))</f>
        <v/>
      </c>
      <c r="M319" s="1213" t="str">
        <f>IF($I294="","",IF(Y316&lt;2,SUM(M304),IF(Y316&lt;3,SUM(L304),IF(Y319="",L319,Y319))))</f>
        <v/>
      </c>
      <c r="N319" s="1214" t="str">
        <f>IF($I294="","",IF(Z316&lt;2,SUM(N304),IF(Z316&lt;3,SUM(M304),IF(Z319="",M319,Z319))))</f>
        <v/>
      </c>
      <c r="O319" s="302"/>
      <c r="P319" s="302"/>
      <c r="Q319" s="1182" t="str">
        <f>EUconst_CNTR_HALprelim&amp;I294</f>
        <v>HALprelim_</v>
      </c>
      <c r="R319" s="694"/>
      <c r="S319" s="694"/>
      <c r="T319" s="694"/>
      <c r="U319" s="1215" t="s">
        <v>1756</v>
      </c>
      <c r="V319" s="1227" t="str">
        <f>IF(J316="","",IF(CNTR_ReportingYear&lt;J315,I318,IF($I319=0,J316,$I319*(1+J318))))</f>
        <v/>
      </c>
      <c r="W319" s="1227" t="str">
        <f>IF(K316="","",IF(CNTR_ReportingYear&lt;K315,J318,IF($I319=0,K316,$I319*(1+K318))))</f>
        <v/>
      </c>
      <c r="X319" s="1227" t="str">
        <f>IF(L316="","",IF(CNTR_ReportingYear&lt;L315,K318,IF($I319=0,L316,$I319*(1+L318))))</f>
        <v/>
      </c>
      <c r="Y319" s="1227" t="str">
        <f>IF(M316="","",IF(CNTR_ReportingYear&lt;M315,L318,IF($I319=0,M316,$I319*(1+M318))))</f>
        <v/>
      </c>
      <c r="Z319" s="1228" t="str">
        <f>IF(N316="","",IF(CNTR_ReportingYear&lt;N315,M318,IF($I319=0,N316,$I319*(1+N318))))</f>
        <v/>
      </c>
      <c r="AA319" s="694"/>
      <c r="AB319" s="694"/>
      <c r="AC319" s="694"/>
      <c r="AD319" s="694"/>
      <c r="AE319" s="694"/>
      <c r="AF319" s="694"/>
      <c r="AG319" s="694"/>
      <c r="AH319" s="694"/>
      <c r="AI319" s="694"/>
      <c r="AJ319" s="694"/>
      <c r="AK319" s="694"/>
      <c r="AL319" s="729"/>
    </row>
    <row r="320" spans="1:38" ht="5.15" customHeight="1" x14ac:dyDescent="0.25">
      <c r="A320" s="729"/>
      <c r="B320" s="298"/>
      <c r="C320" s="298"/>
      <c r="D320" s="1217"/>
      <c r="E320" s="1199"/>
      <c r="F320" s="1199"/>
      <c r="G320" s="1199"/>
      <c r="H320" s="1199"/>
      <c r="I320" s="1199"/>
      <c r="J320" s="1229"/>
      <c r="K320" s="1229"/>
      <c r="L320" s="1229"/>
      <c r="M320" s="1229"/>
      <c r="N320" s="1230"/>
      <c r="O320" s="302"/>
      <c r="P320" s="302"/>
      <c r="Q320" s="729"/>
      <c r="R320" s="694"/>
      <c r="S320" s="694"/>
      <c r="T320" s="694"/>
      <c r="U320" s="1231"/>
      <c r="V320" s="729"/>
      <c r="W320" s="694"/>
      <c r="X320" s="694"/>
      <c r="Y320" s="694"/>
      <c r="Z320" s="1232"/>
      <c r="AA320" s="694"/>
      <c r="AB320" s="694"/>
      <c r="AC320" s="694"/>
      <c r="AD320" s="694"/>
      <c r="AE320" s="694"/>
      <c r="AF320" s="694"/>
      <c r="AG320" s="694"/>
      <c r="AH320" s="694"/>
      <c r="AI320" s="694"/>
      <c r="AJ320" s="694"/>
      <c r="AK320" s="694"/>
      <c r="AL320" s="729"/>
    </row>
    <row r="321" spans="1:38" ht="12.75" customHeight="1" x14ac:dyDescent="0.25">
      <c r="A321" s="729"/>
      <c r="B321" s="298"/>
      <c r="C321" s="298"/>
      <c r="D321" s="1217"/>
      <c r="E321" s="1233" t="str">
        <f>Translations!$B$1323</f>
        <v>Действителна корекция (база за следващи години)</v>
      </c>
      <c r="F321" s="1233"/>
      <c r="G321" s="1233"/>
      <c r="H321" s="1233"/>
      <c r="I321" s="1233"/>
      <c r="J321" s="1202">
        <f>J$2831</f>
        <v>2026</v>
      </c>
      <c r="K321" s="1203">
        <f>K$2831</f>
        <v>2027</v>
      </c>
      <c r="L321" s="1203">
        <f>L$2831</f>
        <v>2028</v>
      </c>
      <c r="M321" s="1203">
        <f>M$2831</f>
        <v>2029</v>
      </c>
      <c r="N321" s="1204">
        <f>N$2831</f>
        <v>2030</v>
      </c>
      <c r="O321" s="302"/>
      <c r="P321" s="302"/>
      <c r="Q321" s="729"/>
      <c r="R321" s="694"/>
      <c r="S321" s="694"/>
      <c r="T321" s="694"/>
      <c r="U321" s="1234"/>
      <c r="V321" s="213"/>
      <c r="W321" s="214" t="s">
        <v>2101</v>
      </c>
      <c r="X321" s="215" t="str">
        <f>IF(OR($X294=0,$X294=""),"",MIN(1,1-(DATE($Z294,12,31)-$X294)/(DATE($Z294,12,31)-DATE($Z294,1,1)+1)))</f>
        <v/>
      </c>
      <c r="Y321" s="1165"/>
      <c r="Z321" s="1235"/>
      <c r="AA321" s="694"/>
      <c r="AB321" s="694"/>
      <c r="AC321" s="694"/>
      <c r="AD321" s="694"/>
      <c r="AE321" s="694"/>
      <c r="AF321" s="694"/>
      <c r="AG321" s="694"/>
      <c r="AH321" s="694"/>
      <c r="AI321" s="694"/>
      <c r="AJ321" s="694"/>
      <c r="AK321" s="694"/>
      <c r="AL321" s="729"/>
    </row>
    <row r="322" spans="1:38" ht="12.75" customHeight="1" x14ac:dyDescent="0.25">
      <c r="A322" s="729"/>
      <c r="B322" s="298"/>
      <c r="C322" s="298"/>
      <c r="D322" s="1208" t="s">
        <v>8</v>
      </c>
      <c r="E322" s="1209" t="str">
        <f>Translations!$B$1515</f>
        <v>изпълнен ли е критерият за &gt;=300 квоти за емисии?</v>
      </c>
      <c r="F322" s="1209"/>
      <c r="G322" s="1209"/>
      <c r="H322" s="1209"/>
      <c r="I322" s="1209"/>
      <c r="J322" s="1236" t="str">
        <f>IF($I294="","",INDEX(K_Summary!J:J,MATCH($Q322,K_Summary!$P:$P,0)))</f>
        <v/>
      </c>
      <c r="K322" s="385" t="str">
        <f>IF($I294="","",INDEX(K_Summary!K:K,MATCH($Q322,K_Summary!$P:$P,0)))</f>
        <v/>
      </c>
      <c r="L322" s="385" t="str">
        <f>IF($I294="","",INDEX(K_Summary!L:L,MATCH($Q322,K_Summary!$P:$P,0)))</f>
        <v/>
      </c>
      <c r="M322" s="385" t="str">
        <f>IF($I294="","",INDEX(K_Summary!M:M,MATCH($Q322,K_Summary!$P:$P,0)))</f>
        <v/>
      </c>
      <c r="N322" s="1237" t="str">
        <f>IF($I294="","",INDEX(K_Summary!N:N,MATCH($Q322,K_Summary!$P:$P,0)))</f>
        <v/>
      </c>
      <c r="O322" s="302"/>
      <c r="P322" s="302"/>
      <c r="Q322" s="1182" t="str">
        <f>EUconst_CNTR_300EUA&amp;I294</f>
        <v>EUA300_</v>
      </c>
      <c r="R322" s="694"/>
      <c r="S322" s="694"/>
      <c r="T322" s="694"/>
      <c r="U322" s="1234"/>
      <c r="V322" s="216">
        <f>IF(V315=$Z294,$X321,1)</f>
        <v>1</v>
      </c>
      <c r="W322" s="216">
        <f>IF(W315=$Z294,$X321,1)</f>
        <v>1</v>
      </c>
      <c r="X322" s="216">
        <f>IF(X315=$Z294,$X321,1)</f>
        <v>1</v>
      </c>
      <c r="Y322" s="216">
        <f>IF(Y315=$Z294,$X321,1)</f>
        <v>1</v>
      </c>
      <c r="Z322" s="217">
        <f>IF(Z315=$Z294,$X321,1)</f>
        <v>1</v>
      </c>
      <c r="AA322" s="694"/>
      <c r="AB322" s="694"/>
      <c r="AC322" s="694"/>
      <c r="AD322" s="694"/>
      <c r="AE322" s="694"/>
      <c r="AF322" s="694"/>
      <c r="AG322" s="694"/>
      <c r="AH322" s="694"/>
      <c r="AI322" s="694"/>
      <c r="AJ322" s="694"/>
      <c r="AK322" s="694"/>
      <c r="AL322" s="729"/>
    </row>
    <row r="323" spans="1:38" ht="5.15" customHeight="1" thickBot="1" x14ac:dyDescent="0.3">
      <c r="A323" s="729"/>
      <c r="B323" s="298"/>
      <c r="C323" s="298"/>
      <c r="D323" s="1217"/>
      <c r="E323" s="1199"/>
      <c r="F323" s="1199"/>
      <c r="G323" s="1199"/>
      <c r="H323" s="1199"/>
      <c r="I323" s="1199"/>
      <c r="J323" s="1199"/>
      <c r="K323" s="1199"/>
      <c r="L323" s="1199"/>
      <c r="M323" s="1199"/>
      <c r="N323" s="1238"/>
      <c r="O323" s="302"/>
      <c r="P323" s="302"/>
      <c r="Q323" s="729"/>
      <c r="R323" s="694"/>
      <c r="S323" s="694"/>
      <c r="T323" s="694"/>
      <c r="U323" s="1231"/>
      <c r="V323" s="729"/>
      <c r="W323" s="694"/>
      <c r="X323" s="694"/>
      <c r="Y323" s="694"/>
      <c r="Z323" s="1232"/>
      <c r="AA323" s="694"/>
      <c r="AB323" s="694"/>
      <c r="AC323" s="694"/>
      <c r="AD323" s="694"/>
      <c r="AE323" s="694"/>
      <c r="AF323" s="694"/>
      <c r="AG323" s="694"/>
      <c r="AH323" s="694"/>
      <c r="AI323" s="694"/>
      <c r="AJ323" s="694"/>
      <c r="AK323" s="694"/>
      <c r="AL323" s="729"/>
    </row>
    <row r="324" spans="1:38" ht="12.75" customHeight="1" thickBot="1" x14ac:dyDescent="0.3">
      <c r="A324" s="694"/>
      <c r="B324" s="298"/>
      <c r="C324" s="298"/>
      <c r="D324" s="1208" t="s">
        <v>18</v>
      </c>
      <c r="E324" s="1209" t="str">
        <f>Translations!$B$1324</f>
        <v>Действителна корекция (ако са надвишени всички прагове)</v>
      </c>
      <c r="F324" s="1209"/>
      <c r="G324" s="1209"/>
      <c r="H324" s="1222"/>
      <c r="I324" s="1239"/>
      <c r="J324" s="1240" t="str">
        <f>IF(J322="","",IF(J315&gt;$Z294,-100%,IF(OR(J322,V316&lt;1),J318,I324)))</f>
        <v/>
      </c>
      <c r="K324" s="1241" t="str">
        <f>IF(K322="","",IF(K315&gt;$Z294,-100%,IF(OR(K322,W316&lt;1),K318,J324)))</f>
        <v/>
      </c>
      <c r="L324" s="1241" t="str">
        <f>IF(L322="","",IF(L315&gt;$Z294,-100%,IF(OR(L322,X316&lt;1),L318,K324)))</f>
        <v/>
      </c>
      <c r="M324" s="1241" t="str">
        <f>IF(M322="","",IF(M315&gt;$Z294,-100%,IF(OR(M322,Y316&lt;1),M318,L324)))</f>
        <v/>
      </c>
      <c r="N324" s="1242" t="str">
        <f>IF(N322="","",IF(N315&gt;$Z294,-100%,IF(OR(N322,Z316&lt;1),N318,M324)))</f>
        <v/>
      </c>
      <c r="O324" s="302"/>
      <c r="P324" s="710"/>
      <c r="Q324" s="1190" t="str">
        <f>EUconst_CNTR_HALAdjPct &amp; I294</f>
        <v>HALAdjPct_</v>
      </c>
      <c r="R324" s="694"/>
      <c r="S324" s="694"/>
      <c r="T324" s="694"/>
      <c r="U324" s="1231" t="s">
        <v>1718</v>
      </c>
      <c r="V324" s="1243">
        <f>J321</f>
        <v>2026</v>
      </c>
      <c r="W324" s="1243">
        <f>K321</f>
        <v>2027</v>
      </c>
      <c r="X324" s="1243">
        <f>L321</f>
        <v>2028</v>
      </c>
      <c r="Y324" s="1243">
        <f>M321</f>
        <v>2029</v>
      </c>
      <c r="Z324" s="1244">
        <f>N321</f>
        <v>2030</v>
      </c>
      <c r="AA324" s="694"/>
      <c r="AB324" s="694"/>
      <c r="AC324" s="694"/>
      <c r="AD324" s="694"/>
      <c r="AE324" s="694"/>
      <c r="AF324" s="694"/>
      <c r="AG324" s="694"/>
      <c r="AH324" s="694"/>
      <c r="AI324" s="694"/>
      <c r="AJ324" s="694"/>
      <c r="AK324" s="694"/>
      <c r="AL324" s="729"/>
    </row>
    <row r="325" spans="1:38" ht="12.75" customHeight="1" thickBot="1" x14ac:dyDescent="0.3">
      <c r="A325" s="729"/>
      <c r="B325" s="298"/>
      <c r="C325" s="298"/>
      <c r="D325" s="1208" t="s">
        <v>810</v>
      </c>
      <c r="E325" s="1209" t="str">
        <f>Translations!$B$1325</f>
        <v>Действителна стойност</v>
      </c>
      <c r="F325" s="1209"/>
      <c r="G325" s="1209"/>
      <c r="H325" s="1210" t="str">
        <f>H316</f>
        <v>тона</v>
      </c>
      <c r="I325" s="1211" t="str">
        <f>I319</f>
        <v/>
      </c>
      <c r="J325" s="632" t="str">
        <f>IF($I294="","",IF(OR($I325=0,J324="",$I325=EUconst_NA),IF(OR(J322=TRUE,J321&lt;=$V294),J319,SUM(I325)),$I325*(1+SUM(J324))))</f>
        <v/>
      </c>
      <c r="K325" s="633" t="str">
        <f>IF($I294="","",IF(OR($I325=0,K324="",$I325=EUconst_NA),IF(OR(K322=TRUE,K321&lt;=$V294),K319,SUM(J325)),$I325*(1+SUM(K324))))</f>
        <v/>
      </c>
      <c r="L325" s="633" t="str">
        <f>IF($I294="","",IF(OR($I325=0,L324="",$I325=EUconst_NA),IF(OR(L322=TRUE,L321&lt;=$V294),L319,SUM(K325)),$I325*(1+SUM(L324))))</f>
        <v/>
      </c>
      <c r="M325" s="633" t="str">
        <f>IF($I294="","",IF(OR($I325=0,M324="",$I325=EUconst_NA),IF(OR(M322=TRUE,M321&lt;=$V294),M319,SUM(L325)),$I325*(1+SUM(M324))))</f>
        <v/>
      </c>
      <c r="N325" s="634" t="str">
        <f>IF($I294="","",IF(OR($I325=0,N324="",$I325=EUconst_NA),IF(OR(N322=TRUE,N321&lt;=$V294),N319,SUM(M325)),$I325*(1+SUM(N324))))</f>
        <v/>
      </c>
      <c r="O325" s="302"/>
      <c r="P325" s="302"/>
      <c r="Q325" s="1182" t="str">
        <f>EUconst_CNTR_HALfinal&amp;I294</f>
        <v>HALfinal_</v>
      </c>
      <c r="R325" s="694"/>
      <c r="S325" s="694"/>
      <c r="T325" s="694"/>
      <c r="U325" s="1245" t="b">
        <v>0</v>
      </c>
      <c r="V325" s="1246" t="str">
        <f>IF(V302,IF(J322=TRUE,V317,U325),"")</f>
        <v/>
      </c>
      <c r="W325" s="1246" t="str">
        <f>IF(W302,IF(K322=TRUE,W317,V325),"")</f>
        <v/>
      </c>
      <c r="X325" s="1246" t="str">
        <f>IF(X302,IF(L322=TRUE,X317,W325),"")</f>
        <v/>
      </c>
      <c r="Y325" s="1246" t="str">
        <f>IF(Y302,IF(M322=TRUE,Y317,X325),"")</f>
        <v/>
      </c>
      <c r="Z325" s="1247" t="str">
        <f>IF(Z302,IF(N322=TRUE,Z317,Y325),"")</f>
        <v/>
      </c>
      <c r="AA325" s="694"/>
      <c r="AB325" s="694"/>
      <c r="AC325" s="694"/>
      <c r="AD325" s="694"/>
      <c r="AE325" s="694"/>
      <c r="AF325" s="694"/>
      <c r="AG325" s="694"/>
      <c r="AH325" s="694"/>
      <c r="AI325" s="694"/>
      <c r="AJ325" s="1174" t="s">
        <v>2033</v>
      </c>
      <c r="AK325" s="982" t="str">
        <f>IF(OR(ISERROR(J325),ISERROR(K325),ISERROR(L325),ISERROR(M325),ISERROR(N325)),EUconst_Error &amp; "BM" &amp; Q294,"")</f>
        <v/>
      </c>
      <c r="AL325" s="729"/>
    </row>
    <row r="326" spans="1:38" ht="5.15" customHeight="1" thickBot="1" x14ac:dyDescent="0.3">
      <c r="A326" s="694"/>
      <c r="B326" s="298"/>
      <c r="C326" s="298"/>
      <c r="D326" s="1248"/>
      <c r="E326" s="1249"/>
      <c r="F326" s="1249"/>
      <c r="G326" s="1249"/>
      <c r="H326" s="1249"/>
      <c r="I326" s="1249"/>
      <c r="J326" s="1249"/>
      <c r="K326" s="1249"/>
      <c r="L326" s="1249"/>
      <c r="M326" s="1249"/>
      <c r="N326" s="1250"/>
      <c r="O326" s="302"/>
      <c r="P326" s="302"/>
      <c r="Q326" s="729"/>
      <c r="R326" s="694"/>
      <c r="S326" s="694"/>
      <c r="T326" s="694"/>
      <c r="U326" s="729"/>
      <c r="V326" s="729"/>
      <c r="W326" s="694"/>
      <c r="X326" s="694"/>
      <c r="Y326" s="694"/>
      <c r="Z326" s="694"/>
      <c r="AA326" s="694"/>
      <c r="AB326" s="694"/>
      <c r="AC326" s="694"/>
      <c r="AD326" s="694"/>
      <c r="AE326" s="694"/>
      <c r="AF326" s="694"/>
      <c r="AG326" s="694"/>
      <c r="AH326" s="694"/>
      <c r="AI326" s="694"/>
      <c r="AJ326" s="694"/>
      <c r="AK326" s="694"/>
      <c r="AL326" s="729"/>
    </row>
    <row r="327" spans="1:38" ht="5.15" customHeight="1" x14ac:dyDescent="0.25">
      <c r="A327" s="694"/>
      <c r="B327" s="298"/>
      <c r="C327" s="298"/>
      <c r="D327" s="302"/>
      <c r="E327" s="302"/>
      <c r="F327" s="302"/>
      <c r="G327" s="302"/>
      <c r="H327" s="302"/>
      <c r="I327" s="302"/>
      <c r="J327" s="302"/>
      <c r="K327" s="302"/>
      <c r="L327" s="302"/>
      <c r="M327" s="302"/>
      <c r="N327" s="302"/>
      <c r="O327" s="302"/>
      <c r="P327" s="302"/>
      <c r="Q327" s="729"/>
      <c r="R327" s="694"/>
      <c r="S327" s="694"/>
      <c r="T327" s="694"/>
      <c r="U327" s="729"/>
      <c r="V327" s="729"/>
      <c r="W327" s="694"/>
      <c r="X327" s="694"/>
      <c r="Y327" s="694"/>
      <c r="Z327" s="694"/>
      <c r="AA327" s="694"/>
      <c r="AB327" s="694"/>
      <c r="AC327" s="694"/>
      <c r="AD327" s="694"/>
      <c r="AE327" s="694"/>
      <c r="AF327" s="694"/>
      <c r="AG327" s="694"/>
      <c r="AH327" s="694"/>
      <c r="AI327" s="694"/>
      <c r="AJ327" s="694"/>
      <c r="AK327" s="694"/>
      <c r="AL327" s="729"/>
    </row>
    <row r="328" spans="1:38" ht="15" customHeight="1" x14ac:dyDescent="0.25">
      <c r="A328" s="694"/>
      <c r="B328" s="698"/>
      <c r="C328" s="298"/>
      <c r="D328" s="2323" t="str">
        <f>Translations!$B$482</f>
        <v>Други корекционни коефициенти</v>
      </c>
      <c r="E328" s="2249"/>
      <c r="F328" s="2249"/>
      <c r="G328" s="2249"/>
      <c r="H328" s="2249"/>
      <c r="I328" s="2249"/>
      <c r="J328" s="2249"/>
      <c r="K328" s="2249"/>
      <c r="L328" s="2249"/>
      <c r="M328" s="2249"/>
      <c r="N328" s="2249"/>
      <c r="O328" s="302"/>
      <c r="P328" s="302"/>
      <c r="Q328" s="694"/>
      <c r="R328" s="694"/>
      <c r="S328" s="694"/>
      <c r="T328" s="694"/>
      <c r="U328" s="729"/>
      <c r="V328" s="729"/>
      <c r="W328" s="694"/>
      <c r="X328" s="694"/>
      <c r="Y328" s="694"/>
      <c r="Z328" s="694"/>
      <c r="AA328" s="694"/>
      <c r="AB328" s="694"/>
      <c r="AC328" s="694"/>
      <c r="AD328" s="694"/>
      <c r="AE328" s="694"/>
      <c r="AF328" s="694"/>
      <c r="AG328" s="694"/>
      <c r="AH328" s="694"/>
      <c r="AI328" s="694"/>
      <c r="AJ328" s="694"/>
      <c r="AK328" s="694"/>
      <c r="AL328" s="694"/>
    </row>
    <row r="329" spans="1:38" ht="5.15" customHeight="1" x14ac:dyDescent="0.25">
      <c r="A329" s="694"/>
      <c r="B329" s="298"/>
      <c r="C329" s="298"/>
      <c r="D329" s="298"/>
      <c r="E329" s="298"/>
      <c r="F329" s="298"/>
      <c r="G329" s="298"/>
      <c r="H329" s="298"/>
      <c r="I329" s="298"/>
      <c r="J329" s="298"/>
      <c r="K329" s="298"/>
      <c r="L329" s="298"/>
      <c r="M329" s="298"/>
      <c r="N329" s="298"/>
      <c r="O329" s="302"/>
      <c r="P329" s="302"/>
      <c r="Q329" s="729"/>
      <c r="R329" s="694"/>
      <c r="S329" s="694"/>
      <c r="T329" s="694"/>
      <c r="U329" s="729"/>
      <c r="V329" s="729"/>
      <c r="W329" s="694"/>
      <c r="X329" s="694"/>
      <c r="Y329" s="694"/>
      <c r="Z329" s="694"/>
      <c r="AA329" s="694"/>
      <c r="AB329" s="694"/>
      <c r="AC329" s="694"/>
      <c r="AD329" s="694"/>
      <c r="AE329" s="694"/>
      <c r="AF329" s="694"/>
      <c r="AG329" s="694"/>
      <c r="AH329" s="694"/>
      <c r="AI329" s="694"/>
      <c r="AJ329" s="694"/>
      <c r="AK329" s="694"/>
      <c r="AL329" s="694"/>
    </row>
    <row r="330" spans="1:38" ht="13" x14ac:dyDescent="0.25">
      <c r="A330" s="694"/>
      <c r="B330" s="698"/>
      <c r="C330" s="698"/>
      <c r="D330" s="300" t="s">
        <v>46</v>
      </c>
      <c r="E330" s="2463" t="str">
        <f>Translations!$B$1516</f>
        <v>Потребление на електроенергия</v>
      </c>
      <c r="F330" s="2463"/>
      <c r="G330" s="2463"/>
      <c r="H330" s="2463"/>
      <c r="I330" s="2463"/>
      <c r="J330" s="2463"/>
      <c r="K330" s="2463"/>
      <c r="L330" s="2463"/>
      <c r="M330" s="2463"/>
      <c r="N330" s="2463"/>
      <c r="O330" s="302"/>
      <c r="P330" s="302"/>
      <c r="Q330" s="694" t="s">
        <v>450</v>
      </c>
      <c r="R330" s="1026" t="str">
        <f>"#"&amp;ADDRESS(ROW(D335),COLUMN(D335))</f>
        <v>#$D$335</v>
      </c>
      <c r="S330" s="1174" t="s">
        <v>1732</v>
      </c>
      <c r="T330" s="1190" t="str">
        <f>IF(I294="","",INDEX(EUconst_BMlistElExchangability,MATCH(I294,EUconst_BMlistNames,0)))</f>
        <v/>
      </c>
      <c r="U330" s="729"/>
      <c r="V330" s="729"/>
      <c r="W330" s="694"/>
      <c r="X330" s="694"/>
      <c r="Y330" s="694"/>
      <c r="Z330" s="694"/>
      <c r="AA330" s="694"/>
      <c r="AB330" s="694"/>
      <c r="AC330" s="694"/>
      <c r="AD330" s="694"/>
      <c r="AE330" s="694"/>
      <c r="AF330" s="694"/>
      <c r="AG330" s="694"/>
      <c r="AH330" s="694"/>
      <c r="AI330" s="694"/>
      <c r="AJ330" s="694"/>
      <c r="AK330" s="694"/>
      <c r="AL330" s="694"/>
    </row>
    <row r="331" spans="1:38" ht="25.5" customHeight="1" x14ac:dyDescent="0.25">
      <c r="A331" s="694"/>
      <c r="B331" s="298"/>
      <c r="C331" s="298"/>
      <c r="D331" s="302"/>
      <c r="E331" s="2358" t="str">
        <f>Translations!$B$1517</f>
        <v>Въведете тук електроенергията, потребена в системните граници на тази подинсталация. За продуктовите показатели, изброени в раздел 2 от приложение I към ПБР, въвеждането тук на данни е задължително, като те трябва да съответстват на съответните системни граници, посочени в този раздел.</v>
      </c>
      <c r="F331" s="2249"/>
      <c r="G331" s="2249"/>
      <c r="H331" s="2249"/>
      <c r="I331" s="2249"/>
      <c r="J331" s="2249"/>
      <c r="K331" s="2249"/>
      <c r="L331" s="2249"/>
      <c r="M331" s="2249"/>
      <c r="N331" s="2249"/>
      <c r="O331" s="302"/>
      <c r="P331" s="302"/>
      <c r="Q331" s="694"/>
      <c r="R331" s="694"/>
      <c r="S331" s="694"/>
      <c r="T331" s="694"/>
      <c r="U331" s="729"/>
      <c r="V331" s="729"/>
      <c r="W331" s="694"/>
      <c r="X331" s="694"/>
      <c r="Y331" s="694"/>
      <c r="Z331" s="694"/>
      <c r="AA331" s="694"/>
      <c r="AB331" s="694"/>
      <c r="AC331" s="694"/>
      <c r="AD331" s="694"/>
      <c r="AE331" s="694"/>
      <c r="AF331" s="694"/>
      <c r="AG331" s="694"/>
      <c r="AH331" s="694"/>
      <c r="AI331" s="694"/>
      <c r="AJ331" s="694"/>
      <c r="AK331" s="694"/>
      <c r="AL331" s="694"/>
    </row>
    <row r="332" spans="1:38" s="364" customFormat="1" ht="13.5" thickBot="1" x14ac:dyDescent="0.3">
      <c r="A332" s="729"/>
      <c r="B332" s="302"/>
      <c r="C332" s="302"/>
      <c r="D332" s="300"/>
      <c r="E332" s="1013" t="str">
        <f>Translations!$B$483</f>
        <v>Параметър</v>
      </c>
      <c r="F332" s="1015"/>
      <c r="G332" s="527" t="str">
        <f>EUconst_Unit</f>
        <v>Единица мярка</v>
      </c>
      <c r="H332" s="391">
        <f>H$2831</f>
        <v>2024</v>
      </c>
      <c r="I332" s="572">
        <f>I$2831</f>
        <v>2025</v>
      </c>
      <c r="J332" s="757">
        <f>J$91</f>
        <v>2026</v>
      </c>
      <c r="K332" s="758">
        <f>K$91</f>
        <v>2027</v>
      </c>
      <c r="L332" s="391">
        <f>L$91</f>
        <v>2028</v>
      </c>
      <c r="M332" s="391">
        <f>M$91</f>
        <v>2029</v>
      </c>
      <c r="N332" s="391">
        <f>N$91</f>
        <v>2030</v>
      </c>
      <c r="O332" s="302"/>
      <c r="P332" s="302"/>
      <c r="Q332" s="729"/>
      <c r="R332" s="729"/>
      <c r="S332" s="694"/>
      <c r="T332" s="694"/>
      <c r="U332" s="729"/>
      <c r="V332" s="729"/>
      <c r="W332" s="729"/>
      <c r="X332" s="729"/>
      <c r="Y332" s="729"/>
      <c r="Z332" s="729"/>
      <c r="AA332" s="729"/>
      <c r="AB332" s="694"/>
      <c r="AC332" s="1178">
        <f t="shared" ref="AC332" si="169">H$20</f>
        <v>2024</v>
      </c>
      <c r="AD332" s="1178">
        <f t="shared" ref="AD332" si="170">I$20</f>
        <v>2025</v>
      </c>
      <c r="AE332" s="1178">
        <f t="shared" ref="AE332" si="171">J$20</f>
        <v>2026</v>
      </c>
      <c r="AF332" s="1178">
        <f t="shared" ref="AF332" si="172">K$20</f>
        <v>2027</v>
      </c>
      <c r="AG332" s="1178">
        <f t="shared" ref="AG332" si="173">L$20</f>
        <v>2028</v>
      </c>
      <c r="AH332" s="1178">
        <f t="shared" ref="AH332" si="174">M$20</f>
        <v>2029</v>
      </c>
      <c r="AI332" s="1178">
        <f t="shared" ref="AI332" si="175">N$20</f>
        <v>2030</v>
      </c>
      <c r="AJ332" s="694"/>
      <c r="AK332" s="694"/>
      <c r="AL332" s="694"/>
    </row>
    <row r="333" spans="1:38" s="364" customFormat="1" ht="12.75" customHeight="1" thickBot="1" x14ac:dyDescent="0.3">
      <c r="A333" s="729"/>
      <c r="B333" s="302"/>
      <c r="C333" s="302"/>
      <c r="D333" s="360"/>
      <c r="E333" s="1251" t="str">
        <f>Translations!$B$485</f>
        <v>Съответно потребление на електроенергия</v>
      </c>
      <c r="F333" s="1252"/>
      <c r="G333" s="1253" t="str">
        <f>EUconst_MWhpa</f>
        <v>MWh / година</v>
      </c>
      <c r="H333" s="39"/>
      <c r="I333" s="194"/>
      <c r="J333" s="195"/>
      <c r="K333" s="208"/>
      <c r="L333" s="39"/>
      <c r="M333" s="39"/>
      <c r="N333" s="39"/>
      <c r="O333" s="302"/>
      <c r="P333" s="158"/>
      <c r="Q333" s="982" t="str">
        <f>EUconst_CNTR_HAL&amp;EUconst_CNTR_ELEXCH &amp;I294</f>
        <v>HAL_ELEXCH_</v>
      </c>
      <c r="R333" s="729"/>
      <c r="S333" s="729"/>
      <c r="T333" s="729"/>
      <c r="U333" s="729"/>
      <c r="V333" s="729"/>
      <c r="W333" s="729"/>
      <c r="X333" s="729"/>
      <c r="Y333" s="729"/>
      <c r="Z333" s="729"/>
      <c r="AA333" s="729"/>
      <c r="AB333" s="1182" t="s">
        <v>737</v>
      </c>
      <c r="AC333" s="1254" t="b">
        <f t="shared" ref="AC333" si="176">IF(CNTR_ExistSubInstEntries,IF($I294="",TRUE,OR(H332&gt;=CNTR_ReportingYear,AC332&lt;$V294-1,INDEX(EUconst_BMlistElExchangability,MATCH($I294,EUconst_BMlistNames,0))=FALSE)),FALSE)</f>
        <v>0</v>
      </c>
      <c r="AD333" s="1255" t="b">
        <f t="shared" ref="AD333" si="177">IF(CNTR_ExistSubInstEntries,IF($I294="",TRUE,OR(I332&gt;=CNTR_ReportingYear,AD332&lt;$V294-1,INDEX(EUconst_BMlistElExchangability,MATCH($I294,EUconst_BMlistNames,0))=FALSE)),FALSE)</f>
        <v>0</v>
      </c>
      <c r="AE333" s="1255" t="b">
        <f t="shared" ref="AE333" si="178">IF(CNTR_ExistSubInstEntries,IF($I294="",TRUE,OR(J332&gt;=CNTR_ReportingYear,AE332&lt;$V294-1,INDEX(EUconst_BMlistElExchangability,MATCH($I294,EUconst_BMlistNames,0))=FALSE)),FALSE)</f>
        <v>0</v>
      </c>
      <c r="AF333" s="1255" t="b">
        <f t="shared" ref="AF333" si="179">IF(CNTR_ExistSubInstEntries,IF($I294="",TRUE,OR(K332&gt;=CNTR_ReportingYear,AF332&lt;$V294-1,INDEX(EUconst_BMlistElExchangability,MATCH($I294,EUconst_BMlistNames,0))=FALSE)),FALSE)</f>
        <v>0</v>
      </c>
      <c r="AG333" s="1255" t="b">
        <f t="shared" ref="AG333" si="180">IF(CNTR_ExistSubInstEntries,IF($I294="",TRUE,OR(L332&gt;=CNTR_ReportingYear,AG332&lt;$V294-1,INDEX(EUconst_BMlistElExchangability,MATCH($I294,EUconst_BMlistNames,0))=FALSE)),FALSE)</f>
        <v>0</v>
      </c>
      <c r="AH333" s="1255" t="b">
        <f t="shared" ref="AH333" si="181">IF(CNTR_ExistSubInstEntries,IF($I294="",TRUE,OR(M332&gt;=CNTR_ReportingYear,AH332&lt;$V294-1,INDEX(EUconst_BMlistElExchangability,MATCH($I294,EUconst_BMlistNames,0))=FALSE)),FALSE)</f>
        <v>0</v>
      </c>
      <c r="AI333" s="1256" t="b">
        <f t="shared" ref="AI333" si="182">IF(CNTR_ExistSubInstEntries,IF($I294="",TRUE,OR(N332&gt;=CNTR_ReportingYear,AI332&lt;$V294-1,INDEX(EUconst_BMlistElExchangability,MATCH($I294,EUconst_BMlistNames,0))=FALSE)),FALSE)</f>
        <v>0</v>
      </c>
      <c r="AJ333" s="1174" t="s">
        <v>2039</v>
      </c>
      <c r="AK333" s="1176" t="str">
        <f>IF(AND(CNTR_ExistSubInstEntries,COUNTIFS(AC333:AI333,FALSE,H333:N333,"")&gt;0),EUconst_Error&amp;"BM"&amp;$Q294,"")</f>
        <v/>
      </c>
      <c r="AL333" s="694"/>
    </row>
    <row r="334" spans="1:38" ht="5.15" customHeight="1" x14ac:dyDescent="0.25">
      <c r="A334" s="694"/>
      <c r="B334" s="298"/>
      <c r="C334" s="298"/>
      <c r="D334" s="298"/>
      <c r="E334" s="298"/>
      <c r="F334" s="298"/>
      <c r="G334" s="298"/>
      <c r="H334" s="298"/>
      <c r="I334" s="298"/>
      <c r="J334" s="298"/>
      <c r="K334" s="298"/>
      <c r="L334" s="298"/>
      <c r="M334" s="302"/>
      <c r="N334" s="302"/>
      <c r="O334" s="302"/>
      <c r="P334" s="302"/>
      <c r="Q334" s="729"/>
      <c r="R334" s="694"/>
      <c r="S334" s="694"/>
      <c r="T334" s="694"/>
      <c r="U334" s="694"/>
      <c r="V334" s="694"/>
      <c r="W334" s="694"/>
      <c r="X334" s="694"/>
      <c r="Y334" s="694"/>
      <c r="Z334" s="694"/>
      <c r="AA334" s="694"/>
      <c r="AB334" s="694"/>
      <c r="AC334" s="694"/>
      <c r="AD334" s="694"/>
      <c r="AE334" s="694"/>
      <c r="AF334" s="694"/>
      <c r="AG334" s="694"/>
      <c r="AH334" s="694"/>
      <c r="AI334" s="694"/>
      <c r="AJ334" s="694"/>
      <c r="AK334" s="694"/>
      <c r="AL334" s="694"/>
    </row>
    <row r="335" spans="1:38" ht="13" x14ac:dyDescent="0.25">
      <c r="A335" s="694"/>
      <c r="B335" s="298"/>
      <c r="C335" s="298"/>
      <c r="D335" s="300" t="s">
        <v>906</v>
      </c>
      <c r="E335" s="2226" t="str">
        <f>Translations!$B$487</f>
        <v>Топлинна енергия, получена от инсталации или обекти извън СТЕ:</v>
      </c>
      <c r="F335" s="2226"/>
      <c r="G335" s="2226"/>
      <c r="H335" s="2226"/>
      <c r="I335" s="2317"/>
      <c r="J335" s="2858" t="str">
        <f>IF(I294="","",HYPERLINK(R335,EUconst_MsgGoOnIfNotRelevant))</f>
        <v/>
      </c>
      <c r="K335" s="2859"/>
      <c r="L335" s="2859"/>
      <c r="M335" s="2859"/>
      <c r="N335" s="2860"/>
      <c r="O335" s="302"/>
      <c r="P335" s="302"/>
      <c r="Q335" s="694" t="s">
        <v>450</v>
      </c>
      <c r="R335" s="1026" t="str">
        <f>"#"&amp;ADDRESS(ROW(D360),COLUMN(D360))</f>
        <v>#$D$360</v>
      </c>
      <c r="S335" s="694"/>
      <c r="T335" s="694"/>
      <c r="U335" s="694"/>
      <c r="V335" s="694"/>
      <c r="W335" s="694"/>
      <c r="X335" s="694"/>
      <c r="Y335" s="694"/>
      <c r="Z335" s="694"/>
      <c r="AA335" s="694"/>
      <c r="AB335" s="694"/>
      <c r="AC335" s="694"/>
      <c r="AD335" s="694"/>
      <c r="AE335" s="694"/>
      <c r="AF335" s="694"/>
      <c r="AG335" s="694"/>
      <c r="AH335" s="694"/>
      <c r="AI335" s="694"/>
      <c r="AJ335" s="694"/>
      <c r="AK335" s="694"/>
      <c r="AL335" s="694"/>
    </row>
    <row r="336" spans="1:38" x14ac:dyDescent="0.25">
      <c r="A336" s="694"/>
      <c r="B336" s="298"/>
      <c r="C336" s="298"/>
      <c r="D336" s="302"/>
      <c r="E336" s="2358" t="str">
        <f>Translations!$B$488</f>
        <v>Съгласно член 21 от ПБР определено количество емисии трябва да се приспадне от предварителното годишно разпределение за подинсталациите с продуктов показател.</v>
      </c>
      <c r="F336" s="2249"/>
      <c r="G336" s="2249"/>
      <c r="H336" s="2249"/>
      <c r="I336" s="2249"/>
      <c r="J336" s="2249"/>
      <c r="K336" s="2249"/>
      <c r="L336" s="2249"/>
      <c r="M336" s="2249"/>
      <c r="N336" s="2249"/>
      <c r="O336" s="302"/>
      <c r="P336" s="302"/>
      <c r="Q336" s="729"/>
      <c r="R336" s="694"/>
      <c r="S336" s="694"/>
      <c r="T336" s="694"/>
      <c r="U336" s="729"/>
      <c r="V336" s="729"/>
      <c r="W336" s="694"/>
      <c r="X336" s="694"/>
      <c r="Y336" s="694"/>
      <c r="Z336" s="694"/>
      <c r="AA336" s="694"/>
      <c r="AB336" s="694"/>
      <c r="AC336" s="694"/>
      <c r="AD336" s="694"/>
      <c r="AE336" s="694"/>
      <c r="AF336" s="694"/>
      <c r="AG336" s="694"/>
      <c r="AH336" s="694"/>
      <c r="AI336" s="694"/>
      <c r="AJ336" s="694"/>
      <c r="AK336" s="694"/>
      <c r="AL336" s="694"/>
    </row>
    <row r="337" spans="1:38" x14ac:dyDescent="0.25">
      <c r="A337" s="694"/>
      <c r="B337" s="298"/>
      <c r="C337" s="298"/>
      <c r="D337" s="302"/>
      <c r="E337" s="2358" t="str">
        <f>Translations!$B$489</f>
        <v>Това количество е количеството измерима топлинна енергия, внесена от инсталации или обекти извън СТЕ (включително всяка топлинна енергия от подинсталации за производство на азотна киселина), умножено по топлинния показател.</v>
      </c>
      <c r="F337" s="2249"/>
      <c r="G337" s="2249"/>
      <c r="H337" s="2249"/>
      <c r="I337" s="2249"/>
      <c r="J337" s="2249"/>
      <c r="K337" s="2249"/>
      <c r="L337" s="2249"/>
      <c r="M337" s="2249"/>
      <c r="N337" s="2249"/>
      <c r="O337" s="302"/>
      <c r="P337" s="302"/>
      <c r="Q337" s="729"/>
      <c r="R337" s="694"/>
      <c r="S337" s="694"/>
      <c r="T337" s="694"/>
      <c r="U337" s="729"/>
      <c r="V337" s="729"/>
      <c r="W337" s="694"/>
      <c r="X337" s="694"/>
      <c r="Y337" s="694"/>
      <c r="Z337" s="694"/>
      <c r="AA337" s="694"/>
      <c r="AB337" s="694"/>
      <c r="AC337" s="694"/>
      <c r="AD337" s="694"/>
      <c r="AE337" s="694"/>
      <c r="AF337" s="694"/>
      <c r="AG337" s="694"/>
      <c r="AH337" s="694"/>
      <c r="AI337" s="694"/>
      <c r="AJ337" s="694"/>
      <c r="AK337" s="694"/>
      <c r="AL337" s="694"/>
    </row>
    <row r="338" spans="1:38" x14ac:dyDescent="0.25">
      <c r="A338" s="694"/>
      <c r="B338" s="298"/>
      <c r="C338" s="298"/>
      <c r="D338" s="302"/>
      <c r="E338" s="2358" t="str">
        <f>Translations!$B$490</f>
        <v>Моля, въведете тук съответните стойности. Имайте предвид, че стойностите трябва да съответстват на сумите за енергията, получена от източници извън СТЕ, въведени в точка E.II.c в работен лист „E_Energy flows“ („E_Енергийни потоци“).</v>
      </c>
      <c r="F338" s="2249"/>
      <c r="G338" s="2249"/>
      <c r="H338" s="2249"/>
      <c r="I338" s="2249"/>
      <c r="J338" s="2249"/>
      <c r="K338" s="2249"/>
      <c r="L338" s="2249"/>
      <c r="M338" s="2249"/>
      <c r="N338" s="2249"/>
      <c r="O338" s="302"/>
      <c r="P338" s="302"/>
      <c r="Q338" s="729"/>
      <c r="R338" s="694"/>
      <c r="S338" s="694"/>
      <c r="T338" s="694"/>
      <c r="U338" s="729"/>
      <c r="V338" s="729"/>
      <c r="W338" s="694"/>
      <c r="X338" s="694"/>
      <c r="Y338" s="694"/>
      <c r="Z338" s="694"/>
      <c r="AA338" s="694"/>
      <c r="AB338" s="694"/>
      <c r="AC338" s="694"/>
      <c r="AD338" s="694"/>
      <c r="AE338" s="694"/>
      <c r="AF338" s="694"/>
      <c r="AG338" s="694"/>
      <c r="AH338" s="694"/>
      <c r="AI338" s="694"/>
      <c r="AJ338" s="694"/>
      <c r="AK338" s="694"/>
      <c r="AL338" s="694"/>
    </row>
    <row r="339" spans="1:38" x14ac:dyDescent="0.25">
      <c r="A339" s="694"/>
      <c r="B339" s="298"/>
      <c r="C339" s="298"/>
      <c r="D339" s="302"/>
      <c r="E339" s="2358" t="str">
        <f>Translations!$B$491</f>
        <v>Освен това данните трябва да съответстват и на общото нетно количество получена измерима топлинна енергия, въведено в k). i по-долу.</v>
      </c>
      <c r="F339" s="2249"/>
      <c r="G339" s="2249"/>
      <c r="H339" s="2249"/>
      <c r="I339" s="2249"/>
      <c r="J339" s="2249"/>
      <c r="K339" s="2249"/>
      <c r="L339" s="2249"/>
      <c r="M339" s="2249"/>
      <c r="N339" s="2249"/>
      <c r="O339" s="302"/>
      <c r="P339" s="302"/>
      <c r="Q339" s="729"/>
      <c r="R339" s="694"/>
      <c r="S339" s="694"/>
      <c r="T339" s="694"/>
      <c r="U339" s="729"/>
      <c r="V339" s="729"/>
      <c r="W339" s="729"/>
      <c r="X339" s="729"/>
      <c r="Y339" s="729"/>
      <c r="Z339" s="729"/>
      <c r="AA339" s="694"/>
      <c r="AB339" s="694"/>
      <c r="AC339" s="694"/>
      <c r="AD339" s="694"/>
      <c r="AE339" s="694"/>
      <c r="AF339" s="694"/>
      <c r="AG339" s="694"/>
      <c r="AH339" s="694"/>
      <c r="AI339" s="694"/>
      <c r="AJ339" s="694"/>
      <c r="AK339" s="694"/>
      <c r="AL339" s="694"/>
    </row>
    <row r="340" spans="1:38" ht="13.5" thickBot="1" x14ac:dyDescent="0.3">
      <c r="A340" s="694"/>
      <c r="B340" s="698"/>
      <c r="C340" s="698"/>
      <c r="D340" s="300"/>
      <c r="E340" s="1013" t="str">
        <f>Translations!$B$483</f>
        <v>Параметър</v>
      </c>
      <c r="F340" s="1015"/>
      <c r="G340" s="527" t="str">
        <f>EUconst_Unit</f>
        <v>Единица мярка</v>
      </c>
      <c r="H340" s="391">
        <f>H$2831</f>
        <v>2024</v>
      </c>
      <c r="I340" s="572">
        <f>I$2831</f>
        <v>2025</v>
      </c>
      <c r="J340" s="757">
        <f>J$91</f>
        <v>2026</v>
      </c>
      <c r="K340" s="391">
        <f>K$91</f>
        <v>2027</v>
      </c>
      <c r="L340" s="391">
        <f>L$91</f>
        <v>2028</v>
      </c>
      <c r="M340" s="391">
        <f>M$91</f>
        <v>2029</v>
      </c>
      <c r="N340" s="391">
        <f>N$91</f>
        <v>2030</v>
      </c>
      <c r="O340" s="302"/>
      <c r="P340" s="302"/>
      <c r="Q340" s="694"/>
      <c r="R340" s="1031"/>
      <c r="S340" s="1174" t="s">
        <v>1906</v>
      </c>
      <c r="T340" s="1178">
        <f>H340</f>
        <v>2024</v>
      </c>
      <c r="U340" s="1178">
        <f t="shared" ref="U340" si="183">I340</f>
        <v>2025</v>
      </c>
      <c r="V340" s="1178">
        <f t="shared" ref="V340" si="184">J340</f>
        <v>2026</v>
      </c>
      <c r="W340" s="1178">
        <f t="shared" ref="W340" si="185">K340</f>
        <v>2027</v>
      </c>
      <c r="X340" s="1178">
        <f t="shared" ref="X340" si="186">L340</f>
        <v>2028</v>
      </c>
      <c r="Y340" s="1178">
        <f t="shared" ref="Y340" si="187">M340</f>
        <v>2029</v>
      </c>
      <c r="Z340" s="1178">
        <f t="shared" ref="Z340" si="188">N340</f>
        <v>2030</v>
      </c>
      <c r="AA340" s="1031"/>
      <c r="AB340" s="694"/>
      <c r="AC340" s="1178">
        <f t="shared" ref="AC340" si="189">H$20</f>
        <v>2024</v>
      </c>
      <c r="AD340" s="1178">
        <f t="shared" ref="AD340" si="190">I$20</f>
        <v>2025</v>
      </c>
      <c r="AE340" s="1178">
        <f t="shared" ref="AE340" si="191">J$20</f>
        <v>2026</v>
      </c>
      <c r="AF340" s="1178">
        <f t="shared" ref="AF340" si="192">K$20</f>
        <v>2027</v>
      </c>
      <c r="AG340" s="1178">
        <f t="shared" ref="AG340" si="193">L$20</f>
        <v>2028</v>
      </c>
      <c r="AH340" s="1178">
        <f t="shared" ref="AH340" si="194">M$20</f>
        <v>2029</v>
      </c>
      <c r="AI340" s="1178">
        <f t="shared" ref="AI340" si="195">N$20</f>
        <v>2030</v>
      </c>
      <c r="AJ340" s="694"/>
      <c r="AK340" s="694"/>
      <c r="AL340" s="694"/>
    </row>
    <row r="341" spans="1:38" ht="13" customHeight="1" thickBot="1" x14ac:dyDescent="0.3">
      <c r="A341" s="694"/>
      <c r="B341" s="698"/>
      <c r="C341" s="698"/>
      <c r="D341" s="1084" t="s">
        <v>6</v>
      </c>
      <c r="E341" s="2667" t="str">
        <f>Translations!$B$492</f>
        <v>Измерима топлинна енергия, получена от източници извън СТЕ:</v>
      </c>
      <c r="F341" s="2667"/>
      <c r="G341" s="1016" t="str">
        <f>EUconst_TJpa</f>
        <v>TJ / година</v>
      </c>
      <c r="H341" s="24"/>
      <c r="I341" s="59"/>
      <c r="J341" s="60"/>
      <c r="K341" s="24"/>
      <c r="L341" s="24"/>
      <c r="M341" s="24"/>
      <c r="N341" s="24"/>
      <c r="O341" s="302"/>
      <c r="P341" s="158"/>
      <c r="Q341" s="982" t="str">
        <f>EUconst_CNTR_HAL&amp;EUconst_CNTR_nonETSMeasHeat</f>
        <v>HAL_измерима топлинна енергия извън СТЕ</v>
      </c>
      <c r="R341" s="694"/>
      <c r="S341" s="1174"/>
      <c r="T341" s="1257" t="str">
        <f t="shared" ref="T341" si="196">IF(H341="","",SUM(H341)*EUconst_HeatBMvalue)</f>
        <v/>
      </c>
      <c r="U341" s="1257" t="str">
        <f t="shared" ref="U341" si="197">IF(I341="","",SUM(I341)*EUconst_HeatBMvalue)</f>
        <v/>
      </c>
      <c r="V341" s="1257" t="str">
        <f t="shared" ref="V341" si="198">IF(J341="","",SUM(J341)*EUconst_HeatBMvalue)</f>
        <v/>
      </c>
      <c r="W341" s="1257" t="str">
        <f t="shared" ref="W341" si="199">IF(K341="","",SUM(K341)*EUconst_HeatBMvalue)</f>
        <v/>
      </c>
      <c r="X341" s="1257" t="str">
        <f t="shared" ref="X341" si="200">IF(L341="","",SUM(L341)*EUconst_HeatBMvalue)</f>
        <v/>
      </c>
      <c r="Y341" s="1257" t="str">
        <f t="shared" ref="Y341" si="201">IF(M341="","",SUM(M341)*EUconst_HeatBMvalue)</f>
        <v/>
      </c>
      <c r="Z341" s="1257" t="str">
        <f t="shared" ref="Z341" si="202">IF(N341="","",SUM(N341)*EUconst_HeatBMvalue)</f>
        <v/>
      </c>
      <c r="AA341" s="694"/>
      <c r="AB341" s="1182" t="s">
        <v>737</v>
      </c>
      <c r="AC341" s="1183" t="b">
        <f t="shared" ref="AC341" si="203">IF(CNTR_ExistSubInstEntries,OR($I294="",H301&gt;=CNTR_ReportingYear,AC340&lt;$V294-1),FALSE)</f>
        <v>0</v>
      </c>
      <c r="AD341" s="1184" t="b">
        <f t="shared" ref="AD341" si="204">IF(CNTR_ExistSubInstEntries,OR($I294="",I301&gt;=CNTR_ReportingYear,AD340&lt;$V294-1),FALSE)</f>
        <v>0</v>
      </c>
      <c r="AE341" s="1184" t="b">
        <f t="shared" ref="AE341" si="205">IF(CNTR_ExistSubInstEntries,OR($I294="",J301&gt;=CNTR_ReportingYear,AE340&lt;$V294-1),FALSE)</f>
        <v>0</v>
      </c>
      <c r="AF341" s="1184" t="b">
        <f t="shared" ref="AF341" si="206">IF(CNTR_ExistSubInstEntries,OR($I294="",K301&gt;=CNTR_ReportingYear,AF340&lt;$V294-1),FALSE)</f>
        <v>0</v>
      </c>
      <c r="AG341" s="1184" t="b">
        <f t="shared" ref="AG341" si="207">IF(CNTR_ExistSubInstEntries,OR($I294="",L301&gt;=CNTR_ReportingYear,AG340&lt;$V294-1),FALSE)</f>
        <v>0</v>
      </c>
      <c r="AH341" s="1184" t="b">
        <f t="shared" ref="AH341" si="208">IF(CNTR_ExistSubInstEntries,OR($I294="",M301&gt;=CNTR_ReportingYear,AH340&lt;$V294-1),FALSE)</f>
        <v>0</v>
      </c>
      <c r="AI341" s="1185" t="b">
        <f t="shared" ref="AI341" si="209">IF(CNTR_ExistSubInstEntries,OR($I294="",N301&gt;=CNTR_ReportingYear,AI340&lt;$V294-1),FALSE)</f>
        <v>0</v>
      </c>
      <c r="AJ341" s="1174" t="s">
        <v>2039</v>
      </c>
      <c r="AK341" s="1176" t="str">
        <f>IF(AND(CNTR_ExistSubInstEntries,COUNTIFS(AC341:AI341,FALSE,H341:N341,"")&gt;0),EUconst_Error&amp;"BM"&amp;$Q294,"")</f>
        <v/>
      </c>
      <c r="AL341" s="694"/>
    </row>
    <row r="342" spans="1:38" ht="25.5" customHeight="1" x14ac:dyDescent="0.25">
      <c r="A342" s="694"/>
      <c r="B342" s="698"/>
      <c r="C342" s="698"/>
      <c r="D342" s="1084" t="s">
        <v>7</v>
      </c>
      <c r="E342" s="1258" t="str">
        <f>Translations!$B$493</f>
        <v>Проверка на съответствието с работен лист „E_Energy flows“ („E_Енергийни потоци“):</v>
      </c>
      <c r="F342" s="1258"/>
      <c r="G342" s="1259" t="s">
        <v>1053</v>
      </c>
      <c r="H342" s="16" t="str">
        <f>IF(AND(ISNUMBER(H341),ISNUMBER(E_EnergyFlows!H$141)), H341/E_EnergyFlows!H$141*100,"")</f>
        <v/>
      </c>
      <c r="I342" s="105" t="str">
        <f>IF(AND(ISNUMBER(I341),ISNUMBER(E_EnergyFlows!I$141)), I341/E_EnergyFlows!I$141*100,"")</f>
        <v/>
      </c>
      <c r="J342" s="107" t="str">
        <f>IF(AND(ISNUMBER(J341),ISNUMBER(E_EnergyFlows!J$141)), J341/E_EnergyFlows!J$141*100,"")</f>
        <v/>
      </c>
      <c r="K342" s="16" t="str">
        <f>IF(AND(ISNUMBER(K341),ISNUMBER(E_EnergyFlows!K$141)), K341/E_EnergyFlows!K$141*100,"")</f>
        <v/>
      </c>
      <c r="L342" s="16" t="str">
        <f>IF(AND(ISNUMBER(L341),ISNUMBER(E_EnergyFlows!L$141)), L341/E_EnergyFlows!L$141*100,"")</f>
        <v/>
      </c>
      <c r="M342" s="16" t="str">
        <f>IF(AND(ISNUMBER(M341),ISNUMBER(E_EnergyFlows!M$141)), M341/E_EnergyFlows!M$141*100,"")</f>
        <v/>
      </c>
      <c r="N342" s="16" t="str">
        <f>IF(AND(ISNUMBER(N341),ISNUMBER(E_EnergyFlows!N$141)), N341/E_EnergyFlows!N$141*100,"")</f>
        <v/>
      </c>
      <c r="O342" s="302"/>
      <c r="P342" s="302"/>
      <c r="Q342" s="1033" t="str">
        <f>EUconst_CNTR_HEAT &amp; I294</f>
        <v>HEAT_</v>
      </c>
      <c r="R342" s="729"/>
      <c r="S342" s="694"/>
      <c r="T342" s="694"/>
      <c r="U342" s="729"/>
      <c r="V342" s="729"/>
      <c r="W342" s="694"/>
      <c r="X342" s="694"/>
      <c r="Y342" s="694"/>
      <c r="Z342" s="694"/>
      <c r="AA342" s="694"/>
      <c r="AB342" s="694"/>
      <c r="AC342" s="694"/>
      <c r="AD342" s="694"/>
      <c r="AE342" s="694"/>
      <c r="AF342" s="694"/>
      <c r="AG342" s="694"/>
      <c r="AH342" s="694"/>
      <c r="AI342" s="694"/>
      <c r="AJ342" s="694"/>
      <c r="AK342" s="694"/>
      <c r="AL342" s="694"/>
    </row>
    <row r="343" spans="1:38" ht="12.65" customHeight="1" x14ac:dyDescent="0.25">
      <c r="A343" s="694"/>
      <c r="B343" s="698"/>
      <c r="C343" s="698"/>
      <c r="D343" s="1084" t="s">
        <v>8</v>
      </c>
      <c r="E343" s="1260" t="str">
        <f>Translations!$B$494</f>
        <v>Проверка на съответствието с k).i):</v>
      </c>
      <c r="F343" s="1261"/>
      <c r="G343" s="1262" t="s">
        <v>1053</v>
      </c>
      <c r="H343" s="15" t="str">
        <f t="shared" ref="H343:N343" si="210">IF(AND(H466&gt;0,ISNUMBER(H341)), H341/H466*100,"")</f>
        <v/>
      </c>
      <c r="I343" s="106" t="str">
        <f t="shared" si="210"/>
        <v/>
      </c>
      <c r="J343" s="108" t="str">
        <f t="shared" si="210"/>
        <v/>
      </c>
      <c r="K343" s="15" t="str">
        <f t="shared" si="210"/>
        <v/>
      </c>
      <c r="L343" s="15" t="str">
        <f t="shared" si="210"/>
        <v/>
      </c>
      <c r="M343" s="15" t="str">
        <f t="shared" si="210"/>
        <v/>
      </c>
      <c r="N343" s="15" t="str">
        <f t="shared" si="210"/>
        <v/>
      </c>
      <c r="O343" s="302"/>
      <c r="P343" s="302"/>
      <c r="Q343" s="694"/>
      <c r="R343" s="694"/>
      <c r="S343" s="694"/>
      <c r="T343" s="694"/>
      <c r="U343" s="729"/>
      <c r="V343" s="729"/>
      <c r="W343" s="694"/>
      <c r="X343" s="694"/>
      <c r="Y343" s="694"/>
      <c r="Z343" s="694"/>
      <c r="AA343" s="694"/>
      <c r="AB343" s="694"/>
      <c r="AC343" s="694"/>
      <c r="AD343" s="694"/>
      <c r="AE343" s="694"/>
      <c r="AF343" s="694"/>
      <c r="AG343" s="694"/>
      <c r="AH343" s="694"/>
      <c r="AI343" s="694"/>
      <c r="AJ343" s="694"/>
      <c r="AK343" s="694"/>
      <c r="AL343" s="694"/>
    </row>
    <row r="344" spans="1:38" ht="5.15" customHeight="1" x14ac:dyDescent="0.25">
      <c r="A344" s="694"/>
      <c r="B344" s="698"/>
      <c r="C344" s="698"/>
      <c r="D344" s="698"/>
      <c r="E344" s="698"/>
      <c r="F344" s="698"/>
      <c r="G344" s="698"/>
      <c r="H344" s="698"/>
      <c r="I344" s="1025"/>
      <c r="J344" s="698"/>
      <c r="K344" s="698"/>
      <c r="L344" s="698"/>
      <c r="M344" s="698"/>
      <c r="N344" s="698"/>
      <c r="O344" s="302"/>
      <c r="P344" s="302"/>
      <c r="Q344" s="1263"/>
      <c r="R344" s="694"/>
      <c r="S344" s="694"/>
      <c r="T344" s="694"/>
      <c r="U344" s="729"/>
      <c r="V344" s="729"/>
      <c r="W344" s="694"/>
      <c r="X344" s="694"/>
      <c r="Y344" s="694"/>
      <c r="Z344" s="694"/>
      <c r="AA344" s="694"/>
      <c r="AB344" s="694"/>
      <c r="AC344" s="694"/>
      <c r="AD344" s="694"/>
      <c r="AE344" s="694"/>
      <c r="AF344" s="694"/>
      <c r="AG344" s="694"/>
      <c r="AH344" s="694"/>
      <c r="AI344" s="694"/>
      <c r="AJ344" s="694"/>
      <c r="AK344" s="694"/>
      <c r="AL344" s="694"/>
    </row>
    <row r="345" spans="1:38" ht="25.5" customHeight="1" thickBot="1" x14ac:dyDescent="0.3">
      <c r="A345" s="694"/>
      <c r="B345" s="298"/>
      <c r="C345" s="298"/>
      <c r="D345" s="302"/>
      <c r="E345" s="2358" t="str">
        <f>Translations!$B$1326</f>
        <v>На базата на данните по-горе тук се определят средните годишни стойности на стойностите от i. Разпределението ще бъде променено само ако са надвишени относителният праг (15 % в сравнение със стойността в НМИ) и абсолютният праг (промяната води до корекция с повече от 100 квоти), определени в член 6, параграф 4 от Регламента за ALC.</v>
      </c>
      <c r="F345" s="2249"/>
      <c r="G345" s="2249"/>
      <c r="H345" s="2249"/>
      <c r="I345" s="2249"/>
      <c r="J345" s="2249"/>
      <c r="K345" s="2249"/>
      <c r="L345" s="2249"/>
      <c r="M345" s="2249"/>
      <c r="N345" s="2249"/>
      <c r="O345" s="302"/>
      <c r="P345" s="302"/>
      <c r="Q345" s="729"/>
      <c r="R345" s="694"/>
      <c r="S345" s="729"/>
      <c r="T345" s="729"/>
      <c r="U345" s="729"/>
      <c r="V345" s="694"/>
      <c r="W345" s="694"/>
      <c r="X345" s="694"/>
      <c r="Y345" s="694"/>
      <c r="Z345" s="694"/>
      <c r="AA345" s="694"/>
      <c r="AB345" s="694"/>
      <c r="AC345" s="694"/>
      <c r="AD345" s="694"/>
      <c r="AE345" s="694"/>
      <c r="AF345" s="694"/>
      <c r="AG345" s="694"/>
      <c r="AH345" s="694"/>
      <c r="AI345" s="694"/>
      <c r="AJ345" s="694"/>
      <c r="AK345" s="694"/>
      <c r="AL345" s="694"/>
    </row>
    <row r="346" spans="1:38" ht="5.15" customHeight="1" thickBot="1" x14ac:dyDescent="0.3">
      <c r="A346" s="694"/>
      <c r="B346" s="298"/>
      <c r="C346" s="298"/>
      <c r="D346" s="1192"/>
      <c r="E346" s="1194"/>
      <c r="F346" s="1264"/>
      <c r="G346" s="1264"/>
      <c r="H346" s="1264"/>
      <c r="I346" s="1264"/>
      <c r="J346" s="1264"/>
      <c r="K346" s="1264"/>
      <c r="L346" s="1264"/>
      <c r="M346" s="1264"/>
      <c r="N346" s="1265"/>
      <c r="O346" s="302"/>
      <c r="P346" s="302"/>
      <c r="Q346" s="729"/>
      <c r="R346" s="694"/>
      <c r="S346" s="729"/>
      <c r="T346" s="729"/>
      <c r="U346" s="729"/>
      <c r="V346" s="694"/>
      <c r="W346" s="694"/>
      <c r="X346" s="694"/>
      <c r="Y346" s="694"/>
      <c r="Z346" s="694"/>
      <c r="AA346" s="694"/>
      <c r="AB346" s="694"/>
      <c r="AC346" s="694"/>
      <c r="AD346" s="694"/>
      <c r="AE346" s="694"/>
      <c r="AF346" s="694"/>
      <c r="AG346" s="694"/>
      <c r="AH346" s="694"/>
      <c r="AI346" s="694"/>
      <c r="AJ346" s="694"/>
      <c r="AK346" s="694"/>
      <c r="AL346" s="694"/>
    </row>
    <row r="347" spans="1:38" ht="12.75" customHeight="1" x14ac:dyDescent="0.25">
      <c r="A347" s="694"/>
      <c r="B347" s="298"/>
      <c r="C347" s="298"/>
      <c r="D347" s="1197" t="s">
        <v>2003</v>
      </c>
      <c r="E347" s="1198" t="str">
        <f>Translations!$B$1329</f>
        <v>Корекции: Топлинна енергия извън СТЕ</v>
      </c>
      <c r="F347" s="1199"/>
      <c r="G347" s="1199"/>
      <c r="H347" s="1200" t="str">
        <f>EUconst_Unit</f>
        <v>Единица мярка</v>
      </c>
      <c r="I347" s="1201" t="str">
        <f>Translations!$B$1327</f>
        <v>(НМИ) стойност</v>
      </c>
      <c r="J347" s="1202">
        <f>J$2831</f>
        <v>2026</v>
      </c>
      <c r="K347" s="1203">
        <f>K$2831</f>
        <v>2027</v>
      </c>
      <c r="L347" s="1203">
        <f>L$2831</f>
        <v>2028</v>
      </c>
      <c r="M347" s="1203">
        <f>M$2831</f>
        <v>2029</v>
      </c>
      <c r="N347" s="1204">
        <f>N$2831</f>
        <v>2030</v>
      </c>
      <c r="O347" s="302"/>
      <c r="P347" s="302"/>
      <c r="Q347" s="729"/>
      <c r="R347" s="694"/>
      <c r="S347" s="694"/>
      <c r="T347" s="694"/>
      <c r="U347" s="1205"/>
      <c r="V347" s="1206">
        <f>J347</f>
        <v>2026</v>
      </c>
      <c r="W347" s="1206">
        <f>K347</f>
        <v>2027</v>
      </c>
      <c r="X347" s="1206">
        <f>L347</f>
        <v>2028</v>
      </c>
      <c r="Y347" s="1206">
        <f>M347</f>
        <v>2029</v>
      </c>
      <c r="Z347" s="1207">
        <f>N347</f>
        <v>2030</v>
      </c>
      <c r="AA347" s="694"/>
      <c r="AB347" s="694"/>
      <c r="AC347" s="694"/>
      <c r="AD347" s="694"/>
      <c r="AE347" s="694"/>
      <c r="AF347" s="694"/>
      <c r="AG347" s="694"/>
      <c r="AH347" s="694"/>
      <c r="AI347" s="694"/>
      <c r="AJ347" s="694"/>
      <c r="AK347" s="694"/>
      <c r="AL347" s="694"/>
    </row>
    <row r="348" spans="1:38" ht="12.75" customHeight="1" x14ac:dyDescent="0.25">
      <c r="A348" s="694"/>
      <c r="B348" s="298"/>
      <c r="C348" s="298"/>
      <c r="D348" s="1208" t="s">
        <v>6</v>
      </c>
      <c r="E348" s="1209" t="str">
        <f>Translations!$B$1328</f>
        <v>Средна годишна стойност</v>
      </c>
      <c r="F348" s="1209"/>
      <c r="G348" s="1209"/>
      <c r="H348" s="1266" t="str">
        <f>EUconst_tCO2</f>
        <v>t CO2</v>
      </c>
      <c r="I348" s="1211" t="str">
        <f>INDEX('B+C_SubInstallations'!$J:$J,MATCH(Q348,'B+C_SubInstallations'!$U:$U,0))</f>
        <v/>
      </c>
      <c r="J348" s="1267" t="str">
        <f>IF(AND(V348&gt;=3,CNTR_ReportingYear&gt;J347-1),AVERAGE(SUM(T341),SUM(U341)),"")</f>
        <v/>
      </c>
      <c r="K348" s="1268" t="str">
        <f>IF(AND(W348&gt;=3,CNTR_ReportingYear&gt;K347-1),AVERAGE(SUM(U341),SUM(V341)),"")</f>
        <v/>
      </c>
      <c r="L348" s="1268" t="str">
        <f>IF(AND(X348&gt;=3,CNTR_ReportingYear&gt;L347-1),AVERAGE(SUM(V341),SUM(W341)),"")</f>
        <v/>
      </c>
      <c r="M348" s="1268" t="str">
        <f>IF(AND(Y348&gt;=3,CNTR_ReportingYear&gt;M347-1),AVERAGE(SUM(W341),SUM(X341)),"")</f>
        <v/>
      </c>
      <c r="N348" s="1269" t="str">
        <f>IF(AND(Z348&gt;=3,CNTR_ReportingYear&gt;N347-1),AVERAGE(SUM(X341),SUM(Y341)),"")</f>
        <v/>
      </c>
      <c r="O348" s="302"/>
      <c r="P348" s="302"/>
      <c r="Q348" s="1270" t="str">
        <f>EUconst_CNTR_HEATInitial &amp; I294</f>
        <v>HEATIni_</v>
      </c>
      <c r="R348" s="694"/>
      <c r="S348" s="694"/>
      <c r="T348" s="694"/>
      <c r="U348" s="1231" t="s">
        <v>1710</v>
      </c>
      <c r="V348" s="1176">
        <f>V316</f>
        <v>0</v>
      </c>
      <c r="W348" s="1176">
        <f>W316</f>
        <v>0</v>
      </c>
      <c r="X348" s="1176">
        <f>X316</f>
        <v>0</v>
      </c>
      <c r="Y348" s="1176">
        <f>Y316</f>
        <v>0</v>
      </c>
      <c r="Z348" s="1216">
        <f>Z316</f>
        <v>0</v>
      </c>
      <c r="AA348" s="694"/>
      <c r="AB348" s="694"/>
      <c r="AC348" s="694"/>
      <c r="AD348" s="694"/>
      <c r="AE348" s="694"/>
      <c r="AF348" s="694"/>
      <c r="AG348" s="694"/>
      <c r="AH348" s="694"/>
      <c r="AI348" s="694"/>
      <c r="AJ348" s="694"/>
      <c r="AK348" s="694"/>
      <c r="AL348" s="694"/>
    </row>
    <row r="349" spans="1:38" ht="12.75" hidden="1" customHeight="1" x14ac:dyDescent="0.25">
      <c r="A349" s="729" t="s">
        <v>312</v>
      </c>
      <c r="B349" s="298"/>
      <c r="C349" s="298"/>
      <c r="D349" s="1208"/>
      <c r="E349" s="1209" t="str">
        <f>Translations!$B$1378</f>
        <v>Промяна в сравнение със стойността в НМИ</v>
      </c>
      <c r="F349" s="1209"/>
      <c r="G349" s="1209"/>
      <c r="H349" s="1222"/>
      <c r="I349" s="1223"/>
      <c r="J349" s="104" t="str">
        <f>IF(J348="","",IF($I351=0,IF(J348=0,0%,100%),J348/$I351-1))</f>
        <v/>
      </c>
      <c r="K349" s="99" t="str">
        <f>IF(K348="","",IF($I351=0,IF(K348=0,0%,100%),K348/$I351-1))</f>
        <v/>
      </c>
      <c r="L349" s="99" t="str">
        <f>IF(L348="","",IF($I351=0,IF(L348=0,0%,100%),L348/$I351-1))</f>
        <v/>
      </c>
      <c r="M349" s="99" t="str">
        <f>IF(M348="","",IF($I351=0,IF(M348=0,0%,100%),M348/$I351-1))</f>
        <v/>
      </c>
      <c r="N349" s="123" t="str">
        <f>IF(N348="","",IF($I351=0,IF(N348=0,0%,100%),N348/$I351-1))</f>
        <v/>
      </c>
      <c r="O349" s="302"/>
      <c r="P349" s="302"/>
      <c r="Q349" s="1190" t="str">
        <f>EUconst_CNTR_RelThreshold &amp; Q351</f>
        <v>RelThresh_HEATprelim_</v>
      </c>
      <c r="R349" s="694"/>
      <c r="S349" s="694"/>
      <c r="T349" s="694"/>
      <c r="U349" s="1231" t="s">
        <v>1715</v>
      </c>
      <c r="V349" s="727" t="str">
        <f>IF(J348="","",ABS(J349)&gt;15%)</f>
        <v/>
      </c>
      <c r="W349" s="727" t="str">
        <f>IF(K348="","",ABS(K349)&gt;15%)</f>
        <v/>
      </c>
      <c r="X349" s="727" t="str">
        <f>IF(L348="","",ABS(L349)&gt;15%)</f>
        <v/>
      </c>
      <c r="Y349" s="727" t="str">
        <f>IF(M348="","",ABS(M349)&gt;15%)</f>
        <v/>
      </c>
      <c r="Z349" s="1221" t="str">
        <f>IF(N348="","",ABS(N349)&gt;15%)</f>
        <v/>
      </c>
      <c r="AA349" s="694"/>
      <c r="AB349" s="694"/>
      <c r="AC349" s="694"/>
      <c r="AD349" s="694"/>
      <c r="AE349" s="694"/>
      <c r="AF349" s="694"/>
      <c r="AG349" s="694"/>
      <c r="AH349" s="694"/>
      <c r="AI349" s="694"/>
      <c r="AJ349" s="694"/>
      <c r="AK349" s="694"/>
      <c r="AL349" s="694"/>
    </row>
    <row r="350" spans="1:38" ht="12.75" customHeight="1" x14ac:dyDescent="0.25">
      <c r="A350" s="729"/>
      <c r="B350" s="298"/>
      <c r="C350" s="298"/>
      <c r="D350" s="1208" t="s">
        <v>7</v>
      </c>
      <c r="E350" s="1209" t="str">
        <f>Translations!$B$1322</f>
        <v>Предварителна корекция (ако са надвишени относителните прагове)</v>
      </c>
      <c r="F350" s="1209"/>
      <c r="G350" s="1209"/>
      <c r="H350" s="1222"/>
      <c r="I350" s="1223"/>
      <c r="J350" s="1224" t="str">
        <f>IF(J348="","",IF(V349=FALSE,0%,IF(V350,J349,I356)))</f>
        <v/>
      </c>
      <c r="K350" s="1225" t="str">
        <f>IF(K348="","",IF(W349=FALSE,0%,IF(W350,K349,J356)))</f>
        <v/>
      </c>
      <c r="L350" s="1225" t="str">
        <f>IF(L348="","",IF(X349=FALSE,0%,IF(X350,L349,K356)))</f>
        <v/>
      </c>
      <c r="M350" s="1225" t="str">
        <f>IF(M348="","",IF(Y349=FALSE,0%,IF(Y350,M349,L356)))</f>
        <v/>
      </c>
      <c r="N350" s="1226" t="str">
        <f>IF(N348="","",IF(Z349=FALSE,0%,IF(Z350,N349,M356)))</f>
        <v/>
      </c>
      <c r="O350" s="302"/>
      <c r="P350" s="302"/>
      <c r="Q350" s="729"/>
      <c r="R350" s="694"/>
      <c r="S350" s="694"/>
      <c r="T350" s="694"/>
      <c r="U350" s="1215" t="s">
        <v>1716</v>
      </c>
      <c r="V350" s="727" t="str">
        <f>IF(J348="","",AND(V349,IF(SUM(I356)&lt;0,OR(SUM(J349)&lt;SUM(I356)-MOD(SUM(I356),5%),J349&gt;=SUM(I356)+5%-MOD(SUM(I356),5%)),OR(SUM(J349)&lt;=SUM(I356)-MOD(SUM(I356),5%),SUM(J349)&gt;SUM(I356)+5%-MOD(SUM(I356),5%)))))</f>
        <v/>
      </c>
      <c r="W350" s="727" t="str">
        <f>IF(K348="","",AND(W349,IF(SUM(J356)&lt;0,OR(SUM(K349)&lt;SUM(J356)-MOD(SUM(J356),5%),K349&gt;=SUM(J356)+5%-MOD(SUM(J356),5%)),OR(SUM(K349)&lt;=SUM(J356)-MOD(SUM(J356),5%),SUM(K349)&gt;SUM(J356)+5%-MOD(SUM(J356),5%)))))</f>
        <v/>
      </c>
      <c r="X350" s="727" t="str">
        <f>IF(L348="","",AND(X349,IF(SUM(K356)&lt;0,OR(SUM(L349)&lt;SUM(K356)-MOD(SUM(K356),5%),L349&gt;=SUM(K356)+5%-MOD(SUM(K356),5%)),OR(SUM(L349)&lt;=SUM(K356)-MOD(SUM(K356),5%),SUM(L349)&gt;SUM(K356)+5%-MOD(SUM(K356),5%)))))</f>
        <v/>
      </c>
      <c r="Y350" s="727" t="str">
        <f>IF(M348="","",AND(Y349,IF(SUM(L356)&lt;0,OR(SUM(M349)&lt;SUM(L356)-MOD(SUM(L356),5%),M349&gt;=SUM(L356)+5%-MOD(SUM(L356),5%)),OR(SUM(M349)&lt;=SUM(L356)-MOD(SUM(L356),5%),SUM(M349)&gt;SUM(L356)+5%-MOD(SUM(L356),5%)))))</f>
        <v/>
      </c>
      <c r="Z350" s="1221" t="str">
        <f>IF(N348="","",AND(Z349,IF(SUM(M356)&lt;0,OR(SUM(N349)&lt;SUM(M356)-MOD(SUM(M356),5%),N349&gt;=SUM(M356)+5%-MOD(SUM(M356),5%)),OR(SUM(N349)&lt;=SUM(M356)-MOD(SUM(M356),5%),SUM(N349)&gt;SUM(M356)+5%-MOD(SUM(M356),5%)))))</f>
        <v/>
      </c>
      <c r="AA350" s="694"/>
      <c r="AB350" s="694"/>
      <c r="AC350" s="694"/>
      <c r="AD350" s="694"/>
      <c r="AE350" s="694"/>
      <c r="AF350" s="694"/>
      <c r="AG350" s="694"/>
      <c r="AH350" s="694"/>
      <c r="AI350" s="694"/>
      <c r="AJ350" s="694"/>
      <c r="AK350" s="694"/>
      <c r="AL350" s="729"/>
    </row>
    <row r="351" spans="1:38" ht="12.75" hidden="1" customHeight="1" x14ac:dyDescent="0.25">
      <c r="A351" s="729" t="s">
        <v>312</v>
      </c>
      <c r="B351" s="298"/>
      <c r="C351" s="298"/>
      <c r="D351" s="1208"/>
      <c r="E351" s="1209" t="str">
        <f>Translations!$B$1377</f>
        <v>Предварителна стойност</v>
      </c>
      <c r="F351" s="1209"/>
      <c r="G351" s="1209"/>
      <c r="H351" s="1266" t="str">
        <f>H348</f>
        <v>t CO2</v>
      </c>
      <c r="I351" s="1211" t="str">
        <f>IF($I294="","",IF(AB294=FALSE,EUconst_NA,IF(V294&gt;($J$2831-3),SUM(INDEX(H341:N341,MATCH(V294,H340:N340,0))*EUconst_HeatBMvalue),SUM(I348))))</f>
        <v/>
      </c>
      <c r="J351" s="1212" t="str">
        <f>IF($I294="","",IF(V348&lt;2,SUM(V341),IF(V348&lt;3,SUM(U341),IF(V351="",I351,V351))))</f>
        <v/>
      </c>
      <c r="K351" s="1213" t="str">
        <f>IF($I294="","",IF(W348&lt;2,SUM(W341),IF(W348&lt;3,SUM(V341),IF(W351="",J351,W351))))</f>
        <v/>
      </c>
      <c r="L351" s="1213" t="str">
        <f>IF($I294="","",IF(X348&lt;2,SUM(X341),IF(X348&lt;3,SUM(W341),IF(X351="",K351,X351))))</f>
        <v/>
      </c>
      <c r="M351" s="1213" t="str">
        <f>IF($I294="","",IF(Y348&lt;2,SUM(Y341),IF(Y348&lt;3,SUM(X341),IF(Y351="",L351,Y351))))</f>
        <v/>
      </c>
      <c r="N351" s="1214" t="str">
        <f>IF($I294="","",IF(Z348&lt;2,SUM(Z341),IF(Z348&lt;3,SUM(Y341),IF(Z351="",M351,Z351))))</f>
        <v/>
      </c>
      <c r="O351" s="302"/>
      <c r="P351" s="302"/>
      <c r="Q351" s="1190" t="str">
        <f>EUconst_CNTR_HEATprelim &amp; I294</f>
        <v>HEATprelim_</v>
      </c>
      <c r="R351" s="694"/>
      <c r="S351" s="694"/>
      <c r="T351" s="694"/>
      <c r="U351" s="1231" t="s">
        <v>1756</v>
      </c>
      <c r="V351" s="1271" t="str">
        <f>IF(J348="","",IF(CNTR_ReportingYear&lt;J347,I350,IF($I351=0,J348,$I351*(1+J350))))</f>
        <v/>
      </c>
      <c r="W351" s="1271" t="str">
        <f>IF(K348="","",IF(CNTR_ReportingYear&lt;K347,J350,IF($I351=0,K348,$I351*(1+K350))))</f>
        <v/>
      </c>
      <c r="X351" s="1271" t="str">
        <f>IF(L348="","",IF(CNTR_ReportingYear&lt;L347,K350,IF($I351=0,L348,$I351*(1+L350))))</f>
        <v/>
      </c>
      <c r="Y351" s="1271" t="str">
        <f>IF(M348="","",IF(CNTR_ReportingYear&lt;M347,L350,IF($I351=0,M348,$I351*(1+M350))))</f>
        <v/>
      </c>
      <c r="Z351" s="1272" t="str">
        <f>IF(N348="","",IF(CNTR_ReportingYear&lt;N347,M350,IF($I351=0,N348,$I351*(1+N350))))</f>
        <v/>
      </c>
      <c r="AA351" s="694"/>
      <c r="AB351" s="694"/>
      <c r="AC351" s="694"/>
      <c r="AD351" s="694"/>
      <c r="AE351" s="694"/>
      <c r="AF351" s="694"/>
      <c r="AG351" s="694"/>
      <c r="AH351" s="694"/>
      <c r="AI351" s="694"/>
      <c r="AJ351" s="694"/>
      <c r="AK351" s="694"/>
      <c r="AL351" s="729"/>
    </row>
    <row r="352" spans="1:38" ht="5.15" customHeight="1" x14ac:dyDescent="0.25">
      <c r="A352" s="729"/>
      <c r="B352" s="298"/>
      <c r="C352" s="298"/>
      <c r="D352" s="1208"/>
      <c r="E352" s="1199"/>
      <c r="F352" s="1199"/>
      <c r="G352" s="1199"/>
      <c r="H352" s="1199"/>
      <c r="I352" s="1199"/>
      <c r="J352" s="1229"/>
      <c r="K352" s="1229"/>
      <c r="L352" s="1229"/>
      <c r="M352" s="1229"/>
      <c r="N352" s="1230"/>
      <c r="O352" s="302"/>
      <c r="P352" s="302"/>
      <c r="Q352" s="729"/>
      <c r="R352" s="694"/>
      <c r="S352" s="694"/>
      <c r="T352" s="694"/>
      <c r="U352" s="1231"/>
      <c r="V352" s="729"/>
      <c r="W352" s="694"/>
      <c r="X352" s="694"/>
      <c r="Y352" s="694"/>
      <c r="Z352" s="1232"/>
      <c r="AA352" s="694"/>
      <c r="AB352" s="694"/>
      <c r="AC352" s="694"/>
      <c r="AD352" s="694"/>
      <c r="AE352" s="694"/>
      <c r="AF352" s="694"/>
      <c r="AG352" s="694"/>
      <c r="AH352" s="694"/>
      <c r="AI352" s="694"/>
      <c r="AJ352" s="694"/>
      <c r="AK352" s="694"/>
      <c r="AL352" s="729"/>
    </row>
    <row r="353" spans="1:38" ht="12.75" customHeight="1" x14ac:dyDescent="0.25">
      <c r="A353" s="729"/>
      <c r="B353" s="298"/>
      <c r="C353" s="298"/>
      <c r="D353" s="1208"/>
      <c r="E353" s="1233" t="str">
        <f>Translations!$B$1323</f>
        <v>Действителна корекция (база за следващи години)</v>
      </c>
      <c r="F353" s="1233"/>
      <c r="G353" s="1233"/>
      <c r="H353" s="1233"/>
      <c r="I353" s="1233"/>
      <c r="J353" s="1202">
        <f>J$2831</f>
        <v>2026</v>
      </c>
      <c r="K353" s="1203">
        <f>K$2831</f>
        <v>2027</v>
      </c>
      <c r="L353" s="1203">
        <f>L$2831</f>
        <v>2028</v>
      </c>
      <c r="M353" s="1203">
        <f>M$2831</f>
        <v>2029</v>
      </c>
      <c r="N353" s="1204">
        <f>N$2831</f>
        <v>2030</v>
      </c>
      <c r="O353" s="302"/>
      <c r="P353" s="302"/>
      <c r="Q353" s="729"/>
      <c r="R353" s="694"/>
      <c r="S353" s="694"/>
      <c r="T353" s="694"/>
      <c r="U353" s="1234"/>
      <c r="V353" s="694"/>
      <c r="W353" s="694"/>
      <c r="X353" s="694"/>
      <c r="Y353" s="694"/>
      <c r="Z353" s="1232"/>
      <c r="AA353" s="694"/>
      <c r="AB353" s="694"/>
      <c r="AC353" s="694"/>
      <c r="AD353" s="694"/>
      <c r="AE353" s="694"/>
      <c r="AF353" s="694"/>
      <c r="AG353" s="694"/>
      <c r="AH353" s="694"/>
      <c r="AI353" s="694"/>
      <c r="AJ353" s="694"/>
      <c r="AK353" s="694"/>
      <c r="AL353" s="729"/>
    </row>
    <row r="354" spans="1:38" ht="12.75" customHeight="1" x14ac:dyDescent="0.25">
      <c r="A354" s="729"/>
      <c r="B354" s="298"/>
      <c r="C354" s="298"/>
      <c r="D354" s="1208" t="s">
        <v>8</v>
      </c>
      <c r="E354" s="1209" t="str">
        <f>Translations!$B$1515</f>
        <v>изпълнен ли е критерият за &gt;=300 квоти за емисии?</v>
      </c>
      <c r="F354" s="1209"/>
      <c r="G354" s="1209"/>
      <c r="H354" s="1209"/>
      <c r="I354" s="1209"/>
      <c r="J354" s="1236" t="str">
        <f>IF($I294="","",INDEX(K_Summary!J:J,MATCH($Q354,K_Summary!$P:$P,0)))</f>
        <v/>
      </c>
      <c r="K354" s="385" t="str">
        <f>IF($I294="","",INDEX(K_Summary!K:K,MATCH($Q354,K_Summary!$P:$P,0)))</f>
        <v/>
      </c>
      <c r="L354" s="385" t="str">
        <f>IF($I294="","",INDEX(K_Summary!L:L,MATCH($Q354,K_Summary!$P:$P,0)))</f>
        <v/>
      </c>
      <c r="M354" s="385" t="str">
        <f>IF($I294="","",INDEX(K_Summary!M:M,MATCH($Q354,K_Summary!$P:$P,0)))</f>
        <v/>
      </c>
      <c r="N354" s="1237" t="str">
        <f>IF($I294="","",INDEX(K_Summary!N:N,MATCH($Q354,K_Summary!$P:$P,0)))</f>
        <v/>
      </c>
      <c r="O354" s="302"/>
      <c r="P354" s="302"/>
      <c r="Q354" s="1182" t="str">
        <f>EUconst_CNTR_300EUA&amp;I294</f>
        <v>EUA300_</v>
      </c>
      <c r="R354" s="694"/>
      <c r="S354" s="694"/>
      <c r="T354" s="694"/>
      <c r="U354" s="1234"/>
      <c r="V354" s="694"/>
      <c r="W354" s="694"/>
      <c r="X354" s="694"/>
      <c r="Y354" s="694"/>
      <c r="Z354" s="1232"/>
      <c r="AA354" s="694"/>
      <c r="AB354" s="694"/>
      <c r="AC354" s="694"/>
      <c r="AD354" s="694"/>
      <c r="AE354" s="694"/>
      <c r="AF354" s="694"/>
      <c r="AG354" s="694"/>
      <c r="AH354" s="694"/>
      <c r="AI354" s="694"/>
      <c r="AJ354" s="694"/>
      <c r="AK354" s="694"/>
      <c r="AL354" s="729"/>
    </row>
    <row r="355" spans="1:38" ht="5.15" customHeight="1" thickBot="1" x14ac:dyDescent="0.3">
      <c r="A355" s="729"/>
      <c r="B355" s="298"/>
      <c r="C355" s="298"/>
      <c r="D355" s="1208"/>
      <c r="E355" s="1199"/>
      <c r="F355" s="1199"/>
      <c r="G355" s="1199"/>
      <c r="H355" s="1199"/>
      <c r="I355" s="1199"/>
      <c r="J355" s="1199"/>
      <c r="K355" s="1199"/>
      <c r="L355" s="1199"/>
      <c r="M355" s="1199"/>
      <c r="N355" s="1238"/>
      <c r="O355" s="302"/>
      <c r="P355" s="302"/>
      <c r="Q355" s="729"/>
      <c r="R355" s="694"/>
      <c r="S355" s="694"/>
      <c r="T355" s="694"/>
      <c r="U355" s="1231"/>
      <c r="V355" s="729"/>
      <c r="W355" s="694"/>
      <c r="X355" s="694"/>
      <c r="Y355" s="694"/>
      <c r="Z355" s="1232"/>
      <c r="AA355" s="694"/>
      <c r="AB355" s="694"/>
      <c r="AC355" s="694"/>
      <c r="AD355" s="694"/>
      <c r="AE355" s="694"/>
      <c r="AF355" s="694"/>
      <c r="AG355" s="694"/>
      <c r="AH355" s="694"/>
      <c r="AI355" s="694"/>
      <c r="AJ355" s="694"/>
      <c r="AK355" s="694"/>
      <c r="AL355" s="729"/>
    </row>
    <row r="356" spans="1:38" ht="12.75" customHeight="1" thickBot="1" x14ac:dyDescent="0.3">
      <c r="A356" s="694"/>
      <c r="B356" s="298"/>
      <c r="C356" s="298"/>
      <c r="D356" s="1208" t="s">
        <v>18</v>
      </c>
      <c r="E356" s="1209" t="str">
        <f>Translations!$B$1324</f>
        <v>Действителна корекция (ако са надвишени всички прагове)</v>
      </c>
      <c r="F356" s="1209"/>
      <c r="G356" s="1209"/>
      <c r="H356" s="1222"/>
      <c r="I356" s="1239"/>
      <c r="J356" s="1240" t="str">
        <f>IF(J354="","",IF(OR(J354,V348&lt;1),J350,I356))</f>
        <v/>
      </c>
      <c r="K356" s="1241" t="str">
        <f>IF(K354="","",IF(OR(K354,W348&lt;1),K350,J356))</f>
        <v/>
      </c>
      <c r="L356" s="1241" t="str">
        <f>IF(L354="","",IF(OR(L354,X348&lt;1),L350,K356))</f>
        <v/>
      </c>
      <c r="M356" s="1241" t="str">
        <f>IF(M354="","",IF(OR(M354,Y348&lt;1),M350,L356))</f>
        <v/>
      </c>
      <c r="N356" s="1242" t="str">
        <f>IF(N354="","",IF(OR(N354,Z348&lt;1),N350,M356))</f>
        <v/>
      </c>
      <c r="O356" s="302"/>
      <c r="P356" s="302"/>
      <c r="Q356" s="729"/>
      <c r="R356" s="694"/>
      <c r="S356" s="694"/>
      <c r="T356" s="694"/>
      <c r="U356" s="1231" t="s">
        <v>1718</v>
      </c>
      <c r="V356" s="1243">
        <f>J353</f>
        <v>2026</v>
      </c>
      <c r="W356" s="1243">
        <f>K353</f>
        <v>2027</v>
      </c>
      <c r="X356" s="1243">
        <f>L353</f>
        <v>2028</v>
      </c>
      <c r="Y356" s="1243">
        <f>M353</f>
        <v>2029</v>
      </c>
      <c r="Z356" s="1244">
        <f>N353</f>
        <v>2030</v>
      </c>
      <c r="AA356" s="694"/>
      <c r="AB356" s="694"/>
      <c r="AC356" s="694"/>
      <c r="AD356" s="694"/>
      <c r="AE356" s="694"/>
      <c r="AF356" s="694"/>
      <c r="AG356" s="694"/>
      <c r="AH356" s="694"/>
      <c r="AI356" s="694"/>
      <c r="AJ356" s="694"/>
      <c r="AK356" s="694"/>
      <c r="AL356" s="729"/>
    </row>
    <row r="357" spans="1:38" ht="12.75" customHeight="1" thickBot="1" x14ac:dyDescent="0.3">
      <c r="A357" s="729"/>
      <c r="B357" s="298"/>
      <c r="C357" s="298"/>
      <c r="D357" s="1208" t="s">
        <v>810</v>
      </c>
      <c r="E357" s="1209" t="str">
        <f>Translations!$B$1325</f>
        <v>Действителна стойност</v>
      </c>
      <c r="F357" s="1209"/>
      <c r="G357" s="1209"/>
      <c r="H357" s="1266" t="str">
        <f>H348</f>
        <v>t CO2</v>
      </c>
      <c r="I357" s="1211" t="str">
        <f>I351</f>
        <v/>
      </c>
      <c r="J357" s="632" t="str">
        <f>IF($I294="","",IF(OR($I357=0,$I357=EUconst_NA,J356=""),IF(OR(J354=TRUE,J353&lt;=$V294),J351,SUM(I357)),$I357*(1+SUM(J356))))</f>
        <v/>
      </c>
      <c r="K357" s="633" t="str">
        <f>IF($I294="","",IF(OR($I357=0,$I357=EUconst_NA,K356=""),IF(OR(K354=TRUE,K353&lt;=$V294),K351,SUM(J357)),$I357*(1+SUM(K356))))</f>
        <v/>
      </c>
      <c r="L357" s="633" t="str">
        <f>IF($I294="","",IF(OR($I357=0,$I357=EUconst_NA,L356=""),IF(OR(L354=TRUE,L353&lt;=$V294),L351,SUM(K357)),$I357*(1+SUM(L356))))</f>
        <v/>
      </c>
      <c r="M357" s="633" t="str">
        <f>IF($I294="","",IF(OR($I357=0,$I357=EUconst_NA,M356=""),IF(OR(M354=TRUE,M353&lt;=$V294),M351,SUM(L357)),$I357*(1+SUM(M356))))</f>
        <v/>
      </c>
      <c r="N357" s="634" t="str">
        <f>IF($I294="","",IF(OR($I357=0,$I357=EUconst_NA,N356=""),IF(OR(N354=TRUE,N353&lt;=$V294),N351,SUM(M357)),$I357*(1+SUM(N356))))</f>
        <v/>
      </c>
      <c r="O357" s="302"/>
      <c r="P357" s="302"/>
      <c r="Q357" s="1190" t="str">
        <f>EUconst_CNTR_HEATfinal &amp; I294</f>
        <v>HEATfinal_</v>
      </c>
      <c r="R357" s="694"/>
      <c r="S357" s="694"/>
      <c r="T357" s="694"/>
      <c r="U357" s="1245" t="b">
        <v>0</v>
      </c>
      <c r="V357" s="1246" t="str">
        <f>IF(V302,IF(J354=TRUE,V349,U357),"")</f>
        <v/>
      </c>
      <c r="W357" s="1246" t="str">
        <f>IF(W302,IF(K354=TRUE,W349,V357),"")</f>
        <v/>
      </c>
      <c r="X357" s="1246" t="str">
        <f>IF(X302,IF(L354=TRUE,X349,W357),"")</f>
        <v/>
      </c>
      <c r="Y357" s="1246" t="str">
        <f>IF(Y302,IF(M354=TRUE,Y349,X357),"")</f>
        <v/>
      </c>
      <c r="Z357" s="1247" t="str">
        <f>IF(Z302,IF(N354=TRUE,Z349,Y357),"")</f>
        <v/>
      </c>
      <c r="AA357" s="694"/>
      <c r="AB357" s="694"/>
      <c r="AC357" s="694"/>
      <c r="AD357" s="694"/>
      <c r="AE357" s="694"/>
      <c r="AF357" s="694"/>
      <c r="AG357" s="694"/>
      <c r="AH357" s="694"/>
      <c r="AI357" s="694"/>
      <c r="AJ357" s="1174" t="s">
        <v>2033</v>
      </c>
      <c r="AK357" s="982" t="str">
        <f>IF(OR(ISERROR(J357),ISERROR(K357),ISERROR(L357),ISERROR(M357),ISERROR(N357)),EUconst_Error &amp; "BM" &amp; Q294,"")</f>
        <v/>
      </c>
      <c r="AL357" s="694"/>
    </row>
    <row r="358" spans="1:38" ht="5.15" customHeight="1" thickBot="1" x14ac:dyDescent="0.3">
      <c r="A358" s="694"/>
      <c r="B358" s="698"/>
      <c r="C358" s="698"/>
      <c r="D358" s="1273"/>
      <c r="E358" s="1274"/>
      <c r="F358" s="1274"/>
      <c r="G358" s="1274"/>
      <c r="H358" s="1274"/>
      <c r="I358" s="1275"/>
      <c r="J358" s="1274"/>
      <c r="K358" s="1274"/>
      <c r="L358" s="1274"/>
      <c r="M358" s="1274"/>
      <c r="N358" s="1276"/>
      <c r="O358" s="302"/>
      <c r="P358" s="302"/>
      <c r="Q358" s="1263"/>
      <c r="R358" s="694"/>
      <c r="S358" s="729"/>
      <c r="T358" s="729"/>
      <c r="U358" s="694"/>
      <c r="V358" s="694"/>
      <c r="W358" s="694"/>
      <c r="X358" s="694"/>
      <c r="Y358" s="694"/>
      <c r="Z358" s="694"/>
      <c r="AA358" s="694"/>
      <c r="AB358" s="694"/>
      <c r="AC358" s="694"/>
      <c r="AD358" s="694"/>
      <c r="AE358" s="694"/>
      <c r="AF358" s="694"/>
      <c r="AG358" s="694"/>
      <c r="AH358" s="694"/>
      <c r="AI358" s="694"/>
      <c r="AJ358" s="694"/>
      <c r="AK358" s="694"/>
      <c r="AL358" s="694"/>
    </row>
    <row r="359" spans="1:38" ht="5.15" customHeight="1" x14ac:dyDescent="0.25">
      <c r="A359" s="694"/>
      <c r="B359" s="698"/>
      <c r="C359" s="698"/>
      <c r="D359" s="698"/>
      <c r="E359" s="698"/>
      <c r="F359" s="698"/>
      <c r="G359" s="698"/>
      <c r="H359" s="698"/>
      <c r="I359" s="1025"/>
      <c r="J359" s="698"/>
      <c r="K359" s="698"/>
      <c r="L359" s="698"/>
      <c r="M359" s="698"/>
      <c r="N359" s="698"/>
      <c r="O359" s="302"/>
      <c r="P359" s="302"/>
      <c r="Q359" s="1263"/>
      <c r="R359" s="694"/>
      <c r="S359" s="729"/>
      <c r="T359" s="729"/>
      <c r="U359" s="694"/>
      <c r="V359" s="694"/>
      <c r="W359" s="694"/>
      <c r="X359" s="694"/>
      <c r="Y359" s="694"/>
      <c r="Z359" s="694"/>
      <c r="AA359" s="694"/>
      <c r="AB359" s="694"/>
      <c r="AC359" s="694"/>
      <c r="AD359" s="694"/>
      <c r="AE359" s="694"/>
      <c r="AF359" s="694"/>
      <c r="AG359" s="694"/>
      <c r="AH359" s="694"/>
      <c r="AI359" s="694"/>
      <c r="AJ359" s="694"/>
      <c r="AK359" s="694"/>
      <c r="AL359" s="694"/>
    </row>
    <row r="360" spans="1:38" ht="14" x14ac:dyDescent="0.25">
      <c r="A360" s="694"/>
      <c r="B360" s="698"/>
      <c r="C360" s="358"/>
      <c r="D360" s="2323" t="str">
        <f>Translations!$B$495</f>
        <v>Данни за производството</v>
      </c>
      <c r="E360" s="2249"/>
      <c r="F360" s="2249"/>
      <c r="G360" s="2249"/>
      <c r="H360" s="2249"/>
      <c r="I360" s="2249"/>
      <c r="J360" s="2249"/>
      <c r="K360" s="2249"/>
      <c r="L360" s="2249"/>
      <c r="M360" s="2249"/>
      <c r="N360" s="2249"/>
      <c r="O360" s="302"/>
      <c r="P360" s="302"/>
      <c r="Q360" s="694"/>
      <c r="R360" s="694"/>
      <c r="S360" s="729"/>
      <c r="T360" s="729"/>
      <c r="U360" s="694"/>
      <c r="V360" s="694"/>
      <c r="W360" s="694"/>
      <c r="X360" s="694"/>
      <c r="Y360" s="694"/>
      <c r="Z360" s="694"/>
      <c r="AA360" s="694"/>
      <c r="AB360" s="694"/>
      <c r="AC360" s="694"/>
      <c r="AD360" s="694"/>
      <c r="AE360" s="694"/>
      <c r="AF360" s="694"/>
      <c r="AG360" s="694"/>
      <c r="AH360" s="694"/>
      <c r="AI360" s="694"/>
      <c r="AJ360" s="694"/>
      <c r="AK360" s="694"/>
      <c r="AL360" s="694"/>
    </row>
    <row r="361" spans="1:38" ht="5.15" customHeight="1" x14ac:dyDescent="0.25">
      <c r="A361" s="694"/>
      <c r="B361" s="298"/>
      <c r="C361" s="298"/>
      <c r="D361" s="298"/>
      <c r="E361" s="298"/>
      <c r="F361" s="298"/>
      <c r="G361" s="298"/>
      <c r="H361" s="298"/>
      <c r="I361" s="298"/>
      <c r="J361" s="298"/>
      <c r="K361" s="298"/>
      <c r="L361" s="298"/>
      <c r="M361" s="298"/>
      <c r="N361" s="298"/>
      <c r="O361" s="302"/>
      <c r="P361" s="302"/>
      <c r="Q361" s="729"/>
      <c r="R361" s="729"/>
      <c r="S361" s="729"/>
      <c r="T361" s="729"/>
      <c r="U361" s="694"/>
      <c r="V361" s="694"/>
      <c r="W361" s="694"/>
      <c r="X361" s="694"/>
      <c r="Y361" s="694"/>
      <c r="Z361" s="694"/>
      <c r="AA361" s="694"/>
      <c r="AB361" s="694"/>
      <c r="AC361" s="694"/>
      <c r="AD361" s="694"/>
      <c r="AE361" s="694"/>
      <c r="AF361" s="694"/>
      <c r="AG361" s="694"/>
      <c r="AH361" s="694"/>
      <c r="AI361" s="694"/>
      <c r="AJ361" s="694"/>
      <c r="AK361" s="694"/>
      <c r="AL361" s="694"/>
    </row>
    <row r="362" spans="1:38" ht="13" x14ac:dyDescent="0.25">
      <c r="A362" s="694"/>
      <c r="B362" s="298"/>
      <c r="C362" s="300"/>
      <c r="D362" s="300" t="s">
        <v>54</v>
      </c>
      <c r="E362" s="2226" t="str">
        <f>Translations!$B$496</f>
        <v>Идентификация на продуктите, включени в тази подинсталация с продуктов показател</v>
      </c>
      <c r="F362" s="2249"/>
      <c r="G362" s="2249"/>
      <c r="H362" s="2249"/>
      <c r="I362" s="2249"/>
      <c r="J362" s="2249"/>
      <c r="K362" s="2249"/>
      <c r="L362" s="2249"/>
      <c r="M362" s="2249"/>
      <c r="N362" s="2249"/>
      <c r="O362" s="302"/>
      <c r="P362" s="302"/>
      <c r="Q362" s="729"/>
      <c r="R362" s="694"/>
      <c r="S362" s="729"/>
      <c r="T362" s="729"/>
      <c r="U362" s="694"/>
      <c r="V362" s="694"/>
      <c r="W362" s="694"/>
      <c r="X362" s="694"/>
      <c r="Y362" s="694"/>
      <c r="Z362" s="694"/>
      <c r="AA362" s="694"/>
      <c r="AB362" s="694"/>
      <c r="AC362" s="694"/>
      <c r="AD362" s="694"/>
      <c r="AE362" s="694"/>
      <c r="AF362" s="694"/>
      <c r="AG362" s="694"/>
      <c r="AH362" s="694"/>
      <c r="AI362" s="694"/>
      <c r="AJ362" s="694"/>
      <c r="AK362" s="694"/>
      <c r="AL362" s="694"/>
    </row>
    <row r="363" spans="1:38" ht="5.15" customHeight="1" x14ac:dyDescent="0.25">
      <c r="A363" s="694"/>
      <c r="B363" s="298"/>
      <c r="C363" s="302"/>
      <c r="D363" s="302"/>
      <c r="E363" s="2358" t="str">
        <f>Translations!$B$1518</f>
        <v xml:space="preserve"> </v>
      </c>
      <c r="F363" s="2249"/>
      <c r="G363" s="2249"/>
      <c r="H363" s="2249"/>
      <c r="I363" s="2249"/>
      <c r="J363" s="2249"/>
      <c r="K363" s="2249"/>
      <c r="L363" s="2249"/>
      <c r="M363" s="2249"/>
      <c r="N363" s="2249"/>
      <c r="O363" s="302"/>
      <c r="P363" s="302"/>
      <c r="Q363" s="729"/>
      <c r="R363" s="694"/>
      <c r="S363" s="729"/>
      <c r="T363" s="729"/>
      <c r="U363" s="694"/>
      <c r="V363" s="694"/>
      <c r="W363" s="694"/>
      <c r="X363" s="694"/>
      <c r="Y363" s="694"/>
      <c r="Z363" s="694"/>
      <c r="AA363" s="694"/>
      <c r="AB363" s="694"/>
      <c r="AC363" s="694"/>
      <c r="AD363" s="694"/>
      <c r="AE363" s="694"/>
      <c r="AF363" s="694"/>
      <c r="AG363" s="694"/>
      <c r="AH363" s="694"/>
      <c r="AI363" s="694"/>
      <c r="AJ363" s="694"/>
      <c r="AK363" s="694"/>
      <c r="AL363" s="694"/>
    </row>
    <row r="364" spans="1:38" ht="25.5" customHeight="1" x14ac:dyDescent="0.25">
      <c r="A364" s="694"/>
      <c r="B364" s="298"/>
      <c r="C364" s="302"/>
      <c r="D364" s="302"/>
      <c r="E364" s="2358" t="str">
        <f>Translations!$B$497</f>
        <v>Кодовете по Продком се въвеждат като низове във вида „nnnnnnnn“, т.е. без точки или други разделителни знаци между тях. Само когато липсва код по Продком, се посочва 4-цифрения код по статистическата класификация на икономическите дейности в Европейския съюз (NACE) във вида „nnnn“.</v>
      </c>
      <c r="F364" s="2249"/>
      <c r="G364" s="2249"/>
      <c r="H364" s="2249"/>
      <c r="I364" s="2249"/>
      <c r="J364" s="2249"/>
      <c r="K364" s="2249"/>
      <c r="L364" s="2249"/>
      <c r="M364" s="2249"/>
      <c r="N364" s="2249"/>
      <c r="O364" s="302"/>
      <c r="P364" s="302"/>
      <c r="Q364" s="729"/>
      <c r="R364" s="694"/>
      <c r="S364" s="729"/>
      <c r="T364" s="729"/>
      <c r="U364" s="694"/>
      <c r="V364" s="694"/>
      <c r="W364" s="694"/>
      <c r="X364" s="694"/>
      <c r="Y364" s="694"/>
      <c r="Z364" s="694"/>
      <c r="AA364" s="694"/>
      <c r="AB364" s="694"/>
      <c r="AC364" s="694"/>
      <c r="AD364" s="694"/>
      <c r="AE364" s="694"/>
      <c r="AF364" s="694"/>
      <c r="AG364" s="694"/>
      <c r="AH364" s="694"/>
      <c r="AI364" s="694"/>
      <c r="AJ364" s="694"/>
      <c r="AK364" s="694"/>
      <c r="AL364" s="694"/>
    </row>
    <row r="365" spans="1:38" x14ac:dyDescent="0.25">
      <c r="A365" s="694"/>
      <c r="B365" s="298"/>
      <c r="C365" s="302"/>
      <c r="D365" s="302"/>
      <c r="E365" s="2358" t="str">
        <f>Translations!$B$498</f>
        <v>Продком списъкът за 2010 г. може да се намери на адрес: http://ec.europa.eu/eurostat/ramon/nomenclatures/index.cfm?TargetUrl=LST_CLS_DLD&amp;StrNom=PRD_2010&amp;StrLanguageCode=EN&amp;StrLayoutCode=HIERARCHIChttp://ec.europa.eu/eurostat/ramon/nomenclatures/index.cfm?TargetUrl=LST_CLS_DLD&amp;StrNom=PRD_2010&amp;StrLanguageCode=EN&amp;StrLayoutCode=HIERARCHIC</v>
      </c>
      <c r="F365" s="2249"/>
      <c r="G365" s="2249"/>
      <c r="H365" s="2249"/>
      <c r="I365" s="2249"/>
      <c r="J365" s="2249"/>
      <c r="K365" s="2249"/>
      <c r="L365" s="2249"/>
      <c r="M365" s="2249"/>
      <c r="N365" s="2249"/>
      <c r="O365" s="302"/>
      <c r="P365" s="302"/>
      <c r="Q365" s="729"/>
      <c r="R365" s="694"/>
      <c r="S365" s="729"/>
      <c r="T365" s="729"/>
      <c r="U365" s="694"/>
      <c r="V365" s="694"/>
      <c r="W365" s="694"/>
      <c r="X365" s="694"/>
      <c r="Y365" s="694"/>
      <c r="Z365" s="694"/>
      <c r="AA365" s="694"/>
      <c r="AB365" s="694"/>
      <c r="AC365" s="694"/>
      <c r="AD365" s="694"/>
      <c r="AE365" s="694"/>
      <c r="AF365" s="694"/>
      <c r="AG365" s="694"/>
      <c r="AH365" s="694"/>
      <c r="AI365" s="694"/>
      <c r="AJ365" s="694"/>
      <c r="AK365" s="694"/>
      <c r="AL365" s="694"/>
    </row>
    <row r="366" spans="1:38" x14ac:dyDescent="0.25">
      <c r="A366" s="694"/>
      <c r="B366" s="298"/>
      <c r="C366" s="302"/>
      <c r="D366" s="302"/>
      <c r="E366" s="2855" t="str">
        <f>Translations!$B$1519</f>
        <v>https://eur-lex.europa.eu/eli/reg/2010/860/oj/bul</v>
      </c>
      <c r="F366" s="2856"/>
      <c r="G366" s="2856"/>
      <c r="H366" s="2856"/>
      <c r="I366" s="2856"/>
      <c r="J366" s="2856"/>
      <c r="K366" s="2856"/>
      <c r="L366" s="2856"/>
      <c r="M366" s="2856"/>
      <c r="N366" s="2856"/>
      <c r="O366" s="302"/>
      <c r="P366" s="302"/>
      <c r="Q366" s="729"/>
      <c r="R366" s="694"/>
      <c r="S366" s="729"/>
      <c r="T366" s="729"/>
      <c r="U366" s="694"/>
      <c r="V366" s="694"/>
      <c r="W366" s="694"/>
      <c r="X366" s="694"/>
      <c r="Y366" s="694"/>
      <c r="Z366" s="694"/>
      <c r="AA366" s="694"/>
      <c r="AB366" s="694"/>
      <c r="AC366" s="694"/>
      <c r="AD366" s="694"/>
      <c r="AE366" s="694"/>
      <c r="AF366" s="694"/>
      <c r="AG366" s="694"/>
      <c r="AH366" s="694"/>
      <c r="AI366" s="694"/>
      <c r="AJ366" s="694"/>
      <c r="AK366" s="694"/>
      <c r="AL366" s="694"/>
    </row>
    <row r="367" spans="1:38" x14ac:dyDescent="0.25">
      <c r="A367" s="694"/>
      <c r="B367" s="298"/>
      <c r="C367" s="302"/>
      <c r="D367" s="302"/>
      <c r="E367" s="2358" t="str">
        <f>Translations!$B$1520</f>
        <v>Кодовете по КН са кодовете съгласно Регламент (ЕИО) № 2658/87, които са на разположение на следния адрес:</v>
      </c>
      <c r="F367" s="2249"/>
      <c r="G367" s="2249"/>
      <c r="H367" s="2249"/>
      <c r="I367" s="2249"/>
      <c r="J367" s="2249"/>
      <c r="K367" s="2249"/>
      <c r="L367" s="2249"/>
      <c r="M367" s="2249"/>
      <c r="N367" s="2249"/>
      <c r="O367" s="302"/>
      <c r="P367" s="302"/>
      <c r="Q367" s="729"/>
      <c r="R367" s="694"/>
      <c r="S367" s="729"/>
      <c r="T367" s="729"/>
      <c r="U367" s="694"/>
      <c r="V367" s="694"/>
      <c r="W367" s="694"/>
      <c r="X367" s="694"/>
      <c r="Y367" s="694"/>
      <c r="Z367" s="694"/>
      <c r="AA367" s="694"/>
      <c r="AB367" s="694"/>
      <c r="AC367" s="694"/>
      <c r="AD367" s="694"/>
      <c r="AE367" s="694"/>
      <c r="AF367" s="694"/>
      <c r="AG367" s="694"/>
      <c r="AH367" s="694"/>
      <c r="AI367" s="694"/>
      <c r="AJ367" s="694"/>
      <c r="AK367" s="694"/>
      <c r="AL367" s="694"/>
    </row>
    <row r="368" spans="1:38" x14ac:dyDescent="0.25">
      <c r="A368" s="694"/>
      <c r="B368" s="298"/>
      <c r="C368" s="302"/>
      <c r="D368" s="302"/>
      <c r="E368" s="2855" t="str">
        <f>Translations!$B$1521</f>
        <v>https://eur-lex.europa.eu/eli/reg/1987/2658/2023-06-17</v>
      </c>
      <c r="F368" s="2856"/>
      <c r="G368" s="2856"/>
      <c r="H368" s="2856"/>
      <c r="I368" s="2856"/>
      <c r="J368" s="2856"/>
      <c r="K368" s="2856"/>
      <c r="L368" s="2856"/>
      <c r="M368" s="2856"/>
      <c r="N368" s="2856"/>
      <c r="O368" s="302"/>
      <c r="P368" s="302"/>
      <c r="Q368" s="729"/>
      <c r="R368" s="694"/>
      <c r="S368" s="729"/>
      <c r="T368" s="729"/>
      <c r="U368" s="694"/>
      <c r="V368" s="694"/>
      <c r="W368" s="694"/>
      <c r="X368" s="694"/>
      <c r="Y368" s="694"/>
      <c r="Z368" s="694"/>
      <c r="AA368" s="694"/>
      <c r="AB368" s="694"/>
      <c r="AC368" s="694"/>
      <c r="AD368" s="694"/>
      <c r="AE368" s="694"/>
      <c r="AF368" s="694"/>
      <c r="AG368" s="694"/>
      <c r="AH368" s="694"/>
      <c r="AI368" s="694"/>
      <c r="AJ368" s="694"/>
      <c r="AK368" s="694"/>
      <c r="AL368" s="694"/>
    </row>
    <row r="369" spans="1:38" ht="5.15" customHeight="1" x14ac:dyDescent="0.25">
      <c r="A369" s="694"/>
      <c r="B369" s="298"/>
      <c r="C369" s="298"/>
      <c r="D369" s="298"/>
      <c r="E369" s="298"/>
      <c r="F369" s="298"/>
      <c r="G369" s="298"/>
      <c r="H369" s="298"/>
      <c r="I369" s="298"/>
      <c r="J369" s="298"/>
      <c r="K369" s="298"/>
      <c r="L369" s="298"/>
      <c r="M369" s="298"/>
      <c r="N369" s="298"/>
      <c r="O369" s="302"/>
      <c r="P369" s="302"/>
      <c r="Q369" s="729"/>
      <c r="R369" s="729"/>
      <c r="S369" s="729"/>
      <c r="T369" s="729"/>
      <c r="U369" s="694"/>
      <c r="V369" s="694"/>
      <c r="W369" s="694"/>
      <c r="X369" s="694"/>
      <c r="Y369" s="694"/>
      <c r="Z369" s="694"/>
      <c r="AA369" s="694"/>
      <c r="AB369" s="694"/>
      <c r="AC369" s="694"/>
      <c r="AD369" s="694"/>
      <c r="AE369" s="694"/>
      <c r="AF369" s="694"/>
      <c r="AG369" s="694"/>
      <c r="AH369" s="694"/>
      <c r="AI369" s="694"/>
      <c r="AJ369" s="694"/>
      <c r="AK369" s="694"/>
      <c r="AL369" s="694"/>
    </row>
    <row r="370" spans="1:38" ht="13" x14ac:dyDescent="0.25">
      <c r="A370" s="694"/>
      <c r="B370" s="298"/>
      <c r="C370" s="300"/>
      <c r="D370" s="300" t="s">
        <v>55</v>
      </c>
      <c r="E370" s="2226" t="str">
        <f>Translations!$B$499</f>
        <v>Индивидуални равнища на производство за продуктите, включени в тази подинсталация с продуктов показател</v>
      </c>
      <c r="F370" s="2249"/>
      <c r="G370" s="2249"/>
      <c r="H370" s="2249"/>
      <c r="I370" s="2249"/>
      <c r="J370" s="2249"/>
      <c r="K370" s="2249"/>
      <c r="L370" s="2249"/>
      <c r="M370" s="2249"/>
      <c r="N370" s="2249"/>
      <c r="O370" s="302"/>
      <c r="P370" s="302"/>
      <c r="Q370" s="729"/>
      <c r="R370" s="694"/>
      <c r="S370" s="729"/>
      <c r="T370" s="729"/>
      <c r="U370" s="694"/>
      <c r="V370" s="694"/>
      <c r="W370" s="694"/>
      <c r="X370" s="694"/>
      <c r="Y370" s="694"/>
      <c r="Z370" s="694"/>
      <c r="AA370" s="694"/>
      <c r="AB370" s="694"/>
      <c r="AC370" s="694"/>
      <c r="AD370" s="694"/>
      <c r="AE370" s="694"/>
      <c r="AF370" s="694"/>
      <c r="AG370" s="694"/>
      <c r="AH370" s="694"/>
      <c r="AI370" s="694"/>
      <c r="AJ370" s="694"/>
      <c r="AK370" s="694"/>
      <c r="AL370" s="694"/>
    </row>
    <row r="371" spans="1:38" ht="5.15" customHeight="1" x14ac:dyDescent="0.25">
      <c r="A371" s="694"/>
      <c r="B371" s="298"/>
      <c r="C371" s="298"/>
      <c r="D371" s="302"/>
      <c r="E371" s="460"/>
      <c r="F371" s="460"/>
      <c r="G371" s="460"/>
      <c r="H371" s="460"/>
      <c r="I371" s="460"/>
      <c r="J371" s="329"/>
      <c r="K371" s="329"/>
      <c r="L371" s="329"/>
      <c r="M371" s="302"/>
      <c r="N371" s="302"/>
      <c r="O371" s="302"/>
      <c r="P371" s="302"/>
      <c r="Q371" s="729"/>
      <c r="R371" s="694"/>
      <c r="S371" s="729"/>
      <c r="T371" s="729"/>
      <c r="U371" s="694"/>
      <c r="V371" s="694"/>
      <c r="W371" s="694"/>
      <c r="X371" s="694"/>
      <c r="Y371" s="694"/>
      <c r="Z371" s="694"/>
      <c r="AA371" s="694"/>
      <c r="AB371" s="694"/>
      <c r="AC371" s="694"/>
      <c r="AD371" s="694"/>
      <c r="AE371" s="694"/>
      <c r="AF371" s="694"/>
      <c r="AG371" s="694"/>
      <c r="AH371" s="694"/>
      <c r="AI371" s="694"/>
      <c r="AJ371" s="694"/>
      <c r="AK371" s="694"/>
      <c r="AL371" s="694"/>
    </row>
    <row r="372" spans="1:38" ht="25.5" customHeight="1" thickBot="1" x14ac:dyDescent="0.3">
      <c r="A372" s="694"/>
      <c r="B372" s="698"/>
      <c r="C372" s="698"/>
      <c r="D372" s="1014"/>
      <c r="E372" s="1277" t="str">
        <f>Translations!$B$1522</f>
        <v>ПРОДКОМ за 2010 г.</v>
      </c>
      <c r="F372" s="1278" t="str">
        <f>Translations!$B$500</f>
        <v>Име на продукта или групата продукти</v>
      </c>
      <c r="G372" s="672" t="str">
        <f>EUconst_Unit</f>
        <v>Единица мярка</v>
      </c>
      <c r="H372" s="391">
        <f t="shared" ref="H372:N372" si="211">H$2831</f>
        <v>2024</v>
      </c>
      <c r="I372" s="572">
        <f t="shared" si="211"/>
        <v>2025</v>
      </c>
      <c r="J372" s="757">
        <f t="shared" si="211"/>
        <v>2026</v>
      </c>
      <c r="K372" s="391">
        <f t="shared" si="211"/>
        <v>2027</v>
      </c>
      <c r="L372" s="391">
        <f t="shared" si="211"/>
        <v>2028</v>
      </c>
      <c r="M372" s="391">
        <f t="shared" si="211"/>
        <v>2029</v>
      </c>
      <c r="N372" s="391">
        <f t="shared" si="211"/>
        <v>2030</v>
      </c>
      <c r="O372" s="1277" t="str">
        <f>Translations!$B$1523</f>
        <v>Код по КН</v>
      </c>
      <c r="P372" s="1278"/>
      <c r="Q372" s="694"/>
      <c r="R372" s="694"/>
      <c r="S372" s="729"/>
      <c r="T372" s="729"/>
      <c r="U372" s="694"/>
      <c r="V372" s="694"/>
      <c r="W372" s="694"/>
      <c r="X372" s="694"/>
      <c r="Y372" s="694"/>
      <c r="Z372" s="1279" t="s">
        <v>737</v>
      </c>
      <c r="AA372" s="694"/>
      <c r="AB372" s="694"/>
      <c r="AC372" s="1178">
        <f t="shared" ref="AC372" si="212">H$20</f>
        <v>2024</v>
      </c>
      <c r="AD372" s="1178">
        <f t="shared" ref="AD372" si="213">I$20</f>
        <v>2025</v>
      </c>
      <c r="AE372" s="1178">
        <f t="shared" ref="AE372" si="214">J$20</f>
        <v>2026</v>
      </c>
      <c r="AF372" s="1178">
        <f t="shared" ref="AF372" si="215">K$20</f>
        <v>2027</v>
      </c>
      <c r="AG372" s="1178">
        <f t="shared" ref="AG372" si="216">L$20</f>
        <v>2028</v>
      </c>
      <c r="AH372" s="1178">
        <f t="shared" ref="AH372" si="217">M$20</f>
        <v>2029</v>
      </c>
      <c r="AI372" s="1178">
        <f t="shared" ref="AI372" si="218">N$20</f>
        <v>2030</v>
      </c>
      <c r="AJ372" s="694"/>
      <c r="AK372" s="694"/>
      <c r="AL372" s="694"/>
    </row>
    <row r="373" spans="1:38" x14ac:dyDescent="0.25">
      <c r="A373" s="694"/>
      <c r="B373" s="698"/>
      <c r="C373" s="698"/>
      <c r="D373" s="981">
        <v>1</v>
      </c>
      <c r="E373" s="221"/>
      <c r="F373" s="109"/>
      <c r="G373" s="57"/>
      <c r="H373" s="40"/>
      <c r="I373" s="46"/>
      <c r="J373" s="116"/>
      <c r="K373" s="40"/>
      <c r="L373" s="40"/>
      <c r="M373" s="40"/>
      <c r="N373" s="40"/>
      <c r="O373" s="221"/>
      <c r="P373" s="158"/>
      <c r="Q373" s="694"/>
      <c r="R373" s="694"/>
      <c r="S373" s="729"/>
      <c r="T373" s="729"/>
      <c r="U373" s="694"/>
      <c r="V373" s="694"/>
      <c r="W373" s="694"/>
      <c r="X373" s="694"/>
      <c r="Y373" s="694"/>
      <c r="Z373" s="1280" t="b">
        <f t="shared" ref="Z373:Z382" si="219">AA373</f>
        <v>0</v>
      </c>
      <c r="AA373" s="1281" t="b">
        <f t="shared" ref="AA373:AA382" si="220">AB373</f>
        <v>0</v>
      </c>
      <c r="AB373" s="1282" t="b">
        <f>AND(AC373:AI373)</f>
        <v>0</v>
      </c>
      <c r="AC373" s="1283" t="b">
        <f t="shared" ref="AC373:AD373" si="221">AC341</f>
        <v>0</v>
      </c>
      <c r="AD373" s="1284" t="b">
        <f t="shared" si="221"/>
        <v>0</v>
      </c>
      <c r="AE373" s="1284" t="b">
        <f>AE341</f>
        <v>0</v>
      </c>
      <c r="AF373" s="1284" t="b">
        <f t="shared" ref="AF373" si="222">AF341</f>
        <v>0</v>
      </c>
      <c r="AG373" s="1284" t="b">
        <f>AG341</f>
        <v>0</v>
      </c>
      <c r="AH373" s="1284" t="b">
        <f t="shared" ref="AH373:AI373" si="223">AH341</f>
        <v>0</v>
      </c>
      <c r="AI373" s="1285" t="b">
        <f t="shared" si="223"/>
        <v>0</v>
      </c>
      <c r="AJ373" s="1174" t="s">
        <v>2039</v>
      </c>
      <c r="AK373" s="1176" t="str">
        <f>IF(AND(CNTR_ExistSubInstEntries,COUNTIFS(AC373:AI373,FALSE,H373:N373,"")&gt;0),EUconst_Error&amp;"BM"&amp;$Q294,"")</f>
        <v/>
      </c>
      <c r="AL373" s="694"/>
    </row>
    <row r="374" spans="1:38" x14ac:dyDescent="0.25">
      <c r="A374" s="694"/>
      <c r="B374" s="698"/>
      <c r="C374" s="698"/>
      <c r="D374" s="990">
        <f>D373+1</f>
        <v>2</v>
      </c>
      <c r="E374" s="222"/>
      <c r="F374" s="110"/>
      <c r="G374" s="44"/>
      <c r="H374" s="43"/>
      <c r="I374" s="47"/>
      <c r="J374" s="119"/>
      <c r="K374" s="43"/>
      <c r="L374" s="43"/>
      <c r="M374" s="43"/>
      <c r="N374" s="43"/>
      <c r="O374" s="222"/>
      <c r="P374" s="158"/>
      <c r="Q374" s="694"/>
      <c r="R374" s="694"/>
      <c r="S374" s="729"/>
      <c r="T374" s="729"/>
      <c r="U374" s="694"/>
      <c r="V374" s="694"/>
      <c r="W374" s="694"/>
      <c r="X374" s="694"/>
      <c r="Y374" s="694"/>
      <c r="Z374" s="1286" t="b">
        <f t="shared" si="219"/>
        <v>0</v>
      </c>
      <c r="AA374" s="982" t="b">
        <f t="shared" si="220"/>
        <v>0</v>
      </c>
      <c r="AB374" s="1287" t="b">
        <f t="shared" ref="AB374:AB382" si="224">AND(AC374:AI374)</f>
        <v>0</v>
      </c>
      <c r="AC374" s="1288" t="b">
        <f>AC373</f>
        <v>0</v>
      </c>
      <c r="AD374" s="982" t="b">
        <f t="shared" ref="AD374:AI382" si="225">AD373</f>
        <v>0</v>
      </c>
      <c r="AE374" s="982" t="b">
        <f t="shared" si="225"/>
        <v>0</v>
      </c>
      <c r="AF374" s="982" t="b">
        <f t="shared" si="225"/>
        <v>0</v>
      </c>
      <c r="AG374" s="982" t="b">
        <f t="shared" si="225"/>
        <v>0</v>
      </c>
      <c r="AH374" s="982" t="b">
        <f t="shared" si="225"/>
        <v>0</v>
      </c>
      <c r="AI374" s="1287" t="b">
        <f t="shared" si="225"/>
        <v>0</v>
      </c>
      <c r="AJ374" s="694"/>
      <c r="AK374" s="694"/>
      <c r="AL374" s="694"/>
    </row>
    <row r="375" spans="1:38" x14ac:dyDescent="0.25">
      <c r="A375" s="694"/>
      <c r="B375" s="698"/>
      <c r="C375" s="698"/>
      <c r="D375" s="990">
        <f t="shared" ref="D375:D382" si="226">D374+1</f>
        <v>3</v>
      </c>
      <c r="E375" s="222"/>
      <c r="F375" s="111"/>
      <c r="G375" s="44"/>
      <c r="H375" s="43"/>
      <c r="I375" s="47"/>
      <c r="J375" s="119"/>
      <c r="K375" s="43"/>
      <c r="L375" s="43"/>
      <c r="M375" s="43"/>
      <c r="N375" s="43"/>
      <c r="O375" s="222"/>
      <c r="P375" s="158"/>
      <c r="Q375" s="694"/>
      <c r="R375" s="694"/>
      <c r="S375" s="729"/>
      <c r="T375" s="729"/>
      <c r="U375" s="694"/>
      <c r="V375" s="694"/>
      <c r="W375" s="694"/>
      <c r="X375" s="694"/>
      <c r="Y375" s="694"/>
      <c r="Z375" s="1286" t="b">
        <f t="shared" si="219"/>
        <v>0</v>
      </c>
      <c r="AA375" s="982" t="b">
        <f t="shared" si="220"/>
        <v>0</v>
      </c>
      <c r="AB375" s="1287" t="b">
        <f t="shared" si="224"/>
        <v>0</v>
      </c>
      <c r="AC375" s="1288" t="b">
        <f t="shared" ref="AC375:AC382" si="227">AC374</f>
        <v>0</v>
      </c>
      <c r="AD375" s="982" t="b">
        <f t="shared" si="225"/>
        <v>0</v>
      </c>
      <c r="AE375" s="982" t="b">
        <f t="shared" si="225"/>
        <v>0</v>
      </c>
      <c r="AF375" s="982" t="b">
        <f t="shared" si="225"/>
        <v>0</v>
      </c>
      <c r="AG375" s="982" t="b">
        <f t="shared" si="225"/>
        <v>0</v>
      </c>
      <c r="AH375" s="982" t="b">
        <f t="shared" si="225"/>
        <v>0</v>
      </c>
      <c r="AI375" s="1287" t="b">
        <f t="shared" si="225"/>
        <v>0</v>
      </c>
      <c r="AJ375" s="694"/>
      <c r="AK375" s="694"/>
      <c r="AL375" s="694"/>
    </row>
    <row r="376" spans="1:38" x14ac:dyDescent="0.25">
      <c r="A376" s="694"/>
      <c r="B376" s="698"/>
      <c r="C376" s="698"/>
      <c r="D376" s="990">
        <f t="shared" si="226"/>
        <v>4</v>
      </c>
      <c r="E376" s="222"/>
      <c r="F376" s="111"/>
      <c r="G376" s="44"/>
      <c r="H376" s="43"/>
      <c r="I376" s="47"/>
      <c r="J376" s="119"/>
      <c r="K376" s="43"/>
      <c r="L376" s="43"/>
      <c r="M376" s="43"/>
      <c r="N376" s="43"/>
      <c r="O376" s="222"/>
      <c r="P376" s="158"/>
      <c r="Q376" s="694"/>
      <c r="R376" s="694"/>
      <c r="S376" s="729"/>
      <c r="T376" s="729"/>
      <c r="U376" s="694"/>
      <c r="V376" s="694"/>
      <c r="W376" s="694"/>
      <c r="X376" s="694"/>
      <c r="Y376" s="694"/>
      <c r="Z376" s="1286" t="b">
        <f t="shared" si="219"/>
        <v>0</v>
      </c>
      <c r="AA376" s="982" t="b">
        <f t="shared" si="220"/>
        <v>0</v>
      </c>
      <c r="AB376" s="1287" t="b">
        <f t="shared" si="224"/>
        <v>0</v>
      </c>
      <c r="AC376" s="1288" t="b">
        <f t="shared" si="227"/>
        <v>0</v>
      </c>
      <c r="AD376" s="982" t="b">
        <f t="shared" si="225"/>
        <v>0</v>
      </c>
      <c r="AE376" s="982" t="b">
        <f t="shared" si="225"/>
        <v>0</v>
      </c>
      <c r="AF376" s="982" t="b">
        <f t="shared" si="225"/>
        <v>0</v>
      </c>
      <c r="AG376" s="982" t="b">
        <f t="shared" si="225"/>
        <v>0</v>
      </c>
      <c r="AH376" s="982" t="b">
        <f t="shared" si="225"/>
        <v>0</v>
      </c>
      <c r="AI376" s="1287" t="b">
        <f t="shared" si="225"/>
        <v>0</v>
      </c>
      <c r="AJ376" s="694"/>
      <c r="AK376" s="694"/>
      <c r="AL376" s="694"/>
    </row>
    <row r="377" spans="1:38" x14ac:dyDescent="0.25">
      <c r="A377" s="694"/>
      <c r="B377" s="698"/>
      <c r="C377" s="698"/>
      <c r="D377" s="990">
        <f t="shared" si="226"/>
        <v>5</v>
      </c>
      <c r="E377" s="222"/>
      <c r="F377" s="111"/>
      <c r="G377" s="44"/>
      <c r="H377" s="43"/>
      <c r="I377" s="47"/>
      <c r="J377" s="119"/>
      <c r="K377" s="43"/>
      <c r="L377" s="43"/>
      <c r="M377" s="43"/>
      <c r="N377" s="43"/>
      <c r="O377" s="222"/>
      <c r="P377" s="158"/>
      <c r="Q377" s="694"/>
      <c r="R377" s="694"/>
      <c r="S377" s="729"/>
      <c r="T377" s="729"/>
      <c r="U377" s="694"/>
      <c r="V377" s="694"/>
      <c r="W377" s="694"/>
      <c r="X377" s="694"/>
      <c r="Y377" s="694"/>
      <c r="Z377" s="1286" t="b">
        <f t="shared" si="219"/>
        <v>0</v>
      </c>
      <c r="AA377" s="982" t="b">
        <f t="shared" si="220"/>
        <v>0</v>
      </c>
      <c r="AB377" s="1287" t="b">
        <f t="shared" si="224"/>
        <v>0</v>
      </c>
      <c r="AC377" s="1288" t="b">
        <f t="shared" si="227"/>
        <v>0</v>
      </c>
      <c r="AD377" s="982" t="b">
        <f t="shared" si="225"/>
        <v>0</v>
      </c>
      <c r="AE377" s="982" t="b">
        <f t="shared" si="225"/>
        <v>0</v>
      </c>
      <c r="AF377" s="982" t="b">
        <f t="shared" si="225"/>
        <v>0</v>
      </c>
      <c r="AG377" s="982" t="b">
        <f t="shared" si="225"/>
        <v>0</v>
      </c>
      <c r="AH377" s="982" t="b">
        <f t="shared" si="225"/>
        <v>0</v>
      </c>
      <c r="AI377" s="1287" t="b">
        <f t="shared" si="225"/>
        <v>0</v>
      </c>
      <c r="AJ377" s="694"/>
      <c r="AK377" s="694"/>
      <c r="AL377" s="694"/>
    </row>
    <row r="378" spans="1:38" x14ac:dyDescent="0.25">
      <c r="A378" s="694"/>
      <c r="B378" s="698"/>
      <c r="C378" s="698"/>
      <c r="D378" s="990">
        <f t="shared" si="226"/>
        <v>6</v>
      </c>
      <c r="E378" s="222"/>
      <c r="F378" s="111"/>
      <c r="G378" s="44"/>
      <c r="H378" s="43"/>
      <c r="I378" s="47"/>
      <c r="J378" s="119"/>
      <c r="K378" s="43"/>
      <c r="L378" s="43"/>
      <c r="M378" s="43"/>
      <c r="N378" s="43"/>
      <c r="O378" s="222"/>
      <c r="P378" s="158"/>
      <c r="Q378" s="694"/>
      <c r="R378" s="694"/>
      <c r="S378" s="729"/>
      <c r="T378" s="729"/>
      <c r="U378" s="694"/>
      <c r="V378" s="694"/>
      <c r="W378" s="694"/>
      <c r="X378" s="694"/>
      <c r="Y378" s="694"/>
      <c r="Z378" s="1286" t="b">
        <f t="shared" si="219"/>
        <v>0</v>
      </c>
      <c r="AA378" s="982" t="b">
        <f t="shared" si="220"/>
        <v>0</v>
      </c>
      <c r="AB378" s="1287" t="b">
        <f t="shared" si="224"/>
        <v>0</v>
      </c>
      <c r="AC378" s="1288" t="b">
        <f t="shared" si="227"/>
        <v>0</v>
      </c>
      <c r="AD378" s="982" t="b">
        <f t="shared" si="225"/>
        <v>0</v>
      </c>
      <c r="AE378" s="982" t="b">
        <f t="shared" si="225"/>
        <v>0</v>
      </c>
      <c r="AF378" s="982" t="b">
        <f t="shared" si="225"/>
        <v>0</v>
      </c>
      <c r="AG378" s="982" t="b">
        <f t="shared" si="225"/>
        <v>0</v>
      </c>
      <c r="AH378" s="982" t="b">
        <f t="shared" si="225"/>
        <v>0</v>
      </c>
      <c r="AI378" s="1287" t="b">
        <f t="shared" si="225"/>
        <v>0</v>
      </c>
      <c r="AJ378" s="694"/>
      <c r="AK378" s="694"/>
      <c r="AL378" s="694"/>
    </row>
    <row r="379" spans="1:38" x14ac:dyDescent="0.25">
      <c r="A379" s="694"/>
      <c r="B379" s="698"/>
      <c r="C379" s="698"/>
      <c r="D379" s="990">
        <f t="shared" si="226"/>
        <v>7</v>
      </c>
      <c r="E379" s="222"/>
      <c r="F379" s="111"/>
      <c r="G379" s="44"/>
      <c r="H379" s="43"/>
      <c r="I379" s="47"/>
      <c r="J379" s="119"/>
      <c r="K379" s="43"/>
      <c r="L379" s="43"/>
      <c r="M379" s="43"/>
      <c r="N379" s="43"/>
      <c r="O379" s="222"/>
      <c r="P379" s="158"/>
      <c r="Q379" s="694"/>
      <c r="R379" s="694"/>
      <c r="S379" s="729"/>
      <c r="T379" s="729"/>
      <c r="U379" s="694"/>
      <c r="V379" s="694"/>
      <c r="W379" s="694"/>
      <c r="X379" s="694"/>
      <c r="Y379" s="694"/>
      <c r="Z379" s="1286" t="b">
        <f t="shared" si="219"/>
        <v>0</v>
      </c>
      <c r="AA379" s="982" t="b">
        <f t="shared" si="220"/>
        <v>0</v>
      </c>
      <c r="AB379" s="1287" t="b">
        <f t="shared" si="224"/>
        <v>0</v>
      </c>
      <c r="AC379" s="1288" t="b">
        <f t="shared" si="227"/>
        <v>0</v>
      </c>
      <c r="AD379" s="982" t="b">
        <f t="shared" si="225"/>
        <v>0</v>
      </c>
      <c r="AE379" s="982" t="b">
        <f t="shared" si="225"/>
        <v>0</v>
      </c>
      <c r="AF379" s="982" t="b">
        <f t="shared" si="225"/>
        <v>0</v>
      </c>
      <c r="AG379" s="982" t="b">
        <f t="shared" si="225"/>
        <v>0</v>
      </c>
      <c r="AH379" s="982" t="b">
        <f t="shared" si="225"/>
        <v>0</v>
      </c>
      <c r="AI379" s="1287" t="b">
        <f t="shared" si="225"/>
        <v>0</v>
      </c>
      <c r="AJ379" s="694"/>
      <c r="AK379" s="694"/>
      <c r="AL379" s="694"/>
    </row>
    <row r="380" spans="1:38" x14ac:dyDescent="0.25">
      <c r="A380" s="694"/>
      <c r="B380" s="698"/>
      <c r="C380" s="698"/>
      <c r="D380" s="990">
        <f t="shared" si="226"/>
        <v>8</v>
      </c>
      <c r="E380" s="222"/>
      <c r="F380" s="111"/>
      <c r="G380" s="44"/>
      <c r="H380" s="43"/>
      <c r="I380" s="47"/>
      <c r="J380" s="119"/>
      <c r="K380" s="43"/>
      <c r="L380" s="43"/>
      <c r="M380" s="43"/>
      <c r="N380" s="43"/>
      <c r="O380" s="222"/>
      <c r="P380" s="158"/>
      <c r="Q380" s="694"/>
      <c r="R380" s="694"/>
      <c r="S380" s="729"/>
      <c r="T380" s="729"/>
      <c r="U380" s="694"/>
      <c r="V380" s="694"/>
      <c r="W380" s="694"/>
      <c r="X380" s="694"/>
      <c r="Y380" s="694"/>
      <c r="Z380" s="1286" t="b">
        <f t="shared" si="219"/>
        <v>0</v>
      </c>
      <c r="AA380" s="982" t="b">
        <f t="shared" si="220"/>
        <v>0</v>
      </c>
      <c r="AB380" s="1287" t="b">
        <f t="shared" si="224"/>
        <v>0</v>
      </c>
      <c r="AC380" s="1288" t="b">
        <f t="shared" si="227"/>
        <v>0</v>
      </c>
      <c r="AD380" s="982" t="b">
        <f t="shared" si="225"/>
        <v>0</v>
      </c>
      <c r="AE380" s="982" t="b">
        <f t="shared" si="225"/>
        <v>0</v>
      </c>
      <c r="AF380" s="982" t="b">
        <f t="shared" si="225"/>
        <v>0</v>
      </c>
      <c r="AG380" s="982" t="b">
        <f t="shared" si="225"/>
        <v>0</v>
      </c>
      <c r="AH380" s="982" t="b">
        <f t="shared" si="225"/>
        <v>0</v>
      </c>
      <c r="AI380" s="1287" t="b">
        <f t="shared" si="225"/>
        <v>0</v>
      </c>
      <c r="AJ380" s="694"/>
      <c r="AK380" s="694"/>
      <c r="AL380" s="694"/>
    </row>
    <row r="381" spans="1:38" x14ac:dyDescent="0.25">
      <c r="A381" s="694"/>
      <c r="B381" s="698"/>
      <c r="C381" s="698"/>
      <c r="D381" s="990">
        <f t="shared" si="226"/>
        <v>9</v>
      </c>
      <c r="E381" s="222"/>
      <c r="F381" s="111"/>
      <c r="G381" s="44"/>
      <c r="H381" s="43"/>
      <c r="I381" s="47"/>
      <c r="J381" s="119"/>
      <c r="K381" s="43"/>
      <c r="L381" s="43"/>
      <c r="M381" s="43"/>
      <c r="N381" s="43"/>
      <c r="O381" s="222"/>
      <c r="P381" s="158"/>
      <c r="Q381" s="694"/>
      <c r="R381" s="694"/>
      <c r="S381" s="729"/>
      <c r="T381" s="729"/>
      <c r="U381" s="694"/>
      <c r="V381" s="694"/>
      <c r="W381" s="694"/>
      <c r="X381" s="694"/>
      <c r="Y381" s="694"/>
      <c r="Z381" s="1286" t="b">
        <f t="shared" si="219"/>
        <v>0</v>
      </c>
      <c r="AA381" s="982" t="b">
        <f t="shared" si="220"/>
        <v>0</v>
      </c>
      <c r="AB381" s="1287" t="b">
        <f t="shared" si="224"/>
        <v>0</v>
      </c>
      <c r="AC381" s="1288" t="b">
        <f t="shared" si="227"/>
        <v>0</v>
      </c>
      <c r="AD381" s="982" t="b">
        <f t="shared" si="225"/>
        <v>0</v>
      </c>
      <c r="AE381" s="982" t="b">
        <f t="shared" si="225"/>
        <v>0</v>
      </c>
      <c r="AF381" s="982" t="b">
        <f t="shared" si="225"/>
        <v>0</v>
      </c>
      <c r="AG381" s="982" t="b">
        <f t="shared" si="225"/>
        <v>0</v>
      </c>
      <c r="AH381" s="982" t="b">
        <f t="shared" si="225"/>
        <v>0</v>
      </c>
      <c r="AI381" s="1287" t="b">
        <f t="shared" si="225"/>
        <v>0</v>
      </c>
      <c r="AJ381" s="694"/>
      <c r="AK381" s="694"/>
      <c r="AL381" s="694"/>
    </row>
    <row r="382" spans="1:38" ht="13" thickBot="1" x14ac:dyDescent="0.3">
      <c r="A382" s="694"/>
      <c r="B382" s="698"/>
      <c r="C382" s="698"/>
      <c r="D382" s="994">
        <f t="shared" si="226"/>
        <v>10</v>
      </c>
      <c r="E382" s="223"/>
      <c r="F382" s="112"/>
      <c r="G382" s="45"/>
      <c r="H382" s="38"/>
      <c r="I382" s="48"/>
      <c r="J382" s="117"/>
      <c r="K382" s="38"/>
      <c r="L382" s="38"/>
      <c r="M382" s="38"/>
      <c r="N382" s="38"/>
      <c r="O382" s="223"/>
      <c r="P382" s="158"/>
      <c r="Q382" s="694"/>
      <c r="R382" s="694"/>
      <c r="S382" s="729"/>
      <c r="T382" s="729"/>
      <c r="U382" s="694"/>
      <c r="V382" s="694"/>
      <c r="W382" s="694"/>
      <c r="X382" s="694"/>
      <c r="Y382" s="694"/>
      <c r="Z382" s="1289" t="b">
        <f t="shared" si="219"/>
        <v>0</v>
      </c>
      <c r="AA382" s="1290" t="b">
        <f t="shared" si="220"/>
        <v>0</v>
      </c>
      <c r="AB382" s="1291" t="b">
        <f t="shared" si="224"/>
        <v>0</v>
      </c>
      <c r="AC382" s="1292" t="b">
        <f t="shared" si="227"/>
        <v>0</v>
      </c>
      <c r="AD382" s="1290" t="b">
        <f t="shared" si="225"/>
        <v>0</v>
      </c>
      <c r="AE382" s="1290" t="b">
        <f t="shared" si="225"/>
        <v>0</v>
      </c>
      <c r="AF382" s="1290" t="b">
        <f t="shared" si="225"/>
        <v>0</v>
      </c>
      <c r="AG382" s="1290" t="b">
        <f t="shared" si="225"/>
        <v>0</v>
      </c>
      <c r="AH382" s="1290" t="b">
        <f t="shared" si="225"/>
        <v>0</v>
      </c>
      <c r="AI382" s="1291" t="b">
        <f t="shared" si="225"/>
        <v>0</v>
      </c>
      <c r="AJ382" s="694"/>
      <c r="AK382" s="694"/>
      <c r="AL382" s="694"/>
    </row>
    <row r="383" spans="1:38" ht="12.75" customHeight="1" thickBot="1" x14ac:dyDescent="0.3">
      <c r="A383" s="694"/>
      <c r="B383" s="698"/>
      <c r="C383" s="698"/>
      <c r="D383" s="1293"/>
      <c r="E383" s="1294" t="str">
        <f>Translations!$B$501</f>
        <v>Сума на равнищата на производство</v>
      </c>
      <c r="F383" s="1295"/>
      <c r="G383" s="49"/>
      <c r="H383" s="1104" t="str">
        <f t="shared" ref="H383:N383" si="228">IF(COUNT(H373:H382)&gt;0,SUM(H373:H382),"")</f>
        <v/>
      </c>
      <c r="I383" s="1296" t="str">
        <f t="shared" si="228"/>
        <v/>
      </c>
      <c r="J383" s="1297" t="str">
        <f t="shared" si="228"/>
        <v/>
      </c>
      <c r="K383" s="1104" t="str">
        <f t="shared" si="228"/>
        <v/>
      </c>
      <c r="L383" s="1104" t="str">
        <f t="shared" si="228"/>
        <v/>
      </c>
      <c r="M383" s="1104" t="str">
        <f t="shared" si="228"/>
        <v/>
      </c>
      <c r="N383" s="1104" t="str">
        <f t="shared" si="228"/>
        <v/>
      </c>
      <c r="O383" s="302"/>
      <c r="P383" s="302"/>
      <c r="Q383" s="694"/>
      <c r="R383" s="694"/>
      <c r="S383" s="729"/>
      <c r="T383" s="729"/>
      <c r="U383" s="694"/>
      <c r="V383" s="694"/>
      <c r="W383" s="694"/>
      <c r="X383" s="694"/>
      <c r="Y383" s="694"/>
      <c r="Z383" s="694"/>
      <c r="AA383" s="694"/>
      <c r="AB383" s="1177" t="b">
        <f>AND(AB373:AB382)</f>
        <v>0</v>
      </c>
      <c r="AC383" s="694"/>
      <c r="AD383" s="694"/>
      <c r="AE383" s="694"/>
      <c r="AF383" s="694"/>
      <c r="AG383" s="694"/>
      <c r="AH383" s="694"/>
      <c r="AI383" s="694"/>
      <c r="AJ383" s="694"/>
      <c r="AK383" s="694"/>
      <c r="AL383" s="694"/>
    </row>
    <row r="384" spans="1:38" ht="12.75" customHeight="1" thickBot="1" x14ac:dyDescent="0.3">
      <c r="A384" s="694"/>
      <c r="B384" s="298"/>
      <c r="C384" s="298"/>
      <c r="D384" s="298"/>
      <c r="E384" s="298"/>
      <c r="F384" s="298"/>
      <c r="G384" s="298"/>
      <c r="H384" s="298"/>
      <c r="I384" s="298"/>
      <c r="J384" s="298"/>
      <c r="K384" s="298"/>
      <c r="L384" s="298"/>
      <c r="M384" s="302"/>
      <c r="N384" s="302"/>
      <c r="O384" s="302"/>
      <c r="P384" s="302"/>
      <c r="Q384" s="729"/>
      <c r="R384" s="694"/>
      <c r="S384" s="729"/>
      <c r="T384" s="729"/>
      <c r="U384" s="694"/>
      <c r="V384" s="694"/>
      <c r="W384" s="694"/>
      <c r="X384" s="694"/>
      <c r="Y384" s="694"/>
      <c r="Z384" s="694"/>
      <c r="AA384" s="694"/>
      <c r="AB384" s="694"/>
      <c r="AC384" s="694"/>
      <c r="AD384" s="694"/>
      <c r="AE384" s="694"/>
      <c r="AF384" s="694"/>
      <c r="AG384" s="694"/>
      <c r="AH384" s="694"/>
      <c r="AI384" s="694"/>
      <c r="AJ384" s="694"/>
      <c r="AK384" s="694"/>
      <c r="AL384" s="694"/>
    </row>
    <row r="385" spans="1:38" ht="5.15" customHeight="1" x14ac:dyDescent="0.25">
      <c r="A385" s="694"/>
      <c r="B385" s="298"/>
      <c r="C385" s="1298"/>
      <c r="D385" s="1299"/>
      <c r="E385" s="1299"/>
      <c r="F385" s="1299"/>
      <c r="G385" s="1299"/>
      <c r="H385" s="1299"/>
      <c r="I385" s="1299"/>
      <c r="J385" s="1299"/>
      <c r="K385" s="1299"/>
      <c r="L385" s="1299"/>
      <c r="M385" s="1300"/>
      <c r="N385" s="1301"/>
      <c r="O385" s="302"/>
      <c r="P385" s="302"/>
      <c r="Q385" s="729"/>
      <c r="R385" s="694"/>
      <c r="S385" s="729"/>
      <c r="T385" s="729"/>
      <c r="U385" s="694"/>
      <c r="V385" s="694"/>
      <c r="W385" s="694"/>
      <c r="X385" s="694"/>
      <c r="Y385" s="694"/>
      <c r="Z385" s="694"/>
      <c r="AA385" s="694"/>
      <c r="AB385" s="694"/>
      <c r="AC385" s="694"/>
      <c r="AD385" s="694"/>
      <c r="AE385" s="694"/>
      <c r="AF385" s="694"/>
      <c r="AG385" s="694"/>
      <c r="AH385" s="694"/>
      <c r="AI385" s="694"/>
      <c r="AJ385" s="694"/>
      <c r="AK385" s="694"/>
      <c r="AL385" s="694"/>
    </row>
    <row r="386" spans="1:38" ht="15" customHeight="1" x14ac:dyDescent="0.25">
      <c r="A386" s="694"/>
      <c r="B386" s="698"/>
      <c r="C386" s="1302"/>
      <c r="D386" s="2857" t="str">
        <f>Translations!$B$502</f>
        <v>Данни, необходими за определяне на нивото на подобрение на продуктовите показатели съгласно 10а, параграф 2 от Директивата за СТЕ на ЕС</v>
      </c>
      <c r="E386" s="2851"/>
      <c r="F386" s="2851"/>
      <c r="G386" s="2851"/>
      <c r="H386" s="2851"/>
      <c r="I386" s="2851"/>
      <c r="J386" s="2851"/>
      <c r="K386" s="2851"/>
      <c r="L386" s="2851"/>
      <c r="M386" s="2851"/>
      <c r="N386" s="2852"/>
      <c r="O386" s="302"/>
      <c r="P386" s="302"/>
      <c r="Q386" s="694"/>
      <c r="R386" s="694"/>
      <c r="S386" s="729"/>
      <c r="T386" s="729"/>
      <c r="U386" s="694"/>
      <c r="V386" s="694"/>
      <c r="W386" s="694"/>
      <c r="X386" s="694"/>
      <c r="Y386" s="694"/>
      <c r="Z386" s="694"/>
      <c r="AA386" s="694"/>
      <c r="AB386" s="694"/>
      <c r="AC386" s="694"/>
      <c r="AD386" s="694"/>
      <c r="AE386" s="694"/>
      <c r="AF386" s="694"/>
      <c r="AG386" s="694"/>
      <c r="AH386" s="694"/>
      <c r="AI386" s="694"/>
      <c r="AJ386" s="694"/>
      <c r="AK386" s="694"/>
      <c r="AL386" s="694"/>
    </row>
    <row r="387" spans="1:38" ht="5.15" customHeight="1" x14ac:dyDescent="0.25">
      <c r="A387" s="694"/>
      <c r="B387" s="698"/>
      <c r="C387" s="1303"/>
      <c r="D387" s="1304"/>
      <c r="E387" s="1304"/>
      <c r="F387" s="1304"/>
      <c r="G387" s="1304"/>
      <c r="H387" s="1304"/>
      <c r="I387" s="1304"/>
      <c r="J387" s="1304"/>
      <c r="K387" s="1304"/>
      <c r="L387" s="1304"/>
      <c r="M387" s="1304"/>
      <c r="N387" s="1305"/>
      <c r="O387" s="302"/>
      <c r="P387" s="302"/>
      <c r="Q387" s="694"/>
      <c r="R387" s="694"/>
      <c r="S387" s="729"/>
      <c r="T387" s="729"/>
      <c r="U387" s="694"/>
      <c r="V387" s="694"/>
      <c r="W387" s="694"/>
      <c r="X387" s="694"/>
      <c r="Y387" s="694"/>
      <c r="Z387" s="694"/>
      <c r="AA387" s="694"/>
      <c r="AB387" s="694"/>
      <c r="AC387" s="694"/>
      <c r="AD387" s="694"/>
      <c r="AE387" s="694"/>
      <c r="AF387" s="694"/>
      <c r="AG387" s="694"/>
      <c r="AH387" s="694"/>
      <c r="AI387" s="694"/>
      <c r="AJ387" s="694"/>
      <c r="AK387" s="694"/>
      <c r="AL387" s="694"/>
    </row>
    <row r="388" spans="1:38" ht="15" customHeight="1" x14ac:dyDescent="0.25">
      <c r="A388" s="694"/>
      <c r="B388" s="698"/>
      <c r="C388" s="1303"/>
      <c r="D388" s="2841" t="str">
        <f>EUconst_BMSubinst &amp; ":"</f>
        <v>Подинсталация с продуктов показател:</v>
      </c>
      <c r="E388" s="2839"/>
      <c r="F388" s="2839"/>
      <c r="G388" s="2839"/>
      <c r="H388" s="2842"/>
      <c r="I388" s="2843" t="str">
        <f>I294</f>
        <v/>
      </c>
      <c r="J388" s="2844"/>
      <c r="K388" s="2844"/>
      <c r="L388" s="2844"/>
      <c r="M388" s="2844"/>
      <c r="N388" s="2845"/>
      <c r="O388" s="302"/>
      <c r="P388" s="302"/>
      <c r="Q388" s="694"/>
      <c r="R388" s="694"/>
      <c r="S388" s="729"/>
      <c r="T388" s="729"/>
      <c r="U388" s="694"/>
      <c r="V388" s="694"/>
      <c r="W388" s="694"/>
      <c r="X388" s="694"/>
      <c r="Y388" s="694"/>
      <c r="Z388" s="694"/>
      <c r="AA388" s="694"/>
      <c r="AB388" s="694"/>
      <c r="AC388" s="694"/>
      <c r="AD388" s="694"/>
      <c r="AE388" s="694"/>
      <c r="AF388" s="694"/>
      <c r="AG388" s="694"/>
      <c r="AH388" s="694"/>
      <c r="AI388" s="694"/>
      <c r="AJ388" s="694"/>
      <c r="AK388" s="694"/>
      <c r="AL388" s="694"/>
    </row>
    <row r="389" spans="1:38" ht="5.15" customHeight="1" x14ac:dyDescent="0.25">
      <c r="A389" s="694"/>
      <c r="B389" s="698"/>
      <c r="C389" s="1303"/>
      <c r="D389" s="1304"/>
      <c r="E389" s="1304"/>
      <c r="F389" s="1304"/>
      <c r="G389" s="1304"/>
      <c r="H389" s="1304"/>
      <c r="I389" s="1304"/>
      <c r="J389" s="1304"/>
      <c r="K389" s="1304"/>
      <c r="L389" s="1304"/>
      <c r="M389" s="1304"/>
      <c r="N389" s="1305"/>
      <c r="O389" s="302"/>
      <c r="P389" s="302"/>
      <c r="Q389" s="694"/>
      <c r="R389" s="694"/>
      <c r="S389" s="729"/>
      <c r="T389" s="729"/>
      <c r="U389" s="694"/>
      <c r="V389" s="694"/>
      <c r="W389" s="694"/>
      <c r="X389" s="694"/>
      <c r="Y389" s="694"/>
      <c r="Z389" s="694"/>
      <c r="AA389" s="694"/>
      <c r="AB389" s="694"/>
      <c r="AC389" s="694"/>
      <c r="AD389" s="694"/>
      <c r="AE389" s="694"/>
      <c r="AF389" s="694"/>
      <c r="AG389" s="694"/>
      <c r="AH389" s="694"/>
      <c r="AI389" s="694"/>
      <c r="AJ389" s="694"/>
      <c r="AK389" s="694"/>
      <c r="AL389" s="694"/>
    </row>
    <row r="390" spans="1:38" ht="30" customHeight="1" x14ac:dyDescent="0.25">
      <c r="A390" s="694"/>
      <c r="B390" s="298"/>
      <c r="C390" s="1302"/>
      <c r="D390" s="1306"/>
      <c r="E390" s="2846" t="str">
        <f>Translations!$B$503</f>
        <v>В този подраздел се обхваща разпределението на емисии по пораждащи емисии потоци, източници на емисии, получена или подадена измерима топлинна енергия и отпадни газове, включително загубите на топлинна енергия съгласно раздел 10 от приложение VII към ПБР.</v>
      </c>
      <c r="F390" s="2846"/>
      <c r="G390" s="2846"/>
      <c r="H390" s="2846"/>
      <c r="I390" s="2846"/>
      <c r="J390" s="2846"/>
      <c r="K390" s="2846"/>
      <c r="L390" s="2846"/>
      <c r="M390" s="2846"/>
      <c r="N390" s="2847"/>
      <c r="O390" s="302"/>
      <c r="P390" s="302"/>
      <c r="Q390" s="729"/>
      <c r="R390" s="694"/>
      <c r="S390" s="694"/>
      <c r="T390" s="694"/>
      <c r="U390" s="694"/>
      <c r="V390" s="694"/>
      <c r="W390" s="694"/>
      <c r="X390" s="694"/>
      <c r="Y390" s="694"/>
      <c r="Z390" s="694"/>
      <c r="AA390" s="694"/>
      <c r="AB390" s="694"/>
      <c r="AC390" s="694"/>
      <c r="AD390" s="694"/>
      <c r="AE390" s="694"/>
      <c r="AF390" s="694"/>
      <c r="AG390" s="694"/>
      <c r="AH390" s="694"/>
      <c r="AI390" s="694"/>
      <c r="AJ390" s="694"/>
      <c r="AK390" s="694"/>
      <c r="AL390" s="694"/>
    </row>
    <row r="391" spans="1:38" ht="30" customHeight="1" x14ac:dyDescent="0.25">
      <c r="A391" s="694"/>
      <c r="B391" s="298"/>
      <c r="C391" s="1302"/>
      <c r="D391" s="1306"/>
      <c r="E391" s="2846" t="str">
        <f>Translations!$B$504</f>
        <v xml:space="preserve">Моля, имайте предвид, че въпреки дадените известни насоки по всяка от точките по-долу трябва да потърсите допълнителна информация в обяснителна бележка № 5 („Мониторинг и докладване във връзка с ПБР“), която съдържа и примери. </v>
      </c>
      <c r="F391" s="2846"/>
      <c r="G391" s="2846"/>
      <c r="H391" s="2846"/>
      <c r="I391" s="2846"/>
      <c r="J391" s="2846"/>
      <c r="K391" s="2846"/>
      <c r="L391" s="2846"/>
      <c r="M391" s="2846"/>
      <c r="N391" s="2811"/>
      <c r="O391" s="302"/>
      <c r="P391" s="302"/>
      <c r="Q391" s="729"/>
      <c r="R391" s="694"/>
      <c r="S391" s="694"/>
      <c r="T391" s="694"/>
      <c r="U391" s="694"/>
      <c r="V391" s="694"/>
      <c r="W391" s="694"/>
      <c r="X391" s="694"/>
      <c r="Y391" s="694"/>
      <c r="Z391" s="694"/>
      <c r="AA391" s="694"/>
      <c r="AB391" s="694"/>
      <c r="AC391" s="694"/>
      <c r="AD391" s="694"/>
      <c r="AE391" s="694"/>
      <c r="AF391" s="694"/>
      <c r="AG391" s="694"/>
      <c r="AH391" s="694"/>
      <c r="AI391" s="694"/>
      <c r="AJ391" s="694"/>
      <c r="AK391" s="694"/>
      <c r="AL391" s="694"/>
    </row>
    <row r="392" spans="1:38" ht="12.75" customHeight="1" x14ac:dyDescent="0.25">
      <c r="A392" s="694"/>
      <c r="B392" s="298"/>
      <c r="C392" s="1302"/>
      <c r="D392" s="1306"/>
      <c r="E392" s="2846" t="str">
        <f>Translations!$B$505</f>
        <v>Можете да изтеглите насоките на адрес: https://ec.europa.eu/clima/policies/ets/allowances_en#tab-0-1</v>
      </c>
      <c r="F392" s="2240"/>
      <c r="G392" s="2240"/>
      <c r="H392" s="2240"/>
      <c r="I392" s="2240"/>
      <c r="J392" s="2240"/>
      <c r="K392" s="2240"/>
      <c r="L392" s="2240"/>
      <c r="M392" s="2240"/>
      <c r="N392" s="2811"/>
      <c r="O392" s="302"/>
      <c r="P392" s="302"/>
      <c r="Q392" s="729"/>
      <c r="R392" s="694"/>
      <c r="S392" s="694"/>
      <c r="T392" s="694"/>
      <c r="U392" s="694"/>
      <c r="V392" s="694"/>
      <c r="W392" s="694"/>
      <c r="X392" s="694"/>
      <c r="Y392" s="694"/>
      <c r="Z392" s="694"/>
      <c r="AA392" s="694"/>
      <c r="AB392" s="694"/>
      <c r="AC392" s="694"/>
      <c r="AD392" s="694"/>
      <c r="AE392" s="694"/>
      <c r="AF392" s="694"/>
      <c r="AG392" s="694"/>
      <c r="AH392" s="694"/>
      <c r="AI392" s="694"/>
      <c r="AJ392" s="694"/>
      <c r="AK392" s="694"/>
      <c r="AL392" s="694"/>
    </row>
    <row r="393" spans="1:38" ht="15" customHeight="1" x14ac:dyDescent="0.25">
      <c r="A393" s="694"/>
      <c r="B393" s="298"/>
      <c r="C393" s="1302"/>
      <c r="D393" s="1306"/>
      <c r="E393" s="2848" t="s">
        <v>2540</v>
      </c>
      <c r="F393" s="2848"/>
      <c r="G393" s="2848"/>
      <c r="H393" s="2848"/>
      <c r="I393" s="2848"/>
      <c r="J393" s="2848"/>
      <c r="K393" s="2848"/>
      <c r="L393" s="2848"/>
      <c r="M393" s="2848"/>
      <c r="N393" s="2866"/>
      <c r="O393" s="302"/>
      <c r="P393" s="302"/>
      <c r="Q393" s="729"/>
      <c r="R393" s="694"/>
      <c r="S393" s="694"/>
      <c r="T393" s="694"/>
      <c r="U393" s="694"/>
      <c r="V393" s="694"/>
      <c r="W393" s="694"/>
      <c r="X393" s="694"/>
      <c r="Y393" s="694"/>
      <c r="Z393" s="694"/>
      <c r="AA393" s="694"/>
      <c r="AB393" s="694"/>
      <c r="AC393" s="694"/>
      <c r="AD393" s="694"/>
      <c r="AE393" s="694"/>
      <c r="AF393" s="694"/>
      <c r="AG393" s="694"/>
      <c r="AH393" s="694"/>
      <c r="AI393" s="694"/>
      <c r="AJ393" s="694"/>
      <c r="AK393" s="694"/>
      <c r="AL393" s="694"/>
    </row>
    <row r="394" spans="1:38" ht="5.15" customHeight="1" x14ac:dyDescent="0.25">
      <c r="A394" s="694"/>
      <c r="B394" s="698"/>
      <c r="C394" s="1303"/>
      <c r="D394" s="1304"/>
      <c r="E394" s="1304"/>
      <c r="F394" s="1304"/>
      <c r="G394" s="1304"/>
      <c r="H394" s="1304"/>
      <c r="I394" s="1304"/>
      <c r="J394" s="1304"/>
      <c r="K394" s="1304"/>
      <c r="L394" s="1304"/>
      <c r="M394" s="1304"/>
      <c r="N394" s="1305"/>
      <c r="O394" s="302"/>
      <c r="P394" s="302"/>
      <c r="Q394" s="694"/>
      <c r="R394" s="694"/>
      <c r="S394" s="729"/>
      <c r="T394" s="729"/>
      <c r="U394" s="694"/>
      <c r="V394" s="694"/>
      <c r="W394" s="694"/>
      <c r="X394" s="694"/>
      <c r="Y394" s="694"/>
      <c r="Z394" s="694"/>
      <c r="AA394" s="694"/>
      <c r="AB394" s="694"/>
      <c r="AC394" s="694"/>
      <c r="AD394" s="694"/>
      <c r="AE394" s="694"/>
      <c r="AF394" s="694"/>
      <c r="AG394" s="694"/>
      <c r="AH394" s="694"/>
      <c r="AI394" s="694"/>
      <c r="AJ394" s="694"/>
      <c r="AK394" s="694"/>
      <c r="AL394" s="694"/>
    </row>
    <row r="395" spans="1:38" ht="15" customHeight="1" x14ac:dyDescent="0.25">
      <c r="A395" s="694"/>
      <c r="B395" s="298"/>
      <c r="C395" s="1302"/>
      <c r="D395" s="1306"/>
      <c r="E395" s="2849" t="str">
        <f>Translations!$B$506</f>
        <v>При въвеждане на данните по-долу емисиите, които могат да бъдат зададени, са изчислени в раздел K.III.2 в листа за обобщение.</v>
      </c>
      <c r="F395" s="2849"/>
      <c r="G395" s="2849"/>
      <c r="H395" s="2849"/>
      <c r="I395" s="2849"/>
      <c r="J395" s="2849"/>
      <c r="K395" s="2849"/>
      <c r="L395" s="2849"/>
      <c r="M395" s="2849"/>
      <c r="N395" s="2827"/>
      <c r="O395" s="302"/>
      <c r="P395" s="302"/>
      <c r="Q395" s="729"/>
      <c r="R395" s="694"/>
      <c r="S395" s="694"/>
      <c r="T395" s="694"/>
      <c r="U395" s="694"/>
      <c r="V395" s="694"/>
      <c r="W395" s="694"/>
      <c r="X395" s="694"/>
      <c r="Y395" s="694"/>
      <c r="Z395" s="694"/>
      <c r="AA395" s="694"/>
      <c r="AB395" s="694"/>
      <c r="AC395" s="694"/>
      <c r="AD395" s="694"/>
      <c r="AE395" s="694"/>
      <c r="AF395" s="694"/>
      <c r="AG395" s="694"/>
      <c r="AH395" s="694"/>
      <c r="AI395" s="694"/>
      <c r="AJ395" s="694"/>
      <c r="AK395" s="694"/>
      <c r="AL395" s="694"/>
    </row>
    <row r="396" spans="1:38" ht="5.15" customHeight="1" x14ac:dyDescent="0.25">
      <c r="A396" s="694"/>
      <c r="B396" s="698"/>
      <c r="C396" s="1303"/>
      <c r="D396" s="1304"/>
      <c r="E396" s="1304"/>
      <c r="F396" s="1304"/>
      <c r="G396" s="1304"/>
      <c r="H396" s="1304"/>
      <c r="I396" s="1304"/>
      <c r="J396" s="1304"/>
      <c r="K396" s="1304"/>
      <c r="L396" s="1304"/>
      <c r="M396" s="1304"/>
      <c r="N396" s="1305"/>
      <c r="O396" s="302"/>
      <c r="P396" s="302"/>
      <c r="Q396" s="694"/>
      <c r="R396" s="694"/>
      <c r="S396" s="729"/>
      <c r="T396" s="729"/>
      <c r="U396" s="694"/>
      <c r="V396" s="694"/>
      <c r="W396" s="694"/>
      <c r="X396" s="694"/>
      <c r="Y396" s="694"/>
      <c r="Z396" s="694"/>
      <c r="AA396" s="694"/>
      <c r="AB396" s="694"/>
      <c r="AC396" s="694"/>
      <c r="AD396" s="694"/>
      <c r="AE396" s="694"/>
      <c r="AF396" s="694"/>
      <c r="AG396" s="694"/>
      <c r="AH396" s="694"/>
      <c r="AI396" s="694"/>
      <c r="AJ396" s="694"/>
      <c r="AK396" s="694"/>
      <c r="AL396" s="694"/>
    </row>
    <row r="397" spans="1:38" ht="12.75" customHeight="1" x14ac:dyDescent="0.25">
      <c r="A397" s="694"/>
      <c r="B397" s="298"/>
      <c r="C397" s="1302"/>
      <c r="D397" s="1307" t="s">
        <v>273</v>
      </c>
      <c r="E397" s="2850" t="str">
        <f>Translations!$B$507</f>
        <v>Емисии, които могат се зададат пряко (DirEm* (пораждащи емисии потоци от плана за мониторинг)) на тази подинсталация</v>
      </c>
      <c r="F397" s="2851"/>
      <c r="G397" s="2851"/>
      <c r="H397" s="2851"/>
      <c r="I397" s="2851"/>
      <c r="J397" s="2851"/>
      <c r="K397" s="2851"/>
      <c r="L397" s="2851"/>
      <c r="M397" s="2851"/>
      <c r="N397" s="2852"/>
      <c r="O397" s="302"/>
      <c r="P397" s="302"/>
      <c r="Q397" s="729"/>
      <c r="R397" s="694"/>
      <c r="S397" s="729"/>
      <c r="T397" s="729"/>
      <c r="U397" s="694"/>
      <c r="V397" s="694"/>
      <c r="W397" s="694"/>
      <c r="X397" s="694"/>
      <c r="Y397" s="694"/>
      <c r="Z397" s="694"/>
      <c r="AA397" s="694"/>
      <c r="AB397" s="694"/>
      <c r="AC397" s="694"/>
      <c r="AD397" s="694"/>
      <c r="AE397" s="694"/>
      <c r="AF397" s="694"/>
      <c r="AG397" s="694"/>
      <c r="AH397" s="694"/>
      <c r="AI397" s="694"/>
      <c r="AJ397" s="694"/>
      <c r="AK397" s="694"/>
      <c r="AL397" s="694"/>
    </row>
    <row r="398" spans="1:38" ht="12.75" customHeight="1" x14ac:dyDescent="0.25">
      <c r="A398" s="694"/>
      <c r="B398" s="298"/>
      <c r="C398" s="1302"/>
      <c r="D398" s="625"/>
      <c r="E398" s="2853" t="str">
        <f>Translations!$B$508</f>
        <v>Посочените тук данни ще се отразят на емисиите, които могат да бъдат зададени съгласно раздел 10.1.1 от приложение VII към ПБР.</v>
      </c>
      <c r="F398" s="2850"/>
      <c r="G398" s="2850"/>
      <c r="H398" s="2850"/>
      <c r="I398" s="2850"/>
      <c r="J398" s="2850"/>
      <c r="K398" s="2850"/>
      <c r="L398" s="2850"/>
      <c r="M398" s="2850"/>
      <c r="N398" s="2854"/>
      <c r="O398" s="302"/>
      <c r="P398" s="302"/>
      <c r="Q398" s="729"/>
      <c r="R398" s="694"/>
      <c r="S398" s="729"/>
      <c r="T398" s="729"/>
      <c r="U398" s="694"/>
      <c r="V398" s="694"/>
      <c r="W398" s="694"/>
      <c r="X398" s="694"/>
      <c r="Y398" s="694"/>
      <c r="Z398" s="694"/>
      <c r="AA398" s="694"/>
      <c r="AB398" s="694"/>
      <c r="AC398" s="694"/>
      <c r="AD398" s="694"/>
      <c r="AE398" s="694"/>
      <c r="AF398" s="694"/>
      <c r="AG398" s="694"/>
      <c r="AH398" s="694"/>
      <c r="AI398" s="694"/>
      <c r="AJ398" s="694"/>
      <c r="AK398" s="694"/>
      <c r="AL398" s="694"/>
    </row>
    <row r="399" spans="1:38" ht="12.75" customHeight="1" x14ac:dyDescent="0.25">
      <c r="A399" s="694"/>
      <c r="B399" s="298"/>
      <c r="C399" s="1302"/>
      <c r="D399" s="1306"/>
      <c r="E399" s="2836" t="str">
        <f>Translations!$B$509</f>
        <v>Моля, въведете тук емисиите, които могат да се зададат пряко (DirEm* (пораждащи емисии потоци от плана за мониторинг)) на тази подинсталация, като се имат предвид следните уговорки:</v>
      </c>
      <c r="F399" s="2836"/>
      <c r="G399" s="2836"/>
      <c r="H399" s="2836"/>
      <c r="I399" s="2836"/>
      <c r="J399" s="2836"/>
      <c r="K399" s="2836"/>
      <c r="L399" s="2836"/>
      <c r="M399" s="2836"/>
      <c r="N399" s="2837"/>
      <c r="O399" s="302"/>
      <c r="P399" s="302"/>
      <c r="Q399" s="729"/>
      <c r="R399" s="694"/>
      <c r="S399" s="729"/>
      <c r="T399" s="694"/>
      <c r="U399" s="694"/>
      <c r="V399" s="694"/>
      <c r="W399" s="694"/>
      <c r="X399" s="694"/>
      <c r="Y399" s="694"/>
      <c r="Z399" s="694"/>
      <c r="AA399" s="694"/>
      <c r="AB399" s="694"/>
      <c r="AC399" s="694"/>
      <c r="AD399" s="694"/>
      <c r="AE399" s="694"/>
      <c r="AF399" s="694"/>
      <c r="AG399" s="694"/>
      <c r="AH399" s="694"/>
      <c r="AI399" s="694"/>
      <c r="AJ399" s="694"/>
      <c r="AK399" s="694"/>
      <c r="AL399" s="694"/>
    </row>
    <row r="400" spans="1:38" ht="25.5" customHeight="1" x14ac:dyDescent="0.25">
      <c r="A400" s="694"/>
      <c r="B400" s="298"/>
      <c r="C400" s="1302"/>
      <c r="D400" s="1306"/>
      <c r="E400" s="1308" t="s">
        <v>1052</v>
      </c>
      <c r="F400" s="2838" t="str">
        <f>Translations!$B$510</f>
        <v>„емисиите, които могат да се зададат пряко“, се следят в съответствие с плана за мониторинг, одобрен съгласно Регламента относно мониторинга и докладването (РМД), т.е. като се отчитат емисиите, получени по методики, основани на изчисления (като се използват пораждащите емисии потоци), по базиращи се на измервания методики (БИМ), както и по подходи без подреждане („fall-backs“).</v>
      </c>
      <c r="G400" s="2839"/>
      <c r="H400" s="2839"/>
      <c r="I400" s="2839"/>
      <c r="J400" s="2839"/>
      <c r="K400" s="2839"/>
      <c r="L400" s="2839"/>
      <c r="M400" s="2839"/>
      <c r="N400" s="2840"/>
      <c r="O400" s="302"/>
      <c r="P400" s="302"/>
      <c r="Q400" s="729"/>
      <c r="R400" s="694"/>
      <c r="S400" s="729"/>
      <c r="T400" s="694"/>
      <c r="U400" s="694"/>
      <c r="V400" s="694"/>
      <c r="W400" s="694"/>
      <c r="X400" s="694"/>
      <c r="Y400" s="694"/>
      <c r="Z400" s="694"/>
      <c r="AA400" s="694"/>
      <c r="AB400" s="694"/>
      <c r="AC400" s="694"/>
      <c r="AD400" s="694"/>
      <c r="AE400" s="694"/>
      <c r="AF400" s="694"/>
      <c r="AG400" s="694"/>
      <c r="AH400" s="694"/>
      <c r="AI400" s="694"/>
      <c r="AJ400" s="694"/>
      <c r="AK400" s="694"/>
      <c r="AL400" s="694"/>
    </row>
    <row r="401" spans="1:38" ht="38.25" customHeight="1" x14ac:dyDescent="0.25">
      <c r="A401" s="694"/>
      <c r="B401" s="298"/>
      <c r="C401" s="1302"/>
      <c r="D401" s="1306"/>
      <c r="E401" s="1308"/>
      <c r="F401" s="2810" t="str">
        <f>Translations!$B$511</f>
        <v>В някои случая обаче в този раздел „емисиите, които могат да се зададат пряко“, не са същите като отчетените съгласно РМД. Такива случаи са например пораждащи емисии потоци, използвани за производство на измерима топлинна енергия, отпадни газове и др. С други думи, трябва да попълните разделите по-долу много внимателно и да спазите строго инструкциите, за да се избегнат двойно отчитане или пропуски.</v>
      </c>
      <c r="G401" s="2240"/>
      <c r="H401" s="2240"/>
      <c r="I401" s="2240"/>
      <c r="J401" s="2240"/>
      <c r="K401" s="2240"/>
      <c r="L401" s="2240"/>
      <c r="M401" s="2240"/>
      <c r="N401" s="2811"/>
      <c r="O401" s="302"/>
      <c r="P401" s="302"/>
      <c r="Q401" s="729"/>
      <c r="R401" s="694"/>
      <c r="S401" s="729"/>
      <c r="T401" s="694"/>
      <c r="U401" s="694"/>
      <c r="V401" s="694"/>
      <c r="W401" s="694"/>
      <c r="X401" s="694"/>
      <c r="Y401" s="694"/>
      <c r="Z401" s="694"/>
      <c r="AA401" s="694"/>
      <c r="AB401" s="694"/>
      <c r="AC401" s="694"/>
      <c r="AD401" s="694"/>
      <c r="AE401" s="694"/>
      <c r="AF401" s="694"/>
      <c r="AG401" s="694"/>
      <c r="AH401" s="694"/>
      <c r="AI401" s="694"/>
      <c r="AJ401" s="694"/>
      <c r="AK401" s="694"/>
      <c r="AL401" s="694"/>
    </row>
    <row r="402" spans="1:38" ht="12.75" customHeight="1" x14ac:dyDescent="0.25">
      <c r="A402" s="694"/>
      <c r="B402" s="298"/>
      <c r="C402" s="1302"/>
      <c r="D402" s="1306"/>
      <c r="E402" s="1308" t="s">
        <v>1052</v>
      </c>
      <c r="F402" s="2838" t="str">
        <f>Translations!$B$512</f>
        <v xml:space="preserve">Измерима топлинна енергия: в случай че топлинната енергия е произведена изключително за една подинсталация, емисиите могат да се зададат пряко тук чрез емисиите за горивата. </v>
      </c>
      <c r="G402" s="2839"/>
      <c r="H402" s="2839"/>
      <c r="I402" s="2839"/>
      <c r="J402" s="2839"/>
      <c r="K402" s="2839"/>
      <c r="L402" s="2839"/>
      <c r="M402" s="2839"/>
      <c r="N402" s="2840"/>
      <c r="O402" s="302"/>
      <c r="P402" s="302"/>
      <c r="Q402" s="729"/>
      <c r="R402" s="694"/>
      <c r="S402" s="729"/>
      <c r="T402" s="694"/>
      <c r="U402" s="694"/>
      <c r="V402" s="694"/>
      <c r="W402" s="694"/>
      <c r="X402" s="694"/>
      <c r="Y402" s="694"/>
      <c r="Z402" s="694"/>
      <c r="AA402" s="694"/>
      <c r="AB402" s="694"/>
      <c r="AC402" s="694"/>
      <c r="AD402" s="694"/>
      <c r="AE402" s="694"/>
      <c r="AF402" s="694"/>
      <c r="AG402" s="694"/>
      <c r="AH402" s="694"/>
      <c r="AI402" s="694"/>
      <c r="AJ402" s="694"/>
      <c r="AK402" s="694"/>
      <c r="AL402" s="694"/>
    </row>
    <row r="403" spans="1:38" ht="38.9" customHeight="1" x14ac:dyDescent="0.25">
      <c r="A403" s="694"/>
      <c r="B403" s="298"/>
      <c r="C403" s="1302"/>
      <c r="D403" s="1306"/>
      <c r="E403" s="1308"/>
      <c r="F403" s="2838" t="str">
        <f>Translations!$B$513</f>
        <v>Когато за производството на измерима топлинна енергия са използвани горива като „входящи потоци“ към повече от една подинсталация, в която се консумира топлинната енергия (което включва случаи с входящи и изходящи потоци от и към други инсталации), горивата не трябва да се включват в „емисиите, които могат да се зададат пряко“ на подинсталацията, а в буква k) по-долу.</v>
      </c>
      <c r="G403" s="2839"/>
      <c r="H403" s="2839"/>
      <c r="I403" s="2839"/>
      <c r="J403" s="2839"/>
      <c r="K403" s="2839"/>
      <c r="L403" s="2839"/>
      <c r="M403" s="2839"/>
      <c r="N403" s="2840"/>
      <c r="O403" s="302"/>
      <c r="P403" s="302"/>
      <c r="Q403" s="729"/>
      <c r="R403" s="694"/>
      <c r="S403" s="729"/>
      <c r="T403" s="694"/>
      <c r="U403" s="694"/>
      <c r="V403" s="694"/>
      <c r="W403" s="694"/>
      <c r="X403" s="694"/>
      <c r="Y403" s="694"/>
      <c r="Z403" s="694"/>
      <c r="AA403" s="694"/>
      <c r="AB403" s="694"/>
      <c r="AC403" s="694"/>
      <c r="AD403" s="694"/>
      <c r="AE403" s="694"/>
      <c r="AF403" s="694"/>
      <c r="AG403" s="694"/>
      <c r="AH403" s="694"/>
      <c r="AI403" s="694"/>
      <c r="AJ403" s="694"/>
      <c r="AK403" s="694"/>
      <c r="AL403" s="694"/>
    </row>
    <row r="404" spans="1:38" ht="25.5" customHeight="1" x14ac:dyDescent="0.25">
      <c r="A404" s="694"/>
      <c r="B404" s="298"/>
      <c r="C404" s="1302"/>
      <c r="D404" s="1306"/>
      <c r="E404" s="1308"/>
      <c r="F404" s="2838" t="str">
        <f>Translations!$B$514</f>
        <v>„Входящите потоци“ включват измеримата топлинна енергия от съоръжения в рамките на обекта (напр. централна електростанция в инсталацията или по-сложна мрежа за генериране на пара с няколко съоръжения за производство на топлинна енергия), които доставят топлинна енергия до повече от една подинсталация. В такъв случай емисиите също не трябва да се задават тук, а в точка k).i. по-долу.</v>
      </c>
      <c r="G404" s="2839"/>
      <c r="H404" s="2839"/>
      <c r="I404" s="2839"/>
      <c r="J404" s="2839"/>
      <c r="K404" s="2839"/>
      <c r="L404" s="2839"/>
      <c r="M404" s="2839"/>
      <c r="N404" s="2840"/>
      <c r="O404" s="302"/>
      <c r="P404" s="302"/>
      <c r="Q404" s="729"/>
      <c r="R404" s="694"/>
      <c r="S404" s="729"/>
      <c r="T404" s="694"/>
      <c r="U404" s="694"/>
      <c r="V404" s="694"/>
      <c r="W404" s="694"/>
      <c r="X404" s="694"/>
      <c r="Y404" s="694"/>
      <c r="Z404" s="694"/>
      <c r="AA404" s="694"/>
      <c r="AB404" s="694"/>
      <c r="AC404" s="694"/>
      <c r="AD404" s="694"/>
      <c r="AE404" s="694"/>
      <c r="AF404" s="694"/>
      <c r="AG404" s="694"/>
      <c r="AH404" s="694"/>
      <c r="AI404" s="694"/>
      <c r="AJ404" s="694"/>
      <c r="AK404" s="694"/>
      <c r="AL404" s="694"/>
    </row>
    <row r="405" spans="1:38" ht="25.5" customHeight="1" x14ac:dyDescent="0.25">
      <c r="A405" s="694"/>
      <c r="B405" s="298"/>
      <c r="C405" s="1302"/>
      <c r="D405" s="1306"/>
      <c r="E405" s="1308" t="s">
        <v>1052</v>
      </c>
      <c r="F405" s="2838" t="str">
        <f>Translations!$B$515</f>
        <v>Подавана навън измерима топлинна енергия: Когато тази топлинна енергия се извлича от процеси или се подава навън, тук не се правят корекции. Приспадането на свързаните емисиите се извършва съгласно данните, въведени в точка k).v. по-долу.</v>
      </c>
      <c r="G405" s="2839"/>
      <c r="H405" s="2839"/>
      <c r="I405" s="2839"/>
      <c r="J405" s="2839"/>
      <c r="K405" s="2839"/>
      <c r="L405" s="2839"/>
      <c r="M405" s="2839"/>
      <c r="N405" s="2840"/>
      <c r="O405" s="302"/>
      <c r="P405" s="302"/>
      <c r="Q405" s="729"/>
      <c r="R405" s="694"/>
      <c r="S405" s="729"/>
      <c r="T405" s="694"/>
      <c r="U405" s="694"/>
      <c r="V405" s="694"/>
      <c r="W405" s="694"/>
      <c r="X405" s="694"/>
      <c r="Y405" s="694"/>
      <c r="Z405" s="694"/>
      <c r="AA405" s="694"/>
      <c r="AB405" s="694"/>
      <c r="AC405" s="694"/>
      <c r="AD405" s="694"/>
      <c r="AE405" s="694"/>
      <c r="AF405" s="694"/>
      <c r="AG405" s="694"/>
      <c r="AH405" s="694"/>
      <c r="AI405" s="694"/>
      <c r="AJ405" s="694"/>
      <c r="AK405" s="694"/>
      <c r="AL405" s="694"/>
    </row>
    <row r="406" spans="1:38" ht="25.5" customHeight="1" thickBot="1" x14ac:dyDescent="0.3">
      <c r="A406" s="694"/>
      <c r="B406" s="298"/>
      <c r="C406" s="1302"/>
      <c r="D406" s="1306"/>
      <c r="E406" s="1308" t="s">
        <v>1052</v>
      </c>
      <c r="F406" s="2838" t="str">
        <f>Translations!$B$516</f>
        <v>Отпадни газове: емисиите от отпадните газове, които са ПОЛУЧЕНИ от други инсталации или подинсталации и са консумирани в подинсталацията, не се включват тук, а се въвеждат в буква l) по-долу.</v>
      </c>
      <c r="G406" s="2839"/>
      <c r="H406" s="2839"/>
      <c r="I406" s="2839"/>
      <c r="J406" s="2839"/>
      <c r="K406" s="2839"/>
      <c r="L406" s="2839"/>
      <c r="M406" s="2839"/>
      <c r="N406" s="2840"/>
      <c r="O406" s="302"/>
      <c r="P406" s="302"/>
      <c r="Q406" s="729"/>
      <c r="R406" s="694"/>
      <c r="S406" s="729"/>
      <c r="T406" s="694"/>
      <c r="U406" s="694"/>
      <c r="V406" s="694"/>
      <c r="W406" s="694"/>
      <c r="X406" s="694"/>
      <c r="Y406" s="694"/>
      <c r="Z406" s="694"/>
      <c r="AA406" s="694"/>
      <c r="AB406" s="694"/>
      <c r="AC406" s="694"/>
      <c r="AD406" s="694"/>
      <c r="AE406" s="694"/>
      <c r="AF406" s="694"/>
      <c r="AG406" s="694"/>
      <c r="AH406" s="694"/>
      <c r="AI406" s="694"/>
      <c r="AJ406" s="694"/>
      <c r="AK406" s="694"/>
      <c r="AL406" s="694"/>
    </row>
    <row r="407" spans="1:38" ht="12.75" customHeight="1" thickBot="1" x14ac:dyDescent="0.3">
      <c r="A407" s="694"/>
      <c r="B407" s="298"/>
      <c r="C407" s="1302"/>
      <c r="D407" s="1307"/>
      <c r="E407" s="2803" t="str">
        <f>Translations!$B$517</f>
        <v>Емисии, които могат да се зададат пряко (DirEm*)</v>
      </c>
      <c r="F407" s="2803"/>
      <c r="G407" s="1309" t="str">
        <f>EUconst_Unit</f>
        <v>Единица мярка</v>
      </c>
      <c r="H407" s="629">
        <f t="shared" ref="H407:N407" si="229">H$2831</f>
        <v>2024</v>
      </c>
      <c r="I407" s="1310">
        <f t="shared" si="229"/>
        <v>2025</v>
      </c>
      <c r="J407" s="1311">
        <f t="shared" si="229"/>
        <v>2026</v>
      </c>
      <c r="K407" s="629">
        <f t="shared" si="229"/>
        <v>2027</v>
      </c>
      <c r="L407" s="629">
        <f t="shared" si="229"/>
        <v>2028</v>
      </c>
      <c r="M407" s="629">
        <f t="shared" si="229"/>
        <v>2029</v>
      </c>
      <c r="N407" s="1312">
        <f t="shared" si="229"/>
        <v>2030</v>
      </c>
      <c r="O407" s="302"/>
      <c r="P407" s="302"/>
      <c r="Q407" s="729"/>
      <c r="R407" s="694"/>
      <c r="S407" s="1205"/>
      <c r="T407" s="1313">
        <f t="shared" ref="T407" si="230">H407</f>
        <v>2024</v>
      </c>
      <c r="U407" s="1313">
        <f t="shared" ref="U407" si="231">I407</f>
        <v>2025</v>
      </c>
      <c r="V407" s="1313">
        <f t="shared" ref="V407" si="232">J407</f>
        <v>2026</v>
      </c>
      <c r="W407" s="1313">
        <f t="shared" ref="W407" si="233">K407</f>
        <v>2027</v>
      </c>
      <c r="X407" s="1313">
        <f t="shared" ref="X407" si="234">L407</f>
        <v>2028</v>
      </c>
      <c r="Y407" s="1313">
        <f t="shared" ref="Y407" si="235">M407</f>
        <v>2029</v>
      </c>
      <c r="Z407" s="1314">
        <f t="shared" ref="Z407" si="236">N407</f>
        <v>2030</v>
      </c>
      <c r="AA407" s="694"/>
      <c r="AB407" s="694"/>
      <c r="AC407" s="1178">
        <f t="shared" ref="AC407" si="237">H$20</f>
        <v>2024</v>
      </c>
      <c r="AD407" s="1178">
        <f t="shared" ref="AD407" si="238">I$20</f>
        <v>2025</v>
      </c>
      <c r="AE407" s="1178">
        <f t="shared" ref="AE407" si="239">J$20</f>
        <v>2026</v>
      </c>
      <c r="AF407" s="1178">
        <f t="shared" ref="AF407" si="240">K$20</f>
        <v>2027</v>
      </c>
      <c r="AG407" s="1178">
        <f t="shared" ref="AG407" si="241">L$20</f>
        <v>2028</v>
      </c>
      <c r="AH407" s="1178">
        <f t="shared" ref="AH407" si="242">M$20</f>
        <v>2029</v>
      </c>
      <c r="AI407" s="1178">
        <f t="shared" ref="AI407" si="243">N$20</f>
        <v>2030</v>
      </c>
      <c r="AJ407" s="694"/>
      <c r="AK407" s="694"/>
      <c r="AL407" s="694"/>
    </row>
    <row r="408" spans="1:38" ht="12.75" customHeight="1" thickBot="1" x14ac:dyDescent="0.3">
      <c r="A408" s="694"/>
      <c r="B408" s="298"/>
      <c r="C408" s="1302"/>
      <c r="D408" s="1306"/>
      <c r="E408" s="2814" t="str">
        <f>I294</f>
        <v/>
      </c>
      <c r="F408" s="2258"/>
      <c r="G408" s="642" t="str">
        <f>EUconst_tCO2epa</f>
        <v>t CO2e/година</v>
      </c>
      <c r="H408" s="56"/>
      <c r="I408" s="115"/>
      <c r="J408" s="118"/>
      <c r="K408" s="56"/>
      <c r="L408" s="56"/>
      <c r="M408" s="56"/>
      <c r="N408" s="121"/>
      <c r="O408" s="302"/>
      <c r="P408" s="158"/>
      <c r="Q408" s="1190" t="str">
        <f>EUconst_CNTR_Emissions &amp; I294</f>
        <v>DirEmissions_</v>
      </c>
      <c r="R408" s="694"/>
      <c r="S408" s="1315" t="str">
        <f>EUconst_CNTR_AttributedEmissions &amp; I294</f>
        <v>AttrEmissions_</v>
      </c>
      <c r="T408" s="1290" t="str">
        <f t="shared" ref="T408" si="244">IF(T302,SUM(H408),"")</f>
        <v/>
      </c>
      <c r="U408" s="1290" t="str">
        <f t="shared" ref="U408" si="245">IF(U302,SUM(I408),"")</f>
        <v/>
      </c>
      <c r="V408" s="1290" t="str">
        <f t="shared" ref="V408" si="246">IF(V302,SUM(J408),"")</f>
        <v/>
      </c>
      <c r="W408" s="1290" t="str">
        <f t="shared" ref="W408" si="247">IF(W302,SUM(K408),"")</f>
        <v/>
      </c>
      <c r="X408" s="1290" t="str">
        <f t="shared" ref="X408" si="248">IF(X302,SUM(L408),"")</f>
        <v/>
      </c>
      <c r="Y408" s="1290" t="str">
        <f t="shared" ref="Y408" si="249">IF(Y302,SUM(M408),"")</f>
        <v/>
      </c>
      <c r="Z408" s="1291" t="str">
        <f t="shared" ref="Z408" si="250">IF(Z302,SUM(N408),"")</f>
        <v/>
      </c>
      <c r="AA408" s="694"/>
      <c r="AB408" s="1182" t="s">
        <v>737</v>
      </c>
      <c r="AC408" s="982" t="b">
        <f>AC341</f>
        <v>0</v>
      </c>
      <c r="AD408" s="982" t="b">
        <f t="shared" ref="AD408:AI408" si="251">AD341</f>
        <v>0</v>
      </c>
      <c r="AE408" s="982" t="b">
        <f t="shared" si="251"/>
        <v>0</v>
      </c>
      <c r="AF408" s="982" t="b">
        <f t="shared" si="251"/>
        <v>0</v>
      </c>
      <c r="AG408" s="982" t="b">
        <f t="shared" si="251"/>
        <v>0</v>
      </c>
      <c r="AH408" s="982" t="b">
        <f t="shared" si="251"/>
        <v>0</v>
      </c>
      <c r="AI408" s="982" t="b">
        <f t="shared" si="251"/>
        <v>0</v>
      </c>
      <c r="AJ408" s="1174" t="s">
        <v>2039</v>
      </c>
      <c r="AK408" s="1176" t="str">
        <f>IF(AND(CNTR_ExistSubInstEntries,MSconst_RequireSubAttrEmissions,COUNTIFS(AC408:AI408,FALSE,H408:N408,"")&gt;0),EUconst_Error&amp;"BM"&amp;$Q294,"")</f>
        <v/>
      </c>
      <c r="AL408" s="694"/>
    </row>
    <row r="409" spans="1:38" ht="12.75" customHeight="1" x14ac:dyDescent="0.25">
      <c r="A409" s="694"/>
      <c r="B409" s="298"/>
      <c r="C409" s="1302"/>
      <c r="D409" s="1306"/>
      <c r="E409" s="1306"/>
      <c r="F409" s="1306"/>
      <c r="G409" s="1306"/>
      <c r="H409" s="1306"/>
      <c r="I409" s="1306"/>
      <c r="J409" s="1306"/>
      <c r="K409" s="1306"/>
      <c r="L409" s="1306"/>
      <c r="M409" s="626"/>
      <c r="N409" s="1316"/>
      <c r="O409" s="302"/>
      <c r="P409" s="302"/>
      <c r="Q409" s="729"/>
      <c r="R409" s="694"/>
      <c r="S409" s="729"/>
      <c r="T409" s="694"/>
      <c r="U409" s="694"/>
      <c r="V409" s="694"/>
      <c r="W409" s="694"/>
      <c r="X409" s="694"/>
      <c r="Y409" s="694"/>
      <c r="Z409" s="694"/>
      <c r="AA409" s="694"/>
      <c r="AB409" s="694"/>
      <c r="AC409" s="694"/>
      <c r="AD409" s="694"/>
      <c r="AE409" s="694"/>
      <c r="AF409" s="694"/>
      <c r="AG409" s="694"/>
      <c r="AH409" s="694"/>
      <c r="AI409" s="694"/>
      <c r="AJ409" s="694"/>
      <c r="AK409" s="694"/>
      <c r="AL409" s="694"/>
    </row>
    <row r="410" spans="1:38" ht="12.75" customHeight="1" x14ac:dyDescent="0.25">
      <c r="A410" s="694"/>
      <c r="B410" s="298"/>
      <c r="C410" s="1302"/>
      <c r="D410" s="1307" t="s">
        <v>277</v>
      </c>
      <c r="E410" s="2815" t="str">
        <f>Translations!$B$1524</f>
        <v>Вложена енергия в тази подинсталация и съответен емисионен фактор</v>
      </c>
      <c r="F410" s="2240"/>
      <c r="G410" s="2240"/>
      <c r="H410" s="2240"/>
      <c r="I410" s="2240"/>
      <c r="J410" s="2240"/>
      <c r="K410" s="2240"/>
      <c r="L410" s="2240"/>
      <c r="M410" s="2240"/>
      <c r="N410" s="2811"/>
      <c r="O410" s="302"/>
      <c r="P410" s="302"/>
      <c r="Q410" s="729"/>
      <c r="R410" s="729"/>
      <c r="S410" s="729"/>
      <c r="T410" s="694"/>
      <c r="U410" s="694"/>
      <c r="V410" s="694"/>
      <c r="W410" s="694"/>
      <c r="X410" s="694"/>
      <c r="Y410" s="694"/>
      <c r="Z410" s="694"/>
      <c r="AA410" s="694"/>
      <c r="AB410" s="694"/>
      <c r="AC410" s="694"/>
      <c r="AD410" s="694"/>
      <c r="AE410" s="694"/>
      <c r="AF410" s="694"/>
      <c r="AG410" s="694"/>
      <c r="AH410" s="694"/>
      <c r="AI410" s="694"/>
      <c r="AJ410" s="694"/>
      <c r="AK410" s="694"/>
      <c r="AL410" s="694"/>
    </row>
    <row r="411" spans="1:38" ht="25.5" customHeight="1" x14ac:dyDescent="0.25">
      <c r="A411" s="694"/>
      <c r="B411" s="298"/>
      <c r="C411" s="1302"/>
      <c r="D411" s="1306"/>
      <c r="E411" s="2836" t="str">
        <f>Translations!$B$1525</f>
        <v>Съгласно изискванията в приложение IV, раздел 2.4, буква а) към ПБР посочете общото количество вложена енергия от горива, материали и електроенергия за генериране на топлинна енергия от подинсталацията и съответния претеглен емисионен фактор, като вземете предвид съответното енергийно съдържание на всяко гориво, включено в числовата стойност, посочена в буква ж), и приложите същите системни граници от буква ж).</v>
      </c>
      <c r="F411" s="2836"/>
      <c r="G411" s="2836"/>
      <c r="H411" s="2836"/>
      <c r="I411" s="2836"/>
      <c r="J411" s="2836"/>
      <c r="K411" s="2836"/>
      <c r="L411" s="2836"/>
      <c r="M411" s="2836"/>
      <c r="N411" s="2837"/>
      <c r="O411" s="302"/>
      <c r="P411" s="302"/>
      <c r="Q411" s="729"/>
      <c r="R411" s="729"/>
      <c r="S411" s="729"/>
      <c r="T411" s="694"/>
      <c r="U411" s="694"/>
      <c r="V411" s="694"/>
      <c r="W411" s="694"/>
      <c r="X411" s="694"/>
      <c r="Y411" s="694"/>
      <c r="Z411" s="694"/>
      <c r="AA411" s="694"/>
      <c r="AB411" s="694"/>
      <c r="AC411" s="694"/>
      <c r="AD411" s="694"/>
      <c r="AE411" s="694"/>
      <c r="AF411" s="694"/>
      <c r="AG411" s="694"/>
      <c r="AH411" s="694"/>
      <c r="AI411" s="694"/>
      <c r="AJ411" s="694"/>
      <c r="AK411" s="694"/>
      <c r="AL411" s="694"/>
    </row>
    <row r="412" spans="1:38" ht="25.5" customHeight="1" x14ac:dyDescent="0.25">
      <c r="A412" s="694"/>
      <c r="B412" s="298"/>
      <c r="C412" s="1302"/>
      <c r="D412" s="1306"/>
      <c r="E412" s="2836" t="str">
        <f>Translations!$B$1526</f>
        <v>Терминът „гориво“ следва да се тълкува като всеки запалим пораждащ емисии поток съгласно РМД, за който може да се установи долната топлина на изгаряне. Претегленият емисионен фактор съответства на натрупаните емисии от горива, разделени на общото енергийно съдържание.</v>
      </c>
      <c r="F412" s="2836"/>
      <c r="G412" s="2836"/>
      <c r="H412" s="2836"/>
      <c r="I412" s="2836"/>
      <c r="J412" s="2836"/>
      <c r="K412" s="2836"/>
      <c r="L412" s="2836"/>
      <c r="M412" s="2836"/>
      <c r="N412" s="2837"/>
      <c r="O412" s="302"/>
      <c r="P412" s="302"/>
      <c r="Q412" s="729"/>
      <c r="R412" s="694"/>
      <c r="S412" s="729"/>
      <c r="T412" s="694"/>
      <c r="U412" s="694"/>
      <c r="V412" s="694"/>
      <c r="W412" s="694"/>
      <c r="X412" s="694"/>
      <c r="Y412" s="694"/>
      <c r="Z412" s="694"/>
      <c r="AA412" s="694"/>
      <c r="AB412" s="694"/>
      <c r="AC412" s="694"/>
      <c r="AD412" s="694"/>
      <c r="AE412" s="694"/>
      <c r="AF412" s="694"/>
      <c r="AG412" s="694"/>
      <c r="AH412" s="694"/>
      <c r="AI412" s="694"/>
      <c r="AJ412" s="694"/>
      <c r="AK412" s="694"/>
      <c r="AL412" s="694"/>
    </row>
    <row r="413" spans="1:38" ht="12.75" customHeight="1" x14ac:dyDescent="0.25">
      <c r="A413" s="694"/>
      <c r="B413" s="298"/>
      <c r="C413" s="1302"/>
      <c r="D413" s="1306"/>
      <c r="E413" s="2836" t="str">
        <f>Translations!$B$519</f>
        <v>Претегленият емисионен фактор следва също така да включва и емисии от съответното очистване на димни газове, ако е приложимо.</v>
      </c>
      <c r="F413" s="2836"/>
      <c r="G413" s="2836"/>
      <c r="H413" s="2836"/>
      <c r="I413" s="2836"/>
      <c r="J413" s="2836"/>
      <c r="K413" s="2836"/>
      <c r="L413" s="2836"/>
      <c r="M413" s="2836"/>
      <c r="N413" s="2837"/>
      <c r="O413" s="302"/>
      <c r="P413" s="302"/>
      <c r="Q413" s="729"/>
      <c r="R413" s="694"/>
      <c r="S413" s="729"/>
      <c r="T413" s="694"/>
      <c r="U413" s="694"/>
      <c r="V413" s="694"/>
      <c r="W413" s="694"/>
      <c r="X413" s="694"/>
      <c r="Y413" s="694"/>
      <c r="Z413" s="694"/>
      <c r="AA413" s="694"/>
      <c r="AB413" s="694"/>
      <c r="AC413" s="694"/>
      <c r="AD413" s="694"/>
      <c r="AE413" s="694"/>
      <c r="AF413" s="694"/>
      <c r="AG413" s="694"/>
      <c r="AH413" s="694"/>
      <c r="AI413" s="694"/>
      <c r="AJ413" s="694"/>
      <c r="AK413" s="694"/>
      <c r="AL413" s="694"/>
    </row>
    <row r="414" spans="1:38" ht="12.75" customHeight="1" x14ac:dyDescent="0.25">
      <c r="A414" s="694"/>
      <c r="B414" s="298"/>
      <c r="C414" s="1302"/>
      <c r="D414" s="1306"/>
      <c r="E414" s="2816" t="str">
        <f>Translations!$B$520</f>
        <v>Посочените тук данни се използват само с цел проверка на съответствието и нямат пряко отражение върху емисиите, които могат да бъдат зададени, или на разпределението на квотите.</v>
      </c>
      <c r="F414" s="2240"/>
      <c r="G414" s="2240"/>
      <c r="H414" s="2240"/>
      <c r="I414" s="2240"/>
      <c r="J414" s="2240"/>
      <c r="K414" s="2240"/>
      <c r="L414" s="2240"/>
      <c r="M414" s="2240"/>
      <c r="N414" s="2811"/>
      <c r="O414" s="302"/>
      <c r="P414" s="302"/>
      <c r="Q414" s="729"/>
      <c r="R414" s="694"/>
      <c r="S414" s="729"/>
      <c r="T414" s="694"/>
      <c r="U414" s="694"/>
      <c r="V414" s="694"/>
      <c r="W414" s="694"/>
      <c r="X414" s="694"/>
      <c r="Y414" s="694"/>
      <c r="Z414" s="694"/>
      <c r="AA414" s="694"/>
      <c r="AB414" s="694"/>
      <c r="AC414" s="694"/>
      <c r="AD414" s="694"/>
      <c r="AE414" s="694"/>
      <c r="AF414" s="694"/>
      <c r="AG414" s="694"/>
      <c r="AH414" s="694"/>
      <c r="AI414" s="694"/>
      <c r="AJ414" s="694"/>
      <c r="AK414" s="694"/>
      <c r="AL414" s="694"/>
    </row>
    <row r="415" spans="1:38" ht="12.75" customHeight="1" thickBot="1" x14ac:dyDescent="0.3">
      <c r="A415" s="694"/>
      <c r="B415" s="298"/>
      <c r="C415" s="1302"/>
      <c r="D415" s="1307"/>
      <c r="E415" s="1317"/>
      <c r="F415" s="1318"/>
      <c r="G415" s="1309" t="str">
        <f>EUconst_Unit</f>
        <v>Единица мярка</v>
      </c>
      <c r="H415" s="629">
        <f t="shared" ref="H415:N415" si="252">H$2831</f>
        <v>2024</v>
      </c>
      <c r="I415" s="1310">
        <f t="shared" si="252"/>
        <v>2025</v>
      </c>
      <c r="J415" s="1311">
        <f t="shared" si="252"/>
        <v>2026</v>
      </c>
      <c r="K415" s="629">
        <f t="shared" si="252"/>
        <v>2027</v>
      </c>
      <c r="L415" s="629">
        <f t="shared" si="252"/>
        <v>2028</v>
      </c>
      <c r="M415" s="629">
        <f t="shared" si="252"/>
        <v>2029</v>
      </c>
      <c r="N415" s="1312">
        <f t="shared" si="252"/>
        <v>2030</v>
      </c>
      <c r="O415" s="302"/>
      <c r="P415" s="302"/>
      <c r="Q415" s="729"/>
      <c r="R415" s="694"/>
      <c r="S415" s="729"/>
      <c r="T415" s="694"/>
      <c r="U415" s="694"/>
      <c r="V415" s="694"/>
      <c r="W415" s="694"/>
      <c r="X415" s="694"/>
      <c r="Y415" s="694"/>
      <c r="Z415" s="694"/>
      <c r="AA415" s="694"/>
      <c r="AB415" s="694"/>
      <c r="AC415" s="1178">
        <f t="shared" ref="AC415" si="253">H$20</f>
        <v>2024</v>
      </c>
      <c r="AD415" s="1178">
        <f t="shared" ref="AD415" si="254">I$20</f>
        <v>2025</v>
      </c>
      <c r="AE415" s="1178">
        <f t="shared" ref="AE415" si="255">J$20</f>
        <v>2026</v>
      </c>
      <c r="AF415" s="1178">
        <f t="shared" ref="AF415" si="256">K$20</f>
        <v>2027</v>
      </c>
      <c r="AG415" s="1178">
        <f t="shared" ref="AG415" si="257">L$20</f>
        <v>2028</v>
      </c>
      <c r="AH415" s="1178">
        <f t="shared" ref="AH415" si="258">M$20</f>
        <v>2029</v>
      </c>
      <c r="AI415" s="1178">
        <f t="shared" ref="AI415" si="259">N$20</f>
        <v>2030</v>
      </c>
      <c r="AJ415" s="694"/>
      <c r="AK415" s="694"/>
      <c r="AL415" s="694"/>
    </row>
    <row r="416" spans="1:38" ht="12.75" customHeight="1" x14ac:dyDescent="0.25">
      <c r="A416" s="694"/>
      <c r="B416" s="298"/>
      <c r="C416" s="1302"/>
      <c r="D416" s="625" t="s">
        <v>6</v>
      </c>
      <c r="E416" s="2820" t="str">
        <f>Translations!$B$1527</f>
        <v>Вложена енергия</v>
      </c>
      <c r="F416" s="2258"/>
      <c r="G416" s="1319" t="str">
        <f>EUconst_TJpa</f>
        <v>TJ / година</v>
      </c>
      <c r="H416" s="56"/>
      <c r="I416" s="115"/>
      <c r="J416" s="118"/>
      <c r="K416" s="56"/>
      <c r="L416" s="56"/>
      <c r="M416" s="56"/>
      <c r="N416" s="121"/>
      <c r="O416" s="302"/>
      <c r="P416" s="158"/>
      <c r="Q416" s="1190" t="str">
        <f>EUconst_CNTR_FuelInput &amp; I294</f>
        <v>FuelInput_</v>
      </c>
      <c r="R416" s="694"/>
      <c r="S416" s="729"/>
      <c r="T416" s="694"/>
      <c r="U416" s="694"/>
      <c r="V416" s="694"/>
      <c r="W416" s="694"/>
      <c r="X416" s="694"/>
      <c r="Y416" s="694"/>
      <c r="Z416" s="694"/>
      <c r="AA416" s="694"/>
      <c r="AB416" s="1182" t="s">
        <v>737</v>
      </c>
      <c r="AC416" s="982" t="b">
        <f>AC341</f>
        <v>0</v>
      </c>
      <c r="AD416" s="982" t="b">
        <f t="shared" ref="AD416:AI416" si="260">AD341</f>
        <v>0</v>
      </c>
      <c r="AE416" s="982" t="b">
        <f t="shared" si="260"/>
        <v>0</v>
      </c>
      <c r="AF416" s="982" t="b">
        <f t="shared" si="260"/>
        <v>0</v>
      </c>
      <c r="AG416" s="982" t="b">
        <f t="shared" si="260"/>
        <v>0</v>
      </c>
      <c r="AH416" s="982" t="b">
        <f t="shared" si="260"/>
        <v>0</v>
      </c>
      <c r="AI416" s="982" t="b">
        <f t="shared" si="260"/>
        <v>0</v>
      </c>
      <c r="AJ416" s="1174" t="s">
        <v>2039</v>
      </c>
      <c r="AK416" s="1176" t="str">
        <f>IF(AND(CNTR_ExistSubInstEntries,MSconst_RequireSubAttrEmissions,COUNTIFS(AC416:AI416,FALSE,H416:N416,"")&gt;0),EUconst_Error&amp;"BM"&amp;$Q294,"")</f>
        <v/>
      </c>
      <c r="AL416" s="694"/>
    </row>
    <row r="417" spans="1:38" ht="12.75" customHeight="1" x14ac:dyDescent="0.25">
      <c r="A417" s="694"/>
      <c r="B417" s="298"/>
      <c r="C417" s="1302"/>
      <c r="D417" s="625" t="s">
        <v>7</v>
      </c>
      <c r="E417" s="2820" t="str">
        <f>Translations!$B$522</f>
        <v>Претеглен емисионен фактор</v>
      </c>
      <c r="F417" s="2258"/>
      <c r="G417" s="1320" t="str">
        <f>EUconst_tCO2pTJ</f>
        <v>t CO2 / TJ</v>
      </c>
      <c r="H417" s="82"/>
      <c r="I417" s="126"/>
      <c r="J417" s="127"/>
      <c r="K417" s="82"/>
      <c r="L417" s="82"/>
      <c r="M417" s="82"/>
      <c r="N417" s="128"/>
      <c r="O417" s="302"/>
      <c r="P417" s="158"/>
      <c r="Q417" s="1190" t="str">
        <f>EUconst_CNTR_FuelEF &amp; I294</f>
        <v>FuelEF_</v>
      </c>
      <c r="R417" s="694"/>
      <c r="S417" s="729"/>
      <c r="T417" s="694"/>
      <c r="U417" s="694"/>
      <c r="V417" s="694"/>
      <c r="W417" s="694"/>
      <c r="X417" s="694"/>
      <c r="Y417" s="694"/>
      <c r="Z417" s="694"/>
      <c r="AA417" s="694"/>
      <c r="AB417" s="694"/>
      <c r="AC417" s="982" t="b">
        <f>AC416</f>
        <v>0</v>
      </c>
      <c r="AD417" s="982" t="b">
        <f t="shared" ref="AD417:AI417" si="261">AD416</f>
        <v>0</v>
      </c>
      <c r="AE417" s="982" t="b">
        <f t="shared" si="261"/>
        <v>0</v>
      </c>
      <c r="AF417" s="982" t="b">
        <f t="shared" si="261"/>
        <v>0</v>
      </c>
      <c r="AG417" s="982" t="b">
        <f t="shared" si="261"/>
        <v>0</v>
      </c>
      <c r="AH417" s="982" t="b">
        <f t="shared" si="261"/>
        <v>0</v>
      </c>
      <c r="AI417" s="982" t="b">
        <f t="shared" si="261"/>
        <v>0</v>
      </c>
      <c r="AJ417" s="1174" t="s">
        <v>2039</v>
      </c>
      <c r="AK417" s="1176" t="str">
        <f>IF(AND(CNTR_ExistSubInstEntries,MSconst_RequireSubAttrEmissions,COUNTIFS(AC417:AI417,FALSE,H417:N417,"")&gt;0),EUconst_Error&amp;"BM"&amp;$Q294,"")</f>
        <v/>
      </c>
      <c r="AL417" s="694"/>
    </row>
    <row r="418" spans="1:38" ht="12.75" customHeight="1" x14ac:dyDescent="0.25">
      <c r="A418" s="694"/>
      <c r="B418" s="298"/>
      <c r="C418" s="1302"/>
      <c r="D418" s="1306"/>
      <c r="E418" s="1306"/>
      <c r="F418" s="1306"/>
      <c r="G418" s="1306"/>
      <c r="H418" s="1306"/>
      <c r="I418" s="1306"/>
      <c r="J418" s="1306"/>
      <c r="K418" s="1306"/>
      <c r="L418" s="1306"/>
      <c r="M418" s="626"/>
      <c r="N418" s="1316"/>
      <c r="O418" s="302"/>
      <c r="P418" s="302"/>
      <c r="Q418" s="729"/>
      <c r="R418" s="694"/>
      <c r="S418" s="729"/>
      <c r="T418" s="694"/>
      <c r="U418" s="694"/>
      <c r="V418" s="694"/>
      <c r="W418" s="694"/>
      <c r="X418" s="694"/>
      <c r="Y418" s="694"/>
      <c r="Z418" s="694"/>
      <c r="AA418" s="694"/>
      <c r="AB418" s="694"/>
      <c r="AC418" s="694"/>
      <c r="AD418" s="694"/>
      <c r="AE418" s="694"/>
      <c r="AF418" s="694"/>
      <c r="AG418" s="694"/>
      <c r="AH418" s="694"/>
      <c r="AI418" s="694"/>
      <c r="AJ418" s="694"/>
      <c r="AK418" s="694"/>
      <c r="AL418" s="694"/>
    </row>
    <row r="419" spans="1:38" ht="12.75" customHeight="1" x14ac:dyDescent="0.25">
      <c r="A419" s="694"/>
      <c r="B419" s="298"/>
      <c r="C419" s="1302"/>
      <c r="D419" s="1307" t="s">
        <v>279</v>
      </c>
      <c r="E419" s="2815" t="str">
        <f>Translations!$B$523</f>
        <v>Други вътрешни пораждащи емисии потоци, получени или подадени от тази подинсталация</v>
      </c>
      <c r="F419" s="2240"/>
      <c r="G419" s="2240"/>
      <c r="H419" s="2240"/>
      <c r="I419" s="2240"/>
      <c r="J419" s="2240"/>
      <c r="K419" s="2240"/>
      <c r="L419" s="2240"/>
      <c r="M419" s="2240"/>
      <c r="N419" s="2811"/>
      <c r="O419" s="302"/>
      <c r="P419" s="302"/>
      <c r="Q419" s="729"/>
      <c r="R419" s="729"/>
      <c r="S419" s="729"/>
      <c r="T419" s="694"/>
      <c r="U419" s="694"/>
      <c r="V419" s="694"/>
      <c r="W419" s="694"/>
      <c r="X419" s="694"/>
      <c r="Y419" s="694"/>
      <c r="Z419" s="694"/>
      <c r="AA419" s="694"/>
      <c r="AB419" s="694"/>
      <c r="AC419" s="694"/>
      <c r="AD419" s="694"/>
      <c r="AE419" s="694"/>
      <c r="AF419" s="694"/>
      <c r="AG419" s="694"/>
      <c r="AH419" s="694"/>
      <c r="AI419" s="694"/>
      <c r="AJ419" s="694"/>
      <c r="AK419" s="694"/>
      <c r="AL419" s="694"/>
    </row>
    <row r="420" spans="1:38" ht="12.75" customHeight="1" x14ac:dyDescent="0.25">
      <c r="A420" s="694"/>
      <c r="B420" s="298"/>
      <c r="C420" s="1302"/>
      <c r="D420" s="625"/>
      <c r="E420" s="2816" t="str">
        <f>Translations!$B$508</f>
        <v>Посочените тук данни ще се отразят на емисиите, които могат да бъдат зададени съгласно раздел 10.1.1 от приложение VII към ПБР.</v>
      </c>
      <c r="F420" s="2240"/>
      <c r="G420" s="2240"/>
      <c r="H420" s="2240"/>
      <c r="I420" s="2240"/>
      <c r="J420" s="2240"/>
      <c r="K420" s="2240"/>
      <c r="L420" s="2240"/>
      <c r="M420" s="2240"/>
      <c r="N420" s="2811"/>
      <c r="O420" s="302"/>
      <c r="P420" s="302"/>
      <c r="Q420" s="729"/>
      <c r="R420" s="694"/>
      <c r="S420" s="729"/>
      <c r="T420" s="729"/>
      <c r="U420" s="729"/>
      <c r="V420" s="729"/>
      <c r="W420" s="694"/>
      <c r="X420" s="694"/>
      <c r="Y420" s="694"/>
      <c r="Z420" s="694"/>
      <c r="AA420" s="694"/>
      <c r="AB420" s="694"/>
      <c r="AC420" s="694"/>
      <c r="AD420" s="694"/>
      <c r="AE420" s="694"/>
      <c r="AF420" s="694"/>
      <c r="AG420" s="694"/>
      <c r="AH420" s="694"/>
      <c r="AI420" s="694"/>
      <c r="AJ420" s="694"/>
      <c r="AK420" s="694"/>
      <c r="AL420" s="694"/>
    </row>
    <row r="421" spans="1:38" ht="25.5" customHeight="1" x14ac:dyDescent="0.25">
      <c r="A421" s="694"/>
      <c r="B421" s="298"/>
      <c r="C421" s="1302"/>
      <c r="D421" s="1306"/>
      <c r="E421" s="2816" t="str">
        <f>Translations!$B$524</f>
        <v>Имайте предвид, че всички пораждащи емисии потоци трябва да се изброят тук само ако не са обхванати от преките емисии в буква g) по-горе, за да се избегнат пропуски в данните или двойно отчитане. Емисиите, свързани с отпадните газове, НЕ могат да се изброяват тук, а трябва да се посочват в буква l) по-долу.</v>
      </c>
      <c r="F421" s="2240"/>
      <c r="G421" s="2240"/>
      <c r="H421" s="2240"/>
      <c r="I421" s="2240"/>
      <c r="J421" s="2240"/>
      <c r="K421" s="2240"/>
      <c r="L421" s="2240"/>
      <c r="M421" s="2240"/>
      <c r="N421" s="2811"/>
      <c r="O421" s="302"/>
      <c r="P421" s="302"/>
      <c r="Q421" s="729"/>
      <c r="R421" s="729"/>
      <c r="S421" s="729"/>
      <c r="T421" s="694"/>
      <c r="U421" s="694"/>
      <c r="V421" s="694"/>
      <c r="W421" s="694"/>
      <c r="X421" s="694"/>
      <c r="Y421" s="694"/>
      <c r="Z421" s="694"/>
      <c r="AA421" s="694"/>
      <c r="AB421" s="694"/>
      <c r="AC421" s="694"/>
      <c r="AD421" s="694"/>
      <c r="AE421" s="694"/>
      <c r="AF421" s="694"/>
      <c r="AG421" s="694"/>
      <c r="AH421" s="694"/>
      <c r="AI421" s="694"/>
      <c r="AJ421" s="694"/>
      <c r="AK421" s="694"/>
      <c r="AL421" s="694"/>
    </row>
    <row r="422" spans="1:38" ht="12.75" customHeight="1" x14ac:dyDescent="0.25">
      <c r="A422" s="694"/>
      <c r="B422" s="298"/>
      <c r="C422" s="1302"/>
      <c r="D422" s="1306"/>
      <c r="E422" s="2810" t="str">
        <f>Translations!$B$525</f>
        <v>Тук въведете информация за т.нар. вътрешни пораждащи емисии потоци, които се пренасят между подинсталациите, т.е. са получени или подадени от тази подинсталация.</v>
      </c>
      <c r="F422" s="2240"/>
      <c r="G422" s="2240"/>
      <c r="H422" s="2240"/>
      <c r="I422" s="2240"/>
      <c r="J422" s="2240"/>
      <c r="K422" s="2240"/>
      <c r="L422" s="2240"/>
      <c r="M422" s="2240"/>
      <c r="N422" s="2811"/>
      <c r="O422" s="302"/>
      <c r="P422" s="302"/>
      <c r="Q422" s="729"/>
      <c r="R422" s="729"/>
      <c r="S422" s="729"/>
      <c r="T422" s="694"/>
      <c r="U422" s="694"/>
      <c r="V422" s="694"/>
      <c r="W422" s="694"/>
      <c r="X422" s="694"/>
      <c r="Y422" s="694"/>
      <c r="Z422" s="694"/>
      <c r="AA422" s="694"/>
      <c r="AB422" s="694"/>
      <c r="AC422" s="694"/>
      <c r="AD422" s="694"/>
      <c r="AE422" s="694"/>
      <c r="AF422" s="694"/>
      <c r="AG422" s="694"/>
      <c r="AH422" s="694"/>
      <c r="AI422" s="694"/>
      <c r="AJ422" s="694"/>
      <c r="AK422" s="694"/>
      <c r="AL422" s="694"/>
    </row>
    <row r="423" spans="1:38" ht="38.9" customHeight="1" x14ac:dyDescent="0.25">
      <c r="A423" s="694"/>
      <c r="B423" s="298"/>
      <c r="C423" s="1302"/>
      <c r="D423" s="1306"/>
      <c r="E423" s="2810" t="str">
        <f>Translations!$B$526</f>
        <v>Така например, ако това е подинсталацията за „кокс“ на комбинирана инсталация за чугун и стомана, емисиите, свързани с консумацията на кокс, възникват в доменната пещ и не трябва да се задават на тази подинсталация (т.е. подинсталацията за „кокс“). Въпреки това част от емисиите се включват в буква g) по-горе, защото въглищата, които се вкарват в коксовата пещ, ще са един от зададените на първата стъпка пораждащи емисии потоци.</v>
      </c>
      <c r="F423" s="2240"/>
      <c r="G423" s="2240"/>
      <c r="H423" s="2240"/>
      <c r="I423" s="2240"/>
      <c r="J423" s="2240"/>
      <c r="K423" s="2240"/>
      <c r="L423" s="2240"/>
      <c r="M423" s="2240"/>
      <c r="N423" s="2811"/>
      <c r="O423" s="302"/>
      <c r="P423" s="302"/>
      <c r="Q423" s="729"/>
      <c r="R423" s="694"/>
      <c r="S423" s="729"/>
      <c r="T423" s="694"/>
      <c r="U423" s="694"/>
      <c r="V423" s="694"/>
      <c r="W423" s="694"/>
      <c r="X423" s="694"/>
      <c r="Y423" s="694"/>
      <c r="Z423" s="694"/>
      <c r="AA423" s="694"/>
      <c r="AB423" s="694"/>
      <c r="AC423" s="694"/>
      <c r="AD423" s="694"/>
      <c r="AE423" s="694"/>
      <c r="AF423" s="694"/>
      <c r="AG423" s="694"/>
      <c r="AH423" s="694"/>
      <c r="AI423" s="694"/>
      <c r="AJ423" s="694"/>
      <c r="AK423" s="694"/>
      <c r="AL423" s="694"/>
    </row>
    <row r="424" spans="1:38" ht="51" customHeight="1" x14ac:dyDescent="0.25">
      <c r="A424" s="694"/>
      <c r="B424" s="298"/>
      <c r="C424" s="1302"/>
      <c r="D424" s="1306"/>
      <c r="E424" s="2810" t="str">
        <f>Translations!$B$527</f>
        <v>За да се избегне двойно отчитане, коксът, който излиза от коксовата подинсталация, трябва да се коригира като изходящ „вътрешен пораждащ емисии поток“. Това става чрез отрицателна стойност за количеството кокс в случай на „подаване“. За да се получи пълен баланс на емисиите от въглищата, вкарани в коксовата подинсталация, емисиите, свързани с използването на коксов газ (= отпаден газ), са отразени в буква g) по-горе (както е включено в емисиите от въглища), до степента на използване на газа в рамките на подинсталацията. Тук не трябва да се внасят корекции, за да се отчетат подадените количества отпаден газ; това се прави в l).xx. по-долу.</v>
      </c>
      <c r="F424" s="2240"/>
      <c r="G424" s="2240"/>
      <c r="H424" s="2240"/>
      <c r="I424" s="2240"/>
      <c r="J424" s="2240"/>
      <c r="K424" s="2240"/>
      <c r="L424" s="2240"/>
      <c r="M424" s="2240"/>
      <c r="N424" s="2811"/>
      <c r="O424" s="302"/>
      <c r="P424" s="302"/>
      <c r="Q424" s="729"/>
      <c r="R424" s="694"/>
      <c r="S424" s="729"/>
      <c r="T424" s="694"/>
      <c r="U424" s="694"/>
      <c r="V424" s="694"/>
      <c r="W424" s="694"/>
      <c r="X424" s="694"/>
      <c r="Y424" s="694"/>
      <c r="Z424" s="694"/>
      <c r="AA424" s="694"/>
      <c r="AB424" s="694"/>
      <c r="AC424" s="694"/>
      <c r="AD424" s="694"/>
      <c r="AE424" s="694"/>
      <c r="AF424" s="694"/>
      <c r="AG424" s="694"/>
      <c r="AH424" s="694"/>
      <c r="AI424" s="694"/>
      <c r="AJ424" s="694"/>
      <c r="AK424" s="694"/>
      <c r="AL424" s="694"/>
    </row>
    <row r="425" spans="1:38" ht="25.5" customHeight="1" x14ac:dyDescent="0.25">
      <c r="A425" s="694"/>
      <c r="B425" s="298"/>
      <c r="C425" s="1302"/>
      <c r="D425" s="1306"/>
      <c r="E425" s="2810" t="str">
        <f>Translations!$B$528</f>
        <v>И обратно, ако това е подинсталация с показател за течни черни метали в комбинирана инсталация за чугун и стомана, коксът трябва да се посочи тук като входящ/получен „вътрешен“ пораждащ емисии поток с положително количество.</v>
      </c>
      <c r="F425" s="2240"/>
      <c r="G425" s="2240"/>
      <c r="H425" s="2240"/>
      <c r="I425" s="2240"/>
      <c r="J425" s="2240"/>
      <c r="K425" s="2240"/>
      <c r="L425" s="2240"/>
      <c r="M425" s="2240"/>
      <c r="N425" s="2811"/>
      <c r="O425" s="302"/>
      <c r="P425" s="302"/>
      <c r="Q425" s="729"/>
      <c r="R425" s="694"/>
      <c r="S425" s="729"/>
      <c r="T425" s="694"/>
      <c r="U425" s="694"/>
      <c r="V425" s="694"/>
      <c r="W425" s="694"/>
      <c r="X425" s="694"/>
      <c r="Y425" s="694"/>
      <c r="Z425" s="694"/>
      <c r="AA425" s="694"/>
      <c r="AB425" s="694"/>
      <c r="AC425" s="694"/>
      <c r="AD425" s="694"/>
      <c r="AE425" s="694"/>
      <c r="AF425" s="694"/>
      <c r="AG425" s="694"/>
      <c r="AH425" s="694"/>
      <c r="AI425" s="694"/>
      <c r="AJ425" s="694"/>
      <c r="AK425" s="694"/>
      <c r="AL425" s="694"/>
    </row>
    <row r="426" spans="1:38" ht="12.75" customHeight="1" x14ac:dyDescent="0.25">
      <c r="A426" s="694"/>
      <c r="B426" s="298"/>
      <c r="C426" s="1302"/>
      <c r="D426" s="625" t="s">
        <v>6</v>
      </c>
      <c r="E426" s="2817" t="str">
        <f>Translations!$B$529</f>
        <v>За тази подинсталация отнасят ли се други получени или подадени вътрешни пораждащи емисии потоци?</v>
      </c>
      <c r="F426" s="2240"/>
      <c r="G426" s="2240"/>
      <c r="H426" s="2240"/>
      <c r="I426" s="2240"/>
      <c r="J426" s="2240"/>
      <c r="K426" s="2684"/>
      <c r="L426" s="83"/>
      <c r="M426" s="1322"/>
      <c r="N426" s="1323"/>
      <c r="O426" s="302"/>
      <c r="P426" s="158"/>
      <c r="Q426" s="729"/>
      <c r="R426" s="694"/>
      <c r="S426" s="729"/>
      <c r="T426" s="694"/>
      <c r="U426" s="694"/>
      <c r="V426" s="694"/>
      <c r="W426" s="694"/>
      <c r="X426" s="694"/>
      <c r="Y426" s="694"/>
      <c r="Z426" s="694"/>
      <c r="AA426" s="694"/>
      <c r="AB426" s="694"/>
      <c r="AC426" s="694"/>
      <c r="AD426" s="694"/>
      <c r="AE426" s="694"/>
      <c r="AF426" s="1182" t="s">
        <v>737</v>
      </c>
      <c r="AG426" s="901" t="b">
        <f>AND(CNTR_ExistSubInstEntries,I294="")</f>
        <v>0</v>
      </c>
      <c r="AH426" s="694"/>
      <c r="AI426" s="694"/>
      <c r="AJ426" s="694"/>
      <c r="AK426" s="694"/>
      <c r="AL426" s="694"/>
    </row>
    <row r="427" spans="1:38" ht="12.75" customHeight="1" x14ac:dyDescent="0.25">
      <c r="A427" s="694"/>
      <c r="B427" s="298"/>
      <c r="C427" s="1302"/>
      <c r="D427" s="1306"/>
      <c r="E427" s="2810" t="str">
        <f>Translations!$B$530</f>
        <v>Ако има над два получени или подадени пораждащи емисии потока, тези няколко пораждащи емисии потока следва да се групират заедно и да се посочат имената им.</v>
      </c>
      <c r="F427" s="2240"/>
      <c r="G427" s="2240"/>
      <c r="H427" s="2240"/>
      <c r="I427" s="2240"/>
      <c r="J427" s="2240"/>
      <c r="K427" s="2240"/>
      <c r="L427" s="2240"/>
      <c r="M427" s="2240"/>
      <c r="N427" s="2811"/>
      <c r="O427" s="302"/>
      <c r="P427" s="302"/>
      <c r="Q427" s="729"/>
      <c r="R427" s="694"/>
      <c r="S427" s="729"/>
      <c r="T427" s="694"/>
      <c r="U427" s="694"/>
      <c r="V427" s="694"/>
      <c r="W427" s="694"/>
      <c r="X427" s="694"/>
      <c r="Y427" s="694"/>
      <c r="Z427" s="694"/>
      <c r="AA427" s="694"/>
      <c r="AB427" s="694"/>
      <c r="AC427" s="694"/>
      <c r="AD427" s="694"/>
      <c r="AE427" s="694"/>
      <c r="AF427" s="694"/>
      <c r="AG427" s="694"/>
      <c r="AH427" s="694"/>
      <c r="AI427" s="694"/>
      <c r="AJ427" s="694"/>
      <c r="AK427" s="694"/>
      <c r="AL427" s="694"/>
    </row>
    <row r="428" spans="1:38" ht="12.75" customHeight="1" x14ac:dyDescent="0.25">
      <c r="A428" s="694"/>
      <c r="B428" s="298"/>
      <c r="C428" s="1302"/>
      <c r="D428" s="625" t="s">
        <v>7</v>
      </c>
      <c r="E428" s="2815" t="str">
        <f>Translations!$B$531</f>
        <v>Име на други пораждащи емисии потоци — 1:</v>
      </c>
      <c r="F428" s="2240"/>
      <c r="G428" s="2240"/>
      <c r="H428" s="2684"/>
      <c r="I428" s="2821"/>
      <c r="J428" s="2834"/>
      <c r="K428" s="2834"/>
      <c r="L428" s="2834"/>
      <c r="M428" s="2835"/>
      <c r="N428" s="1324"/>
      <c r="O428" s="302"/>
      <c r="P428" s="158"/>
      <c r="Q428" s="729"/>
      <c r="R428" s="694"/>
      <c r="S428" s="729"/>
      <c r="T428" s="694"/>
      <c r="U428" s="694"/>
      <c r="V428" s="694"/>
      <c r="W428" s="694"/>
      <c r="X428" s="694"/>
      <c r="Y428" s="694"/>
      <c r="Z428" s="694"/>
      <c r="AA428" s="694"/>
      <c r="AB428" s="694"/>
      <c r="AC428" s="1182" t="s">
        <v>737</v>
      </c>
      <c r="AD428" s="901" t="b">
        <f>OR(AG426,AND($L426&lt;&gt;"",$L426=FALSE))</f>
        <v>0</v>
      </c>
      <c r="AE428" s="694"/>
      <c r="AF428" s="694"/>
      <c r="AG428" s="694"/>
      <c r="AH428" s="694"/>
      <c r="AI428" s="694"/>
      <c r="AJ428" s="694"/>
      <c r="AK428" s="694"/>
      <c r="AL428" s="694"/>
    </row>
    <row r="429" spans="1:38" ht="5.15" customHeight="1" x14ac:dyDescent="0.25">
      <c r="A429" s="694"/>
      <c r="B429" s="298"/>
      <c r="C429" s="1302"/>
      <c r="D429" s="1306"/>
      <c r="E429" s="1325"/>
      <c r="F429" s="1322"/>
      <c r="G429" s="1322"/>
      <c r="H429" s="1322"/>
      <c r="I429" s="1322"/>
      <c r="J429" s="1322"/>
      <c r="K429" s="1322"/>
      <c r="L429" s="1322"/>
      <c r="M429" s="1322"/>
      <c r="N429" s="1323"/>
      <c r="O429" s="302"/>
      <c r="P429" s="302"/>
      <c r="Q429" s="729"/>
      <c r="R429" s="694"/>
      <c r="S429" s="729"/>
      <c r="T429" s="694"/>
      <c r="U429" s="694"/>
      <c r="V429" s="694"/>
      <c r="W429" s="694"/>
      <c r="X429" s="694"/>
      <c r="Y429" s="694"/>
      <c r="Z429" s="694"/>
      <c r="AA429" s="694"/>
      <c r="AB429" s="694"/>
      <c r="AC429" s="694"/>
      <c r="AD429" s="694"/>
      <c r="AE429" s="694"/>
      <c r="AF429" s="694"/>
      <c r="AG429" s="694"/>
      <c r="AH429" s="694"/>
      <c r="AI429" s="694"/>
      <c r="AJ429" s="694"/>
      <c r="AK429" s="694"/>
      <c r="AL429" s="694"/>
    </row>
    <row r="430" spans="1:38" ht="12.75" customHeight="1" thickBot="1" x14ac:dyDescent="0.3">
      <c r="A430" s="694"/>
      <c r="B430" s="298"/>
      <c r="C430" s="1302"/>
      <c r="D430" s="1306"/>
      <c r="E430" s="2803" t="str">
        <f>Translations!$B$532</f>
        <v>Други пораждащи емисии потоци — 1</v>
      </c>
      <c r="F430" s="2672"/>
      <c r="G430" s="1309" t="str">
        <f>EUconst_Unit</f>
        <v>Единица мярка</v>
      </c>
      <c r="H430" s="629">
        <f t="shared" ref="H430:N430" si="262">H$2831</f>
        <v>2024</v>
      </c>
      <c r="I430" s="1310">
        <f t="shared" si="262"/>
        <v>2025</v>
      </c>
      <c r="J430" s="1311">
        <f t="shared" si="262"/>
        <v>2026</v>
      </c>
      <c r="K430" s="629">
        <f t="shared" si="262"/>
        <v>2027</v>
      </c>
      <c r="L430" s="629">
        <f t="shared" si="262"/>
        <v>2028</v>
      </c>
      <c r="M430" s="629">
        <f t="shared" si="262"/>
        <v>2029</v>
      </c>
      <c r="N430" s="1312">
        <f t="shared" si="262"/>
        <v>2030</v>
      </c>
      <c r="O430" s="302"/>
      <c r="P430" s="302"/>
      <c r="Q430" s="729"/>
      <c r="R430" s="694"/>
      <c r="S430" s="729"/>
      <c r="T430" s="694"/>
      <c r="U430" s="694"/>
      <c r="V430" s="694"/>
      <c r="W430" s="694"/>
      <c r="X430" s="694"/>
      <c r="Y430" s="694"/>
      <c r="Z430" s="694"/>
      <c r="AA430" s="694"/>
      <c r="AB430" s="694"/>
      <c r="AC430" s="1178">
        <f t="shared" ref="AC430" si="263">H$20</f>
        <v>2024</v>
      </c>
      <c r="AD430" s="1178">
        <f t="shared" ref="AD430" si="264">I$20</f>
        <v>2025</v>
      </c>
      <c r="AE430" s="1178">
        <f t="shared" ref="AE430" si="265">J$20</f>
        <v>2026</v>
      </c>
      <c r="AF430" s="1178">
        <f t="shared" ref="AF430" si="266">K$20</f>
        <v>2027</v>
      </c>
      <c r="AG430" s="1178">
        <f t="shared" ref="AG430" si="267">L$20</f>
        <v>2028</v>
      </c>
      <c r="AH430" s="1178">
        <f t="shared" ref="AH430" si="268">M$20</f>
        <v>2029</v>
      </c>
      <c r="AI430" s="1178">
        <f t="shared" ref="AI430" si="269">N$20</f>
        <v>2030</v>
      </c>
      <c r="AJ430" s="694"/>
      <c r="AK430" s="694"/>
      <c r="AL430" s="694"/>
    </row>
    <row r="431" spans="1:38" ht="12.75" customHeight="1" x14ac:dyDescent="0.25">
      <c r="A431" s="694"/>
      <c r="B431" s="298"/>
      <c r="C431" s="1302"/>
      <c r="D431" s="625" t="s">
        <v>8</v>
      </c>
      <c r="E431" s="2818" t="str">
        <f>Translations!$B$533</f>
        <v>Получено или подадено количество</v>
      </c>
      <c r="F431" s="2701"/>
      <c r="G431" s="1326" t="str">
        <f>EUconst_tpa</f>
        <v>t / година</v>
      </c>
      <c r="H431" s="129"/>
      <c r="I431" s="130"/>
      <c r="J431" s="131"/>
      <c r="K431" s="129"/>
      <c r="L431" s="129"/>
      <c r="M431" s="129"/>
      <c r="N431" s="132"/>
      <c r="O431" s="302"/>
      <c r="P431" s="158"/>
      <c r="Q431" s="729"/>
      <c r="R431" s="694"/>
      <c r="S431" s="729"/>
      <c r="T431" s="694"/>
      <c r="U431" s="694"/>
      <c r="V431" s="694"/>
      <c r="W431" s="694"/>
      <c r="X431" s="694"/>
      <c r="Y431" s="694"/>
      <c r="Z431" s="694"/>
      <c r="AA431" s="694"/>
      <c r="AB431" s="1182" t="s">
        <v>737</v>
      </c>
      <c r="AC431" s="901" t="b">
        <f>OR(AND($L426&lt;&gt;"",$L426=FALSE),AC341)</f>
        <v>0</v>
      </c>
      <c r="AD431" s="982" t="b">
        <f t="shared" ref="AD431:AI431" si="270">OR(AND($L426&lt;&gt;"",$L426=FALSE),AD341)</f>
        <v>0</v>
      </c>
      <c r="AE431" s="982" t="b">
        <f t="shared" si="270"/>
        <v>0</v>
      </c>
      <c r="AF431" s="982" t="b">
        <f t="shared" si="270"/>
        <v>0</v>
      </c>
      <c r="AG431" s="982" t="b">
        <f t="shared" si="270"/>
        <v>0</v>
      </c>
      <c r="AH431" s="982" t="b">
        <f t="shared" si="270"/>
        <v>0</v>
      </c>
      <c r="AI431" s="982" t="b">
        <f t="shared" si="270"/>
        <v>0</v>
      </c>
      <c r="AJ431" s="1174" t="s">
        <v>2039</v>
      </c>
      <c r="AK431" s="1176" t="str">
        <f>IF(AND(CNTR_ExistSubInstEntries,MSconst_RequireSubAttrEmissions,COUNTIFS(AC431:AI431,FALSE,H431:N431,"")&gt;0),EUconst_Error&amp;"BM"&amp;$Q294,"")</f>
        <v/>
      </c>
      <c r="AL431" s="694"/>
    </row>
    <row r="432" spans="1:38" ht="12.75" customHeight="1" x14ac:dyDescent="0.25">
      <c r="A432" s="694"/>
      <c r="B432" s="298"/>
      <c r="C432" s="1302"/>
      <c r="D432" s="625" t="s">
        <v>18</v>
      </c>
      <c r="E432" s="2831" t="str">
        <f>Translations!$B$534</f>
        <v>Долна топлина на изгаряне (NCV), ако е приложимо</v>
      </c>
      <c r="F432" s="2703"/>
      <c r="G432" s="1327" t="str">
        <f>EUconst_GJpt</f>
        <v>GJ / t</v>
      </c>
      <c r="H432" s="133"/>
      <c r="I432" s="134"/>
      <c r="J432" s="135"/>
      <c r="K432" s="133"/>
      <c r="L432" s="133"/>
      <c r="M432" s="133"/>
      <c r="N432" s="136"/>
      <c r="O432" s="302"/>
      <c r="P432" s="158"/>
      <c r="Q432" s="729"/>
      <c r="R432" s="694"/>
      <c r="S432" s="729"/>
      <c r="T432" s="694"/>
      <c r="U432" s="694"/>
      <c r="V432" s="694"/>
      <c r="W432" s="694"/>
      <c r="X432" s="694"/>
      <c r="Y432" s="694"/>
      <c r="Z432" s="694"/>
      <c r="AA432" s="694"/>
      <c r="AB432" s="694"/>
      <c r="AC432" s="982" t="b">
        <f t="shared" ref="AC432:AI432" si="271">AC431</f>
        <v>0</v>
      </c>
      <c r="AD432" s="982" t="b">
        <f t="shared" si="271"/>
        <v>0</v>
      </c>
      <c r="AE432" s="982" t="b">
        <f t="shared" si="271"/>
        <v>0</v>
      </c>
      <c r="AF432" s="982" t="b">
        <f t="shared" si="271"/>
        <v>0</v>
      </c>
      <c r="AG432" s="982" t="b">
        <f t="shared" si="271"/>
        <v>0</v>
      </c>
      <c r="AH432" s="982" t="b">
        <f t="shared" si="271"/>
        <v>0</v>
      </c>
      <c r="AI432" s="982" t="b">
        <f t="shared" si="271"/>
        <v>0</v>
      </c>
      <c r="AJ432" s="1174" t="s">
        <v>2039</v>
      </c>
      <c r="AK432" s="1176" t="str">
        <f>IF(AND(CNTR_ExistSubInstEntries,MSconst_RequireSubAttrEmissions,COUNTIFS(AC432:AI432,FALSE,H432:N432,"")&gt;0),EUconst_Error&amp;"BM"&amp;$Q294,"")</f>
        <v/>
      </c>
      <c r="AL432" s="694"/>
    </row>
    <row r="433" spans="1:38" ht="12.75" customHeight="1" thickBot="1" x14ac:dyDescent="0.3">
      <c r="A433" s="694"/>
      <c r="B433" s="298"/>
      <c r="C433" s="1302"/>
      <c r="D433" s="625" t="s">
        <v>810</v>
      </c>
      <c r="E433" s="2831" t="str">
        <f>Translations!$B$535</f>
        <v>Въглеродно съдържание (тегловни %)</v>
      </c>
      <c r="F433" s="2703"/>
      <c r="G433" s="1328" t="s">
        <v>903</v>
      </c>
      <c r="H433" s="133"/>
      <c r="I433" s="134"/>
      <c r="J433" s="135"/>
      <c r="K433" s="133"/>
      <c r="L433" s="133"/>
      <c r="M433" s="133"/>
      <c r="N433" s="136"/>
      <c r="O433" s="302"/>
      <c r="P433" s="158"/>
      <c r="Q433" s="729"/>
      <c r="R433" s="694"/>
      <c r="S433" s="729"/>
      <c r="T433" s="694"/>
      <c r="U433" s="694"/>
      <c r="V433" s="694"/>
      <c r="W433" s="694"/>
      <c r="X433" s="694"/>
      <c r="Y433" s="694"/>
      <c r="Z433" s="694"/>
      <c r="AA433" s="694"/>
      <c r="AB433" s="694"/>
      <c r="AC433" s="982" t="b">
        <f t="shared" ref="AC433:AI433" si="272">AC432</f>
        <v>0</v>
      </c>
      <c r="AD433" s="982" t="b">
        <f t="shared" si="272"/>
        <v>0</v>
      </c>
      <c r="AE433" s="982" t="b">
        <f t="shared" si="272"/>
        <v>0</v>
      </c>
      <c r="AF433" s="982" t="b">
        <f t="shared" si="272"/>
        <v>0</v>
      </c>
      <c r="AG433" s="982" t="b">
        <f t="shared" si="272"/>
        <v>0</v>
      </c>
      <c r="AH433" s="982" t="b">
        <f t="shared" si="272"/>
        <v>0</v>
      </c>
      <c r="AI433" s="982" t="b">
        <f t="shared" si="272"/>
        <v>0</v>
      </c>
      <c r="AJ433" s="1174" t="s">
        <v>2039</v>
      </c>
      <c r="AK433" s="1176" t="str">
        <f>IF(AND(CNTR_ExistSubInstEntries,MSconst_RequireSubAttrEmissions,COUNTIFS(AC433:AI433,FALSE,H433:N433,"")&gt;0),EUconst_Error&amp;"BM"&amp;$Q294,"")</f>
        <v/>
      </c>
      <c r="AL433" s="694"/>
    </row>
    <row r="434" spans="1:38" ht="12.75" customHeight="1" x14ac:dyDescent="0.25">
      <c r="A434" s="694"/>
      <c r="B434" s="298"/>
      <c r="C434" s="1302"/>
      <c r="D434" s="625" t="s">
        <v>811</v>
      </c>
      <c r="E434" s="2828" t="str">
        <f>Translations!$B$536</f>
        <v>Съдържание на биомаса (като дял от въглеродното съдържание)</v>
      </c>
      <c r="F434" s="2705"/>
      <c r="G434" s="1329" t="s">
        <v>903</v>
      </c>
      <c r="H434" s="137"/>
      <c r="I434" s="138"/>
      <c r="J434" s="139"/>
      <c r="K434" s="137"/>
      <c r="L434" s="137"/>
      <c r="M434" s="137"/>
      <c r="N434" s="140"/>
      <c r="O434" s="302"/>
      <c r="P434" s="158"/>
      <c r="Q434" s="729"/>
      <c r="R434" s="694"/>
      <c r="S434" s="1205"/>
      <c r="T434" s="1313">
        <f t="shared" ref="T434" si="273">H430</f>
        <v>2024</v>
      </c>
      <c r="U434" s="1313">
        <f t="shared" ref="U434" si="274">I430</f>
        <v>2025</v>
      </c>
      <c r="V434" s="1313">
        <f t="shared" ref="V434" si="275">J430</f>
        <v>2026</v>
      </c>
      <c r="W434" s="1313">
        <f t="shared" ref="W434" si="276">K430</f>
        <v>2027</v>
      </c>
      <c r="X434" s="1313">
        <f t="shared" ref="X434" si="277">L430</f>
        <v>2028</v>
      </c>
      <c r="Y434" s="1313">
        <f t="shared" ref="Y434" si="278">M430</f>
        <v>2029</v>
      </c>
      <c r="Z434" s="1314">
        <f t="shared" ref="Z434" si="279">N430</f>
        <v>2030</v>
      </c>
      <c r="AA434" s="694"/>
      <c r="AB434" s="694"/>
      <c r="AC434" s="982" t="b">
        <f t="shared" ref="AC434:AI434" si="280">AC433</f>
        <v>0</v>
      </c>
      <c r="AD434" s="982" t="b">
        <f t="shared" si="280"/>
        <v>0</v>
      </c>
      <c r="AE434" s="982" t="b">
        <f t="shared" si="280"/>
        <v>0</v>
      </c>
      <c r="AF434" s="982" t="b">
        <f t="shared" si="280"/>
        <v>0</v>
      </c>
      <c r="AG434" s="982" t="b">
        <f t="shared" si="280"/>
        <v>0</v>
      </c>
      <c r="AH434" s="982" t="b">
        <f t="shared" si="280"/>
        <v>0</v>
      </c>
      <c r="AI434" s="982" t="b">
        <f t="shared" si="280"/>
        <v>0</v>
      </c>
      <c r="AJ434" s="1174" t="s">
        <v>2039</v>
      </c>
      <c r="AK434" s="1176" t="str">
        <f>IF(AND(CNTR_ExistSubInstEntries,MSconst_RequireSubAttrEmissions,COUNTIFS(AC434:AI434,FALSE,H434:N434,"")&gt;0),EUconst_Error&amp;"BM"&amp;$Q294,"")</f>
        <v/>
      </c>
      <c r="AL434" s="694"/>
    </row>
    <row r="435" spans="1:38" ht="12.75" customHeight="1" thickBot="1" x14ac:dyDescent="0.3">
      <c r="A435" s="694"/>
      <c r="B435" s="298"/>
      <c r="C435" s="1302"/>
      <c r="D435" s="625" t="s">
        <v>812</v>
      </c>
      <c r="E435" s="2832" t="str">
        <f>Translations!$B$537</f>
        <v>Емисии (от горива, изчислени)</v>
      </c>
      <c r="F435" s="2701"/>
      <c r="G435" s="1330" t="str">
        <f>EUconst_tCO2pa</f>
        <v>t CO2 / година</v>
      </c>
      <c r="H435" s="1331" t="str">
        <f t="shared" ref="H435:N435" si="281">IF(AND(COUNT(H431:H434)&gt;0,H438=""),3.664*H431*(H433/100)*(1-H434/100),"")</f>
        <v/>
      </c>
      <c r="I435" s="1332" t="str">
        <f t="shared" si="281"/>
        <v/>
      </c>
      <c r="J435" s="1333" t="str">
        <f t="shared" si="281"/>
        <v/>
      </c>
      <c r="K435" s="1331" t="str">
        <f t="shared" si="281"/>
        <v/>
      </c>
      <c r="L435" s="1331" t="str">
        <f t="shared" si="281"/>
        <v/>
      </c>
      <c r="M435" s="1331" t="str">
        <f t="shared" si="281"/>
        <v/>
      </c>
      <c r="N435" s="1334" t="str">
        <f t="shared" si="281"/>
        <v/>
      </c>
      <c r="O435" s="302"/>
      <c r="P435" s="302"/>
      <c r="Q435" s="1190" t="str">
        <f>EUconst_CNTR_EmissionsIntSource1 &amp; I294</f>
        <v>EmInternalSource1_</v>
      </c>
      <c r="R435" s="694"/>
      <c r="S435" s="1315" t="str">
        <f>EUconst_CNTR_AttributedEmissions &amp; I294</f>
        <v>AttrEmissions_</v>
      </c>
      <c r="T435" s="1290" t="str">
        <f t="shared" ref="T435" si="282">IF(T302,SUM(H435),"")</f>
        <v/>
      </c>
      <c r="U435" s="1290" t="str">
        <f t="shared" ref="U435" si="283">IF(U302,SUM(I435),"")</f>
        <v/>
      </c>
      <c r="V435" s="1290" t="str">
        <f t="shared" ref="V435" si="284">IF(V302,SUM(J435),"")</f>
        <v/>
      </c>
      <c r="W435" s="1290" t="str">
        <f t="shared" ref="W435" si="285">IF(W302,SUM(K435),"")</f>
        <v/>
      </c>
      <c r="X435" s="1290" t="str">
        <f t="shared" ref="X435" si="286">IF(X302,SUM(L435),"")</f>
        <v/>
      </c>
      <c r="Y435" s="1290" t="str">
        <f t="shared" ref="Y435" si="287">IF(Y302,SUM(M435),"")</f>
        <v/>
      </c>
      <c r="Z435" s="1291" t="str">
        <f t="shared" ref="Z435" si="288">IF(Z302,SUM(N435),"")</f>
        <v/>
      </c>
      <c r="AA435" s="694"/>
      <c r="AB435" s="694"/>
      <c r="AC435" s="694"/>
      <c r="AD435" s="694"/>
      <c r="AE435" s="694"/>
      <c r="AF435" s="694"/>
      <c r="AG435" s="694"/>
      <c r="AH435" s="694"/>
      <c r="AI435" s="694"/>
      <c r="AJ435" s="694"/>
      <c r="AK435" s="694"/>
      <c r="AL435" s="694"/>
    </row>
    <row r="436" spans="1:38" ht="12.75" customHeight="1" x14ac:dyDescent="0.25">
      <c r="A436" s="694"/>
      <c r="B436" s="298"/>
      <c r="C436" s="1302"/>
      <c r="D436" s="625" t="s">
        <v>813</v>
      </c>
      <c r="E436" s="2833" t="str">
        <f>Translations!$B$538</f>
        <v>Допълнителна информация за справка: Емисии от биомаса</v>
      </c>
      <c r="F436" s="2703"/>
      <c r="G436" s="1335" t="str">
        <f>EUconst_tCO2pa</f>
        <v>t CO2 / година</v>
      </c>
      <c r="H436" s="1336" t="str">
        <f t="shared" ref="H436:N436" si="289">IF(ISNUMBER(H435),3.664*H431*(H433/100)*(H434/100),"")</f>
        <v/>
      </c>
      <c r="I436" s="1337" t="str">
        <f t="shared" si="289"/>
        <v/>
      </c>
      <c r="J436" s="1338" t="str">
        <f t="shared" si="289"/>
        <v/>
      </c>
      <c r="K436" s="1336" t="str">
        <f t="shared" si="289"/>
        <v/>
      </c>
      <c r="L436" s="1336" t="str">
        <f t="shared" si="289"/>
        <v/>
      </c>
      <c r="M436" s="1336" t="str">
        <f t="shared" si="289"/>
        <v/>
      </c>
      <c r="N436" s="1339" t="str">
        <f t="shared" si="289"/>
        <v/>
      </c>
      <c r="O436" s="302"/>
      <c r="P436" s="302"/>
      <c r="Q436" s="729"/>
      <c r="R436" s="694"/>
      <c r="S436" s="729"/>
      <c r="T436" s="694"/>
      <c r="U436" s="694"/>
      <c r="V436" s="694"/>
      <c r="W436" s="694"/>
      <c r="X436" s="694"/>
      <c r="Y436" s="694"/>
      <c r="Z436" s="694"/>
      <c r="AA436" s="694"/>
      <c r="AB436" s="694"/>
      <c r="AC436" s="694"/>
      <c r="AD436" s="694"/>
      <c r="AE436" s="694"/>
      <c r="AF436" s="694"/>
      <c r="AG436" s="694"/>
      <c r="AH436" s="694"/>
      <c r="AI436" s="694"/>
      <c r="AJ436" s="694"/>
      <c r="AK436" s="694"/>
      <c r="AL436" s="694"/>
    </row>
    <row r="437" spans="1:38" ht="12.75" customHeight="1" x14ac:dyDescent="0.25">
      <c r="A437" s="694"/>
      <c r="B437" s="298"/>
      <c r="C437" s="1302"/>
      <c r="D437" s="625" t="s">
        <v>814</v>
      </c>
      <c r="E437" s="2828" t="str">
        <f>Translations!$B$539</f>
        <v>Енергийно съдържание (изчислено)</v>
      </c>
      <c r="F437" s="2705"/>
      <c r="G437" s="1340" t="str">
        <f>EUconst_TJpa</f>
        <v>TJ / година</v>
      </c>
      <c r="H437" s="1104" t="str">
        <f t="shared" ref="H437:N437" si="290">IF(COUNT(H431:H432)=2,H431*H432/1000,"")</f>
        <v/>
      </c>
      <c r="I437" s="1296" t="str">
        <f t="shared" si="290"/>
        <v/>
      </c>
      <c r="J437" s="1297" t="str">
        <f t="shared" si="290"/>
        <v/>
      </c>
      <c r="K437" s="1104" t="str">
        <f t="shared" si="290"/>
        <v/>
      </c>
      <c r="L437" s="1104" t="str">
        <f t="shared" si="290"/>
        <v/>
      </c>
      <c r="M437" s="1104" t="str">
        <f t="shared" si="290"/>
        <v/>
      </c>
      <c r="N437" s="1341" t="str">
        <f t="shared" si="290"/>
        <v/>
      </c>
      <c r="O437" s="302"/>
      <c r="P437" s="302"/>
      <c r="Q437" s="729"/>
      <c r="R437" s="694"/>
      <c r="S437" s="729"/>
      <c r="T437" s="694"/>
      <c r="U437" s="694"/>
      <c r="V437" s="694"/>
      <c r="W437" s="694"/>
      <c r="X437" s="694"/>
      <c r="Y437" s="694"/>
      <c r="Z437" s="694"/>
      <c r="AA437" s="694"/>
      <c r="AB437" s="694"/>
      <c r="AC437" s="694"/>
      <c r="AD437" s="694"/>
      <c r="AE437" s="694"/>
      <c r="AF437" s="694"/>
      <c r="AG437" s="694"/>
      <c r="AH437" s="694"/>
      <c r="AI437" s="694"/>
      <c r="AJ437" s="694"/>
      <c r="AK437" s="694"/>
      <c r="AL437" s="694"/>
    </row>
    <row r="438" spans="1:38" ht="12.75" customHeight="1" x14ac:dyDescent="0.25">
      <c r="A438" s="694"/>
      <c r="B438" s="298"/>
      <c r="C438" s="1302"/>
      <c r="D438" s="625" t="s">
        <v>61</v>
      </c>
      <c r="E438" s="2829" t="str">
        <f>Translations!$B$540</f>
        <v>Съобщения за грешка (емисии)</v>
      </c>
      <c r="F438" s="2830"/>
      <c r="G438" s="1342"/>
      <c r="H438" s="1343" t="str">
        <f t="shared" ref="H438:N438" si="291">IF(COUNT(H431,H433:H434)&gt;0,IF(COUNTIF(H432:H434,"&lt;0")&gt;0,EUconst_Negative,IF(COUNT(H431,H433:H434)&lt;3,EUconst_Incomplete,"")),"")</f>
        <v/>
      </c>
      <c r="I438" s="1344" t="str">
        <f t="shared" si="291"/>
        <v/>
      </c>
      <c r="J438" s="1345" t="str">
        <f t="shared" si="291"/>
        <v/>
      </c>
      <c r="K438" s="1343" t="str">
        <f t="shared" si="291"/>
        <v/>
      </c>
      <c r="L438" s="1343" t="str">
        <f t="shared" si="291"/>
        <v/>
      </c>
      <c r="M438" s="1343" t="str">
        <f t="shared" si="291"/>
        <v/>
      </c>
      <c r="N438" s="1346" t="str">
        <f t="shared" si="291"/>
        <v/>
      </c>
      <c r="O438" s="302"/>
      <c r="P438" s="302"/>
      <c r="Q438" s="729"/>
      <c r="R438" s="694"/>
      <c r="S438" s="729"/>
      <c r="T438" s="694"/>
      <c r="U438" s="694"/>
      <c r="V438" s="694"/>
      <c r="W438" s="694"/>
      <c r="X438" s="694"/>
      <c r="Y438" s="694"/>
      <c r="Z438" s="694"/>
      <c r="AA438" s="694"/>
      <c r="AB438" s="694"/>
      <c r="AC438" s="694"/>
      <c r="AD438" s="694"/>
      <c r="AE438" s="694"/>
      <c r="AF438" s="694"/>
      <c r="AG438" s="694"/>
      <c r="AH438" s="694"/>
      <c r="AI438" s="694"/>
      <c r="AJ438" s="694"/>
      <c r="AK438" s="694"/>
      <c r="AL438" s="694"/>
    </row>
    <row r="439" spans="1:38" ht="12.75" customHeight="1" x14ac:dyDescent="0.25">
      <c r="A439" s="694"/>
      <c r="B439" s="298"/>
      <c r="C439" s="1302"/>
      <c r="D439" s="625"/>
      <c r="E439" s="1306"/>
      <c r="F439" s="1306"/>
      <c r="G439" s="1306"/>
      <c r="H439" s="1306"/>
      <c r="I439" s="1306"/>
      <c r="J439" s="1306"/>
      <c r="K439" s="1306"/>
      <c r="L439" s="1306"/>
      <c r="M439" s="626"/>
      <c r="N439" s="1316"/>
      <c r="O439" s="302"/>
      <c r="P439" s="302"/>
      <c r="Q439" s="729"/>
      <c r="R439" s="694"/>
      <c r="S439" s="729"/>
      <c r="T439" s="694"/>
      <c r="U439" s="694"/>
      <c r="V439" s="694"/>
      <c r="W439" s="694"/>
      <c r="X439" s="694"/>
      <c r="Y439" s="694"/>
      <c r="Z439" s="694"/>
      <c r="AA439" s="694"/>
      <c r="AB439" s="694"/>
      <c r="AC439" s="694"/>
      <c r="AD439" s="694"/>
      <c r="AE439" s="694"/>
      <c r="AF439" s="694"/>
      <c r="AG439" s="694"/>
      <c r="AH439" s="694"/>
      <c r="AI439" s="694"/>
      <c r="AJ439" s="694"/>
      <c r="AK439" s="694"/>
      <c r="AL439" s="694"/>
    </row>
    <row r="440" spans="1:38" ht="12.75" customHeight="1" x14ac:dyDescent="0.25">
      <c r="A440" s="694"/>
      <c r="B440" s="298"/>
      <c r="C440" s="1302"/>
      <c r="D440" s="625" t="s">
        <v>62</v>
      </c>
      <c r="E440" s="2815" t="str">
        <f>Translations!$B$541</f>
        <v>Име на други пораждащи емисии потоци — 2:</v>
      </c>
      <c r="F440" s="2240"/>
      <c r="G440" s="2240"/>
      <c r="H440" s="2684"/>
      <c r="I440" s="2821"/>
      <c r="J440" s="2674"/>
      <c r="K440" s="2674"/>
      <c r="L440" s="2674"/>
      <c r="M440" s="2675"/>
      <c r="N440" s="1323"/>
      <c r="O440" s="302"/>
      <c r="P440" s="158"/>
      <c r="Q440" s="729"/>
      <c r="R440" s="694"/>
      <c r="S440" s="729"/>
      <c r="T440" s="694"/>
      <c r="U440" s="694"/>
      <c r="V440" s="694"/>
      <c r="W440" s="694"/>
      <c r="X440" s="694"/>
      <c r="Y440" s="694"/>
      <c r="Z440" s="694"/>
      <c r="AA440" s="694"/>
      <c r="AB440" s="694"/>
      <c r="AC440" s="1182" t="s">
        <v>737</v>
      </c>
      <c r="AD440" s="982" t="b">
        <f>AD428</f>
        <v>0</v>
      </c>
      <c r="AE440" s="694"/>
      <c r="AF440" s="694"/>
      <c r="AG440" s="694"/>
      <c r="AH440" s="694"/>
      <c r="AI440" s="694"/>
      <c r="AJ440" s="694"/>
      <c r="AK440" s="694"/>
      <c r="AL440" s="694"/>
    </row>
    <row r="441" spans="1:38" ht="5.15" customHeight="1" x14ac:dyDescent="0.25">
      <c r="A441" s="694"/>
      <c r="B441" s="298"/>
      <c r="C441" s="1302"/>
      <c r="D441" s="1306"/>
      <c r="E441" s="1325"/>
      <c r="F441" s="1322"/>
      <c r="G441" s="1306"/>
      <c r="H441" s="1306"/>
      <c r="I441" s="1322"/>
      <c r="J441" s="1322"/>
      <c r="K441" s="1322"/>
      <c r="L441" s="1322"/>
      <c r="M441" s="1322"/>
      <c r="N441" s="1323"/>
      <c r="O441" s="302"/>
      <c r="P441" s="302"/>
      <c r="Q441" s="729"/>
      <c r="R441" s="694"/>
      <c r="S441" s="729"/>
      <c r="T441" s="694"/>
      <c r="U441" s="694"/>
      <c r="V441" s="694"/>
      <c r="W441" s="694"/>
      <c r="X441" s="694"/>
      <c r="Y441" s="694"/>
      <c r="Z441" s="694"/>
      <c r="AA441" s="694"/>
      <c r="AB441" s="694"/>
      <c r="AC441" s="694"/>
      <c r="AD441" s="694"/>
      <c r="AE441" s="694"/>
      <c r="AF441" s="694"/>
      <c r="AG441" s="694"/>
      <c r="AH441" s="694"/>
      <c r="AI441" s="694"/>
      <c r="AJ441" s="694"/>
      <c r="AK441" s="694"/>
      <c r="AL441" s="694"/>
    </row>
    <row r="442" spans="1:38" ht="12.75" customHeight="1" thickBot="1" x14ac:dyDescent="0.3">
      <c r="A442" s="694"/>
      <c r="B442" s="298"/>
      <c r="C442" s="1302"/>
      <c r="D442" s="625"/>
      <c r="E442" s="2803" t="str">
        <f>Translations!$B$542</f>
        <v>Други пораждащи емисии потоци — 2</v>
      </c>
      <c r="F442" s="2672"/>
      <c r="G442" s="1309" t="str">
        <f>EUconst_Unit</f>
        <v>Единица мярка</v>
      </c>
      <c r="H442" s="629">
        <f t="shared" ref="H442:N442" si="292">H$2831</f>
        <v>2024</v>
      </c>
      <c r="I442" s="1310">
        <f t="shared" si="292"/>
        <v>2025</v>
      </c>
      <c r="J442" s="1311">
        <f t="shared" si="292"/>
        <v>2026</v>
      </c>
      <c r="K442" s="629">
        <f t="shared" si="292"/>
        <v>2027</v>
      </c>
      <c r="L442" s="629">
        <f t="shared" si="292"/>
        <v>2028</v>
      </c>
      <c r="M442" s="629">
        <f t="shared" si="292"/>
        <v>2029</v>
      </c>
      <c r="N442" s="1312">
        <f t="shared" si="292"/>
        <v>2030</v>
      </c>
      <c r="O442" s="302"/>
      <c r="P442" s="302"/>
      <c r="Q442" s="729"/>
      <c r="R442" s="694"/>
      <c r="S442" s="729"/>
      <c r="T442" s="694"/>
      <c r="U442" s="694"/>
      <c r="V442" s="694"/>
      <c r="W442" s="694"/>
      <c r="X442" s="694"/>
      <c r="Y442" s="694"/>
      <c r="Z442" s="694"/>
      <c r="AA442" s="694"/>
      <c r="AB442" s="694"/>
      <c r="AC442" s="1178">
        <f t="shared" ref="AC442" si="293">H$20</f>
        <v>2024</v>
      </c>
      <c r="AD442" s="1178">
        <f t="shared" ref="AD442" si="294">I$20</f>
        <v>2025</v>
      </c>
      <c r="AE442" s="1178">
        <f t="shared" ref="AE442" si="295">J$20</f>
        <v>2026</v>
      </c>
      <c r="AF442" s="1178">
        <f t="shared" ref="AF442" si="296">K$20</f>
        <v>2027</v>
      </c>
      <c r="AG442" s="1178">
        <f t="shared" ref="AG442" si="297">L$20</f>
        <v>2028</v>
      </c>
      <c r="AH442" s="1178">
        <f t="shared" ref="AH442" si="298">M$20</f>
        <v>2029</v>
      </c>
      <c r="AI442" s="1178">
        <f t="shared" ref="AI442" si="299">N$20</f>
        <v>2030</v>
      </c>
      <c r="AJ442" s="694"/>
      <c r="AK442" s="694"/>
      <c r="AL442" s="694"/>
    </row>
    <row r="443" spans="1:38" ht="12.75" customHeight="1" x14ac:dyDescent="0.25">
      <c r="A443" s="694"/>
      <c r="B443" s="298"/>
      <c r="C443" s="1302"/>
      <c r="D443" s="625" t="s">
        <v>63</v>
      </c>
      <c r="E443" s="2818" t="str">
        <f>Translations!$B$533</f>
        <v>Получено или подадено количество</v>
      </c>
      <c r="F443" s="2701"/>
      <c r="G443" s="1326" t="str">
        <f>EUconst_tpa</f>
        <v>t / година</v>
      </c>
      <c r="H443" s="129"/>
      <c r="I443" s="130"/>
      <c r="J443" s="131"/>
      <c r="K443" s="129"/>
      <c r="L443" s="129"/>
      <c r="M443" s="129"/>
      <c r="N443" s="132"/>
      <c r="O443" s="302"/>
      <c r="P443" s="158"/>
      <c r="Q443" s="729"/>
      <c r="R443" s="694"/>
      <c r="S443" s="729"/>
      <c r="T443" s="694"/>
      <c r="U443" s="694"/>
      <c r="V443" s="694"/>
      <c r="W443" s="694"/>
      <c r="X443" s="694"/>
      <c r="Y443" s="694"/>
      <c r="Z443" s="694"/>
      <c r="AA443" s="694"/>
      <c r="AB443" s="1182" t="s">
        <v>737</v>
      </c>
      <c r="AC443" s="982" t="b">
        <f>AC431</f>
        <v>0</v>
      </c>
      <c r="AD443" s="982" t="b">
        <f t="shared" ref="AD443:AI443" si="300">AD431</f>
        <v>0</v>
      </c>
      <c r="AE443" s="982" t="b">
        <f t="shared" si="300"/>
        <v>0</v>
      </c>
      <c r="AF443" s="982" t="b">
        <f t="shared" si="300"/>
        <v>0</v>
      </c>
      <c r="AG443" s="982" t="b">
        <f t="shared" si="300"/>
        <v>0</v>
      </c>
      <c r="AH443" s="982" t="b">
        <f t="shared" si="300"/>
        <v>0</v>
      </c>
      <c r="AI443" s="982" t="b">
        <f t="shared" si="300"/>
        <v>0</v>
      </c>
      <c r="AJ443" s="1174" t="s">
        <v>2039</v>
      </c>
      <c r="AK443" s="1176" t="str">
        <f>IF(AND(CNTR_ExistSubInstEntries,MSconst_RequireSubAttrEmissions,COUNTIFS(AC443:AI443,FALSE,H443:N443,"")&gt;0),EUconst_Error&amp;"BM"&amp;$Q294,"")</f>
        <v/>
      </c>
      <c r="AL443" s="694"/>
    </row>
    <row r="444" spans="1:38" ht="12.75" customHeight="1" x14ac:dyDescent="0.25">
      <c r="A444" s="694"/>
      <c r="B444" s="298"/>
      <c r="C444" s="1302"/>
      <c r="D444" s="625" t="s">
        <v>1136</v>
      </c>
      <c r="E444" s="2831" t="str">
        <f>Translations!$B$534</f>
        <v>Долна топлина на изгаряне (NCV), ако е приложимо</v>
      </c>
      <c r="F444" s="2703"/>
      <c r="G444" s="1327" t="str">
        <f>EUconst_GJpt</f>
        <v>GJ / t</v>
      </c>
      <c r="H444" s="133"/>
      <c r="I444" s="134"/>
      <c r="J444" s="135"/>
      <c r="K444" s="133"/>
      <c r="L444" s="133"/>
      <c r="M444" s="133"/>
      <c r="N444" s="136"/>
      <c r="O444" s="302"/>
      <c r="P444" s="158"/>
      <c r="Q444" s="729"/>
      <c r="R444" s="694"/>
      <c r="S444" s="729"/>
      <c r="T444" s="694"/>
      <c r="U444" s="694"/>
      <c r="V444" s="694"/>
      <c r="W444" s="694"/>
      <c r="X444" s="694"/>
      <c r="Y444" s="694"/>
      <c r="Z444" s="694"/>
      <c r="AA444" s="694"/>
      <c r="AB444" s="694"/>
      <c r="AC444" s="982" t="b">
        <f t="shared" ref="AC444:AI444" si="301">AC432</f>
        <v>0</v>
      </c>
      <c r="AD444" s="982" t="b">
        <f t="shared" si="301"/>
        <v>0</v>
      </c>
      <c r="AE444" s="982" t="b">
        <f t="shared" si="301"/>
        <v>0</v>
      </c>
      <c r="AF444" s="982" t="b">
        <f t="shared" si="301"/>
        <v>0</v>
      </c>
      <c r="AG444" s="982" t="b">
        <f t="shared" si="301"/>
        <v>0</v>
      </c>
      <c r="AH444" s="982" t="b">
        <f t="shared" si="301"/>
        <v>0</v>
      </c>
      <c r="AI444" s="982" t="b">
        <f t="shared" si="301"/>
        <v>0</v>
      </c>
      <c r="AJ444" s="1174" t="s">
        <v>2039</v>
      </c>
      <c r="AK444" s="1176" t="str">
        <f>IF(AND(CNTR_ExistSubInstEntries,MSconst_RequireSubAttrEmissions,COUNTIFS(AC444:AI444,FALSE,H444:N444,"")&gt;0),EUconst_Error&amp;"BM"&amp;$Q294,"")</f>
        <v/>
      </c>
      <c r="AL444" s="694"/>
    </row>
    <row r="445" spans="1:38" ht="12.75" customHeight="1" thickBot="1" x14ac:dyDescent="0.3">
      <c r="A445" s="694"/>
      <c r="B445" s="298"/>
      <c r="C445" s="1302"/>
      <c r="D445" s="625" t="s">
        <v>1137</v>
      </c>
      <c r="E445" s="2831" t="str">
        <f>Translations!$B$535</f>
        <v>Въглеродно съдържание (тегловни %)</v>
      </c>
      <c r="F445" s="2703"/>
      <c r="G445" s="1328" t="s">
        <v>903</v>
      </c>
      <c r="H445" s="133"/>
      <c r="I445" s="134"/>
      <c r="J445" s="135"/>
      <c r="K445" s="133"/>
      <c r="L445" s="133"/>
      <c r="M445" s="133"/>
      <c r="N445" s="136"/>
      <c r="O445" s="302"/>
      <c r="P445" s="158"/>
      <c r="Q445" s="729"/>
      <c r="R445" s="694"/>
      <c r="S445" s="729"/>
      <c r="T445" s="694"/>
      <c r="U445" s="694"/>
      <c r="V445" s="694"/>
      <c r="W445" s="694"/>
      <c r="X445" s="694"/>
      <c r="Y445" s="694"/>
      <c r="Z445" s="694"/>
      <c r="AA445" s="694"/>
      <c r="AB445" s="694"/>
      <c r="AC445" s="982" t="b">
        <f t="shared" ref="AC445:AI445" si="302">AC433</f>
        <v>0</v>
      </c>
      <c r="AD445" s="982" t="b">
        <f t="shared" si="302"/>
        <v>0</v>
      </c>
      <c r="AE445" s="982" t="b">
        <f t="shared" si="302"/>
        <v>0</v>
      </c>
      <c r="AF445" s="982" t="b">
        <f t="shared" si="302"/>
        <v>0</v>
      </c>
      <c r="AG445" s="982" t="b">
        <f t="shared" si="302"/>
        <v>0</v>
      </c>
      <c r="AH445" s="982" t="b">
        <f t="shared" si="302"/>
        <v>0</v>
      </c>
      <c r="AI445" s="982" t="b">
        <f t="shared" si="302"/>
        <v>0</v>
      </c>
      <c r="AJ445" s="1174" t="s">
        <v>2039</v>
      </c>
      <c r="AK445" s="1176" t="str">
        <f>IF(AND(CNTR_ExistSubInstEntries,MSconst_RequireSubAttrEmissions,COUNTIFS(AC445:AI445,FALSE,H445:N445,"")&gt;0),EUconst_Error&amp;"BM"&amp;$Q294,"")</f>
        <v/>
      </c>
      <c r="AL445" s="694"/>
    </row>
    <row r="446" spans="1:38" ht="12.75" customHeight="1" x14ac:dyDescent="0.25">
      <c r="A446" s="694"/>
      <c r="B446" s="298"/>
      <c r="C446" s="1302"/>
      <c r="D446" s="625" t="s">
        <v>1138</v>
      </c>
      <c r="E446" s="2828" t="str">
        <f>Translations!$B$536</f>
        <v>Съдържание на биомаса (като дял от въглеродното съдържание)</v>
      </c>
      <c r="F446" s="2705"/>
      <c r="G446" s="1329" t="s">
        <v>903</v>
      </c>
      <c r="H446" s="137"/>
      <c r="I446" s="138"/>
      <c r="J446" s="139"/>
      <c r="K446" s="137"/>
      <c r="L446" s="137"/>
      <c r="M446" s="137"/>
      <c r="N446" s="140"/>
      <c r="O446" s="302"/>
      <c r="P446" s="158"/>
      <c r="Q446" s="729"/>
      <c r="R446" s="694"/>
      <c r="S446" s="1205"/>
      <c r="T446" s="1313">
        <f t="shared" ref="T446" si="303">H442</f>
        <v>2024</v>
      </c>
      <c r="U446" s="1313">
        <f t="shared" ref="U446" si="304">I442</f>
        <v>2025</v>
      </c>
      <c r="V446" s="1313">
        <f t="shared" ref="V446" si="305">J442</f>
        <v>2026</v>
      </c>
      <c r="W446" s="1313">
        <f t="shared" ref="W446" si="306">K442</f>
        <v>2027</v>
      </c>
      <c r="X446" s="1313">
        <f t="shared" ref="X446" si="307">L442</f>
        <v>2028</v>
      </c>
      <c r="Y446" s="1313">
        <f t="shared" ref="Y446" si="308">M442</f>
        <v>2029</v>
      </c>
      <c r="Z446" s="1314">
        <f t="shared" ref="Z446" si="309">N442</f>
        <v>2030</v>
      </c>
      <c r="AA446" s="694"/>
      <c r="AB446" s="694"/>
      <c r="AC446" s="982" t="b">
        <f t="shared" ref="AC446:AI446" si="310">AC434</f>
        <v>0</v>
      </c>
      <c r="AD446" s="982" t="b">
        <f t="shared" si="310"/>
        <v>0</v>
      </c>
      <c r="AE446" s="982" t="b">
        <f t="shared" si="310"/>
        <v>0</v>
      </c>
      <c r="AF446" s="982" t="b">
        <f t="shared" si="310"/>
        <v>0</v>
      </c>
      <c r="AG446" s="982" t="b">
        <f t="shared" si="310"/>
        <v>0</v>
      </c>
      <c r="AH446" s="982" t="b">
        <f t="shared" si="310"/>
        <v>0</v>
      </c>
      <c r="AI446" s="982" t="b">
        <f t="shared" si="310"/>
        <v>0</v>
      </c>
      <c r="AJ446" s="1174" t="s">
        <v>2039</v>
      </c>
      <c r="AK446" s="1176" t="str">
        <f>IF(AND(CNTR_ExistSubInstEntries,MSconst_RequireSubAttrEmissions,COUNTIFS(AC446:AI446,FALSE,H446:N446,"")&gt;0),EUconst_Error&amp;"BM"&amp;$Q294,"")</f>
        <v/>
      </c>
      <c r="AL446" s="694"/>
    </row>
    <row r="447" spans="1:38" ht="12.75" customHeight="1" thickBot="1" x14ac:dyDescent="0.3">
      <c r="A447" s="694"/>
      <c r="B447" s="298"/>
      <c r="C447" s="1302"/>
      <c r="D447" s="625" t="s">
        <v>1139</v>
      </c>
      <c r="E447" s="2832" t="str">
        <f>Translations!$B$537</f>
        <v>Емисии (от горива, изчислени)</v>
      </c>
      <c r="F447" s="2701"/>
      <c r="G447" s="1330" t="str">
        <f>EUconst_tCO2pa</f>
        <v>t CO2 / година</v>
      </c>
      <c r="H447" s="1331" t="str">
        <f t="shared" ref="H447:N447" si="311">IF(AND(COUNT(H443:H446)&gt;0,H450=""),3.664*H443*(H445/100)*(1-H446/100),"")</f>
        <v/>
      </c>
      <c r="I447" s="1332" t="str">
        <f t="shared" si="311"/>
        <v/>
      </c>
      <c r="J447" s="1333" t="str">
        <f t="shared" si="311"/>
        <v/>
      </c>
      <c r="K447" s="1331" t="str">
        <f t="shared" si="311"/>
        <v/>
      </c>
      <c r="L447" s="1331" t="str">
        <f t="shared" si="311"/>
        <v/>
      </c>
      <c r="M447" s="1331" t="str">
        <f t="shared" si="311"/>
        <v/>
      </c>
      <c r="N447" s="1334" t="str">
        <f t="shared" si="311"/>
        <v/>
      </c>
      <c r="O447" s="302"/>
      <c r="P447" s="302"/>
      <c r="Q447" s="1190" t="str">
        <f>EUconst_CNTR_EmissionsIntSource2 &amp; I294</f>
        <v>EmInternalSource2_</v>
      </c>
      <c r="R447" s="694"/>
      <c r="S447" s="1315" t="str">
        <f>EUconst_CNTR_AttributedEmissions &amp; I294</f>
        <v>AttrEmissions_</v>
      </c>
      <c r="T447" s="1290" t="str">
        <f t="shared" ref="T447" si="312">IF(T302,SUM(H447),"")</f>
        <v/>
      </c>
      <c r="U447" s="1290" t="str">
        <f t="shared" ref="U447" si="313">IF(U302,SUM(I447),"")</f>
        <v/>
      </c>
      <c r="V447" s="1290" t="str">
        <f t="shared" ref="V447" si="314">IF(V302,SUM(J447),"")</f>
        <v/>
      </c>
      <c r="W447" s="1290" t="str">
        <f t="shared" ref="W447" si="315">IF(W302,SUM(K447),"")</f>
        <v/>
      </c>
      <c r="X447" s="1290" t="str">
        <f t="shared" ref="X447" si="316">IF(X302,SUM(L447),"")</f>
        <v/>
      </c>
      <c r="Y447" s="1290" t="str">
        <f t="shared" ref="Y447" si="317">IF(Y302,SUM(M447),"")</f>
        <v/>
      </c>
      <c r="Z447" s="1291" t="str">
        <f t="shared" ref="Z447" si="318">IF(Z302,SUM(N447),"")</f>
        <v/>
      </c>
      <c r="AA447" s="694"/>
      <c r="AB447" s="694"/>
      <c r="AC447" s="694"/>
      <c r="AD447" s="694"/>
      <c r="AE447" s="694"/>
      <c r="AF447" s="694"/>
      <c r="AG447" s="694"/>
      <c r="AH447" s="694"/>
      <c r="AI447" s="694"/>
      <c r="AJ447" s="694"/>
      <c r="AK447" s="694"/>
      <c r="AL447" s="694"/>
    </row>
    <row r="448" spans="1:38" ht="12.75" customHeight="1" x14ac:dyDescent="0.25">
      <c r="A448" s="694"/>
      <c r="B448" s="298"/>
      <c r="C448" s="1302"/>
      <c r="D448" s="625" t="s">
        <v>1140</v>
      </c>
      <c r="E448" s="2833" t="str">
        <f>Translations!$B$538</f>
        <v>Допълнителна информация за справка: Емисии от биомаса</v>
      </c>
      <c r="F448" s="2703"/>
      <c r="G448" s="1335" t="str">
        <f>EUconst_tCO2pa</f>
        <v>t CO2 / година</v>
      </c>
      <c r="H448" s="1336" t="str">
        <f t="shared" ref="H448:N448" si="319">IF(ISNUMBER(H447),3.664*H443*(H445/100)*(H446/100),"")</f>
        <v/>
      </c>
      <c r="I448" s="1337" t="str">
        <f t="shared" si="319"/>
        <v/>
      </c>
      <c r="J448" s="1338" t="str">
        <f t="shared" si="319"/>
        <v/>
      </c>
      <c r="K448" s="1336" t="str">
        <f t="shared" si="319"/>
        <v/>
      </c>
      <c r="L448" s="1336" t="str">
        <f t="shared" si="319"/>
        <v/>
      </c>
      <c r="M448" s="1336" t="str">
        <f t="shared" si="319"/>
        <v/>
      </c>
      <c r="N448" s="1339" t="str">
        <f t="shared" si="319"/>
        <v/>
      </c>
      <c r="O448" s="302"/>
      <c r="P448" s="302"/>
      <c r="Q448" s="729"/>
      <c r="R448" s="694"/>
      <c r="S448" s="729"/>
      <c r="T448" s="694"/>
      <c r="U448" s="694"/>
      <c r="V448" s="694"/>
      <c r="W448" s="694"/>
      <c r="X448" s="694"/>
      <c r="Y448" s="694"/>
      <c r="Z448" s="694"/>
      <c r="AA448" s="694"/>
      <c r="AB448" s="694"/>
      <c r="AC448" s="694"/>
      <c r="AD448" s="694"/>
      <c r="AE448" s="694"/>
      <c r="AF448" s="694"/>
      <c r="AG448" s="694"/>
      <c r="AH448" s="694"/>
      <c r="AI448" s="694"/>
      <c r="AJ448" s="694"/>
      <c r="AK448" s="694"/>
      <c r="AL448" s="694"/>
    </row>
    <row r="449" spans="1:38" ht="12.75" customHeight="1" x14ac:dyDescent="0.25">
      <c r="A449" s="694"/>
      <c r="B449" s="298"/>
      <c r="C449" s="1302"/>
      <c r="D449" s="625" t="s">
        <v>1141</v>
      </c>
      <c r="E449" s="2828" t="str">
        <f>Translations!$B$539</f>
        <v>Енергийно съдържание (изчислено)</v>
      </c>
      <c r="F449" s="2705"/>
      <c r="G449" s="1340" t="str">
        <f>EUconst_TJpa</f>
        <v>TJ / година</v>
      </c>
      <c r="H449" s="1104" t="str">
        <f t="shared" ref="H449:N449" si="320">IF(COUNT(H443:H444)=2,H443*H444/1000,"")</f>
        <v/>
      </c>
      <c r="I449" s="1296" t="str">
        <f t="shared" si="320"/>
        <v/>
      </c>
      <c r="J449" s="1297" t="str">
        <f t="shared" si="320"/>
        <v/>
      </c>
      <c r="K449" s="1104" t="str">
        <f t="shared" si="320"/>
        <v/>
      </c>
      <c r="L449" s="1104" t="str">
        <f t="shared" si="320"/>
        <v/>
      </c>
      <c r="M449" s="1104" t="str">
        <f t="shared" si="320"/>
        <v/>
      </c>
      <c r="N449" s="1341" t="str">
        <f t="shared" si="320"/>
        <v/>
      </c>
      <c r="O449" s="302"/>
      <c r="P449" s="302"/>
      <c r="Q449" s="729"/>
      <c r="R449" s="694"/>
      <c r="S449" s="729"/>
      <c r="T449" s="694"/>
      <c r="U449" s="694"/>
      <c r="V449" s="694"/>
      <c r="W449" s="694"/>
      <c r="X449" s="694"/>
      <c r="Y449" s="694"/>
      <c r="Z449" s="694"/>
      <c r="AA449" s="694"/>
      <c r="AB449" s="694"/>
      <c r="AC449" s="694"/>
      <c r="AD449" s="694"/>
      <c r="AE449" s="694"/>
      <c r="AF449" s="694"/>
      <c r="AG449" s="694"/>
      <c r="AH449" s="694"/>
      <c r="AI449" s="694"/>
      <c r="AJ449" s="694"/>
      <c r="AK449" s="694"/>
      <c r="AL449" s="694"/>
    </row>
    <row r="450" spans="1:38" ht="12.75" customHeight="1" x14ac:dyDescent="0.25">
      <c r="A450" s="694"/>
      <c r="B450" s="298"/>
      <c r="C450" s="1302"/>
      <c r="D450" s="625" t="s">
        <v>1137</v>
      </c>
      <c r="E450" s="2829" t="str">
        <f>Translations!$B$540</f>
        <v>Съобщения за грешка (емисии)</v>
      </c>
      <c r="F450" s="2830"/>
      <c r="G450" s="1342"/>
      <c r="H450" s="1343" t="str">
        <f t="shared" ref="H450:N450" si="321">IF(COUNT(H443,H445:H446)&gt;0,IF(COUNTIF(H444:H446,"&lt;0")&gt;0,EUconst_Negative,IF(COUNT(H443,H445:H446)&lt;3,EUconst_Incomplete,"")),"")</f>
        <v/>
      </c>
      <c r="I450" s="1344" t="str">
        <f t="shared" si="321"/>
        <v/>
      </c>
      <c r="J450" s="1345" t="str">
        <f t="shared" si="321"/>
        <v/>
      </c>
      <c r="K450" s="1343" t="str">
        <f t="shared" si="321"/>
        <v/>
      </c>
      <c r="L450" s="1343" t="str">
        <f t="shared" si="321"/>
        <v/>
      </c>
      <c r="M450" s="1343" t="str">
        <f t="shared" si="321"/>
        <v/>
      </c>
      <c r="N450" s="1346" t="str">
        <f t="shared" si="321"/>
        <v/>
      </c>
      <c r="O450" s="302"/>
      <c r="P450" s="302"/>
      <c r="Q450" s="729"/>
      <c r="R450" s="694"/>
      <c r="S450" s="729"/>
      <c r="T450" s="694"/>
      <c r="U450" s="694"/>
      <c r="V450" s="694"/>
      <c r="W450" s="694"/>
      <c r="X450" s="694"/>
      <c r="Y450" s="694"/>
      <c r="Z450" s="694"/>
      <c r="AA450" s="694"/>
      <c r="AB450" s="694"/>
      <c r="AC450" s="694"/>
      <c r="AD450" s="694"/>
      <c r="AE450" s="694"/>
      <c r="AF450" s="694"/>
      <c r="AG450" s="694"/>
      <c r="AH450" s="694"/>
      <c r="AI450" s="694"/>
      <c r="AJ450" s="694"/>
      <c r="AK450" s="694"/>
      <c r="AL450" s="694"/>
    </row>
    <row r="451" spans="1:38" ht="12.75" customHeight="1" x14ac:dyDescent="0.25">
      <c r="A451" s="694"/>
      <c r="B451" s="298"/>
      <c r="C451" s="1302"/>
      <c r="D451" s="1306"/>
      <c r="E451" s="1306"/>
      <c r="F451" s="1306"/>
      <c r="G451" s="1306"/>
      <c r="H451" s="1306"/>
      <c r="I451" s="1306"/>
      <c r="J451" s="1306"/>
      <c r="K451" s="1306"/>
      <c r="L451" s="1306"/>
      <c r="M451" s="626"/>
      <c r="N451" s="1316"/>
      <c r="O451" s="302"/>
      <c r="P451" s="302"/>
      <c r="Q451" s="729"/>
      <c r="R451" s="694"/>
      <c r="S451" s="729"/>
      <c r="T451" s="694"/>
      <c r="U451" s="694"/>
      <c r="V451" s="694"/>
      <c r="W451" s="694"/>
      <c r="X451" s="694"/>
      <c r="Y451" s="694"/>
      <c r="Z451" s="694"/>
      <c r="AA451" s="694"/>
      <c r="AB451" s="694"/>
      <c r="AC451" s="694"/>
      <c r="AD451" s="694"/>
      <c r="AE451" s="694"/>
      <c r="AF451" s="694"/>
      <c r="AG451" s="694"/>
      <c r="AH451" s="694"/>
      <c r="AI451" s="694"/>
      <c r="AJ451" s="694"/>
      <c r="AK451" s="694"/>
      <c r="AL451" s="694"/>
    </row>
    <row r="452" spans="1:38" ht="12.75" customHeight="1" x14ac:dyDescent="0.25">
      <c r="A452" s="694"/>
      <c r="B452" s="298"/>
      <c r="C452" s="1302"/>
      <c r="D452" s="1307" t="s">
        <v>489</v>
      </c>
      <c r="E452" s="2815" t="str">
        <f>Translations!$B$543</f>
        <v>Количество на парникови газове, които са получени или подадени като суровини</v>
      </c>
      <c r="F452" s="2240"/>
      <c r="G452" s="2240"/>
      <c r="H452" s="2240"/>
      <c r="I452" s="2240"/>
      <c r="J452" s="2240"/>
      <c r="K452" s="2240"/>
      <c r="L452" s="2240"/>
      <c r="M452" s="2240"/>
      <c r="N452" s="2811"/>
      <c r="O452" s="302"/>
      <c r="P452" s="302"/>
      <c r="Q452" s="729"/>
      <c r="R452" s="694"/>
      <c r="S452" s="729"/>
      <c r="T452" s="694"/>
      <c r="U452" s="694"/>
      <c r="V452" s="694"/>
      <c r="W452" s="694"/>
      <c r="X452" s="694"/>
      <c r="Y452" s="694"/>
      <c r="Z452" s="694"/>
      <c r="AA452" s="694"/>
      <c r="AB452" s="694"/>
      <c r="AC452" s="694"/>
      <c r="AD452" s="694"/>
      <c r="AE452" s="694"/>
      <c r="AF452" s="694"/>
      <c r="AG452" s="694"/>
      <c r="AH452" s="694"/>
      <c r="AI452" s="694"/>
      <c r="AJ452" s="694"/>
      <c r="AK452" s="694"/>
      <c r="AL452" s="694"/>
    </row>
    <row r="453" spans="1:38" ht="12.75" customHeight="1" x14ac:dyDescent="0.25">
      <c r="A453" s="694"/>
      <c r="B453" s="298"/>
      <c r="C453" s="1302"/>
      <c r="D453" s="625"/>
      <c r="E453" s="2816" t="str">
        <f>Translations!$B$508</f>
        <v>Посочените тук данни ще се отразят на емисиите, които могат да бъдат зададени съгласно раздел 10.1.1 от приложение VII към ПБР.</v>
      </c>
      <c r="F453" s="2240"/>
      <c r="G453" s="2240"/>
      <c r="H453" s="2240"/>
      <c r="I453" s="2240"/>
      <c r="J453" s="2240"/>
      <c r="K453" s="2240"/>
      <c r="L453" s="2240"/>
      <c r="M453" s="2240"/>
      <c r="N453" s="2811"/>
      <c r="O453" s="302"/>
      <c r="P453" s="302"/>
      <c r="Q453" s="729"/>
      <c r="R453" s="694"/>
      <c r="S453" s="729"/>
      <c r="T453" s="729"/>
      <c r="U453" s="729"/>
      <c r="V453" s="729"/>
      <c r="W453" s="694"/>
      <c r="X453" s="694"/>
      <c r="Y453" s="694"/>
      <c r="Z453" s="694"/>
      <c r="AA453" s="694"/>
      <c r="AB453" s="694"/>
      <c r="AC453" s="694"/>
      <c r="AD453" s="694"/>
      <c r="AE453" s="694"/>
      <c r="AF453" s="694"/>
      <c r="AG453" s="694"/>
      <c r="AH453" s="694"/>
      <c r="AI453" s="694"/>
      <c r="AJ453" s="694"/>
      <c r="AK453" s="694"/>
      <c r="AL453" s="694"/>
    </row>
    <row r="454" spans="1:38" ht="25.5" customHeight="1" x14ac:dyDescent="0.25">
      <c r="A454" s="694"/>
      <c r="B454" s="298"/>
      <c r="C454" s="1302"/>
      <c r="D454" s="1306"/>
      <c r="E454" s="2810" t="str">
        <f>Translations!$B$544</f>
        <v>Съгласно раздел 3.1, букви к) и л) от приложение IV към ПБР, моля, посочете тук количеството на прехвърления CO2, получен от или подаден към други подинсталации, инсталации или други обекти, съгласно правилата, определени в Регламента относно мониторинга и докладването.</v>
      </c>
      <c r="F454" s="2240"/>
      <c r="G454" s="2240"/>
      <c r="H454" s="2240"/>
      <c r="I454" s="2240"/>
      <c r="J454" s="2240"/>
      <c r="K454" s="2240"/>
      <c r="L454" s="2240"/>
      <c r="M454" s="2240"/>
      <c r="N454" s="2811"/>
      <c r="O454" s="302"/>
      <c r="P454" s="302"/>
      <c r="Q454" s="729"/>
      <c r="R454" s="694"/>
      <c r="S454" s="729"/>
      <c r="T454" s="694"/>
      <c r="U454" s="694"/>
      <c r="V454" s="694"/>
      <c r="W454" s="694"/>
      <c r="X454" s="694"/>
      <c r="Y454" s="694"/>
      <c r="Z454" s="694"/>
      <c r="AA454" s="694"/>
      <c r="AB454" s="694"/>
      <c r="AC454" s="694"/>
      <c r="AD454" s="694"/>
      <c r="AE454" s="694"/>
      <c r="AF454" s="694"/>
      <c r="AG454" s="694"/>
      <c r="AH454" s="694"/>
      <c r="AI454" s="694"/>
      <c r="AJ454" s="694"/>
      <c r="AK454" s="694"/>
      <c r="AL454" s="694"/>
    </row>
    <row r="455" spans="1:38" ht="12.75" customHeight="1" thickBot="1" x14ac:dyDescent="0.3">
      <c r="A455" s="694"/>
      <c r="B455" s="298"/>
      <c r="C455" s="1302"/>
      <c r="D455" s="1306"/>
      <c r="E455" s="2810" t="str">
        <f>Translations!$B$545</f>
        <v>Подадените количества трябва да се въведат като отрицателни стойности и да съответстват на подадения CO2, който не е изпуснат в атмосферата от тази подинсталация.</v>
      </c>
      <c r="F455" s="2240"/>
      <c r="G455" s="2240"/>
      <c r="H455" s="2240"/>
      <c r="I455" s="2240"/>
      <c r="J455" s="2240"/>
      <c r="K455" s="2240"/>
      <c r="L455" s="2240"/>
      <c r="M455" s="2240"/>
      <c r="N455" s="2811"/>
      <c r="O455" s="302"/>
      <c r="P455" s="302"/>
      <c r="Q455" s="729"/>
      <c r="R455" s="694"/>
      <c r="S455" s="729"/>
      <c r="T455" s="694"/>
      <c r="U455" s="694"/>
      <c r="V455" s="694"/>
      <c r="W455" s="694"/>
      <c r="X455" s="694"/>
      <c r="Y455" s="694"/>
      <c r="Z455" s="694"/>
      <c r="AA455" s="694"/>
      <c r="AB455" s="694"/>
      <c r="AC455" s="694"/>
      <c r="AD455" s="694"/>
      <c r="AE455" s="694"/>
      <c r="AF455" s="694"/>
      <c r="AG455" s="694"/>
      <c r="AH455" s="694"/>
      <c r="AI455" s="694"/>
      <c r="AJ455" s="694"/>
      <c r="AK455" s="694"/>
      <c r="AL455" s="694"/>
    </row>
    <row r="456" spans="1:38" ht="12.75" customHeight="1" thickBot="1" x14ac:dyDescent="0.3">
      <c r="A456" s="694"/>
      <c r="B456" s="298"/>
      <c r="C456" s="1302"/>
      <c r="D456" s="1307"/>
      <c r="E456" s="1317"/>
      <c r="F456" s="1318"/>
      <c r="G456" s="1309" t="str">
        <f>EUconst_Unit</f>
        <v>Единица мярка</v>
      </c>
      <c r="H456" s="629">
        <f t="shared" ref="H456:N456" si="322">H$2831</f>
        <v>2024</v>
      </c>
      <c r="I456" s="1310">
        <f t="shared" si="322"/>
        <v>2025</v>
      </c>
      <c r="J456" s="1311">
        <f t="shared" si="322"/>
        <v>2026</v>
      </c>
      <c r="K456" s="629">
        <f t="shared" si="322"/>
        <v>2027</v>
      </c>
      <c r="L456" s="629">
        <f t="shared" si="322"/>
        <v>2028</v>
      </c>
      <c r="M456" s="629">
        <f t="shared" si="322"/>
        <v>2029</v>
      </c>
      <c r="N456" s="1312">
        <f t="shared" si="322"/>
        <v>2030</v>
      </c>
      <c r="O456" s="302"/>
      <c r="P456" s="302"/>
      <c r="Q456" s="729"/>
      <c r="R456" s="694"/>
      <c r="S456" s="1205"/>
      <c r="T456" s="1313">
        <f t="shared" ref="T456" si="323">H456</f>
        <v>2024</v>
      </c>
      <c r="U456" s="1313">
        <f t="shared" ref="U456" si="324">I456</f>
        <v>2025</v>
      </c>
      <c r="V456" s="1313">
        <f t="shared" ref="V456" si="325">J456</f>
        <v>2026</v>
      </c>
      <c r="W456" s="1313">
        <f t="shared" ref="W456" si="326">K456</f>
        <v>2027</v>
      </c>
      <c r="X456" s="1313">
        <f t="shared" ref="X456" si="327">L456</f>
        <v>2028</v>
      </c>
      <c r="Y456" s="1313">
        <f t="shared" ref="Y456" si="328">M456</f>
        <v>2029</v>
      </c>
      <c r="Z456" s="1314">
        <f t="shared" ref="Z456" si="329">N456</f>
        <v>2030</v>
      </c>
      <c r="AA456" s="694"/>
      <c r="AB456" s="694"/>
      <c r="AC456" s="1178">
        <f t="shared" ref="AC456" si="330">H$20</f>
        <v>2024</v>
      </c>
      <c r="AD456" s="1178">
        <f t="shared" ref="AD456" si="331">I$20</f>
        <v>2025</v>
      </c>
      <c r="AE456" s="1178">
        <f t="shared" ref="AE456" si="332">J$20</f>
        <v>2026</v>
      </c>
      <c r="AF456" s="1178">
        <f t="shared" ref="AF456" si="333">K$20</f>
        <v>2027</v>
      </c>
      <c r="AG456" s="1178">
        <f t="shared" ref="AG456" si="334">L$20</f>
        <v>2028</v>
      </c>
      <c r="AH456" s="1178">
        <f t="shared" ref="AH456" si="335">M$20</f>
        <v>2029</v>
      </c>
      <c r="AI456" s="1178">
        <f t="shared" ref="AI456" si="336">N$20</f>
        <v>2030</v>
      </c>
      <c r="AJ456" s="694"/>
      <c r="AK456" s="694"/>
      <c r="AL456" s="694"/>
    </row>
    <row r="457" spans="1:38" ht="12.75" customHeight="1" thickBot="1" x14ac:dyDescent="0.3">
      <c r="A457" s="694"/>
      <c r="B457" s="298"/>
      <c r="C457" s="1302"/>
      <c r="D457" s="625"/>
      <c r="E457" s="2820" t="str">
        <f>Translations!$B$546</f>
        <v>Получени или подадени парникови газове</v>
      </c>
      <c r="F457" s="2258"/>
      <c r="G457" s="1319" t="str">
        <f>EUconst_tCO2epa</f>
        <v>t CO2e/година</v>
      </c>
      <c r="H457" s="56"/>
      <c r="I457" s="115"/>
      <c r="J457" s="118"/>
      <c r="K457" s="56"/>
      <c r="L457" s="56"/>
      <c r="M457" s="56"/>
      <c r="N457" s="121"/>
      <c r="O457" s="302"/>
      <c r="P457" s="158"/>
      <c r="Q457" s="1190" t="str">
        <f>EUconst_CNTR_CO2Feedstock &amp; I294</f>
        <v>EmCO2Feedstock_</v>
      </c>
      <c r="R457" s="694"/>
      <c r="S457" s="1315" t="str">
        <f>EUconst_CNTR_AttributedEmissions &amp; I294</f>
        <v>AttrEmissions_</v>
      </c>
      <c r="T457" s="1290" t="str">
        <f t="shared" ref="T457" si="337">IF(T302,SUM(H457),"")</f>
        <v/>
      </c>
      <c r="U457" s="1290" t="str">
        <f t="shared" ref="U457" si="338">IF(U302,SUM(I457),"")</f>
        <v/>
      </c>
      <c r="V457" s="1290" t="str">
        <f t="shared" ref="V457" si="339">IF(V302,SUM(J457),"")</f>
        <v/>
      </c>
      <c r="W457" s="1290" t="str">
        <f t="shared" ref="W457" si="340">IF(W302,SUM(K457),"")</f>
        <v/>
      </c>
      <c r="X457" s="1290" t="str">
        <f t="shared" ref="X457" si="341">IF(X302,SUM(L457),"")</f>
        <v/>
      </c>
      <c r="Y457" s="1290" t="str">
        <f t="shared" ref="Y457" si="342">IF(Y302,SUM(M457),"")</f>
        <v/>
      </c>
      <c r="Z457" s="1291" t="str">
        <f t="shared" ref="Z457" si="343">IF(Z302,SUM(N457),"")</f>
        <v/>
      </c>
      <c r="AA457" s="694"/>
      <c r="AB457" s="1182" t="s">
        <v>737</v>
      </c>
      <c r="AC457" s="982" t="b">
        <f>AC341</f>
        <v>0</v>
      </c>
      <c r="AD457" s="982" t="b">
        <f t="shared" ref="AD457:AI457" si="344">AD341</f>
        <v>0</v>
      </c>
      <c r="AE457" s="982" t="b">
        <f t="shared" si="344"/>
        <v>0</v>
      </c>
      <c r="AF457" s="982" t="b">
        <f t="shared" si="344"/>
        <v>0</v>
      </c>
      <c r="AG457" s="982" t="b">
        <f t="shared" si="344"/>
        <v>0</v>
      </c>
      <c r="AH457" s="982" t="b">
        <f t="shared" si="344"/>
        <v>0</v>
      </c>
      <c r="AI457" s="982" t="b">
        <f t="shared" si="344"/>
        <v>0</v>
      </c>
      <c r="AJ457" s="1174" t="s">
        <v>2039</v>
      </c>
      <c r="AK457" s="1176" t="str">
        <f>IF(AND(CNTR_ExistSubInstEntries,MSconst_RequireSubAttrEmissions,COUNTIFS(AC457:AI457,FALSE,H457:N457,"")&gt;0),EUconst_Error&amp;"BM"&amp;$Q294,"")</f>
        <v/>
      </c>
      <c r="AL457" s="694"/>
    </row>
    <row r="458" spans="1:38" ht="12.75" customHeight="1" x14ac:dyDescent="0.25">
      <c r="A458" s="694"/>
      <c r="B458" s="298"/>
      <c r="C458" s="1302"/>
      <c r="D458" s="1306"/>
      <c r="E458" s="1306"/>
      <c r="F458" s="1306"/>
      <c r="G458" s="1306"/>
      <c r="H458" s="1306"/>
      <c r="I458" s="1306"/>
      <c r="J458" s="1306"/>
      <c r="K458" s="1306"/>
      <c r="L458" s="1306"/>
      <c r="M458" s="626"/>
      <c r="N458" s="1316"/>
      <c r="O458" s="302"/>
      <c r="P458" s="302"/>
      <c r="Q458" s="729"/>
      <c r="R458" s="694"/>
      <c r="S458" s="729"/>
      <c r="T458" s="694"/>
      <c r="U458" s="694"/>
      <c r="V458" s="694"/>
      <c r="W458" s="694"/>
      <c r="X458" s="694"/>
      <c r="Y458" s="694"/>
      <c r="Z458" s="694"/>
      <c r="AA458" s="694"/>
      <c r="AB458" s="694"/>
      <c r="AC458" s="694"/>
      <c r="AD458" s="694"/>
      <c r="AE458" s="694"/>
      <c r="AF458" s="694"/>
      <c r="AG458" s="694"/>
      <c r="AH458" s="694"/>
      <c r="AI458" s="694"/>
      <c r="AJ458" s="694"/>
      <c r="AK458" s="694"/>
      <c r="AL458" s="694"/>
    </row>
    <row r="459" spans="1:38" ht="12.75" customHeight="1" x14ac:dyDescent="0.25">
      <c r="A459" s="694"/>
      <c r="B459" s="298"/>
      <c r="C459" s="1302"/>
      <c r="D459" s="1307" t="s">
        <v>490</v>
      </c>
      <c r="E459" s="2815" t="str">
        <f>Translations!$B$547</f>
        <v>Получаване и подаване на измерима топлинна енергия от тази подинсталация</v>
      </c>
      <c r="F459" s="2240"/>
      <c r="G459" s="2240"/>
      <c r="H459" s="2240"/>
      <c r="I459" s="2240"/>
      <c r="J459" s="2240"/>
      <c r="K459" s="2240"/>
      <c r="L459" s="2240"/>
      <c r="M459" s="2240"/>
      <c r="N459" s="2811"/>
      <c r="O459" s="302"/>
      <c r="P459" s="302"/>
      <c r="Q459" s="729"/>
      <c r="R459" s="694"/>
      <c r="S459" s="729"/>
      <c r="T459" s="694"/>
      <c r="U459" s="694"/>
      <c r="V459" s="694"/>
      <c r="W459" s="694"/>
      <c r="X459" s="694"/>
      <c r="Y459" s="694"/>
      <c r="Z459" s="694"/>
      <c r="AA459" s="694"/>
      <c r="AB459" s="694"/>
      <c r="AC459" s="694"/>
      <c r="AD459" s="694"/>
      <c r="AE459" s="694"/>
      <c r="AF459" s="694"/>
      <c r="AG459" s="694"/>
      <c r="AH459" s="694"/>
      <c r="AI459" s="694"/>
      <c r="AJ459" s="694"/>
      <c r="AK459" s="694"/>
      <c r="AL459" s="694"/>
    </row>
    <row r="460" spans="1:38" ht="12.75" customHeight="1" x14ac:dyDescent="0.25">
      <c r="A460" s="694"/>
      <c r="B460" s="298"/>
      <c r="C460" s="1302"/>
      <c r="D460" s="625"/>
      <c r="E460" s="2816" t="str">
        <f>Translations!$B$548</f>
        <v>Посочените тук данни ще се отразят на емисиите, които могат да бъдат зададени съгласно раздел 10.1.2 и 10.1.3 от приложение VII към ПБР.</v>
      </c>
      <c r="F460" s="2240"/>
      <c r="G460" s="2240"/>
      <c r="H460" s="2240"/>
      <c r="I460" s="2240"/>
      <c r="J460" s="2240"/>
      <c r="K460" s="2240"/>
      <c r="L460" s="2240"/>
      <c r="M460" s="2240"/>
      <c r="N460" s="2811"/>
      <c r="O460" s="302"/>
      <c r="P460" s="302"/>
      <c r="Q460" s="729"/>
      <c r="R460" s="694"/>
      <c r="S460" s="729"/>
      <c r="T460" s="729"/>
      <c r="U460" s="729"/>
      <c r="V460" s="729"/>
      <c r="W460" s="694"/>
      <c r="X460" s="694"/>
      <c r="Y460" s="694"/>
      <c r="Z460" s="694"/>
      <c r="AA460" s="694"/>
      <c r="AB460" s="694"/>
      <c r="AC460" s="694"/>
      <c r="AD460" s="694"/>
      <c r="AE460" s="694"/>
      <c r="AF460" s="694"/>
      <c r="AG460" s="694"/>
      <c r="AH460" s="694"/>
      <c r="AI460" s="694"/>
      <c r="AJ460" s="694"/>
      <c r="AK460" s="694"/>
      <c r="AL460" s="694"/>
    </row>
    <row r="461" spans="1:38" ht="38.9" customHeight="1" x14ac:dyDescent="0.25">
      <c r="A461" s="694"/>
      <c r="B461" s="298"/>
      <c r="C461" s="1302"/>
      <c r="D461" s="1306"/>
      <c r="E461" s="2810" t="str">
        <f>Translations!$B$549</f>
        <v>Това включва общото количество топлинна енергия, произведено във, получено от или подадено към (под)инсталации, обхванати от СТЕ на ЕС, или инсталации или обекти извън СТЕ на ЕС. При специфичните емисионни фактори (EF), свързани с топлинната енергия, трябва да се отчитат разпоредбите на раздели 8 и 10 от приложение VII към ПБР, и по-специално раздели 10.1.2 и 10.1.3.</v>
      </c>
      <c r="F461" s="2240"/>
      <c r="G461" s="2240"/>
      <c r="H461" s="2240"/>
      <c r="I461" s="2240"/>
      <c r="J461" s="2240"/>
      <c r="K461" s="2240"/>
      <c r="L461" s="2240"/>
      <c r="M461" s="2240"/>
      <c r="N461" s="2811"/>
      <c r="O461" s="302"/>
      <c r="P461" s="302"/>
      <c r="Q461" s="729"/>
      <c r="R461" s="694"/>
      <c r="S461" s="729"/>
      <c r="T461" s="694"/>
      <c r="U461" s="694"/>
      <c r="V461" s="694"/>
      <c r="W461" s="694"/>
      <c r="X461" s="694"/>
      <c r="Y461" s="694"/>
      <c r="Z461" s="694"/>
      <c r="AA461" s="694"/>
      <c r="AB461" s="694"/>
      <c r="AC461" s="694"/>
      <c r="AD461" s="694"/>
      <c r="AE461" s="694"/>
      <c r="AF461" s="694"/>
      <c r="AG461" s="694"/>
      <c r="AH461" s="694"/>
      <c r="AI461" s="694"/>
      <c r="AJ461" s="694"/>
      <c r="AK461" s="694"/>
      <c r="AL461" s="694"/>
    </row>
    <row r="462" spans="1:38" ht="25.5" customHeight="1" x14ac:dyDescent="0.25">
      <c r="A462" s="694"/>
      <c r="B462" s="298"/>
      <c r="C462" s="1302"/>
      <c r="D462" s="1306"/>
      <c r="E462" s="2810" t="str">
        <f>Translations!$B$550</f>
        <v>Емисиите, свързани с измерима топлинна енергия, произведена в рамките на обекта от съоръжения, които обслужват повече от една подинсталация, също трябва да се въведат тук под „получени емисии“, вместо да се зададат директно чрез емисионния фактор за горивата от буква g) по-горе. Същото важи и за всяка топлинна енергия, „получена“ от други подинсталации.</v>
      </c>
      <c r="F462" s="2240"/>
      <c r="G462" s="2240"/>
      <c r="H462" s="2240"/>
      <c r="I462" s="2240"/>
      <c r="J462" s="2240"/>
      <c r="K462" s="2240"/>
      <c r="L462" s="2240"/>
      <c r="M462" s="2240"/>
      <c r="N462" s="2811"/>
      <c r="O462" s="302"/>
      <c r="P462" s="302"/>
      <c r="Q462" s="729"/>
      <c r="R462" s="694"/>
      <c r="S462" s="729"/>
      <c r="T462" s="694"/>
      <c r="U462" s="694"/>
      <c r="V462" s="694"/>
      <c r="W462" s="694"/>
      <c r="X462" s="694"/>
      <c r="Y462" s="694"/>
      <c r="Z462" s="694"/>
      <c r="AA462" s="694"/>
      <c r="AB462" s="694"/>
      <c r="AC462" s="694"/>
      <c r="AD462" s="694"/>
      <c r="AE462" s="694"/>
      <c r="AF462" s="694"/>
      <c r="AG462" s="694"/>
      <c r="AH462" s="694"/>
      <c r="AI462" s="694"/>
      <c r="AJ462" s="694"/>
      <c r="AK462" s="694"/>
      <c r="AL462" s="694"/>
    </row>
    <row r="463" spans="1:38" ht="25.5" customHeight="1" x14ac:dyDescent="0.25">
      <c r="A463" s="694"/>
      <c r="B463" s="298"/>
      <c r="C463" s="1302"/>
      <c r="D463" s="1306"/>
      <c r="E463" s="2810" t="str">
        <f>Translations!$B$551</f>
        <v xml:space="preserve">Когато топлинната енергия е произведена изключително за една подинсталация и поради това съответните емисии са вписани в буква g) по-горе, съответните количества не трябва да се докладват тук като „получени“, за да се избегне двойно отчитане. </v>
      </c>
      <c r="F463" s="2240"/>
      <c r="G463" s="2240"/>
      <c r="H463" s="2240"/>
      <c r="I463" s="2240"/>
      <c r="J463" s="2240"/>
      <c r="K463" s="2240"/>
      <c r="L463" s="2240"/>
      <c r="M463" s="2240"/>
      <c r="N463" s="2811"/>
      <c r="O463" s="302"/>
      <c r="P463" s="302"/>
      <c r="Q463" s="729"/>
      <c r="R463" s="694"/>
      <c r="S463" s="729"/>
      <c r="T463" s="694"/>
      <c r="U463" s="694"/>
      <c r="V463" s="694"/>
      <c r="W463" s="694"/>
      <c r="X463" s="694"/>
      <c r="Y463" s="694"/>
      <c r="Z463" s="694"/>
      <c r="AA463" s="694"/>
      <c r="AB463" s="694"/>
      <c r="AC463" s="694"/>
      <c r="AD463" s="694"/>
      <c r="AE463" s="694"/>
      <c r="AF463" s="694"/>
      <c r="AG463" s="694"/>
      <c r="AH463" s="694"/>
      <c r="AI463" s="694"/>
      <c r="AJ463" s="694"/>
      <c r="AK463" s="694"/>
      <c r="AL463" s="694"/>
    </row>
    <row r="464" spans="1:38" ht="12.75" customHeight="1" thickBot="1" x14ac:dyDescent="0.3">
      <c r="A464" s="694"/>
      <c r="B464" s="298"/>
      <c r="C464" s="1302"/>
      <c r="D464" s="1306"/>
      <c r="E464" s="2825" t="str">
        <f>Translations!$B$552</f>
        <v>За задаването на емисии от комбинираното производство на енергия (КПТЕ) при производството на топлинна енергия трябва да използвате „Инструмента за КПТЕ“ от раздел D.III от настоящия образец.</v>
      </c>
      <c r="F464" s="2826"/>
      <c r="G464" s="2826"/>
      <c r="H464" s="2826"/>
      <c r="I464" s="2826"/>
      <c r="J464" s="2826"/>
      <c r="K464" s="2826"/>
      <c r="L464" s="2826"/>
      <c r="M464" s="2826"/>
      <c r="N464" s="2827"/>
      <c r="O464" s="302"/>
      <c r="P464" s="302"/>
      <c r="Q464" s="729"/>
      <c r="R464" s="694"/>
      <c r="S464" s="694"/>
      <c r="T464" s="694"/>
      <c r="U464" s="694"/>
      <c r="V464" s="694"/>
      <c r="W464" s="694"/>
      <c r="X464" s="694"/>
      <c r="Y464" s="694"/>
      <c r="Z464" s="694"/>
      <c r="AA464" s="694"/>
      <c r="AB464" s="694"/>
      <c r="AC464" s="694"/>
      <c r="AD464" s="694"/>
      <c r="AE464" s="694"/>
      <c r="AF464" s="694"/>
      <c r="AG464" s="694"/>
      <c r="AH464" s="694"/>
      <c r="AI464" s="694"/>
      <c r="AJ464" s="694"/>
      <c r="AK464" s="694"/>
      <c r="AL464" s="694"/>
    </row>
    <row r="465" spans="1:38" ht="12.75" customHeight="1" thickBot="1" x14ac:dyDescent="0.3">
      <c r="A465" s="694"/>
      <c r="B465" s="298"/>
      <c r="C465" s="1302"/>
      <c r="D465" s="1306"/>
      <c r="E465" s="2803" t="str">
        <f>Translations!$B$553</f>
        <v>Общо получена топлинна енергия</v>
      </c>
      <c r="F465" s="2672"/>
      <c r="G465" s="1309" t="str">
        <f>EUconst_Unit</f>
        <v>Единица мярка</v>
      </c>
      <c r="H465" s="629">
        <f t="shared" ref="H465:N465" si="345">H$2831</f>
        <v>2024</v>
      </c>
      <c r="I465" s="1310">
        <f t="shared" si="345"/>
        <v>2025</v>
      </c>
      <c r="J465" s="1311">
        <f t="shared" si="345"/>
        <v>2026</v>
      </c>
      <c r="K465" s="629">
        <f t="shared" si="345"/>
        <v>2027</v>
      </c>
      <c r="L465" s="629">
        <f t="shared" si="345"/>
        <v>2028</v>
      </c>
      <c r="M465" s="629">
        <f t="shared" si="345"/>
        <v>2029</v>
      </c>
      <c r="N465" s="1312">
        <f t="shared" si="345"/>
        <v>2030</v>
      </c>
      <c r="O465" s="302"/>
      <c r="P465" s="302"/>
      <c r="Q465" s="729"/>
      <c r="R465" s="694"/>
      <c r="S465" s="1205"/>
      <c r="T465" s="1313">
        <f t="shared" ref="T465" si="346">H465</f>
        <v>2024</v>
      </c>
      <c r="U465" s="1313">
        <f t="shared" ref="U465" si="347">I465</f>
        <v>2025</v>
      </c>
      <c r="V465" s="1313">
        <f t="shared" ref="V465" si="348">J465</f>
        <v>2026</v>
      </c>
      <c r="W465" s="1313">
        <f t="shared" ref="W465" si="349">K465</f>
        <v>2027</v>
      </c>
      <c r="X465" s="1313">
        <f t="shared" ref="X465" si="350">L465</f>
        <v>2028</v>
      </c>
      <c r="Y465" s="1313">
        <f t="shared" ref="Y465" si="351">M465</f>
        <v>2029</v>
      </c>
      <c r="Z465" s="1314">
        <f t="shared" ref="Z465" si="352">N465</f>
        <v>2030</v>
      </c>
      <c r="AA465" s="694"/>
      <c r="AB465" s="694"/>
      <c r="AC465" s="1178">
        <f t="shared" ref="AC465" si="353">H$20</f>
        <v>2024</v>
      </c>
      <c r="AD465" s="1178">
        <f t="shared" ref="AD465" si="354">I$20</f>
        <v>2025</v>
      </c>
      <c r="AE465" s="1178">
        <f t="shared" ref="AE465" si="355">J$20</f>
        <v>2026</v>
      </c>
      <c r="AF465" s="1178">
        <f t="shared" ref="AF465" si="356">K$20</f>
        <v>2027</v>
      </c>
      <c r="AG465" s="1178">
        <f t="shared" ref="AG465" si="357">L$20</f>
        <v>2028</v>
      </c>
      <c r="AH465" s="1178">
        <f t="shared" ref="AH465" si="358">M$20</f>
        <v>2029</v>
      </c>
      <c r="AI465" s="1178">
        <f t="shared" ref="AI465" si="359">N$20</f>
        <v>2030</v>
      </c>
      <c r="AJ465" s="694"/>
      <c r="AK465" s="694"/>
      <c r="AL465" s="694"/>
    </row>
    <row r="466" spans="1:38" ht="12.75" customHeight="1" x14ac:dyDescent="0.25">
      <c r="A466" s="694"/>
      <c r="B466" s="298"/>
      <c r="C466" s="1302"/>
      <c r="D466" s="625" t="s">
        <v>6</v>
      </c>
      <c r="E466" s="2820" t="str">
        <f>Translations!$B$554</f>
        <v>Нетно количество получена топлинна енергия</v>
      </c>
      <c r="F466" s="2258"/>
      <c r="G466" s="1319" t="str">
        <f>EUconst_TJpa</f>
        <v>TJ / година</v>
      </c>
      <c r="H466" s="56"/>
      <c r="I466" s="115"/>
      <c r="J466" s="118"/>
      <c r="K466" s="56"/>
      <c r="L466" s="56"/>
      <c r="M466" s="56"/>
      <c r="N466" s="121"/>
      <c r="O466" s="302"/>
      <c r="P466" s="158"/>
      <c r="Q466" s="1190" t="str">
        <f>EUconst_CNTR_HeatImport &amp; I294</f>
        <v>HeatIm_</v>
      </c>
      <c r="R466" s="694"/>
      <c r="S466" s="1347" t="str">
        <f>EUconst_ERR_AttrEmBMapplied &amp; I294</f>
        <v>ERR_AttrEmBM_</v>
      </c>
      <c r="T466" s="982">
        <f t="shared" ref="T466" si="360">IF(AND(H466&lt;&gt;0,H467="",EUconst_StatusOfDataCollection=FALSE),1,0)</f>
        <v>0</v>
      </c>
      <c r="U466" s="982">
        <f t="shared" ref="U466" si="361">IF(AND(I466&lt;&gt;0,I467="",EUconst_StatusOfDataCollection=FALSE),1,0)</f>
        <v>0</v>
      </c>
      <c r="V466" s="982">
        <f t="shared" ref="V466" si="362">IF(AND(J466&lt;&gt;0,J467="",EUconst_StatusOfDataCollection=FALSE),1,0)</f>
        <v>0</v>
      </c>
      <c r="W466" s="982">
        <f t="shared" ref="W466" si="363">IF(AND(K466&lt;&gt;0,K467="",EUconst_StatusOfDataCollection=FALSE),1,0)</f>
        <v>0</v>
      </c>
      <c r="X466" s="982">
        <f t="shared" ref="X466" si="364">IF(AND(L466&lt;&gt;0,L467="",EUconst_StatusOfDataCollection=FALSE),1,0)</f>
        <v>0</v>
      </c>
      <c r="Y466" s="982">
        <f t="shared" ref="Y466" si="365">IF(AND(M466&lt;&gt;0,M467="",EUconst_StatusOfDataCollection=FALSE),1,0)</f>
        <v>0</v>
      </c>
      <c r="Z466" s="1287">
        <f t="shared" ref="Z466" si="366">IF(AND(N466&lt;&gt;0,N467="",EUconst_StatusOfDataCollection=FALSE),1,0)</f>
        <v>0</v>
      </c>
      <c r="AA466" s="1031"/>
      <c r="AB466" s="1182" t="s">
        <v>737</v>
      </c>
      <c r="AC466" s="982" t="b">
        <f t="shared" ref="AC466:AI466" si="367">AC341</f>
        <v>0</v>
      </c>
      <c r="AD466" s="982" t="b">
        <f t="shared" si="367"/>
        <v>0</v>
      </c>
      <c r="AE466" s="982" t="b">
        <f t="shared" si="367"/>
        <v>0</v>
      </c>
      <c r="AF466" s="982" t="b">
        <f t="shared" si="367"/>
        <v>0</v>
      </c>
      <c r="AG466" s="982" t="b">
        <f t="shared" si="367"/>
        <v>0</v>
      </c>
      <c r="AH466" s="982" t="b">
        <f t="shared" si="367"/>
        <v>0</v>
      </c>
      <c r="AI466" s="982" t="b">
        <f t="shared" si="367"/>
        <v>0</v>
      </c>
      <c r="AJ466" s="1174" t="s">
        <v>2039</v>
      </c>
      <c r="AK466" s="1176" t="str">
        <f>IF(AND(CNTR_ExistSubInstEntries,MSconst_RequireSubAttrEmissions,COUNTIFS(AC466:AI466,FALSE,H466:N466,"")&gt;0),EUconst_Error&amp;"BM"&amp;$Q294,"")</f>
        <v/>
      </c>
      <c r="AL466" s="694"/>
    </row>
    <row r="467" spans="1:38" ht="12.75" customHeight="1" thickBot="1" x14ac:dyDescent="0.3">
      <c r="A467" s="694"/>
      <c r="B467" s="298"/>
      <c r="C467" s="1302"/>
      <c r="D467" s="625" t="s">
        <v>7</v>
      </c>
      <c r="E467" s="2820" t="str">
        <f>Translations!$B$555</f>
        <v>Специфичен EF (получена топлинна енергия)</v>
      </c>
      <c r="F467" s="2258"/>
      <c r="G467" s="1319" t="str">
        <f>EUconst_tCO2pTJ</f>
        <v>t CO2 / TJ</v>
      </c>
      <c r="H467" s="56"/>
      <c r="I467" s="115"/>
      <c r="J467" s="118"/>
      <c r="K467" s="56"/>
      <c r="L467" s="56"/>
      <c r="M467" s="56"/>
      <c r="N467" s="121"/>
      <c r="O467" s="302"/>
      <c r="P467" s="158"/>
      <c r="Q467" s="1190" t="str">
        <f>EUconst_CNTR_HeatImportEF &amp; I294</f>
        <v>HeatImEF_</v>
      </c>
      <c r="R467" s="694"/>
      <c r="S467" s="1315" t="str">
        <f>EUconst_CNTR_AttributedEmissions &amp; I294</f>
        <v>AttrEmissions_</v>
      </c>
      <c r="T467" s="1290" t="str">
        <f t="shared" ref="T467" si="368">IF(T302,SUM(H466)*IF(ISNUMBER(H467),H467,EUconst_HeatBMvalue),"")</f>
        <v/>
      </c>
      <c r="U467" s="1290" t="str">
        <f t="shared" ref="U467" si="369">IF(U302,SUM(I466)*IF(ISNUMBER(I467),I467,EUconst_HeatBMvalue),"")</f>
        <v/>
      </c>
      <c r="V467" s="1290" t="str">
        <f t="shared" ref="V467" si="370">IF(V302,SUM(J466)*IF(ISNUMBER(J467),J467,EUconst_HeatBMvalue),"")</f>
        <v/>
      </c>
      <c r="W467" s="1290" t="str">
        <f t="shared" ref="W467" si="371">IF(W302,SUM(K466)*IF(ISNUMBER(K467),K467,EUconst_HeatBMvalue),"")</f>
        <v/>
      </c>
      <c r="X467" s="1290" t="str">
        <f t="shared" ref="X467" si="372">IF(X302,SUM(L466)*IF(ISNUMBER(L467),L467,EUconst_HeatBMvalue),"")</f>
        <v/>
      </c>
      <c r="Y467" s="1290" t="str">
        <f t="shared" ref="Y467" si="373">IF(Y302,SUM(M466)*IF(ISNUMBER(M467),M467,EUconst_HeatBMvalue),"")</f>
        <v/>
      </c>
      <c r="Z467" s="1291" t="str">
        <f t="shared" ref="Z467" si="374">IF(Z302,SUM(N466)*IF(ISNUMBER(N467),N467,EUconst_HeatBMvalue),"")</f>
        <v/>
      </c>
      <c r="AA467" s="694"/>
      <c r="AB467" s="694"/>
      <c r="AC467" s="982" t="b">
        <f>AC466</f>
        <v>0</v>
      </c>
      <c r="AD467" s="982" t="b">
        <f t="shared" ref="AD467:AI467" si="375">AD466</f>
        <v>0</v>
      </c>
      <c r="AE467" s="982" t="b">
        <f t="shared" si="375"/>
        <v>0</v>
      </c>
      <c r="AF467" s="982" t="b">
        <f t="shared" si="375"/>
        <v>0</v>
      </c>
      <c r="AG467" s="982" t="b">
        <f t="shared" si="375"/>
        <v>0</v>
      </c>
      <c r="AH467" s="982" t="b">
        <f t="shared" si="375"/>
        <v>0</v>
      </c>
      <c r="AI467" s="982" t="b">
        <f t="shared" si="375"/>
        <v>0</v>
      </c>
      <c r="AJ467" s="694"/>
      <c r="AK467" s="694"/>
      <c r="AL467" s="694"/>
    </row>
    <row r="468" spans="1:38" ht="5.15" customHeight="1" x14ac:dyDescent="0.25">
      <c r="A468" s="694"/>
      <c r="B468" s="298"/>
      <c r="C468" s="1302"/>
      <c r="D468" s="1306"/>
      <c r="E468" s="1306"/>
      <c r="F468" s="1306"/>
      <c r="G468" s="1306"/>
      <c r="H468" s="1306"/>
      <c r="I468" s="1306"/>
      <c r="J468" s="1306"/>
      <c r="K468" s="1306"/>
      <c r="L468" s="1306"/>
      <c r="M468" s="1306"/>
      <c r="N468" s="1316"/>
      <c r="O468" s="302"/>
      <c r="P468" s="302"/>
      <c r="Q468" s="729"/>
      <c r="R468" s="694"/>
      <c r="S468" s="729"/>
      <c r="T468" s="729"/>
      <c r="U468" s="729"/>
      <c r="V468" s="729"/>
      <c r="W468" s="694"/>
      <c r="X468" s="694"/>
      <c r="Y468" s="694"/>
      <c r="Z468" s="694"/>
      <c r="AA468" s="694"/>
      <c r="AB468" s="694"/>
      <c r="AC468" s="694"/>
      <c r="AD468" s="694"/>
      <c r="AE468" s="694"/>
      <c r="AF468" s="694"/>
      <c r="AG468" s="694"/>
      <c r="AH468" s="694"/>
      <c r="AI468" s="694"/>
      <c r="AJ468" s="694"/>
      <c r="AK468" s="694"/>
      <c r="AL468" s="694"/>
    </row>
    <row r="469" spans="1:38" ht="12.75" customHeight="1" thickBot="1" x14ac:dyDescent="0.3">
      <c r="A469" s="694"/>
      <c r="B469" s="298"/>
      <c r="C469" s="1302"/>
      <c r="D469" s="1306"/>
      <c r="E469" s="2803" t="str">
        <f>Translations!$B$556</f>
        <v>Специфична получена топлинна енергия</v>
      </c>
      <c r="F469" s="2672"/>
      <c r="G469" s="1309" t="str">
        <f>EUconst_Unit</f>
        <v>Единица мярка</v>
      </c>
      <c r="H469" s="629">
        <f t="shared" ref="H469:N469" si="376">H$2831</f>
        <v>2024</v>
      </c>
      <c r="I469" s="1310">
        <f t="shared" si="376"/>
        <v>2025</v>
      </c>
      <c r="J469" s="1311">
        <f t="shared" si="376"/>
        <v>2026</v>
      </c>
      <c r="K469" s="629">
        <f t="shared" si="376"/>
        <v>2027</v>
      </c>
      <c r="L469" s="629">
        <f t="shared" si="376"/>
        <v>2028</v>
      </c>
      <c r="M469" s="629">
        <f t="shared" si="376"/>
        <v>2029</v>
      </c>
      <c r="N469" s="1312">
        <f t="shared" si="376"/>
        <v>2030</v>
      </c>
      <c r="O469" s="302"/>
      <c r="P469" s="302"/>
      <c r="Q469" s="729"/>
      <c r="R469" s="694"/>
      <c r="S469" s="729"/>
      <c r="T469" s="729"/>
      <c r="U469" s="729"/>
      <c r="V469" s="729"/>
      <c r="W469" s="694"/>
      <c r="X469" s="694"/>
      <c r="Y469" s="694"/>
      <c r="Z469" s="694"/>
      <c r="AA469" s="694"/>
      <c r="AB469" s="694"/>
      <c r="AC469" s="1178">
        <f t="shared" ref="AC469" si="377">H$20</f>
        <v>2024</v>
      </c>
      <c r="AD469" s="1178">
        <f t="shared" ref="AD469" si="378">I$20</f>
        <v>2025</v>
      </c>
      <c r="AE469" s="1178">
        <f t="shared" ref="AE469" si="379">J$20</f>
        <v>2026</v>
      </c>
      <c r="AF469" s="1178">
        <f t="shared" ref="AF469" si="380">K$20</f>
        <v>2027</v>
      </c>
      <c r="AG469" s="1178">
        <f t="shared" ref="AG469" si="381">L$20</f>
        <v>2028</v>
      </c>
      <c r="AH469" s="1178">
        <f t="shared" ref="AH469" si="382">M$20</f>
        <v>2029</v>
      </c>
      <c r="AI469" s="1178">
        <f t="shared" ref="AI469" si="383">N$20</f>
        <v>2030</v>
      </c>
      <c r="AJ469" s="694"/>
      <c r="AK469" s="694"/>
      <c r="AL469" s="694"/>
    </row>
    <row r="470" spans="1:38" ht="12.75" customHeight="1" x14ac:dyDescent="0.25">
      <c r="A470" s="694"/>
      <c r="B470" s="298"/>
      <c r="C470" s="1302"/>
      <c r="D470" s="625" t="s">
        <v>8</v>
      </c>
      <c r="E470" s="2820" t="str">
        <f>Translations!$B$557</f>
        <v>Нетно количество топлинна енергия, получена от подинсталации за пулп</v>
      </c>
      <c r="F470" s="2258"/>
      <c r="G470" s="1319" t="str">
        <f>EUconst_TJpa</f>
        <v>TJ / година</v>
      </c>
      <c r="H470" s="141"/>
      <c r="I470" s="142"/>
      <c r="J470" s="143"/>
      <c r="K470" s="141"/>
      <c r="L470" s="141"/>
      <c r="M470" s="141"/>
      <c r="N470" s="144"/>
      <c r="O470" s="302"/>
      <c r="P470" s="158"/>
      <c r="Q470" s="1190" t="str">
        <f>EUconst_CNTR_HeatImportPulp &amp; I294</f>
        <v>HeatImPulp_</v>
      </c>
      <c r="R470" s="694"/>
      <c r="S470" s="729"/>
      <c r="T470" s="729"/>
      <c r="U470" s="729"/>
      <c r="V470" s="729"/>
      <c r="W470" s="694"/>
      <c r="X470" s="694"/>
      <c r="Y470" s="694"/>
      <c r="Z470" s="694"/>
      <c r="AA470" s="694"/>
      <c r="AB470" s="1182" t="s">
        <v>737</v>
      </c>
      <c r="AC470" s="982" t="b">
        <f>AC341</f>
        <v>0</v>
      </c>
      <c r="AD470" s="982" t="b">
        <f t="shared" ref="AD470:AI470" si="384">AD341</f>
        <v>0</v>
      </c>
      <c r="AE470" s="982" t="b">
        <f t="shared" si="384"/>
        <v>0</v>
      </c>
      <c r="AF470" s="982" t="b">
        <f t="shared" si="384"/>
        <v>0</v>
      </c>
      <c r="AG470" s="982" t="b">
        <f t="shared" si="384"/>
        <v>0</v>
      </c>
      <c r="AH470" s="982" t="b">
        <f t="shared" si="384"/>
        <v>0</v>
      </c>
      <c r="AI470" s="982" t="b">
        <f t="shared" si="384"/>
        <v>0</v>
      </c>
      <c r="AJ470" s="1174" t="s">
        <v>2039</v>
      </c>
      <c r="AK470" s="1176" t="str">
        <f>IF(AND(CNTR_ExistSubInstEntries,MSconst_RequireSubAttrEmissions,COUNTIFS(AC470:AI470,FALSE,H470:N470,"")&gt;0),EUconst_Error&amp;"BM"&amp;$Q294,"")</f>
        <v/>
      </c>
      <c r="AL470" s="694"/>
    </row>
    <row r="471" spans="1:38" ht="25.5" customHeight="1" x14ac:dyDescent="0.25">
      <c r="A471" s="694"/>
      <c r="B471" s="298"/>
      <c r="C471" s="1302"/>
      <c r="D471" s="625" t="s">
        <v>18</v>
      </c>
      <c r="E471" s="2820" t="str">
        <f>Translations!$B$558</f>
        <v>Нетно количество топлинна енергия, получена от подинсталации за азотна киселина</v>
      </c>
      <c r="F471" s="2258"/>
      <c r="G471" s="1319" t="str">
        <f>EUconst_TJpa</f>
        <v>TJ / година</v>
      </c>
      <c r="H471" s="56"/>
      <c r="I471" s="115"/>
      <c r="J471" s="118"/>
      <c r="K471" s="56"/>
      <c r="L471" s="56"/>
      <c r="M471" s="56"/>
      <c r="N471" s="121"/>
      <c r="O471" s="302"/>
      <c r="P471" s="158"/>
      <c r="Q471" s="1190" t="str">
        <f>EUconst_CNTR_HeatImportNitric &amp; I294</f>
        <v>HeatImNitric_</v>
      </c>
      <c r="R471" s="694"/>
      <c r="S471" s="729"/>
      <c r="T471" s="729"/>
      <c r="U471" s="729"/>
      <c r="V471" s="729"/>
      <c r="W471" s="694"/>
      <c r="X471" s="694"/>
      <c r="Y471" s="694"/>
      <c r="Z471" s="694"/>
      <c r="AA471" s="694"/>
      <c r="AB471" s="694"/>
      <c r="AC471" s="982" t="b">
        <f>AC470</f>
        <v>0</v>
      </c>
      <c r="AD471" s="982" t="b">
        <f t="shared" ref="AD471:AI471" si="385">AD470</f>
        <v>0</v>
      </c>
      <c r="AE471" s="982" t="b">
        <f t="shared" si="385"/>
        <v>0</v>
      </c>
      <c r="AF471" s="982" t="b">
        <f t="shared" si="385"/>
        <v>0</v>
      </c>
      <c r="AG471" s="982" t="b">
        <f t="shared" si="385"/>
        <v>0</v>
      </c>
      <c r="AH471" s="982" t="b">
        <f t="shared" si="385"/>
        <v>0</v>
      </c>
      <c r="AI471" s="982" t="b">
        <f t="shared" si="385"/>
        <v>0</v>
      </c>
      <c r="AJ471" s="1174" t="s">
        <v>2039</v>
      </c>
      <c r="AK471" s="1176" t="str">
        <f>IF(AND(CNTR_ExistSubInstEntries,MSconst_RequireSubAttrEmissions,COUNTIFS(AC471:AI471,FALSE,H471:N471,"")&gt;0),EUconst_Error&amp;"BM"&amp;$Q294,"")</f>
        <v/>
      </c>
      <c r="AL471" s="694"/>
    </row>
    <row r="472" spans="1:38" ht="5.15" customHeight="1" thickBot="1" x14ac:dyDescent="0.3">
      <c r="A472" s="694"/>
      <c r="B472" s="298"/>
      <c r="C472" s="1302"/>
      <c r="D472" s="1306"/>
      <c r="E472" s="1306"/>
      <c r="F472" s="1306"/>
      <c r="G472" s="1306"/>
      <c r="H472" s="1306"/>
      <c r="I472" s="1306"/>
      <c r="J472" s="1306"/>
      <c r="K472" s="1306"/>
      <c r="L472" s="1306"/>
      <c r="M472" s="1306"/>
      <c r="N472" s="1316"/>
      <c r="O472" s="302"/>
      <c r="P472" s="302"/>
      <c r="Q472" s="729"/>
      <c r="R472" s="694"/>
      <c r="S472" s="729"/>
      <c r="T472" s="729"/>
      <c r="U472" s="729"/>
      <c r="V472" s="729"/>
      <c r="W472" s="694"/>
      <c r="X472" s="694"/>
      <c r="Y472" s="694"/>
      <c r="Z472" s="694"/>
      <c r="AA472" s="694"/>
      <c r="AB472" s="694"/>
      <c r="AC472" s="694"/>
      <c r="AD472" s="694"/>
      <c r="AE472" s="694"/>
      <c r="AF472" s="694"/>
      <c r="AG472" s="694"/>
      <c r="AH472" s="694"/>
      <c r="AI472" s="694"/>
      <c r="AJ472" s="694"/>
      <c r="AK472" s="694"/>
      <c r="AL472" s="694"/>
    </row>
    <row r="473" spans="1:38" ht="12.75" customHeight="1" thickBot="1" x14ac:dyDescent="0.3">
      <c r="A473" s="694"/>
      <c r="B473" s="298"/>
      <c r="C473" s="1302"/>
      <c r="D473" s="1306"/>
      <c r="E473" s="2803" t="str">
        <f>Translations!$B$559</f>
        <v>Общо подадена топлинна енергия</v>
      </c>
      <c r="F473" s="2672"/>
      <c r="G473" s="1309" t="str">
        <f>EUconst_Unit</f>
        <v>Единица мярка</v>
      </c>
      <c r="H473" s="629">
        <f t="shared" ref="H473:N473" si="386">H$2831</f>
        <v>2024</v>
      </c>
      <c r="I473" s="1310">
        <f t="shared" si="386"/>
        <v>2025</v>
      </c>
      <c r="J473" s="1311">
        <f t="shared" si="386"/>
        <v>2026</v>
      </c>
      <c r="K473" s="629">
        <f t="shared" si="386"/>
        <v>2027</v>
      </c>
      <c r="L473" s="629">
        <f t="shared" si="386"/>
        <v>2028</v>
      </c>
      <c r="M473" s="629">
        <f t="shared" si="386"/>
        <v>2029</v>
      </c>
      <c r="N473" s="1312">
        <f t="shared" si="386"/>
        <v>2030</v>
      </c>
      <c r="O473" s="302"/>
      <c r="P473" s="302"/>
      <c r="Q473" s="729"/>
      <c r="R473" s="694"/>
      <c r="S473" s="1205"/>
      <c r="T473" s="1313">
        <f t="shared" ref="T473" si="387">H473</f>
        <v>2024</v>
      </c>
      <c r="U473" s="1313">
        <f t="shared" ref="U473" si="388">I473</f>
        <v>2025</v>
      </c>
      <c r="V473" s="1313">
        <f t="shared" ref="V473" si="389">J473</f>
        <v>2026</v>
      </c>
      <c r="W473" s="1313">
        <f t="shared" ref="W473" si="390">K473</f>
        <v>2027</v>
      </c>
      <c r="X473" s="1313">
        <f t="shared" ref="X473" si="391">L473</f>
        <v>2028</v>
      </c>
      <c r="Y473" s="1313">
        <f t="shared" ref="Y473" si="392">M473</f>
        <v>2029</v>
      </c>
      <c r="Z473" s="1314">
        <f t="shared" ref="Z473" si="393">N473</f>
        <v>2030</v>
      </c>
      <c r="AA473" s="694"/>
      <c r="AB473" s="694"/>
      <c r="AC473" s="1178">
        <f t="shared" ref="AC473" si="394">H$20</f>
        <v>2024</v>
      </c>
      <c r="AD473" s="1178">
        <f t="shared" ref="AD473" si="395">I$20</f>
        <v>2025</v>
      </c>
      <c r="AE473" s="1178">
        <f t="shared" ref="AE473" si="396">J$20</f>
        <v>2026</v>
      </c>
      <c r="AF473" s="1178">
        <f t="shared" ref="AF473" si="397">K$20</f>
        <v>2027</v>
      </c>
      <c r="AG473" s="1178">
        <f t="shared" ref="AG473" si="398">L$20</f>
        <v>2028</v>
      </c>
      <c r="AH473" s="1178">
        <f t="shared" ref="AH473" si="399">M$20</f>
        <v>2029</v>
      </c>
      <c r="AI473" s="1178">
        <f t="shared" ref="AI473" si="400">N$20</f>
        <v>2030</v>
      </c>
      <c r="AJ473" s="694"/>
      <c r="AK473" s="694"/>
      <c r="AL473" s="694"/>
    </row>
    <row r="474" spans="1:38" ht="12.75" customHeight="1" x14ac:dyDescent="0.25">
      <c r="A474" s="694"/>
      <c r="B474" s="298"/>
      <c r="C474" s="1302"/>
      <c r="D474" s="625" t="s">
        <v>810</v>
      </c>
      <c r="E474" s="2820" t="str">
        <f>Translations!$B$560</f>
        <v>Нетно количество подадена топлинна енергия</v>
      </c>
      <c r="F474" s="2258"/>
      <c r="G474" s="1319" t="str">
        <f>EUconst_TJpa</f>
        <v>TJ / година</v>
      </c>
      <c r="H474" s="56"/>
      <c r="I474" s="115"/>
      <c r="J474" s="118"/>
      <c r="K474" s="56"/>
      <c r="L474" s="56"/>
      <c r="M474" s="56"/>
      <c r="N474" s="121"/>
      <c r="O474" s="302"/>
      <c r="P474" s="158"/>
      <c r="Q474" s="1190" t="str">
        <f>EUconst_CNTR_HeatExport &amp; I294</f>
        <v>HeatEx_</v>
      </c>
      <c r="R474" s="694"/>
      <c r="S474" s="1347" t="str">
        <f>EUconst_ERR_AttrEmBMapplied &amp; I294</f>
        <v>ERR_AttrEmBM_</v>
      </c>
      <c r="T474" s="982">
        <f t="shared" ref="T474" si="401">IF(AND(H474&lt;&gt;0,H475="",EUconst_StatusOfDataCollection=FALSE),1,0)</f>
        <v>0</v>
      </c>
      <c r="U474" s="982">
        <f t="shared" ref="U474" si="402">IF(AND(I474&lt;&gt;0,I475="",EUconst_StatusOfDataCollection=FALSE),1,0)</f>
        <v>0</v>
      </c>
      <c r="V474" s="982">
        <f t="shared" ref="V474" si="403">IF(AND(J474&lt;&gt;0,J475="",EUconst_StatusOfDataCollection=FALSE),1,0)</f>
        <v>0</v>
      </c>
      <c r="W474" s="982">
        <f t="shared" ref="W474" si="404">IF(AND(K474&lt;&gt;0,K475="",EUconst_StatusOfDataCollection=FALSE),1,0)</f>
        <v>0</v>
      </c>
      <c r="X474" s="982">
        <f t="shared" ref="X474" si="405">IF(AND(L474&lt;&gt;0,L475="",EUconst_StatusOfDataCollection=FALSE),1,0)</f>
        <v>0</v>
      </c>
      <c r="Y474" s="982">
        <f t="shared" ref="Y474" si="406">IF(AND(M474&lt;&gt;0,M475="",EUconst_StatusOfDataCollection=FALSE),1,0)</f>
        <v>0</v>
      </c>
      <c r="Z474" s="1287">
        <f t="shared" ref="Z474" si="407">IF(AND(N474&lt;&gt;0,N475="",EUconst_StatusOfDataCollection=FALSE),1,0)</f>
        <v>0</v>
      </c>
      <c r="AA474" s="694"/>
      <c r="AB474" s="1182" t="s">
        <v>737</v>
      </c>
      <c r="AC474" s="982" t="b">
        <f>AC470</f>
        <v>0</v>
      </c>
      <c r="AD474" s="982" t="b">
        <f t="shared" ref="AD474:AI474" si="408">AD470</f>
        <v>0</v>
      </c>
      <c r="AE474" s="982" t="b">
        <f t="shared" si="408"/>
        <v>0</v>
      </c>
      <c r="AF474" s="982" t="b">
        <f t="shared" si="408"/>
        <v>0</v>
      </c>
      <c r="AG474" s="982" t="b">
        <f t="shared" si="408"/>
        <v>0</v>
      </c>
      <c r="AH474" s="982" t="b">
        <f t="shared" si="408"/>
        <v>0</v>
      </c>
      <c r="AI474" s="982" t="b">
        <f t="shared" si="408"/>
        <v>0</v>
      </c>
      <c r="AJ474" s="1174" t="s">
        <v>2039</v>
      </c>
      <c r="AK474" s="1176" t="str">
        <f>IF(AND(CNTR_ExistSubInstEntries,MSconst_RequireSubAttrEmissions,COUNTIFS(AC474:AI474,FALSE,H474:N474,"")&gt;0),EUconst_Error&amp;"BM"&amp;$Q294,"")</f>
        <v/>
      </c>
      <c r="AL474" s="694"/>
    </row>
    <row r="475" spans="1:38" ht="12.75" customHeight="1" thickBot="1" x14ac:dyDescent="0.3">
      <c r="A475" s="694"/>
      <c r="B475" s="298"/>
      <c r="C475" s="1302"/>
      <c r="D475" s="625" t="s">
        <v>811</v>
      </c>
      <c r="E475" s="2820" t="str">
        <f>Translations!$B$561</f>
        <v>Специфичен EF (подадена топлинна енергия)</v>
      </c>
      <c r="F475" s="2258"/>
      <c r="G475" s="1319" t="str">
        <f>EUconst_tCO2pTJ</f>
        <v>t CO2 / TJ</v>
      </c>
      <c r="H475" s="56"/>
      <c r="I475" s="115"/>
      <c r="J475" s="118"/>
      <c r="K475" s="56"/>
      <c r="L475" s="56"/>
      <c r="M475" s="56"/>
      <c r="N475" s="121"/>
      <c r="O475" s="302"/>
      <c r="P475" s="158"/>
      <c r="Q475" s="1190" t="str">
        <f>EUconst_CNTR_HeatExportEF &amp; I294</f>
        <v>HeatExEF_</v>
      </c>
      <c r="R475" s="694"/>
      <c r="S475" s="1315" t="str">
        <f>EUconst_CNTR_AttributedEmissions &amp; I294</f>
        <v>AttrEmissions_</v>
      </c>
      <c r="T475" s="1290" t="str">
        <f t="shared" ref="T475" si="409">IF(T302,-SUM(H474)*IF(INDEX(EUconst_BMlistMainNumberOfBM,MATCH($I294,EUconst_BMlistNames,0))=39,0,IF(ISNUMBER(H475),H475,EUconst_HeatBMvalue)),"")</f>
        <v/>
      </c>
      <c r="U475" s="1290" t="str">
        <f t="shared" ref="U475" si="410">IF(U302,-SUM(I474)*IF(INDEX(EUconst_BMlistMainNumberOfBM,MATCH($I294,EUconst_BMlistNames,0))=39,0,IF(ISNUMBER(I475),I475,EUconst_HeatBMvalue)),"")</f>
        <v/>
      </c>
      <c r="V475" s="1290" t="str">
        <f t="shared" ref="V475" si="411">IF(V302,-SUM(J474)*IF(INDEX(EUconst_BMlistMainNumberOfBM,MATCH($I294,EUconst_BMlistNames,0))=39,0,IF(ISNUMBER(J475),J475,EUconst_HeatBMvalue)),"")</f>
        <v/>
      </c>
      <c r="W475" s="1290" t="str">
        <f t="shared" ref="W475" si="412">IF(W302,-SUM(K474)*IF(INDEX(EUconst_BMlistMainNumberOfBM,MATCH($I294,EUconst_BMlistNames,0))=39,0,IF(ISNUMBER(K475),K475,EUconst_HeatBMvalue)),"")</f>
        <v/>
      </c>
      <c r="X475" s="1290" t="str">
        <f t="shared" ref="X475" si="413">IF(X302,-SUM(L474)*IF(INDEX(EUconst_BMlistMainNumberOfBM,MATCH($I294,EUconst_BMlistNames,0))=39,0,IF(ISNUMBER(L475),L475,EUconst_HeatBMvalue)),"")</f>
        <v/>
      </c>
      <c r="Y475" s="1290" t="str">
        <f t="shared" ref="Y475" si="414">IF(Y302,-SUM(M474)*IF(INDEX(EUconst_BMlistMainNumberOfBM,MATCH($I294,EUconst_BMlistNames,0))=39,0,IF(ISNUMBER(M475),M475,EUconst_HeatBMvalue)),"")</f>
        <v/>
      </c>
      <c r="Z475" s="1291" t="str">
        <f t="shared" ref="Z475" si="415">IF(Z302,-SUM(N474)*IF(INDEX(EUconst_BMlistMainNumberOfBM,MATCH($I294,EUconst_BMlistNames,0))=39,0,IF(ISNUMBER(N475),N475,EUconst_HeatBMvalue)),"")</f>
        <v/>
      </c>
      <c r="AA475" s="694"/>
      <c r="AB475" s="694"/>
      <c r="AC475" s="982" t="b">
        <f>AC474</f>
        <v>0</v>
      </c>
      <c r="AD475" s="982" t="b">
        <f t="shared" ref="AD475:AI475" si="416">AD474</f>
        <v>0</v>
      </c>
      <c r="AE475" s="982" t="b">
        <f t="shared" si="416"/>
        <v>0</v>
      </c>
      <c r="AF475" s="982" t="b">
        <f t="shared" si="416"/>
        <v>0</v>
      </c>
      <c r="AG475" s="982" t="b">
        <f t="shared" si="416"/>
        <v>0</v>
      </c>
      <c r="AH475" s="982" t="b">
        <f t="shared" si="416"/>
        <v>0</v>
      </c>
      <c r="AI475" s="982" t="b">
        <f t="shared" si="416"/>
        <v>0</v>
      </c>
      <c r="AJ475" s="694"/>
      <c r="AK475" s="694"/>
      <c r="AL475" s="694"/>
    </row>
    <row r="476" spans="1:38" ht="12.75" customHeight="1" x14ac:dyDescent="0.25">
      <c r="A476" s="694"/>
      <c r="B476" s="298"/>
      <c r="C476" s="1302"/>
      <c r="D476" s="1306"/>
      <c r="E476" s="1306"/>
      <c r="F476" s="1306"/>
      <c r="G476" s="1306"/>
      <c r="H476" s="1306"/>
      <c r="I476" s="1306"/>
      <c r="J476" s="1306"/>
      <c r="K476" s="1306"/>
      <c r="L476" s="1306"/>
      <c r="M476" s="626"/>
      <c r="N476" s="1316"/>
      <c r="O476" s="302"/>
      <c r="P476" s="302"/>
      <c r="Q476" s="729"/>
      <c r="R476" s="694"/>
      <c r="S476" s="729"/>
      <c r="T476" s="729"/>
      <c r="U476" s="729"/>
      <c r="V476" s="729"/>
      <c r="W476" s="694"/>
      <c r="X476" s="694"/>
      <c r="Y476" s="694"/>
      <c r="Z476" s="694"/>
      <c r="AA476" s="694"/>
      <c r="AB476" s="694"/>
      <c r="AC476" s="694"/>
      <c r="AD476" s="694"/>
      <c r="AE476" s="694"/>
      <c r="AF476" s="694"/>
      <c r="AG476" s="694"/>
      <c r="AH476" s="694"/>
      <c r="AI476" s="694"/>
      <c r="AJ476" s="694"/>
      <c r="AK476" s="694"/>
      <c r="AL476" s="694"/>
    </row>
    <row r="477" spans="1:38" ht="12.75" customHeight="1" x14ac:dyDescent="0.25">
      <c r="A477" s="694"/>
      <c r="B477" s="298"/>
      <c r="C477" s="1302"/>
      <c r="D477" s="1307" t="s">
        <v>492</v>
      </c>
      <c r="E477" s="2815" t="str">
        <f>Translations!$B$562</f>
        <v>Баланс на отпадните газове за тази инсталация</v>
      </c>
      <c r="F477" s="2240"/>
      <c r="G477" s="2240"/>
      <c r="H477" s="2240"/>
      <c r="I477" s="2240"/>
      <c r="J477" s="2240"/>
      <c r="K477" s="2240"/>
      <c r="L477" s="2240"/>
      <c r="M477" s="2240"/>
      <c r="N477" s="2811"/>
      <c r="O477" s="302"/>
      <c r="P477" s="302"/>
      <c r="Q477" s="729"/>
      <c r="R477" s="694"/>
      <c r="S477" s="729"/>
      <c r="T477" s="729"/>
      <c r="U477" s="729"/>
      <c r="V477" s="729"/>
      <c r="W477" s="694"/>
      <c r="X477" s="694"/>
      <c r="Y477" s="694"/>
      <c r="Z477" s="694"/>
      <c r="AA477" s="694"/>
      <c r="AB477" s="694"/>
      <c r="AC477" s="694"/>
      <c r="AD477" s="694"/>
      <c r="AE477" s="694"/>
      <c r="AF477" s="694"/>
      <c r="AG477" s="694"/>
      <c r="AH477" s="694"/>
      <c r="AI477" s="694"/>
      <c r="AJ477" s="694"/>
      <c r="AK477" s="694"/>
      <c r="AL477" s="694"/>
    </row>
    <row r="478" spans="1:38" ht="5.15" customHeight="1" x14ac:dyDescent="0.25">
      <c r="A478" s="694"/>
      <c r="B478" s="298"/>
      <c r="C478" s="1302"/>
      <c r="D478" s="1306"/>
      <c r="E478" s="1325"/>
      <c r="F478" s="1325"/>
      <c r="G478" s="1325"/>
      <c r="H478" s="1325"/>
      <c r="I478" s="1325"/>
      <c r="J478" s="1325"/>
      <c r="K478" s="1325"/>
      <c r="L478" s="1325"/>
      <c r="M478" s="1325"/>
      <c r="N478" s="1348"/>
      <c r="O478" s="302"/>
      <c r="P478" s="302"/>
      <c r="Q478" s="729"/>
      <c r="R478" s="694"/>
      <c r="S478" s="729"/>
      <c r="T478" s="729"/>
      <c r="U478" s="729"/>
      <c r="V478" s="729"/>
      <c r="W478" s="694"/>
      <c r="X478" s="694"/>
      <c r="Y478" s="694"/>
      <c r="Z478" s="694"/>
      <c r="AA478" s="694"/>
      <c r="AB478" s="694"/>
      <c r="AC478" s="694"/>
      <c r="AD478" s="694"/>
      <c r="AE478" s="694"/>
      <c r="AF478" s="694"/>
      <c r="AG478" s="694"/>
      <c r="AH478" s="694"/>
      <c r="AI478" s="694"/>
      <c r="AJ478" s="694"/>
      <c r="AK478" s="694"/>
      <c r="AL478" s="694"/>
    </row>
    <row r="479" spans="1:38" ht="12.75" customHeight="1" x14ac:dyDescent="0.25">
      <c r="A479" s="694"/>
      <c r="B479" s="298"/>
      <c r="C479" s="1302"/>
      <c r="D479" s="625" t="s">
        <v>6</v>
      </c>
      <c r="E479" s="2815" t="str">
        <f>Translations!$B$563</f>
        <v>От значение ли са отпадните газове за тази подинсталация?</v>
      </c>
      <c r="F479" s="2240"/>
      <c r="G479" s="2240"/>
      <c r="H479" s="2240"/>
      <c r="I479" s="2240"/>
      <c r="J479" s="2240"/>
      <c r="K479" s="2684"/>
      <c r="L479" s="83"/>
      <c r="M479" s="1322"/>
      <c r="N479" s="1323"/>
      <c r="O479" s="302"/>
      <c r="P479" s="158"/>
      <c r="Q479" s="729"/>
      <c r="R479" s="694"/>
      <c r="S479" s="729"/>
      <c r="T479" s="694"/>
      <c r="U479" s="694"/>
      <c r="V479" s="694"/>
      <c r="W479" s="694"/>
      <c r="X479" s="694"/>
      <c r="Y479" s="694"/>
      <c r="Z479" s="694"/>
      <c r="AA479" s="694"/>
      <c r="AB479" s="694"/>
      <c r="AC479" s="694"/>
      <c r="AD479" s="694"/>
      <c r="AE479" s="694"/>
      <c r="AF479" s="1182" t="s">
        <v>737</v>
      </c>
      <c r="AG479" s="901" t="b">
        <f>AND(CNTR_ExistSubInstEntries,I294="")</f>
        <v>0</v>
      </c>
      <c r="AH479" s="694"/>
      <c r="AI479" s="694"/>
      <c r="AJ479" s="694"/>
      <c r="AK479" s="694"/>
      <c r="AL479" s="694"/>
    </row>
    <row r="480" spans="1:38" ht="12.75" customHeight="1" x14ac:dyDescent="0.25">
      <c r="A480" s="694"/>
      <c r="B480" s="298"/>
      <c r="C480" s="1302"/>
      <c r="D480" s="1306"/>
      <c r="E480" s="2810" t="str">
        <f>Translations!$B$564</f>
        <v>Ако отговорът е „невярно“, целият раздел ще бъде защрихован в сиво и можете да продължите към следващите точки по-долу.</v>
      </c>
      <c r="F480" s="2240"/>
      <c r="G480" s="2240"/>
      <c r="H480" s="2240"/>
      <c r="I480" s="2240"/>
      <c r="J480" s="2240"/>
      <c r="K480" s="2240"/>
      <c r="L480" s="2240"/>
      <c r="M480" s="2240"/>
      <c r="N480" s="2811"/>
      <c r="O480" s="302"/>
      <c r="P480" s="302"/>
      <c r="Q480" s="729"/>
      <c r="R480" s="694"/>
      <c r="S480" s="729"/>
      <c r="T480" s="694"/>
      <c r="U480" s="694"/>
      <c r="V480" s="694"/>
      <c r="W480" s="694"/>
      <c r="X480" s="694"/>
      <c r="Y480" s="694"/>
      <c r="Z480" s="694"/>
      <c r="AA480" s="694"/>
      <c r="AB480" s="694"/>
      <c r="AC480" s="694"/>
      <c r="AD480" s="694"/>
      <c r="AE480" s="694"/>
      <c r="AF480" s="694"/>
      <c r="AG480" s="694"/>
      <c r="AH480" s="694"/>
      <c r="AI480" s="694"/>
      <c r="AJ480" s="694"/>
      <c r="AK480" s="694"/>
      <c r="AL480" s="694"/>
    </row>
    <row r="481" spans="1:38" ht="12.75" customHeight="1" x14ac:dyDescent="0.25">
      <c r="A481" s="694"/>
      <c r="B481" s="298"/>
      <c r="C481" s="1302"/>
      <c r="D481" s="625" t="s">
        <v>7</v>
      </c>
      <c r="E481" s="2815" t="str">
        <f>Translations!$B$565</f>
        <v>Видове произведени отпадни газове:</v>
      </c>
      <c r="F481" s="2240"/>
      <c r="G481" s="2240"/>
      <c r="H481" s="2684"/>
      <c r="I481" s="2821"/>
      <c r="J481" s="2674"/>
      <c r="K481" s="2674"/>
      <c r="L481" s="2674"/>
      <c r="M481" s="2675"/>
      <c r="N481" s="1323"/>
      <c r="O481" s="302"/>
      <c r="P481" s="158"/>
      <c r="Q481" s="729"/>
      <c r="R481" s="694"/>
      <c r="S481" s="729"/>
      <c r="T481" s="694"/>
      <c r="U481" s="694"/>
      <c r="V481" s="694"/>
      <c r="W481" s="694"/>
      <c r="X481" s="694"/>
      <c r="Y481" s="694"/>
      <c r="Z481" s="694"/>
      <c r="AA481" s="694"/>
      <c r="AB481" s="694"/>
      <c r="AC481" s="1182" t="s">
        <v>737</v>
      </c>
      <c r="AD481" s="901" t="b">
        <f>OR(AG479,AND($L479&lt;&gt;"",$L479=FALSE))</f>
        <v>0</v>
      </c>
      <c r="AE481" s="694"/>
      <c r="AF481" s="694"/>
      <c r="AG481" s="694"/>
      <c r="AH481" s="694"/>
      <c r="AI481" s="694"/>
      <c r="AJ481" s="694"/>
      <c r="AK481" s="694"/>
      <c r="AL481" s="694"/>
    </row>
    <row r="482" spans="1:38" ht="12.75" customHeight="1" x14ac:dyDescent="0.25">
      <c r="A482" s="694"/>
      <c r="B482" s="298"/>
      <c r="C482" s="1302"/>
      <c r="D482" s="1306"/>
      <c r="E482" s="2810" t="str">
        <f>Translations!$B$566</f>
        <v>Можете да изберете да подадете данните в тонове или 1000 Nm3. Мерните единици трябва да съответстват на използваните за долна топлина на изгаряне (NCV) и емисионния фактор по-долу.</v>
      </c>
      <c r="F482" s="2240"/>
      <c r="G482" s="2240"/>
      <c r="H482" s="2240"/>
      <c r="I482" s="2240"/>
      <c r="J482" s="2240"/>
      <c r="K482" s="2240"/>
      <c r="L482" s="2240"/>
      <c r="M482" s="2240"/>
      <c r="N482" s="2811"/>
      <c r="O482" s="302"/>
      <c r="P482" s="302"/>
      <c r="Q482" s="729"/>
      <c r="R482" s="694"/>
      <c r="S482" s="729"/>
      <c r="T482" s="729"/>
      <c r="U482" s="729"/>
      <c r="V482" s="729"/>
      <c r="W482" s="694"/>
      <c r="X482" s="694"/>
      <c r="Y482" s="694"/>
      <c r="Z482" s="694"/>
      <c r="AA482" s="694"/>
      <c r="AB482" s="694"/>
      <c r="AC482" s="694"/>
      <c r="AD482" s="694"/>
      <c r="AE482" s="694"/>
      <c r="AF482" s="694"/>
      <c r="AG482" s="694"/>
      <c r="AH482" s="694"/>
      <c r="AI482" s="694"/>
      <c r="AJ482" s="694"/>
      <c r="AK482" s="694"/>
      <c r="AL482" s="694"/>
    </row>
    <row r="483" spans="1:38" ht="12.75" customHeight="1" x14ac:dyDescent="0.25">
      <c r="A483" s="694"/>
      <c r="B483" s="298"/>
      <c r="C483" s="1302"/>
      <c r="D483" s="1306"/>
      <c r="E483" s="2816" t="str">
        <f>Translations!$B$520</f>
        <v>Посочените тук данни се използват само с цел проверка на съответствието и нямат пряко отражение върху емисиите, които могат да бъдат зададени, или на разпределението на квотите.</v>
      </c>
      <c r="F483" s="2240"/>
      <c r="G483" s="2240"/>
      <c r="H483" s="2240"/>
      <c r="I483" s="2240"/>
      <c r="J483" s="2240"/>
      <c r="K483" s="2240"/>
      <c r="L483" s="2240"/>
      <c r="M483" s="2240"/>
      <c r="N483" s="2811"/>
      <c r="O483" s="302"/>
      <c r="P483" s="302"/>
      <c r="Q483" s="729"/>
      <c r="R483" s="694"/>
      <c r="S483" s="729"/>
      <c r="T483" s="729"/>
      <c r="U483" s="729"/>
      <c r="V483" s="729"/>
      <c r="W483" s="694"/>
      <c r="X483" s="694"/>
      <c r="Y483" s="694"/>
      <c r="Z483" s="694"/>
      <c r="AA483" s="694"/>
      <c r="AB483" s="694"/>
      <c r="AC483" s="694"/>
      <c r="AD483" s="694"/>
      <c r="AE483" s="694"/>
      <c r="AF483" s="694"/>
      <c r="AG483" s="694"/>
      <c r="AH483" s="694"/>
      <c r="AI483" s="694"/>
      <c r="AJ483" s="694"/>
      <c r="AK483" s="694"/>
      <c r="AL483" s="694"/>
    </row>
    <row r="484" spans="1:38" ht="12.75" customHeight="1" thickBot="1" x14ac:dyDescent="0.3">
      <c r="A484" s="694"/>
      <c r="B484" s="298"/>
      <c r="C484" s="1302"/>
      <c r="D484" s="1306"/>
      <c r="E484" s="1317"/>
      <c r="F484" s="1318"/>
      <c r="G484" s="1309" t="str">
        <f>EUconst_Unit</f>
        <v>Единица мярка</v>
      </c>
      <c r="H484" s="629">
        <f t="shared" ref="H484:N484" si="417">H$2831</f>
        <v>2024</v>
      </c>
      <c r="I484" s="1310">
        <f t="shared" si="417"/>
        <v>2025</v>
      </c>
      <c r="J484" s="1311">
        <f t="shared" si="417"/>
        <v>2026</v>
      </c>
      <c r="K484" s="629">
        <f t="shared" si="417"/>
        <v>2027</v>
      </c>
      <c r="L484" s="629">
        <f t="shared" si="417"/>
        <v>2028</v>
      </c>
      <c r="M484" s="629">
        <f t="shared" si="417"/>
        <v>2029</v>
      </c>
      <c r="N484" s="1312">
        <f t="shared" si="417"/>
        <v>2030</v>
      </c>
      <c r="O484" s="302"/>
      <c r="P484" s="302"/>
      <c r="Q484" s="729"/>
      <c r="R484" s="694"/>
      <c r="S484" s="729"/>
      <c r="T484" s="729"/>
      <c r="U484" s="729"/>
      <c r="V484" s="729"/>
      <c r="W484" s="694"/>
      <c r="X484" s="694"/>
      <c r="Y484" s="694"/>
      <c r="Z484" s="694"/>
      <c r="AA484" s="694"/>
      <c r="AB484" s="694"/>
      <c r="AC484" s="1178">
        <f t="shared" ref="AC484" si="418">H$20</f>
        <v>2024</v>
      </c>
      <c r="AD484" s="1178">
        <f t="shared" ref="AD484" si="419">I$20</f>
        <v>2025</v>
      </c>
      <c r="AE484" s="1178">
        <f t="shared" ref="AE484" si="420">J$20</f>
        <v>2026</v>
      </c>
      <c r="AF484" s="1178">
        <f t="shared" ref="AF484" si="421">K$20</f>
        <v>2027</v>
      </c>
      <c r="AG484" s="1178">
        <f t="shared" ref="AG484" si="422">L$20</f>
        <v>2028</v>
      </c>
      <c r="AH484" s="1178">
        <f t="shared" ref="AH484" si="423">M$20</f>
        <v>2029</v>
      </c>
      <c r="AI484" s="1178">
        <f t="shared" ref="AI484" si="424">N$20</f>
        <v>2030</v>
      </c>
      <c r="AJ484" s="694"/>
      <c r="AK484" s="694"/>
      <c r="AL484" s="694"/>
    </row>
    <row r="485" spans="1:38" ht="12.75" customHeight="1" x14ac:dyDescent="0.25">
      <c r="A485" s="694"/>
      <c r="B485" s="298"/>
      <c r="C485" s="1302"/>
      <c r="D485" s="625" t="s">
        <v>8</v>
      </c>
      <c r="E485" s="2818" t="str">
        <f>Translations!$B$567</f>
        <v>Произведени количества</v>
      </c>
      <c r="F485" s="2701"/>
      <c r="G485" s="145"/>
      <c r="H485" s="129"/>
      <c r="I485" s="130"/>
      <c r="J485" s="131"/>
      <c r="K485" s="129"/>
      <c r="L485" s="129"/>
      <c r="M485" s="129"/>
      <c r="N485" s="132"/>
      <c r="O485" s="302"/>
      <c r="P485" s="158"/>
      <c r="Q485" s="729"/>
      <c r="R485" s="694"/>
      <c r="S485" s="729"/>
      <c r="T485" s="729"/>
      <c r="U485" s="729"/>
      <c r="V485" s="729"/>
      <c r="W485" s="694"/>
      <c r="X485" s="694"/>
      <c r="Y485" s="694"/>
      <c r="Z485" s="694"/>
      <c r="AA485" s="694"/>
      <c r="AB485" s="1182" t="s">
        <v>737</v>
      </c>
      <c r="AC485" s="901" t="b">
        <f>OR(AND($L479&lt;&gt;"",$L479=FALSE),AC341)</f>
        <v>0</v>
      </c>
      <c r="AD485" s="982" t="b">
        <f t="shared" ref="AD485:AI485" si="425">OR(AND($L479&lt;&gt;"",$L479=FALSE),AD341)</f>
        <v>0</v>
      </c>
      <c r="AE485" s="982" t="b">
        <f t="shared" si="425"/>
        <v>0</v>
      </c>
      <c r="AF485" s="982" t="b">
        <f t="shared" si="425"/>
        <v>0</v>
      </c>
      <c r="AG485" s="982" t="b">
        <f t="shared" si="425"/>
        <v>0</v>
      </c>
      <c r="AH485" s="982" t="b">
        <f t="shared" si="425"/>
        <v>0</v>
      </c>
      <c r="AI485" s="982" t="b">
        <f t="shared" si="425"/>
        <v>0</v>
      </c>
      <c r="AJ485" s="1174" t="s">
        <v>2039</v>
      </c>
      <c r="AK485" s="1176" t="str">
        <f>IF(AND(CNTR_ExistSubInstEntries,MSconst_RequireSubAttrEmissions,COUNTIFS(AC485:AI485,FALSE,H485:N485,"")&gt;0),EUconst_Error&amp;"BM"&amp;$Q294,"")</f>
        <v/>
      </c>
      <c r="AL485" s="694"/>
    </row>
    <row r="486" spans="1:38" ht="12.75" customHeight="1" x14ac:dyDescent="0.25">
      <c r="A486" s="694"/>
      <c r="B486" s="298"/>
      <c r="C486" s="1302"/>
      <c r="D486" s="625" t="s">
        <v>18</v>
      </c>
      <c r="E486" s="2819" t="str">
        <f>Translations!$B$296</f>
        <v>Долна топлина на изгаряне</v>
      </c>
      <c r="F486" s="2705"/>
      <c r="G486" s="1349" t="str">
        <f>IF(ISBLANK(G485),EUconst_GJperUnit,INDEX(EUconst_GJperTorKNm3,MATCH(G485,EUconst_TonnesOrkNm3pa,0)))</f>
        <v>GJ / Единица мярка</v>
      </c>
      <c r="H486" s="137"/>
      <c r="I486" s="138"/>
      <c r="J486" s="139"/>
      <c r="K486" s="137"/>
      <c r="L486" s="137"/>
      <c r="M486" s="137"/>
      <c r="N486" s="140"/>
      <c r="O486" s="302"/>
      <c r="P486" s="158"/>
      <c r="Q486" s="694"/>
      <c r="R486" s="694"/>
      <c r="S486" s="729"/>
      <c r="T486" s="729"/>
      <c r="U486" s="729"/>
      <c r="V486" s="729"/>
      <c r="W486" s="729"/>
      <c r="X486" s="729"/>
      <c r="Y486" s="729"/>
      <c r="Z486" s="729"/>
      <c r="AA486" s="694"/>
      <c r="AB486" s="694"/>
      <c r="AC486" s="982" t="b">
        <f>AC485</f>
        <v>0</v>
      </c>
      <c r="AD486" s="982" t="b">
        <f t="shared" ref="AD486:AI486" si="426">AD485</f>
        <v>0</v>
      </c>
      <c r="AE486" s="982" t="b">
        <f t="shared" si="426"/>
        <v>0</v>
      </c>
      <c r="AF486" s="982" t="b">
        <f t="shared" si="426"/>
        <v>0</v>
      </c>
      <c r="AG486" s="982" t="b">
        <f t="shared" si="426"/>
        <v>0</v>
      </c>
      <c r="AH486" s="982" t="b">
        <f t="shared" si="426"/>
        <v>0</v>
      </c>
      <c r="AI486" s="982" t="b">
        <f t="shared" si="426"/>
        <v>0</v>
      </c>
      <c r="AJ486" s="1174" t="s">
        <v>2039</v>
      </c>
      <c r="AK486" s="1176" t="str">
        <f>IF(AND(CNTR_ExistSubInstEntries,MSconst_RequireSubAttrEmissions,COUNTIFS(AC486:AI486,FALSE,H486:N486,"")&gt;0),EUconst_Error&amp;"BM"&amp;$Q294,"")</f>
        <v/>
      </c>
      <c r="AL486" s="694"/>
    </row>
    <row r="487" spans="1:38" ht="12.75" customHeight="1" x14ac:dyDescent="0.25">
      <c r="A487" s="694"/>
      <c r="B487" s="298"/>
      <c r="C487" s="1302"/>
      <c r="D487" s="625" t="s">
        <v>810</v>
      </c>
      <c r="E487" s="2820" t="str">
        <f>Translations!$B$568</f>
        <v>Произведен отпаден газ</v>
      </c>
      <c r="F487" s="2258"/>
      <c r="G487" s="1319" t="str">
        <f>EUconst_TJpa</f>
        <v>TJ / година</v>
      </c>
      <c r="H487" s="1350" t="str">
        <f t="shared" ref="H487:N487" si="427">IF(COUNT(H485:H486)=2,H485*H486/1000,"")</f>
        <v/>
      </c>
      <c r="I487" s="1351" t="str">
        <f t="shared" si="427"/>
        <v/>
      </c>
      <c r="J487" s="1352" t="str">
        <f t="shared" si="427"/>
        <v/>
      </c>
      <c r="K487" s="1350" t="str">
        <f t="shared" si="427"/>
        <v/>
      </c>
      <c r="L487" s="1350" t="str">
        <f t="shared" si="427"/>
        <v/>
      </c>
      <c r="M487" s="1350" t="str">
        <f t="shared" si="427"/>
        <v/>
      </c>
      <c r="N487" s="1353" t="str">
        <f t="shared" si="427"/>
        <v/>
      </c>
      <c r="O487" s="302"/>
      <c r="P487" s="302"/>
      <c r="Q487" s="1190" t="str">
        <f>EUconst_CNTR_WGProduced &amp; I294</f>
        <v>WasteGasProd_</v>
      </c>
      <c r="R487" s="694"/>
      <c r="S487" s="729"/>
      <c r="T487" s="729"/>
      <c r="U487" s="729"/>
      <c r="V487" s="729"/>
      <c r="W487" s="729"/>
      <c r="X487" s="729"/>
      <c r="Y487" s="729"/>
      <c r="Z487" s="729"/>
      <c r="AA487" s="694"/>
      <c r="AB487" s="694"/>
      <c r="AC487" s="694"/>
      <c r="AD487" s="694"/>
      <c r="AE487" s="694"/>
      <c r="AF487" s="694"/>
      <c r="AG487" s="694"/>
      <c r="AH487" s="694"/>
      <c r="AI487" s="694"/>
      <c r="AJ487" s="694"/>
      <c r="AK487" s="694"/>
      <c r="AL487" s="694"/>
    </row>
    <row r="488" spans="1:38" ht="12.75" customHeight="1" x14ac:dyDescent="0.25">
      <c r="A488" s="694"/>
      <c r="B488" s="298"/>
      <c r="C488" s="1302"/>
      <c r="D488" s="625" t="s">
        <v>811</v>
      </c>
      <c r="E488" s="2820" t="str">
        <f>Translations!$B$569</f>
        <v>Специфичен EF (произведен отпаден газ)</v>
      </c>
      <c r="F488" s="2258"/>
      <c r="G488" s="1319" t="str">
        <f>EUconst_tCO2pTJ</f>
        <v>t CO2 / TJ</v>
      </c>
      <c r="H488" s="56"/>
      <c r="I488" s="115"/>
      <c r="J488" s="118"/>
      <c r="K488" s="56"/>
      <c r="L488" s="56"/>
      <c r="M488" s="56"/>
      <c r="N488" s="121"/>
      <c r="O488" s="302"/>
      <c r="P488" s="158"/>
      <c r="Q488" s="1190" t="str">
        <f>EUconst_CNTR_WGProducedEF &amp; I294</f>
        <v>WasteGasProdEF_</v>
      </c>
      <c r="R488" s="694"/>
      <c r="S488" s="729"/>
      <c r="T488" s="729"/>
      <c r="U488" s="729"/>
      <c r="V488" s="729"/>
      <c r="W488" s="729"/>
      <c r="X488" s="729"/>
      <c r="Y488" s="729"/>
      <c r="Z488" s="729"/>
      <c r="AA488" s="694"/>
      <c r="AB488" s="1182" t="s">
        <v>737</v>
      </c>
      <c r="AC488" s="982" t="b">
        <f>AC486</f>
        <v>0</v>
      </c>
      <c r="AD488" s="982" t="b">
        <f t="shared" ref="AD488:AI488" si="428">AD486</f>
        <v>0</v>
      </c>
      <c r="AE488" s="982" t="b">
        <f t="shared" si="428"/>
        <v>0</v>
      </c>
      <c r="AF488" s="982" t="b">
        <f t="shared" si="428"/>
        <v>0</v>
      </c>
      <c r="AG488" s="982" t="b">
        <f t="shared" si="428"/>
        <v>0</v>
      </c>
      <c r="AH488" s="982" t="b">
        <f t="shared" si="428"/>
        <v>0</v>
      </c>
      <c r="AI488" s="982" t="b">
        <f t="shared" si="428"/>
        <v>0</v>
      </c>
      <c r="AJ488" s="1174" t="s">
        <v>2039</v>
      </c>
      <c r="AK488" s="1176" t="str">
        <f>IF(AND(CNTR_ExistSubInstEntries,MSconst_RequireSubAttrEmissions,COUNTIFS(AC488:AI488,FALSE,H488:N488,"")&gt;0),EUconst_Error&amp;"BM"&amp;$Q294,"")</f>
        <v/>
      </c>
      <c r="AL488" s="694"/>
    </row>
    <row r="489" spans="1:38" ht="12.75" customHeight="1" x14ac:dyDescent="0.25">
      <c r="A489" s="694"/>
      <c r="B489" s="298"/>
      <c r="C489" s="1302"/>
      <c r="D489" s="1306"/>
      <c r="E489" s="1306"/>
      <c r="F489" s="1306"/>
      <c r="G489" s="1306"/>
      <c r="H489" s="1354"/>
      <c r="I489" s="1306"/>
      <c r="J489" s="1306"/>
      <c r="K489" s="1306"/>
      <c r="L489" s="1306"/>
      <c r="M489" s="626"/>
      <c r="N489" s="1316"/>
      <c r="O489" s="302"/>
      <c r="P489" s="302"/>
      <c r="Q489" s="729"/>
      <c r="R489" s="694"/>
      <c r="S489" s="729"/>
      <c r="T489" s="729"/>
      <c r="U489" s="729"/>
      <c r="V489" s="729"/>
      <c r="W489" s="729"/>
      <c r="X489" s="729"/>
      <c r="Y489" s="729"/>
      <c r="Z489" s="729"/>
      <c r="AA489" s="694"/>
      <c r="AB489" s="694"/>
      <c r="AC489" s="694"/>
      <c r="AD489" s="694"/>
      <c r="AE489" s="694"/>
      <c r="AF489" s="694"/>
      <c r="AG489" s="694"/>
      <c r="AH489" s="694"/>
      <c r="AI489" s="694"/>
      <c r="AJ489" s="694"/>
      <c r="AK489" s="694"/>
      <c r="AL489" s="694"/>
    </row>
    <row r="490" spans="1:38" ht="12.75" customHeight="1" x14ac:dyDescent="0.25">
      <c r="A490" s="694"/>
      <c r="B490" s="298"/>
      <c r="C490" s="1302"/>
      <c r="D490" s="625" t="s">
        <v>812</v>
      </c>
      <c r="E490" s="2815" t="str">
        <f>Translations!$B$570</f>
        <v>Видове консумирани отпадни газове:</v>
      </c>
      <c r="F490" s="2240"/>
      <c r="G490" s="2240"/>
      <c r="H490" s="2684"/>
      <c r="I490" s="2821"/>
      <c r="J490" s="2674"/>
      <c r="K490" s="2674"/>
      <c r="L490" s="2674"/>
      <c r="M490" s="2675"/>
      <c r="N490" s="1323"/>
      <c r="O490" s="302"/>
      <c r="P490" s="158"/>
      <c r="Q490" s="729"/>
      <c r="R490" s="694"/>
      <c r="S490" s="729"/>
      <c r="T490" s="729"/>
      <c r="U490" s="729"/>
      <c r="V490" s="729"/>
      <c r="W490" s="729"/>
      <c r="X490" s="729"/>
      <c r="Y490" s="729"/>
      <c r="Z490" s="729"/>
      <c r="AA490" s="694"/>
      <c r="AB490" s="694"/>
      <c r="AC490" s="1182" t="s">
        <v>737</v>
      </c>
      <c r="AD490" s="982" t="b">
        <f>AD481</f>
        <v>0</v>
      </c>
      <c r="AE490" s="694"/>
      <c r="AF490" s="694"/>
      <c r="AG490" s="694"/>
      <c r="AH490" s="694"/>
      <c r="AI490" s="694"/>
      <c r="AJ490" s="694"/>
      <c r="AK490" s="694"/>
      <c r="AL490" s="694"/>
    </row>
    <row r="491" spans="1:38" ht="25.5" customHeight="1" x14ac:dyDescent="0.25">
      <c r="A491" s="694"/>
      <c r="B491" s="298"/>
      <c r="C491" s="1302"/>
      <c r="D491" s="625"/>
      <c r="E491" s="2810" t="str">
        <f>Translations!$B$571</f>
        <v>Това включва всички видове отпадни газове, които се консумират от тази подинсталация при производството на измерима топлинна енергия, неизмерима топлинна енергия (включително необходимото за безопасността изгаряне във факел) или механична енергия (различна от тази за електропроизводство). Количествата, резултат от изгаряне във факел, различни от необходимото за безопасността изгаряне във факел, се отчитат в следващата точка по-долу.</v>
      </c>
      <c r="F491" s="2240"/>
      <c r="G491" s="2240"/>
      <c r="H491" s="2240"/>
      <c r="I491" s="2240"/>
      <c r="J491" s="2240"/>
      <c r="K491" s="2240"/>
      <c r="L491" s="2240"/>
      <c r="M491" s="2240"/>
      <c r="N491" s="2811"/>
      <c r="O491" s="302"/>
      <c r="P491" s="302"/>
      <c r="Q491" s="729"/>
      <c r="R491" s="694"/>
      <c r="S491" s="729"/>
      <c r="T491" s="729"/>
      <c r="U491" s="729"/>
      <c r="V491" s="729"/>
      <c r="W491" s="729"/>
      <c r="X491" s="729"/>
      <c r="Y491" s="729"/>
      <c r="Z491" s="729"/>
      <c r="AA491" s="694"/>
      <c r="AB491" s="694"/>
      <c r="AC491" s="694"/>
      <c r="AD491" s="694"/>
      <c r="AE491" s="694"/>
      <c r="AF491" s="694"/>
      <c r="AG491" s="694"/>
      <c r="AH491" s="694"/>
      <c r="AI491" s="694"/>
      <c r="AJ491" s="694"/>
      <c r="AK491" s="694"/>
      <c r="AL491" s="694"/>
    </row>
    <row r="492" spans="1:38" ht="12.75" customHeight="1" x14ac:dyDescent="0.25">
      <c r="A492" s="694"/>
      <c r="B492" s="298"/>
      <c r="C492" s="1302"/>
      <c r="D492" s="1306"/>
      <c r="E492" s="2816" t="str">
        <f>Translations!$B$520</f>
        <v>Посочените тук данни се използват само с цел проверка на съответствието и нямат пряко отражение върху емисиите, които могат да бъдат зададени, или на разпределението на квотите.</v>
      </c>
      <c r="F492" s="2240"/>
      <c r="G492" s="2240"/>
      <c r="H492" s="2240"/>
      <c r="I492" s="2240"/>
      <c r="J492" s="2240"/>
      <c r="K492" s="2240"/>
      <c r="L492" s="2240"/>
      <c r="M492" s="2240"/>
      <c r="N492" s="2811"/>
      <c r="O492" s="302"/>
      <c r="P492" s="302"/>
      <c r="Q492" s="729"/>
      <c r="R492" s="694"/>
      <c r="S492" s="729"/>
      <c r="T492" s="729"/>
      <c r="U492" s="729"/>
      <c r="V492" s="729"/>
      <c r="W492" s="729"/>
      <c r="X492" s="729"/>
      <c r="Y492" s="729"/>
      <c r="Z492" s="729"/>
      <c r="AA492" s="694"/>
      <c r="AB492" s="694"/>
      <c r="AC492" s="694"/>
      <c r="AD492" s="694"/>
      <c r="AE492" s="694"/>
      <c r="AF492" s="694"/>
      <c r="AG492" s="694"/>
      <c r="AH492" s="694"/>
      <c r="AI492" s="694"/>
      <c r="AJ492" s="694"/>
      <c r="AK492" s="694"/>
      <c r="AL492" s="694"/>
    </row>
    <row r="493" spans="1:38" ht="12.75" customHeight="1" thickBot="1" x14ac:dyDescent="0.3">
      <c r="A493" s="694"/>
      <c r="B493" s="298"/>
      <c r="C493" s="1302"/>
      <c r="D493" s="1306"/>
      <c r="E493" s="1317"/>
      <c r="F493" s="1318"/>
      <c r="G493" s="1309" t="str">
        <f>EUconst_Unit</f>
        <v>Единица мярка</v>
      </c>
      <c r="H493" s="629">
        <f t="shared" ref="H493:N493" si="429">H$2831</f>
        <v>2024</v>
      </c>
      <c r="I493" s="1310">
        <f t="shared" si="429"/>
        <v>2025</v>
      </c>
      <c r="J493" s="1311">
        <f t="shared" si="429"/>
        <v>2026</v>
      </c>
      <c r="K493" s="629">
        <f t="shared" si="429"/>
        <v>2027</v>
      </c>
      <c r="L493" s="629">
        <f t="shared" si="429"/>
        <v>2028</v>
      </c>
      <c r="M493" s="629">
        <f t="shared" si="429"/>
        <v>2029</v>
      </c>
      <c r="N493" s="1312">
        <f t="shared" si="429"/>
        <v>2030</v>
      </c>
      <c r="O493" s="302"/>
      <c r="P493" s="302"/>
      <c r="Q493" s="729"/>
      <c r="R493" s="694"/>
      <c r="S493" s="729"/>
      <c r="T493" s="729"/>
      <c r="U493" s="729"/>
      <c r="V493" s="729"/>
      <c r="W493" s="729"/>
      <c r="X493" s="729"/>
      <c r="Y493" s="729"/>
      <c r="Z493" s="729"/>
      <c r="AA493" s="694"/>
      <c r="AB493" s="694"/>
      <c r="AC493" s="1178">
        <f t="shared" ref="AC493" si="430">H$20</f>
        <v>2024</v>
      </c>
      <c r="AD493" s="1178">
        <f t="shared" ref="AD493" si="431">I$20</f>
        <v>2025</v>
      </c>
      <c r="AE493" s="1178">
        <f t="shared" ref="AE493" si="432">J$20</f>
        <v>2026</v>
      </c>
      <c r="AF493" s="1178">
        <f t="shared" ref="AF493" si="433">K$20</f>
        <v>2027</v>
      </c>
      <c r="AG493" s="1178">
        <f t="shared" ref="AG493" si="434">L$20</f>
        <v>2028</v>
      </c>
      <c r="AH493" s="1178">
        <f t="shared" ref="AH493" si="435">M$20</f>
        <v>2029</v>
      </c>
      <c r="AI493" s="1178">
        <f t="shared" ref="AI493" si="436">N$20</f>
        <v>2030</v>
      </c>
      <c r="AJ493" s="694"/>
      <c r="AK493" s="694"/>
      <c r="AL493" s="694"/>
    </row>
    <row r="494" spans="1:38" ht="12.75" customHeight="1" x14ac:dyDescent="0.25">
      <c r="A494" s="694"/>
      <c r="B494" s="298"/>
      <c r="C494" s="1302"/>
      <c r="D494" s="625" t="s">
        <v>813</v>
      </c>
      <c r="E494" s="2818" t="str">
        <f>Translations!$B$572</f>
        <v>Консумирани количества</v>
      </c>
      <c r="F494" s="2701"/>
      <c r="G494" s="145"/>
      <c r="H494" s="129"/>
      <c r="I494" s="130"/>
      <c r="J494" s="131"/>
      <c r="K494" s="129"/>
      <c r="L494" s="129"/>
      <c r="M494" s="129"/>
      <c r="N494" s="132"/>
      <c r="O494" s="302"/>
      <c r="P494" s="158"/>
      <c r="Q494" s="729"/>
      <c r="R494" s="694"/>
      <c r="S494" s="729"/>
      <c r="T494" s="729"/>
      <c r="U494" s="729"/>
      <c r="V494" s="729"/>
      <c r="W494" s="729"/>
      <c r="X494" s="729"/>
      <c r="Y494" s="729"/>
      <c r="Z494" s="729"/>
      <c r="AA494" s="694"/>
      <c r="AB494" s="1182" t="s">
        <v>737</v>
      </c>
      <c r="AC494" s="982" t="b">
        <f>AC485</f>
        <v>0</v>
      </c>
      <c r="AD494" s="982" t="b">
        <f t="shared" ref="AD494:AI494" si="437">AD485</f>
        <v>0</v>
      </c>
      <c r="AE494" s="982" t="b">
        <f t="shared" si="437"/>
        <v>0</v>
      </c>
      <c r="AF494" s="982" t="b">
        <f t="shared" si="437"/>
        <v>0</v>
      </c>
      <c r="AG494" s="982" t="b">
        <f t="shared" si="437"/>
        <v>0</v>
      </c>
      <c r="AH494" s="982" t="b">
        <f t="shared" si="437"/>
        <v>0</v>
      </c>
      <c r="AI494" s="982" t="b">
        <f t="shared" si="437"/>
        <v>0</v>
      </c>
      <c r="AJ494" s="1174" t="s">
        <v>2039</v>
      </c>
      <c r="AK494" s="1176" t="str">
        <f>IF(AND(CNTR_ExistSubInstEntries,MSconst_RequireSubAttrEmissions,COUNTIFS(AC494:AI494,FALSE,H494:N494,"")&gt;0),EUconst_Error&amp;"BM"&amp;$Q294,"")</f>
        <v/>
      </c>
      <c r="AL494" s="694"/>
    </row>
    <row r="495" spans="1:38" ht="12.75" customHeight="1" x14ac:dyDescent="0.25">
      <c r="A495" s="694"/>
      <c r="B495" s="298"/>
      <c r="C495" s="1302"/>
      <c r="D495" s="625" t="s">
        <v>814</v>
      </c>
      <c r="E495" s="2819" t="str">
        <f>Translations!$B$296</f>
        <v>Долна топлина на изгаряне</v>
      </c>
      <c r="F495" s="2705"/>
      <c r="G495" s="1349" t="str">
        <f>IF(ISBLANK(G494),EUconst_GJperUnit,INDEX(EUconst_GJperTorKNm3,MATCH(G494,EUconst_TonnesOrkNm3pa,0)))</f>
        <v>GJ / Единица мярка</v>
      </c>
      <c r="H495" s="137"/>
      <c r="I495" s="138"/>
      <c r="J495" s="139"/>
      <c r="K495" s="137"/>
      <c r="L495" s="137"/>
      <c r="M495" s="137"/>
      <c r="N495" s="140"/>
      <c r="O495" s="302"/>
      <c r="P495" s="158"/>
      <c r="Q495" s="694"/>
      <c r="R495" s="694"/>
      <c r="S495" s="729"/>
      <c r="T495" s="729"/>
      <c r="U495" s="729"/>
      <c r="V495" s="729"/>
      <c r="W495" s="729"/>
      <c r="X495" s="729"/>
      <c r="Y495" s="729"/>
      <c r="Z495" s="729"/>
      <c r="AA495" s="694"/>
      <c r="AB495" s="694"/>
      <c r="AC495" s="982" t="b">
        <f>AC494</f>
        <v>0</v>
      </c>
      <c r="AD495" s="982" t="b">
        <f t="shared" ref="AD495:AI495" si="438">AD494</f>
        <v>0</v>
      </c>
      <c r="AE495" s="982" t="b">
        <f t="shared" si="438"/>
        <v>0</v>
      </c>
      <c r="AF495" s="982" t="b">
        <f t="shared" si="438"/>
        <v>0</v>
      </c>
      <c r="AG495" s="982" t="b">
        <f t="shared" si="438"/>
        <v>0</v>
      </c>
      <c r="AH495" s="982" t="b">
        <f t="shared" si="438"/>
        <v>0</v>
      </c>
      <c r="AI495" s="982" t="b">
        <f t="shared" si="438"/>
        <v>0</v>
      </c>
      <c r="AJ495" s="1174" t="s">
        <v>2039</v>
      </c>
      <c r="AK495" s="1176" t="str">
        <f>IF(AND(CNTR_ExistSubInstEntries,MSconst_RequireSubAttrEmissions,COUNTIFS(AC495:AI495,FALSE,H495:N495,"")&gt;0),EUconst_Error&amp;"BM"&amp;$Q294,"")</f>
        <v/>
      </c>
      <c r="AL495" s="694"/>
    </row>
    <row r="496" spans="1:38" ht="12.75" customHeight="1" x14ac:dyDescent="0.25">
      <c r="A496" s="694"/>
      <c r="B496" s="298"/>
      <c r="C496" s="1302"/>
      <c r="D496" s="625" t="s">
        <v>61</v>
      </c>
      <c r="E496" s="2820" t="str">
        <f>Translations!$B$573</f>
        <v>Консумиран отпаден газ</v>
      </c>
      <c r="F496" s="2258"/>
      <c r="G496" s="1319" t="str">
        <f>EUconst_TJpa</f>
        <v>TJ / година</v>
      </c>
      <c r="H496" s="1350" t="str">
        <f t="shared" ref="H496:N496" si="439">IF(COUNT(H494:H495)=2,H494*H495/1000,"")</f>
        <v/>
      </c>
      <c r="I496" s="1351" t="str">
        <f t="shared" si="439"/>
        <v/>
      </c>
      <c r="J496" s="1352" t="str">
        <f t="shared" si="439"/>
        <v/>
      </c>
      <c r="K496" s="1350" t="str">
        <f t="shared" si="439"/>
        <v/>
      </c>
      <c r="L496" s="1350" t="str">
        <f t="shared" si="439"/>
        <v/>
      </c>
      <c r="M496" s="1350" t="str">
        <f t="shared" si="439"/>
        <v/>
      </c>
      <c r="N496" s="1353" t="str">
        <f t="shared" si="439"/>
        <v/>
      </c>
      <c r="O496" s="302"/>
      <c r="P496" s="302"/>
      <c r="Q496" s="1190" t="str">
        <f>EUconst_CNTR_WGConsumed &amp; I294</f>
        <v>WasteGasCons_</v>
      </c>
      <c r="R496" s="694"/>
      <c r="S496" s="729"/>
      <c r="T496" s="729"/>
      <c r="U496" s="729"/>
      <c r="V496" s="729"/>
      <c r="W496" s="729"/>
      <c r="X496" s="729"/>
      <c r="Y496" s="729"/>
      <c r="Z496" s="729"/>
      <c r="AA496" s="694"/>
      <c r="AB496" s="694"/>
      <c r="AC496" s="694"/>
      <c r="AD496" s="694"/>
      <c r="AE496" s="694"/>
      <c r="AF496" s="694"/>
      <c r="AG496" s="694"/>
      <c r="AH496" s="694"/>
      <c r="AI496" s="694"/>
      <c r="AJ496" s="694"/>
      <c r="AK496" s="694"/>
      <c r="AL496" s="694"/>
    </row>
    <row r="497" spans="1:38" ht="12.75" customHeight="1" x14ac:dyDescent="0.25">
      <c r="A497" s="694"/>
      <c r="B497" s="298"/>
      <c r="C497" s="1302"/>
      <c r="D497" s="625" t="s">
        <v>62</v>
      </c>
      <c r="E497" s="2820" t="str">
        <f>Translations!$B$574</f>
        <v>Специфичен EF (консумиран отпаден газ)</v>
      </c>
      <c r="F497" s="2258"/>
      <c r="G497" s="1319" t="str">
        <f>EUconst_tCO2pTJ</f>
        <v>t CO2 / TJ</v>
      </c>
      <c r="H497" s="56"/>
      <c r="I497" s="115"/>
      <c r="J497" s="118"/>
      <c r="K497" s="56"/>
      <c r="L497" s="56"/>
      <c r="M497" s="56"/>
      <c r="N497" s="121"/>
      <c r="O497" s="302"/>
      <c r="P497" s="158"/>
      <c r="Q497" s="1190" t="str">
        <f>EUconst_CNTR_WGConsumedEF &amp; I294</f>
        <v>WasteGasConsEF_</v>
      </c>
      <c r="R497" s="694"/>
      <c r="S497" s="729"/>
      <c r="T497" s="729"/>
      <c r="U497" s="729"/>
      <c r="V497" s="729"/>
      <c r="W497" s="729"/>
      <c r="X497" s="729"/>
      <c r="Y497" s="729"/>
      <c r="Z497" s="729"/>
      <c r="AA497" s="694"/>
      <c r="AB497" s="1182" t="s">
        <v>737</v>
      </c>
      <c r="AC497" s="982" t="b">
        <f>AC495</f>
        <v>0</v>
      </c>
      <c r="AD497" s="982" t="b">
        <f t="shared" ref="AD497:AI497" si="440">AD495</f>
        <v>0</v>
      </c>
      <c r="AE497" s="982" t="b">
        <f t="shared" si="440"/>
        <v>0</v>
      </c>
      <c r="AF497" s="982" t="b">
        <f t="shared" si="440"/>
        <v>0</v>
      </c>
      <c r="AG497" s="982" t="b">
        <f t="shared" si="440"/>
        <v>0</v>
      </c>
      <c r="AH497" s="982" t="b">
        <f t="shared" si="440"/>
        <v>0</v>
      </c>
      <c r="AI497" s="982" t="b">
        <f t="shared" si="440"/>
        <v>0</v>
      </c>
      <c r="AJ497" s="1174" t="s">
        <v>2039</v>
      </c>
      <c r="AK497" s="1176" t="str">
        <f>IF(AND(CNTR_ExistSubInstEntries,MSconst_RequireSubAttrEmissions,COUNTIFS(AC497:AI497,FALSE,H497:N497,"")&gt;0),EUconst_Error&amp;"BM"&amp;$Q294,"")</f>
        <v/>
      </c>
      <c r="AL497" s="694"/>
    </row>
    <row r="498" spans="1:38" ht="12.75" customHeight="1" x14ac:dyDescent="0.25">
      <c r="A498" s="694"/>
      <c r="B498" s="298"/>
      <c r="C498" s="1302"/>
      <c r="D498" s="1306"/>
      <c r="E498" s="1306"/>
      <c r="F498" s="1306"/>
      <c r="G498" s="1306"/>
      <c r="H498" s="1354"/>
      <c r="I498" s="1306"/>
      <c r="J498" s="1306"/>
      <c r="K498" s="1306"/>
      <c r="L498" s="1306"/>
      <c r="M498" s="626"/>
      <c r="N498" s="1316"/>
      <c r="O498" s="302"/>
      <c r="P498" s="302"/>
      <c r="Q498" s="729"/>
      <c r="R498" s="694"/>
      <c r="S498" s="729"/>
      <c r="T498" s="729"/>
      <c r="U498" s="729"/>
      <c r="V498" s="729"/>
      <c r="W498" s="694"/>
      <c r="X498" s="694"/>
      <c r="Y498" s="694"/>
      <c r="Z498" s="694"/>
      <c r="AA498" s="694"/>
      <c r="AB498" s="694"/>
      <c r="AC498" s="694"/>
      <c r="AD498" s="694"/>
      <c r="AE498" s="694"/>
      <c r="AF498" s="694"/>
      <c r="AG498" s="694"/>
      <c r="AH498" s="694"/>
      <c r="AI498" s="694"/>
      <c r="AJ498" s="694"/>
      <c r="AK498" s="694"/>
      <c r="AL498" s="694"/>
    </row>
    <row r="499" spans="1:38" ht="12.75" customHeight="1" x14ac:dyDescent="0.25">
      <c r="A499" s="694"/>
      <c r="B499" s="298"/>
      <c r="C499" s="1302"/>
      <c r="D499" s="625" t="s">
        <v>63</v>
      </c>
      <c r="E499" s="2815" t="str">
        <f>Translations!$B$575</f>
        <v>Видове отпадни газове резултат от изгаряне във факел:</v>
      </c>
      <c r="F499" s="2240"/>
      <c r="G499" s="2240"/>
      <c r="H499" s="2684"/>
      <c r="I499" s="2821"/>
      <c r="J499" s="2674"/>
      <c r="K499" s="2674"/>
      <c r="L499" s="2674"/>
      <c r="M499" s="2675"/>
      <c r="N499" s="1323"/>
      <c r="O499" s="302"/>
      <c r="P499" s="158"/>
      <c r="Q499" s="729"/>
      <c r="R499" s="694"/>
      <c r="S499" s="729"/>
      <c r="T499" s="694"/>
      <c r="U499" s="694"/>
      <c r="V499" s="694"/>
      <c r="W499" s="694"/>
      <c r="X499" s="694"/>
      <c r="Y499" s="694"/>
      <c r="Z499" s="694"/>
      <c r="AA499" s="694"/>
      <c r="AB499" s="694"/>
      <c r="AC499" s="1182" t="s">
        <v>737</v>
      </c>
      <c r="AD499" s="982" t="b">
        <f>AD490</f>
        <v>0</v>
      </c>
      <c r="AE499" s="694"/>
      <c r="AF499" s="694"/>
      <c r="AG499" s="694"/>
      <c r="AH499" s="694"/>
      <c r="AI499" s="694"/>
      <c r="AJ499" s="694"/>
      <c r="AK499" s="694"/>
      <c r="AL499" s="694"/>
    </row>
    <row r="500" spans="1:38" ht="12.75" customHeight="1" x14ac:dyDescent="0.25">
      <c r="A500" s="694"/>
      <c r="B500" s="298"/>
      <c r="C500" s="1302"/>
      <c r="D500" s="625"/>
      <c r="E500" s="2810" t="str">
        <f>Translations!$B$576</f>
        <v>Това включва всички видове отпадни газове, които в крайна сметка са изгорени във факел, различни от необходимото за безопасността изгаряне във факел, в подинсталацията или извън нея.</v>
      </c>
      <c r="F500" s="2240"/>
      <c r="G500" s="2240"/>
      <c r="H500" s="2240"/>
      <c r="I500" s="2240"/>
      <c r="J500" s="2240"/>
      <c r="K500" s="2240"/>
      <c r="L500" s="2240"/>
      <c r="M500" s="2240"/>
      <c r="N500" s="2811"/>
      <c r="O500" s="302"/>
      <c r="P500" s="302"/>
      <c r="Q500" s="729"/>
      <c r="R500" s="694"/>
      <c r="S500" s="694"/>
      <c r="T500" s="729"/>
      <c r="U500" s="729"/>
      <c r="V500" s="729"/>
      <c r="W500" s="694"/>
      <c r="X500" s="694"/>
      <c r="Y500" s="694"/>
      <c r="Z500" s="694"/>
      <c r="AA500" s="694"/>
      <c r="AB500" s="694"/>
      <c r="AC500" s="694"/>
      <c r="AD500" s="694"/>
      <c r="AE500" s="694"/>
      <c r="AF500" s="694"/>
      <c r="AG500" s="694"/>
      <c r="AH500" s="694"/>
      <c r="AI500" s="694"/>
      <c r="AJ500" s="694"/>
      <c r="AK500" s="694"/>
      <c r="AL500" s="694"/>
    </row>
    <row r="501" spans="1:38" ht="12.75" customHeight="1" x14ac:dyDescent="0.25">
      <c r="A501" s="694"/>
      <c r="B501" s="298"/>
      <c r="C501" s="1302"/>
      <c r="D501" s="1306"/>
      <c r="E501" s="2810" t="str">
        <f>Translations!$B$577</f>
        <v>Посочените тук данни се използват само с цел проверка на съответствието и нямат пряко отражение върху емисиите, които могат да бъдат зададени.</v>
      </c>
      <c r="F501" s="2240"/>
      <c r="G501" s="2240"/>
      <c r="H501" s="2240"/>
      <c r="I501" s="2240"/>
      <c r="J501" s="2240"/>
      <c r="K501" s="2240"/>
      <c r="L501" s="2240"/>
      <c r="M501" s="2240"/>
      <c r="N501" s="2811"/>
      <c r="O501" s="302"/>
      <c r="P501" s="302"/>
      <c r="Q501" s="729"/>
      <c r="R501" s="694"/>
      <c r="S501" s="729"/>
      <c r="T501" s="729"/>
      <c r="U501" s="729"/>
      <c r="V501" s="729"/>
      <c r="W501" s="694"/>
      <c r="X501" s="694"/>
      <c r="Y501" s="694"/>
      <c r="Z501" s="694"/>
      <c r="AA501" s="694"/>
      <c r="AB501" s="694"/>
      <c r="AC501" s="694"/>
      <c r="AD501" s="694"/>
      <c r="AE501" s="694"/>
      <c r="AF501" s="694"/>
      <c r="AG501" s="694"/>
      <c r="AH501" s="694"/>
      <c r="AI501" s="694"/>
      <c r="AJ501" s="694"/>
      <c r="AK501" s="694"/>
      <c r="AL501" s="694"/>
    </row>
    <row r="502" spans="1:38" ht="12.75" customHeight="1" x14ac:dyDescent="0.25">
      <c r="A502" s="694"/>
      <c r="B502" s="298"/>
      <c r="C502" s="1302"/>
      <c r="D502" s="1306"/>
      <c r="E502" s="2816" t="str">
        <f>Translations!$B$578</f>
        <v>Въпреки това от 2026 г. квотите ще бъдат намалени по отношение на факелното изгаряне на отпадни газове, различно от необходимото за безопасността изгаряне във факел.</v>
      </c>
      <c r="F502" s="2240"/>
      <c r="G502" s="2240"/>
      <c r="H502" s="2240"/>
      <c r="I502" s="2240"/>
      <c r="J502" s="2240"/>
      <c r="K502" s="2240"/>
      <c r="L502" s="2240"/>
      <c r="M502" s="2240"/>
      <c r="N502" s="2811"/>
      <c r="O502" s="302"/>
      <c r="P502" s="302"/>
      <c r="Q502" s="729"/>
      <c r="R502" s="694"/>
      <c r="S502" s="729"/>
      <c r="T502" s="729"/>
      <c r="U502" s="729"/>
      <c r="V502" s="729"/>
      <c r="W502" s="729"/>
      <c r="X502" s="729"/>
      <c r="Y502" s="729"/>
      <c r="Z502" s="729"/>
      <c r="AA502" s="694"/>
      <c r="AB502" s="694"/>
      <c r="AC502" s="694"/>
      <c r="AD502" s="694"/>
      <c r="AE502" s="694"/>
      <c r="AF502" s="694"/>
      <c r="AG502" s="694"/>
      <c r="AH502" s="694"/>
      <c r="AI502" s="694"/>
      <c r="AJ502" s="694"/>
      <c r="AK502" s="694"/>
      <c r="AL502" s="694"/>
    </row>
    <row r="503" spans="1:38" ht="12.75" customHeight="1" thickBot="1" x14ac:dyDescent="0.3">
      <c r="A503" s="694"/>
      <c r="B503" s="298"/>
      <c r="C503" s="1302"/>
      <c r="D503" s="1306"/>
      <c r="E503" s="1317"/>
      <c r="F503" s="1318"/>
      <c r="G503" s="1309" t="str">
        <f>EUconst_Unit</f>
        <v>Единица мярка</v>
      </c>
      <c r="H503" s="629">
        <f t="shared" ref="H503:N503" si="441">H$2831</f>
        <v>2024</v>
      </c>
      <c r="I503" s="1310">
        <f t="shared" si="441"/>
        <v>2025</v>
      </c>
      <c r="J503" s="1311">
        <f t="shared" si="441"/>
        <v>2026</v>
      </c>
      <c r="K503" s="629">
        <f t="shared" si="441"/>
        <v>2027</v>
      </c>
      <c r="L503" s="629">
        <f t="shared" si="441"/>
        <v>2028</v>
      </c>
      <c r="M503" s="629">
        <f t="shared" si="441"/>
        <v>2029</v>
      </c>
      <c r="N503" s="1312">
        <f t="shared" si="441"/>
        <v>2030</v>
      </c>
      <c r="O503" s="302"/>
      <c r="P503" s="302"/>
      <c r="Q503" s="729"/>
      <c r="R503" s="694"/>
      <c r="S503" s="729"/>
      <c r="T503" s="729"/>
      <c r="U503" s="729"/>
      <c r="V503" s="729"/>
      <c r="W503" s="729"/>
      <c r="X503" s="729"/>
      <c r="Y503" s="729"/>
      <c r="Z503" s="729"/>
      <c r="AA503" s="694"/>
      <c r="AB503" s="694"/>
      <c r="AC503" s="1178">
        <f t="shared" ref="AC503" si="442">H$20</f>
        <v>2024</v>
      </c>
      <c r="AD503" s="1178">
        <f t="shared" ref="AD503" si="443">I$20</f>
        <v>2025</v>
      </c>
      <c r="AE503" s="1178">
        <f t="shared" ref="AE503" si="444">J$20</f>
        <v>2026</v>
      </c>
      <c r="AF503" s="1178">
        <f t="shared" ref="AF503" si="445">K$20</f>
        <v>2027</v>
      </c>
      <c r="AG503" s="1178">
        <f t="shared" ref="AG503" si="446">L$20</f>
        <v>2028</v>
      </c>
      <c r="AH503" s="1178">
        <f t="shared" ref="AH503" si="447">M$20</f>
        <v>2029</v>
      </c>
      <c r="AI503" s="1178">
        <f t="shared" ref="AI503" si="448">N$20</f>
        <v>2030</v>
      </c>
      <c r="AJ503" s="694"/>
      <c r="AK503" s="694"/>
      <c r="AL503" s="694"/>
    </row>
    <row r="504" spans="1:38" ht="12.75" customHeight="1" x14ac:dyDescent="0.25">
      <c r="A504" s="694"/>
      <c r="B504" s="298"/>
      <c r="C504" s="1302"/>
      <c r="D504" s="625" t="s">
        <v>1136</v>
      </c>
      <c r="E504" s="2818" t="str">
        <f>Translations!$B$579</f>
        <v>Количества, изгорени във факел</v>
      </c>
      <c r="F504" s="2701"/>
      <c r="G504" s="145"/>
      <c r="H504" s="129"/>
      <c r="I504" s="130"/>
      <c r="J504" s="131"/>
      <c r="K504" s="129"/>
      <c r="L504" s="129"/>
      <c r="M504" s="129"/>
      <c r="N504" s="132"/>
      <c r="O504" s="302"/>
      <c r="P504" s="158"/>
      <c r="Q504" s="729"/>
      <c r="R504" s="694"/>
      <c r="S504" s="729"/>
      <c r="T504" s="729"/>
      <c r="U504" s="729"/>
      <c r="V504" s="729"/>
      <c r="W504" s="729"/>
      <c r="X504" s="729"/>
      <c r="Y504" s="729"/>
      <c r="Z504" s="729"/>
      <c r="AA504" s="694"/>
      <c r="AB504" s="1182" t="s">
        <v>737</v>
      </c>
      <c r="AC504" s="982" t="b">
        <f>AC494</f>
        <v>0</v>
      </c>
      <c r="AD504" s="982" t="b">
        <f t="shared" ref="AD504:AI504" si="449">AD494</f>
        <v>0</v>
      </c>
      <c r="AE504" s="982" t="b">
        <f t="shared" si="449"/>
        <v>0</v>
      </c>
      <c r="AF504" s="982" t="b">
        <f t="shared" si="449"/>
        <v>0</v>
      </c>
      <c r="AG504" s="982" t="b">
        <f t="shared" si="449"/>
        <v>0</v>
      </c>
      <c r="AH504" s="982" t="b">
        <f t="shared" si="449"/>
        <v>0</v>
      </c>
      <c r="AI504" s="982" t="b">
        <f t="shared" si="449"/>
        <v>0</v>
      </c>
      <c r="AJ504" s="1174" t="s">
        <v>2039</v>
      </c>
      <c r="AK504" s="1176" t="str">
        <f>IF(AND(CNTR_ExistSubInstEntries,MSconst_RequireSubAttrEmissions,COUNTIFS(AC504:AI504,FALSE,H504:N504,"")&gt;0),EUconst_Error&amp;"BM"&amp;$Q294,"")</f>
        <v/>
      </c>
      <c r="AL504" s="694"/>
    </row>
    <row r="505" spans="1:38" ht="12.75" customHeight="1" x14ac:dyDescent="0.25">
      <c r="A505" s="694"/>
      <c r="B505" s="298"/>
      <c r="C505" s="1302"/>
      <c r="D505" s="625" t="s">
        <v>1137</v>
      </c>
      <c r="E505" s="2819" t="str">
        <f>Translations!$B$296</f>
        <v>Долна топлина на изгаряне</v>
      </c>
      <c r="F505" s="2705"/>
      <c r="G505" s="1349" t="str">
        <f>IF(ISBLANK(G504),EUconst_GJperUnit,INDEX(EUconst_GJperTorKNm3,MATCH(G504,EUconst_TonnesOrkNm3pa,0)))</f>
        <v>GJ / Единица мярка</v>
      </c>
      <c r="H505" s="137"/>
      <c r="I505" s="138"/>
      <c r="J505" s="139"/>
      <c r="K505" s="137"/>
      <c r="L505" s="137"/>
      <c r="M505" s="137"/>
      <c r="N505" s="140"/>
      <c r="O505" s="302"/>
      <c r="P505" s="158"/>
      <c r="Q505" s="694"/>
      <c r="R505" s="694"/>
      <c r="S505" s="729"/>
      <c r="T505" s="729"/>
      <c r="U505" s="729"/>
      <c r="V505" s="729"/>
      <c r="W505" s="729"/>
      <c r="X505" s="729"/>
      <c r="Y505" s="729"/>
      <c r="Z505" s="729"/>
      <c r="AA505" s="694"/>
      <c r="AB505" s="694"/>
      <c r="AC505" s="982" t="b">
        <f>AC504</f>
        <v>0</v>
      </c>
      <c r="AD505" s="982" t="b">
        <f t="shared" ref="AD505:AI505" si="450">AD504</f>
        <v>0</v>
      </c>
      <c r="AE505" s="982" t="b">
        <f t="shared" si="450"/>
        <v>0</v>
      </c>
      <c r="AF505" s="982" t="b">
        <f t="shared" si="450"/>
        <v>0</v>
      </c>
      <c r="AG505" s="982" t="b">
        <f t="shared" si="450"/>
        <v>0</v>
      </c>
      <c r="AH505" s="982" t="b">
        <f t="shared" si="450"/>
        <v>0</v>
      </c>
      <c r="AI505" s="982" t="b">
        <f t="shared" si="450"/>
        <v>0</v>
      </c>
      <c r="AJ505" s="1174" t="s">
        <v>2039</v>
      </c>
      <c r="AK505" s="1176" t="str">
        <f>IF(AND(CNTR_ExistSubInstEntries,MSconst_RequireSubAttrEmissions,COUNTIFS(AC505:AI505,FALSE,H505:N505,"")&gt;0),EUconst_Error&amp;"BM"&amp;$Q294,"")</f>
        <v/>
      </c>
      <c r="AL505" s="694"/>
    </row>
    <row r="506" spans="1:38" ht="12.75" customHeight="1" x14ac:dyDescent="0.25">
      <c r="A506" s="694"/>
      <c r="B506" s="298"/>
      <c r="C506" s="1302"/>
      <c r="D506" s="625" t="s">
        <v>1138</v>
      </c>
      <c r="E506" s="2820" t="str">
        <f>Translations!$B$580</f>
        <v>Изгорен във факел отпаден газ</v>
      </c>
      <c r="F506" s="2258"/>
      <c r="G506" s="1319" t="str">
        <f>EUconst_TJpa</f>
        <v>TJ / година</v>
      </c>
      <c r="H506" s="1350" t="str">
        <f t="shared" ref="H506:N506" si="451">IF(COUNT(H504:H505)=2,H504*H505/1000,"")</f>
        <v/>
      </c>
      <c r="I506" s="1351" t="str">
        <f t="shared" si="451"/>
        <v/>
      </c>
      <c r="J506" s="1352" t="str">
        <f t="shared" si="451"/>
        <v/>
      </c>
      <c r="K506" s="1350" t="str">
        <f t="shared" si="451"/>
        <v/>
      </c>
      <c r="L506" s="1350" t="str">
        <f t="shared" si="451"/>
        <v/>
      </c>
      <c r="M506" s="1350" t="str">
        <f t="shared" si="451"/>
        <v/>
      </c>
      <c r="N506" s="1353" t="str">
        <f t="shared" si="451"/>
        <v/>
      </c>
      <c r="O506" s="302"/>
      <c r="P506" s="302"/>
      <c r="Q506" s="1190" t="str">
        <f>EUconst_CNTR_WGFlared &amp; I294</f>
        <v>WasteGasFlare_</v>
      </c>
      <c r="R506" s="694"/>
      <c r="S506" s="729"/>
      <c r="T506" s="729"/>
      <c r="U506" s="729"/>
      <c r="V506" s="729"/>
      <c r="W506" s="729"/>
      <c r="X506" s="729"/>
      <c r="Y506" s="729"/>
      <c r="Z506" s="729"/>
      <c r="AA506" s="694"/>
      <c r="AB506" s="694"/>
      <c r="AC506" s="694"/>
      <c r="AD506" s="694"/>
      <c r="AE506" s="694"/>
      <c r="AF506" s="694"/>
      <c r="AG506" s="694"/>
      <c r="AH506" s="694"/>
      <c r="AI506" s="694"/>
      <c r="AJ506" s="694"/>
      <c r="AK506" s="694"/>
      <c r="AL506" s="694"/>
    </row>
    <row r="507" spans="1:38" ht="12.75" customHeight="1" x14ac:dyDescent="0.25">
      <c r="A507" s="694"/>
      <c r="B507" s="298"/>
      <c r="C507" s="1302"/>
      <c r="D507" s="625" t="s">
        <v>1139</v>
      </c>
      <c r="E507" s="2820" t="str">
        <f>Translations!$B$581</f>
        <v>Специфичен EF (изгорен във факел отпаден газ)</v>
      </c>
      <c r="F507" s="2258"/>
      <c r="G507" s="1319" t="str">
        <f>EUconst_tCO2pTJ</f>
        <v>t CO2 / TJ</v>
      </c>
      <c r="H507" s="56"/>
      <c r="I507" s="115"/>
      <c r="J507" s="118"/>
      <c r="K507" s="56"/>
      <c r="L507" s="56"/>
      <c r="M507" s="56"/>
      <c r="N507" s="121"/>
      <c r="O507" s="302"/>
      <c r="P507" s="158"/>
      <c r="Q507" s="1190" t="str">
        <f>EUconst_CNTR_WGFlaredEF &amp; I294</f>
        <v>WasteGasFlareEF_</v>
      </c>
      <c r="R507" s="694"/>
      <c r="S507" s="729"/>
      <c r="T507" s="729"/>
      <c r="U507" s="729"/>
      <c r="V507" s="729"/>
      <c r="W507" s="729"/>
      <c r="X507" s="729"/>
      <c r="Y507" s="729"/>
      <c r="Z507" s="729"/>
      <c r="AA507" s="694"/>
      <c r="AB507" s="1182" t="s">
        <v>737</v>
      </c>
      <c r="AC507" s="982" t="b">
        <f>AC505</f>
        <v>0</v>
      </c>
      <c r="AD507" s="982" t="b">
        <f t="shared" ref="AD507:AI507" si="452">AD505</f>
        <v>0</v>
      </c>
      <c r="AE507" s="982" t="b">
        <f t="shared" si="452"/>
        <v>0</v>
      </c>
      <c r="AF507" s="982" t="b">
        <f t="shared" si="452"/>
        <v>0</v>
      </c>
      <c r="AG507" s="982" t="b">
        <f t="shared" si="452"/>
        <v>0</v>
      </c>
      <c r="AH507" s="982" t="b">
        <f t="shared" si="452"/>
        <v>0</v>
      </c>
      <c r="AI507" s="982" t="b">
        <f t="shared" si="452"/>
        <v>0</v>
      </c>
      <c r="AJ507" s="1174" t="s">
        <v>2039</v>
      </c>
      <c r="AK507" s="1176" t="str">
        <f>IF(AND(CNTR_ExistSubInstEntries,MSconst_RequireSubAttrEmissions,COUNTIFS(AC507:AI507,FALSE,H507:N507,"")&gt;0),EUconst_Error&amp;"BM"&amp;$Q294,"")</f>
        <v/>
      </c>
      <c r="AL507" s="694"/>
    </row>
    <row r="508" spans="1:38" ht="5.15" customHeight="1" thickBot="1" x14ac:dyDescent="0.3">
      <c r="A508" s="694"/>
      <c r="B508" s="298"/>
      <c r="C508" s="1302"/>
      <c r="D508" s="1306"/>
      <c r="E508" s="1306"/>
      <c r="F508" s="1306"/>
      <c r="G508" s="1306"/>
      <c r="H508" s="1354"/>
      <c r="I508" s="1306"/>
      <c r="J508" s="1306"/>
      <c r="K508" s="1306"/>
      <c r="L508" s="1306"/>
      <c r="M508" s="626"/>
      <c r="N508" s="1316"/>
      <c r="O508" s="302"/>
      <c r="P508" s="302"/>
      <c r="Q508" s="729"/>
      <c r="R508" s="694"/>
      <c r="S508" s="729"/>
      <c r="T508" s="729"/>
      <c r="U508" s="729"/>
      <c r="V508" s="729"/>
      <c r="W508" s="694"/>
      <c r="X508" s="694"/>
      <c r="Y508" s="694"/>
      <c r="Z508" s="694"/>
      <c r="AA508" s="694"/>
      <c r="AB508" s="694"/>
      <c r="AC508" s="694"/>
      <c r="AD508" s="694"/>
      <c r="AE508" s="694"/>
      <c r="AF508" s="694"/>
      <c r="AG508" s="694"/>
      <c r="AH508" s="694"/>
      <c r="AI508" s="694"/>
      <c r="AJ508" s="694"/>
      <c r="AK508" s="694"/>
      <c r="AL508" s="694"/>
    </row>
    <row r="509" spans="1:38" ht="12.75" customHeight="1" thickBot="1" x14ac:dyDescent="0.3">
      <c r="A509" s="694"/>
      <c r="B509" s="298"/>
      <c r="C509" s="1302"/>
      <c r="D509" s="1306"/>
      <c r="E509" s="2820" t="str">
        <f>Translations!$B$1330</f>
        <v>Количество изгорен във факел отпаден газ</v>
      </c>
      <c r="F509" s="2820"/>
      <c r="G509" s="1355" t="str">
        <f>EUconst_tCO2</f>
        <v>t CO2</v>
      </c>
      <c r="H509" s="1356" t="str">
        <f t="shared" ref="H509" si="453">IF(T302,SUM(H506)*SUM(H507),"")</f>
        <v/>
      </c>
      <c r="I509" s="1357" t="str">
        <f t="shared" ref="I509" si="454">IF(U302,SUM(I506)*SUM(I507),"")</f>
        <v/>
      </c>
      <c r="J509" s="1358" t="str">
        <f t="shared" ref="J509" si="455">IF(V302,SUM(J506)*SUM(J507),"")</f>
        <v/>
      </c>
      <c r="K509" s="1356" t="str">
        <f t="shared" ref="K509" si="456">IF(W302,SUM(K506)*SUM(K507),"")</f>
        <v/>
      </c>
      <c r="L509" s="1356" t="str">
        <f t="shared" ref="L509" si="457">IF(X302,SUM(L506)*SUM(L507),"")</f>
        <v/>
      </c>
      <c r="M509" s="1356" t="str">
        <f t="shared" ref="M509" si="458">IF(Y302,SUM(M506)*SUM(M507),"")</f>
        <v/>
      </c>
      <c r="N509" s="1356" t="str">
        <f t="shared" ref="N509" si="459">IF(Z302,SUM(N506)*SUM(N507),"")</f>
        <v/>
      </c>
      <c r="O509" s="302"/>
      <c r="P509" s="302"/>
      <c r="Q509" s="1190" t="str">
        <f>EUconst_CNTR_HAL &amp; EUconst_CNTR_WGFlared &amp; I294</f>
        <v>HAL_WasteGasFlare_</v>
      </c>
      <c r="R509" s="694"/>
      <c r="S509" s="1174" t="s">
        <v>1811</v>
      </c>
      <c r="T509" s="1169" t="b">
        <f>CNTR_SubPeriod=2</f>
        <v>1</v>
      </c>
      <c r="U509" s="729"/>
      <c r="V509" s="729"/>
      <c r="W509" s="694"/>
      <c r="X509" s="694"/>
      <c r="Y509" s="694"/>
      <c r="Z509" s="694"/>
      <c r="AA509" s="694"/>
      <c r="AB509" s="694"/>
      <c r="AC509" s="694"/>
      <c r="AD509" s="694"/>
      <c r="AE509" s="694"/>
      <c r="AF509" s="694"/>
      <c r="AG509" s="694"/>
      <c r="AH509" s="694"/>
      <c r="AI509" s="694"/>
      <c r="AJ509" s="694"/>
      <c r="AK509" s="694"/>
      <c r="AL509" s="694"/>
    </row>
    <row r="510" spans="1:38" ht="5.15" customHeight="1" thickBot="1" x14ac:dyDescent="0.3">
      <c r="A510" s="694"/>
      <c r="B510" s="298"/>
      <c r="C510" s="1302"/>
      <c r="D510" s="1306"/>
      <c r="E510" s="1306"/>
      <c r="F510" s="1306"/>
      <c r="G510" s="1306"/>
      <c r="H510" s="1354"/>
      <c r="I510" s="1306"/>
      <c r="J510" s="1306"/>
      <c r="K510" s="1306"/>
      <c r="L510" s="1306"/>
      <c r="M510" s="626"/>
      <c r="N510" s="1316"/>
      <c r="O510" s="302"/>
      <c r="P510" s="302"/>
      <c r="Q510" s="729"/>
      <c r="R510" s="694"/>
      <c r="S510" s="729"/>
      <c r="T510" s="729"/>
      <c r="U510" s="729"/>
      <c r="V510" s="729"/>
      <c r="W510" s="694"/>
      <c r="X510" s="694"/>
      <c r="Y510" s="694"/>
      <c r="Z510" s="694"/>
      <c r="AA510" s="694"/>
      <c r="AB510" s="694"/>
      <c r="AC510" s="694"/>
      <c r="AD510" s="694"/>
      <c r="AE510" s="694"/>
      <c r="AF510" s="694"/>
      <c r="AG510" s="694"/>
      <c r="AH510" s="694"/>
      <c r="AI510" s="694"/>
      <c r="AJ510" s="694"/>
      <c r="AK510" s="694"/>
      <c r="AL510" s="694"/>
    </row>
    <row r="511" spans="1:38" ht="5.15" customHeight="1" thickBot="1" x14ac:dyDescent="0.3">
      <c r="A511" s="694"/>
      <c r="B511" s="298"/>
      <c r="C511" s="1302"/>
      <c r="D511" s="1359"/>
      <c r="E511" s="1360"/>
      <c r="F511" s="1360"/>
      <c r="G511" s="1360"/>
      <c r="H511" s="1361"/>
      <c r="I511" s="1360"/>
      <c r="J511" s="1360"/>
      <c r="K511" s="1360"/>
      <c r="L511" s="1360"/>
      <c r="M511" s="1362"/>
      <c r="N511" s="1363"/>
      <c r="O511" s="302"/>
      <c r="P511" s="302"/>
      <c r="Q511" s="729"/>
      <c r="R511" s="694"/>
      <c r="S511" s="729"/>
      <c r="T511" s="729"/>
      <c r="U511" s="729"/>
      <c r="V511" s="729"/>
      <c r="W511" s="694"/>
      <c r="X511" s="694"/>
      <c r="Y511" s="694"/>
      <c r="Z511" s="694"/>
      <c r="AA511" s="694"/>
      <c r="AB511" s="694"/>
      <c r="AC511" s="694"/>
      <c r="AD511" s="694"/>
      <c r="AE511" s="694"/>
      <c r="AF511" s="694"/>
      <c r="AG511" s="694"/>
      <c r="AH511" s="694"/>
      <c r="AI511" s="694"/>
      <c r="AJ511" s="694"/>
      <c r="AK511" s="694"/>
      <c r="AL511" s="694"/>
    </row>
    <row r="512" spans="1:38" ht="12.75" customHeight="1" x14ac:dyDescent="0.25">
      <c r="A512" s="694"/>
      <c r="B512" s="298"/>
      <c r="C512" s="1302"/>
      <c r="D512" s="1197" t="s">
        <v>2004</v>
      </c>
      <c r="E512" s="2823" t="str">
        <f>Translations!$B$1331</f>
        <v>Корекции: изгорени във факел отпадни газове</v>
      </c>
      <c r="F512" s="2672"/>
      <c r="G512" s="2672"/>
      <c r="H512" s="1200" t="str">
        <f>EUconst_Unit</f>
        <v>Единица мярка</v>
      </c>
      <c r="I512" s="1201" t="str">
        <f>Translations!$B$1327</f>
        <v>(НМИ) стойност</v>
      </c>
      <c r="J512" s="1202">
        <f>J$2831</f>
        <v>2026</v>
      </c>
      <c r="K512" s="1203">
        <f>K$2831</f>
        <v>2027</v>
      </c>
      <c r="L512" s="1203">
        <f>L$2831</f>
        <v>2028</v>
      </c>
      <c r="M512" s="1203">
        <f>M$2831</f>
        <v>2029</v>
      </c>
      <c r="N512" s="1204">
        <f>N$2831</f>
        <v>2030</v>
      </c>
      <c r="O512" s="302"/>
      <c r="P512" s="302"/>
      <c r="Q512" s="729"/>
      <c r="R512" s="694"/>
      <c r="S512" s="694"/>
      <c r="T512" s="694"/>
      <c r="U512" s="1205"/>
      <c r="V512" s="1206">
        <f>J512</f>
        <v>2026</v>
      </c>
      <c r="W512" s="1206">
        <f>K512</f>
        <v>2027</v>
      </c>
      <c r="X512" s="1206">
        <f>L512</f>
        <v>2028</v>
      </c>
      <c r="Y512" s="1206">
        <f>M512</f>
        <v>2029</v>
      </c>
      <c r="Z512" s="1207">
        <f>N512</f>
        <v>2030</v>
      </c>
      <c r="AA512" s="694"/>
      <c r="AB512" s="694"/>
      <c r="AC512" s="694"/>
      <c r="AD512" s="694"/>
      <c r="AE512" s="694"/>
      <c r="AF512" s="694"/>
      <c r="AG512" s="694"/>
      <c r="AH512" s="694"/>
      <c r="AI512" s="694"/>
      <c r="AJ512" s="694"/>
      <c r="AK512" s="694"/>
      <c r="AL512" s="694"/>
    </row>
    <row r="513" spans="1:38" ht="12.75" customHeight="1" x14ac:dyDescent="0.25">
      <c r="A513" s="694"/>
      <c r="B513" s="298"/>
      <c r="C513" s="1302"/>
      <c r="D513" s="1208" t="s">
        <v>6</v>
      </c>
      <c r="E513" s="2822" t="str">
        <f>Translations!$B$1328</f>
        <v>Средна годишна стойност</v>
      </c>
      <c r="F513" s="2258"/>
      <c r="G513" s="2258"/>
      <c r="H513" s="1266" t="str">
        <f>G509</f>
        <v>t CO2</v>
      </c>
      <c r="I513" s="1211" t="str">
        <f>INDEX('B+C_SubInstallations'!$K:$K,MATCH(Q513,'B+C_SubInstallations'!$V:$V,0))</f>
        <v/>
      </c>
      <c r="J513" s="1267" t="str">
        <f>IF($T509&lt;&gt;TRUE,"",IF(AND(V513&gt;=3,CNTR_ReportingYear&gt;J512-1),AVERAGE(SUM(H509),SUM(I509)),""))</f>
        <v/>
      </c>
      <c r="K513" s="1268" t="str">
        <f>IF($T509&lt;&gt;TRUE,"",IF(AND(W513&gt;=3,CNTR_ReportingYear&gt;K512-1),AVERAGE(SUM(I509),SUM(J509)),""))</f>
        <v/>
      </c>
      <c r="L513" s="1268" t="str">
        <f>IF($T509&lt;&gt;TRUE,"",IF(AND(X513&gt;=3,CNTR_ReportingYear&gt;L512-1),AVERAGE(SUM(J509),SUM(K509)),""))</f>
        <v/>
      </c>
      <c r="M513" s="1268" t="str">
        <f>IF($T509&lt;&gt;TRUE,"",IF(AND(Y513&gt;=3,CNTR_ReportingYear&gt;M512-1),AVERAGE(SUM(K509),SUM(L509)),""))</f>
        <v/>
      </c>
      <c r="N513" s="1269" t="str">
        <f>IF($T509&lt;&gt;TRUE,"",IF(AND(Z513&gt;=3,CNTR_ReportingYear&gt;N512-1),AVERAGE(SUM(L509),SUM(M509)),""))</f>
        <v/>
      </c>
      <c r="O513" s="302"/>
      <c r="P513" s="302"/>
      <c r="Q513" s="1190" t="str">
        <f>EUconst_CNTR_HALinitial &amp; EUconst_CNTR_WGFlared &amp; I294</f>
        <v>HALini_WasteGasFlare_</v>
      </c>
      <c r="R513" s="694"/>
      <c r="S513" s="694"/>
      <c r="T513" s="694"/>
      <c r="U513" s="1365" t="s">
        <v>1710</v>
      </c>
      <c r="V513" s="1176">
        <f>V316</f>
        <v>0</v>
      </c>
      <c r="W513" s="1176">
        <f>W316</f>
        <v>0</v>
      </c>
      <c r="X513" s="1176">
        <f>X316</f>
        <v>0</v>
      </c>
      <c r="Y513" s="1176">
        <f>Y316</f>
        <v>0</v>
      </c>
      <c r="Z513" s="1216">
        <f>Z316</f>
        <v>0</v>
      </c>
      <c r="AA513" s="694"/>
      <c r="AB513" s="694"/>
      <c r="AC513" s="694"/>
      <c r="AD513" s="694"/>
      <c r="AE513" s="694"/>
      <c r="AF513" s="694"/>
      <c r="AG513" s="694"/>
      <c r="AH513" s="694"/>
      <c r="AI513" s="694"/>
      <c r="AJ513" s="694"/>
      <c r="AK513" s="694"/>
      <c r="AL513" s="694"/>
    </row>
    <row r="514" spans="1:38" ht="12.75" hidden="1" customHeight="1" x14ac:dyDescent="0.25">
      <c r="A514" s="729" t="s">
        <v>312</v>
      </c>
      <c r="B514" s="298"/>
      <c r="C514" s="1302"/>
      <c r="D514" s="1208"/>
      <c r="E514" s="2822" t="str">
        <f>Translations!$B$1378</f>
        <v>Промяна в сравнение със стойността в НМИ</v>
      </c>
      <c r="F514" s="2258"/>
      <c r="G514" s="2258"/>
      <c r="H514" s="1222"/>
      <c r="I514" s="1223"/>
      <c r="J514" s="104" t="str">
        <f>IF(J513="","",IF($I516=0,IF(J513=0,0%,100%),J513/$I516-1))</f>
        <v/>
      </c>
      <c r="K514" s="99" t="str">
        <f>IF(K513="","",IF($I516=0,IF(K513=0,0%,100%),K513/$I516-1))</f>
        <v/>
      </c>
      <c r="L514" s="99" t="str">
        <f>IF(L513="","",IF($I516=0,IF(L513=0,0%,100%),L513/$I516-1))</f>
        <v/>
      </c>
      <c r="M514" s="99" t="str">
        <f>IF(M513="","",IF($I516=0,IF(M513=0,0%,100%),M513/$I516-1))</f>
        <v/>
      </c>
      <c r="N514" s="123" t="str">
        <f>IF(N513="","",IF($I516=0,IF(N513=0,0%,100%),N513/$I516-1))</f>
        <v/>
      </c>
      <c r="O514" s="302"/>
      <c r="P514" s="302"/>
      <c r="Q514" s="1190" t="str">
        <f>EUconst_CNTR_RelThreshold &amp; Q516</f>
        <v>RelThresh_HALprelim_WasteGasFlare_</v>
      </c>
      <c r="R514" s="694"/>
      <c r="S514" s="694"/>
      <c r="T514" s="694"/>
      <c r="U514" s="1365" t="s">
        <v>1715</v>
      </c>
      <c r="V514" s="727" t="str">
        <f>IF(J513="","",ABS(J514)&gt;15%)</f>
        <v/>
      </c>
      <c r="W514" s="727" t="str">
        <f>IF(K513="","",ABS(K514)&gt;15%)</f>
        <v/>
      </c>
      <c r="X514" s="727" t="str">
        <f>IF(L513="","",ABS(L514)&gt;15%)</f>
        <v/>
      </c>
      <c r="Y514" s="727" t="str">
        <f>IF(M513="","",ABS(M514)&gt;15%)</f>
        <v/>
      </c>
      <c r="Z514" s="1221" t="str">
        <f>IF(N513="","",ABS(N514)&gt;15%)</f>
        <v/>
      </c>
      <c r="AA514" s="694"/>
      <c r="AB514" s="694"/>
      <c r="AC514" s="694"/>
      <c r="AD514" s="694"/>
      <c r="AE514" s="694"/>
      <c r="AF514" s="694"/>
      <c r="AG514" s="694"/>
      <c r="AH514" s="694"/>
      <c r="AI514" s="694"/>
      <c r="AJ514" s="694"/>
      <c r="AK514" s="694"/>
      <c r="AL514" s="694"/>
    </row>
    <row r="515" spans="1:38" ht="12.75" customHeight="1" x14ac:dyDescent="0.25">
      <c r="A515" s="729"/>
      <c r="B515" s="298"/>
      <c r="C515" s="1302"/>
      <c r="D515" s="1208" t="s">
        <v>7</v>
      </c>
      <c r="E515" s="2822" t="str">
        <f>Translations!$B$1322</f>
        <v>Предварителна корекция (ако са надвишени относителните прагове)</v>
      </c>
      <c r="F515" s="2258"/>
      <c r="G515" s="2258"/>
      <c r="H515" s="1222"/>
      <c r="I515" s="1223"/>
      <c r="J515" s="1224" t="str">
        <f>IF(J513="","",IF(V514=FALSE,0%,IF(V515,J514,I521)))</f>
        <v/>
      </c>
      <c r="K515" s="1225" t="str">
        <f>IF(K513="","",IF(W514=FALSE,0%,IF(W515,K514,J521)))</f>
        <v/>
      </c>
      <c r="L515" s="1225" t="str">
        <f>IF(L513="","",IF(X514=FALSE,0%,IF(X515,L514,K521)))</f>
        <v/>
      </c>
      <c r="M515" s="1225" t="str">
        <f>IF(M513="","",IF(Y514=FALSE,0%,IF(Y515,M514,L521)))</f>
        <v/>
      </c>
      <c r="N515" s="1226" t="str">
        <f>IF(N513="","",IF(Z514=FALSE,0%,IF(Z515,N514,M521)))</f>
        <v/>
      </c>
      <c r="O515" s="302"/>
      <c r="P515" s="302"/>
      <c r="Q515" s="729"/>
      <c r="R515" s="694"/>
      <c r="S515" s="694"/>
      <c r="T515" s="694"/>
      <c r="U515" s="1215" t="s">
        <v>1716</v>
      </c>
      <c r="V515" s="727" t="str">
        <f>IF(J513="","",AND(V514,IF(SUM(I521)&lt;0,OR(SUM(J514)&lt;SUM(I521)-MOD(SUM(I521),5%),J514&gt;=SUM(I521)+5%-MOD(SUM(I521),5%)),OR(SUM(J514)&lt;=SUM(I521)-MOD(SUM(I521),5%),SUM(J514)&gt;SUM(I521)+5%-MOD(SUM(I521),5%)))))</f>
        <v/>
      </c>
      <c r="W515" s="727" t="str">
        <f>IF(K513="","",AND(W514,IF(SUM(J521)&lt;0,OR(SUM(K514)&lt;SUM(J521)-MOD(SUM(J521),5%),K514&gt;=SUM(J521)+5%-MOD(SUM(J521),5%)),OR(SUM(K514)&lt;=SUM(J521)-MOD(SUM(J521),5%),SUM(K514)&gt;SUM(J521)+5%-MOD(SUM(J521),5%)))))</f>
        <v/>
      </c>
      <c r="X515" s="727" t="str">
        <f>IF(L513="","",AND(X514,IF(SUM(K521)&lt;0,OR(SUM(L514)&lt;SUM(K521)-MOD(SUM(K521),5%),L514&gt;=SUM(K521)+5%-MOD(SUM(K521),5%)),OR(SUM(L514)&lt;=SUM(K521)-MOD(SUM(K521),5%),SUM(L514)&gt;SUM(K521)+5%-MOD(SUM(K521),5%)))))</f>
        <v/>
      </c>
      <c r="Y515" s="727" t="str">
        <f>IF(M513="","",AND(Y514,IF(SUM(L521)&lt;0,OR(SUM(M514)&lt;SUM(L521)-MOD(SUM(L521),5%),M514&gt;=SUM(L521)+5%-MOD(SUM(L521),5%)),OR(SUM(M514)&lt;=SUM(L521)-MOD(SUM(L521),5%),SUM(M514)&gt;SUM(L521)+5%-MOD(SUM(L521),5%)))))</f>
        <v/>
      </c>
      <c r="Z515" s="1221" t="str">
        <f>IF(N513="","",AND(Z514,IF(SUM(M521)&lt;0,OR(SUM(N514)&lt;SUM(M521)-MOD(SUM(M521),5%),N514&gt;=SUM(M521)+5%-MOD(SUM(M521),5%)),OR(SUM(N514)&lt;=SUM(M521)-MOD(SUM(M521),5%),SUM(N514)&gt;SUM(M521)+5%-MOD(SUM(M521),5%)))))</f>
        <v/>
      </c>
      <c r="AA515" s="694"/>
      <c r="AB515" s="694"/>
      <c r="AC515" s="694"/>
      <c r="AD515" s="694"/>
      <c r="AE515" s="694"/>
      <c r="AF515" s="694"/>
      <c r="AG515" s="694"/>
      <c r="AH515" s="694"/>
      <c r="AI515" s="694"/>
      <c r="AJ515" s="694"/>
      <c r="AK515" s="694"/>
      <c r="AL515" s="694"/>
    </row>
    <row r="516" spans="1:38" ht="12.75" hidden="1" customHeight="1" x14ac:dyDescent="0.25">
      <c r="A516" s="729" t="s">
        <v>312</v>
      </c>
      <c r="B516" s="298"/>
      <c r="C516" s="1302"/>
      <c r="D516" s="1208"/>
      <c r="E516" s="2822" t="str">
        <f>Translations!$B$1377</f>
        <v>Предварителна стойност</v>
      </c>
      <c r="F516" s="2258"/>
      <c r="G516" s="2258"/>
      <c r="H516" s="1266" t="str">
        <f>H513</f>
        <v>t CO2</v>
      </c>
      <c r="I516" s="1211" t="str">
        <f>IF($I294="","",IF(AB294=FALSE,EUconst_NA,IF(V294&gt;($J$2831-3),INDEX(H509:N509,MATCH(V294,H503:N503,0)),SUM(I513))))</f>
        <v/>
      </c>
      <c r="J516" s="1212" t="str">
        <f>IF($I294="","",IF(V513&lt;2,SUM(J509),IF(V513&lt;3,SUM(I509),IF(V516="",I516,V516))))</f>
        <v/>
      </c>
      <c r="K516" s="1213" t="str">
        <f>IF($I294="","",IF(W513&lt;2,SUM(K509),IF(W513&lt;3,SUM(J509),IF(W516="",J516,W516))))</f>
        <v/>
      </c>
      <c r="L516" s="1213" t="str">
        <f>IF($I294="","",IF(X513&lt;2,SUM(L509),IF(X513&lt;3,SUM(K509),IF(X516="",K516,X516))))</f>
        <v/>
      </c>
      <c r="M516" s="1213" t="str">
        <f>IF($I294="","",IF(Y513&lt;2,SUM(M509),IF(Y513&lt;3,SUM(L509),IF(Y516="",L516,Y516))))</f>
        <v/>
      </c>
      <c r="N516" s="1214" t="str">
        <f>IF($I294="","",IF(Z513&lt;2,SUM(N509),IF(Z513&lt;3,SUM(M509),IF(Z516="",M516,Z516))))</f>
        <v/>
      </c>
      <c r="O516" s="302"/>
      <c r="P516" s="302"/>
      <c r="Q516" s="1190" t="str">
        <f>EUconst_CNTR_HALprelim&amp;EUconst_CNTR_WGFlared &amp; I294</f>
        <v>HALprelim_WasteGasFlare_</v>
      </c>
      <c r="R516" s="694"/>
      <c r="S516" s="694"/>
      <c r="T516" s="694"/>
      <c r="U516" s="1365" t="s">
        <v>1756</v>
      </c>
      <c r="V516" s="1227" t="str">
        <f>IF(J513="","",IF(CNTR_ReportingYear&lt;J512,I515,IF($I516=0,J513,$I516*(1+J515))))</f>
        <v/>
      </c>
      <c r="W516" s="1227" t="str">
        <f>IF(K513="","",IF(CNTR_ReportingYear&lt;K512,J515,IF($I516=0,K513,$I516*(1+K515))))</f>
        <v/>
      </c>
      <c r="X516" s="1227" t="str">
        <f>IF(L513="","",IF(CNTR_ReportingYear&lt;L512,K515,IF($I516=0,L513,$I516*(1+L515))))</f>
        <v/>
      </c>
      <c r="Y516" s="1227" t="str">
        <f>IF(M513="","",IF(CNTR_ReportingYear&lt;M512,L515,IF($I516=0,M513,$I516*(1+M515))))</f>
        <v/>
      </c>
      <c r="Z516" s="1228" t="str">
        <f>IF(N513="","",IF(CNTR_ReportingYear&lt;N512,M515,IF($I516=0,N513,$I516*(1+N515))))</f>
        <v/>
      </c>
      <c r="AA516" s="694"/>
      <c r="AB516" s="694"/>
      <c r="AC516" s="694"/>
      <c r="AD516" s="694"/>
      <c r="AE516" s="694"/>
      <c r="AF516" s="694"/>
      <c r="AG516" s="694"/>
      <c r="AH516" s="694"/>
      <c r="AI516" s="694"/>
      <c r="AJ516" s="694"/>
      <c r="AK516" s="694"/>
      <c r="AL516" s="694"/>
    </row>
    <row r="517" spans="1:38" ht="5.15" customHeight="1" x14ac:dyDescent="0.25">
      <c r="A517" s="729"/>
      <c r="B517" s="298"/>
      <c r="C517" s="1302"/>
      <c r="D517" s="1208"/>
      <c r="E517" s="1199"/>
      <c r="F517" s="1199"/>
      <c r="G517" s="1199"/>
      <c r="H517" s="1199"/>
      <c r="I517" s="1199"/>
      <c r="J517" s="1229"/>
      <c r="K517" s="1229"/>
      <c r="L517" s="1229"/>
      <c r="M517" s="1229"/>
      <c r="N517" s="1230"/>
      <c r="O517" s="302"/>
      <c r="P517" s="302"/>
      <c r="Q517" s="729"/>
      <c r="R517" s="694"/>
      <c r="S517" s="694"/>
      <c r="T517" s="694"/>
      <c r="U517" s="1231"/>
      <c r="V517" s="729"/>
      <c r="W517" s="694"/>
      <c r="X517" s="694"/>
      <c r="Y517" s="694"/>
      <c r="Z517" s="1232"/>
      <c r="AA517" s="694"/>
      <c r="AB517" s="694"/>
      <c r="AC517" s="694"/>
      <c r="AD517" s="694"/>
      <c r="AE517" s="694"/>
      <c r="AF517" s="694"/>
      <c r="AG517" s="694"/>
      <c r="AH517" s="694"/>
      <c r="AI517" s="694"/>
      <c r="AJ517" s="694"/>
      <c r="AK517" s="694"/>
      <c r="AL517" s="694"/>
    </row>
    <row r="518" spans="1:38" ht="12.75" customHeight="1" x14ac:dyDescent="0.25">
      <c r="A518" s="729"/>
      <c r="B518" s="298"/>
      <c r="C518" s="1302"/>
      <c r="D518" s="1208"/>
      <c r="E518" s="2823" t="str">
        <f>Translations!$B$1323</f>
        <v>Действителна корекция (база за следващи години)</v>
      </c>
      <c r="F518" s="2672"/>
      <c r="G518" s="2672"/>
      <c r="H518" s="2672"/>
      <c r="I518" s="2813"/>
      <c r="J518" s="1202">
        <f>J$2831</f>
        <v>2026</v>
      </c>
      <c r="K518" s="1203">
        <f>K$2831</f>
        <v>2027</v>
      </c>
      <c r="L518" s="1203">
        <f>L$2831</f>
        <v>2028</v>
      </c>
      <c r="M518" s="1203">
        <f>M$2831</f>
        <v>2029</v>
      </c>
      <c r="N518" s="1204">
        <f>N$2831</f>
        <v>2030</v>
      </c>
      <c r="O518" s="302"/>
      <c r="P518" s="302"/>
      <c r="Q518" s="729"/>
      <c r="R518" s="694"/>
      <c r="S518" s="694"/>
      <c r="T518" s="694"/>
      <c r="U518" s="1234"/>
      <c r="V518" s="694"/>
      <c r="W518" s="694"/>
      <c r="X518" s="694"/>
      <c r="Y518" s="694"/>
      <c r="Z518" s="1232"/>
      <c r="AA518" s="694"/>
      <c r="AB518" s="694"/>
      <c r="AC518" s="694"/>
      <c r="AD518" s="694"/>
      <c r="AE518" s="694"/>
      <c r="AF518" s="694"/>
      <c r="AG518" s="694"/>
      <c r="AH518" s="694"/>
      <c r="AI518" s="694"/>
      <c r="AJ518" s="694"/>
      <c r="AK518" s="694"/>
      <c r="AL518" s="694"/>
    </row>
    <row r="519" spans="1:38" ht="12.75" customHeight="1" x14ac:dyDescent="0.25">
      <c r="A519" s="729"/>
      <c r="B519" s="298"/>
      <c r="C519" s="1302"/>
      <c r="D519" s="1208" t="s">
        <v>8</v>
      </c>
      <c r="E519" s="2822" t="str">
        <f>Translations!$B$1515</f>
        <v>изпълнен ли е критерият за &gt;=300 квоти за емисии?</v>
      </c>
      <c r="F519" s="2258"/>
      <c r="G519" s="2258"/>
      <c r="H519" s="2258"/>
      <c r="I519" s="2824"/>
      <c r="J519" s="1236" t="str">
        <f>IF($I294="","",INDEX(K_Summary!J:J,MATCH($Q519,K_Summary!$P:$P,0)))</f>
        <v/>
      </c>
      <c r="K519" s="385" t="str">
        <f>IF($I294="","",INDEX(K_Summary!K:K,MATCH($Q519,K_Summary!$P:$P,0)))</f>
        <v/>
      </c>
      <c r="L519" s="385" t="str">
        <f>IF($I294="","",INDEX(K_Summary!L:L,MATCH($Q519,K_Summary!$P:$P,0)))</f>
        <v/>
      </c>
      <c r="M519" s="385" t="str">
        <f>IF($I294="","",INDEX(K_Summary!M:M,MATCH($Q519,K_Summary!$P:$P,0)))</f>
        <v/>
      </c>
      <c r="N519" s="1237" t="str">
        <f>IF($I294="","",INDEX(K_Summary!N:N,MATCH($Q519,K_Summary!$P:$P,0)))</f>
        <v/>
      </c>
      <c r="O519" s="302"/>
      <c r="P519" s="302"/>
      <c r="Q519" s="1182" t="str">
        <f>EUconst_CNTR_300EUA&amp;I294</f>
        <v>EUA300_</v>
      </c>
      <c r="R519" s="694"/>
      <c r="S519" s="694"/>
      <c r="T519" s="694"/>
      <c r="U519" s="1234"/>
      <c r="V519" s="694"/>
      <c r="W519" s="694"/>
      <c r="X519" s="694"/>
      <c r="Y519" s="694"/>
      <c r="Z519" s="1232"/>
      <c r="AA519" s="694"/>
      <c r="AB519" s="694"/>
      <c r="AC519" s="694"/>
      <c r="AD519" s="694"/>
      <c r="AE519" s="694"/>
      <c r="AF519" s="694"/>
      <c r="AG519" s="694"/>
      <c r="AH519" s="694"/>
      <c r="AI519" s="694"/>
      <c r="AJ519" s="694"/>
      <c r="AK519" s="694"/>
      <c r="AL519" s="694"/>
    </row>
    <row r="520" spans="1:38" ht="5.15" customHeight="1" thickBot="1" x14ac:dyDescent="0.3">
      <c r="A520" s="729"/>
      <c r="B520" s="298"/>
      <c r="C520" s="1302"/>
      <c r="D520" s="1208"/>
      <c r="E520" s="1199"/>
      <c r="F520" s="1199"/>
      <c r="G520" s="1199"/>
      <c r="H520" s="1199"/>
      <c r="I520" s="1199"/>
      <c r="J520" s="1199"/>
      <c r="K520" s="1199"/>
      <c r="L520" s="1199"/>
      <c r="M520" s="1199"/>
      <c r="N520" s="1238"/>
      <c r="O520" s="302"/>
      <c r="P520" s="302"/>
      <c r="Q520" s="729"/>
      <c r="R520" s="694"/>
      <c r="S520" s="694"/>
      <c r="T520" s="694"/>
      <c r="U520" s="1231"/>
      <c r="V520" s="729"/>
      <c r="W520" s="694"/>
      <c r="X520" s="694"/>
      <c r="Y520" s="694"/>
      <c r="Z520" s="1232"/>
      <c r="AA520" s="694"/>
      <c r="AB520" s="694"/>
      <c r="AC520" s="694"/>
      <c r="AD520" s="694"/>
      <c r="AE520" s="694"/>
      <c r="AF520" s="694"/>
      <c r="AG520" s="694"/>
      <c r="AH520" s="694"/>
      <c r="AI520" s="694"/>
      <c r="AJ520" s="694"/>
      <c r="AK520" s="694"/>
      <c r="AL520" s="694"/>
    </row>
    <row r="521" spans="1:38" ht="12.75" customHeight="1" thickBot="1" x14ac:dyDescent="0.3">
      <c r="A521" s="694"/>
      <c r="B521" s="298"/>
      <c r="C521" s="1302"/>
      <c r="D521" s="1208" t="s">
        <v>18</v>
      </c>
      <c r="E521" s="2822" t="str">
        <f>Translations!$B$1324</f>
        <v>Действителна корекция (ако са надвишени всички прагове)</v>
      </c>
      <c r="F521" s="2258"/>
      <c r="G521" s="2258"/>
      <c r="H521" s="2258"/>
      <c r="I521" s="2824"/>
      <c r="J521" s="1240" t="str">
        <f>IF(J519="","",IF(OR(J519,V513&lt;1),J515,I521))</f>
        <v/>
      </c>
      <c r="K521" s="1241" t="str">
        <f>IF(K519="","",IF(OR(K519,W513&lt;1),K515,J521))</f>
        <v/>
      </c>
      <c r="L521" s="1241" t="str">
        <f>IF(L519="","",IF(OR(L519,X513&lt;1),L515,K521))</f>
        <v/>
      </c>
      <c r="M521" s="1241" t="str">
        <f>IF(M519="","",IF(OR(M519,Y513&lt;1),M515,L521))</f>
        <v/>
      </c>
      <c r="N521" s="1242" t="str">
        <f>IF(N519="","",IF(OR(N519,Z513&lt;1),N515,M521))</f>
        <v/>
      </c>
      <c r="O521" s="302"/>
      <c r="P521" s="302"/>
      <c r="Q521" s="729"/>
      <c r="R521" s="694"/>
      <c r="S521" s="694"/>
      <c r="T521" s="694"/>
      <c r="U521" s="1231" t="s">
        <v>1718</v>
      </c>
      <c r="V521" s="1243">
        <f>J518</f>
        <v>2026</v>
      </c>
      <c r="W521" s="1243">
        <f>K518</f>
        <v>2027</v>
      </c>
      <c r="X521" s="1243">
        <f>L518</f>
        <v>2028</v>
      </c>
      <c r="Y521" s="1243">
        <f>M518</f>
        <v>2029</v>
      </c>
      <c r="Z521" s="1244">
        <f>N518</f>
        <v>2030</v>
      </c>
      <c r="AA521" s="694"/>
      <c r="AB521" s="694"/>
      <c r="AC521" s="694"/>
      <c r="AD521" s="694"/>
      <c r="AE521" s="694"/>
      <c r="AF521" s="694"/>
      <c r="AG521" s="694"/>
      <c r="AH521" s="694"/>
      <c r="AI521" s="694"/>
      <c r="AJ521" s="694"/>
      <c r="AK521" s="694"/>
      <c r="AL521" s="694"/>
    </row>
    <row r="522" spans="1:38" ht="12.75" customHeight="1" thickBot="1" x14ac:dyDescent="0.3">
      <c r="A522" s="729"/>
      <c r="B522" s="298"/>
      <c r="C522" s="1302"/>
      <c r="D522" s="1208" t="s">
        <v>810</v>
      </c>
      <c r="E522" s="2822" t="str">
        <f>Translations!$B$1325</f>
        <v>Действителна стойност</v>
      </c>
      <c r="F522" s="2258"/>
      <c r="G522" s="2258"/>
      <c r="H522" s="1266" t="str">
        <f>H513</f>
        <v>t CO2</v>
      </c>
      <c r="I522" s="1211" t="str">
        <f>I516</f>
        <v/>
      </c>
      <c r="J522" s="632" t="str">
        <f>IF($I294="","",IF(OR($I522=0,$I522=EUconst_NA),IF(OR(J519=TRUE,J518=$V294),J516,SUM(I522)),IF(J521="",J516,$I522*(1+SUM(J521)))))</f>
        <v/>
      </c>
      <c r="K522" s="633" t="str">
        <f>IF($I294="","",IF(OR($I522=0,$I522=EUconst_NA),IF(OR(K519=TRUE,K518=$V294),K516,SUM(J522)),IF(K521="",K516,$I522*(1+SUM(K521)))))</f>
        <v/>
      </c>
      <c r="L522" s="633" t="str">
        <f>IF($I294="","",IF(OR($I522=0,$I522=EUconst_NA),IF(OR(L519=TRUE,L518=$V294),L516,SUM(K522)),IF(L521="",L516,$I522*(1+SUM(L521)))))</f>
        <v/>
      </c>
      <c r="M522" s="633" t="str">
        <f>IF($I294="","",IF(OR($I522=0,$I522=EUconst_NA),IF(OR(M519=TRUE,M518=$V294),M516,SUM(L522)),IF(M521="",M516,$I522*(1+SUM(M521)))))</f>
        <v/>
      </c>
      <c r="N522" s="634" t="str">
        <f>IF($I294="","",IF(OR($I522=0,$I522=EUconst_NA),IF(OR(N519=TRUE,N518=$V294),N516,SUM(M522)),IF(N521="",N516,$I522*(1+SUM(N521)))))</f>
        <v/>
      </c>
      <c r="O522" s="302"/>
      <c r="P522" s="302"/>
      <c r="Q522" s="1190" t="str">
        <f>EUconst_CNTR_HALfinal&amp;EUconst_CNTR_WGFlared &amp; I294</f>
        <v>HALfinal_WasteGasFlare_</v>
      </c>
      <c r="R522" s="694"/>
      <c r="S522" s="694"/>
      <c r="T522" s="694"/>
      <c r="U522" s="1245" t="b">
        <v>0</v>
      </c>
      <c r="V522" s="1246" t="str">
        <f>IF(V472,IF(J519=TRUE,V302,U522),"")</f>
        <v/>
      </c>
      <c r="W522" s="1246" t="str">
        <f>IF(W472,IF(K519=TRUE,W302,V522),"")</f>
        <v/>
      </c>
      <c r="X522" s="1246" t="str">
        <f>IF(X472,IF(L519=TRUE,X302,W522),"")</f>
        <v/>
      </c>
      <c r="Y522" s="1246" t="str">
        <f>IF(Y472,IF(M519=TRUE,Y302,X522),"")</f>
        <v/>
      </c>
      <c r="Z522" s="1247" t="str">
        <f>IF(Z472,IF(N519=TRUE,Z302,Y522),"")</f>
        <v/>
      </c>
      <c r="AA522" s="694"/>
      <c r="AB522" s="694"/>
      <c r="AC522" s="694"/>
      <c r="AD522" s="694"/>
      <c r="AE522" s="694"/>
      <c r="AF522" s="694"/>
      <c r="AG522" s="694"/>
      <c r="AH522" s="694"/>
      <c r="AI522" s="694"/>
      <c r="AJ522" s="1174" t="s">
        <v>2033</v>
      </c>
      <c r="AK522" s="982" t="str">
        <f>IF(OR(ISERROR(J522),ISERROR(K522),ISERROR(L522),ISERROR(M522),ISERROR(N522)),EUconst_Error &amp; "BM" &amp; Q294,"")</f>
        <v/>
      </c>
      <c r="AL522" s="694"/>
    </row>
    <row r="523" spans="1:38" ht="5.15" customHeight="1" thickBot="1" x14ac:dyDescent="0.3">
      <c r="A523" s="694"/>
      <c r="B523" s="298"/>
      <c r="C523" s="1302"/>
      <c r="D523" s="1366"/>
      <c r="E523" s="1367"/>
      <c r="F523" s="1367"/>
      <c r="G523" s="1367"/>
      <c r="H523" s="1368"/>
      <c r="I523" s="1367"/>
      <c r="J523" s="1367"/>
      <c r="K523" s="1367"/>
      <c r="L523" s="1367"/>
      <c r="M523" s="1249"/>
      <c r="N523" s="1250"/>
      <c r="O523" s="302"/>
      <c r="P523" s="302"/>
      <c r="Q523" s="729"/>
      <c r="R523" s="694"/>
      <c r="S523" s="729"/>
      <c r="T523" s="729"/>
      <c r="U523" s="729"/>
      <c r="V523" s="729"/>
      <c r="W523" s="694"/>
      <c r="X523" s="694"/>
      <c r="Y523" s="694"/>
      <c r="Z523" s="694"/>
      <c r="AA523" s="694"/>
      <c r="AB523" s="694"/>
      <c r="AC523" s="694"/>
      <c r="AD523" s="694"/>
      <c r="AE523" s="694"/>
      <c r="AF523" s="694"/>
      <c r="AG523" s="694"/>
      <c r="AH523" s="694"/>
      <c r="AI523" s="694"/>
      <c r="AJ523" s="694"/>
      <c r="AK523" s="694"/>
      <c r="AL523" s="694"/>
    </row>
    <row r="524" spans="1:38" ht="5.15" customHeight="1" x14ac:dyDescent="0.25">
      <c r="A524" s="694"/>
      <c r="B524" s="298"/>
      <c r="C524" s="1302"/>
      <c r="D524" s="1306"/>
      <c r="E524" s="1306"/>
      <c r="F524" s="1306"/>
      <c r="G524" s="1306"/>
      <c r="H524" s="1354"/>
      <c r="I524" s="1306"/>
      <c r="J524" s="1306"/>
      <c r="K524" s="1306"/>
      <c r="L524" s="1306"/>
      <c r="M524" s="626"/>
      <c r="N524" s="1316"/>
      <c r="O524" s="302"/>
      <c r="P524" s="302"/>
      <c r="Q524" s="729"/>
      <c r="R524" s="694"/>
      <c r="S524" s="729"/>
      <c r="T524" s="729"/>
      <c r="U524" s="729"/>
      <c r="V524" s="729"/>
      <c r="W524" s="694"/>
      <c r="X524" s="694"/>
      <c r="Y524" s="694"/>
      <c r="Z524" s="694"/>
      <c r="AA524" s="694"/>
      <c r="AB524" s="694"/>
      <c r="AC524" s="694"/>
      <c r="AD524" s="694"/>
      <c r="AE524" s="694"/>
      <c r="AF524" s="694"/>
      <c r="AG524" s="694"/>
      <c r="AH524" s="694"/>
      <c r="AI524" s="694"/>
      <c r="AJ524" s="694"/>
      <c r="AK524" s="694"/>
      <c r="AL524" s="694"/>
    </row>
    <row r="525" spans="1:38" ht="12.75" customHeight="1" x14ac:dyDescent="0.25">
      <c r="A525" s="694"/>
      <c r="B525" s="298"/>
      <c r="C525" s="1302"/>
      <c r="D525" s="625" t="s">
        <v>1140</v>
      </c>
      <c r="E525" s="2815" t="str">
        <f>Translations!$B$582</f>
        <v>Видове получени отпадни газове:</v>
      </c>
      <c r="F525" s="2240"/>
      <c r="G525" s="2240"/>
      <c r="H525" s="2684"/>
      <c r="I525" s="2821"/>
      <c r="J525" s="2674"/>
      <c r="K525" s="2674"/>
      <c r="L525" s="2674"/>
      <c r="M525" s="2675"/>
      <c r="N525" s="1316"/>
      <c r="O525" s="302"/>
      <c r="P525" s="158"/>
      <c r="Q525" s="729"/>
      <c r="R525" s="694"/>
      <c r="S525" s="729"/>
      <c r="T525" s="694"/>
      <c r="U525" s="694"/>
      <c r="V525" s="694"/>
      <c r="W525" s="694"/>
      <c r="X525" s="694"/>
      <c r="Y525" s="694"/>
      <c r="Z525" s="694"/>
      <c r="AA525" s="694"/>
      <c r="AB525" s="694"/>
      <c r="AC525" s="1182" t="s">
        <v>737</v>
      </c>
      <c r="AD525" s="982" t="b">
        <f>AD499</f>
        <v>0</v>
      </c>
      <c r="AE525" s="694"/>
      <c r="AF525" s="694"/>
      <c r="AG525" s="694"/>
      <c r="AH525" s="694"/>
      <c r="AI525" s="694"/>
      <c r="AJ525" s="694"/>
      <c r="AK525" s="694"/>
      <c r="AL525" s="694"/>
    </row>
    <row r="526" spans="1:38" ht="12.75" customHeight="1" x14ac:dyDescent="0.25">
      <c r="A526" s="694"/>
      <c r="B526" s="298"/>
      <c r="C526" s="1302"/>
      <c r="D526" s="625"/>
      <c r="E526" s="2816" t="str">
        <f>Translations!$B$583</f>
        <v>Посочените тук данни ще се отразят на емисиите, които могат да бъдат зададени съгласно раздел 10.1.5 от приложение VII към ПБР.</v>
      </c>
      <c r="F526" s="2240"/>
      <c r="G526" s="2240"/>
      <c r="H526" s="2240"/>
      <c r="I526" s="2240"/>
      <c r="J526" s="2240"/>
      <c r="K526" s="2240"/>
      <c r="L526" s="2240"/>
      <c r="M526" s="2240"/>
      <c r="N526" s="2811"/>
      <c r="O526" s="302"/>
      <c r="P526" s="302"/>
      <c r="Q526" s="729"/>
      <c r="R526" s="694"/>
      <c r="S526" s="729"/>
      <c r="T526" s="729"/>
      <c r="U526" s="729"/>
      <c r="V526" s="729"/>
      <c r="W526" s="694"/>
      <c r="X526" s="694"/>
      <c r="Y526" s="694"/>
      <c r="Z526" s="694"/>
      <c r="AA526" s="694"/>
      <c r="AB526" s="694"/>
      <c r="AC526" s="694"/>
      <c r="AD526" s="694"/>
      <c r="AE526" s="694"/>
      <c r="AF526" s="694"/>
      <c r="AG526" s="694"/>
      <c r="AH526" s="694"/>
      <c r="AI526" s="694"/>
      <c r="AJ526" s="694"/>
      <c r="AK526" s="694"/>
      <c r="AL526" s="694"/>
    </row>
    <row r="527" spans="1:38" ht="25.5" customHeight="1" x14ac:dyDescent="0.25">
      <c r="A527" s="694"/>
      <c r="B527" s="298"/>
      <c r="C527" s="1302"/>
      <c r="D527" s="625"/>
      <c r="E527" s="2810" t="str">
        <f>Translations!$B$584</f>
        <v>Това включва всички видове отпадни газове, произведени извън системните граници на тази подинсталация, но получени от нея и използвани за производството на измерима топлинна енергия, неизмерима топлинна енергия (включително необходимото за безопасността изгаряне във факел) или механична енергия (различна от тази за електропроизводство).</v>
      </c>
      <c r="F527" s="2240"/>
      <c r="G527" s="2240"/>
      <c r="H527" s="2240"/>
      <c r="I527" s="2240"/>
      <c r="J527" s="2240"/>
      <c r="K527" s="2240"/>
      <c r="L527" s="2240"/>
      <c r="M527" s="2240"/>
      <c r="N527" s="2811"/>
      <c r="O527" s="302"/>
      <c r="P527" s="302"/>
      <c r="Q527" s="729"/>
      <c r="R527" s="694"/>
      <c r="S527" s="729"/>
      <c r="T527" s="729"/>
      <c r="U527" s="729"/>
      <c r="V527" s="729"/>
      <c r="W527" s="694"/>
      <c r="X527" s="694"/>
      <c r="Y527" s="694"/>
      <c r="Z527" s="694"/>
      <c r="AA527" s="694"/>
      <c r="AB527" s="694"/>
      <c r="AC527" s="694"/>
      <c r="AD527" s="694"/>
      <c r="AE527" s="694"/>
      <c r="AF527" s="694"/>
      <c r="AG527" s="694"/>
      <c r="AH527" s="694"/>
      <c r="AI527" s="694"/>
      <c r="AJ527" s="694"/>
      <c r="AK527" s="694"/>
      <c r="AL527" s="694"/>
    </row>
    <row r="528" spans="1:38" ht="12.75" customHeight="1" thickBot="1" x14ac:dyDescent="0.3">
      <c r="A528" s="694"/>
      <c r="B528" s="298"/>
      <c r="C528" s="1302"/>
      <c r="D528" s="1306"/>
      <c r="E528" s="1317"/>
      <c r="F528" s="1318"/>
      <c r="G528" s="1309" t="str">
        <f>EUconst_Unit</f>
        <v>Единица мярка</v>
      </c>
      <c r="H528" s="629">
        <f t="shared" ref="H528:N528" si="460">H$2831</f>
        <v>2024</v>
      </c>
      <c r="I528" s="1310">
        <f t="shared" si="460"/>
        <v>2025</v>
      </c>
      <c r="J528" s="1311">
        <f t="shared" si="460"/>
        <v>2026</v>
      </c>
      <c r="K528" s="629">
        <f t="shared" si="460"/>
        <v>2027</v>
      </c>
      <c r="L528" s="629">
        <f t="shared" si="460"/>
        <v>2028</v>
      </c>
      <c r="M528" s="629">
        <f t="shared" si="460"/>
        <v>2029</v>
      </c>
      <c r="N528" s="1312">
        <f t="shared" si="460"/>
        <v>2030</v>
      </c>
      <c r="O528" s="302"/>
      <c r="P528" s="302"/>
      <c r="Q528" s="729"/>
      <c r="R528" s="694"/>
      <c r="S528" s="729"/>
      <c r="T528" s="729"/>
      <c r="U528" s="729"/>
      <c r="V528" s="729"/>
      <c r="W528" s="694"/>
      <c r="X528" s="694"/>
      <c r="Y528" s="694"/>
      <c r="Z528" s="694"/>
      <c r="AA528" s="694"/>
      <c r="AB528" s="694"/>
      <c r="AC528" s="1178">
        <f t="shared" ref="AC528" si="461">H$20</f>
        <v>2024</v>
      </c>
      <c r="AD528" s="1178">
        <f t="shared" ref="AD528" si="462">I$20</f>
        <v>2025</v>
      </c>
      <c r="AE528" s="1178">
        <f t="shared" ref="AE528" si="463">J$20</f>
        <v>2026</v>
      </c>
      <c r="AF528" s="1178">
        <f t="shared" ref="AF528" si="464">K$20</f>
        <v>2027</v>
      </c>
      <c r="AG528" s="1178">
        <f t="shared" ref="AG528" si="465">L$20</f>
        <v>2028</v>
      </c>
      <c r="AH528" s="1178">
        <f t="shared" ref="AH528" si="466">M$20</f>
        <v>2029</v>
      </c>
      <c r="AI528" s="1178">
        <f t="shared" ref="AI528" si="467">N$20</f>
        <v>2030</v>
      </c>
      <c r="AJ528" s="694"/>
      <c r="AK528" s="694"/>
      <c r="AL528" s="694"/>
    </row>
    <row r="529" spans="1:38" ht="12.75" customHeight="1" thickBot="1" x14ac:dyDescent="0.3">
      <c r="A529" s="694"/>
      <c r="B529" s="298"/>
      <c r="C529" s="1302"/>
      <c r="D529" s="625" t="s">
        <v>1141</v>
      </c>
      <c r="E529" s="2818" t="str">
        <f>Translations!$B$585</f>
        <v>Получени количества</v>
      </c>
      <c r="F529" s="2701"/>
      <c r="G529" s="145"/>
      <c r="H529" s="129"/>
      <c r="I529" s="130"/>
      <c r="J529" s="131"/>
      <c r="K529" s="129"/>
      <c r="L529" s="129"/>
      <c r="M529" s="129"/>
      <c r="N529" s="132"/>
      <c r="O529" s="302"/>
      <c r="P529" s="158"/>
      <c r="Q529" s="729"/>
      <c r="R529" s="694"/>
      <c r="S529" s="729"/>
      <c r="T529" s="729"/>
      <c r="U529" s="729"/>
      <c r="V529" s="729"/>
      <c r="W529" s="694"/>
      <c r="X529" s="694"/>
      <c r="Y529" s="694"/>
      <c r="Z529" s="694"/>
      <c r="AA529" s="694"/>
      <c r="AB529" s="1182" t="s">
        <v>737</v>
      </c>
      <c r="AC529" s="982" t="b">
        <f t="shared" ref="AC529:AI529" si="468">AC485</f>
        <v>0</v>
      </c>
      <c r="AD529" s="982" t="b">
        <f t="shared" si="468"/>
        <v>0</v>
      </c>
      <c r="AE529" s="982" t="b">
        <f t="shared" si="468"/>
        <v>0</v>
      </c>
      <c r="AF529" s="982" t="b">
        <f t="shared" si="468"/>
        <v>0</v>
      </c>
      <c r="AG529" s="982" t="b">
        <f t="shared" si="468"/>
        <v>0</v>
      </c>
      <c r="AH529" s="982" t="b">
        <f t="shared" si="468"/>
        <v>0</v>
      </c>
      <c r="AI529" s="982" t="b">
        <f t="shared" si="468"/>
        <v>0</v>
      </c>
      <c r="AJ529" s="1174" t="s">
        <v>2039</v>
      </c>
      <c r="AK529" s="1176" t="str">
        <f>IF(AND(CNTR_ExistSubInstEntries,MSconst_RequireSubAttrEmissions,COUNTIFS(AC529:AI529,FALSE,H529:N529,"")&gt;0),EUconst_Error&amp;"BM"&amp;$Q294,"")</f>
        <v/>
      </c>
      <c r="AL529" s="694"/>
    </row>
    <row r="530" spans="1:38" ht="12.75" customHeight="1" x14ac:dyDescent="0.25">
      <c r="A530" s="694"/>
      <c r="B530" s="298"/>
      <c r="C530" s="1302"/>
      <c r="D530" s="625" t="s">
        <v>1142</v>
      </c>
      <c r="E530" s="2819" t="str">
        <f>Translations!$B$296</f>
        <v>Долна топлина на изгаряне</v>
      </c>
      <c r="F530" s="2705"/>
      <c r="G530" s="1349" t="str">
        <f>IF(ISBLANK(G529),EUconst_GJperUnit,INDEX(EUconst_GJperTorKNm3,MATCH(G529,EUconst_TonnesOrkNm3pa,0)))</f>
        <v>GJ / Единица мярка</v>
      </c>
      <c r="H530" s="137"/>
      <c r="I530" s="138"/>
      <c r="J530" s="139"/>
      <c r="K530" s="137"/>
      <c r="L530" s="137"/>
      <c r="M530" s="137"/>
      <c r="N530" s="140"/>
      <c r="O530" s="302"/>
      <c r="P530" s="158"/>
      <c r="Q530" s="729"/>
      <c r="R530" s="694"/>
      <c r="S530" s="1205"/>
      <c r="T530" s="1313">
        <f t="shared" ref="T530" si="469">H528</f>
        <v>2024</v>
      </c>
      <c r="U530" s="1313">
        <f t="shared" ref="U530" si="470">I528</f>
        <v>2025</v>
      </c>
      <c r="V530" s="1313">
        <f t="shared" ref="V530" si="471">J528</f>
        <v>2026</v>
      </c>
      <c r="W530" s="1313">
        <f t="shared" ref="W530" si="472">K528</f>
        <v>2027</v>
      </c>
      <c r="X530" s="1313">
        <f t="shared" ref="X530" si="473">L528</f>
        <v>2028</v>
      </c>
      <c r="Y530" s="1313">
        <f t="shared" ref="Y530" si="474">M528</f>
        <v>2029</v>
      </c>
      <c r="Z530" s="1314">
        <f t="shared" ref="Z530" si="475">N528</f>
        <v>2030</v>
      </c>
      <c r="AA530" s="694"/>
      <c r="AB530" s="694"/>
      <c r="AC530" s="982" t="b">
        <f>AC529</f>
        <v>0</v>
      </c>
      <c r="AD530" s="982" t="b">
        <f t="shared" ref="AD530:AI530" si="476">AD529</f>
        <v>0</v>
      </c>
      <c r="AE530" s="982" t="b">
        <f t="shared" si="476"/>
        <v>0</v>
      </c>
      <c r="AF530" s="982" t="b">
        <f t="shared" si="476"/>
        <v>0</v>
      </c>
      <c r="AG530" s="982" t="b">
        <f t="shared" si="476"/>
        <v>0</v>
      </c>
      <c r="AH530" s="982" t="b">
        <f t="shared" si="476"/>
        <v>0</v>
      </c>
      <c r="AI530" s="982" t="b">
        <f t="shared" si="476"/>
        <v>0</v>
      </c>
      <c r="AJ530" s="1174" t="s">
        <v>2039</v>
      </c>
      <c r="AK530" s="1176" t="str">
        <f>IF(AND(CNTR_ExistSubInstEntries,MSconst_RequireSubAttrEmissions,COUNTIFS(AC530:AI530,FALSE,H530:N530,"")&gt;0),EUconst_Error&amp;"BM"&amp;$Q294,"")</f>
        <v/>
      </c>
      <c r="AL530" s="694"/>
    </row>
    <row r="531" spans="1:38" ht="12.75" customHeight="1" x14ac:dyDescent="0.25">
      <c r="A531" s="694"/>
      <c r="B531" s="298"/>
      <c r="C531" s="1302"/>
      <c r="D531" s="625" t="s">
        <v>1143</v>
      </c>
      <c r="E531" s="2820" t="str">
        <f>Translations!$B$586</f>
        <v>Получен отпаден газ</v>
      </c>
      <c r="F531" s="2258"/>
      <c r="G531" s="1319" t="str">
        <f>EUconst_TJpa</f>
        <v>TJ / година</v>
      </c>
      <c r="H531" s="1020" t="str">
        <f t="shared" ref="H531:N531" si="477">IF(COUNT(H529:H530)=2,H529*H530/1000,"")</f>
        <v/>
      </c>
      <c r="I531" s="1369" t="str">
        <f t="shared" si="477"/>
        <v/>
      </c>
      <c r="J531" s="1370" t="str">
        <f t="shared" si="477"/>
        <v/>
      </c>
      <c r="K531" s="1020" t="str">
        <f t="shared" si="477"/>
        <v/>
      </c>
      <c r="L531" s="1020" t="str">
        <f t="shared" si="477"/>
        <v/>
      </c>
      <c r="M531" s="1020" t="str">
        <f t="shared" si="477"/>
        <v/>
      </c>
      <c r="N531" s="1371" t="str">
        <f t="shared" si="477"/>
        <v/>
      </c>
      <c r="O531" s="302"/>
      <c r="P531" s="302"/>
      <c r="Q531" s="1190" t="str">
        <f>EUconst_CNTR_WGImport &amp; I294</f>
        <v>WasteGasIm_</v>
      </c>
      <c r="R531" s="694"/>
      <c r="S531" s="1347" t="str">
        <f>EUconst_ERR_AttrEmBMapplied &amp; I294</f>
        <v>ERR_AttrEmBM_</v>
      </c>
      <c r="T531" s="982">
        <f t="shared" ref="T531" si="478">IF(AND(H531&lt;&gt;"",EUconst_StatusOfDataCollection=FALSE),1,0)</f>
        <v>0</v>
      </c>
      <c r="U531" s="982">
        <f t="shared" ref="U531" si="479">IF(AND(I531&lt;&gt;"",EUconst_StatusOfDataCollection=FALSE),1,0)</f>
        <v>0</v>
      </c>
      <c r="V531" s="982">
        <f t="shared" ref="V531" si="480">IF(AND(J531&lt;&gt;"",EUconst_StatusOfDataCollection=FALSE),1,0)</f>
        <v>0</v>
      </c>
      <c r="W531" s="982">
        <f t="shared" ref="W531" si="481">IF(AND(K531&lt;&gt;"",EUconst_StatusOfDataCollection=FALSE),1,0)</f>
        <v>0</v>
      </c>
      <c r="X531" s="982">
        <f t="shared" ref="X531" si="482">IF(AND(L531&lt;&gt;"",EUconst_StatusOfDataCollection=FALSE),1,0)</f>
        <v>0</v>
      </c>
      <c r="Y531" s="982">
        <f t="shared" ref="Y531" si="483">IF(AND(M531&lt;&gt;"",EUconst_StatusOfDataCollection=FALSE),1,0)</f>
        <v>0</v>
      </c>
      <c r="Z531" s="1287">
        <f t="shared" ref="Z531" si="484">IF(AND(N531&lt;&gt;"",EUconst_StatusOfDataCollection=FALSE),1,0)</f>
        <v>0</v>
      </c>
      <c r="AA531" s="694"/>
      <c r="AB531" s="694"/>
      <c r="AC531" s="694"/>
      <c r="AD531" s="694"/>
      <c r="AE531" s="694"/>
      <c r="AF531" s="694"/>
      <c r="AG531" s="694"/>
      <c r="AH531" s="694"/>
      <c r="AI531" s="694"/>
      <c r="AJ531" s="694"/>
      <c r="AK531" s="694"/>
      <c r="AL531" s="694"/>
    </row>
    <row r="532" spans="1:38" s="364" customFormat="1" ht="12.75" customHeight="1" thickBot="1" x14ac:dyDescent="0.3">
      <c r="A532" s="729"/>
      <c r="B532" s="298"/>
      <c r="C532" s="1302"/>
      <c r="D532" s="625" t="s">
        <v>1144</v>
      </c>
      <c r="E532" s="2820" t="str">
        <f>Translations!$B$587</f>
        <v>Специфичен EF (получен отпаден газ)</v>
      </c>
      <c r="F532" s="2258"/>
      <c r="G532" s="642" t="str">
        <f>EUconst_tCO2pTJ</f>
        <v>t CO2 / TJ</v>
      </c>
      <c r="H532" s="146"/>
      <c r="I532" s="147"/>
      <c r="J532" s="148"/>
      <c r="K532" s="146"/>
      <c r="L532" s="146"/>
      <c r="M532" s="146"/>
      <c r="N532" s="149"/>
      <c r="O532" s="302"/>
      <c r="P532" s="158"/>
      <c r="Q532" s="1190" t="str">
        <f>EUconst_CNTR_WGImportEF &amp; I294</f>
        <v>WasteGasImEF_</v>
      </c>
      <c r="R532" s="729"/>
      <c r="S532" s="1315" t="str">
        <f>EUconst_CNTR_AttributedEmissions &amp; I294</f>
        <v>AttrEmissions_</v>
      </c>
      <c r="T532" s="1290" t="str">
        <f t="shared" ref="T532" si="485">IF(T302,SUM(H531)*EUconst_FuelBMvalue,"")</f>
        <v/>
      </c>
      <c r="U532" s="1290" t="str">
        <f t="shared" ref="U532" si="486">IF(U302,SUM(I531)*EUconst_FuelBMvalue,"")</f>
        <v/>
      </c>
      <c r="V532" s="1290" t="str">
        <f t="shared" ref="V532" si="487">IF(V302,SUM(J531)*EUconst_FuelBMvalue,"")</f>
        <v/>
      </c>
      <c r="W532" s="1290" t="str">
        <f t="shared" ref="W532" si="488">IF(W302,SUM(K531)*EUconst_FuelBMvalue,"")</f>
        <v/>
      </c>
      <c r="X532" s="1290" t="str">
        <f t="shared" ref="X532" si="489">IF(X302,SUM(L531)*EUconst_FuelBMvalue,"")</f>
        <v/>
      </c>
      <c r="Y532" s="1290" t="str">
        <f t="shared" ref="Y532" si="490">IF(Y302,SUM(M531)*EUconst_FuelBMvalue,"")</f>
        <v/>
      </c>
      <c r="Z532" s="1291" t="str">
        <f t="shared" ref="Z532" si="491">IF(Z302,SUM(N531)*EUconst_FuelBMvalue,"")</f>
        <v/>
      </c>
      <c r="AA532" s="729"/>
      <c r="AB532" s="1182" t="s">
        <v>737</v>
      </c>
      <c r="AC532" s="982" t="b">
        <f>AC530</f>
        <v>0</v>
      </c>
      <c r="AD532" s="982" t="b">
        <f t="shared" ref="AD532:AI532" si="492">AD530</f>
        <v>0</v>
      </c>
      <c r="AE532" s="982" t="b">
        <f t="shared" si="492"/>
        <v>0</v>
      </c>
      <c r="AF532" s="982" t="b">
        <f t="shared" si="492"/>
        <v>0</v>
      </c>
      <c r="AG532" s="982" t="b">
        <f t="shared" si="492"/>
        <v>0</v>
      </c>
      <c r="AH532" s="982" t="b">
        <f t="shared" si="492"/>
        <v>0</v>
      </c>
      <c r="AI532" s="982" t="b">
        <f t="shared" si="492"/>
        <v>0</v>
      </c>
      <c r="AJ532" s="1174" t="s">
        <v>2039</v>
      </c>
      <c r="AK532" s="1176" t="str">
        <f>IF(AND(CNTR_ExistSubInstEntries,MSconst_RequireSubAttrEmissions,COUNTIFS(AC532:AI532,FALSE,H532:N532,"")&gt;0),EUconst_Error&amp;"BM"&amp;$Q294,"")</f>
        <v/>
      </c>
      <c r="AL532" s="694"/>
    </row>
    <row r="533" spans="1:38" ht="12.75" customHeight="1" x14ac:dyDescent="0.25">
      <c r="A533" s="694"/>
      <c r="B533" s="298"/>
      <c r="C533" s="1302"/>
      <c r="D533" s="1306"/>
      <c r="E533" s="1306"/>
      <c r="F533" s="1306"/>
      <c r="G533" s="1306"/>
      <c r="H533" s="1354"/>
      <c r="I533" s="1306"/>
      <c r="J533" s="1306"/>
      <c r="K533" s="1306"/>
      <c r="L533" s="1306"/>
      <c r="M533" s="626"/>
      <c r="N533" s="1316"/>
      <c r="O533" s="302"/>
      <c r="P533" s="302"/>
      <c r="Q533" s="729"/>
      <c r="R533" s="694"/>
      <c r="S533" s="729"/>
      <c r="T533" s="729"/>
      <c r="U533" s="729"/>
      <c r="V533" s="729"/>
      <c r="W533" s="694"/>
      <c r="X533" s="694"/>
      <c r="Y533" s="694"/>
      <c r="Z533" s="694"/>
      <c r="AA533" s="694"/>
      <c r="AB533" s="694"/>
      <c r="AC533" s="694"/>
      <c r="AD533" s="694"/>
      <c r="AE533" s="694"/>
      <c r="AF533" s="694"/>
      <c r="AG533" s="694"/>
      <c r="AH533" s="694"/>
      <c r="AI533" s="694"/>
      <c r="AJ533" s="694"/>
      <c r="AK533" s="694"/>
      <c r="AL533" s="694"/>
    </row>
    <row r="534" spans="1:38" ht="12.75" customHeight="1" x14ac:dyDescent="0.25">
      <c r="A534" s="694"/>
      <c r="B534" s="298"/>
      <c r="C534" s="1302"/>
      <c r="D534" s="625" t="s">
        <v>1145</v>
      </c>
      <c r="E534" s="2815" t="str">
        <f>Translations!$B$588</f>
        <v>Видове подадени отпадни газове:</v>
      </c>
      <c r="F534" s="2240"/>
      <c r="G534" s="2240"/>
      <c r="H534" s="2684"/>
      <c r="I534" s="2821"/>
      <c r="J534" s="2674"/>
      <c r="K534" s="2674"/>
      <c r="L534" s="2674"/>
      <c r="M534" s="2675"/>
      <c r="N534" s="1323"/>
      <c r="O534" s="302"/>
      <c r="P534" s="158"/>
      <c r="Q534" s="729"/>
      <c r="R534" s="694"/>
      <c r="S534" s="729"/>
      <c r="T534" s="694"/>
      <c r="U534" s="694"/>
      <c r="V534" s="694"/>
      <c r="W534" s="694"/>
      <c r="X534" s="694"/>
      <c r="Y534" s="694"/>
      <c r="Z534" s="694"/>
      <c r="AA534" s="694"/>
      <c r="AB534" s="694"/>
      <c r="AC534" s="1182" t="s">
        <v>737</v>
      </c>
      <c r="AD534" s="982" t="b">
        <f>AD525</f>
        <v>0</v>
      </c>
      <c r="AE534" s="694"/>
      <c r="AF534" s="694"/>
      <c r="AG534" s="694"/>
      <c r="AH534" s="694"/>
      <c r="AI534" s="694"/>
      <c r="AJ534" s="694"/>
      <c r="AK534" s="694"/>
      <c r="AL534" s="694"/>
    </row>
    <row r="535" spans="1:38" ht="12.75" customHeight="1" x14ac:dyDescent="0.25">
      <c r="A535" s="694"/>
      <c r="B535" s="298"/>
      <c r="C535" s="1302"/>
      <c r="D535" s="625"/>
      <c r="E535" s="2816" t="str">
        <f>Translations!$B$583</f>
        <v>Посочените тук данни ще се отразят на емисиите, които могат да бъдат зададени съгласно раздел 10.1.5 от приложение VII към ПБР.</v>
      </c>
      <c r="F535" s="2240"/>
      <c r="G535" s="2240"/>
      <c r="H535" s="2240"/>
      <c r="I535" s="2240"/>
      <c r="J535" s="2240"/>
      <c r="K535" s="2240"/>
      <c r="L535" s="2240"/>
      <c r="M535" s="2240"/>
      <c r="N535" s="2811"/>
      <c r="O535" s="302"/>
      <c r="P535" s="302"/>
      <c r="Q535" s="729"/>
      <c r="R535" s="694"/>
      <c r="S535" s="729"/>
      <c r="T535" s="729"/>
      <c r="U535" s="729"/>
      <c r="V535" s="729"/>
      <c r="W535" s="694"/>
      <c r="X535" s="694"/>
      <c r="Y535" s="694"/>
      <c r="Z535" s="694"/>
      <c r="AA535" s="694"/>
      <c r="AB535" s="694"/>
      <c r="AC535" s="694"/>
      <c r="AD535" s="694"/>
      <c r="AE535" s="694"/>
      <c r="AF535" s="694"/>
      <c r="AG535" s="694"/>
      <c r="AH535" s="694"/>
      <c r="AI535" s="694"/>
      <c r="AJ535" s="694"/>
      <c r="AK535" s="694"/>
      <c r="AL535" s="694"/>
    </row>
    <row r="536" spans="1:38" ht="25.5" customHeight="1" x14ac:dyDescent="0.25">
      <c r="A536" s="694"/>
      <c r="B536" s="298"/>
      <c r="C536" s="1302"/>
      <c r="D536" s="625"/>
      <c r="E536" s="2810" t="str">
        <f>Translations!$B$589</f>
        <v>Това включва всички видове отпадни газове, произведени в системните граници на тази подинсталация и подадени от тази инсталация към други подинсталации, както и към всички други инсталации или обекти.</v>
      </c>
      <c r="F536" s="2240"/>
      <c r="G536" s="2240"/>
      <c r="H536" s="2240"/>
      <c r="I536" s="2240"/>
      <c r="J536" s="2240"/>
      <c r="K536" s="2240"/>
      <c r="L536" s="2240"/>
      <c r="M536" s="2240"/>
      <c r="N536" s="2811"/>
      <c r="O536" s="302"/>
      <c r="P536" s="302"/>
      <c r="Q536" s="729"/>
      <c r="R536" s="694"/>
      <c r="S536" s="729"/>
      <c r="T536" s="729"/>
      <c r="U536" s="729"/>
      <c r="V536" s="729"/>
      <c r="W536" s="694"/>
      <c r="X536" s="694"/>
      <c r="Y536" s="694"/>
      <c r="Z536" s="694"/>
      <c r="AA536" s="694"/>
      <c r="AB536" s="694"/>
      <c r="AC536" s="694"/>
      <c r="AD536" s="694"/>
      <c r="AE536" s="694"/>
      <c r="AF536" s="694"/>
      <c r="AG536" s="694"/>
      <c r="AH536" s="694"/>
      <c r="AI536" s="694"/>
      <c r="AJ536" s="694"/>
      <c r="AK536" s="694"/>
      <c r="AL536" s="694"/>
    </row>
    <row r="537" spans="1:38" ht="12.75" customHeight="1" thickBot="1" x14ac:dyDescent="0.3">
      <c r="A537" s="694"/>
      <c r="B537" s="298"/>
      <c r="C537" s="1302"/>
      <c r="D537" s="1306"/>
      <c r="E537" s="1317"/>
      <c r="F537" s="1318"/>
      <c r="G537" s="1309" t="str">
        <f>EUconst_Unit</f>
        <v>Единица мярка</v>
      </c>
      <c r="H537" s="629">
        <f t="shared" ref="H537:N537" si="493">H$2831</f>
        <v>2024</v>
      </c>
      <c r="I537" s="1310">
        <f t="shared" si="493"/>
        <v>2025</v>
      </c>
      <c r="J537" s="1311">
        <f t="shared" si="493"/>
        <v>2026</v>
      </c>
      <c r="K537" s="629">
        <f t="shared" si="493"/>
        <v>2027</v>
      </c>
      <c r="L537" s="629">
        <f t="shared" si="493"/>
        <v>2028</v>
      </c>
      <c r="M537" s="629">
        <f t="shared" si="493"/>
        <v>2029</v>
      </c>
      <c r="N537" s="1312">
        <f t="shared" si="493"/>
        <v>2030</v>
      </c>
      <c r="O537" s="302"/>
      <c r="P537" s="302"/>
      <c r="Q537" s="729"/>
      <c r="R537" s="694"/>
      <c r="S537" s="729"/>
      <c r="T537" s="729"/>
      <c r="U537" s="729"/>
      <c r="V537" s="729"/>
      <c r="W537" s="694"/>
      <c r="X537" s="694"/>
      <c r="Y537" s="694"/>
      <c r="Z537" s="694"/>
      <c r="AA537" s="694"/>
      <c r="AB537" s="694"/>
      <c r="AC537" s="1178">
        <f t="shared" ref="AC537" si="494">H$20</f>
        <v>2024</v>
      </c>
      <c r="AD537" s="1178">
        <f t="shared" ref="AD537" si="495">I$20</f>
        <v>2025</v>
      </c>
      <c r="AE537" s="1178">
        <f t="shared" ref="AE537" si="496">J$20</f>
        <v>2026</v>
      </c>
      <c r="AF537" s="1178">
        <f t="shared" ref="AF537" si="497">K$20</f>
        <v>2027</v>
      </c>
      <c r="AG537" s="1178">
        <f t="shared" ref="AG537" si="498">L$20</f>
        <v>2028</v>
      </c>
      <c r="AH537" s="1178">
        <f t="shared" ref="AH537" si="499">M$20</f>
        <v>2029</v>
      </c>
      <c r="AI537" s="1178">
        <f t="shared" ref="AI537" si="500">N$20</f>
        <v>2030</v>
      </c>
      <c r="AJ537" s="694"/>
      <c r="AK537" s="694"/>
      <c r="AL537" s="694"/>
    </row>
    <row r="538" spans="1:38" ht="12.75" customHeight="1" x14ac:dyDescent="0.25">
      <c r="A538" s="694"/>
      <c r="B538" s="298"/>
      <c r="C538" s="1302"/>
      <c r="D538" s="625" t="s">
        <v>1146</v>
      </c>
      <c r="E538" s="2818" t="str">
        <f>Translations!$B$590</f>
        <v>Подадени количества</v>
      </c>
      <c r="F538" s="2701"/>
      <c r="G538" s="145"/>
      <c r="H538" s="129"/>
      <c r="I538" s="130"/>
      <c r="J538" s="131"/>
      <c r="K538" s="129"/>
      <c r="L538" s="129"/>
      <c r="M538" s="129"/>
      <c r="N538" s="132"/>
      <c r="O538" s="302"/>
      <c r="P538" s="158"/>
      <c r="Q538" s="729"/>
      <c r="R538" s="694"/>
      <c r="S538" s="729"/>
      <c r="T538" s="729"/>
      <c r="U538" s="729"/>
      <c r="V538" s="729"/>
      <c r="W538" s="694"/>
      <c r="X538" s="694"/>
      <c r="Y538" s="694"/>
      <c r="Z538" s="694"/>
      <c r="AA538" s="694"/>
      <c r="AB538" s="1182" t="s">
        <v>737</v>
      </c>
      <c r="AC538" s="982" t="b">
        <f>AC485</f>
        <v>0</v>
      </c>
      <c r="AD538" s="982" t="b">
        <f t="shared" ref="AD538:AI538" si="501">AD485</f>
        <v>0</v>
      </c>
      <c r="AE538" s="982" t="b">
        <f t="shared" si="501"/>
        <v>0</v>
      </c>
      <c r="AF538" s="982" t="b">
        <f t="shared" si="501"/>
        <v>0</v>
      </c>
      <c r="AG538" s="982" t="b">
        <f t="shared" si="501"/>
        <v>0</v>
      </c>
      <c r="AH538" s="982" t="b">
        <f t="shared" si="501"/>
        <v>0</v>
      </c>
      <c r="AI538" s="982" t="b">
        <f t="shared" si="501"/>
        <v>0</v>
      </c>
      <c r="AJ538" s="1174" t="s">
        <v>2039</v>
      </c>
      <c r="AK538" s="1176" t="str">
        <f>IF(AND(CNTR_ExistSubInstEntries,MSconst_RequireSubAttrEmissions,COUNTIFS(AC538:AI538,FALSE,H538:N538,"")&gt;0),EUconst_Error&amp;"BM"&amp;$Q294,"")</f>
        <v/>
      </c>
      <c r="AL538" s="694"/>
    </row>
    <row r="539" spans="1:38" ht="12.75" customHeight="1" thickBot="1" x14ac:dyDescent="0.3">
      <c r="A539" s="694"/>
      <c r="B539" s="298"/>
      <c r="C539" s="1302"/>
      <c r="D539" s="625" t="s">
        <v>1619</v>
      </c>
      <c r="E539" s="2819" t="str">
        <f>Translations!$B$296</f>
        <v>Долна топлина на изгаряне</v>
      </c>
      <c r="F539" s="2705"/>
      <c r="G539" s="1349" t="str">
        <f>IF(ISBLANK(G538),EUconst_GJperUnit,INDEX(EUconst_GJperTorKNm3,MATCH(G538,EUconst_TonnesOrkNm3pa,0)))</f>
        <v>GJ / Единица мярка</v>
      </c>
      <c r="H539" s="137"/>
      <c r="I539" s="138"/>
      <c r="J539" s="139"/>
      <c r="K539" s="137"/>
      <c r="L539" s="137"/>
      <c r="M539" s="137"/>
      <c r="N539" s="140"/>
      <c r="O539" s="302"/>
      <c r="P539" s="158"/>
      <c r="Q539" s="729"/>
      <c r="R539" s="694"/>
      <c r="S539" s="729"/>
      <c r="T539" s="729"/>
      <c r="U539" s="729"/>
      <c r="V539" s="729"/>
      <c r="W539" s="694"/>
      <c r="X539" s="694"/>
      <c r="Y539" s="694"/>
      <c r="Z539" s="694"/>
      <c r="AA539" s="694"/>
      <c r="AB539" s="694"/>
      <c r="AC539" s="982" t="b">
        <f>AC538</f>
        <v>0</v>
      </c>
      <c r="AD539" s="982" t="b">
        <f t="shared" ref="AD539:AI539" si="502">AD538</f>
        <v>0</v>
      </c>
      <c r="AE539" s="982" t="b">
        <f t="shared" si="502"/>
        <v>0</v>
      </c>
      <c r="AF539" s="982" t="b">
        <f t="shared" si="502"/>
        <v>0</v>
      </c>
      <c r="AG539" s="982" t="b">
        <f t="shared" si="502"/>
        <v>0</v>
      </c>
      <c r="AH539" s="982" t="b">
        <f t="shared" si="502"/>
        <v>0</v>
      </c>
      <c r="AI539" s="982" t="b">
        <f t="shared" si="502"/>
        <v>0</v>
      </c>
      <c r="AJ539" s="1174" t="s">
        <v>2039</v>
      </c>
      <c r="AK539" s="1176" t="str">
        <f>IF(AND(CNTR_ExistSubInstEntries,MSconst_RequireSubAttrEmissions,COUNTIFS(AC539:AI539,FALSE,H539:N539,"")&gt;0),EUconst_Error&amp;"BM"&amp;$Q294,"")</f>
        <v/>
      </c>
      <c r="AL539" s="694"/>
    </row>
    <row r="540" spans="1:38" ht="12.75" customHeight="1" x14ac:dyDescent="0.25">
      <c r="A540" s="694"/>
      <c r="B540" s="298"/>
      <c r="C540" s="1302"/>
      <c r="D540" s="625" t="s">
        <v>1659</v>
      </c>
      <c r="E540" s="2820" t="str">
        <f>Translations!$B$591</f>
        <v>Подаден отпаден газ</v>
      </c>
      <c r="F540" s="2258"/>
      <c r="G540" s="1319" t="str">
        <f>EUconst_TJpa</f>
        <v>TJ / година</v>
      </c>
      <c r="H540" s="1020" t="str">
        <f t="shared" ref="H540:N540" si="503">IF(COUNT(H538:H539)=2,H538*H539/1000,"")</f>
        <v/>
      </c>
      <c r="I540" s="1369" t="str">
        <f t="shared" si="503"/>
        <v/>
      </c>
      <c r="J540" s="1370" t="str">
        <f t="shared" si="503"/>
        <v/>
      </c>
      <c r="K540" s="1020" t="str">
        <f t="shared" si="503"/>
        <v/>
      </c>
      <c r="L540" s="1020" t="str">
        <f t="shared" si="503"/>
        <v/>
      </c>
      <c r="M540" s="1020" t="str">
        <f t="shared" si="503"/>
        <v/>
      </c>
      <c r="N540" s="1371" t="str">
        <f t="shared" si="503"/>
        <v/>
      </c>
      <c r="O540" s="302"/>
      <c r="P540" s="302"/>
      <c r="Q540" s="1190" t="str">
        <f>EUconst_CNTR_WGExport &amp; I294</f>
        <v>WasteGasEx_</v>
      </c>
      <c r="R540" s="694"/>
      <c r="S540" s="1205"/>
      <c r="T540" s="1313">
        <f t="shared" ref="T540" si="504">H537</f>
        <v>2024</v>
      </c>
      <c r="U540" s="1313">
        <f t="shared" ref="U540" si="505">I537</f>
        <v>2025</v>
      </c>
      <c r="V540" s="1313">
        <f t="shared" ref="V540" si="506">J537</f>
        <v>2026</v>
      </c>
      <c r="W540" s="1313">
        <f t="shared" ref="W540" si="507">K537</f>
        <v>2027</v>
      </c>
      <c r="X540" s="1313">
        <f t="shared" ref="X540" si="508">L537</f>
        <v>2028</v>
      </c>
      <c r="Y540" s="1313">
        <f t="shared" ref="Y540" si="509">M537</f>
        <v>2029</v>
      </c>
      <c r="Z540" s="1314">
        <f t="shared" ref="Z540" si="510">N537</f>
        <v>2030</v>
      </c>
      <c r="AA540" s="694"/>
      <c r="AB540" s="694"/>
      <c r="AC540" s="694"/>
      <c r="AD540" s="694"/>
      <c r="AE540" s="694"/>
      <c r="AF540" s="694"/>
      <c r="AG540" s="694"/>
      <c r="AH540" s="694"/>
      <c r="AI540" s="694"/>
      <c r="AJ540" s="694"/>
      <c r="AK540" s="694"/>
      <c r="AL540" s="694"/>
    </row>
    <row r="541" spans="1:38" s="364" customFormat="1" ht="12.75" customHeight="1" thickBot="1" x14ac:dyDescent="0.3">
      <c r="A541" s="694"/>
      <c r="B541" s="298"/>
      <c r="C541" s="1302"/>
      <c r="D541" s="625" t="s">
        <v>1660</v>
      </c>
      <c r="E541" s="2820" t="str">
        <f>Translations!$B$592</f>
        <v>Специфичен EF (подаден отпаден газ)</v>
      </c>
      <c r="F541" s="2258"/>
      <c r="G541" s="642" t="str">
        <f>EUconst_tCO2pTJ</f>
        <v>t CO2 / TJ</v>
      </c>
      <c r="H541" s="146"/>
      <c r="I541" s="147"/>
      <c r="J541" s="148"/>
      <c r="K541" s="146"/>
      <c r="L541" s="146"/>
      <c r="M541" s="146"/>
      <c r="N541" s="149"/>
      <c r="O541" s="302"/>
      <c r="P541" s="158"/>
      <c r="Q541" s="1190" t="str">
        <f>EUconst_CNTR_WGExportEF &amp; I294</f>
        <v>WasteGasExEF_</v>
      </c>
      <c r="R541" s="729"/>
      <c r="S541" s="1315" t="str">
        <f>EUconst_CNTR_AttributedEmissions &amp; I294</f>
        <v>AttrEmissions_</v>
      </c>
      <c r="T541" s="1290" t="str">
        <f t="shared" ref="T541" si="511">IF(T302,-SUM(H540)*EUconst_NGEFvalue*EUconst_WasteGasCorrFactor,"")</f>
        <v/>
      </c>
      <c r="U541" s="1290" t="str">
        <f t="shared" ref="U541" si="512">IF(U302,-SUM(I540)*EUconst_NGEFvalue*EUconst_WasteGasCorrFactor,"")</f>
        <v/>
      </c>
      <c r="V541" s="1290" t="str">
        <f t="shared" ref="V541" si="513">IF(V302,-SUM(J540)*EUconst_NGEFvalue*EUconst_WasteGasCorrFactor,"")</f>
        <v/>
      </c>
      <c r="W541" s="1290" t="str">
        <f t="shared" ref="W541" si="514">IF(W302,-SUM(K540)*EUconst_NGEFvalue*EUconst_WasteGasCorrFactor,"")</f>
        <v/>
      </c>
      <c r="X541" s="1290" t="str">
        <f t="shared" ref="X541" si="515">IF(X302,-SUM(L540)*EUconst_NGEFvalue*EUconst_WasteGasCorrFactor,"")</f>
        <v/>
      </c>
      <c r="Y541" s="1290" t="str">
        <f t="shared" ref="Y541" si="516">IF(Y302,-SUM(M540)*EUconst_NGEFvalue*EUconst_WasteGasCorrFactor,"")</f>
        <v/>
      </c>
      <c r="Z541" s="1291" t="str">
        <f t="shared" ref="Z541" si="517">IF(Z302,-SUM(N540)*EUconst_NGEFvalue*EUconst_WasteGasCorrFactor,"")</f>
        <v/>
      </c>
      <c r="AA541" s="729"/>
      <c r="AB541" s="1182" t="s">
        <v>737</v>
      </c>
      <c r="AC541" s="982" t="b">
        <f t="shared" ref="AC541:AI541" si="518">AC488</f>
        <v>0</v>
      </c>
      <c r="AD541" s="982" t="b">
        <f t="shared" si="518"/>
        <v>0</v>
      </c>
      <c r="AE541" s="982" t="b">
        <f t="shared" si="518"/>
        <v>0</v>
      </c>
      <c r="AF541" s="982" t="b">
        <f t="shared" si="518"/>
        <v>0</v>
      </c>
      <c r="AG541" s="982" t="b">
        <f t="shared" si="518"/>
        <v>0</v>
      </c>
      <c r="AH541" s="982" t="b">
        <f t="shared" si="518"/>
        <v>0</v>
      </c>
      <c r="AI541" s="982" t="b">
        <f t="shared" si="518"/>
        <v>0</v>
      </c>
      <c r="AJ541" s="1174" t="s">
        <v>2039</v>
      </c>
      <c r="AK541" s="1176" t="str">
        <f>IF(AND(CNTR_ExistSubInstEntries,MSconst_RequireSubAttrEmissions,COUNTIFS(AC541:AI541,FALSE,H541:N541,"")&gt;0),EUconst_Error&amp;"BM"&amp;$Q294,"")</f>
        <v/>
      </c>
      <c r="AL541" s="694"/>
    </row>
    <row r="542" spans="1:38" ht="12.75" customHeight="1" x14ac:dyDescent="0.25">
      <c r="A542" s="694"/>
      <c r="B542" s="298"/>
      <c r="C542" s="1302"/>
      <c r="D542" s="1306"/>
      <c r="E542" s="1306"/>
      <c r="F542" s="1306"/>
      <c r="G542" s="1306"/>
      <c r="H542" s="1306"/>
      <c r="I542" s="1354"/>
      <c r="J542" s="1306"/>
      <c r="K542" s="1306"/>
      <c r="L542" s="1306"/>
      <c r="M542" s="1306"/>
      <c r="N542" s="1316"/>
      <c r="O542" s="302"/>
      <c r="P542" s="302"/>
      <c r="Q542" s="729"/>
      <c r="R542" s="694"/>
      <c r="S542" s="729"/>
      <c r="T542" s="694"/>
      <c r="U542" s="694"/>
      <c r="V542" s="694"/>
      <c r="W542" s="694"/>
      <c r="X542" s="694"/>
      <c r="Y542" s="694"/>
      <c r="Z542" s="694"/>
      <c r="AA542" s="694"/>
      <c r="AB542" s="694"/>
      <c r="AC542" s="694"/>
      <c r="AD542" s="694"/>
      <c r="AE542" s="694"/>
      <c r="AF542" s="694"/>
      <c r="AG542" s="694"/>
      <c r="AH542" s="694"/>
      <c r="AI542" s="694"/>
      <c r="AJ542" s="694"/>
      <c r="AK542" s="694"/>
      <c r="AL542" s="694"/>
    </row>
    <row r="543" spans="1:38" ht="12.75" customHeight="1" x14ac:dyDescent="0.25">
      <c r="A543" s="694"/>
      <c r="B543" s="298"/>
      <c r="C543" s="1302"/>
      <c r="D543" s="1307" t="s">
        <v>493</v>
      </c>
      <c r="E543" s="2815" t="str">
        <f>Translations!$B$246</f>
        <v>Производство на електроенергия</v>
      </c>
      <c r="F543" s="2240"/>
      <c r="G543" s="2240"/>
      <c r="H543" s="2240"/>
      <c r="I543" s="2240"/>
      <c r="J543" s="2240"/>
      <c r="K543" s="2240"/>
      <c r="L543" s="2240"/>
      <c r="M543" s="2240"/>
      <c r="N543" s="2811"/>
      <c r="O543" s="302"/>
      <c r="P543" s="302"/>
      <c r="Q543" s="729"/>
      <c r="R543" s="694"/>
      <c r="S543" s="729"/>
      <c r="T543" s="694"/>
      <c r="U543" s="694"/>
      <c r="V543" s="694"/>
      <c r="W543" s="694"/>
      <c r="X543" s="694"/>
      <c r="Y543" s="694"/>
      <c r="Z543" s="694"/>
      <c r="AA543" s="694"/>
      <c r="AB543" s="694"/>
      <c r="AC543" s="694"/>
      <c r="AD543" s="694"/>
      <c r="AE543" s="694"/>
      <c r="AF543" s="694"/>
      <c r="AG543" s="694"/>
      <c r="AH543" s="694"/>
      <c r="AI543" s="694"/>
      <c r="AJ543" s="694"/>
      <c r="AK543" s="694"/>
      <c r="AL543" s="694"/>
    </row>
    <row r="544" spans="1:38" ht="12.75" customHeight="1" x14ac:dyDescent="0.25">
      <c r="A544" s="694"/>
      <c r="B544" s="298"/>
      <c r="C544" s="1302"/>
      <c r="D544" s="625"/>
      <c r="E544" s="2816" t="str">
        <f>Translations!$B$593</f>
        <v>Посочените тук данни ще се отразят на емисиите, които могат да бъдат зададени съгласно раздел 10 от приложение VII към ПБР.</v>
      </c>
      <c r="F544" s="2240"/>
      <c r="G544" s="2240"/>
      <c r="H544" s="2240"/>
      <c r="I544" s="2240"/>
      <c r="J544" s="2240"/>
      <c r="K544" s="2240"/>
      <c r="L544" s="2240"/>
      <c r="M544" s="2240"/>
      <c r="N544" s="2811"/>
      <c r="O544" s="302"/>
      <c r="P544" s="302"/>
      <c r="Q544" s="729"/>
      <c r="R544" s="694"/>
      <c r="S544" s="729"/>
      <c r="T544" s="729"/>
      <c r="U544" s="729"/>
      <c r="V544" s="729"/>
      <c r="W544" s="694"/>
      <c r="X544" s="694"/>
      <c r="Y544" s="694"/>
      <c r="Z544" s="694"/>
      <c r="AA544" s="694"/>
      <c r="AB544" s="694"/>
      <c r="AC544" s="694"/>
      <c r="AD544" s="694"/>
      <c r="AE544" s="694"/>
      <c r="AF544" s="694"/>
      <c r="AG544" s="694"/>
      <c r="AH544" s="694"/>
      <c r="AI544" s="694"/>
      <c r="AJ544" s="694"/>
      <c r="AK544" s="694"/>
      <c r="AL544" s="694"/>
    </row>
    <row r="545" spans="1:38" ht="25.5" customHeight="1" thickBot="1" x14ac:dyDescent="0.3">
      <c r="A545" s="694"/>
      <c r="B545" s="298"/>
      <c r="C545" s="1302"/>
      <c r="D545" s="1306"/>
      <c r="E545" s="2810" t="str">
        <f>Translations!$B$594</f>
        <v>Това включва електроенергията, произведена директно от тази подинсталация, съгласно раздел 3.1, буква и) от приложение IV към ПБР. Електроенергията, произведена чрез междинна измерима топлинна енергия, не се посочват тук, а като подадена измерима топлинна енергия в k).v по-горе.</v>
      </c>
      <c r="F545" s="2240"/>
      <c r="G545" s="2240"/>
      <c r="H545" s="2240"/>
      <c r="I545" s="2240"/>
      <c r="J545" s="2240"/>
      <c r="K545" s="2240"/>
      <c r="L545" s="2240"/>
      <c r="M545" s="2240"/>
      <c r="N545" s="2811"/>
      <c r="O545" s="302"/>
      <c r="P545" s="302"/>
      <c r="Q545" s="729"/>
      <c r="R545" s="694"/>
      <c r="S545" s="729"/>
      <c r="T545" s="694"/>
      <c r="U545" s="694"/>
      <c r="V545" s="694"/>
      <c r="W545" s="694"/>
      <c r="X545" s="694"/>
      <c r="Y545" s="694"/>
      <c r="Z545" s="694"/>
      <c r="AA545" s="694"/>
      <c r="AB545" s="694"/>
      <c r="AC545" s="694"/>
      <c r="AD545" s="694"/>
      <c r="AE545" s="694"/>
      <c r="AF545" s="694"/>
      <c r="AG545" s="694"/>
      <c r="AH545" s="694"/>
      <c r="AI545" s="694"/>
      <c r="AJ545" s="694"/>
      <c r="AK545" s="694"/>
      <c r="AL545" s="694"/>
    </row>
    <row r="546" spans="1:38" ht="12.75" customHeight="1" thickBot="1" x14ac:dyDescent="0.3">
      <c r="A546" s="694"/>
      <c r="B546" s="298"/>
      <c r="C546" s="1302"/>
      <c r="D546" s="1307"/>
      <c r="E546" s="1317"/>
      <c r="F546" s="1318"/>
      <c r="G546" s="1309" t="str">
        <f>EUconst_Unit</f>
        <v>Единица мярка</v>
      </c>
      <c r="H546" s="629">
        <f t="shared" ref="H546:N546" si="519">H$2831</f>
        <v>2024</v>
      </c>
      <c r="I546" s="1310">
        <f t="shared" si="519"/>
        <v>2025</v>
      </c>
      <c r="J546" s="1311">
        <f t="shared" si="519"/>
        <v>2026</v>
      </c>
      <c r="K546" s="629">
        <f t="shared" si="519"/>
        <v>2027</v>
      </c>
      <c r="L546" s="629">
        <f t="shared" si="519"/>
        <v>2028</v>
      </c>
      <c r="M546" s="629">
        <f t="shared" si="519"/>
        <v>2029</v>
      </c>
      <c r="N546" s="1312">
        <f t="shared" si="519"/>
        <v>2030</v>
      </c>
      <c r="O546" s="302"/>
      <c r="P546" s="302"/>
      <c r="Q546" s="729"/>
      <c r="R546" s="694"/>
      <c r="S546" s="1205"/>
      <c r="T546" s="1313">
        <f t="shared" ref="T546" si="520">H546</f>
        <v>2024</v>
      </c>
      <c r="U546" s="1313">
        <f t="shared" ref="U546" si="521">I546</f>
        <v>2025</v>
      </c>
      <c r="V546" s="1313">
        <f t="shared" ref="V546" si="522">J546</f>
        <v>2026</v>
      </c>
      <c r="W546" s="1313">
        <f t="shared" ref="W546" si="523">K546</f>
        <v>2027</v>
      </c>
      <c r="X546" s="1313">
        <f t="shared" ref="X546" si="524">L546</f>
        <v>2028</v>
      </c>
      <c r="Y546" s="1313">
        <f t="shared" ref="Y546" si="525">M546</f>
        <v>2029</v>
      </c>
      <c r="Z546" s="1314">
        <f t="shared" ref="Z546" si="526">N546</f>
        <v>2030</v>
      </c>
      <c r="AA546" s="694"/>
      <c r="AB546" s="694"/>
      <c r="AC546" s="1178">
        <f t="shared" ref="AC546" si="527">H$20</f>
        <v>2024</v>
      </c>
      <c r="AD546" s="1178">
        <f t="shared" ref="AD546" si="528">I$20</f>
        <v>2025</v>
      </c>
      <c r="AE546" s="1178">
        <f t="shared" ref="AE546" si="529">J$20</f>
        <v>2026</v>
      </c>
      <c r="AF546" s="1178">
        <f t="shared" ref="AF546" si="530">K$20</f>
        <v>2027</v>
      </c>
      <c r="AG546" s="1178">
        <f t="shared" ref="AG546" si="531">L$20</f>
        <v>2028</v>
      </c>
      <c r="AH546" s="1178">
        <f t="shared" ref="AH546" si="532">M$20</f>
        <v>2029</v>
      </c>
      <c r="AI546" s="1178">
        <f t="shared" ref="AI546" si="533">N$20</f>
        <v>2030</v>
      </c>
      <c r="AJ546" s="694"/>
      <c r="AK546" s="694"/>
      <c r="AL546" s="694"/>
    </row>
    <row r="547" spans="1:38" ht="12.75" customHeight="1" thickBot="1" x14ac:dyDescent="0.3">
      <c r="A547" s="694"/>
      <c r="B547" s="298"/>
      <c r="C547" s="1302"/>
      <c r="D547" s="625"/>
      <c r="E547" s="2820" t="str">
        <f>Translations!$B$595</f>
        <v>Произведена електроенергия</v>
      </c>
      <c r="F547" s="2258"/>
      <c r="G547" s="1319" t="str">
        <f>EUconst_MWhpa</f>
        <v>MWh / година</v>
      </c>
      <c r="H547" s="56"/>
      <c r="I547" s="115"/>
      <c r="J547" s="118"/>
      <c r="K547" s="56"/>
      <c r="L547" s="56"/>
      <c r="M547" s="56"/>
      <c r="N547" s="121"/>
      <c r="O547" s="302"/>
      <c r="P547" s="158"/>
      <c r="Q547" s="1190" t="str">
        <f>EUconst_CNTR_ElectricityExported &amp; I294</f>
        <v>ElecEx_</v>
      </c>
      <c r="R547" s="694"/>
      <c r="S547" s="1315" t="str">
        <f>EUconst_CNTR_AttributedEmissions &amp; I294</f>
        <v>AttrEmissions_</v>
      </c>
      <c r="T547" s="1290" t="str">
        <f t="shared" ref="T547" si="534">IF(T302,-SUM(H547)*EUconst_ElBM,"")</f>
        <v/>
      </c>
      <c r="U547" s="1290" t="str">
        <f t="shared" ref="U547" si="535">IF(U302,-SUM(I547)*EUconst_ElBM,"")</f>
        <v/>
      </c>
      <c r="V547" s="1290" t="str">
        <f t="shared" ref="V547" si="536">IF(V302,-SUM(J547)*EUconst_ElBM,"")</f>
        <v/>
      </c>
      <c r="W547" s="1290" t="str">
        <f t="shared" ref="W547" si="537">IF(W302,-SUM(K547)*EUconst_ElBM,"")</f>
        <v/>
      </c>
      <c r="X547" s="1290" t="str">
        <f t="shared" ref="X547" si="538">IF(X302,-SUM(L547)*EUconst_ElBM,"")</f>
        <v/>
      </c>
      <c r="Y547" s="1290" t="str">
        <f t="shared" ref="Y547" si="539">IF(Y302,-SUM(M547)*EUconst_ElBM,"")</f>
        <v/>
      </c>
      <c r="Z547" s="1291" t="str">
        <f t="shared" ref="Z547" si="540">IF(Z302,-SUM(N547)*EUconst_ElBM,"")</f>
        <v/>
      </c>
      <c r="AA547" s="694"/>
      <c r="AB547" s="1182" t="s">
        <v>737</v>
      </c>
      <c r="AC547" s="982" t="b">
        <f>AC341</f>
        <v>0</v>
      </c>
      <c r="AD547" s="982" t="b">
        <f t="shared" ref="AD547:AI547" si="541">AD341</f>
        <v>0</v>
      </c>
      <c r="AE547" s="982" t="b">
        <f t="shared" si="541"/>
        <v>0</v>
      </c>
      <c r="AF547" s="982" t="b">
        <f t="shared" si="541"/>
        <v>0</v>
      </c>
      <c r="AG547" s="982" t="b">
        <f t="shared" si="541"/>
        <v>0</v>
      </c>
      <c r="AH547" s="982" t="b">
        <f t="shared" si="541"/>
        <v>0</v>
      </c>
      <c r="AI547" s="982" t="b">
        <f t="shared" si="541"/>
        <v>0</v>
      </c>
      <c r="AJ547" s="1174" t="s">
        <v>2039</v>
      </c>
      <c r="AK547" s="1176" t="str">
        <f>IF(AND(CNTR_ExistSubInstEntries,MSconst_RequireSubAttrEmissions,COUNTIFS(AC547:AI547,FALSE,H547:N547,"")&gt;0),EUconst_Error&amp;"BM"&amp;$Q294,"")</f>
        <v/>
      </c>
      <c r="AL547" s="694"/>
    </row>
    <row r="548" spans="1:38" ht="12.75" customHeight="1" x14ac:dyDescent="0.25">
      <c r="A548" s="694"/>
      <c r="B548" s="298"/>
      <c r="C548" s="1302"/>
      <c r="D548" s="1306"/>
      <c r="E548" s="1306"/>
      <c r="F548" s="1306"/>
      <c r="G548" s="1306"/>
      <c r="H548" s="1306"/>
      <c r="I548" s="1354"/>
      <c r="J548" s="1306"/>
      <c r="K548" s="1306"/>
      <c r="L548" s="1306"/>
      <c r="M548" s="1306"/>
      <c r="N548" s="1316"/>
      <c r="O548" s="302"/>
      <c r="P548" s="302"/>
      <c r="Q548" s="729"/>
      <c r="R548" s="694"/>
      <c r="S548" s="729"/>
      <c r="T548" s="694"/>
      <c r="U548" s="694"/>
      <c r="V548" s="729"/>
      <c r="W548" s="694"/>
      <c r="X548" s="694"/>
      <c r="Y548" s="694"/>
      <c r="Z548" s="694"/>
      <c r="AA548" s="694"/>
      <c r="AB548" s="694"/>
      <c r="AC548" s="694"/>
      <c r="AD548" s="694"/>
      <c r="AE548" s="694"/>
      <c r="AF548" s="694"/>
      <c r="AG548" s="694"/>
      <c r="AH548" s="694"/>
      <c r="AI548" s="694"/>
      <c r="AJ548" s="694"/>
      <c r="AK548" s="694"/>
      <c r="AL548" s="694"/>
    </row>
    <row r="549" spans="1:38" ht="12.75" customHeight="1" x14ac:dyDescent="0.25">
      <c r="A549" s="694"/>
      <c r="B549" s="298"/>
      <c r="C549" s="1302"/>
      <c r="D549" s="1307" t="s">
        <v>249</v>
      </c>
      <c r="E549" s="2815" t="str">
        <f>Translations!$B$596</f>
        <v>Общо количество произведен пулп</v>
      </c>
      <c r="F549" s="2240"/>
      <c r="G549" s="2240"/>
      <c r="H549" s="2240"/>
      <c r="I549" s="2240"/>
      <c r="J549" s="2240"/>
      <c r="K549" s="2240"/>
      <c r="L549" s="2240"/>
      <c r="M549" s="2240"/>
      <c r="N549" s="2811"/>
      <c r="O549" s="302"/>
      <c r="P549" s="302"/>
      <c r="Q549" s="694"/>
      <c r="R549" s="694"/>
      <c r="S549" s="694"/>
      <c r="T549" s="694"/>
      <c r="U549" s="694"/>
      <c r="V549" s="729"/>
      <c r="W549" s="694"/>
      <c r="X549" s="694"/>
      <c r="Y549" s="694"/>
      <c r="Z549" s="694"/>
      <c r="AA549" s="694"/>
      <c r="AB549" s="694"/>
      <c r="AC549" s="694"/>
      <c r="AD549" s="694"/>
      <c r="AE549" s="694"/>
      <c r="AF549" s="694"/>
      <c r="AG549" s="694"/>
      <c r="AH549" s="694"/>
      <c r="AI549" s="694"/>
      <c r="AJ549" s="694"/>
      <c r="AK549" s="694"/>
      <c r="AL549" s="694"/>
    </row>
    <row r="550" spans="1:38" ht="25.5" customHeight="1" x14ac:dyDescent="0.25">
      <c r="A550" s="694"/>
      <c r="B550" s="298"/>
      <c r="C550" s="1302"/>
      <c r="D550" s="1306"/>
      <c r="E550" s="2810" t="str">
        <f>Translations!$B$597</f>
        <v>Съгласно раздел 2.7, буква к) от приложение IV към ПБР се отчита общото количество пулп, произведен за подинсталации с продуктов показател за късовлакнест крафт-пулп, дълговлакнест крафт-пулп, термомеханичен пулп и механичен пулп или сулфитен пулп.</v>
      </c>
      <c r="F550" s="2240"/>
      <c r="G550" s="2240"/>
      <c r="H550" s="2240"/>
      <c r="I550" s="2240"/>
      <c r="J550" s="2240"/>
      <c r="K550" s="2240"/>
      <c r="L550" s="2240"/>
      <c r="M550" s="2240"/>
      <c r="N550" s="2811"/>
      <c r="O550" s="302"/>
      <c r="P550" s="302"/>
      <c r="Q550" s="729"/>
      <c r="R550" s="694"/>
      <c r="S550" s="729"/>
      <c r="T550" s="694"/>
      <c r="U550" s="694"/>
      <c r="V550" s="729"/>
      <c r="W550" s="694"/>
      <c r="X550" s="694"/>
      <c r="Y550" s="694"/>
      <c r="Z550" s="694"/>
      <c r="AA550" s="694"/>
      <c r="AB550" s="694"/>
      <c r="AC550" s="694"/>
      <c r="AD550" s="694"/>
      <c r="AE550" s="694"/>
      <c r="AF550" s="694"/>
      <c r="AG550" s="694"/>
      <c r="AH550" s="694"/>
      <c r="AI550" s="694"/>
      <c r="AJ550" s="694"/>
      <c r="AK550" s="694"/>
      <c r="AL550" s="694"/>
    </row>
    <row r="551" spans="1:38" ht="12.75" customHeight="1" x14ac:dyDescent="0.25">
      <c r="A551" s="694"/>
      <c r="B551" s="298"/>
      <c r="C551" s="1302"/>
      <c r="D551" s="1306"/>
      <c r="E551" s="2810" t="str">
        <f>Translations!$B$598</f>
        <v>Този раздел ще бъде защрихован в сиво, ако тази подинсталация не е една от тези видове подинсталации за производство на пулп. В такъв случай, моля, продължете с точките по-долу.</v>
      </c>
      <c r="F551" s="2240"/>
      <c r="G551" s="2240"/>
      <c r="H551" s="2240"/>
      <c r="I551" s="2240"/>
      <c r="J551" s="2240"/>
      <c r="K551" s="2240"/>
      <c r="L551" s="2240"/>
      <c r="M551" s="2240"/>
      <c r="N551" s="2811"/>
      <c r="O551" s="302"/>
      <c r="P551" s="302"/>
      <c r="Q551" s="729"/>
      <c r="R551" s="694"/>
      <c r="S551" s="729"/>
      <c r="T551" s="694"/>
      <c r="U551" s="694"/>
      <c r="V551" s="729"/>
      <c r="W551" s="694"/>
      <c r="X551" s="694"/>
      <c r="Y551" s="694"/>
      <c r="Z551" s="694"/>
      <c r="AA551" s="694"/>
      <c r="AB551" s="694"/>
      <c r="AC551" s="694"/>
      <c r="AD551" s="694"/>
      <c r="AE551" s="694"/>
      <c r="AF551" s="694"/>
      <c r="AG551" s="694"/>
      <c r="AH551" s="694"/>
      <c r="AI551" s="694"/>
      <c r="AJ551" s="694"/>
      <c r="AK551" s="694"/>
      <c r="AL551" s="694"/>
    </row>
    <row r="552" spans="1:38" ht="12.75" customHeight="1" thickBot="1" x14ac:dyDescent="0.3">
      <c r="A552" s="694"/>
      <c r="B552" s="298"/>
      <c r="C552" s="1302"/>
      <c r="D552" s="625"/>
      <c r="E552" s="2812" t="str">
        <f>Translations!$B$599</f>
        <v>Посочените тук данни ще са необходими при актуализацията на конкретния показател за пулп.</v>
      </c>
      <c r="F552" s="2672"/>
      <c r="G552" s="2672"/>
      <c r="H552" s="2672"/>
      <c r="I552" s="2672"/>
      <c r="J552" s="2672"/>
      <c r="K552" s="2672"/>
      <c r="L552" s="2672"/>
      <c r="M552" s="2672"/>
      <c r="N552" s="2813"/>
      <c r="O552" s="302"/>
      <c r="P552" s="302"/>
      <c r="Q552" s="729"/>
      <c r="R552" s="694"/>
      <c r="S552" s="729"/>
      <c r="T552" s="694"/>
      <c r="U552" s="694"/>
      <c r="V552" s="729"/>
      <c r="W552" s="694"/>
      <c r="X552" s="694"/>
      <c r="Y552" s="694"/>
      <c r="Z552" s="694"/>
      <c r="AA552" s="694"/>
      <c r="AB552" s="694"/>
      <c r="AC552" s="1178">
        <f t="shared" ref="AC552" si="542">H$20</f>
        <v>2024</v>
      </c>
      <c r="AD552" s="1178">
        <f t="shared" ref="AD552" si="543">I$20</f>
        <v>2025</v>
      </c>
      <c r="AE552" s="1178">
        <f t="shared" ref="AE552" si="544">J$20</f>
        <v>2026</v>
      </c>
      <c r="AF552" s="1178">
        <f t="shared" ref="AF552" si="545">K$20</f>
        <v>2027</v>
      </c>
      <c r="AG552" s="1178">
        <f t="shared" ref="AG552" si="546">L$20</f>
        <v>2028</v>
      </c>
      <c r="AH552" s="1178">
        <f t="shared" ref="AH552" si="547">M$20</f>
        <v>2029</v>
      </c>
      <c r="AI552" s="1178">
        <f t="shared" ref="AI552" si="548">N$20</f>
        <v>2030</v>
      </c>
      <c r="AJ552" s="694"/>
      <c r="AK552" s="694"/>
      <c r="AL552" s="694"/>
    </row>
    <row r="553" spans="1:38" ht="12.75" customHeight="1" x14ac:dyDescent="0.25">
      <c r="A553" s="694"/>
      <c r="B553" s="298"/>
      <c r="C553" s="1302"/>
      <c r="D553" s="625"/>
      <c r="E553" s="2814" t="str">
        <f>IF(I294="","",IF(INDEX(EUconst_BMlistPulp,MATCH(I294,EUconst_BMlistNames,0)),I294,""))</f>
        <v/>
      </c>
      <c r="F553" s="2258"/>
      <c r="G553" s="1319" t="str">
        <f>EUconst_Tons</f>
        <v>тона</v>
      </c>
      <c r="H553" s="56"/>
      <c r="I553" s="115"/>
      <c r="J553" s="118"/>
      <c r="K553" s="56"/>
      <c r="L553" s="56"/>
      <c r="M553" s="56"/>
      <c r="N553" s="121"/>
      <c r="O553" s="302"/>
      <c r="P553" s="158"/>
      <c r="Q553" s="1190" t="str">
        <f>EUconst_CNTR_HALPulpTotal &amp; I294</f>
        <v>HALPulpTotal_</v>
      </c>
      <c r="R553" s="694"/>
      <c r="S553" s="729"/>
      <c r="T553" s="694"/>
      <c r="U553" s="694"/>
      <c r="V553" s="694"/>
      <c r="W553" s="694"/>
      <c r="X553" s="694"/>
      <c r="Y553" s="694"/>
      <c r="Z553" s="694"/>
      <c r="AA553" s="694"/>
      <c r="AB553" s="1182" t="s">
        <v>737</v>
      </c>
      <c r="AC553" s="901" t="b">
        <f t="shared" ref="AC553:AI553" si="549">IF($I294&lt;&gt;"",IF(INDEX(EUconst_BMlistPulp,MATCH($I294,EUconst_BMlistNames,0))=TRUE,FALSE,TRUE),AC341)</f>
        <v>0</v>
      </c>
      <c r="AD553" s="982" t="b">
        <f t="shared" si="549"/>
        <v>0</v>
      </c>
      <c r="AE553" s="982" t="b">
        <f t="shared" si="549"/>
        <v>0</v>
      </c>
      <c r="AF553" s="982" t="b">
        <f t="shared" si="549"/>
        <v>0</v>
      </c>
      <c r="AG553" s="982" t="b">
        <f t="shared" si="549"/>
        <v>0</v>
      </c>
      <c r="AH553" s="982" t="b">
        <f t="shared" si="549"/>
        <v>0</v>
      </c>
      <c r="AI553" s="982" t="b">
        <f t="shared" si="549"/>
        <v>0</v>
      </c>
      <c r="AJ553" s="1174" t="s">
        <v>2039</v>
      </c>
      <c r="AK553" s="1176" t="str">
        <f>IF(AND(CNTR_ExistSubInstEntries,MSconst_RequireSubAttrEmissions,COUNTIFS(AC553:AI553,FALSE,H553:N553,"")&gt;0),EUconst_Error&amp;"BM"&amp;$Q294,"")</f>
        <v/>
      </c>
      <c r="AL553" s="694"/>
    </row>
    <row r="554" spans="1:38" ht="12.75" customHeight="1" x14ac:dyDescent="0.25">
      <c r="A554" s="694"/>
      <c r="B554" s="298"/>
      <c r="C554" s="1302"/>
      <c r="D554" s="625"/>
      <c r="E554" s="625"/>
      <c r="F554" s="625"/>
      <c r="G554" s="625"/>
      <c r="H554" s="1354"/>
      <c r="I554" s="625"/>
      <c r="J554" s="625"/>
      <c r="K554" s="625"/>
      <c r="L554" s="625"/>
      <c r="M554" s="625"/>
      <c r="N554" s="1348"/>
      <c r="O554" s="302"/>
      <c r="P554" s="302"/>
      <c r="Q554" s="729"/>
      <c r="R554" s="694"/>
      <c r="S554" s="729"/>
      <c r="T554" s="694"/>
      <c r="U554" s="694"/>
      <c r="V554" s="729"/>
      <c r="W554" s="694"/>
      <c r="X554" s="694"/>
      <c r="Y554" s="694"/>
      <c r="Z554" s="694"/>
      <c r="AA554" s="694"/>
      <c r="AB554" s="694"/>
      <c r="AC554" s="694"/>
      <c r="AD554" s="694"/>
      <c r="AE554" s="694"/>
      <c r="AF554" s="694"/>
      <c r="AG554" s="694"/>
      <c r="AH554" s="694"/>
      <c r="AI554" s="694"/>
      <c r="AJ554" s="694"/>
      <c r="AK554" s="694"/>
      <c r="AL554" s="694"/>
    </row>
    <row r="555" spans="1:38" ht="12.75" customHeight="1" x14ac:dyDescent="0.25">
      <c r="A555" s="694"/>
      <c r="B555" s="298"/>
      <c r="C555" s="1302"/>
      <c r="D555" s="1307" t="s">
        <v>852</v>
      </c>
      <c r="E555" s="2815" t="str">
        <f>Translations!$B$600</f>
        <v>Получаване или подаване на междинни продукти, обхванати от продуктови показатели</v>
      </c>
      <c r="F555" s="2240"/>
      <c r="G555" s="2240"/>
      <c r="H555" s="2240"/>
      <c r="I555" s="2240"/>
      <c r="J555" s="2240"/>
      <c r="K555" s="2240"/>
      <c r="L555" s="2240"/>
      <c r="M555" s="2240"/>
      <c r="N555" s="2811"/>
      <c r="O555" s="302"/>
      <c r="P555" s="302"/>
      <c r="Q555" s="729"/>
      <c r="R555" s="694"/>
      <c r="S555" s="729"/>
      <c r="T555" s="694"/>
      <c r="U555" s="694"/>
      <c r="V555" s="729"/>
      <c r="W555" s="694"/>
      <c r="X555" s="694"/>
      <c r="Y555" s="694"/>
      <c r="Z555" s="694"/>
      <c r="AA555" s="694"/>
      <c r="AB555" s="694"/>
      <c r="AC555" s="694"/>
      <c r="AD555" s="694"/>
      <c r="AE555" s="694"/>
      <c r="AF555" s="694"/>
      <c r="AG555" s="694"/>
      <c r="AH555" s="694"/>
      <c r="AI555" s="694"/>
      <c r="AJ555" s="694"/>
      <c r="AK555" s="694"/>
      <c r="AL555" s="694"/>
    </row>
    <row r="556" spans="1:38" ht="25.5" customHeight="1" x14ac:dyDescent="0.25">
      <c r="A556" s="694"/>
      <c r="B556" s="298"/>
      <c r="C556" s="1302"/>
      <c r="D556" s="1306"/>
      <c r="E556" s="2810" t="str">
        <f>Translations!$B$601</f>
        <v>За да се избегне двойно отчитане или пропуски в зададените емисии при определянето на актуализираните показатели, съгласно изискванията на раздел 2.7, буква г) от приложение IV към ПБР е необходимо да подадете данни за получените или подадените междинни продукти, обхванати от който и да било от продуктовите показатели, изброени в приложение I към ПБР.</v>
      </c>
      <c r="F556" s="2240"/>
      <c r="G556" s="2240"/>
      <c r="H556" s="2240"/>
      <c r="I556" s="2240"/>
      <c r="J556" s="2240"/>
      <c r="K556" s="2240"/>
      <c r="L556" s="2240"/>
      <c r="M556" s="2240"/>
      <c r="N556" s="2811"/>
      <c r="O556" s="302"/>
      <c r="P556" s="302"/>
      <c r="Q556" s="729"/>
      <c r="R556" s="694"/>
      <c r="S556" s="729"/>
      <c r="T556" s="694"/>
      <c r="U556" s="694"/>
      <c r="V556" s="729"/>
      <c r="W556" s="694"/>
      <c r="X556" s="694"/>
      <c r="Y556" s="694"/>
      <c r="Z556" s="694"/>
      <c r="AA556" s="694"/>
      <c r="AB556" s="694"/>
      <c r="AC556" s="694"/>
      <c r="AD556" s="694"/>
      <c r="AE556" s="694"/>
      <c r="AF556" s="694"/>
      <c r="AG556" s="694"/>
      <c r="AH556" s="694"/>
      <c r="AI556" s="694"/>
      <c r="AJ556" s="694"/>
      <c r="AK556" s="694"/>
      <c r="AL556" s="694"/>
    </row>
    <row r="557" spans="1:38" ht="12.75" customHeight="1" x14ac:dyDescent="0.25">
      <c r="A557" s="694"/>
      <c r="B557" s="298"/>
      <c r="C557" s="1302"/>
      <c r="D557" s="1306"/>
      <c r="E557" s="2816" t="str">
        <f>Translations!$B$602</f>
        <v>Посочените тук данни могат да се отразят на актуализацията на конкретния показател.</v>
      </c>
      <c r="F557" s="2240"/>
      <c r="G557" s="2240"/>
      <c r="H557" s="2240"/>
      <c r="I557" s="2240"/>
      <c r="J557" s="2240"/>
      <c r="K557" s="2240"/>
      <c r="L557" s="2240"/>
      <c r="M557" s="2240"/>
      <c r="N557" s="2811"/>
      <c r="O557" s="302"/>
      <c r="P557" s="302"/>
      <c r="Q557" s="729"/>
      <c r="R557" s="694"/>
      <c r="S557" s="729"/>
      <c r="T557" s="694"/>
      <c r="U557" s="694"/>
      <c r="V557" s="729"/>
      <c r="W557" s="694"/>
      <c r="X557" s="694"/>
      <c r="Y557" s="694"/>
      <c r="Z557" s="694"/>
      <c r="AA557" s="694"/>
      <c r="AB557" s="694"/>
      <c r="AC557" s="694"/>
      <c r="AD557" s="694"/>
      <c r="AE557" s="694"/>
      <c r="AF557" s="694"/>
      <c r="AG557" s="694"/>
      <c r="AH557" s="694"/>
      <c r="AI557" s="694"/>
      <c r="AJ557" s="694"/>
      <c r="AK557" s="694"/>
      <c r="AL557" s="694"/>
    </row>
    <row r="558" spans="1:38" ht="12.75" customHeight="1" x14ac:dyDescent="0.25">
      <c r="A558" s="694"/>
      <c r="B558" s="698"/>
      <c r="C558" s="1302"/>
      <c r="D558" s="625" t="s">
        <v>6</v>
      </c>
      <c r="E558" s="2817" t="str">
        <f>Translations!$B$603</f>
        <v>Има ли получени или подадени междинни продукти, които са обхванати от продуктови показатели?</v>
      </c>
      <c r="F558" s="2240"/>
      <c r="G558" s="2240"/>
      <c r="H558" s="2240"/>
      <c r="I558" s="2240"/>
      <c r="J558" s="2240"/>
      <c r="K558" s="2684"/>
      <c r="L558" s="83"/>
      <c r="M558" s="1304"/>
      <c r="N558" s="1372"/>
      <c r="O558" s="302"/>
      <c r="P558" s="158"/>
      <c r="Q558" s="694"/>
      <c r="R558" s="694"/>
      <c r="S558" s="694"/>
      <c r="T558" s="694"/>
      <c r="U558" s="694"/>
      <c r="V558" s="694"/>
      <c r="W558" s="694"/>
      <c r="X558" s="694"/>
      <c r="Y558" s="694"/>
      <c r="Z558" s="694"/>
      <c r="AA558" s="694"/>
      <c r="AB558" s="694"/>
      <c r="AC558" s="694"/>
      <c r="AD558" s="694"/>
      <c r="AE558" s="694"/>
      <c r="AF558" s="1182" t="s">
        <v>737</v>
      </c>
      <c r="AG558" s="901" t="b">
        <f>AND(CNTR_ExistSubInstEntries,I294="")</f>
        <v>0</v>
      </c>
      <c r="AH558" s="694"/>
      <c r="AI558" s="694"/>
      <c r="AJ558" s="694"/>
      <c r="AK558" s="694"/>
      <c r="AL558" s="694"/>
    </row>
    <row r="559" spans="1:38" ht="5.15" customHeight="1" x14ac:dyDescent="0.25">
      <c r="A559" s="694"/>
      <c r="B559" s="298"/>
      <c r="C559" s="1302"/>
      <c r="D559" s="625"/>
      <c r="E559" s="625"/>
      <c r="F559" s="625"/>
      <c r="G559" s="625"/>
      <c r="H559" s="1354"/>
      <c r="I559" s="625"/>
      <c r="J559" s="625"/>
      <c r="K559" s="625"/>
      <c r="L559" s="625"/>
      <c r="M559" s="625"/>
      <c r="N559" s="1348"/>
      <c r="O559" s="302"/>
      <c r="P559" s="302"/>
      <c r="Q559" s="729"/>
      <c r="R559" s="694"/>
      <c r="S559" s="729"/>
      <c r="T559" s="694"/>
      <c r="U559" s="694"/>
      <c r="V559" s="729"/>
      <c r="W559" s="694"/>
      <c r="X559" s="694"/>
      <c r="Y559" s="694"/>
      <c r="Z559" s="694"/>
      <c r="AA559" s="694"/>
      <c r="AB559" s="694"/>
      <c r="AC559" s="694"/>
      <c r="AD559" s="694"/>
      <c r="AE559" s="694"/>
      <c r="AF559" s="694"/>
      <c r="AG559" s="694"/>
      <c r="AH559" s="694"/>
      <c r="AI559" s="694"/>
      <c r="AJ559" s="694"/>
      <c r="AK559" s="694"/>
      <c r="AL559" s="694"/>
    </row>
    <row r="560" spans="1:38" ht="12.75" customHeight="1" thickBot="1" x14ac:dyDescent="0.3">
      <c r="A560" s="694"/>
      <c r="B560" s="298"/>
      <c r="C560" s="1302"/>
      <c r="D560" s="1307"/>
      <c r="E560" s="2803" t="str">
        <f>Translations!$B$604</f>
        <v>Получени количества:</v>
      </c>
      <c r="F560" s="2672"/>
      <c r="G560" s="627" t="str">
        <f>EUconst_Unit</f>
        <v>Единица мярка</v>
      </c>
      <c r="H560" s="629">
        <f t="shared" ref="H560:N560" si="550">H$2831</f>
        <v>2024</v>
      </c>
      <c r="I560" s="1310">
        <f t="shared" si="550"/>
        <v>2025</v>
      </c>
      <c r="J560" s="1311">
        <f t="shared" si="550"/>
        <v>2026</v>
      </c>
      <c r="K560" s="629">
        <f t="shared" si="550"/>
        <v>2027</v>
      </c>
      <c r="L560" s="629">
        <f t="shared" si="550"/>
        <v>2028</v>
      </c>
      <c r="M560" s="629">
        <f t="shared" si="550"/>
        <v>2029</v>
      </c>
      <c r="N560" s="1312">
        <f t="shared" si="550"/>
        <v>2030</v>
      </c>
      <c r="O560" s="302"/>
      <c r="P560" s="302"/>
      <c r="Q560" s="729"/>
      <c r="R560" s="694"/>
      <c r="S560" s="729"/>
      <c r="T560" s="694"/>
      <c r="U560" s="694"/>
      <c r="V560" s="729"/>
      <c r="W560" s="694"/>
      <c r="X560" s="694"/>
      <c r="Y560" s="694"/>
      <c r="Z560" s="694"/>
      <c r="AA560" s="694"/>
      <c r="AB560" s="694"/>
      <c r="AC560" s="1178">
        <f t="shared" ref="AC560" si="551">H$20</f>
        <v>2024</v>
      </c>
      <c r="AD560" s="1178">
        <f t="shared" ref="AD560" si="552">I$20</f>
        <v>2025</v>
      </c>
      <c r="AE560" s="1178">
        <f t="shared" ref="AE560" si="553">J$20</f>
        <v>2026</v>
      </c>
      <c r="AF560" s="1178">
        <f t="shared" ref="AF560" si="554">K$20</f>
        <v>2027</v>
      </c>
      <c r="AG560" s="1178">
        <f t="shared" ref="AG560" si="555">L$20</f>
        <v>2028</v>
      </c>
      <c r="AH560" s="1178">
        <f t="shared" ref="AH560" si="556">M$20</f>
        <v>2029</v>
      </c>
      <c r="AI560" s="1178">
        <f t="shared" ref="AI560" si="557">N$20</f>
        <v>2030</v>
      </c>
      <c r="AJ560" s="694"/>
      <c r="AK560" s="694"/>
      <c r="AL560" s="694"/>
    </row>
    <row r="561" spans="1:38" ht="12.75" customHeight="1" x14ac:dyDescent="0.25">
      <c r="A561" s="694"/>
      <c r="B561" s="298"/>
      <c r="C561" s="1302"/>
      <c r="D561" s="625" t="s">
        <v>7</v>
      </c>
      <c r="E561" s="2799"/>
      <c r="F561" s="2800"/>
      <c r="G561" s="1116" t="str">
        <f>IF(E561&lt;&gt;"",INDEX(EUconst_BMlistUnits,MATCH(E561,EUconst_BMlistNames,0)),EUconst_Tons)</f>
        <v>тона</v>
      </c>
      <c r="H561" s="150"/>
      <c r="I561" s="151"/>
      <c r="J561" s="152"/>
      <c r="K561" s="150"/>
      <c r="L561" s="150"/>
      <c r="M561" s="150"/>
      <c r="N561" s="153"/>
      <c r="O561" s="302"/>
      <c r="P561" s="158"/>
      <c r="Q561" s="1190" t="str">
        <f>EUconst_CNTR_IntermediateImport &amp; S561 &amp; "_" &amp; I294</f>
        <v>IntImp_1_</v>
      </c>
      <c r="R561" s="694"/>
      <c r="S561" s="1190">
        <v>1</v>
      </c>
      <c r="T561" s="694"/>
      <c r="U561" s="694"/>
      <c r="V561" s="729"/>
      <c r="W561" s="694"/>
      <c r="X561" s="694"/>
      <c r="Y561" s="694"/>
      <c r="Z561" s="694"/>
      <c r="AA561" s="694"/>
      <c r="AB561" s="1182" t="s">
        <v>737</v>
      </c>
      <c r="AC561" s="901" t="b">
        <f>OR(AND($L558&lt;&gt;"",$L558=FALSE),AC341)</f>
        <v>0</v>
      </c>
      <c r="AD561" s="982" t="b">
        <f t="shared" ref="AD561:AI561" si="558">OR(AND($L558&lt;&gt;"",$L558=FALSE),AD341)</f>
        <v>0</v>
      </c>
      <c r="AE561" s="982" t="b">
        <f t="shared" si="558"/>
        <v>0</v>
      </c>
      <c r="AF561" s="982" t="b">
        <f t="shared" si="558"/>
        <v>0</v>
      </c>
      <c r="AG561" s="982" t="b">
        <f t="shared" si="558"/>
        <v>0</v>
      </c>
      <c r="AH561" s="982" t="b">
        <f t="shared" si="558"/>
        <v>0</v>
      </c>
      <c r="AI561" s="982" t="b">
        <f t="shared" si="558"/>
        <v>0</v>
      </c>
      <c r="AJ561" s="1174" t="s">
        <v>2039</v>
      </c>
      <c r="AK561" s="1176" t="str">
        <f>IF(AND(CNTR_ExistSubInstEntries,MSconst_RequireSubAttrEmissions,COUNTIFS(AC561:AI561,FALSE,H561:N561,"")&gt;0),EUconst_Error&amp;"BM"&amp;$Q294,"")</f>
        <v/>
      </c>
      <c r="AL561" s="694"/>
    </row>
    <row r="562" spans="1:38" ht="12.75" customHeight="1" x14ac:dyDescent="0.25">
      <c r="A562" s="694"/>
      <c r="B562" s="298"/>
      <c r="C562" s="1302"/>
      <c r="D562" s="625" t="s">
        <v>8</v>
      </c>
      <c r="E562" s="2801"/>
      <c r="F562" s="2802"/>
      <c r="G562" s="1349" t="str">
        <f>IF(E562&lt;&gt;"",INDEX(EUconst_BMlistUnits,MATCH(E562,EUconst_BMlistNames,0)),EUconst_Tons)</f>
        <v>тона</v>
      </c>
      <c r="H562" s="154"/>
      <c r="I562" s="155"/>
      <c r="J562" s="156"/>
      <c r="K562" s="154"/>
      <c r="L562" s="154"/>
      <c r="M562" s="154"/>
      <c r="N562" s="157"/>
      <c r="O562" s="302"/>
      <c r="P562" s="158"/>
      <c r="Q562" s="1190" t="str">
        <f>EUconst_CNTR_IntermediateImport &amp; S562 &amp; "_" &amp; I294</f>
        <v>IntImp_2_</v>
      </c>
      <c r="R562" s="694"/>
      <c r="S562" s="1190">
        <v>2</v>
      </c>
      <c r="T562" s="694"/>
      <c r="U562" s="694"/>
      <c r="V562" s="729"/>
      <c r="W562" s="694"/>
      <c r="X562" s="694"/>
      <c r="Y562" s="694"/>
      <c r="Z562" s="694"/>
      <c r="AA562" s="694"/>
      <c r="AB562" s="694"/>
      <c r="AC562" s="982" t="b">
        <f>AC561</f>
        <v>0</v>
      </c>
      <c r="AD562" s="982" t="b">
        <f t="shared" ref="AD562:AI562" si="559">AD561</f>
        <v>0</v>
      </c>
      <c r="AE562" s="982" t="b">
        <f t="shared" si="559"/>
        <v>0</v>
      </c>
      <c r="AF562" s="982" t="b">
        <f t="shared" si="559"/>
        <v>0</v>
      </c>
      <c r="AG562" s="982" t="b">
        <f t="shared" si="559"/>
        <v>0</v>
      </c>
      <c r="AH562" s="982" t="b">
        <f t="shared" si="559"/>
        <v>0</v>
      </c>
      <c r="AI562" s="982" t="b">
        <f t="shared" si="559"/>
        <v>0</v>
      </c>
      <c r="AJ562" s="694"/>
      <c r="AK562" s="694"/>
      <c r="AL562" s="694"/>
    </row>
    <row r="563" spans="1:38" ht="5.15" customHeight="1" x14ac:dyDescent="0.25">
      <c r="A563" s="694"/>
      <c r="B563" s="298"/>
      <c r="C563" s="1302"/>
      <c r="D563" s="625"/>
      <c r="E563" s="625"/>
      <c r="F563" s="625"/>
      <c r="G563" s="625"/>
      <c r="H563" s="625"/>
      <c r="I563" s="625"/>
      <c r="J563" s="625"/>
      <c r="K563" s="625"/>
      <c r="L563" s="625"/>
      <c r="M563" s="625"/>
      <c r="N563" s="1373"/>
      <c r="O563" s="302"/>
      <c r="P563" s="302"/>
      <c r="Q563" s="729"/>
      <c r="R563" s="694"/>
      <c r="S563" s="729"/>
      <c r="T563" s="694"/>
      <c r="U563" s="694"/>
      <c r="V563" s="729"/>
      <c r="W563" s="694"/>
      <c r="X563" s="694"/>
      <c r="Y563" s="694"/>
      <c r="Z563" s="694"/>
      <c r="AA563" s="694"/>
      <c r="AB563" s="694"/>
      <c r="AC563" s="694"/>
      <c r="AD563" s="694"/>
      <c r="AE563" s="694"/>
      <c r="AF563" s="694"/>
      <c r="AG563" s="694"/>
      <c r="AH563" s="694"/>
      <c r="AI563" s="694"/>
      <c r="AJ563" s="694"/>
      <c r="AK563" s="694"/>
      <c r="AL563" s="694"/>
    </row>
    <row r="564" spans="1:38" ht="12.75" customHeight="1" thickBot="1" x14ac:dyDescent="0.3">
      <c r="A564" s="694"/>
      <c r="B564" s="298"/>
      <c r="C564" s="1302"/>
      <c r="D564" s="1307"/>
      <c r="E564" s="2803" t="str">
        <f>Translations!$B$605</f>
        <v>Подадени количества:</v>
      </c>
      <c r="F564" s="2672"/>
      <c r="G564" s="627" t="str">
        <f>EUconst_Unit</f>
        <v>Единица мярка</v>
      </c>
      <c r="H564" s="629">
        <f t="shared" ref="H564:N564" si="560">H$2831</f>
        <v>2024</v>
      </c>
      <c r="I564" s="1310">
        <f t="shared" si="560"/>
        <v>2025</v>
      </c>
      <c r="J564" s="1311">
        <f t="shared" si="560"/>
        <v>2026</v>
      </c>
      <c r="K564" s="629">
        <f t="shared" si="560"/>
        <v>2027</v>
      </c>
      <c r="L564" s="629">
        <f t="shared" si="560"/>
        <v>2028</v>
      </c>
      <c r="M564" s="629">
        <f t="shared" si="560"/>
        <v>2029</v>
      </c>
      <c r="N564" s="1312">
        <f t="shared" si="560"/>
        <v>2030</v>
      </c>
      <c r="O564" s="302"/>
      <c r="P564" s="302"/>
      <c r="Q564" s="729"/>
      <c r="R564" s="694"/>
      <c r="S564" s="729"/>
      <c r="T564" s="694"/>
      <c r="U564" s="694"/>
      <c r="V564" s="729"/>
      <c r="W564" s="694"/>
      <c r="X564" s="694"/>
      <c r="Y564" s="694"/>
      <c r="Z564" s="694"/>
      <c r="AA564" s="694"/>
      <c r="AB564" s="694"/>
      <c r="AC564" s="1178">
        <f t="shared" ref="AC564" si="561">H$20</f>
        <v>2024</v>
      </c>
      <c r="AD564" s="1178">
        <f t="shared" ref="AD564" si="562">I$20</f>
        <v>2025</v>
      </c>
      <c r="AE564" s="1178">
        <f t="shared" ref="AE564" si="563">J$20</f>
        <v>2026</v>
      </c>
      <c r="AF564" s="1178">
        <f t="shared" ref="AF564" si="564">K$20</f>
        <v>2027</v>
      </c>
      <c r="AG564" s="1178">
        <f t="shared" ref="AG564" si="565">L$20</f>
        <v>2028</v>
      </c>
      <c r="AH564" s="1178">
        <f t="shared" ref="AH564" si="566">M$20</f>
        <v>2029</v>
      </c>
      <c r="AI564" s="1178">
        <f t="shared" ref="AI564" si="567">N$20</f>
        <v>2030</v>
      </c>
      <c r="AJ564" s="694"/>
      <c r="AK564" s="694"/>
      <c r="AL564" s="694"/>
    </row>
    <row r="565" spans="1:38" ht="12.75" customHeight="1" x14ac:dyDescent="0.25">
      <c r="A565" s="694"/>
      <c r="B565" s="298"/>
      <c r="C565" s="1302"/>
      <c r="D565" s="625" t="s">
        <v>18</v>
      </c>
      <c r="E565" s="2799"/>
      <c r="F565" s="2800"/>
      <c r="G565" s="1116" t="str">
        <f>IF(E565&lt;&gt;"",INDEX(EUconst_BMlistUnits,MATCH(E565,EUconst_BMlistNames,0)),EUconst_Tons)</f>
        <v>тона</v>
      </c>
      <c r="H565" s="150"/>
      <c r="I565" s="151"/>
      <c r="J565" s="152"/>
      <c r="K565" s="150"/>
      <c r="L565" s="150"/>
      <c r="M565" s="150"/>
      <c r="N565" s="153"/>
      <c r="O565" s="302"/>
      <c r="P565" s="158"/>
      <c r="Q565" s="1190" t="str">
        <f>EUconst_CNTR_IntermediateExport &amp; S561 &amp; "_" &amp; I294</f>
        <v>IntExp_1_</v>
      </c>
      <c r="R565" s="694"/>
      <c r="S565" s="1190">
        <v>1</v>
      </c>
      <c r="T565" s="694"/>
      <c r="U565" s="694"/>
      <c r="V565" s="729"/>
      <c r="W565" s="694"/>
      <c r="X565" s="1374"/>
      <c r="Y565" s="1374"/>
      <c r="Z565" s="694"/>
      <c r="AA565" s="694"/>
      <c r="AB565" s="1182" t="s">
        <v>737</v>
      </c>
      <c r="AC565" s="982" t="b">
        <f>AC561</f>
        <v>0</v>
      </c>
      <c r="AD565" s="982" t="b">
        <f t="shared" ref="AD565:AI565" si="568">AD561</f>
        <v>0</v>
      </c>
      <c r="AE565" s="982" t="b">
        <f t="shared" si="568"/>
        <v>0</v>
      </c>
      <c r="AF565" s="982" t="b">
        <f t="shared" si="568"/>
        <v>0</v>
      </c>
      <c r="AG565" s="982" t="b">
        <f t="shared" si="568"/>
        <v>0</v>
      </c>
      <c r="AH565" s="982" t="b">
        <f t="shared" si="568"/>
        <v>0</v>
      </c>
      <c r="AI565" s="982" t="b">
        <f t="shared" si="568"/>
        <v>0</v>
      </c>
      <c r="AJ565" s="1174" t="s">
        <v>2039</v>
      </c>
      <c r="AK565" s="1176" t="str">
        <f>IF(AND(CNTR_ExistSubInstEntries,MSconst_RequireSubAttrEmissions,COUNTIFS(AC565:AI565,FALSE,H565:N565,"")&gt;0),EUconst_Error&amp;"BM"&amp;$Q294,"")</f>
        <v/>
      </c>
      <c r="AL565" s="694"/>
    </row>
    <row r="566" spans="1:38" ht="12.75" customHeight="1" x14ac:dyDescent="0.25">
      <c r="A566" s="694"/>
      <c r="B566" s="298"/>
      <c r="C566" s="1302"/>
      <c r="D566" s="625" t="s">
        <v>810</v>
      </c>
      <c r="E566" s="2801"/>
      <c r="F566" s="2802"/>
      <c r="G566" s="1349" t="str">
        <f>IF(E566&lt;&gt;"",INDEX(EUconst_BMlistUnits,MATCH(E566,EUconst_BMlistNames,0)),EUconst_Tons)</f>
        <v>тона</v>
      </c>
      <c r="H566" s="154"/>
      <c r="I566" s="155"/>
      <c r="J566" s="156"/>
      <c r="K566" s="154"/>
      <c r="L566" s="154"/>
      <c r="M566" s="154"/>
      <c r="N566" s="157"/>
      <c r="O566" s="302"/>
      <c r="P566" s="158"/>
      <c r="Q566" s="1190" t="str">
        <f>EUconst_CNTR_IntermediateExport &amp; S566 &amp; "_" &amp; I294</f>
        <v>IntExp_2_</v>
      </c>
      <c r="R566" s="694"/>
      <c r="S566" s="1190">
        <v>2</v>
      </c>
      <c r="T566" s="694"/>
      <c r="U566" s="694"/>
      <c r="V566" s="729"/>
      <c r="W566" s="694"/>
      <c r="X566" s="1374"/>
      <c r="Y566" s="1374"/>
      <c r="Z566" s="694"/>
      <c r="AA566" s="694"/>
      <c r="AB566" s="694"/>
      <c r="AC566" s="982" t="b">
        <f t="shared" ref="AC566:AI566" si="569">AC562</f>
        <v>0</v>
      </c>
      <c r="AD566" s="982" t="b">
        <f t="shared" si="569"/>
        <v>0</v>
      </c>
      <c r="AE566" s="982" t="b">
        <f t="shared" si="569"/>
        <v>0</v>
      </c>
      <c r="AF566" s="982" t="b">
        <f t="shared" si="569"/>
        <v>0</v>
      </c>
      <c r="AG566" s="982" t="b">
        <f t="shared" si="569"/>
        <v>0</v>
      </c>
      <c r="AH566" s="982" t="b">
        <f t="shared" si="569"/>
        <v>0</v>
      </c>
      <c r="AI566" s="982" t="b">
        <f t="shared" si="569"/>
        <v>0</v>
      </c>
      <c r="AJ566" s="694"/>
      <c r="AK566" s="694"/>
      <c r="AL566" s="694"/>
    </row>
    <row r="567" spans="1:38" ht="5.15" customHeight="1" x14ac:dyDescent="0.25">
      <c r="A567" s="694"/>
      <c r="B567" s="298"/>
      <c r="C567" s="1302"/>
      <c r="D567" s="625"/>
      <c r="E567" s="625"/>
      <c r="F567" s="625"/>
      <c r="G567" s="625"/>
      <c r="H567" s="625"/>
      <c r="I567" s="625"/>
      <c r="J567" s="625"/>
      <c r="K567" s="625"/>
      <c r="L567" s="625"/>
      <c r="M567" s="625"/>
      <c r="N567" s="1348"/>
      <c r="O567" s="302"/>
      <c r="P567" s="302"/>
      <c r="Q567" s="729"/>
      <c r="R567" s="694"/>
      <c r="S567" s="729"/>
      <c r="T567" s="694"/>
      <c r="U567" s="694"/>
      <c r="V567" s="729"/>
      <c r="W567" s="694"/>
      <c r="X567" s="1374"/>
      <c r="Y567" s="1374"/>
      <c r="Z567" s="694"/>
      <c r="AA567" s="694"/>
      <c r="AB567" s="694"/>
      <c r="AC567" s="694"/>
      <c r="AD567" s="694"/>
      <c r="AE567" s="694"/>
      <c r="AF567" s="694"/>
      <c r="AG567" s="694"/>
      <c r="AH567" s="694"/>
      <c r="AI567" s="694"/>
      <c r="AJ567" s="694"/>
      <c r="AK567" s="694"/>
      <c r="AL567" s="694"/>
    </row>
    <row r="568" spans="1:38" ht="12.75" customHeight="1" x14ac:dyDescent="0.25">
      <c r="A568" s="694"/>
      <c r="B568" s="298"/>
      <c r="C568" s="1302"/>
      <c r="D568" s="625" t="s">
        <v>811</v>
      </c>
      <c r="E568" s="626" t="str">
        <f>Translations!$B$606</f>
        <v>Описание на получените или подадените междинни продукти</v>
      </c>
      <c r="F568" s="626"/>
      <c r="G568" s="626"/>
      <c r="H568" s="626"/>
      <c r="I568" s="626"/>
      <c r="J568" s="626"/>
      <c r="K568" s="626"/>
      <c r="L568" s="626"/>
      <c r="M568" s="626"/>
      <c r="N568" s="1348"/>
      <c r="O568" s="302"/>
      <c r="P568" s="302"/>
      <c r="Q568" s="729"/>
      <c r="R568" s="694"/>
      <c r="S568" s="729"/>
      <c r="T568" s="694"/>
      <c r="U568" s="694"/>
      <c r="V568" s="729"/>
      <c r="W568" s="694"/>
      <c r="X568" s="1374"/>
      <c r="Y568" s="1374"/>
      <c r="Z568" s="694"/>
      <c r="AA568" s="694"/>
      <c r="AB568" s="694"/>
      <c r="AC568" s="694"/>
      <c r="AD568" s="694"/>
      <c r="AE568" s="694"/>
      <c r="AF568" s="694"/>
      <c r="AG568" s="694"/>
      <c r="AH568" s="694"/>
      <c r="AI568" s="694"/>
      <c r="AJ568" s="694"/>
      <c r="AK568" s="694"/>
      <c r="AL568" s="694"/>
    </row>
    <row r="569" spans="1:38" ht="12.75" customHeight="1" x14ac:dyDescent="0.25">
      <c r="A569" s="694"/>
      <c r="B569" s="298"/>
      <c r="C569" s="1302"/>
      <c r="D569" s="625"/>
      <c r="E569" s="1375" t="str">
        <f>Translations!$B$607</f>
        <v>Моля, опишете накратко производствения процес във връзка с получени или подадени междинни продукти.</v>
      </c>
      <c r="F569" s="1322"/>
      <c r="G569" s="1322"/>
      <c r="H569" s="1322"/>
      <c r="I569" s="1322"/>
      <c r="J569" s="1322"/>
      <c r="K569" s="1322"/>
      <c r="L569" s="1322"/>
      <c r="M569" s="1322"/>
      <c r="N569" s="1323"/>
      <c r="O569" s="302"/>
      <c r="P569" s="302"/>
      <c r="Q569" s="729"/>
      <c r="R569" s="694"/>
      <c r="S569" s="729"/>
      <c r="T569" s="694"/>
      <c r="U569" s="694"/>
      <c r="V569" s="729"/>
      <c r="W569" s="694"/>
      <c r="X569" s="1374"/>
      <c r="Y569" s="1374"/>
      <c r="Z569" s="694"/>
      <c r="AA569" s="694"/>
      <c r="AB569" s="694"/>
      <c r="AC569" s="694"/>
      <c r="AD569" s="694"/>
      <c r="AE569" s="694"/>
      <c r="AF569" s="694"/>
      <c r="AG569" s="694"/>
      <c r="AH569" s="694"/>
      <c r="AI569" s="694"/>
      <c r="AJ569" s="694"/>
      <c r="AK569" s="694"/>
      <c r="AL569" s="694"/>
    </row>
    <row r="570" spans="1:38" ht="12.75" customHeight="1" x14ac:dyDescent="0.25">
      <c r="A570" s="694"/>
      <c r="B570" s="298"/>
      <c r="C570" s="1302"/>
      <c r="D570" s="625"/>
      <c r="E570" s="2804"/>
      <c r="F570" s="2805"/>
      <c r="G570" s="2805"/>
      <c r="H570" s="2805"/>
      <c r="I570" s="2805"/>
      <c r="J570" s="2805"/>
      <c r="K570" s="2805"/>
      <c r="L570" s="2805"/>
      <c r="M570" s="2806"/>
      <c r="N570" s="1348"/>
      <c r="O570" s="302"/>
      <c r="P570" s="158"/>
      <c r="Q570" s="729"/>
      <c r="R570" s="694"/>
      <c r="S570" s="729"/>
      <c r="T570" s="694"/>
      <c r="U570" s="694"/>
      <c r="V570" s="729"/>
      <c r="W570" s="694"/>
      <c r="X570" s="1374"/>
      <c r="Y570" s="1374"/>
      <c r="Z570" s="694"/>
      <c r="AA570" s="694"/>
      <c r="AB570" s="1182" t="s">
        <v>737</v>
      </c>
      <c r="AC570" s="982" t="b">
        <f>AND(AC565:AI565)</f>
        <v>0</v>
      </c>
      <c r="AD570" s="694"/>
      <c r="AE570" s="694"/>
      <c r="AF570" s="694"/>
      <c r="AG570" s="694"/>
      <c r="AH570" s="694"/>
      <c r="AI570" s="694"/>
      <c r="AJ570" s="694"/>
      <c r="AK570" s="694"/>
      <c r="AL570" s="694"/>
    </row>
    <row r="571" spans="1:38" ht="12.75" customHeight="1" x14ac:dyDescent="0.25">
      <c r="A571" s="694"/>
      <c r="B571" s="298"/>
      <c r="C571" s="1302"/>
      <c r="D571" s="625"/>
      <c r="E571" s="2807"/>
      <c r="F571" s="2808"/>
      <c r="G571" s="2808"/>
      <c r="H571" s="2808"/>
      <c r="I571" s="2808"/>
      <c r="J571" s="2808"/>
      <c r="K571" s="2808"/>
      <c r="L571" s="2808"/>
      <c r="M571" s="2809"/>
      <c r="N571" s="1348"/>
      <c r="O571" s="302"/>
      <c r="P571" s="302"/>
      <c r="Q571" s="729"/>
      <c r="R571" s="694"/>
      <c r="S571" s="729"/>
      <c r="T571" s="694"/>
      <c r="U571" s="694"/>
      <c r="V571" s="729"/>
      <c r="W571" s="694"/>
      <c r="X571" s="1374"/>
      <c r="Y571" s="1374"/>
      <c r="Z571" s="694"/>
      <c r="AA571" s="694"/>
      <c r="AB571" s="694"/>
      <c r="AC571" s="982" t="b">
        <f>AC570</f>
        <v>0</v>
      </c>
      <c r="AD571" s="694"/>
      <c r="AE571" s="694"/>
      <c r="AF571" s="694"/>
      <c r="AG571" s="694"/>
      <c r="AH571" s="694"/>
      <c r="AI571" s="694"/>
      <c r="AJ571" s="694"/>
      <c r="AK571" s="694"/>
      <c r="AL571" s="694"/>
    </row>
    <row r="572" spans="1:38" ht="12.75" customHeight="1" thickBot="1" x14ac:dyDescent="0.3">
      <c r="A572" s="694"/>
      <c r="B572" s="298"/>
      <c r="C572" s="1376"/>
      <c r="D572" s="1377"/>
      <c r="E572" s="1377"/>
      <c r="F572" s="1377"/>
      <c r="G572" s="1377"/>
      <c r="H572" s="1377"/>
      <c r="I572" s="1377"/>
      <c r="J572" s="1377"/>
      <c r="K572" s="1377"/>
      <c r="L572" s="1377"/>
      <c r="M572" s="1378"/>
      <c r="N572" s="1379"/>
      <c r="O572" s="302"/>
      <c r="P572" s="302"/>
      <c r="Q572" s="729"/>
      <c r="R572" s="694"/>
      <c r="S572" s="729"/>
      <c r="T572" s="694"/>
      <c r="U572" s="694"/>
      <c r="V572" s="729"/>
      <c r="W572" s="694"/>
      <c r="X572" s="694"/>
      <c r="Y572" s="694"/>
      <c r="Z572" s="694"/>
      <c r="AA572" s="694"/>
      <c r="AB572" s="694"/>
      <c r="AC572" s="694"/>
      <c r="AD572" s="694"/>
      <c r="AE572" s="694"/>
      <c r="AF572" s="694"/>
      <c r="AG572" s="694"/>
      <c r="AH572" s="694"/>
      <c r="AI572" s="694"/>
      <c r="AJ572" s="694"/>
      <c r="AK572" s="694"/>
      <c r="AL572" s="694"/>
    </row>
    <row r="573" spans="1:38" ht="12.75" customHeight="1" thickBot="1" x14ac:dyDescent="0.3">
      <c r="A573" s="729"/>
      <c r="B573" s="284"/>
      <c r="C573" s="284"/>
      <c r="D573" s="284"/>
      <c r="E573" s="284"/>
      <c r="F573" s="284"/>
      <c r="G573" s="284"/>
      <c r="H573" s="284"/>
      <c r="I573" s="284"/>
      <c r="J573" s="284"/>
      <c r="K573" s="284"/>
      <c r="L573" s="284"/>
      <c r="M573" s="336"/>
      <c r="N573" s="336"/>
      <c r="O573" s="336"/>
      <c r="P573" s="336"/>
      <c r="Q573" s="1026" t="str">
        <f>IF(OR(AND(CNTR_ExistProductSubEntries=FALSE,Q294=1),AND(I294&lt;&gt;"",COUNTIF(Q574:Q$2825,"PRINT")=0)),"PRINT","")</f>
        <v/>
      </c>
      <c r="R573" s="770"/>
      <c r="S573" s="770"/>
      <c r="T573" s="770"/>
      <c r="U573" s="770"/>
      <c r="V573" s="770"/>
      <c r="W573" s="770"/>
      <c r="X573" s="770"/>
      <c r="Y573" s="770"/>
      <c r="Z573" s="694"/>
      <c r="AA573" s="694"/>
      <c r="AB573" s="694"/>
      <c r="AC573" s="694"/>
      <c r="AD573" s="694"/>
      <c r="AE573" s="343"/>
      <c r="AF573" s="343"/>
      <c r="AG573" s="343"/>
      <c r="AH573" s="343"/>
      <c r="AI573" s="343"/>
      <c r="AJ573" s="343"/>
      <c r="AK573" s="343"/>
      <c r="AL573" s="343"/>
    </row>
    <row r="574" spans="1:38" ht="5.15" customHeight="1" thickBot="1" x14ac:dyDescent="0.3">
      <c r="A574" s="694"/>
      <c r="B574" s="298"/>
      <c r="C574" s="1380"/>
      <c r="D574" s="1380"/>
      <c r="E574" s="1380"/>
      <c r="F574" s="1380"/>
      <c r="G574" s="1380"/>
      <c r="H574" s="1380"/>
      <c r="I574" s="1380"/>
      <c r="J574" s="1380"/>
      <c r="K574" s="1380"/>
      <c r="L574" s="1380"/>
      <c r="M574" s="1380"/>
      <c r="N574" s="1380"/>
      <c r="O574" s="302"/>
      <c r="P574" s="302"/>
      <c r="Q574" s="1381"/>
      <c r="R574" s="1381"/>
      <c r="S574" s="1381"/>
      <c r="T574" s="1381"/>
      <c r="U574" s="1381"/>
      <c r="V574" s="1381"/>
      <c r="W574" s="1381"/>
      <c r="X574" s="1381"/>
      <c r="Y574" s="1381"/>
      <c r="Z574" s="1381"/>
      <c r="AA574" s="1381"/>
      <c r="AB574" s="1381"/>
      <c r="AC574" s="1381"/>
      <c r="AD574" s="1381"/>
      <c r="AE574" s="1381"/>
      <c r="AF574" s="1381"/>
      <c r="AG574" s="1381"/>
      <c r="AH574" s="1381"/>
      <c r="AI574" s="1381"/>
      <c r="AJ574" s="1381"/>
      <c r="AK574" s="1381"/>
      <c r="AL574" s="1381"/>
    </row>
    <row r="575" spans="1:38" ht="14.5" thickBot="1" x14ac:dyDescent="0.3">
      <c r="A575" s="694"/>
      <c r="B575" s="298"/>
      <c r="C575" s="1173">
        <f>C294+1</f>
        <v>3</v>
      </c>
      <c r="D575" s="2323" t="str">
        <f>EUconst_BMSubinst &amp; ":"</f>
        <v>Подинсталация с продуктов показател:</v>
      </c>
      <c r="E575" s="2249"/>
      <c r="F575" s="2249"/>
      <c r="G575" s="2249"/>
      <c r="H575" s="2295"/>
      <c r="I575" s="2843" t="str">
        <f>IF(INDEX(CNTR_SubInstListIsProdBM,$C575),INDEX(CNTR_SubInstListNames,$C575),"")</f>
        <v/>
      </c>
      <c r="J575" s="2844"/>
      <c r="K575" s="2844"/>
      <c r="L575" s="2844"/>
      <c r="M575" s="2844"/>
      <c r="N575" s="2865"/>
      <c r="O575" s="302"/>
      <c r="P575" s="302"/>
      <c r="Q575" s="1026">
        <f>C575</f>
        <v>3</v>
      </c>
      <c r="R575" s="694"/>
      <c r="S575" s="1174" t="str">
        <f>Translations!$B$898</f>
        <v>Дата на въвеждане в експлоатация:</v>
      </c>
      <c r="T575" s="1175" t="str">
        <f>IF(I575="","",MAX(INDEX(CNTR_SubInstStartDate,MATCH($I575,CNTR_SubInstListNames,0)),DATE(2005,1,1)))</f>
        <v/>
      </c>
      <c r="U575" s="729" t="s">
        <v>1731</v>
      </c>
      <c r="V575" s="1176">
        <f>IF(ISNUMBER(T575),YEAR($T575-IF(YEAR(T575)&gt;=2022,0,1))+1,2005)</f>
        <v>2005</v>
      </c>
      <c r="W575" s="1174" t="s">
        <v>1734</v>
      </c>
      <c r="X575" s="1175" t="str">
        <f>IF(I575="","",INDEX(CNTR_SubInstCessationDate,MATCH($I575,CNTR_SubInstListNames,0)))</f>
        <v/>
      </c>
      <c r="Y575" s="1174" t="s">
        <v>1735</v>
      </c>
      <c r="Z575" s="1176">
        <f>IF(SUM(X575)=0,2050,YEAR($X575))</f>
        <v>2050</v>
      </c>
      <c r="AA575" s="1174" t="s">
        <v>2009</v>
      </c>
      <c r="AB575" s="1176" t="b">
        <f>CNTR_ReportingYear&gt;V575</f>
        <v>1</v>
      </c>
      <c r="AC575" s="694"/>
      <c r="AD575" s="694"/>
      <c r="AE575" s="694"/>
      <c r="AF575" s="694"/>
      <c r="AG575" s="694"/>
      <c r="AH575" s="694"/>
      <c r="AI575" s="694"/>
      <c r="AJ575" s="694"/>
      <c r="AK575" s="694"/>
      <c r="AL575" s="1177" t="b">
        <f>AND(CNTR_ExistSubInstEntries,I575="")</f>
        <v>0</v>
      </c>
    </row>
    <row r="576" spans="1:38" x14ac:dyDescent="0.25">
      <c r="A576" s="694"/>
      <c r="B576" s="298"/>
      <c r="C576" s="298"/>
      <c r="D576" s="302"/>
      <c r="E576" s="2358" t="str">
        <f>Translations!$B$330</f>
        <v>Наименованието на подинсталацията с продуктов показател се показва автоматично въз основа на данните, въведени в лист „A_InstallationData“ („А_Данни за инсталацията“).</v>
      </c>
      <c r="F576" s="2249"/>
      <c r="G576" s="2249"/>
      <c r="H576" s="2249"/>
      <c r="I576" s="2249"/>
      <c r="J576" s="2249"/>
      <c r="K576" s="2249"/>
      <c r="L576" s="2249"/>
      <c r="M576" s="2249"/>
      <c r="N576" s="2249"/>
      <c r="O576" s="302"/>
      <c r="P576" s="302"/>
      <c r="Q576" s="729"/>
      <c r="R576" s="694"/>
      <c r="S576" s="729"/>
      <c r="T576" s="729"/>
      <c r="U576" s="694"/>
      <c r="V576" s="694"/>
      <c r="W576" s="694"/>
      <c r="X576" s="694"/>
      <c r="Y576" s="694"/>
      <c r="Z576" s="694"/>
      <c r="AA576" s="694"/>
      <c r="AB576" s="694"/>
      <c r="AC576" s="694"/>
      <c r="AD576" s="694"/>
      <c r="AE576" s="694"/>
      <c r="AF576" s="694"/>
      <c r="AG576" s="694"/>
      <c r="AH576" s="694"/>
      <c r="AI576" s="694"/>
      <c r="AJ576" s="694"/>
      <c r="AK576" s="694"/>
      <c r="AL576" s="694"/>
    </row>
    <row r="577" spans="1:38" ht="5.15" customHeight="1" x14ac:dyDescent="0.25">
      <c r="A577" s="694"/>
      <c r="B577" s="298"/>
      <c r="C577" s="298"/>
      <c r="D577" s="298"/>
      <c r="E577" s="298"/>
      <c r="F577" s="298"/>
      <c r="G577" s="298"/>
      <c r="H577" s="298"/>
      <c r="I577" s="298"/>
      <c r="J577" s="298"/>
      <c r="K577" s="298"/>
      <c r="L577" s="298"/>
      <c r="M577" s="302"/>
      <c r="N577" s="302"/>
      <c r="O577" s="302"/>
      <c r="P577" s="302"/>
      <c r="Q577" s="729"/>
      <c r="R577" s="694"/>
      <c r="S577" s="729"/>
      <c r="T577" s="729"/>
      <c r="U577" s="694"/>
      <c r="V577" s="694"/>
      <c r="W577" s="694"/>
      <c r="X577" s="694"/>
      <c r="Y577" s="694"/>
      <c r="Z577" s="694"/>
      <c r="AA577" s="694"/>
      <c r="AB577" s="694"/>
      <c r="AC577" s="694"/>
      <c r="AD577" s="694"/>
      <c r="AE577" s="694"/>
      <c r="AF577" s="694"/>
      <c r="AG577" s="694"/>
      <c r="AH577" s="694"/>
      <c r="AI577" s="694"/>
      <c r="AJ577" s="694"/>
      <c r="AK577" s="694"/>
      <c r="AL577" s="694"/>
    </row>
    <row r="578" spans="1:38" ht="13" x14ac:dyDescent="0.25">
      <c r="A578" s="694"/>
      <c r="B578" s="298"/>
      <c r="C578" s="298"/>
      <c r="D578" s="300" t="s">
        <v>408</v>
      </c>
      <c r="E578" s="2226" t="str">
        <f>Translations!$B$1315</f>
        <v>Равнища на дейност</v>
      </c>
      <c r="F578" s="2249"/>
      <c r="G578" s="2249"/>
      <c r="H578" s="2249"/>
      <c r="I578" s="2249"/>
      <c r="J578" s="2249"/>
      <c r="K578" s="2249"/>
      <c r="L578" s="2249"/>
      <c r="M578" s="2249"/>
      <c r="N578" s="2249"/>
      <c r="O578" s="302"/>
      <c r="P578" s="302"/>
      <c r="Q578" s="729"/>
      <c r="R578" s="694"/>
      <c r="S578" s="694"/>
      <c r="T578" s="694"/>
      <c r="U578" s="694"/>
      <c r="V578" s="694"/>
      <c r="W578" s="694"/>
      <c r="X578" s="694"/>
      <c r="Y578" s="694"/>
      <c r="Z578" s="694"/>
      <c r="AA578" s="694"/>
      <c r="AB578" s="694"/>
      <c r="AC578" s="694"/>
      <c r="AD578" s="694"/>
      <c r="AE578" s="694"/>
      <c r="AF578" s="694"/>
      <c r="AG578" s="694"/>
      <c r="AH578" s="694"/>
      <c r="AI578" s="694"/>
      <c r="AJ578" s="694"/>
      <c r="AK578" s="694"/>
      <c r="AL578" s="694"/>
    </row>
    <row r="579" spans="1:38" x14ac:dyDescent="0.25">
      <c r="A579" s="694"/>
      <c r="B579" s="298"/>
      <c r="C579" s="298"/>
      <c r="D579" s="302"/>
      <c r="E579" s="2358" t="str">
        <f>Translations!$B$474</f>
        <v>По тази точка следва да се отчетат „основните равнища на дейност“, т.е. данните, които се прилагат пряко за изчисляване на разпределението.</v>
      </c>
      <c r="F579" s="2249"/>
      <c r="G579" s="2249"/>
      <c r="H579" s="2249"/>
      <c r="I579" s="2249"/>
      <c r="J579" s="2249"/>
      <c r="K579" s="2249"/>
      <c r="L579" s="2249"/>
      <c r="M579" s="2249"/>
      <c r="N579" s="2249"/>
      <c r="O579" s="302"/>
      <c r="P579" s="302"/>
      <c r="Q579" s="729"/>
      <c r="R579" s="694"/>
      <c r="S579" s="729"/>
      <c r="T579" s="729"/>
      <c r="U579" s="729"/>
      <c r="V579" s="694"/>
      <c r="W579" s="694"/>
      <c r="X579" s="694"/>
      <c r="Y579" s="694"/>
      <c r="Z579" s="694"/>
      <c r="AA579" s="694"/>
      <c r="AB579" s="694"/>
      <c r="AC579" s="694"/>
      <c r="AD579" s="694"/>
      <c r="AE579" s="694"/>
      <c r="AF579" s="694"/>
      <c r="AG579" s="694"/>
      <c r="AH579" s="694"/>
      <c r="AI579" s="694"/>
      <c r="AJ579" s="694"/>
      <c r="AK579" s="694"/>
      <c r="AL579" s="694"/>
    </row>
    <row r="580" spans="1:38" x14ac:dyDescent="0.25">
      <c r="A580" s="694"/>
      <c r="B580" s="298"/>
      <c r="C580" s="298"/>
      <c r="D580" s="302"/>
      <c r="E580" s="2358" t="str">
        <f>Translations!$B$475</f>
        <v xml:space="preserve">Това обикновено са производствените данни за продукта, напр. тонове клинкер за сив цимент или тонове стъклени бутилки, както е определено в приложение I към ПБР. </v>
      </c>
      <c r="F580" s="2249"/>
      <c r="G580" s="2249"/>
      <c r="H580" s="2249"/>
      <c r="I580" s="2249"/>
      <c r="J580" s="2249"/>
      <c r="K580" s="2249"/>
      <c r="L580" s="2249"/>
      <c r="M580" s="2249"/>
      <c r="N580" s="2249"/>
      <c r="O580" s="302"/>
      <c r="P580" s="302"/>
      <c r="Q580" s="729"/>
      <c r="R580" s="694"/>
      <c r="S580" s="729"/>
      <c r="T580" s="729"/>
      <c r="U580" s="729"/>
      <c r="V580" s="694"/>
      <c r="W580" s="694"/>
      <c r="X580" s="694"/>
      <c r="Y580" s="694"/>
      <c r="Z580" s="694"/>
      <c r="AA580" s="694"/>
      <c r="AB580" s="694"/>
      <c r="AC580" s="694"/>
      <c r="AD580" s="694"/>
      <c r="AE580" s="694"/>
      <c r="AF580" s="694"/>
      <c r="AG580" s="694"/>
      <c r="AH580" s="694"/>
      <c r="AI580" s="694"/>
      <c r="AJ580" s="694"/>
      <c r="AK580" s="694"/>
      <c r="AL580" s="694"/>
    </row>
    <row r="581" spans="1:38" x14ac:dyDescent="0.25">
      <c r="A581" s="694"/>
      <c r="B581" s="298"/>
      <c r="C581" s="298"/>
      <c r="D581" s="302"/>
      <c r="E581" s="2358" t="str">
        <f>Translations!$B$476</f>
        <v>Въпреки това, ако се покаже съобщение съгласно буква b), трябва да се използва съответният инструмент за изчисляване, а резултатите от него автоматично се копират в тази таблица в ii).</v>
      </c>
      <c r="F581" s="2249"/>
      <c r="G581" s="2249"/>
      <c r="H581" s="2249"/>
      <c r="I581" s="2249"/>
      <c r="J581" s="2249"/>
      <c r="K581" s="2249"/>
      <c r="L581" s="2249"/>
      <c r="M581" s="2249"/>
      <c r="N581" s="2249"/>
      <c r="O581" s="302"/>
      <c r="P581" s="302"/>
      <c r="Q581" s="729"/>
      <c r="R581" s="694"/>
      <c r="S581" s="729"/>
      <c r="T581" s="694"/>
      <c r="U581" s="694"/>
      <c r="V581" s="694"/>
      <c r="W581" s="694"/>
      <c r="X581" s="694"/>
      <c r="Y581" s="694"/>
      <c r="Z581" s="729"/>
      <c r="AA581" s="694"/>
      <c r="AB581" s="694"/>
      <c r="AC581" s="694"/>
      <c r="AD581" s="694"/>
      <c r="AE581" s="694"/>
      <c r="AF581" s="694"/>
      <c r="AG581" s="694"/>
      <c r="AH581" s="694"/>
      <c r="AI581" s="694"/>
      <c r="AJ581" s="694"/>
      <c r="AK581" s="694"/>
      <c r="AL581" s="694"/>
    </row>
    <row r="582" spans="1:38" ht="13.5" customHeight="1" thickBot="1" x14ac:dyDescent="0.3">
      <c r="A582" s="694"/>
      <c r="B582" s="698"/>
      <c r="C582" s="698"/>
      <c r="D582" s="300"/>
      <c r="E582" s="2671" t="str">
        <f>Translations!$B$477</f>
        <v>Годишни равнища на дейност:</v>
      </c>
      <c r="F582" s="2671"/>
      <c r="G582" s="527" t="str">
        <f>EUconst_Unit</f>
        <v>Единица мярка</v>
      </c>
      <c r="H582" s="391">
        <f>H$2831</f>
        <v>2024</v>
      </c>
      <c r="I582" s="572">
        <f t="shared" ref="I582:N582" si="570">I$2831</f>
        <v>2025</v>
      </c>
      <c r="J582" s="757">
        <f>J$2831</f>
        <v>2026</v>
      </c>
      <c r="K582" s="391">
        <f t="shared" si="570"/>
        <v>2027</v>
      </c>
      <c r="L582" s="391">
        <f t="shared" si="570"/>
        <v>2028</v>
      </c>
      <c r="M582" s="391">
        <f t="shared" si="570"/>
        <v>2029</v>
      </c>
      <c r="N582" s="387">
        <f t="shared" si="570"/>
        <v>2030</v>
      </c>
      <c r="O582" s="302"/>
      <c r="P582" s="302"/>
      <c r="Q582" s="729"/>
      <c r="R582" s="694"/>
      <c r="S582" s="694"/>
      <c r="T582" s="1178">
        <f t="shared" ref="T582" si="571">H582</f>
        <v>2024</v>
      </c>
      <c r="U582" s="1178">
        <f t="shared" ref="U582" si="572">I582</f>
        <v>2025</v>
      </c>
      <c r="V582" s="1178">
        <f t="shared" ref="V582" si="573">J582</f>
        <v>2026</v>
      </c>
      <c r="W582" s="1178">
        <f t="shared" ref="W582" si="574">K582</f>
        <v>2027</v>
      </c>
      <c r="X582" s="1178">
        <f t="shared" ref="X582" si="575">L582</f>
        <v>2028</v>
      </c>
      <c r="Y582" s="1178">
        <f t="shared" ref="Y582" si="576">M582</f>
        <v>2029</v>
      </c>
      <c r="Z582" s="1178">
        <f t="shared" ref="Z582" si="577">N582</f>
        <v>2030</v>
      </c>
      <c r="AA582" s="694"/>
      <c r="AB582" s="694"/>
      <c r="AC582" s="1178">
        <f>H$20</f>
        <v>2024</v>
      </c>
      <c r="AD582" s="1178">
        <f t="shared" ref="AD582" si="578">I$20</f>
        <v>2025</v>
      </c>
      <c r="AE582" s="1178">
        <f t="shared" ref="AE582" si="579">J$20</f>
        <v>2026</v>
      </c>
      <c r="AF582" s="1178">
        <f t="shared" ref="AF582" si="580">K$20</f>
        <v>2027</v>
      </c>
      <c r="AG582" s="1178">
        <f t="shared" ref="AG582" si="581">L$20</f>
        <v>2028</v>
      </c>
      <c r="AH582" s="1178">
        <f t="shared" ref="AH582" si="582">M$20</f>
        <v>2029</v>
      </c>
      <c r="AI582" s="1178">
        <f t="shared" ref="AI582" si="583">N$20</f>
        <v>2030</v>
      </c>
      <c r="AJ582" s="694"/>
      <c r="AK582" s="694"/>
      <c r="AL582" s="729"/>
    </row>
    <row r="583" spans="1:38" ht="13" thickBot="1" x14ac:dyDescent="0.3">
      <c r="A583" s="694"/>
      <c r="B583" s="698"/>
      <c r="C583" s="698"/>
      <c r="D583" s="1084" t="s">
        <v>6</v>
      </c>
      <c r="E583" s="2862" t="str">
        <f>I575</f>
        <v/>
      </c>
      <c r="F583" s="2862"/>
      <c r="G583" s="1032" t="str">
        <f>IF(INDEX(CNTR_SubInstListIsProdBM,$C575),INDEX(CNTR_SubInstListHALUnit,$C575),EUconst_Tons)</f>
        <v>тона</v>
      </c>
      <c r="H583" s="98"/>
      <c r="I583" s="101"/>
      <c r="J583" s="102"/>
      <c r="K583" s="98"/>
      <c r="L583" s="98"/>
      <c r="M583" s="98"/>
      <c r="N583" s="120"/>
      <c r="O583" s="302"/>
      <c r="P583" s="158"/>
      <c r="Q583" s="694"/>
      <c r="R583" s="694"/>
      <c r="S583" s="729" t="s">
        <v>1732</v>
      </c>
      <c r="T583" s="1179" t="b">
        <f t="shared" ref="T583" si="584">AND($I575&lt;&gt;"",H582&lt;CNTR_ReportingYear,H582&gt;=$V575-1)</f>
        <v>0</v>
      </c>
      <c r="U583" s="1180" t="b">
        <f t="shared" ref="U583" si="585">AND($I575&lt;&gt;"",I582&lt;CNTR_ReportingYear,I582&gt;=$V575-1)</f>
        <v>0</v>
      </c>
      <c r="V583" s="1180" t="b">
        <f t="shared" ref="V583" si="586">AND($I575&lt;&gt;"",J582&lt;CNTR_ReportingYear,J582&gt;=$V575-1)</f>
        <v>0</v>
      </c>
      <c r="W583" s="1180" t="b">
        <f t="shared" ref="W583" si="587">AND($I575&lt;&gt;"",K582&lt;CNTR_ReportingYear,K582&gt;=$V575-1)</f>
        <v>0</v>
      </c>
      <c r="X583" s="1180" t="b">
        <f t="shared" ref="X583" si="588">AND($I575&lt;&gt;"",L582&lt;CNTR_ReportingYear,L582&gt;=$V575-1)</f>
        <v>0</v>
      </c>
      <c r="Y583" s="1180" t="b">
        <f t="shared" ref="Y583" si="589">AND($I575&lt;&gt;"",M582&lt;CNTR_ReportingYear,M582&gt;=$V575-1)</f>
        <v>0</v>
      </c>
      <c r="Z583" s="1181" t="b">
        <f t="shared" ref="Z583" si="590">AND($I575&lt;&gt;"",N582&lt;CNTR_ReportingYear,N582&gt;=$V575-1)</f>
        <v>0</v>
      </c>
      <c r="AA583" s="729"/>
      <c r="AB583" s="1182" t="s">
        <v>737</v>
      </c>
      <c r="AC583" s="1183" t="b">
        <f t="shared" ref="AC583" si="591">IF(CNTR_ExistSubInstEntries,OR($I575="",$R587,H582&gt;=CNTR_ReportingYear,AC582&lt;$V575-1),FALSE)</f>
        <v>0</v>
      </c>
      <c r="AD583" s="1184" t="b">
        <f t="shared" ref="AD583" si="592">IF(CNTR_ExistSubInstEntries,OR($I575="",$R587,I582&gt;=CNTR_ReportingYear,AD582&lt;$V575-1),FALSE)</f>
        <v>0</v>
      </c>
      <c r="AE583" s="1184" t="b">
        <f t="shared" ref="AE583" si="593">IF(CNTR_ExistSubInstEntries,OR($I575="",$R587,J582&gt;=CNTR_ReportingYear,AE582&lt;$V575-1),FALSE)</f>
        <v>0</v>
      </c>
      <c r="AF583" s="1184" t="b">
        <f t="shared" ref="AF583" si="594">IF(CNTR_ExistSubInstEntries,OR($I575="",$R587,K582&gt;=CNTR_ReportingYear,AF582&lt;$V575-1),FALSE)</f>
        <v>0</v>
      </c>
      <c r="AG583" s="1184" t="b">
        <f t="shared" ref="AG583" si="595">IF(CNTR_ExistSubInstEntries,OR($I575="",$R587,L582&gt;=CNTR_ReportingYear,AG582&lt;$V575-1),FALSE)</f>
        <v>0</v>
      </c>
      <c r="AH583" s="1184" t="b">
        <f t="shared" ref="AH583" si="596">IF(CNTR_ExistSubInstEntries,OR($I575="",$R587,M582&gt;=CNTR_ReportingYear,AH582&lt;$V575-1),FALSE)</f>
        <v>0</v>
      </c>
      <c r="AI583" s="1185" t="b">
        <f t="shared" ref="AI583" si="597">IF(CNTR_ExistSubInstEntries,OR($I575="",$R587,N582&gt;=CNTR_ReportingYear,AI582&lt;$V575-1),FALSE)</f>
        <v>0</v>
      </c>
      <c r="AJ583" s="1174" t="s">
        <v>2039</v>
      </c>
      <c r="AK583" s="1176" t="str">
        <f>IF(AND(CNTR_ExistSubInstEntries,COUNTIFS(AC583:AI583,FALSE,H583:N583,"")&gt;0),EUconst_Error&amp;"BM"&amp;$Q575,"")</f>
        <v/>
      </c>
      <c r="AL583" s="694"/>
    </row>
    <row r="584" spans="1:38" ht="13" customHeight="1" thickBot="1" x14ac:dyDescent="0.3">
      <c r="A584" s="694"/>
      <c r="B584" s="698"/>
      <c r="C584" s="698"/>
      <c r="D584" s="1084" t="s">
        <v>7</v>
      </c>
      <c r="E584" s="2862" t="str">
        <f>Translations!$B$478</f>
        <v>От работен лист „H_SpecialBM“ („H_Специфичен показател“):</v>
      </c>
      <c r="F584" s="2862"/>
      <c r="G584" s="1032" t="str">
        <f>G583</f>
        <v>тона</v>
      </c>
      <c r="H584" s="1186" t="str">
        <f>IF(OR($I575="",H582&gt;=CNTR_ReportingYear),"",IF($R587,SUMIF(H_SpecialBM!$Q$9:$Q$483,$Q584,H_SpecialBM!H$9:H$483),""))</f>
        <v/>
      </c>
      <c r="I584" s="1187" t="str">
        <f>IF(OR($I575="",I582&gt;=CNTR_ReportingYear),"",IF($R587,SUMIF(H_SpecialBM!$Q$9:$Q$483,$Q584,H_SpecialBM!I$9:I$483),""))</f>
        <v/>
      </c>
      <c r="J584" s="1188" t="str">
        <f>IF(OR($I575="",J582&gt;=CNTR_ReportingYear),"",IF($R587,SUMIF(H_SpecialBM!$Q$9:$Q$483,$Q584,H_SpecialBM!J$9:J$483),""))</f>
        <v/>
      </c>
      <c r="K584" s="1186" t="str">
        <f>IF(OR($I575="",K582&gt;=CNTR_ReportingYear),"",IF($R587,SUMIF(H_SpecialBM!$Q$9:$Q$483,$Q584,H_SpecialBM!K$9:K$483),""))</f>
        <v/>
      </c>
      <c r="L584" s="1186" t="str">
        <f>IF(OR($I575="",L582&gt;=CNTR_ReportingYear),"",IF($R587,SUMIF(H_SpecialBM!$Q$9:$Q$483,$Q584,H_SpecialBM!L$9:L$483),""))</f>
        <v/>
      </c>
      <c r="M584" s="1186" t="str">
        <f>IF(OR($I575="",M582&gt;=CNTR_ReportingYear),"",IF($R587,SUMIF(H_SpecialBM!$Q$9:$Q$483,$Q584,H_SpecialBM!M$9:M$483),""))</f>
        <v/>
      </c>
      <c r="N584" s="1189" t="str">
        <f>IF(OR($I575="",N582&gt;=CNTR_ReportingYear),"",IF($R587,SUMIF(H_SpecialBM!$Q$9:$Q$483,$Q584,H_SpecialBM!N$9:N$483),""))</f>
        <v/>
      </c>
      <c r="O584" s="302"/>
      <c r="P584" s="302"/>
      <c r="Q584" s="1190" t="str">
        <f>EUconst_CNTR_HALspecial&amp;I575</f>
        <v>HALspecial_</v>
      </c>
      <c r="R584" s="694"/>
      <c r="S584" s="694"/>
      <c r="T584" s="694"/>
      <c r="U584" s="694"/>
      <c r="V584" s="694"/>
      <c r="W584" s="694"/>
      <c r="X584" s="694"/>
      <c r="Y584" s="694"/>
      <c r="Z584" s="694"/>
      <c r="AA584" s="694"/>
      <c r="AB584" s="1182" t="s">
        <v>737</v>
      </c>
      <c r="AC584" s="1183" t="b">
        <f t="shared" ref="AC584" si="598">AND(CNTR_HasEntries_A_I,OR($R587=FALSE,H582&gt;=CNTR_ReportingYear))</f>
        <v>0</v>
      </c>
      <c r="AD584" s="1184" t="b">
        <f t="shared" ref="AD584" si="599">AND(CNTR_HasEntries_A_I,OR($R587=FALSE,I582&gt;=CNTR_ReportingYear))</f>
        <v>0</v>
      </c>
      <c r="AE584" s="1184" t="b">
        <f t="shared" ref="AE584" si="600">AND(CNTR_HasEntries_A_I,OR($R587=FALSE,J582&gt;=CNTR_ReportingYear))</f>
        <v>0</v>
      </c>
      <c r="AF584" s="1184" t="b">
        <f t="shared" ref="AF584" si="601">AND(CNTR_HasEntries_A_I,OR($R587=FALSE,K582&gt;=CNTR_ReportingYear))</f>
        <v>0</v>
      </c>
      <c r="AG584" s="1184" t="b">
        <f t="shared" ref="AG584" si="602">AND(CNTR_HasEntries_A_I,OR($R587=FALSE,L582&gt;=CNTR_ReportingYear))</f>
        <v>0</v>
      </c>
      <c r="AH584" s="1184" t="b">
        <f t="shared" ref="AH584" si="603">AND(CNTR_HasEntries_A_I,OR($R587=FALSE,M582&gt;=CNTR_ReportingYear))</f>
        <v>0</v>
      </c>
      <c r="AI584" s="1185" t="b">
        <f t="shared" ref="AI584" si="604">AND(CNTR_HasEntries_A_I,OR($R587=FALSE,N582&gt;=CNTR_ReportingYear))</f>
        <v>0</v>
      </c>
      <c r="AJ584" s="1165"/>
      <c r="AK584" s="1165"/>
      <c r="AL584" s="729"/>
    </row>
    <row r="585" spans="1:38" ht="13" customHeight="1" x14ac:dyDescent="0.25">
      <c r="A585" s="694"/>
      <c r="B585" s="698"/>
      <c r="C585" s="698"/>
      <c r="D585" s="1084" t="s">
        <v>8</v>
      </c>
      <c r="E585" s="2862" t="str">
        <f>Translations!$B$479</f>
        <v>Стойности, използвани за изчислението:</v>
      </c>
      <c r="F585" s="2862"/>
      <c r="G585" s="1032" t="str">
        <f>G584</f>
        <v>тона</v>
      </c>
      <c r="H585" s="1186" t="str">
        <f t="shared" ref="H585:N585" si="605">IF(OR($I575="",H582&gt;=CNTR_ReportingYear),"",IF($R587=TRUE,IF(ISNUMBER(H584),H584,0),IF(AND(H582&gt;=$V575-1,ISNUMBER(H583)),H583,0)))</f>
        <v/>
      </c>
      <c r="I585" s="1187" t="str">
        <f t="shared" si="605"/>
        <v/>
      </c>
      <c r="J585" s="1188" t="str">
        <f t="shared" si="605"/>
        <v/>
      </c>
      <c r="K585" s="1186" t="str">
        <f t="shared" si="605"/>
        <v/>
      </c>
      <c r="L585" s="1186" t="str">
        <f t="shared" si="605"/>
        <v/>
      </c>
      <c r="M585" s="1186" t="str">
        <f t="shared" si="605"/>
        <v/>
      </c>
      <c r="N585" s="1189" t="str">
        <f t="shared" si="605"/>
        <v/>
      </c>
      <c r="O585" s="302"/>
      <c r="P585" s="710"/>
      <c r="Q585" s="1190" t="str">
        <f>EUconst_CNTR_HAL&amp;I575</f>
        <v>HAL_</v>
      </c>
      <c r="R585" s="694"/>
      <c r="S585" s="694"/>
      <c r="T585" s="694"/>
      <c r="U585" s="694"/>
      <c r="V585" s="694"/>
      <c r="W585" s="694"/>
      <c r="X585" s="694"/>
      <c r="Y585" s="694"/>
      <c r="Z585" s="694"/>
      <c r="AA585" s="694"/>
      <c r="AB585" s="694"/>
      <c r="AC585" s="694"/>
      <c r="AD585" s="694"/>
      <c r="AE585" s="694"/>
      <c r="AF585" s="694"/>
      <c r="AG585" s="694"/>
      <c r="AH585" s="694"/>
      <c r="AI585" s="694"/>
      <c r="AJ585" s="1174" t="s">
        <v>2033</v>
      </c>
      <c r="AK585" s="982" t="str">
        <f>IF(COUNTIFS(H582:N582,"&lt;"&amp;YEAR(SUM(T575)),H585:N585,"&gt;"&amp;0)&gt;0,EUconst_Error&amp;"BM"&amp;Q575,"")</f>
        <v/>
      </c>
      <c r="AL585" s="729"/>
    </row>
    <row r="586" spans="1:38" ht="5.15" customHeight="1" x14ac:dyDescent="0.25">
      <c r="A586" s="694"/>
      <c r="B586" s="298"/>
      <c r="C586" s="298"/>
      <c r="D586" s="298"/>
      <c r="E586" s="298"/>
      <c r="F586" s="298"/>
      <c r="G586" s="298"/>
      <c r="H586" s="298"/>
      <c r="I586" s="298"/>
      <c r="J586" s="298"/>
      <c r="K586" s="298"/>
      <c r="L586" s="298"/>
      <c r="M586" s="302"/>
      <c r="N586" s="302"/>
      <c r="O586" s="302"/>
      <c r="P586" s="302"/>
      <c r="Q586" s="729"/>
      <c r="R586" s="694"/>
      <c r="S586" s="729"/>
      <c r="T586" s="729"/>
      <c r="U586" s="694"/>
      <c r="V586" s="694"/>
      <c r="W586" s="694"/>
      <c r="X586" s="694"/>
      <c r="Y586" s="694"/>
      <c r="Z586" s="694"/>
      <c r="AA586" s="694"/>
      <c r="AB586" s="694"/>
      <c r="AC586" s="694"/>
      <c r="AD586" s="694"/>
      <c r="AE586" s="694"/>
      <c r="AF586" s="694"/>
      <c r="AG586" s="694"/>
      <c r="AH586" s="694"/>
      <c r="AI586" s="694"/>
      <c r="AJ586" s="694"/>
      <c r="AK586" s="694"/>
      <c r="AL586" s="694"/>
    </row>
    <row r="587" spans="1:38" ht="13" x14ac:dyDescent="0.25">
      <c r="A587" s="694"/>
      <c r="B587" s="298"/>
      <c r="C587" s="298"/>
      <c r="D587" s="360" t="s">
        <v>18</v>
      </c>
      <c r="E587" s="2226" t="str">
        <f>Translations!$B$480</f>
        <v>Специални изисквания за докладване:</v>
      </c>
      <c r="F587" s="2226"/>
      <c r="G587" s="2317"/>
      <c r="H587" s="2858" t="str">
        <f>IF(I575="","",HYPERLINK(INDEX(EUconst_BMlistSpecialJumpTable,MATCH(I575,EUconst_BMlistNames,0)),INDEX(EUconst_BMlistSpecialReporting,MATCH(I575,EUconst_BMlistNames,0))))</f>
        <v/>
      </c>
      <c r="I587" s="2863"/>
      <c r="J587" s="2863"/>
      <c r="K587" s="2863"/>
      <c r="L587" s="2863"/>
      <c r="M587" s="2863"/>
      <c r="N587" s="2864"/>
      <c r="O587" s="302"/>
      <c r="P587" s="302"/>
      <c r="Q587" s="1174" t="s">
        <v>119</v>
      </c>
      <c r="R587" s="982" t="str">
        <f>IF(I575="","",IF(AND(INDEX(EUconst_BMlistSpecialJumpTable,MATCH(I575,EUconst_BMlistNames,0))&lt;&gt;"",INDEX(EUconst_BMlistMainNumberOfBM,MATCH(I575,EUconst_BMlistNames,0))&lt;&gt;47),TRUE,FALSE))</f>
        <v/>
      </c>
      <c r="S587" s="729"/>
      <c r="T587" s="729"/>
      <c r="U587" s="694"/>
      <c r="V587" s="694"/>
      <c r="W587" s="694"/>
      <c r="X587" s="694"/>
      <c r="Y587" s="694"/>
      <c r="Z587" s="694"/>
      <c r="AA587" s="694"/>
      <c r="AB587" s="694"/>
      <c r="AC587" s="694"/>
      <c r="AD587" s="694"/>
      <c r="AE587" s="694"/>
      <c r="AF587" s="694"/>
      <c r="AG587" s="694"/>
      <c r="AH587" s="694"/>
      <c r="AI587" s="694"/>
      <c r="AJ587" s="694"/>
      <c r="AK587" s="694"/>
      <c r="AL587" s="694"/>
    </row>
    <row r="588" spans="1:38" x14ac:dyDescent="0.25">
      <c r="A588" s="694"/>
      <c r="B588" s="298"/>
      <c r="C588" s="298"/>
      <c r="D588" s="302"/>
      <c r="E588" s="2358" t="str">
        <f>Translations!$B$481</f>
        <v>При някои продуктови показатели се изисква да се отчита специфична информация (напр. стойности на приведени по CO2 тонове (CWT)). Ако е приложимо, тук ще се покаже автоматично съобщение.</v>
      </c>
      <c r="F588" s="2249"/>
      <c r="G588" s="2249"/>
      <c r="H588" s="2249"/>
      <c r="I588" s="2249"/>
      <c r="J588" s="2249"/>
      <c r="K588" s="2249"/>
      <c r="L588" s="2249"/>
      <c r="M588" s="2249"/>
      <c r="N588" s="2249"/>
      <c r="O588" s="302"/>
      <c r="P588" s="302"/>
      <c r="Q588" s="729"/>
      <c r="R588" s="694"/>
      <c r="S588" s="729"/>
      <c r="T588" s="729"/>
      <c r="U588" s="694"/>
      <c r="V588" s="694"/>
      <c r="W588" s="694"/>
      <c r="X588" s="694"/>
      <c r="Y588" s="694"/>
      <c r="Z588" s="694"/>
      <c r="AA588" s="694"/>
      <c r="AB588" s="694"/>
      <c r="AC588" s="694"/>
      <c r="AD588" s="694"/>
      <c r="AE588" s="694"/>
      <c r="AF588" s="694"/>
      <c r="AG588" s="694"/>
      <c r="AH588" s="694"/>
      <c r="AI588" s="694"/>
      <c r="AJ588" s="694"/>
      <c r="AK588" s="694"/>
      <c r="AL588" s="694"/>
    </row>
    <row r="589" spans="1:38" ht="5.15" customHeight="1" x14ac:dyDescent="0.25">
      <c r="A589" s="694"/>
      <c r="B589" s="298"/>
      <c r="C589" s="298"/>
      <c r="D589" s="302"/>
      <c r="E589" s="302"/>
      <c r="F589" s="302"/>
      <c r="G589" s="302"/>
      <c r="H589" s="302"/>
      <c r="I589" s="302"/>
      <c r="J589" s="302"/>
      <c r="K589" s="302"/>
      <c r="L589" s="302"/>
      <c r="M589" s="302"/>
      <c r="N589" s="302"/>
      <c r="O589" s="302"/>
      <c r="P589" s="302"/>
      <c r="Q589" s="729"/>
      <c r="R589" s="694"/>
      <c r="S589" s="729"/>
      <c r="T589" s="729"/>
      <c r="U589" s="694"/>
      <c r="V589" s="694"/>
      <c r="W589" s="694"/>
      <c r="X589" s="694"/>
      <c r="Y589" s="694"/>
      <c r="Z589" s="729"/>
      <c r="AA589" s="694"/>
      <c r="AB589" s="694"/>
      <c r="AC589" s="694"/>
      <c r="AD589" s="694"/>
      <c r="AE589" s="694"/>
      <c r="AF589" s="694"/>
      <c r="AG589" s="694"/>
      <c r="AH589" s="694"/>
      <c r="AI589" s="694"/>
      <c r="AJ589" s="694"/>
      <c r="AK589" s="694"/>
      <c r="AL589" s="729"/>
    </row>
    <row r="590" spans="1:38" ht="12.75" customHeight="1" x14ac:dyDescent="0.25">
      <c r="A590" s="694"/>
      <c r="B590" s="298"/>
      <c r="C590" s="298"/>
      <c r="D590" s="300" t="s">
        <v>901</v>
      </c>
      <c r="E590" s="2226" t="str">
        <f>Translations!$B$1316</f>
        <v>Определяне на корекции на равнището на дейност</v>
      </c>
      <c r="F590" s="2249"/>
      <c r="G590" s="2249"/>
      <c r="H590" s="2249"/>
      <c r="I590" s="2249"/>
      <c r="J590" s="2249"/>
      <c r="K590" s="2249"/>
      <c r="L590" s="2249"/>
      <c r="M590" s="2249"/>
      <c r="N590" s="2249"/>
      <c r="O590" s="302"/>
      <c r="P590" s="302"/>
      <c r="Q590" s="729"/>
      <c r="R590" s="694"/>
      <c r="S590" s="729"/>
      <c r="T590" s="729"/>
      <c r="U590" s="694"/>
      <c r="V590" s="694"/>
      <c r="W590" s="694"/>
      <c r="X590" s="694"/>
      <c r="Y590" s="694"/>
      <c r="Z590" s="729"/>
      <c r="AA590" s="694"/>
      <c r="AB590" s="694"/>
      <c r="AC590" s="694"/>
      <c r="AD590" s="694"/>
      <c r="AE590" s="694"/>
      <c r="AF590" s="694"/>
      <c r="AG590" s="694"/>
      <c r="AH590" s="694"/>
      <c r="AI590" s="694"/>
      <c r="AJ590" s="694"/>
      <c r="AK590" s="694"/>
      <c r="AL590" s="729"/>
    </row>
    <row r="591" spans="1:38" ht="12.75" customHeight="1" x14ac:dyDescent="0.25">
      <c r="A591" s="694"/>
      <c r="B591" s="298"/>
      <c r="C591" s="298"/>
      <c r="D591" s="302"/>
      <c r="E591" s="2358" t="str">
        <f>Translations!$B$1317</f>
        <v>Историческото равнище на дейността (HAL) ще бъде определено автоматично за данните по буква а) по-горе и данните в лист „B+C_SubInstallations“ („B+C_Подинсталации“). За нови подинсталации HAL ще бъде показано в v. на базата на първата пълна година на експлоатация.</v>
      </c>
      <c r="F591" s="2249"/>
      <c r="G591" s="2249"/>
      <c r="H591" s="2249"/>
      <c r="I591" s="2249"/>
      <c r="J591" s="2249"/>
      <c r="K591" s="2249"/>
      <c r="L591" s="2249"/>
      <c r="M591" s="2249"/>
      <c r="N591" s="2249"/>
      <c r="O591" s="302"/>
      <c r="P591" s="302"/>
      <c r="Q591" s="729"/>
      <c r="R591" s="694"/>
      <c r="S591" s="729"/>
      <c r="T591" s="729"/>
      <c r="U591" s="729"/>
      <c r="V591" s="694"/>
      <c r="W591" s="694"/>
      <c r="X591" s="694"/>
      <c r="Y591" s="694"/>
      <c r="Z591" s="694"/>
      <c r="AA591" s="694"/>
      <c r="AB591" s="694"/>
      <c r="AC591" s="694"/>
      <c r="AD591" s="694"/>
      <c r="AE591" s="694"/>
      <c r="AF591" s="694"/>
      <c r="AG591" s="694"/>
      <c r="AH591" s="694"/>
      <c r="AI591" s="694"/>
      <c r="AJ591" s="694"/>
      <c r="AK591" s="694"/>
      <c r="AL591" s="694"/>
    </row>
    <row r="592" spans="1:38" ht="25.5" customHeight="1" x14ac:dyDescent="0.25">
      <c r="A592" s="694"/>
      <c r="B592" s="298"/>
      <c r="C592" s="298"/>
      <c r="D592" s="302"/>
      <c r="E592" s="2358" t="str">
        <f>Translations!$B$1318</f>
        <v>На базата на стойностите на HAL и данните, въведени в буква а) по-горе, тук се определят средните равнища на дейност. Разпределението ще бъде променено само ако са надвишени всички долуизброени прагове по член 5 от Регламента за ALC:</v>
      </c>
      <c r="F592" s="2249"/>
      <c r="G592" s="2249"/>
      <c r="H592" s="2249"/>
      <c r="I592" s="2249"/>
      <c r="J592" s="2249"/>
      <c r="K592" s="2249"/>
      <c r="L592" s="2249"/>
      <c r="M592" s="2249"/>
      <c r="N592" s="2249"/>
      <c r="O592" s="302"/>
      <c r="P592" s="302"/>
      <c r="Q592" s="729"/>
      <c r="R592" s="694"/>
      <c r="S592" s="729"/>
      <c r="T592" s="729"/>
      <c r="U592" s="729"/>
      <c r="V592" s="694"/>
      <c r="W592" s="694"/>
      <c r="X592" s="694"/>
      <c r="Y592" s="694"/>
      <c r="Z592" s="694"/>
      <c r="AA592" s="694"/>
      <c r="AB592" s="694"/>
      <c r="AC592" s="694"/>
      <c r="AD592" s="694"/>
      <c r="AE592" s="694"/>
      <c r="AF592" s="694"/>
      <c r="AG592" s="694"/>
      <c r="AH592" s="694"/>
      <c r="AI592" s="694"/>
      <c r="AJ592" s="694"/>
      <c r="AK592" s="694"/>
      <c r="AL592" s="694"/>
    </row>
    <row r="593" spans="1:38" ht="12.75" customHeight="1" x14ac:dyDescent="0.25">
      <c r="A593" s="694"/>
      <c r="B593" s="298"/>
      <c r="C593" s="298"/>
      <c r="D593" s="302"/>
      <c r="E593" s="1191" t="s">
        <v>1052</v>
      </c>
      <c r="F593" s="2358" t="str">
        <f>Translations!$B$1319</f>
        <v>относителните прагове (15 % и 5 % за последващи промени) за средното равнище на дейност в сравнение с HAL</v>
      </c>
      <c r="G593" s="2861"/>
      <c r="H593" s="2861"/>
      <c r="I593" s="2861"/>
      <c r="J593" s="2861"/>
      <c r="K593" s="2861"/>
      <c r="L593" s="2861"/>
      <c r="M593" s="2861"/>
      <c r="N593" s="2861"/>
      <c r="O593" s="302"/>
      <c r="P593" s="302"/>
      <c r="Q593" s="729"/>
      <c r="R593" s="694"/>
      <c r="S593" s="729"/>
      <c r="T593" s="729"/>
      <c r="U593" s="729"/>
      <c r="V593" s="694"/>
      <c r="W593" s="694"/>
      <c r="X593" s="694"/>
      <c r="Y593" s="694"/>
      <c r="Z593" s="694"/>
      <c r="AA593" s="694"/>
      <c r="AB593" s="694"/>
      <c r="AC593" s="694"/>
      <c r="AD593" s="694"/>
      <c r="AE593" s="694"/>
      <c r="AF593" s="694"/>
      <c r="AG593" s="694"/>
      <c r="AH593" s="694"/>
      <c r="AI593" s="694"/>
      <c r="AJ593" s="694"/>
      <c r="AK593" s="694"/>
      <c r="AL593" s="694"/>
    </row>
    <row r="594" spans="1:38" ht="12.75" customHeight="1" thickBot="1" x14ac:dyDescent="0.3">
      <c r="A594" s="694"/>
      <c r="B594" s="298"/>
      <c r="C594" s="298"/>
      <c r="D594" s="302"/>
      <c r="E594" s="1191" t="s">
        <v>1052</v>
      </c>
      <c r="F594" s="2358" t="str">
        <f>Translations!$B$1514</f>
        <v>абсолютния праг, т.е. промяната би довела до разлика в предварителното разпределение от най-малко 300 квоти</v>
      </c>
      <c r="G594" s="2861"/>
      <c r="H594" s="2861"/>
      <c r="I594" s="2861"/>
      <c r="J594" s="2861"/>
      <c r="K594" s="2861"/>
      <c r="L594" s="2861"/>
      <c r="M594" s="2861"/>
      <c r="N594" s="2861"/>
      <c r="O594" s="302"/>
      <c r="P594" s="302"/>
      <c r="Q594" s="729"/>
      <c r="R594" s="694"/>
      <c r="S594" s="729"/>
      <c r="T594" s="729"/>
      <c r="U594" s="729"/>
      <c r="V594" s="694"/>
      <c r="W594" s="694"/>
      <c r="X594" s="694"/>
      <c r="Y594" s="694"/>
      <c r="Z594" s="694"/>
      <c r="AA594" s="694"/>
      <c r="AB594" s="694"/>
      <c r="AC594" s="694"/>
      <c r="AD594" s="694"/>
      <c r="AE594" s="694"/>
      <c r="AF594" s="694"/>
      <c r="AG594" s="694"/>
      <c r="AH594" s="694"/>
      <c r="AI594" s="694"/>
      <c r="AJ594" s="694"/>
      <c r="AK594" s="694"/>
      <c r="AL594" s="694"/>
    </row>
    <row r="595" spans="1:38" ht="5.15" customHeight="1" thickBot="1" x14ac:dyDescent="0.3">
      <c r="A595" s="694"/>
      <c r="B595" s="298"/>
      <c r="C595" s="298"/>
      <c r="D595" s="1192"/>
      <c r="E595" s="1193"/>
      <c r="F595" s="1194"/>
      <c r="G595" s="1195"/>
      <c r="H595" s="1195"/>
      <c r="I595" s="1195"/>
      <c r="J595" s="1195"/>
      <c r="K595" s="1195"/>
      <c r="L595" s="1195"/>
      <c r="M595" s="1195"/>
      <c r="N595" s="1196"/>
      <c r="O595" s="302"/>
      <c r="P595" s="302"/>
      <c r="Q595" s="729"/>
      <c r="R595" s="694"/>
      <c r="S595" s="729"/>
      <c r="T595" s="729"/>
      <c r="U595" s="729"/>
      <c r="V595" s="694"/>
      <c r="W595" s="694"/>
      <c r="X595" s="694"/>
      <c r="Y595" s="694"/>
      <c r="Z595" s="694"/>
      <c r="AA595" s="694"/>
      <c r="AB595" s="694"/>
      <c r="AC595" s="694"/>
      <c r="AD595" s="694"/>
      <c r="AE595" s="694"/>
      <c r="AF595" s="694"/>
      <c r="AG595" s="694"/>
      <c r="AH595" s="694"/>
      <c r="AI595" s="694"/>
      <c r="AJ595" s="694"/>
      <c r="AK595" s="694"/>
      <c r="AL595" s="694"/>
    </row>
    <row r="596" spans="1:38" ht="12.75" customHeight="1" x14ac:dyDescent="0.25">
      <c r="A596" s="694"/>
      <c r="B596" s="298"/>
      <c r="C596" s="298"/>
      <c r="D596" s="1197"/>
      <c r="E596" s="1198" t="str">
        <f>Translations!$B$1196</f>
        <v>Корекции</v>
      </c>
      <c r="F596" s="1199"/>
      <c r="G596" s="1199"/>
      <c r="H596" s="1200" t="str">
        <f>EUconst_Unit</f>
        <v>Единица мярка</v>
      </c>
      <c r="I596" s="1201" t="str">
        <f>Translations!$B$1320</f>
        <v>(НМИ) HAL</v>
      </c>
      <c r="J596" s="1202">
        <f>J$2831</f>
        <v>2026</v>
      </c>
      <c r="K596" s="1203">
        <f>K$2831</f>
        <v>2027</v>
      </c>
      <c r="L596" s="1203">
        <f>L$2831</f>
        <v>2028</v>
      </c>
      <c r="M596" s="1203">
        <f>M$2831</f>
        <v>2029</v>
      </c>
      <c r="N596" s="1204">
        <f>N$2831</f>
        <v>2030</v>
      </c>
      <c r="O596" s="302"/>
      <c r="P596" s="302"/>
      <c r="Q596" s="729"/>
      <c r="R596" s="694"/>
      <c r="S596" s="694"/>
      <c r="T596" s="694"/>
      <c r="U596" s="1205"/>
      <c r="V596" s="1206">
        <f>J596</f>
        <v>2026</v>
      </c>
      <c r="W596" s="1206">
        <f>K596</f>
        <v>2027</v>
      </c>
      <c r="X596" s="1206">
        <f>L596</f>
        <v>2028</v>
      </c>
      <c r="Y596" s="1206">
        <f>M596</f>
        <v>2029</v>
      </c>
      <c r="Z596" s="1207">
        <f>N596</f>
        <v>2030</v>
      </c>
      <c r="AA596" s="694"/>
      <c r="AB596" s="694"/>
      <c r="AC596" s="694"/>
      <c r="AD596" s="694"/>
      <c r="AE596" s="694"/>
      <c r="AF596" s="694"/>
      <c r="AG596" s="694"/>
      <c r="AH596" s="694"/>
      <c r="AI596" s="694"/>
      <c r="AJ596" s="694"/>
      <c r="AK596" s="694"/>
      <c r="AL596" s="694"/>
    </row>
    <row r="597" spans="1:38" ht="12.75" customHeight="1" x14ac:dyDescent="0.25">
      <c r="A597" s="694"/>
      <c r="B597" s="298"/>
      <c r="C597" s="298"/>
      <c r="D597" s="1208" t="s">
        <v>6</v>
      </c>
      <c r="E597" s="1209" t="str">
        <f>Translations!$B$1321</f>
        <v>Средно годишно равнище на дейност (стойност в НМИ)</v>
      </c>
      <c r="F597" s="1209"/>
      <c r="G597" s="1209"/>
      <c r="H597" s="1210" t="str">
        <f>IF(INDEX(CNTR_SubInstListIsProdBM,$C575),INDEX(CNTR_SubInstListHALUnit,$C575),EUconst_Tons)</f>
        <v>тона</v>
      </c>
      <c r="I597" s="1211" t="str">
        <f>IF(V575&gt;($J$2831-3),EUconst_NA,INDEX('B+C_SubInstallations'!$I:$I,MATCH(Q597,'B+C_SubInstallations'!$T:$T,0)))</f>
        <v/>
      </c>
      <c r="J597" s="1212" t="str">
        <f>IF(AND(V597&gt;=3,CNTR_ReportingYear&gt;J596-1),AVERAGE(H585:I585),"")</f>
        <v/>
      </c>
      <c r="K597" s="1213" t="str">
        <f>IF(AND(W597&gt;=3,CNTR_ReportingYear&gt;K596-1),AVERAGE(I585:J585),"")</f>
        <v/>
      </c>
      <c r="L597" s="1213" t="str">
        <f>IF(AND(X597&gt;=3,CNTR_ReportingYear&gt;L596-1),AVERAGE(J585:K585),"")</f>
        <v/>
      </c>
      <c r="M597" s="1213" t="str">
        <f>IF(AND(Y597&gt;=3,CNTR_ReportingYear&gt;M596-1),AVERAGE(K585:L585),"")</f>
        <v/>
      </c>
      <c r="N597" s="1214" t="str">
        <f>IF(AND(Z597&gt;=3,CNTR_ReportingYear&gt;N596-1),AVERAGE(L585:M585),"")</f>
        <v/>
      </c>
      <c r="O597" s="302"/>
      <c r="P597" s="302"/>
      <c r="Q597" s="1182" t="str">
        <f>EUconst_CNTR_HALinitial&amp;I575</f>
        <v>HALini_</v>
      </c>
      <c r="R597" s="694"/>
      <c r="S597" s="694"/>
      <c r="T597" s="694"/>
      <c r="U597" s="1215" t="s">
        <v>1710</v>
      </c>
      <c r="V597" s="1176">
        <f>IF($I575="",0,V596-$V575+1)</f>
        <v>0</v>
      </c>
      <c r="W597" s="1176">
        <f>IF($I575="",0,W596-$V575+1)</f>
        <v>0</v>
      </c>
      <c r="X597" s="1176">
        <f>IF($I575="",0,X596-$V575+1)</f>
        <v>0</v>
      </c>
      <c r="Y597" s="1176">
        <f>IF($I575="",0,Y596-$V575+1)</f>
        <v>0</v>
      </c>
      <c r="Z597" s="1216">
        <f>IF($I575="",0,Z596-$V575+1)</f>
        <v>0</v>
      </c>
      <c r="AA597" s="694"/>
      <c r="AB597" s="694"/>
      <c r="AC597" s="694"/>
      <c r="AD597" s="694"/>
      <c r="AE597" s="694"/>
      <c r="AF597" s="694"/>
      <c r="AG597" s="694"/>
      <c r="AH597" s="694"/>
      <c r="AI597" s="694"/>
      <c r="AJ597" s="694"/>
      <c r="AK597" s="694"/>
      <c r="AL597" s="694"/>
    </row>
    <row r="598" spans="1:38" ht="12.75" hidden="1" customHeight="1" x14ac:dyDescent="0.25">
      <c r="A598" s="729" t="s">
        <v>312</v>
      </c>
      <c r="B598" s="298"/>
      <c r="C598" s="298"/>
      <c r="D598" s="1217"/>
      <c r="E598" s="1218" t="str">
        <f>Translations!$B$1376</f>
        <v>Промяна в сравнение с HAL</v>
      </c>
      <c r="F598" s="1218"/>
      <c r="G598" s="1218"/>
      <c r="H598" s="1219"/>
      <c r="I598" s="1220"/>
      <c r="J598" s="103" t="str">
        <f>IF(J597="","",IF($I600=0,IF(J597=0,0%,100%),J597/$I600-1))</f>
        <v/>
      </c>
      <c r="K598" s="100" t="str">
        <f>IF(K597="","",IF($I600=0,IF(K597=0,0%,100%),K597/$I600-1))</f>
        <v/>
      </c>
      <c r="L598" s="100" t="str">
        <f>IF(L597="","",IF($I600=0,IF(L597=0,0%,100%),L597/$I600-1))</f>
        <v/>
      </c>
      <c r="M598" s="100" t="str">
        <f>IF(M597="","",IF($I600=0,IF(M597=0,0%,100%),M597/$I600-1))</f>
        <v/>
      </c>
      <c r="N598" s="122" t="str">
        <f>IF(N597="","",IF($I600=0,IF(N597=0,0%,100%),N597/$I600-1))</f>
        <v/>
      </c>
      <c r="O598" s="302"/>
      <c r="P598" s="302"/>
      <c r="Q598" s="1190" t="str">
        <f>EUconst_CNTR_RelThreshold &amp; Q600</f>
        <v>RelThresh_HALprelim_</v>
      </c>
      <c r="R598" s="694"/>
      <c r="S598" s="694"/>
      <c r="T598" s="694"/>
      <c r="U598" s="1215" t="s">
        <v>1715</v>
      </c>
      <c r="V598" s="727" t="str">
        <f>IF(J597="","",ABS(J598)&gt;15%)</f>
        <v/>
      </c>
      <c r="W598" s="727" t="str">
        <f>IF(K597="","",ABS(K598)&gt;15%)</f>
        <v/>
      </c>
      <c r="X598" s="727" t="str">
        <f>IF(L597="","",ABS(L598)&gt;15%)</f>
        <v/>
      </c>
      <c r="Y598" s="727" t="str">
        <f>IF(M597="","",ABS(M598)&gt;15%)</f>
        <v/>
      </c>
      <c r="Z598" s="1221" t="str">
        <f>IF(N597="","",ABS(N598)&gt;15%)</f>
        <v/>
      </c>
      <c r="AA598" s="694"/>
      <c r="AB598" s="694"/>
      <c r="AC598" s="694"/>
      <c r="AD598" s="694"/>
      <c r="AE598" s="694"/>
      <c r="AF598" s="694"/>
      <c r="AG598" s="694"/>
      <c r="AH598" s="694"/>
      <c r="AI598" s="694"/>
      <c r="AJ598" s="694"/>
      <c r="AK598" s="694"/>
      <c r="AL598" s="729"/>
    </row>
    <row r="599" spans="1:38" ht="12.75" customHeight="1" x14ac:dyDescent="0.25">
      <c r="A599" s="729"/>
      <c r="B599" s="298"/>
      <c r="C599" s="298"/>
      <c r="D599" s="1208" t="s">
        <v>7</v>
      </c>
      <c r="E599" s="1209" t="str">
        <f>Translations!$B$1322</f>
        <v>Предварителна корекция (ако са надвишени относителните прагове)</v>
      </c>
      <c r="F599" s="1209"/>
      <c r="G599" s="1209"/>
      <c r="H599" s="1222"/>
      <c r="I599" s="1223"/>
      <c r="J599" s="1224" t="str">
        <f>IF(J597="","",IF(V598=FALSE,0%,IF(V599,J598,I605)))</f>
        <v/>
      </c>
      <c r="K599" s="1225" t="str">
        <f>IF(K597="","",IF(W598=FALSE,0%,IF(W599,K598,J605)))</f>
        <v/>
      </c>
      <c r="L599" s="1225" t="str">
        <f>IF(L597="","",IF(X598=FALSE,0%,IF(X599,L598,K605)))</f>
        <v/>
      </c>
      <c r="M599" s="1225" t="str">
        <f>IF(M597="","",IF(Y598=FALSE,0%,IF(Y599,M598,L605)))</f>
        <v/>
      </c>
      <c r="N599" s="1226" t="str">
        <f>IF(N597="","",IF(Z598=FALSE,0%,IF(Z599,N598,M605)))</f>
        <v/>
      </c>
      <c r="O599" s="302"/>
      <c r="P599" s="302"/>
      <c r="Q599" s="694"/>
      <c r="R599" s="694"/>
      <c r="S599" s="694"/>
      <c r="T599" s="694"/>
      <c r="U599" s="1215" t="s">
        <v>1716</v>
      </c>
      <c r="V599" s="727" t="str">
        <f>IF(J597="","",AND(V598,IF(SUM(I605)&lt;0,OR(SUM(J598)&lt;SUM(I605)-MOD(SUM(I605),5%),J598&gt;=SUM(I605)+5%-MOD(SUM(I605),5%)),OR(SUM(J598)&lt;=SUM(I605)-MOD(SUM(I605),5%),SUM(J598)&gt;SUM(I605)+5%-MOD(SUM(I605),5%)))))</f>
        <v/>
      </c>
      <c r="W599" s="727" t="str">
        <f>IF(K597="","",AND(W598,IF(SUM(J605)&lt;0,OR(SUM(K598)&lt;SUM(J605)-MOD(SUM(J605),5%),K598&gt;=SUM(J605)+5%-MOD(SUM(J605),5%)),OR(SUM(K598)&lt;=SUM(J605)-MOD(SUM(J605),5%),SUM(K598)&gt;SUM(J605)+5%-MOD(SUM(J605),5%)))))</f>
        <v/>
      </c>
      <c r="X599" s="727" t="str">
        <f>IF(L597="","",AND(X598,IF(SUM(K605)&lt;0,OR(SUM(L598)&lt;SUM(K605)-MOD(SUM(K605),5%),L598&gt;=SUM(K605)+5%-MOD(SUM(K605),5%)),OR(SUM(L598)&lt;=SUM(K605)-MOD(SUM(K605),5%),SUM(L598)&gt;SUM(K605)+5%-MOD(SUM(K605),5%)))))</f>
        <v/>
      </c>
      <c r="Y599" s="727" t="str">
        <f>IF(M597="","",AND(Y598,IF(SUM(L605)&lt;0,OR(SUM(M598)&lt;SUM(L605)-MOD(SUM(L605),5%),M598&gt;=SUM(L605)+5%-MOD(SUM(L605),5%)),OR(SUM(M598)&lt;=SUM(L605)-MOD(SUM(L605),5%),SUM(M598)&gt;SUM(L605)+5%-MOD(SUM(L605),5%)))))</f>
        <v/>
      </c>
      <c r="Z599" s="1221" t="str">
        <f>IF(N597="","",AND(Z598,IF(SUM(M605)&lt;0,OR(SUM(N598)&lt;SUM(M605)-MOD(SUM(M605),5%),N598&gt;=SUM(M605)+5%-MOD(SUM(M605),5%)),OR(SUM(N598)&lt;=SUM(M605)-MOD(SUM(M605),5%),SUM(N598)&gt;SUM(M605)+5%-MOD(SUM(M605),5%)))))</f>
        <v/>
      </c>
      <c r="AA599" s="694"/>
      <c r="AB599" s="694"/>
      <c r="AC599" s="694"/>
      <c r="AD599" s="694"/>
      <c r="AE599" s="694"/>
      <c r="AF599" s="694"/>
      <c r="AG599" s="694"/>
      <c r="AH599" s="694"/>
      <c r="AI599" s="694"/>
      <c r="AJ599" s="694"/>
      <c r="AK599" s="694"/>
      <c r="AL599" s="729"/>
    </row>
    <row r="600" spans="1:38" ht="12.75" hidden="1" customHeight="1" x14ac:dyDescent="0.25">
      <c r="A600" s="729" t="s">
        <v>312</v>
      </c>
      <c r="B600" s="298"/>
      <c r="C600" s="298"/>
      <c r="D600" s="1217"/>
      <c r="E600" s="1209" t="str">
        <f>Translations!$B$1377</f>
        <v>Предварителна стойност</v>
      </c>
      <c r="F600" s="1209"/>
      <c r="G600" s="1209"/>
      <c r="H600" s="1210" t="str">
        <f>H597</f>
        <v>тона</v>
      </c>
      <c r="I600" s="1211" t="str">
        <f>IF(I575="","",IF(AB575=FALSE,EUconst_NA,IF(V575&gt;($J$2831-3),INDEX(H585:N585,MATCH(V575,H582:N582,0)),SUM(I597))))</f>
        <v/>
      </c>
      <c r="J600" s="1212" t="str">
        <f>IF($I575="","",IF(V597&lt;2,SUM(J585),IF(V597&lt;3,SUM(I585),IF(V600="",I600,V600))))</f>
        <v/>
      </c>
      <c r="K600" s="1213" t="str">
        <f>IF($I575="","",IF(W597&lt;2,SUM(K585),IF(W597&lt;3,SUM(J585),IF(W600="",J600,W600))))</f>
        <v/>
      </c>
      <c r="L600" s="1213" t="str">
        <f>IF($I575="","",IF(X597&lt;2,SUM(L585),IF(X597&lt;3,SUM(K585),IF(X600="",K600,X600))))</f>
        <v/>
      </c>
      <c r="M600" s="1213" t="str">
        <f>IF($I575="","",IF(Y597&lt;2,SUM(M585),IF(Y597&lt;3,SUM(L585),IF(Y600="",L600,Y600))))</f>
        <v/>
      </c>
      <c r="N600" s="1214" t="str">
        <f>IF($I575="","",IF(Z597&lt;2,SUM(N585),IF(Z597&lt;3,SUM(M585),IF(Z600="",M600,Z600))))</f>
        <v/>
      </c>
      <c r="O600" s="302"/>
      <c r="P600" s="302"/>
      <c r="Q600" s="1182" t="str">
        <f>EUconst_CNTR_HALprelim&amp;I575</f>
        <v>HALprelim_</v>
      </c>
      <c r="R600" s="694"/>
      <c r="S600" s="694"/>
      <c r="T600" s="694"/>
      <c r="U600" s="1215" t="s">
        <v>1756</v>
      </c>
      <c r="V600" s="1227" t="str">
        <f>IF(J597="","",IF(CNTR_ReportingYear&lt;J596,I599,IF($I600=0,J597,$I600*(1+J599))))</f>
        <v/>
      </c>
      <c r="W600" s="1227" t="str">
        <f>IF(K597="","",IF(CNTR_ReportingYear&lt;K596,J599,IF($I600=0,K597,$I600*(1+K599))))</f>
        <v/>
      </c>
      <c r="X600" s="1227" t="str">
        <f>IF(L597="","",IF(CNTR_ReportingYear&lt;L596,K599,IF($I600=0,L597,$I600*(1+L599))))</f>
        <v/>
      </c>
      <c r="Y600" s="1227" t="str">
        <f>IF(M597="","",IF(CNTR_ReportingYear&lt;M596,L599,IF($I600=0,M597,$I600*(1+M599))))</f>
        <v/>
      </c>
      <c r="Z600" s="1228" t="str">
        <f>IF(N597="","",IF(CNTR_ReportingYear&lt;N596,M599,IF($I600=0,N597,$I600*(1+N599))))</f>
        <v/>
      </c>
      <c r="AA600" s="694"/>
      <c r="AB600" s="694"/>
      <c r="AC600" s="694"/>
      <c r="AD600" s="694"/>
      <c r="AE600" s="694"/>
      <c r="AF600" s="694"/>
      <c r="AG600" s="694"/>
      <c r="AH600" s="694"/>
      <c r="AI600" s="694"/>
      <c r="AJ600" s="694"/>
      <c r="AK600" s="694"/>
      <c r="AL600" s="729"/>
    </row>
    <row r="601" spans="1:38" ht="5.15" customHeight="1" x14ac:dyDescent="0.25">
      <c r="A601" s="729"/>
      <c r="B601" s="298"/>
      <c r="C601" s="298"/>
      <c r="D601" s="1217"/>
      <c r="E601" s="1199"/>
      <c r="F601" s="1199"/>
      <c r="G601" s="1199"/>
      <c r="H601" s="1199"/>
      <c r="I601" s="1199"/>
      <c r="J601" s="1229"/>
      <c r="K601" s="1229"/>
      <c r="L601" s="1229"/>
      <c r="M601" s="1229"/>
      <c r="N601" s="1230"/>
      <c r="O601" s="302"/>
      <c r="P601" s="302"/>
      <c r="Q601" s="729"/>
      <c r="R601" s="694"/>
      <c r="S601" s="694"/>
      <c r="T601" s="694"/>
      <c r="U601" s="1231"/>
      <c r="V601" s="729"/>
      <c r="W601" s="694"/>
      <c r="X601" s="694"/>
      <c r="Y601" s="694"/>
      <c r="Z601" s="1232"/>
      <c r="AA601" s="694"/>
      <c r="AB601" s="694"/>
      <c r="AC601" s="694"/>
      <c r="AD601" s="694"/>
      <c r="AE601" s="694"/>
      <c r="AF601" s="694"/>
      <c r="AG601" s="694"/>
      <c r="AH601" s="694"/>
      <c r="AI601" s="694"/>
      <c r="AJ601" s="694"/>
      <c r="AK601" s="694"/>
      <c r="AL601" s="729"/>
    </row>
    <row r="602" spans="1:38" ht="12.75" customHeight="1" x14ac:dyDescent="0.25">
      <c r="A602" s="729"/>
      <c r="B602" s="298"/>
      <c r="C602" s="298"/>
      <c r="D602" s="1217"/>
      <c r="E602" s="1233" t="str">
        <f>Translations!$B$1323</f>
        <v>Действителна корекция (база за следващи години)</v>
      </c>
      <c r="F602" s="1233"/>
      <c r="G602" s="1233"/>
      <c r="H602" s="1233"/>
      <c r="I602" s="1233"/>
      <c r="J602" s="1202">
        <f>J$2831</f>
        <v>2026</v>
      </c>
      <c r="K602" s="1203">
        <f>K$2831</f>
        <v>2027</v>
      </c>
      <c r="L602" s="1203">
        <f>L$2831</f>
        <v>2028</v>
      </c>
      <c r="M602" s="1203">
        <f>M$2831</f>
        <v>2029</v>
      </c>
      <c r="N602" s="1204">
        <f>N$2831</f>
        <v>2030</v>
      </c>
      <c r="O602" s="302"/>
      <c r="P602" s="302"/>
      <c r="Q602" s="729"/>
      <c r="R602" s="694"/>
      <c r="S602" s="694"/>
      <c r="T602" s="694"/>
      <c r="U602" s="1234"/>
      <c r="V602" s="213"/>
      <c r="W602" s="214" t="s">
        <v>2101</v>
      </c>
      <c r="X602" s="215" t="str">
        <f>IF(OR($X575=0,$X575=""),"",MIN(1,1-(DATE($Z575,12,31)-$X575)/(DATE($Z575,12,31)-DATE($Z575,1,1)+1)))</f>
        <v/>
      </c>
      <c r="Y602" s="1165"/>
      <c r="Z602" s="1235"/>
      <c r="AA602" s="694"/>
      <c r="AB602" s="694"/>
      <c r="AC602" s="694"/>
      <c r="AD602" s="694"/>
      <c r="AE602" s="694"/>
      <c r="AF602" s="694"/>
      <c r="AG602" s="694"/>
      <c r="AH602" s="694"/>
      <c r="AI602" s="694"/>
      <c r="AJ602" s="694"/>
      <c r="AK602" s="694"/>
      <c r="AL602" s="729"/>
    </row>
    <row r="603" spans="1:38" ht="12.75" customHeight="1" x14ac:dyDescent="0.25">
      <c r="A603" s="729"/>
      <c r="B603" s="298"/>
      <c r="C603" s="298"/>
      <c r="D603" s="1208" t="s">
        <v>8</v>
      </c>
      <c r="E603" s="1209" t="str">
        <f>Translations!$B$1515</f>
        <v>изпълнен ли е критерият за &gt;=300 квоти за емисии?</v>
      </c>
      <c r="F603" s="1209"/>
      <c r="G603" s="1209"/>
      <c r="H603" s="1209"/>
      <c r="I603" s="1209"/>
      <c r="J603" s="1236" t="str">
        <f>IF($I575="","",INDEX(K_Summary!J:J,MATCH($Q603,K_Summary!$P:$P,0)))</f>
        <v/>
      </c>
      <c r="K603" s="385" t="str">
        <f>IF($I575="","",INDEX(K_Summary!K:K,MATCH($Q603,K_Summary!$P:$P,0)))</f>
        <v/>
      </c>
      <c r="L603" s="385" t="str">
        <f>IF($I575="","",INDEX(K_Summary!L:L,MATCH($Q603,K_Summary!$P:$P,0)))</f>
        <v/>
      </c>
      <c r="M603" s="385" t="str">
        <f>IF($I575="","",INDEX(K_Summary!M:M,MATCH($Q603,K_Summary!$P:$P,0)))</f>
        <v/>
      </c>
      <c r="N603" s="1237" t="str">
        <f>IF($I575="","",INDEX(K_Summary!N:N,MATCH($Q603,K_Summary!$P:$P,0)))</f>
        <v/>
      </c>
      <c r="O603" s="302"/>
      <c r="P603" s="302"/>
      <c r="Q603" s="1182" t="str">
        <f>EUconst_CNTR_300EUA&amp;I575</f>
        <v>EUA300_</v>
      </c>
      <c r="R603" s="694"/>
      <c r="S603" s="694"/>
      <c r="T603" s="694"/>
      <c r="U603" s="1234"/>
      <c r="V603" s="216">
        <f>IF(V596=$Z575,$X602,1)</f>
        <v>1</v>
      </c>
      <c r="W603" s="216">
        <f>IF(W596=$Z575,$X602,1)</f>
        <v>1</v>
      </c>
      <c r="X603" s="216">
        <f>IF(X596=$Z575,$X602,1)</f>
        <v>1</v>
      </c>
      <c r="Y603" s="216">
        <f>IF(Y596=$Z575,$X602,1)</f>
        <v>1</v>
      </c>
      <c r="Z603" s="217">
        <f>IF(Z596=$Z575,$X602,1)</f>
        <v>1</v>
      </c>
      <c r="AA603" s="694"/>
      <c r="AB603" s="694"/>
      <c r="AC603" s="694"/>
      <c r="AD603" s="694"/>
      <c r="AE603" s="694"/>
      <c r="AF603" s="694"/>
      <c r="AG603" s="694"/>
      <c r="AH603" s="694"/>
      <c r="AI603" s="694"/>
      <c r="AJ603" s="694"/>
      <c r="AK603" s="694"/>
      <c r="AL603" s="729"/>
    </row>
    <row r="604" spans="1:38" ht="5.15" customHeight="1" thickBot="1" x14ac:dyDescent="0.3">
      <c r="A604" s="729"/>
      <c r="B604" s="298"/>
      <c r="C604" s="298"/>
      <c r="D604" s="1217"/>
      <c r="E604" s="1199"/>
      <c r="F604" s="1199"/>
      <c r="G604" s="1199"/>
      <c r="H604" s="1199"/>
      <c r="I604" s="1199"/>
      <c r="J604" s="1199"/>
      <c r="K604" s="1199"/>
      <c r="L604" s="1199"/>
      <c r="M604" s="1199"/>
      <c r="N604" s="1238"/>
      <c r="O604" s="302"/>
      <c r="P604" s="302"/>
      <c r="Q604" s="729"/>
      <c r="R604" s="694"/>
      <c r="S604" s="694"/>
      <c r="T604" s="694"/>
      <c r="U604" s="1231"/>
      <c r="V604" s="729"/>
      <c r="W604" s="694"/>
      <c r="X604" s="694"/>
      <c r="Y604" s="694"/>
      <c r="Z604" s="1232"/>
      <c r="AA604" s="694"/>
      <c r="AB604" s="694"/>
      <c r="AC604" s="694"/>
      <c r="AD604" s="694"/>
      <c r="AE604" s="694"/>
      <c r="AF604" s="694"/>
      <c r="AG604" s="694"/>
      <c r="AH604" s="694"/>
      <c r="AI604" s="694"/>
      <c r="AJ604" s="694"/>
      <c r="AK604" s="694"/>
      <c r="AL604" s="729"/>
    </row>
    <row r="605" spans="1:38" ht="12.75" customHeight="1" thickBot="1" x14ac:dyDescent="0.3">
      <c r="A605" s="694"/>
      <c r="B605" s="298"/>
      <c r="C605" s="298"/>
      <c r="D605" s="1208" t="s">
        <v>18</v>
      </c>
      <c r="E605" s="1209" t="str">
        <f>Translations!$B$1324</f>
        <v>Действителна корекция (ако са надвишени всички прагове)</v>
      </c>
      <c r="F605" s="1209"/>
      <c r="G605" s="1209"/>
      <c r="H605" s="1222"/>
      <c r="I605" s="1239"/>
      <c r="J605" s="1240" t="str">
        <f>IF(J603="","",IF(J596&gt;$Z575,-100%,IF(OR(J603,V597&lt;1),J599,I605)))</f>
        <v/>
      </c>
      <c r="K605" s="1241" t="str">
        <f>IF(K603="","",IF(K596&gt;$Z575,-100%,IF(OR(K603,W597&lt;1),K599,J605)))</f>
        <v/>
      </c>
      <c r="L605" s="1241" t="str">
        <f>IF(L603="","",IF(L596&gt;$Z575,-100%,IF(OR(L603,X597&lt;1),L599,K605)))</f>
        <v/>
      </c>
      <c r="M605" s="1241" t="str">
        <f>IF(M603="","",IF(M596&gt;$Z575,-100%,IF(OR(M603,Y597&lt;1),M599,L605)))</f>
        <v/>
      </c>
      <c r="N605" s="1242" t="str">
        <f>IF(N603="","",IF(N596&gt;$Z575,-100%,IF(OR(N603,Z597&lt;1),N599,M605)))</f>
        <v/>
      </c>
      <c r="O605" s="302"/>
      <c r="P605" s="710"/>
      <c r="Q605" s="1190" t="str">
        <f>EUconst_CNTR_HALAdjPct &amp; I575</f>
        <v>HALAdjPct_</v>
      </c>
      <c r="R605" s="694"/>
      <c r="S605" s="694"/>
      <c r="T605" s="694"/>
      <c r="U605" s="1231" t="s">
        <v>1718</v>
      </c>
      <c r="V605" s="1243">
        <f>J602</f>
        <v>2026</v>
      </c>
      <c r="W605" s="1243">
        <f>K602</f>
        <v>2027</v>
      </c>
      <c r="X605" s="1243">
        <f>L602</f>
        <v>2028</v>
      </c>
      <c r="Y605" s="1243">
        <f>M602</f>
        <v>2029</v>
      </c>
      <c r="Z605" s="1244">
        <f>N602</f>
        <v>2030</v>
      </c>
      <c r="AA605" s="694"/>
      <c r="AB605" s="694"/>
      <c r="AC605" s="694"/>
      <c r="AD605" s="694"/>
      <c r="AE605" s="694"/>
      <c r="AF605" s="694"/>
      <c r="AG605" s="694"/>
      <c r="AH605" s="694"/>
      <c r="AI605" s="694"/>
      <c r="AJ605" s="694"/>
      <c r="AK605" s="694"/>
      <c r="AL605" s="729"/>
    </row>
    <row r="606" spans="1:38" ht="12.75" customHeight="1" thickBot="1" x14ac:dyDescent="0.3">
      <c r="A606" s="729"/>
      <c r="B606" s="298"/>
      <c r="C606" s="298"/>
      <c r="D606" s="1208" t="s">
        <v>810</v>
      </c>
      <c r="E606" s="1209" t="str">
        <f>Translations!$B$1325</f>
        <v>Действителна стойност</v>
      </c>
      <c r="F606" s="1209"/>
      <c r="G606" s="1209"/>
      <c r="H606" s="1210" t="str">
        <f>H597</f>
        <v>тона</v>
      </c>
      <c r="I606" s="1211" t="str">
        <f>I600</f>
        <v/>
      </c>
      <c r="J606" s="632" t="str">
        <f>IF($I575="","",IF(OR($I606=0,J605="",$I606=EUconst_NA),IF(OR(J603=TRUE,J602&lt;=$V575),J600,SUM(I606)),$I606*(1+SUM(J605))))</f>
        <v/>
      </c>
      <c r="K606" s="633" t="str">
        <f>IF($I575="","",IF(OR($I606=0,K605="",$I606=EUconst_NA),IF(OR(K603=TRUE,K602&lt;=$V575),K600,SUM(J606)),$I606*(1+SUM(K605))))</f>
        <v/>
      </c>
      <c r="L606" s="633" t="str">
        <f>IF($I575="","",IF(OR($I606=0,L605="",$I606=EUconst_NA),IF(OR(L603=TRUE,L602&lt;=$V575),L600,SUM(K606)),$I606*(1+SUM(L605))))</f>
        <v/>
      </c>
      <c r="M606" s="633" t="str">
        <f>IF($I575="","",IF(OR($I606=0,M605="",$I606=EUconst_NA),IF(OR(M603=TRUE,M602&lt;=$V575),M600,SUM(L606)),$I606*(1+SUM(M605))))</f>
        <v/>
      </c>
      <c r="N606" s="634" t="str">
        <f>IF($I575="","",IF(OR($I606=0,N605="",$I606=EUconst_NA),IF(OR(N603=TRUE,N602&lt;=$V575),N600,SUM(M606)),$I606*(1+SUM(N605))))</f>
        <v/>
      </c>
      <c r="O606" s="302"/>
      <c r="P606" s="302"/>
      <c r="Q606" s="1182" t="str">
        <f>EUconst_CNTR_HALfinal&amp;I575</f>
        <v>HALfinal_</v>
      </c>
      <c r="R606" s="694"/>
      <c r="S606" s="694"/>
      <c r="T606" s="694"/>
      <c r="U606" s="1245" t="b">
        <v>0</v>
      </c>
      <c r="V606" s="1246" t="str">
        <f>IF(V583,IF(J603=TRUE,V598,U606),"")</f>
        <v/>
      </c>
      <c r="W606" s="1246" t="str">
        <f>IF(W583,IF(K603=TRUE,W598,V606),"")</f>
        <v/>
      </c>
      <c r="X606" s="1246" t="str">
        <f>IF(X583,IF(L603=TRUE,X598,W606),"")</f>
        <v/>
      </c>
      <c r="Y606" s="1246" t="str">
        <f>IF(Y583,IF(M603=TRUE,Y598,X606),"")</f>
        <v/>
      </c>
      <c r="Z606" s="1247" t="str">
        <f>IF(Z583,IF(N603=TRUE,Z598,Y606),"")</f>
        <v/>
      </c>
      <c r="AA606" s="694"/>
      <c r="AB606" s="694"/>
      <c r="AC606" s="694"/>
      <c r="AD606" s="694"/>
      <c r="AE606" s="694"/>
      <c r="AF606" s="694"/>
      <c r="AG606" s="694"/>
      <c r="AH606" s="694"/>
      <c r="AI606" s="694"/>
      <c r="AJ606" s="1174" t="s">
        <v>2033</v>
      </c>
      <c r="AK606" s="982" t="str">
        <f>IF(OR(ISERROR(J606),ISERROR(K606),ISERROR(L606),ISERROR(M606),ISERROR(N606)),EUconst_Error &amp; "BM" &amp; Q575,"")</f>
        <v/>
      </c>
      <c r="AL606" s="729"/>
    </row>
    <row r="607" spans="1:38" ht="5.15" customHeight="1" thickBot="1" x14ac:dyDescent="0.3">
      <c r="A607" s="694"/>
      <c r="B607" s="298"/>
      <c r="C607" s="298"/>
      <c r="D607" s="1248"/>
      <c r="E607" s="1249"/>
      <c r="F607" s="1249"/>
      <c r="G607" s="1249"/>
      <c r="H607" s="1249"/>
      <c r="I607" s="1249"/>
      <c r="J607" s="1249"/>
      <c r="K607" s="1249"/>
      <c r="L607" s="1249"/>
      <c r="M607" s="1249"/>
      <c r="N607" s="1250"/>
      <c r="O607" s="302"/>
      <c r="P607" s="302"/>
      <c r="Q607" s="729"/>
      <c r="R607" s="694"/>
      <c r="S607" s="694"/>
      <c r="T607" s="694"/>
      <c r="U607" s="729"/>
      <c r="V607" s="729"/>
      <c r="W607" s="694"/>
      <c r="X607" s="694"/>
      <c r="Y607" s="694"/>
      <c r="Z607" s="694"/>
      <c r="AA607" s="694"/>
      <c r="AB607" s="694"/>
      <c r="AC607" s="694"/>
      <c r="AD607" s="694"/>
      <c r="AE607" s="694"/>
      <c r="AF607" s="694"/>
      <c r="AG607" s="694"/>
      <c r="AH607" s="694"/>
      <c r="AI607" s="694"/>
      <c r="AJ607" s="694"/>
      <c r="AK607" s="694"/>
      <c r="AL607" s="729"/>
    </row>
    <row r="608" spans="1:38" ht="5.15" customHeight="1" x14ac:dyDescent="0.25">
      <c r="A608" s="694"/>
      <c r="B608" s="298"/>
      <c r="C608" s="298"/>
      <c r="D608" s="302"/>
      <c r="E608" s="302"/>
      <c r="F608" s="302"/>
      <c r="G608" s="302"/>
      <c r="H608" s="302"/>
      <c r="I608" s="302"/>
      <c r="J608" s="302"/>
      <c r="K608" s="302"/>
      <c r="L608" s="302"/>
      <c r="M608" s="302"/>
      <c r="N608" s="302"/>
      <c r="O608" s="302"/>
      <c r="P608" s="302"/>
      <c r="Q608" s="729"/>
      <c r="R608" s="694"/>
      <c r="S608" s="694"/>
      <c r="T608" s="694"/>
      <c r="U608" s="729"/>
      <c r="V608" s="729"/>
      <c r="W608" s="694"/>
      <c r="X608" s="694"/>
      <c r="Y608" s="694"/>
      <c r="Z608" s="694"/>
      <c r="AA608" s="694"/>
      <c r="AB608" s="694"/>
      <c r="AC608" s="694"/>
      <c r="AD608" s="694"/>
      <c r="AE608" s="694"/>
      <c r="AF608" s="694"/>
      <c r="AG608" s="694"/>
      <c r="AH608" s="694"/>
      <c r="AI608" s="694"/>
      <c r="AJ608" s="694"/>
      <c r="AK608" s="694"/>
      <c r="AL608" s="729"/>
    </row>
    <row r="609" spans="1:38" ht="15" customHeight="1" x14ac:dyDescent="0.25">
      <c r="A609" s="694"/>
      <c r="B609" s="698"/>
      <c r="C609" s="298"/>
      <c r="D609" s="2323" t="str">
        <f>Translations!$B$482</f>
        <v>Други корекционни коефициенти</v>
      </c>
      <c r="E609" s="2249"/>
      <c r="F609" s="2249"/>
      <c r="G609" s="2249"/>
      <c r="H609" s="2249"/>
      <c r="I609" s="2249"/>
      <c r="J609" s="2249"/>
      <c r="K609" s="2249"/>
      <c r="L609" s="2249"/>
      <c r="M609" s="2249"/>
      <c r="N609" s="2249"/>
      <c r="O609" s="302"/>
      <c r="P609" s="302"/>
      <c r="Q609" s="694"/>
      <c r="R609" s="694"/>
      <c r="S609" s="694"/>
      <c r="T609" s="694"/>
      <c r="U609" s="729"/>
      <c r="V609" s="729"/>
      <c r="W609" s="694"/>
      <c r="X609" s="694"/>
      <c r="Y609" s="694"/>
      <c r="Z609" s="694"/>
      <c r="AA609" s="694"/>
      <c r="AB609" s="694"/>
      <c r="AC609" s="694"/>
      <c r="AD609" s="694"/>
      <c r="AE609" s="694"/>
      <c r="AF609" s="694"/>
      <c r="AG609" s="694"/>
      <c r="AH609" s="694"/>
      <c r="AI609" s="694"/>
      <c r="AJ609" s="694"/>
      <c r="AK609" s="694"/>
      <c r="AL609" s="694"/>
    </row>
    <row r="610" spans="1:38" ht="5.15" customHeight="1" x14ac:dyDescent="0.25">
      <c r="A610" s="694"/>
      <c r="B610" s="298"/>
      <c r="C610" s="298"/>
      <c r="D610" s="298"/>
      <c r="E610" s="298"/>
      <c r="F610" s="298"/>
      <c r="G610" s="298"/>
      <c r="H610" s="298"/>
      <c r="I610" s="298"/>
      <c r="J610" s="298"/>
      <c r="K610" s="298"/>
      <c r="L610" s="298"/>
      <c r="M610" s="298"/>
      <c r="N610" s="298"/>
      <c r="O610" s="302"/>
      <c r="P610" s="302"/>
      <c r="Q610" s="729"/>
      <c r="R610" s="694"/>
      <c r="S610" s="694"/>
      <c r="T610" s="694"/>
      <c r="U610" s="729"/>
      <c r="V610" s="729"/>
      <c r="W610" s="694"/>
      <c r="X610" s="694"/>
      <c r="Y610" s="694"/>
      <c r="Z610" s="694"/>
      <c r="AA610" s="694"/>
      <c r="AB610" s="694"/>
      <c r="AC610" s="694"/>
      <c r="AD610" s="694"/>
      <c r="AE610" s="694"/>
      <c r="AF610" s="694"/>
      <c r="AG610" s="694"/>
      <c r="AH610" s="694"/>
      <c r="AI610" s="694"/>
      <c r="AJ610" s="694"/>
      <c r="AK610" s="694"/>
      <c r="AL610" s="694"/>
    </row>
    <row r="611" spans="1:38" ht="13" x14ac:dyDescent="0.25">
      <c r="A611" s="694"/>
      <c r="B611" s="698"/>
      <c r="C611" s="698"/>
      <c r="D611" s="300" t="s">
        <v>46</v>
      </c>
      <c r="E611" s="2463" t="str">
        <f>Translations!$B$1516</f>
        <v>Потребление на електроенергия</v>
      </c>
      <c r="F611" s="2463"/>
      <c r="G611" s="2463"/>
      <c r="H611" s="2463"/>
      <c r="I611" s="2463"/>
      <c r="J611" s="2463"/>
      <c r="K611" s="2463"/>
      <c r="L611" s="2463"/>
      <c r="M611" s="2463"/>
      <c r="N611" s="2463"/>
      <c r="O611" s="302"/>
      <c r="P611" s="302"/>
      <c r="Q611" s="694" t="s">
        <v>450</v>
      </c>
      <c r="R611" s="1026" t="str">
        <f>"#"&amp;ADDRESS(ROW(D616),COLUMN(D616))</f>
        <v>#$D$616</v>
      </c>
      <c r="S611" s="1174" t="s">
        <v>1732</v>
      </c>
      <c r="T611" s="1190" t="str">
        <f>IF(I575="","",INDEX(EUconst_BMlistElExchangability,MATCH(I575,EUconst_BMlistNames,0)))</f>
        <v/>
      </c>
      <c r="U611" s="729"/>
      <c r="V611" s="729"/>
      <c r="W611" s="694"/>
      <c r="X611" s="694"/>
      <c r="Y611" s="694"/>
      <c r="Z611" s="694"/>
      <c r="AA611" s="694"/>
      <c r="AB611" s="694"/>
      <c r="AC611" s="694"/>
      <c r="AD611" s="694"/>
      <c r="AE611" s="694"/>
      <c r="AF611" s="694"/>
      <c r="AG611" s="694"/>
      <c r="AH611" s="694"/>
      <c r="AI611" s="694"/>
      <c r="AJ611" s="694"/>
      <c r="AK611" s="694"/>
      <c r="AL611" s="694"/>
    </row>
    <row r="612" spans="1:38" ht="25.5" customHeight="1" x14ac:dyDescent="0.25">
      <c r="A612" s="694"/>
      <c r="B612" s="298"/>
      <c r="C612" s="298"/>
      <c r="D612" s="302"/>
      <c r="E612" s="2358" t="str">
        <f>Translations!$B$1517</f>
        <v>Въведете тук електроенергията, потребена в системните граници на тази подинсталация. За продуктовите показатели, изброени в раздел 2 от приложение I към ПБР, въвеждането тук на данни е задължително, като те трябва да съответстват на съответните системни граници, посочени в този раздел.</v>
      </c>
      <c r="F612" s="2249"/>
      <c r="G612" s="2249"/>
      <c r="H612" s="2249"/>
      <c r="I612" s="2249"/>
      <c r="J612" s="2249"/>
      <c r="K612" s="2249"/>
      <c r="L612" s="2249"/>
      <c r="M612" s="2249"/>
      <c r="N612" s="2249"/>
      <c r="O612" s="302"/>
      <c r="P612" s="302"/>
      <c r="Q612" s="694"/>
      <c r="R612" s="694"/>
      <c r="S612" s="694"/>
      <c r="T612" s="694"/>
      <c r="U612" s="729"/>
      <c r="V612" s="729"/>
      <c r="W612" s="694"/>
      <c r="X612" s="694"/>
      <c r="Y612" s="694"/>
      <c r="Z612" s="694"/>
      <c r="AA612" s="694"/>
      <c r="AB612" s="694"/>
      <c r="AC612" s="694"/>
      <c r="AD612" s="694"/>
      <c r="AE612" s="694"/>
      <c r="AF612" s="694"/>
      <c r="AG612" s="694"/>
      <c r="AH612" s="694"/>
      <c r="AI612" s="694"/>
      <c r="AJ612" s="694"/>
      <c r="AK612" s="694"/>
      <c r="AL612" s="694"/>
    </row>
    <row r="613" spans="1:38" s="364" customFormat="1" ht="13.5" thickBot="1" x14ac:dyDescent="0.3">
      <c r="A613" s="729"/>
      <c r="B613" s="302"/>
      <c r="C613" s="302"/>
      <c r="D613" s="300"/>
      <c r="E613" s="1013" t="str">
        <f>Translations!$B$483</f>
        <v>Параметър</v>
      </c>
      <c r="F613" s="1015"/>
      <c r="G613" s="527" t="str">
        <f>EUconst_Unit</f>
        <v>Единица мярка</v>
      </c>
      <c r="H613" s="391">
        <f>H$2831</f>
        <v>2024</v>
      </c>
      <c r="I613" s="572">
        <f>I$2831</f>
        <v>2025</v>
      </c>
      <c r="J613" s="757">
        <f>J$91</f>
        <v>2026</v>
      </c>
      <c r="K613" s="758">
        <f>K$91</f>
        <v>2027</v>
      </c>
      <c r="L613" s="391">
        <f>L$91</f>
        <v>2028</v>
      </c>
      <c r="M613" s="391">
        <f>M$91</f>
        <v>2029</v>
      </c>
      <c r="N613" s="391">
        <f>N$91</f>
        <v>2030</v>
      </c>
      <c r="O613" s="302"/>
      <c r="P613" s="302"/>
      <c r="Q613" s="729"/>
      <c r="R613" s="729"/>
      <c r="S613" s="694"/>
      <c r="T613" s="694"/>
      <c r="U613" s="729"/>
      <c r="V613" s="729"/>
      <c r="W613" s="729"/>
      <c r="X613" s="729"/>
      <c r="Y613" s="729"/>
      <c r="Z613" s="729"/>
      <c r="AA613" s="729"/>
      <c r="AB613" s="694"/>
      <c r="AC613" s="1178">
        <f t="shared" ref="AC613" si="606">H$20</f>
        <v>2024</v>
      </c>
      <c r="AD613" s="1178">
        <f t="shared" ref="AD613" si="607">I$20</f>
        <v>2025</v>
      </c>
      <c r="AE613" s="1178">
        <f t="shared" ref="AE613" si="608">J$20</f>
        <v>2026</v>
      </c>
      <c r="AF613" s="1178">
        <f t="shared" ref="AF613" si="609">K$20</f>
        <v>2027</v>
      </c>
      <c r="AG613" s="1178">
        <f t="shared" ref="AG613" si="610">L$20</f>
        <v>2028</v>
      </c>
      <c r="AH613" s="1178">
        <f t="shared" ref="AH613" si="611">M$20</f>
        <v>2029</v>
      </c>
      <c r="AI613" s="1178">
        <f t="shared" ref="AI613" si="612">N$20</f>
        <v>2030</v>
      </c>
      <c r="AJ613" s="694"/>
      <c r="AK613" s="694"/>
      <c r="AL613" s="694"/>
    </row>
    <row r="614" spans="1:38" s="364" customFormat="1" ht="12.75" customHeight="1" thickBot="1" x14ac:dyDescent="0.3">
      <c r="A614" s="729"/>
      <c r="B614" s="302"/>
      <c r="C614" s="302"/>
      <c r="D614" s="360"/>
      <c r="E614" s="1251" t="str">
        <f>Translations!$B$485</f>
        <v>Съответно потребление на електроенергия</v>
      </c>
      <c r="F614" s="1252"/>
      <c r="G614" s="1253" t="str">
        <f>EUconst_MWhpa</f>
        <v>MWh / година</v>
      </c>
      <c r="H614" s="39"/>
      <c r="I614" s="194"/>
      <c r="J614" s="195"/>
      <c r="K614" s="208"/>
      <c r="L614" s="39"/>
      <c r="M614" s="39"/>
      <c r="N614" s="39"/>
      <c r="O614" s="302"/>
      <c r="P614" s="158"/>
      <c r="Q614" s="982" t="str">
        <f>EUconst_CNTR_HAL&amp;EUconst_CNTR_ELEXCH &amp;I575</f>
        <v>HAL_ELEXCH_</v>
      </c>
      <c r="R614" s="729"/>
      <c r="S614" s="729"/>
      <c r="T614" s="729"/>
      <c r="U614" s="729"/>
      <c r="V614" s="729"/>
      <c r="W614" s="729"/>
      <c r="X614" s="729"/>
      <c r="Y614" s="729"/>
      <c r="Z614" s="729"/>
      <c r="AA614" s="729"/>
      <c r="AB614" s="1182" t="s">
        <v>737</v>
      </c>
      <c r="AC614" s="1254" t="b">
        <f t="shared" ref="AC614" si="613">IF(CNTR_ExistSubInstEntries,IF($I575="",TRUE,OR(H613&gt;=CNTR_ReportingYear,AC613&lt;$V575-1,INDEX(EUconst_BMlistElExchangability,MATCH($I575,EUconst_BMlistNames,0))=FALSE)),FALSE)</f>
        <v>0</v>
      </c>
      <c r="AD614" s="1255" t="b">
        <f t="shared" ref="AD614" si="614">IF(CNTR_ExistSubInstEntries,IF($I575="",TRUE,OR(I613&gt;=CNTR_ReportingYear,AD613&lt;$V575-1,INDEX(EUconst_BMlistElExchangability,MATCH($I575,EUconst_BMlistNames,0))=FALSE)),FALSE)</f>
        <v>0</v>
      </c>
      <c r="AE614" s="1255" t="b">
        <f t="shared" ref="AE614" si="615">IF(CNTR_ExistSubInstEntries,IF($I575="",TRUE,OR(J613&gt;=CNTR_ReportingYear,AE613&lt;$V575-1,INDEX(EUconst_BMlistElExchangability,MATCH($I575,EUconst_BMlistNames,0))=FALSE)),FALSE)</f>
        <v>0</v>
      </c>
      <c r="AF614" s="1255" t="b">
        <f t="shared" ref="AF614" si="616">IF(CNTR_ExistSubInstEntries,IF($I575="",TRUE,OR(K613&gt;=CNTR_ReportingYear,AF613&lt;$V575-1,INDEX(EUconst_BMlistElExchangability,MATCH($I575,EUconst_BMlistNames,0))=FALSE)),FALSE)</f>
        <v>0</v>
      </c>
      <c r="AG614" s="1255" t="b">
        <f t="shared" ref="AG614" si="617">IF(CNTR_ExistSubInstEntries,IF($I575="",TRUE,OR(L613&gt;=CNTR_ReportingYear,AG613&lt;$V575-1,INDEX(EUconst_BMlistElExchangability,MATCH($I575,EUconst_BMlistNames,0))=FALSE)),FALSE)</f>
        <v>0</v>
      </c>
      <c r="AH614" s="1255" t="b">
        <f t="shared" ref="AH614" si="618">IF(CNTR_ExistSubInstEntries,IF($I575="",TRUE,OR(M613&gt;=CNTR_ReportingYear,AH613&lt;$V575-1,INDEX(EUconst_BMlistElExchangability,MATCH($I575,EUconst_BMlistNames,0))=FALSE)),FALSE)</f>
        <v>0</v>
      </c>
      <c r="AI614" s="1256" t="b">
        <f t="shared" ref="AI614" si="619">IF(CNTR_ExistSubInstEntries,IF($I575="",TRUE,OR(N613&gt;=CNTR_ReportingYear,AI613&lt;$V575-1,INDEX(EUconst_BMlistElExchangability,MATCH($I575,EUconst_BMlistNames,0))=FALSE)),FALSE)</f>
        <v>0</v>
      </c>
      <c r="AJ614" s="1174" t="s">
        <v>2039</v>
      </c>
      <c r="AK614" s="1176" t="str">
        <f>IF(AND(CNTR_ExistSubInstEntries,COUNTIFS(AC614:AI614,FALSE,H614:N614,"")&gt;0),EUconst_Error&amp;"BM"&amp;$Q575,"")</f>
        <v/>
      </c>
      <c r="AL614" s="694"/>
    </row>
    <row r="615" spans="1:38" ht="5.15" customHeight="1" x14ac:dyDescent="0.25">
      <c r="A615" s="694"/>
      <c r="B615" s="298"/>
      <c r="C615" s="298"/>
      <c r="D615" s="298"/>
      <c r="E615" s="298"/>
      <c r="F615" s="298"/>
      <c r="G615" s="298"/>
      <c r="H615" s="298"/>
      <c r="I615" s="298"/>
      <c r="J615" s="298"/>
      <c r="K615" s="298"/>
      <c r="L615" s="298"/>
      <c r="M615" s="302"/>
      <c r="N615" s="302"/>
      <c r="O615" s="302"/>
      <c r="P615" s="302"/>
      <c r="Q615" s="729"/>
      <c r="R615" s="694"/>
      <c r="S615" s="694"/>
      <c r="T615" s="694"/>
      <c r="U615" s="694"/>
      <c r="V615" s="694"/>
      <c r="W615" s="694"/>
      <c r="X615" s="694"/>
      <c r="Y615" s="694"/>
      <c r="Z615" s="694"/>
      <c r="AA615" s="694"/>
      <c r="AB615" s="694"/>
      <c r="AC615" s="694"/>
      <c r="AD615" s="694"/>
      <c r="AE615" s="694"/>
      <c r="AF615" s="694"/>
      <c r="AG615" s="694"/>
      <c r="AH615" s="694"/>
      <c r="AI615" s="694"/>
      <c r="AJ615" s="694"/>
      <c r="AK615" s="694"/>
      <c r="AL615" s="694"/>
    </row>
    <row r="616" spans="1:38" ht="13" x14ac:dyDescent="0.25">
      <c r="A616" s="694"/>
      <c r="B616" s="298"/>
      <c r="C616" s="298"/>
      <c r="D616" s="300" t="s">
        <v>906</v>
      </c>
      <c r="E616" s="2226" t="str">
        <f>Translations!$B$487</f>
        <v>Топлинна енергия, получена от инсталации или обекти извън СТЕ:</v>
      </c>
      <c r="F616" s="2226"/>
      <c r="G616" s="2226"/>
      <c r="H616" s="2226"/>
      <c r="I616" s="2317"/>
      <c r="J616" s="2858" t="str">
        <f>IF(I575="","",HYPERLINK(R616,EUconst_MsgGoOnIfNotRelevant))</f>
        <v/>
      </c>
      <c r="K616" s="2859"/>
      <c r="L616" s="2859"/>
      <c r="M616" s="2859"/>
      <c r="N616" s="2860"/>
      <c r="O616" s="302"/>
      <c r="P616" s="302"/>
      <c r="Q616" s="694" t="s">
        <v>450</v>
      </c>
      <c r="R616" s="1026" t="str">
        <f>"#"&amp;ADDRESS(ROW(D641),COLUMN(D641))</f>
        <v>#$D$641</v>
      </c>
      <c r="S616" s="694"/>
      <c r="T616" s="694"/>
      <c r="U616" s="694"/>
      <c r="V616" s="694"/>
      <c r="W616" s="694"/>
      <c r="X616" s="694"/>
      <c r="Y616" s="694"/>
      <c r="Z616" s="694"/>
      <c r="AA616" s="694"/>
      <c r="AB616" s="694"/>
      <c r="AC616" s="694"/>
      <c r="AD616" s="694"/>
      <c r="AE616" s="694"/>
      <c r="AF616" s="694"/>
      <c r="AG616" s="694"/>
      <c r="AH616" s="694"/>
      <c r="AI616" s="694"/>
      <c r="AJ616" s="694"/>
      <c r="AK616" s="694"/>
      <c r="AL616" s="694"/>
    </row>
    <row r="617" spans="1:38" x14ac:dyDescent="0.25">
      <c r="A617" s="694"/>
      <c r="B617" s="298"/>
      <c r="C617" s="298"/>
      <c r="D617" s="302"/>
      <c r="E617" s="2358" t="str">
        <f>Translations!$B$488</f>
        <v>Съгласно член 21 от ПБР определено количество емисии трябва да се приспадне от предварителното годишно разпределение за подинсталациите с продуктов показател.</v>
      </c>
      <c r="F617" s="2249"/>
      <c r="G617" s="2249"/>
      <c r="H617" s="2249"/>
      <c r="I617" s="2249"/>
      <c r="J617" s="2249"/>
      <c r="K617" s="2249"/>
      <c r="L617" s="2249"/>
      <c r="M617" s="2249"/>
      <c r="N617" s="2249"/>
      <c r="O617" s="302"/>
      <c r="P617" s="302"/>
      <c r="Q617" s="729"/>
      <c r="R617" s="694"/>
      <c r="S617" s="694"/>
      <c r="T617" s="694"/>
      <c r="U617" s="729"/>
      <c r="V617" s="729"/>
      <c r="W617" s="694"/>
      <c r="X617" s="694"/>
      <c r="Y617" s="694"/>
      <c r="Z617" s="694"/>
      <c r="AA617" s="694"/>
      <c r="AB617" s="694"/>
      <c r="AC617" s="694"/>
      <c r="AD617" s="694"/>
      <c r="AE617" s="694"/>
      <c r="AF617" s="694"/>
      <c r="AG617" s="694"/>
      <c r="AH617" s="694"/>
      <c r="AI617" s="694"/>
      <c r="AJ617" s="694"/>
      <c r="AK617" s="694"/>
      <c r="AL617" s="694"/>
    </row>
    <row r="618" spans="1:38" x14ac:dyDescent="0.25">
      <c r="A618" s="694"/>
      <c r="B618" s="298"/>
      <c r="C618" s="298"/>
      <c r="D618" s="302"/>
      <c r="E618" s="2358" t="str">
        <f>Translations!$B$489</f>
        <v>Това количество е количеството измерима топлинна енергия, внесена от инсталации или обекти извън СТЕ (включително всяка топлинна енергия от подинсталации за производство на азотна киселина), умножено по топлинния показател.</v>
      </c>
      <c r="F618" s="2249"/>
      <c r="G618" s="2249"/>
      <c r="H618" s="2249"/>
      <c r="I618" s="2249"/>
      <c r="J618" s="2249"/>
      <c r="K618" s="2249"/>
      <c r="L618" s="2249"/>
      <c r="M618" s="2249"/>
      <c r="N618" s="2249"/>
      <c r="O618" s="302"/>
      <c r="P618" s="302"/>
      <c r="Q618" s="729"/>
      <c r="R618" s="694"/>
      <c r="S618" s="694"/>
      <c r="T618" s="694"/>
      <c r="U618" s="729"/>
      <c r="V618" s="729"/>
      <c r="W618" s="694"/>
      <c r="X618" s="694"/>
      <c r="Y618" s="694"/>
      <c r="Z618" s="694"/>
      <c r="AA618" s="694"/>
      <c r="AB618" s="694"/>
      <c r="AC618" s="694"/>
      <c r="AD618" s="694"/>
      <c r="AE618" s="694"/>
      <c r="AF618" s="694"/>
      <c r="AG618" s="694"/>
      <c r="AH618" s="694"/>
      <c r="AI618" s="694"/>
      <c r="AJ618" s="694"/>
      <c r="AK618" s="694"/>
      <c r="AL618" s="694"/>
    </row>
    <row r="619" spans="1:38" x14ac:dyDescent="0.25">
      <c r="A619" s="694"/>
      <c r="B619" s="298"/>
      <c r="C619" s="298"/>
      <c r="D619" s="302"/>
      <c r="E619" s="2358" t="str">
        <f>Translations!$B$490</f>
        <v>Моля, въведете тук съответните стойности. Имайте предвид, че стойностите трябва да съответстват на сумите за енергията, получена от източници извън СТЕ, въведени в точка E.II.c в работен лист „E_Energy flows“ („E_Енергийни потоци“).</v>
      </c>
      <c r="F619" s="2249"/>
      <c r="G619" s="2249"/>
      <c r="H619" s="2249"/>
      <c r="I619" s="2249"/>
      <c r="J619" s="2249"/>
      <c r="K619" s="2249"/>
      <c r="L619" s="2249"/>
      <c r="M619" s="2249"/>
      <c r="N619" s="2249"/>
      <c r="O619" s="302"/>
      <c r="P619" s="302"/>
      <c r="Q619" s="729"/>
      <c r="R619" s="694"/>
      <c r="S619" s="694"/>
      <c r="T619" s="694"/>
      <c r="U619" s="729"/>
      <c r="V619" s="729"/>
      <c r="W619" s="694"/>
      <c r="X619" s="694"/>
      <c r="Y619" s="694"/>
      <c r="Z619" s="694"/>
      <c r="AA619" s="694"/>
      <c r="AB619" s="694"/>
      <c r="AC619" s="694"/>
      <c r="AD619" s="694"/>
      <c r="AE619" s="694"/>
      <c r="AF619" s="694"/>
      <c r="AG619" s="694"/>
      <c r="AH619" s="694"/>
      <c r="AI619" s="694"/>
      <c r="AJ619" s="694"/>
      <c r="AK619" s="694"/>
      <c r="AL619" s="694"/>
    </row>
    <row r="620" spans="1:38" x14ac:dyDescent="0.25">
      <c r="A620" s="694"/>
      <c r="B620" s="298"/>
      <c r="C620" s="298"/>
      <c r="D620" s="302"/>
      <c r="E620" s="2358" t="str">
        <f>Translations!$B$491</f>
        <v>Освен това данните трябва да съответстват и на общото нетно количество получена измерима топлинна енергия, въведено в k). i по-долу.</v>
      </c>
      <c r="F620" s="2249"/>
      <c r="G620" s="2249"/>
      <c r="H620" s="2249"/>
      <c r="I620" s="2249"/>
      <c r="J620" s="2249"/>
      <c r="K620" s="2249"/>
      <c r="L620" s="2249"/>
      <c r="M620" s="2249"/>
      <c r="N620" s="2249"/>
      <c r="O620" s="302"/>
      <c r="P620" s="302"/>
      <c r="Q620" s="729"/>
      <c r="R620" s="694"/>
      <c r="S620" s="694"/>
      <c r="T620" s="694"/>
      <c r="U620" s="729"/>
      <c r="V620" s="729"/>
      <c r="W620" s="729"/>
      <c r="X620" s="729"/>
      <c r="Y620" s="729"/>
      <c r="Z620" s="729"/>
      <c r="AA620" s="694"/>
      <c r="AB620" s="694"/>
      <c r="AC620" s="694"/>
      <c r="AD620" s="694"/>
      <c r="AE620" s="694"/>
      <c r="AF620" s="694"/>
      <c r="AG620" s="694"/>
      <c r="AH620" s="694"/>
      <c r="AI620" s="694"/>
      <c r="AJ620" s="694"/>
      <c r="AK620" s="694"/>
      <c r="AL620" s="694"/>
    </row>
    <row r="621" spans="1:38" ht="13.5" thickBot="1" x14ac:dyDescent="0.3">
      <c r="A621" s="694"/>
      <c r="B621" s="698"/>
      <c r="C621" s="698"/>
      <c r="D621" s="300"/>
      <c r="E621" s="1013" t="str">
        <f>Translations!$B$483</f>
        <v>Параметър</v>
      </c>
      <c r="F621" s="1015"/>
      <c r="G621" s="527" t="str">
        <f>EUconst_Unit</f>
        <v>Единица мярка</v>
      </c>
      <c r="H621" s="391">
        <f>H$2831</f>
        <v>2024</v>
      </c>
      <c r="I621" s="572">
        <f>I$2831</f>
        <v>2025</v>
      </c>
      <c r="J621" s="757">
        <f>J$91</f>
        <v>2026</v>
      </c>
      <c r="K621" s="391">
        <f>K$91</f>
        <v>2027</v>
      </c>
      <c r="L621" s="391">
        <f>L$91</f>
        <v>2028</v>
      </c>
      <c r="M621" s="391">
        <f>M$91</f>
        <v>2029</v>
      </c>
      <c r="N621" s="391">
        <f>N$91</f>
        <v>2030</v>
      </c>
      <c r="O621" s="302"/>
      <c r="P621" s="302"/>
      <c r="Q621" s="694"/>
      <c r="R621" s="1031"/>
      <c r="S621" s="1174" t="s">
        <v>1906</v>
      </c>
      <c r="T621" s="1178">
        <f>H621</f>
        <v>2024</v>
      </c>
      <c r="U621" s="1178">
        <f t="shared" ref="U621" si="620">I621</f>
        <v>2025</v>
      </c>
      <c r="V621" s="1178">
        <f t="shared" ref="V621" si="621">J621</f>
        <v>2026</v>
      </c>
      <c r="W621" s="1178">
        <f t="shared" ref="W621" si="622">K621</f>
        <v>2027</v>
      </c>
      <c r="X621" s="1178">
        <f t="shared" ref="X621" si="623">L621</f>
        <v>2028</v>
      </c>
      <c r="Y621" s="1178">
        <f t="shared" ref="Y621" si="624">M621</f>
        <v>2029</v>
      </c>
      <c r="Z621" s="1178">
        <f t="shared" ref="Z621" si="625">N621</f>
        <v>2030</v>
      </c>
      <c r="AA621" s="1031"/>
      <c r="AB621" s="694"/>
      <c r="AC621" s="1178">
        <f t="shared" ref="AC621" si="626">H$20</f>
        <v>2024</v>
      </c>
      <c r="AD621" s="1178">
        <f t="shared" ref="AD621" si="627">I$20</f>
        <v>2025</v>
      </c>
      <c r="AE621" s="1178">
        <f t="shared" ref="AE621" si="628">J$20</f>
        <v>2026</v>
      </c>
      <c r="AF621" s="1178">
        <f t="shared" ref="AF621" si="629">K$20</f>
        <v>2027</v>
      </c>
      <c r="AG621" s="1178">
        <f t="shared" ref="AG621" si="630">L$20</f>
        <v>2028</v>
      </c>
      <c r="AH621" s="1178">
        <f t="shared" ref="AH621" si="631">M$20</f>
        <v>2029</v>
      </c>
      <c r="AI621" s="1178">
        <f t="shared" ref="AI621" si="632">N$20</f>
        <v>2030</v>
      </c>
      <c r="AJ621" s="694"/>
      <c r="AK621" s="694"/>
      <c r="AL621" s="694"/>
    </row>
    <row r="622" spans="1:38" ht="13" customHeight="1" thickBot="1" x14ac:dyDescent="0.3">
      <c r="A622" s="694"/>
      <c r="B622" s="698"/>
      <c r="C622" s="698"/>
      <c r="D622" s="1084" t="s">
        <v>6</v>
      </c>
      <c r="E622" s="2667" t="str">
        <f>Translations!$B$492</f>
        <v>Измерима топлинна енергия, получена от източници извън СТЕ:</v>
      </c>
      <c r="F622" s="2667"/>
      <c r="G622" s="1016" t="str">
        <f>EUconst_TJpa</f>
        <v>TJ / година</v>
      </c>
      <c r="H622" s="24"/>
      <c r="I622" s="59"/>
      <c r="J622" s="60"/>
      <c r="K622" s="24"/>
      <c r="L622" s="24"/>
      <c r="M622" s="24"/>
      <c r="N622" s="24"/>
      <c r="O622" s="302"/>
      <c r="P622" s="158"/>
      <c r="Q622" s="982" t="str">
        <f>EUconst_CNTR_HAL&amp;EUconst_CNTR_nonETSMeasHeat</f>
        <v>HAL_измерима топлинна енергия извън СТЕ</v>
      </c>
      <c r="R622" s="694"/>
      <c r="S622" s="1174"/>
      <c r="T622" s="1257" t="str">
        <f t="shared" ref="T622" si="633">IF(H622="","",SUM(H622)*EUconst_HeatBMvalue)</f>
        <v/>
      </c>
      <c r="U622" s="1257" t="str">
        <f t="shared" ref="U622" si="634">IF(I622="","",SUM(I622)*EUconst_HeatBMvalue)</f>
        <v/>
      </c>
      <c r="V622" s="1257" t="str">
        <f t="shared" ref="V622" si="635">IF(J622="","",SUM(J622)*EUconst_HeatBMvalue)</f>
        <v/>
      </c>
      <c r="W622" s="1257" t="str">
        <f t="shared" ref="W622" si="636">IF(K622="","",SUM(K622)*EUconst_HeatBMvalue)</f>
        <v/>
      </c>
      <c r="X622" s="1257" t="str">
        <f t="shared" ref="X622" si="637">IF(L622="","",SUM(L622)*EUconst_HeatBMvalue)</f>
        <v/>
      </c>
      <c r="Y622" s="1257" t="str">
        <f t="shared" ref="Y622" si="638">IF(M622="","",SUM(M622)*EUconst_HeatBMvalue)</f>
        <v/>
      </c>
      <c r="Z622" s="1257" t="str">
        <f t="shared" ref="Z622" si="639">IF(N622="","",SUM(N622)*EUconst_HeatBMvalue)</f>
        <v/>
      </c>
      <c r="AA622" s="694"/>
      <c r="AB622" s="1182" t="s">
        <v>737</v>
      </c>
      <c r="AC622" s="1183" t="b">
        <f t="shared" ref="AC622" si="640">IF(CNTR_ExistSubInstEntries,OR($I575="",H582&gt;=CNTR_ReportingYear,AC621&lt;$V575-1),FALSE)</f>
        <v>0</v>
      </c>
      <c r="AD622" s="1184" t="b">
        <f t="shared" ref="AD622" si="641">IF(CNTR_ExistSubInstEntries,OR($I575="",I582&gt;=CNTR_ReportingYear,AD621&lt;$V575-1),FALSE)</f>
        <v>0</v>
      </c>
      <c r="AE622" s="1184" t="b">
        <f t="shared" ref="AE622" si="642">IF(CNTR_ExistSubInstEntries,OR($I575="",J582&gt;=CNTR_ReportingYear,AE621&lt;$V575-1),FALSE)</f>
        <v>0</v>
      </c>
      <c r="AF622" s="1184" t="b">
        <f t="shared" ref="AF622" si="643">IF(CNTR_ExistSubInstEntries,OR($I575="",K582&gt;=CNTR_ReportingYear,AF621&lt;$V575-1),FALSE)</f>
        <v>0</v>
      </c>
      <c r="AG622" s="1184" t="b">
        <f t="shared" ref="AG622" si="644">IF(CNTR_ExistSubInstEntries,OR($I575="",L582&gt;=CNTR_ReportingYear,AG621&lt;$V575-1),FALSE)</f>
        <v>0</v>
      </c>
      <c r="AH622" s="1184" t="b">
        <f t="shared" ref="AH622" si="645">IF(CNTR_ExistSubInstEntries,OR($I575="",M582&gt;=CNTR_ReportingYear,AH621&lt;$V575-1),FALSE)</f>
        <v>0</v>
      </c>
      <c r="AI622" s="1185" t="b">
        <f t="shared" ref="AI622" si="646">IF(CNTR_ExistSubInstEntries,OR($I575="",N582&gt;=CNTR_ReportingYear,AI621&lt;$V575-1),FALSE)</f>
        <v>0</v>
      </c>
      <c r="AJ622" s="1174" t="s">
        <v>2039</v>
      </c>
      <c r="AK622" s="1176" t="str">
        <f>IF(AND(CNTR_ExistSubInstEntries,COUNTIFS(AC622:AI622,FALSE,H622:N622,"")&gt;0),EUconst_Error&amp;"BM"&amp;$Q575,"")</f>
        <v/>
      </c>
      <c r="AL622" s="694"/>
    </row>
    <row r="623" spans="1:38" ht="25.5" customHeight="1" x14ac:dyDescent="0.25">
      <c r="A623" s="694"/>
      <c r="B623" s="698"/>
      <c r="C623" s="698"/>
      <c r="D623" s="1084" t="s">
        <v>7</v>
      </c>
      <c r="E623" s="1258" t="str">
        <f>Translations!$B$493</f>
        <v>Проверка на съответствието с работен лист „E_Energy flows“ („E_Енергийни потоци“):</v>
      </c>
      <c r="F623" s="1258"/>
      <c r="G623" s="1259" t="s">
        <v>1053</v>
      </c>
      <c r="H623" s="16" t="str">
        <f>IF(AND(ISNUMBER(H622),ISNUMBER(E_EnergyFlows!H$141)), H622/E_EnergyFlows!H$141*100,"")</f>
        <v/>
      </c>
      <c r="I623" s="105" t="str">
        <f>IF(AND(ISNUMBER(I622),ISNUMBER(E_EnergyFlows!I$141)), I622/E_EnergyFlows!I$141*100,"")</f>
        <v/>
      </c>
      <c r="J623" s="107" t="str">
        <f>IF(AND(ISNUMBER(J622),ISNUMBER(E_EnergyFlows!J$141)), J622/E_EnergyFlows!J$141*100,"")</f>
        <v/>
      </c>
      <c r="K623" s="16" t="str">
        <f>IF(AND(ISNUMBER(K622),ISNUMBER(E_EnergyFlows!K$141)), K622/E_EnergyFlows!K$141*100,"")</f>
        <v/>
      </c>
      <c r="L623" s="16" t="str">
        <f>IF(AND(ISNUMBER(L622),ISNUMBER(E_EnergyFlows!L$141)), L622/E_EnergyFlows!L$141*100,"")</f>
        <v/>
      </c>
      <c r="M623" s="16" t="str">
        <f>IF(AND(ISNUMBER(M622),ISNUMBER(E_EnergyFlows!M$141)), M622/E_EnergyFlows!M$141*100,"")</f>
        <v/>
      </c>
      <c r="N623" s="16" t="str">
        <f>IF(AND(ISNUMBER(N622),ISNUMBER(E_EnergyFlows!N$141)), N622/E_EnergyFlows!N$141*100,"")</f>
        <v/>
      </c>
      <c r="O623" s="302"/>
      <c r="P623" s="302"/>
      <c r="Q623" s="1033" t="str">
        <f>EUconst_CNTR_HEAT &amp; I575</f>
        <v>HEAT_</v>
      </c>
      <c r="R623" s="729"/>
      <c r="S623" s="694"/>
      <c r="T623" s="694"/>
      <c r="U623" s="729"/>
      <c r="V623" s="729"/>
      <c r="W623" s="694"/>
      <c r="X623" s="694"/>
      <c r="Y623" s="694"/>
      <c r="Z623" s="694"/>
      <c r="AA623" s="694"/>
      <c r="AB623" s="694"/>
      <c r="AC623" s="694"/>
      <c r="AD623" s="694"/>
      <c r="AE623" s="694"/>
      <c r="AF623" s="694"/>
      <c r="AG623" s="694"/>
      <c r="AH623" s="694"/>
      <c r="AI623" s="694"/>
      <c r="AJ623" s="694"/>
      <c r="AK623" s="694"/>
      <c r="AL623" s="694"/>
    </row>
    <row r="624" spans="1:38" ht="12.65" customHeight="1" x14ac:dyDescent="0.25">
      <c r="A624" s="694"/>
      <c r="B624" s="698"/>
      <c r="C624" s="698"/>
      <c r="D624" s="1084" t="s">
        <v>8</v>
      </c>
      <c r="E624" s="1260" t="str">
        <f>Translations!$B$494</f>
        <v>Проверка на съответствието с k).i):</v>
      </c>
      <c r="F624" s="1261"/>
      <c r="G624" s="1262" t="s">
        <v>1053</v>
      </c>
      <c r="H624" s="15" t="str">
        <f t="shared" ref="H624:N624" si="647">IF(AND(H747&gt;0,ISNUMBER(H622)), H622/H747*100,"")</f>
        <v/>
      </c>
      <c r="I624" s="106" t="str">
        <f t="shared" si="647"/>
        <v/>
      </c>
      <c r="J624" s="108" t="str">
        <f t="shared" si="647"/>
        <v/>
      </c>
      <c r="K624" s="15" t="str">
        <f t="shared" si="647"/>
        <v/>
      </c>
      <c r="L624" s="15" t="str">
        <f t="shared" si="647"/>
        <v/>
      </c>
      <c r="M624" s="15" t="str">
        <f t="shared" si="647"/>
        <v/>
      </c>
      <c r="N624" s="15" t="str">
        <f t="shared" si="647"/>
        <v/>
      </c>
      <c r="O624" s="302"/>
      <c r="P624" s="302"/>
      <c r="Q624" s="694"/>
      <c r="R624" s="694"/>
      <c r="S624" s="694"/>
      <c r="T624" s="694"/>
      <c r="U624" s="729"/>
      <c r="V624" s="729"/>
      <c r="W624" s="694"/>
      <c r="X624" s="694"/>
      <c r="Y624" s="694"/>
      <c r="Z624" s="694"/>
      <c r="AA624" s="694"/>
      <c r="AB624" s="694"/>
      <c r="AC624" s="694"/>
      <c r="AD624" s="694"/>
      <c r="AE624" s="694"/>
      <c r="AF624" s="694"/>
      <c r="AG624" s="694"/>
      <c r="AH624" s="694"/>
      <c r="AI624" s="694"/>
      <c r="AJ624" s="694"/>
      <c r="AK624" s="694"/>
      <c r="AL624" s="694"/>
    </row>
    <row r="625" spans="1:38" ht="5.15" customHeight="1" x14ac:dyDescent="0.25">
      <c r="A625" s="694"/>
      <c r="B625" s="698"/>
      <c r="C625" s="698"/>
      <c r="D625" s="698"/>
      <c r="E625" s="698"/>
      <c r="F625" s="698"/>
      <c r="G625" s="698"/>
      <c r="H625" s="698"/>
      <c r="I625" s="1025"/>
      <c r="J625" s="698"/>
      <c r="K625" s="698"/>
      <c r="L625" s="698"/>
      <c r="M625" s="698"/>
      <c r="N625" s="698"/>
      <c r="O625" s="302"/>
      <c r="P625" s="302"/>
      <c r="Q625" s="1263"/>
      <c r="R625" s="694"/>
      <c r="S625" s="694"/>
      <c r="T625" s="694"/>
      <c r="U625" s="729"/>
      <c r="V625" s="729"/>
      <c r="W625" s="694"/>
      <c r="X625" s="694"/>
      <c r="Y625" s="694"/>
      <c r="Z625" s="694"/>
      <c r="AA625" s="694"/>
      <c r="AB625" s="694"/>
      <c r="AC625" s="694"/>
      <c r="AD625" s="694"/>
      <c r="AE625" s="694"/>
      <c r="AF625" s="694"/>
      <c r="AG625" s="694"/>
      <c r="AH625" s="694"/>
      <c r="AI625" s="694"/>
      <c r="AJ625" s="694"/>
      <c r="AK625" s="694"/>
      <c r="AL625" s="694"/>
    </row>
    <row r="626" spans="1:38" ht="25.5" customHeight="1" thickBot="1" x14ac:dyDescent="0.3">
      <c r="A626" s="694"/>
      <c r="B626" s="298"/>
      <c r="C626" s="298"/>
      <c r="D626" s="302"/>
      <c r="E626" s="2358" t="str">
        <f>Translations!$B$1326</f>
        <v>На базата на данните по-горе тук се определят средните годишни стойности на стойностите от i. Разпределението ще бъде променено само ако са надвишени относителният праг (15 % в сравнение със стойността в НМИ) и абсолютният праг (промяната води до корекция с повече от 100 квоти), определени в член 6, параграф 4 от Регламента за ALC.</v>
      </c>
      <c r="F626" s="2249"/>
      <c r="G626" s="2249"/>
      <c r="H626" s="2249"/>
      <c r="I626" s="2249"/>
      <c r="J626" s="2249"/>
      <c r="K626" s="2249"/>
      <c r="L626" s="2249"/>
      <c r="M626" s="2249"/>
      <c r="N626" s="2249"/>
      <c r="O626" s="302"/>
      <c r="P626" s="302"/>
      <c r="Q626" s="729"/>
      <c r="R626" s="694"/>
      <c r="S626" s="729"/>
      <c r="T626" s="729"/>
      <c r="U626" s="729"/>
      <c r="V626" s="694"/>
      <c r="W626" s="694"/>
      <c r="X626" s="694"/>
      <c r="Y626" s="694"/>
      <c r="Z626" s="694"/>
      <c r="AA626" s="694"/>
      <c r="AB626" s="694"/>
      <c r="AC626" s="694"/>
      <c r="AD626" s="694"/>
      <c r="AE626" s="694"/>
      <c r="AF626" s="694"/>
      <c r="AG626" s="694"/>
      <c r="AH626" s="694"/>
      <c r="AI626" s="694"/>
      <c r="AJ626" s="694"/>
      <c r="AK626" s="694"/>
      <c r="AL626" s="694"/>
    </row>
    <row r="627" spans="1:38" ht="5.15" customHeight="1" thickBot="1" x14ac:dyDescent="0.3">
      <c r="A627" s="694"/>
      <c r="B627" s="298"/>
      <c r="C627" s="298"/>
      <c r="D627" s="1192"/>
      <c r="E627" s="1194"/>
      <c r="F627" s="1264"/>
      <c r="G627" s="1264"/>
      <c r="H627" s="1264"/>
      <c r="I627" s="1264"/>
      <c r="J627" s="1264"/>
      <c r="K627" s="1264"/>
      <c r="L627" s="1264"/>
      <c r="M627" s="1264"/>
      <c r="N627" s="1265"/>
      <c r="O627" s="302"/>
      <c r="P627" s="302"/>
      <c r="Q627" s="729"/>
      <c r="R627" s="694"/>
      <c r="S627" s="729"/>
      <c r="T627" s="729"/>
      <c r="U627" s="729"/>
      <c r="V627" s="694"/>
      <c r="W627" s="694"/>
      <c r="X627" s="694"/>
      <c r="Y627" s="694"/>
      <c r="Z627" s="694"/>
      <c r="AA627" s="694"/>
      <c r="AB627" s="694"/>
      <c r="AC627" s="694"/>
      <c r="AD627" s="694"/>
      <c r="AE627" s="694"/>
      <c r="AF627" s="694"/>
      <c r="AG627" s="694"/>
      <c r="AH627" s="694"/>
      <c r="AI627" s="694"/>
      <c r="AJ627" s="694"/>
      <c r="AK627" s="694"/>
      <c r="AL627" s="694"/>
    </row>
    <row r="628" spans="1:38" ht="12.75" customHeight="1" x14ac:dyDescent="0.25">
      <c r="A628" s="694"/>
      <c r="B628" s="298"/>
      <c r="C628" s="298"/>
      <c r="D628" s="1197" t="s">
        <v>2003</v>
      </c>
      <c r="E628" s="1198" t="str">
        <f>Translations!$B$1329</f>
        <v>Корекции: Топлинна енергия извън СТЕ</v>
      </c>
      <c r="F628" s="1199"/>
      <c r="G628" s="1199"/>
      <c r="H628" s="1200" t="str">
        <f>EUconst_Unit</f>
        <v>Единица мярка</v>
      </c>
      <c r="I628" s="1201" t="str">
        <f>Translations!$B$1327</f>
        <v>(НМИ) стойност</v>
      </c>
      <c r="J628" s="1202">
        <f>J$2831</f>
        <v>2026</v>
      </c>
      <c r="K628" s="1203">
        <f>K$2831</f>
        <v>2027</v>
      </c>
      <c r="L628" s="1203">
        <f>L$2831</f>
        <v>2028</v>
      </c>
      <c r="M628" s="1203">
        <f>M$2831</f>
        <v>2029</v>
      </c>
      <c r="N628" s="1204">
        <f>N$2831</f>
        <v>2030</v>
      </c>
      <c r="O628" s="302"/>
      <c r="P628" s="302"/>
      <c r="Q628" s="729"/>
      <c r="R628" s="694"/>
      <c r="S628" s="694"/>
      <c r="T628" s="694"/>
      <c r="U628" s="1205"/>
      <c r="V628" s="1206">
        <f>J628</f>
        <v>2026</v>
      </c>
      <c r="W628" s="1206">
        <f>K628</f>
        <v>2027</v>
      </c>
      <c r="X628" s="1206">
        <f>L628</f>
        <v>2028</v>
      </c>
      <c r="Y628" s="1206">
        <f>M628</f>
        <v>2029</v>
      </c>
      <c r="Z628" s="1207">
        <f>N628</f>
        <v>2030</v>
      </c>
      <c r="AA628" s="694"/>
      <c r="AB628" s="694"/>
      <c r="AC628" s="694"/>
      <c r="AD628" s="694"/>
      <c r="AE628" s="694"/>
      <c r="AF628" s="694"/>
      <c r="AG628" s="694"/>
      <c r="AH628" s="694"/>
      <c r="AI628" s="694"/>
      <c r="AJ628" s="694"/>
      <c r="AK628" s="694"/>
      <c r="AL628" s="694"/>
    </row>
    <row r="629" spans="1:38" ht="12.75" customHeight="1" x14ac:dyDescent="0.25">
      <c r="A629" s="694"/>
      <c r="B629" s="298"/>
      <c r="C629" s="298"/>
      <c r="D629" s="1208" t="s">
        <v>6</v>
      </c>
      <c r="E629" s="1209" t="str">
        <f>Translations!$B$1328</f>
        <v>Средна годишна стойност</v>
      </c>
      <c r="F629" s="1209"/>
      <c r="G629" s="1209"/>
      <c r="H629" s="1266" t="str">
        <f>EUconst_tCO2</f>
        <v>t CO2</v>
      </c>
      <c r="I629" s="1211" t="str">
        <f>INDEX('B+C_SubInstallations'!$J:$J,MATCH(Q629,'B+C_SubInstallations'!$U:$U,0))</f>
        <v/>
      </c>
      <c r="J629" s="1267" t="str">
        <f>IF(AND(V629&gt;=3,CNTR_ReportingYear&gt;J628-1),AVERAGE(SUM(T622),SUM(U622)),"")</f>
        <v/>
      </c>
      <c r="K629" s="1268" t="str">
        <f>IF(AND(W629&gt;=3,CNTR_ReportingYear&gt;K628-1),AVERAGE(SUM(U622),SUM(V622)),"")</f>
        <v/>
      </c>
      <c r="L629" s="1268" t="str">
        <f>IF(AND(X629&gt;=3,CNTR_ReportingYear&gt;L628-1),AVERAGE(SUM(V622),SUM(W622)),"")</f>
        <v/>
      </c>
      <c r="M629" s="1268" t="str">
        <f>IF(AND(Y629&gt;=3,CNTR_ReportingYear&gt;M628-1),AVERAGE(SUM(W622),SUM(X622)),"")</f>
        <v/>
      </c>
      <c r="N629" s="1269" t="str">
        <f>IF(AND(Z629&gt;=3,CNTR_ReportingYear&gt;N628-1),AVERAGE(SUM(X622),SUM(Y622)),"")</f>
        <v/>
      </c>
      <c r="O629" s="302"/>
      <c r="P629" s="302"/>
      <c r="Q629" s="1270" t="str">
        <f>EUconst_CNTR_HEATInitial &amp; I575</f>
        <v>HEATIni_</v>
      </c>
      <c r="R629" s="694"/>
      <c r="S629" s="694"/>
      <c r="T629" s="694"/>
      <c r="U629" s="1231" t="s">
        <v>1710</v>
      </c>
      <c r="V629" s="1176">
        <f>V597</f>
        <v>0</v>
      </c>
      <c r="W629" s="1176">
        <f>W597</f>
        <v>0</v>
      </c>
      <c r="X629" s="1176">
        <f>X597</f>
        <v>0</v>
      </c>
      <c r="Y629" s="1176">
        <f>Y597</f>
        <v>0</v>
      </c>
      <c r="Z629" s="1216">
        <f>Z597</f>
        <v>0</v>
      </c>
      <c r="AA629" s="694"/>
      <c r="AB629" s="694"/>
      <c r="AC629" s="694"/>
      <c r="AD629" s="694"/>
      <c r="AE629" s="694"/>
      <c r="AF629" s="694"/>
      <c r="AG629" s="694"/>
      <c r="AH629" s="694"/>
      <c r="AI629" s="694"/>
      <c r="AJ629" s="694"/>
      <c r="AK629" s="694"/>
      <c r="AL629" s="694"/>
    </row>
    <row r="630" spans="1:38" ht="12.75" hidden="1" customHeight="1" x14ac:dyDescent="0.25">
      <c r="A630" s="729" t="s">
        <v>312</v>
      </c>
      <c r="B630" s="298"/>
      <c r="C630" s="298"/>
      <c r="D630" s="1208"/>
      <c r="E630" s="1209" t="str">
        <f>Translations!$B$1378</f>
        <v>Промяна в сравнение със стойността в НМИ</v>
      </c>
      <c r="F630" s="1209"/>
      <c r="G630" s="1209"/>
      <c r="H630" s="1222"/>
      <c r="I630" s="1223"/>
      <c r="J630" s="104" t="str">
        <f>IF(J629="","",IF($I632=0,IF(J629=0,0%,100%),J629/$I632-1))</f>
        <v/>
      </c>
      <c r="K630" s="99" t="str">
        <f>IF(K629="","",IF($I632=0,IF(K629=0,0%,100%),K629/$I632-1))</f>
        <v/>
      </c>
      <c r="L630" s="99" t="str">
        <f>IF(L629="","",IF($I632=0,IF(L629=0,0%,100%),L629/$I632-1))</f>
        <v/>
      </c>
      <c r="M630" s="99" t="str">
        <f>IF(M629="","",IF($I632=0,IF(M629=0,0%,100%),M629/$I632-1))</f>
        <v/>
      </c>
      <c r="N630" s="123" t="str">
        <f>IF(N629="","",IF($I632=0,IF(N629=0,0%,100%),N629/$I632-1))</f>
        <v/>
      </c>
      <c r="O630" s="302"/>
      <c r="P630" s="302"/>
      <c r="Q630" s="1190" t="str">
        <f>EUconst_CNTR_RelThreshold &amp; Q632</f>
        <v>RelThresh_HEATprelim_</v>
      </c>
      <c r="R630" s="694"/>
      <c r="S630" s="694"/>
      <c r="T630" s="694"/>
      <c r="U630" s="1231" t="s">
        <v>1715</v>
      </c>
      <c r="V630" s="727" t="str">
        <f>IF(J629="","",ABS(J630)&gt;15%)</f>
        <v/>
      </c>
      <c r="W630" s="727" t="str">
        <f>IF(K629="","",ABS(K630)&gt;15%)</f>
        <v/>
      </c>
      <c r="X630" s="727" t="str">
        <f>IF(L629="","",ABS(L630)&gt;15%)</f>
        <v/>
      </c>
      <c r="Y630" s="727" t="str">
        <f>IF(M629="","",ABS(M630)&gt;15%)</f>
        <v/>
      </c>
      <c r="Z630" s="1221" t="str">
        <f>IF(N629="","",ABS(N630)&gt;15%)</f>
        <v/>
      </c>
      <c r="AA630" s="694"/>
      <c r="AB630" s="694"/>
      <c r="AC630" s="694"/>
      <c r="AD630" s="694"/>
      <c r="AE630" s="694"/>
      <c r="AF630" s="694"/>
      <c r="AG630" s="694"/>
      <c r="AH630" s="694"/>
      <c r="AI630" s="694"/>
      <c r="AJ630" s="694"/>
      <c r="AK630" s="694"/>
      <c r="AL630" s="694"/>
    </row>
    <row r="631" spans="1:38" ht="12.75" customHeight="1" x14ac:dyDescent="0.25">
      <c r="A631" s="729"/>
      <c r="B631" s="298"/>
      <c r="C631" s="298"/>
      <c r="D631" s="1208" t="s">
        <v>7</v>
      </c>
      <c r="E631" s="1209" t="str">
        <f>Translations!$B$1322</f>
        <v>Предварителна корекция (ако са надвишени относителните прагове)</v>
      </c>
      <c r="F631" s="1209"/>
      <c r="G631" s="1209"/>
      <c r="H631" s="1222"/>
      <c r="I631" s="1223"/>
      <c r="J631" s="1224" t="str">
        <f>IF(J629="","",IF(V630=FALSE,0%,IF(V631,J630,I637)))</f>
        <v/>
      </c>
      <c r="K631" s="1225" t="str">
        <f>IF(K629="","",IF(W630=FALSE,0%,IF(W631,K630,J637)))</f>
        <v/>
      </c>
      <c r="L631" s="1225" t="str">
        <f>IF(L629="","",IF(X630=FALSE,0%,IF(X631,L630,K637)))</f>
        <v/>
      </c>
      <c r="M631" s="1225" t="str">
        <f>IF(M629="","",IF(Y630=FALSE,0%,IF(Y631,M630,L637)))</f>
        <v/>
      </c>
      <c r="N631" s="1226" t="str">
        <f>IF(N629="","",IF(Z630=FALSE,0%,IF(Z631,N630,M637)))</f>
        <v/>
      </c>
      <c r="O631" s="302"/>
      <c r="P631" s="302"/>
      <c r="Q631" s="729"/>
      <c r="R631" s="694"/>
      <c r="S631" s="694"/>
      <c r="T631" s="694"/>
      <c r="U631" s="1215" t="s">
        <v>1716</v>
      </c>
      <c r="V631" s="727" t="str">
        <f>IF(J629="","",AND(V630,IF(SUM(I637)&lt;0,OR(SUM(J630)&lt;SUM(I637)-MOD(SUM(I637),5%),J630&gt;=SUM(I637)+5%-MOD(SUM(I637),5%)),OR(SUM(J630)&lt;=SUM(I637)-MOD(SUM(I637),5%),SUM(J630)&gt;SUM(I637)+5%-MOD(SUM(I637),5%)))))</f>
        <v/>
      </c>
      <c r="W631" s="727" t="str">
        <f>IF(K629="","",AND(W630,IF(SUM(J637)&lt;0,OR(SUM(K630)&lt;SUM(J637)-MOD(SUM(J637),5%),K630&gt;=SUM(J637)+5%-MOD(SUM(J637),5%)),OR(SUM(K630)&lt;=SUM(J637)-MOD(SUM(J637),5%),SUM(K630)&gt;SUM(J637)+5%-MOD(SUM(J637),5%)))))</f>
        <v/>
      </c>
      <c r="X631" s="727" t="str">
        <f>IF(L629="","",AND(X630,IF(SUM(K637)&lt;0,OR(SUM(L630)&lt;SUM(K637)-MOD(SUM(K637),5%),L630&gt;=SUM(K637)+5%-MOD(SUM(K637),5%)),OR(SUM(L630)&lt;=SUM(K637)-MOD(SUM(K637),5%),SUM(L630)&gt;SUM(K637)+5%-MOD(SUM(K637),5%)))))</f>
        <v/>
      </c>
      <c r="Y631" s="727" t="str">
        <f>IF(M629="","",AND(Y630,IF(SUM(L637)&lt;0,OR(SUM(M630)&lt;SUM(L637)-MOD(SUM(L637),5%),M630&gt;=SUM(L637)+5%-MOD(SUM(L637),5%)),OR(SUM(M630)&lt;=SUM(L637)-MOD(SUM(L637),5%),SUM(M630)&gt;SUM(L637)+5%-MOD(SUM(L637),5%)))))</f>
        <v/>
      </c>
      <c r="Z631" s="1221" t="str">
        <f>IF(N629="","",AND(Z630,IF(SUM(M637)&lt;0,OR(SUM(N630)&lt;SUM(M637)-MOD(SUM(M637),5%),N630&gt;=SUM(M637)+5%-MOD(SUM(M637),5%)),OR(SUM(N630)&lt;=SUM(M637)-MOD(SUM(M637),5%),SUM(N630)&gt;SUM(M637)+5%-MOD(SUM(M637),5%)))))</f>
        <v/>
      </c>
      <c r="AA631" s="694"/>
      <c r="AB631" s="694"/>
      <c r="AC631" s="694"/>
      <c r="AD631" s="694"/>
      <c r="AE631" s="694"/>
      <c r="AF631" s="694"/>
      <c r="AG631" s="694"/>
      <c r="AH631" s="694"/>
      <c r="AI631" s="694"/>
      <c r="AJ631" s="694"/>
      <c r="AK631" s="694"/>
      <c r="AL631" s="729"/>
    </row>
    <row r="632" spans="1:38" ht="12.75" hidden="1" customHeight="1" x14ac:dyDescent="0.25">
      <c r="A632" s="729" t="s">
        <v>312</v>
      </c>
      <c r="B632" s="298"/>
      <c r="C632" s="298"/>
      <c r="D632" s="1208"/>
      <c r="E632" s="1209" t="str">
        <f>Translations!$B$1377</f>
        <v>Предварителна стойност</v>
      </c>
      <c r="F632" s="1209"/>
      <c r="G632" s="1209"/>
      <c r="H632" s="1266" t="str">
        <f>H629</f>
        <v>t CO2</v>
      </c>
      <c r="I632" s="1211" t="str">
        <f>IF($I575="","",IF(AB575=FALSE,EUconst_NA,IF(V575&gt;($J$2831-3),SUM(INDEX(H622:N622,MATCH(V575,H621:N621,0))*EUconst_HeatBMvalue),SUM(I629))))</f>
        <v/>
      </c>
      <c r="J632" s="1212" t="str">
        <f>IF($I575="","",IF(V629&lt;2,SUM(V622),IF(V629&lt;3,SUM(U622),IF(V632="",I632,V632))))</f>
        <v/>
      </c>
      <c r="K632" s="1213" t="str">
        <f>IF($I575="","",IF(W629&lt;2,SUM(W622),IF(W629&lt;3,SUM(V622),IF(W632="",J632,W632))))</f>
        <v/>
      </c>
      <c r="L632" s="1213" t="str">
        <f>IF($I575="","",IF(X629&lt;2,SUM(X622),IF(X629&lt;3,SUM(W622),IF(X632="",K632,X632))))</f>
        <v/>
      </c>
      <c r="M632" s="1213" t="str">
        <f>IF($I575="","",IF(Y629&lt;2,SUM(Y622),IF(Y629&lt;3,SUM(X622),IF(Y632="",L632,Y632))))</f>
        <v/>
      </c>
      <c r="N632" s="1214" t="str">
        <f>IF($I575="","",IF(Z629&lt;2,SUM(Z622),IF(Z629&lt;3,SUM(Y622),IF(Z632="",M632,Z632))))</f>
        <v/>
      </c>
      <c r="O632" s="302"/>
      <c r="P632" s="302"/>
      <c r="Q632" s="1190" t="str">
        <f>EUconst_CNTR_HEATprelim &amp; I575</f>
        <v>HEATprelim_</v>
      </c>
      <c r="R632" s="694"/>
      <c r="S632" s="694"/>
      <c r="T632" s="694"/>
      <c r="U632" s="1231" t="s">
        <v>1756</v>
      </c>
      <c r="V632" s="1271" t="str">
        <f>IF(J629="","",IF(CNTR_ReportingYear&lt;J628,I631,IF($I632=0,J629,$I632*(1+J631))))</f>
        <v/>
      </c>
      <c r="W632" s="1271" t="str">
        <f>IF(K629="","",IF(CNTR_ReportingYear&lt;K628,J631,IF($I632=0,K629,$I632*(1+K631))))</f>
        <v/>
      </c>
      <c r="X632" s="1271" t="str">
        <f>IF(L629="","",IF(CNTR_ReportingYear&lt;L628,K631,IF($I632=0,L629,$I632*(1+L631))))</f>
        <v/>
      </c>
      <c r="Y632" s="1271" t="str">
        <f>IF(M629="","",IF(CNTR_ReportingYear&lt;M628,L631,IF($I632=0,M629,$I632*(1+M631))))</f>
        <v/>
      </c>
      <c r="Z632" s="1272" t="str">
        <f>IF(N629="","",IF(CNTR_ReportingYear&lt;N628,M631,IF($I632=0,N629,$I632*(1+N631))))</f>
        <v/>
      </c>
      <c r="AA632" s="694"/>
      <c r="AB632" s="694"/>
      <c r="AC632" s="694"/>
      <c r="AD632" s="694"/>
      <c r="AE632" s="694"/>
      <c r="AF632" s="694"/>
      <c r="AG632" s="694"/>
      <c r="AH632" s="694"/>
      <c r="AI632" s="694"/>
      <c r="AJ632" s="694"/>
      <c r="AK632" s="694"/>
      <c r="AL632" s="729"/>
    </row>
    <row r="633" spans="1:38" ht="5.15" customHeight="1" x14ac:dyDescent="0.25">
      <c r="A633" s="729"/>
      <c r="B633" s="298"/>
      <c r="C633" s="298"/>
      <c r="D633" s="1208"/>
      <c r="E633" s="1199"/>
      <c r="F633" s="1199"/>
      <c r="G633" s="1199"/>
      <c r="H633" s="1199"/>
      <c r="I633" s="1199"/>
      <c r="J633" s="1229"/>
      <c r="K633" s="1229"/>
      <c r="L633" s="1229"/>
      <c r="M633" s="1229"/>
      <c r="N633" s="1230"/>
      <c r="O633" s="302"/>
      <c r="P633" s="302"/>
      <c r="Q633" s="729"/>
      <c r="R633" s="694"/>
      <c r="S633" s="694"/>
      <c r="T633" s="694"/>
      <c r="U633" s="1231"/>
      <c r="V633" s="729"/>
      <c r="W633" s="694"/>
      <c r="X633" s="694"/>
      <c r="Y633" s="694"/>
      <c r="Z633" s="1232"/>
      <c r="AA633" s="694"/>
      <c r="AB633" s="694"/>
      <c r="AC633" s="694"/>
      <c r="AD633" s="694"/>
      <c r="AE633" s="694"/>
      <c r="AF633" s="694"/>
      <c r="AG633" s="694"/>
      <c r="AH633" s="694"/>
      <c r="AI633" s="694"/>
      <c r="AJ633" s="694"/>
      <c r="AK633" s="694"/>
      <c r="AL633" s="729"/>
    </row>
    <row r="634" spans="1:38" ht="12.75" customHeight="1" x14ac:dyDescent="0.25">
      <c r="A634" s="729"/>
      <c r="B634" s="298"/>
      <c r="C634" s="298"/>
      <c r="D634" s="1208"/>
      <c r="E634" s="1233" t="str">
        <f>Translations!$B$1323</f>
        <v>Действителна корекция (база за следващи години)</v>
      </c>
      <c r="F634" s="1233"/>
      <c r="G634" s="1233"/>
      <c r="H634" s="1233"/>
      <c r="I634" s="1233"/>
      <c r="J634" s="1202">
        <f>J$2831</f>
        <v>2026</v>
      </c>
      <c r="K634" s="1203">
        <f>K$2831</f>
        <v>2027</v>
      </c>
      <c r="L634" s="1203">
        <f>L$2831</f>
        <v>2028</v>
      </c>
      <c r="M634" s="1203">
        <f>M$2831</f>
        <v>2029</v>
      </c>
      <c r="N634" s="1204">
        <f>N$2831</f>
        <v>2030</v>
      </c>
      <c r="O634" s="302"/>
      <c r="P634" s="302"/>
      <c r="Q634" s="729"/>
      <c r="R634" s="694"/>
      <c r="S634" s="694"/>
      <c r="T634" s="694"/>
      <c r="U634" s="1234"/>
      <c r="V634" s="694"/>
      <c r="W634" s="694"/>
      <c r="X634" s="694"/>
      <c r="Y634" s="694"/>
      <c r="Z634" s="1232"/>
      <c r="AA634" s="694"/>
      <c r="AB634" s="694"/>
      <c r="AC634" s="694"/>
      <c r="AD634" s="694"/>
      <c r="AE634" s="694"/>
      <c r="AF634" s="694"/>
      <c r="AG634" s="694"/>
      <c r="AH634" s="694"/>
      <c r="AI634" s="694"/>
      <c r="AJ634" s="694"/>
      <c r="AK634" s="694"/>
      <c r="AL634" s="729"/>
    </row>
    <row r="635" spans="1:38" ht="12.75" customHeight="1" x14ac:dyDescent="0.25">
      <c r="A635" s="729"/>
      <c r="B635" s="298"/>
      <c r="C635" s="298"/>
      <c r="D635" s="1208" t="s">
        <v>8</v>
      </c>
      <c r="E635" s="1209" t="str">
        <f>Translations!$B$1515</f>
        <v>изпълнен ли е критерият за &gt;=300 квоти за емисии?</v>
      </c>
      <c r="F635" s="1209"/>
      <c r="G635" s="1209"/>
      <c r="H635" s="1209"/>
      <c r="I635" s="1209"/>
      <c r="J635" s="1236" t="str">
        <f>IF($I575="","",INDEX(K_Summary!J:J,MATCH($Q635,K_Summary!$P:$P,0)))</f>
        <v/>
      </c>
      <c r="K635" s="385" t="str">
        <f>IF($I575="","",INDEX(K_Summary!K:K,MATCH($Q635,K_Summary!$P:$P,0)))</f>
        <v/>
      </c>
      <c r="L635" s="385" t="str">
        <f>IF($I575="","",INDEX(K_Summary!L:L,MATCH($Q635,K_Summary!$P:$P,0)))</f>
        <v/>
      </c>
      <c r="M635" s="385" t="str">
        <f>IF($I575="","",INDEX(K_Summary!M:M,MATCH($Q635,K_Summary!$P:$P,0)))</f>
        <v/>
      </c>
      <c r="N635" s="1237" t="str">
        <f>IF($I575="","",INDEX(K_Summary!N:N,MATCH($Q635,K_Summary!$P:$P,0)))</f>
        <v/>
      </c>
      <c r="O635" s="302"/>
      <c r="P635" s="302"/>
      <c r="Q635" s="1182" t="str">
        <f>EUconst_CNTR_300EUA&amp;I575</f>
        <v>EUA300_</v>
      </c>
      <c r="R635" s="694"/>
      <c r="S635" s="694"/>
      <c r="T635" s="694"/>
      <c r="U635" s="1234"/>
      <c r="V635" s="694"/>
      <c r="W635" s="694"/>
      <c r="X635" s="694"/>
      <c r="Y635" s="694"/>
      <c r="Z635" s="1232"/>
      <c r="AA635" s="694"/>
      <c r="AB635" s="694"/>
      <c r="AC635" s="694"/>
      <c r="AD635" s="694"/>
      <c r="AE635" s="694"/>
      <c r="AF635" s="694"/>
      <c r="AG635" s="694"/>
      <c r="AH635" s="694"/>
      <c r="AI635" s="694"/>
      <c r="AJ635" s="694"/>
      <c r="AK635" s="694"/>
      <c r="AL635" s="729"/>
    </row>
    <row r="636" spans="1:38" ht="5.15" customHeight="1" thickBot="1" x14ac:dyDescent="0.3">
      <c r="A636" s="729"/>
      <c r="B636" s="298"/>
      <c r="C636" s="298"/>
      <c r="D636" s="1208"/>
      <c r="E636" s="1199"/>
      <c r="F636" s="1199"/>
      <c r="G636" s="1199"/>
      <c r="H636" s="1199"/>
      <c r="I636" s="1199"/>
      <c r="J636" s="1199"/>
      <c r="K636" s="1199"/>
      <c r="L636" s="1199"/>
      <c r="M636" s="1199"/>
      <c r="N636" s="1238"/>
      <c r="O636" s="302"/>
      <c r="P636" s="302"/>
      <c r="Q636" s="729"/>
      <c r="R636" s="694"/>
      <c r="S636" s="694"/>
      <c r="T636" s="694"/>
      <c r="U636" s="1231"/>
      <c r="V636" s="729"/>
      <c r="W636" s="694"/>
      <c r="X636" s="694"/>
      <c r="Y636" s="694"/>
      <c r="Z636" s="1232"/>
      <c r="AA636" s="694"/>
      <c r="AB636" s="694"/>
      <c r="AC636" s="694"/>
      <c r="AD636" s="694"/>
      <c r="AE636" s="694"/>
      <c r="AF636" s="694"/>
      <c r="AG636" s="694"/>
      <c r="AH636" s="694"/>
      <c r="AI636" s="694"/>
      <c r="AJ636" s="694"/>
      <c r="AK636" s="694"/>
      <c r="AL636" s="729"/>
    </row>
    <row r="637" spans="1:38" ht="12.75" customHeight="1" thickBot="1" x14ac:dyDescent="0.3">
      <c r="A637" s="694"/>
      <c r="B637" s="298"/>
      <c r="C637" s="298"/>
      <c r="D637" s="1208" t="s">
        <v>18</v>
      </c>
      <c r="E637" s="1209" t="str">
        <f>Translations!$B$1324</f>
        <v>Действителна корекция (ако са надвишени всички прагове)</v>
      </c>
      <c r="F637" s="1209"/>
      <c r="G637" s="1209"/>
      <c r="H637" s="1222"/>
      <c r="I637" s="1239"/>
      <c r="J637" s="1240" t="str">
        <f>IF(J635="","",IF(OR(J635,V629&lt;1),J631,I637))</f>
        <v/>
      </c>
      <c r="K637" s="1241" t="str">
        <f>IF(K635="","",IF(OR(K635,W629&lt;1),K631,J637))</f>
        <v/>
      </c>
      <c r="L637" s="1241" t="str">
        <f>IF(L635="","",IF(OR(L635,X629&lt;1),L631,K637))</f>
        <v/>
      </c>
      <c r="M637" s="1241" t="str">
        <f>IF(M635="","",IF(OR(M635,Y629&lt;1),M631,L637))</f>
        <v/>
      </c>
      <c r="N637" s="1242" t="str">
        <f>IF(N635="","",IF(OR(N635,Z629&lt;1),N631,M637))</f>
        <v/>
      </c>
      <c r="O637" s="302"/>
      <c r="P637" s="302"/>
      <c r="Q637" s="729"/>
      <c r="R637" s="694"/>
      <c r="S637" s="694"/>
      <c r="T637" s="694"/>
      <c r="U637" s="1231" t="s">
        <v>1718</v>
      </c>
      <c r="V637" s="1243">
        <f>J634</f>
        <v>2026</v>
      </c>
      <c r="W637" s="1243">
        <f>K634</f>
        <v>2027</v>
      </c>
      <c r="X637" s="1243">
        <f>L634</f>
        <v>2028</v>
      </c>
      <c r="Y637" s="1243">
        <f>M634</f>
        <v>2029</v>
      </c>
      <c r="Z637" s="1244">
        <f>N634</f>
        <v>2030</v>
      </c>
      <c r="AA637" s="694"/>
      <c r="AB637" s="694"/>
      <c r="AC637" s="694"/>
      <c r="AD637" s="694"/>
      <c r="AE637" s="694"/>
      <c r="AF637" s="694"/>
      <c r="AG637" s="694"/>
      <c r="AH637" s="694"/>
      <c r="AI637" s="694"/>
      <c r="AJ637" s="694"/>
      <c r="AK637" s="694"/>
      <c r="AL637" s="729"/>
    </row>
    <row r="638" spans="1:38" ht="12.75" customHeight="1" thickBot="1" x14ac:dyDescent="0.3">
      <c r="A638" s="729"/>
      <c r="B638" s="298"/>
      <c r="C638" s="298"/>
      <c r="D638" s="1208" t="s">
        <v>810</v>
      </c>
      <c r="E638" s="1209" t="str">
        <f>Translations!$B$1325</f>
        <v>Действителна стойност</v>
      </c>
      <c r="F638" s="1209"/>
      <c r="G638" s="1209"/>
      <c r="H638" s="1266" t="str">
        <f>H629</f>
        <v>t CO2</v>
      </c>
      <c r="I638" s="1211" t="str">
        <f>I632</f>
        <v/>
      </c>
      <c r="J638" s="632" t="str">
        <f>IF($I575="","",IF(OR($I638=0,$I638=EUconst_NA,J637=""),IF(OR(J635=TRUE,J634&lt;=$V575),J632,SUM(I638)),$I638*(1+SUM(J637))))</f>
        <v/>
      </c>
      <c r="K638" s="633" t="str">
        <f>IF($I575="","",IF(OR($I638=0,$I638=EUconst_NA,K637=""),IF(OR(K635=TRUE,K634&lt;=$V575),K632,SUM(J638)),$I638*(1+SUM(K637))))</f>
        <v/>
      </c>
      <c r="L638" s="633" t="str">
        <f>IF($I575="","",IF(OR($I638=0,$I638=EUconst_NA,L637=""),IF(OR(L635=TRUE,L634&lt;=$V575),L632,SUM(K638)),$I638*(1+SUM(L637))))</f>
        <v/>
      </c>
      <c r="M638" s="633" t="str">
        <f>IF($I575="","",IF(OR($I638=0,$I638=EUconst_NA,M637=""),IF(OR(M635=TRUE,M634&lt;=$V575),M632,SUM(L638)),$I638*(1+SUM(M637))))</f>
        <v/>
      </c>
      <c r="N638" s="634" t="str">
        <f>IF($I575="","",IF(OR($I638=0,$I638=EUconst_NA,N637=""),IF(OR(N635=TRUE,N634&lt;=$V575),N632,SUM(M638)),$I638*(1+SUM(N637))))</f>
        <v/>
      </c>
      <c r="O638" s="302"/>
      <c r="P638" s="302"/>
      <c r="Q638" s="1190" t="str">
        <f>EUconst_CNTR_HEATfinal &amp; I575</f>
        <v>HEATfinal_</v>
      </c>
      <c r="R638" s="694"/>
      <c r="S638" s="694"/>
      <c r="T638" s="694"/>
      <c r="U638" s="1245" t="b">
        <v>0</v>
      </c>
      <c r="V638" s="1246" t="str">
        <f>IF(V583,IF(J635=TRUE,V630,U638),"")</f>
        <v/>
      </c>
      <c r="W638" s="1246" t="str">
        <f>IF(W583,IF(K635=TRUE,W630,V638),"")</f>
        <v/>
      </c>
      <c r="X638" s="1246" t="str">
        <f>IF(X583,IF(L635=TRUE,X630,W638),"")</f>
        <v/>
      </c>
      <c r="Y638" s="1246" t="str">
        <f>IF(Y583,IF(M635=TRUE,Y630,X638),"")</f>
        <v/>
      </c>
      <c r="Z638" s="1247" t="str">
        <f>IF(Z583,IF(N635=TRUE,Z630,Y638),"")</f>
        <v/>
      </c>
      <c r="AA638" s="694"/>
      <c r="AB638" s="694"/>
      <c r="AC638" s="694"/>
      <c r="AD638" s="694"/>
      <c r="AE638" s="694"/>
      <c r="AF638" s="694"/>
      <c r="AG638" s="694"/>
      <c r="AH638" s="694"/>
      <c r="AI638" s="694"/>
      <c r="AJ638" s="1174" t="s">
        <v>2033</v>
      </c>
      <c r="AK638" s="982" t="str">
        <f>IF(OR(ISERROR(J638),ISERROR(K638),ISERROR(L638),ISERROR(M638),ISERROR(N638)),EUconst_Error &amp; "BM" &amp; Q575,"")</f>
        <v/>
      </c>
      <c r="AL638" s="694"/>
    </row>
    <row r="639" spans="1:38" ht="5.15" customHeight="1" thickBot="1" x14ac:dyDescent="0.3">
      <c r="A639" s="694"/>
      <c r="B639" s="698"/>
      <c r="C639" s="698"/>
      <c r="D639" s="1273"/>
      <c r="E639" s="1274"/>
      <c r="F639" s="1274"/>
      <c r="G639" s="1274"/>
      <c r="H639" s="1274"/>
      <c r="I639" s="1275"/>
      <c r="J639" s="1274"/>
      <c r="K639" s="1274"/>
      <c r="L639" s="1274"/>
      <c r="M639" s="1274"/>
      <c r="N639" s="1276"/>
      <c r="O639" s="302"/>
      <c r="P639" s="302"/>
      <c r="Q639" s="1263"/>
      <c r="R639" s="694"/>
      <c r="S639" s="729"/>
      <c r="T639" s="729"/>
      <c r="U639" s="694"/>
      <c r="V639" s="694"/>
      <c r="W639" s="694"/>
      <c r="X639" s="694"/>
      <c r="Y639" s="694"/>
      <c r="Z639" s="694"/>
      <c r="AA639" s="694"/>
      <c r="AB639" s="694"/>
      <c r="AC639" s="694"/>
      <c r="AD639" s="694"/>
      <c r="AE639" s="694"/>
      <c r="AF639" s="694"/>
      <c r="AG639" s="694"/>
      <c r="AH639" s="694"/>
      <c r="AI639" s="694"/>
      <c r="AJ639" s="694"/>
      <c r="AK639" s="694"/>
      <c r="AL639" s="694"/>
    </row>
    <row r="640" spans="1:38" ht="5.15" customHeight="1" x14ac:dyDescent="0.25">
      <c r="A640" s="694"/>
      <c r="B640" s="698"/>
      <c r="C640" s="698"/>
      <c r="D640" s="698"/>
      <c r="E640" s="698"/>
      <c r="F640" s="698"/>
      <c r="G640" s="698"/>
      <c r="H640" s="698"/>
      <c r="I640" s="1025"/>
      <c r="J640" s="698"/>
      <c r="K640" s="698"/>
      <c r="L640" s="698"/>
      <c r="M640" s="698"/>
      <c r="N640" s="698"/>
      <c r="O640" s="302"/>
      <c r="P640" s="302"/>
      <c r="Q640" s="1263"/>
      <c r="R640" s="694"/>
      <c r="S640" s="729"/>
      <c r="T640" s="729"/>
      <c r="U640" s="694"/>
      <c r="V640" s="694"/>
      <c r="W640" s="694"/>
      <c r="X640" s="694"/>
      <c r="Y640" s="694"/>
      <c r="Z640" s="694"/>
      <c r="AA640" s="694"/>
      <c r="AB640" s="694"/>
      <c r="AC640" s="694"/>
      <c r="AD640" s="694"/>
      <c r="AE640" s="694"/>
      <c r="AF640" s="694"/>
      <c r="AG640" s="694"/>
      <c r="AH640" s="694"/>
      <c r="AI640" s="694"/>
      <c r="AJ640" s="694"/>
      <c r="AK640" s="694"/>
      <c r="AL640" s="694"/>
    </row>
    <row r="641" spans="1:38" ht="14" x14ac:dyDescent="0.25">
      <c r="A641" s="694"/>
      <c r="B641" s="698"/>
      <c r="C641" s="358"/>
      <c r="D641" s="2323" t="str">
        <f>Translations!$B$495</f>
        <v>Данни за производството</v>
      </c>
      <c r="E641" s="2249"/>
      <c r="F641" s="2249"/>
      <c r="G641" s="2249"/>
      <c r="H641" s="2249"/>
      <c r="I641" s="2249"/>
      <c r="J641" s="2249"/>
      <c r="K641" s="2249"/>
      <c r="L641" s="2249"/>
      <c r="M641" s="2249"/>
      <c r="N641" s="2249"/>
      <c r="O641" s="302"/>
      <c r="P641" s="302"/>
      <c r="Q641" s="694"/>
      <c r="R641" s="694"/>
      <c r="S641" s="729"/>
      <c r="T641" s="729"/>
      <c r="U641" s="694"/>
      <c r="V641" s="694"/>
      <c r="W641" s="694"/>
      <c r="X641" s="694"/>
      <c r="Y641" s="694"/>
      <c r="Z641" s="694"/>
      <c r="AA641" s="694"/>
      <c r="AB641" s="694"/>
      <c r="AC641" s="694"/>
      <c r="AD641" s="694"/>
      <c r="AE641" s="694"/>
      <c r="AF641" s="694"/>
      <c r="AG641" s="694"/>
      <c r="AH641" s="694"/>
      <c r="AI641" s="694"/>
      <c r="AJ641" s="694"/>
      <c r="AK641" s="694"/>
      <c r="AL641" s="694"/>
    </row>
    <row r="642" spans="1:38" ht="5.15" customHeight="1" x14ac:dyDescent="0.25">
      <c r="A642" s="694"/>
      <c r="B642" s="298"/>
      <c r="C642" s="298"/>
      <c r="D642" s="298"/>
      <c r="E642" s="298"/>
      <c r="F642" s="298"/>
      <c r="G642" s="298"/>
      <c r="H642" s="298"/>
      <c r="I642" s="298"/>
      <c r="J642" s="298"/>
      <c r="K642" s="298"/>
      <c r="L642" s="298"/>
      <c r="M642" s="298"/>
      <c r="N642" s="298"/>
      <c r="O642" s="302"/>
      <c r="P642" s="302"/>
      <c r="Q642" s="729"/>
      <c r="R642" s="729"/>
      <c r="S642" s="729"/>
      <c r="T642" s="729"/>
      <c r="U642" s="694"/>
      <c r="V642" s="694"/>
      <c r="W642" s="694"/>
      <c r="X642" s="694"/>
      <c r="Y642" s="694"/>
      <c r="Z642" s="694"/>
      <c r="AA642" s="694"/>
      <c r="AB642" s="694"/>
      <c r="AC642" s="694"/>
      <c r="AD642" s="694"/>
      <c r="AE642" s="694"/>
      <c r="AF642" s="694"/>
      <c r="AG642" s="694"/>
      <c r="AH642" s="694"/>
      <c r="AI642" s="694"/>
      <c r="AJ642" s="694"/>
      <c r="AK642" s="694"/>
      <c r="AL642" s="694"/>
    </row>
    <row r="643" spans="1:38" ht="13" x14ac:dyDescent="0.25">
      <c r="A643" s="694"/>
      <c r="B643" s="298"/>
      <c r="C643" s="300"/>
      <c r="D643" s="300" t="s">
        <v>54</v>
      </c>
      <c r="E643" s="2226" t="str">
        <f>Translations!$B$496</f>
        <v>Идентификация на продуктите, включени в тази подинсталация с продуктов показател</v>
      </c>
      <c r="F643" s="2249"/>
      <c r="G643" s="2249"/>
      <c r="H643" s="2249"/>
      <c r="I643" s="2249"/>
      <c r="J643" s="2249"/>
      <c r="K643" s="2249"/>
      <c r="L643" s="2249"/>
      <c r="M643" s="2249"/>
      <c r="N643" s="2249"/>
      <c r="O643" s="302"/>
      <c r="P643" s="302"/>
      <c r="Q643" s="729"/>
      <c r="R643" s="694"/>
      <c r="S643" s="729"/>
      <c r="T643" s="729"/>
      <c r="U643" s="694"/>
      <c r="V643" s="694"/>
      <c r="W643" s="694"/>
      <c r="X643" s="694"/>
      <c r="Y643" s="694"/>
      <c r="Z643" s="694"/>
      <c r="AA643" s="694"/>
      <c r="AB643" s="694"/>
      <c r="AC643" s="694"/>
      <c r="AD643" s="694"/>
      <c r="AE643" s="694"/>
      <c r="AF643" s="694"/>
      <c r="AG643" s="694"/>
      <c r="AH643" s="694"/>
      <c r="AI643" s="694"/>
      <c r="AJ643" s="694"/>
      <c r="AK643" s="694"/>
      <c r="AL643" s="694"/>
    </row>
    <row r="644" spans="1:38" ht="5.15" customHeight="1" x14ac:dyDescent="0.25">
      <c r="A644" s="694"/>
      <c r="B644" s="298"/>
      <c r="C644" s="302"/>
      <c r="D644" s="302"/>
      <c r="E644" s="2358" t="str">
        <f>Translations!$B$1518</f>
        <v xml:space="preserve"> </v>
      </c>
      <c r="F644" s="2249"/>
      <c r="G644" s="2249"/>
      <c r="H644" s="2249"/>
      <c r="I644" s="2249"/>
      <c r="J644" s="2249"/>
      <c r="K644" s="2249"/>
      <c r="L644" s="2249"/>
      <c r="M644" s="2249"/>
      <c r="N644" s="2249"/>
      <c r="O644" s="302"/>
      <c r="P644" s="302"/>
      <c r="Q644" s="729"/>
      <c r="R644" s="694"/>
      <c r="S644" s="729"/>
      <c r="T644" s="729"/>
      <c r="U644" s="694"/>
      <c r="V644" s="694"/>
      <c r="W644" s="694"/>
      <c r="X644" s="694"/>
      <c r="Y644" s="694"/>
      <c r="Z644" s="694"/>
      <c r="AA644" s="694"/>
      <c r="AB644" s="694"/>
      <c r="AC644" s="694"/>
      <c r="AD644" s="694"/>
      <c r="AE644" s="694"/>
      <c r="AF644" s="694"/>
      <c r="AG644" s="694"/>
      <c r="AH644" s="694"/>
      <c r="AI644" s="694"/>
      <c r="AJ644" s="694"/>
      <c r="AK644" s="694"/>
      <c r="AL644" s="694"/>
    </row>
    <row r="645" spans="1:38" ht="25.5" customHeight="1" x14ac:dyDescent="0.25">
      <c r="A645" s="694"/>
      <c r="B645" s="298"/>
      <c r="C645" s="302"/>
      <c r="D645" s="302"/>
      <c r="E645" s="2358" t="str">
        <f>Translations!$B$497</f>
        <v>Кодовете по Продком се въвеждат като низове във вида „nnnnnnnn“, т.е. без точки или други разделителни знаци между тях. Само когато липсва код по Продком, се посочва 4-цифрения код по статистическата класификация на икономическите дейности в Европейския съюз (NACE) във вида „nnnn“.</v>
      </c>
      <c r="F645" s="2249"/>
      <c r="G645" s="2249"/>
      <c r="H645" s="2249"/>
      <c r="I645" s="2249"/>
      <c r="J645" s="2249"/>
      <c r="K645" s="2249"/>
      <c r="L645" s="2249"/>
      <c r="M645" s="2249"/>
      <c r="N645" s="2249"/>
      <c r="O645" s="302"/>
      <c r="P645" s="302"/>
      <c r="Q645" s="729"/>
      <c r="R645" s="694"/>
      <c r="S645" s="729"/>
      <c r="T645" s="729"/>
      <c r="U645" s="694"/>
      <c r="V645" s="694"/>
      <c r="W645" s="694"/>
      <c r="X645" s="694"/>
      <c r="Y645" s="694"/>
      <c r="Z645" s="694"/>
      <c r="AA645" s="694"/>
      <c r="AB645" s="694"/>
      <c r="AC645" s="694"/>
      <c r="AD645" s="694"/>
      <c r="AE645" s="694"/>
      <c r="AF645" s="694"/>
      <c r="AG645" s="694"/>
      <c r="AH645" s="694"/>
      <c r="AI645" s="694"/>
      <c r="AJ645" s="694"/>
      <c r="AK645" s="694"/>
      <c r="AL645" s="694"/>
    </row>
    <row r="646" spans="1:38" x14ac:dyDescent="0.25">
      <c r="A646" s="694"/>
      <c r="B646" s="298"/>
      <c r="C646" s="302"/>
      <c r="D646" s="302"/>
      <c r="E646" s="2358" t="str">
        <f>Translations!$B$498</f>
        <v>Продком списъкът за 2010 г. може да се намери на адрес: http://ec.europa.eu/eurostat/ramon/nomenclatures/index.cfm?TargetUrl=LST_CLS_DLD&amp;StrNom=PRD_2010&amp;StrLanguageCode=EN&amp;StrLayoutCode=HIERARCHIChttp://ec.europa.eu/eurostat/ramon/nomenclatures/index.cfm?TargetUrl=LST_CLS_DLD&amp;StrNom=PRD_2010&amp;StrLanguageCode=EN&amp;StrLayoutCode=HIERARCHIC</v>
      </c>
      <c r="F646" s="2249"/>
      <c r="G646" s="2249"/>
      <c r="H646" s="2249"/>
      <c r="I646" s="2249"/>
      <c r="J646" s="2249"/>
      <c r="K646" s="2249"/>
      <c r="L646" s="2249"/>
      <c r="M646" s="2249"/>
      <c r="N646" s="2249"/>
      <c r="O646" s="302"/>
      <c r="P646" s="302"/>
      <c r="Q646" s="729"/>
      <c r="R646" s="694"/>
      <c r="S646" s="729"/>
      <c r="T646" s="729"/>
      <c r="U646" s="694"/>
      <c r="V646" s="694"/>
      <c r="W646" s="694"/>
      <c r="X646" s="694"/>
      <c r="Y646" s="694"/>
      <c r="Z646" s="694"/>
      <c r="AA646" s="694"/>
      <c r="AB646" s="694"/>
      <c r="AC646" s="694"/>
      <c r="AD646" s="694"/>
      <c r="AE646" s="694"/>
      <c r="AF646" s="694"/>
      <c r="AG646" s="694"/>
      <c r="AH646" s="694"/>
      <c r="AI646" s="694"/>
      <c r="AJ646" s="694"/>
      <c r="AK646" s="694"/>
      <c r="AL646" s="694"/>
    </row>
    <row r="647" spans="1:38" x14ac:dyDescent="0.25">
      <c r="A647" s="694"/>
      <c r="B647" s="298"/>
      <c r="C647" s="302"/>
      <c r="D647" s="302"/>
      <c r="E647" s="2855" t="str">
        <f>Translations!$B$1519</f>
        <v>https://eur-lex.europa.eu/eli/reg/2010/860/oj/bul</v>
      </c>
      <c r="F647" s="2856"/>
      <c r="G647" s="2856"/>
      <c r="H647" s="2856"/>
      <c r="I647" s="2856"/>
      <c r="J647" s="2856"/>
      <c r="K647" s="2856"/>
      <c r="L647" s="2856"/>
      <c r="M647" s="2856"/>
      <c r="N647" s="2856"/>
      <c r="O647" s="302"/>
      <c r="P647" s="302"/>
      <c r="Q647" s="729"/>
      <c r="R647" s="694"/>
      <c r="S647" s="729"/>
      <c r="T647" s="729"/>
      <c r="U647" s="694"/>
      <c r="V647" s="694"/>
      <c r="W647" s="694"/>
      <c r="X647" s="694"/>
      <c r="Y647" s="694"/>
      <c r="Z647" s="694"/>
      <c r="AA647" s="694"/>
      <c r="AB647" s="694"/>
      <c r="AC647" s="694"/>
      <c r="AD647" s="694"/>
      <c r="AE647" s="694"/>
      <c r="AF647" s="694"/>
      <c r="AG647" s="694"/>
      <c r="AH647" s="694"/>
      <c r="AI647" s="694"/>
      <c r="AJ647" s="694"/>
      <c r="AK647" s="694"/>
      <c r="AL647" s="694"/>
    </row>
    <row r="648" spans="1:38" x14ac:dyDescent="0.25">
      <c r="A648" s="694"/>
      <c r="B648" s="298"/>
      <c r="C648" s="302"/>
      <c r="D648" s="302"/>
      <c r="E648" s="2358" t="str">
        <f>Translations!$B$1520</f>
        <v>Кодовете по КН са кодовете съгласно Регламент (ЕИО) № 2658/87, които са на разположение на следния адрес:</v>
      </c>
      <c r="F648" s="2249"/>
      <c r="G648" s="2249"/>
      <c r="H648" s="2249"/>
      <c r="I648" s="2249"/>
      <c r="J648" s="2249"/>
      <c r="K648" s="2249"/>
      <c r="L648" s="2249"/>
      <c r="M648" s="2249"/>
      <c r="N648" s="2249"/>
      <c r="O648" s="302"/>
      <c r="P648" s="302"/>
      <c r="Q648" s="729"/>
      <c r="R648" s="694"/>
      <c r="S648" s="729"/>
      <c r="T648" s="729"/>
      <c r="U648" s="694"/>
      <c r="V648" s="694"/>
      <c r="W648" s="694"/>
      <c r="X648" s="694"/>
      <c r="Y648" s="694"/>
      <c r="Z648" s="694"/>
      <c r="AA648" s="694"/>
      <c r="AB648" s="694"/>
      <c r="AC648" s="694"/>
      <c r="AD648" s="694"/>
      <c r="AE648" s="694"/>
      <c r="AF648" s="694"/>
      <c r="AG648" s="694"/>
      <c r="AH648" s="694"/>
      <c r="AI648" s="694"/>
      <c r="AJ648" s="694"/>
      <c r="AK648" s="694"/>
      <c r="AL648" s="694"/>
    </row>
    <row r="649" spans="1:38" x14ac:dyDescent="0.25">
      <c r="A649" s="694"/>
      <c r="B649" s="298"/>
      <c r="C649" s="302"/>
      <c r="D649" s="302"/>
      <c r="E649" s="2855" t="str">
        <f>Translations!$B$1521</f>
        <v>https://eur-lex.europa.eu/eli/reg/1987/2658/2023-06-17</v>
      </c>
      <c r="F649" s="2856"/>
      <c r="G649" s="2856"/>
      <c r="H649" s="2856"/>
      <c r="I649" s="2856"/>
      <c r="J649" s="2856"/>
      <c r="K649" s="2856"/>
      <c r="L649" s="2856"/>
      <c r="M649" s="2856"/>
      <c r="N649" s="2856"/>
      <c r="O649" s="302"/>
      <c r="P649" s="302"/>
      <c r="Q649" s="729"/>
      <c r="R649" s="694"/>
      <c r="S649" s="729"/>
      <c r="T649" s="729"/>
      <c r="U649" s="694"/>
      <c r="V649" s="694"/>
      <c r="W649" s="694"/>
      <c r="X649" s="694"/>
      <c r="Y649" s="694"/>
      <c r="Z649" s="694"/>
      <c r="AA649" s="694"/>
      <c r="AB649" s="694"/>
      <c r="AC649" s="694"/>
      <c r="AD649" s="694"/>
      <c r="AE649" s="694"/>
      <c r="AF649" s="694"/>
      <c r="AG649" s="694"/>
      <c r="AH649" s="694"/>
      <c r="AI649" s="694"/>
      <c r="AJ649" s="694"/>
      <c r="AK649" s="694"/>
      <c r="AL649" s="694"/>
    </row>
    <row r="650" spans="1:38" ht="5.15" customHeight="1" x14ac:dyDescent="0.25">
      <c r="A650" s="694"/>
      <c r="B650" s="298"/>
      <c r="C650" s="298"/>
      <c r="D650" s="298"/>
      <c r="E650" s="298"/>
      <c r="F650" s="298"/>
      <c r="G650" s="298"/>
      <c r="H650" s="298"/>
      <c r="I650" s="298"/>
      <c r="J650" s="298"/>
      <c r="K650" s="298"/>
      <c r="L650" s="298"/>
      <c r="M650" s="298"/>
      <c r="N650" s="298"/>
      <c r="O650" s="302"/>
      <c r="P650" s="302"/>
      <c r="Q650" s="729"/>
      <c r="R650" s="729"/>
      <c r="S650" s="729"/>
      <c r="T650" s="729"/>
      <c r="U650" s="694"/>
      <c r="V650" s="694"/>
      <c r="W650" s="694"/>
      <c r="X650" s="694"/>
      <c r="Y650" s="694"/>
      <c r="Z650" s="694"/>
      <c r="AA650" s="694"/>
      <c r="AB650" s="694"/>
      <c r="AC650" s="694"/>
      <c r="AD650" s="694"/>
      <c r="AE650" s="694"/>
      <c r="AF650" s="694"/>
      <c r="AG650" s="694"/>
      <c r="AH650" s="694"/>
      <c r="AI650" s="694"/>
      <c r="AJ650" s="694"/>
      <c r="AK650" s="694"/>
      <c r="AL650" s="694"/>
    </row>
    <row r="651" spans="1:38" ht="13" x14ac:dyDescent="0.25">
      <c r="A651" s="694"/>
      <c r="B651" s="298"/>
      <c r="C651" s="300"/>
      <c r="D651" s="300" t="s">
        <v>55</v>
      </c>
      <c r="E651" s="2226" t="str">
        <f>Translations!$B$499</f>
        <v>Индивидуални равнища на производство за продуктите, включени в тази подинсталация с продуктов показател</v>
      </c>
      <c r="F651" s="2249"/>
      <c r="G651" s="2249"/>
      <c r="H651" s="2249"/>
      <c r="I651" s="2249"/>
      <c r="J651" s="2249"/>
      <c r="K651" s="2249"/>
      <c r="L651" s="2249"/>
      <c r="M651" s="2249"/>
      <c r="N651" s="2249"/>
      <c r="O651" s="302"/>
      <c r="P651" s="302"/>
      <c r="Q651" s="729"/>
      <c r="R651" s="694"/>
      <c r="S651" s="729"/>
      <c r="T651" s="729"/>
      <c r="U651" s="694"/>
      <c r="V651" s="694"/>
      <c r="W651" s="694"/>
      <c r="X651" s="694"/>
      <c r="Y651" s="694"/>
      <c r="Z651" s="694"/>
      <c r="AA651" s="694"/>
      <c r="AB651" s="694"/>
      <c r="AC651" s="694"/>
      <c r="AD651" s="694"/>
      <c r="AE651" s="694"/>
      <c r="AF651" s="694"/>
      <c r="AG651" s="694"/>
      <c r="AH651" s="694"/>
      <c r="AI651" s="694"/>
      <c r="AJ651" s="694"/>
      <c r="AK651" s="694"/>
      <c r="AL651" s="694"/>
    </row>
    <row r="652" spans="1:38" ht="5.15" customHeight="1" x14ac:dyDescent="0.25">
      <c r="A652" s="694"/>
      <c r="B652" s="298"/>
      <c r="C652" s="298"/>
      <c r="D652" s="302"/>
      <c r="E652" s="460"/>
      <c r="F652" s="460"/>
      <c r="G652" s="460"/>
      <c r="H652" s="460"/>
      <c r="I652" s="460"/>
      <c r="J652" s="329"/>
      <c r="K652" s="329"/>
      <c r="L652" s="329"/>
      <c r="M652" s="302"/>
      <c r="N652" s="302"/>
      <c r="O652" s="302"/>
      <c r="P652" s="302"/>
      <c r="Q652" s="729"/>
      <c r="R652" s="694"/>
      <c r="S652" s="729"/>
      <c r="T652" s="729"/>
      <c r="U652" s="694"/>
      <c r="V652" s="694"/>
      <c r="W652" s="694"/>
      <c r="X652" s="694"/>
      <c r="Y652" s="694"/>
      <c r="Z652" s="694"/>
      <c r="AA652" s="694"/>
      <c r="AB652" s="694"/>
      <c r="AC652" s="694"/>
      <c r="AD652" s="694"/>
      <c r="AE652" s="694"/>
      <c r="AF652" s="694"/>
      <c r="AG652" s="694"/>
      <c r="AH652" s="694"/>
      <c r="AI652" s="694"/>
      <c r="AJ652" s="694"/>
      <c r="AK652" s="694"/>
      <c r="AL652" s="694"/>
    </row>
    <row r="653" spans="1:38" ht="25.5" customHeight="1" thickBot="1" x14ac:dyDescent="0.3">
      <c r="A653" s="694"/>
      <c r="B653" s="698"/>
      <c r="C653" s="698"/>
      <c r="D653" s="1014"/>
      <c r="E653" s="1277" t="str">
        <f>Translations!$B$1522</f>
        <v>ПРОДКОМ за 2010 г.</v>
      </c>
      <c r="F653" s="1278" t="str">
        <f>Translations!$B$500</f>
        <v>Име на продукта или групата продукти</v>
      </c>
      <c r="G653" s="672" t="str">
        <f>EUconst_Unit</f>
        <v>Единица мярка</v>
      </c>
      <c r="H653" s="391">
        <f t="shared" ref="H653:N653" si="648">H$2831</f>
        <v>2024</v>
      </c>
      <c r="I653" s="572">
        <f t="shared" si="648"/>
        <v>2025</v>
      </c>
      <c r="J653" s="757">
        <f t="shared" si="648"/>
        <v>2026</v>
      </c>
      <c r="K653" s="391">
        <f t="shared" si="648"/>
        <v>2027</v>
      </c>
      <c r="L653" s="391">
        <f t="shared" si="648"/>
        <v>2028</v>
      </c>
      <c r="M653" s="391">
        <f t="shared" si="648"/>
        <v>2029</v>
      </c>
      <c r="N653" s="391">
        <f t="shared" si="648"/>
        <v>2030</v>
      </c>
      <c r="O653" s="1277" t="str">
        <f>Translations!$B$1523</f>
        <v>Код по КН</v>
      </c>
      <c r="P653" s="1278"/>
      <c r="Q653" s="694"/>
      <c r="R653" s="694"/>
      <c r="S653" s="729"/>
      <c r="T653" s="729"/>
      <c r="U653" s="694"/>
      <c r="V653" s="694"/>
      <c r="W653" s="694"/>
      <c r="X653" s="694"/>
      <c r="Y653" s="694"/>
      <c r="Z653" s="1279" t="s">
        <v>737</v>
      </c>
      <c r="AA653" s="694"/>
      <c r="AB653" s="694"/>
      <c r="AC653" s="1178">
        <f t="shared" ref="AC653" si="649">H$20</f>
        <v>2024</v>
      </c>
      <c r="AD653" s="1178">
        <f t="shared" ref="AD653" si="650">I$20</f>
        <v>2025</v>
      </c>
      <c r="AE653" s="1178">
        <f t="shared" ref="AE653" si="651">J$20</f>
        <v>2026</v>
      </c>
      <c r="AF653" s="1178">
        <f t="shared" ref="AF653" si="652">K$20</f>
        <v>2027</v>
      </c>
      <c r="AG653" s="1178">
        <f t="shared" ref="AG653" si="653">L$20</f>
        <v>2028</v>
      </c>
      <c r="AH653" s="1178">
        <f t="shared" ref="AH653" si="654">M$20</f>
        <v>2029</v>
      </c>
      <c r="AI653" s="1178">
        <f t="shared" ref="AI653" si="655">N$20</f>
        <v>2030</v>
      </c>
      <c r="AJ653" s="694"/>
      <c r="AK653" s="694"/>
      <c r="AL653" s="694"/>
    </row>
    <row r="654" spans="1:38" x14ac:dyDescent="0.25">
      <c r="A654" s="694"/>
      <c r="B654" s="698"/>
      <c r="C654" s="698"/>
      <c r="D654" s="981">
        <v>1</v>
      </c>
      <c r="E654" s="221"/>
      <c r="F654" s="109"/>
      <c r="G654" s="57"/>
      <c r="H654" s="40"/>
      <c r="I654" s="46"/>
      <c r="J654" s="116"/>
      <c r="K654" s="40"/>
      <c r="L654" s="40"/>
      <c r="M654" s="40"/>
      <c r="N654" s="40"/>
      <c r="O654" s="221"/>
      <c r="P654" s="158"/>
      <c r="Q654" s="694"/>
      <c r="R654" s="694"/>
      <c r="S654" s="729"/>
      <c r="T654" s="729"/>
      <c r="U654" s="694"/>
      <c r="V654" s="694"/>
      <c r="W654" s="694"/>
      <c r="X654" s="694"/>
      <c r="Y654" s="694"/>
      <c r="Z654" s="1280" t="b">
        <f t="shared" ref="Z654:Z663" si="656">AA654</f>
        <v>0</v>
      </c>
      <c r="AA654" s="1281" t="b">
        <f t="shared" ref="AA654:AA663" si="657">AB654</f>
        <v>0</v>
      </c>
      <c r="AB654" s="1282" t="b">
        <f>AND(AC654:AI654)</f>
        <v>0</v>
      </c>
      <c r="AC654" s="1283" t="b">
        <f t="shared" ref="AC654:AD654" si="658">AC622</f>
        <v>0</v>
      </c>
      <c r="AD654" s="1284" t="b">
        <f t="shared" si="658"/>
        <v>0</v>
      </c>
      <c r="AE654" s="1284" t="b">
        <f>AE622</f>
        <v>0</v>
      </c>
      <c r="AF654" s="1284" t="b">
        <f t="shared" ref="AF654" si="659">AF622</f>
        <v>0</v>
      </c>
      <c r="AG654" s="1284" t="b">
        <f>AG622</f>
        <v>0</v>
      </c>
      <c r="AH654" s="1284" t="b">
        <f t="shared" ref="AH654:AI654" si="660">AH622</f>
        <v>0</v>
      </c>
      <c r="AI654" s="1285" t="b">
        <f t="shared" si="660"/>
        <v>0</v>
      </c>
      <c r="AJ654" s="1174" t="s">
        <v>2039</v>
      </c>
      <c r="AK654" s="1176" t="str">
        <f>IF(AND(CNTR_ExistSubInstEntries,COUNTIFS(AC654:AI654,FALSE,H654:N654,"")&gt;0),EUconst_Error&amp;"BM"&amp;$Q575,"")</f>
        <v/>
      </c>
      <c r="AL654" s="694"/>
    </row>
    <row r="655" spans="1:38" x14ac:dyDescent="0.25">
      <c r="A655" s="694"/>
      <c r="B655" s="698"/>
      <c r="C655" s="698"/>
      <c r="D655" s="990">
        <f>D654+1</f>
        <v>2</v>
      </c>
      <c r="E655" s="222"/>
      <c r="F655" s="110"/>
      <c r="G655" s="44"/>
      <c r="H655" s="43"/>
      <c r="I655" s="47"/>
      <c r="J655" s="119"/>
      <c r="K655" s="43"/>
      <c r="L655" s="43"/>
      <c r="M655" s="43"/>
      <c r="N655" s="43"/>
      <c r="O655" s="222"/>
      <c r="P655" s="158"/>
      <c r="Q655" s="694"/>
      <c r="R655" s="694"/>
      <c r="S655" s="729"/>
      <c r="T655" s="729"/>
      <c r="U655" s="694"/>
      <c r="V655" s="694"/>
      <c r="W655" s="694"/>
      <c r="X655" s="694"/>
      <c r="Y655" s="694"/>
      <c r="Z655" s="1286" t="b">
        <f t="shared" si="656"/>
        <v>0</v>
      </c>
      <c r="AA655" s="982" t="b">
        <f t="shared" si="657"/>
        <v>0</v>
      </c>
      <c r="AB655" s="1287" t="b">
        <f t="shared" ref="AB655:AB663" si="661">AND(AC655:AI655)</f>
        <v>0</v>
      </c>
      <c r="AC655" s="1288" t="b">
        <f>AC654</f>
        <v>0</v>
      </c>
      <c r="AD655" s="982" t="b">
        <f t="shared" ref="AD655:AI655" si="662">AD654</f>
        <v>0</v>
      </c>
      <c r="AE655" s="982" t="b">
        <f t="shared" si="662"/>
        <v>0</v>
      </c>
      <c r="AF655" s="982" t="b">
        <f t="shared" si="662"/>
        <v>0</v>
      </c>
      <c r="AG655" s="982" t="b">
        <f t="shared" si="662"/>
        <v>0</v>
      </c>
      <c r="AH655" s="982" t="b">
        <f t="shared" si="662"/>
        <v>0</v>
      </c>
      <c r="AI655" s="1287" t="b">
        <f t="shared" si="662"/>
        <v>0</v>
      </c>
      <c r="AJ655" s="694"/>
      <c r="AK655" s="694"/>
      <c r="AL655" s="694"/>
    </row>
    <row r="656" spans="1:38" x14ac:dyDescent="0.25">
      <c r="A656" s="694"/>
      <c r="B656" s="698"/>
      <c r="C656" s="698"/>
      <c r="D656" s="990">
        <f t="shared" ref="D656:D663" si="663">D655+1</f>
        <v>3</v>
      </c>
      <c r="E656" s="222"/>
      <c r="F656" s="111"/>
      <c r="G656" s="44"/>
      <c r="H656" s="43"/>
      <c r="I656" s="47"/>
      <c r="J656" s="119"/>
      <c r="K656" s="43"/>
      <c r="L656" s="43"/>
      <c r="M656" s="43"/>
      <c r="N656" s="43"/>
      <c r="O656" s="222"/>
      <c r="P656" s="158"/>
      <c r="Q656" s="694"/>
      <c r="R656" s="694"/>
      <c r="S656" s="729"/>
      <c r="T656" s="729"/>
      <c r="U656" s="694"/>
      <c r="V656" s="694"/>
      <c r="W656" s="694"/>
      <c r="X656" s="694"/>
      <c r="Y656" s="694"/>
      <c r="Z656" s="1286" t="b">
        <f t="shared" si="656"/>
        <v>0</v>
      </c>
      <c r="AA656" s="982" t="b">
        <f t="shared" si="657"/>
        <v>0</v>
      </c>
      <c r="AB656" s="1287" t="b">
        <f t="shared" si="661"/>
        <v>0</v>
      </c>
      <c r="AC656" s="1288" t="b">
        <f t="shared" ref="AC656:AI663" si="664">AC655</f>
        <v>0</v>
      </c>
      <c r="AD656" s="982" t="b">
        <f t="shared" si="664"/>
        <v>0</v>
      </c>
      <c r="AE656" s="982" t="b">
        <f t="shared" si="664"/>
        <v>0</v>
      </c>
      <c r="AF656" s="982" t="b">
        <f t="shared" si="664"/>
        <v>0</v>
      </c>
      <c r="AG656" s="982" t="b">
        <f t="shared" si="664"/>
        <v>0</v>
      </c>
      <c r="AH656" s="982" t="b">
        <f t="shared" si="664"/>
        <v>0</v>
      </c>
      <c r="AI656" s="1287" t="b">
        <f t="shared" si="664"/>
        <v>0</v>
      </c>
      <c r="AJ656" s="694"/>
      <c r="AK656" s="694"/>
      <c r="AL656" s="694"/>
    </row>
    <row r="657" spans="1:38" x14ac:dyDescent="0.25">
      <c r="A657" s="694"/>
      <c r="B657" s="698"/>
      <c r="C657" s="698"/>
      <c r="D657" s="990">
        <f t="shared" si="663"/>
        <v>4</v>
      </c>
      <c r="E657" s="222"/>
      <c r="F657" s="111"/>
      <c r="G657" s="44"/>
      <c r="H657" s="43"/>
      <c r="I657" s="47"/>
      <c r="J657" s="119"/>
      <c r="K657" s="43"/>
      <c r="L657" s="43"/>
      <c r="M657" s="43"/>
      <c r="N657" s="43"/>
      <c r="O657" s="222"/>
      <c r="P657" s="158"/>
      <c r="Q657" s="694"/>
      <c r="R657" s="694"/>
      <c r="S657" s="729"/>
      <c r="T657" s="729"/>
      <c r="U657" s="694"/>
      <c r="V657" s="694"/>
      <c r="W657" s="694"/>
      <c r="X657" s="694"/>
      <c r="Y657" s="694"/>
      <c r="Z657" s="1286" t="b">
        <f t="shared" si="656"/>
        <v>0</v>
      </c>
      <c r="AA657" s="982" t="b">
        <f t="shared" si="657"/>
        <v>0</v>
      </c>
      <c r="AB657" s="1287" t="b">
        <f t="shared" si="661"/>
        <v>0</v>
      </c>
      <c r="AC657" s="1288" t="b">
        <f t="shared" si="664"/>
        <v>0</v>
      </c>
      <c r="AD657" s="982" t="b">
        <f t="shared" si="664"/>
        <v>0</v>
      </c>
      <c r="AE657" s="982" t="b">
        <f t="shared" si="664"/>
        <v>0</v>
      </c>
      <c r="AF657" s="982" t="b">
        <f t="shared" si="664"/>
        <v>0</v>
      </c>
      <c r="AG657" s="982" t="b">
        <f t="shared" si="664"/>
        <v>0</v>
      </c>
      <c r="AH657" s="982" t="b">
        <f t="shared" si="664"/>
        <v>0</v>
      </c>
      <c r="AI657" s="1287" t="b">
        <f t="shared" si="664"/>
        <v>0</v>
      </c>
      <c r="AJ657" s="694"/>
      <c r="AK657" s="694"/>
      <c r="AL657" s="694"/>
    </row>
    <row r="658" spans="1:38" x14ac:dyDescent="0.25">
      <c r="A658" s="694"/>
      <c r="B658" s="698"/>
      <c r="C658" s="698"/>
      <c r="D658" s="990">
        <f t="shared" si="663"/>
        <v>5</v>
      </c>
      <c r="E658" s="222"/>
      <c r="F658" s="111"/>
      <c r="G658" s="44"/>
      <c r="H658" s="43"/>
      <c r="I658" s="47"/>
      <c r="J658" s="119"/>
      <c r="K658" s="43"/>
      <c r="L658" s="43"/>
      <c r="M658" s="43"/>
      <c r="N658" s="43"/>
      <c r="O658" s="222"/>
      <c r="P658" s="158"/>
      <c r="Q658" s="694"/>
      <c r="R658" s="694"/>
      <c r="S658" s="729"/>
      <c r="T658" s="729"/>
      <c r="U658" s="694"/>
      <c r="V658" s="694"/>
      <c r="W658" s="694"/>
      <c r="X658" s="694"/>
      <c r="Y658" s="694"/>
      <c r="Z658" s="1286" t="b">
        <f t="shared" si="656"/>
        <v>0</v>
      </c>
      <c r="AA658" s="982" t="b">
        <f t="shared" si="657"/>
        <v>0</v>
      </c>
      <c r="AB658" s="1287" t="b">
        <f t="shared" si="661"/>
        <v>0</v>
      </c>
      <c r="AC658" s="1288" t="b">
        <f t="shared" si="664"/>
        <v>0</v>
      </c>
      <c r="AD658" s="982" t="b">
        <f t="shared" si="664"/>
        <v>0</v>
      </c>
      <c r="AE658" s="982" t="b">
        <f t="shared" si="664"/>
        <v>0</v>
      </c>
      <c r="AF658" s="982" t="b">
        <f t="shared" si="664"/>
        <v>0</v>
      </c>
      <c r="AG658" s="982" t="b">
        <f t="shared" si="664"/>
        <v>0</v>
      </c>
      <c r="AH658" s="982" t="b">
        <f t="shared" si="664"/>
        <v>0</v>
      </c>
      <c r="AI658" s="1287" t="b">
        <f t="shared" si="664"/>
        <v>0</v>
      </c>
      <c r="AJ658" s="694"/>
      <c r="AK658" s="694"/>
      <c r="AL658" s="694"/>
    </row>
    <row r="659" spans="1:38" x14ac:dyDescent="0.25">
      <c r="A659" s="694"/>
      <c r="B659" s="698"/>
      <c r="C659" s="698"/>
      <c r="D659" s="990">
        <f t="shared" si="663"/>
        <v>6</v>
      </c>
      <c r="E659" s="222"/>
      <c r="F659" s="111"/>
      <c r="G659" s="44"/>
      <c r="H659" s="43"/>
      <c r="I659" s="47"/>
      <c r="J659" s="119"/>
      <c r="K659" s="43"/>
      <c r="L659" s="43"/>
      <c r="M659" s="43"/>
      <c r="N659" s="43"/>
      <c r="O659" s="222"/>
      <c r="P659" s="158"/>
      <c r="Q659" s="694"/>
      <c r="R659" s="694"/>
      <c r="S659" s="729"/>
      <c r="T659" s="729"/>
      <c r="U659" s="694"/>
      <c r="V659" s="694"/>
      <c r="W659" s="694"/>
      <c r="X659" s="694"/>
      <c r="Y659" s="694"/>
      <c r="Z659" s="1286" t="b">
        <f t="shared" si="656"/>
        <v>0</v>
      </c>
      <c r="AA659" s="982" t="b">
        <f t="shared" si="657"/>
        <v>0</v>
      </c>
      <c r="AB659" s="1287" t="b">
        <f t="shared" si="661"/>
        <v>0</v>
      </c>
      <c r="AC659" s="1288" t="b">
        <f t="shared" si="664"/>
        <v>0</v>
      </c>
      <c r="AD659" s="982" t="b">
        <f t="shared" si="664"/>
        <v>0</v>
      </c>
      <c r="AE659" s="982" t="b">
        <f t="shared" si="664"/>
        <v>0</v>
      </c>
      <c r="AF659" s="982" t="b">
        <f t="shared" si="664"/>
        <v>0</v>
      </c>
      <c r="AG659" s="982" t="b">
        <f t="shared" si="664"/>
        <v>0</v>
      </c>
      <c r="AH659" s="982" t="b">
        <f t="shared" si="664"/>
        <v>0</v>
      </c>
      <c r="AI659" s="1287" t="b">
        <f t="shared" si="664"/>
        <v>0</v>
      </c>
      <c r="AJ659" s="694"/>
      <c r="AK659" s="694"/>
      <c r="AL659" s="694"/>
    </row>
    <row r="660" spans="1:38" x14ac:dyDescent="0.25">
      <c r="A660" s="694"/>
      <c r="B660" s="698"/>
      <c r="C660" s="698"/>
      <c r="D660" s="990">
        <f t="shared" si="663"/>
        <v>7</v>
      </c>
      <c r="E660" s="222"/>
      <c r="F660" s="111"/>
      <c r="G660" s="44"/>
      <c r="H660" s="43"/>
      <c r="I660" s="47"/>
      <c r="J660" s="119"/>
      <c r="K660" s="43"/>
      <c r="L660" s="43"/>
      <c r="M660" s="43"/>
      <c r="N660" s="43"/>
      <c r="O660" s="222"/>
      <c r="P660" s="158"/>
      <c r="Q660" s="694"/>
      <c r="R660" s="694"/>
      <c r="S660" s="729"/>
      <c r="T660" s="729"/>
      <c r="U660" s="694"/>
      <c r="V660" s="694"/>
      <c r="W660" s="694"/>
      <c r="X660" s="694"/>
      <c r="Y660" s="694"/>
      <c r="Z660" s="1286" t="b">
        <f t="shared" si="656"/>
        <v>0</v>
      </c>
      <c r="AA660" s="982" t="b">
        <f t="shared" si="657"/>
        <v>0</v>
      </c>
      <c r="AB660" s="1287" t="b">
        <f t="shared" si="661"/>
        <v>0</v>
      </c>
      <c r="AC660" s="1288" t="b">
        <f t="shared" si="664"/>
        <v>0</v>
      </c>
      <c r="AD660" s="982" t="b">
        <f t="shared" si="664"/>
        <v>0</v>
      </c>
      <c r="AE660" s="982" t="b">
        <f t="shared" si="664"/>
        <v>0</v>
      </c>
      <c r="AF660" s="982" t="b">
        <f t="shared" si="664"/>
        <v>0</v>
      </c>
      <c r="AG660" s="982" t="b">
        <f t="shared" si="664"/>
        <v>0</v>
      </c>
      <c r="AH660" s="982" t="b">
        <f t="shared" si="664"/>
        <v>0</v>
      </c>
      <c r="AI660" s="1287" t="b">
        <f t="shared" si="664"/>
        <v>0</v>
      </c>
      <c r="AJ660" s="694"/>
      <c r="AK660" s="694"/>
      <c r="AL660" s="694"/>
    </row>
    <row r="661" spans="1:38" x14ac:dyDescent="0.25">
      <c r="A661" s="694"/>
      <c r="B661" s="698"/>
      <c r="C661" s="698"/>
      <c r="D661" s="990">
        <f t="shared" si="663"/>
        <v>8</v>
      </c>
      <c r="E661" s="222"/>
      <c r="F661" s="111"/>
      <c r="G661" s="44"/>
      <c r="H661" s="43"/>
      <c r="I661" s="47"/>
      <c r="J661" s="119"/>
      <c r="K661" s="43"/>
      <c r="L661" s="43"/>
      <c r="M661" s="43"/>
      <c r="N661" s="43"/>
      <c r="O661" s="222"/>
      <c r="P661" s="158"/>
      <c r="Q661" s="694"/>
      <c r="R661" s="694"/>
      <c r="S661" s="729"/>
      <c r="T661" s="729"/>
      <c r="U661" s="694"/>
      <c r="V661" s="694"/>
      <c r="W661" s="694"/>
      <c r="X661" s="694"/>
      <c r="Y661" s="694"/>
      <c r="Z661" s="1286" t="b">
        <f t="shared" si="656"/>
        <v>0</v>
      </c>
      <c r="AA661" s="982" t="b">
        <f t="shared" si="657"/>
        <v>0</v>
      </c>
      <c r="AB661" s="1287" t="b">
        <f t="shared" si="661"/>
        <v>0</v>
      </c>
      <c r="AC661" s="1288" t="b">
        <f t="shared" si="664"/>
        <v>0</v>
      </c>
      <c r="AD661" s="982" t="b">
        <f t="shared" si="664"/>
        <v>0</v>
      </c>
      <c r="AE661" s="982" t="b">
        <f t="shared" si="664"/>
        <v>0</v>
      </c>
      <c r="AF661" s="982" t="b">
        <f t="shared" si="664"/>
        <v>0</v>
      </c>
      <c r="AG661" s="982" t="b">
        <f t="shared" si="664"/>
        <v>0</v>
      </c>
      <c r="AH661" s="982" t="b">
        <f t="shared" si="664"/>
        <v>0</v>
      </c>
      <c r="AI661" s="1287" t="b">
        <f t="shared" si="664"/>
        <v>0</v>
      </c>
      <c r="AJ661" s="694"/>
      <c r="AK661" s="694"/>
      <c r="AL661" s="694"/>
    </row>
    <row r="662" spans="1:38" x14ac:dyDescent="0.25">
      <c r="A662" s="694"/>
      <c r="B662" s="698"/>
      <c r="C662" s="698"/>
      <c r="D662" s="990">
        <f t="shared" si="663"/>
        <v>9</v>
      </c>
      <c r="E662" s="222"/>
      <c r="F662" s="111"/>
      <c r="G662" s="44"/>
      <c r="H662" s="43"/>
      <c r="I662" s="47"/>
      <c r="J662" s="119"/>
      <c r="K662" s="43"/>
      <c r="L662" s="43"/>
      <c r="M662" s="43"/>
      <c r="N662" s="43"/>
      <c r="O662" s="222"/>
      <c r="P662" s="158"/>
      <c r="Q662" s="694"/>
      <c r="R662" s="694"/>
      <c r="S662" s="729"/>
      <c r="T662" s="729"/>
      <c r="U662" s="694"/>
      <c r="V662" s="694"/>
      <c r="W662" s="694"/>
      <c r="X662" s="694"/>
      <c r="Y662" s="694"/>
      <c r="Z662" s="1286" t="b">
        <f t="shared" si="656"/>
        <v>0</v>
      </c>
      <c r="AA662" s="982" t="b">
        <f t="shared" si="657"/>
        <v>0</v>
      </c>
      <c r="AB662" s="1287" t="b">
        <f t="shared" si="661"/>
        <v>0</v>
      </c>
      <c r="AC662" s="1288" t="b">
        <f t="shared" si="664"/>
        <v>0</v>
      </c>
      <c r="AD662" s="982" t="b">
        <f t="shared" si="664"/>
        <v>0</v>
      </c>
      <c r="AE662" s="982" t="b">
        <f t="shared" si="664"/>
        <v>0</v>
      </c>
      <c r="AF662" s="982" t="b">
        <f t="shared" si="664"/>
        <v>0</v>
      </c>
      <c r="AG662" s="982" t="b">
        <f t="shared" si="664"/>
        <v>0</v>
      </c>
      <c r="AH662" s="982" t="b">
        <f t="shared" si="664"/>
        <v>0</v>
      </c>
      <c r="AI662" s="1287" t="b">
        <f t="shared" si="664"/>
        <v>0</v>
      </c>
      <c r="AJ662" s="694"/>
      <c r="AK662" s="694"/>
      <c r="AL662" s="694"/>
    </row>
    <row r="663" spans="1:38" ht="13" thickBot="1" x14ac:dyDescent="0.3">
      <c r="A663" s="694"/>
      <c r="B663" s="698"/>
      <c r="C663" s="698"/>
      <c r="D663" s="994">
        <f t="shared" si="663"/>
        <v>10</v>
      </c>
      <c r="E663" s="223"/>
      <c r="F663" s="112"/>
      <c r="G663" s="45"/>
      <c r="H663" s="38"/>
      <c r="I663" s="48"/>
      <c r="J663" s="117"/>
      <c r="K663" s="38"/>
      <c r="L663" s="38"/>
      <c r="M663" s="38"/>
      <c r="N663" s="38"/>
      <c r="O663" s="223"/>
      <c r="P663" s="158"/>
      <c r="Q663" s="694"/>
      <c r="R663" s="694"/>
      <c r="S663" s="729"/>
      <c r="T663" s="729"/>
      <c r="U663" s="694"/>
      <c r="V663" s="694"/>
      <c r="W663" s="694"/>
      <c r="X663" s="694"/>
      <c r="Y663" s="694"/>
      <c r="Z663" s="1289" t="b">
        <f t="shared" si="656"/>
        <v>0</v>
      </c>
      <c r="AA663" s="1290" t="b">
        <f t="shared" si="657"/>
        <v>0</v>
      </c>
      <c r="AB663" s="1291" t="b">
        <f t="shared" si="661"/>
        <v>0</v>
      </c>
      <c r="AC663" s="1292" t="b">
        <f t="shared" si="664"/>
        <v>0</v>
      </c>
      <c r="AD663" s="1290" t="b">
        <f t="shared" si="664"/>
        <v>0</v>
      </c>
      <c r="AE663" s="1290" t="b">
        <f t="shared" si="664"/>
        <v>0</v>
      </c>
      <c r="AF663" s="1290" t="b">
        <f t="shared" si="664"/>
        <v>0</v>
      </c>
      <c r="AG663" s="1290" t="b">
        <f t="shared" si="664"/>
        <v>0</v>
      </c>
      <c r="AH663" s="1290" t="b">
        <f t="shared" si="664"/>
        <v>0</v>
      </c>
      <c r="AI663" s="1291" t="b">
        <f t="shared" si="664"/>
        <v>0</v>
      </c>
      <c r="AJ663" s="694"/>
      <c r="AK663" s="694"/>
      <c r="AL663" s="694"/>
    </row>
    <row r="664" spans="1:38" ht="12.75" customHeight="1" thickBot="1" x14ac:dyDescent="0.3">
      <c r="A664" s="694"/>
      <c r="B664" s="698"/>
      <c r="C664" s="698"/>
      <c r="D664" s="1293"/>
      <c r="E664" s="1294" t="str">
        <f>Translations!$B$501</f>
        <v>Сума на равнищата на производство</v>
      </c>
      <c r="F664" s="1295"/>
      <c r="G664" s="49"/>
      <c r="H664" s="1104" t="str">
        <f t="shared" ref="H664:N664" si="665">IF(COUNT(H654:H663)&gt;0,SUM(H654:H663),"")</f>
        <v/>
      </c>
      <c r="I664" s="1296" t="str">
        <f t="shared" si="665"/>
        <v/>
      </c>
      <c r="J664" s="1297" t="str">
        <f t="shared" si="665"/>
        <v/>
      </c>
      <c r="K664" s="1104" t="str">
        <f t="shared" si="665"/>
        <v/>
      </c>
      <c r="L664" s="1104" t="str">
        <f t="shared" si="665"/>
        <v/>
      </c>
      <c r="M664" s="1104" t="str">
        <f t="shared" si="665"/>
        <v/>
      </c>
      <c r="N664" s="1104" t="str">
        <f t="shared" si="665"/>
        <v/>
      </c>
      <c r="O664" s="302"/>
      <c r="P664" s="302"/>
      <c r="Q664" s="694"/>
      <c r="R664" s="694"/>
      <c r="S664" s="729"/>
      <c r="T664" s="729"/>
      <c r="U664" s="694"/>
      <c r="V664" s="694"/>
      <c r="W664" s="694"/>
      <c r="X664" s="694"/>
      <c r="Y664" s="694"/>
      <c r="Z664" s="694"/>
      <c r="AA664" s="694"/>
      <c r="AB664" s="1177" t="b">
        <f>AND(AB654:AB663)</f>
        <v>0</v>
      </c>
      <c r="AC664" s="694"/>
      <c r="AD664" s="694"/>
      <c r="AE664" s="694"/>
      <c r="AF664" s="694"/>
      <c r="AG664" s="694"/>
      <c r="AH664" s="694"/>
      <c r="AI664" s="694"/>
      <c r="AJ664" s="694"/>
      <c r="AK664" s="694"/>
      <c r="AL664" s="694"/>
    </row>
    <row r="665" spans="1:38" ht="12.75" customHeight="1" thickBot="1" x14ac:dyDescent="0.3">
      <c r="A665" s="694"/>
      <c r="B665" s="298"/>
      <c r="C665" s="298"/>
      <c r="D665" s="298"/>
      <c r="E665" s="298"/>
      <c r="F665" s="298"/>
      <c r="G665" s="298"/>
      <c r="H665" s="298"/>
      <c r="I665" s="298"/>
      <c r="J665" s="298"/>
      <c r="K665" s="298"/>
      <c r="L665" s="298"/>
      <c r="M665" s="302"/>
      <c r="N665" s="302"/>
      <c r="O665" s="302"/>
      <c r="P665" s="302"/>
      <c r="Q665" s="729"/>
      <c r="R665" s="694"/>
      <c r="S665" s="729"/>
      <c r="T665" s="729"/>
      <c r="U665" s="694"/>
      <c r="V665" s="694"/>
      <c r="W665" s="694"/>
      <c r="X665" s="694"/>
      <c r="Y665" s="694"/>
      <c r="Z665" s="694"/>
      <c r="AA665" s="694"/>
      <c r="AB665" s="694"/>
      <c r="AC665" s="694"/>
      <c r="AD665" s="694"/>
      <c r="AE665" s="694"/>
      <c r="AF665" s="694"/>
      <c r="AG665" s="694"/>
      <c r="AH665" s="694"/>
      <c r="AI665" s="694"/>
      <c r="AJ665" s="694"/>
      <c r="AK665" s="694"/>
      <c r="AL665" s="694"/>
    </row>
    <row r="666" spans="1:38" ht="5.15" customHeight="1" x14ac:dyDescent="0.25">
      <c r="A666" s="694"/>
      <c r="B666" s="298"/>
      <c r="C666" s="1298"/>
      <c r="D666" s="1299"/>
      <c r="E666" s="1299"/>
      <c r="F666" s="1299"/>
      <c r="G666" s="1299"/>
      <c r="H666" s="1299"/>
      <c r="I666" s="1299"/>
      <c r="J666" s="1299"/>
      <c r="K666" s="1299"/>
      <c r="L666" s="1299"/>
      <c r="M666" s="1300"/>
      <c r="N666" s="1301"/>
      <c r="O666" s="302"/>
      <c r="P666" s="302"/>
      <c r="Q666" s="729"/>
      <c r="R666" s="694"/>
      <c r="S666" s="729"/>
      <c r="T666" s="729"/>
      <c r="U666" s="694"/>
      <c r="V666" s="694"/>
      <c r="W666" s="694"/>
      <c r="X666" s="694"/>
      <c r="Y666" s="694"/>
      <c r="Z666" s="694"/>
      <c r="AA666" s="694"/>
      <c r="AB666" s="694"/>
      <c r="AC666" s="694"/>
      <c r="AD666" s="694"/>
      <c r="AE666" s="694"/>
      <c r="AF666" s="694"/>
      <c r="AG666" s="694"/>
      <c r="AH666" s="694"/>
      <c r="AI666" s="694"/>
      <c r="AJ666" s="694"/>
      <c r="AK666" s="694"/>
      <c r="AL666" s="694"/>
    </row>
    <row r="667" spans="1:38" ht="15" customHeight="1" x14ac:dyDescent="0.25">
      <c r="A667" s="694"/>
      <c r="B667" s="698"/>
      <c r="C667" s="1302"/>
      <c r="D667" s="2857" t="str">
        <f>Translations!$B$502</f>
        <v>Данни, необходими за определяне на нивото на подобрение на продуктовите показатели съгласно 10а, параграф 2 от Директивата за СТЕ на ЕС</v>
      </c>
      <c r="E667" s="2851"/>
      <c r="F667" s="2851"/>
      <c r="G667" s="2851"/>
      <c r="H667" s="2851"/>
      <c r="I667" s="2851"/>
      <c r="J667" s="2851"/>
      <c r="K667" s="2851"/>
      <c r="L667" s="2851"/>
      <c r="M667" s="2851"/>
      <c r="N667" s="2852"/>
      <c r="O667" s="302"/>
      <c r="P667" s="302"/>
      <c r="Q667" s="694"/>
      <c r="R667" s="694"/>
      <c r="S667" s="729"/>
      <c r="T667" s="729"/>
      <c r="U667" s="694"/>
      <c r="V667" s="694"/>
      <c r="W667" s="694"/>
      <c r="X667" s="694"/>
      <c r="Y667" s="694"/>
      <c r="Z667" s="694"/>
      <c r="AA667" s="694"/>
      <c r="AB667" s="694"/>
      <c r="AC667" s="694"/>
      <c r="AD667" s="694"/>
      <c r="AE667" s="694"/>
      <c r="AF667" s="694"/>
      <c r="AG667" s="694"/>
      <c r="AH667" s="694"/>
      <c r="AI667" s="694"/>
      <c r="AJ667" s="694"/>
      <c r="AK667" s="694"/>
      <c r="AL667" s="694"/>
    </row>
    <row r="668" spans="1:38" ht="5.15" customHeight="1" x14ac:dyDescent="0.25">
      <c r="A668" s="694"/>
      <c r="B668" s="698"/>
      <c r="C668" s="1303"/>
      <c r="D668" s="1304"/>
      <c r="E668" s="1304"/>
      <c r="F668" s="1304"/>
      <c r="G668" s="1304"/>
      <c r="H668" s="1304"/>
      <c r="I668" s="1304"/>
      <c r="J668" s="1304"/>
      <c r="K668" s="1304"/>
      <c r="L668" s="1304"/>
      <c r="M668" s="1304"/>
      <c r="N668" s="1305"/>
      <c r="O668" s="302"/>
      <c r="P668" s="302"/>
      <c r="Q668" s="694"/>
      <c r="R668" s="694"/>
      <c r="S668" s="729"/>
      <c r="T668" s="729"/>
      <c r="U668" s="694"/>
      <c r="V668" s="694"/>
      <c r="W668" s="694"/>
      <c r="X668" s="694"/>
      <c r="Y668" s="694"/>
      <c r="Z668" s="694"/>
      <c r="AA668" s="694"/>
      <c r="AB668" s="694"/>
      <c r="AC668" s="694"/>
      <c r="AD668" s="694"/>
      <c r="AE668" s="694"/>
      <c r="AF668" s="694"/>
      <c r="AG668" s="694"/>
      <c r="AH668" s="694"/>
      <c r="AI668" s="694"/>
      <c r="AJ668" s="694"/>
      <c r="AK668" s="694"/>
      <c r="AL668" s="694"/>
    </row>
    <row r="669" spans="1:38" ht="15" customHeight="1" x14ac:dyDescent="0.25">
      <c r="A669" s="694"/>
      <c r="B669" s="698"/>
      <c r="C669" s="1303"/>
      <c r="D669" s="2841" t="str">
        <f>EUconst_BMSubinst &amp; ":"</f>
        <v>Подинсталация с продуктов показател:</v>
      </c>
      <c r="E669" s="2839"/>
      <c r="F669" s="2839"/>
      <c r="G669" s="2839"/>
      <c r="H669" s="2842"/>
      <c r="I669" s="2843" t="str">
        <f>I575</f>
        <v/>
      </c>
      <c r="J669" s="2844"/>
      <c r="K669" s="2844"/>
      <c r="L669" s="2844"/>
      <c r="M669" s="2844"/>
      <c r="N669" s="2845"/>
      <c r="O669" s="302"/>
      <c r="P669" s="302"/>
      <c r="Q669" s="694"/>
      <c r="R669" s="694"/>
      <c r="S669" s="729"/>
      <c r="T669" s="729"/>
      <c r="U669" s="694"/>
      <c r="V669" s="694"/>
      <c r="W669" s="694"/>
      <c r="X669" s="694"/>
      <c r="Y669" s="694"/>
      <c r="Z669" s="694"/>
      <c r="AA669" s="694"/>
      <c r="AB669" s="694"/>
      <c r="AC669" s="694"/>
      <c r="AD669" s="694"/>
      <c r="AE669" s="694"/>
      <c r="AF669" s="694"/>
      <c r="AG669" s="694"/>
      <c r="AH669" s="694"/>
      <c r="AI669" s="694"/>
      <c r="AJ669" s="694"/>
      <c r="AK669" s="694"/>
      <c r="AL669" s="694"/>
    </row>
    <row r="670" spans="1:38" ht="5.15" customHeight="1" x14ac:dyDescent="0.25">
      <c r="A670" s="694"/>
      <c r="B670" s="698"/>
      <c r="C670" s="1303"/>
      <c r="D670" s="1304"/>
      <c r="E670" s="1304"/>
      <c r="F670" s="1304"/>
      <c r="G670" s="1304"/>
      <c r="H670" s="1304"/>
      <c r="I670" s="1304"/>
      <c r="J670" s="1304"/>
      <c r="K670" s="1304"/>
      <c r="L670" s="1304"/>
      <c r="M670" s="1304"/>
      <c r="N670" s="1305"/>
      <c r="O670" s="302"/>
      <c r="P670" s="302"/>
      <c r="Q670" s="694"/>
      <c r="R670" s="694"/>
      <c r="S670" s="729"/>
      <c r="T670" s="729"/>
      <c r="U670" s="694"/>
      <c r="V670" s="694"/>
      <c r="W670" s="694"/>
      <c r="X670" s="694"/>
      <c r="Y670" s="694"/>
      <c r="Z670" s="694"/>
      <c r="AA670" s="694"/>
      <c r="AB670" s="694"/>
      <c r="AC670" s="694"/>
      <c r="AD670" s="694"/>
      <c r="AE670" s="694"/>
      <c r="AF670" s="694"/>
      <c r="AG670" s="694"/>
      <c r="AH670" s="694"/>
      <c r="AI670" s="694"/>
      <c r="AJ670" s="694"/>
      <c r="AK670" s="694"/>
      <c r="AL670" s="694"/>
    </row>
    <row r="671" spans="1:38" ht="30" customHeight="1" x14ac:dyDescent="0.25">
      <c r="A671" s="694"/>
      <c r="B671" s="298"/>
      <c r="C671" s="1302"/>
      <c r="D671" s="1306"/>
      <c r="E671" s="2846" t="str">
        <f>Translations!$B$503</f>
        <v>В този подраздел се обхваща разпределението на емисии по пораждащи емисии потоци, източници на емисии, получена или подадена измерима топлинна енергия и отпадни газове, включително загубите на топлинна енергия съгласно раздел 10 от приложение VII към ПБР.</v>
      </c>
      <c r="F671" s="2846"/>
      <c r="G671" s="2846"/>
      <c r="H671" s="2846"/>
      <c r="I671" s="2846"/>
      <c r="J671" s="2846"/>
      <c r="K671" s="2846"/>
      <c r="L671" s="2846"/>
      <c r="M671" s="2846"/>
      <c r="N671" s="2847"/>
      <c r="O671" s="302"/>
      <c r="P671" s="302"/>
      <c r="Q671" s="729"/>
      <c r="R671" s="694"/>
      <c r="S671" s="694"/>
      <c r="T671" s="694"/>
      <c r="U671" s="694"/>
      <c r="V671" s="694"/>
      <c r="W671" s="694"/>
      <c r="X671" s="694"/>
      <c r="Y671" s="694"/>
      <c r="Z671" s="694"/>
      <c r="AA671" s="694"/>
      <c r="AB671" s="694"/>
      <c r="AC671" s="694"/>
      <c r="AD671" s="694"/>
      <c r="AE671" s="694"/>
      <c r="AF671" s="694"/>
      <c r="AG671" s="694"/>
      <c r="AH671" s="694"/>
      <c r="AI671" s="694"/>
      <c r="AJ671" s="694"/>
      <c r="AK671" s="694"/>
      <c r="AL671" s="694"/>
    </row>
    <row r="672" spans="1:38" ht="30" customHeight="1" x14ac:dyDescent="0.25">
      <c r="A672" s="694"/>
      <c r="B672" s="298"/>
      <c r="C672" s="1302"/>
      <c r="D672" s="1306"/>
      <c r="E672" s="2846" t="str">
        <f>Translations!$B$504</f>
        <v xml:space="preserve">Моля, имайте предвид, че въпреки дадените известни насоки по всяка от точките по-долу трябва да потърсите допълнителна информация в обяснителна бележка № 5 („Мониторинг и докладване във връзка с ПБР“), която съдържа и примери. </v>
      </c>
      <c r="F672" s="2846"/>
      <c r="G672" s="2846"/>
      <c r="H672" s="2846"/>
      <c r="I672" s="2846"/>
      <c r="J672" s="2846"/>
      <c r="K672" s="2846"/>
      <c r="L672" s="2846"/>
      <c r="M672" s="2846"/>
      <c r="N672" s="2811"/>
      <c r="O672" s="302"/>
      <c r="P672" s="302"/>
      <c r="Q672" s="729"/>
      <c r="R672" s="694"/>
      <c r="S672" s="694"/>
      <c r="T672" s="694"/>
      <c r="U672" s="694"/>
      <c r="V672" s="694"/>
      <c r="W672" s="694"/>
      <c r="X672" s="694"/>
      <c r="Y672" s="694"/>
      <c r="Z672" s="694"/>
      <c r="AA672" s="694"/>
      <c r="AB672" s="694"/>
      <c r="AC672" s="694"/>
      <c r="AD672" s="694"/>
      <c r="AE672" s="694"/>
      <c r="AF672" s="694"/>
      <c r="AG672" s="694"/>
      <c r="AH672" s="694"/>
      <c r="AI672" s="694"/>
      <c r="AJ672" s="694"/>
      <c r="AK672" s="694"/>
      <c r="AL672" s="694"/>
    </row>
    <row r="673" spans="1:38" ht="12.75" customHeight="1" x14ac:dyDescent="0.25">
      <c r="A673" s="694"/>
      <c r="B673" s="298"/>
      <c r="C673" s="1302"/>
      <c r="D673" s="1306"/>
      <c r="E673" s="2846" t="str">
        <f>Translations!$B$505</f>
        <v>Можете да изтеглите насоките на адрес: https://ec.europa.eu/clima/policies/ets/allowances_en#tab-0-1</v>
      </c>
      <c r="F673" s="2240"/>
      <c r="G673" s="2240"/>
      <c r="H673" s="2240"/>
      <c r="I673" s="2240"/>
      <c r="J673" s="2240"/>
      <c r="K673" s="2240"/>
      <c r="L673" s="2240"/>
      <c r="M673" s="2240"/>
      <c r="N673" s="2811"/>
      <c r="O673" s="302"/>
      <c r="P673" s="302"/>
      <c r="Q673" s="729"/>
      <c r="R673" s="694"/>
      <c r="S673" s="694"/>
      <c r="T673" s="694"/>
      <c r="U673" s="694"/>
      <c r="V673" s="694"/>
      <c r="W673" s="694"/>
      <c r="X673" s="694"/>
      <c r="Y673" s="694"/>
      <c r="Z673" s="694"/>
      <c r="AA673" s="694"/>
      <c r="AB673" s="694"/>
      <c r="AC673" s="694"/>
      <c r="AD673" s="694"/>
      <c r="AE673" s="694"/>
      <c r="AF673" s="694"/>
      <c r="AG673" s="694"/>
      <c r="AH673" s="694"/>
      <c r="AI673" s="694"/>
      <c r="AJ673" s="694"/>
      <c r="AK673" s="694"/>
      <c r="AL673" s="694"/>
    </row>
    <row r="674" spans="1:38" ht="15" customHeight="1" x14ac:dyDescent="0.25">
      <c r="A674" s="694"/>
      <c r="B674" s="298"/>
      <c r="C674" s="1302"/>
      <c r="D674" s="1306"/>
      <c r="E674" s="2848" t="str">
        <f t="shared" ref="E674" si="666">$E$393</f>
        <v>https://climate.ec.europa.eu/eu-action/carbon-markets/eu-emissions-trading-system-eu-ets/free-allocation/about-free-allocation_en</v>
      </c>
      <c r="F674" s="2848"/>
      <c r="G674" s="2848"/>
      <c r="H674" s="2848"/>
      <c r="I674" s="2848"/>
      <c r="J674" s="2848"/>
      <c r="K674" s="2848"/>
      <c r="L674" s="2848"/>
      <c r="M674" s="2848"/>
      <c r="N674" s="2827"/>
      <c r="O674" s="302"/>
      <c r="P674" s="302"/>
      <c r="Q674" s="729"/>
      <c r="R674" s="694"/>
      <c r="S674" s="694"/>
      <c r="T674" s="694"/>
      <c r="U674" s="694"/>
      <c r="V674" s="694"/>
      <c r="W674" s="694"/>
      <c r="X674" s="694"/>
      <c r="Y674" s="694"/>
      <c r="Z674" s="694"/>
      <c r="AA674" s="694"/>
      <c r="AB674" s="694"/>
      <c r="AC674" s="694"/>
      <c r="AD674" s="694"/>
      <c r="AE674" s="694"/>
      <c r="AF674" s="694"/>
      <c r="AG674" s="694"/>
      <c r="AH674" s="694"/>
      <c r="AI674" s="694"/>
      <c r="AJ674" s="694"/>
      <c r="AK674" s="694"/>
      <c r="AL674" s="694"/>
    </row>
    <row r="675" spans="1:38" ht="5.15" customHeight="1" x14ac:dyDescent="0.25">
      <c r="A675" s="694"/>
      <c r="B675" s="698"/>
      <c r="C675" s="1303"/>
      <c r="D675" s="1304"/>
      <c r="E675" s="1304"/>
      <c r="F675" s="1304"/>
      <c r="G675" s="1304"/>
      <c r="H675" s="1304"/>
      <c r="I675" s="1304"/>
      <c r="J675" s="1304"/>
      <c r="K675" s="1304"/>
      <c r="L675" s="1304"/>
      <c r="M675" s="1304"/>
      <c r="N675" s="1305"/>
      <c r="O675" s="302"/>
      <c r="P675" s="302"/>
      <c r="Q675" s="694"/>
      <c r="R675" s="694"/>
      <c r="S675" s="729"/>
      <c r="T675" s="729"/>
      <c r="U675" s="694"/>
      <c r="V675" s="694"/>
      <c r="W675" s="694"/>
      <c r="X675" s="694"/>
      <c r="Y675" s="694"/>
      <c r="Z675" s="694"/>
      <c r="AA675" s="694"/>
      <c r="AB675" s="694"/>
      <c r="AC675" s="694"/>
      <c r="AD675" s="694"/>
      <c r="AE675" s="694"/>
      <c r="AF675" s="694"/>
      <c r="AG675" s="694"/>
      <c r="AH675" s="694"/>
      <c r="AI675" s="694"/>
      <c r="AJ675" s="694"/>
      <c r="AK675" s="694"/>
      <c r="AL675" s="694"/>
    </row>
    <row r="676" spans="1:38" ht="15" customHeight="1" x14ac:dyDescent="0.25">
      <c r="A676" s="694"/>
      <c r="B676" s="298"/>
      <c r="C676" s="1302"/>
      <c r="D676" s="1306"/>
      <c r="E676" s="2849" t="str">
        <f>Translations!$B$506</f>
        <v>При въвеждане на данните по-долу емисиите, които могат да бъдат зададени, са изчислени в раздел K.III.2 в листа за обобщение.</v>
      </c>
      <c r="F676" s="2849"/>
      <c r="G676" s="2849"/>
      <c r="H676" s="2849"/>
      <c r="I676" s="2849"/>
      <c r="J676" s="2849"/>
      <c r="K676" s="2849"/>
      <c r="L676" s="2849"/>
      <c r="M676" s="2849"/>
      <c r="N676" s="2827"/>
      <c r="O676" s="302"/>
      <c r="P676" s="302"/>
      <c r="Q676" s="729"/>
      <c r="R676" s="694"/>
      <c r="S676" s="694"/>
      <c r="T676" s="694"/>
      <c r="U676" s="694"/>
      <c r="V676" s="694"/>
      <c r="W676" s="694"/>
      <c r="X676" s="694"/>
      <c r="Y676" s="694"/>
      <c r="Z676" s="694"/>
      <c r="AA676" s="694"/>
      <c r="AB676" s="694"/>
      <c r="AC676" s="694"/>
      <c r="AD676" s="694"/>
      <c r="AE676" s="694"/>
      <c r="AF676" s="694"/>
      <c r="AG676" s="694"/>
      <c r="AH676" s="694"/>
      <c r="AI676" s="694"/>
      <c r="AJ676" s="694"/>
      <c r="AK676" s="694"/>
      <c r="AL676" s="694"/>
    </row>
    <row r="677" spans="1:38" ht="5.15" customHeight="1" x14ac:dyDescent="0.25">
      <c r="A677" s="694"/>
      <c r="B677" s="698"/>
      <c r="C677" s="1303"/>
      <c r="D677" s="1304"/>
      <c r="E677" s="1304"/>
      <c r="F677" s="1304"/>
      <c r="G677" s="1304"/>
      <c r="H677" s="1304"/>
      <c r="I677" s="1304"/>
      <c r="J677" s="1304"/>
      <c r="K677" s="1304"/>
      <c r="L677" s="1304"/>
      <c r="M677" s="1304"/>
      <c r="N677" s="1305"/>
      <c r="O677" s="302"/>
      <c r="P677" s="302"/>
      <c r="Q677" s="694"/>
      <c r="R677" s="694"/>
      <c r="S677" s="729"/>
      <c r="T677" s="729"/>
      <c r="U677" s="694"/>
      <c r="V677" s="694"/>
      <c r="W677" s="694"/>
      <c r="X677" s="694"/>
      <c r="Y677" s="694"/>
      <c r="Z677" s="694"/>
      <c r="AA677" s="694"/>
      <c r="AB677" s="694"/>
      <c r="AC677" s="694"/>
      <c r="AD677" s="694"/>
      <c r="AE677" s="694"/>
      <c r="AF677" s="694"/>
      <c r="AG677" s="694"/>
      <c r="AH677" s="694"/>
      <c r="AI677" s="694"/>
      <c r="AJ677" s="694"/>
      <c r="AK677" s="694"/>
      <c r="AL677" s="694"/>
    </row>
    <row r="678" spans="1:38" ht="12.75" customHeight="1" x14ac:dyDescent="0.25">
      <c r="A678" s="694"/>
      <c r="B678" s="298"/>
      <c r="C678" s="1302"/>
      <c r="D678" s="1307" t="s">
        <v>273</v>
      </c>
      <c r="E678" s="2850" t="str">
        <f>Translations!$B$507</f>
        <v>Емисии, които могат се зададат пряко (DirEm* (пораждащи емисии потоци от плана за мониторинг)) на тази подинсталация</v>
      </c>
      <c r="F678" s="2851"/>
      <c r="G678" s="2851"/>
      <c r="H678" s="2851"/>
      <c r="I678" s="2851"/>
      <c r="J678" s="2851"/>
      <c r="K678" s="2851"/>
      <c r="L678" s="2851"/>
      <c r="M678" s="2851"/>
      <c r="N678" s="2852"/>
      <c r="O678" s="302"/>
      <c r="P678" s="302"/>
      <c r="Q678" s="729"/>
      <c r="R678" s="694"/>
      <c r="S678" s="729"/>
      <c r="T678" s="729"/>
      <c r="U678" s="694"/>
      <c r="V678" s="694"/>
      <c r="W678" s="694"/>
      <c r="X678" s="694"/>
      <c r="Y678" s="694"/>
      <c r="Z678" s="694"/>
      <c r="AA678" s="694"/>
      <c r="AB678" s="694"/>
      <c r="AC678" s="694"/>
      <c r="AD678" s="694"/>
      <c r="AE678" s="694"/>
      <c r="AF678" s="694"/>
      <c r="AG678" s="694"/>
      <c r="AH678" s="694"/>
      <c r="AI678" s="694"/>
      <c r="AJ678" s="694"/>
      <c r="AK678" s="694"/>
      <c r="AL678" s="694"/>
    </row>
    <row r="679" spans="1:38" ht="12.75" customHeight="1" x14ac:dyDescent="0.25">
      <c r="A679" s="694"/>
      <c r="B679" s="298"/>
      <c r="C679" s="1302"/>
      <c r="D679" s="625"/>
      <c r="E679" s="2853" t="str">
        <f>Translations!$B$508</f>
        <v>Посочените тук данни ще се отразят на емисиите, които могат да бъдат зададени съгласно раздел 10.1.1 от приложение VII към ПБР.</v>
      </c>
      <c r="F679" s="2850"/>
      <c r="G679" s="2850"/>
      <c r="H679" s="2850"/>
      <c r="I679" s="2850"/>
      <c r="J679" s="2850"/>
      <c r="K679" s="2850"/>
      <c r="L679" s="2850"/>
      <c r="M679" s="2850"/>
      <c r="N679" s="2854"/>
      <c r="O679" s="302"/>
      <c r="P679" s="302"/>
      <c r="Q679" s="729"/>
      <c r="R679" s="694"/>
      <c r="S679" s="729"/>
      <c r="T679" s="729"/>
      <c r="U679" s="694"/>
      <c r="V679" s="694"/>
      <c r="W679" s="694"/>
      <c r="X679" s="694"/>
      <c r="Y679" s="694"/>
      <c r="Z679" s="694"/>
      <c r="AA679" s="694"/>
      <c r="AB679" s="694"/>
      <c r="AC679" s="694"/>
      <c r="AD679" s="694"/>
      <c r="AE679" s="694"/>
      <c r="AF679" s="694"/>
      <c r="AG679" s="694"/>
      <c r="AH679" s="694"/>
      <c r="AI679" s="694"/>
      <c r="AJ679" s="694"/>
      <c r="AK679" s="694"/>
      <c r="AL679" s="694"/>
    </row>
    <row r="680" spans="1:38" ht="12.75" customHeight="1" x14ac:dyDescent="0.25">
      <c r="A680" s="694"/>
      <c r="B680" s="298"/>
      <c r="C680" s="1302"/>
      <c r="D680" s="1306"/>
      <c r="E680" s="2836" t="str">
        <f>Translations!$B$509</f>
        <v>Моля, въведете тук емисиите, които могат да се зададат пряко (DirEm* (пораждащи емисии потоци от плана за мониторинг)) на тази подинсталация, като се имат предвид следните уговорки:</v>
      </c>
      <c r="F680" s="2836"/>
      <c r="G680" s="2836"/>
      <c r="H680" s="2836"/>
      <c r="I680" s="2836"/>
      <c r="J680" s="2836"/>
      <c r="K680" s="2836"/>
      <c r="L680" s="2836"/>
      <c r="M680" s="2836"/>
      <c r="N680" s="2837"/>
      <c r="O680" s="302"/>
      <c r="P680" s="302"/>
      <c r="Q680" s="729"/>
      <c r="R680" s="694"/>
      <c r="S680" s="729"/>
      <c r="T680" s="694"/>
      <c r="U680" s="694"/>
      <c r="V680" s="694"/>
      <c r="W680" s="694"/>
      <c r="X680" s="694"/>
      <c r="Y680" s="694"/>
      <c r="Z680" s="694"/>
      <c r="AA680" s="694"/>
      <c r="AB680" s="694"/>
      <c r="AC680" s="694"/>
      <c r="AD680" s="694"/>
      <c r="AE680" s="694"/>
      <c r="AF680" s="694"/>
      <c r="AG680" s="694"/>
      <c r="AH680" s="694"/>
      <c r="AI680" s="694"/>
      <c r="AJ680" s="694"/>
      <c r="AK680" s="694"/>
      <c r="AL680" s="694"/>
    </row>
    <row r="681" spans="1:38" ht="25.5" customHeight="1" x14ac:dyDescent="0.25">
      <c r="A681" s="694"/>
      <c r="B681" s="298"/>
      <c r="C681" s="1302"/>
      <c r="D681" s="1306"/>
      <c r="E681" s="1308" t="s">
        <v>1052</v>
      </c>
      <c r="F681" s="2838" t="str">
        <f>Translations!$B$510</f>
        <v>„емисиите, които могат да се зададат пряко“, се следят в съответствие с плана за мониторинг, одобрен съгласно Регламента относно мониторинга и докладването (РМД), т.е. като се отчитат емисиите, получени по методики, основани на изчисления (като се използват пораждащите емисии потоци), по базиращи се на измервания методики (БИМ), както и по подходи без подреждане („fall-backs“).</v>
      </c>
      <c r="G681" s="2839"/>
      <c r="H681" s="2839"/>
      <c r="I681" s="2839"/>
      <c r="J681" s="2839"/>
      <c r="K681" s="2839"/>
      <c r="L681" s="2839"/>
      <c r="M681" s="2839"/>
      <c r="N681" s="2840"/>
      <c r="O681" s="302"/>
      <c r="P681" s="302"/>
      <c r="Q681" s="729"/>
      <c r="R681" s="694"/>
      <c r="S681" s="729"/>
      <c r="T681" s="694"/>
      <c r="U681" s="694"/>
      <c r="V681" s="694"/>
      <c r="W681" s="694"/>
      <c r="X681" s="694"/>
      <c r="Y681" s="694"/>
      <c r="Z681" s="694"/>
      <c r="AA681" s="694"/>
      <c r="AB681" s="694"/>
      <c r="AC681" s="694"/>
      <c r="AD681" s="694"/>
      <c r="AE681" s="694"/>
      <c r="AF681" s="694"/>
      <c r="AG681" s="694"/>
      <c r="AH681" s="694"/>
      <c r="AI681" s="694"/>
      <c r="AJ681" s="694"/>
      <c r="AK681" s="694"/>
      <c r="AL681" s="694"/>
    </row>
    <row r="682" spans="1:38" ht="38.25" customHeight="1" x14ac:dyDescent="0.25">
      <c r="A682" s="694"/>
      <c r="B682" s="298"/>
      <c r="C682" s="1302"/>
      <c r="D682" s="1306"/>
      <c r="E682" s="1308"/>
      <c r="F682" s="2810" t="str">
        <f>Translations!$B$511</f>
        <v>В някои случая обаче в този раздел „емисиите, които могат да се зададат пряко“, не са същите като отчетените съгласно РМД. Такива случаи са например пораждащи емисии потоци, използвани за производство на измерима топлинна енергия, отпадни газове и др. С други думи, трябва да попълните разделите по-долу много внимателно и да спазите строго инструкциите, за да се избегнат двойно отчитане или пропуски.</v>
      </c>
      <c r="G682" s="2240"/>
      <c r="H682" s="2240"/>
      <c r="I682" s="2240"/>
      <c r="J682" s="2240"/>
      <c r="K682" s="2240"/>
      <c r="L682" s="2240"/>
      <c r="M682" s="2240"/>
      <c r="N682" s="2811"/>
      <c r="O682" s="302"/>
      <c r="P682" s="302"/>
      <c r="Q682" s="729"/>
      <c r="R682" s="694"/>
      <c r="S682" s="729"/>
      <c r="T682" s="694"/>
      <c r="U682" s="694"/>
      <c r="V682" s="694"/>
      <c r="W682" s="694"/>
      <c r="X682" s="694"/>
      <c r="Y682" s="694"/>
      <c r="Z682" s="694"/>
      <c r="AA682" s="694"/>
      <c r="AB682" s="694"/>
      <c r="AC682" s="694"/>
      <c r="AD682" s="694"/>
      <c r="AE682" s="694"/>
      <c r="AF682" s="694"/>
      <c r="AG682" s="694"/>
      <c r="AH682" s="694"/>
      <c r="AI682" s="694"/>
      <c r="AJ682" s="694"/>
      <c r="AK682" s="694"/>
      <c r="AL682" s="694"/>
    </row>
    <row r="683" spans="1:38" ht="12.75" customHeight="1" x14ac:dyDescent="0.25">
      <c r="A683" s="694"/>
      <c r="B683" s="298"/>
      <c r="C683" s="1302"/>
      <c r="D683" s="1306"/>
      <c r="E683" s="1308" t="s">
        <v>1052</v>
      </c>
      <c r="F683" s="2838" t="str">
        <f>Translations!$B$512</f>
        <v xml:space="preserve">Измерима топлинна енергия: в случай че топлинната енергия е произведена изключително за една подинсталация, емисиите могат да се зададат пряко тук чрез емисиите за горивата. </v>
      </c>
      <c r="G683" s="2839"/>
      <c r="H683" s="2839"/>
      <c r="I683" s="2839"/>
      <c r="J683" s="2839"/>
      <c r="K683" s="2839"/>
      <c r="L683" s="2839"/>
      <c r="M683" s="2839"/>
      <c r="N683" s="2840"/>
      <c r="O683" s="302"/>
      <c r="P683" s="302"/>
      <c r="Q683" s="729"/>
      <c r="R683" s="694"/>
      <c r="S683" s="729"/>
      <c r="T683" s="694"/>
      <c r="U683" s="694"/>
      <c r="V683" s="694"/>
      <c r="W683" s="694"/>
      <c r="X683" s="694"/>
      <c r="Y683" s="694"/>
      <c r="Z683" s="694"/>
      <c r="AA683" s="694"/>
      <c r="AB683" s="694"/>
      <c r="AC683" s="694"/>
      <c r="AD683" s="694"/>
      <c r="AE683" s="694"/>
      <c r="AF683" s="694"/>
      <c r="AG683" s="694"/>
      <c r="AH683" s="694"/>
      <c r="AI683" s="694"/>
      <c r="AJ683" s="694"/>
      <c r="AK683" s="694"/>
      <c r="AL683" s="694"/>
    </row>
    <row r="684" spans="1:38" ht="38.9" customHeight="1" x14ac:dyDescent="0.25">
      <c r="A684" s="694"/>
      <c r="B684" s="298"/>
      <c r="C684" s="1302"/>
      <c r="D684" s="1306"/>
      <c r="E684" s="1308"/>
      <c r="F684" s="2838" t="str">
        <f>Translations!$B$513</f>
        <v>Когато за производството на измерима топлинна енергия са използвани горива като „входящи потоци“ към повече от една подинсталация, в която се консумира топлинната енергия (което включва случаи с входящи и изходящи потоци от и към други инсталации), горивата не трябва да се включват в „емисиите, които могат да се зададат пряко“ на подинсталацията, а в буква k) по-долу.</v>
      </c>
      <c r="G684" s="2839"/>
      <c r="H684" s="2839"/>
      <c r="I684" s="2839"/>
      <c r="J684" s="2839"/>
      <c r="K684" s="2839"/>
      <c r="L684" s="2839"/>
      <c r="M684" s="2839"/>
      <c r="N684" s="2840"/>
      <c r="O684" s="302"/>
      <c r="P684" s="302"/>
      <c r="Q684" s="729"/>
      <c r="R684" s="694"/>
      <c r="S684" s="729"/>
      <c r="T684" s="694"/>
      <c r="U684" s="694"/>
      <c r="V684" s="694"/>
      <c r="W684" s="694"/>
      <c r="X684" s="694"/>
      <c r="Y684" s="694"/>
      <c r="Z684" s="694"/>
      <c r="AA684" s="694"/>
      <c r="AB684" s="694"/>
      <c r="AC684" s="694"/>
      <c r="AD684" s="694"/>
      <c r="AE684" s="694"/>
      <c r="AF684" s="694"/>
      <c r="AG684" s="694"/>
      <c r="AH684" s="694"/>
      <c r="AI684" s="694"/>
      <c r="AJ684" s="694"/>
      <c r="AK684" s="694"/>
      <c r="AL684" s="694"/>
    </row>
    <row r="685" spans="1:38" ht="25.5" customHeight="1" x14ac:dyDescent="0.25">
      <c r="A685" s="694"/>
      <c r="B685" s="298"/>
      <c r="C685" s="1302"/>
      <c r="D685" s="1306"/>
      <c r="E685" s="1308"/>
      <c r="F685" s="2838" t="str">
        <f>Translations!$B$514</f>
        <v>„Входящите потоци“ включват измеримата топлинна енергия от съоръжения в рамките на обекта (напр. централна електростанция в инсталацията или по-сложна мрежа за генериране на пара с няколко съоръжения за производство на топлинна енергия), които доставят топлинна енергия до повече от една подинсталация. В такъв случай емисиите също не трябва да се задават тук, а в точка k).i. по-долу.</v>
      </c>
      <c r="G685" s="2839"/>
      <c r="H685" s="2839"/>
      <c r="I685" s="2839"/>
      <c r="J685" s="2839"/>
      <c r="K685" s="2839"/>
      <c r="L685" s="2839"/>
      <c r="M685" s="2839"/>
      <c r="N685" s="2840"/>
      <c r="O685" s="302"/>
      <c r="P685" s="302"/>
      <c r="Q685" s="729"/>
      <c r="R685" s="694"/>
      <c r="S685" s="729"/>
      <c r="T685" s="694"/>
      <c r="U685" s="694"/>
      <c r="V685" s="694"/>
      <c r="W685" s="694"/>
      <c r="X685" s="694"/>
      <c r="Y685" s="694"/>
      <c r="Z685" s="694"/>
      <c r="AA685" s="694"/>
      <c r="AB685" s="694"/>
      <c r="AC685" s="694"/>
      <c r="AD685" s="694"/>
      <c r="AE685" s="694"/>
      <c r="AF685" s="694"/>
      <c r="AG685" s="694"/>
      <c r="AH685" s="694"/>
      <c r="AI685" s="694"/>
      <c r="AJ685" s="694"/>
      <c r="AK685" s="694"/>
      <c r="AL685" s="694"/>
    </row>
    <row r="686" spans="1:38" ht="25.5" customHeight="1" x14ac:dyDescent="0.25">
      <c r="A686" s="694"/>
      <c r="B686" s="298"/>
      <c r="C686" s="1302"/>
      <c r="D686" s="1306"/>
      <c r="E686" s="1308" t="s">
        <v>1052</v>
      </c>
      <c r="F686" s="2838" t="str">
        <f>Translations!$B$515</f>
        <v>Подавана навън измерима топлинна енергия: Когато тази топлинна енергия се извлича от процеси или се подава навън, тук не се правят корекции. Приспадането на свързаните емисиите се извършва съгласно данните, въведени в точка k).v. по-долу.</v>
      </c>
      <c r="G686" s="2839"/>
      <c r="H686" s="2839"/>
      <c r="I686" s="2839"/>
      <c r="J686" s="2839"/>
      <c r="K686" s="2839"/>
      <c r="L686" s="2839"/>
      <c r="M686" s="2839"/>
      <c r="N686" s="2840"/>
      <c r="O686" s="302"/>
      <c r="P686" s="302"/>
      <c r="Q686" s="729"/>
      <c r="R686" s="694"/>
      <c r="S686" s="729"/>
      <c r="T686" s="694"/>
      <c r="U686" s="694"/>
      <c r="V686" s="694"/>
      <c r="W686" s="694"/>
      <c r="X686" s="694"/>
      <c r="Y686" s="694"/>
      <c r="Z686" s="694"/>
      <c r="AA686" s="694"/>
      <c r="AB686" s="694"/>
      <c r="AC686" s="694"/>
      <c r="AD686" s="694"/>
      <c r="AE686" s="694"/>
      <c r="AF686" s="694"/>
      <c r="AG686" s="694"/>
      <c r="AH686" s="694"/>
      <c r="AI686" s="694"/>
      <c r="AJ686" s="694"/>
      <c r="AK686" s="694"/>
      <c r="AL686" s="694"/>
    </row>
    <row r="687" spans="1:38" ht="25.5" customHeight="1" thickBot="1" x14ac:dyDescent="0.3">
      <c r="A687" s="694"/>
      <c r="B687" s="298"/>
      <c r="C687" s="1302"/>
      <c r="D687" s="1306"/>
      <c r="E687" s="1308" t="s">
        <v>1052</v>
      </c>
      <c r="F687" s="2838" t="str">
        <f>Translations!$B$516</f>
        <v>Отпадни газове: емисиите от отпадните газове, които са ПОЛУЧЕНИ от други инсталации или подинсталации и са консумирани в подинсталацията, не се включват тук, а се въвеждат в буква l) по-долу.</v>
      </c>
      <c r="G687" s="2839"/>
      <c r="H687" s="2839"/>
      <c r="I687" s="2839"/>
      <c r="J687" s="2839"/>
      <c r="K687" s="2839"/>
      <c r="L687" s="2839"/>
      <c r="M687" s="2839"/>
      <c r="N687" s="2840"/>
      <c r="O687" s="302"/>
      <c r="P687" s="302"/>
      <c r="Q687" s="729"/>
      <c r="R687" s="694"/>
      <c r="S687" s="729"/>
      <c r="T687" s="694"/>
      <c r="U687" s="694"/>
      <c r="V687" s="694"/>
      <c r="W687" s="694"/>
      <c r="X687" s="694"/>
      <c r="Y687" s="694"/>
      <c r="Z687" s="694"/>
      <c r="AA687" s="694"/>
      <c r="AB687" s="694"/>
      <c r="AC687" s="694"/>
      <c r="AD687" s="694"/>
      <c r="AE687" s="694"/>
      <c r="AF687" s="694"/>
      <c r="AG687" s="694"/>
      <c r="AH687" s="694"/>
      <c r="AI687" s="694"/>
      <c r="AJ687" s="694"/>
      <c r="AK687" s="694"/>
      <c r="AL687" s="694"/>
    </row>
    <row r="688" spans="1:38" ht="12.75" customHeight="1" thickBot="1" x14ac:dyDescent="0.3">
      <c r="A688" s="694"/>
      <c r="B688" s="298"/>
      <c r="C688" s="1302"/>
      <c r="D688" s="1307"/>
      <c r="E688" s="2803" t="str">
        <f>Translations!$B$517</f>
        <v>Емисии, които могат да се зададат пряко (DirEm*)</v>
      </c>
      <c r="F688" s="2803"/>
      <c r="G688" s="1309" t="str">
        <f>EUconst_Unit</f>
        <v>Единица мярка</v>
      </c>
      <c r="H688" s="629">
        <f t="shared" ref="H688:N688" si="667">H$2831</f>
        <v>2024</v>
      </c>
      <c r="I688" s="1310">
        <f t="shared" si="667"/>
        <v>2025</v>
      </c>
      <c r="J688" s="1311">
        <f t="shared" si="667"/>
        <v>2026</v>
      </c>
      <c r="K688" s="629">
        <f t="shared" si="667"/>
        <v>2027</v>
      </c>
      <c r="L688" s="629">
        <f t="shared" si="667"/>
        <v>2028</v>
      </c>
      <c r="M688" s="629">
        <f t="shared" si="667"/>
        <v>2029</v>
      </c>
      <c r="N688" s="1312">
        <f t="shared" si="667"/>
        <v>2030</v>
      </c>
      <c r="O688" s="302"/>
      <c r="P688" s="302"/>
      <c r="Q688" s="729"/>
      <c r="R688" s="694"/>
      <c r="S688" s="1205"/>
      <c r="T688" s="1313">
        <f t="shared" ref="T688" si="668">H688</f>
        <v>2024</v>
      </c>
      <c r="U688" s="1313">
        <f t="shared" ref="U688" si="669">I688</f>
        <v>2025</v>
      </c>
      <c r="V688" s="1313">
        <f t="shared" ref="V688" si="670">J688</f>
        <v>2026</v>
      </c>
      <c r="W688" s="1313">
        <f t="shared" ref="W688" si="671">K688</f>
        <v>2027</v>
      </c>
      <c r="X688" s="1313">
        <f t="shared" ref="X688" si="672">L688</f>
        <v>2028</v>
      </c>
      <c r="Y688" s="1313">
        <f t="shared" ref="Y688" si="673">M688</f>
        <v>2029</v>
      </c>
      <c r="Z688" s="1314">
        <f t="shared" ref="Z688" si="674">N688</f>
        <v>2030</v>
      </c>
      <c r="AA688" s="694"/>
      <c r="AB688" s="694"/>
      <c r="AC688" s="1178">
        <f t="shared" ref="AC688" si="675">H$20</f>
        <v>2024</v>
      </c>
      <c r="AD688" s="1178">
        <f t="shared" ref="AD688" si="676">I$20</f>
        <v>2025</v>
      </c>
      <c r="AE688" s="1178">
        <f t="shared" ref="AE688" si="677">J$20</f>
        <v>2026</v>
      </c>
      <c r="AF688" s="1178">
        <f t="shared" ref="AF688" si="678">K$20</f>
        <v>2027</v>
      </c>
      <c r="AG688" s="1178">
        <f t="shared" ref="AG688" si="679">L$20</f>
        <v>2028</v>
      </c>
      <c r="AH688" s="1178">
        <f t="shared" ref="AH688" si="680">M$20</f>
        <v>2029</v>
      </c>
      <c r="AI688" s="1178">
        <f t="shared" ref="AI688" si="681">N$20</f>
        <v>2030</v>
      </c>
      <c r="AJ688" s="694"/>
      <c r="AK688" s="694"/>
      <c r="AL688" s="694"/>
    </row>
    <row r="689" spans="1:38" ht="12.75" customHeight="1" thickBot="1" x14ac:dyDescent="0.3">
      <c r="A689" s="694"/>
      <c r="B689" s="298"/>
      <c r="C689" s="1302"/>
      <c r="D689" s="1306"/>
      <c r="E689" s="2814" t="str">
        <f>I575</f>
        <v/>
      </c>
      <c r="F689" s="2258"/>
      <c r="G689" s="642" t="str">
        <f>EUconst_tCO2epa</f>
        <v>t CO2e/година</v>
      </c>
      <c r="H689" s="56"/>
      <c r="I689" s="115"/>
      <c r="J689" s="118"/>
      <c r="K689" s="56"/>
      <c r="L689" s="56"/>
      <c r="M689" s="56"/>
      <c r="N689" s="121"/>
      <c r="O689" s="302"/>
      <c r="P689" s="158"/>
      <c r="Q689" s="1190" t="str">
        <f>EUconst_CNTR_Emissions &amp; I575</f>
        <v>DirEmissions_</v>
      </c>
      <c r="R689" s="694"/>
      <c r="S689" s="1315" t="str">
        <f>EUconst_CNTR_AttributedEmissions &amp; I575</f>
        <v>AttrEmissions_</v>
      </c>
      <c r="T689" s="1290" t="str">
        <f t="shared" ref="T689" si="682">IF(T583,SUM(H689),"")</f>
        <v/>
      </c>
      <c r="U689" s="1290" t="str">
        <f t="shared" ref="U689" si="683">IF(U583,SUM(I689),"")</f>
        <v/>
      </c>
      <c r="V689" s="1290" t="str">
        <f t="shared" ref="V689" si="684">IF(V583,SUM(J689),"")</f>
        <v/>
      </c>
      <c r="W689" s="1290" t="str">
        <f t="shared" ref="W689" si="685">IF(W583,SUM(K689),"")</f>
        <v/>
      </c>
      <c r="X689" s="1290" t="str">
        <f t="shared" ref="X689" si="686">IF(X583,SUM(L689),"")</f>
        <v/>
      </c>
      <c r="Y689" s="1290" t="str">
        <f t="shared" ref="Y689" si="687">IF(Y583,SUM(M689),"")</f>
        <v/>
      </c>
      <c r="Z689" s="1291" t="str">
        <f t="shared" ref="Z689" si="688">IF(Z583,SUM(N689),"")</f>
        <v/>
      </c>
      <c r="AA689" s="694"/>
      <c r="AB689" s="1182" t="s">
        <v>737</v>
      </c>
      <c r="AC689" s="982" t="b">
        <f>AC622</f>
        <v>0</v>
      </c>
      <c r="AD689" s="982" t="b">
        <f t="shared" ref="AD689:AI689" si="689">AD622</f>
        <v>0</v>
      </c>
      <c r="AE689" s="982" t="b">
        <f t="shared" si="689"/>
        <v>0</v>
      </c>
      <c r="AF689" s="982" t="b">
        <f t="shared" si="689"/>
        <v>0</v>
      </c>
      <c r="AG689" s="982" t="b">
        <f t="shared" si="689"/>
        <v>0</v>
      </c>
      <c r="AH689" s="982" t="b">
        <f t="shared" si="689"/>
        <v>0</v>
      </c>
      <c r="AI689" s="982" t="b">
        <f t="shared" si="689"/>
        <v>0</v>
      </c>
      <c r="AJ689" s="1174" t="s">
        <v>2039</v>
      </c>
      <c r="AK689" s="1176" t="str">
        <f>IF(AND(CNTR_ExistSubInstEntries,MSconst_RequireSubAttrEmissions,COUNTIFS(AC689:AI689,FALSE,H689:N689,"")&gt;0),EUconst_Error&amp;"BM"&amp;$Q575,"")</f>
        <v/>
      </c>
      <c r="AL689" s="694"/>
    </row>
    <row r="690" spans="1:38" ht="12.75" customHeight="1" x14ac:dyDescent="0.25">
      <c r="A690" s="694"/>
      <c r="B690" s="298"/>
      <c r="C690" s="1302"/>
      <c r="D690" s="1306"/>
      <c r="E690" s="1306"/>
      <c r="F690" s="1306"/>
      <c r="G690" s="1306"/>
      <c r="H690" s="1306"/>
      <c r="I690" s="1306"/>
      <c r="J690" s="1306"/>
      <c r="K690" s="1306"/>
      <c r="L690" s="1306"/>
      <c r="M690" s="626"/>
      <c r="N690" s="1316"/>
      <c r="O690" s="302"/>
      <c r="P690" s="302"/>
      <c r="Q690" s="729"/>
      <c r="R690" s="694"/>
      <c r="S690" s="729"/>
      <c r="T690" s="694"/>
      <c r="U690" s="694"/>
      <c r="V690" s="694"/>
      <c r="W690" s="694"/>
      <c r="X690" s="694"/>
      <c r="Y690" s="694"/>
      <c r="Z690" s="694"/>
      <c r="AA690" s="694"/>
      <c r="AB690" s="694"/>
      <c r="AC690" s="694"/>
      <c r="AD690" s="694"/>
      <c r="AE690" s="694"/>
      <c r="AF690" s="694"/>
      <c r="AG690" s="694"/>
      <c r="AH690" s="694"/>
      <c r="AI690" s="694"/>
      <c r="AJ690" s="694"/>
      <c r="AK690" s="694"/>
      <c r="AL690" s="694"/>
    </row>
    <row r="691" spans="1:38" ht="12.75" customHeight="1" x14ac:dyDescent="0.25">
      <c r="A691" s="694"/>
      <c r="B691" s="298"/>
      <c r="C691" s="1302"/>
      <c r="D691" s="1307" t="s">
        <v>277</v>
      </c>
      <c r="E691" s="2815" t="str">
        <f>Translations!$B$1524</f>
        <v>Вложена енергия в тази подинсталация и съответен емисионен фактор</v>
      </c>
      <c r="F691" s="2240"/>
      <c r="G691" s="2240"/>
      <c r="H691" s="2240"/>
      <c r="I691" s="2240"/>
      <c r="J691" s="2240"/>
      <c r="K691" s="2240"/>
      <c r="L691" s="2240"/>
      <c r="M691" s="2240"/>
      <c r="N691" s="2811"/>
      <c r="O691" s="302"/>
      <c r="P691" s="302"/>
      <c r="Q691" s="729"/>
      <c r="R691" s="729"/>
      <c r="S691" s="729"/>
      <c r="T691" s="694"/>
      <c r="U691" s="694"/>
      <c r="V691" s="694"/>
      <c r="W691" s="694"/>
      <c r="X691" s="694"/>
      <c r="Y691" s="694"/>
      <c r="Z691" s="694"/>
      <c r="AA691" s="694"/>
      <c r="AB691" s="694"/>
      <c r="AC691" s="694"/>
      <c r="AD691" s="694"/>
      <c r="AE691" s="694"/>
      <c r="AF691" s="694"/>
      <c r="AG691" s="694"/>
      <c r="AH691" s="694"/>
      <c r="AI691" s="694"/>
      <c r="AJ691" s="694"/>
      <c r="AK691" s="694"/>
      <c r="AL691" s="694"/>
    </row>
    <row r="692" spans="1:38" ht="25.5" customHeight="1" x14ac:dyDescent="0.25">
      <c r="A692" s="694"/>
      <c r="B692" s="298"/>
      <c r="C692" s="1302"/>
      <c r="D692" s="1306"/>
      <c r="E692" s="2836" t="str">
        <f>Translations!$B$1525</f>
        <v>Съгласно изискванията в приложение IV, раздел 2.4, буква а) към ПБР посочете общото количество вложена енергия от горива, материали и електроенергия за генериране на топлинна енергия от подинсталацията и съответния претеглен емисионен фактор, като вземете предвид съответното енергийно съдържание на всяко гориво, включено в числовата стойност, посочена в буква ж), и приложите същите системни граници от буква ж).</v>
      </c>
      <c r="F692" s="2836"/>
      <c r="G692" s="2836"/>
      <c r="H692" s="2836"/>
      <c r="I692" s="2836"/>
      <c r="J692" s="2836"/>
      <c r="K692" s="2836"/>
      <c r="L692" s="2836"/>
      <c r="M692" s="2836"/>
      <c r="N692" s="2837"/>
      <c r="O692" s="302"/>
      <c r="P692" s="302"/>
      <c r="Q692" s="729"/>
      <c r="R692" s="729"/>
      <c r="S692" s="729"/>
      <c r="T692" s="694"/>
      <c r="U692" s="694"/>
      <c r="V692" s="694"/>
      <c r="W692" s="694"/>
      <c r="X692" s="694"/>
      <c r="Y692" s="694"/>
      <c r="Z692" s="694"/>
      <c r="AA692" s="694"/>
      <c r="AB692" s="694"/>
      <c r="AC692" s="694"/>
      <c r="AD692" s="694"/>
      <c r="AE692" s="694"/>
      <c r="AF692" s="694"/>
      <c r="AG692" s="694"/>
      <c r="AH692" s="694"/>
      <c r="AI692" s="694"/>
      <c r="AJ692" s="694"/>
      <c r="AK692" s="694"/>
      <c r="AL692" s="694"/>
    </row>
    <row r="693" spans="1:38" ht="25.5" customHeight="1" x14ac:dyDescent="0.25">
      <c r="A693" s="694"/>
      <c r="B693" s="298"/>
      <c r="C693" s="1302"/>
      <c r="D693" s="1306"/>
      <c r="E693" s="2836" t="str">
        <f>Translations!$B$1526</f>
        <v>Терминът „гориво“ следва да се тълкува като всеки запалим пораждащ емисии поток съгласно РМД, за който може да се установи долната топлина на изгаряне. Претегленият емисионен фактор съответства на натрупаните емисии от горива, разделени на общото енергийно съдържание.</v>
      </c>
      <c r="F693" s="2836"/>
      <c r="G693" s="2836"/>
      <c r="H693" s="2836"/>
      <c r="I693" s="2836"/>
      <c r="J693" s="2836"/>
      <c r="K693" s="2836"/>
      <c r="L693" s="2836"/>
      <c r="M693" s="2836"/>
      <c r="N693" s="2837"/>
      <c r="O693" s="302"/>
      <c r="P693" s="302"/>
      <c r="Q693" s="729"/>
      <c r="R693" s="694"/>
      <c r="S693" s="729"/>
      <c r="T693" s="694"/>
      <c r="U693" s="694"/>
      <c r="V693" s="694"/>
      <c r="W693" s="694"/>
      <c r="X693" s="694"/>
      <c r="Y693" s="694"/>
      <c r="Z693" s="694"/>
      <c r="AA693" s="694"/>
      <c r="AB693" s="694"/>
      <c r="AC693" s="694"/>
      <c r="AD693" s="694"/>
      <c r="AE693" s="694"/>
      <c r="AF693" s="694"/>
      <c r="AG693" s="694"/>
      <c r="AH693" s="694"/>
      <c r="AI693" s="694"/>
      <c r="AJ693" s="694"/>
      <c r="AK693" s="694"/>
      <c r="AL693" s="694"/>
    </row>
    <row r="694" spans="1:38" ht="12.75" customHeight="1" x14ac:dyDescent="0.25">
      <c r="A694" s="694"/>
      <c r="B694" s="298"/>
      <c r="C694" s="1302"/>
      <c r="D694" s="1306"/>
      <c r="E694" s="2836" t="str">
        <f>Translations!$B$519</f>
        <v>Претегленият емисионен фактор следва също така да включва и емисии от съответното очистване на димни газове, ако е приложимо.</v>
      </c>
      <c r="F694" s="2836"/>
      <c r="G694" s="2836"/>
      <c r="H694" s="2836"/>
      <c r="I694" s="2836"/>
      <c r="J694" s="2836"/>
      <c r="K694" s="2836"/>
      <c r="L694" s="2836"/>
      <c r="M694" s="2836"/>
      <c r="N694" s="2837"/>
      <c r="O694" s="302"/>
      <c r="P694" s="302"/>
      <c r="Q694" s="729"/>
      <c r="R694" s="694"/>
      <c r="S694" s="729"/>
      <c r="T694" s="694"/>
      <c r="U694" s="694"/>
      <c r="V694" s="694"/>
      <c r="W694" s="694"/>
      <c r="X694" s="694"/>
      <c r="Y694" s="694"/>
      <c r="Z694" s="694"/>
      <c r="AA694" s="694"/>
      <c r="AB694" s="694"/>
      <c r="AC694" s="694"/>
      <c r="AD694" s="694"/>
      <c r="AE694" s="694"/>
      <c r="AF694" s="694"/>
      <c r="AG694" s="694"/>
      <c r="AH694" s="694"/>
      <c r="AI694" s="694"/>
      <c r="AJ694" s="694"/>
      <c r="AK694" s="694"/>
      <c r="AL694" s="694"/>
    </row>
    <row r="695" spans="1:38" ht="12.75" customHeight="1" x14ac:dyDescent="0.25">
      <c r="A695" s="694"/>
      <c r="B695" s="298"/>
      <c r="C695" s="1302"/>
      <c r="D695" s="1306"/>
      <c r="E695" s="2816" t="str">
        <f>Translations!$B$520</f>
        <v>Посочените тук данни се използват само с цел проверка на съответствието и нямат пряко отражение върху емисиите, които могат да бъдат зададени, или на разпределението на квотите.</v>
      </c>
      <c r="F695" s="2240"/>
      <c r="G695" s="2240"/>
      <c r="H695" s="2240"/>
      <c r="I695" s="2240"/>
      <c r="J695" s="2240"/>
      <c r="K695" s="2240"/>
      <c r="L695" s="2240"/>
      <c r="M695" s="2240"/>
      <c r="N695" s="2811"/>
      <c r="O695" s="302"/>
      <c r="P695" s="302"/>
      <c r="Q695" s="729"/>
      <c r="R695" s="694"/>
      <c r="S695" s="729"/>
      <c r="T695" s="694"/>
      <c r="U695" s="694"/>
      <c r="V695" s="694"/>
      <c r="W695" s="694"/>
      <c r="X695" s="694"/>
      <c r="Y695" s="694"/>
      <c r="Z695" s="694"/>
      <c r="AA695" s="694"/>
      <c r="AB695" s="694"/>
      <c r="AC695" s="694"/>
      <c r="AD695" s="694"/>
      <c r="AE695" s="694"/>
      <c r="AF695" s="694"/>
      <c r="AG695" s="694"/>
      <c r="AH695" s="694"/>
      <c r="AI695" s="694"/>
      <c r="AJ695" s="694"/>
      <c r="AK695" s="694"/>
      <c r="AL695" s="694"/>
    </row>
    <row r="696" spans="1:38" ht="12.75" customHeight="1" thickBot="1" x14ac:dyDescent="0.3">
      <c r="A696" s="694"/>
      <c r="B696" s="298"/>
      <c r="C696" s="1302"/>
      <c r="D696" s="1307"/>
      <c r="E696" s="1317"/>
      <c r="F696" s="1318"/>
      <c r="G696" s="1309" t="str">
        <f>EUconst_Unit</f>
        <v>Единица мярка</v>
      </c>
      <c r="H696" s="629">
        <f t="shared" ref="H696:N696" si="690">H$2831</f>
        <v>2024</v>
      </c>
      <c r="I696" s="1310">
        <f t="shared" si="690"/>
        <v>2025</v>
      </c>
      <c r="J696" s="1311">
        <f t="shared" si="690"/>
        <v>2026</v>
      </c>
      <c r="K696" s="629">
        <f t="shared" si="690"/>
        <v>2027</v>
      </c>
      <c r="L696" s="629">
        <f t="shared" si="690"/>
        <v>2028</v>
      </c>
      <c r="M696" s="629">
        <f t="shared" si="690"/>
        <v>2029</v>
      </c>
      <c r="N696" s="1312">
        <f t="shared" si="690"/>
        <v>2030</v>
      </c>
      <c r="O696" s="302"/>
      <c r="P696" s="302"/>
      <c r="Q696" s="729"/>
      <c r="R696" s="694"/>
      <c r="S696" s="729"/>
      <c r="T696" s="694"/>
      <c r="U696" s="694"/>
      <c r="V696" s="694"/>
      <c r="W696" s="694"/>
      <c r="X696" s="694"/>
      <c r="Y696" s="694"/>
      <c r="Z696" s="694"/>
      <c r="AA696" s="694"/>
      <c r="AB696" s="694"/>
      <c r="AC696" s="1178">
        <f t="shared" ref="AC696" si="691">H$20</f>
        <v>2024</v>
      </c>
      <c r="AD696" s="1178">
        <f t="shared" ref="AD696" si="692">I$20</f>
        <v>2025</v>
      </c>
      <c r="AE696" s="1178">
        <f t="shared" ref="AE696" si="693">J$20</f>
        <v>2026</v>
      </c>
      <c r="AF696" s="1178">
        <f t="shared" ref="AF696" si="694">K$20</f>
        <v>2027</v>
      </c>
      <c r="AG696" s="1178">
        <f t="shared" ref="AG696" si="695">L$20</f>
        <v>2028</v>
      </c>
      <c r="AH696" s="1178">
        <f t="shared" ref="AH696" si="696">M$20</f>
        <v>2029</v>
      </c>
      <c r="AI696" s="1178">
        <f t="shared" ref="AI696" si="697">N$20</f>
        <v>2030</v>
      </c>
      <c r="AJ696" s="694"/>
      <c r="AK696" s="694"/>
      <c r="AL696" s="694"/>
    </row>
    <row r="697" spans="1:38" ht="12.75" customHeight="1" x14ac:dyDescent="0.25">
      <c r="A697" s="694"/>
      <c r="B697" s="298"/>
      <c r="C697" s="1302"/>
      <c r="D697" s="625" t="s">
        <v>6</v>
      </c>
      <c r="E697" s="2820" t="str">
        <f>Translations!$B$1527</f>
        <v>Вложена енергия</v>
      </c>
      <c r="F697" s="2258"/>
      <c r="G697" s="1319" t="str">
        <f>EUconst_TJpa</f>
        <v>TJ / година</v>
      </c>
      <c r="H697" s="56"/>
      <c r="I697" s="115"/>
      <c r="J697" s="118"/>
      <c r="K697" s="56"/>
      <c r="L697" s="56"/>
      <c r="M697" s="56"/>
      <c r="N697" s="121"/>
      <c r="O697" s="302"/>
      <c r="P697" s="158"/>
      <c r="Q697" s="1190" t="str">
        <f>EUconst_CNTR_FuelInput &amp; I575</f>
        <v>FuelInput_</v>
      </c>
      <c r="R697" s="694"/>
      <c r="S697" s="729"/>
      <c r="T697" s="694"/>
      <c r="U697" s="694"/>
      <c r="V697" s="694"/>
      <c r="W697" s="694"/>
      <c r="X697" s="694"/>
      <c r="Y697" s="694"/>
      <c r="Z697" s="694"/>
      <c r="AA697" s="694"/>
      <c r="AB697" s="1182" t="s">
        <v>737</v>
      </c>
      <c r="AC697" s="982" t="b">
        <f>AC622</f>
        <v>0</v>
      </c>
      <c r="AD697" s="982" t="b">
        <f t="shared" ref="AD697:AI697" si="698">AD622</f>
        <v>0</v>
      </c>
      <c r="AE697" s="982" t="b">
        <f t="shared" si="698"/>
        <v>0</v>
      </c>
      <c r="AF697" s="982" t="b">
        <f t="shared" si="698"/>
        <v>0</v>
      </c>
      <c r="AG697" s="982" t="b">
        <f t="shared" si="698"/>
        <v>0</v>
      </c>
      <c r="AH697" s="982" t="b">
        <f t="shared" si="698"/>
        <v>0</v>
      </c>
      <c r="AI697" s="982" t="b">
        <f t="shared" si="698"/>
        <v>0</v>
      </c>
      <c r="AJ697" s="1174" t="s">
        <v>2039</v>
      </c>
      <c r="AK697" s="1176" t="str">
        <f>IF(AND(CNTR_ExistSubInstEntries,MSconst_RequireSubAttrEmissions,COUNTIFS(AC697:AI697,FALSE,H697:N697,"")&gt;0),EUconst_Error&amp;"BM"&amp;$Q575,"")</f>
        <v/>
      </c>
      <c r="AL697" s="694"/>
    </row>
    <row r="698" spans="1:38" ht="12.75" customHeight="1" x14ac:dyDescent="0.25">
      <c r="A698" s="694"/>
      <c r="B698" s="298"/>
      <c r="C698" s="1302"/>
      <c r="D698" s="625" t="s">
        <v>7</v>
      </c>
      <c r="E698" s="2820" t="str">
        <f>Translations!$B$522</f>
        <v>Претеглен емисионен фактор</v>
      </c>
      <c r="F698" s="2258"/>
      <c r="G698" s="1320" t="str">
        <f>EUconst_tCO2pTJ</f>
        <v>t CO2 / TJ</v>
      </c>
      <c r="H698" s="82"/>
      <c r="I698" s="126"/>
      <c r="J698" s="127"/>
      <c r="K698" s="82"/>
      <c r="L698" s="82"/>
      <c r="M698" s="82"/>
      <c r="N698" s="128"/>
      <c r="O698" s="302"/>
      <c r="P698" s="158"/>
      <c r="Q698" s="1190" t="str">
        <f>EUconst_CNTR_FuelEF &amp; I575</f>
        <v>FuelEF_</v>
      </c>
      <c r="R698" s="694"/>
      <c r="S698" s="729"/>
      <c r="T698" s="694"/>
      <c r="U698" s="694"/>
      <c r="V698" s="694"/>
      <c r="W698" s="694"/>
      <c r="X698" s="694"/>
      <c r="Y698" s="694"/>
      <c r="Z698" s="694"/>
      <c r="AA698" s="694"/>
      <c r="AB698" s="694"/>
      <c r="AC698" s="982" t="b">
        <f>AC697</f>
        <v>0</v>
      </c>
      <c r="AD698" s="982" t="b">
        <f t="shared" ref="AD698:AI698" si="699">AD697</f>
        <v>0</v>
      </c>
      <c r="AE698" s="982" t="b">
        <f t="shared" si="699"/>
        <v>0</v>
      </c>
      <c r="AF698" s="982" t="b">
        <f t="shared" si="699"/>
        <v>0</v>
      </c>
      <c r="AG698" s="982" t="b">
        <f t="shared" si="699"/>
        <v>0</v>
      </c>
      <c r="AH698" s="982" t="b">
        <f t="shared" si="699"/>
        <v>0</v>
      </c>
      <c r="AI698" s="982" t="b">
        <f t="shared" si="699"/>
        <v>0</v>
      </c>
      <c r="AJ698" s="1174" t="s">
        <v>2039</v>
      </c>
      <c r="AK698" s="1176" t="str">
        <f>IF(AND(CNTR_ExistSubInstEntries,MSconst_RequireSubAttrEmissions,COUNTIFS(AC698:AI698,FALSE,H698:N698,"")&gt;0),EUconst_Error&amp;"BM"&amp;$Q575,"")</f>
        <v/>
      </c>
      <c r="AL698" s="694"/>
    </row>
    <row r="699" spans="1:38" ht="12.75" customHeight="1" x14ac:dyDescent="0.25">
      <c r="A699" s="694"/>
      <c r="B699" s="298"/>
      <c r="C699" s="1302"/>
      <c r="D699" s="1306"/>
      <c r="E699" s="1306"/>
      <c r="F699" s="1306"/>
      <c r="G699" s="1306"/>
      <c r="H699" s="1306"/>
      <c r="I699" s="1306"/>
      <c r="J699" s="1306"/>
      <c r="K699" s="1306"/>
      <c r="L699" s="1306"/>
      <c r="M699" s="626"/>
      <c r="N699" s="1316"/>
      <c r="O699" s="302"/>
      <c r="P699" s="302"/>
      <c r="Q699" s="729"/>
      <c r="R699" s="694"/>
      <c r="S699" s="729"/>
      <c r="T699" s="694"/>
      <c r="U699" s="694"/>
      <c r="V699" s="694"/>
      <c r="W699" s="694"/>
      <c r="X699" s="694"/>
      <c r="Y699" s="694"/>
      <c r="Z699" s="694"/>
      <c r="AA699" s="694"/>
      <c r="AB699" s="694"/>
      <c r="AC699" s="694"/>
      <c r="AD699" s="694"/>
      <c r="AE699" s="694"/>
      <c r="AF699" s="694"/>
      <c r="AG699" s="694"/>
      <c r="AH699" s="694"/>
      <c r="AI699" s="694"/>
      <c r="AJ699" s="694"/>
      <c r="AK699" s="694"/>
      <c r="AL699" s="694"/>
    </row>
    <row r="700" spans="1:38" ht="12.75" customHeight="1" x14ac:dyDescent="0.25">
      <c r="A700" s="694"/>
      <c r="B700" s="298"/>
      <c r="C700" s="1302"/>
      <c r="D700" s="1307" t="s">
        <v>279</v>
      </c>
      <c r="E700" s="2815" t="str">
        <f>Translations!$B$523</f>
        <v>Други вътрешни пораждащи емисии потоци, получени или подадени от тази подинсталация</v>
      </c>
      <c r="F700" s="2240"/>
      <c r="G700" s="2240"/>
      <c r="H700" s="2240"/>
      <c r="I700" s="2240"/>
      <c r="J700" s="2240"/>
      <c r="K700" s="2240"/>
      <c r="L700" s="2240"/>
      <c r="M700" s="2240"/>
      <c r="N700" s="2811"/>
      <c r="O700" s="302"/>
      <c r="P700" s="302"/>
      <c r="Q700" s="729"/>
      <c r="R700" s="729"/>
      <c r="S700" s="729"/>
      <c r="T700" s="694"/>
      <c r="U700" s="694"/>
      <c r="V700" s="694"/>
      <c r="W700" s="694"/>
      <c r="X700" s="694"/>
      <c r="Y700" s="694"/>
      <c r="Z700" s="694"/>
      <c r="AA700" s="694"/>
      <c r="AB700" s="694"/>
      <c r="AC700" s="694"/>
      <c r="AD700" s="694"/>
      <c r="AE700" s="694"/>
      <c r="AF700" s="694"/>
      <c r="AG700" s="694"/>
      <c r="AH700" s="694"/>
      <c r="AI700" s="694"/>
      <c r="AJ700" s="694"/>
      <c r="AK700" s="694"/>
      <c r="AL700" s="694"/>
    </row>
    <row r="701" spans="1:38" ht="12.75" customHeight="1" x14ac:dyDescent="0.25">
      <c r="A701" s="694"/>
      <c r="B701" s="298"/>
      <c r="C701" s="1302"/>
      <c r="D701" s="625"/>
      <c r="E701" s="2816" t="str">
        <f>Translations!$B$508</f>
        <v>Посочените тук данни ще се отразят на емисиите, които могат да бъдат зададени съгласно раздел 10.1.1 от приложение VII към ПБР.</v>
      </c>
      <c r="F701" s="2240"/>
      <c r="G701" s="2240"/>
      <c r="H701" s="2240"/>
      <c r="I701" s="2240"/>
      <c r="J701" s="2240"/>
      <c r="K701" s="2240"/>
      <c r="L701" s="2240"/>
      <c r="M701" s="2240"/>
      <c r="N701" s="2811"/>
      <c r="O701" s="302"/>
      <c r="P701" s="302"/>
      <c r="Q701" s="729"/>
      <c r="R701" s="694"/>
      <c r="S701" s="729"/>
      <c r="T701" s="729"/>
      <c r="U701" s="729"/>
      <c r="V701" s="729"/>
      <c r="W701" s="694"/>
      <c r="X701" s="694"/>
      <c r="Y701" s="694"/>
      <c r="Z701" s="694"/>
      <c r="AA701" s="694"/>
      <c r="AB701" s="694"/>
      <c r="AC701" s="694"/>
      <c r="AD701" s="694"/>
      <c r="AE701" s="694"/>
      <c r="AF701" s="694"/>
      <c r="AG701" s="694"/>
      <c r="AH701" s="694"/>
      <c r="AI701" s="694"/>
      <c r="AJ701" s="694"/>
      <c r="AK701" s="694"/>
      <c r="AL701" s="694"/>
    </row>
    <row r="702" spans="1:38" ht="25.5" customHeight="1" x14ac:dyDescent="0.25">
      <c r="A702" s="694"/>
      <c r="B702" s="298"/>
      <c r="C702" s="1302"/>
      <c r="D702" s="1306"/>
      <c r="E702" s="2816" t="str">
        <f>Translations!$B$524</f>
        <v>Имайте предвид, че всички пораждащи емисии потоци трябва да се изброят тук само ако не са обхванати от преките емисии в буква g) по-горе, за да се избегнат пропуски в данните или двойно отчитане. Емисиите, свързани с отпадните газове, НЕ могат да се изброяват тук, а трябва да се посочват в буква l) по-долу.</v>
      </c>
      <c r="F702" s="2240"/>
      <c r="G702" s="2240"/>
      <c r="H702" s="2240"/>
      <c r="I702" s="2240"/>
      <c r="J702" s="2240"/>
      <c r="K702" s="2240"/>
      <c r="L702" s="2240"/>
      <c r="M702" s="2240"/>
      <c r="N702" s="2811"/>
      <c r="O702" s="302"/>
      <c r="P702" s="302"/>
      <c r="Q702" s="729"/>
      <c r="R702" s="729"/>
      <c r="S702" s="729"/>
      <c r="T702" s="694"/>
      <c r="U702" s="694"/>
      <c r="V702" s="694"/>
      <c r="W702" s="694"/>
      <c r="X702" s="694"/>
      <c r="Y702" s="694"/>
      <c r="Z702" s="694"/>
      <c r="AA702" s="694"/>
      <c r="AB702" s="694"/>
      <c r="AC702" s="694"/>
      <c r="AD702" s="694"/>
      <c r="AE702" s="694"/>
      <c r="AF702" s="694"/>
      <c r="AG702" s="694"/>
      <c r="AH702" s="694"/>
      <c r="AI702" s="694"/>
      <c r="AJ702" s="694"/>
      <c r="AK702" s="694"/>
      <c r="AL702" s="694"/>
    </row>
    <row r="703" spans="1:38" ht="12.75" customHeight="1" x14ac:dyDescent="0.25">
      <c r="A703" s="694"/>
      <c r="B703" s="298"/>
      <c r="C703" s="1302"/>
      <c r="D703" s="1306"/>
      <c r="E703" s="2810" t="str">
        <f>Translations!$B$525</f>
        <v>Тук въведете информация за т.нар. вътрешни пораждащи емисии потоци, които се пренасят между подинсталациите, т.е. са получени или подадени от тази подинсталация.</v>
      </c>
      <c r="F703" s="2240"/>
      <c r="G703" s="2240"/>
      <c r="H703" s="2240"/>
      <c r="I703" s="2240"/>
      <c r="J703" s="2240"/>
      <c r="K703" s="2240"/>
      <c r="L703" s="2240"/>
      <c r="M703" s="2240"/>
      <c r="N703" s="2811"/>
      <c r="O703" s="302"/>
      <c r="P703" s="302"/>
      <c r="Q703" s="729"/>
      <c r="R703" s="729"/>
      <c r="S703" s="729"/>
      <c r="T703" s="694"/>
      <c r="U703" s="694"/>
      <c r="V703" s="694"/>
      <c r="W703" s="694"/>
      <c r="X703" s="694"/>
      <c r="Y703" s="694"/>
      <c r="Z703" s="694"/>
      <c r="AA703" s="694"/>
      <c r="AB703" s="694"/>
      <c r="AC703" s="694"/>
      <c r="AD703" s="694"/>
      <c r="AE703" s="694"/>
      <c r="AF703" s="694"/>
      <c r="AG703" s="694"/>
      <c r="AH703" s="694"/>
      <c r="AI703" s="694"/>
      <c r="AJ703" s="694"/>
      <c r="AK703" s="694"/>
      <c r="AL703" s="694"/>
    </row>
    <row r="704" spans="1:38" ht="38.9" customHeight="1" x14ac:dyDescent="0.25">
      <c r="A704" s="694"/>
      <c r="B704" s="298"/>
      <c r="C704" s="1302"/>
      <c r="D704" s="1306"/>
      <c r="E704" s="2810" t="str">
        <f>Translations!$B$526</f>
        <v>Така например, ако това е подинсталацията за „кокс“ на комбинирана инсталация за чугун и стомана, емисиите, свързани с консумацията на кокс, възникват в доменната пещ и не трябва да се задават на тази подинсталация (т.е. подинсталацията за „кокс“). Въпреки това част от емисиите се включват в буква g) по-горе, защото въглищата, които се вкарват в коксовата пещ, ще са един от зададените на първата стъпка пораждащи емисии потоци.</v>
      </c>
      <c r="F704" s="2240"/>
      <c r="G704" s="2240"/>
      <c r="H704" s="2240"/>
      <c r="I704" s="2240"/>
      <c r="J704" s="2240"/>
      <c r="K704" s="2240"/>
      <c r="L704" s="2240"/>
      <c r="M704" s="2240"/>
      <c r="N704" s="2811"/>
      <c r="O704" s="302"/>
      <c r="P704" s="302"/>
      <c r="Q704" s="729"/>
      <c r="R704" s="694"/>
      <c r="S704" s="729"/>
      <c r="T704" s="694"/>
      <c r="U704" s="694"/>
      <c r="V704" s="694"/>
      <c r="W704" s="694"/>
      <c r="X704" s="694"/>
      <c r="Y704" s="694"/>
      <c r="Z704" s="694"/>
      <c r="AA704" s="694"/>
      <c r="AB704" s="694"/>
      <c r="AC704" s="694"/>
      <c r="AD704" s="694"/>
      <c r="AE704" s="694"/>
      <c r="AF704" s="694"/>
      <c r="AG704" s="694"/>
      <c r="AH704" s="694"/>
      <c r="AI704" s="694"/>
      <c r="AJ704" s="694"/>
      <c r="AK704" s="694"/>
      <c r="AL704" s="694"/>
    </row>
    <row r="705" spans="1:38" ht="51" customHeight="1" x14ac:dyDescent="0.25">
      <c r="A705" s="694"/>
      <c r="B705" s="298"/>
      <c r="C705" s="1302"/>
      <c r="D705" s="1306"/>
      <c r="E705" s="2810" t="str">
        <f>Translations!$B$527</f>
        <v>За да се избегне двойно отчитане, коксът, който излиза от коксовата подинсталация, трябва да се коригира като изходящ „вътрешен пораждащ емисии поток“. Това става чрез отрицателна стойност за количеството кокс в случай на „подаване“. За да се получи пълен баланс на емисиите от въглищата, вкарани в коксовата подинсталация, емисиите, свързани с използването на коксов газ (= отпаден газ), са отразени в буква g) по-горе (както е включено в емисиите от въглища), до степента на използване на газа в рамките на подинсталацията. Тук не трябва да се внасят корекции, за да се отчетат подадените количества отпаден газ; това се прави в l).xx. по-долу.</v>
      </c>
      <c r="F705" s="2240"/>
      <c r="G705" s="2240"/>
      <c r="H705" s="2240"/>
      <c r="I705" s="2240"/>
      <c r="J705" s="2240"/>
      <c r="K705" s="2240"/>
      <c r="L705" s="2240"/>
      <c r="M705" s="2240"/>
      <c r="N705" s="2811"/>
      <c r="O705" s="302"/>
      <c r="P705" s="302"/>
      <c r="Q705" s="729"/>
      <c r="R705" s="694"/>
      <c r="S705" s="729"/>
      <c r="T705" s="694"/>
      <c r="U705" s="694"/>
      <c r="V705" s="694"/>
      <c r="W705" s="694"/>
      <c r="X705" s="694"/>
      <c r="Y705" s="694"/>
      <c r="Z705" s="694"/>
      <c r="AA705" s="694"/>
      <c r="AB705" s="694"/>
      <c r="AC705" s="694"/>
      <c r="AD705" s="694"/>
      <c r="AE705" s="694"/>
      <c r="AF705" s="694"/>
      <c r="AG705" s="694"/>
      <c r="AH705" s="694"/>
      <c r="AI705" s="694"/>
      <c r="AJ705" s="694"/>
      <c r="AK705" s="694"/>
      <c r="AL705" s="694"/>
    </row>
    <row r="706" spans="1:38" ht="25.5" customHeight="1" x14ac:dyDescent="0.25">
      <c r="A706" s="694"/>
      <c r="B706" s="298"/>
      <c r="C706" s="1302"/>
      <c r="D706" s="1306"/>
      <c r="E706" s="2810" t="str">
        <f>Translations!$B$528</f>
        <v>И обратно, ако това е подинсталация с показател за течни черни метали в комбинирана инсталация за чугун и стомана, коксът трябва да се посочи тук като входящ/получен „вътрешен“ пораждащ емисии поток с положително количество.</v>
      </c>
      <c r="F706" s="2240"/>
      <c r="G706" s="2240"/>
      <c r="H706" s="2240"/>
      <c r="I706" s="2240"/>
      <c r="J706" s="2240"/>
      <c r="K706" s="2240"/>
      <c r="L706" s="2240"/>
      <c r="M706" s="2240"/>
      <c r="N706" s="2811"/>
      <c r="O706" s="302"/>
      <c r="P706" s="302"/>
      <c r="Q706" s="729"/>
      <c r="R706" s="694"/>
      <c r="S706" s="729"/>
      <c r="T706" s="694"/>
      <c r="U706" s="694"/>
      <c r="V706" s="694"/>
      <c r="W706" s="694"/>
      <c r="X706" s="694"/>
      <c r="Y706" s="694"/>
      <c r="Z706" s="694"/>
      <c r="AA706" s="694"/>
      <c r="AB706" s="694"/>
      <c r="AC706" s="694"/>
      <c r="AD706" s="694"/>
      <c r="AE706" s="694"/>
      <c r="AF706" s="694"/>
      <c r="AG706" s="694"/>
      <c r="AH706" s="694"/>
      <c r="AI706" s="694"/>
      <c r="AJ706" s="694"/>
      <c r="AK706" s="694"/>
      <c r="AL706" s="694"/>
    </row>
    <row r="707" spans="1:38" ht="12.75" customHeight="1" x14ac:dyDescent="0.25">
      <c r="A707" s="694"/>
      <c r="B707" s="298"/>
      <c r="C707" s="1302"/>
      <c r="D707" s="625" t="s">
        <v>6</v>
      </c>
      <c r="E707" s="2817" t="str">
        <f>Translations!$B$529</f>
        <v>За тази подинсталация отнасят ли се други получени или подадени вътрешни пораждащи емисии потоци?</v>
      </c>
      <c r="F707" s="2240"/>
      <c r="G707" s="2240"/>
      <c r="H707" s="2240"/>
      <c r="I707" s="2240"/>
      <c r="J707" s="2240"/>
      <c r="K707" s="2684"/>
      <c r="L707" s="83"/>
      <c r="M707" s="1322"/>
      <c r="N707" s="1323"/>
      <c r="O707" s="302"/>
      <c r="P707" s="158"/>
      <c r="Q707" s="729"/>
      <c r="R707" s="694"/>
      <c r="S707" s="729"/>
      <c r="T707" s="694"/>
      <c r="U707" s="694"/>
      <c r="V707" s="694"/>
      <c r="W707" s="694"/>
      <c r="X707" s="694"/>
      <c r="Y707" s="694"/>
      <c r="Z707" s="694"/>
      <c r="AA707" s="694"/>
      <c r="AB707" s="694"/>
      <c r="AC707" s="694"/>
      <c r="AD707" s="694"/>
      <c r="AE707" s="694"/>
      <c r="AF707" s="1182" t="s">
        <v>737</v>
      </c>
      <c r="AG707" s="901" t="b">
        <f>AND(CNTR_ExistSubInstEntries,I575="")</f>
        <v>0</v>
      </c>
      <c r="AH707" s="694"/>
      <c r="AI707" s="694"/>
      <c r="AJ707" s="694"/>
      <c r="AK707" s="694"/>
      <c r="AL707" s="694"/>
    </row>
    <row r="708" spans="1:38" ht="12.75" customHeight="1" x14ac:dyDescent="0.25">
      <c r="A708" s="694"/>
      <c r="B708" s="298"/>
      <c r="C708" s="1302"/>
      <c r="D708" s="1306"/>
      <c r="E708" s="2810" t="str">
        <f>Translations!$B$530</f>
        <v>Ако има над два получени или подадени пораждащи емисии потока, тези няколко пораждащи емисии потока следва да се групират заедно и да се посочат имената им.</v>
      </c>
      <c r="F708" s="2240"/>
      <c r="G708" s="2240"/>
      <c r="H708" s="2240"/>
      <c r="I708" s="2240"/>
      <c r="J708" s="2240"/>
      <c r="K708" s="2240"/>
      <c r="L708" s="2240"/>
      <c r="M708" s="2240"/>
      <c r="N708" s="2811"/>
      <c r="O708" s="302"/>
      <c r="P708" s="302"/>
      <c r="Q708" s="729"/>
      <c r="R708" s="694"/>
      <c r="S708" s="729"/>
      <c r="T708" s="694"/>
      <c r="U708" s="694"/>
      <c r="V708" s="694"/>
      <c r="W708" s="694"/>
      <c r="X708" s="694"/>
      <c r="Y708" s="694"/>
      <c r="Z708" s="694"/>
      <c r="AA708" s="694"/>
      <c r="AB708" s="694"/>
      <c r="AC708" s="694"/>
      <c r="AD708" s="694"/>
      <c r="AE708" s="694"/>
      <c r="AF708" s="694"/>
      <c r="AG708" s="694"/>
      <c r="AH708" s="694"/>
      <c r="AI708" s="694"/>
      <c r="AJ708" s="694"/>
      <c r="AK708" s="694"/>
      <c r="AL708" s="694"/>
    </row>
    <row r="709" spans="1:38" ht="12.75" customHeight="1" x14ac:dyDescent="0.25">
      <c r="A709" s="694"/>
      <c r="B709" s="298"/>
      <c r="C709" s="1302"/>
      <c r="D709" s="625" t="s">
        <v>7</v>
      </c>
      <c r="E709" s="2815" t="str">
        <f>Translations!$B$531</f>
        <v>Име на други пораждащи емисии потоци — 1:</v>
      </c>
      <c r="F709" s="2240"/>
      <c r="G709" s="2240"/>
      <c r="H709" s="2684"/>
      <c r="I709" s="2821"/>
      <c r="J709" s="2834"/>
      <c r="K709" s="2834"/>
      <c r="L709" s="2834"/>
      <c r="M709" s="2835"/>
      <c r="N709" s="1324"/>
      <c r="O709" s="302"/>
      <c r="P709" s="158"/>
      <c r="Q709" s="729"/>
      <c r="R709" s="694"/>
      <c r="S709" s="729"/>
      <c r="T709" s="694"/>
      <c r="U709" s="694"/>
      <c r="V709" s="694"/>
      <c r="W709" s="694"/>
      <c r="X709" s="694"/>
      <c r="Y709" s="694"/>
      <c r="Z709" s="694"/>
      <c r="AA709" s="694"/>
      <c r="AB709" s="694"/>
      <c r="AC709" s="1182" t="s">
        <v>737</v>
      </c>
      <c r="AD709" s="901" t="b">
        <f>OR(AG707,AND($L707&lt;&gt;"",$L707=FALSE))</f>
        <v>0</v>
      </c>
      <c r="AE709" s="694"/>
      <c r="AF709" s="694"/>
      <c r="AG709" s="694"/>
      <c r="AH709" s="694"/>
      <c r="AI709" s="694"/>
      <c r="AJ709" s="694"/>
      <c r="AK709" s="694"/>
      <c r="AL709" s="694"/>
    </row>
    <row r="710" spans="1:38" ht="5.15" customHeight="1" x14ac:dyDescent="0.25">
      <c r="A710" s="694"/>
      <c r="B710" s="298"/>
      <c r="C710" s="1302"/>
      <c r="D710" s="1306"/>
      <c r="E710" s="1325"/>
      <c r="F710" s="1322"/>
      <c r="G710" s="1322"/>
      <c r="H710" s="1322"/>
      <c r="I710" s="1322"/>
      <c r="J710" s="1322"/>
      <c r="K710" s="1322"/>
      <c r="L710" s="1322"/>
      <c r="M710" s="1322"/>
      <c r="N710" s="1323"/>
      <c r="O710" s="302"/>
      <c r="P710" s="302"/>
      <c r="Q710" s="729"/>
      <c r="R710" s="694"/>
      <c r="S710" s="729"/>
      <c r="T710" s="694"/>
      <c r="U710" s="694"/>
      <c r="V710" s="694"/>
      <c r="W710" s="694"/>
      <c r="X710" s="694"/>
      <c r="Y710" s="694"/>
      <c r="Z710" s="694"/>
      <c r="AA710" s="694"/>
      <c r="AB710" s="694"/>
      <c r="AC710" s="694"/>
      <c r="AD710" s="694"/>
      <c r="AE710" s="694"/>
      <c r="AF710" s="694"/>
      <c r="AG710" s="694"/>
      <c r="AH710" s="694"/>
      <c r="AI710" s="694"/>
      <c r="AJ710" s="694"/>
      <c r="AK710" s="694"/>
      <c r="AL710" s="694"/>
    </row>
    <row r="711" spans="1:38" ht="12.75" customHeight="1" thickBot="1" x14ac:dyDescent="0.3">
      <c r="A711" s="694"/>
      <c r="B711" s="298"/>
      <c r="C711" s="1302"/>
      <c r="D711" s="1306"/>
      <c r="E711" s="2803" t="str">
        <f>Translations!$B$532</f>
        <v>Други пораждащи емисии потоци — 1</v>
      </c>
      <c r="F711" s="2672"/>
      <c r="G711" s="1309" t="str">
        <f>EUconst_Unit</f>
        <v>Единица мярка</v>
      </c>
      <c r="H711" s="629">
        <f t="shared" ref="H711:N711" si="700">H$2831</f>
        <v>2024</v>
      </c>
      <c r="I711" s="1310">
        <f t="shared" si="700"/>
        <v>2025</v>
      </c>
      <c r="J711" s="1311">
        <f t="shared" si="700"/>
        <v>2026</v>
      </c>
      <c r="K711" s="629">
        <f t="shared" si="700"/>
        <v>2027</v>
      </c>
      <c r="L711" s="629">
        <f t="shared" si="700"/>
        <v>2028</v>
      </c>
      <c r="M711" s="629">
        <f t="shared" si="700"/>
        <v>2029</v>
      </c>
      <c r="N711" s="1312">
        <f t="shared" si="700"/>
        <v>2030</v>
      </c>
      <c r="O711" s="302"/>
      <c r="P711" s="302"/>
      <c r="Q711" s="729"/>
      <c r="R711" s="694"/>
      <c r="S711" s="729"/>
      <c r="T711" s="694"/>
      <c r="U711" s="694"/>
      <c r="V711" s="694"/>
      <c r="W711" s="694"/>
      <c r="X711" s="694"/>
      <c r="Y711" s="694"/>
      <c r="Z711" s="694"/>
      <c r="AA711" s="694"/>
      <c r="AB711" s="694"/>
      <c r="AC711" s="1178">
        <f t="shared" ref="AC711" si="701">H$20</f>
        <v>2024</v>
      </c>
      <c r="AD711" s="1178">
        <f t="shared" ref="AD711" si="702">I$20</f>
        <v>2025</v>
      </c>
      <c r="AE711" s="1178">
        <f t="shared" ref="AE711" si="703">J$20</f>
        <v>2026</v>
      </c>
      <c r="AF711" s="1178">
        <f t="shared" ref="AF711" si="704">K$20</f>
        <v>2027</v>
      </c>
      <c r="AG711" s="1178">
        <f t="shared" ref="AG711" si="705">L$20</f>
        <v>2028</v>
      </c>
      <c r="AH711" s="1178">
        <f t="shared" ref="AH711" si="706">M$20</f>
        <v>2029</v>
      </c>
      <c r="AI711" s="1178">
        <f t="shared" ref="AI711" si="707">N$20</f>
        <v>2030</v>
      </c>
      <c r="AJ711" s="694"/>
      <c r="AK711" s="694"/>
      <c r="AL711" s="694"/>
    </row>
    <row r="712" spans="1:38" ht="12.75" customHeight="1" x14ac:dyDescent="0.25">
      <c r="A712" s="694"/>
      <c r="B712" s="298"/>
      <c r="C712" s="1302"/>
      <c r="D712" s="625" t="s">
        <v>8</v>
      </c>
      <c r="E712" s="2818" t="str">
        <f>Translations!$B$533</f>
        <v>Получено или подадено количество</v>
      </c>
      <c r="F712" s="2701"/>
      <c r="G712" s="1326" t="str">
        <f>EUconst_tpa</f>
        <v>t / година</v>
      </c>
      <c r="H712" s="129"/>
      <c r="I712" s="130"/>
      <c r="J712" s="131"/>
      <c r="K712" s="129"/>
      <c r="L712" s="129"/>
      <c r="M712" s="129"/>
      <c r="N712" s="132"/>
      <c r="O712" s="302"/>
      <c r="P712" s="158"/>
      <c r="Q712" s="729"/>
      <c r="R712" s="694"/>
      <c r="S712" s="729"/>
      <c r="T712" s="694"/>
      <c r="U712" s="694"/>
      <c r="V712" s="694"/>
      <c r="W712" s="694"/>
      <c r="X712" s="694"/>
      <c r="Y712" s="694"/>
      <c r="Z712" s="694"/>
      <c r="AA712" s="694"/>
      <c r="AB712" s="1182" t="s">
        <v>737</v>
      </c>
      <c r="AC712" s="901" t="b">
        <f>OR(AND($L707&lt;&gt;"",$L707=FALSE),AC622)</f>
        <v>0</v>
      </c>
      <c r="AD712" s="982" t="b">
        <f t="shared" ref="AD712:AI712" si="708">OR(AND($L707&lt;&gt;"",$L707=FALSE),AD622)</f>
        <v>0</v>
      </c>
      <c r="AE712" s="982" t="b">
        <f t="shared" si="708"/>
        <v>0</v>
      </c>
      <c r="AF712" s="982" t="b">
        <f t="shared" si="708"/>
        <v>0</v>
      </c>
      <c r="AG712" s="982" t="b">
        <f t="shared" si="708"/>
        <v>0</v>
      </c>
      <c r="AH712" s="982" t="b">
        <f t="shared" si="708"/>
        <v>0</v>
      </c>
      <c r="AI712" s="982" t="b">
        <f t="shared" si="708"/>
        <v>0</v>
      </c>
      <c r="AJ712" s="1174" t="s">
        <v>2039</v>
      </c>
      <c r="AK712" s="1176" t="str">
        <f>IF(AND(CNTR_ExistSubInstEntries,MSconst_RequireSubAttrEmissions,COUNTIFS(AC712:AI712,FALSE,H712:N712,"")&gt;0),EUconst_Error&amp;"BM"&amp;$Q575,"")</f>
        <v/>
      </c>
      <c r="AL712" s="694"/>
    </row>
    <row r="713" spans="1:38" ht="12.75" customHeight="1" x14ac:dyDescent="0.25">
      <c r="A713" s="694"/>
      <c r="B713" s="298"/>
      <c r="C713" s="1302"/>
      <c r="D713" s="625" t="s">
        <v>18</v>
      </c>
      <c r="E713" s="2831" t="str">
        <f>Translations!$B$534</f>
        <v>Долна топлина на изгаряне (NCV), ако е приложимо</v>
      </c>
      <c r="F713" s="2703"/>
      <c r="G713" s="1327" t="str">
        <f>EUconst_GJpt</f>
        <v>GJ / t</v>
      </c>
      <c r="H713" s="133"/>
      <c r="I713" s="134"/>
      <c r="J713" s="135"/>
      <c r="K713" s="133"/>
      <c r="L713" s="133"/>
      <c r="M713" s="133"/>
      <c r="N713" s="136"/>
      <c r="O713" s="302"/>
      <c r="P713" s="158"/>
      <c r="Q713" s="729"/>
      <c r="R713" s="694"/>
      <c r="S713" s="729"/>
      <c r="T713" s="694"/>
      <c r="U713" s="694"/>
      <c r="V713" s="694"/>
      <c r="W713" s="694"/>
      <c r="X713" s="694"/>
      <c r="Y713" s="694"/>
      <c r="Z713" s="694"/>
      <c r="AA713" s="694"/>
      <c r="AB713" s="694"/>
      <c r="AC713" s="982" t="b">
        <f t="shared" ref="AC713:AI713" si="709">AC712</f>
        <v>0</v>
      </c>
      <c r="AD713" s="982" t="b">
        <f t="shared" si="709"/>
        <v>0</v>
      </c>
      <c r="AE713" s="982" t="b">
        <f t="shared" si="709"/>
        <v>0</v>
      </c>
      <c r="AF713" s="982" t="b">
        <f t="shared" si="709"/>
        <v>0</v>
      </c>
      <c r="AG713" s="982" t="b">
        <f t="shared" si="709"/>
        <v>0</v>
      </c>
      <c r="AH713" s="982" t="b">
        <f t="shared" si="709"/>
        <v>0</v>
      </c>
      <c r="AI713" s="982" t="b">
        <f t="shared" si="709"/>
        <v>0</v>
      </c>
      <c r="AJ713" s="1174" t="s">
        <v>2039</v>
      </c>
      <c r="AK713" s="1176" t="str">
        <f>IF(AND(CNTR_ExistSubInstEntries,MSconst_RequireSubAttrEmissions,COUNTIFS(AC713:AI713,FALSE,H713:N713,"")&gt;0),EUconst_Error&amp;"BM"&amp;$Q575,"")</f>
        <v/>
      </c>
      <c r="AL713" s="694"/>
    </row>
    <row r="714" spans="1:38" ht="12.75" customHeight="1" thickBot="1" x14ac:dyDescent="0.3">
      <c r="A714" s="694"/>
      <c r="B714" s="298"/>
      <c r="C714" s="1302"/>
      <c r="D714" s="625" t="s">
        <v>810</v>
      </c>
      <c r="E714" s="2831" t="str">
        <f>Translations!$B$535</f>
        <v>Въглеродно съдържание (тегловни %)</v>
      </c>
      <c r="F714" s="2703"/>
      <c r="G714" s="1328" t="s">
        <v>903</v>
      </c>
      <c r="H714" s="133"/>
      <c r="I714" s="134"/>
      <c r="J714" s="135"/>
      <c r="K714" s="133"/>
      <c r="L714" s="133"/>
      <c r="M714" s="133"/>
      <c r="N714" s="136"/>
      <c r="O714" s="302"/>
      <c r="P714" s="158"/>
      <c r="Q714" s="729"/>
      <c r="R714" s="694"/>
      <c r="S714" s="729"/>
      <c r="T714" s="694"/>
      <c r="U714" s="694"/>
      <c r="V714" s="694"/>
      <c r="W714" s="694"/>
      <c r="X714" s="694"/>
      <c r="Y714" s="694"/>
      <c r="Z714" s="694"/>
      <c r="AA714" s="694"/>
      <c r="AB714" s="694"/>
      <c r="AC714" s="982" t="b">
        <f t="shared" ref="AC714:AI714" si="710">AC713</f>
        <v>0</v>
      </c>
      <c r="AD714" s="982" t="b">
        <f t="shared" si="710"/>
        <v>0</v>
      </c>
      <c r="AE714" s="982" t="b">
        <f t="shared" si="710"/>
        <v>0</v>
      </c>
      <c r="AF714" s="982" t="b">
        <f t="shared" si="710"/>
        <v>0</v>
      </c>
      <c r="AG714" s="982" t="b">
        <f t="shared" si="710"/>
        <v>0</v>
      </c>
      <c r="AH714" s="982" t="b">
        <f t="shared" si="710"/>
        <v>0</v>
      </c>
      <c r="AI714" s="982" t="b">
        <f t="shared" si="710"/>
        <v>0</v>
      </c>
      <c r="AJ714" s="1174" t="s">
        <v>2039</v>
      </c>
      <c r="AK714" s="1176" t="str">
        <f>IF(AND(CNTR_ExistSubInstEntries,MSconst_RequireSubAttrEmissions,COUNTIFS(AC714:AI714,FALSE,H714:N714,"")&gt;0),EUconst_Error&amp;"BM"&amp;$Q575,"")</f>
        <v/>
      </c>
      <c r="AL714" s="694"/>
    </row>
    <row r="715" spans="1:38" ht="12.75" customHeight="1" x14ac:dyDescent="0.25">
      <c r="A715" s="694"/>
      <c r="B715" s="298"/>
      <c r="C715" s="1302"/>
      <c r="D715" s="625" t="s">
        <v>811</v>
      </c>
      <c r="E715" s="2828" t="str">
        <f>Translations!$B$536</f>
        <v>Съдържание на биомаса (като дял от въглеродното съдържание)</v>
      </c>
      <c r="F715" s="2705"/>
      <c r="G715" s="1329" t="s">
        <v>903</v>
      </c>
      <c r="H715" s="137"/>
      <c r="I715" s="138"/>
      <c r="J715" s="139"/>
      <c r="K715" s="137"/>
      <c r="L715" s="137"/>
      <c r="M715" s="137"/>
      <c r="N715" s="140"/>
      <c r="O715" s="302"/>
      <c r="P715" s="158"/>
      <c r="Q715" s="729"/>
      <c r="R715" s="694"/>
      <c r="S715" s="1205"/>
      <c r="T715" s="1313">
        <f t="shared" ref="T715" si="711">H711</f>
        <v>2024</v>
      </c>
      <c r="U715" s="1313">
        <f t="shared" ref="U715" si="712">I711</f>
        <v>2025</v>
      </c>
      <c r="V715" s="1313">
        <f t="shared" ref="V715" si="713">J711</f>
        <v>2026</v>
      </c>
      <c r="W715" s="1313">
        <f t="shared" ref="W715" si="714">K711</f>
        <v>2027</v>
      </c>
      <c r="X715" s="1313">
        <f t="shared" ref="X715" si="715">L711</f>
        <v>2028</v>
      </c>
      <c r="Y715" s="1313">
        <f t="shared" ref="Y715" si="716">M711</f>
        <v>2029</v>
      </c>
      <c r="Z715" s="1314">
        <f t="shared" ref="Z715" si="717">N711</f>
        <v>2030</v>
      </c>
      <c r="AA715" s="694"/>
      <c r="AB715" s="694"/>
      <c r="AC715" s="982" t="b">
        <f t="shared" ref="AC715:AI715" si="718">AC714</f>
        <v>0</v>
      </c>
      <c r="AD715" s="982" t="b">
        <f t="shared" si="718"/>
        <v>0</v>
      </c>
      <c r="AE715" s="982" t="b">
        <f t="shared" si="718"/>
        <v>0</v>
      </c>
      <c r="AF715" s="982" t="b">
        <f t="shared" si="718"/>
        <v>0</v>
      </c>
      <c r="AG715" s="982" t="b">
        <f t="shared" si="718"/>
        <v>0</v>
      </c>
      <c r="AH715" s="982" t="b">
        <f t="shared" si="718"/>
        <v>0</v>
      </c>
      <c r="AI715" s="982" t="b">
        <f t="shared" si="718"/>
        <v>0</v>
      </c>
      <c r="AJ715" s="1174" t="s">
        <v>2039</v>
      </c>
      <c r="AK715" s="1176" t="str">
        <f>IF(AND(CNTR_ExistSubInstEntries,MSconst_RequireSubAttrEmissions,COUNTIFS(AC715:AI715,FALSE,H715:N715,"")&gt;0),EUconst_Error&amp;"BM"&amp;$Q575,"")</f>
        <v/>
      </c>
      <c r="AL715" s="694"/>
    </row>
    <row r="716" spans="1:38" ht="12.75" customHeight="1" thickBot="1" x14ac:dyDescent="0.3">
      <c r="A716" s="694"/>
      <c r="B716" s="298"/>
      <c r="C716" s="1302"/>
      <c r="D716" s="625" t="s">
        <v>812</v>
      </c>
      <c r="E716" s="2832" t="str">
        <f>Translations!$B$537</f>
        <v>Емисии (от горива, изчислени)</v>
      </c>
      <c r="F716" s="2701"/>
      <c r="G716" s="1330" t="str">
        <f>EUconst_tCO2pa</f>
        <v>t CO2 / година</v>
      </c>
      <c r="H716" s="1331" t="str">
        <f t="shared" ref="H716:N716" si="719">IF(AND(COUNT(H712:H715)&gt;0,H719=""),3.664*H712*(H714/100)*(1-H715/100),"")</f>
        <v/>
      </c>
      <c r="I716" s="1332" t="str">
        <f t="shared" si="719"/>
        <v/>
      </c>
      <c r="J716" s="1333" t="str">
        <f t="shared" si="719"/>
        <v/>
      </c>
      <c r="K716" s="1331" t="str">
        <f t="shared" si="719"/>
        <v/>
      </c>
      <c r="L716" s="1331" t="str">
        <f t="shared" si="719"/>
        <v/>
      </c>
      <c r="M716" s="1331" t="str">
        <f t="shared" si="719"/>
        <v/>
      </c>
      <c r="N716" s="1334" t="str">
        <f t="shared" si="719"/>
        <v/>
      </c>
      <c r="O716" s="302"/>
      <c r="P716" s="302"/>
      <c r="Q716" s="1190" t="str">
        <f>EUconst_CNTR_EmissionsIntSource1 &amp; I575</f>
        <v>EmInternalSource1_</v>
      </c>
      <c r="R716" s="694"/>
      <c r="S716" s="1315" t="str">
        <f>EUconst_CNTR_AttributedEmissions &amp; I575</f>
        <v>AttrEmissions_</v>
      </c>
      <c r="T716" s="1290" t="str">
        <f t="shared" ref="T716" si="720">IF(T583,SUM(H716),"")</f>
        <v/>
      </c>
      <c r="U716" s="1290" t="str">
        <f t="shared" ref="U716" si="721">IF(U583,SUM(I716),"")</f>
        <v/>
      </c>
      <c r="V716" s="1290" t="str">
        <f t="shared" ref="V716" si="722">IF(V583,SUM(J716),"")</f>
        <v/>
      </c>
      <c r="W716" s="1290" t="str">
        <f t="shared" ref="W716" si="723">IF(W583,SUM(K716),"")</f>
        <v/>
      </c>
      <c r="X716" s="1290" t="str">
        <f t="shared" ref="X716" si="724">IF(X583,SUM(L716),"")</f>
        <v/>
      </c>
      <c r="Y716" s="1290" t="str">
        <f t="shared" ref="Y716" si="725">IF(Y583,SUM(M716),"")</f>
        <v/>
      </c>
      <c r="Z716" s="1291" t="str">
        <f t="shared" ref="Z716" si="726">IF(Z583,SUM(N716),"")</f>
        <v/>
      </c>
      <c r="AA716" s="694"/>
      <c r="AB716" s="694"/>
      <c r="AC716" s="694"/>
      <c r="AD716" s="694"/>
      <c r="AE716" s="694"/>
      <c r="AF716" s="694"/>
      <c r="AG716" s="694"/>
      <c r="AH716" s="694"/>
      <c r="AI716" s="694"/>
      <c r="AJ716" s="694"/>
      <c r="AK716" s="694"/>
      <c r="AL716" s="694"/>
    </row>
    <row r="717" spans="1:38" ht="12.75" customHeight="1" x14ac:dyDescent="0.25">
      <c r="A717" s="694"/>
      <c r="B717" s="298"/>
      <c r="C717" s="1302"/>
      <c r="D717" s="625" t="s">
        <v>813</v>
      </c>
      <c r="E717" s="2833" t="str">
        <f>Translations!$B$538</f>
        <v>Допълнителна информация за справка: Емисии от биомаса</v>
      </c>
      <c r="F717" s="2703"/>
      <c r="G717" s="1335" t="str">
        <f>EUconst_tCO2pa</f>
        <v>t CO2 / година</v>
      </c>
      <c r="H717" s="1336" t="str">
        <f t="shared" ref="H717:N717" si="727">IF(ISNUMBER(H716),3.664*H712*(H714/100)*(H715/100),"")</f>
        <v/>
      </c>
      <c r="I717" s="1337" t="str">
        <f t="shared" si="727"/>
        <v/>
      </c>
      <c r="J717" s="1338" t="str">
        <f t="shared" si="727"/>
        <v/>
      </c>
      <c r="K717" s="1336" t="str">
        <f t="shared" si="727"/>
        <v/>
      </c>
      <c r="L717" s="1336" t="str">
        <f t="shared" si="727"/>
        <v/>
      </c>
      <c r="M717" s="1336" t="str">
        <f t="shared" si="727"/>
        <v/>
      </c>
      <c r="N717" s="1339" t="str">
        <f t="shared" si="727"/>
        <v/>
      </c>
      <c r="O717" s="302"/>
      <c r="P717" s="302"/>
      <c r="Q717" s="729"/>
      <c r="R717" s="694"/>
      <c r="S717" s="729"/>
      <c r="T717" s="694"/>
      <c r="U717" s="694"/>
      <c r="V717" s="694"/>
      <c r="W717" s="694"/>
      <c r="X717" s="694"/>
      <c r="Y717" s="694"/>
      <c r="Z717" s="694"/>
      <c r="AA717" s="694"/>
      <c r="AB717" s="694"/>
      <c r="AC717" s="694"/>
      <c r="AD717" s="694"/>
      <c r="AE717" s="694"/>
      <c r="AF717" s="694"/>
      <c r="AG717" s="694"/>
      <c r="AH717" s="694"/>
      <c r="AI717" s="694"/>
      <c r="AJ717" s="694"/>
      <c r="AK717" s="694"/>
      <c r="AL717" s="694"/>
    </row>
    <row r="718" spans="1:38" ht="12.75" customHeight="1" x14ac:dyDescent="0.25">
      <c r="A718" s="694"/>
      <c r="B718" s="298"/>
      <c r="C718" s="1302"/>
      <c r="D718" s="625" t="s">
        <v>814</v>
      </c>
      <c r="E718" s="2828" t="str">
        <f>Translations!$B$539</f>
        <v>Енергийно съдържание (изчислено)</v>
      </c>
      <c r="F718" s="2705"/>
      <c r="G718" s="1340" t="str">
        <f>EUconst_TJpa</f>
        <v>TJ / година</v>
      </c>
      <c r="H718" s="1104" t="str">
        <f t="shared" ref="H718:N718" si="728">IF(COUNT(H712:H713)=2,H712*H713/1000,"")</f>
        <v/>
      </c>
      <c r="I718" s="1296" t="str">
        <f t="shared" si="728"/>
        <v/>
      </c>
      <c r="J718" s="1297" t="str">
        <f t="shared" si="728"/>
        <v/>
      </c>
      <c r="K718" s="1104" t="str">
        <f t="shared" si="728"/>
        <v/>
      </c>
      <c r="L718" s="1104" t="str">
        <f t="shared" si="728"/>
        <v/>
      </c>
      <c r="M718" s="1104" t="str">
        <f t="shared" si="728"/>
        <v/>
      </c>
      <c r="N718" s="1341" t="str">
        <f t="shared" si="728"/>
        <v/>
      </c>
      <c r="O718" s="302"/>
      <c r="P718" s="302"/>
      <c r="Q718" s="729"/>
      <c r="R718" s="694"/>
      <c r="S718" s="729"/>
      <c r="T718" s="694"/>
      <c r="U718" s="694"/>
      <c r="V718" s="694"/>
      <c r="W718" s="694"/>
      <c r="X718" s="694"/>
      <c r="Y718" s="694"/>
      <c r="Z718" s="694"/>
      <c r="AA718" s="694"/>
      <c r="AB718" s="694"/>
      <c r="AC718" s="694"/>
      <c r="AD718" s="694"/>
      <c r="AE718" s="694"/>
      <c r="AF718" s="694"/>
      <c r="AG718" s="694"/>
      <c r="AH718" s="694"/>
      <c r="AI718" s="694"/>
      <c r="AJ718" s="694"/>
      <c r="AK718" s="694"/>
      <c r="AL718" s="694"/>
    </row>
    <row r="719" spans="1:38" ht="12.75" customHeight="1" x14ac:dyDescent="0.25">
      <c r="A719" s="694"/>
      <c r="B719" s="298"/>
      <c r="C719" s="1302"/>
      <c r="D719" s="625" t="s">
        <v>61</v>
      </c>
      <c r="E719" s="2829" t="str">
        <f>Translations!$B$540</f>
        <v>Съобщения за грешка (емисии)</v>
      </c>
      <c r="F719" s="2830"/>
      <c r="G719" s="1342"/>
      <c r="H719" s="1343" t="str">
        <f t="shared" ref="H719:N719" si="729">IF(COUNT(H712,H714:H715)&gt;0,IF(COUNTIF(H713:H715,"&lt;0")&gt;0,EUconst_Negative,IF(COUNT(H712,H714:H715)&lt;3,EUconst_Incomplete,"")),"")</f>
        <v/>
      </c>
      <c r="I719" s="1344" t="str">
        <f t="shared" si="729"/>
        <v/>
      </c>
      <c r="J719" s="1345" t="str">
        <f t="shared" si="729"/>
        <v/>
      </c>
      <c r="K719" s="1343" t="str">
        <f t="shared" si="729"/>
        <v/>
      </c>
      <c r="L719" s="1343" t="str">
        <f t="shared" si="729"/>
        <v/>
      </c>
      <c r="M719" s="1343" t="str">
        <f t="shared" si="729"/>
        <v/>
      </c>
      <c r="N719" s="1346" t="str">
        <f t="shared" si="729"/>
        <v/>
      </c>
      <c r="O719" s="302"/>
      <c r="P719" s="302"/>
      <c r="Q719" s="729"/>
      <c r="R719" s="694"/>
      <c r="S719" s="729"/>
      <c r="T719" s="694"/>
      <c r="U719" s="694"/>
      <c r="V719" s="694"/>
      <c r="W719" s="694"/>
      <c r="X719" s="694"/>
      <c r="Y719" s="694"/>
      <c r="Z719" s="694"/>
      <c r="AA719" s="694"/>
      <c r="AB719" s="694"/>
      <c r="AC719" s="694"/>
      <c r="AD719" s="694"/>
      <c r="AE719" s="694"/>
      <c r="AF719" s="694"/>
      <c r="AG719" s="694"/>
      <c r="AH719" s="694"/>
      <c r="AI719" s="694"/>
      <c r="AJ719" s="694"/>
      <c r="AK719" s="694"/>
      <c r="AL719" s="694"/>
    </row>
    <row r="720" spans="1:38" ht="12.75" customHeight="1" x14ac:dyDescent="0.25">
      <c r="A720" s="694"/>
      <c r="B720" s="298"/>
      <c r="C720" s="1302"/>
      <c r="D720" s="625"/>
      <c r="E720" s="1306"/>
      <c r="F720" s="1306"/>
      <c r="G720" s="1306"/>
      <c r="H720" s="1306"/>
      <c r="I720" s="1306"/>
      <c r="J720" s="1306"/>
      <c r="K720" s="1306"/>
      <c r="L720" s="1306"/>
      <c r="M720" s="626"/>
      <c r="N720" s="1316"/>
      <c r="O720" s="302"/>
      <c r="P720" s="302"/>
      <c r="Q720" s="729"/>
      <c r="R720" s="694"/>
      <c r="S720" s="729"/>
      <c r="T720" s="694"/>
      <c r="U720" s="694"/>
      <c r="V720" s="694"/>
      <c r="W720" s="694"/>
      <c r="X720" s="694"/>
      <c r="Y720" s="694"/>
      <c r="Z720" s="694"/>
      <c r="AA720" s="694"/>
      <c r="AB720" s="694"/>
      <c r="AC720" s="694"/>
      <c r="AD720" s="694"/>
      <c r="AE720" s="694"/>
      <c r="AF720" s="694"/>
      <c r="AG720" s="694"/>
      <c r="AH720" s="694"/>
      <c r="AI720" s="694"/>
      <c r="AJ720" s="694"/>
      <c r="AK720" s="694"/>
      <c r="AL720" s="694"/>
    </row>
    <row r="721" spans="1:38" ht="12.75" customHeight="1" x14ac:dyDescent="0.25">
      <c r="A721" s="694"/>
      <c r="B721" s="298"/>
      <c r="C721" s="1302"/>
      <c r="D721" s="625" t="s">
        <v>62</v>
      </c>
      <c r="E721" s="2815" t="str">
        <f>Translations!$B$541</f>
        <v>Име на други пораждащи емисии потоци — 2:</v>
      </c>
      <c r="F721" s="2240"/>
      <c r="G721" s="2240"/>
      <c r="H721" s="2684"/>
      <c r="I721" s="2821"/>
      <c r="J721" s="2674"/>
      <c r="K721" s="2674"/>
      <c r="L721" s="2674"/>
      <c r="M721" s="2675"/>
      <c r="N721" s="1323"/>
      <c r="O721" s="302"/>
      <c r="P721" s="158"/>
      <c r="Q721" s="729"/>
      <c r="R721" s="694"/>
      <c r="S721" s="729"/>
      <c r="T721" s="694"/>
      <c r="U721" s="694"/>
      <c r="V721" s="694"/>
      <c r="W721" s="694"/>
      <c r="X721" s="694"/>
      <c r="Y721" s="694"/>
      <c r="Z721" s="694"/>
      <c r="AA721" s="694"/>
      <c r="AB721" s="694"/>
      <c r="AC721" s="1182" t="s">
        <v>737</v>
      </c>
      <c r="AD721" s="982" t="b">
        <f>AD709</f>
        <v>0</v>
      </c>
      <c r="AE721" s="694"/>
      <c r="AF721" s="694"/>
      <c r="AG721" s="694"/>
      <c r="AH721" s="694"/>
      <c r="AI721" s="694"/>
      <c r="AJ721" s="694"/>
      <c r="AK721" s="694"/>
      <c r="AL721" s="694"/>
    </row>
    <row r="722" spans="1:38" ht="5.15" customHeight="1" x14ac:dyDescent="0.25">
      <c r="A722" s="694"/>
      <c r="B722" s="298"/>
      <c r="C722" s="1302"/>
      <c r="D722" s="1306"/>
      <c r="E722" s="1325"/>
      <c r="F722" s="1322"/>
      <c r="G722" s="1306"/>
      <c r="H722" s="1306"/>
      <c r="I722" s="1322"/>
      <c r="J722" s="1322"/>
      <c r="K722" s="1322"/>
      <c r="L722" s="1322"/>
      <c r="M722" s="1322"/>
      <c r="N722" s="1323"/>
      <c r="O722" s="302"/>
      <c r="P722" s="302"/>
      <c r="Q722" s="729"/>
      <c r="R722" s="694"/>
      <c r="S722" s="729"/>
      <c r="T722" s="694"/>
      <c r="U722" s="694"/>
      <c r="V722" s="694"/>
      <c r="W722" s="694"/>
      <c r="X722" s="694"/>
      <c r="Y722" s="694"/>
      <c r="Z722" s="694"/>
      <c r="AA722" s="694"/>
      <c r="AB722" s="694"/>
      <c r="AC722" s="694"/>
      <c r="AD722" s="694"/>
      <c r="AE722" s="694"/>
      <c r="AF722" s="694"/>
      <c r="AG722" s="694"/>
      <c r="AH722" s="694"/>
      <c r="AI722" s="694"/>
      <c r="AJ722" s="694"/>
      <c r="AK722" s="694"/>
      <c r="AL722" s="694"/>
    </row>
    <row r="723" spans="1:38" ht="12.75" customHeight="1" thickBot="1" x14ac:dyDescent="0.3">
      <c r="A723" s="694"/>
      <c r="B723" s="298"/>
      <c r="C723" s="1302"/>
      <c r="D723" s="625"/>
      <c r="E723" s="2803" t="str">
        <f>Translations!$B$542</f>
        <v>Други пораждащи емисии потоци — 2</v>
      </c>
      <c r="F723" s="2672"/>
      <c r="G723" s="1309" t="str">
        <f>EUconst_Unit</f>
        <v>Единица мярка</v>
      </c>
      <c r="H723" s="629">
        <f t="shared" ref="H723:N723" si="730">H$2831</f>
        <v>2024</v>
      </c>
      <c r="I723" s="1310">
        <f t="shared" si="730"/>
        <v>2025</v>
      </c>
      <c r="J723" s="1311">
        <f t="shared" si="730"/>
        <v>2026</v>
      </c>
      <c r="K723" s="629">
        <f t="shared" si="730"/>
        <v>2027</v>
      </c>
      <c r="L723" s="629">
        <f t="shared" si="730"/>
        <v>2028</v>
      </c>
      <c r="M723" s="629">
        <f t="shared" si="730"/>
        <v>2029</v>
      </c>
      <c r="N723" s="1312">
        <f t="shared" si="730"/>
        <v>2030</v>
      </c>
      <c r="O723" s="302"/>
      <c r="P723" s="302"/>
      <c r="Q723" s="729"/>
      <c r="R723" s="694"/>
      <c r="S723" s="729"/>
      <c r="T723" s="694"/>
      <c r="U723" s="694"/>
      <c r="V723" s="694"/>
      <c r="W723" s="694"/>
      <c r="X723" s="694"/>
      <c r="Y723" s="694"/>
      <c r="Z723" s="694"/>
      <c r="AA723" s="694"/>
      <c r="AB723" s="694"/>
      <c r="AC723" s="1178">
        <f t="shared" ref="AC723" si="731">H$20</f>
        <v>2024</v>
      </c>
      <c r="AD723" s="1178">
        <f t="shared" ref="AD723" si="732">I$20</f>
        <v>2025</v>
      </c>
      <c r="AE723" s="1178">
        <f t="shared" ref="AE723" si="733">J$20</f>
        <v>2026</v>
      </c>
      <c r="AF723" s="1178">
        <f t="shared" ref="AF723" si="734">K$20</f>
        <v>2027</v>
      </c>
      <c r="AG723" s="1178">
        <f t="shared" ref="AG723" si="735">L$20</f>
        <v>2028</v>
      </c>
      <c r="AH723" s="1178">
        <f t="shared" ref="AH723" si="736">M$20</f>
        <v>2029</v>
      </c>
      <c r="AI723" s="1178">
        <f t="shared" ref="AI723" si="737">N$20</f>
        <v>2030</v>
      </c>
      <c r="AJ723" s="694"/>
      <c r="AK723" s="694"/>
      <c r="AL723" s="694"/>
    </row>
    <row r="724" spans="1:38" ht="12.75" customHeight="1" x14ac:dyDescent="0.25">
      <c r="A724" s="694"/>
      <c r="B724" s="298"/>
      <c r="C724" s="1302"/>
      <c r="D724" s="625" t="s">
        <v>63</v>
      </c>
      <c r="E724" s="2818" t="str">
        <f>Translations!$B$533</f>
        <v>Получено или подадено количество</v>
      </c>
      <c r="F724" s="2701"/>
      <c r="G724" s="1326" t="str">
        <f>EUconst_tpa</f>
        <v>t / година</v>
      </c>
      <c r="H724" s="129"/>
      <c r="I724" s="130"/>
      <c r="J724" s="131"/>
      <c r="K724" s="129"/>
      <c r="L724" s="129"/>
      <c r="M724" s="129"/>
      <c r="N724" s="132"/>
      <c r="O724" s="302"/>
      <c r="P724" s="158"/>
      <c r="Q724" s="729"/>
      <c r="R724" s="694"/>
      <c r="S724" s="729"/>
      <c r="T724" s="694"/>
      <c r="U724" s="694"/>
      <c r="V724" s="694"/>
      <c r="W724" s="694"/>
      <c r="X724" s="694"/>
      <c r="Y724" s="694"/>
      <c r="Z724" s="694"/>
      <c r="AA724" s="694"/>
      <c r="AB724" s="1182" t="s">
        <v>737</v>
      </c>
      <c r="AC724" s="982" t="b">
        <f>AC712</f>
        <v>0</v>
      </c>
      <c r="AD724" s="982" t="b">
        <f t="shared" ref="AD724:AI724" si="738">AD712</f>
        <v>0</v>
      </c>
      <c r="AE724" s="982" t="b">
        <f t="shared" si="738"/>
        <v>0</v>
      </c>
      <c r="AF724" s="982" t="b">
        <f t="shared" si="738"/>
        <v>0</v>
      </c>
      <c r="AG724" s="982" t="b">
        <f t="shared" si="738"/>
        <v>0</v>
      </c>
      <c r="AH724" s="982" t="b">
        <f t="shared" si="738"/>
        <v>0</v>
      </c>
      <c r="AI724" s="982" t="b">
        <f t="shared" si="738"/>
        <v>0</v>
      </c>
      <c r="AJ724" s="1174" t="s">
        <v>2039</v>
      </c>
      <c r="AK724" s="1176" t="str">
        <f>IF(AND(CNTR_ExistSubInstEntries,MSconst_RequireSubAttrEmissions,COUNTIFS(AC724:AI724,FALSE,H724:N724,"")&gt;0),EUconst_Error&amp;"BM"&amp;$Q575,"")</f>
        <v/>
      </c>
      <c r="AL724" s="694"/>
    </row>
    <row r="725" spans="1:38" ht="12.75" customHeight="1" x14ac:dyDescent="0.25">
      <c r="A725" s="694"/>
      <c r="B725" s="298"/>
      <c r="C725" s="1302"/>
      <c r="D725" s="625" t="s">
        <v>1136</v>
      </c>
      <c r="E725" s="2831" t="str">
        <f>Translations!$B$534</f>
        <v>Долна топлина на изгаряне (NCV), ако е приложимо</v>
      </c>
      <c r="F725" s="2703"/>
      <c r="G725" s="1327" t="str">
        <f>EUconst_GJpt</f>
        <v>GJ / t</v>
      </c>
      <c r="H725" s="133"/>
      <c r="I725" s="134"/>
      <c r="J725" s="135"/>
      <c r="K725" s="133"/>
      <c r="L725" s="133"/>
      <c r="M725" s="133"/>
      <c r="N725" s="136"/>
      <c r="O725" s="302"/>
      <c r="P725" s="158"/>
      <c r="Q725" s="729"/>
      <c r="R725" s="694"/>
      <c r="S725" s="729"/>
      <c r="T725" s="694"/>
      <c r="U725" s="694"/>
      <c r="V725" s="694"/>
      <c r="W725" s="694"/>
      <c r="X725" s="694"/>
      <c r="Y725" s="694"/>
      <c r="Z725" s="694"/>
      <c r="AA725" s="694"/>
      <c r="AB725" s="694"/>
      <c r="AC725" s="982" t="b">
        <f t="shared" ref="AC725:AI725" si="739">AC713</f>
        <v>0</v>
      </c>
      <c r="AD725" s="982" t="b">
        <f t="shared" si="739"/>
        <v>0</v>
      </c>
      <c r="AE725" s="982" t="b">
        <f t="shared" si="739"/>
        <v>0</v>
      </c>
      <c r="AF725" s="982" t="b">
        <f t="shared" si="739"/>
        <v>0</v>
      </c>
      <c r="AG725" s="982" t="b">
        <f t="shared" si="739"/>
        <v>0</v>
      </c>
      <c r="AH725" s="982" t="b">
        <f t="shared" si="739"/>
        <v>0</v>
      </c>
      <c r="AI725" s="982" t="b">
        <f t="shared" si="739"/>
        <v>0</v>
      </c>
      <c r="AJ725" s="1174" t="s">
        <v>2039</v>
      </c>
      <c r="AK725" s="1176" t="str">
        <f>IF(AND(CNTR_ExistSubInstEntries,MSconst_RequireSubAttrEmissions,COUNTIFS(AC725:AI725,FALSE,H725:N725,"")&gt;0),EUconst_Error&amp;"BM"&amp;$Q575,"")</f>
        <v/>
      </c>
      <c r="AL725" s="694"/>
    </row>
    <row r="726" spans="1:38" ht="12.75" customHeight="1" thickBot="1" x14ac:dyDescent="0.3">
      <c r="A726" s="694"/>
      <c r="B726" s="298"/>
      <c r="C726" s="1302"/>
      <c r="D726" s="625" t="s">
        <v>1137</v>
      </c>
      <c r="E726" s="2831" t="str">
        <f>Translations!$B$535</f>
        <v>Въглеродно съдържание (тегловни %)</v>
      </c>
      <c r="F726" s="2703"/>
      <c r="G726" s="1328" t="s">
        <v>903</v>
      </c>
      <c r="H726" s="133"/>
      <c r="I726" s="134"/>
      <c r="J726" s="135"/>
      <c r="K726" s="133"/>
      <c r="L726" s="133"/>
      <c r="M726" s="133"/>
      <c r="N726" s="136"/>
      <c r="O726" s="302"/>
      <c r="P726" s="158"/>
      <c r="Q726" s="729"/>
      <c r="R726" s="694"/>
      <c r="S726" s="729"/>
      <c r="T726" s="694"/>
      <c r="U726" s="694"/>
      <c r="V726" s="694"/>
      <c r="W726" s="694"/>
      <c r="X726" s="694"/>
      <c r="Y726" s="694"/>
      <c r="Z726" s="694"/>
      <c r="AA726" s="694"/>
      <c r="AB726" s="694"/>
      <c r="AC726" s="982" t="b">
        <f t="shared" ref="AC726:AI726" si="740">AC714</f>
        <v>0</v>
      </c>
      <c r="AD726" s="982" t="b">
        <f t="shared" si="740"/>
        <v>0</v>
      </c>
      <c r="AE726" s="982" t="b">
        <f t="shared" si="740"/>
        <v>0</v>
      </c>
      <c r="AF726" s="982" t="b">
        <f t="shared" si="740"/>
        <v>0</v>
      </c>
      <c r="AG726" s="982" t="b">
        <f t="shared" si="740"/>
        <v>0</v>
      </c>
      <c r="AH726" s="982" t="b">
        <f t="shared" si="740"/>
        <v>0</v>
      </c>
      <c r="AI726" s="982" t="b">
        <f t="shared" si="740"/>
        <v>0</v>
      </c>
      <c r="AJ726" s="1174" t="s">
        <v>2039</v>
      </c>
      <c r="AK726" s="1176" t="str">
        <f>IF(AND(CNTR_ExistSubInstEntries,MSconst_RequireSubAttrEmissions,COUNTIFS(AC726:AI726,FALSE,H726:N726,"")&gt;0),EUconst_Error&amp;"BM"&amp;$Q575,"")</f>
        <v/>
      </c>
      <c r="AL726" s="694"/>
    </row>
    <row r="727" spans="1:38" ht="12.75" customHeight="1" x14ac:dyDescent="0.25">
      <c r="A727" s="694"/>
      <c r="B727" s="298"/>
      <c r="C727" s="1302"/>
      <c r="D727" s="625" t="s">
        <v>1138</v>
      </c>
      <c r="E727" s="2828" t="str">
        <f>Translations!$B$536</f>
        <v>Съдържание на биомаса (като дял от въглеродното съдържание)</v>
      </c>
      <c r="F727" s="2705"/>
      <c r="G727" s="1329" t="s">
        <v>903</v>
      </c>
      <c r="H727" s="137"/>
      <c r="I727" s="138"/>
      <c r="J727" s="139"/>
      <c r="K727" s="137"/>
      <c r="L727" s="137"/>
      <c r="M727" s="137"/>
      <c r="N727" s="140"/>
      <c r="O727" s="302"/>
      <c r="P727" s="158"/>
      <c r="Q727" s="729"/>
      <c r="R727" s="694"/>
      <c r="S727" s="1205"/>
      <c r="T727" s="1313">
        <f t="shared" ref="T727" si="741">H723</f>
        <v>2024</v>
      </c>
      <c r="U727" s="1313">
        <f t="shared" ref="U727" si="742">I723</f>
        <v>2025</v>
      </c>
      <c r="V727" s="1313">
        <f t="shared" ref="V727" si="743">J723</f>
        <v>2026</v>
      </c>
      <c r="W727" s="1313">
        <f t="shared" ref="W727" si="744">K723</f>
        <v>2027</v>
      </c>
      <c r="X727" s="1313">
        <f t="shared" ref="X727" si="745">L723</f>
        <v>2028</v>
      </c>
      <c r="Y727" s="1313">
        <f t="shared" ref="Y727" si="746">M723</f>
        <v>2029</v>
      </c>
      <c r="Z727" s="1314">
        <f t="shared" ref="Z727" si="747">N723</f>
        <v>2030</v>
      </c>
      <c r="AA727" s="694"/>
      <c r="AB727" s="694"/>
      <c r="AC727" s="982" t="b">
        <f t="shared" ref="AC727:AI727" si="748">AC715</f>
        <v>0</v>
      </c>
      <c r="AD727" s="982" t="b">
        <f t="shared" si="748"/>
        <v>0</v>
      </c>
      <c r="AE727" s="982" t="b">
        <f t="shared" si="748"/>
        <v>0</v>
      </c>
      <c r="AF727" s="982" t="b">
        <f t="shared" si="748"/>
        <v>0</v>
      </c>
      <c r="AG727" s="982" t="b">
        <f t="shared" si="748"/>
        <v>0</v>
      </c>
      <c r="AH727" s="982" t="b">
        <f t="shared" si="748"/>
        <v>0</v>
      </c>
      <c r="AI727" s="982" t="b">
        <f t="shared" si="748"/>
        <v>0</v>
      </c>
      <c r="AJ727" s="1174" t="s">
        <v>2039</v>
      </c>
      <c r="AK727" s="1176" t="str">
        <f>IF(AND(CNTR_ExistSubInstEntries,MSconst_RequireSubAttrEmissions,COUNTIFS(AC727:AI727,FALSE,H727:N727,"")&gt;0),EUconst_Error&amp;"BM"&amp;$Q575,"")</f>
        <v/>
      </c>
      <c r="AL727" s="694"/>
    </row>
    <row r="728" spans="1:38" ht="12.75" customHeight="1" thickBot="1" x14ac:dyDescent="0.3">
      <c r="A728" s="694"/>
      <c r="B728" s="298"/>
      <c r="C728" s="1302"/>
      <c r="D728" s="625" t="s">
        <v>1139</v>
      </c>
      <c r="E728" s="2832" t="str">
        <f>Translations!$B$537</f>
        <v>Емисии (от горива, изчислени)</v>
      </c>
      <c r="F728" s="2701"/>
      <c r="G728" s="1330" t="str">
        <f>EUconst_tCO2pa</f>
        <v>t CO2 / година</v>
      </c>
      <c r="H728" s="1331" t="str">
        <f t="shared" ref="H728:N728" si="749">IF(AND(COUNT(H724:H727)&gt;0,H731=""),3.664*H724*(H726/100)*(1-H727/100),"")</f>
        <v/>
      </c>
      <c r="I728" s="1332" t="str">
        <f t="shared" si="749"/>
        <v/>
      </c>
      <c r="J728" s="1333" t="str">
        <f t="shared" si="749"/>
        <v/>
      </c>
      <c r="K728" s="1331" t="str">
        <f t="shared" si="749"/>
        <v/>
      </c>
      <c r="L728" s="1331" t="str">
        <f t="shared" si="749"/>
        <v/>
      </c>
      <c r="M728" s="1331" t="str">
        <f t="shared" si="749"/>
        <v/>
      </c>
      <c r="N728" s="1334" t="str">
        <f t="shared" si="749"/>
        <v/>
      </c>
      <c r="O728" s="302"/>
      <c r="P728" s="302"/>
      <c r="Q728" s="1190" t="str">
        <f>EUconst_CNTR_EmissionsIntSource2 &amp; I575</f>
        <v>EmInternalSource2_</v>
      </c>
      <c r="R728" s="694"/>
      <c r="S728" s="1315" t="str">
        <f>EUconst_CNTR_AttributedEmissions &amp; I575</f>
        <v>AttrEmissions_</v>
      </c>
      <c r="T728" s="1290" t="str">
        <f t="shared" ref="T728" si="750">IF(T583,SUM(H728),"")</f>
        <v/>
      </c>
      <c r="U728" s="1290" t="str">
        <f t="shared" ref="U728" si="751">IF(U583,SUM(I728),"")</f>
        <v/>
      </c>
      <c r="V728" s="1290" t="str">
        <f t="shared" ref="V728" si="752">IF(V583,SUM(J728),"")</f>
        <v/>
      </c>
      <c r="W728" s="1290" t="str">
        <f t="shared" ref="W728" si="753">IF(W583,SUM(K728),"")</f>
        <v/>
      </c>
      <c r="X728" s="1290" t="str">
        <f t="shared" ref="X728" si="754">IF(X583,SUM(L728),"")</f>
        <v/>
      </c>
      <c r="Y728" s="1290" t="str">
        <f t="shared" ref="Y728" si="755">IF(Y583,SUM(M728),"")</f>
        <v/>
      </c>
      <c r="Z728" s="1291" t="str">
        <f t="shared" ref="Z728" si="756">IF(Z583,SUM(N728),"")</f>
        <v/>
      </c>
      <c r="AA728" s="694"/>
      <c r="AB728" s="694"/>
      <c r="AC728" s="694"/>
      <c r="AD728" s="694"/>
      <c r="AE728" s="694"/>
      <c r="AF728" s="694"/>
      <c r="AG728" s="694"/>
      <c r="AH728" s="694"/>
      <c r="AI728" s="694"/>
      <c r="AJ728" s="694"/>
      <c r="AK728" s="694"/>
      <c r="AL728" s="694"/>
    </row>
    <row r="729" spans="1:38" ht="12.75" customHeight="1" x14ac:dyDescent="0.25">
      <c r="A729" s="694"/>
      <c r="B729" s="298"/>
      <c r="C729" s="1302"/>
      <c r="D729" s="625" t="s">
        <v>1140</v>
      </c>
      <c r="E729" s="2833" t="str">
        <f>Translations!$B$538</f>
        <v>Допълнителна информация за справка: Емисии от биомаса</v>
      </c>
      <c r="F729" s="2703"/>
      <c r="G729" s="1335" t="str">
        <f>EUconst_tCO2pa</f>
        <v>t CO2 / година</v>
      </c>
      <c r="H729" s="1336" t="str">
        <f t="shared" ref="H729:N729" si="757">IF(ISNUMBER(H728),3.664*H724*(H726/100)*(H727/100),"")</f>
        <v/>
      </c>
      <c r="I729" s="1337" t="str">
        <f t="shared" si="757"/>
        <v/>
      </c>
      <c r="J729" s="1338" t="str">
        <f t="shared" si="757"/>
        <v/>
      </c>
      <c r="K729" s="1336" t="str">
        <f t="shared" si="757"/>
        <v/>
      </c>
      <c r="L729" s="1336" t="str">
        <f t="shared" si="757"/>
        <v/>
      </c>
      <c r="M729" s="1336" t="str">
        <f t="shared" si="757"/>
        <v/>
      </c>
      <c r="N729" s="1339" t="str">
        <f t="shared" si="757"/>
        <v/>
      </c>
      <c r="O729" s="302"/>
      <c r="P729" s="302"/>
      <c r="Q729" s="729"/>
      <c r="R729" s="694"/>
      <c r="S729" s="729"/>
      <c r="T729" s="694"/>
      <c r="U729" s="694"/>
      <c r="V729" s="694"/>
      <c r="W729" s="694"/>
      <c r="X729" s="694"/>
      <c r="Y729" s="694"/>
      <c r="Z729" s="694"/>
      <c r="AA729" s="694"/>
      <c r="AB729" s="694"/>
      <c r="AC729" s="694"/>
      <c r="AD729" s="694"/>
      <c r="AE729" s="694"/>
      <c r="AF729" s="694"/>
      <c r="AG729" s="694"/>
      <c r="AH729" s="694"/>
      <c r="AI729" s="694"/>
      <c r="AJ729" s="694"/>
      <c r="AK729" s="694"/>
      <c r="AL729" s="694"/>
    </row>
    <row r="730" spans="1:38" ht="12.75" customHeight="1" x14ac:dyDescent="0.25">
      <c r="A730" s="694"/>
      <c r="B730" s="298"/>
      <c r="C730" s="1302"/>
      <c r="D730" s="625" t="s">
        <v>1141</v>
      </c>
      <c r="E730" s="2828" t="str">
        <f>Translations!$B$539</f>
        <v>Енергийно съдържание (изчислено)</v>
      </c>
      <c r="F730" s="2705"/>
      <c r="G730" s="1340" t="str">
        <f>EUconst_TJpa</f>
        <v>TJ / година</v>
      </c>
      <c r="H730" s="1104" t="str">
        <f t="shared" ref="H730:N730" si="758">IF(COUNT(H724:H725)=2,H724*H725/1000,"")</f>
        <v/>
      </c>
      <c r="I730" s="1296" t="str">
        <f t="shared" si="758"/>
        <v/>
      </c>
      <c r="J730" s="1297" t="str">
        <f t="shared" si="758"/>
        <v/>
      </c>
      <c r="K730" s="1104" t="str">
        <f t="shared" si="758"/>
        <v/>
      </c>
      <c r="L730" s="1104" t="str">
        <f t="shared" si="758"/>
        <v/>
      </c>
      <c r="M730" s="1104" t="str">
        <f t="shared" si="758"/>
        <v/>
      </c>
      <c r="N730" s="1341" t="str">
        <f t="shared" si="758"/>
        <v/>
      </c>
      <c r="O730" s="302"/>
      <c r="P730" s="302"/>
      <c r="Q730" s="729"/>
      <c r="R730" s="694"/>
      <c r="S730" s="729"/>
      <c r="T730" s="694"/>
      <c r="U730" s="694"/>
      <c r="V730" s="694"/>
      <c r="W730" s="694"/>
      <c r="X730" s="694"/>
      <c r="Y730" s="694"/>
      <c r="Z730" s="694"/>
      <c r="AA730" s="694"/>
      <c r="AB730" s="694"/>
      <c r="AC730" s="694"/>
      <c r="AD730" s="694"/>
      <c r="AE730" s="694"/>
      <c r="AF730" s="694"/>
      <c r="AG730" s="694"/>
      <c r="AH730" s="694"/>
      <c r="AI730" s="694"/>
      <c r="AJ730" s="694"/>
      <c r="AK730" s="694"/>
      <c r="AL730" s="694"/>
    </row>
    <row r="731" spans="1:38" ht="12.75" customHeight="1" x14ac:dyDescent="0.25">
      <c r="A731" s="694"/>
      <c r="B731" s="298"/>
      <c r="C731" s="1302"/>
      <c r="D731" s="625" t="s">
        <v>1137</v>
      </c>
      <c r="E731" s="2829" t="str">
        <f>Translations!$B$540</f>
        <v>Съобщения за грешка (емисии)</v>
      </c>
      <c r="F731" s="2830"/>
      <c r="G731" s="1342"/>
      <c r="H731" s="1343" t="str">
        <f t="shared" ref="H731:N731" si="759">IF(COUNT(H724,H726:H727)&gt;0,IF(COUNTIF(H725:H727,"&lt;0")&gt;0,EUconst_Negative,IF(COUNT(H724,H726:H727)&lt;3,EUconst_Incomplete,"")),"")</f>
        <v/>
      </c>
      <c r="I731" s="1344" t="str">
        <f t="shared" si="759"/>
        <v/>
      </c>
      <c r="J731" s="1345" t="str">
        <f t="shared" si="759"/>
        <v/>
      </c>
      <c r="K731" s="1343" t="str">
        <f t="shared" si="759"/>
        <v/>
      </c>
      <c r="L731" s="1343" t="str">
        <f t="shared" si="759"/>
        <v/>
      </c>
      <c r="M731" s="1343" t="str">
        <f t="shared" si="759"/>
        <v/>
      </c>
      <c r="N731" s="1346" t="str">
        <f t="shared" si="759"/>
        <v/>
      </c>
      <c r="O731" s="302"/>
      <c r="P731" s="302"/>
      <c r="Q731" s="729"/>
      <c r="R731" s="694"/>
      <c r="S731" s="729"/>
      <c r="T731" s="694"/>
      <c r="U731" s="694"/>
      <c r="V731" s="694"/>
      <c r="W731" s="694"/>
      <c r="X731" s="694"/>
      <c r="Y731" s="694"/>
      <c r="Z731" s="694"/>
      <c r="AA731" s="694"/>
      <c r="AB731" s="694"/>
      <c r="AC731" s="694"/>
      <c r="AD731" s="694"/>
      <c r="AE731" s="694"/>
      <c r="AF731" s="694"/>
      <c r="AG731" s="694"/>
      <c r="AH731" s="694"/>
      <c r="AI731" s="694"/>
      <c r="AJ731" s="694"/>
      <c r="AK731" s="694"/>
      <c r="AL731" s="694"/>
    </row>
    <row r="732" spans="1:38" ht="12.75" customHeight="1" x14ac:dyDescent="0.25">
      <c r="A732" s="694"/>
      <c r="B732" s="298"/>
      <c r="C732" s="1302"/>
      <c r="D732" s="1306"/>
      <c r="E732" s="1306"/>
      <c r="F732" s="1306"/>
      <c r="G732" s="1306"/>
      <c r="H732" s="1306"/>
      <c r="I732" s="1306"/>
      <c r="J732" s="1306"/>
      <c r="K732" s="1306"/>
      <c r="L732" s="1306"/>
      <c r="M732" s="626"/>
      <c r="N732" s="1316"/>
      <c r="O732" s="302"/>
      <c r="P732" s="302"/>
      <c r="Q732" s="729"/>
      <c r="R732" s="694"/>
      <c r="S732" s="729"/>
      <c r="T732" s="694"/>
      <c r="U732" s="694"/>
      <c r="V732" s="694"/>
      <c r="W732" s="694"/>
      <c r="X732" s="694"/>
      <c r="Y732" s="694"/>
      <c r="Z732" s="694"/>
      <c r="AA732" s="694"/>
      <c r="AB732" s="694"/>
      <c r="AC732" s="694"/>
      <c r="AD732" s="694"/>
      <c r="AE732" s="694"/>
      <c r="AF732" s="694"/>
      <c r="AG732" s="694"/>
      <c r="AH732" s="694"/>
      <c r="AI732" s="694"/>
      <c r="AJ732" s="694"/>
      <c r="AK732" s="694"/>
      <c r="AL732" s="694"/>
    </row>
    <row r="733" spans="1:38" ht="12.75" customHeight="1" x14ac:dyDescent="0.25">
      <c r="A733" s="694"/>
      <c r="B733" s="298"/>
      <c r="C733" s="1302"/>
      <c r="D733" s="1307" t="s">
        <v>489</v>
      </c>
      <c r="E733" s="2815" t="str">
        <f>Translations!$B$543</f>
        <v>Количество на парникови газове, които са получени или подадени като суровини</v>
      </c>
      <c r="F733" s="2240"/>
      <c r="G733" s="2240"/>
      <c r="H733" s="2240"/>
      <c r="I733" s="2240"/>
      <c r="J733" s="2240"/>
      <c r="K733" s="2240"/>
      <c r="L733" s="2240"/>
      <c r="M733" s="2240"/>
      <c r="N733" s="2811"/>
      <c r="O733" s="302"/>
      <c r="P733" s="302"/>
      <c r="Q733" s="729"/>
      <c r="R733" s="694"/>
      <c r="S733" s="729"/>
      <c r="T733" s="694"/>
      <c r="U733" s="694"/>
      <c r="V733" s="694"/>
      <c r="W733" s="694"/>
      <c r="X733" s="694"/>
      <c r="Y733" s="694"/>
      <c r="Z733" s="694"/>
      <c r="AA733" s="694"/>
      <c r="AB733" s="694"/>
      <c r="AC733" s="694"/>
      <c r="AD733" s="694"/>
      <c r="AE733" s="694"/>
      <c r="AF733" s="694"/>
      <c r="AG733" s="694"/>
      <c r="AH733" s="694"/>
      <c r="AI733" s="694"/>
      <c r="AJ733" s="694"/>
      <c r="AK733" s="694"/>
      <c r="AL733" s="694"/>
    </row>
    <row r="734" spans="1:38" ht="12.75" customHeight="1" x14ac:dyDescent="0.25">
      <c r="A734" s="694"/>
      <c r="B734" s="298"/>
      <c r="C734" s="1302"/>
      <c r="D734" s="625"/>
      <c r="E734" s="2816" t="str">
        <f>Translations!$B$508</f>
        <v>Посочените тук данни ще се отразят на емисиите, които могат да бъдат зададени съгласно раздел 10.1.1 от приложение VII към ПБР.</v>
      </c>
      <c r="F734" s="2240"/>
      <c r="G734" s="2240"/>
      <c r="H734" s="2240"/>
      <c r="I734" s="2240"/>
      <c r="J734" s="2240"/>
      <c r="K734" s="2240"/>
      <c r="L734" s="2240"/>
      <c r="M734" s="2240"/>
      <c r="N734" s="2811"/>
      <c r="O734" s="302"/>
      <c r="P734" s="302"/>
      <c r="Q734" s="729"/>
      <c r="R734" s="694"/>
      <c r="S734" s="729"/>
      <c r="T734" s="729"/>
      <c r="U734" s="729"/>
      <c r="V734" s="729"/>
      <c r="W734" s="694"/>
      <c r="X734" s="694"/>
      <c r="Y734" s="694"/>
      <c r="Z734" s="694"/>
      <c r="AA734" s="694"/>
      <c r="AB734" s="694"/>
      <c r="AC734" s="694"/>
      <c r="AD734" s="694"/>
      <c r="AE734" s="694"/>
      <c r="AF734" s="694"/>
      <c r="AG734" s="694"/>
      <c r="AH734" s="694"/>
      <c r="AI734" s="694"/>
      <c r="AJ734" s="694"/>
      <c r="AK734" s="694"/>
      <c r="AL734" s="694"/>
    </row>
    <row r="735" spans="1:38" ht="25.5" customHeight="1" x14ac:dyDescent="0.25">
      <c r="A735" s="694"/>
      <c r="B735" s="298"/>
      <c r="C735" s="1302"/>
      <c r="D735" s="1306"/>
      <c r="E735" s="2810" t="str">
        <f>Translations!$B$544</f>
        <v>Съгласно раздел 3.1, букви к) и л) от приложение IV към ПБР, моля, посочете тук количеството на прехвърления CO2, получен от или подаден към други подинсталации, инсталации или други обекти, съгласно правилата, определени в Регламента относно мониторинга и докладването.</v>
      </c>
      <c r="F735" s="2240"/>
      <c r="G735" s="2240"/>
      <c r="H735" s="2240"/>
      <c r="I735" s="2240"/>
      <c r="J735" s="2240"/>
      <c r="K735" s="2240"/>
      <c r="L735" s="2240"/>
      <c r="M735" s="2240"/>
      <c r="N735" s="2811"/>
      <c r="O735" s="302"/>
      <c r="P735" s="302"/>
      <c r="Q735" s="729"/>
      <c r="R735" s="694"/>
      <c r="S735" s="729"/>
      <c r="T735" s="694"/>
      <c r="U735" s="694"/>
      <c r="V735" s="694"/>
      <c r="W735" s="694"/>
      <c r="X735" s="694"/>
      <c r="Y735" s="694"/>
      <c r="Z735" s="694"/>
      <c r="AA735" s="694"/>
      <c r="AB735" s="694"/>
      <c r="AC735" s="694"/>
      <c r="AD735" s="694"/>
      <c r="AE735" s="694"/>
      <c r="AF735" s="694"/>
      <c r="AG735" s="694"/>
      <c r="AH735" s="694"/>
      <c r="AI735" s="694"/>
      <c r="AJ735" s="694"/>
      <c r="AK735" s="694"/>
      <c r="AL735" s="694"/>
    </row>
    <row r="736" spans="1:38" ht="12.75" customHeight="1" thickBot="1" x14ac:dyDescent="0.3">
      <c r="A736" s="694"/>
      <c r="B736" s="298"/>
      <c r="C736" s="1302"/>
      <c r="D736" s="1306"/>
      <c r="E736" s="2810" t="str">
        <f>Translations!$B$545</f>
        <v>Подадените количества трябва да се въведат като отрицателни стойности и да съответстват на подадения CO2, който не е изпуснат в атмосферата от тази подинсталация.</v>
      </c>
      <c r="F736" s="2240"/>
      <c r="G736" s="2240"/>
      <c r="H736" s="2240"/>
      <c r="I736" s="2240"/>
      <c r="J736" s="2240"/>
      <c r="K736" s="2240"/>
      <c r="L736" s="2240"/>
      <c r="M736" s="2240"/>
      <c r="N736" s="2811"/>
      <c r="O736" s="302"/>
      <c r="P736" s="302"/>
      <c r="Q736" s="729"/>
      <c r="R736" s="694"/>
      <c r="S736" s="729"/>
      <c r="T736" s="694"/>
      <c r="U736" s="694"/>
      <c r="V736" s="694"/>
      <c r="W736" s="694"/>
      <c r="X736" s="694"/>
      <c r="Y736" s="694"/>
      <c r="Z736" s="694"/>
      <c r="AA736" s="694"/>
      <c r="AB736" s="694"/>
      <c r="AC736" s="694"/>
      <c r="AD736" s="694"/>
      <c r="AE736" s="694"/>
      <c r="AF736" s="694"/>
      <c r="AG736" s="694"/>
      <c r="AH736" s="694"/>
      <c r="AI736" s="694"/>
      <c r="AJ736" s="694"/>
      <c r="AK736" s="694"/>
      <c r="AL736" s="694"/>
    </row>
    <row r="737" spans="1:38" ht="12.75" customHeight="1" thickBot="1" x14ac:dyDescent="0.3">
      <c r="A737" s="694"/>
      <c r="B737" s="298"/>
      <c r="C737" s="1302"/>
      <c r="D737" s="1307"/>
      <c r="E737" s="1317"/>
      <c r="F737" s="1318"/>
      <c r="G737" s="1309" t="str">
        <f>EUconst_Unit</f>
        <v>Единица мярка</v>
      </c>
      <c r="H737" s="629">
        <f t="shared" ref="H737:N737" si="760">H$2831</f>
        <v>2024</v>
      </c>
      <c r="I737" s="1310">
        <f t="shared" si="760"/>
        <v>2025</v>
      </c>
      <c r="J737" s="1311">
        <f t="shared" si="760"/>
        <v>2026</v>
      </c>
      <c r="K737" s="629">
        <f t="shared" si="760"/>
        <v>2027</v>
      </c>
      <c r="L737" s="629">
        <f t="shared" si="760"/>
        <v>2028</v>
      </c>
      <c r="M737" s="629">
        <f t="shared" si="760"/>
        <v>2029</v>
      </c>
      <c r="N737" s="1312">
        <f t="shared" si="760"/>
        <v>2030</v>
      </c>
      <c r="O737" s="302"/>
      <c r="P737" s="302"/>
      <c r="Q737" s="729"/>
      <c r="R737" s="694"/>
      <c r="S737" s="1205"/>
      <c r="T737" s="1313">
        <f t="shared" ref="T737" si="761">H737</f>
        <v>2024</v>
      </c>
      <c r="U737" s="1313">
        <f t="shared" ref="U737" si="762">I737</f>
        <v>2025</v>
      </c>
      <c r="V737" s="1313">
        <f t="shared" ref="V737" si="763">J737</f>
        <v>2026</v>
      </c>
      <c r="W737" s="1313">
        <f t="shared" ref="W737" si="764">K737</f>
        <v>2027</v>
      </c>
      <c r="X737" s="1313">
        <f t="shared" ref="X737" si="765">L737</f>
        <v>2028</v>
      </c>
      <c r="Y737" s="1313">
        <f t="shared" ref="Y737" si="766">M737</f>
        <v>2029</v>
      </c>
      <c r="Z737" s="1314">
        <f t="shared" ref="Z737" si="767">N737</f>
        <v>2030</v>
      </c>
      <c r="AA737" s="694"/>
      <c r="AB737" s="694"/>
      <c r="AC737" s="1178">
        <f t="shared" ref="AC737" si="768">H$20</f>
        <v>2024</v>
      </c>
      <c r="AD737" s="1178">
        <f t="shared" ref="AD737" si="769">I$20</f>
        <v>2025</v>
      </c>
      <c r="AE737" s="1178">
        <f t="shared" ref="AE737" si="770">J$20</f>
        <v>2026</v>
      </c>
      <c r="AF737" s="1178">
        <f t="shared" ref="AF737" si="771">K$20</f>
        <v>2027</v>
      </c>
      <c r="AG737" s="1178">
        <f t="shared" ref="AG737" si="772">L$20</f>
        <v>2028</v>
      </c>
      <c r="AH737" s="1178">
        <f t="shared" ref="AH737" si="773">M$20</f>
        <v>2029</v>
      </c>
      <c r="AI737" s="1178">
        <f t="shared" ref="AI737" si="774">N$20</f>
        <v>2030</v>
      </c>
      <c r="AJ737" s="694"/>
      <c r="AK737" s="694"/>
      <c r="AL737" s="694"/>
    </row>
    <row r="738" spans="1:38" ht="12.75" customHeight="1" thickBot="1" x14ac:dyDescent="0.3">
      <c r="A738" s="694"/>
      <c r="B738" s="298"/>
      <c r="C738" s="1302"/>
      <c r="D738" s="625"/>
      <c r="E738" s="2820" t="str">
        <f>Translations!$B$546</f>
        <v>Получени или подадени парникови газове</v>
      </c>
      <c r="F738" s="2258"/>
      <c r="G738" s="1319" t="str">
        <f>EUconst_tCO2epa</f>
        <v>t CO2e/година</v>
      </c>
      <c r="H738" s="56"/>
      <c r="I738" s="115"/>
      <c r="J738" s="118"/>
      <c r="K738" s="56"/>
      <c r="L738" s="56"/>
      <c r="M738" s="56"/>
      <c r="N738" s="121"/>
      <c r="O738" s="302"/>
      <c r="P738" s="158"/>
      <c r="Q738" s="1190" t="str">
        <f>EUconst_CNTR_CO2Feedstock &amp; I575</f>
        <v>EmCO2Feedstock_</v>
      </c>
      <c r="R738" s="694"/>
      <c r="S738" s="1315" t="str">
        <f>EUconst_CNTR_AttributedEmissions &amp; I575</f>
        <v>AttrEmissions_</v>
      </c>
      <c r="T738" s="1290" t="str">
        <f t="shared" ref="T738" si="775">IF(T583,SUM(H738),"")</f>
        <v/>
      </c>
      <c r="U738" s="1290" t="str">
        <f t="shared" ref="U738" si="776">IF(U583,SUM(I738),"")</f>
        <v/>
      </c>
      <c r="V738" s="1290" t="str">
        <f t="shared" ref="V738" si="777">IF(V583,SUM(J738),"")</f>
        <v/>
      </c>
      <c r="W738" s="1290" t="str">
        <f t="shared" ref="W738" si="778">IF(W583,SUM(K738),"")</f>
        <v/>
      </c>
      <c r="X738" s="1290" t="str">
        <f t="shared" ref="X738" si="779">IF(X583,SUM(L738),"")</f>
        <v/>
      </c>
      <c r="Y738" s="1290" t="str">
        <f t="shared" ref="Y738" si="780">IF(Y583,SUM(M738),"")</f>
        <v/>
      </c>
      <c r="Z738" s="1291" t="str">
        <f t="shared" ref="Z738" si="781">IF(Z583,SUM(N738),"")</f>
        <v/>
      </c>
      <c r="AA738" s="694"/>
      <c r="AB738" s="1182" t="s">
        <v>737</v>
      </c>
      <c r="AC738" s="982" t="b">
        <f>AC622</f>
        <v>0</v>
      </c>
      <c r="AD738" s="982" t="b">
        <f t="shared" ref="AD738:AI738" si="782">AD622</f>
        <v>0</v>
      </c>
      <c r="AE738" s="982" t="b">
        <f t="shared" si="782"/>
        <v>0</v>
      </c>
      <c r="AF738" s="982" t="b">
        <f t="shared" si="782"/>
        <v>0</v>
      </c>
      <c r="AG738" s="982" t="b">
        <f t="shared" si="782"/>
        <v>0</v>
      </c>
      <c r="AH738" s="982" t="b">
        <f t="shared" si="782"/>
        <v>0</v>
      </c>
      <c r="AI738" s="982" t="b">
        <f t="shared" si="782"/>
        <v>0</v>
      </c>
      <c r="AJ738" s="1174" t="s">
        <v>2039</v>
      </c>
      <c r="AK738" s="1176" t="str">
        <f>IF(AND(CNTR_ExistSubInstEntries,MSconst_RequireSubAttrEmissions,COUNTIFS(AC738:AI738,FALSE,H738:N738,"")&gt;0),EUconst_Error&amp;"BM"&amp;$Q575,"")</f>
        <v/>
      </c>
      <c r="AL738" s="694"/>
    </row>
    <row r="739" spans="1:38" ht="12.75" customHeight="1" x14ac:dyDescent="0.25">
      <c r="A739" s="694"/>
      <c r="B739" s="298"/>
      <c r="C739" s="1302"/>
      <c r="D739" s="1306"/>
      <c r="E739" s="1306"/>
      <c r="F739" s="1306"/>
      <c r="G739" s="1306"/>
      <c r="H739" s="1306"/>
      <c r="I739" s="1306"/>
      <c r="J739" s="1306"/>
      <c r="K739" s="1306"/>
      <c r="L739" s="1306"/>
      <c r="M739" s="626"/>
      <c r="N739" s="1316"/>
      <c r="O739" s="302"/>
      <c r="P739" s="302"/>
      <c r="Q739" s="729"/>
      <c r="R739" s="694"/>
      <c r="S739" s="729"/>
      <c r="T739" s="694"/>
      <c r="U739" s="694"/>
      <c r="V739" s="694"/>
      <c r="W739" s="694"/>
      <c r="X739" s="694"/>
      <c r="Y739" s="694"/>
      <c r="Z739" s="694"/>
      <c r="AA739" s="694"/>
      <c r="AB739" s="694"/>
      <c r="AC739" s="694"/>
      <c r="AD739" s="694"/>
      <c r="AE739" s="694"/>
      <c r="AF739" s="694"/>
      <c r="AG739" s="694"/>
      <c r="AH739" s="694"/>
      <c r="AI739" s="694"/>
      <c r="AJ739" s="694"/>
      <c r="AK739" s="694"/>
      <c r="AL739" s="694"/>
    </row>
    <row r="740" spans="1:38" ht="12.75" customHeight="1" x14ac:dyDescent="0.25">
      <c r="A740" s="694"/>
      <c r="B740" s="298"/>
      <c r="C740" s="1302"/>
      <c r="D740" s="1307" t="s">
        <v>490</v>
      </c>
      <c r="E740" s="2815" t="str">
        <f>Translations!$B$547</f>
        <v>Получаване и подаване на измерима топлинна енергия от тази подинсталация</v>
      </c>
      <c r="F740" s="2240"/>
      <c r="G740" s="2240"/>
      <c r="H740" s="2240"/>
      <c r="I740" s="2240"/>
      <c r="J740" s="2240"/>
      <c r="K740" s="2240"/>
      <c r="L740" s="2240"/>
      <c r="M740" s="2240"/>
      <c r="N740" s="2811"/>
      <c r="O740" s="302"/>
      <c r="P740" s="302"/>
      <c r="Q740" s="729"/>
      <c r="R740" s="694"/>
      <c r="S740" s="729"/>
      <c r="T740" s="694"/>
      <c r="U740" s="694"/>
      <c r="V740" s="694"/>
      <c r="W740" s="694"/>
      <c r="X740" s="694"/>
      <c r="Y740" s="694"/>
      <c r="Z740" s="694"/>
      <c r="AA740" s="694"/>
      <c r="AB740" s="694"/>
      <c r="AC740" s="694"/>
      <c r="AD740" s="694"/>
      <c r="AE740" s="694"/>
      <c r="AF740" s="694"/>
      <c r="AG740" s="694"/>
      <c r="AH740" s="694"/>
      <c r="AI740" s="694"/>
      <c r="AJ740" s="694"/>
      <c r="AK740" s="694"/>
      <c r="AL740" s="694"/>
    </row>
    <row r="741" spans="1:38" ht="12.75" customHeight="1" x14ac:dyDescent="0.25">
      <c r="A741" s="694"/>
      <c r="B741" s="298"/>
      <c r="C741" s="1302"/>
      <c r="D741" s="625"/>
      <c r="E741" s="2816" t="str">
        <f>Translations!$B$548</f>
        <v>Посочените тук данни ще се отразят на емисиите, които могат да бъдат зададени съгласно раздел 10.1.2 и 10.1.3 от приложение VII към ПБР.</v>
      </c>
      <c r="F741" s="2240"/>
      <c r="G741" s="2240"/>
      <c r="H741" s="2240"/>
      <c r="I741" s="2240"/>
      <c r="J741" s="2240"/>
      <c r="K741" s="2240"/>
      <c r="L741" s="2240"/>
      <c r="M741" s="2240"/>
      <c r="N741" s="2811"/>
      <c r="O741" s="302"/>
      <c r="P741" s="302"/>
      <c r="Q741" s="729"/>
      <c r="R741" s="694"/>
      <c r="S741" s="729"/>
      <c r="T741" s="729"/>
      <c r="U741" s="729"/>
      <c r="V741" s="729"/>
      <c r="W741" s="694"/>
      <c r="X741" s="694"/>
      <c r="Y741" s="694"/>
      <c r="Z741" s="694"/>
      <c r="AA741" s="694"/>
      <c r="AB741" s="694"/>
      <c r="AC741" s="694"/>
      <c r="AD741" s="694"/>
      <c r="AE741" s="694"/>
      <c r="AF741" s="694"/>
      <c r="AG741" s="694"/>
      <c r="AH741" s="694"/>
      <c r="AI741" s="694"/>
      <c r="AJ741" s="694"/>
      <c r="AK741" s="694"/>
      <c r="AL741" s="694"/>
    </row>
    <row r="742" spans="1:38" ht="38.9" customHeight="1" x14ac:dyDescent="0.25">
      <c r="A742" s="694"/>
      <c r="B742" s="298"/>
      <c r="C742" s="1302"/>
      <c r="D742" s="1306"/>
      <c r="E742" s="2810" t="str">
        <f>Translations!$B$549</f>
        <v>Това включва общото количество топлинна енергия, произведено във, получено от или подадено към (под)инсталации, обхванати от СТЕ на ЕС, или инсталации или обекти извън СТЕ на ЕС. При специфичните емисионни фактори (EF), свързани с топлинната енергия, трябва да се отчитат разпоредбите на раздели 8 и 10 от приложение VII към ПБР, и по-специално раздели 10.1.2 и 10.1.3.</v>
      </c>
      <c r="F742" s="2240"/>
      <c r="G742" s="2240"/>
      <c r="H742" s="2240"/>
      <c r="I742" s="2240"/>
      <c r="J742" s="2240"/>
      <c r="K742" s="2240"/>
      <c r="L742" s="2240"/>
      <c r="M742" s="2240"/>
      <c r="N742" s="2811"/>
      <c r="O742" s="302"/>
      <c r="P742" s="302"/>
      <c r="Q742" s="729"/>
      <c r="R742" s="694"/>
      <c r="S742" s="729"/>
      <c r="T742" s="694"/>
      <c r="U742" s="694"/>
      <c r="V742" s="694"/>
      <c r="W742" s="694"/>
      <c r="X742" s="694"/>
      <c r="Y742" s="694"/>
      <c r="Z742" s="694"/>
      <c r="AA742" s="694"/>
      <c r="AB742" s="694"/>
      <c r="AC742" s="694"/>
      <c r="AD742" s="694"/>
      <c r="AE742" s="694"/>
      <c r="AF742" s="694"/>
      <c r="AG742" s="694"/>
      <c r="AH742" s="694"/>
      <c r="AI742" s="694"/>
      <c r="AJ742" s="694"/>
      <c r="AK742" s="694"/>
      <c r="AL742" s="694"/>
    </row>
    <row r="743" spans="1:38" ht="25.5" customHeight="1" x14ac:dyDescent="0.25">
      <c r="A743" s="694"/>
      <c r="B743" s="298"/>
      <c r="C743" s="1302"/>
      <c r="D743" s="1306"/>
      <c r="E743" s="2810" t="str">
        <f>Translations!$B$550</f>
        <v>Емисиите, свързани с измерима топлинна енергия, произведена в рамките на обекта от съоръжения, които обслужват повече от една подинсталация, също трябва да се въведат тук под „получени емисии“, вместо да се зададат директно чрез емисионния фактор за горивата от буква g) по-горе. Същото важи и за всяка топлинна енергия, „получена“ от други подинсталации.</v>
      </c>
      <c r="F743" s="2240"/>
      <c r="G743" s="2240"/>
      <c r="H743" s="2240"/>
      <c r="I743" s="2240"/>
      <c r="J743" s="2240"/>
      <c r="K743" s="2240"/>
      <c r="L743" s="2240"/>
      <c r="M743" s="2240"/>
      <c r="N743" s="2811"/>
      <c r="O743" s="302"/>
      <c r="P743" s="302"/>
      <c r="Q743" s="729"/>
      <c r="R743" s="694"/>
      <c r="S743" s="729"/>
      <c r="T743" s="694"/>
      <c r="U743" s="694"/>
      <c r="V743" s="694"/>
      <c r="W743" s="694"/>
      <c r="X743" s="694"/>
      <c r="Y743" s="694"/>
      <c r="Z743" s="694"/>
      <c r="AA743" s="694"/>
      <c r="AB743" s="694"/>
      <c r="AC743" s="694"/>
      <c r="AD743" s="694"/>
      <c r="AE743" s="694"/>
      <c r="AF743" s="694"/>
      <c r="AG743" s="694"/>
      <c r="AH743" s="694"/>
      <c r="AI743" s="694"/>
      <c r="AJ743" s="694"/>
      <c r="AK743" s="694"/>
      <c r="AL743" s="694"/>
    </row>
    <row r="744" spans="1:38" ht="25.5" customHeight="1" x14ac:dyDescent="0.25">
      <c r="A744" s="694"/>
      <c r="B744" s="298"/>
      <c r="C744" s="1302"/>
      <c r="D744" s="1306"/>
      <c r="E744" s="2810" t="str">
        <f>Translations!$B$551</f>
        <v xml:space="preserve">Когато топлинната енергия е произведена изключително за една подинсталация и поради това съответните емисии са вписани в буква g) по-горе, съответните количества не трябва да се докладват тук като „получени“, за да се избегне двойно отчитане. </v>
      </c>
      <c r="F744" s="2240"/>
      <c r="G744" s="2240"/>
      <c r="H744" s="2240"/>
      <c r="I744" s="2240"/>
      <c r="J744" s="2240"/>
      <c r="K744" s="2240"/>
      <c r="L744" s="2240"/>
      <c r="M744" s="2240"/>
      <c r="N744" s="2811"/>
      <c r="O744" s="302"/>
      <c r="P744" s="302"/>
      <c r="Q744" s="729"/>
      <c r="R744" s="694"/>
      <c r="S744" s="729"/>
      <c r="T744" s="694"/>
      <c r="U744" s="694"/>
      <c r="V744" s="694"/>
      <c r="W744" s="694"/>
      <c r="X744" s="694"/>
      <c r="Y744" s="694"/>
      <c r="Z744" s="694"/>
      <c r="AA744" s="694"/>
      <c r="AB744" s="694"/>
      <c r="AC744" s="694"/>
      <c r="AD744" s="694"/>
      <c r="AE744" s="694"/>
      <c r="AF744" s="694"/>
      <c r="AG744" s="694"/>
      <c r="AH744" s="694"/>
      <c r="AI744" s="694"/>
      <c r="AJ744" s="694"/>
      <c r="AK744" s="694"/>
      <c r="AL744" s="694"/>
    </row>
    <row r="745" spans="1:38" ht="12.75" customHeight="1" thickBot="1" x14ac:dyDescent="0.3">
      <c r="A745" s="694"/>
      <c r="B745" s="298"/>
      <c r="C745" s="1302"/>
      <c r="D745" s="1306"/>
      <c r="E745" s="2825" t="str">
        <f>Translations!$B$552</f>
        <v>За задаването на емисии от комбинираното производство на енергия (КПТЕ) при производството на топлинна енергия трябва да използвате „Инструмента за КПТЕ“ от раздел D.III от настоящия образец.</v>
      </c>
      <c r="F745" s="2826"/>
      <c r="G745" s="2826"/>
      <c r="H745" s="2826"/>
      <c r="I745" s="2826"/>
      <c r="J745" s="2826"/>
      <c r="K745" s="2826"/>
      <c r="L745" s="2826"/>
      <c r="M745" s="2826"/>
      <c r="N745" s="2827"/>
      <c r="O745" s="302"/>
      <c r="P745" s="302"/>
      <c r="Q745" s="729"/>
      <c r="R745" s="694"/>
      <c r="S745" s="694"/>
      <c r="T745" s="694"/>
      <c r="U745" s="694"/>
      <c r="V745" s="694"/>
      <c r="W745" s="694"/>
      <c r="X745" s="694"/>
      <c r="Y745" s="694"/>
      <c r="Z745" s="694"/>
      <c r="AA745" s="694"/>
      <c r="AB745" s="694"/>
      <c r="AC745" s="694"/>
      <c r="AD745" s="694"/>
      <c r="AE745" s="694"/>
      <c r="AF745" s="694"/>
      <c r="AG745" s="694"/>
      <c r="AH745" s="694"/>
      <c r="AI745" s="694"/>
      <c r="AJ745" s="694"/>
      <c r="AK745" s="694"/>
      <c r="AL745" s="694"/>
    </row>
    <row r="746" spans="1:38" ht="12.75" customHeight="1" thickBot="1" x14ac:dyDescent="0.3">
      <c r="A746" s="694"/>
      <c r="B746" s="298"/>
      <c r="C746" s="1302"/>
      <c r="D746" s="1306"/>
      <c r="E746" s="2803" t="str">
        <f>Translations!$B$553</f>
        <v>Общо получена топлинна енергия</v>
      </c>
      <c r="F746" s="2672"/>
      <c r="G746" s="1309" t="str">
        <f>EUconst_Unit</f>
        <v>Единица мярка</v>
      </c>
      <c r="H746" s="629">
        <f t="shared" ref="H746:N746" si="783">H$2831</f>
        <v>2024</v>
      </c>
      <c r="I746" s="1310">
        <f t="shared" si="783"/>
        <v>2025</v>
      </c>
      <c r="J746" s="1311">
        <f t="shared" si="783"/>
        <v>2026</v>
      </c>
      <c r="K746" s="629">
        <f t="shared" si="783"/>
        <v>2027</v>
      </c>
      <c r="L746" s="629">
        <f t="shared" si="783"/>
        <v>2028</v>
      </c>
      <c r="M746" s="629">
        <f t="shared" si="783"/>
        <v>2029</v>
      </c>
      <c r="N746" s="1312">
        <f t="shared" si="783"/>
        <v>2030</v>
      </c>
      <c r="O746" s="302"/>
      <c r="P746" s="302"/>
      <c r="Q746" s="729"/>
      <c r="R746" s="694"/>
      <c r="S746" s="1205"/>
      <c r="T746" s="1313">
        <f t="shared" ref="T746" si="784">H746</f>
        <v>2024</v>
      </c>
      <c r="U746" s="1313">
        <f t="shared" ref="U746" si="785">I746</f>
        <v>2025</v>
      </c>
      <c r="V746" s="1313">
        <f t="shared" ref="V746" si="786">J746</f>
        <v>2026</v>
      </c>
      <c r="W746" s="1313">
        <f t="shared" ref="W746" si="787">K746</f>
        <v>2027</v>
      </c>
      <c r="X746" s="1313">
        <f t="shared" ref="X746" si="788">L746</f>
        <v>2028</v>
      </c>
      <c r="Y746" s="1313">
        <f t="shared" ref="Y746" si="789">M746</f>
        <v>2029</v>
      </c>
      <c r="Z746" s="1314">
        <f t="shared" ref="Z746" si="790">N746</f>
        <v>2030</v>
      </c>
      <c r="AA746" s="694"/>
      <c r="AB746" s="694"/>
      <c r="AC746" s="1178">
        <f t="shared" ref="AC746" si="791">H$20</f>
        <v>2024</v>
      </c>
      <c r="AD746" s="1178">
        <f t="shared" ref="AD746" si="792">I$20</f>
        <v>2025</v>
      </c>
      <c r="AE746" s="1178">
        <f t="shared" ref="AE746" si="793">J$20</f>
        <v>2026</v>
      </c>
      <c r="AF746" s="1178">
        <f t="shared" ref="AF746" si="794">K$20</f>
        <v>2027</v>
      </c>
      <c r="AG746" s="1178">
        <f t="shared" ref="AG746" si="795">L$20</f>
        <v>2028</v>
      </c>
      <c r="AH746" s="1178">
        <f t="shared" ref="AH746" si="796">M$20</f>
        <v>2029</v>
      </c>
      <c r="AI746" s="1178">
        <f t="shared" ref="AI746" si="797">N$20</f>
        <v>2030</v>
      </c>
      <c r="AJ746" s="694"/>
      <c r="AK746" s="694"/>
      <c r="AL746" s="694"/>
    </row>
    <row r="747" spans="1:38" ht="12.75" customHeight="1" x14ac:dyDescent="0.25">
      <c r="A747" s="694"/>
      <c r="B747" s="298"/>
      <c r="C747" s="1302"/>
      <c r="D747" s="625" t="s">
        <v>6</v>
      </c>
      <c r="E747" s="2820" t="str">
        <f>Translations!$B$554</f>
        <v>Нетно количество получена топлинна енергия</v>
      </c>
      <c r="F747" s="2258"/>
      <c r="G747" s="1319" t="str">
        <f>EUconst_TJpa</f>
        <v>TJ / година</v>
      </c>
      <c r="H747" s="56"/>
      <c r="I747" s="115"/>
      <c r="J747" s="118"/>
      <c r="K747" s="56"/>
      <c r="L747" s="56"/>
      <c r="M747" s="56"/>
      <c r="N747" s="121"/>
      <c r="O747" s="302"/>
      <c r="P747" s="158"/>
      <c r="Q747" s="1190" t="str">
        <f>EUconst_CNTR_HeatImport &amp; I575</f>
        <v>HeatIm_</v>
      </c>
      <c r="R747" s="694"/>
      <c r="S747" s="1347" t="str">
        <f>EUconst_ERR_AttrEmBMapplied &amp; I575</f>
        <v>ERR_AttrEmBM_</v>
      </c>
      <c r="T747" s="982">
        <f t="shared" ref="T747" si="798">IF(AND(H747&lt;&gt;0,H748="",EUconst_StatusOfDataCollection=FALSE),1,0)</f>
        <v>0</v>
      </c>
      <c r="U747" s="982">
        <f t="shared" ref="U747" si="799">IF(AND(I747&lt;&gt;0,I748="",EUconst_StatusOfDataCollection=FALSE),1,0)</f>
        <v>0</v>
      </c>
      <c r="V747" s="982">
        <f t="shared" ref="V747" si="800">IF(AND(J747&lt;&gt;0,J748="",EUconst_StatusOfDataCollection=FALSE),1,0)</f>
        <v>0</v>
      </c>
      <c r="W747" s="982">
        <f t="shared" ref="W747" si="801">IF(AND(K747&lt;&gt;0,K748="",EUconst_StatusOfDataCollection=FALSE),1,0)</f>
        <v>0</v>
      </c>
      <c r="X747" s="982">
        <f t="shared" ref="X747" si="802">IF(AND(L747&lt;&gt;0,L748="",EUconst_StatusOfDataCollection=FALSE),1,0)</f>
        <v>0</v>
      </c>
      <c r="Y747" s="982">
        <f t="shared" ref="Y747" si="803">IF(AND(M747&lt;&gt;0,M748="",EUconst_StatusOfDataCollection=FALSE),1,0)</f>
        <v>0</v>
      </c>
      <c r="Z747" s="1287">
        <f t="shared" ref="Z747" si="804">IF(AND(N747&lt;&gt;0,N748="",EUconst_StatusOfDataCollection=FALSE),1,0)</f>
        <v>0</v>
      </c>
      <c r="AA747" s="1031"/>
      <c r="AB747" s="1182" t="s">
        <v>737</v>
      </c>
      <c r="AC747" s="982" t="b">
        <f t="shared" ref="AC747:AI747" si="805">AC622</f>
        <v>0</v>
      </c>
      <c r="AD747" s="982" t="b">
        <f t="shared" si="805"/>
        <v>0</v>
      </c>
      <c r="AE747" s="982" t="b">
        <f t="shared" si="805"/>
        <v>0</v>
      </c>
      <c r="AF747" s="982" t="b">
        <f t="shared" si="805"/>
        <v>0</v>
      </c>
      <c r="AG747" s="982" t="b">
        <f t="shared" si="805"/>
        <v>0</v>
      </c>
      <c r="AH747" s="982" t="b">
        <f t="shared" si="805"/>
        <v>0</v>
      </c>
      <c r="AI747" s="982" t="b">
        <f t="shared" si="805"/>
        <v>0</v>
      </c>
      <c r="AJ747" s="1174" t="s">
        <v>2039</v>
      </c>
      <c r="AK747" s="1176" t="str">
        <f>IF(AND(CNTR_ExistSubInstEntries,MSconst_RequireSubAttrEmissions,COUNTIFS(AC747:AI747,FALSE,H747:N747,"")&gt;0),EUconst_Error&amp;"BM"&amp;$Q575,"")</f>
        <v/>
      </c>
      <c r="AL747" s="694"/>
    </row>
    <row r="748" spans="1:38" ht="12.75" customHeight="1" thickBot="1" x14ac:dyDescent="0.3">
      <c r="A748" s="694"/>
      <c r="B748" s="298"/>
      <c r="C748" s="1302"/>
      <c r="D748" s="625" t="s">
        <v>7</v>
      </c>
      <c r="E748" s="2820" t="str">
        <f>Translations!$B$555</f>
        <v>Специфичен EF (получена топлинна енергия)</v>
      </c>
      <c r="F748" s="2258"/>
      <c r="G748" s="1319" t="str">
        <f>EUconst_tCO2pTJ</f>
        <v>t CO2 / TJ</v>
      </c>
      <c r="H748" s="56"/>
      <c r="I748" s="115"/>
      <c r="J748" s="118"/>
      <c r="K748" s="56"/>
      <c r="L748" s="56"/>
      <c r="M748" s="56"/>
      <c r="N748" s="121"/>
      <c r="O748" s="302"/>
      <c r="P748" s="158"/>
      <c r="Q748" s="1190" t="str">
        <f>EUconst_CNTR_HeatImportEF &amp; I575</f>
        <v>HeatImEF_</v>
      </c>
      <c r="R748" s="694"/>
      <c r="S748" s="1315" t="str">
        <f>EUconst_CNTR_AttributedEmissions &amp; I575</f>
        <v>AttrEmissions_</v>
      </c>
      <c r="T748" s="1290" t="str">
        <f t="shared" ref="T748" si="806">IF(T583,SUM(H747)*IF(ISNUMBER(H748),H748,EUconst_HeatBMvalue),"")</f>
        <v/>
      </c>
      <c r="U748" s="1290" t="str">
        <f t="shared" ref="U748" si="807">IF(U583,SUM(I747)*IF(ISNUMBER(I748),I748,EUconst_HeatBMvalue),"")</f>
        <v/>
      </c>
      <c r="V748" s="1290" t="str">
        <f t="shared" ref="V748" si="808">IF(V583,SUM(J747)*IF(ISNUMBER(J748),J748,EUconst_HeatBMvalue),"")</f>
        <v/>
      </c>
      <c r="W748" s="1290" t="str">
        <f t="shared" ref="W748" si="809">IF(W583,SUM(K747)*IF(ISNUMBER(K748),K748,EUconst_HeatBMvalue),"")</f>
        <v/>
      </c>
      <c r="X748" s="1290" t="str">
        <f t="shared" ref="X748" si="810">IF(X583,SUM(L747)*IF(ISNUMBER(L748),L748,EUconst_HeatBMvalue),"")</f>
        <v/>
      </c>
      <c r="Y748" s="1290" t="str">
        <f t="shared" ref="Y748" si="811">IF(Y583,SUM(M747)*IF(ISNUMBER(M748),M748,EUconst_HeatBMvalue),"")</f>
        <v/>
      </c>
      <c r="Z748" s="1291" t="str">
        <f t="shared" ref="Z748" si="812">IF(Z583,SUM(N747)*IF(ISNUMBER(N748),N748,EUconst_HeatBMvalue),"")</f>
        <v/>
      </c>
      <c r="AA748" s="694"/>
      <c r="AB748" s="694"/>
      <c r="AC748" s="982" t="b">
        <f>AC747</f>
        <v>0</v>
      </c>
      <c r="AD748" s="982" t="b">
        <f t="shared" ref="AD748:AI748" si="813">AD747</f>
        <v>0</v>
      </c>
      <c r="AE748" s="982" t="b">
        <f t="shared" si="813"/>
        <v>0</v>
      </c>
      <c r="AF748" s="982" t="b">
        <f t="shared" si="813"/>
        <v>0</v>
      </c>
      <c r="AG748" s="982" t="b">
        <f t="shared" si="813"/>
        <v>0</v>
      </c>
      <c r="AH748" s="982" t="b">
        <f t="shared" si="813"/>
        <v>0</v>
      </c>
      <c r="AI748" s="982" t="b">
        <f t="shared" si="813"/>
        <v>0</v>
      </c>
      <c r="AJ748" s="694"/>
      <c r="AK748" s="694"/>
      <c r="AL748" s="694"/>
    </row>
    <row r="749" spans="1:38" ht="5.15" customHeight="1" x14ac:dyDescent="0.25">
      <c r="A749" s="694"/>
      <c r="B749" s="298"/>
      <c r="C749" s="1302"/>
      <c r="D749" s="1306"/>
      <c r="E749" s="1306"/>
      <c r="F749" s="1306"/>
      <c r="G749" s="1306"/>
      <c r="H749" s="1306"/>
      <c r="I749" s="1306"/>
      <c r="J749" s="1306"/>
      <c r="K749" s="1306"/>
      <c r="L749" s="1306"/>
      <c r="M749" s="1306"/>
      <c r="N749" s="1316"/>
      <c r="O749" s="302"/>
      <c r="P749" s="302"/>
      <c r="Q749" s="729"/>
      <c r="R749" s="694"/>
      <c r="S749" s="729"/>
      <c r="T749" s="729"/>
      <c r="U749" s="729"/>
      <c r="V749" s="729"/>
      <c r="W749" s="694"/>
      <c r="X749" s="694"/>
      <c r="Y749" s="694"/>
      <c r="Z749" s="694"/>
      <c r="AA749" s="694"/>
      <c r="AB749" s="694"/>
      <c r="AC749" s="694"/>
      <c r="AD749" s="694"/>
      <c r="AE749" s="694"/>
      <c r="AF749" s="694"/>
      <c r="AG749" s="694"/>
      <c r="AH749" s="694"/>
      <c r="AI749" s="694"/>
      <c r="AJ749" s="694"/>
      <c r="AK749" s="694"/>
      <c r="AL749" s="694"/>
    </row>
    <row r="750" spans="1:38" ht="12.75" customHeight="1" thickBot="1" x14ac:dyDescent="0.3">
      <c r="A750" s="694"/>
      <c r="B750" s="298"/>
      <c r="C750" s="1302"/>
      <c r="D750" s="1306"/>
      <c r="E750" s="2803" t="str">
        <f>Translations!$B$556</f>
        <v>Специфична получена топлинна енергия</v>
      </c>
      <c r="F750" s="2672"/>
      <c r="G750" s="1309" t="str">
        <f>EUconst_Unit</f>
        <v>Единица мярка</v>
      </c>
      <c r="H750" s="629">
        <f t="shared" ref="H750:N750" si="814">H$2831</f>
        <v>2024</v>
      </c>
      <c r="I750" s="1310">
        <f t="shared" si="814"/>
        <v>2025</v>
      </c>
      <c r="J750" s="1311">
        <f t="shared" si="814"/>
        <v>2026</v>
      </c>
      <c r="K750" s="629">
        <f t="shared" si="814"/>
        <v>2027</v>
      </c>
      <c r="L750" s="629">
        <f t="shared" si="814"/>
        <v>2028</v>
      </c>
      <c r="M750" s="629">
        <f t="shared" si="814"/>
        <v>2029</v>
      </c>
      <c r="N750" s="1312">
        <f t="shared" si="814"/>
        <v>2030</v>
      </c>
      <c r="O750" s="302"/>
      <c r="P750" s="302"/>
      <c r="Q750" s="729"/>
      <c r="R750" s="694"/>
      <c r="S750" s="729"/>
      <c r="T750" s="729"/>
      <c r="U750" s="729"/>
      <c r="V750" s="729"/>
      <c r="W750" s="694"/>
      <c r="X750" s="694"/>
      <c r="Y750" s="694"/>
      <c r="Z750" s="694"/>
      <c r="AA750" s="694"/>
      <c r="AB750" s="694"/>
      <c r="AC750" s="1178">
        <f t="shared" ref="AC750" si="815">H$20</f>
        <v>2024</v>
      </c>
      <c r="AD750" s="1178">
        <f t="shared" ref="AD750" si="816">I$20</f>
        <v>2025</v>
      </c>
      <c r="AE750" s="1178">
        <f t="shared" ref="AE750" si="817">J$20</f>
        <v>2026</v>
      </c>
      <c r="AF750" s="1178">
        <f t="shared" ref="AF750" si="818">K$20</f>
        <v>2027</v>
      </c>
      <c r="AG750" s="1178">
        <f t="shared" ref="AG750" si="819">L$20</f>
        <v>2028</v>
      </c>
      <c r="AH750" s="1178">
        <f t="shared" ref="AH750" si="820">M$20</f>
        <v>2029</v>
      </c>
      <c r="AI750" s="1178">
        <f t="shared" ref="AI750" si="821">N$20</f>
        <v>2030</v>
      </c>
      <c r="AJ750" s="694"/>
      <c r="AK750" s="694"/>
      <c r="AL750" s="694"/>
    </row>
    <row r="751" spans="1:38" ht="12.75" customHeight="1" x14ac:dyDescent="0.25">
      <c r="A751" s="694"/>
      <c r="B751" s="298"/>
      <c r="C751" s="1302"/>
      <c r="D751" s="625" t="s">
        <v>8</v>
      </c>
      <c r="E751" s="2820" t="str">
        <f>Translations!$B$557</f>
        <v>Нетно количество топлинна енергия, получена от подинсталации за пулп</v>
      </c>
      <c r="F751" s="2258"/>
      <c r="G751" s="1319" t="str">
        <f>EUconst_TJpa</f>
        <v>TJ / година</v>
      </c>
      <c r="H751" s="141"/>
      <c r="I751" s="142"/>
      <c r="J751" s="143"/>
      <c r="K751" s="141"/>
      <c r="L751" s="141"/>
      <c r="M751" s="141"/>
      <c r="N751" s="144"/>
      <c r="O751" s="302"/>
      <c r="P751" s="158"/>
      <c r="Q751" s="1190" t="str">
        <f>EUconst_CNTR_HeatImportPulp &amp; I575</f>
        <v>HeatImPulp_</v>
      </c>
      <c r="R751" s="694"/>
      <c r="S751" s="729"/>
      <c r="T751" s="729"/>
      <c r="U751" s="729"/>
      <c r="V751" s="729"/>
      <c r="W751" s="694"/>
      <c r="X751" s="694"/>
      <c r="Y751" s="694"/>
      <c r="Z751" s="694"/>
      <c r="AA751" s="694"/>
      <c r="AB751" s="1182" t="s">
        <v>737</v>
      </c>
      <c r="AC751" s="982" t="b">
        <f>AC622</f>
        <v>0</v>
      </c>
      <c r="AD751" s="982" t="b">
        <f t="shared" ref="AD751:AI751" si="822">AD622</f>
        <v>0</v>
      </c>
      <c r="AE751" s="982" t="b">
        <f t="shared" si="822"/>
        <v>0</v>
      </c>
      <c r="AF751" s="982" t="b">
        <f t="shared" si="822"/>
        <v>0</v>
      </c>
      <c r="AG751" s="982" t="b">
        <f t="shared" si="822"/>
        <v>0</v>
      </c>
      <c r="AH751" s="982" t="b">
        <f t="shared" si="822"/>
        <v>0</v>
      </c>
      <c r="AI751" s="982" t="b">
        <f t="shared" si="822"/>
        <v>0</v>
      </c>
      <c r="AJ751" s="1174" t="s">
        <v>2039</v>
      </c>
      <c r="AK751" s="1176" t="str">
        <f>IF(AND(CNTR_ExistSubInstEntries,MSconst_RequireSubAttrEmissions,COUNTIFS(AC751:AI751,FALSE,H751:N751,"")&gt;0),EUconst_Error&amp;"BM"&amp;$Q575,"")</f>
        <v/>
      </c>
      <c r="AL751" s="694"/>
    </row>
    <row r="752" spans="1:38" ht="25.5" customHeight="1" x14ac:dyDescent="0.25">
      <c r="A752" s="694"/>
      <c r="B752" s="298"/>
      <c r="C752" s="1302"/>
      <c r="D752" s="625" t="s">
        <v>18</v>
      </c>
      <c r="E752" s="2820" t="str">
        <f>Translations!$B$558</f>
        <v>Нетно количество топлинна енергия, получена от подинсталации за азотна киселина</v>
      </c>
      <c r="F752" s="2258"/>
      <c r="G752" s="1319" t="str">
        <f>EUconst_TJpa</f>
        <v>TJ / година</v>
      </c>
      <c r="H752" s="56"/>
      <c r="I752" s="115"/>
      <c r="J752" s="118"/>
      <c r="K752" s="56"/>
      <c r="L752" s="56"/>
      <c r="M752" s="56"/>
      <c r="N752" s="121"/>
      <c r="O752" s="302"/>
      <c r="P752" s="158"/>
      <c r="Q752" s="1190" t="str">
        <f>EUconst_CNTR_HeatImportNitric &amp; I575</f>
        <v>HeatImNitric_</v>
      </c>
      <c r="R752" s="694"/>
      <c r="S752" s="729"/>
      <c r="T752" s="729"/>
      <c r="U752" s="729"/>
      <c r="V752" s="729"/>
      <c r="W752" s="694"/>
      <c r="X752" s="694"/>
      <c r="Y752" s="694"/>
      <c r="Z752" s="694"/>
      <c r="AA752" s="694"/>
      <c r="AB752" s="694"/>
      <c r="AC752" s="982" t="b">
        <f>AC751</f>
        <v>0</v>
      </c>
      <c r="AD752" s="982" t="b">
        <f t="shared" ref="AD752:AI752" si="823">AD751</f>
        <v>0</v>
      </c>
      <c r="AE752" s="982" t="b">
        <f t="shared" si="823"/>
        <v>0</v>
      </c>
      <c r="AF752" s="982" t="b">
        <f t="shared" si="823"/>
        <v>0</v>
      </c>
      <c r="AG752" s="982" t="b">
        <f t="shared" si="823"/>
        <v>0</v>
      </c>
      <c r="AH752" s="982" t="b">
        <f t="shared" si="823"/>
        <v>0</v>
      </c>
      <c r="AI752" s="982" t="b">
        <f t="shared" si="823"/>
        <v>0</v>
      </c>
      <c r="AJ752" s="1174" t="s">
        <v>2039</v>
      </c>
      <c r="AK752" s="1176" t="str">
        <f>IF(AND(CNTR_ExistSubInstEntries,MSconst_RequireSubAttrEmissions,COUNTIFS(AC752:AI752,FALSE,H752:N752,"")&gt;0),EUconst_Error&amp;"BM"&amp;$Q575,"")</f>
        <v/>
      </c>
      <c r="AL752" s="694"/>
    </row>
    <row r="753" spans="1:38" ht="5.15" customHeight="1" thickBot="1" x14ac:dyDescent="0.3">
      <c r="A753" s="694"/>
      <c r="B753" s="298"/>
      <c r="C753" s="1302"/>
      <c r="D753" s="1306"/>
      <c r="E753" s="1306"/>
      <c r="F753" s="1306"/>
      <c r="G753" s="1306"/>
      <c r="H753" s="1306"/>
      <c r="I753" s="1306"/>
      <c r="J753" s="1306"/>
      <c r="K753" s="1306"/>
      <c r="L753" s="1306"/>
      <c r="M753" s="1306"/>
      <c r="N753" s="1316"/>
      <c r="O753" s="302"/>
      <c r="P753" s="302"/>
      <c r="Q753" s="729"/>
      <c r="R753" s="694"/>
      <c r="S753" s="729"/>
      <c r="T753" s="729"/>
      <c r="U753" s="729"/>
      <c r="V753" s="729"/>
      <c r="W753" s="694"/>
      <c r="X753" s="694"/>
      <c r="Y753" s="694"/>
      <c r="Z753" s="694"/>
      <c r="AA753" s="694"/>
      <c r="AB753" s="694"/>
      <c r="AC753" s="694"/>
      <c r="AD753" s="694"/>
      <c r="AE753" s="694"/>
      <c r="AF753" s="694"/>
      <c r="AG753" s="694"/>
      <c r="AH753" s="694"/>
      <c r="AI753" s="694"/>
      <c r="AJ753" s="694"/>
      <c r="AK753" s="694"/>
      <c r="AL753" s="694"/>
    </row>
    <row r="754" spans="1:38" ht="12.75" customHeight="1" thickBot="1" x14ac:dyDescent="0.3">
      <c r="A754" s="694"/>
      <c r="B754" s="298"/>
      <c r="C754" s="1302"/>
      <c r="D754" s="1306"/>
      <c r="E754" s="2803" t="str">
        <f>Translations!$B$559</f>
        <v>Общо подадена топлинна енергия</v>
      </c>
      <c r="F754" s="2672"/>
      <c r="G754" s="1309" t="str">
        <f>EUconst_Unit</f>
        <v>Единица мярка</v>
      </c>
      <c r="H754" s="629">
        <f t="shared" ref="H754:N754" si="824">H$2831</f>
        <v>2024</v>
      </c>
      <c r="I754" s="1310">
        <f t="shared" si="824"/>
        <v>2025</v>
      </c>
      <c r="J754" s="1311">
        <f t="shared" si="824"/>
        <v>2026</v>
      </c>
      <c r="K754" s="629">
        <f t="shared" si="824"/>
        <v>2027</v>
      </c>
      <c r="L754" s="629">
        <f t="shared" si="824"/>
        <v>2028</v>
      </c>
      <c r="M754" s="629">
        <f t="shared" si="824"/>
        <v>2029</v>
      </c>
      <c r="N754" s="1312">
        <f t="shared" si="824"/>
        <v>2030</v>
      </c>
      <c r="O754" s="302"/>
      <c r="P754" s="302"/>
      <c r="Q754" s="729"/>
      <c r="R754" s="694"/>
      <c r="S754" s="1205"/>
      <c r="T754" s="1313">
        <f t="shared" ref="T754" si="825">H754</f>
        <v>2024</v>
      </c>
      <c r="U754" s="1313">
        <f t="shared" ref="U754" si="826">I754</f>
        <v>2025</v>
      </c>
      <c r="V754" s="1313">
        <f t="shared" ref="V754" si="827">J754</f>
        <v>2026</v>
      </c>
      <c r="W754" s="1313">
        <f t="shared" ref="W754" si="828">K754</f>
        <v>2027</v>
      </c>
      <c r="X754" s="1313">
        <f t="shared" ref="X754" si="829">L754</f>
        <v>2028</v>
      </c>
      <c r="Y754" s="1313">
        <f t="shared" ref="Y754" si="830">M754</f>
        <v>2029</v>
      </c>
      <c r="Z754" s="1314">
        <f t="shared" ref="Z754" si="831">N754</f>
        <v>2030</v>
      </c>
      <c r="AA754" s="694"/>
      <c r="AB754" s="694"/>
      <c r="AC754" s="1178">
        <f t="shared" ref="AC754" si="832">H$20</f>
        <v>2024</v>
      </c>
      <c r="AD754" s="1178">
        <f t="shared" ref="AD754" si="833">I$20</f>
        <v>2025</v>
      </c>
      <c r="AE754" s="1178">
        <f t="shared" ref="AE754" si="834">J$20</f>
        <v>2026</v>
      </c>
      <c r="AF754" s="1178">
        <f t="shared" ref="AF754" si="835">K$20</f>
        <v>2027</v>
      </c>
      <c r="AG754" s="1178">
        <f t="shared" ref="AG754" si="836">L$20</f>
        <v>2028</v>
      </c>
      <c r="AH754" s="1178">
        <f t="shared" ref="AH754" si="837">M$20</f>
        <v>2029</v>
      </c>
      <c r="AI754" s="1178">
        <f t="shared" ref="AI754" si="838">N$20</f>
        <v>2030</v>
      </c>
      <c r="AJ754" s="694"/>
      <c r="AK754" s="694"/>
      <c r="AL754" s="694"/>
    </row>
    <row r="755" spans="1:38" ht="12.75" customHeight="1" x14ac:dyDescent="0.25">
      <c r="A755" s="694"/>
      <c r="B755" s="298"/>
      <c r="C755" s="1302"/>
      <c r="D755" s="625" t="s">
        <v>810</v>
      </c>
      <c r="E755" s="2820" t="str">
        <f>Translations!$B$560</f>
        <v>Нетно количество подадена топлинна енергия</v>
      </c>
      <c r="F755" s="2258"/>
      <c r="G755" s="1319" t="str">
        <f>EUconst_TJpa</f>
        <v>TJ / година</v>
      </c>
      <c r="H755" s="56"/>
      <c r="I755" s="115"/>
      <c r="J755" s="118"/>
      <c r="K755" s="56"/>
      <c r="L755" s="56"/>
      <c r="M755" s="56"/>
      <c r="N755" s="121"/>
      <c r="O755" s="302"/>
      <c r="P755" s="158"/>
      <c r="Q755" s="1190" t="str">
        <f>EUconst_CNTR_HeatExport &amp; I575</f>
        <v>HeatEx_</v>
      </c>
      <c r="R755" s="694"/>
      <c r="S755" s="1347" t="str">
        <f>EUconst_ERR_AttrEmBMapplied &amp; I575</f>
        <v>ERR_AttrEmBM_</v>
      </c>
      <c r="T755" s="982">
        <f t="shared" ref="T755" si="839">IF(AND(H755&lt;&gt;0,H756="",EUconst_StatusOfDataCollection=FALSE),1,0)</f>
        <v>0</v>
      </c>
      <c r="U755" s="982">
        <f t="shared" ref="U755" si="840">IF(AND(I755&lt;&gt;0,I756="",EUconst_StatusOfDataCollection=FALSE),1,0)</f>
        <v>0</v>
      </c>
      <c r="V755" s="982">
        <f t="shared" ref="V755" si="841">IF(AND(J755&lt;&gt;0,J756="",EUconst_StatusOfDataCollection=FALSE),1,0)</f>
        <v>0</v>
      </c>
      <c r="W755" s="982">
        <f t="shared" ref="W755" si="842">IF(AND(K755&lt;&gt;0,K756="",EUconst_StatusOfDataCollection=FALSE),1,0)</f>
        <v>0</v>
      </c>
      <c r="X755" s="982">
        <f t="shared" ref="X755" si="843">IF(AND(L755&lt;&gt;0,L756="",EUconst_StatusOfDataCollection=FALSE),1,0)</f>
        <v>0</v>
      </c>
      <c r="Y755" s="982">
        <f t="shared" ref="Y755" si="844">IF(AND(M755&lt;&gt;0,M756="",EUconst_StatusOfDataCollection=FALSE),1,0)</f>
        <v>0</v>
      </c>
      <c r="Z755" s="1287">
        <f t="shared" ref="Z755" si="845">IF(AND(N755&lt;&gt;0,N756="",EUconst_StatusOfDataCollection=FALSE),1,0)</f>
        <v>0</v>
      </c>
      <c r="AA755" s="694"/>
      <c r="AB755" s="1182" t="s">
        <v>737</v>
      </c>
      <c r="AC755" s="982" t="b">
        <f>AC751</f>
        <v>0</v>
      </c>
      <c r="AD755" s="982" t="b">
        <f t="shared" ref="AD755:AI755" si="846">AD751</f>
        <v>0</v>
      </c>
      <c r="AE755" s="982" t="b">
        <f t="shared" si="846"/>
        <v>0</v>
      </c>
      <c r="AF755" s="982" t="b">
        <f t="shared" si="846"/>
        <v>0</v>
      </c>
      <c r="AG755" s="982" t="b">
        <f t="shared" si="846"/>
        <v>0</v>
      </c>
      <c r="AH755" s="982" t="b">
        <f t="shared" si="846"/>
        <v>0</v>
      </c>
      <c r="AI755" s="982" t="b">
        <f t="shared" si="846"/>
        <v>0</v>
      </c>
      <c r="AJ755" s="1174" t="s">
        <v>2039</v>
      </c>
      <c r="AK755" s="1176" t="str">
        <f>IF(AND(CNTR_ExistSubInstEntries,MSconst_RequireSubAttrEmissions,COUNTIFS(AC755:AI755,FALSE,H755:N755,"")&gt;0),EUconst_Error&amp;"BM"&amp;$Q575,"")</f>
        <v/>
      </c>
      <c r="AL755" s="694"/>
    </row>
    <row r="756" spans="1:38" ht="12.75" customHeight="1" thickBot="1" x14ac:dyDescent="0.3">
      <c r="A756" s="694"/>
      <c r="B756" s="298"/>
      <c r="C756" s="1302"/>
      <c r="D756" s="625" t="s">
        <v>811</v>
      </c>
      <c r="E756" s="2820" t="str">
        <f>Translations!$B$561</f>
        <v>Специфичен EF (подадена топлинна енергия)</v>
      </c>
      <c r="F756" s="2258"/>
      <c r="G756" s="1319" t="str">
        <f>EUconst_tCO2pTJ</f>
        <v>t CO2 / TJ</v>
      </c>
      <c r="H756" s="56"/>
      <c r="I756" s="115"/>
      <c r="J756" s="118"/>
      <c r="K756" s="56"/>
      <c r="L756" s="56"/>
      <c r="M756" s="56"/>
      <c r="N756" s="121"/>
      <c r="O756" s="302"/>
      <c r="P756" s="158"/>
      <c r="Q756" s="1190" t="str">
        <f>EUconst_CNTR_HeatExportEF &amp; I575</f>
        <v>HeatExEF_</v>
      </c>
      <c r="R756" s="694"/>
      <c r="S756" s="1315" t="str">
        <f>EUconst_CNTR_AttributedEmissions &amp; I575</f>
        <v>AttrEmissions_</v>
      </c>
      <c r="T756" s="1290" t="str">
        <f t="shared" ref="T756" si="847">IF(T583,-SUM(H755)*IF(INDEX(EUconst_BMlistMainNumberOfBM,MATCH($I575,EUconst_BMlistNames,0))=39,0,IF(ISNUMBER(H756),H756,EUconst_HeatBMvalue)),"")</f>
        <v/>
      </c>
      <c r="U756" s="1290" t="str">
        <f t="shared" ref="U756" si="848">IF(U583,-SUM(I755)*IF(INDEX(EUconst_BMlistMainNumberOfBM,MATCH($I575,EUconst_BMlistNames,0))=39,0,IF(ISNUMBER(I756),I756,EUconst_HeatBMvalue)),"")</f>
        <v/>
      </c>
      <c r="V756" s="1290" t="str">
        <f t="shared" ref="V756" si="849">IF(V583,-SUM(J755)*IF(INDEX(EUconst_BMlistMainNumberOfBM,MATCH($I575,EUconst_BMlistNames,0))=39,0,IF(ISNUMBER(J756),J756,EUconst_HeatBMvalue)),"")</f>
        <v/>
      </c>
      <c r="W756" s="1290" t="str">
        <f t="shared" ref="W756" si="850">IF(W583,-SUM(K755)*IF(INDEX(EUconst_BMlistMainNumberOfBM,MATCH($I575,EUconst_BMlistNames,0))=39,0,IF(ISNUMBER(K756),K756,EUconst_HeatBMvalue)),"")</f>
        <v/>
      </c>
      <c r="X756" s="1290" t="str">
        <f t="shared" ref="X756" si="851">IF(X583,-SUM(L755)*IF(INDEX(EUconst_BMlistMainNumberOfBM,MATCH($I575,EUconst_BMlistNames,0))=39,0,IF(ISNUMBER(L756),L756,EUconst_HeatBMvalue)),"")</f>
        <v/>
      </c>
      <c r="Y756" s="1290" t="str">
        <f t="shared" ref="Y756" si="852">IF(Y583,-SUM(M755)*IF(INDEX(EUconst_BMlistMainNumberOfBM,MATCH($I575,EUconst_BMlistNames,0))=39,0,IF(ISNUMBER(M756),M756,EUconst_HeatBMvalue)),"")</f>
        <v/>
      </c>
      <c r="Z756" s="1291" t="str">
        <f t="shared" ref="Z756" si="853">IF(Z583,-SUM(N755)*IF(INDEX(EUconst_BMlistMainNumberOfBM,MATCH($I575,EUconst_BMlistNames,0))=39,0,IF(ISNUMBER(N756),N756,EUconst_HeatBMvalue)),"")</f>
        <v/>
      </c>
      <c r="AA756" s="694"/>
      <c r="AB756" s="694"/>
      <c r="AC756" s="982" t="b">
        <f>AC755</f>
        <v>0</v>
      </c>
      <c r="AD756" s="982" t="b">
        <f t="shared" ref="AD756:AI756" si="854">AD755</f>
        <v>0</v>
      </c>
      <c r="AE756" s="982" t="b">
        <f t="shared" si="854"/>
        <v>0</v>
      </c>
      <c r="AF756" s="982" t="b">
        <f t="shared" si="854"/>
        <v>0</v>
      </c>
      <c r="AG756" s="982" t="b">
        <f t="shared" si="854"/>
        <v>0</v>
      </c>
      <c r="AH756" s="982" t="b">
        <f t="shared" si="854"/>
        <v>0</v>
      </c>
      <c r="AI756" s="982" t="b">
        <f t="shared" si="854"/>
        <v>0</v>
      </c>
      <c r="AJ756" s="694"/>
      <c r="AK756" s="694"/>
      <c r="AL756" s="694"/>
    </row>
    <row r="757" spans="1:38" ht="12.75" customHeight="1" x14ac:dyDescent="0.25">
      <c r="A757" s="694"/>
      <c r="B757" s="298"/>
      <c r="C757" s="1302"/>
      <c r="D757" s="1306"/>
      <c r="E757" s="1306"/>
      <c r="F757" s="1306"/>
      <c r="G757" s="1306"/>
      <c r="H757" s="1306"/>
      <c r="I757" s="1306"/>
      <c r="J757" s="1306"/>
      <c r="K757" s="1306"/>
      <c r="L757" s="1306"/>
      <c r="M757" s="626"/>
      <c r="N757" s="1316"/>
      <c r="O757" s="302"/>
      <c r="P757" s="302"/>
      <c r="Q757" s="729"/>
      <c r="R757" s="694"/>
      <c r="S757" s="729"/>
      <c r="T757" s="729"/>
      <c r="U757" s="729"/>
      <c r="V757" s="729"/>
      <c r="W757" s="694"/>
      <c r="X757" s="694"/>
      <c r="Y757" s="694"/>
      <c r="Z757" s="694"/>
      <c r="AA757" s="694"/>
      <c r="AB757" s="694"/>
      <c r="AC757" s="694"/>
      <c r="AD757" s="694"/>
      <c r="AE757" s="694"/>
      <c r="AF757" s="694"/>
      <c r="AG757" s="694"/>
      <c r="AH757" s="694"/>
      <c r="AI757" s="694"/>
      <c r="AJ757" s="694"/>
      <c r="AK757" s="694"/>
      <c r="AL757" s="694"/>
    </row>
    <row r="758" spans="1:38" ht="12.75" customHeight="1" x14ac:dyDescent="0.25">
      <c r="A758" s="694"/>
      <c r="B758" s="298"/>
      <c r="C758" s="1302"/>
      <c r="D758" s="1307" t="s">
        <v>492</v>
      </c>
      <c r="E758" s="2815" t="str">
        <f>Translations!$B$562</f>
        <v>Баланс на отпадните газове за тази инсталация</v>
      </c>
      <c r="F758" s="2240"/>
      <c r="G758" s="2240"/>
      <c r="H758" s="2240"/>
      <c r="I758" s="2240"/>
      <c r="J758" s="2240"/>
      <c r="K758" s="2240"/>
      <c r="L758" s="2240"/>
      <c r="M758" s="2240"/>
      <c r="N758" s="2811"/>
      <c r="O758" s="302"/>
      <c r="P758" s="302"/>
      <c r="Q758" s="729"/>
      <c r="R758" s="694"/>
      <c r="S758" s="729"/>
      <c r="T758" s="729"/>
      <c r="U758" s="729"/>
      <c r="V758" s="729"/>
      <c r="W758" s="694"/>
      <c r="X758" s="694"/>
      <c r="Y758" s="694"/>
      <c r="Z758" s="694"/>
      <c r="AA758" s="694"/>
      <c r="AB758" s="694"/>
      <c r="AC758" s="694"/>
      <c r="AD758" s="694"/>
      <c r="AE758" s="694"/>
      <c r="AF758" s="694"/>
      <c r="AG758" s="694"/>
      <c r="AH758" s="694"/>
      <c r="AI758" s="694"/>
      <c r="AJ758" s="694"/>
      <c r="AK758" s="694"/>
      <c r="AL758" s="694"/>
    </row>
    <row r="759" spans="1:38" ht="5.15" customHeight="1" x14ac:dyDescent="0.25">
      <c r="A759" s="694"/>
      <c r="B759" s="298"/>
      <c r="C759" s="1302"/>
      <c r="D759" s="1306"/>
      <c r="E759" s="1325"/>
      <c r="F759" s="1325"/>
      <c r="G759" s="1325"/>
      <c r="H759" s="1325"/>
      <c r="I759" s="1325"/>
      <c r="J759" s="1325"/>
      <c r="K759" s="1325"/>
      <c r="L759" s="1325"/>
      <c r="M759" s="1325"/>
      <c r="N759" s="1348"/>
      <c r="O759" s="302"/>
      <c r="P759" s="302"/>
      <c r="Q759" s="729"/>
      <c r="R759" s="694"/>
      <c r="S759" s="729"/>
      <c r="T759" s="729"/>
      <c r="U759" s="729"/>
      <c r="V759" s="729"/>
      <c r="W759" s="694"/>
      <c r="X759" s="694"/>
      <c r="Y759" s="694"/>
      <c r="Z759" s="694"/>
      <c r="AA759" s="694"/>
      <c r="AB759" s="694"/>
      <c r="AC759" s="694"/>
      <c r="AD759" s="694"/>
      <c r="AE759" s="694"/>
      <c r="AF759" s="694"/>
      <c r="AG759" s="694"/>
      <c r="AH759" s="694"/>
      <c r="AI759" s="694"/>
      <c r="AJ759" s="694"/>
      <c r="AK759" s="694"/>
      <c r="AL759" s="694"/>
    </row>
    <row r="760" spans="1:38" ht="12.75" customHeight="1" x14ac:dyDescent="0.25">
      <c r="A760" s="694"/>
      <c r="B760" s="298"/>
      <c r="C760" s="1302"/>
      <c r="D760" s="625" t="s">
        <v>6</v>
      </c>
      <c r="E760" s="2815" t="str">
        <f>Translations!$B$563</f>
        <v>От значение ли са отпадните газове за тази подинсталация?</v>
      </c>
      <c r="F760" s="2240"/>
      <c r="G760" s="2240"/>
      <c r="H760" s="2240"/>
      <c r="I760" s="2240"/>
      <c r="J760" s="2240"/>
      <c r="K760" s="2684"/>
      <c r="L760" s="83"/>
      <c r="M760" s="1322"/>
      <c r="N760" s="1323"/>
      <c r="O760" s="302"/>
      <c r="P760" s="158"/>
      <c r="Q760" s="729"/>
      <c r="R760" s="694"/>
      <c r="S760" s="729"/>
      <c r="T760" s="694"/>
      <c r="U760" s="694"/>
      <c r="V760" s="694"/>
      <c r="W760" s="694"/>
      <c r="X760" s="694"/>
      <c r="Y760" s="694"/>
      <c r="Z760" s="694"/>
      <c r="AA760" s="694"/>
      <c r="AB760" s="694"/>
      <c r="AC760" s="694"/>
      <c r="AD760" s="694"/>
      <c r="AE760" s="694"/>
      <c r="AF760" s="1182" t="s">
        <v>737</v>
      </c>
      <c r="AG760" s="901" t="b">
        <f>AND(CNTR_ExistSubInstEntries,I575="")</f>
        <v>0</v>
      </c>
      <c r="AH760" s="694"/>
      <c r="AI760" s="694"/>
      <c r="AJ760" s="694"/>
      <c r="AK760" s="694"/>
      <c r="AL760" s="694"/>
    </row>
    <row r="761" spans="1:38" ht="12.75" customHeight="1" x14ac:dyDescent="0.25">
      <c r="A761" s="694"/>
      <c r="B761" s="298"/>
      <c r="C761" s="1302"/>
      <c r="D761" s="1306"/>
      <c r="E761" s="2810" t="str">
        <f>Translations!$B$564</f>
        <v>Ако отговорът е „невярно“, целият раздел ще бъде защрихован в сиво и можете да продължите към следващите точки по-долу.</v>
      </c>
      <c r="F761" s="2240"/>
      <c r="G761" s="2240"/>
      <c r="H761" s="2240"/>
      <c r="I761" s="2240"/>
      <c r="J761" s="2240"/>
      <c r="K761" s="2240"/>
      <c r="L761" s="2240"/>
      <c r="M761" s="2240"/>
      <c r="N761" s="2811"/>
      <c r="O761" s="302"/>
      <c r="P761" s="302"/>
      <c r="Q761" s="729"/>
      <c r="R761" s="694"/>
      <c r="S761" s="729"/>
      <c r="T761" s="694"/>
      <c r="U761" s="694"/>
      <c r="V761" s="694"/>
      <c r="W761" s="694"/>
      <c r="X761" s="694"/>
      <c r="Y761" s="694"/>
      <c r="Z761" s="694"/>
      <c r="AA761" s="694"/>
      <c r="AB761" s="694"/>
      <c r="AC761" s="694"/>
      <c r="AD761" s="694"/>
      <c r="AE761" s="694"/>
      <c r="AF761" s="694"/>
      <c r="AG761" s="694"/>
      <c r="AH761" s="694"/>
      <c r="AI761" s="694"/>
      <c r="AJ761" s="694"/>
      <c r="AK761" s="694"/>
      <c r="AL761" s="694"/>
    </row>
    <row r="762" spans="1:38" ht="12.75" customHeight="1" x14ac:dyDescent="0.25">
      <c r="A762" s="694"/>
      <c r="B762" s="298"/>
      <c r="C762" s="1302"/>
      <c r="D762" s="625" t="s">
        <v>7</v>
      </c>
      <c r="E762" s="2815" t="str">
        <f>Translations!$B$565</f>
        <v>Видове произведени отпадни газове:</v>
      </c>
      <c r="F762" s="2240"/>
      <c r="G762" s="2240"/>
      <c r="H762" s="2684"/>
      <c r="I762" s="2821"/>
      <c r="J762" s="2674"/>
      <c r="K762" s="2674"/>
      <c r="L762" s="2674"/>
      <c r="M762" s="2675"/>
      <c r="N762" s="1323"/>
      <c r="O762" s="302"/>
      <c r="P762" s="158"/>
      <c r="Q762" s="729"/>
      <c r="R762" s="694"/>
      <c r="S762" s="729"/>
      <c r="T762" s="694"/>
      <c r="U762" s="694"/>
      <c r="V762" s="694"/>
      <c r="W762" s="694"/>
      <c r="X762" s="694"/>
      <c r="Y762" s="694"/>
      <c r="Z762" s="694"/>
      <c r="AA762" s="694"/>
      <c r="AB762" s="694"/>
      <c r="AC762" s="1182" t="s">
        <v>737</v>
      </c>
      <c r="AD762" s="901" t="b">
        <f>OR(AG760,AND($L760&lt;&gt;"",$L760=FALSE))</f>
        <v>0</v>
      </c>
      <c r="AE762" s="694"/>
      <c r="AF762" s="694"/>
      <c r="AG762" s="694"/>
      <c r="AH762" s="694"/>
      <c r="AI762" s="694"/>
      <c r="AJ762" s="694"/>
      <c r="AK762" s="694"/>
      <c r="AL762" s="694"/>
    </row>
    <row r="763" spans="1:38" ht="12.75" customHeight="1" x14ac:dyDescent="0.25">
      <c r="A763" s="694"/>
      <c r="B763" s="298"/>
      <c r="C763" s="1302"/>
      <c r="D763" s="1306"/>
      <c r="E763" s="2810" t="str">
        <f>Translations!$B$566</f>
        <v>Можете да изберете да подадете данните в тонове или 1000 Nm3. Мерните единици трябва да съответстват на използваните за долна топлина на изгаряне (NCV) и емисионния фактор по-долу.</v>
      </c>
      <c r="F763" s="2240"/>
      <c r="G763" s="2240"/>
      <c r="H763" s="2240"/>
      <c r="I763" s="2240"/>
      <c r="J763" s="2240"/>
      <c r="K763" s="2240"/>
      <c r="L763" s="2240"/>
      <c r="M763" s="2240"/>
      <c r="N763" s="2811"/>
      <c r="O763" s="302"/>
      <c r="P763" s="302"/>
      <c r="Q763" s="729"/>
      <c r="R763" s="694"/>
      <c r="S763" s="729"/>
      <c r="T763" s="729"/>
      <c r="U763" s="729"/>
      <c r="V763" s="729"/>
      <c r="W763" s="694"/>
      <c r="X763" s="694"/>
      <c r="Y763" s="694"/>
      <c r="Z763" s="694"/>
      <c r="AA763" s="694"/>
      <c r="AB763" s="694"/>
      <c r="AC763" s="694"/>
      <c r="AD763" s="694"/>
      <c r="AE763" s="694"/>
      <c r="AF763" s="694"/>
      <c r="AG763" s="694"/>
      <c r="AH763" s="694"/>
      <c r="AI763" s="694"/>
      <c r="AJ763" s="694"/>
      <c r="AK763" s="694"/>
      <c r="AL763" s="694"/>
    </row>
    <row r="764" spans="1:38" ht="12.75" customHeight="1" x14ac:dyDescent="0.25">
      <c r="A764" s="694"/>
      <c r="B764" s="298"/>
      <c r="C764" s="1302"/>
      <c r="D764" s="1306"/>
      <c r="E764" s="2816" t="str">
        <f>Translations!$B$520</f>
        <v>Посочените тук данни се използват само с цел проверка на съответствието и нямат пряко отражение върху емисиите, които могат да бъдат зададени, или на разпределението на квотите.</v>
      </c>
      <c r="F764" s="2240"/>
      <c r="G764" s="2240"/>
      <c r="H764" s="2240"/>
      <c r="I764" s="2240"/>
      <c r="J764" s="2240"/>
      <c r="K764" s="2240"/>
      <c r="L764" s="2240"/>
      <c r="M764" s="2240"/>
      <c r="N764" s="2811"/>
      <c r="O764" s="302"/>
      <c r="P764" s="302"/>
      <c r="Q764" s="729"/>
      <c r="R764" s="694"/>
      <c r="S764" s="729"/>
      <c r="T764" s="729"/>
      <c r="U764" s="729"/>
      <c r="V764" s="729"/>
      <c r="W764" s="694"/>
      <c r="X764" s="694"/>
      <c r="Y764" s="694"/>
      <c r="Z764" s="694"/>
      <c r="AA764" s="694"/>
      <c r="AB764" s="694"/>
      <c r="AC764" s="694"/>
      <c r="AD764" s="694"/>
      <c r="AE764" s="694"/>
      <c r="AF764" s="694"/>
      <c r="AG764" s="694"/>
      <c r="AH764" s="694"/>
      <c r="AI764" s="694"/>
      <c r="AJ764" s="694"/>
      <c r="AK764" s="694"/>
      <c r="AL764" s="694"/>
    </row>
    <row r="765" spans="1:38" ht="12.75" customHeight="1" thickBot="1" x14ac:dyDescent="0.3">
      <c r="A765" s="694"/>
      <c r="B765" s="298"/>
      <c r="C765" s="1302"/>
      <c r="D765" s="1306"/>
      <c r="E765" s="1317"/>
      <c r="F765" s="1318"/>
      <c r="G765" s="1309" t="str">
        <f>EUconst_Unit</f>
        <v>Единица мярка</v>
      </c>
      <c r="H765" s="629">
        <f t="shared" ref="H765:N765" si="855">H$2831</f>
        <v>2024</v>
      </c>
      <c r="I765" s="1310">
        <f t="shared" si="855"/>
        <v>2025</v>
      </c>
      <c r="J765" s="1311">
        <f t="shared" si="855"/>
        <v>2026</v>
      </c>
      <c r="K765" s="629">
        <f t="shared" si="855"/>
        <v>2027</v>
      </c>
      <c r="L765" s="629">
        <f t="shared" si="855"/>
        <v>2028</v>
      </c>
      <c r="M765" s="629">
        <f t="shared" si="855"/>
        <v>2029</v>
      </c>
      <c r="N765" s="1312">
        <f t="shared" si="855"/>
        <v>2030</v>
      </c>
      <c r="O765" s="302"/>
      <c r="P765" s="302"/>
      <c r="Q765" s="729"/>
      <c r="R765" s="694"/>
      <c r="S765" s="729"/>
      <c r="T765" s="729"/>
      <c r="U765" s="729"/>
      <c r="V765" s="729"/>
      <c r="W765" s="694"/>
      <c r="X765" s="694"/>
      <c r="Y765" s="694"/>
      <c r="Z765" s="694"/>
      <c r="AA765" s="694"/>
      <c r="AB765" s="694"/>
      <c r="AC765" s="1178">
        <f t="shared" ref="AC765" si="856">H$20</f>
        <v>2024</v>
      </c>
      <c r="AD765" s="1178">
        <f t="shared" ref="AD765" si="857">I$20</f>
        <v>2025</v>
      </c>
      <c r="AE765" s="1178">
        <f t="shared" ref="AE765" si="858">J$20</f>
        <v>2026</v>
      </c>
      <c r="AF765" s="1178">
        <f t="shared" ref="AF765" si="859">K$20</f>
        <v>2027</v>
      </c>
      <c r="AG765" s="1178">
        <f t="shared" ref="AG765" si="860">L$20</f>
        <v>2028</v>
      </c>
      <c r="AH765" s="1178">
        <f t="shared" ref="AH765" si="861">M$20</f>
        <v>2029</v>
      </c>
      <c r="AI765" s="1178">
        <f t="shared" ref="AI765" si="862">N$20</f>
        <v>2030</v>
      </c>
      <c r="AJ765" s="694"/>
      <c r="AK765" s="694"/>
      <c r="AL765" s="694"/>
    </row>
    <row r="766" spans="1:38" ht="12.75" customHeight="1" x14ac:dyDescent="0.25">
      <c r="A766" s="694"/>
      <c r="B766" s="298"/>
      <c r="C766" s="1302"/>
      <c r="D766" s="625" t="s">
        <v>8</v>
      </c>
      <c r="E766" s="2818" t="str">
        <f>Translations!$B$567</f>
        <v>Произведени количества</v>
      </c>
      <c r="F766" s="2701"/>
      <c r="G766" s="145"/>
      <c r="H766" s="129"/>
      <c r="I766" s="130"/>
      <c r="J766" s="131"/>
      <c r="K766" s="129"/>
      <c r="L766" s="129"/>
      <c r="M766" s="129"/>
      <c r="N766" s="132"/>
      <c r="O766" s="302"/>
      <c r="P766" s="158"/>
      <c r="Q766" s="729"/>
      <c r="R766" s="694"/>
      <c r="S766" s="729"/>
      <c r="T766" s="729"/>
      <c r="U766" s="729"/>
      <c r="V766" s="729"/>
      <c r="W766" s="694"/>
      <c r="X766" s="694"/>
      <c r="Y766" s="694"/>
      <c r="Z766" s="694"/>
      <c r="AA766" s="694"/>
      <c r="AB766" s="1182" t="s">
        <v>737</v>
      </c>
      <c r="AC766" s="901" t="b">
        <f>OR(AND($L760&lt;&gt;"",$L760=FALSE),AC622)</f>
        <v>0</v>
      </c>
      <c r="AD766" s="982" t="b">
        <f t="shared" ref="AD766:AI766" si="863">OR(AND($L760&lt;&gt;"",$L760=FALSE),AD622)</f>
        <v>0</v>
      </c>
      <c r="AE766" s="982" t="b">
        <f t="shared" si="863"/>
        <v>0</v>
      </c>
      <c r="AF766" s="982" t="b">
        <f t="shared" si="863"/>
        <v>0</v>
      </c>
      <c r="AG766" s="982" t="b">
        <f t="shared" si="863"/>
        <v>0</v>
      </c>
      <c r="AH766" s="982" t="b">
        <f t="shared" si="863"/>
        <v>0</v>
      </c>
      <c r="AI766" s="982" t="b">
        <f t="shared" si="863"/>
        <v>0</v>
      </c>
      <c r="AJ766" s="1174" t="s">
        <v>2039</v>
      </c>
      <c r="AK766" s="1176" t="str">
        <f>IF(AND(CNTR_ExistSubInstEntries,MSconst_RequireSubAttrEmissions,COUNTIFS(AC766:AI766,FALSE,H766:N766,"")&gt;0),EUconst_Error&amp;"BM"&amp;$Q575,"")</f>
        <v/>
      </c>
      <c r="AL766" s="694"/>
    </row>
    <row r="767" spans="1:38" ht="12.75" customHeight="1" x14ac:dyDescent="0.25">
      <c r="A767" s="694"/>
      <c r="B767" s="298"/>
      <c r="C767" s="1302"/>
      <c r="D767" s="625" t="s">
        <v>18</v>
      </c>
      <c r="E767" s="2819" t="str">
        <f>Translations!$B$296</f>
        <v>Долна топлина на изгаряне</v>
      </c>
      <c r="F767" s="2705"/>
      <c r="G767" s="1349" t="str">
        <f>IF(ISBLANK(G766),EUconst_GJperUnit,INDEX(EUconst_GJperTorKNm3,MATCH(G766,EUconst_TonnesOrkNm3pa,0)))</f>
        <v>GJ / Единица мярка</v>
      </c>
      <c r="H767" s="137"/>
      <c r="I767" s="138"/>
      <c r="J767" s="139"/>
      <c r="K767" s="137"/>
      <c r="L767" s="137"/>
      <c r="M767" s="137"/>
      <c r="N767" s="140"/>
      <c r="O767" s="302"/>
      <c r="P767" s="158"/>
      <c r="Q767" s="694"/>
      <c r="R767" s="694"/>
      <c r="S767" s="729"/>
      <c r="T767" s="729"/>
      <c r="U767" s="729"/>
      <c r="V767" s="729"/>
      <c r="W767" s="729"/>
      <c r="X767" s="729"/>
      <c r="Y767" s="729"/>
      <c r="Z767" s="729"/>
      <c r="AA767" s="694"/>
      <c r="AB767" s="694"/>
      <c r="AC767" s="982" t="b">
        <f>AC766</f>
        <v>0</v>
      </c>
      <c r="AD767" s="982" t="b">
        <f t="shared" ref="AD767:AI767" si="864">AD766</f>
        <v>0</v>
      </c>
      <c r="AE767" s="982" t="b">
        <f t="shared" si="864"/>
        <v>0</v>
      </c>
      <c r="AF767" s="982" t="b">
        <f t="shared" si="864"/>
        <v>0</v>
      </c>
      <c r="AG767" s="982" t="b">
        <f t="shared" si="864"/>
        <v>0</v>
      </c>
      <c r="AH767" s="982" t="b">
        <f t="shared" si="864"/>
        <v>0</v>
      </c>
      <c r="AI767" s="982" t="b">
        <f t="shared" si="864"/>
        <v>0</v>
      </c>
      <c r="AJ767" s="1174" t="s">
        <v>2039</v>
      </c>
      <c r="AK767" s="1176" t="str">
        <f>IF(AND(CNTR_ExistSubInstEntries,MSconst_RequireSubAttrEmissions,COUNTIFS(AC767:AI767,FALSE,H767:N767,"")&gt;0),EUconst_Error&amp;"BM"&amp;$Q575,"")</f>
        <v/>
      </c>
      <c r="AL767" s="694"/>
    </row>
    <row r="768" spans="1:38" ht="12.75" customHeight="1" x14ac:dyDescent="0.25">
      <c r="A768" s="694"/>
      <c r="B768" s="298"/>
      <c r="C768" s="1302"/>
      <c r="D768" s="625" t="s">
        <v>810</v>
      </c>
      <c r="E768" s="2820" t="str">
        <f>Translations!$B$568</f>
        <v>Произведен отпаден газ</v>
      </c>
      <c r="F768" s="2258"/>
      <c r="G768" s="1319" t="str">
        <f>EUconst_TJpa</f>
        <v>TJ / година</v>
      </c>
      <c r="H768" s="1350" t="str">
        <f t="shared" ref="H768:N768" si="865">IF(COUNT(H766:H767)=2,H766*H767/1000,"")</f>
        <v/>
      </c>
      <c r="I768" s="1351" t="str">
        <f t="shared" si="865"/>
        <v/>
      </c>
      <c r="J768" s="1352" t="str">
        <f t="shared" si="865"/>
        <v/>
      </c>
      <c r="K768" s="1350" t="str">
        <f t="shared" si="865"/>
        <v/>
      </c>
      <c r="L768" s="1350" t="str">
        <f t="shared" si="865"/>
        <v/>
      </c>
      <c r="M768" s="1350" t="str">
        <f t="shared" si="865"/>
        <v/>
      </c>
      <c r="N768" s="1353" t="str">
        <f t="shared" si="865"/>
        <v/>
      </c>
      <c r="O768" s="302"/>
      <c r="P768" s="302"/>
      <c r="Q768" s="1190" t="str">
        <f>EUconst_CNTR_WGProduced &amp; I575</f>
        <v>WasteGasProd_</v>
      </c>
      <c r="R768" s="694"/>
      <c r="S768" s="729"/>
      <c r="T768" s="729"/>
      <c r="U768" s="729"/>
      <c r="V768" s="729"/>
      <c r="W768" s="729"/>
      <c r="X768" s="729"/>
      <c r="Y768" s="729"/>
      <c r="Z768" s="729"/>
      <c r="AA768" s="694"/>
      <c r="AB768" s="694"/>
      <c r="AC768" s="694"/>
      <c r="AD768" s="694"/>
      <c r="AE768" s="694"/>
      <c r="AF768" s="694"/>
      <c r="AG768" s="694"/>
      <c r="AH768" s="694"/>
      <c r="AI768" s="694"/>
      <c r="AJ768" s="694"/>
      <c r="AK768" s="694"/>
      <c r="AL768" s="694"/>
    </row>
    <row r="769" spans="1:38" ht="12.75" customHeight="1" x14ac:dyDescent="0.25">
      <c r="A769" s="694"/>
      <c r="B769" s="298"/>
      <c r="C769" s="1302"/>
      <c r="D769" s="625" t="s">
        <v>811</v>
      </c>
      <c r="E769" s="2820" t="str">
        <f>Translations!$B$569</f>
        <v>Специфичен EF (произведен отпаден газ)</v>
      </c>
      <c r="F769" s="2258"/>
      <c r="G769" s="1319" t="str">
        <f>EUconst_tCO2pTJ</f>
        <v>t CO2 / TJ</v>
      </c>
      <c r="H769" s="56"/>
      <c r="I769" s="115"/>
      <c r="J769" s="118"/>
      <c r="K769" s="56"/>
      <c r="L769" s="56"/>
      <c r="M769" s="56"/>
      <c r="N769" s="121"/>
      <c r="O769" s="302"/>
      <c r="P769" s="158"/>
      <c r="Q769" s="1190" t="str">
        <f>EUconst_CNTR_WGProducedEF &amp; I575</f>
        <v>WasteGasProdEF_</v>
      </c>
      <c r="R769" s="694"/>
      <c r="S769" s="729"/>
      <c r="T769" s="729"/>
      <c r="U769" s="729"/>
      <c r="V769" s="729"/>
      <c r="W769" s="729"/>
      <c r="X769" s="729"/>
      <c r="Y769" s="729"/>
      <c r="Z769" s="729"/>
      <c r="AA769" s="694"/>
      <c r="AB769" s="1182" t="s">
        <v>737</v>
      </c>
      <c r="AC769" s="982" t="b">
        <f>AC767</f>
        <v>0</v>
      </c>
      <c r="AD769" s="982" t="b">
        <f t="shared" ref="AD769:AI769" si="866">AD767</f>
        <v>0</v>
      </c>
      <c r="AE769" s="982" t="b">
        <f t="shared" si="866"/>
        <v>0</v>
      </c>
      <c r="AF769" s="982" t="b">
        <f t="shared" si="866"/>
        <v>0</v>
      </c>
      <c r="AG769" s="982" t="b">
        <f t="shared" si="866"/>
        <v>0</v>
      </c>
      <c r="AH769" s="982" t="b">
        <f t="shared" si="866"/>
        <v>0</v>
      </c>
      <c r="AI769" s="982" t="b">
        <f t="shared" si="866"/>
        <v>0</v>
      </c>
      <c r="AJ769" s="1174" t="s">
        <v>2039</v>
      </c>
      <c r="AK769" s="1176" t="str">
        <f>IF(AND(CNTR_ExistSubInstEntries,MSconst_RequireSubAttrEmissions,COUNTIFS(AC769:AI769,FALSE,H769:N769,"")&gt;0),EUconst_Error&amp;"BM"&amp;$Q575,"")</f>
        <v/>
      </c>
      <c r="AL769" s="694"/>
    </row>
    <row r="770" spans="1:38" ht="12.75" customHeight="1" x14ac:dyDescent="0.25">
      <c r="A770" s="694"/>
      <c r="B770" s="298"/>
      <c r="C770" s="1302"/>
      <c r="D770" s="1306"/>
      <c r="E770" s="1306"/>
      <c r="F770" s="1306"/>
      <c r="G770" s="1306"/>
      <c r="H770" s="1354"/>
      <c r="I770" s="1306"/>
      <c r="J770" s="1306"/>
      <c r="K770" s="1306"/>
      <c r="L770" s="1306"/>
      <c r="M770" s="626"/>
      <c r="N770" s="1316"/>
      <c r="O770" s="302"/>
      <c r="P770" s="302"/>
      <c r="Q770" s="729"/>
      <c r="R770" s="694"/>
      <c r="S770" s="729"/>
      <c r="T770" s="729"/>
      <c r="U770" s="729"/>
      <c r="V770" s="729"/>
      <c r="W770" s="729"/>
      <c r="X770" s="729"/>
      <c r="Y770" s="729"/>
      <c r="Z770" s="729"/>
      <c r="AA770" s="694"/>
      <c r="AB770" s="694"/>
      <c r="AC770" s="694"/>
      <c r="AD770" s="694"/>
      <c r="AE770" s="694"/>
      <c r="AF770" s="694"/>
      <c r="AG770" s="694"/>
      <c r="AH770" s="694"/>
      <c r="AI770" s="694"/>
      <c r="AJ770" s="694"/>
      <c r="AK770" s="694"/>
      <c r="AL770" s="694"/>
    </row>
    <row r="771" spans="1:38" ht="12.75" customHeight="1" x14ac:dyDescent="0.25">
      <c r="A771" s="694"/>
      <c r="B771" s="298"/>
      <c r="C771" s="1302"/>
      <c r="D771" s="625" t="s">
        <v>812</v>
      </c>
      <c r="E771" s="2815" t="str">
        <f>Translations!$B$570</f>
        <v>Видове консумирани отпадни газове:</v>
      </c>
      <c r="F771" s="2240"/>
      <c r="G771" s="2240"/>
      <c r="H771" s="2684"/>
      <c r="I771" s="2821"/>
      <c r="J771" s="2674"/>
      <c r="K771" s="2674"/>
      <c r="L771" s="2674"/>
      <c r="M771" s="2675"/>
      <c r="N771" s="1323"/>
      <c r="O771" s="302"/>
      <c r="P771" s="158"/>
      <c r="Q771" s="729"/>
      <c r="R771" s="694"/>
      <c r="S771" s="729"/>
      <c r="T771" s="729"/>
      <c r="U771" s="729"/>
      <c r="V771" s="729"/>
      <c r="W771" s="729"/>
      <c r="X771" s="729"/>
      <c r="Y771" s="729"/>
      <c r="Z771" s="729"/>
      <c r="AA771" s="694"/>
      <c r="AB771" s="694"/>
      <c r="AC771" s="1182" t="s">
        <v>737</v>
      </c>
      <c r="AD771" s="982" t="b">
        <f>AD762</f>
        <v>0</v>
      </c>
      <c r="AE771" s="694"/>
      <c r="AF771" s="694"/>
      <c r="AG771" s="694"/>
      <c r="AH771" s="694"/>
      <c r="AI771" s="694"/>
      <c r="AJ771" s="694"/>
      <c r="AK771" s="694"/>
      <c r="AL771" s="694"/>
    </row>
    <row r="772" spans="1:38" ht="25.5" customHeight="1" x14ac:dyDescent="0.25">
      <c r="A772" s="694"/>
      <c r="B772" s="298"/>
      <c r="C772" s="1302"/>
      <c r="D772" s="625"/>
      <c r="E772" s="2810" t="str">
        <f>Translations!$B$571</f>
        <v>Това включва всички видове отпадни газове, които се консумират от тази подинсталация при производството на измерима топлинна енергия, неизмерима топлинна енергия (включително необходимото за безопасността изгаряне във факел) или механична енергия (различна от тази за електропроизводство). Количествата, резултат от изгаряне във факел, различни от необходимото за безопасността изгаряне във факел, се отчитат в следващата точка по-долу.</v>
      </c>
      <c r="F772" s="2240"/>
      <c r="G772" s="2240"/>
      <c r="H772" s="2240"/>
      <c r="I772" s="2240"/>
      <c r="J772" s="2240"/>
      <c r="K772" s="2240"/>
      <c r="L772" s="2240"/>
      <c r="M772" s="2240"/>
      <c r="N772" s="2811"/>
      <c r="O772" s="302"/>
      <c r="P772" s="302"/>
      <c r="Q772" s="729"/>
      <c r="R772" s="694"/>
      <c r="S772" s="729"/>
      <c r="T772" s="729"/>
      <c r="U772" s="729"/>
      <c r="V772" s="729"/>
      <c r="W772" s="729"/>
      <c r="X772" s="729"/>
      <c r="Y772" s="729"/>
      <c r="Z772" s="729"/>
      <c r="AA772" s="694"/>
      <c r="AB772" s="694"/>
      <c r="AC772" s="694"/>
      <c r="AD772" s="694"/>
      <c r="AE772" s="694"/>
      <c r="AF772" s="694"/>
      <c r="AG772" s="694"/>
      <c r="AH772" s="694"/>
      <c r="AI772" s="694"/>
      <c r="AJ772" s="694"/>
      <c r="AK772" s="694"/>
      <c r="AL772" s="694"/>
    </row>
    <row r="773" spans="1:38" ht="12.75" customHeight="1" x14ac:dyDescent="0.25">
      <c r="A773" s="694"/>
      <c r="B773" s="298"/>
      <c r="C773" s="1302"/>
      <c r="D773" s="1306"/>
      <c r="E773" s="2816" t="str">
        <f>Translations!$B$520</f>
        <v>Посочените тук данни се използват само с цел проверка на съответствието и нямат пряко отражение върху емисиите, които могат да бъдат зададени, или на разпределението на квотите.</v>
      </c>
      <c r="F773" s="2240"/>
      <c r="G773" s="2240"/>
      <c r="H773" s="2240"/>
      <c r="I773" s="2240"/>
      <c r="J773" s="2240"/>
      <c r="K773" s="2240"/>
      <c r="L773" s="2240"/>
      <c r="M773" s="2240"/>
      <c r="N773" s="2811"/>
      <c r="O773" s="302"/>
      <c r="P773" s="302"/>
      <c r="Q773" s="729"/>
      <c r="R773" s="694"/>
      <c r="S773" s="729"/>
      <c r="T773" s="729"/>
      <c r="U773" s="729"/>
      <c r="V773" s="729"/>
      <c r="W773" s="729"/>
      <c r="X773" s="729"/>
      <c r="Y773" s="729"/>
      <c r="Z773" s="729"/>
      <c r="AA773" s="694"/>
      <c r="AB773" s="694"/>
      <c r="AC773" s="694"/>
      <c r="AD773" s="694"/>
      <c r="AE773" s="694"/>
      <c r="AF773" s="694"/>
      <c r="AG773" s="694"/>
      <c r="AH773" s="694"/>
      <c r="AI773" s="694"/>
      <c r="AJ773" s="694"/>
      <c r="AK773" s="694"/>
      <c r="AL773" s="694"/>
    </row>
    <row r="774" spans="1:38" ht="12.75" customHeight="1" thickBot="1" x14ac:dyDescent="0.3">
      <c r="A774" s="694"/>
      <c r="B774" s="298"/>
      <c r="C774" s="1302"/>
      <c r="D774" s="1306"/>
      <c r="E774" s="1317"/>
      <c r="F774" s="1318"/>
      <c r="G774" s="1309" t="str">
        <f>EUconst_Unit</f>
        <v>Единица мярка</v>
      </c>
      <c r="H774" s="629">
        <f t="shared" ref="H774:N774" si="867">H$2831</f>
        <v>2024</v>
      </c>
      <c r="I774" s="1310">
        <f t="shared" si="867"/>
        <v>2025</v>
      </c>
      <c r="J774" s="1311">
        <f t="shared" si="867"/>
        <v>2026</v>
      </c>
      <c r="K774" s="629">
        <f t="shared" si="867"/>
        <v>2027</v>
      </c>
      <c r="L774" s="629">
        <f t="shared" si="867"/>
        <v>2028</v>
      </c>
      <c r="M774" s="629">
        <f t="shared" si="867"/>
        <v>2029</v>
      </c>
      <c r="N774" s="1312">
        <f t="shared" si="867"/>
        <v>2030</v>
      </c>
      <c r="O774" s="302"/>
      <c r="P774" s="302"/>
      <c r="Q774" s="729"/>
      <c r="R774" s="694"/>
      <c r="S774" s="729"/>
      <c r="T774" s="729"/>
      <c r="U774" s="729"/>
      <c r="V774" s="729"/>
      <c r="W774" s="729"/>
      <c r="X774" s="729"/>
      <c r="Y774" s="729"/>
      <c r="Z774" s="729"/>
      <c r="AA774" s="694"/>
      <c r="AB774" s="694"/>
      <c r="AC774" s="1178">
        <f t="shared" ref="AC774" si="868">H$20</f>
        <v>2024</v>
      </c>
      <c r="AD774" s="1178">
        <f t="shared" ref="AD774" si="869">I$20</f>
        <v>2025</v>
      </c>
      <c r="AE774" s="1178">
        <f t="shared" ref="AE774" si="870">J$20</f>
        <v>2026</v>
      </c>
      <c r="AF774" s="1178">
        <f t="shared" ref="AF774" si="871">K$20</f>
        <v>2027</v>
      </c>
      <c r="AG774" s="1178">
        <f t="shared" ref="AG774" si="872">L$20</f>
        <v>2028</v>
      </c>
      <c r="AH774" s="1178">
        <f t="shared" ref="AH774" si="873">M$20</f>
        <v>2029</v>
      </c>
      <c r="AI774" s="1178">
        <f t="shared" ref="AI774" si="874">N$20</f>
        <v>2030</v>
      </c>
      <c r="AJ774" s="694"/>
      <c r="AK774" s="694"/>
      <c r="AL774" s="694"/>
    </row>
    <row r="775" spans="1:38" ht="12.75" customHeight="1" x14ac:dyDescent="0.25">
      <c r="A775" s="694"/>
      <c r="B775" s="298"/>
      <c r="C775" s="1302"/>
      <c r="D775" s="625" t="s">
        <v>813</v>
      </c>
      <c r="E775" s="2818" t="str">
        <f>Translations!$B$572</f>
        <v>Консумирани количества</v>
      </c>
      <c r="F775" s="2701"/>
      <c r="G775" s="145"/>
      <c r="H775" s="129"/>
      <c r="I775" s="130"/>
      <c r="J775" s="131"/>
      <c r="K775" s="129"/>
      <c r="L775" s="129"/>
      <c r="M775" s="129"/>
      <c r="N775" s="132"/>
      <c r="O775" s="302"/>
      <c r="P775" s="158"/>
      <c r="Q775" s="729"/>
      <c r="R775" s="694"/>
      <c r="S775" s="729"/>
      <c r="T775" s="729"/>
      <c r="U775" s="729"/>
      <c r="V775" s="729"/>
      <c r="W775" s="729"/>
      <c r="X775" s="729"/>
      <c r="Y775" s="729"/>
      <c r="Z775" s="729"/>
      <c r="AA775" s="694"/>
      <c r="AB775" s="1182" t="s">
        <v>737</v>
      </c>
      <c r="AC775" s="982" t="b">
        <f>AC766</f>
        <v>0</v>
      </c>
      <c r="AD775" s="982" t="b">
        <f t="shared" ref="AD775:AI775" si="875">AD766</f>
        <v>0</v>
      </c>
      <c r="AE775" s="982" t="b">
        <f t="shared" si="875"/>
        <v>0</v>
      </c>
      <c r="AF775" s="982" t="b">
        <f t="shared" si="875"/>
        <v>0</v>
      </c>
      <c r="AG775" s="982" t="b">
        <f t="shared" si="875"/>
        <v>0</v>
      </c>
      <c r="AH775" s="982" t="b">
        <f t="shared" si="875"/>
        <v>0</v>
      </c>
      <c r="AI775" s="982" t="b">
        <f t="shared" si="875"/>
        <v>0</v>
      </c>
      <c r="AJ775" s="1174" t="s">
        <v>2039</v>
      </c>
      <c r="AK775" s="1176" t="str">
        <f>IF(AND(CNTR_ExistSubInstEntries,MSconst_RequireSubAttrEmissions,COUNTIFS(AC775:AI775,FALSE,H775:N775,"")&gt;0),EUconst_Error&amp;"BM"&amp;$Q575,"")</f>
        <v/>
      </c>
      <c r="AL775" s="694"/>
    </row>
    <row r="776" spans="1:38" ht="12.75" customHeight="1" x14ac:dyDescent="0.25">
      <c r="A776" s="694"/>
      <c r="B776" s="298"/>
      <c r="C776" s="1302"/>
      <c r="D776" s="625" t="s">
        <v>814</v>
      </c>
      <c r="E776" s="2819" t="str">
        <f>Translations!$B$296</f>
        <v>Долна топлина на изгаряне</v>
      </c>
      <c r="F776" s="2705"/>
      <c r="G776" s="1349" t="str">
        <f>IF(ISBLANK(G775),EUconst_GJperUnit,INDEX(EUconst_GJperTorKNm3,MATCH(G775,EUconst_TonnesOrkNm3pa,0)))</f>
        <v>GJ / Единица мярка</v>
      </c>
      <c r="H776" s="137"/>
      <c r="I776" s="138"/>
      <c r="J776" s="139"/>
      <c r="K776" s="137"/>
      <c r="L776" s="137"/>
      <c r="M776" s="137"/>
      <c r="N776" s="140"/>
      <c r="O776" s="302"/>
      <c r="P776" s="158"/>
      <c r="Q776" s="694"/>
      <c r="R776" s="694"/>
      <c r="S776" s="729"/>
      <c r="T776" s="729"/>
      <c r="U776" s="729"/>
      <c r="V776" s="729"/>
      <c r="W776" s="729"/>
      <c r="X776" s="729"/>
      <c r="Y776" s="729"/>
      <c r="Z776" s="729"/>
      <c r="AA776" s="694"/>
      <c r="AB776" s="694"/>
      <c r="AC776" s="982" t="b">
        <f>AC775</f>
        <v>0</v>
      </c>
      <c r="AD776" s="982" t="b">
        <f t="shared" ref="AD776:AI776" si="876">AD775</f>
        <v>0</v>
      </c>
      <c r="AE776" s="982" t="b">
        <f t="shared" si="876"/>
        <v>0</v>
      </c>
      <c r="AF776" s="982" t="b">
        <f t="shared" si="876"/>
        <v>0</v>
      </c>
      <c r="AG776" s="982" t="b">
        <f t="shared" si="876"/>
        <v>0</v>
      </c>
      <c r="AH776" s="982" t="b">
        <f t="shared" si="876"/>
        <v>0</v>
      </c>
      <c r="AI776" s="982" t="b">
        <f t="shared" si="876"/>
        <v>0</v>
      </c>
      <c r="AJ776" s="1174" t="s">
        <v>2039</v>
      </c>
      <c r="AK776" s="1176" t="str">
        <f>IF(AND(CNTR_ExistSubInstEntries,MSconst_RequireSubAttrEmissions,COUNTIFS(AC776:AI776,FALSE,H776:N776,"")&gt;0),EUconst_Error&amp;"BM"&amp;$Q575,"")</f>
        <v/>
      </c>
      <c r="AL776" s="694"/>
    </row>
    <row r="777" spans="1:38" ht="12.75" customHeight="1" x14ac:dyDescent="0.25">
      <c r="A777" s="694"/>
      <c r="B777" s="298"/>
      <c r="C777" s="1302"/>
      <c r="D777" s="625" t="s">
        <v>61</v>
      </c>
      <c r="E777" s="2820" t="str">
        <f>Translations!$B$573</f>
        <v>Консумиран отпаден газ</v>
      </c>
      <c r="F777" s="2258"/>
      <c r="G777" s="1319" t="str">
        <f>EUconst_TJpa</f>
        <v>TJ / година</v>
      </c>
      <c r="H777" s="1350" t="str">
        <f t="shared" ref="H777:N777" si="877">IF(COUNT(H775:H776)=2,H775*H776/1000,"")</f>
        <v/>
      </c>
      <c r="I777" s="1351" t="str">
        <f t="shared" si="877"/>
        <v/>
      </c>
      <c r="J777" s="1352" t="str">
        <f t="shared" si="877"/>
        <v/>
      </c>
      <c r="K777" s="1350" t="str">
        <f t="shared" si="877"/>
        <v/>
      </c>
      <c r="L777" s="1350" t="str">
        <f t="shared" si="877"/>
        <v/>
      </c>
      <c r="M777" s="1350" t="str">
        <f t="shared" si="877"/>
        <v/>
      </c>
      <c r="N777" s="1353" t="str">
        <f t="shared" si="877"/>
        <v/>
      </c>
      <c r="O777" s="302"/>
      <c r="P777" s="302"/>
      <c r="Q777" s="1190" t="str">
        <f>EUconst_CNTR_WGConsumed &amp; I575</f>
        <v>WasteGasCons_</v>
      </c>
      <c r="R777" s="694"/>
      <c r="S777" s="729"/>
      <c r="T777" s="729"/>
      <c r="U777" s="729"/>
      <c r="V777" s="729"/>
      <c r="W777" s="729"/>
      <c r="X777" s="729"/>
      <c r="Y777" s="729"/>
      <c r="Z777" s="729"/>
      <c r="AA777" s="694"/>
      <c r="AB777" s="694"/>
      <c r="AC777" s="694"/>
      <c r="AD777" s="694"/>
      <c r="AE777" s="694"/>
      <c r="AF777" s="694"/>
      <c r="AG777" s="694"/>
      <c r="AH777" s="694"/>
      <c r="AI777" s="694"/>
      <c r="AJ777" s="694"/>
      <c r="AK777" s="694"/>
      <c r="AL777" s="694"/>
    </row>
    <row r="778" spans="1:38" ht="12.75" customHeight="1" x14ac:dyDescent="0.25">
      <c r="A778" s="694"/>
      <c r="B778" s="298"/>
      <c r="C778" s="1302"/>
      <c r="D778" s="625" t="s">
        <v>62</v>
      </c>
      <c r="E778" s="2820" t="str">
        <f>Translations!$B$574</f>
        <v>Специфичен EF (консумиран отпаден газ)</v>
      </c>
      <c r="F778" s="2258"/>
      <c r="G778" s="1319" t="str">
        <f>EUconst_tCO2pTJ</f>
        <v>t CO2 / TJ</v>
      </c>
      <c r="H778" s="56"/>
      <c r="I778" s="115"/>
      <c r="J778" s="118"/>
      <c r="K778" s="56"/>
      <c r="L778" s="56"/>
      <c r="M778" s="56"/>
      <c r="N778" s="121"/>
      <c r="O778" s="302"/>
      <c r="P778" s="158"/>
      <c r="Q778" s="1190" t="str">
        <f>EUconst_CNTR_WGConsumedEF &amp; I575</f>
        <v>WasteGasConsEF_</v>
      </c>
      <c r="R778" s="694"/>
      <c r="S778" s="729"/>
      <c r="T778" s="729"/>
      <c r="U778" s="729"/>
      <c r="V778" s="729"/>
      <c r="W778" s="729"/>
      <c r="X778" s="729"/>
      <c r="Y778" s="729"/>
      <c r="Z778" s="729"/>
      <c r="AA778" s="694"/>
      <c r="AB778" s="1182" t="s">
        <v>737</v>
      </c>
      <c r="AC778" s="982" t="b">
        <f>AC776</f>
        <v>0</v>
      </c>
      <c r="AD778" s="982" t="b">
        <f t="shared" ref="AD778:AI778" si="878">AD776</f>
        <v>0</v>
      </c>
      <c r="AE778" s="982" t="b">
        <f t="shared" si="878"/>
        <v>0</v>
      </c>
      <c r="AF778" s="982" t="b">
        <f t="shared" si="878"/>
        <v>0</v>
      </c>
      <c r="AG778" s="982" t="b">
        <f t="shared" si="878"/>
        <v>0</v>
      </c>
      <c r="AH778" s="982" t="b">
        <f t="shared" si="878"/>
        <v>0</v>
      </c>
      <c r="AI778" s="982" t="b">
        <f t="shared" si="878"/>
        <v>0</v>
      </c>
      <c r="AJ778" s="1174" t="s">
        <v>2039</v>
      </c>
      <c r="AK778" s="1176" t="str">
        <f>IF(AND(CNTR_ExistSubInstEntries,MSconst_RequireSubAttrEmissions,COUNTIFS(AC778:AI778,FALSE,H778:N778,"")&gt;0),EUconst_Error&amp;"BM"&amp;$Q575,"")</f>
        <v/>
      </c>
      <c r="AL778" s="694"/>
    </row>
    <row r="779" spans="1:38" ht="12.75" customHeight="1" x14ac:dyDescent="0.25">
      <c r="A779" s="694"/>
      <c r="B779" s="298"/>
      <c r="C779" s="1302"/>
      <c r="D779" s="1306"/>
      <c r="E779" s="1306"/>
      <c r="F779" s="1306"/>
      <c r="G779" s="1306"/>
      <c r="H779" s="1354"/>
      <c r="I779" s="1306"/>
      <c r="J779" s="1306"/>
      <c r="K779" s="1306"/>
      <c r="L779" s="1306"/>
      <c r="M779" s="626"/>
      <c r="N779" s="1316"/>
      <c r="O779" s="302"/>
      <c r="P779" s="302"/>
      <c r="Q779" s="729"/>
      <c r="R779" s="694"/>
      <c r="S779" s="729"/>
      <c r="T779" s="729"/>
      <c r="U779" s="729"/>
      <c r="V779" s="729"/>
      <c r="W779" s="694"/>
      <c r="X779" s="694"/>
      <c r="Y779" s="694"/>
      <c r="Z779" s="694"/>
      <c r="AA779" s="694"/>
      <c r="AB779" s="694"/>
      <c r="AC779" s="694"/>
      <c r="AD779" s="694"/>
      <c r="AE779" s="694"/>
      <c r="AF779" s="694"/>
      <c r="AG779" s="694"/>
      <c r="AH779" s="694"/>
      <c r="AI779" s="694"/>
      <c r="AJ779" s="694"/>
      <c r="AK779" s="694"/>
      <c r="AL779" s="694"/>
    </row>
    <row r="780" spans="1:38" ht="12.75" customHeight="1" x14ac:dyDescent="0.25">
      <c r="A780" s="694"/>
      <c r="B780" s="298"/>
      <c r="C780" s="1302"/>
      <c r="D780" s="625" t="s">
        <v>63</v>
      </c>
      <c r="E780" s="2815" t="str">
        <f>Translations!$B$575</f>
        <v>Видове отпадни газове резултат от изгаряне във факел:</v>
      </c>
      <c r="F780" s="2240"/>
      <c r="G780" s="2240"/>
      <c r="H780" s="2684"/>
      <c r="I780" s="2821"/>
      <c r="J780" s="2674"/>
      <c r="K780" s="2674"/>
      <c r="L780" s="2674"/>
      <c r="M780" s="2675"/>
      <c r="N780" s="1323"/>
      <c r="O780" s="302"/>
      <c r="P780" s="158"/>
      <c r="Q780" s="729"/>
      <c r="R780" s="694"/>
      <c r="S780" s="729"/>
      <c r="T780" s="694"/>
      <c r="U780" s="694"/>
      <c r="V780" s="694"/>
      <c r="W780" s="694"/>
      <c r="X780" s="694"/>
      <c r="Y780" s="694"/>
      <c r="Z780" s="694"/>
      <c r="AA780" s="694"/>
      <c r="AB780" s="694"/>
      <c r="AC780" s="1182" t="s">
        <v>737</v>
      </c>
      <c r="AD780" s="982" t="b">
        <f>AD771</f>
        <v>0</v>
      </c>
      <c r="AE780" s="694"/>
      <c r="AF780" s="694"/>
      <c r="AG780" s="694"/>
      <c r="AH780" s="694"/>
      <c r="AI780" s="694"/>
      <c r="AJ780" s="694"/>
      <c r="AK780" s="694"/>
      <c r="AL780" s="694"/>
    </row>
    <row r="781" spans="1:38" ht="12.75" customHeight="1" x14ac:dyDescent="0.25">
      <c r="A781" s="694"/>
      <c r="B781" s="298"/>
      <c r="C781" s="1302"/>
      <c r="D781" s="625"/>
      <c r="E781" s="2810" t="str">
        <f>Translations!$B$576</f>
        <v>Това включва всички видове отпадни газове, които в крайна сметка са изгорени във факел, различни от необходимото за безопасността изгаряне във факел, в подинсталацията или извън нея.</v>
      </c>
      <c r="F781" s="2240"/>
      <c r="G781" s="2240"/>
      <c r="H781" s="2240"/>
      <c r="I781" s="2240"/>
      <c r="J781" s="2240"/>
      <c r="K781" s="2240"/>
      <c r="L781" s="2240"/>
      <c r="M781" s="2240"/>
      <c r="N781" s="2811"/>
      <c r="O781" s="302"/>
      <c r="P781" s="302"/>
      <c r="Q781" s="729"/>
      <c r="R781" s="694"/>
      <c r="S781" s="694"/>
      <c r="T781" s="729"/>
      <c r="U781" s="729"/>
      <c r="V781" s="729"/>
      <c r="W781" s="694"/>
      <c r="X781" s="694"/>
      <c r="Y781" s="694"/>
      <c r="Z781" s="694"/>
      <c r="AA781" s="694"/>
      <c r="AB781" s="694"/>
      <c r="AC781" s="694"/>
      <c r="AD781" s="694"/>
      <c r="AE781" s="694"/>
      <c r="AF781" s="694"/>
      <c r="AG781" s="694"/>
      <c r="AH781" s="694"/>
      <c r="AI781" s="694"/>
      <c r="AJ781" s="694"/>
      <c r="AK781" s="694"/>
      <c r="AL781" s="694"/>
    </row>
    <row r="782" spans="1:38" ht="12.75" customHeight="1" x14ac:dyDescent="0.25">
      <c r="A782" s="694"/>
      <c r="B782" s="298"/>
      <c r="C782" s="1302"/>
      <c r="D782" s="1306"/>
      <c r="E782" s="2810" t="str">
        <f>Translations!$B$577</f>
        <v>Посочените тук данни се използват само с цел проверка на съответствието и нямат пряко отражение върху емисиите, които могат да бъдат зададени.</v>
      </c>
      <c r="F782" s="2240"/>
      <c r="G782" s="2240"/>
      <c r="H782" s="2240"/>
      <c r="I782" s="2240"/>
      <c r="J782" s="2240"/>
      <c r="K782" s="2240"/>
      <c r="L782" s="2240"/>
      <c r="M782" s="2240"/>
      <c r="N782" s="2811"/>
      <c r="O782" s="302"/>
      <c r="P782" s="302"/>
      <c r="Q782" s="729"/>
      <c r="R782" s="694"/>
      <c r="S782" s="729"/>
      <c r="T782" s="729"/>
      <c r="U782" s="729"/>
      <c r="V782" s="729"/>
      <c r="W782" s="694"/>
      <c r="X782" s="694"/>
      <c r="Y782" s="694"/>
      <c r="Z782" s="694"/>
      <c r="AA782" s="694"/>
      <c r="AB782" s="694"/>
      <c r="AC782" s="694"/>
      <c r="AD782" s="694"/>
      <c r="AE782" s="694"/>
      <c r="AF782" s="694"/>
      <c r="AG782" s="694"/>
      <c r="AH782" s="694"/>
      <c r="AI782" s="694"/>
      <c r="AJ782" s="694"/>
      <c r="AK782" s="694"/>
      <c r="AL782" s="694"/>
    </row>
    <row r="783" spans="1:38" ht="12.75" customHeight="1" x14ac:dyDescent="0.25">
      <c r="A783" s="694"/>
      <c r="B783" s="298"/>
      <c r="C783" s="1302"/>
      <c r="D783" s="1306"/>
      <c r="E783" s="2816" t="str">
        <f>Translations!$B$578</f>
        <v>Въпреки това от 2026 г. квотите ще бъдат намалени по отношение на факелното изгаряне на отпадни газове, различно от необходимото за безопасността изгаряне във факел.</v>
      </c>
      <c r="F783" s="2240"/>
      <c r="G783" s="2240"/>
      <c r="H783" s="2240"/>
      <c r="I783" s="2240"/>
      <c r="J783" s="2240"/>
      <c r="K783" s="2240"/>
      <c r="L783" s="2240"/>
      <c r="M783" s="2240"/>
      <c r="N783" s="2811"/>
      <c r="O783" s="302"/>
      <c r="P783" s="302"/>
      <c r="Q783" s="729"/>
      <c r="R783" s="694"/>
      <c r="S783" s="729"/>
      <c r="T783" s="729"/>
      <c r="U783" s="729"/>
      <c r="V783" s="729"/>
      <c r="W783" s="729"/>
      <c r="X783" s="729"/>
      <c r="Y783" s="729"/>
      <c r="Z783" s="729"/>
      <c r="AA783" s="694"/>
      <c r="AB783" s="694"/>
      <c r="AC783" s="694"/>
      <c r="AD783" s="694"/>
      <c r="AE783" s="694"/>
      <c r="AF783" s="694"/>
      <c r="AG783" s="694"/>
      <c r="AH783" s="694"/>
      <c r="AI783" s="694"/>
      <c r="AJ783" s="694"/>
      <c r="AK783" s="694"/>
      <c r="AL783" s="694"/>
    </row>
    <row r="784" spans="1:38" ht="12.75" customHeight="1" thickBot="1" x14ac:dyDescent="0.3">
      <c r="A784" s="694"/>
      <c r="B784" s="298"/>
      <c r="C784" s="1302"/>
      <c r="D784" s="1306"/>
      <c r="E784" s="1317"/>
      <c r="F784" s="1318"/>
      <c r="G784" s="1309" t="str">
        <f>EUconst_Unit</f>
        <v>Единица мярка</v>
      </c>
      <c r="H784" s="629">
        <f t="shared" ref="H784:N784" si="879">H$2831</f>
        <v>2024</v>
      </c>
      <c r="I784" s="1310">
        <f t="shared" si="879"/>
        <v>2025</v>
      </c>
      <c r="J784" s="1311">
        <f t="shared" si="879"/>
        <v>2026</v>
      </c>
      <c r="K784" s="629">
        <f t="shared" si="879"/>
        <v>2027</v>
      </c>
      <c r="L784" s="629">
        <f t="shared" si="879"/>
        <v>2028</v>
      </c>
      <c r="M784" s="629">
        <f t="shared" si="879"/>
        <v>2029</v>
      </c>
      <c r="N784" s="1312">
        <f t="shared" si="879"/>
        <v>2030</v>
      </c>
      <c r="O784" s="302"/>
      <c r="P784" s="302"/>
      <c r="Q784" s="729"/>
      <c r="R784" s="694"/>
      <c r="S784" s="729"/>
      <c r="T784" s="729"/>
      <c r="U784" s="729"/>
      <c r="V784" s="729"/>
      <c r="W784" s="729"/>
      <c r="X784" s="729"/>
      <c r="Y784" s="729"/>
      <c r="Z784" s="729"/>
      <c r="AA784" s="694"/>
      <c r="AB784" s="694"/>
      <c r="AC784" s="1178">
        <f t="shared" ref="AC784" si="880">H$20</f>
        <v>2024</v>
      </c>
      <c r="AD784" s="1178">
        <f t="shared" ref="AD784" si="881">I$20</f>
        <v>2025</v>
      </c>
      <c r="AE784" s="1178">
        <f t="shared" ref="AE784" si="882">J$20</f>
        <v>2026</v>
      </c>
      <c r="AF784" s="1178">
        <f t="shared" ref="AF784" si="883">K$20</f>
        <v>2027</v>
      </c>
      <c r="AG784" s="1178">
        <f t="shared" ref="AG784" si="884">L$20</f>
        <v>2028</v>
      </c>
      <c r="AH784" s="1178">
        <f t="shared" ref="AH784" si="885">M$20</f>
        <v>2029</v>
      </c>
      <c r="AI784" s="1178">
        <f t="shared" ref="AI784" si="886">N$20</f>
        <v>2030</v>
      </c>
      <c r="AJ784" s="694"/>
      <c r="AK784" s="694"/>
      <c r="AL784" s="694"/>
    </row>
    <row r="785" spans="1:38" ht="12.75" customHeight="1" x14ac:dyDescent="0.25">
      <c r="A785" s="694"/>
      <c r="B785" s="298"/>
      <c r="C785" s="1302"/>
      <c r="D785" s="625" t="s">
        <v>1136</v>
      </c>
      <c r="E785" s="2818" t="str">
        <f>Translations!$B$579</f>
        <v>Количества, изгорени във факел</v>
      </c>
      <c r="F785" s="2701"/>
      <c r="G785" s="145"/>
      <c r="H785" s="129"/>
      <c r="I785" s="130"/>
      <c r="J785" s="131"/>
      <c r="K785" s="129"/>
      <c r="L785" s="129"/>
      <c r="M785" s="129"/>
      <c r="N785" s="132"/>
      <c r="O785" s="302"/>
      <c r="P785" s="158"/>
      <c r="Q785" s="729"/>
      <c r="R785" s="694"/>
      <c r="S785" s="729"/>
      <c r="T785" s="729"/>
      <c r="U785" s="729"/>
      <c r="V785" s="729"/>
      <c r="W785" s="729"/>
      <c r="X785" s="729"/>
      <c r="Y785" s="729"/>
      <c r="Z785" s="729"/>
      <c r="AA785" s="694"/>
      <c r="AB785" s="1182" t="s">
        <v>737</v>
      </c>
      <c r="AC785" s="982" t="b">
        <f>AC775</f>
        <v>0</v>
      </c>
      <c r="AD785" s="982" t="b">
        <f t="shared" ref="AD785:AI785" si="887">AD775</f>
        <v>0</v>
      </c>
      <c r="AE785" s="982" t="b">
        <f t="shared" si="887"/>
        <v>0</v>
      </c>
      <c r="AF785" s="982" t="b">
        <f t="shared" si="887"/>
        <v>0</v>
      </c>
      <c r="AG785" s="982" t="b">
        <f t="shared" si="887"/>
        <v>0</v>
      </c>
      <c r="AH785" s="982" t="b">
        <f t="shared" si="887"/>
        <v>0</v>
      </c>
      <c r="AI785" s="982" t="b">
        <f t="shared" si="887"/>
        <v>0</v>
      </c>
      <c r="AJ785" s="1174" t="s">
        <v>2039</v>
      </c>
      <c r="AK785" s="1176" t="str">
        <f>IF(AND(CNTR_ExistSubInstEntries,MSconst_RequireSubAttrEmissions,COUNTIFS(AC785:AI785,FALSE,H785:N785,"")&gt;0),EUconst_Error&amp;"BM"&amp;$Q575,"")</f>
        <v/>
      </c>
      <c r="AL785" s="694"/>
    </row>
    <row r="786" spans="1:38" ht="12.75" customHeight="1" x14ac:dyDescent="0.25">
      <c r="A786" s="694"/>
      <c r="B786" s="298"/>
      <c r="C786" s="1302"/>
      <c r="D786" s="625" t="s">
        <v>1137</v>
      </c>
      <c r="E786" s="2819" t="str">
        <f>Translations!$B$296</f>
        <v>Долна топлина на изгаряне</v>
      </c>
      <c r="F786" s="2705"/>
      <c r="G786" s="1349" t="str">
        <f>IF(ISBLANK(G785),EUconst_GJperUnit,INDEX(EUconst_GJperTorKNm3,MATCH(G785,EUconst_TonnesOrkNm3pa,0)))</f>
        <v>GJ / Единица мярка</v>
      </c>
      <c r="H786" s="137"/>
      <c r="I786" s="138"/>
      <c r="J786" s="139"/>
      <c r="K786" s="137"/>
      <c r="L786" s="137"/>
      <c r="M786" s="137"/>
      <c r="N786" s="140"/>
      <c r="O786" s="302"/>
      <c r="P786" s="158"/>
      <c r="Q786" s="694"/>
      <c r="R786" s="694"/>
      <c r="S786" s="729"/>
      <c r="T786" s="729"/>
      <c r="U786" s="729"/>
      <c r="V786" s="729"/>
      <c r="W786" s="729"/>
      <c r="X786" s="729"/>
      <c r="Y786" s="729"/>
      <c r="Z786" s="729"/>
      <c r="AA786" s="694"/>
      <c r="AB786" s="694"/>
      <c r="AC786" s="982" t="b">
        <f>AC785</f>
        <v>0</v>
      </c>
      <c r="AD786" s="982" t="b">
        <f t="shared" ref="AD786:AI786" si="888">AD785</f>
        <v>0</v>
      </c>
      <c r="AE786" s="982" t="b">
        <f t="shared" si="888"/>
        <v>0</v>
      </c>
      <c r="AF786" s="982" t="b">
        <f t="shared" si="888"/>
        <v>0</v>
      </c>
      <c r="AG786" s="982" t="b">
        <f t="shared" si="888"/>
        <v>0</v>
      </c>
      <c r="AH786" s="982" t="b">
        <f t="shared" si="888"/>
        <v>0</v>
      </c>
      <c r="AI786" s="982" t="b">
        <f t="shared" si="888"/>
        <v>0</v>
      </c>
      <c r="AJ786" s="1174" t="s">
        <v>2039</v>
      </c>
      <c r="AK786" s="1176" t="str">
        <f>IF(AND(CNTR_ExistSubInstEntries,MSconst_RequireSubAttrEmissions,COUNTIFS(AC786:AI786,FALSE,H786:N786,"")&gt;0),EUconst_Error&amp;"BM"&amp;$Q575,"")</f>
        <v/>
      </c>
      <c r="AL786" s="694"/>
    </row>
    <row r="787" spans="1:38" ht="12.75" customHeight="1" x14ac:dyDescent="0.25">
      <c r="A787" s="694"/>
      <c r="B787" s="298"/>
      <c r="C787" s="1302"/>
      <c r="D787" s="625" t="s">
        <v>1138</v>
      </c>
      <c r="E787" s="2820" t="str">
        <f>Translations!$B$580</f>
        <v>Изгорен във факел отпаден газ</v>
      </c>
      <c r="F787" s="2258"/>
      <c r="G787" s="1319" t="str">
        <f>EUconst_TJpa</f>
        <v>TJ / година</v>
      </c>
      <c r="H787" s="1350" t="str">
        <f t="shared" ref="H787:N787" si="889">IF(COUNT(H785:H786)=2,H785*H786/1000,"")</f>
        <v/>
      </c>
      <c r="I787" s="1351" t="str">
        <f t="shared" si="889"/>
        <v/>
      </c>
      <c r="J787" s="1352" t="str">
        <f t="shared" si="889"/>
        <v/>
      </c>
      <c r="K787" s="1350" t="str">
        <f t="shared" si="889"/>
        <v/>
      </c>
      <c r="L787" s="1350" t="str">
        <f t="shared" si="889"/>
        <v/>
      </c>
      <c r="M787" s="1350" t="str">
        <f t="shared" si="889"/>
        <v/>
      </c>
      <c r="N787" s="1353" t="str">
        <f t="shared" si="889"/>
        <v/>
      </c>
      <c r="O787" s="302"/>
      <c r="P787" s="302"/>
      <c r="Q787" s="1190" t="str">
        <f>EUconst_CNTR_WGFlared &amp; I575</f>
        <v>WasteGasFlare_</v>
      </c>
      <c r="R787" s="694"/>
      <c r="S787" s="729"/>
      <c r="T787" s="729"/>
      <c r="U787" s="729"/>
      <c r="V787" s="729"/>
      <c r="W787" s="729"/>
      <c r="X787" s="729"/>
      <c r="Y787" s="729"/>
      <c r="Z787" s="729"/>
      <c r="AA787" s="694"/>
      <c r="AB787" s="694"/>
      <c r="AC787" s="694"/>
      <c r="AD787" s="694"/>
      <c r="AE787" s="694"/>
      <c r="AF787" s="694"/>
      <c r="AG787" s="694"/>
      <c r="AH787" s="694"/>
      <c r="AI787" s="694"/>
      <c r="AJ787" s="694"/>
      <c r="AK787" s="694"/>
      <c r="AL787" s="694"/>
    </row>
    <row r="788" spans="1:38" ht="12.75" customHeight="1" x14ac:dyDescent="0.25">
      <c r="A788" s="694"/>
      <c r="B788" s="298"/>
      <c r="C788" s="1302"/>
      <c r="D788" s="625" t="s">
        <v>1139</v>
      </c>
      <c r="E788" s="2820" t="str">
        <f>Translations!$B$581</f>
        <v>Специфичен EF (изгорен във факел отпаден газ)</v>
      </c>
      <c r="F788" s="2258"/>
      <c r="G788" s="1319" t="str">
        <f>EUconst_tCO2pTJ</f>
        <v>t CO2 / TJ</v>
      </c>
      <c r="H788" s="56"/>
      <c r="I788" s="115"/>
      <c r="J788" s="118"/>
      <c r="K788" s="56"/>
      <c r="L788" s="56"/>
      <c r="M788" s="56"/>
      <c r="N788" s="121"/>
      <c r="O788" s="302"/>
      <c r="P788" s="158"/>
      <c r="Q788" s="1190" t="str">
        <f>EUconst_CNTR_WGFlaredEF &amp; I575</f>
        <v>WasteGasFlareEF_</v>
      </c>
      <c r="R788" s="694"/>
      <c r="S788" s="729"/>
      <c r="T788" s="729"/>
      <c r="U788" s="729"/>
      <c r="V788" s="729"/>
      <c r="W788" s="729"/>
      <c r="X788" s="729"/>
      <c r="Y788" s="729"/>
      <c r="Z788" s="729"/>
      <c r="AA788" s="694"/>
      <c r="AB788" s="1182" t="s">
        <v>737</v>
      </c>
      <c r="AC788" s="982" t="b">
        <f>AC786</f>
        <v>0</v>
      </c>
      <c r="AD788" s="982" t="b">
        <f t="shared" ref="AD788:AI788" si="890">AD786</f>
        <v>0</v>
      </c>
      <c r="AE788" s="982" t="b">
        <f t="shared" si="890"/>
        <v>0</v>
      </c>
      <c r="AF788" s="982" t="b">
        <f t="shared" si="890"/>
        <v>0</v>
      </c>
      <c r="AG788" s="982" t="b">
        <f t="shared" si="890"/>
        <v>0</v>
      </c>
      <c r="AH788" s="982" t="b">
        <f t="shared" si="890"/>
        <v>0</v>
      </c>
      <c r="AI788" s="982" t="b">
        <f t="shared" si="890"/>
        <v>0</v>
      </c>
      <c r="AJ788" s="1174" t="s">
        <v>2039</v>
      </c>
      <c r="AK788" s="1176" t="str">
        <f>IF(AND(CNTR_ExistSubInstEntries,MSconst_RequireSubAttrEmissions,COUNTIFS(AC788:AI788,FALSE,H788:N788,"")&gt;0),EUconst_Error&amp;"BM"&amp;$Q575,"")</f>
        <v/>
      </c>
      <c r="AL788" s="694"/>
    </row>
    <row r="789" spans="1:38" ht="5.15" customHeight="1" thickBot="1" x14ac:dyDescent="0.3">
      <c r="A789" s="694"/>
      <c r="B789" s="298"/>
      <c r="C789" s="1302"/>
      <c r="D789" s="1306"/>
      <c r="E789" s="1306"/>
      <c r="F789" s="1306"/>
      <c r="G789" s="1306"/>
      <c r="H789" s="1354"/>
      <c r="I789" s="1306"/>
      <c r="J789" s="1306"/>
      <c r="K789" s="1306"/>
      <c r="L789" s="1306"/>
      <c r="M789" s="626"/>
      <c r="N789" s="1316"/>
      <c r="O789" s="302"/>
      <c r="P789" s="302"/>
      <c r="Q789" s="729"/>
      <c r="R789" s="694"/>
      <c r="S789" s="729"/>
      <c r="T789" s="729"/>
      <c r="U789" s="729"/>
      <c r="V789" s="729"/>
      <c r="W789" s="694"/>
      <c r="X789" s="694"/>
      <c r="Y789" s="694"/>
      <c r="Z789" s="694"/>
      <c r="AA789" s="694"/>
      <c r="AB789" s="694"/>
      <c r="AC789" s="694"/>
      <c r="AD789" s="694"/>
      <c r="AE789" s="694"/>
      <c r="AF789" s="694"/>
      <c r="AG789" s="694"/>
      <c r="AH789" s="694"/>
      <c r="AI789" s="694"/>
      <c r="AJ789" s="694"/>
      <c r="AK789" s="694"/>
      <c r="AL789" s="694"/>
    </row>
    <row r="790" spans="1:38" ht="12.75" customHeight="1" thickBot="1" x14ac:dyDescent="0.3">
      <c r="A790" s="694"/>
      <c r="B790" s="298"/>
      <c r="C790" s="1302"/>
      <c r="D790" s="1306"/>
      <c r="E790" s="2820" t="str">
        <f>Translations!$B$1330</f>
        <v>Количество изгорен във факел отпаден газ</v>
      </c>
      <c r="F790" s="2820"/>
      <c r="G790" s="1355" t="str">
        <f>EUconst_tCO2</f>
        <v>t CO2</v>
      </c>
      <c r="H790" s="1356" t="str">
        <f t="shared" ref="H790" si="891">IF(T583,SUM(H787)*SUM(H788),"")</f>
        <v/>
      </c>
      <c r="I790" s="1357" t="str">
        <f t="shared" ref="I790" si="892">IF(U583,SUM(I787)*SUM(I788),"")</f>
        <v/>
      </c>
      <c r="J790" s="1358" t="str">
        <f t="shared" ref="J790" si="893">IF(V583,SUM(J787)*SUM(J788),"")</f>
        <v/>
      </c>
      <c r="K790" s="1356" t="str">
        <f t="shared" ref="K790" si="894">IF(W583,SUM(K787)*SUM(K788),"")</f>
        <v/>
      </c>
      <c r="L790" s="1356" t="str">
        <f t="shared" ref="L790" si="895">IF(X583,SUM(L787)*SUM(L788),"")</f>
        <v/>
      </c>
      <c r="M790" s="1356" t="str">
        <f t="shared" ref="M790" si="896">IF(Y583,SUM(M787)*SUM(M788),"")</f>
        <v/>
      </c>
      <c r="N790" s="1356" t="str">
        <f t="shared" ref="N790" si="897">IF(Z583,SUM(N787)*SUM(N788),"")</f>
        <v/>
      </c>
      <c r="O790" s="302"/>
      <c r="P790" s="302"/>
      <c r="Q790" s="1190" t="str">
        <f>EUconst_CNTR_HAL &amp; EUconst_CNTR_WGFlared &amp; I575</f>
        <v>HAL_WasteGasFlare_</v>
      </c>
      <c r="R790" s="694"/>
      <c r="S790" s="1174" t="s">
        <v>1811</v>
      </c>
      <c r="T790" s="1169" t="b">
        <f>CNTR_SubPeriod=2</f>
        <v>1</v>
      </c>
      <c r="U790" s="729"/>
      <c r="V790" s="729"/>
      <c r="W790" s="694"/>
      <c r="X790" s="694"/>
      <c r="Y790" s="694"/>
      <c r="Z790" s="694"/>
      <c r="AA790" s="694"/>
      <c r="AB790" s="694"/>
      <c r="AC790" s="694"/>
      <c r="AD790" s="694"/>
      <c r="AE790" s="694"/>
      <c r="AF790" s="694"/>
      <c r="AG790" s="694"/>
      <c r="AH790" s="694"/>
      <c r="AI790" s="694"/>
      <c r="AJ790" s="694"/>
      <c r="AK790" s="694"/>
      <c r="AL790" s="694"/>
    </row>
    <row r="791" spans="1:38" ht="5.15" customHeight="1" thickBot="1" x14ac:dyDescent="0.3">
      <c r="A791" s="694"/>
      <c r="B791" s="298"/>
      <c r="C791" s="1302"/>
      <c r="D791" s="1306"/>
      <c r="E791" s="1306"/>
      <c r="F791" s="1306"/>
      <c r="G791" s="1306"/>
      <c r="H791" s="1354"/>
      <c r="I791" s="1306"/>
      <c r="J791" s="1306"/>
      <c r="K791" s="1306"/>
      <c r="L791" s="1306"/>
      <c r="M791" s="626"/>
      <c r="N791" s="1316"/>
      <c r="O791" s="302"/>
      <c r="P791" s="302"/>
      <c r="Q791" s="729"/>
      <c r="R791" s="694"/>
      <c r="S791" s="729"/>
      <c r="T791" s="729"/>
      <c r="U791" s="729"/>
      <c r="V791" s="729"/>
      <c r="W791" s="694"/>
      <c r="X791" s="694"/>
      <c r="Y791" s="694"/>
      <c r="Z791" s="694"/>
      <c r="AA791" s="694"/>
      <c r="AB791" s="694"/>
      <c r="AC791" s="694"/>
      <c r="AD791" s="694"/>
      <c r="AE791" s="694"/>
      <c r="AF791" s="694"/>
      <c r="AG791" s="694"/>
      <c r="AH791" s="694"/>
      <c r="AI791" s="694"/>
      <c r="AJ791" s="694"/>
      <c r="AK791" s="694"/>
      <c r="AL791" s="694"/>
    </row>
    <row r="792" spans="1:38" ht="5.15" customHeight="1" thickBot="1" x14ac:dyDescent="0.3">
      <c r="A792" s="694"/>
      <c r="B792" s="298"/>
      <c r="C792" s="1302"/>
      <c r="D792" s="1359"/>
      <c r="E792" s="1360"/>
      <c r="F792" s="1360"/>
      <c r="G792" s="1360"/>
      <c r="H792" s="1361"/>
      <c r="I792" s="1360"/>
      <c r="J792" s="1360"/>
      <c r="K792" s="1360"/>
      <c r="L792" s="1360"/>
      <c r="M792" s="1362"/>
      <c r="N792" s="1363"/>
      <c r="O792" s="302"/>
      <c r="P792" s="302"/>
      <c r="Q792" s="729"/>
      <c r="R792" s="694"/>
      <c r="S792" s="729"/>
      <c r="T792" s="729"/>
      <c r="U792" s="729"/>
      <c r="V792" s="729"/>
      <c r="W792" s="694"/>
      <c r="X792" s="694"/>
      <c r="Y792" s="694"/>
      <c r="Z792" s="694"/>
      <c r="AA792" s="694"/>
      <c r="AB792" s="694"/>
      <c r="AC792" s="694"/>
      <c r="AD792" s="694"/>
      <c r="AE792" s="694"/>
      <c r="AF792" s="694"/>
      <c r="AG792" s="694"/>
      <c r="AH792" s="694"/>
      <c r="AI792" s="694"/>
      <c r="AJ792" s="694"/>
      <c r="AK792" s="694"/>
      <c r="AL792" s="694"/>
    </row>
    <row r="793" spans="1:38" ht="12.75" customHeight="1" x14ac:dyDescent="0.25">
      <c r="A793" s="694"/>
      <c r="B793" s="298"/>
      <c r="C793" s="1302"/>
      <c r="D793" s="1197" t="s">
        <v>2004</v>
      </c>
      <c r="E793" s="2823" t="str">
        <f>Translations!$B$1331</f>
        <v>Корекции: изгорени във факел отпадни газове</v>
      </c>
      <c r="F793" s="2672"/>
      <c r="G793" s="2672"/>
      <c r="H793" s="1200" t="str">
        <f>EUconst_Unit</f>
        <v>Единица мярка</v>
      </c>
      <c r="I793" s="1201" t="str">
        <f>Translations!$B$1327</f>
        <v>(НМИ) стойност</v>
      </c>
      <c r="J793" s="1202">
        <f>J$2831</f>
        <v>2026</v>
      </c>
      <c r="K793" s="1203">
        <f>K$2831</f>
        <v>2027</v>
      </c>
      <c r="L793" s="1203">
        <f>L$2831</f>
        <v>2028</v>
      </c>
      <c r="M793" s="1203">
        <f>M$2831</f>
        <v>2029</v>
      </c>
      <c r="N793" s="1204">
        <f>N$2831</f>
        <v>2030</v>
      </c>
      <c r="O793" s="302"/>
      <c r="P793" s="302"/>
      <c r="Q793" s="729"/>
      <c r="R793" s="694"/>
      <c r="S793" s="694"/>
      <c r="T793" s="694"/>
      <c r="U793" s="1205"/>
      <c r="V793" s="1206">
        <f>J793</f>
        <v>2026</v>
      </c>
      <c r="W793" s="1206">
        <f>K793</f>
        <v>2027</v>
      </c>
      <c r="X793" s="1206">
        <f>L793</f>
        <v>2028</v>
      </c>
      <c r="Y793" s="1206">
        <f>M793</f>
        <v>2029</v>
      </c>
      <c r="Z793" s="1207">
        <f>N793</f>
        <v>2030</v>
      </c>
      <c r="AA793" s="694"/>
      <c r="AB793" s="694"/>
      <c r="AC793" s="694"/>
      <c r="AD793" s="694"/>
      <c r="AE793" s="694"/>
      <c r="AF793" s="694"/>
      <c r="AG793" s="694"/>
      <c r="AH793" s="694"/>
      <c r="AI793" s="694"/>
      <c r="AJ793" s="694"/>
      <c r="AK793" s="694"/>
      <c r="AL793" s="694"/>
    </row>
    <row r="794" spans="1:38" ht="12.75" customHeight="1" x14ac:dyDescent="0.25">
      <c r="A794" s="694"/>
      <c r="B794" s="298"/>
      <c r="C794" s="1302"/>
      <c r="D794" s="1208" t="s">
        <v>6</v>
      </c>
      <c r="E794" s="2822" t="str">
        <f>Translations!$B$1328</f>
        <v>Средна годишна стойност</v>
      </c>
      <c r="F794" s="2258"/>
      <c r="G794" s="2258"/>
      <c r="H794" s="1266" t="str">
        <f>G790</f>
        <v>t CO2</v>
      </c>
      <c r="I794" s="1211" t="str">
        <f>INDEX('B+C_SubInstallations'!$K:$K,MATCH(Q794,'B+C_SubInstallations'!$V:$V,0))</f>
        <v/>
      </c>
      <c r="J794" s="1267" t="str">
        <f>IF($T790&lt;&gt;TRUE,"",IF(AND(V794&gt;=3,CNTR_ReportingYear&gt;J793-1),AVERAGE(SUM(H790),SUM(I790)),""))</f>
        <v/>
      </c>
      <c r="K794" s="1268" t="str">
        <f>IF($T790&lt;&gt;TRUE,"",IF(AND(W794&gt;=3,CNTR_ReportingYear&gt;K793-1),AVERAGE(SUM(I790),SUM(J790)),""))</f>
        <v/>
      </c>
      <c r="L794" s="1268" t="str">
        <f>IF($T790&lt;&gt;TRUE,"",IF(AND(X794&gt;=3,CNTR_ReportingYear&gt;L793-1),AVERAGE(SUM(J790),SUM(K790)),""))</f>
        <v/>
      </c>
      <c r="M794" s="1268" t="str">
        <f>IF($T790&lt;&gt;TRUE,"",IF(AND(Y794&gt;=3,CNTR_ReportingYear&gt;M793-1),AVERAGE(SUM(K790),SUM(L790)),""))</f>
        <v/>
      </c>
      <c r="N794" s="1269" t="str">
        <f>IF($T790&lt;&gt;TRUE,"",IF(AND(Z794&gt;=3,CNTR_ReportingYear&gt;N793-1),AVERAGE(SUM(L790),SUM(M790)),""))</f>
        <v/>
      </c>
      <c r="O794" s="302"/>
      <c r="P794" s="302"/>
      <c r="Q794" s="1190" t="str">
        <f>EUconst_CNTR_HALinitial &amp; EUconst_CNTR_WGFlared &amp; I575</f>
        <v>HALini_WasteGasFlare_</v>
      </c>
      <c r="R794" s="694"/>
      <c r="S794" s="694"/>
      <c r="T794" s="694"/>
      <c r="U794" s="1365" t="s">
        <v>1710</v>
      </c>
      <c r="V794" s="1176">
        <f>V597</f>
        <v>0</v>
      </c>
      <c r="W794" s="1176">
        <f>W597</f>
        <v>0</v>
      </c>
      <c r="X794" s="1176">
        <f>X597</f>
        <v>0</v>
      </c>
      <c r="Y794" s="1176">
        <f>Y597</f>
        <v>0</v>
      </c>
      <c r="Z794" s="1216">
        <f>Z597</f>
        <v>0</v>
      </c>
      <c r="AA794" s="694"/>
      <c r="AB794" s="694"/>
      <c r="AC794" s="694"/>
      <c r="AD794" s="694"/>
      <c r="AE794" s="694"/>
      <c r="AF794" s="694"/>
      <c r="AG794" s="694"/>
      <c r="AH794" s="694"/>
      <c r="AI794" s="694"/>
      <c r="AJ794" s="694"/>
      <c r="AK794" s="694"/>
      <c r="AL794" s="694"/>
    </row>
    <row r="795" spans="1:38" ht="12.75" hidden="1" customHeight="1" x14ac:dyDescent="0.25">
      <c r="A795" s="729" t="s">
        <v>312</v>
      </c>
      <c r="B795" s="298"/>
      <c r="C795" s="1302"/>
      <c r="D795" s="1208"/>
      <c r="E795" s="2822" t="str">
        <f>Translations!$B$1378</f>
        <v>Промяна в сравнение със стойността в НМИ</v>
      </c>
      <c r="F795" s="2258"/>
      <c r="G795" s="2258"/>
      <c r="H795" s="1222"/>
      <c r="I795" s="1223"/>
      <c r="J795" s="104" t="str">
        <f>IF(J794="","",IF($I797=0,IF(J794=0,0%,100%),J794/$I797-1))</f>
        <v/>
      </c>
      <c r="K795" s="99" t="str">
        <f>IF(K794="","",IF($I797=0,IF(K794=0,0%,100%),K794/$I797-1))</f>
        <v/>
      </c>
      <c r="L795" s="99" t="str">
        <f>IF(L794="","",IF($I797=0,IF(L794=0,0%,100%),L794/$I797-1))</f>
        <v/>
      </c>
      <c r="M795" s="99" t="str">
        <f>IF(M794="","",IF($I797=0,IF(M794=0,0%,100%),M794/$I797-1))</f>
        <v/>
      </c>
      <c r="N795" s="123" t="str">
        <f>IF(N794="","",IF($I797=0,IF(N794=0,0%,100%),N794/$I797-1))</f>
        <v/>
      </c>
      <c r="O795" s="302"/>
      <c r="P795" s="302"/>
      <c r="Q795" s="1190" t="str">
        <f>EUconst_CNTR_RelThreshold &amp; Q797</f>
        <v>RelThresh_HALprelim_WasteGasFlare_</v>
      </c>
      <c r="R795" s="694"/>
      <c r="S795" s="694"/>
      <c r="T795" s="694"/>
      <c r="U795" s="1365" t="s">
        <v>1715</v>
      </c>
      <c r="V795" s="727" t="str">
        <f>IF(J794="","",ABS(J795)&gt;15%)</f>
        <v/>
      </c>
      <c r="W795" s="727" t="str">
        <f>IF(K794="","",ABS(K795)&gt;15%)</f>
        <v/>
      </c>
      <c r="X795" s="727" t="str">
        <f>IF(L794="","",ABS(L795)&gt;15%)</f>
        <v/>
      </c>
      <c r="Y795" s="727" t="str">
        <f>IF(M794="","",ABS(M795)&gt;15%)</f>
        <v/>
      </c>
      <c r="Z795" s="1221" t="str">
        <f>IF(N794="","",ABS(N795)&gt;15%)</f>
        <v/>
      </c>
      <c r="AA795" s="694"/>
      <c r="AB795" s="694"/>
      <c r="AC795" s="694"/>
      <c r="AD795" s="694"/>
      <c r="AE795" s="694"/>
      <c r="AF795" s="694"/>
      <c r="AG795" s="694"/>
      <c r="AH795" s="694"/>
      <c r="AI795" s="694"/>
      <c r="AJ795" s="694"/>
      <c r="AK795" s="694"/>
      <c r="AL795" s="694"/>
    </row>
    <row r="796" spans="1:38" ht="12.75" customHeight="1" x14ac:dyDescent="0.25">
      <c r="A796" s="729"/>
      <c r="B796" s="298"/>
      <c r="C796" s="1302"/>
      <c r="D796" s="1208" t="s">
        <v>7</v>
      </c>
      <c r="E796" s="2822" t="str">
        <f>Translations!$B$1322</f>
        <v>Предварителна корекция (ако са надвишени относителните прагове)</v>
      </c>
      <c r="F796" s="2258"/>
      <c r="G796" s="2258"/>
      <c r="H796" s="1222"/>
      <c r="I796" s="1223"/>
      <c r="J796" s="1224" t="str">
        <f>IF(J794="","",IF(V795=FALSE,0%,IF(V796,J795,I802)))</f>
        <v/>
      </c>
      <c r="K796" s="1225" t="str">
        <f>IF(K794="","",IF(W795=FALSE,0%,IF(W796,K795,J802)))</f>
        <v/>
      </c>
      <c r="L796" s="1225" t="str">
        <f>IF(L794="","",IF(X795=FALSE,0%,IF(X796,L795,K802)))</f>
        <v/>
      </c>
      <c r="M796" s="1225" t="str">
        <f>IF(M794="","",IF(Y795=FALSE,0%,IF(Y796,M795,L802)))</f>
        <v/>
      </c>
      <c r="N796" s="1226" t="str">
        <f>IF(N794="","",IF(Z795=FALSE,0%,IF(Z796,N795,M802)))</f>
        <v/>
      </c>
      <c r="O796" s="302"/>
      <c r="P796" s="302"/>
      <c r="Q796" s="729"/>
      <c r="R796" s="694"/>
      <c r="S796" s="694"/>
      <c r="T796" s="694"/>
      <c r="U796" s="1215" t="s">
        <v>1716</v>
      </c>
      <c r="V796" s="727" t="str">
        <f>IF(J794="","",AND(V795,IF(SUM(I802)&lt;0,OR(SUM(J795)&lt;SUM(I802)-MOD(SUM(I802),5%),J795&gt;=SUM(I802)+5%-MOD(SUM(I802),5%)),OR(SUM(J795)&lt;=SUM(I802)-MOD(SUM(I802),5%),SUM(J795)&gt;SUM(I802)+5%-MOD(SUM(I802),5%)))))</f>
        <v/>
      </c>
      <c r="W796" s="727" t="str">
        <f>IF(K794="","",AND(W795,IF(SUM(J802)&lt;0,OR(SUM(K795)&lt;SUM(J802)-MOD(SUM(J802),5%),K795&gt;=SUM(J802)+5%-MOD(SUM(J802),5%)),OR(SUM(K795)&lt;=SUM(J802)-MOD(SUM(J802),5%),SUM(K795)&gt;SUM(J802)+5%-MOD(SUM(J802),5%)))))</f>
        <v/>
      </c>
      <c r="X796" s="727" t="str">
        <f>IF(L794="","",AND(X795,IF(SUM(K802)&lt;0,OR(SUM(L795)&lt;SUM(K802)-MOD(SUM(K802),5%),L795&gt;=SUM(K802)+5%-MOD(SUM(K802),5%)),OR(SUM(L795)&lt;=SUM(K802)-MOD(SUM(K802),5%),SUM(L795)&gt;SUM(K802)+5%-MOD(SUM(K802),5%)))))</f>
        <v/>
      </c>
      <c r="Y796" s="727" t="str">
        <f>IF(M794="","",AND(Y795,IF(SUM(L802)&lt;0,OR(SUM(M795)&lt;SUM(L802)-MOD(SUM(L802),5%),M795&gt;=SUM(L802)+5%-MOD(SUM(L802),5%)),OR(SUM(M795)&lt;=SUM(L802)-MOD(SUM(L802),5%),SUM(M795)&gt;SUM(L802)+5%-MOD(SUM(L802),5%)))))</f>
        <v/>
      </c>
      <c r="Z796" s="1221" t="str">
        <f>IF(N794="","",AND(Z795,IF(SUM(M802)&lt;0,OR(SUM(N795)&lt;SUM(M802)-MOD(SUM(M802),5%),N795&gt;=SUM(M802)+5%-MOD(SUM(M802),5%)),OR(SUM(N795)&lt;=SUM(M802)-MOD(SUM(M802),5%),SUM(N795)&gt;SUM(M802)+5%-MOD(SUM(M802),5%)))))</f>
        <v/>
      </c>
      <c r="AA796" s="694"/>
      <c r="AB796" s="694"/>
      <c r="AC796" s="694"/>
      <c r="AD796" s="694"/>
      <c r="AE796" s="694"/>
      <c r="AF796" s="694"/>
      <c r="AG796" s="694"/>
      <c r="AH796" s="694"/>
      <c r="AI796" s="694"/>
      <c r="AJ796" s="694"/>
      <c r="AK796" s="694"/>
      <c r="AL796" s="694"/>
    </row>
    <row r="797" spans="1:38" ht="12.75" hidden="1" customHeight="1" x14ac:dyDescent="0.25">
      <c r="A797" s="729" t="s">
        <v>312</v>
      </c>
      <c r="B797" s="298"/>
      <c r="C797" s="1302"/>
      <c r="D797" s="1208"/>
      <c r="E797" s="2822" t="str">
        <f>Translations!$B$1377</f>
        <v>Предварителна стойност</v>
      </c>
      <c r="F797" s="2258"/>
      <c r="G797" s="2258"/>
      <c r="H797" s="1266" t="str">
        <f>H794</f>
        <v>t CO2</v>
      </c>
      <c r="I797" s="1211" t="str">
        <f>IF($I575="","",IF(AB575=FALSE,EUconst_NA,IF(V575&gt;($J$2831-3),INDEX(H790:N790,MATCH(V575,H784:N784,0)),SUM(I794))))</f>
        <v/>
      </c>
      <c r="J797" s="1212" t="str">
        <f>IF($I575="","",IF(V794&lt;2,SUM(J790),IF(V794&lt;3,SUM(I790),IF(V797="",I797,V797))))</f>
        <v/>
      </c>
      <c r="K797" s="1213" t="str">
        <f>IF($I575="","",IF(W794&lt;2,SUM(K790),IF(W794&lt;3,SUM(J790),IF(W797="",J797,W797))))</f>
        <v/>
      </c>
      <c r="L797" s="1213" t="str">
        <f>IF($I575="","",IF(X794&lt;2,SUM(L790),IF(X794&lt;3,SUM(K790),IF(X797="",K797,X797))))</f>
        <v/>
      </c>
      <c r="M797" s="1213" t="str">
        <f>IF($I575="","",IF(Y794&lt;2,SUM(M790),IF(Y794&lt;3,SUM(L790),IF(Y797="",L797,Y797))))</f>
        <v/>
      </c>
      <c r="N797" s="1214" t="str">
        <f>IF($I575="","",IF(Z794&lt;2,SUM(N790),IF(Z794&lt;3,SUM(M790),IF(Z797="",M797,Z797))))</f>
        <v/>
      </c>
      <c r="O797" s="302"/>
      <c r="P797" s="302"/>
      <c r="Q797" s="1190" t="str">
        <f>EUconst_CNTR_HALprelim&amp;EUconst_CNTR_WGFlared &amp; I575</f>
        <v>HALprelim_WasteGasFlare_</v>
      </c>
      <c r="R797" s="694"/>
      <c r="S797" s="694"/>
      <c r="T797" s="694"/>
      <c r="U797" s="1365" t="s">
        <v>1756</v>
      </c>
      <c r="V797" s="1227" t="str">
        <f>IF(J794="","",IF(CNTR_ReportingYear&lt;J793,I796,IF($I797=0,J794,$I797*(1+J796))))</f>
        <v/>
      </c>
      <c r="W797" s="1227" t="str">
        <f>IF(K794="","",IF(CNTR_ReportingYear&lt;K793,J796,IF($I797=0,K794,$I797*(1+K796))))</f>
        <v/>
      </c>
      <c r="X797" s="1227" t="str">
        <f>IF(L794="","",IF(CNTR_ReportingYear&lt;L793,K796,IF($I797=0,L794,$I797*(1+L796))))</f>
        <v/>
      </c>
      <c r="Y797" s="1227" t="str">
        <f>IF(M794="","",IF(CNTR_ReportingYear&lt;M793,L796,IF($I797=0,M794,$I797*(1+M796))))</f>
        <v/>
      </c>
      <c r="Z797" s="1228" t="str">
        <f>IF(N794="","",IF(CNTR_ReportingYear&lt;N793,M796,IF($I797=0,N794,$I797*(1+N796))))</f>
        <v/>
      </c>
      <c r="AA797" s="694"/>
      <c r="AB797" s="694"/>
      <c r="AC797" s="694"/>
      <c r="AD797" s="694"/>
      <c r="AE797" s="694"/>
      <c r="AF797" s="694"/>
      <c r="AG797" s="694"/>
      <c r="AH797" s="694"/>
      <c r="AI797" s="694"/>
      <c r="AJ797" s="694"/>
      <c r="AK797" s="694"/>
      <c r="AL797" s="694"/>
    </row>
    <row r="798" spans="1:38" ht="5.15" customHeight="1" x14ac:dyDescent="0.25">
      <c r="A798" s="729"/>
      <c r="B798" s="298"/>
      <c r="C798" s="1302"/>
      <c r="D798" s="1208"/>
      <c r="E798" s="1199"/>
      <c r="F798" s="1199"/>
      <c r="G798" s="1199"/>
      <c r="H798" s="1199"/>
      <c r="I798" s="1199"/>
      <c r="J798" s="1229"/>
      <c r="K798" s="1229"/>
      <c r="L798" s="1229"/>
      <c r="M798" s="1229"/>
      <c r="N798" s="1230"/>
      <c r="O798" s="302"/>
      <c r="P798" s="302"/>
      <c r="Q798" s="729"/>
      <c r="R798" s="694"/>
      <c r="S798" s="694"/>
      <c r="T798" s="694"/>
      <c r="U798" s="1231"/>
      <c r="V798" s="729"/>
      <c r="W798" s="694"/>
      <c r="X798" s="694"/>
      <c r="Y798" s="694"/>
      <c r="Z798" s="1232"/>
      <c r="AA798" s="694"/>
      <c r="AB798" s="694"/>
      <c r="AC798" s="694"/>
      <c r="AD798" s="694"/>
      <c r="AE798" s="694"/>
      <c r="AF798" s="694"/>
      <c r="AG798" s="694"/>
      <c r="AH798" s="694"/>
      <c r="AI798" s="694"/>
      <c r="AJ798" s="694"/>
      <c r="AK798" s="694"/>
      <c r="AL798" s="694"/>
    </row>
    <row r="799" spans="1:38" ht="12.75" customHeight="1" x14ac:dyDescent="0.25">
      <c r="A799" s="729"/>
      <c r="B799" s="298"/>
      <c r="C799" s="1302"/>
      <c r="D799" s="1208"/>
      <c r="E799" s="2823" t="str">
        <f>Translations!$B$1323</f>
        <v>Действителна корекция (база за следващи години)</v>
      </c>
      <c r="F799" s="2672"/>
      <c r="G799" s="2672"/>
      <c r="H799" s="2672"/>
      <c r="I799" s="2813"/>
      <c r="J799" s="1202">
        <f>J$2831</f>
        <v>2026</v>
      </c>
      <c r="K799" s="1203">
        <f>K$2831</f>
        <v>2027</v>
      </c>
      <c r="L799" s="1203">
        <f>L$2831</f>
        <v>2028</v>
      </c>
      <c r="M799" s="1203">
        <f>M$2831</f>
        <v>2029</v>
      </c>
      <c r="N799" s="1204">
        <f>N$2831</f>
        <v>2030</v>
      </c>
      <c r="O799" s="302"/>
      <c r="P799" s="302"/>
      <c r="Q799" s="729"/>
      <c r="R799" s="694"/>
      <c r="S799" s="694"/>
      <c r="T799" s="694"/>
      <c r="U799" s="1234"/>
      <c r="V799" s="694"/>
      <c r="W799" s="694"/>
      <c r="X799" s="694"/>
      <c r="Y799" s="694"/>
      <c r="Z799" s="1232"/>
      <c r="AA799" s="694"/>
      <c r="AB799" s="694"/>
      <c r="AC799" s="694"/>
      <c r="AD799" s="694"/>
      <c r="AE799" s="694"/>
      <c r="AF799" s="694"/>
      <c r="AG799" s="694"/>
      <c r="AH799" s="694"/>
      <c r="AI799" s="694"/>
      <c r="AJ799" s="694"/>
      <c r="AK799" s="694"/>
      <c r="AL799" s="694"/>
    </row>
    <row r="800" spans="1:38" ht="12.75" customHeight="1" x14ac:dyDescent="0.25">
      <c r="A800" s="729"/>
      <c r="B800" s="298"/>
      <c r="C800" s="1302"/>
      <c r="D800" s="1208" t="s">
        <v>8</v>
      </c>
      <c r="E800" s="2822" t="str">
        <f>Translations!$B$1515</f>
        <v>изпълнен ли е критерият за &gt;=300 квоти за емисии?</v>
      </c>
      <c r="F800" s="2258"/>
      <c r="G800" s="2258"/>
      <c r="H800" s="2258"/>
      <c r="I800" s="2824"/>
      <c r="J800" s="1236" t="str">
        <f>IF($I575="","",INDEX(K_Summary!J:J,MATCH($Q800,K_Summary!$P:$P,0)))</f>
        <v/>
      </c>
      <c r="K800" s="385" t="str">
        <f>IF($I575="","",INDEX(K_Summary!K:K,MATCH($Q800,K_Summary!$P:$P,0)))</f>
        <v/>
      </c>
      <c r="L800" s="385" t="str">
        <f>IF($I575="","",INDEX(K_Summary!L:L,MATCH($Q800,K_Summary!$P:$P,0)))</f>
        <v/>
      </c>
      <c r="M800" s="385" t="str">
        <f>IF($I575="","",INDEX(K_Summary!M:M,MATCH($Q800,K_Summary!$P:$P,0)))</f>
        <v/>
      </c>
      <c r="N800" s="1237" t="str">
        <f>IF($I575="","",INDEX(K_Summary!N:N,MATCH($Q800,K_Summary!$P:$P,0)))</f>
        <v/>
      </c>
      <c r="O800" s="302"/>
      <c r="P800" s="302"/>
      <c r="Q800" s="1182" t="str">
        <f>EUconst_CNTR_300EUA&amp;I575</f>
        <v>EUA300_</v>
      </c>
      <c r="R800" s="694"/>
      <c r="S800" s="694"/>
      <c r="T800" s="694"/>
      <c r="U800" s="1234"/>
      <c r="V800" s="694"/>
      <c r="W800" s="694"/>
      <c r="X800" s="694"/>
      <c r="Y800" s="694"/>
      <c r="Z800" s="1232"/>
      <c r="AA800" s="694"/>
      <c r="AB800" s="694"/>
      <c r="AC800" s="694"/>
      <c r="AD800" s="694"/>
      <c r="AE800" s="694"/>
      <c r="AF800" s="694"/>
      <c r="AG800" s="694"/>
      <c r="AH800" s="694"/>
      <c r="AI800" s="694"/>
      <c r="AJ800" s="694"/>
      <c r="AK800" s="694"/>
      <c r="AL800" s="694"/>
    </row>
    <row r="801" spans="1:38" ht="5.15" customHeight="1" thickBot="1" x14ac:dyDescent="0.3">
      <c r="A801" s="729"/>
      <c r="B801" s="298"/>
      <c r="C801" s="1302"/>
      <c r="D801" s="1208"/>
      <c r="E801" s="1199"/>
      <c r="F801" s="1199"/>
      <c r="G801" s="1199"/>
      <c r="H801" s="1199"/>
      <c r="I801" s="1199"/>
      <c r="J801" s="1199"/>
      <c r="K801" s="1199"/>
      <c r="L801" s="1199"/>
      <c r="M801" s="1199"/>
      <c r="N801" s="1238"/>
      <c r="O801" s="302"/>
      <c r="P801" s="302"/>
      <c r="Q801" s="729"/>
      <c r="R801" s="694"/>
      <c r="S801" s="694"/>
      <c r="T801" s="694"/>
      <c r="U801" s="1231"/>
      <c r="V801" s="729"/>
      <c r="W801" s="694"/>
      <c r="X801" s="694"/>
      <c r="Y801" s="694"/>
      <c r="Z801" s="1232"/>
      <c r="AA801" s="694"/>
      <c r="AB801" s="694"/>
      <c r="AC801" s="694"/>
      <c r="AD801" s="694"/>
      <c r="AE801" s="694"/>
      <c r="AF801" s="694"/>
      <c r="AG801" s="694"/>
      <c r="AH801" s="694"/>
      <c r="AI801" s="694"/>
      <c r="AJ801" s="694"/>
      <c r="AK801" s="694"/>
      <c r="AL801" s="694"/>
    </row>
    <row r="802" spans="1:38" ht="12.75" customHeight="1" thickBot="1" x14ac:dyDescent="0.3">
      <c r="A802" s="694"/>
      <c r="B802" s="298"/>
      <c r="C802" s="1302"/>
      <c r="D802" s="1208" t="s">
        <v>18</v>
      </c>
      <c r="E802" s="2822" t="str">
        <f>Translations!$B$1324</f>
        <v>Действителна корекция (ако са надвишени всички прагове)</v>
      </c>
      <c r="F802" s="2258"/>
      <c r="G802" s="2258"/>
      <c r="H802" s="2258"/>
      <c r="I802" s="2824"/>
      <c r="J802" s="1240" t="str">
        <f>IF(J800="","",IF(OR(J800,V794&lt;1),J796,I802))</f>
        <v/>
      </c>
      <c r="K802" s="1241" t="str">
        <f>IF(K800="","",IF(OR(K800,W794&lt;1),K796,J802))</f>
        <v/>
      </c>
      <c r="L802" s="1241" t="str">
        <f>IF(L800="","",IF(OR(L800,X794&lt;1),L796,K802))</f>
        <v/>
      </c>
      <c r="M802" s="1241" t="str">
        <f>IF(M800="","",IF(OR(M800,Y794&lt;1),M796,L802))</f>
        <v/>
      </c>
      <c r="N802" s="1242" t="str">
        <f>IF(N800="","",IF(OR(N800,Z794&lt;1),N796,M802))</f>
        <v/>
      </c>
      <c r="O802" s="302"/>
      <c r="P802" s="302"/>
      <c r="Q802" s="729"/>
      <c r="R802" s="694"/>
      <c r="S802" s="694"/>
      <c r="T802" s="694"/>
      <c r="U802" s="1231" t="s">
        <v>1718</v>
      </c>
      <c r="V802" s="1243">
        <f>J799</f>
        <v>2026</v>
      </c>
      <c r="W802" s="1243">
        <f>K799</f>
        <v>2027</v>
      </c>
      <c r="X802" s="1243">
        <f>L799</f>
        <v>2028</v>
      </c>
      <c r="Y802" s="1243">
        <f>M799</f>
        <v>2029</v>
      </c>
      <c r="Z802" s="1244">
        <f>N799</f>
        <v>2030</v>
      </c>
      <c r="AA802" s="694"/>
      <c r="AB802" s="694"/>
      <c r="AC802" s="694"/>
      <c r="AD802" s="694"/>
      <c r="AE802" s="694"/>
      <c r="AF802" s="694"/>
      <c r="AG802" s="694"/>
      <c r="AH802" s="694"/>
      <c r="AI802" s="694"/>
      <c r="AJ802" s="694"/>
      <c r="AK802" s="694"/>
      <c r="AL802" s="694"/>
    </row>
    <row r="803" spans="1:38" ht="12.75" customHeight="1" thickBot="1" x14ac:dyDescent="0.3">
      <c r="A803" s="729"/>
      <c r="B803" s="298"/>
      <c r="C803" s="1302"/>
      <c r="D803" s="1208" t="s">
        <v>810</v>
      </c>
      <c r="E803" s="2822" t="str">
        <f>Translations!$B$1325</f>
        <v>Действителна стойност</v>
      </c>
      <c r="F803" s="2258"/>
      <c r="G803" s="2258"/>
      <c r="H803" s="1266" t="str">
        <f>H794</f>
        <v>t CO2</v>
      </c>
      <c r="I803" s="1211" t="str">
        <f>I797</f>
        <v/>
      </c>
      <c r="J803" s="632" t="str">
        <f>IF($I575="","",IF(OR($I803=0,$I803=EUconst_NA),IF(OR(J800=TRUE,J799=$V575),J797,SUM(I803)),IF(J802="",J797,$I803*(1+SUM(J802)))))</f>
        <v/>
      </c>
      <c r="K803" s="633" t="str">
        <f>IF($I575="","",IF(OR($I803=0,$I803=EUconst_NA),IF(OR(K800=TRUE,K799=$V575),K797,SUM(J803)),IF(K802="",K797,$I803*(1+SUM(K802)))))</f>
        <v/>
      </c>
      <c r="L803" s="633" t="str">
        <f>IF($I575="","",IF(OR($I803=0,$I803=EUconst_NA),IF(OR(L800=TRUE,L799=$V575),L797,SUM(K803)),IF(L802="",L797,$I803*(1+SUM(L802)))))</f>
        <v/>
      </c>
      <c r="M803" s="633" t="str">
        <f>IF($I575="","",IF(OR($I803=0,$I803=EUconst_NA),IF(OR(M800=TRUE,M799=$V575),M797,SUM(L803)),IF(M802="",M797,$I803*(1+SUM(M802)))))</f>
        <v/>
      </c>
      <c r="N803" s="634" t="str">
        <f>IF($I575="","",IF(OR($I803=0,$I803=EUconst_NA),IF(OR(N800=TRUE,N799=$V575),N797,SUM(M803)),IF(N802="",N797,$I803*(1+SUM(N802)))))</f>
        <v/>
      </c>
      <c r="O803" s="302"/>
      <c r="P803" s="302"/>
      <c r="Q803" s="1190" t="str">
        <f>EUconst_CNTR_HALfinal&amp;EUconst_CNTR_WGFlared &amp; I575</f>
        <v>HALfinal_WasteGasFlare_</v>
      </c>
      <c r="R803" s="694"/>
      <c r="S803" s="694"/>
      <c r="T803" s="694"/>
      <c r="U803" s="1245" t="b">
        <v>0</v>
      </c>
      <c r="V803" s="1246" t="str">
        <f>IF(V753,IF(J800=TRUE,V583,U803),"")</f>
        <v/>
      </c>
      <c r="W803" s="1246" t="str">
        <f>IF(W753,IF(K800=TRUE,W583,V803),"")</f>
        <v/>
      </c>
      <c r="X803" s="1246" t="str">
        <f>IF(X753,IF(L800=TRUE,X583,W803),"")</f>
        <v/>
      </c>
      <c r="Y803" s="1246" t="str">
        <f>IF(Y753,IF(M800=TRUE,Y583,X803),"")</f>
        <v/>
      </c>
      <c r="Z803" s="1247" t="str">
        <f>IF(Z753,IF(N800=TRUE,Z583,Y803),"")</f>
        <v/>
      </c>
      <c r="AA803" s="694"/>
      <c r="AB803" s="694"/>
      <c r="AC803" s="694"/>
      <c r="AD803" s="694"/>
      <c r="AE803" s="694"/>
      <c r="AF803" s="694"/>
      <c r="AG803" s="694"/>
      <c r="AH803" s="694"/>
      <c r="AI803" s="694"/>
      <c r="AJ803" s="1174" t="s">
        <v>2033</v>
      </c>
      <c r="AK803" s="982" t="str">
        <f>IF(OR(ISERROR(J803),ISERROR(K803),ISERROR(L803),ISERROR(M803),ISERROR(N803)),EUconst_Error &amp; "BM" &amp; Q575,"")</f>
        <v/>
      </c>
      <c r="AL803" s="694"/>
    </row>
    <row r="804" spans="1:38" ht="5.15" customHeight="1" thickBot="1" x14ac:dyDescent="0.3">
      <c r="A804" s="694"/>
      <c r="B804" s="298"/>
      <c r="C804" s="1302"/>
      <c r="D804" s="1366"/>
      <c r="E804" s="1367"/>
      <c r="F804" s="1367"/>
      <c r="G804" s="1367"/>
      <c r="H804" s="1368"/>
      <c r="I804" s="1367"/>
      <c r="J804" s="1367"/>
      <c r="K804" s="1367"/>
      <c r="L804" s="1367"/>
      <c r="M804" s="1249"/>
      <c r="N804" s="1250"/>
      <c r="O804" s="302"/>
      <c r="P804" s="302"/>
      <c r="Q804" s="729"/>
      <c r="R804" s="694"/>
      <c r="S804" s="729"/>
      <c r="T804" s="729"/>
      <c r="U804" s="729"/>
      <c r="V804" s="729"/>
      <c r="W804" s="694"/>
      <c r="X804" s="694"/>
      <c r="Y804" s="694"/>
      <c r="Z804" s="694"/>
      <c r="AA804" s="694"/>
      <c r="AB804" s="694"/>
      <c r="AC804" s="694"/>
      <c r="AD804" s="694"/>
      <c r="AE804" s="694"/>
      <c r="AF804" s="694"/>
      <c r="AG804" s="694"/>
      <c r="AH804" s="694"/>
      <c r="AI804" s="694"/>
      <c r="AJ804" s="694"/>
      <c r="AK804" s="694"/>
      <c r="AL804" s="694"/>
    </row>
    <row r="805" spans="1:38" ht="5.15" customHeight="1" x14ac:dyDescent="0.25">
      <c r="A805" s="694"/>
      <c r="B805" s="298"/>
      <c r="C805" s="1302"/>
      <c r="D805" s="1306"/>
      <c r="E805" s="1306"/>
      <c r="F805" s="1306"/>
      <c r="G805" s="1306"/>
      <c r="H805" s="1354"/>
      <c r="I805" s="1306"/>
      <c r="J805" s="1306"/>
      <c r="K805" s="1306"/>
      <c r="L805" s="1306"/>
      <c r="M805" s="626"/>
      <c r="N805" s="1316"/>
      <c r="O805" s="302"/>
      <c r="P805" s="302"/>
      <c r="Q805" s="729"/>
      <c r="R805" s="694"/>
      <c r="S805" s="729"/>
      <c r="T805" s="729"/>
      <c r="U805" s="729"/>
      <c r="V805" s="729"/>
      <c r="W805" s="694"/>
      <c r="X805" s="694"/>
      <c r="Y805" s="694"/>
      <c r="Z805" s="694"/>
      <c r="AA805" s="694"/>
      <c r="AB805" s="694"/>
      <c r="AC805" s="694"/>
      <c r="AD805" s="694"/>
      <c r="AE805" s="694"/>
      <c r="AF805" s="694"/>
      <c r="AG805" s="694"/>
      <c r="AH805" s="694"/>
      <c r="AI805" s="694"/>
      <c r="AJ805" s="694"/>
      <c r="AK805" s="694"/>
      <c r="AL805" s="694"/>
    </row>
    <row r="806" spans="1:38" ht="12.75" customHeight="1" x14ac:dyDescent="0.25">
      <c r="A806" s="694"/>
      <c r="B806" s="298"/>
      <c r="C806" s="1302"/>
      <c r="D806" s="625" t="s">
        <v>1140</v>
      </c>
      <c r="E806" s="2815" t="str">
        <f>Translations!$B$582</f>
        <v>Видове получени отпадни газове:</v>
      </c>
      <c r="F806" s="2240"/>
      <c r="G806" s="2240"/>
      <c r="H806" s="2684"/>
      <c r="I806" s="2821"/>
      <c r="J806" s="2674"/>
      <c r="K806" s="2674"/>
      <c r="L806" s="2674"/>
      <c r="M806" s="2675"/>
      <c r="N806" s="1316"/>
      <c r="O806" s="302"/>
      <c r="P806" s="158"/>
      <c r="Q806" s="729"/>
      <c r="R806" s="694"/>
      <c r="S806" s="729"/>
      <c r="T806" s="694"/>
      <c r="U806" s="694"/>
      <c r="V806" s="694"/>
      <c r="W806" s="694"/>
      <c r="X806" s="694"/>
      <c r="Y806" s="694"/>
      <c r="Z806" s="694"/>
      <c r="AA806" s="694"/>
      <c r="AB806" s="694"/>
      <c r="AC806" s="1182" t="s">
        <v>737</v>
      </c>
      <c r="AD806" s="982" t="b">
        <f>AD780</f>
        <v>0</v>
      </c>
      <c r="AE806" s="694"/>
      <c r="AF806" s="694"/>
      <c r="AG806" s="694"/>
      <c r="AH806" s="694"/>
      <c r="AI806" s="694"/>
      <c r="AJ806" s="694"/>
      <c r="AK806" s="694"/>
      <c r="AL806" s="694"/>
    </row>
    <row r="807" spans="1:38" ht="12.75" customHeight="1" x14ac:dyDescent="0.25">
      <c r="A807" s="694"/>
      <c r="B807" s="298"/>
      <c r="C807" s="1302"/>
      <c r="D807" s="625"/>
      <c r="E807" s="2816" t="str">
        <f>Translations!$B$583</f>
        <v>Посочените тук данни ще се отразят на емисиите, които могат да бъдат зададени съгласно раздел 10.1.5 от приложение VII към ПБР.</v>
      </c>
      <c r="F807" s="2240"/>
      <c r="G807" s="2240"/>
      <c r="H807" s="2240"/>
      <c r="I807" s="2240"/>
      <c r="J807" s="2240"/>
      <c r="K807" s="2240"/>
      <c r="L807" s="2240"/>
      <c r="M807" s="2240"/>
      <c r="N807" s="2811"/>
      <c r="O807" s="302"/>
      <c r="P807" s="302"/>
      <c r="Q807" s="729"/>
      <c r="R807" s="694"/>
      <c r="S807" s="729"/>
      <c r="T807" s="729"/>
      <c r="U807" s="729"/>
      <c r="V807" s="729"/>
      <c r="W807" s="694"/>
      <c r="X807" s="694"/>
      <c r="Y807" s="694"/>
      <c r="Z807" s="694"/>
      <c r="AA807" s="694"/>
      <c r="AB807" s="694"/>
      <c r="AC807" s="694"/>
      <c r="AD807" s="694"/>
      <c r="AE807" s="694"/>
      <c r="AF807" s="694"/>
      <c r="AG807" s="694"/>
      <c r="AH807" s="694"/>
      <c r="AI807" s="694"/>
      <c r="AJ807" s="694"/>
      <c r="AK807" s="694"/>
      <c r="AL807" s="694"/>
    </row>
    <row r="808" spans="1:38" ht="25.5" customHeight="1" x14ac:dyDescent="0.25">
      <c r="A808" s="694"/>
      <c r="B808" s="298"/>
      <c r="C808" s="1302"/>
      <c r="D808" s="625"/>
      <c r="E808" s="2810" t="str">
        <f>Translations!$B$584</f>
        <v>Това включва всички видове отпадни газове, произведени извън системните граници на тази подинсталация, но получени от нея и използвани за производството на измерима топлинна енергия, неизмерима топлинна енергия (включително необходимото за безопасността изгаряне във факел) или механична енергия (различна от тази за електропроизводство).</v>
      </c>
      <c r="F808" s="2240"/>
      <c r="G808" s="2240"/>
      <c r="H808" s="2240"/>
      <c r="I808" s="2240"/>
      <c r="J808" s="2240"/>
      <c r="K808" s="2240"/>
      <c r="L808" s="2240"/>
      <c r="M808" s="2240"/>
      <c r="N808" s="2811"/>
      <c r="O808" s="302"/>
      <c r="P808" s="302"/>
      <c r="Q808" s="729"/>
      <c r="R808" s="694"/>
      <c r="S808" s="729"/>
      <c r="T808" s="729"/>
      <c r="U808" s="729"/>
      <c r="V808" s="729"/>
      <c r="W808" s="694"/>
      <c r="X808" s="694"/>
      <c r="Y808" s="694"/>
      <c r="Z808" s="694"/>
      <c r="AA808" s="694"/>
      <c r="AB808" s="694"/>
      <c r="AC808" s="694"/>
      <c r="AD808" s="694"/>
      <c r="AE808" s="694"/>
      <c r="AF808" s="694"/>
      <c r="AG808" s="694"/>
      <c r="AH808" s="694"/>
      <c r="AI808" s="694"/>
      <c r="AJ808" s="694"/>
      <c r="AK808" s="694"/>
      <c r="AL808" s="694"/>
    </row>
    <row r="809" spans="1:38" ht="12.75" customHeight="1" thickBot="1" x14ac:dyDescent="0.3">
      <c r="A809" s="694"/>
      <c r="B809" s="298"/>
      <c r="C809" s="1302"/>
      <c r="D809" s="1306"/>
      <c r="E809" s="1317"/>
      <c r="F809" s="1318"/>
      <c r="G809" s="1309" t="str">
        <f>EUconst_Unit</f>
        <v>Единица мярка</v>
      </c>
      <c r="H809" s="629">
        <f t="shared" ref="H809:N809" si="898">H$2831</f>
        <v>2024</v>
      </c>
      <c r="I809" s="1310">
        <f t="shared" si="898"/>
        <v>2025</v>
      </c>
      <c r="J809" s="1311">
        <f t="shared" si="898"/>
        <v>2026</v>
      </c>
      <c r="K809" s="629">
        <f t="shared" si="898"/>
        <v>2027</v>
      </c>
      <c r="L809" s="629">
        <f t="shared" si="898"/>
        <v>2028</v>
      </c>
      <c r="M809" s="629">
        <f t="shared" si="898"/>
        <v>2029</v>
      </c>
      <c r="N809" s="1312">
        <f t="shared" si="898"/>
        <v>2030</v>
      </c>
      <c r="O809" s="302"/>
      <c r="P809" s="302"/>
      <c r="Q809" s="729"/>
      <c r="R809" s="694"/>
      <c r="S809" s="729"/>
      <c r="T809" s="729"/>
      <c r="U809" s="729"/>
      <c r="V809" s="729"/>
      <c r="W809" s="694"/>
      <c r="X809" s="694"/>
      <c r="Y809" s="694"/>
      <c r="Z809" s="694"/>
      <c r="AA809" s="694"/>
      <c r="AB809" s="694"/>
      <c r="AC809" s="1178">
        <f t="shared" ref="AC809" si="899">H$20</f>
        <v>2024</v>
      </c>
      <c r="AD809" s="1178">
        <f t="shared" ref="AD809" si="900">I$20</f>
        <v>2025</v>
      </c>
      <c r="AE809" s="1178">
        <f t="shared" ref="AE809" si="901">J$20</f>
        <v>2026</v>
      </c>
      <c r="AF809" s="1178">
        <f t="shared" ref="AF809" si="902">K$20</f>
        <v>2027</v>
      </c>
      <c r="AG809" s="1178">
        <f t="shared" ref="AG809" si="903">L$20</f>
        <v>2028</v>
      </c>
      <c r="AH809" s="1178">
        <f t="shared" ref="AH809" si="904">M$20</f>
        <v>2029</v>
      </c>
      <c r="AI809" s="1178">
        <f t="shared" ref="AI809" si="905">N$20</f>
        <v>2030</v>
      </c>
      <c r="AJ809" s="694"/>
      <c r="AK809" s="694"/>
      <c r="AL809" s="694"/>
    </row>
    <row r="810" spans="1:38" ht="12.75" customHeight="1" thickBot="1" x14ac:dyDescent="0.3">
      <c r="A810" s="694"/>
      <c r="B810" s="298"/>
      <c r="C810" s="1302"/>
      <c r="D810" s="625" t="s">
        <v>1141</v>
      </c>
      <c r="E810" s="2818" t="str">
        <f>Translations!$B$585</f>
        <v>Получени количества</v>
      </c>
      <c r="F810" s="2701"/>
      <c r="G810" s="145"/>
      <c r="H810" s="129"/>
      <c r="I810" s="130"/>
      <c r="J810" s="131"/>
      <c r="K810" s="129"/>
      <c r="L810" s="129"/>
      <c r="M810" s="129"/>
      <c r="N810" s="132"/>
      <c r="O810" s="302"/>
      <c r="P810" s="158"/>
      <c r="Q810" s="729"/>
      <c r="R810" s="694"/>
      <c r="S810" s="729"/>
      <c r="T810" s="729"/>
      <c r="U810" s="729"/>
      <c r="V810" s="729"/>
      <c r="W810" s="694"/>
      <c r="X810" s="694"/>
      <c r="Y810" s="694"/>
      <c r="Z810" s="694"/>
      <c r="AA810" s="694"/>
      <c r="AB810" s="1182" t="s">
        <v>737</v>
      </c>
      <c r="AC810" s="982" t="b">
        <f t="shared" ref="AC810:AI810" si="906">AC766</f>
        <v>0</v>
      </c>
      <c r="AD810" s="982" t="b">
        <f t="shared" si="906"/>
        <v>0</v>
      </c>
      <c r="AE810" s="982" t="b">
        <f t="shared" si="906"/>
        <v>0</v>
      </c>
      <c r="AF810" s="982" t="b">
        <f t="shared" si="906"/>
        <v>0</v>
      </c>
      <c r="AG810" s="982" t="b">
        <f t="shared" si="906"/>
        <v>0</v>
      </c>
      <c r="AH810" s="982" t="b">
        <f t="shared" si="906"/>
        <v>0</v>
      </c>
      <c r="AI810" s="982" t="b">
        <f t="shared" si="906"/>
        <v>0</v>
      </c>
      <c r="AJ810" s="1174" t="s">
        <v>2039</v>
      </c>
      <c r="AK810" s="1176" t="str">
        <f>IF(AND(CNTR_ExistSubInstEntries,MSconst_RequireSubAttrEmissions,COUNTIFS(AC810:AI810,FALSE,H810:N810,"")&gt;0),EUconst_Error&amp;"BM"&amp;$Q575,"")</f>
        <v/>
      </c>
      <c r="AL810" s="694"/>
    </row>
    <row r="811" spans="1:38" ht="12.75" customHeight="1" x14ac:dyDescent="0.25">
      <c r="A811" s="694"/>
      <c r="B811" s="298"/>
      <c r="C811" s="1302"/>
      <c r="D811" s="625" t="s">
        <v>1142</v>
      </c>
      <c r="E811" s="2819" t="str">
        <f>Translations!$B$296</f>
        <v>Долна топлина на изгаряне</v>
      </c>
      <c r="F811" s="2705"/>
      <c r="G811" s="1349" t="str">
        <f>IF(ISBLANK(G810),EUconst_GJperUnit,INDEX(EUconst_GJperTorKNm3,MATCH(G810,EUconst_TonnesOrkNm3pa,0)))</f>
        <v>GJ / Единица мярка</v>
      </c>
      <c r="H811" s="137"/>
      <c r="I811" s="138"/>
      <c r="J811" s="139"/>
      <c r="K811" s="137"/>
      <c r="L811" s="137"/>
      <c r="M811" s="137"/>
      <c r="N811" s="140"/>
      <c r="O811" s="302"/>
      <c r="P811" s="158"/>
      <c r="Q811" s="729"/>
      <c r="R811" s="694"/>
      <c r="S811" s="1205"/>
      <c r="T811" s="1313">
        <f t="shared" ref="T811" si="907">H809</f>
        <v>2024</v>
      </c>
      <c r="U811" s="1313">
        <f t="shared" ref="U811" si="908">I809</f>
        <v>2025</v>
      </c>
      <c r="V811" s="1313">
        <f t="shared" ref="V811" si="909">J809</f>
        <v>2026</v>
      </c>
      <c r="W811" s="1313">
        <f t="shared" ref="W811" si="910">K809</f>
        <v>2027</v>
      </c>
      <c r="X811" s="1313">
        <f t="shared" ref="X811" si="911">L809</f>
        <v>2028</v>
      </c>
      <c r="Y811" s="1313">
        <f t="shared" ref="Y811" si="912">M809</f>
        <v>2029</v>
      </c>
      <c r="Z811" s="1314">
        <f t="shared" ref="Z811" si="913">N809</f>
        <v>2030</v>
      </c>
      <c r="AA811" s="694"/>
      <c r="AB811" s="694"/>
      <c r="AC811" s="982" t="b">
        <f>AC810</f>
        <v>0</v>
      </c>
      <c r="AD811" s="982" t="b">
        <f t="shared" ref="AD811:AI811" si="914">AD810</f>
        <v>0</v>
      </c>
      <c r="AE811" s="982" t="b">
        <f t="shared" si="914"/>
        <v>0</v>
      </c>
      <c r="AF811" s="982" t="b">
        <f t="shared" si="914"/>
        <v>0</v>
      </c>
      <c r="AG811" s="982" t="b">
        <f t="shared" si="914"/>
        <v>0</v>
      </c>
      <c r="AH811" s="982" t="b">
        <f t="shared" si="914"/>
        <v>0</v>
      </c>
      <c r="AI811" s="982" t="b">
        <f t="shared" si="914"/>
        <v>0</v>
      </c>
      <c r="AJ811" s="1174" t="s">
        <v>2039</v>
      </c>
      <c r="AK811" s="1176" t="str">
        <f>IF(AND(CNTR_ExistSubInstEntries,MSconst_RequireSubAttrEmissions,COUNTIFS(AC811:AI811,FALSE,H811:N811,"")&gt;0),EUconst_Error&amp;"BM"&amp;$Q575,"")</f>
        <v/>
      </c>
      <c r="AL811" s="694"/>
    </row>
    <row r="812" spans="1:38" ht="12.75" customHeight="1" x14ac:dyDescent="0.25">
      <c r="A812" s="694"/>
      <c r="B812" s="298"/>
      <c r="C812" s="1302"/>
      <c r="D812" s="625" t="s">
        <v>1143</v>
      </c>
      <c r="E812" s="2820" t="str">
        <f>Translations!$B$586</f>
        <v>Получен отпаден газ</v>
      </c>
      <c r="F812" s="2258"/>
      <c r="G812" s="1319" t="str">
        <f>EUconst_TJpa</f>
        <v>TJ / година</v>
      </c>
      <c r="H812" s="1020" t="str">
        <f t="shared" ref="H812:N812" si="915">IF(COUNT(H810:H811)=2,H810*H811/1000,"")</f>
        <v/>
      </c>
      <c r="I812" s="1369" t="str">
        <f t="shared" si="915"/>
        <v/>
      </c>
      <c r="J812" s="1370" t="str">
        <f t="shared" si="915"/>
        <v/>
      </c>
      <c r="K812" s="1020" t="str">
        <f t="shared" si="915"/>
        <v/>
      </c>
      <c r="L812" s="1020" t="str">
        <f t="shared" si="915"/>
        <v/>
      </c>
      <c r="M812" s="1020" t="str">
        <f t="shared" si="915"/>
        <v/>
      </c>
      <c r="N812" s="1371" t="str">
        <f t="shared" si="915"/>
        <v/>
      </c>
      <c r="O812" s="302"/>
      <c r="P812" s="302"/>
      <c r="Q812" s="1190" t="str">
        <f>EUconst_CNTR_WGImport &amp; I575</f>
        <v>WasteGasIm_</v>
      </c>
      <c r="R812" s="694"/>
      <c r="S812" s="1347" t="str">
        <f>EUconst_ERR_AttrEmBMapplied &amp; I575</f>
        <v>ERR_AttrEmBM_</v>
      </c>
      <c r="T812" s="982">
        <f t="shared" ref="T812" si="916">IF(AND(H812&lt;&gt;"",EUconst_StatusOfDataCollection=FALSE),1,0)</f>
        <v>0</v>
      </c>
      <c r="U812" s="982">
        <f t="shared" ref="U812" si="917">IF(AND(I812&lt;&gt;"",EUconst_StatusOfDataCollection=FALSE),1,0)</f>
        <v>0</v>
      </c>
      <c r="V812" s="982">
        <f t="shared" ref="V812" si="918">IF(AND(J812&lt;&gt;"",EUconst_StatusOfDataCollection=FALSE),1,0)</f>
        <v>0</v>
      </c>
      <c r="W812" s="982">
        <f t="shared" ref="W812" si="919">IF(AND(K812&lt;&gt;"",EUconst_StatusOfDataCollection=FALSE),1,0)</f>
        <v>0</v>
      </c>
      <c r="X812" s="982">
        <f t="shared" ref="X812" si="920">IF(AND(L812&lt;&gt;"",EUconst_StatusOfDataCollection=FALSE),1,0)</f>
        <v>0</v>
      </c>
      <c r="Y812" s="982">
        <f t="shared" ref="Y812" si="921">IF(AND(M812&lt;&gt;"",EUconst_StatusOfDataCollection=FALSE),1,0)</f>
        <v>0</v>
      </c>
      <c r="Z812" s="1287">
        <f t="shared" ref="Z812" si="922">IF(AND(N812&lt;&gt;"",EUconst_StatusOfDataCollection=FALSE),1,0)</f>
        <v>0</v>
      </c>
      <c r="AA812" s="694"/>
      <c r="AB812" s="694"/>
      <c r="AC812" s="694"/>
      <c r="AD812" s="694"/>
      <c r="AE812" s="694"/>
      <c r="AF812" s="694"/>
      <c r="AG812" s="694"/>
      <c r="AH812" s="694"/>
      <c r="AI812" s="694"/>
      <c r="AJ812" s="694"/>
      <c r="AK812" s="694"/>
      <c r="AL812" s="694"/>
    </row>
    <row r="813" spans="1:38" s="364" customFormat="1" ht="12.75" customHeight="1" thickBot="1" x14ac:dyDescent="0.3">
      <c r="A813" s="729"/>
      <c r="B813" s="298"/>
      <c r="C813" s="1302"/>
      <c r="D813" s="625" t="s">
        <v>1144</v>
      </c>
      <c r="E813" s="2820" t="str">
        <f>Translations!$B$587</f>
        <v>Специфичен EF (получен отпаден газ)</v>
      </c>
      <c r="F813" s="2258"/>
      <c r="G813" s="642" t="str">
        <f>EUconst_tCO2pTJ</f>
        <v>t CO2 / TJ</v>
      </c>
      <c r="H813" s="146"/>
      <c r="I813" s="147"/>
      <c r="J813" s="148"/>
      <c r="K813" s="146"/>
      <c r="L813" s="146"/>
      <c r="M813" s="146"/>
      <c r="N813" s="149"/>
      <c r="O813" s="302"/>
      <c r="P813" s="158"/>
      <c r="Q813" s="1190" t="str">
        <f>EUconst_CNTR_WGImportEF &amp; I575</f>
        <v>WasteGasImEF_</v>
      </c>
      <c r="R813" s="729"/>
      <c r="S813" s="1315" t="str">
        <f>EUconst_CNTR_AttributedEmissions &amp; I575</f>
        <v>AttrEmissions_</v>
      </c>
      <c r="T813" s="1290" t="str">
        <f t="shared" ref="T813" si="923">IF(T583,SUM(H812)*EUconst_FuelBMvalue,"")</f>
        <v/>
      </c>
      <c r="U813" s="1290" t="str">
        <f t="shared" ref="U813" si="924">IF(U583,SUM(I812)*EUconst_FuelBMvalue,"")</f>
        <v/>
      </c>
      <c r="V813" s="1290" t="str">
        <f t="shared" ref="V813" si="925">IF(V583,SUM(J812)*EUconst_FuelBMvalue,"")</f>
        <v/>
      </c>
      <c r="W813" s="1290" t="str">
        <f t="shared" ref="W813" si="926">IF(W583,SUM(K812)*EUconst_FuelBMvalue,"")</f>
        <v/>
      </c>
      <c r="X813" s="1290" t="str">
        <f t="shared" ref="X813" si="927">IF(X583,SUM(L812)*EUconst_FuelBMvalue,"")</f>
        <v/>
      </c>
      <c r="Y813" s="1290" t="str">
        <f t="shared" ref="Y813" si="928">IF(Y583,SUM(M812)*EUconst_FuelBMvalue,"")</f>
        <v/>
      </c>
      <c r="Z813" s="1291" t="str">
        <f t="shared" ref="Z813" si="929">IF(Z583,SUM(N812)*EUconst_FuelBMvalue,"")</f>
        <v/>
      </c>
      <c r="AA813" s="729"/>
      <c r="AB813" s="1182" t="s">
        <v>737</v>
      </c>
      <c r="AC813" s="982" t="b">
        <f>AC811</f>
        <v>0</v>
      </c>
      <c r="AD813" s="982" t="b">
        <f t="shared" ref="AD813:AI813" si="930">AD811</f>
        <v>0</v>
      </c>
      <c r="AE813" s="982" t="b">
        <f t="shared" si="930"/>
        <v>0</v>
      </c>
      <c r="AF813" s="982" t="b">
        <f t="shared" si="930"/>
        <v>0</v>
      </c>
      <c r="AG813" s="982" t="b">
        <f t="shared" si="930"/>
        <v>0</v>
      </c>
      <c r="AH813" s="982" t="b">
        <f t="shared" si="930"/>
        <v>0</v>
      </c>
      <c r="AI813" s="982" t="b">
        <f t="shared" si="930"/>
        <v>0</v>
      </c>
      <c r="AJ813" s="1174" t="s">
        <v>2039</v>
      </c>
      <c r="AK813" s="1176" t="str">
        <f>IF(AND(CNTR_ExistSubInstEntries,MSconst_RequireSubAttrEmissions,COUNTIFS(AC813:AI813,FALSE,H813:N813,"")&gt;0),EUconst_Error&amp;"BM"&amp;$Q575,"")</f>
        <v/>
      </c>
      <c r="AL813" s="694"/>
    </row>
    <row r="814" spans="1:38" ht="12.75" customHeight="1" x14ac:dyDescent="0.25">
      <c r="A814" s="694"/>
      <c r="B814" s="298"/>
      <c r="C814" s="1302"/>
      <c r="D814" s="1306"/>
      <c r="E814" s="1306"/>
      <c r="F814" s="1306"/>
      <c r="G814" s="1306"/>
      <c r="H814" s="1354"/>
      <c r="I814" s="1306"/>
      <c r="J814" s="1306"/>
      <c r="K814" s="1306"/>
      <c r="L814" s="1306"/>
      <c r="M814" s="626"/>
      <c r="N814" s="1316"/>
      <c r="O814" s="302"/>
      <c r="P814" s="302"/>
      <c r="Q814" s="729"/>
      <c r="R814" s="694"/>
      <c r="S814" s="729"/>
      <c r="T814" s="729"/>
      <c r="U814" s="729"/>
      <c r="V814" s="729"/>
      <c r="W814" s="694"/>
      <c r="X814" s="694"/>
      <c r="Y814" s="694"/>
      <c r="Z814" s="694"/>
      <c r="AA814" s="694"/>
      <c r="AB814" s="694"/>
      <c r="AC814" s="694"/>
      <c r="AD814" s="694"/>
      <c r="AE814" s="694"/>
      <c r="AF814" s="694"/>
      <c r="AG814" s="694"/>
      <c r="AH814" s="694"/>
      <c r="AI814" s="694"/>
      <c r="AJ814" s="694"/>
      <c r="AK814" s="694"/>
      <c r="AL814" s="694"/>
    </row>
    <row r="815" spans="1:38" ht="12.75" customHeight="1" x14ac:dyDescent="0.25">
      <c r="A815" s="694"/>
      <c r="B815" s="298"/>
      <c r="C815" s="1302"/>
      <c r="D815" s="625" t="s">
        <v>1145</v>
      </c>
      <c r="E815" s="2815" t="str">
        <f>Translations!$B$588</f>
        <v>Видове подадени отпадни газове:</v>
      </c>
      <c r="F815" s="2240"/>
      <c r="G815" s="2240"/>
      <c r="H815" s="2684"/>
      <c r="I815" s="2821"/>
      <c r="J815" s="2674"/>
      <c r="K815" s="2674"/>
      <c r="L815" s="2674"/>
      <c r="M815" s="2675"/>
      <c r="N815" s="1323"/>
      <c r="O815" s="302"/>
      <c r="P815" s="158"/>
      <c r="Q815" s="729"/>
      <c r="R815" s="694"/>
      <c r="S815" s="729"/>
      <c r="T815" s="694"/>
      <c r="U815" s="694"/>
      <c r="V815" s="694"/>
      <c r="W815" s="694"/>
      <c r="X815" s="694"/>
      <c r="Y815" s="694"/>
      <c r="Z815" s="694"/>
      <c r="AA815" s="694"/>
      <c r="AB815" s="694"/>
      <c r="AC815" s="1182" t="s">
        <v>737</v>
      </c>
      <c r="AD815" s="982" t="b">
        <f>AD806</f>
        <v>0</v>
      </c>
      <c r="AE815" s="694"/>
      <c r="AF815" s="694"/>
      <c r="AG815" s="694"/>
      <c r="AH815" s="694"/>
      <c r="AI815" s="694"/>
      <c r="AJ815" s="694"/>
      <c r="AK815" s="694"/>
      <c r="AL815" s="694"/>
    </row>
    <row r="816" spans="1:38" ht="12.75" customHeight="1" x14ac:dyDescent="0.25">
      <c r="A816" s="694"/>
      <c r="B816" s="298"/>
      <c r="C816" s="1302"/>
      <c r="D816" s="625"/>
      <c r="E816" s="2816" t="str">
        <f>Translations!$B$583</f>
        <v>Посочените тук данни ще се отразят на емисиите, които могат да бъдат зададени съгласно раздел 10.1.5 от приложение VII към ПБР.</v>
      </c>
      <c r="F816" s="2240"/>
      <c r="G816" s="2240"/>
      <c r="H816" s="2240"/>
      <c r="I816" s="2240"/>
      <c r="J816" s="2240"/>
      <c r="K816" s="2240"/>
      <c r="L816" s="2240"/>
      <c r="M816" s="2240"/>
      <c r="N816" s="2811"/>
      <c r="O816" s="302"/>
      <c r="P816" s="302"/>
      <c r="Q816" s="729"/>
      <c r="R816" s="694"/>
      <c r="S816" s="729"/>
      <c r="T816" s="729"/>
      <c r="U816" s="729"/>
      <c r="V816" s="729"/>
      <c r="W816" s="694"/>
      <c r="X816" s="694"/>
      <c r="Y816" s="694"/>
      <c r="Z816" s="694"/>
      <c r="AA816" s="694"/>
      <c r="AB816" s="694"/>
      <c r="AC816" s="694"/>
      <c r="AD816" s="694"/>
      <c r="AE816" s="694"/>
      <c r="AF816" s="694"/>
      <c r="AG816" s="694"/>
      <c r="AH816" s="694"/>
      <c r="AI816" s="694"/>
      <c r="AJ816" s="694"/>
      <c r="AK816" s="694"/>
      <c r="AL816" s="694"/>
    </row>
    <row r="817" spans="1:38" ht="25.5" customHeight="1" x14ac:dyDescent="0.25">
      <c r="A817" s="694"/>
      <c r="B817" s="298"/>
      <c r="C817" s="1302"/>
      <c r="D817" s="625"/>
      <c r="E817" s="2810" t="str">
        <f>Translations!$B$589</f>
        <v>Това включва всички видове отпадни газове, произведени в системните граници на тази подинсталация и подадени от тази инсталация към други подинсталации, както и към всички други инсталации или обекти.</v>
      </c>
      <c r="F817" s="2240"/>
      <c r="G817" s="2240"/>
      <c r="H817" s="2240"/>
      <c r="I817" s="2240"/>
      <c r="J817" s="2240"/>
      <c r="K817" s="2240"/>
      <c r="L817" s="2240"/>
      <c r="M817" s="2240"/>
      <c r="N817" s="2811"/>
      <c r="O817" s="302"/>
      <c r="P817" s="302"/>
      <c r="Q817" s="729"/>
      <c r="R817" s="694"/>
      <c r="S817" s="729"/>
      <c r="T817" s="729"/>
      <c r="U817" s="729"/>
      <c r="V817" s="729"/>
      <c r="W817" s="694"/>
      <c r="X817" s="694"/>
      <c r="Y817" s="694"/>
      <c r="Z817" s="694"/>
      <c r="AA817" s="694"/>
      <c r="AB817" s="694"/>
      <c r="AC817" s="694"/>
      <c r="AD817" s="694"/>
      <c r="AE817" s="694"/>
      <c r="AF817" s="694"/>
      <c r="AG817" s="694"/>
      <c r="AH817" s="694"/>
      <c r="AI817" s="694"/>
      <c r="AJ817" s="694"/>
      <c r="AK817" s="694"/>
      <c r="AL817" s="694"/>
    </row>
    <row r="818" spans="1:38" ht="12.75" customHeight="1" thickBot="1" x14ac:dyDescent="0.3">
      <c r="A818" s="694"/>
      <c r="B818" s="298"/>
      <c r="C818" s="1302"/>
      <c r="D818" s="1306"/>
      <c r="E818" s="1317"/>
      <c r="F818" s="1318"/>
      <c r="G818" s="1309" t="str">
        <f>EUconst_Unit</f>
        <v>Единица мярка</v>
      </c>
      <c r="H818" s="629">
        <f t="shared" ref="H818:N818" si="931">H$2831</f>
        <v>2024</v>
      </c>
      <c r="I818" s="1310">
        <f t="shared" si="931"/>
        <v>2025</v>
      </c>
      <c r="J818" s="1311">
        <f t="shared" si="931"/>
        <v>2026</v>
      </c>
      <c r="K818" s="629">
        <f t="shared" si="931"/>
        <v>2027</v>
      </c>
      <c r="L818" s="629">
        <f t="shared" si="931"/>
        <v>2028</v>
      </c>
      <c r="M818" s="629">
        <f t="shared" si="931"/>
        <v>2029</v>
      </c>
      <c r="N818" s="1312">
        <f t="shared" si="931"/>
        <v>2030</v>
      </c>
      <c r="O818" s="302"/>
      <c r="P818" s="302"/>
      <c r="Q818" s="729"/>
      <c r="R818" s="694"/>
      <c r="S818" s="729"/>
      <c r="T818" s="729"/>
      <c r="U818" s="729"/>
      <c r="V818" s="729"/>
      <c r="W818" s="694"/>
      <c r="X818" s="694"/>
      <c r="Y818" s="694"/>
      <c r="Z818" s="694"/>
      <c r="AA818" s="694"/>
      <c r="AB818" s="694"/>
      <c r="AC818" s="1178">
        <f t="shared" ref="AC818" si="932">H$20</f>
        <v>2024</v>
      </c>
      <c r="AD818" s="1178">
        <f t="shared" ref="AD818" si="933">I$20</f>
        <v>2025</v>
      </c>
      <c r="AE818" s="1178">
        <f t="shared" ref="AE818" si="934">J$20</f>
        <v>2026</v>
      </c>
      <c r="AF818" s="1178">
        <f t="shared" ref="AF818" si="935">K$20</f>
        <v>2027</v>
      </c>
      <c r="AG818" s="1178">
        <f t="shared" ref="AG818" si="936">L$20</f>
        <v>2028</v>
      </c>
      <c r="AH818" s="1178">
        <f t="shared" ref="AH818" si="937">M$20</f>
        <v>2029</v>
      </c>
      <c r="AI818" s="1178">
        <f t="shared" ref="AI818" si="938">N$20</f>
        <v>2030</v>
      </c>
      <c r="AJ818" s="694"/>
      <c r="AK818" s="694"/>
      <c r="AL818" s="694"/>
    </row>
    <row r="819" spans="1:38" ht="12.75" customHeight="1" x14ac:dyDescent="0.25">
      <c r="A819" s="694"/>
      <c r="B819" s="298"/>
      <c r="C819" s="1302"/>
      <c r="D819" s="625" t="s">
        <v>1146</v>
      </c>
      <c r="E819" s="2818" t="str">
        <f>Translations!$B$590</f>
        <v>Подадени количества</v>
      </c>
      <c r="F819" s="2701"/>
      <c r="G819" s="145"/>
      <c r="H819" s="129"/>
      <c r="I819" s="130"/>
      <c r="J819" s="131"/>
      <c r="K819" s="129"/>
      <c r="L819" s="129"/>
      <c r="M819" s="129"/>
      <c r="N819" s="132"/>
      <c r="O819" s="302"/>
      <c r="P819" s="158"/>
      <c r="Q819" s="729"/>
      <c r="R819" s="694"/>
      <c r="S819" s="729"/>
      <c r="T819" s="729"/>
      <c r="U819" s="729"/>
      <c r="V819" s="729"/>
      <c r="W819" s="694"/>
      <c r="X819" s="694"/>
      <c r="Y819" s="694"/>
      <c r="Z819" s="694"/>
      <c r="AA819" s="694"/>
      <c r="AB819" s="1182" t="s">
        <v>737</v>
      </c>
      <c r="AC819" s="982" t="b">
        <f>AC766</f>
        <v>0</v>
      </c>
      <c r="AD819" s="982" t="b">
        <f t="shared" ref="AD819:AI819" si="939">AD766</f>
        <v>0</v>
      </c>
      <c r="AE819" s="982" t="b">
        <f t="shared" si="939"/>
        <v>0</v>
      </c>
      <c r="AF819" s="982" t="b">
        <f t="shared" si="939"/>
        <v>0</v>
      </c>
      <c r="AG819" s="982" t="b">
        <f t="shared" si="939"/>
        <v>0</v>
      </c>
      <c r="AH819" s="982" t="b">
        <f t="shared" si="939"/>
        <v>0</v>
      </c>
      <c r="AI819" s="982" t="b">
        <f t="shared" si="939"/>
        <v>0</v>
      </c>
      <c r="AJ819" s="1174" t="s">
        <v>2039</v>
      </c>
      <c r="AK819" s="1176" t="str">
        <f>IF(AND(CNTR_ExistSubInstEntries,MSconst_RequireSubAttrEmissions,COUNTIFS(AC819:AI819,FALSE,H819:N819,"")&gt;0),EUconst_Error&amp;"BM"&amp;$Q575,"")</f>
        <v/>
      </c>
      <c r="AL819" s="694"/>
    </row>
    <row r="820" spans="1:38" ht="12.75" customHeight="1" thickBot="1" x14ac:dyDescent="0.3">
      <c r="A820" s="694"/>
      <c r="B820" s="298"/>
      <c r="C820" s="1302"/>
      <c r="D820" s="625" t="s">
        <v>1619</v>
      </c>
      <c r="E820" s="2819" t="str">
        <f>Translations!$B$296</f>
        <v>Долна топлина на изгаряне</v>
      </c>
      <c r="F820" s="2705"/>
      <c r="G820" s="1349" t="str">
        <f>IF(ISBLANK(G819),EUconst_GJperUnit,INDEX(EUconst_GJperTorKNm3,MATCH(G819,EUconst_TonnesOrkNm3pa,0)))</f>
        <v>GJ / Единица мярка</v>
      </c>
      <c r="H820" s="137"/>
      <c r="I820" s="138"/>
      <c r="J820" s="139"/>
      <c r="K820" s="137"/>
      <c r="L820" s="137"/>
      <c r="M820" s="137"/>
      <c r="N820" s="140"/>
      <c r="O820" s="302"/>
      <c r="P820" s="158"/>
      <c r="Q820" s="729"/>
      <c r="R820" s="694"/>
      <c r="S820" s="729"/>
      <c r="T820" s="729"/>
      <c r="U820" s="729"/>
      <c r="V820" s="729"/>
      <c r="W820" s="694"/>
      <c r="X820" s="694"/>
      <c r="Y820" s="694"/>
      <c r="Z820" s="694"/>
      <c r="AA820" s="694"/>
      <c r="AB820" s="694"/>
      <c r="AC820" s="982" t="b">
        <f>AC819</f>
        <v>0</v>
      </c>
      <c r="AD820" s="982" t="b">
        <f t="shared" ref="AD820:AI820" si="940">AD819</f>
        <v>0</v>
      </c>
      <c r="AE820" s="982" t="b">
        <f t="shared" si="940"/>
        <v>0</v>
      </c>
      <c r="AF820" s="982" t="b">
        <f t="shared" si="940"/>
        <v>0</v>
      </c>
      <c r="AG820" s="982" t="b">
        <f t="shared" si="940"/>
        <v>0</v>
      </c>
      <c r="AH820" s="982" t="b">
        <f t="shared" si="940"/>
        <v>0</v>
      </c>
      <c r="AI820" s="982" t="b">
        <f t="shared" si="940"/>
        <v>0</v>
      </c>
      <c r="AJ820" s="1174" t="s">
        <v>2039</v>
      </c>
      <c r="AK820" s="1176" t="str">
        <f>IF(AND(CNTR_ExistSubInstEntries,MSconst_RequireSubAttrEmissions,COUNTIFS(AC820:AI820,FALSE,H820:N820,"")&gt;0),EUconst_Error&amp;"BM"&amp;$Q575,"")</f>
        <v/>
      </c>
      <c r="AL820" s="694"/>
    </row>
    <row r="821" spans="1:38" ht="12.75" customHeight="1" x14ac:dyDescent="0.25">
      <c r="A821" s="694"/>
      <c r="B821" s="298"/>
      <c r="C821" s="1302"/>
      <c r="D821" s="625" t="s">
        <v>1659</v>
      </c>
      <c r="E821" s="2820" t="str">
        <f>Translations!$B$591</f>
        <v>Подаден отпаден газ</v>
      </c>
      <c r="F821" s="2258"/>
      <c r="G821" s="1319" t="str">
        <f>EUconst_TJpa</f>
        <v>TJ / година</v>
      </c>
      <c r="H821" s="1020" t="str">
        <f t="shared" ref="H821:N821" si="941">IF(COUNT(H819:H820)=2,H819*H820/1000,"")</f>
        <v/>
      </c>
      <c r="I821" s="1369" t="str">
        <f t="shared" si="941"/>
        <v/>
      </c>
      <c r="J821" s="1370" t="str">
        <f t="shared" si="941"/>
        <v/>
      </c>
      <c r="K821" s="1020" t="str">
        <f t="shared" si="941"/>
        <v/>
      </c>
      <c r="L821" s="1020" t="str">
        <f t="shared" si="941"/>
        <v/>
      </c>
      <c r="M821" s="1020" t="str">
        <f t="shared" si="941"/>
        <v/>
      </c>
      <c r="N821" s="1371" t="str">
        <f t="shared" si="941"/>
        <v/>
      </c>
      <c r="O821" s="302"/>
      <c r="P821" s="302"/>
      <c r="Q821" s="1190" t="str">
        <f>EUconst_CNTR_WGExport &amp; I575</f>
        <v>WasteGasEx_</v>
      </c>
      <c r="R821" s="694"/>
      <c r="S821" s="1205"/>
      <c r="T821" s="1313">
        <f t="shared" ref="T821" si="942">H818</f>
        <v>2024</v>
      </c>
      <c r="U821" s="1313">
        <f t="shared" ref="U821" si="943">I818</f>
        <v>2025</v>
      </c>
      <c r="V821" s="1313">
        <f t="shared" ref="V821" si="944">J818</f>
        <v>2026</v>
      </c>
      <c r="W821" s="1313">
        <f t="shared" ref="W821" si="945">K818</f>
        <v>2027</v>
      </c>
      <c r="X821" s="1313">
        <f t="shared" ref="X821" si="946">L818</f>
        <v>2028</v>
      </c>
      <c r="Y821" s="1313">
        <f t="shared" ref="Y821" si="947">M818</f>
        <v>2029</v>
      </c>
      <c r="Z821" s="1314">
        <f t="shared" ref="Z821" si="948">N818</f>
        <v>2030</v>
      </c>
      <c r="AA821" s="694"/>
      <c r="AB821" s="694"/>
      <c r="AC821" s="694"/>
      <c r="AD821" s="694"/>
      <c r="AE821" s="694"/>
      <c r="AF821" s="694"/>
      <c r="AG821" s="694"/>
      <c r="AH821" s="694"/>
      <c r="AI821" s="694"/>
      <c r="AJ821" s="694"/>
      <c r="AK821" s="694"/>
      <c r="AL821" s="694"/>
    </row>
    <row r="822" spans="1:38" s="364" customFormat="1" ht="12.75" customHeight="1" thickBot="1" x14ac:dyDescent="0.3">
      <c r="A822" s="694"/>
      <c r="B822" s="298"/>
      <c r="C822" s="1302"/>
      <c r="D822" s="625" t="s">
        <v>1660</v>
      </c>
      <c r="E822" s="2820" t="str">
        <f>Translations!$B$592</f>
        <v>Специфичен EF (подаден отпаден газ)</v>
      </c>
      <c r="F822" s="2258"/>
      <c r="G822" s="642" t="str">
        <f>EUconst_tCO2pTJ</f>
        <v>t CO2 / TJ</v>
      </c>
      <c r="H822" s="146"/>
      <c r="I822" s="147"/>
      <c r="J822" s="148"/>
      <c r="K822" s="146"/>
      <c r="L822" s="146"/>
      <c r="M822" s="146"/>
      <c r="N822" s="149"/>
      <c r="O822" s="302"/>
      <c r="P822" s="158"/>
      <c r="Q822" s="1190" t="str">
        <f>EUconst_CNTR_WGExportEF &amp; I575</f>
        <v>WasteGasExEF_</v>
      </c>
      <c r="R822" s="729"/>
      <c r="S822" s="1315" t="str">
        <f>EUconst_CNTR_AttributedEmissions &amp; I575</f>
        <v>AttrEmissions_</v>
      </c>
      <c r="T822" s="1290" t="str">
        <f t="shared" ref="T822" si="949">IF(T583,-SUM(H821)*EUconst_NGEFvalue*EUconst_WasteGasCorrFactor,"")</f>
        <v/>
      </c>
      <c r="U822" s="1290" t="str">
        <f t="shared" ref="U822" si="950">IF(U583,-SUM(I821)*EUconst_NGEFvalue*EUconst_WasteGasCorrFactor,"")</f>
        <v/>
      </c>
      <c r="V822" s="1290" t="str">
        <f t="shared" ref="V822" si="951">IF(V583,-SUM(J821)*EUconst_NGEFvalue*EUconst_WasteGasCorrFactor,"")</f>
        <v/>
      </c>
      <c r="W822" s="1290" t="str">
        <f t="shared" ref="W822" si="952">IF(W583,-SUM(K821)*EUconst_NGEFvalue*EUconst_WasteGasCorrFactor,"")</f>
        <v/>
      </c>
      <c r="X822" s="1290" t="str">
        <f t="shared" ref="X822" si="953">IF(X583,-SUM(L821)*EUconst_NGEFvalue*EUconst_WasteGasCorrFactor,"")</f>
        <v/>
      </c>
      <c r="Y822" s="1290" t="str">
        <f t="shared" ref="Y822" si="954">IF(Y583,-SUM(M821)*EUconst_NGEFvalue*EUconst_WasteGasCorrFactor,"")</f>
        <v/>
      </c>
      <c r="Z822" s="1291" t="str">
        <f t="shared" ref="Z822" si="955">IF(Z583,-SUM(N821)*EUconst_NGEFvalue*EUconst_WasteGasCorrFactor,"")</f>
        <v/>
      </c>
      <c r="AA822" s="729"/>
      <c r="AB822" s="1182" t="s">
        <v>737</v>
      </c>
      <c r="AC822" s="982" t="b">
        <f t="shared" ref="AC822:AI822" si="956">AC769</f>
        <v>0</v>
      </c>
      <c r="AD822" s="982" t="b">
        <f t="shared" si="956"/>
        <v>0</v>
      </c>
      <c r="AE822" s="982" t="b">
        <f t="shared" si="956"/>
        <v>0</v>
      </c>
      <c r="AF822" s="982" t="b">
        <f t="shared" si="956"/>
        <v>0</v>
      </c>
      <c r="AG822" s="982" t="b">
        <f t="shared" si="956"/>
        <v>0</v>
      </c>
      <c r="AH822" s="982" t="b">
        <f t="shared" si="956"/>
        <v>0</v>
      </c>
      <c r="AI822" s="982" t="b">
        <f t="shared" si="956"/>
        <v>0</v>
      </c>
      <c r="AJ822" s="1174" t="s">
        <v>2039</v>
      </c>
      <c r="AK822" s="1176" t="str">
        <f>IF(AND(CNTR_ExistSubInstEntries,MSconst_RequireSubAttrEmissions,COUNTIFS(AC822:AI822,FALSE,H822:N822,"")&gt;0),EUconst_Error&amp;"BM"&amp;$Q575,"")</f>
        <v/>
      </c>
      <c r="AL822" s="694"/>
    </row>
    <row r="823" spans="1:38" ht="12.75" customHeight="1" x14ac:dyDescent="0.25">
      <c r="A823" s="694"/>
      <c r="B823" s="298"/>
      <c r="C823" s="1302"/>
      <c r="D823" s="1306"/>
      <c r="E823" s="1306"/>
      <c r="F823" s="1306"/>
      <c r="G823" s="1306"/>
      <c r="H823" s="1306"/>
      <c r="I823" s="1354"/>
      <c r="J823" s="1306"/>
      <c r="K823" s="1306"/>
      <c r="L823" s="1306"/>
      <c r="M823" s="1306"/>
      <c r="N823" s="1316"/>
      <c r="O823" s="302"/>
      <c r="P823" s="302"/>
      <c r="Q823" s="729"/>
      <c r="R823" s="694"/>
      <c r="S823" s="729"/>
      <c r="T823" s="694"/>
      <c r="U823" s="694"/>
      <c r="V823" s="694"/>
      <c r="W823" s="694"/>
      <c r="X823" s="694"/>
      <c r="Y823" s="694"/>
      <c r="Z823" s="694"/>
      <c r="AA823" s="694"/>
      <c r="AB823" s="694"/>
      <c r="AC823" s="694"/>
      <c r="AD823" s="694"/>
      <c r="AE823" s="694"/>
      <c r="AF823" s="694"/>
      <c r="AG823" s="694"/>
      <c r="AH823" s="694"/>
      <c r="AI823" s="694"/>
      <c r="AJ823" s="694"/>
      <c r="AK823" s="694"/>
      <c r="AL823" s="694"/>
    </row>
    <row r="824" spans="1:38" ht="12.75" customHeight="1" x14ac:dyDescent="0.25">
      <c r="A824" s="694"/>
      <c r="B824" s="298"/>
      <c r="C824" s="1302"/>
      <c r="D824" s="1307" t="s">
        <v>493</v>
      </c>
      <c r="E824" s="2815" t="str">
        <f>Translations!$B$246</f>
        <v>Производство на електроенергия</v>
      </c>
      <c r="F824" s="2240"/>
      <c r="G824" s="2240"/>
      <c r="H824" s="2240"/>
      <c r="I824" s="2240"/>
      <c r="J824" s="2240"/>
      <c r="K824" s="2240"/>
      <c r="L824" s="2240"/>
      <c r="M824" s="2240"/>
      <c r="N824" s="2811"/>
      <c r="O824" s="302"/>
      <c r="P824" s="302"/>
      <c r="Q824" s="729"/>
      <c r="R824" s="694"/>
      <c r="S824" s="729"/>
      <c r="T824" s="694"/>
      <c r="U824" s="694"/>
      <c r="V824" s="694"/>
      <c r="W824" s="694"/>
      <c r="X824" s="694"/>
      <c r="Y824" s="694"/>
      <c r="Z824" s="694"/>
      <c r="AA824" s="694"/>
      <c r="AB824" s="694"/>
      <c r="AC824" s="694"/>
      <c r="AD824" s="694"/>
      <c r="AE824" s="694"/>
      <c r="AF824" s="694"/>
      <c r="AG824" s="694"/>
      <c r="AH824" s="694"/>
      <c r="AI824" s="694"/>
      <c r="AJ824" s="694"/>
      <c r="AK824" s="694"/>
      <c r="AL824" s="694"/>
    </row>
    <row r="825" spans="1:38" ht="12.75" customHeight="1" x14ac:dyDescent="0.25">
      <c r="A825" s="694"/>
      <c r="B825" s="298"/>
      <c r="C825" s="1302"/>
      <c r="D825" s="625"/>
      <c r="E825" s="2816" t="str">
        <f>Translations!$B$593</f>
        <v>Посочените тук данни ще се отразят на емисиите, които могат да бъдат зададени съгласно раздел 10 от приложение VII към ПБР.</v>
      </c>
      <c r="F825" s="2240"/>
      <c r="G825" s="2240"/>
      <c r="H825" s="2240"/>
      <c r="I825" s="2240"/>
      <c r="J825" s="2240"/>
      <c r="K825" s="2240"/>
      <c r="L825" s="2240"/>
      <c r="M825" s="2240"/>
      <c r="N825" s="2811"/>
      <c r="O825" s="302"/>
      <c r="P825" s="302"/>
      <c r="Q825" s="729"/>
      <c r="R825" s="694"/>
      <c r="S825" s="729"/>
      <c r="T825" s="729"/>
      <c r="U825" s="729"/>
      <c r="V825" s="729"/>
      <c r="W825" s="694"/>
      <c r="X825" s="694"/>
      <c r="Y825" s="694"/>
      <c r="Z825" s="694"/>
      <c r="AA825" s="694"/>
      <c r="AB825" s="694"/>
      <c r="AC825" s="694"/>
      <c r="AD825" s="694"/>
      <c r="AE825" s="694"/>
      <c r="AF825" s="694"/>
      <c r="AG825" s="694"/>
      <c r="AH825" s="694"/>
      <c r="AI825" s="694"/>
      <c r="AJ825" s="694"/>
      <c r="AK825" s="694"/>
      <c r="AL825" s="694"/>
    </row>
    <row r="826" spans="1:38" ht="25.5" customHeight="1" thickBot="1" x14ac:dyDescent="0.3">
      <c r="A826" s="694"/>
      <c r="B826" s="298"/>
      <c r="C826" s="1302"/>
      <c r="D826" s="1306"/>
      <c r="E826" s="2810" t="str">
        <f>Translations!$B$594</f>
        <v>Това включва електроенергията, произведена директно от тази подинсталация, съгласно раздел 3.1, буква и) от приложение IV към ПБР. Електроенергията, произведена чрез междинна измерима топлинна енергия, не се посочват тук, а като подадена измерима топлинна енергия в k).v по-горе.</v>
      </c>
      <c r="F826" s="2240"/>
      <c r="G826" s="2240"/>
      <c r="H826" s="2240"/>
      <c r="I826" s="2240"/>
      <c r="J826" s="2240"/>
      <c r="K826" s="2240"/>
      <c r="L826" s="2240"/>
      <c r="M826" s="2240"/>
      <c r="N826" s="2811"/>
      <c r="O826" s="302"/>
      <c r="P826" s="302"/>
      <c r="Q826" s="729"/>
      <c r="R826" s="694"/>
      <c r="S826" s="729"/>
      <c r="T826" s="694"/>
      <c r="U826" s="694"/>
      <c r="V826" s="694"/>
      <c r="W826" s="694"/>
      <c r="X826" s="694"/>
      <c r="Y826" s="694"/>
      <c r="Z826" s="694"/>
      <c r="AA826" s="694"/>
      <c r="AB826" s="694"/>
      <c r="AC826" s="694"/>
      <c r="AD826" s="694"/>
      <c r="AE826" s="694"/>
      <c r="AF826" s="694"/>
      <c r="AG826" s="694"/>
      <c r="AH826" s="694"/>
      <c r="AI826" s="694"/>
      <c r="AJ826" s="694"/>
      <c r="AK826" s="694"/>
      <c r="AL826" s="694"/>
    </row>
    <row r="827" spans="1:38" ht="12.75" customHeight="1" thickBot="1" x14ac:dyDescent="0.3">
      <c r="A827" s="694"/>
      <c r="B827" s="298"/>
      <c r="C827" s="1302"/>
      <c r="D827" s="1307"/>
      <c r="E827" s="1317"/>
      <c r="F827" s="1318"/>
      <c r="G827" s="1309" t="str">
        <f>EUconst_Unit</f>
        <v>Единица мярка</v>
      </c>
      <c r="H827" s="629">
        <f t="shared" ref="H827:N827" si="957">H$2831</f>
        <v>2024</v>
      </c>
      <c r="I827" s="1310">
        <f t="shared" si="957"/>
        <v>2025</v>
      </c>
      <c r="J827" s="1311">
        <f t="shared" si="957"/>
        <v>2026</v>
      </c>
      <c r="K827" s="629">
        <f t="shared" si="957"/>
        <v>2027</v>
      </c>
      <c r="L827" s="629">
        <f t="shared" si="957"/>
        <v>2028</v>
      </c>
      <c r="M827" s="629">
        <f t="shared" si="957"/>
        <v>2029</v>
      </c>
      <c r="N827" s="1312">
        <f t="shared" si="957"/>
        <v>2030</v>
      </c>
      <c r="O827" s="302"/>
      <c r="P827" s="302"/>
      <c r="Q827" s="729"/>
      <c r="R827" s="694"/>
      <c r="S827" s="1205"/>
      <c r="T827" s="1313">
        <f t="shared" ref="T827" si="958">H827</f>
        <v>2024</v>
      </c>
      <c r="U827" s="1313">
        <f t="shared" ref="U827" si="959">I827</f>
        <v>2025</v>
      </c>
      <c r="V827" s="1313">
        <f t="shared" ref="V827" si="960">J827</f>
        <v>2026</v>
      </c>
      <c r="W827" s="1313">
        <f t="shared" ref="W827" si="961">K827</f>
        <v>2027</v>
      </c>
      <c r="X827" s="1313">
        <f t="shared" ref="X827" si="962">L827</f>
        <v>2028</v>
      </c>
      <c r="Y827" s="1313">
        <f t="shared" ref="Y827" si="963">M827</f>
        <v>2029</v>
      </c>
      <c r="Z827" s="1314">
        <f t="shared" ref="Z827" si="964">N827</f>
        <v>2030</v>
      </c>
      <c r="AA827" s="694"/>
      <c r="AB827" s="694"/>
      <c r="AC827" s="1178">
        <f t="shared" ref="AC827" si="965">H$20</f>
        <v>2024</v>
      </c>
      <c r="AD827" s="1178">
        <f t="shared" ref="AD827" si="966">I$20</f>
        <v>2025</v>
      </c>
      <c r="AE827" s="1178">
        <f t="shared" ref="AE827" si="967">J$20</f>
        <v>2026</v>
      </c>
      <c r="AF827" s="1178">
        <f t="shared" ref="AF827" si="968">K$20</f>
        <v>2027</v>
      </c>
      <c r="AG827" s="1178">
        <f t="shared" ref="AG827" si="969">L$20</f>
        <v>2028</v>
      </c>
      <c r="AH827" s="1178">
        <f t="shared" ref="AH827" si="970">M$20</f>
        <v>2029</v>
      </c>
      <c r="AI827" s="1178">
        <f t="shared" ref="AI827" si="971">N$20</f>
        <v>2030</v>
      </c>
      <c r="AJ827" s="694"/>
      <c r="AK827" s="694"/>
      <c r="AL827" s="694"/>
    </row>
    <row r="828" spans="1:38" ht="12.75" customHeight="1" thickBot="1" x14ac:dyDescent="0.3">
      <c r="A828" s="694"/>
      <c r="B828" s="298"/>
      <c r="C828" s="1302"/>
      <c r="D828" s="625"/>
      <c r="E828" s="2820" t="str">
        <f>Translations!$B$595</f>
        <v>Произведена електроенергия</v>
      </c>
      <c r="F828" s="2258"/>
      <c r="G828" s="1319" t="str">
        <f>EUconst_MWhpa</f>
        <v>MWh / година</v>
      </c>
      <c r="H828" s="56"/>
      <c r="I828" s="115"/>
      <c r="J828" s="118"/>
      <c r="K828" s="56"/>
      <c r="L828" s="56"/>
      <c r="M828" s="56"/>
      <c r="N828" s="121"/>
      <c r="O828" s="302"/>
      <c r="P828" s="158"/>
      <c r="Q828" s="1190" t="str">
        <f>EUconst_CNTR_ElectricityExported &amp; I575</f>
        <v>ElecEx_</v>
      </c>
      <c r="R828" s="694"/>
      <c r="S828" s="1315" t="str">
        <f>EUconst_CNTR_AttributedEmissions &amp; I575</f>
        <v>AttrEmissions_</v>
      </c>
      <c r="T828" s="1290" t="str">
        <f t="shared" ref="T828" si="972">IF(T583,-SUM(H828)*EUconst_ElBM,"")</f>
        <v/>
      </c>
      <c r="U828" s="1290" t="str">
        <f t="shared" ref="U828" si="973">IF(U583,-SUM(I828)*EUconst_ElBM,"")</f>
        <v/>
      </c>
      <c r="V828" s="1290" t="str">
        <f t="shared" ref="V828" si="974">IF(V583,-SUM(J828)*EUconst_ElBM,"")</f>
        <v/>
      </c>
      <c r="W828" s="1290" t="str">
        <f t="shared" ref="W828" si="975">IF(W583,-SUM(K828)*EUconst_ElBM,"")</f>
        <v/>
      </c>
      <c r="X828" s="1290" t="str">
        <f t="shared" ref="X828" si="976">IF(X583,-SUM(L828)*EUconst_ElBM,"")</f>
        <v/>
      </c>
      <c r="Y828" s="1290" t="str">
        <f t="shared" ref="Y828" si="977">IF(Y583,-SUM(M828)*EUconst_ElBM,"")</f>
        <v/>
      </c>
      <c r="Z828" s="1291" t="str">
        <f t="shared" ref="Z828" si="978">IF(Z583,-SUM(N828)*EUconst_ElBM,"")</f>
        <v/>
      </c>
      <c r="AA828" s="694"/>
      <c r="AB828" s="1182" t="s">
        <v>737</v>
      </c>
      <c r="AC828" s="982" t="b">
        <f>AC622</f>
        <v>0</v>
      </c>
      <c r="AD828" s="982" t="b">
        <f t="shared" ref="AD828:AI828" si="979">AD622</f>
        <v>0</v>
      </c>
      <c r="AE828" s="982" t="b">
        <f t="shared" si="979"/>
        <v>0</v>
      </c>
      <c r="AF828" s="982" t="b">
        <f t="shared" si="979"/>
        <v>0</v>
      </c>
      <c r="AG828" s="982" t="b">
        <f t="shared" si="979"/>
        <v>0</v>
      </c>
      <c r="AH828" s="982" t="b">
        <f t="shared" si="979"/>
        <v>0</v>
      </c>
      <c r="AI828" s="982" t="b">
        <f t="shared" si="979"/>
        <v>0</v>
      </c>
      <c r="AJ828" s="1174" t="s">
        <v>2039</v>
      </c>
      <c r="AK828" s="1176" t="str">
        <f>IF(AND(CNTR_ExistSubInstEntries,MSconst_RequireSubAttrEmissions,COUNTIFS(AC828:AI828,FALSE,H828:N828,"")&gt;0),EUconst_Error&amp;"BM"&amp;$Q575,"")</f>
        <v/>
      </c>
      <c r="AL828" s="694"/>
    </row>
    <row r="829" spans="1:38" ht="12.75" customHeight="1" x14ac:dyDescent="0.25">
      <c r="A829" s="694"/>
      <c r="B829" s="298"/>
      <c r="C829" s="1302"/>
      <c r="D829" s="1306"/>
      <c r="E829" s="1306"/>
      <c r="F829" s="1306"/>
      <c r="G829" s="1306"/>
      <c r="H829" s="1306"/>
      <c r="I829" s="1354"/>
      <c r="J829" s="1306"/>
      <c r="K829" s="1306"/>
      <c r="L829" s="1306"/>
      <c r="M829" s="1306"/>
      <c r="N829" s="1316"/>
      <c r="O829" s="302"/>
      <c r="P829" s="302"/>
      <c r="Q829" s="729"/>
      <c r="R829" s="694"/>
      <c r="S829" s="729"/>
      <c r="T829" s="694"/>
      <c r="U829" s="694"/>
      <c r="V829" s="729"/>
      <c r="W829" s="694"/>
      <c r="X829" s="694"/>
      <c r="Y829" s="694"/>
      <c r="Z829" s="694"/>
      <c r="AA829" s="694"/>
      <c r="AB829" s="694"/>
      <c r="AC829" s="694"/>
      <c r="AD829" s="694"/>
      <c r="AE829" s="694"/>
      <c r="AF829" s="694"/>
      <c r="AG829" s="694"/>
      <c r="AH829" s="694"/>
      <c r="AI829" s="694"/>
      <c r="AJ829" s="694"/>
      <c r="AK829" s="694"/>
      <c r="AL829" s="694"/>
    </row>
    <row r="830" spans="1:38" ht="12.75" customHeight="1" x14ac:dyDescent="0.25">
      <c r="A830" s="694"/>
      <c r="B830" s="298"/>
      <c r="C830" s="1302"/>
      <c r="D830" s="1307" t="s">
        <v>249</v>
      </c>
      <c r="E830" s="2815" t="str">
        <f>Translations!$B$596</f>
        <v>Общо количество произведен пулп</v>
      </c>
      <c r="F830" s="2240"/>
      <c r="G830" s="2240"/>
      <c r="H830" s="2240"/>
      <c r="I830" s="2240"/>
      <c r="J830" s="2240"/>
      <c r="K830" s="2240"/>
      <c r="L830" s="2240"/>
      <c r="M830" s="2240"/>
      <c r="N830" s="2811"/>
      <c r="O830" s="302"/>
      <c r="P830" s="302"/>
      <c r="Q830" s="694"/>
      <c r="R830" s="694"/>
      <c r="S830" s="694"/>
      <c r="T830" s="694"/>
      <c r="U830" s="694"/>
      <c r="V830" s="729"/>
      <c r="W830" s="694"/>
      <c r="X830" s="694"/>
      <c r="Y830" s="694"/>
      <c r="Z830" s="694"/>
      <c r="AA830" s="694"/>
      <c r="AB830" s="694"/>
      <c r="AC830" s="694"/>
      <c r="AD830" s="694"/>
      <c r="AE830" s="694"/>
      <c r="AF830" s="694"/>
      <c r="AG830" s="694"/>
      <c r="AH830" s="694"/>
      <c r="AI830" s="694"/>
      <c r="AJ830" s="694"/>
      <c r="AK830" s="694"/>
      <c r="AL830" s="694"/>
    </row>
    <row r="831" spans="1:38" ht="25.5" customHeight="1" x14ac:dyDescent="0.25">
      <c r="A831" s="694"/>
      <c r="B831" s="298"/>
      <c r="C831" s="1302"/>
      <c r="D831" s="1306"/>
      <c r="E831" s="2810" t="str">
        <f>Translations!$B$597</f>
        <v>Съгласно раздел 2.7, буква к) от приложение IV към ПБР се отчита общото количество пулп, произведен за подинсталации с продуктов показател за късовлакнест крафт-пулп, дълговлакнест крафт-пулп, термомеханичен пулп и механичен пулп или сулфитен пулп.</v>
      </c>
      <c r="F831" s="2240"/>
      <c r="G831" s="2240"/>
      <c r="H831" s="2240"/>
      <c r="I831" s="2240"/>
      <c r="J831" s="2240"/>
      <c r="K831" s="2240"/>
      <c r="L831" s="2240"/>
      <c r="M831" s="2240"/>
      <c r="N831" s="2811"/>
      <c r="O831" s="302"/>
      <c r="P831" s="302"/>
      <c r="Q831" s="729"/>
      <c r="R831" s="694"/>
      <c r="S831" s="729"/>
      <c r="T831" s="694"/>
      <c r="U831" s="694"/>
      <c r="V831" s="729"/>
      <c r="W831" s="694"/>
      <c r="X831" s="694"/>
      <c r="Y831" s="694"/>
      <c r="Z831" s="694"/>
      <c r="AA831" s="694"/>
      <c r="AB831" s="694"/>
      <c r="AC831" s="694"/>
      <c r="AD831" s="694"/>
      <c r="AE831" s="694"/>
      <c r="AF831" s="694"/>
      <c r="AG831" s="694"/>
      <c r="AH831" s="694"/>
      <c r="AI831" s="694"/>
      <c r="AJ831" s="694"/>
      <c r="AK831" s="694"/>
      <c r="AL831" s="694"/>
    </row>
    <row r="832" spans="1:38" ht="12.75" customHeight="1" x14ac:dyDescent="0.25">
      <c r="A832" s="694"/>
      <c r="B832" s="298"/>
      <c r="C832" s="1302"/>
      <c r="D832" s="1306"/>
      <c r="E832" s="2810" t="str">
        <f>Translations!$B$598</f>
        <v>Този раздел ще бъде защрихован в сиво, ако тази подинсталация не е една от тези видове подинсталации за производство на пулп. В такъв случай, моля, продължете с точките по-долу.</v>
      </c>
      <c r="F832" s="2240"/>
      <c r="G832" s="2240"/>
      <c r="H832" s="2240"/>
      <c r="I832" s="2240"/>
      <c r="J832" s="2240"/>
      <c r="K832" s="2240"/>
      <c r="L832" s="2240"/>
      <c r="M832" s="2240"/>
      <c r="N832" s="2811"/>
      <c r="O832" s="302"/>
      <c r="P832" s="302"/>
      <c r="Q832" s="729"/>
      <c r="R832" s="694"/>
      <c r="S832" s="729"/>
      <c r="T832" s="694"/>
      <c r="U832" s="694"/>
      <c r="V832" s="729"/>
      <c r="W832" s="694"/>
      <c r="X832" s="694"/>
      <c r="Y832" s="694"/>
      <c r="Z832" s="694"/>
      <c r="AA832" s="694"/>
      <c r="AB832" s="694"/>
      <c r="AC832" s="694"/>
      <c r="AD832" s="694"/>
      <c r="AE832" s="694"/>
      <c r="AF832" s="694"/>
      <c r="AG832" s="694"/>
      <c r="AH832" s="694"/>
      <c r="AI832" s="694"/>
      <c r="AJ832" s="694"/>
      <c r="AK832" s="694"/>
      <c r="AL832" s="694"/>
    </row>
    <row r="833" spans="1:38" ht="12.75" customHeight="1" thickBot="1" x14ac:dyDescent="0.3">
      <c r="A833" s="694"/>
      <c r="B833" s="298"/>
      <c r="C833" s="1302"/>
      <c r="D833" s="625"/>
      <c r="E833" s="2812" t="str">
        <f>Translations!$B$599</f>
        <v>Посочените тук данни ще са необходими при актуализацията на конкретния показател за пулп.</v>
      </c>
      <c r="F833" s="2672"/>
      <c r="G833" s="2672"/>
      <c r="H833" s="2672"/>
      <c r="I833" s="2672"/>
      <c r="J833" s="2672"/>
      <c r="K833" s="2672"/>
      <c r="L833" s="2672"/>
      <c r="M833" s="2672"/>
      <c r="N833" s="2813"/>
      <c r="O833" s="302"/>
      <c r="P833" s="302"/>
      <c r="Q833" s="729"/>
      <c r="R833" s="694"/>
      <c r="S833" s="729"/>
      <c r="T833" s="694"/>
      <c r="U833" s="694"/>
      <c r="V833" s="729"/>
      <c r="W833" s="694"/>
      <c r="X833" s="694"/>
      <c r="Y833" s="694"/>
      <c r="Z833" s="694"/>
      <c r="AA833" s="694"/>
      <c r="AB833" s="694"/>
      <c r="AC833" s="1178">
        <f t="shared" ref="AC833" si="980">H$20</f>
        <v>2024</v>
      </c>
      <c r="AD833" s="1178">
        <f t="shared" ref="AD833" si="981">I$20</f>
        <v>2025</v>
      </c>
      <c r="AE833" s="1178">
        <f t="shared" ref="AE833" si="982">J$20</f>
        <v>2026</v>
      </c>
      <c r="AF833" s="1178">
        <f t="shared" ref="AF833" si="983">K$20</f>
        <v>2027</v>
      </c>
      <c r="AG833" s="1178">
        <f t="shared" ref="AG833" si="984">L$20</f>
        <v>2028</v>
      </c>
      <c r="AH833" s="1178">
        <f t="shared" ref="AH833" si="985">M$20</f>
        <v>2029</v>
      </c>
      <c r="AI833" s="1178">
        <f t="shared" ref="AI833" si="986">N$20</f>
        <v>2030</v>
      </c>
      <c r="AJ833" s="694"/>
      <c r="AK833" s="694"/>
      <c r="AL833" s="694"/>
    </row>
    <row r="834" spans="1:38" ht="12.75" customHeight="1" x14ac:dyDescent="0.25">
      <c r="A834" s="694"/>
      <c r="B834" s="298"/>
      <c r="C834" s="1302"/>
      <c r="D834" s="625"/>
      <c r="E834" s="2814" t="str">
        <f>IF(I575="","",IF(INDEX(EUconst_BMlistPulp,MATCH(I575,EUconst_BMlistNames,0)),I575,""))</f>
        <v/>
      </c>
      <c r="F834" s="2258"/>
      <c r="G834" s="1319" t="str">
        <f>EUconst_Tons</f>
        <v>тона</v>
      </c>
      <c r="H834" s="56"/>
      <c r="I834" s="115"/>
      <c r="J834" s="118"/>
      <c r="K834" s="56"/>
      <c r="L834" s="56"/>
      <c r="M834" s="56"/>
      <c r="N834" s="121"/>
      <c r="O834" s="302"/>
      <c r="P834" s="158"/>
      <c r="Q834" s="1190" t="str">
        <f>EUconst_CNTR_HALPulpTotal &amp; I575</f>
        <v>HALPulpTotal_</v>
      </c>
      <c r="R834" s="694"/>
      <c r="S834" s="729"/>
      <c r="T834" s="694"/>
      <c r="U834" s="694"/>
      <c r="V834" s="694"/>
      <c r="W834" s="694"/>
      <c r="X834" s="694"/>
      <c r="Y834" s="694"/>
      <c r="Z834" s="694"/>
      <c r="AA834" s="694"/>
      <c r="AB834" s="1182" t="s">
        <v>737</v>
      </c>
      <c r="AC834" s="901" t="b">
        <f t="shared" ref="AC834:AI834" si="987">IF($I575&lt;&gt;"",IF(INDEX(EUconst_BMlistPulp,MATCH($I575,EUconst_BMlistNames,0))=TRUE,FALSE,TRUE),AC622)</f>
        <v>0</v>
      </c>
      <c r="AD834" s="982" t="b">
        <f t="shared" si="987"/>
        <v>0</v>
      </c>
      <c r="AE834" s="982" t="b">
        <f t="shared" si="987"/>
        <v>0</v>
      </c>
      <c r="AF834" s="982" t="b">
        <f t="shared" si="987"/>
        <v>0</v>
      </c>
      <c r="AG834" s="982" t="b">
        <f t="shared" si="987"/>
        <v>0</v>
      </c>
      <c r="AH834" s="982" t="b">
        <f t="shared" si="987"/>
        <v>0</v>
      </c>
      <c r="AI834" s="982" t="b">
        <f t="shared" si="987"/>
        <v>0</v>
      </c>
      <c r="AJ834" s="1174" t="s">
        <v>2039</v>
      </c>
      <c r="AK834" s="1176" t="str">
        <f>IF(AND(CNTR_ExistSubInstEntries,MSconst_RequireSubAttrEmissions,COUNTIFS(AC834:AI834,FALSE,H834:N834,"")&gt;0),EUconst_Error&amp;"BM"&amp;$Q575,"")</f>
        <v/>
      </c>
      <c r="AL834" s="694"/>
    </row>
    <row r="835" spans="1:38" ht="12.75" customHeight="1" x14ac:dyDescent="0.25">
      <c r="A835" s="694"/>
      <c r="B835" s="298"/>
      <c r="C835" s="1302"/>
      <c r="D835" s="625"/>
      <c r="E835" s="625"/>
      <c r="F835" s="625"/>
      <c r="G835" s="625"/>
      <c r="H835" s="1354"/>
      <c r="I835" s="625"/>
      <c r="J835" s="625"/>
      <c r="K835" s="625"/>
      <c r="L835" s="625"/>
      <c r="M835" s="625"/>
      <c r="N835" s="1348"/>
      <c r="O835" s="302"/>
      <c r="P835" s="302"/>
      <c r="Q835" s="729"/>
      <c r="R835" s="694"/>
      <c r="S835" s="729"/>
      <c r="T835" s="694"/>
      <c r="U835" s="694"/>
      <c r="V835" s="729"/>
      <c r="W835" s="694"/>
      <c r="X835" s="694"/>
      <c r="Y835" s="694"/>
      <c r="Z835" s="694"/>
      <c r="AA835" s="694"/>
      <c r="AB835" s="694"/>
      <c r="AC835" s="694"/>
      <c r="AD835" s="694"/>
      <c r="AE835" s="694"/>
      <c r="AF835" s="694"/>
      <c r="AG835" s="694"/>
      <c r="AH835" s="694"/>
      <c r="AI835" s="694"/>
      <c r="AJ835" s="694"/>
      <c r="AK835" s="694"/>
      <c r="AL835" s="694"/>
    </row>
    <row r="836" spans="1:38" ht="12.75" customHeight="1" x14ac:dyDescent="0.25">
      <c r="A836" s="694"/>
      <c r="B836" s="298"/>
      <c r="C836" s="1302"/>
      <c r="D836" s="1307" t="s">
        <v>852</v>
      </c>
      <c r="E836" s="2815" t="str">
        <f>Translations!$B$600</f>
        <v>Получаване или подаване на междинни продукти, обхванати от продуктови показатели</v>
      </c>
      <c r="F836" s="2240"/>
      <c r="G836" s="2240"/>
      <c r="H836" s="2240"/>
      <c r="I836" s="2240"/>
      <c r="J836" s="2240"/>
      <c r="K836" s="2240"/>
      <c r="L836" s="2240"/>
      <c r="M836" s="2240"/>
      <c r="N836" s="2811"/>
      <c r="O836" s="302"/>
      <c r="P836" s="302"/>
      <c r="Q836" s="729"/>
      <c r="R836" s="694"/>
      <c r="S836" s="729"/>
      <c r="T836" s="694"/>
      <c r="U836" s="694"/>
      <c r="V836" s="729"/>
      <c r="W836" s="694"/>
      <c r="X836" s="694"/>
      <c r="Y836" s="694"/>
      <c r="Z836" s="694"/>
      <c r="AA836" s="694"/>
      <c r="AB836" s="694"/>
      <c r="AC836" s="694"/>
      <c r="AD836" s="694"/>
      <c r="AE836" s="694"/>
      <c r="AF836" s="694"/>
      <c r="AG836" s="694"/>
      <c r="AH836" s="694"/>
      <c r="AI836" s="694"/>
      <c r="AJ836" s="694"/>
      <c r="AK836" s="694"/>
      <c r="AL836" s="694"/>
    </row>
    <row r="837" spans="1:38" ht="25.5" customHeight="1" x14ac:dyDescent="0.25">
      <c r="A837" s="694"/>
      <c r="B837" s="298"/>
      <c r="C837" s="1302"/>
      <c r="D837" s="1306"/>
      <c r="E837" s="2810" t="str">
        <f>Translations!$B$601</f>
        <v>За да се избегне двойно отчитане или пропуски в зададените емисии при определянето на актуализираните показатели, съгласно изискванията на раздел 2.7, буква г) от приложение IV към ПБР е необходимо да подадете данни за получените или подадените междинни продукти, обхванати от който и да било от продуктовите показатели, изброени в приложение I към ПБР.</v>
      </c>
      <c r="F837" s="2240"/>
      <c r="G837" s="2240"/>
      <c r="H837" s="2240"/>
      <c r="I837" s="2240"/>
      <c r="J837" s="2240"/>
      <c r="K837" s="2240"/>
      <c r="L837" s="2240"/>
      <c r="M837" s="2240"/>
      <c r="N837" s="2811"/>
      <c r="O837" s="302"/>
      <c r="P837" s="302"/>
      <c r="Q837" s="729"/>
      <c r="R837" s="694"/>
      <c r="S837" s="729"/>
      <c r="T837" s="694"/>
      <c r="U837" s="694"/>
      <c r="V837" s="729"/>
      <c r="W837" s="694"/>
      <c r="X837" s="694"/>
      <c r="Y837" s="694"/>
      <c r="Z837" s="694"/>
      <c r="AA837" s="694"/>
      <c r="AB837" s="694"/>
      <c r="AC837" s="694"/>
      <c r="AD837" s="694"/>
      <c r="AE837" s="694"/>
      <c r="AF837" s="694"/>
      <c r="AG837" s="694"/>
      <c r="AH837" s="694"/>
      <c r="AI837" s="694"/>
      <c r="AJ837" s="694"/>
      <c r="AK837" s="694"/>
      <c r="AL837" s="694"/>
    </row>
    <row r="838" spans="1:38" ht="12.75" customHeight="1" x14ac:dyDescent="0.25">
      <c r="A838" s="694"/>
      <c r="B838" s="298"/>
      <c r="C838" s="1302"/>
      <c r="D838" s="1306"/>
      <c r="E838" s="2816" t="str">
        <f>Translations!$B$602</f>
        <v>Посочените тук данни могат да се отразят на актуализацията на конкретния показател.</v>
      </c>
      <c r="F838" s="2240"/>
      <c r="G838" s="2240"/>
      <c r="H838" s="2240"/>
      <c r="I838" s="2240"/>
      <c r="J838" s="2240"/>
      <c r="K838" s="2240"/>
      <c r="L838" s="2240"/>
      <c r="M838" s="2240"/>
      <c r="N838" s="2811"/>
      <c r="O838" s="302"/>
      <c r="P838" s="302"/>
      <c r="Q838" s="729"/>
      <c r="R838" s="694"/>
      <c r="S838" s="729"/>
      <c r="T838" s="694"/>
      <c r="U838" s="694"/>
      <c r="V838" s="729"/>
      <c r="W838" s="694"/>
      <c r="X838" s="694"/>
      <c r="Y838" s="694"/>
      <c r="Z838" s="694"/>
      <c r="AA838" s="694"/>
      <c r="AB838" s="694"/>
      <c r="AC838" s="694"/>
      <c r="AD838" s="694"/>
      <c r="AE838" s="694"/>
      <c r="AF838" s="694"/>
      <c r="AG838" s="694"/>
      <c r="AH838" s="694"/>
      <c r="AI838" s="694"/>
      <c r="AJ838" s="694"/>
      <c r="AK838" s="694"/>
      <c r="AL838" s="694"/>
    </row>
    <row r="839" spans="1:38" ht="12.75" customHeight="1" x14ac:dyDescent="0.25">
      <c r="A839" s="694"/>
      <c r="B839" s="698"/>
      <c r="C839" s="1302"/>
      <c r="D839" s="625" t="s">
        <v>6</v>
      </c>
      <c r="E839" s="2817" t="str">
        <f>Translations!$B$603</f>
        <v>Има ли получени или подадени междинни продукти, които са обхванати от продуктови показатели?</v>
      </c>
      <c r="F839" s="2240"/>
      <c r="G839" s="2240"/>
      <c r="H839" s="2240"/>
      <c r="I839" s="2240"/>
      <c r="J839" s="2240"/>
      <c r="K839" s="2684"/>
      <c r="L839" s="83"/>
      <c r="M839" s="1304"/>
      <c r="N839" s="1372"/>
      <c r="O839" s="302"/>
      <c r="P839" s="158"/>
      <c r="Q839" s="694"/>
      <c r="R839" s="694"/>
      <c r="S839" s="694"/>
      <c r="T839" s="694"/>
      <c r="U839" s="694"/>
      <c r="V839" s="694"/>
      <c r="W839" s="694"/>
      <c r="X839" s="694"/>
      <c r="Y839" s="694"/>
      <c r="Z839" s="694"/>
      <c r="AA839" s="694"/>
      <c r="AB839" s="694"/>
      <c r="AC839" s="694"/>
      <c r="AD839" s="694"/>
      <c r="AE839" s="694"/>
      <c r="AF839" s="1182" t="s">
        <v>737</v>
      </c>
      <c r="AG839" s="901" t="b">
        <f>AND(CNTR_ExistSubInstEntries,I575="")</f>
        <v>0</v>
      </c>
      <c r="AH839" s="694"/>
      <c r="AI839" s="694"/>
      <c r="AJ839" s="694"/>
      <c r="AK839" s="694"/>
      <c r="AL839" s="694"/>
    </row>
    <row r="840" spans="1:38" ht="5.15" customHeight="1" x14ac:dyDescent="0.25">
      <c r="A840" s="694"/>
      <c r="B840" s="298"/>
      <c r="C840" s="1302"/>
      <c r="D840" s="625"/>
      <c r="E840" s="625"/>
      <c r="F840" s="625"/>
      <c r="G840" s="625"/>
      <c r="H840" s="1354"/>
      <c r="I840" s="625"/>
      <c r="J840" s="625"/>
      <c r="K840" s="625"/>
      <c r="L840" s="625"/>
      <c r="M840" s="625"/>
      <c r="N840" s="1348"/>
      <c r="O840" s="302"/>
      <c r="P840" s="302"/>
      <c r="Q840" s="729"/>
      <c r="R840" s="694"/>
      <c r="S840" s="729"/>
      <c r="T840" s="694"/>
      <c r="U840" s="694"/>
      <c r="V840" s="729"/>
      <c r="W840" s="694"/>
      <c r="X840" s="694"/>
      <c r="Y840" s="694"/>
      <c r="Z840" s="694"/>
      <c r="AA840" s="694"/>
      <c r="AB840" s="694"/>
      <c r="AC840" s="694"/>
      <c r="AD840" s="694"/>
      <c r="AE840" s="694"/>
      <c r="AF840" s="694"/>
      <c r="AG840" s="694"/>
      <c r="AH840" s="694"/>
      <c r="AI840" s="694"/>
      <c r="AJ840" s="694"/>
      <c r="AK840" s="694"/>
      <c r="AL840" s="694"/>
    </row>
    <row r="841" spans="1:38" ht="12.75" customHeight="1" thickBot="1" x14ac:dyDescent="0.3">
      <c r="A841" s="694"/>
      <c r="B841" s="298"/>
      <c r="C841" s="1302"/>
      <c r="D841" s="1307"/>
      <c r="E841" s="2803" t="str">
        <f>Translations!$B$604</f>
        <v>Получени количества:</v>
      </c>
      <c r="F841" s="2672"/>
      <c r="G841" s="627" t="str">
        <f>EUconst_Unit</f>
        <v>Единица мярка</v>
      </c>
      <c r="H841" s="629">
        <f t="shared" ref="H841:N841" si="988">H$2831</f>
        <v>2024</v>
      </c>
      <c r="I841" s="1310">
        <f t="shared" si="988"/>
        <v>2025</v>
      </c>
      <c r="J841" s="1311">
        <f t="shared" si="988"/>
        <v>2026</v>
      </c>
      <c r="K841" s="629">
        <f t="shared" si="988"/>
        <v>2027</v>
      </c>
      <c r="L841" s="629">
        <f t="shared" si="988"/>
        <v>2028</v>
      </c>
      <c r="M841" s="629">
        <f t="shared" si="988"/>
        <v>2029</v>
      </c>
      <c r="N841" s="1312">
        <f t="shared" si="988"/>
        <v>2030</v>
      </c>
      <c r="O841" s="302"/>
      <c r="P841" s="302"/>
      <c r="Q841" s="729"/>
      <c r="R841" s="694"/>
      <c r="S841" s="729"/>
      <c r="T841" s="694"/>
      <c r="U841" s="694"/>
      <c r="V841" s="729"/>
      <c r="W841" s="694"/>
      <c r="X841" s="694"/>
      <c r="Y841" s="694"/>
      <c r="Z841" s="694"/>
      <c r="AA841" s="694"/>
      <c r="AB841" s="694"/>
      <c r="AC841" s="1178">
        <f t="shared" ref="AC841" si="989">H$20</f>
        <v>2024</v>
      </c>
      <c r="AD841" s="1178">
        <f t="shared" ref="AD841" si="990">I$20</f>
        <v>2025</v>
      </c>
      <c r="AE841" s="1178">
        <f t="shared" ref="AE841" si="991">J$20</f>
        <v>2026</v>
      </c>
      <c r="AF841" s="1178">
        <f t="shared" ref="AF841" si="992">K$20</f>
        <v>2027</v>
      </c>
      <c r="AG841" s="1178">
        <f t="shared" ref="AG841" si="993">L$20</f>
        <v>2028</v>
      </c>
      <c r="AH841" s="1178">
        <f t="shared" ref="AH841" si="994">M$20</f>
        <v>2029</v>
      </c>
      <c r="AI841" s="1178">
        <f t="shared" ref="AI841" si="995">N$20</f>
        <v>2030</v>
      </c>
      <c r="AJ841" s="694"/>
      <c r="AK841" s="694"/>
      <c r="AL841" s="694"/>
    </row>
    <row r="842" spans="1:38" ht="12.75" customHeight="1" x14ac:dyDescent="0.25">
      <c r="A842" s="694"/>
      <c r="B842" s="298"/>
      <c r="C842" s="1302"/>
      <c r="D842" s="625" t="s">
        <v>7</v>
      </c>
      <c r="E842" s="2799"/>
      <c r="F842" s="2800"/>
      <c r="G842" s="1116" t="str">
        <f>IF(E842&lt;&gt;"",INDEX(EUconst_BMlistUnits,MATCH(E842,EUconst_BMlistNames,0)),EUconst_Tons)</f>
        <v>тона</v>
      </c>
      <c r="H842" s="150"/>
      <c r="I842" s="151"/>
      <c r="J842" s="152"/>
      <c r="K842" s="150"/>
      <c r="L842" s="150"/>
      <c r="M842" s="150"/>
      <c r="N842" s="153"/>
      <c r="O842" s="302"/>
      <c r="P842" s="158"/>
      <c r="Q842" s="1190" t="str">
        <f>EUconst_CNTR_IntermediateImport &amp; S842 &amp; "_" &amp; I575</f>
        <v>IntImp_1_</v>
      </c>
      <c r="R842" s="694"/>
      <c r="S842" s="1190">
        <v>1</v>
      </c>
      <c r="T842" s="694"/>
      <c r="U842" s="694"/>
      <c r="V842" s="729"/>
      <c r="W842" s="694"/>
      <c r="X842" s="694"/>
      <c r="Y842" s="694"/>
      <c r="Z842" s="694"/>
      <c r="AA842" s="694"/>
      <c r="AB842" s="1182" t="s">
        <v>737</v>
      </c>
      <c r="AC842" s="901" t="b">
        <f>OR(AND($L839&lt;&gt;"",$L839=FALSE),AC622)</f>
        <v>0</v>
      </c>
      <c r="AD842" s="982" t="b">
        <f t="shared" ref="AD842:AI842" si="996">OR(AND($L839&lt;&gt;"",$L839=FALSE),AD622)</f>
        <v>0</v>
      </c>
      <c r="AE842" s="982" t="b">
        <f t="shared" si="996"/>
        <v>0</v>
      </c>
      <c r="AF842" s="982" t="b">
        <f t="shared" si="996"/>
        <v>0</v>
      </c>
      <c r="AG842" s="982" t="b">
        <f t="shared" si="996"/>
        <v>0</v>
      </c>
      <c r="AH842" s="982" t="b">
        <f t="shared" si="996"/>
        <v>0</v>
      </c>
      <c r="AI842" s="982" t="b">
        <f t="shared" si="996"/>
        <v>0</v>
      </c>
      <c r="AJ842" s="1174" t="s">
        <v>2039</v>
      </c>
      <c r="AK842" s="1176" t="str">
        <f>IF(AND(CNTR_ExistSubInstEntries,MSconst_RequireSubAttrEmissions,COUNTIFS(AC842:AI842,FALSE,H842:N842,"")&gt;0),EUconst_Error&amp;"BM"&amp;$Q575,"")</f>
        <v/>
      </c>
      <c r="AL842" s="694"/>
    </row>
    <row r="843" spans="1:38" ht="12.75" customHeight="1" x14ac:dyDescent="0.25">
      <c r="A843" s="694"/>
      <c r="B843" s="298"/>
      <c r="C843" s="1302"/>
      <c r="D843" s="625" t="s">
        <v>8</v>
      </c>
      <c r="E843" s="2801"/>
      <c r="F843" s="2802"/>
      <c r="G843" s="1349" t="str">
        <f>IF(E843&lt;&gt;"",INDEX(EUconst_BMlistUnits,MATCH(E843,EUconst_BMlistNames,0)),EUconst_Tons)</f>
        <v>тона</v>
      </c>
      <c r="H843" s="154"/>
      <c r="I843" s="155"/>
      <c r="J843" s="156"/>
      <c r="K843" s="154"/>
      <c r="L843" s="154"/>
      <c r="M843" s="154"/>
      <c r="N843" s="157"/>
      <c r="O843" s="302"/>
      <c r="P843" s="158"/>
      <c r="Q843" s="1190" t="str">
        <f>EUconst_CNTR_IntermediateImport &amp; S843 &amp; "_" &amp; I575</f>
        <v>IntImp_2_</v>
      </c>
      <c r="R843" s="694"/>
      <c r="S843" s="1190">
        <v>2</v>
      </c>
      <c r="T843" s="694"/>
      <c r="U843" s="694"/>
      <c r="V843" s="729"/>
      <c r="W843" s="694"/>
      <c r="X843" s="694"/>
      <c r="Y843" s="694"/>
      <c r="Z843" s="694"/>
      <c r="AA843" s="694"/>
      <c r="AB843" s="694"/>
      <c r="AC843" s="982" t="b">
        <f>AC842</f>
        <v>0</v>
      </c>
      <c r="AD843" s="982" t="b">
        <f t="shared" ref="AD843:AI843" si="997">AD842</f>
        <v>0</v>
      </c>
      <c r="AE843" s="982" t="b">
        <f t="shared" si="997"/>
        <v>0</v>
      </c>
      <c r="AF843" s="982" t="b">
        <f t="shared" si="997"/>
        <v>0</v>
      </c>
      <c r="AG843" s="982" t="b">
        <f t="shared" si="997"/>
        <v>0</v>
      </c>
      <c r="AH843" s="982" t="b">
        <f t="shared" si="997"/>
        <v>0</v>
      </c>
      <c r="AI843" s="982" t="b">
        <f t="shared" si="997"/>
        <v>0</v>
      </c>
      <c r="AJ843" s="694"/>
      <c r="AK843" s="694"/>
      <c r="AL843" s="694"/>
    </row>
    <row r="844" spans="1:38" ht="5.15" customHeight="1" x14ac:dyDescent="0.25">
      <c r="A844" s="694"/>
      <c r="B844" s="298"/>
      <c r="C844" s="1302"/>
      <c r="D844" s="625"/>
      <c r="E844" s="625"/>
      <c r="F844" s="625"/>
      <c r="G844" s="625"/>
      <c r="H844" s="625"/>
      <c r="I844" s="625"/>
      <c r="J844" s="625"/>
      <c r="K844" s="625"/>
      <c r="L844" s="625"/>
      <c r="M844" s="625"/>
      <c r="N844" s="1373"/>
      <c r="O844" s="302"/>
      <c r="P844" s="302"/>
      <c r="Q844" s="729"/>
      <c r="R844" s="694"/>
      <c r="S844" s="729"/>
      <c r="T844" s="694"/>
      <c r="U844" s="694"/>
      <c r="V844" s="729"/>
      <c r="W844" s="694"/>
      <c r="X844" s="694"/>
      <c r="Y844" s="694"/>
      <c r="Z844" s="694"/>
      <c r="AA844" s="694"/>
      <c r="AB844" s="694"/>
      <c r="AC844" s="694"/>
      <c r="AD844" s="694"/>
      <c r="AE844" s="694"/>
      <c r="AF844" s="694"/>
      <c r="AG844" s="694"/>
      <c r="AH844" s="694"/>
      <c r="AI844" s="694"/>
      <c r="AJ844" s="694"/>
      <c r="AK844" s="694"/>
      <c r="AL844" s="694"/>
    </row>
    <row r="845" spans="1:38" ht="12.75" customHeight="1" thickBot="1" x14ac:dyDescent="0.3">
      <c r="A845" s="694"/>
      <c r="B845" s="298"/>
      <c r="C845" s="1302"/>
      <c r="D845" s="1307"/>
      <c r="E845" s="2803" t="str">
        <f>Translations!$B$605</f>
        <v>Подадени количества:</v>
      </c>
      <c r="F845" s="2672"/>
      <c r="G845" s="627" t="str">
        <f>EUconst_Unit</f>
        <v>Единица мярка</v>
      </c>
      <c r="H845" s="629">
        <f t="shared" ref="H845:N845" si="998">H$2831</f>
        <v>2024</v>
      </c>
      <c r="I845" s="1310">
        <f t="shared" si="998"/>
        <v>2025</v>
      </c>
      <c r="J845" s="1311">
        <f t="shared" si="998"/>
        <v>2026</v>
      </c>
      <c r="K845" s="629">
        <f t="shared" si="998"/>
        <v>2027</v>
      </c>
      <c r="L845" s="629">
        <f t="shared" si="998"/>
        <v>2028</v>
      </c>
      <c r="M845" s="629">
        <f t="shared" si="998"/>
        <v>2029</v>
      </c>
      <c r="N845" s="1312">
        <f t="shared" si="998"/>
        <v>2030</v>
      </c>
      <c r="O845" s="302"/>
      <c r="P845" s="302"/>
      <c r="Q845" s="729"/>
      <c r="R845" s="694"/>
      <c r="S845" s="729"/>
      <c r="T845" s="694"/>
      <c r="U845" s="694"/>
      <c r="V845" s="729"/>
      <c r="W845" s="694"/>
      <c r="X845" s="694"/>
      <c r="Y845" s="694"/>
      <c r="Z845" s="694"/>
      <c r="AA845" s="694"/>
      <c r="AB845" s="694"/>
      <c r="AC845" s="1178">
        <f t="shared" ref="AC845" si="999">H$20</f>
        <v>2024</v>
      </c>
      <c r="AD845" s="1178">
        <f t="shared" ref="AD845" si="1000">I$20</f>
        <v>2025</v>
      </c>
      <c r="AE845" s="1178">
        <f t="shared" ref="AE845" si="1001">J$20</f>
        <v>2026</v>
      </c>
      <c r="AF845" s="1178">
        <f t="shared" ref="AF845" si="1002">K$20</f>
        <v>2027</v>
      </c>
      <c r="AG845" s="1178">
        <f t="shared" ref="AG845" si="1003">L$20</f>
        <v>2028</v>
      </c>
      <c r="AH845" s="1178">
        <f t="shared" ref="AH845" si="1004">M$20</f>
        <v>2029</v>
      </c>
      <c r="AI845" s="1178">
        <f t="shared" ref="AI845" si="1005">N$20</f>
        <v>2030</v>
      </c>
      <c r="AJ845" s="694"/>
      <c r="AK845" s="694"/>
      <c r="AL845" s="694"/>
    </row>
    <row r="846" spans="1:38" ht="12.75" customHeight="1" x14ac:dyDescent="0.25">
      <c r="A846" s="694"/>
      <c r="B846" s="298"/>
      <c r="C846" s="1302"/>
      <c r="D846" s="625" t="s">
        <v>18</v>
      </c>
      <c r="E846" s="2799"/>
      <c r="F846" s="2800"/>
      <c r="G846" s="1116" t="str">
        <f>IF(E846&lt;&gt;"",INDEX(EUconst_BMlistUnits,MATCH(E846,EUconst_BMlistNames,0)),EUconst_Tons)</f>
        <v>тона</v>
      </c>
      <c r="H846" s="150"/>
      <c r="I846" s="151"/>
      <c r="J846" s="152"/>
      <c r="K846" s="150"/>
      <c r="L846" s="150"/>
      <c r="M846" s="150"/>
      <c r="N846" s="153"/>
      <c r="O846" s="302"/>
      <c r="P846" s="158"/>
      <c r="Q846" s="1190" t="str">
        <f>EUconst_CNTR_IntermediateExport &amp; S842 &amp; "_" &amp; I575</f>
        <v>IntExp_1_</v>
      </c>
      <c r="R846" s="694"/>
      <c r="S846" s="1190">
        <v>1</v>
      </c>
      <c r="T846" s="694"/>
      <c r="U846" s="694"/>
      <c r="V846" s="729"/>
      <c r="W846" s="694"/>
      <c r="X846" s="1374"/>
      <c r="Y846" s="1374"/>
      <c r="Z846" s="694"/>
      <c r="AA846" s="694"/>
      <c r="AB846" s="1182" t="s">
        <v>737</v>
      </c>
      <c r="AC846" s="982" t="b">
        <f>AC842</f>
        <v>0</v>
      </c>
      <c r="AD846" s="982" t="b">
        <f t="shared" ref="AD846:AI846" si="1006">AD842</f>
        <v>0</v>
      </c>
      <c r="AE846" s="982" t="b">
        <f t="shared" si="1006"/>
        <v>0</v>
      </c>
      <c r="AF846" s="982" t="b">
        <f t="shared" si="1006"/>
        <v>0</v>
      </c>
      <c r="AG846" s="982" t="b">
        <f t="shared" si="1006"/>
        <v>0</v>
      </c>
      <c r="AH846" s="982" t="b">
        <f t="shared" si="1006"/>
        <v>0</v>
      </c>
      <c r="AI846" s="982" t="b">
        <f t="shared" si="1006"/>
        <v>0</v>
      </c>
      <c r="AJ846" s="1174" t="s">
        <v>2039</v>
      </c>
      <c r="AK846" s="1176" t="str">
        <f>IF(AND(CNTR_ExistSubInstEntries,MSconst_RequireSubAttrEmissions,COUNTIFS(AC846:AI846,FALSE,H846:N846,"")&gt;0),EUconst_Error&amp;"BM"&amp;$Q575,"")</f>
        <v/>
      </c>
      <c r="AL846" s="694"/>
    </row>
    <row r="847" spans="1:38" ht="12.75" customHeight="1" x14ac:dyDescent="0.25">
      <c r="A847" s="694"/>
      <c r="B847" s="298"/>
      <c r="C847" s="1302"/>
      <c r="D847" s="625" t="s">
        <v>810</v>
      </c>
      <c r="E847" s="2801"/>
      <c r="F847" s="2802"/>
      <c r="G847" s="1349" t="str">
        <f>IF(E847&lt;&gt;"",INDEX(EUconst_BMlistUnits,MATCH(E847,EUconst_BMlistNames,0)),EUconst_Tons)</f>
        <v>тона</v>
      </c>
      <c r="H847" s="154"/>
      <c r="I847" s="155"/>
      <c r="J847" s="156"/>
      <c r="K847" s="154"/>
      <c r="L847" s="154"/>
      <c r="M847" s="154"/>
      <c r="N847" s="157"/>
      <c r="O847" s="302"/>
      <c r="P847" s="158"/>
      <c r="Q847" s="1190" t="str">
        <f>EUconst_CNTR_IntermediateExport &amp; S847 &amp; "_" &amp; I575</f>
        <v>IntExp_2_</v>
      </c>
      <c r="R847" s="694"/>
      <c r="S847" s="1190">
        <v>2</v>
      </c>
      <c r="T847" s="694"/>
      <c r="U847" s="694"/>
      <c r="V847" s="729"/>
      <c r="W847" s="694"/>
      <c r="X847" s="1374"/>
      <c r="Y847" s="1374"/>
      <c r="Z847" s="694"/>
      <c r="AA847" s="694"/>
      <c r="AB847" s="694"/>
      <c r="AC847" s="982" t="b">
        <f t="shared" ref="AC847:AI847" si="1007">AC843</f>
        <v>0</v>
      </c>
      <c r="AD847" s="982" t="b">
        <f t="shared" si="1007"/>
        <v>0</v>
      </c>
      <c r="AE847" s="982" t="b">
        <f t="shared" si="1007"/>
        <v>0</v>
      </c>
      <c r="AF847" s="982" t="b">
        <f t="shared" si="1007"/>
        <v>0</v>
      </c>
      <c r="AG847" s="982" t="b">
        <f t="shared" si="1007"/>
        <v>0</v>
      </c>
      <c r="AH847" s="982" t="b">
        <f t="shared" si="1007"/>
        <v>0</v>
      </c>
      <c r="AI847" s="982" t="b">
        <f t="shared" si="1007"/>
        <v>0</v>
      </c>
      <c r="AJ847" s="694"/>
      <c r="AK847" s="694"/>
      <c r="AL847" s="694"/>
    </row>
    <row r="848" spans="1:38" ht="5.15" customHeight="1" x14ac:dyDescent="0.25">
      <c r="A848" s="694"/>
      <c r="B848" s="298"/>
      <c r="C848" s="1302"/>
      <c r="D848" s="625"/>
      <c r="E848" s="625"/>
      <c r="F848" s="625"/>
      <c r="G848" s="625"/>
      <c r="H848" s="625"/>
      <c r="I848" s="625"/>
      <c r="J848" s="625"/>
      <c r="K848" s="625"/>
      <c r="L848" s="625"/>
      <c r="M848" s="625"/>
      <c r="N848" s="1348"/>
      <c r="O848" s="302"/>
      <c r="P848" s="302"/>
      <c r="Q848" s="729"/>
      <c r="R848" s="694"/>
      <c r="S848" s="729"/>
      <c r="T848" s="694"/>
      <c r="U848" s="694"/>
      <c r="V848" s="729"/>
      <c r="W848" s="694"/>
      <c r="X848" s="1374"/>
      <c r="Y848" s="1374"/>
      <c r="Z848" s="694"/>
      <c r="AA848" s="694"/>
      <c r="AB848" s="694"/>
      <c r="AC848" s="694"/>
      <c r="AD848" s="694"/>
      <c r="AE848" s="694"/>
      <c r="AF848" s="694"/>
      <c r="AG848" s="694"/>
      <c r="AH848" s="694"/>
      <c r="AI848" s="694"/>
      <c r="AJ848" s="694"/>
      <c r="AK848" s="694"/>
      <c r="AL848" s="694"/>
    </row>
    <row r="849" spans="1:38" ht="12.75" customHeight="1" x14ac:dyDescent="0.25">
      <c r="A849" s="694"/>
      <c r="B849" s="298"/>
      <c r="C849" s="1302"/>
      <c r="D849" s="625" t="s">
        <v>811</v>
      </c>
      <c r="E849" s="626" t="str">
        <f>Translations!$B$606</f>
        <v>Описание на получените или подадените междинни продукти</v>
      </c>
      <c r="F849" s="626"/>
      <c r="G849" s="626"/>
      <c r="H849" s="626"/>
      <c r="I849" s="626"/>
      <c r="J849" s="626"/>
      <c r="K849" s="626"/>
      <c r="L849" s="626"/>
      <c r="M849" s="626"/>
      <c r="N849" s="1348"/>
      <c r="O849" s="302"/>
      <c r="P849" s="302"/>
      <c r="Q849" s="729"/>
      <c r="R849" s="694"/>
      <c r="S849" s="729"/>
      <c r="T849" s="694"/>
      <c r="U849" s="694"/>
      <c r="V849" s="729"/>
      <c r="W849" s="694"/>
      <c r="X849" s="1374"/>
      <c r="Y849" s="1374"/>
      <c r="Z849" s="694"/>
      <c r="AA849" s="694"/>
      <c r="AB849" s="694"/>
      <c r="AC849" s="694"/>
      <c r="AD849" s="694"/>
      <c r="AE849" s="694"/>
      <c r="AF849" s="694"/>
      <c r="AG849" s="694"/>
      <c r="AH849" s="694"/>
      <c r="AI849" s="694"/>
      <c r="AJ849" s="694"/>
      <c r="AK849" s="694"/>
      <c r="AL849" s="694"/>
    </row>
    <row r="850" spans="1:38" ht="12.75" customHeight="1" x14ac:dyDescent="0.25">
      <c r="A850" s="694"/>
      <c r="B850" s="298"/>
      <c r="C850" s="1302"/>
      <c r="D850" s="625"/>
      <c r="E850" s="1375" t="str">
        <f>Translations!$B$607</f>
        <v>Моля, опишете накратко производствения процес във връзка с получени или подадени междинни продукти.</v>
      </c>
      <c r="F850" s="1322"/>
      <c r="G850" s="1322"/>
      <c r="H850" s="1322"/>
      <c r="I850" s="1322"/>
      <c r="J850" s="1322"/>
      <c r="K850" s="1322"/>
      <c r="L850" s="1322"/>
      <c r="M850" s="1322"/>
      <c r="N850" s="1323"/>
      <c r="O850" s="302"/>
      <c r="P850" s="302"/>
      <c r="Q850" s="729"/>
      <c r="R850" s="694"/>
      <c r="S850" s="729"/>
      <c r="T850" s="694"/>
      <c r="U850" s="694"/>
      <c r="V850" s="729"/>
      <c r="W850" s="694"/>
      <c r="X850" s="1374"/>
      <c r="Y850" s="1374"/>
      <c r="Z850" s="694"/>
      <c r="AA850" s="694"/>
      <c r="AB850" s="694"/>
      <c r="AC850" s="694"/>
      <c r="AD850" s="694"/>
      <c r="AE850" s="694"/>
      <c r="AF850" s="694"/>
      <c r="AG850" s="694"/>
      <c r="AH850" s="694"/>
      <c r="AI850" s="694"/>
      <c r="AJ850" s="694"/>
      <c r="AK850" s="694"/>
      <c r="AL850" s="694"/>
    </row>
    <row r="851" spans="1:38" ht="12.75" customHeight="1" x14ac:dyDescent="0.25">
      <c r="A851" s="694"/>
      <c r="B851" s="298"/>
      <c r="C851" s="1302"/>
      <c r="D851" s="625"/>
      <c r="E851" s="2804"/>
      <c r="F851" s="2805"/>
      <c r="G851" s="2805"/>
      <c r="H851" s="2805"/>
      <c r="I851" s="2805"/>
      <c r="J851" s="2805"/>
      <c r="K851" s="2805"/>
      <c r="L851" s="2805"/>
      <c r="M851" s="2806"/>
      <c r="N851" s="1348"/>
      <c r="O851" s="302"/>
      <c r="P851" s="158"/>
      <c r="Q851" s="729"/>
      <c r="R851" s="694"/>
      <c r="S851" s="729"/>
      <c r="T851" s="694"/>
      <c r="U851" s="694"/>
      <c r="V851" s="729"/>
      <c r="W851" s="694"/>
      <c r="X851" s="1374"/>
      <c r="Y851" s="1374"/>
      <c r="Z851" s="694"/>
      <c r="AA851" s="694"/>
      <c r="AB851" s="1182" t="s">
        <v>737</v>
      </c>
      <c r="AC851" s="982" t="b">
        <f>AND(AC846:AI846)</f>
        <v>0</v>
      </c>
      <c r="AD851" s="694"/>
      <c r="AE851" s="694"/>
      <c r="AF851" s="694"/>
      <c r="AG851" s="694"/>
      <c r="AH851" s="694"/>
      <c r="AI851" s="694"/>
      <c r="AJ851" s="694"/>
      <c r="AK851" s="694"/>
      <c r="AL851" s="694"/>
    </row>
    <row r="852" spans="1:38" ht="12.75" customHeight="1" x14ac:dyDescent="0.25">
      <c r="A852" s="694"/>
      <c r="B852" s="298"/>
      <c r="C852" s="1302"/>
      <c r="D852" s="625"/>
      <c r="E852" s="2807"/>
      <c r="F852" s="2808"/>
      <c r="G852" s="2808"/>
      <c r="H852" s="2808"/>
      <c r="I852" s="2808"/>
      <c r="J852" s="2808"/>
      <c r="K852" s="2808"/>
      <c r="L852" s="2808"/>
      <c r="M852" s="2809"/>
      <c r="N852" s="1348"/>
      <c r="O852" s="302"/>
      <c r="P852" s="302"/>
      <c r="Q852" s="729"/>
      <c r="R852" s="694"/>
      <c r="S852" s="729"/>
      <c r="T852" s="694"/>
      <c r="U852" s="694"/>
      <c r="V852" s="729"/>
      <c r="W852" s="694"/>
      <c r="X852" s="1374"/>
      <c r="Y852" s="1374"/>
      <c r="Z852" s="694"/>
      <c r="AA852" s="694"/>
      <c r="AB852" s="694"/>
      <c r="AC852" s="982" t="b">
        <f>AC851</f>
        <v>0</v>
      </c>
      <c r="AD852" s="694"/>
      <c r="AE852" s="694"/>
      <c r="AF852" s="694"/>
      <c r="AG852" s="694"/>
      <c r="AH852" s="694"/>
      <c r="AI852" s="694"/>
      <c r="AJ852" s="694"/>
      <c r="AK852" s="694"/>
      <c r="AL852" s="694"/>
    </row>
    <row r="853" spans="1:38" ht="12.75" customHeight="1" thickBot="1" x14ac:dyDescent="0.3">
      <c r="A853" s="694"/>
      <c r="B853" s="298"/>
      <c r="C853" s="1376"/>
      <c r="D853" s="1377"/>
      <c r="E853" s="1377"/>
      <c r="F853" s="1377"/>
      <c r="G853" s="1377"/>
      <c r="H853" s="1377"/>
      <c r="I853" s="1377"/>
      <c r="J853" s="1377"/>
      <c r="K853" s="1377"/>
      <c r="L853" s="1377"/>
      <c r="M853" s="1378"/>
      <c r="N853" s="1379"/>
      <c r="O853" s="302"/>
      <c r="P853" s="302"/>
      <c r="Q853" s="729"/>
      <c r="R853" s="694"/>
      <c r="S853" s="729"/>
      <c r="T853" s="694"/>
      <c r="U853" s="694"/>
      <c r="V853" s="729"/>
      <c r="W853" s="694"/>
      <c r="X853" s="694"/>
      <c r="Y853" s="694"/>
      <c r="Z853" s="694"/>
      <c r="AA853" s="694"/>
      <c r="AB853" s="694"/>
      <c r="AC853" s="694"/>
      <c r="AD853" s="694"/>
      <c r="AE853" s="694"/>
      <c r="AF853" s="694"/>
      <c r="AG853" s="694"/>
      <c r="AH853" s="694"/>
      <c r="AI853" s="694"/>
      <c r="AJ853" s="694"/>
      <c r="AK853" s="694"/>
      <c r="AL853" s="694"/>
    </row>
    <row r="854" spans="1:38" ht="12.75" customHeight="1" thickBot="1" x14ac:dyDescent="0.3">
      <c r="A854" s="729"/>
      <c r="B854" s="284"/>
      <c r="C854" s="284"/>
      <c r="D854" s="284"/>
      <c r="E854" s="284"/>
      <c r="F854" s="284"/>
      <c r="G854" s="284"/>
      <c r="H854" s="284"/>
      <c r="I854" s="284"/>
      <c r="J854" s="284"/>
      <c r="K854" s="284"/>
      <c r="L854" s="284"/>
      <c r="M854" s="336"/>
      <c r="N854" s="336"/>
      <c r="O854" s="336"/>
      <c r="P854" s="336"/>
      <c r="Q854" s="1026" t="str">
        <f>IF(OR(AND(CNTR_ExistProductSubEntries=FALSE,Q575=1),AND(I575&lt;&gt;"",COUNTIF(Q855:Q$2825,"PRINT")=0)),"PRINT","")</f>
        <v/>
      </c>
      <c r="R854" s="770"/>
      <c r="S854" s="770"/>
      <c r="T854" s="770"/>
      <c r="U854" s="770"/>
      <c r="V854" s="770"/>
      <c r="W854" s="770"/>
      <c r="X854" s="770"/>
      <c r="Y854" s="770"/>
      <c r="Z854" s="694"/>
      <c r="AA854" s="694"/>
      <c r="AB854" s="694"/>
      <c r="AC854" s="694"/>
      <c r="AD854" s="694"/>
      <c r="AE854" s="343"/>
      <c r="AF854" s="343"/>
      <c r="AG854" s="343"/>
      <c r="AH854" s="343"/>
      <c r="AI854" s="343"/>
      <c r="AJ854" s="343"/>
      <c r="AK854" s="343"/>
      <c r="AL854" s="343"/>
    </row>
    <row r="855" spans="1:38" ht="5.15" customHeight="1" thickBot="1" x14ac:dyDescent="0.3">
      <c r="A855" s="694"/>
      <c r="B855" s="298"/>
      <c r="C855" s="1380"/>
      <c r="D855" s="1380"/>
      <c r="E855" s="1380"/>
      <c r="F855" s="1380"/>
      <c r="G855" s="1380"/>
      <c r="H855" s="1380"/>
      <c r="I855" s="1380"/>
      <c r="J855" s="1380"/>
      <c r="K855" s="1380"/>
      <c r="L855" s="1380"/>
      <c r="M855" s="1380"/>
      <c r="N855" s="1380"/>
      <c r="O855" s="302"/>
      <c r="P855" s="302"/>
      <c r="Q855" s="1381"/>
      <c r="R855" s="1381"/>
      <c r="S855" s="1381"/>
      <c r="T855" s="1381"/>
      <c r="U855" s="1381"/>
      <c r="V855" s="1381"/>
      <c r="W855" s="1381"/>
      <c r="X855" s="1381"/>
      <c r="Y855" s="1381"/>
      <c r="Z855" s="1381"/>
      <c r="AA855" s="1381"/>
      <c r="AB855" s="1381"/>
      <c r="AC855" s="1381"/>
      <c r="AD855" s="1381"/>
      <c r="AE855" s="1381"/>
      <c r="AF855" s="1381"/>
      <c r="AG855" s="1381"/>
      <c r="AH855" s="1381"/>
      <c r="AI855" s="1381"/>
      <c r="AJ855" s="1381"/>
      <c r="AK855" s="1381"/>
      <c r="AL855" s="1381"/>
    </row>
    <row r="856" spans="1:38" ht="14.5" thickBot="1" x14ac:dyDescent="0.3">
      <c r="A856" s="694"/>
      <c r="B856" s="298"/>
      <c r="C856" s="1173">
        <f>C575+1</f>
        <v>4</v>
      </c>
      <c r="D856" s="2323" t="str">
        <f>EUconst_BMSubinst &amp; ":"</f>
        <v>Подинсталация с продуктов показател:</v>
      </c>
      <c r="E856" s="2249"/>
      <c r="F856" s="2249"/>
      <c r="G856" s="2249"/>
      <c r="H856" s="2295"/>
      <c r="I856" s="2843" t="str">
        <f>IF(INDEX(CNTR_SubInstListIsProdBM,$C856),INDEX(CNTR_SubInstListNames,$C856),"")</f>
        <v/>
      </c>
      <c r="J856" s="2844"/>
      <c r="K856" s="2844"/>
      <c r="L856" s="2844"/>
      <c r="M856" s="2844"/>
      <c r="N856" s="2865"/>
      <c r="O856" s="302"/>
      <c r="P856" s="302"/>
      <c r="Q856" s="1026">
        <f>C856</f>
        <v>4</v>
      </c>
      <c r="R856" s="694"/>
      <c r="S856" s="1174" t="str">
        <f>Translations!$B$898</f>
        <v>Дата на въвеждане в експлоатация:</v>
      </c>
      <c r="T856" s="1175" t="str">
        <f>IF(I856="","",MAX(INDEX(CNTR_SubInstStartDate,MATCH($I856,CNTR_SubInstListNames,0)),DATE(2005,1,1)))</f>
        <v/>
      </c>
      <c r="U856" s="729" t="s">
        <v>1731</v>
      </c>
      <c r="V856" s="1176">
        <f>IF(ISNUMBER(T856),YEAR($T856-IF(YEAR(T856)&gt;=2022,0,1))+1,2005)</f>
        <v>2005</v>
      </c>
      <c r="W856" s="1174" t="s">
        <v>1734</v>
      </c>
      <c r="X856" s="1175" t="str">
        <f>IF(I856="","",INDEX(CNTR_SubInstCessationDate,MATCH($I856,CNTR_SubInstListNames,0)))</f>
        <v/>
      </c>
      <c r="Y856" s="1174" t="s">
        <v>1735</v>
      </c>
      <c r="Z856" s="1176">
        <f>IF(SUM(X856)=0,2050,YEAR($X856))</f>
        <v>2050</v>
      </c>
      <c r="AA856" s="1174" t="s">
        <v>2009</v>
      </c>
      <c r="AB856" s="1176" t="b">
        <f>CNTR_ReportingYear&gt;V856</f>
        <v>1</v>
      </c>
      <c r="AC856" s="694"/>
      <c r="AD856" s="694"/>
      <c r="AE856" s="694"/>
      <c r="AF856" s="694"/>
      <c r="AG856" s="694"/>
      <c r="AH856" s="694"/>
      <c r="AI856" s="694"/>
      <c r="AJ856" s="694"/>
      <c r="AK856" s="694"/>
      <c r="AL856" s="1177" t="b">
        <f>AND(CNTR_ExistSubInstEntries,I856="")</f>
        <v>0</v>
      </c>
    </row>
    <row r="857" spans="1:38" x14ac:dyDescent="0.25">
      <c r="A857" s="694"/>
      <c r="B857" s="298"/>
      <c r="C857" s="298"/>
      <c r="D857" s="302"/>
      <c r="E857" s="2358" t="str">
        <f>Translations!$B$330</f>
        <v>Наименованието на подинсталацията с продуктов показател се показва автоматично въз основа на данните, въведени в лист „A_InstallationData“ („А_Данни за инсталацията“).</v>
      </c>
      <c r="F857" s="2249"/>
      <c r="G857" s="2249"/>
      <c r="H857" s="2249"/>
      <c r="I857" s="2249"/>
      <c r="J857" s="2249"/>
      <c r="K857" s="2249"/>
      <c r="L857" s="2249"/>
      <c r="M857" s="2249"/>
      <c r="N857" s="2249"/>
      <c r="O857" s="302"/>
      <c r="P857" s="302"/>
      <c r="Q857" s="729"/>
      <c r="R857" s="694"/>
      <c r="S857" s="729"/>
      <c r="T857" s="729"/>
      <c r="U857" s="694"/>
      <c r="V857" s="694"/>
      <c r="W857" s="694"/>
      <c r="X857" s="694"/>
      <c r="Y857" s="694"/>
      <c r="Z857" s="694"/>
      <c r="AA857" s="694"/>
      <c r="AB857" s="694"/>
      <c r="AC857" s="694"/>
      <c r="AD857" s="694"/>
      <c r="AE857" s="694"/>
      <c r="AF857" s="694"/>
      <c r="AG857" s="694"/>
      <c r="AH857" s="694"/>
      <c r="AI857" s="694"/>
      <c r="AJ857" s="694"/>
      <c r="AK857" s="694"/>
      <c r="AL857" s="694"/>
    </row>
    <row r="858" spans="1:38" ht="5.15" customHeight="1" x14ac:dyDescent="0.25">
      <c r="A858" s="694"/>
      <c r="B858" s="298"/>
      <c r="C858" s="298"/>
      <c r="D858" s="298"/>
      <c r="E858" s="298"/>
      <c r="F858" s="298"/>
      <c r="G858" s="298"/>
      <c r="H858" s="298"/>
      <c r="I858" s="298"/>
      <c r="J858" s="298"/>
      <c r="K858" s="298"/>
      <c r="L858" s="298"/>
      <c r="M858" s="302"/>
      <c r="N858" s="302"/>
      <c r="O858" s="302"/>
      <c r="P858" s="302"/>
      <c r="Q858" s="729"/>
      <c r="R858" s="694"/>
      <c r="S858" s="729"/>
      <c r="T858" s="729"/>
      <c r="U858" s="694"/>
      <c r="V858" s="694"/>
      <c r="W858" s="694"/>
      <c r="X858" s="694"/>
      <c r="Y858" s="694"/>
      <c r="Z858" s="694"/>
      <c r="AA858" s="694"/>
      <c r="AB858" s="694"/>
      <c r="AC858" s="694"/>
      <c r="AD858" s="694"/>
      <c r="AE858" s="694"/>
      <c r="AF858" s="694"/>
      <c r="AG858" s="694"/>
      <c r="AH858" s="694"/>
      <c r="AI858" s="694"/>
      <c r="AJ858" s="694"/>
      <c r="AK858" s="694"/>
      <c r="AL858" s="694"/>
    </row>
    <row r="859" spans="1:38" ht="13" x14ac:dyDescent="0.25">
      <c r="A859" s="694"/>
      <c r="B859" s="298"/>
      <c r="C859" s="298"/>
      <c r="D859" s="300" t="s">
        <v>408</v>
      </c>
      <c r="E859" s="2226" t="str">
        <f>Translations!$B$1315</f>
        <v>Равнища на дейност</v>
      </c>
      <c r="F859" s="2249"/>
      <c r="G859" s="2249"/>
      <c r="H859" s="2249"/>
      <c r="I859" s="2249"/>
      <c r="J859" s="2249"/>
      <c r="K859" s="2249"/>
      <c r="L859" s="2249"/>
      <c r="M859" s="2249"/>
      <c r="N859" s="2249"/>
      <c r="O859" s="302"/>
      <c r="P859" s="302"/>
      <c r="Q859" s="729"/>
      <c r="R859" s="694"/>
      <c r="S859" s="694"/>
      <c r="T859" s="694"/>
      <c r="U859" s="694"/>
      <c r="V859" s="694"/>
      <c r="W859" s="694"/>
      <c r="X859" s="694"/>
      <c r="Y859" s="694"/>
      <c r="Z859" s="694"/>
      <c r="AA859" s="694"/>
      <c r="AB859" s="694"/>
      <c r="AC859" s="694"/>
      <c r="AD859" s="694"/>
      <c r="AE859" s="694"/>
      <c r="AF859" s="694"/>
      <c r="AG859" s="694"/>
      <c r="AH859" s="694"/>
      <c r="AI859" s="694"/>
      <c r="AJ859" s="694"/>
      <c r="AK859" s="694"/>
      <c r="AL859" s="694"/>
    </row>
    <row r="860" spans="1:38" x14ac:dyDescent="0.25">
      <c r="A860" s="694"/>
      <c r="B860" s="298"/>
      <c r="C860" s="298"/>
      <c r="D860" s="302"/>
      <c r="E860" s="2358" t="str">
        <f>Translations!$B$474</f>
        <v>По тази точка следва да се отчетат „основните равнища на дейност“, т.е. данните, които се прилагат пряко за изчисляване на разпределението.</v>
      </c>
      <c r="F860" s="2249"/>
      <c r="G860" s="2249"/>
      <c r="H860" s="2249"/>
      <c r="I860" s="2249"/>
      <c r="J860" s="2249"/>
      <c r="K860" s="2249"/>
      <c r="L860" s="2249"/>
      <c r="M860" s="2249"/>
      <c r="N860" s="2249"/>
      <c r="O860" s="302"/>
      <c r="P860" s="302"/>
      <c r="Q860" s="729"/>
      <c r="R860" s="694"/>
      <c r="S860" s="729"/>
      <c r="T860" s="729"/>
      <c r="U860" s="729"/>
      <c r="V860" s="694"/>
      <c r="W860" s="694"/>
      <c r="X860" s="694"/>
      <c r="Y860" s="694"/>
      <c r="Z860" s="694"/>
      <c r="AA860" s="694"/>
      <c r="AB860" s="694"/>
      <c r="AC860" s="694"/>
      <c r="AD860" s="694"/>
      <c r="AE860" s="694"/>
      <c r="AF860" s="694"/>
      <c r="AG860" s="694"/>
      <c r="AH860" s="694"/>
      <c r="AI860" s="694"/>
      <c r="AJ860" s="694"/>
      <c r="AK860" s="694"/>
      <c r="AL860" s="694"/>
    </row>
    <row r="861" spans="1:38" x14ac:dyDescent="0.25">
      <c r="A861" s="694"/>
      <c r="B861" s="298"/>
      <c r="C861" s="298"/>
      <c r="D861" s="302"/>
      <c r="E861" s="2358" t="str">
        <f>Translations!$B$475</f>
        <v xml:space="preserve">Това обикновено са производствените данни за продукта, напр. тонове клинкер за сив цимент или тонове стъклени бутилки, както е определено в приложение I към ПБР. </v>
      </c>
      <c r="F861" s="2249"/>
      <c r="G861" s="2249"/>
      <c r="H861" s="2249"/>
      <c r="I861" s="2249"/>
      <c r="J861" s="2249"/>
      <c r="K861" s="2249"/>
      <c r="L861" s="2249"/>
      <c r="M861" s="2249"/>
      <c r="N861" s="2249"/>
      <c r="O861" s="302"/>
      <c r="P861" s="302"/>
      <c r="Q861" s="729"/>
      <c r="R861" s="694"/>
      <c r="S861" s="729"/>
      <c r="T861" s="729"/>
      <c r="U861" s="729"/>
      <c r="V861" s="694"/>
      <c r="W861" s="694"/>
      <c r="X861" s="694"/>
      <c r="Y861" s="694"/>
      <c r="Z861" s="694"/>
      <c r="AA861" s="694"/>
      <c r="AB861" s="694"/>
      <c r="AC861" s="694"/>
      <c r="AD861" s="694"/>
      <c r="AE861" s="694"/>
      <c r="AF861" s="694"/>
      <c r="AG861" s="694"/>
      <c r="AH861" s="694"/>
      <c r="AI861" s="694"/>
      <c r="AJ861" s="694"/>
      <c r="AK861" s="694"/>
      <c r="AL861" s="694"/>
    </row>
    <row r="862" spans="1:38" x14ac:dyDescent="0.25">
      <c r="A862" s="694"/>
      <c r="B862" s="298"/>
      <c r="C862" s="298"/>
      <c r="D862" s="302"/>
      <c r="E862" s="2358" t="str">
        <f>Translations!$B$476</f>
        <v>Въпреки това, ако се покаже съобщение съгласно буква b), трябва да се използва съответният инструмент за изчисляване, а резултатите от него автоматично се копират в тази таблица в ii).</v>
      </c>
      <c r="F862" s="2249"/>
      <c r="G862" s="2249"/>
      <c r="H862" s="2249"/>
      <c r="I862" s="2249"/>
      <c r="J862" s="2249"/>
      <c r="K862" s="2249"/>
      <c r="L862" s="2249"/>
      <c r="M862" s="2249"/>
      <c r="N862" s="2249"/>
      <c r="O862" s="302"/>
      <c r="P862" s="302"/>
      <c r="Q862" s="729"/>
      <c r="R862" s="694"/>
      <c r="S862" s="729"/>
      <c r="T862" s="694"/>
      <c r="U862" s="694"/>
      <c r="V862" s="694"/>
      <c r="W862" s="694"/>
      <c r="X862" s="694"/>
      <c r="Y862" s="694"/>
      <c r="Z862" s="729"/>
      <c r="AA862" s="694"/>
      <c r="AB862" s="694"/>
      <c r="AC862" s="694"/>
      <c r="AD862" s="694"/>
      <c r="AE862" s="694"/>
      <c r="AF862" s="694"/>
      <c r="AG862" s="694"/>
      <c r="AH862" s="694"/>
      <c r="AI862" s="694"/>
      <c r="AJ862" s="694"/>
      <c r="AK862" s="694"/>
      <c r="AL862" s="694"/>
    </row>
    <row r="863" spans="1:38" ht="13.5" customHeight="1" thickBot="1" x14ac:dyDescent="0.3">
      <c r="A863" s="694"/>
      <c r="B863" s="698"/>
      <c r="C863" s="698"/>
      <c r="D863" s="300"/>
      <c r="E863" s="2671" t="str">
        <f>Translations!$B$477</f>
        <v>Годишни равнища на дейност:</v>
      </c>
      <c r="F863" s="2671"/>
      <c r="G863" s="527" t="str">
        <f>EUconst_Unit</f>
        <v>Единица мярка</v>
      </c>
      <c r="H863" s="391">
        <f>H$2831</f>
        <v>2024</v>
      </c>
      <c r="I863" s="572">
        <f t="shared" ref="I863:N863" si="1008">I$2831</f>
        <v>2025</v>
      </c>
      <c r="J863" s="757">
        <f>J$2831</f>
        <v>2026</v>
      </c>
      <c r="K863" s="391">
        <f t="shared" si="1008"/>
        <v>2027</v>
      </c>
      <c r="L863" s="391">
        <f t="shared" si="1008"/>
        <v>2028</v>
      </c>
      <c r="M863" s="391">
        <f t="shared" si="1008"/>
        <v>2029</v>
      </c>
      <c r="N863" s="387">
        <f t="shared" si="1008"/>
        <v>2030</v>
      </c>
      <c r="O863" s="302"/>
      <c r="P863" s="302"/>
      <c r="Q863" s="729"/>
      <c r="R863" s="694"/>
      <c r="S863" s="694"/>
      <c r="T863" s="1178">
        <f t="shared" ref="T863" si="1009">H863</f>
        <v>2024</v>
      </c>
      <c r="U863" s="1178">
        <f t="shared" ref="U863" si="1010">I863</f>
        <v>2025</v>
      </c>
      <c r="V863" s="1178">
        <f t="shared" ref="V863" si="1011">J863</f>
        <v>2026</v>
      </c>
      <c r="W863" s="1178">
        <f t="shared" ref="W863" si="1012">K863</f>
        <v>2027</v>
      </c>
      <c r="X863" s="1178">
        <f t="shared" ref="X863" si="1013">L863</f>
        <v>2028</v>
      </c>
      <c r="Y863" s="1178">
        <f t="shared" ref="Y863" si="1014">M863</f>
        <v>2029</v>
      </c>
      <c r="Z863" s="1178">
        <f t="shared" ref="Z863" si="1015">N863</f>
        <v>2030</v>
      </c>
      <c r="AA863" s="694"/>
      <c r="AB863" s="694"/>
      <c r="AC863" s="1178">
        <f>H$20</f>
        <v>2024</v>
      </c>
      <c r="AD863" s="1178">
        <f t="shared" ref="AD863" si="1016">I$20</f>
        <v>2025</v>
      </c>
      <c r="AE863" s="1178">
        <f t="shared" ref="AE863" si="1017">J$20</f>
        <v>2026</v>
      </c>
      <c r="AF863" s="1178">
        <f t="shared" ref="AF863" si="1018">K$20</f>
        <v>2027</v>
      </c>
      <c r="AG863" s="1178">
        <f t="shared" ref="AG863" si="1019">L$20</f>
        <v>2028</v>
      </c>
      <c r="AH863" s="1178">
        <f t="shared" ref="AH863" si="1020">M$20</f>
        <v>2029</v>
      </c>
      <c r="AI863" s="1178">
        <f t="shared" ref="AI863" si="1021">N$20</f>
        <v>2030</v>
      </c>
      <c r="AJ863" s="694"/>
      <c r="AK863" s="694"/>
      <c r="AL863" s="729"/>
    </row>
    <row r="864" spans="1:38" ht="13" thickBot="1" x14ac:dyDescent="0.3">
      <c r="A864" s="694"/>
      <c r="B864" s="698"/>
      <c r="C864" s="698"/>
      <c r="D864" s="1084" t="s">
        <v>6</v>
      </c>
      <c r="E864" s="2862" t="str">
        <f>I856</f>
        <v/>
      </c>
      <c r="F864" s="2862"/>
      <c r="G864" s="1032" t="str">
        <f>IF(INDEX(CNTR_SubInstListIsProdBM,$C856),INDEX(CNTR_SubInstListHALUnit,$C856),EUconst_Tons)</f>
        <v>тона</v>
      </c>
      <c r="H864" s="98"/>
      <c r="I864" s="101"/>
      <c r="J864" s="102"/>
      <c r="K864" s="98"/>
      <c r="L864" s="98"/>
      <c r="M864" s="98"/>
      <c r="N864" s="120"/>
      <c r="O864" s="302"/>
      <c r="P864" s="158"/>
      <c r="Q864" s="694"/>
      <c r="R864" s="694"/>
      <c r="S864" s="729" t="s">
        <v>1732</v>
      </c>
      <c r="T864" s="1179" t="b">
        <f t="shared" ref="T864" si="1022">AND($I856&lt;&gt;"",H863&lt;CNTR_ReportingYear,H863&gt;=$V856-1)</f>
        <v>0</v>
      </c>
      <c r="U864" s="1180" t="b">
        <f t="shared" ref="U864" si="1023">AND($I856&lt;&gt;"",I863&lt;CNTR_ReportingYear,I863&gt;=$V856-1)</f>
        <v>0</v>
      </c>
      <c r="V864" s="1180" t="b">
        <f t="shared" ref="V864" si="1024">AND($I856&lt;&gt;"",J863&lt;CNTR_ReportingYear,J863&gt;=$V856-1)</f>
        <v>0</v>
      </c>
      <c r="W864" s="1180" t="b">
        <f t="shared" ref="W864" si="1025">AND($I856&lt;&gt;"",K863&lt;CNTR_ReportingYear,K863&gt;=$V856-1)</f>
        <v>0</v>
      </c>
      <c r="X864" s="1180" t="b">
        <f t="shared" ref="X864" si="1026">AND($I856&lt;&gt;"",L863&lt;CNTR_ReportingYear,L863&gt;=$V856-1)</f>
        <v>0</v>
      </c>
      <c r="Y864" s="1180" t="b">
        <f t="shared" ref="Y864" si="1027">AND($I856&lt;&gt;"",M863&lt;CNTR_ReportingYear,M863&gt;=$V856-1)</f>
        <v>0</v>
      </c>
      <c r="Z864" s="1181" t="b">
        <f t="shared" ref="Z864" si="1028">AND($I856&lt;&gt;"",N863&lt;CNTR_ReportingYear,N863&gt;=$V856-1)</f>
        <v>0</v>
      </c>
      <c r="AA864" s="729"/>
      <c r="AB864" s="1182" t="s">
        <v>737</v>
      </c>
      <c r="AC864" s="1183" t="b">
        <f t="shared" ref="AC864" si="1029">IF(CNTR_ExistSubInstEntries,OR($I856="",$R868,H863&gt;=CNTR_ReportingYear,AC863&lt;$V856-1),FALSE)</f>
        <v>0</v>
      </c>
      <c r="AD864" s="1184" t="b">
        <f t="shared" ref="AD864" si="1030">IF(CNTR_ExistSubInstEntries,OR($I856="",$R868,I863&gt;=CNTR_ReportingYear,AD863&lt;$V856-1),FALSE)</f>
        <v>0</v>
      </c>
      <c r="AE864" s="1184" t="b">
        <f t="shared" ref="AE864" si="1031">IF(CNTR_ExistSubInstEntries,OR($I856="",$R868,J863&gt;=CNTR_ReportingYear,AE863&lt;$V856-1),FALSE)</f>
        <v>0</v>
      </c>
      <c r="AF864" s="1184" t="b">
        <f t="shared" ref="AF864" si="1032">IF(CNTR_ExistSubInstEntries,OR($I856="",$R868,K863&gt;=CNTR_ReportingYear,AF863&lt;$V856-1),FALSE)</f>
        <v>0</v>
      </c>
      <c r="AG864" s="1184" t="b">
        <f t="shared" ref="AG864" si="1033">IF(CNTR_ExistSubInstEntries,OR($I856="",$R868,L863&gt;=CNTR_ReportingYear,AG863&lt;$V856-1),FALSE)</f>
        <v>0</v>
      </c>
      <c r="AH864" s="1184" t="b">
        <f t="shared" ref="AH864" si="1034">IF(CNTR_ExistSubInstEntries,OR($I856="",$R868,M863&gt;=CNTR_ReportingYear,AH863&lt;$V856-1),FALSE)</f>
        <v>0</v>
      </c>
      <c r="AI864" s="1185" t="b">
        <f t="shared" ref="AI864" si="1035">IF(CNTR_ExistSubInstEntries,OR($I856="",$R868,N863&gt;=CNTR_ReportingYear,AI863&lt;$V856-1),FALSE)</f>
        <v>0</v>
      </c>
      <c r="AJ864" s="1174" t="s">
        <v>2039</v>
      </c>
      <c r="AK864" s="1176" t="str">
        <f>IF(AND(CNTR_ExistSubInstEntries,COUNTIFS(AC864:AI864,FALSE,H864:N864,"")&gt;0),EUconst_Error&amp;"BM"&amp;$Q856,"")</f>
        <v/>
      </c>
      <c r="AL864" s="694"/>
    </row>
    <row r="865" spans="1:38" ht="13" customHeight="1" thickBot="1" x14ac:dyDescent="0.3">
      <c r="A865" s="694"/>
      <c r="B865" s="698"/>
      <c r="C865" s="698"/>
      <c r="D865" s="1084" t="s">
        <v>7</v>
      </c>
      <c r="E865" s="2862" t="str">
        <f>Translations!$B$478</f>
        <v>От работен лист „H_SpecialBM“ („H_Специфичен показател“):</v>
      </c>
      <c r="F865" s="2862"/>
      <c r="G865" s="1032" t="str">
        <f>G864</f>
        <v>тона</v>
      </c>
      <c r="H865" s="1186" t="str">
        <f>IF(OR($I856="",H863&gt;=CNTR_ReportingYear),"",IF($R868,SUMIF(H_SpecialBM!$Q$9:$Q$483,$Q865,H_SpecialBM!H$9:H$483),""))</f>
        <v/>
      </c>
      <c r="I865" s="1187" t="str">
        <f>IF(OR($I856="",I863&gt;=CNTR_ReportingYear),"",IF($R868,SUMIF(H_SpecialBM!$Q$9:$Q$483,$Q865,H_SpecialBM!I$9:I$483),""))</f>
        <v/>
      </c>
      <c r="J865" s="1188" t="str">
        <f>IF(OR($I856="",J863&gt;=CNTR_ReportingYear),"",IF($R868,SUMIF(H_SpecialBM!$Q$9:$Q$483,$Q865,H_SpecialBM!J$9:J$483),""))</f>
        <v/>
      </c>
      <c r="K865" s="1186" t="str">
        <f>IF(OR($I856="",K863&gt;=CNTR_ReportingYear),"",IF($R868,SUMIF(H_SpecialBM!$Q$9:$Q$483,$Q865,H_SpecialBM!K$9:K$483),""))</f>
        <v/>
      </c>
      <c r="L865" s="1186" t="str">
        <f>IF(OR($I856="",L863&gt;=CNTR_ReportingYear),"",IF($R868,SUMIF(H_SpecialBM!$Q$9:$Q$483,$Q865,H_SpecialBM!L$9:L$483),""))</f>
        <v/>
      </c>
      <c r="M865" s="1186" t="str">
        <f>IF(OR($I856="",M863&gt;=CNTR_ReportingYear),"",IF($R868,SUMIF(H_SpecialBM!$Q$9:$Q$483,$Q865,H_SpecialBM!M$9:M$483),""))</f>
        <v/>
      </c>
      <c r="N865" s="1189" t="str">
        <f>IF(OR($I856="",N863&gt;=CNTR_ReportingYear),"",IF($R868,SUMIF(H_SpecialBM!$Q$9:$Q$483,$Q865,H_SpecialBM!N$9:N$483),""))</f>
        <v/>
      </c>
      <c r="O865" s="302"/>
      <c r="P865" s="302"/>
      <c r="Q865" s="1190" t="str">
        <f>EUconst_CNTR_HALspecial&amp;I856</f>
        <v>HALspecial_</v>
      </c>
      <c r="R865" s="694"/>
      <c r="S865" s="694"/>
      <c r="T865" s="694"/>
      <c r="U865" s="694"/>
      <c r="V865" s="694"/>
      <c r="W865" s="694"/>
      <c r="X865" s="694"/>
      <c r="Y865" s="694"/>
      <c r="Z865" s="694"/>
      <c r="AA865" s="694"/>
      <c r="AB865" s="1182" t="s">
        <v>737</v>
      </c>
      <c r="AC865" s="1183" t="b">
        <f t="shared" ref="AC865" si="1036">AND(CNTR_HasEntries_A_I,OR($R868=FALSE,H863&gt;=CNTR_ReportingYear))</f>
        <v>0</v>
      </c>
      <c r="AD865" s="1184" t="b">
        <f t="shared" ref="AD865" si="1037">AND(CNTR_HasEntries_A_I,OR($R868=FALSE,I863&gt;=CNTR_ReportingYear))</f>
        <v>0</v>
      </c>
      <c r="AE865" s="1184" t="b">
        <f t="shared" ref="AE865" si="1038">AND(CNTR_HasEntries_A_I,OR($R868=FALSE,J863&gt;=CNTR_ReportingYear))</f>
        <v>0</v>
      </c>
      <c r="AF865" s="1184" t="b">
        <f t="shared" ref="AF865" si="1039">AND(CNTR_HasEntries_A_I,OR($R868=FALSE,K863&gt;=CNTR_ReportingYear))</f>
        <v>0</v>
      </c>
      <c r="AG865" s="1184" t="b">
        <f t="shared" ref="AG865" si="1040">AND(CNTR_HasEntries_A_I,OR($R868=FALSE,L863&gt;=CNTR_ReportingYear))</f>
        <v>0</v>
      </c>
      <c r="AH865" s="1184" t="b">
        <f t="shared" ref="AH865" si="1041">AND(CNTR_HasEntries_A_I,OR($R868=FALSE,M863&gt;=CNTR_ReportingYear))</f>
        <v>0</v>
      </c>
      <c r="AI865" s="1185" t="b">
        <f t="shared" ref="AI865" si="1042">AND(CNTR_HasEntries_A_I,OR($R868=FALSE,N863&gt;=CNTR_ReportingYear))</f>
        <v>0</v>
      </c>
      <c r="AJ865" s="1165"/>
      <c r="AK865" s="1165"/>
      <c r="AL865" s="729"/>
    </row>
    <row r="866" spans="1:38" ht="13" customHeight="1" x14ac:dyDescent="0.25">
      <c r="A866" s="694"/>
      <c r="B866" s="698"/>
      <c r="C866" s="698"/>
      <c r="D866" s="1084" t="s">
        <v>8</v>
      </c>
      <c r="E866" s="2862" t="str">
        <f>Translations!$B$479</f>
        <v>Стойности, използвани за изчислението:</v>
      </c>
      <c r="F866" s="2862"/>
      <c r="G866" s="1032" t="str">
        <f>G865</f>
        <v>тона</v>
      </c>
      <c r="H866" s="1186" t="str">
        <f t="shared" ref="H866:N866" si="1043">IF(OR($I856="",H863&gt;=CNTR_ReportingYear),"",IF($R868=TRUE,IF(ISNUMBER(H865),H865,0),IF(AND(H863&gt;=$V856-1,ISNUMBER(H864)),H864,0)))</f>
        <v/>
      </c>
      <c r="I866" s="1187" t="str">
        <f t="shared" si="1043"/>
        <v/>
      </c>
      <c r="J866" s="1188" t="str">
        <f t="shared" si="1043"/>
        <v/>
      </c>
      <c r="K866" s="1186" t="str">
        <f t="shared" si="1043"/>
        <v/>
      </c>
      <c r="L866" s="1186" t="str">
        <f t="shared" si="1043"/>
        <v/>
      </c>
      <c r="M866" s="1186" t="str">
        <f t="shared" si="1043"/>
        <v/>
      </c>
      <c r="N866" s="1189" t="str">
        <f t="shared" si="1043"/>
        <v/>
      </c>
      <c r="O866" s="302"/>
      <c r="P866" s="710"/>
      <c r="Q866" s="1190" t="str">
        <f>EUconst_CNTR_HAL&amp;I856</f>
        <v>HAL_</v>
      </c>
      <c r="R866" s="694"/>
      <c r="S866" s="694"/>
      <c r="T866" s="694"/>
      <c r="U866" s="694"/>
      <c r="V866" s="694"/>
      <c r="W866" s="694"/>
      <c r="X866" s="694"/>
      <c r="Y866" s="694"/>
      <c r="Z866" s="694"/>
      <c r="AA866" s="694"/>
      <c r="AB866" s="694"/>
      <c r="AC866" s="694"/>
      <c r="AD866" s="694"/>
      <c r="AE866" s="694"/>
      <c r="AF866" s="694"/>
      <c r="AG866" s="694"/>
      <c r="AH866" s="694"/>
      <c r="AI866" s="694"/>
      <c r="AJ866" s="1174" t="s">
        <v>2033</v>
      </c>
      <c r="AK866" s="982" t="str">
        <f>IF(COUNTIFS(H863:N863,"&lt;"&amp;YEAR(SUM(T856)),H866:N866,"&gt;"&amp;0)&gt;0,EUconst_Error&amp;"BM"&amp;Q856,"")</f>
        <v/>
      </c>
      <c r="AL866" s="729"/>
    </row>
    <row r="867" spans="1:38" ht="5.15" customHeight="1" x14ac:dyDescent="0.25">
      <c r="A867" s="694"/>
      <c r="B867" s="298"/>
      <c r="C867" s="298"/>
      <c r="D867" s="298"/>
      <c r="E867" s="298"/>
      <c r="F867" s="298"/>
      <c r="G867" s="298"/>
      <c r="H867" s="298"/>
      <c r="I867" s="298"/>
      <c r="J867" s="298"/>
      <c r="K867" s="298"/>
      <c r="L867" s="298"/>
      <c r="M867" s="302"/>
      <c r="N867" s="302"/>
      <c r="O867" s="302"/>
      <c r="P867" s="302"/>
      <c r="Q867" s="729"/>
      <c r="R867" s="694"/>
      <c r="S867" s="729"/>
      <c r="T867" s="729"/>
      <c r="U867" s="694"/>
      <c r="V867" s="694"/>
      <c r="W867" s="694"/>
      <c r="X867" s="694"/>
      <c r="Y867" s="694"/>
      <c r="Z867" s="694"/>
      <c r="AA867" s="694"/>
      <c r="AB867" s="694"/>
      <c r="AC867" s="694"/>
      <c r="AD867" s="694"/>
      <c r="AE867" s="694"/>
      <c r="AF867" s="694"/>
      <c r="AG867" s="694"/>
      <c r="AH867" s="694"/>
      <c r="AI867" s="694"/>
      <c r="AJ867" s="694"/>
      <c r="AK867" s="694"/>
      <c r="AL867" s="694"/>
    </row>
    <row r="868" spans="1:38" ht="13" x14ac:dyDescent="0.25">
      <c r="A868" s="694"/>
      <c r="B868" s="298"/>
      <c r="C868" s="298"/>
      <c r="D868" s="360" t="s">
        <v>18</v>
      </c>
      <c r="E868" s="2226" t="str">
        <f>Translations!$B$480</f>
        <v>Специални изисквания за докладване:</v>
      </c>
      <c r="F868" s="2226"/>
      <c r="G868" s="2317"/>
      <c r="H868" s="2858" t="str">
        <f>IF(I856="","",HYPERLINK(INDEX(EUconst_BMlistSpecialJumpTable,MATCH(I856,EUconst_BMlistNames,0)),INDEX(EUconst_BMlistSpecialReporting,MATCH(I856,EUconst_BMlistNames,0))))</f>
        <v/>
      </c>
      <c r="I868" s="2863"/>
      <c r="J868" s="2863"/>
      <c r="K868" s="2863"/>
      <c r="L868" s="2863"/>
      <c r="M868" s="2863"/>
      <c r="N868" s="2864"/>
      <c r="O868" s="302"/>
      <c r="P868" s="302"/>
      <c r="Q868" s="1174" t="s">
        <v>119</v>
      </c>
      <c r="R868" s="982" t="str">
        <f>IF(I856="","",IF(AND(INDEX(EUconst_BMlistSpecialJumpTable,MATCH(I856,EUconst_BMlistNames,0))&lt;&gt;"",INDEX(EUconst_BMlistMainNumberOfBM,MATCH(I856,EUconst_BMlistNames,0))&lt;&gt;47),TRUE,FALSE))</f>
        <v/>
      </c>
      <c r="S868" s="729"/>
      <c r="T868" s="729"/>
      <c r="U868" s="694"/>
      <c r="V868" s="694"/>
      <c r="W868" s="694"/>
      <c r="X868" s="694"/>
      <c r="Y868" s="694"/>
      <c r="Z868" s="694"/>
      <c r="AA868" s="694"/>
      <c r="AB868" s="694"/>
      <c r="AC868" s="694"/>
      <c r="AD868" s="694"/>
      <c r="AE868" s="694"/>
      <c r="AF868" s="694"/>
      <c r="AG868" s="694"/>
      <c r="AH868" s="694"/>
      <c r="AI868" s="694"/>
      <c r="AJ868" s="694"/>
      <c r="AK868" s="694"/>
      <c r="AL868" s="694"/>
    </row>
    <row r="869" spans="1:38" x14ac:dyDescent="0.25">
      <c r="A869" s="694"/>
      <c r="B869" s="298"/>
      <c r="C869" s="298"/>
      <c r="D869" s="302"/>
      <c r="E869" s="2358" t="str">
        <f>Translations!$B$481</f>
        <v>При някои продуктови показатели се изисква да се отчита специфична информация (напр. стойности на приведени по CO2 тонове (CWT)). Ако е приложимо, тук ще се покаже автоматично съобщение.</v>
      </c>
      <c r="F869" s="2249"/>
      <c r="G869" s="2249"/>
      <c r="H869" s="2249"/>
      <c r="I869" s="2249"/>
      <c r="J869" s="2249"/>
      <c r="K869" s="2249"/>
      <c r="L869" s="2249"/>
      <c r="M869" s="2249"/>
      <c r="N869" s="2249"/>
      <c r="O869" s="302"/>
      <c r="P869" s="302"/>
      <c r="Q869" s="729"/>
      <c r="R869" s="694"/>
      <c r="S869" s="729"/>
      <c r="T869" s="729"/>
      <c r="U869" s="694"/>
      <c r="V869" s="694"/>
      <c r="W869" s="694"/>
      <c r="X869" s="694"/>
      <c r="Y869" s="694"/>
      <c r="Z869" s="694"/>
      <c r="AA869" s="694"/>
      <c r="AB869" s="694"/>
      <c r="AC869" s="694"/>
      <c r="AD869" s="694"/>
      <c r="AE869" s="694"/>
      <c r="AF869" s="694"/>
      <c r="AG869" s="694"/>
      <c r="AH869" s="694"/>
      <c r="AI869" s="694"/>
      <c r="AJ869" s="694"/>
      <c r="AK869" s="694"/>
      <c r="AL869" s="694"/>
    </row>
    <row r="870" spans="1:38" ht="5.15" customHeight="1" x14ac:dyDescent="0.25">
      <c r="A870" s="694"/>
      <c r="B870" s="298"/>
      <c r="C870" s="298"/>
      <c r="D870" s="302"/>
      <c r="E870" s="302"/>
      <c r="F870" s="302"/>
      <c r="G870" s="302"/>
      <c r="H870" s="302"/>
      <c r="I870" s="302"/>
      <c r="J870" s="302"/>
      <c r="K870" s="302"/>
      <c r="L870" s="302"/>
      <c r="M870" s="302"/>
      <c r="N870" s="302"/>
      <c r="O870" s="302"/>
      <c r="P870" s="302"/>
      <c r="Q870" s="729"/>
      <c r="R870" s="694"/>
      <c r="S870" s="729"/>
      <c r="T870" s="729"/>
      <c r="U870" s="694"/>
      <c r="V870" s="694"/>
      <c r="W870" s="694"/>
      <c r="X870" s="694"/>
      <c r="Y870" s="694"/>
      <c r="Z870" s="729"/>
      <c r="AA870" s="694"/>
      <c r="AB870" s="694"/>
      <c r="AC870" s="694"/>
      <c r="AD870" s="694"/>
      <c r="AE870" s="694"/>
      <c r="AF870" s="694"/>
      <c r="AG870" s="694"/>
      <c r="AH870" s="694"/>
      <c r="AI870" s="694"/>
      <c r="AJ870" s="694"/>
      <c r="AK870" s="694"/>
      <c r="AL870" s="729"/>
    </row>
    <row r="871" spans="1:38" ht="12.75" customHeight="1" x14ac:dyDescent="0.25">
      <c r="A871" s="694"/>
      <c r="B871" s="298"/>
      <c r="C871" s="298"/>
      <c r="D871" s="300" t="s">
        <v>901</v>
      </c>
      <c r="E871" s="2226" t="str">
        <f>Translations!$B$1316</f>
        <v>Определяне на корекции на равнището на дейност</v>
      </c>
      <c r="F871" s="2249"/>
      <c r="G871" s="2249"/>
      <c r="H871" s="2249"/>
      <c r="I871" s="2249"/>
      <c r="J871" s="2249"/>
      <c r="K871" s="2249"/>
      <c r="L871" s="2249"/>
      <c r="M871" s="2249"/>
      <c r="N871" s="2249"/>
      <c r="O871" s="302"/>
      <c r="P871" s="302"/>
      <c r="Q871" s="729"/>
      <c r="R871" s="694"/>
      <c r="S871" s="729"/>
      <c r="T871" s="729"/>
      <c r="U871" s="694"/>
      <c r="V871" s="694"/>
      <c r="W871" s="694"/>
      <c r="X871" s="694"/>
      <c r="Y871" s="694"/>
      <c r="Z871" s="729"/>
      <c r="AA871" s="694"/>
      <c r="AB871" s="694"/>
      <c r="AC871" s="694"/>
      <c r="AD871" s="694"/>
      <c r="AE871" s="694"/>
      <c r="AF871" s="694"/>
      <c r="AG871" s="694"/>
      <c r="AH871" s="694"/>
      <c r="AI871" s="694"/>
      <c r="AJ871" s="694"/>
      <c r="AK871" s="694"/>
      <c r="AL871" s="729"/>
    </row>
    <row r="872" spans="1:38" ht="12.75" customHeight="1" x14ac:dyDescent="0.25">
      <c r="A872" s="694"/>
      <c r="B872" s="298"/>
      <c r="C872" s="298"/>
      <c r="D872" s="302"/>
      <c r="E872" s="2358" t="str">
        <f>Translations!$B$1317</f>
        <v>Историческото равнище на дейността (HAL) ще бъде определено автоматично за данните по буква а) по-горе и данните в лист „B+C_SubInstallations“ („B+C_Подинсталации“). За нови подинсталации HAL ще бъде показано в v. на базата на първата пълна година на експлоатация.</v>
      </c>
      <c r="F872" s="2249"/>
      <c r="G872" s="2249"/>
      <c r="H872" s="2249"/>
      <c r="I872" s="2249"/>
      <c r="J872" s="2249"/>
      <c r="K872" s="2249"/>
      <c r="L872" s="2249"/>
      <c r="M872" s="2249"/>
      <c r="N872" s="2249"/>
      <c r="O872" s="302"/>
      <c r="P872" s="302"/>
      <c r="Q872" s="729"/>
      <c r="R872" s="694"/>
      <c r="S872" s="729"/>
      <c r="T872" s="729"/>
      <c r="U872" s="729"/>
      <c r="V872" s="694"/>
      <c r="W872" s="694"/>
      <c r="X872" s="694"/>
      <c r="Y872" s="694"/>
      <c r="Z872" s="694"/>
      <c r="AA872" s="694"/>
      <c r="AB872" s="694"/>
      <c r="AC872" s="694"/>
      <c r="AD872" s="694"/>
      <c r="AE872" s="694"/>
      <c r="AF872" s="694"/>
      <c r="AG872" s="694"/>
      <c r="AH872" s="694"/>
      <c r="AI872" s="694"/>
      <c r="AJ872" s="694"/>
      <c r="AK872" s="694"/>
      <c r="AL872" s="694"/>
    </row>
    <row r="873" spans="1:38" ht="25.5" customHeight="1" x14ac:dyDescent="0.25">
      <c r="A873" s="694"/>
      <c r="B873" s="298"/>
      <c r="C873" s="298"/>
      <c r="D873" s="302"/>
      <c r="E873" s="2358" t="str">
        <f>Translations!$B$1318</f>
        <v>На базата на стойностите на HAL и данните, въведени в буква а) по-горе, тук се определят средните равнища на дейност. Разпределението ще бъде променено само ако са надвишени всички долуизброени прагове по член 5 от Регламента за ALC:</v>
      </c>
      <c r="F873" s="2249"/>
      <c r="G873" s="2249"/>
      <c r="H873" s="2249"/>
      <c r="I873" s="2249"/>
      <c r="J873" s="2249"/>
      <c r="K873" s="2249"/>
      <c r="L873" s="2249"/>
      <c r="M873" s="2249"/>
      <c r="N873" s="2249"/>
      <c r="O873" s="302"/>
      <c r="P873" s="302"/>
      <c r="Q873" s="729"/>
      <c r="R873" s="694"/>
      <c r="S873" s="729"/>
      <c r="T873" s="729"/>
      <c r="U873" s="729"/>
      <c r="V873" s="694"/>
      <c r="W873" s="694"/>
      <c r="X873" s="694"/>
      <c r="Y873" s="694"/>
      <c r="Z873" s="694"/>
      <c r="AA873" s="694"/>
      <c r="AB873" s="694"/>
      <c r="AC873" s="694"/>
      <c r="AD873" s="694"/>
      <c r="AE873" s="694"/>
      <c r="AF873" s="694"/>
      <c r="AG873" s="694"/>
      <c r="AH873" s="694"/>
      <c r="AI873" s="694"/>
      <c r="AJ873" s="694"/>
      <c r="AK873" s="694"/>
      <c r="AL873" s="694"/>
    </row>
    <row r="874" spans="1:38" ht="12.75" customHeight="1" x14ac:dyDescent="0.25">
      <c r="A874" s="694"/>
      <c r="B874" s="298"/>
      <c r="C874" s="298"/>
      <c r="D874" s="302"/>
      <c r="E874" s="1191" t="s">
        <v>1052</v>
      </c>
      <c r="F874" s="2358" t="str">
        <f>Translations!$B$1319</f>
        <v>относителните прагове (15 % и 5 % за последващи промени) за средното равнище на дейност в сравнение с HAL</v>
      </c>
      <c r="G874" s="2861"/>
      <c r="H874" s="2861"/>
      <c r="I874" s="2861"/>
      <c r="J874" s="2861"/>
      <c r="K874" s="2861"/>
      <c r="L874" s="2861"/>
      <c r="M874" s="2861"/>
      <c r="N874" s="2861"/>
      <c r="O874" s="302"/>
      <c r="P874" s="302"/>
      <c r="Q874" s="729"/>
      <c r="R874" s="694"/>
      <c r="S874" s="729"/>
      <c r="T874" s="729"/>
      <c r="U874" s="729"/>
      <c r="V874" s="694"/>
      <c r="W874" s="694"/>
      <c r="X874" s="694"/>
      <c r="Y874" s="694"/>
      <c r="Z874" s="694"/>
      <c r="AA874" s="694"/>
      <c r="AB874" s="694"/>
      <c r="AC874" s="694"/>
      <c r="AD874" s="694"/>
      <c r="AE874" s="694"/>
      <c r="AF874" s="694"/>
      <c r="AG874" s="694"/>
      <c r="AH874" s="694"/>
      <c r="AI874" s="694"/>
      <c r="AJ874" s="694"/>
      <c r="AK874" s="694"/>
      <c r="AL874" s="694"/>
    </row>
    <row r="875" spans="1:38" ht="12.75" customHeight="1" thickBot="1" x14ac:dyDescent="0.3">
      <c r="A875" s="694"/>
      <c r="B875" s="298"/>
      <c r="C875" s="298"/>
      <c r="D875" s="302"/>
      <c r="E875" s="1191" t="s">
        <v>1052</v>
      </c>
      <c r="F875" s="2358" t="str">
        <f>Translations!$B$1514</f>
        <v>абсолютния праг, т.е. промяната би довела до разлика в предварителното разпределение от най-малко 300 квоти</v>
      </c>
      <c r="G875" s="2861"/>
      <c r="H875" s="2861"/>
      <c r="I875" s="2861"/>
      <c r="J875" s="2861"/>
      <c r="K875" s="2861"/>
      <c r="L875" s="2861"/>
      <c r="M875" s="2861"/>
      <c r="N875" s="2861"/>
      <c r="O875" s="302"/>
      <c r="P875" s="302"/>
      <c r="Q875" s="729"/>
      <c r="R875" s="694"/>
      <c r="S875" s="729"/>
      <c r="T875" s="729"/>
      <c r="U875" s="729"/>
      <c r="V875" s="694"/>
      <c r="W875" s="694"/>
      <c r="X875" s="694"/>
      <c r="Y875" s="694"/>
      <c r="Z875" s="694"/>
      <c r="AA875" s="694"/>
      <c r="AB875" s="694"/>
      <c r="AC875" s="694"/>
      <c r="AD875" s="694"/>
      <c r="AE875" s="694"/>
      <c r="AF875" s="694"/>
      <c r="AG875" s="694"/>
      <c r="AH875" s="694"/>
      <c r="AI875" s="694"/>
      <c r="AJ875" s="694"/>
      <c r="AK875" s="694"/>
      <c r="AL875" s="694"/>
    </row>
    <row r="876" spans="1:38" ht="5.15" customHeight="1" thickBot="1" x14ac:dyDescent="0.3">
      <c r="A876" s="694"/>
      <c r="B876" s="298"/>
      <c r="C876" s="298"/>
      <c r="D876" s="1192"/>
      <c r="E876" s="1193"/>
      <c r="F876" s="1194"/>
      <c r="G876" s="1195"/>
      <c r="H876" s="1195"/>
      <c r="I876" s="1195"/>
      <c r="J876" s="1195"/>
      <c r="K876" s="1195"/>
      <c r="L876" s="1195"/>
      <c r="M876" s="1195"/>
      <c r="N876" s="1196"/>
      <c r="O876" s="302"/>
      <c r="P876" s="302"/>
      <c r="Q876" s="729"/>
      <c r="R876" s="694"/>
      <c r="S876" s="729"/>
      <c r="T876" s="729"/>
      <c r="U876" s="729"/>
      <c r="V876" s="694"/>
      <c r="W876" s="694"/>
      <c r="X876" s="694"/>
      <c r="Y876" s="694"/>
      <c r="Z876" s="694"/>
      <c r="AA876" s="694"/>
      <c r="AB876" s="694"/>
      <c r="AC876" s="694"/>
      <c r="AD876" s="694"/>
      <c r="AE876" s="694"/>
      <c r="AF876" s="694"/>
      <c r="AG876" s="694"/>
      <c r="AH876" s="694"/>
      <c r="AI876" s="694"/>
      <c r="AJ876" s="694"/>
      <c r="AK876" s="694"/>
      <c r="AL876" s="694"/>
    </row>
    <row r="877" spans="1:38" ht="12.75" customHeight="1" x14ac:dyDescent="0.25">
      <c r="A877" s="694"/>
      <c r="B877" s="298"/>
      <c r="C877" s="298"/>
      <c r="D877" s="1197"/>
      <c r="E877" s="1198" t="str">
        <f>Translations!$B$1196</f>
        <v>Корекции</v>
      </c>
      <c r="F877" s="1199"/>
      <c r="G877" s="1199"/>
      <c r="H877" s="1200" t="str">
        <f>EUconst_Unit</f>
        <v>Единица мярка</v>
      </c>
      <c r="I877" s="1201" t="str">
        <f>Translations!$B$1320</f>
        <v>(НМИ) HAL</v>
      </c>
      <c r="J877" s="1202">
        <f>J$2831</f>
        <v>2026</v>
      </c>
      <c r="K877" s="1203">
        <f>K$2831</f>
        <v>2027</v>
      </c>
      <c r="L877" s="1203">
        <f>L$2831</f>
        <v>2028</v>
      </c>
      <c r="M877" s="1203">
        <f>M$2831</f>
        <v>2029</v>
      </c>
      <c r="N877" s="1204">
        <f>N$2831</f>
        <v>2030</v>
      </c>
      <c r="O877" s="302"/>
      <c r="P877" s="302"/>
      <c r="Q877" s="729"/>
      <c r="R877" s="694"/>
      <c r="S877" s="694"/>
      <c r="T877" s="694"/>
      <c r="U877" s="1205"/>
      <c r="V877" s="1206">
        <f>J877</f>
        <v>2026</v>
      </c>
      <c r="W877" s="1206">
        <f>K877</f>
        <v>2027</v>
      </c>
      <c r="X877" s="1206">
        <f>L877</f>
        <v>2028</v>
      </c>
      <c r="Y877" s="1206">
        <f>M877</f>
        <v>2029</v>
      </c>
      <c r="Z877" s="1207">
        <f>N877</f>
        <v>2030</v>
      </c>
      <c r="AA877" s="694"/>
      <c r="AB877" s="694"/>
      <c r="AC877" s="694"/>
      <c r="AD877" s="694"/>
      <c r="AE877" s="694"/>
      <c r="AF877" s="694"/>
      <c r="AG877" s="694"/>
      <c r="AH877" s="694"/>
      <c r="AI877" s="694"/>
      <c r="AJ877" s="694"/>
      <c r="AK877" s="694"/>
      <c r="AL877" s="694"/>
    </row>
    <row r="878" spans="1:38" ht="12.75" customHeight="1" x14ac:dyDescent="0.25">
      <c r="A878" s="694"/>
      <c r="B878" s="298"/>
      <c r="C878" s="298"/>
      <c r="D878" s="1208" t="s">
        <v>6</v>
      </c>
      <c r="E878" s="1209" t="str">
        <f>Translations!$B$1321</f>
        <v>Средно годишно равнище на дейност (стойност в НМИ)</v>
      </c>
      <c r="F878" s="1209"/>
      <c r="G878" s="1209"/>
      <c r="H878" s="1210" t="str">
        <f>IF(INDEX(CNTR_SubInstListIsProdBM,$C856),INDEX(CNTR_SubInstListHALUnit,$C856),EUconst_Tons)</f>
        <v>тона</v>
      </c>
      <c r="I878" s="1211" t="str">
        <f>IF(V856&gt;($J$2831-3),EUconst_NA,INDEX('B+C_SubInstallations'!$I:$I,MATCH(Q878,'B+C_SubInstallations'!$T:$T,0)))</f>
        <v/>
      </c>
      <c r="J878" s="1212" t="str">
        <f>IF(AND(V878&gt;=3,CNTR_ReportingYear&gt;J877-1),AVERAGE(H866:I866),"")</f>
        <v/>
      </c>
      <c r="K878" s="1213" t="str">
        <f>IF(AND(W878&gt;=3,CNTR_ReportingYear&gt;K877-1),AVERAGE(I866:J866),"")</f>
        <v/>
      </c>
      <c r="L878" s="1213" t="str">
        <f>IF(AND(X878&gt;=3,CNTR_ReportingYear&gt;L877-1),AVERAGE(J866:K866),"")</f>
        <v/>
      </c>
      <c r="M878" s="1213" t="str">
        <f>IF(AND(Y878&gt;=3,CNTR_ReportingYear&gt;M877-1),AVERAGE(K866:L866),"")</f>
        <v/>
      </c>
      <c r="N878" s="1214" t="str">
        <f>IF(AND(Z878&gt;=3,CNTR_ReportingYear&gt;N877-1),AVERAGE(L866:M866),"")</f>
        <v/>
      </c>
      <c r="O878" s="302"/>
      <c r="P878" s="302"/>
      <c r="Q878" s="1182" t="str">
        <f>EUconst_CNTR_HALinitial&amp;I856</f>
        <v>HALini_</v>
      </c>
      <c r="R878" s="694"/>
      <c r="S878" s="694"/>
      <c r="T878" s="694"/>
      <c r="U878" s="1215" t="s">
        <v>1710</v>
      </c>
      <c r="V878" s="1176">
        <f>IF($I856="",0,V877-$V856+1)</f>
        <v>0</v>
      </c>
      <c r="W878" s="1176">
        <f>IF($I856="",0,W877-$V856+1)</f>
        <v>0</v>
      </c>
      <c r="X878" s="1176">
        <f>IF($I856="",0,X877-$V856+1)</f>
        <v>0</v>
      </c>
      <c r="Y878" s="1176">
        <f>IF($I856="",0,Y877-$V856+1)</f>
        <v>0</v>
      </c>
      <c r="Z878" s="1216">
        <f>IF($I856="",0,Z877-$V856+1)</f>
        <v>0</v>
      </c>
      <c r="AA878" s="694"/>
      <c r="AB878" s="694"/>
      <c r="AC878" s="694"/>
      <c r="AD878" s="694"/>
      <c r="AE878" s="694"/>
      <c r="AF878" s="694"/>
      <c r="AG878" s="694"/>
      <c r="AH878" s="694"/>
      <c r="AI878" s="694"/>
      <c r="AJ878" s="694"/>
      <c r="AK878" s="694"/>
      <c r="AL878" s="694"/>
    </row>
    <row r="879" spans="1:38" ht="12.75" hidden="1" customHeight="1" x14ac:dyDescent="0.25">
      <c r="A879" s="729" t="s">
        <v>312</v>
      </c>
      <c r="B879" s="298"/>
      <c r="C879" s="298"/>
      <c r="D879" s="1217"/>
      <c r="E879" s="1218" t="str">
        <f>Translations!$B$1376</f>
        <v>Промяна в сравнение с HAL</v>
      </c>
      <c r="F879" s="1218"/>
      <c r="G879" s="1218"/>
      <c r="H879" s="1219"/>
      <c r="I879" s="1220"/>
      <c r="J879" s="103" t="str">
        <f>IF(J878="","",IF($I881=0,IF(J878=0,0%,100%),J878/$I881-1))</f>
        <v/>
      </c>
      <c r="K879" s="100" t="str">
        <f>IF(K878="","",IF($I881=0,IF(K878=0,0%,100%),K878/$I881-1))</f>
        <v/>
      </c>
      <c r="L879" s="100" t="str">
        <f>IF(L878="","",IF($I881=0,IF(L878=0,0%,100%),L878/$I881-1))</f>
        <v/>
      </c>
      <c r="M879" s="100" t="str">
        <f>IF(M878="","",IF($I881=0,IF(M878=0,0%,100%),M878/$I881-1))</f>
        <v/>
      </c>
      <c r="N879" s="122" t="str">
        <f>IF(N878="","",IF($I881=0,IF(N878=0,0%,100%),N878/$I881-1))</f>
        <v/>
      </c>
      <c r="O879" s="302"/>
      <c r="P879" s="302"/>
      <c r="Q879" s="1190" t="str">
        <f>EUconst_CNTR_RelThreshold &amp; Q881</f>
        <v>RelThresh_HALprelim_</v>
      </c>
      <c r="R879" s="694"/>
      <c r="S879" s="694"/>
      <c r="T879" s="694"/>
      <c r="U879" s="1215" t="s">
        <v>1715</v>
      </c>
      <c r="V879" s="727" t="str">
        <f>IF(J878="","",ABS(J879)&gt;15%)</f>
        <v/>
      </c>
      <c r="W879" s="727" t="str">
        <f>IF(K878="","",ABS(K879)&gt;15%)</f>
        <v/>
      </c>
      <c r="X879" s="727" t="str">
        <f>IF(L878="","",ABS(L879)&gt;15%)</f>
        <v/>
      </c>
      <c r="Y879" s="727" t="str">
        <f>IF(M878="","",ABS(M879)&gt;15%)</f>
        <v/>
      </c>
      <c r="Z879" s="1221" t="str">
        <f>IF(N878="","",ABS(N879)&gt;15%)</f>
        <v/>
      </c>
      <c r="AA879" s="694"/>
      <c r="AB879" s="694"/>
      <c r="AC879" s="694"/>
      <c r="AD879" s="694"/>
      <c r="AE879" s="694"/>
      <c r="AF879" s="694"/>
      <c r="AG879" s="694"/>
      <c r="AH879" s="694"/>
      <c r="AI879" s="694"/>
      <c r="AJ879" s="694"/>
      <c r="AK879" s="694"/>
      <c r="AL879" s="729"/>
    </row>
    <row r="880" spans="1:38" ht="12.75" customHeight="1" x14ac:dyDescent="0.25">
      <c r="A880" s="729"/>
      <c r="B880" s="298"/>
      <c r="C880" s="298"/>
      <c r="D880" s="1208" t="s">
        <v>7</v>
      </c>
      <c r="E880" s="1209" t="str">
        <f>Translations!$B$1322</f>
        <v>Предварителна корекция (ако са надвишени относителните прагове)</v>
      </c>
      <c r="F880" s="1209"/>
      <c r="G880" s="1209"/>
      <c r="H880" s="1222"/>
      <c r="I880" s="1223"/>
      <c r="J880" s="1224" t="str">
        <f>IF(J878="","",IF(V879=FALSE,0%,IF(V880,J879,I886)))</f>
        <v/>
      </c>
      <c r="K880" s="1225" t="str">
        <f>IF(K878="","",IF(W879=FALSE,0%,IF(W880,K879,J886)))</f>
        <v/>
      </c>
      <c r="L880" s="1225" t="str">
        <f>IF(L878="","",IF(X879=FALSE,0%,IF(X880,L879,K886)))</f>
        <v/>
      </c>
      <c r="M880" s="1225" t="str">
        <f>IF(M878="","",IF(Y879=FALSE,0%,IF(Y880,M879,L886)))</f>
        <v/>
      </c>
      <c r="N880" s="1226" t="str">
        <f>IF(N878="","",IF(Z879=FALSE,0%,IF(Z880,N879,M886)))</f>
        <v/>
      </c>
      <c r="O880" s="302"/>
      <c r="P880" s="302"/>
      <c r="Q880" s="694"/>
      <c r="R880" s="694"/>
      <c r="S880" s="694"/>
      <c r="T880" s="694"/>
      <c r="U880" s="1215" t="s">
        <v>1716</v>
      </c>
      <c r="V880" s="727" t="str">
        <f>IF(J878="","",AND(V879,IF(SUM(I886)&lt;0,OR(SUM(J879)&lt;SUM(I886)-MOD(SUM(I886),5%),J879&gt;=SUM(I886)+5%-MOD(SUM(I886),5%)),OR(SUM(J879)&lt;=SUM(I886)-MOD(SUM(I886),5%),SUM(J879)&gt;SUM(I886)+5%-MOD(SUM(I886),5%)))))</f>
        <v/>
      </c>
      <c r="W880" s="727" t="str">
        <f>IF(K878="","",AND(W879,IF(SUM(J886)&lt;0,OR(SUM(K879)&lt;SUM(J886)-MOD(SUM(J886),5%),K879&gt;=SUM(J886)+5%-MOD(SUM(J886),5%)),OR(SUM(K879)&lt;=SUM(J886)-MOD(SUM(J886),5%),SUM(K879)&gt;SUM(J886)+5%-MOD(SUM(J886),5%)))))</f>
        <v/>
      </c>
      <c r="X880" s="727" t="str">
        <f>IF(L878="","",AND(X879,IF(SUM(K886)&lt;0,OR(SUM(L879)&lt;SUM(K886)-MOD(SUM(K886),5%),L879&gt;=SUM(K886)+5%-MOD(SUM(K886),5%)),OR(SUM(L879)&lt;=SUM(K886)-MOD(SUM(K886),5%),SUM(L879)&gt;SUM(K886)+5%-MOD(SUM(K886),5%)))))</f>
        <v/>
      </c>
      <c r="Y880" s="727" t="str">
        <f>IF(M878="","",AND(Y879,IF(SUM(L886)&lt;0,OR(SUM(M879)&lt;SUM(L886)-MOD(SUM(L886),5%),M879&gt;=SUM(L886)+5%-MOD(SUM(L886),5%)),OR(SUM(M879)&lt;=SUM(L886)-MOD(SUM(L886),5%),SUM(M879)&gt;SUM(L886)+5%-MOD(SUM(L886),5%)))))</f>
        <v/>
      </c>
      <c r="Z880" s="1221" t="str">
        <f>IF(N878="","",AND(Z879,IF(SUM(M886)&lt;0,OR(SUM(N879)&lt;SUM(M886)-MOD(SUM(M886),5%),N879&gt;=SUM(M886)+5%-MOD(SUM(M886),5%)),OR(SUM(N879)&lt;=SUM(M886)-MOD(SUM(M886),5%),SUM(N879)&gt;SUM(M886)+5%-MOD(SUM(M886),5%)))))</f>
        <v/>
      </c>
      <c r="AA880" s="694"/>
      <c r="AB880" s="694"/>
      <c r="AC880" s="694"/>
      <c r="AD880" s="694"/>
      <c r="AE880" s="694"/>
      <c r="AF880" s="694"/>
      <c r="AG880" s="694"/>
      <c r="AH880" s="694"/>
      <c r="AI880" s="694"/>
      <c r="AJ880" s="694"/>
      <c r="AK880" s="694"/>
      <c r="AL880" s="729"/>
    </row>
    <row r="881" spans="1:38" ht="12.75" hidden="1" customHeight="1" x14ac:dyDescent="0.25">
      <c r="A881" s="729" t="s">
        <v>312</v>
      </c>
      <c r="B881" s="298"/>
      <c r="C881" s="298"/>
      <c r="D881" s="1217"/>
      <c r="E881" s="1209" t="str">
        <f>Translations!$B$1377</f>
        <v>Предварителна стойност</v>
      </c>
      <c r="F881" s="1209"/>
      <c r="G881" s="1209"/>
      <c r="H881" s="1210" t="str">
        <f>H878</f>
        <v>тона</v>
      </c>
      <c r="I881" s="1211" t="str">
        <f>IF(I856="","",IF(AB856=FALSE,EUconst_NA,IF(V856&gt;($J$2831-3),INDEX(H866:N866,MATCH(V856,H863:N863,0)),SUM(I878))))</f>
        <v/>
      </c>
      <c r="J881" s="1212" t="str">
        <f>IF($I856="","",IF(V878&lt;2,SUM(J866),IF(V878&lt;3,SUM(I866),IF(V881="",I881,V881))))</f>
        <v/>
      </c>
      <c r="K881" s="1213" t="str">
        <f>IF($I856="","",IF(W878&lt;2,SUM(K866),IF(W878&lt;3,SUM(J866),IF(W881="",J881,W881))))</f>
        <v/>
      </c>
      <c r="L881" s="1213" t="str">
        <f>IF($I856="","",IF(X878&lt;2,SUM(L866),IF(X878&lt;3,SUM(K866),IF(X881="",K881,X881))))</f>
        <v/>
      </c>
      <c r="M881" s="1213" t="str">
        <f>IF($I856="","",IF(Y878&lt;2,SUM(M866),IF(Y878&lt;3,SUM(L866),IF(Y881="",L881,Y881))))</f>
        <v/>
      </c>
      <c r="N881" s="1214" t="str">
        <f>IF($I856="","",IF(Z878&lt;2,SUM(N866),IF(Z878&lt;3,SUM(M866),IF(Z881="",M881,Z881))))</f>
        <v/>
      </c>
      <c r="O881" s="302"/>
      <c r="P881" s="302"/>
      <c r="Q881" s="1182" t="str">
        <f>EUconst_CNTR_HALprelim&amp;I856</f>
        <v>HALprelim_</v>
      </c>
      <c r="R881" s="694"/>
      <c r="S881" s="694"/>
      <c r="T881" s="694"/>
      <c r="U881" s="1215" t="s">
        <v>1756</v>
      </c>
      <c r="V881" s="1227" t="str">
        <f>IF(J878="","",IF(CNTR_ReportingYear&lt;J877,I880,IF($I881=0,J878,$I881*(1+J880))))</f>
        <v/>
      </c>
      <c r="W881" s="1227" t="str">
        <f>IF(K878="","",IF(CNTR_ReportingYear&lt;K877,J880,IF($I881=0,K878,$I881*(1+K880))))</f>
        <v/>
      </c>
      <c r="X881" s="1227" t="str">
        <f>IF(L878="","",IF(CNTR_ReportingYear&lt;L877,K880,IF($I881=0,L878,$I881*(1+L880))))</f>
        <v/>
      </c>
      <c r="Y881" s="1227" t="str">
        <f>IF(M878="","",IF(CNTR_ReportingYear&lt;M877,L880,IF($I881=0,M878,$I881*(1+M880))))</f>
        <v/>
      </c>
      <c r="Z881" s="1228" t="str">
        <f>IF(N878="","",IF(CNTR_ReportingYear&lt;N877,M880,IF($I881=0,N878,$I881*(1+N880))))</f>
        <v/>
      </c>
      <c r="AA881" s="694"/>
      <c r="AB881" s="694"/>
      <c r="AC881" s="694"/>
      <c r="AD881" s="694"/>
      <c r="AE881" s="694"/>
      <c r="AF881" s="694"/>
      <c r="AG881" s="694"/>
      <c r="AH881" s="694"/>
      <c r="AI881" s="694"/>
      <c r="AJ881" s="694"/>
      <c r="AK881" s="694"/>
      <c r="AL881" s="729"/>
    </row>
    <row r="882" spans="1:38" ht="5.15" customHeight="1" x14ac:dyDescent="0.25">
      <c r="A882" s="729"/>
      <c r="B882" s="298"/>
      <c r="C882" s="298"/>
      <c r="D882" s="1217"/>
      <c r="E882" s="1199"/>
      <c r="F882" s="1199"/>
      <c r="G882" s="1199"/>
      <c r="H882" s="1199"/>
      <c r="I882" s="1199"/>
      <c r="J882" s="1229"/>
      <c r="K882" s="1229"/>
      <c r="L882" s="1229"/>
      <c r="M882" s="1229"/>
      <c r="N882" s="1230"/>
      <c r="O882" s="302"/>
      <c r="P882" s="302"/>
      <c r="Q882" s="729"/>
      <c r="R882" s="694"/>
      <c r="S882" s="694"/>
      <c r="T882" s="694"/>
      <c r="U882" s="1231"/>
      <c r="V882" s="729"/>
      <c r="W882" s="694"/>
      <c r="X882" s="694"/>
      <c r="Y882" s="694"/>
      <c r="Z882" s="1232"/>
      <c r="AA882" s="694"/>
      <c r="AB882" s="694"/>
      <c r="AC882" s="694"/>
      <c r="AD882" s="694"/>
      <c r="AE882" s="694"/>
      <c r="AF882" s="694"/>
      <c r="AG882" s="694"/>
      <c r="AH882" s="694"/>
      <c r="AI882" s="694"/>
      <c r="AJ882" s="694"/>
      <c r="AK882" s="694"/>
      <c r="AL882" s="729"/>
    </row>
    <row r="883" spans="1:38" ht="12.75" customHeight="1" x14ac:dyDescent="0.25">
      <c r="A883" s="729"/>
      <c r="B883" s="298"/>
      <c r="C883" s="298"/>
      <c r="D883" s="1217"/>
      <c r="E883" s="1233" t="str">
        <f>Translations!$B$1323</f>
        <v>Действителна корекция (база за следващи години)</v>
      </c>
      <c r="F883" s="1233"/>
      <c r="G883" s="1233"/>
      <c r="H883" s="1233"/>
      <c r="I883" s="1233"/>
      <c r="J883" s="1202">
        <f>J$2831</f>
        <v>2026</v>
      </c>
      <c r="K883" s="1203">
        <f>K$2831</f>
        <v>2027</v>
      </c>
      <c r="L883" s="1203">
        <f>L$2831</f>
        <v>2028</v>
      </c>
      <c r="M883" s="1203">
        <f>M$2831</f>
        <v>2029</v>
      </c>
      <c r="N883" s="1204">
        <f>N$2831</f>
        <v>2030</v>
      </c>
      <c r="O883" s="302"/>
      <c r="P883" s="302"/>
      <c r="Q883" s="729"/>
      <c r="R883" s="694"/>
      <c r="S883" s="694"/>
      <c r="T883" s="694"/>
      <c r="U883" s="1234"/>
      <c r="V883" s="213"/>
      <c r="W883" s="214" t="s">
        <v>2101</v>
      </c>
      <c r="X883" s="215" t="str">
        <f>IF(OR($X856=0,$X856=""),"",MIN(1,1-(DATE($Z856,12,31)-$X856)/(DATE($Z856,12,31)-DATE($Z856,1,1)+1)))</f>
        <v/>
      </c>
      <c r="Y883" s="1165"/>
      <c r="Z883" s="1235"/>
      <c r="AA883" s="694"/>
      <c r="AB883" s="694"/>
      <c r="AC883" s="694"/>
      <c r="AD883" s="694"/>
      <c r="AE883" s="694"/>
      <c r="AF883" s="694"/>
      <c r="AG883" s="694"/>
      <c r="AH883" s="694"/>
      <c r="AI883" s="694"/>
      <c r="AJ883" s="694"/>
      <c r="AK883" s="694"/>
      <c r="AL883" s="729"/>
    </row>
    <row r="884" spans="1:38" ht="12.75" customHeight="1" x14ac:dyDescent="0.25">
      <c r="A884" s="729"/>
      <c r="B884" s="298"/>
      <c r="C884" s="298"/>
      <c r="D884" s="1208" t="s">
        <v>8</v>
      </c>
      <c r="E884" s="1209" t="str">
        <f>Translations!$B$1515</f>
        <v>изпълнен ли е критерият за &gt;=300 квоти за емисии?</v>
      </c>
      <c r="F884" s="1209"/>
      <c r="G884" s="1209"/>
      <c r="H884" s="1209"/>
      <c r="I884" s="1209"/>
      <c r="J884" s="1236" t="str">
        <f>IF($I856="","",INDEX(K_Summary!J:J,MATCH($Q884,K_Summary!$P:$P,0)))</f>
        <v/>
      </c>
      <c r="K884" s="385" t="str">
        <f>IF($I856="","",INDEX(K_Summary!K:K,MATCH($Q884,K_Summary!$P:$P,0)))</f>
        <v/>
      </c>
      <c r="L884" s="385" t="str">
        <f>IF($I856="","",INDEX(K_Summary!L:L,MATCH($Q884,K_Summary!$P:$P,0)))</f>
        <v/>
      </c>
      <c r="M884" s="385" t="str">
        <f>IF($I856="","",INDEX(K_Summary!M:M,MATCH($Q884,K_Summary!$P:$P,0)))</f>
        <v/>
      </c>
      <c r="N884" s="1237" t="str">
        <f>IF($I856="","",INDEX(K_Summary!N:N,MATCH($Q884,K_Summary!$P:$P,0)))</f>
        <v/>
      </c>
      <c r="O884" s="302"/>
      <c r="P884" s="302"/>
      <c r="Q884" s="1182" t="str">
        <f>EUconst_CNTR_300EUA&amp;I856</f>
        <v>EUA300_</v>
      </c>
      <c r="R884" s="694"/>
      <c r="S884" s="694"/>
      <c r="T884" s="694"/>
      <c r="U884" s="1234"/>
      <c r="V884" s="216">
        <f>IF(V877=$Z856,$X883,1)</f>
        <v>1</v>
      </c>
      <c r="W884" s="216">
        <f>IF(W877=$Z856,$X883,1)</f>
        <v>1</v>
      </c>
      <c r="X884" s="216">
        <f>IF(X877=$Z856,$X883,1)</f>
        <v>1</v>
      </c>
      <c r="Y884" s="216">
        <f>IF(Y877=$Z856,$X883,1)</f>
        <v>1</v>
      </c>
      <c r="Z884" s="217">
        <f>IF(Z877=$Z856,$X883,1)</f>
        <v>1</v>
      </c>
      <c r="AA884" s="694"/>
      <c r="AB884" s="694"/>
      <c r="AC884" s="694"/>
      <c r="AD884" s="694"/>
      <c r="AE884" s="694"/>
      <c r="AF884" s="694"/>
      <c r="AG884" s="694"/>
      <c r="AH884" s="694"/>
      <c r="AI884" s="694"/>
      <c r="AJ884" s="694"/>
      <c r="AK884" s="694"/>
      <c r="AL884" s="729"/>
    </row>
    <row r="885" spans="1:38" ht="5.15" customHeight="1" thickBot="1" x14ac:dyDescent="0.3">
      <c r="A885" s="729"/>
      <c r="B885" s="298"/>
      <c r="C885" s="298"/>
      <c r="D885" s="1217"/>
      <c r="E885" s="1199"/>
      <c r="F885" s="1199"/>
      <c r="G885" s="1199"/>
      <c r="H885" s="1199"/>
      <c r="I885" s="1199"/>
      <c r="J885" s="1199"/>
      <c r="K885" s="1199"/>
      <c r="L885" s="1199"/>
      <c r="M885" s="1199"/>
      <c r="N885" s="1238"/>
      <c r="O885" s="302"/>
      <c r="P885" s="302"/>
      <c r="Q885" s="729"/>
      <c r="R885" s="694"/>
      <c r="S885" s="694"/>
      <c r="T885" s="694"/>
      <c r="U885" s="1231"/>
      <c r="V885" s="729"/>
      <c r="W885" s="694"/>
      <c r="X885" s="694"/>
      <c r="Y885" s="694"/>
      <c r="Z885" s="1232"/>
      <c r="AA885" s="694"/>
      <c r="AB885" s="694"/>
      <c r="AC885" s="694"/>
      <c r="AD885" s="694"/>
      <c r="AE885" s="694"/>
      <c r="AF885" s="694"/>
      <c r="AG885" s="694"/>
      <c r="AH885" s="694"/>
      <c r="AI885" s="694"/>
      <c r="AJ885" s="694"/>
      <c r="AK885" s="694"/>
      <c r="AL885" s="729"/>
    </row>
    <row r="886" spans="1:38" ht="12.75" customHeight="1" thickBot="1" x14ac:dyDescent="0.3">
      <c r="A886" s="694"/>
      <c r="B886" s="298"/>
      <c r="C886" s="298"/>
      <c r="D886" s="1208" t="s">
        <v>18</v>
      </c>
      <c r="E886" s="1209" t="str">
        <f>Translations!$B$1324</f>
        <v>Действителна корекция (ако са надвишени всички прагове)</v>
      </c>
      <c r="F886" s="1209"/>
      <c r="G886" s="1209"/>
      <c r="H886" s="1222"/>
      <c r="I886" s="1239"/>
      <c r="J886" s="1240" t="str">
        <f>IF(J884="","",IF(J877&gt;$Z856,-100%,IF(OR(J884,V878&lt;1),J880,I886)))</f>
        <v/>
      </c>
      <c r="K886" s="1241" t="str">
        <f>IF(K884="","",IF(K877&gt;$Z856,-100%,IF(OR(K884,W878&lt;1),K880,J886)))</f>
        <v/>
      </c>
      <c r="L886" s="1241" t="str">
        <f>IF(L884="","",IF(L877&gt;$Z856,-100%,IF(OR(L884,X878&lt;1),L880,K886)))</f>
        <v/>
      </c>
      <c r="M886" s="1241" t="str">
        <f>IF(M884="","",IF(M877&gt;$Z856,-100%,IF(OR(M884,Y878&lt;1),M880,L886)))</f>
        <v/>
      </c>
      <c r="N886" s="1242" t="str">
        <f>IF(N884="","",IF(N877&gt;$Z856,-100%,IF(OR(N884,Z878&lt;1),N880,M886)))</f>
        <v/>
      </c>
      <c r="O886" s="302"/>
      <c r="P886" s="710"/>
      <c r="Q886" s="1190" t="str">
        <f>EUconst_CNTR_HALAdjPct &amp; I856</f>
        <v>HALAdjPct_</v>
      </c>
      <c r="R886" s="694"/>
      <c r="S886" s="694"/>
      <c r="T886" s="694"/>
      <c r="U886" s="1231" t="s">
        <v>1718</v>
      </c>
      <c r="V886" s="1243">
        <f>J883</f>
        <v>2026</v>
      </c>
      <c r="W886" s="1243">
        <f>K883</f>
        <v>2027</v>
      </c>
      <c r="X886" s="1243">
        <f>L883</f>
        <v>2028</v>
      </c>
      <c r="Y886" s="1243">
        <f>M883</f>
        <v>2029</v>
      </c>
      <c r="Z886" s="1244">
        <f>N883</f>
        <v>2030</v>
      </c>
      <c r="AA886" s="694"/>
      <c r="AB886" s="694"/>
      <c r="AC886" s="694"/>
      <c r="AD886" s="694"/>
      <c r="AE886" s="694"/>
      <c r="AF886" s="694"/>
      <c r="AG886" s="694"/>
      <c r="AH886" s="694"/>
      <c r="AI886" s="694"/>
      <c r="AJ886" s="694"/>
      <c r="AK886" s="694"/>
      <c r="AL886" s="729"/>
    </row>
    <row r="887" spans="1:38" ht="12.75" customHeight="1" thickBot="1" x14ac:dyDescent="0.3">
      <c r="A887" s="729"/>
      <c r="B887" s="298"/>
      <c r="C887" s="298"/>
      <c r="D887" s="1208" t="s">
        <v>810</v>
      </c>
      <c r="E887" s="1209" t="str">
        <f>Translations!$B$1325</f>
        <v>Действителна стойност</v>
      </c>
      <c r="F887" s="1209"/>
      <c r="G887" s="1209"/>
      <c r="H887" s="1210" t="str">
        <f>H878</f>
        <v>тона</v>
      </c>
      <c r="I887" s="1211" t="str">
        <f>I881</f>
        <v/>
      </c>
      <c r="J887" s="632" t="str">
        <f>IF($I856="","",IF(OR($I887=0,J886="",$I887=EUconst_NA),IF(OR(J884=TRUE,J883&lt;=$V856),J881,SUM(I887)),$I887*(1+SUM(J886))))</f>
        <v/>
      </c>
      <c r="K887" s="633" t="str">
        <f>IF($I856="","",IF(OR($I887=0,K886="",$I887=EUconst_NA),IF(OR(K884=TRUE,K883&lt;=$V856),K881,SUM(J887)),$I887*(1+SUM(K886))))</f>
        <v/>
      </c>
      <c r="L887" s="633" t="str">
        <f>IF($I856="","",IF(OR($I887=0,L886="",$I887=EUconst_NA),IF(OR(L884=TRUE,L883&lt;=$V856),L881,SUM(K887)),$I887*(1+SUM(L886))))</f>
        <v/>
      </c>
      <c r="M887" s="633" t="str">
        <f>IF($I856="","",IF(OR($I887=0,M886="",$I887=EUconst_NA),IF(OR(M884=TRUE,M883&lt;=$V856),M881,SUM(L887)),$I887*(1+SUM(M886))))</f>
        <v/>
      </c>
      <c r="N887" s="634" t="str">
        <f>IF($I856="","",IF(OR($I887=0,N886="",$I887=EUconst_NA),IF(OR(N884=TRUE,N883&lt;=$V856),N881,SUM(M887)),$I887*(1+SUM(N886))))</f>
        <v/>
      </c>
      <c r="O887" s="302"/>
      <c r="P887" s="302"/>
      <c r="Q887" s="1182" t="str">
        <f>EUconst_CNTR_HALfinal&amp;I856</f>
        <v>HALfinal_</v>
      </c>
      <c r="R887" s="694"/>
      <c r="S887" s="694"/>
      <c r="T887" s="694"/>
      <c r="U887" s="1245" t="b">
        <v>0</v>
      </c>
      <c r="V887" s="1246" t="str">
        <f>IF(V864,IF(J884=TRUE,V879,U887),"")</f>
        <v/>
      </c>
      <c r="W887" s="1246" t="str">
        <f>IF(W864,IF(K884=TRUE,W879,V887),"")</f>
        <v/>
      </c>
      <c r="X887" s="1246" t="str">
        <f>IF(X864,IF(L884=TRUE,X879,W887),"")</f>
        <v/>
      </c>
      <c r="Y887" s="1246" t="str">
        <f>IF(Y864,IF(M884=TRUE,Y879,X887),"")</f>
        <v/>
      </c>
      <c r="Z887" s="1247" t="str">
        <f>IF(Z864,IF(N884=TRUE,Z879,Y887),"")</f>
        <v/>
      </c>
      <c r="AA887" s="694"/>
      <c r="AB887" s="694"/>
      <c r="AC887" s="694"/>
      <c r="AD887" s="694"/>
      <c r="AE887" s="694"/>
      <c r="AF887" s="694"/>
      <c r="AG887" s="694"/>
      <c r="AH887" s="694"/>
      <c r="AI887" s="694"/>
      <c r="AJ887" s="1174" t="s">
        <v>2033</v>
      </c>
      <c r="AK887" s="982" t="str">
        <f>IF(OR(ISERROR(J887),ISERROR(K887),ISERROR(L887),ISERROR(M887),ISERROR(N887)),EUconst_Error &amp; "BM" &amp; Q856,"")</f>
        <v/>
      </c>
      <c r="AL887" s="729"/>
    </row>
    <row r="888" spans="1:38" ht="5.15" customHeight="1" thickBot="1" x14ac:dyDescent="0.3">
      <c r="A888" s="694"/>
      <c r="B888" s="298"/>
      <c r="C888" s="298"/>
      <c r="D888" s="1248"/>
      <c r="E888" s="1249"/>
      <c r="F888" s="1249"/>
      <c r="G888" s="1249"/>
      <c r="H888" s="1249"/>
      <c r="I888" s="1249"/>
      <c r="J888" s="1249"/>
      <c r="K888" s="1249"/>
      <c r="L888" s="1249"/>
      <c r="M888" s="1249"/>
      <c r="N888" s="1250"/>
      <c r="O888" s="302"/>
      <c r="P888" s="302"/>
      <c r="Q888" s="729"/>
      <c r="R888" s="694"/>
      <c r="S888" s="694"/>
      <c r="T888" s="694"/>
      <c r="U888" s="729"/>
      <c r="V888" s="729"/>
      <c r="W888" s="694"/>
      <c r="X888" s="694"/>
      <c r="Y888" s="694"/>
      <c r="Z888" s="694"/>
      <c r="AA888" s="694"/>
      <c r="AB888" s="694"/>
      <c r="AC888" s="694"/>
      <c r="AD888" s="694"/>
      <c r="AE888" s="694"/>
      <c r="AF888" s="694"/>
      <c r="AG888" s="694"/>
      <c r="AH888" s="694"/>
      <c r="AI888" s="694"/>
      <c r="AJ888" s="694"/>
      <c r="AK888" s="694"/>
      <c r="AL888" s="729"/>
    </row>
    <row r="889" spans="1:38" ht="5.15" customHeight="1" x14ac:dyDescent="0.25">
      <c r="A889" s="694"/>
      <c r="B889" s="298"/>
      <c r="C889" s="298"/>
      <c r="D889" s="302"/>
      <c r="E889" s="302"/>
      <c r="F889" s="302"/>
      <c r="G889" s="302"/>
      <c r="H889" s="302"/>
      <c r="I889" s="302"/>
      <c r="J889" s="302"/>
      <c r="K889" s="302"/>
      <c r="L889" s="302"/>
      <c r="M889" s="302"/>
      <c r="N889" s="302"/>
      <c r="O889" s="302"/>
      <c r="P889" s="302"/>
      <c r="Q889" s="729"/>
      <c r="R889" s="694"/>
      <c r="S889" s="694"/>
      <c r="T889" s="694"/>
      <c r="U889" s="729"/>
      <c r="V889" s="729"/>
      <c r="W889" s="694"/>
      <c r="X889" s="694"/>
      <c r="Y889" s="694"/>
      <c r="Z889" s="694"/>
      <c r="AA889" s="694"/>
      <c r="AB889" s="694"/>
      <c r="AC889" s="694"/>
      <c r="AD889" s="694"/>
      <c r="AE889" s="694"/>
      <c r="AF889" s="694"/>
      <c r="AG889" s="694"/>
      <c r="AH889" s="694"/>
      <c r="AI889" s="694"/>
      <c r="AJ889" s="694"/>
      <c r="AK889" s="694"/>
      <c r="AL889" s="729"/>
    </row>
    <row r="890" spans="1:38" ht="15" customHeight="1" x14ac:dyDescent="0.25">
      <c r="A890" s="694"/>
      <c r="B890" s="698"/>
      <c r="C890" s="298"/>
      <c r="D890" s="2323" t="str">
        <f>Translations!$B$482</f>
        <v>Други корекционни коефициенти</v>
      </c>
      <c r="E890" s="2249"/>
      <c r="F890" s="2249"/>
      <c r="G890" s="2249"/>
      <c r="H890" s="2249"/>
      <c r="I890" s="2249"/>
      <c r="J890" s="2249"/>
      <c r="K890" s="2249"/>
      <c r="L890" s="2249"/>
      <c r="M890" s="2249"/>
      <c r="N890" s="2249"/>
      <c r="O890" s="302"/>
      <c r="P890" s="302"/>
      <c r="Q890" s="694"/>
      <c r="R890" s="694"/>
      <c r="S890" s="694"/>
      <c r="T890" s="694"/>
      <c r="U890" s="729"/>
      <c r="V890" s="729"/>
      <c r="W890" s="694"/>
      <c r="X890" s="694"/>
      <c r="Y890" s="694"/>
      <c r="Z890" s="694"/>
      <c r="AA890" s="694"/>
      <c r="AB890" s="694"/>
      <c r="AC890" s="694"/>
      <c r="AD890" s="694"/>
      <c r="AE890" s="694"/>
      <c r="AF890" s="694"/>
      <c r="AG890" s="694"/>
      <c r="AH890" s="694"/>
      <c r="AI890" s="694"/>
      <c r="AJ890" s="694"/>
      <c r="AK890" s="694"/>
      <c r="AL890" s="694"/>
    </row>
    <row r="891" spans="1:38" ht="5.15" customHeight="1" x14ac:dyDescent="0.25">
      <c r="A891" s="694"/>
      <c r="B891" s="298"/>
      <c r="C891" s="298"/>
      <c r="D891" s="298"/>
      <c r="E891" s="298"/>
      <c r="F891" s="298"/>
      <c r="G891" s="298"/>
      <c r="H891" s="298"/>
      <c r="I891" s="298"/>
      <c r="J891" s="298"/>
      <c r="K891" s="298"/>
      <c r="L891" s="298"/>
      <c r="M891" s="298"/>
      <c r="N891" s="298"/>
      <c r="O891" s="302"/>
      <c r="P891" s="302"/>
      <c r="Q891" s="729"/>
      <c r="R891" s="694"/>
      <c r="S891" s="694"/>
      <c r="T891" s="694"/>
      <c r="U891" s="729"/>
      <c r="V891" s="729"/>
      <c r="W891" s="694"/>
      <c r="X891" s="694"/>
      <c r="Y891" s="694"/>
      <c r="Z891" s="694"/>
      <c r="AA891" s="694"/>
      <c r="AB891" s="694"/>
      <c r="AC891" s="694"/>
      <c r="AD891" s="694"/>
      <c r="AE891" s="694"/>
      <c r="AF891" s="694"/>
      <c r="AG891" s="694"/>
      <c r="AH891" s="694"/>
      <c r="AI891" s="694"/>
      <c r="AJ891" s="694"/>
      <c r="AK891" s="694"/>
      <c r="AL891" s="694"/>
    </row>
    <row r="892" spans="1:38" ht="13" x14ac:dyDescent="0.25">
      <c r="A892" s="694"/>
      <c r="B892" s="698"/>
      <c r="C892" s="698"/>
      <c r="D892" s="300" t="s">
        <v>46</v>
      </c>
      <c r="E892" s="2463" t="str">
        <f>Translations!$B$1516</f>
        <v>Потребление на електроенергия</v>
      </c>
      <c r="F892" s="2463"/>
      <c r="G892" s="2463"/>
      <c r="H892" s="2463"/>
      <c r="I892" s="2463"/>
      <c r="J892" s="2463"/>
      <c r="K892" s="2463"/>
      <c r="L892" s="2463"/>
      <c r="M892" s="2463"/>
      <c r="N892" s="2463"/>
      <c r="O892" s="302"/>
      <c r="P892" s="302"/>
      <c r="Q892" s="694" t="s">
        <v>450</v>
      </c>
      <c r="R892" s="1026" t="str">
        <f>"#"&amp;ADDRESS(ROW(D897),COLUMN(D897))</f>
        <v>#$D$897</v>
      </c>
      <c r="S892" s="1174" t="s">
        <v>1732</v>
      </c>
      <c r="T892" s="1190" t="str">
        <f>IF(I856="","",INDEX(EUconst_BMlistElExchangability,MATCH(I856,EUconst_BMlistNames,0)))</f>
        <v/>
      </c>
      <c r="U892" s="729"/>
      <c r="V892" s="729"/>
      <c r="W892" s="694"/>
      <c r="X892" s="694"/>
      <c r="Y892" s="694"/>
      <c r="Z892" s="694"/>
      <c r="AA892" s="694"/>
      <c r="AB892" s="694"/>
      <c r="AC892" s="694"/>
      <c r="AD892" s="694"/>
      <c r="AE892" s="694"/>
      <c r="AF892" s="694"/>
      <c r="AG892" s="694"/>
      <c r="AH892" s="694"/>
      <c r="AI892" s="694"/>
      <c r="AJ892" s="694"/>
      <c r="AK892" s="694"/>
      <c r="AL892" s="694"/>
    </row>
    <row r="893" spans="1:38" ht="25.5" customHeight="1" x14ac:dyDescent="0.25">
      <c r="A893" s="694"/>
      <c r="B893" s="298"/>
      <c r="C893" s="298"/>
      <c r="D893" s="302"/>
      <c r="E893" s="2358" t="str">
        <f>Translations!$B$1517</f>
        <v>Въведете тук електроенергията, потребена в системните граници на тази подинсталация. За продуктовите показатели, изброени в раздел 2 от приложение I към ПБР, въвеждането тук на данни е задължително, като те трябва да съответстват на съответните системни граници, посочени в този раздел.</v>
      </c>
      <c r="F893" s="2249"/>
      <c r="G893" s="2249"/>
      <c r="H893" s="2249"/>
      <c r="I893" s="2249"/>
      <c r="J893" s="2249"/>
      <c r="K893" s="2249"/>
      <c r="L893" s="2249"/>
      <c r="M893" s="2249"/>
      <c r="N893" s="2249"/>
      <c r="O893" s="302"/>
      <c r="P893" s="302"/>
      <c r="Q893" s="694"/>
      <c r="R893" s="694"/>
      <c r="S893" s="694"/>
      <c r="T893" s="694"/>
      <c r="U893" s="729"/>
      <c r="V893" s="729"/>
      <c r="W893" s="694"/>
      <c r="X893" s="694"/>
      <c r="Y893" s="694"/>
      <c r="Z893" s="694"/>
      <c r="AA893" s="694"/>
      <c r="AB893" s="694"/>
      <c r="AC893" s="694"/>
      <c r="AD893" s="694"/>
      <c r="AE893" s="694"/>
      <c r="AF893" s="694"/>
      <c r="AG893" s="694"/>
      <c r="AH893" s="694"/>
      <c r="AI893" s="694"/>
      <c r="AJ893" s="694"/>
      <c r="AK893" s="694"/>
      <c r="AL893" s="694"/>
    </row>
    <row r="894" spans="1:38" s="364" customFormat="1" ht="13.5" thickBot="1" x14ac:dyDescent="0.3">
      <c r="A894" s="729"/>
      <c r="B894" s="302"/>
      <c r="C894" s="302"/>
      <c r="D894" s="300"/>
      <c r="E894" s="1013" t="str">
        <f>Translations!$B$483</f>
        <v>Параметър</v>
      </c>
      <c r="F894" s="1015"/>
      <c r="G894" s="527" t="str">
        <f>EUconst_Unit</f>
        <v>Единица мярка</v>
      </c>
      <c r="H894" s="391">
        <f>H$2831</f>
        <v>2024</v>
      </c>
      <c r="I894" s="572">
        <f>I$2831</f>
        <v>2025</v>
      </c>
      <c r="J894" s="757">
        <f>J$91</f>
        <v>2026</v>
      </c>
      <c r="K894" s="758">
        <f>K$91</f>
        <v>2027</v>
      </c>
      <c r="L894" s="391">
        <f>L$91</f>
        <v>2028</v>
      </c>
      <c r="M894" s="391">
        <f>M$91</f>
        <v>2029</v>
      </c>
      <c r="N894" s="391">
        <f>N$91</f>
        <v>2030</v>
      </c>
      <c r="O894" s="302"/>
      <c r="P894" s="302"/>
      <c r="Q894" s="729"/>
      <c r="R894" s="729"/>
      <c r="S894" s="694"/>
      <c r="T894" s="694"/>
      <c r="U894" s="729"/>
      <c r="V894" s="729"/>
      <c r="W894" s="729"/>
      <c r="X894" s="729"/>
      <c r="Y894" s="729"/>
      <c r="Z894" s="729"/>
      <c r="AA894" s="729"/>
      <c r="AB894" s="694"/>
      <c r="AC894" s="1178">
        <f t="shared" ref="AC894" si="1044">H$20</f>
        <v>2024</v>
      </c>
      <c r="AD894" s="1178">
        <f t="shared" ref="AD894" si="1045">I$20</f>
        <v>2025</v>
      </c>
      <c r="AE894" s="1178">
        <f t="shared" ref="AE894" si="1046">J$20</f>
        <v>2026</v>
      </c>
      <c r="AF894" s="1178">
        <f t="shared" ref="AF894" si="1047">K$20</f>
        <v>2027</v>
      </c>
      <c r="AG894" s="1178">
        <f t="shared" ref="AG894" si="1048">L$20</f>
        <v>2028</v>
      </c>
      <c r="AH894" s="1178">
        <f t="shared" ref="AH894" si="1049">M$20</f>
        <v>2029</v>
      </c>
      <c r="AI894" s="1178">
        <f t="shared" ref="AI894" si="1050">N$20</f>
        <v>2030</v>
      </c>
      <c r="AJ894" s="694"/>
      <c r="AK894" s="694"/>
      <c r="AL894" s="694"/>
    </row>
    <row r="895" spans="1:38" s="364" customFormat="1" ht="12.75" customHeight="1" thickBot="1" x14ac:dyDescent="0.3">
      <c r="A895" s="729"/>
      <c r="B895" s="302"/>
      <c r="C895" s="302"/>
      <c r="D895" s="360"/>
      <c r="E895" s="1251" t="str">
        <f>Translations!$B$485</f>
        <v>Съответно потребление на електроенергия</v>
      </c>
      <c r="F895" s="1252"/>
      <c r="G895" s="1253" t="str">
        <f>EUconst_MWhpa</f>
        <v>MWh / година</v>
      </c>
      <c r="H895" s="39"/>
      <c r="I895" s="194"/>
      <c r="J895" s="195"/>
      <c r="K895" s="208"/>
      <c r="L895" s="39"/>
      <c r="M895" s="39"/>
      <c r="N895" s="39"/>
      <c r="O895" s="302"/>
      <c r="P895" s="158"/>
      <c r="Q895" s="982" t="str">
        <f>EUconst_CNTR_HAL&amp;EUconst_CNTR_ELEXCH &amp;I856</f>
        <v>HAL_ELEXCH_</v>
      </c>
      <c r="R895" s="729"/>
      <c r="S895" s="729"/>
      <c r="T895" s="729"/>
      <c r="U895" s="729"/>
      <c r="V895" s="729"/>
      <c r="W895" s="729"/>
      <c r="X895" s="729"/>
      <c r="Y895" s="729"/>
      <c r="Z895" s="729"/>
      <c r="AA895" s="729"/>
      <c r="AB895" s="1182" t="s">
        <v>737</v>
      </c>
      <c r="AC895" s="1254" t="b">
        <f t="shared" ref="AC895" si="1051">IF(CNTR_ExistSubInstEntries,IF($I856="",TRUE,OR(H894&gt;=CNTR_ReportingYear,AC894&lt;$V856-1,INDEX(EUconst_BMlistElExchangability,MATCH($I856,EUconst_BMlistNames,0))=FALSE)),FALSE)</f>
        <v>0</v>
      </c>
      <c r="AD895" s="1255" t="b">
        <f t="shared" ref="AD895" si="1052">IF(CNTR_ExistSubInstEntries,IF($I856="",TRUE,OR(I894&gt;=CNTR_ReportingYear,AD894&lt;$V856-1,INDEX(EUconst_BMlistElExchangability,MATCH($I856,EUconst_BMlistNames,0))=FALSE)),FALSE)</f>
        <v>0</v>
      </c>
      <c r="AE895" s="1255" t="b">
        <f t="shared" ref="AE895" si="1053">IF(CNTR_ExistSubInstEntries,IF($I856="",TRUE,OR(J894&gt;=CNTR_ReportingYear,AE894&lt;$V856-1,INDEX(EUconst_BMlistElExchangability,MATCH($I856,EUconst_BMlistNames,0))=FALSE)),FALSE)</f>
        <v>0</v>
      </c>
      <c r="AF895" s="1255" t="b">
        <f t="shared" ref="AF895" si="1054">IF(CNTR_ExistSubInstEntries,IF($I856="",TRUE,OR(K894&gt;=CNTR_ReportingYear,AF894&lt;$V856-1,INDEX(EUconst_BMlistElExchangability,MATCH($I856,EUconst_BMlistNames,0))=FALSE)),FALSE)</f>
        <v>0</v>
      </c>
      <c r="AG895" s="1255" t="b">
        <f t="shared" ref="AG895" si="1055">IF(CNTR_ExistSubInstEntries,IF($I856="",TRUE,OR(L894&gt;=CNTR_ReportingYear,AG894&lt;$V856-1,INDEX(EUconst_BMlistElExchangability,MATCH($I856,EUconst_BMlistNames,0))=FALSE)),FALSE)</f>
        <v>0</v>
      </c>
      <c r="AH895" s="1255" t="b">
        <f t="shared" ref="AH895" si="1056">IF(CNTR_ExistSubInstEntries,IF($I856="",TRUE,OR(M894&gt;=CNTR_ReportingYear,AH894&lt;$V856-1,INDEX(EUconst_BMlistElExchangability,MATCH($I856,EUconst_BMlistNames,0))=FALSE)),FALSE)</f>
        <v>0</v>
      </c>
      <c r="AI895" s="1256" t="b">
        <f t="shared" ref="AI895" si="1057">IF(CNTR_ExistSubInstEntries,IF($I856="",TRUE,OR(N894&gt;=CNTR_ReportingYear,AI894&lt;$V856-1,INDEX(EUconst_BMlistElExchangability,MATCH($I856,EUconst_BMlistNames,0))=FALSE)),FALSE)</f>
        <v>0</v>
      </c>
      <c r="AJ895" s="1174" t="s">
        <v>2039</v>
      </c>
      <c r="AK895" s="1176" t="str">
        <f>IF(AND(CNTR_ExistSubInstEntries,COUNTIFS(AC895:AI895,FALSE,H895:N895,"")&gt;0),EUconst_Error&amp;"BM"&amp;$Q856,"")</f>
        <v/>
      </c>
      <c r="AL895" s="694"/>
    </row>
    <row r="896" spans="1:38" ht="5.15" customHeight="1" x14ac:dyDescent="0.25">
      <c r="A896" s="694"/>
      <c r="B896" s="298"/>
      <c r="C896" s="298"/>
      <c r="D896" s="298"/>
      <c r="E896" s="298"/>
      <c r="F896" s="298"/>
      <c r="G896" s="298"/>
      <c r="H896" s="298"/>
      <c r="I896" s="298"/>
      <c r="J896" s="298"/>
      <c r="K896" s="298"/>
      <c r="L896" s="298"/>
      <c r="M896" s="302"/>
      <c r="N896" s="302"/>
      <c r="O896" s="302"/>
      <c r="P896" s="302"/>
      <c r="Q896" s="729"/>
      <c r="R896" s="694"/>
      <c r="S896" s="694"/>
      <c r="T896" s="694"/>
      <c r="U896" s="694"/>
      <c r="V896" s="694"/>
      <c r="W896" s="694"/>
      <c r="X896" s="694"/>
      <c r="Y896" s="694"/>
      <c r="Z896" s="694"/>
      <c r="AA896" s="694"/>
      <c r="AB896" s="694"/>
      <c r="AC896" s="694"/>
      <c r="AD896" s="694"/>
      <c r="AE896" s="694"/>
      <c r="AF896" s="694"/>
      <c r="AG896" s="694"/>
      <c r="AH896" s="694"/>
      <c r="AI896" s="694"/>
      <c r="AJ896" s="694"/>
      <c r="AK896" s="694"/>
      <c r="AL896" s="694"/>
    </row>
    <row r="897" spans="1:38" ht="13" x14ac:dyDescent="0.25">
      <c r="A897" s="694"/>
      <c r="B897" s="298"/>
      <c r="C897" s="298"/>
      <c r="D897" s="300" t="s">
        <v>906</v>
      </c>
      <c r="E897" s="2226" t="str">
        <f>Translations!$B$487</f>
        <v>Топлинна енергия, получена от инсталации или обекти извън СТЕ:</v>
      </c>
      <c r="F897" s="2226"/>
      <c r="G897" s="2226"/>
      <c r="H897" s="2226"/>
      <c r="I897" s="2317"/>
      <c r="J897" s="2858" t="str">
        <f>IF(I856="","",HYPERLINK(R897,EUconst_MsgGoOnIfNotRelevant))</f>
        <v/>
      </c>
      <c r="K897" s="2859"/>
      <c r="L897" s="2859"/>
      <c r="M897" s="2859"/>
      <c r="N897" s="2860"/>
      <c r="O897" s="302"/>
      <c r="P897" s="302"/>
      <c r="Q897" s="694" t="s">
        <v>450</v>
      </c>
      <c r="R897" s="1026" t="str">
        <f>"#"&amp;ADDRESS(ROW(D922),COLUMN(D922))</f>
        <v>#$D$922</v>
      </c>
      <c r="S897" s="694"/>
      <c r="T897" s="694"/>
      <c r="U897" s="694"/>
      <c r="V897" s="694"/>
      <c r="W897" s="694"/>
      <c r="X897" s="694"/>
      <c r="Y897" s="694"/>
      <c r="Z897" s="694"/>
      <c r="AA897" s="694"/>
      <c r="AB897" s="694"/>
      <c r="AC897" s="694"/>
      <c r="AD897" s="694"/>
      <c r="AE897" s="694"/>
      <c r="AF897" s="694"/>
      <c r="AG897" s="694"/>
      <c r="AH897" s="694"/>
      <c r="AI897" s="694"/>
      <c r="AJ897" s="694"/>
      <c r="AK897" s="694"/>
      <c r="AL897" s="694"/>
    </row>
    <row r="898" spans="1:38" x14ac:dyDescent="0.25">
      <c r="A898" s="694"/>
      <c r="B898" s="298"/>
      <c r="C898" s="298"/>
      <c r="D898" s="302"/>
      <c r="E898" s="2358" t="str">
        <f>Translations!$B$488</f>
        <v>Съгласно член 21 от ПБР определено количество емисии трябва да се приспадне от предварителното годишно разпределение за подинсталациите с продуктов показател.</v>
      </c>
      <c r="F898" s="2249"/>
      <c r="G898" s="2249"/>
      <c r="H898" s="2249"/>
      <c r="I898" s="2249"/>
      <c r="J898" s="2249"/>
      <c r="K898" s="2249"/>
      <c r="L898" s="2249"/>
      <c r="M898" s="2249"/>
      <c r="N898" s="2249"/>
      <c r="O898" s="302"/>
      <c r="P898" s="302"/>
      <c r="Q898" s="729"/>
      <c r="R898" s="694"/>
      <c r="S898" s="694"/>
      <c r="T898" s="694"/>
      <c r="U898" s="729"/>
      <c r="V898" s="729"/>
      <c r="W898" s="694"/>
      <c r="X898" s="694"/>
      <c r="Y898" s="694"/>
      <c r="Z898" s="694"/>
      <c r="AA898" s="694"/>
      <c r="AB898" s="694"/>
      <c r="AC898" s="694"/>
      <c r="AD898" s="694"/>
      <c r="AE898" s="694"/>
      <c r="AF898" s="694"/>
      <c r="AG898" s="694"/>
      <c r="AH898" s="694"/>
      <c r="AI898" s="694"/>
      <c r="AJ898" s="694"/>
      <c r="AK898" s="694"/>
      <c r="AL898" s="694"/>
    </row>
    <row r="899" spans="1:38" x14ac:dyDescent="0.25">
      <c r="A899" s="694"/>
      <c r="B899" s="298"/>
      <c r="C899" s="298"/>
      <c r="D899" s="302"/>
      <c r="E899" s="2358" t="str">
        <f>Translations!$B$489</f>
        <v>Това количество е количеството измерима топлинна енергия, внесена от инсталации или обекти извън СТЕ (включително всяка топлинна енергия от подинсталации за производство на азотна киселина), умножено по топлинния показател.</v>
      </c>
      <c r="F899" s="2249"/>
      <c r="G899" s="2249"/>
      <c r="H899" s="2249"/>
      <c r="I899" s="2249"/>
      <c r="J899" s="2249"/>
      <c r="K899" s="2249"/>
      <c r="L899" s="2249"/>
      <c r="M899" s="2249"/>
      <c r="N899" s="2249"/>
      <c r="O899" s="302"/>
      <c r="P899" s="302"/>
      <c r="Q899" s="729"/>
      <c r="R899" s="694"/>
      <c r="S899" s="694"/>
      <c r="T899" s="694"/>
      <c r="U899" s="729"/>
      <c r="V899" s="729"/>
      <c r="W899" s="694"/>
      <c r="X899" s="694"/>
      <c r="Y899" s="694"/>
      <c r="Z899" s="694"/>
      <c r="AA899" s="694"/>
      <c r="AB899" s="694"/>
      <c r="AC899" s="694"/>
      <c r="AD899" s="694"/>
      <c r="AE899" s="694"/>
      <c r="AF899" s="694"/>
      <c r="AG899" s="694"/>
      <c r="AH899" s="694"/>
      <c r="AI899" s="694"/>
      <c r="AJ899" s="694"/>
      <c r="AK899" s="694"/>
      <c r="AL899" s="694"/>
    </row>
    <row r="900" spans="1:38" x14ac:dyDescent="0.25">
      <c r="A900" s="694"/>
      <c r="B900" s="298"/>
      <c r="C900" s="298"/>
      <c r="D900" s="302"/>
      <c r="E900" s="2358" t="str">
        <f>Translations!$B$490</f>
        <v>Моля, въведете тук съответните стойности. Имайте предвид, че стойностите трябва да съответстват на сумите за енергията, получена от източници извън СТЕ, въведени в точка E.II.c в работен лист „E_Energy flows“ („E_Енергийни потоци“).</v>
      </c>
      <c r="F900" s="2249"/>
      <c r="G900" s="2249"/>
      <c r="H900" s="2249"/>
      <c r="I900" s="2249"/>
      <c r="J900" s="2249"/>
      <c r="K900" s="2249"/>
      <c r="L900" s="2249"/>
      <c r="M900" s="2249"/>
      <c r="N900" s="2249"/>
      <c r="O900" s="302"/>
      <c r="P900" s="302"/>
      <c r="Q900" s="729"/>
      <c r="R900" s="694"/>
      <c r="S900" s="694"/>
      <c r="T900" s="694"/>
      <c r="U900" s="729"/>
      <c r="V900" s="729"/>
      <c r="W900" s="694"/>
      <c r="X900" s="694"/>
      <c r="Y900" s="694"/>
      <c r="Z900" s="694"/>
      <c r="AA900" s="694"/>
      <c r="AB900" s="694"/>
      <c r="AC900" s="694"/>
      <c r="AD900" s="694"/>
      <c r="AE900" s="694"/>
      <c r="AF900" s="694"/>
      <c r="AG900" s="694"/>
      <c r="AH900" s="694"/>
      <c r="AI900" s="694"/>
      <c r="AJ900" s="694"/>
      <c r="AK900" s="694"/>
      <c r="AL900" s="694"/>
    </row>
    <row r="901" spans="1:38" x14ac:dyDescent="0.25">
      <c r="A901" s="694"/>
      <c r="B901" s="298"/>
      <c r="C901" s="298"/>
      <c r="D901" s="302"/>
      <c r="E901" s="2358" t="str">
        <f>Translations!$B$491</f>
        <v>Освен това данните трябва да съответстват и на общото нетно количество получена измерима топлинна енергия, въведено в k). i по-долу.</v>
      </c>
      <c r="F901" s="2249"/>
      <c r="G901" s="2249"/>
      <c r="H901" s="2249"/>
      <c r="I901" s="2249"/>
      <c r="J901" s="2249"/>
      <c r="K901" s="2249"/>
      <c r="L901" s="2249"/>
      <c r="M901" s="2249"/>
      <c r="N901" s="2249"/>
      <c r="O901" s="302"/>
      <c r="P901" s="302"/>
      <c r="Q901" s="729"/>
      <c r="R901" s="694"/>
      <c r="S901" s="694"/>
      <c r="T901" s="694"/>
      <c r="U901" s="729"/>
      <c r="V901" s="729"/>
      <c r="W901" s="729"/>
      <c r="X901" s="729"/>
      <c r="Y901" s="729"/>
      <c r="Z901" s="729"/>
      <c r="AA901" s="694"/>
      <c r="AB901" s="694"/>
      <c r="AC901" s="694"/>
      <c r="AD901" s="694"/>
      <c r="AE901" s="694"/>
      <c r="AF901" s="694"/>
      <c r="AG901" s="694"/>
      <c r="AH901" s="694"/>
      <c r="AI901" s="694"/>
      <c r="AJ901" s="694"/>
      <c r="AK901" s="694"/>
      <c r="AL901" s="694"/>
    </row>
    <row r="902" spans="1:38" ht="13.5" thickBot="1" x14ac:dyDescent="0.3">
      <c r="A902" s="694"/>
      <c r="B902" s="698"/>
      <c r="C902" s="698"/>
      <c r="D902" s="300"/>
      <c r="E902" s="1013" t="str">
        <f>Translations!$B$483</f>
        <v>Параметър</v>
      </c>
      <c r="F902" s="1015"/>
      <c r="G902" s="527" t="str">
        <f>EUconst_Unit</f>
        <v>Единица мярка</v>
      </c>
      <c r="H902" s="391">
        <f>H$2831</f>
        <v>2024</v>
      </c>
      <c r="I902" s="572">
        <f>I$2831</f>
        <v>2025</v>
      </c>
      <c r="J902" s="757">
        <f>J$91</f>
        <v>2026</v>
      </c>
      <c r="K902" s="391">
        <f>K$91</f>
        <v>2027</v>
      </c>
      <c r="L902" s="391">
        <f>L$91</f>
        <v>2028</v>
      </c>
      <c r="M902" s="391">
        <f>M$91</f>
        <v>2029</v>
      </c>
      <c r="N902" s="391">
        <f>N$91</f>
        <v>2030</v>
      </c>
      <c r="O902" s="302"/>
      <c r="P902" s="302"/>
      <c r="Q902" s="694"/>
      <c r="R902" s="1031"/>
      <c r="S902" s="1174" t="s">
        <v>1906</v>
      </c>
      <c r="T902" s="1178">
        <f>H902</f>
        <v>2024</v>
      </c>
      <c r="U902" s="1178">
        <f t="shared" ref="U902" si="1058">I902</f>
        <v>2025</v>
      </c>
      <c r="V902" s="1178">
        <f t="shared" ref="V902" si="1059">J902</f>
        <v>2026</v>
      </c>
      <c r="W902" s="1178">
        <f t="shared" ref="W902" si="1060">K902</f>
        <v>2027</v>
      </c>
      <c r="X902" s="1178">
        <f t="shared" ref="X902" si="1061">L902</f>
        <v>2028</v>
      </c>
      <c r="Y902" s="1178">
        <f t="shared" ref="Y902" si="1062">M902</f>
        <v>2029</v>
      </c>
      <c r="Z902" s="1178">
        <f t="shared" ref="Z902" si="1063">N902</f>
        <v>2030</v>
      </c>
      <c r="AA902" s="1031"/>
      <c r="AB902" s="694"/>
      <c r="AC902" s="1178">
        <f t="shared" ref="AC902" si="1064">H$20</f>
        <v>2024</v>
      </c>
      <c r="AD902" s="1178">
        <f t="shared" ref="AD902" si="1065">I$20</f>
        <v>2025</v>
      </c>
      <c r="AE902" s="1178">
        <f t="shared" ref="AE902" si="1066">J$20</f>
        <v>2026</v>
      </c>
      <c r="AF902" s="1178">
        <f t="shared" ref="AF902" si="1067">K$20</f>
        <v>2027</v>
      </c>
      <c r="AG902" s="1178">
        <f t="shared" ref="AG902" si="1068">L$20</f>
        <v>2028</v>
      </c>
      <c r="AH902" s="1178">
        <f t="shared" ref="AH902" si="1069">M$20</f>
        <v>2029</v>
      </c>
      <c r="AI902" s="1178">
        <f t="shared" ref="AI902" si="1070">N$20</f>
        <v>2030</v>
      </c>
      <c r="AJ902" s="694"/>
      <c r="AK902" s="694"/>
      <c r="AL902" s="694"/>
    </row>
    <row r="903" spans="1:38" ht="13" customHeight="1" thickBot="1" x14ac:dyDescent="0.3">
      <c r="A903" s="694"/>
      <c r="B903" s="698"/>
      <c r="C903" s="698"/>
      <c r="D903" s="1084" t="s">
        <v>6</v>
      </c>
      <c r="E903" s="2667" t="str">
        <f>Translations!$B$492</f>
        <v>Измерима топлинна енергия, получена от източници извън СТЕ:</v>
      </c>
      <c r="F903" s="2667"/>
      <c r="G903" s="1016" t="str">
        <f>EUconst_TJpa</f>
        <v>TJ / година</v>
      </c>
      <c r="H903" s="24"/>
      <c r="I903" s="59"/>
      <c r="J903" s="60"/>
      <c r="K903" s="24"/>
      <c r="L903" s="24"/>
      <c r="M903" s="24"/>
      <c r="N903" s="24"/>
      <c r="O903" s="302"/>
      <c r="P903" s="158"/>
      <c r="Q903" s="982" t="str">
        <f>EUconst_CNTR_HAL&amp;EUconst_CNTR_nonETSMeasHeat</f>
        <v>HAL_измерима топлинна енергия извън СТЕ</v>
      </c>
      <c r="R903" s="694"/>
      <c r="S903" s="1174"/>
      <c r="T903" s="1257" t="str">
        <f t="shared" ref="T903" si="1071">IF(H903="","",SUM(H903)*EUconst_HeatBMvalue)</f>
        <v/>
      </c>
      <c r="U903" s="1257" t="str">
        <f t="shared" ref="U903" si="1072">IF(I903="","",SUM(I903)*EUconst_HeatBMvalue)</f>
        <v/>
      </c>
      <c r="V903" s="1257" t="str">
        <f t="shared" ref="V903" si="1073">IF(J903="","",SUM(J903)*EUconst_HeatBMvalue)</f>
        <v/>
      </c>
      <c r="W903" s="1257" t="str">
        <f t="shared" ref="W903" si="1074">IF(K903="","",SUM(K903)*EUconst_HeatBMvalue)</f>
        <v/>
      </c>
      <c r="X903" s="1257" t="str">
        <f t="shared" ref="X903" si="1075">IF(L903="","",SUM(L903)*EUconst_HeatBMvalue)</f>
        <v/>
      </c>
      <c r="Y903" s="1257" t="str">
        <f t="shared" ref="Y903" si="1076">IF(M903="","",SUM(M903)*EUconst_HeatBMvalue)</f>
        <v/>
      </c>
      <c r="Z903" s="1257" t="str">
        <f t="shared" ref="Z903" si="1077">IF(N903="","",SUM(N903)*EUconst_HeatBMvalue)</f>
        <v/>
      </c>
      <c r="AA903" s="694"/>
      <c r="AB903" s="1182" t="s">
        <v>737</v>
      </c>
      <c r="AC903" s="1183" t="b">
        <f t="shared" ref="AC903" si="1078">IF(CNTR_ExistSubInstEntries,OR($I856="",H863&gt;=CNTR_ReportingYear,AC902&lt;$V856-1),FALSE)</f>
        <v>0</v>
      </c>
      <c r="AD903" s="1184" t="b">
        <f t="shared" ref="AD903" si="1079">IF(CNTR_ExistSubInstEntries,OR($I856="",I863&gt;=CNTR_ReportingYear,AD902&lt;$V856-1),FALSE)</f>
        <v>0</v>
      </c>
      <c r="AE903" s="1184" t="b">
        <f t="shared" ref="AE903" si="1080">IF(CNTR_ExistSubInstEntries,OR($I856="",J863&gt;=CNTR_ReportingYear,AE902&lt;$V856-1),FALSE)</f>
        <v>0</v>
      </c>
      <c r="AF903" s="1184" t="b">
        <f t="shared" ref="AF903" si="1081">IF(CNTR_ExistSubInstEntries,OR($I856="",K863&gt;=CNTR_ReportingYear,AF902&lt;$V856-1),FALSE)</f>
        <v>0</v>
      </c>
      <c r="AG903" s="1184" t="b">
        <f t="shared" ref="AG903" si="1082">IF(CNTR_ExistSubInstEntries,OR($I856="",L863&gt;=CNTR_ReportingYear,AG902&lt;$V856-1),FALSE)</f>
        <v>0</v>
      </c>
      <c r="AH903" s="1184" t="b">
        <f t="shared" ref="AH903" si="1083">IF(CNTR_ExistSubInstEntries,OR($I856="",M863&gt;=CNTR_ReportingYear,AH902&lt;$V856-1),FALSE)</f>
        <v>0</v>
      </c>
      <c r="AI903" s="1185" t="b">
        <f t="shared" ref="AI903" si="1084">IF(CNTR_ExistSubInstEntries,OR($I856="",N863&gt;=CNTR_ReportingYear,AI902&lt;$V856-1),FALSE)</f>
        <v>0</v>
      </c>
      <c r="AJ903" s="1174" t="s">
        <v>2039</v>
      </c>
      <c r="AK903" s="1176" t="str">
        <f>IF(AND(CNTR_ExistSubInstEntries,COUNTIFS(AC903:AI903,FALSE,H903:N903,"")&gt;0),EUconst_Error&amp;"BM"&amp;$Q856,"")</f>
        <v/>
      </c>
      <c r="AL903" s="694"/>
    </row>
    <row r="904" spans="1:38" ht="25.5" customHeight="1" x14ac:dyDescent="0.25">
      <c r="A904" s="694"/>
      <c r="B904" s="698"/>
      <c r="C904" s="698"/>
      <c r="D904" s="1084" t="s">
        <v>7</v>
      </c>
      <c r="E904" s="1258" t="str">
        <f>Translations!$B$493</f>
        <v>Проверка на съответствието с работен лист „E_Energy flows“ („E_Енергийни потоци“):</v>
      </c>
      <c r="F904" s="1258"/>
      <c r="G904" s="1259" t="s">
        <v>1053</v>
      </c>
      <c r="H904" s="16" t="str">
        <f>IF(AND(ISNUMBER(H903),ISNUMBER(E_EnergyFlows!H$141)), H903/E_EnergyFlows!H$141*100,"")</f>
        <v/>
      </c>
      <c r="I904" s="105" t="str">
        <f>IF(AND(ISNUMBER(I903),ISNUMBER(E_EnergyFlows!I$141)), I903/E_EnergyFlows!I$141*100,"")</f>
        <v/>
      </c>
      <c r="J904" s="107" t="str">
        <f>IF(AND(ISNUMBER(J903),ISNUMBER(E_EnergyFlows!J$141)), J903/E_EnergyFlows!J$141*100,"")</f>
        <v/>
      </c>
      <c r="K904" s="16" t="str">
        <f>IF(AND(ISNUMBER(K903),ISNUMBER(E_EnergyFlows!K$141)), K903/E_EnergyFlows!K$141*100,"")</f>
        <v/>
      </c>
      <c r="L904" s="16" t="str">
        <f>IF(AND(ISNUMBER(L903),ISNUMBER(E_EnergyFlows!L$141)), L903/E_EnergyFlows!L$141*100,"")</f>
        <v/>
      </c>
      <c r="M904" s="16" t="str">
        <f>IF(AND(ISNUMBER(M903),ISNUMBER(E_EnergyFlows!M$141)), M903/E_EnergyFlows!M$141*100,"")</f>
        <v/>
      </c>
      <c r="N904" s="16" t="str">
        <f>IF(AND(ISNUMBER(N903),ISNUMBER(E_EnergyFlows!N$141)), N903/E_EnergyFlows!N$141*100,"")</f>
        <v/>
      </c>
      <c r="O904" s="302"/>
      <c r="P904" s="302"/>
      <c r="Q904" s="1033" t="str">
        <f>EUconst_CNTR_HEAT &amp; I856</f>
        <v>HEAT_</v>
      </c>
      <c r="R904" s="729"/>
      <c r="S904" s="694"/>
      <c r="T904" s="694"/>
      <c r="U904" s="729"/>
      <c r="V904" s="729"/>
      <c r="W904" s="694"/>
      <c r="X904" s="694"/>
      <c r="Y904" s="694"/>
      <c r="Z904" s="694"/>
      <c r="AA904" s="694"/>
      <c r="AB904" s="694"/>
      <c r="AC904" s="694"/>
      <c r="AD904" s="694"/>
      <c r="AE904" s="694"/>
      <c r="AF904" s="694"/>
      <c r="AG904" s="694"/>
      <c r="AH904" s="694"/>
      <c r="AI904" s="694"/>
      <c r="AJ904" s="694"/>
      <c r="AK904" s="694"/>
      <c r="AL904" s="694"/>
    </row>
    <row r="905" spans="1:38" ht="12.65" customHeight="1" x14ac:dyDescent="0.25">
      <c r="A905" s="694"/>
      <c r="B905" s="698"/>
      <c r="C905" s="698"/>
      <c r="D905" s="1084" t="s">
        <v>8</v>
      </c>
      <c r="E905" s="1260" t="str">
        <f>Translations!$B$494</f>
        <v>Проверка на съответствието с k).i):</v>
      </c>
      <c r="F905" s="1261"/>
      <c r="G905" s="1262" t="s">
        <v>1053</v>
      </c>
      <c r="H905" s="15" t="str">
        <f t="shared" ref="H905:N905" si="1085">IF(AND(H1028&gt;0,ISNUMBER(H903)), H903/H1028*100,"")</f>
        <v/>
      </c>
      <c r="I905" s="106" t="str">
        <f t="shared" si="1085"/>
        <v/>
      </c>
      <c r="J905" s="108" t="str">
        <f t="shared" si="1085"/>
        <v/>
      </c>
      <c r="K905" s="15" t="str">
        <f t="shared" si="1085"/>
        <v/>
      </c>
      <c r="L905" s="15" t="str">
        <f t="shared" si="1085"/>
        <v/>
      </c>
      <c r="M905" s="15" t="str">
        <f t="shared" si="1085"/>
        <v/>
      </c>
      <c r="N905" s="15" t="str">
        <f t="shared" si="1085"/>
        <v/>
      </c>
      <c r="O905" s="302"/>
      <c r="P905" s="302"/>
      <c r="Q905" s="694"/>
      <c r="R905" s="694"/>
      <c r="S905" s="694"/>
      <c r="T905" s="694"/>
      <c r="U905" s="729"/>
      <c r="V905" s="729"/>
      <c r="W905" s="694"/>
      <c r="X905" s="694"/>
      <c r="Y905" s="694"/>
      <c r="Z905" s="694"/>
      <c r="AA905" s="694"/>
      <c r="AB905" s="694"/>
      <c r="AC905" s="694"/>
      <c r="AD905" s="694"/>
      <c r="AE905" s="694"/>
      <c r="AF905" s="694"/>
      <c r="AG905" s="694"/>
      <c r="AH905" s="694"/>
      <c r="AI905" s="694"/>
      <c r="AJ905" s="694"/>
      <c r="AK905" s="694"/>
      <c r="AL905" s="694"/>
    </row>
    <row r="906" spans="1:38" ht="5.15" customHeight="1" x14ac:dyDescent="0.25">
      <c r="A906" s="694"/>
      <c r="B906" s="698"/>
      <c r="C906" s="698"/>
      <c r="D906" s="698"/>
      <c r="E906" s="698"/>
      <c r="F906" s="698"/>
      <c r="G906" s="698"/>
      <c r="H906" s="698"/>
      <c r="I906" s="1025"/>
      <c r="J906" s="698"/>
      <c r="K906" s="698"/>
      <c r="L906" s="698"/>
      <c r="M906" s="698"/>
      <c r="N906" s="698"/>
      <c r="O906" s="302"/>
      <c r="P906" s="302"/>
      <c r="Q906" s="1263"/>
      <c r="R906" s="694"/>
      <c r="S906" s="694"/>
      <c r="T906" s="694"/>
      <c r="U906" s="729"/>
      <c r="V906" s="729"/>
      <c r="W906" s="694"/>
      <c r="X906" s="694"/>
      <c r="Y906" s="694"/>
      <c r="Z906" s="694"/>
      <c r="AA906" s="694"/>
      <c r="AB906" s="694"/>
      <c r="AC906" s="694"/>
      <c r="AD906" s="694"/>
      <c r="AE906" s="694"/>
      <c r="AF906" s="694"/>
      <c r="AG906" s="694"/>
      <c r="AH906" s="694"/>
      <c r="AI906" s="694"/>
      <c r="AJ906" s="694"/>
      <c r="AK906" s="694"/>
      <c r="AL906" s="694"/>
    </row>
    <row r="907" spans="1:38" ht="25.5" customHeight="1" thickBot="1" x14ac:dyDescent="0.3">
      <c r="A907" s="694"/>
      <c r="B907" s="298"/>
      <c r="C907" s="298"/>
      <c r="D907" s="302"/>
      <c r="E907" s="2358" t="str">
        <f>Translations!$B$1326</f>
        <v>На базата на данните по-горе тук се определят средните годишни стойности на стойностите от i. Разпределението ще бъде променено само ако са надвишени относителният праг (15 % в сравнение със стойността в НМИ) и абсолютният праг (промяната води до корекция с повече от 100 квоти), определени в член 6, параграф 4 от Регламента за ALC.</v>
      </c>
      <c r="F907" s="2249"/>
      <c r="G907" s="2249"/>
      <c r="H907" s="2249"/>
      <c r="I907" s="2249"/>
      <c r="J907" s="2249"/>
      <c r="K907" s="2249"/>
      <c r="L907" s="2249"/>
      <c r="M907" s="2249"/>
      <c r="N907" s="2249"/>
      <c r="O907" s="302"/>
      <c r="P907" s="302"/>
      <c r="Q907" s="729"/>
      <c r="R907" s="694"/>
      <c r="S907" s="729"/>
      <c r="T907" s="729"/>
      <c r="U907" s="729"/>
      <c r="V907" s="694"/>
      <c r="W907" s="694"/>
      <c r="X907" s="694"/>
      <c r="Y907" s="694"/>
      <c r="Z907" s="694"/>
      <c r="AA907" s="694"/>
      <c r="AB907" s="694"/>
      <c r="AC907" s="694"/>
      <c r="AD907" s="694"/>
      <c r="AE907" s="694"/>
      <c r="AF907" s="694"/>
      <c r="AG907" s="694"/>
      <c r="AH907" s="694"/>
      <c r="AI907" s="694"/>
      <c r="AJ907" s="694"/>
      <c r="AK907" s="694"/>
      <c r="AL907" s="694"/>
    </row>
    <row r="908" spans="1:38" ht="5.15" customHeight="1" thickBot="1" x14ac:dyDescent="0.3">
      <c r="A908" s="694"/>
      <c r="B908" s="298"/>
      <c r="C908" s="298"/>
      <c r="D908" s="1192"/>
      <c r="E908" s="1194"/>
      <c r="F908" s="1264"/>
      <c r="G908" s="1264"/>
      <c r="H908" s="1264"/>
      <c r="I908" s="1264"/>
      <c r="J908" s="1264"/>
      <c r="K908" s="1264"/>
      <c r="L908" s="1264"/>
      <c r="M908" s="1264"/>
      <c r="N908" s="1265"/>
      <c r="O908" s="302"/>
      <c r="P908" s="302"/>
      <c r="Q908" s="729"/>
      <c r="R908" s="694"/>
      <c r="S908" s="729"/>
      <c r="T908" s="729"/>
      <c r="U908" s="729"/>
      <c r="V908" s="694"/>
      <c r="W908" s="694"/>
      <c r="X908" s="694"/>
      <c r="Y908" s="694"/>
      <c r="Z908" s="694"/>
      <c r="AA908" s="694"/>
      <c r="AB908" s="694"/>
      <c r="AC908" s="694"/>
      <c r="AD908" s="694"/>
      <c r="AE908" s="694"/>
      <c r="AF908" s="694"/>
      <c r="AG908" s="694"/>
      <c r="AH908" s="694"/>
      <c r="AI908" s="694"/>
      <c r="AJ908" s="694"/>
      <c r="AK908" s="694"/>
      <c r="AL908" s="694"/>
    </row>
    <row r="909" spans="1:38" ht="12.75" customHeight="1" x14ac:dyDescent="0.25">
      <c r="A909" s="694"/>
      <c r="B909" s="298"/>
      <c r="C909" s="298"/>
      <c r="D909" s="1197" t="s">
        <v>2003</v>
      </c>
      <c r="E909" s="1198" t="str">
        <f>Translations!$B$1329</f>
        <v>Корекции: Топлинна енергия извън СТЕ</v>
      </c>
      <c r="F909" s="1199"/>
      <c r="G909" s="1199"/>
      <c r="H909" s="1200" t="str">
        <f>EUconst_Unit</f>
        <v>Единица мярка</v>
      </c>
      <c r="I909" s="1201" t="str">
        <f>Translations!$B$1327</f>
        <v>(НМИ) стойност</v>
      </c>
      <c r="J909" s="1202">
        <f>J$2831</f>
        <v>2026</v>
      </c>
      <c r="K909" s="1203">
        <f>K$2831</f>
        <v>2027</v>
      </c>
      <c r="L909" s="1203">
        <f>L$2831</f>
        <v>2028</v>
      </c>
      <c r="M909" s="1203">
        <f>M$2831</f>
        <v>2029</v>
      </c>
      <c r="N909" s="1204">
        <f>N$2831</f>
        <v>2030</v>
      </c>
      <c r="O909" s="302"/>
      <c r="P909" s="302"/>
      <c r="Q909" s="729"/>
      <c r="R909" s="694"/>
      <c r="S909" s="694"/>
      <c r="T909" s="694"/>
      <c r="U909" s="1205"/>
      <c r="V909" s="1206">
        <f>J909</f>
        <v>2026</v>
      </c>
      <c r="W909" s="1206">
        <f>K909</f>
        <v>2027</v>
      </c>
      <c r="X909" s="1206">
        <f>L909</f>
        <v>2028</v>
      </c>
      <c r="Y909" s="1206">
        <f>M909</f>
        <v>2029</v>
      </c>
      <c r="Z909" s="1207">
        <f>N909</f>
        <v>2030</v>
      </c>
      <c r="AA909" s="694"/>
      <c r="AB909" s="694"/>
      <c r="AC909" s="694"/>
      <c r="AD909" s="694"/>
      <c r="AE909" s="694"/>
      <c r="AF909" s="694"/>
      <c r="AG909" s="694"/>
      <c r="AH909" s="694"/>
      <c r="AI909" s="694"/>
      <c r="AJ909" s="694"/>
      <c r="AK909" s="694"/>
      <c r="AL909" s="694"/>
    </row>
    <row r="910" spans="1:38" ht="12.75" customHeight="1" x14ac:dyDescent="0.25">
      <c r="A910" s="694"/>
      <c r="B910" s="298"/>
      <c r="C910" s="298"/>
      <c r="D910" s="1208" t="s">
        <v>6</v>
      </c>
      <c r="E910" s="1209" t="str">
        <f>Translations!$B$1328</f>
        <v>Средна годишна стойност</v>
      </c>
      <c r="F910" s="1209"/>
      <c r="G910" s="1209"/>
      <c r="H910" s="1266" t="str">
        <f>EUconst_tCO2</f>
        <v>t CO2</v>
      </c>
      <c r="I910" s="1211" t="str">
        <f>INDEX('B+C_SubInstallations'!$J:$J,MATCH(Q910,'B+C_SubInstallations'!$U:$U,0))</f>
        <v/>
      </c>
      <c r="J910" s="1267" t="str">
        <f>IF(AND(V910&gt;=3,CNTR_ReportingYear&gt;J909-1),AVERAGE(SUM(T903),SUM(U903)),"")</f>
        <v/>
      </c>
      <c r="K910" s="1268" t="str">
        <f>IF(AND(W910&gt;=3,CNTR_ReportingYear&gt;K909-1),AVERAGE(SUM(U903),SUM(V903)),"")</f>
        <v/>
      </c>
      <c r="L910" s="1268" t="str">
        <f>IF(AND(X910&gt;=3,CNTR_ReportingYear&gt;L909-1),AVERAGE(SUM(V903),SUM(W903)),"")</f>
        <v/>
      </c>
      <c r="M910" s="1268" t="str">
        <f>IF(AND(Y910&gt;=3,CNTR_ReportingYear&gt;M909-1),AVERAGE(SUM(W903),SUM(X903)),"")</f>
        <v/>
      </c>
      <c r="N910" s="1269" t="str">
        <f>IF(AND(Z910&gt;=3,CNTR_ReportingYear&gt;N909-1),AVERAGE(SUM(X903),SUM(Y903)),"")</f>
        <v/>
      </c>
      <c r="O910" s="302"/>
      <c r="P910" s="302"/>
      <c r="Q910" s="1270" t="str">
        <f>EUconst_CNTR_HEATInitial &amp; I856</f>
        <v>HEATIni_</v>
      </c>
      <c r="R910" s="694"/>
      <c r="S910" s="694"/>
      <c r="T910" s="694"/>
      <c r="U910" s="1231" t="s">
        <v>1710</v>
      </c>
      <c r="V910" s="1176">
        <f>V878</f>
        <v>0</v>
      </c>
      <c r="W910" s="1176">
        <f>W878</f>
        <v>0</v>
      </c>
      <c r="X910" s="1176">
        <f>X878</f>
        <v>0</v>
      </c>
      <c r="Y910" s="1176">
        <f>Y878</f>
        <v>0</v>
      </c>
      <c r="Z910" s="1216">
        <f>Z878</f>
        <v>0</v>
      </c>
      <c r="AA910" s="694"/>
      <c r="AB910" s="694"/>
      <c r="AC910" s="694"/>
      <c r="AD910" s="694"/>
      <c r="AE910" s="694"/>
      <c r="AF910" s="694"/>
      <c r="AG910" s="694"/>
      <c r="AH910" s="694"/>
      <c r="AI910" s="694"/>
      <c r="AJ910" s="694"/>
      <c r="AK910" s="694"/>
      <c r="AL910" s="694"/>
    </row>
    <row r="911" spans="1:38" ht="12.75" hidden="1" customHeight="1" x14ac:dyDescent="0.25">
      <c r="A911" s="729" t="s">
        <v>312</v>
      </c>
      <c r="B911" s="298"/>
      <c r="C911" s="298"/>
      <c r="D911" s="1208"/>
      <c r="E911" s="1209" t="str">
        <f>Translations!$B$1378</f>
        <v>Промяна в сравнение със стойността в НМИ</v>
      </c>
      <c r="F911" s="1209"/>
      <c r="G911" s="1209"/>
      <c r="H911" s="1222"/>
      <c r="I911" s="1223"/>
      <c r="J911" s="104" t="str">
        <f>IF(J910="","",IF($I913=0,IF(J910=0,0%,100%),J910/$I913-1))</f>
        <v/>
      </c>
      <c r="K911" s="99" t="str">
        <f>IF(K910="","",IF($I913=0,IF(K910=0,0%,100%),K910/$I913-1))</f>
        <v/>
      </c>
      <c r="L911" s="99" t="str">
        <f>IF(L910="","",IF($I913=0,IF(L910=0,0%,100%),L910/$I913-1))</f>
        <v/>
      </c>
      <c r="M911" s="99" t="str">
        <f>IF(M910="","",IF($I913=0,IF(M910=0,0%,100%),M910/$I913-1))</f>
        <v/>
      </c>
      <c r="N911" s="123" t="str">
        <f>IF(N910="","",IF($I913=0,IF(N910=0,0%,100%),N910/$I913-1))</f>
        <v/>
      </c>
      <c r="O911" s="302"/>
      <c r="P911" s="302"/>
      <c r="Q911" s="1190" t="str">
        <f>EUconst_CNTR_RelThreshold &amp; Q913</f>
        <v>RelThresh_HEATprelim_</v>
      </c>
      <c r="R911" s="694"/>
      <c r="S911" s="694"/>
      <c r="T911" s="694"/>
      <c r="U911" s="1231" t="s">
        <v>1715</v>
      </c>
      <c r="V911" s="727" t="str">
        <f>IF(J910="","",ABS(J911)&gt;15%)</f>
        <v/>
      </c>
      <c r="W911" s="727" t="str">
        <f>IF(K910="","",ABS(K911)&gt;15%)</f>
        <v/>
      </c>
      <c r="X911" s="727" t="str">
        <f>IF(L910="","",ABS(L911)&gt;15%)</f>
        <v/>
      </c>
      <c r="Y911" s="727" t="str">
        <f>IF(M910="","",ABS(M911)&gt;15%)</f>
        <v/>
      </c>
      <c r="Z911" s="1221" t="str">
        <f>IF(N910="","",ABS(N911)&gt;15%)</f>
        <v/>
      </c>
      <c r="AA911" s="694"/>
      <c r="AB911" s="694"/>
      <c r="AC911" s="694"/>
      <c r="AD911" s="694"/>
      <c r="AE911" s="694"/>
      <c r="AF911" s="694"/>
      <c r="AG911" s="694"/>
      <c r="AH911" s="694"/>
      <c r="AI911" s="694"/>
      <c r="AJ911" s="694"/>
      <c r="AK911" s="694"/>
      <c r="AL911" s="694"/>
    </row>
    <row r="912" spans="1:38" ht="12.75" customHeight="1" x14ac:dyDescent="0.25">
      <c r="A912" s="729"/>
      <c r="B912" s="298"/>
      <c r="C912" s="298"/>
      <c r="D912" s="1208" t="s">
        <v>7</v>
      </c>
      <c r="E912" s="1209" t="str">
        <f>Translations!$B$1322</f>
        <v>Предварителна корекция (ако са надвишени относителните прагове)</v>
      </c>
      <c r="F912" s="1209"/>
      <c r="G912" s="1209"/>
      <c r="H912" s="1222"/>
      <c r="I912" s="1223"/>
      <c r="J912" s="1224" t="str">
        <f>IF(J910="","",IF(V911=FALSE,0%,IF(V912,J911,I918)))</f>
        <v/>
      </c>
      <c r="K912" s="1225" t="str">
        <f>IF(K910="","",IF(W911=FALSE,0%,IF(W912,K911,J918)))</f>
        <v/>
      </c>
      <c r="L912" s="1225" t="str">
        <f>IF(L910="","",IF(X911=FALSE,0%,IF(X912,L911,K918)))</f>
        <v/>
      </c>
      <c r="M912" s="1225" t="str">
        <f>IF(M910="","",IF(Y911=FALSE,0%,IF(Y912,M911,L918)))</f>
        <v/>
      </c>
      <c r="N912" s="1226" t="str">
        <f>IF(N910="","",IF(Z911=FALSE,0%,IF(Z912,N911,M918)))</f>
        <v/>
      </c>
      <c r="O912" s="302"/>
      <c r="P912" s="302"/>
      <c r="Q912" s="729"/>
      <c r="R912" s="694"/>
      <c r="S912" s="694"/>
      <c r="T912" s="694"/>
      <c r="U912" s="1215" t="s">
        <v>1716</v>
      </c>
      <c r="V912" s="727" t="str">
        <f>IF(J910="","",AND(V911,IF(SUM(I918)&lt;0,OR(SUM(J911)&lt;SUM(I918)-MOD(SUM(I918),5%),J911&gt;=SUM(I918)+5%-MOD(SUM(I918),5%)),OR(SUM(J911)&lt;=SUM(I918)-MOD(SUM(I918),5%),SUM(J911)&gt;SUM(I918)+5%-MOD(SUM(I918),5%)))))</f>
        <v/>
      </c>
      <c r="W912" s="727" t="str">
        <f>IF(K910="","",AND(W911,IF(SUM(J918)&lt;0,OR(SUM(K911)&lt;SUM(J918)-MOD(SUM(J918),5%),K911&gt;=SUM(J918)+5%-MOD(SUM(J918),5%)),OR(SUM(K911)&lt;=SUM(J918)-MOD(SUM(J918),5%),SUM(K911)&gt;SUM(J918)+5%-MOD(SUM(J918),5%)))))</f>
        <v/>
      </c>
      <c r="X912" s="727" t="str">
        <f>IF(L910="","",AND(X911,IF(SUM(K918)&lt;0,OR(SUM(L911)&lt;SUM(K918)-MOD(SUM(K918),5%),L911&gt;=SUM(K918)+5%-MOD(SUM(K918),5%)),OR(SUM(L911)&lt;=SUM(K918)-MOD(SUM(K918),5%),SUM(L911)&gt;SUM(K918)+5%-MOD(SUM(K918),5%)))))</f>
        <v/>
      </c>
      <c r="Y912" s="727" t="str">
        <f>IF(M910="","",AND(Y911,IF(SUM(L918)&lt;0,OR(SUM(M911)&lt;SUM(L918)-MOD(SUM(L918),5%),M911&gt;=SUM(L918)+5%-MOD(SUM(L918),5%)),OR(SUM(M911)&lt;=SUM(L918)-MOD(SUM(L918),5%),SUM(M911)&gt;SUM(L918)+5%-MOD(SUM(L918),5%)))))</f>
        <v/>
      </c>
      <c r="Z912" s="1221" t="str">
        <f>IF(N910="","",AND(Z911,IF(SUM(M918)&lt;0,OR(SUM(N911)&lt;SUM(M918)-MOD(SUM(M918),5%),N911&gt;=SUM(M918)+5%-MOD(SUM(M918),5%)),OR(SUM(N911)&lt;=SUM(M918)-MOD(SUM(M918),5%),SUM(N911)&gt;SUM(M918)+5%-MOD(SUM(M918),5%)))))</f>
        <v/>
      </c>
      <c r="AA912" s="694"/>
      <c r="AB912" s="694"/>
      <c r="AC912" s="694"/>
      <c r="AD912" s="694"/>
      <c r="AE912" s="694"/>
      <c r="AF912" s="694"/>
      <c r="AG912" s="694"/>
      <c r="AH912" s="694"/>
      <c r="AI912" s="694"/>
      <c r="AJ912" s="694"/>
      <c r="AK912" s="694"/>
      <c r="AL912" s="729"/>
    </row>
    <row r="913" spans="1:38" ht="12.75" hidden="1" customHeight="1" x14ac:dyDescent="0.25">
      <c r="A913" s="729" t="s">
        <v>312</v>
      </c>
      <c r="B913" s="298"/>
      <c r="C913" s="298"/>
      <c r="D913" s="1208"/>
      <c r="E913" s="1209" t="str">
        <f>Translations!$B$1377</f>
        <v>Предварителна стойност</v>
      </c>
      <c r="F913" s="1209"/>
      <c r="G913" s="1209"/>
      <c r="H913" s="1266" t="str">
        <f>H910</f>
        <v>t CO2</v>
      </c>
      <c r="I913" s="1211" t="str">
        <f>IF($I856="","",IF(AB856=FALSE,EUconst_NA,IF(V856&gt;($J$2831-3),SUM(INDEX(H903:N903,MATCH(V856,H902:N902,0))*EUconst_HeatBMvalue),SUM(I910))))</f>
        <v/>
      </c>
      <c r="J913" s="1212" t="str">
        <f>IF($I856="","",IF(V910&lt;2,SUM(V903),IF(V910&lt;3,SUM(U903),IF(V913="",I913,V913))))</f>
        <v/>
      </c>
      <c r="K913" s="1213" t="str">
        <f>IF($I856="","",IF(W910&lt;2,SUM(W903),IF(W910&lt;3,SUM(V903),IF(W913="",J913,W913))))</f>
        <v/>
      </c>
      <c r="L913" s="1213" t="str">
        <f>IF($I856="","",IF(X910&lt;2,SUM(X903),IF(X910&lt;3,SUM(W903),IF(X913="",K913,X913))))</f>
        <v/>
      </c>
      <c r="M913" s="1213" t="str">
        <f>IF($I856="","",IF(Y910&lt;2,SUM(Y903),IF(Y910&lt;3,SUM(X903),IF(Y913="",L913,Y913))))</f>
        <v/>
      </c>
      <c r="N913" s="1214" t="str">
        <f>IF($I856="","",IF(Z910&lt;2,SUM(Z903),IF(Z910&lt;3,SUM(Y903),IF(Z913="",M913,Z913))))</f>
        <v/>
      </c>
      <c r="O913" s="302"/>
      <c r="P913" s="302"/>
      <c r="Q913" s="1190" t="str">
        <f>EUconst_CNTR_HEATprelim &amp; I856</f>
        <v>HEATprelim_</v>
      </c>
      <c r="R913" s="694"/>
      <c r="S913" s="694"/>
      <c r="T913" s="694"/>
      <c r="U913" s="1231" t="s">
        <v>1756</v>
      </c>
      <c r="V913" s="1271" t="str">
        <f>IF(J910="","",IF(CNTR_ReportingYear&lt;J909,I912,IF($I913=0,J910,$I913*(1+J912))))</f>
        <v/>
      </c>
      <c r="W913" s="1271" t="str">
        <f>IF(K910="","",IF(CNTR_ReportingYear&lt;K909,J912,IF($I913=0,K910,$I913*(1+K912))))</f>
        <v/>
      </c>
      <c r="X913" s="1271" t="str">
        <f>IF(L910="","",IF(CNTR_ReportingYear&lt;L909,K912,IF($I913=0,L910,$I913*(1+L912))))</f>
        <v/>
      </c>
      <c r="Y913" s="1271" t="str">
        <f>IF(M910="","",IF(CNTR_ReportingYear&lt;M909,L912,IF($I913=0,M910,$I913*(1+M912))))</f>
        <v/>
      </c>
      <c r="Z913" s="1272" t="str">
        <f>IF(N910="","",IF(CNTR_ReportingYear&lt;N909,M912,IF($I913=0,N910,$I913*(1+N912))))</f>
        <v/>
      </c>
      <c r="AA913" s="694"/>
      <c r="AB913" s="694"/>
      <c r="AC913" s="694"/>
      <c r="AD913" s="694"/>
      <c r="AE913" s="694"/>
      <c r="AF913" s="694"/>
      <c r="AG913" s="694"/>
      <c r="AH913" s="694"/>
      <c r="AI913" s="694"/>
      <c r="AJ913" s="694"/>
      <c r="AK913" s="694"/>
      <c r="AL913" s="729"/>
    </row>
    <row r="914" spans="1:38" ht="5.15" customHeight="1" x14ac:dyDescent="0.25">
      <c r="A914" s="729"/>
      <c r="B914" s="298"/>
      <c r="C914" s="298"/>
      <c r="D914" s="1208"/>
      <c r="E914" s="1199"/>
      <c r="F914" s="1199"/>
      <c r="G914" s="1199"/>
      <c r="H914" s="1199"/>
      <c r="I914" s="1199"/>
      <c r="J914" s="1229"/>
      <c r="K914" s="1229"/>
      <c r="L914" s="1229"/>
      <c r="M914" s="1229"/>
      <c r="N914" s="1230"/>
      <c r="O914" s="302"/>
      <c r="P914" s="302"/>
      <c r="Q914" s="729"/>
      <c r="R914" s="694"/>
      <c r="S914" s="694"/>
      <c r="T914" s="694"/>
      <c r="U914" s="1231"/>
      <c r="V914" s="729"/>
      <c r="W914" s="694"/>
      <c r="X914" s="694"/>
      <c r="Y914" s="694"/>
      <c r="Z914" s="1232"/>
      <c r="AA914" s="694"/>
      <c r="AB914" s="694"/>
      <c r="AC914" s="694"/>
      <c r="AD914" s="694"/>
      <c r="AE914" s="694"/>
      <c r="AF914" s="694"/>
      <c r="AG914" s="694"/>
      <c r="AH914" s="694"/>
      <c r="AI914" s="694"/>
      <c r="AJ914" s="694"/>
      <c r="AK914" s="694"/>
      <c r="AL914" s="729"/>
    </row>
    <row r="915" spans="1:38" ht="12.75" customHeight="1" x14ac:dyDescent="0.25">
      <c r="A915" s="729"/>
      <c r="B915" s="298"/>
      <c r="C915" s="298"/>
      <c r="D915" s="1208"/>
      <c r="E915" s="1233" t="str">
        <f>Translations!$B$1323</f>
        <v>Действителна корекция (база за следващи години)</v>
      </c>
      <c r="F915" s="1233"/>
      <c r="G915" s="1233"/>
      <c r="H915" s="1233"/>
      <c r="I915" s="1233"/>
      <c r="J915" s="1202">
        <f>J$2831</f>
        <v>2026</v>
      </c>
      <c r="K915" s="1203">
        <f>K$2831</f>
        <v>2027</v>
      </c>
      <c r="L915" s="1203">
        <f>L$2831</f>
        <v>2028</v>
      </c>
      <c r="M915" s="1203">
        <f>M$2831</f>
        <v>2029</v>
      </c>
      <c r="N915" s="1204">
        <f>N$2831</f>
        <v>2030</v>
      </c>
      <c r="O915" s="302"/>
      <c r="P915" s="302"/>
      <c r="Q915" s="729"/>
      <c r="R915" s="694"/>
      <c r="S915" s="694"/>
      <c r="T915" s="694"/>
      <c r="U915" s="1234"/>
      <c r="V915" s="694"/>
      <c r="W915" s="694"/>
      <c r="X915" s="694"/>
      <c r="Y915" s="694"/>
      <c r="Z915" s="1232"/>
      <c r="AA915" s="694"/>
      <c r="AB915" s="694"/>
      <c r="AC915" s="694"/>
      <c r="AD915" s="694"/>
      <c r="AE915" s="694"/>
      <c r="AF915" s="694"/>
      <c r="AG915" s="694"/>
      <c r="AH915" s="694"/>
      <c r="AI915" s="694"/>
      <c r="AJ915" s="694"/>
      <c r="AK915" s="694"/>
      <c r="AL915" s="729"/>
    </row>
    <row r="916" spans="1:38" ht="12.75" customHeight="1" x14ac:dyDescent="0.25">
      <c r="A916" s="729"/>
      <c r="B916" s="298"/>
      <c r="C916" s="298"/>
      <c r="D916" s="1208" t="s">
        <v>8</v>
      </c>
      <c r="E916" s="1209" t="str">
        <f>Translations!$B$1515</f>
        <v>изпълнен ли е критерият за &gt;=300 квоти за емисии?</v>
      </c>
      <c r="F916" s="1209"/>
      <c r="G916" s="1209"/>
      <c r="H916" s="1209"/>
      <c r="I916" s="1209"/>
      <c r="J916" s="1236" t="str">
        <f>IF($I856="","",INDEX(K_Summary!J:J,MATCH($Q916,K_Summary!$P:$P,0)))</f>
        <v/>
      </c>
      <c r="K916" s="385" t="str">
        <f>IF($I856="","",INDEX(K_Summary!K:K,MATCH($Q916,K_Summary!$P:$P,0)))</f>
        <v/>
      </c>
      <c r="L916" s="385" t="str">
        <f>IF($I856="","",INDEX(K_Summary!L:L,MATCH($Q916,K_Summary!$P:$P,0)))</f>
        <v/>
      </c>
      <c r="M916" s="385" t="str">
        <f>IF($I856="","",INDEX(K_Summary!M:M,MATCH($Q916,K_Summary!$P:$P,0)))</f>
        <v/>
      </c>
      <c r="N916" s="1237" t="str">
        <f>IF($I856="","",INDEX(K_Summary!N:N,MATCH($Q916,K_Summary!$P:$P,0)))</f>
        <v/>
      </c>
      <c r="O916" s="302"/>
      <c r="P916" s="302"/>
      <c r="Q916" s="1182" t="str">
        <f>EUconst_CNTR_300EUA&amp;I856</f>
        <v>EUA300_</v>
      </c>
      <c r="R916" s="694"/>
      <c r="S916" s="694"/>
      <c r="T916" s="694"/>
      <c r="U916" s="1234"/>
      <c r="V916" s="694"/>
      <c r="W916" s="694"/>
      <c r="X916" s="694"/>
      <c r="Y916" s="694"/>
      <c r="Z916" s="1232"/>
      <c r="AA916" s="694"/>
      <c r="AB916" s="694"/>
      <c r="AC916" s="694"/>
      <c r="AD916" s="694"/>
      <c r="AE916" s="694"/>
      <c r="AF916" s="694"/>
      <c r="AG916" s="694"/>
      <c r="AH916" s="694"/>
      <c r="AI916" s="694"/>
      <c r="AJ916" s="694"/>
      <c r="AK916" s="694"/>
      <c r="AL916" s="729"/>
    </row>
    <row r="917" spans="1:38" ht="5.15" customHeight="1" thickBot="1" x14ac:dyDescent="0.3">
      <c r="A917" s="729"/>
      <c r="B917" s="298"/>
      <c r="C917" s="298"/>
      <c r="D917" s="1208"/>
      <c r="E917" s="1199"/>
      <c r="F917" s="1199"/>
      <c r="G917" s="1199"/>
      <c r="H917" s="1199"/>
      <c r="I917" s="1199"/>
      <c r="J917" s="1199"/>
      <c r="K917" s="1199"/>
      <c r="L917" s="1199"/>
      <c r="M917" s="1199"/>
      <c r="N917" s="1238"/>
      <c r="O917" s="302"/>
      <c r="P917" s="302"/>
      <c r="Q917" s="729"/>
      <c r="R917" s="694"/>
      <c r="S917" s="694"/>
      <c r="T917" s="694"/>
      <c r="U917" s="1231"/>
      <c r="V917" s="729"/>
      <c r="W917" s="694"/>
      <c r="X917" s="694"/>
      <c r="Y917" s="694"/>
      <c r="Z917" s="1232"/>
      <c r="AA917" s="694"/>
      <c r="AB917" s="694"/>
      <c r="AC917" s="694"/>
      <c r="AD917" s="694"/>
      <c r="AE917" s="694"/>
      <c r="AF917" s="694"/>
      <c r="AG917" s="694"/>
      <c r="AH917" s="694"/>
      <c r="AI917" s="694"/>
      <c r="AJ917" s="694"/>
      <c r="AK917" s="694"/>
      <c r="AL917" s="729"/>
    </row>
    <row r="918" spans="1:38" ht="12.75" customHeight="1" thickBot="1" x14ac:dyDescent="0.3">
      <c r="A918" s="694"/>
      <c r="B918" s="298"/>
      <c r="C918" s="298"/>
      <c r="D918" s="1208" t="s">
        <v>18</v>
      </c>
      <c r="E918" s="1209" t="str">
        <f>Translations!$B$1324</f>
        <v>Действителна корекция (ако са надвишени всички прагове)</v>
      </c>
      <c r="F918" s="1209"/>
      <c r="G918" s="1209"/>
      <c r="H918" s="1222"/>
      <c r="I918" s="1239"/>
      <c r="J918" s="1240" t="str">
        <f>IF(J916="","",IF(OR(J916,V910&lt;1),J912,I918))</f>
        <v/>
      </c>
      <c r="K918" s="1241" t="str">
        <f>IF(K916="","",IF(OR(K916,W910&lt;1),K912,J918))</f>
        <v/>
      </c>
      <c r="L918" s="1241" t="str">
        <f>IF(L916="","",IF(OR(L916,X910&lt;1),L912,K918))</f>
        <v/>
      </c>
      <c r="M918" s="1241" t="str">
        <f>IF(M916="","",IF(OR(M916,Y910&lt;1),M912,L918))</f>
        <v/>
      </c>
      <c r="N918" s="1242" t="str">
        <f>IF(N916="","",IF(OR(N916,Z910&lt;1),N912,M918))</f>
        <v/>
      </c>
      <c r="O918" s="302"/>
      <c r="P918" s="302"/>
      <c r="Q918" s="729"/>
      <c r="R918" s="694"/>
      <c r="S918" s="694"/>
      <c r="T918" s="694"/>
      <c r="U918" s="1231" t="s">
        <v>1718</v>
      </c>
      <c r="V918" s="1243">
        <f>J915</f>
        <v>2026</v>
      </c>
      <c r="W918" s="1243">
        <f>K915</f>
        <v>2027</v>
      </c>
      <c r="X918" s="1243">
        <f>L915</f>
        <v>2028</v>
      </c>
      <c r="Y918" s="1243">
        <f>M915</f>
        <v>2029</v>
      </c>
      <c r="Z918" s="1244">
        <f>N915</f>
        <v>2030</v>
      </c>
      <c r="AA918" s="694"/>
      <c r="AB918" s="694"/>
      <c r="AC918" s="694"/>
      <c r="AD918" s="694"/>
      <c r="AE918" s="694"/>
      <c r="AF918" s="694"/>
      <c r="AG918" s="694"/>
      <c r="AH918" s="694"/>
      <c r="AI918" s="694"/>
      <c r="AJ918" s="694"/>
      <c r="AK918" s="694"/>
      <c r="AL918" s="729"/>
    </row>
    <row r="919" spans="1:38" ht="12.75" customHeight="1" thickBot="1" x14ac:dyDescent="0.3">
      <c r="A919" s="729"/>
      <c r="B919" s="298"/>
      <c r="C919" s="298"/>
      <c r="D919" s="1208" t="s">
        <v>810</v>
      </c>
      <c r="E919" s="1209" t="str">
        <f>Translations!$B$1325</f>
        <v>Действителна стойност</v>
      </c>
      <c r="F919" s="1209"/>
      <c r="G919" s="1209"/>
      <c r="H919" s="1266" t="str">
        <f>H910</f>
        <v>t CO2</v>
      </c>
      <c r="I919" s="1211" t="str">
        <f>I913</f>
        <v/>
      </c>
      <c r="J919" s="632" t="str">
        <f>IF($I856="","",IF(OR($I919=0,$I919=EUconst_NA,J918=""),IF(OR(J916=TRUE,J915&lt;=$V856),J913,SUM(I919)),$I919*(1+SUM(J918))))</f>
        <v/>
      </c>
      <c r="K919" s="633" t="str">
        <f>IF($I856="","",IF(OR($I919=0,$I919=EUconst_NA,K918=""),IF(OR(K916=TRUE,K915&lt;=$V856),K913,SUM(J919)),$I919*(1+SUM(K918))))</f>
        <v/>
      </c>
      <c r="L919" s="633" t="str">
        <f>IF($I856="","",IF(OR($I919=0,$I919=EUconst_NA,L918=""),IF(OR(L916=TRUE,L915&lt;=$V856),L913,SUM(K919)),$I919*(1+SUM(L918))))</f>
        <v/>
      </c>
      <c r="M919" s="633" t="str">
        <f>IF($I856="","",IF(OR($I919=0,$I919=EUconst_NA,M918=""),IF(OR(M916=TRUE,M915&lt;=$V856),M913,SUM(L919)),$I919*(1+SUM(M918))))</f>
        <v/>
      </c>
      <c r="N919" s="634" t="str">
        <f>IF($I856="","",IF(OR($I919=0,$I919=EUconst_NA,N918=""),IF(OR(N916=TRUE,N915&lt;=$V856),N913,SUM(M919)),$I919*(1+SUM(N918))))</f>
        <v/>
      </c>
      <c r="O919" s="302"/>
      <c r="P919" s="302"/>
      <c r="Q919" s="1190" t="str">
        <f>EUconst_CNTR_HEATfinal &amp; I856</f>
        <v>HEATfinal_</v>
      </c>
      <c r="R919" s="694"/>
      <c r="S919" s="694"/>
      <c r="T919" s="694"/>
      <c r="U919" s="1245" t="b">
        <v>0</v>
      </c>
      <c r="V919" s="1246" t="str">
        <f>IF(V864,IF(J916=TRUE,V911,U919),"")</f>
        <v/>
      </c>
      <c r="W919" s="1246" t="str">
        <f>IF(W864,IF(K916=TRUE,W911,V919),"")</f>
        <v/>
      </c>
      <c r="X919" s="1246" t="str">
        <f>IF(X864,IF(L916=TRUE,X911,W919),"")</f>
        <v/>
      </c>
      <c r="Y919" s="1246" t="str">
        <f>IF(Y864,IF(M916=TRUE,Y911,X919),"")</f>
        <v/>
      </c>
      <c r="Z919" s="1247" t="str">
        <f>IF(Z864,IF(N916=TRUE,Z911,Y919),"")</f>
        <v/>
      </c>
      <c r="AA919" s="694"/>
      <c r="AB919" s="694"/>
      <c r="AC919" s="694"/>
      <c r="AD919" s="694"/>
      <c r="AE919" s="694"/>
      <c r="AF919" s="694"/>
      <c r="AG919" s="694"/>
      <c r="AH919" s="694"/>
      <c r="AI919" s="694"/>
      <c r="AJ919" s="1174" t="s">
        <v>2033</v>
      </c>
      <c r="AK919" s="982" t="str">
        <f>IF(OR(ISERROR(J919),ISERROR(K919),ISERROR(L919),ISERROR(M919),ISERROR(N919)),EUconst_Error &amp; "BM" &amp; Q856,"")</f>
        <v/>
      </c>
      <c r="AL919" s="694"/>
    </row>
    <row r="920" spans="1:38" ht="5.15" customHeight="1" thickBot="1" x14ac:dyDescent="0.3">
      <c r="A920" s="694"/>
      <c r="B920" s="698"/>
      <c r="C920" s="698"/>
      <c r="D920" s="1273"/>
      <c r="E920" s="1274"/>
      <c r="F920" s="1274"/>
      <c r="G920" s="1274"/>
      <c r="H920" s="1274"/>
      <c r="I920" s="1275"/>
      <c r="J920" s="1274"/>
      <c r="K920" s="1274"/>
      <c r="L920" s="1274"/>
      <c r="M920" s="1274"/>
      <c r="N920" s="1276"/>
      <c r="O920" s="302"/>
      <c r="P920" s="302"/>
      <c r="Q920" s="1263"/>
      <c r="R920" s="694"/>
      <c r="S920" s="729"/>
      <c r="T920" s="729"/>
      <c r="U920" s="694"/>
      <c r="V920" s="694"/>
      <c r="W920" s="694"/>
      <c r="X920" s="694"/>
      <c r="Y920" s="694"/>
      <c r="Z920" s="694"/>
      <c r="AA920" s="694"/>
      <c r="AB920" s="694"/>
      <c r="AC920" s="694"/>
      <c r="AD920" s="694"/>
      <c r="AE920" s="694"/>
      <c r="AF920" s="694"/>
      <c r="AG920" s="694"/>
      <c r="AH920" s="694"/>
      <c r="AI920" s="694"/>
      <c r="AJ920" s="694"/>
      <c r="AK920" s="694"/>
      <c r="AL920" s="694"/>
    </row>
    <row r="921" spans="1:38" ht="5.15" customHeight="1" x14ac:dyDescent="0.25">
      <c r="A921" s="694"/>
      <c r="B921" s="698"/>
      <c r="C921" s="698"/>
      <c r="D921" s="698"/>
      <c r="E921" s="698"/>
      <c r="F921" s="698"/>
      <c r="G921" s="698"/>
      <c r="H921" s="698"/>
      <c r="I921" s="1025"/>
      <c r="J921" s="698"/>
      <c r="K921" s="698"/>
      <c r="L921" s="698"/>
      <c r="M921" s="698"/>
      <c r="N921" s="698"/>
      <c r="O921" s="302"/>
      <c r="P921" s="302"/>
      <c r="Q921" s="1263"/>
      <c r="R921" s="694"/>
      <c r="S921" s="729"/>
      <c r="T921" s="729"/>
      <c r="U921" s="694"/>
      <c r="V921" s="694"/>
      <c r="W921" s="694"/>
      <c r="X921" s="694"/>
      <c r="Y921" s="694"/>
      <c r="Z921" s="694"/>
      <c r="AA921" s="694"/>
      <c r="AB921" s="694"/>
      <c r="AC921" s="694"/>
      <c r="AD921" s="694"/>
      <c r="AE921" s="694"/>
      <c r="AF921" s="694"/>
      <c r="AG921" s="694"/>
      <c r="AH921" s="694"/>
      <c r="AI921" s="694"/>
      <c r="AJ921" s="694"/>
      <c r="AK921" s="694"/>
      <c r="AL921" s="694"/>
    </row>
    <row r="922" spans="1:38" ht="14" x14ac:dyDescent="0.25">
      <c r="A922" s="694"/>
      <c r="B922" s="698"/>
      <c r="C922" s="358"/>
      <c r="D922" s="2323" t="str">
        <f>Translations!$B$495</f>
        <v>Данни за производството</v>
      </c>
      <c r="E922" s="2249"/>
      <c r="F922" s="2249"/>
      <c r="G922" s="2249"/>
      <c r="H922" s="2249"/>
      <c r="I922" s="2249"/>
      <c r="J922" s="2249"/>
      <c r="K922" s="2249"/>
      <c r="L922" s="2249"/>
      <c r="M922" s="2249"/>
      <c r="N922" s="2249"/>
      <c r="O922" s="302"/>
      <c r="P922" s="302"/>
      <c r="Q922" s="694"/>
      <c r="R922" s="694"/>
      <c r="S922" s="729"/>
      <c r="T922" s="729"/>
      <c r="U922" s="694"/>
      <c r="V922" s="694"/>
      <c r="W922" s="694"/>
      <c r="X922" s="694"/>
      <c r="Y922" s="694"/>
      <c r="Z922" s="694"/>
      <c r="AA922" s="694"/>
      <c r="AB922" s="694"/>
      <c r="AC922" s="694"/>
      <c r="AD922" s="694"/>
      <c r="AE922" s="694"/>
      <c r="AF922" s="694"/>
      <c r="AG922" s="694"/>
      <c r="AH922" s="694"/>
      <c r="AI922" s="694"/>
      <c r="AJ922" s="694"/>
      <c r="AK922" s="694"/>
      <c r="AL922" s="694"/>
    </row>
    <row r="923" spans="1:38" ht="5.15" customHeight="1" x14ac:dyDescent="0.25">
      <c r="A923" s="694"/>
      <c r="B923" s="298"/>
      <c r="C923" s="298"/>
      <c r="D923" s="298"/>
      <c r="E923" s="298"/>
      <c r="F923" s="298"/>
      <c r="G923" s="298"/>
      <c r="H923" s="298"/>
      <c r="I923" s="298"/>
      <c r="J923" s="298"/>
      <c r="K923" s="298"/>
      <c r="L923" s="298"/>
      <c r="M923" s="298"/>
      <c r="N923" s="298"/>
      <c r="O923" s="302"/>
      <c r="P923" s="302"/>
      <c r="Q923" s="729"/>
      <c r="R923" s="729"/>
      <c r="S923" s="729"/>
      <c r="T923" s="729"/>
      <c r="U923" s="694"/>
      <c r="V923" s="694"/>
      <c r="W923" s="694"/>
      <c r="X923" s="694"/>
      <c r="Y923" s="694"/>
      <c r="Z923" s="694"/>
      <c r="AA923" s="694"/>
      <c r="AB923" s="694"/>
      <c r="AC923" s="694"/>
      <c r="AD923" s="694"/>
      <c r="AE923" s="694"/>
      <c r="AF923" s="694"/>
      <c r="AG923" s="694"/>
      <c r="AH923" s="694"/>
      <c r="AI923" s="694"/>
      <c r="AJ923" s="694"/>
      <c r="AK923" s="694"/>
      <c r="AL923" s="694"/>
    </row>
    <row r="924" spans="1:38" ht="13" x14ac:dyDescent="0.25">
      <c r="A924" s="694"/>
      <c r="B924" s="298"/>
      <c r="C924" s="300"/>
      <c r="D924" s="300" t="s">
        <v>54</v>
      </c>
      <c r="E924" s="2226" t="str">
        <f>Translations!$B$496</f>
        <v>Идентификация на продуктите, включени в тази подинсталация с продуктов показател</v>
      </c>
      <c r="F924" s="2249"/>
      <c r="G924" s="2249"/>
      <c r="H924" s="2249"/>
      <c r="I924" s="2249"/>
      <c r="J924" s="2249"/>
      <c r="K924" s="2249"/>
      <c r="L924" s="2249"/>
      <c r="M924" s="2249"/>
      <c r="N924" s="2249"/>
      <c r="O924" s="302"/>
      <c r="P924" s="302"/>
      <c r="Q924" s="729"/>
      <c r="R924" s="694"/>
      <c r="S924" s="729"/>
      <c r="T924" s="729"/>
      <c r="U924" s="694"/>
      <c r="V924" s="694"/>
      <c r="W924" s="694"/>
      <c r="X924" s="694"/>
      <c r="Y924" s="694"/>
      <c r="Z924" s="694"/>
      <c r="AA924" s="694"/>
      <c r="AB924" s="694"/>
      <c r="AC924" s="694"/>
      <c r="AD924" s="694"/>
      <c r="AE924" s="694"/>
      <c r="AF924" s="694"/>
      <c r="AG924" s="694"/>
      <c r="AH924" s="694"/>
      <c r="AI924" s="694"/>
      <c r="AJ924" s="694"/>
      <c r="AK924" s="694"/>
      <c r="AL924" s="694"/>
    </row>
    <row r="925" spans="1:38" ht="5.15" customHeight="1" x14ac:dyDescent="0.25">
      <c r="A925" s="694"/>
      <c r="B925" s="298"/>
      <c r="C925" s="302"/>
      <c r="D925" s="302"/>
      <c r="E925" s="2358" t="str">
        <f>Translations!$B$1518</f>
        <v xml:space="preserve"> </v>
      </c>
      <c r="F925" s="2249"/>
      <c r="G925" s="2249"/>
      <c r="H925" s="2249"/>
      <c r="I925" s="2249"/>
      <c r="J925" s="2249"/>
      <c r="K925" s="2249"/>
      <c r="L925" s="2249"/>
      <c r="M925" s="2249"/>
      <c r="N925" s="2249"/>
      <c r="O925" s="302"/>
      <c r="P925" s="302"/>
      <c r="Q925" s="729"/>
      <c r="R925" s="694"/>
      <c r="S925" s="729"/>
      <c r="T925" s="729"/>
      <c r="U925" s="694"/>
      <c r="V925" s="694"/>
      <c r="W925" s="694"/>
      <c r="X925" s="694"/>
      <c r="Y925" s="694"/>
      <c r="Z925" s="694"/>
      <c r="AA925" s="694"/>
      <c r="AB925" s="694"/>
      <c r="AC925" s="694"/>
      <c r="AD925" s="694"/>
      <c r="AE925" s="694"/>
      <c r="AF925" s="694"/>
      <c r="AG925" s="694"/>
      <c r="AH925" s="694"/>
      <c r="AI925" s="694"/>
      <c r="AJ925" s="694"/>
      <c r="AK925" s="694"/>
      <c r="AL925" s="694"/>
    </row>
    <row r="926" spans="1:38" ht="25.5" customHeight="1" x14ac:dyDescent="0.25">
      <c r="A926" s="694"/>
      <c r="B926" s="298"/>
      <c r="C926" s="302"/>
      <c r="D926" s="302"/>
      <c r="E926" s="2358" t="str">
        <f>Translations!$B$497</f>
        <v>Кодовете по Продком се въвеждат като низове във вида „nnnnnnnn“, т.е. без точки или други разделителни знаци между тях. Само когато липсва код по Продком, се посочва 4-цифрения код по статистическата класификация на икономическите дейности в Европейския съюз (NACE) във вида „nnnn“.</v>
      </c>
      <c r="F926" s="2249"/>
      <c r="G926" s="2249"/>
      <c r="H926" s="2249"/>
      <c r="I926" s="2249"/>
      <c r="J926" s="2249"/>
      <c r="K926" s="2249"/>
      <c r="L926" s="2249"/>
      <c r="M926" s="2249"/>
      <c r="N926" s="2249"/>
      <c r="O926" s="302"/>
      <c r="P926" s="302"/>
      <c r="Q926" s="729"/>
      <c r="R926" s="694"/>
      <c r="S926" s="729"/>
      <c r="T926" s="729"/>
      <c r="U926" s="694"/>
      <c r="V926" s="694"/>
      <c r="W926" s="694"/>
      <c r="X926" s="694"/>
      <c r="Y926" s="694"/>
      <c r="Z926" s="694"/>
      <c r="AA926" s="694"/>
      <c r="AB926" s="694"/>
      <c r="AC926" s="694"/>
      <c r="AD926" s="694"/>
      <c r="AE926" s="694"/>
      <c r="AF926" s="694"/>
      <c r="AG926" s="694"/>
      <c r="AH926" s="694"/>
      <c r="AI926" s="694"/>
      <c r="AJ926" s="694"/>
      <c r="AK926" s="694"/>
      <c r="AL926" s="694"/>
    </row>
    <row r="927" spans="1:38" x14ac:dyDescent="0.25">
      <c r="A927" s="694"/>
      <c r="B927" s="298"/>
      <c r="C927" s="302"/>
      <c r="D927" s="302"/>
      <c r="E927" s="2358" t="str">
        <f>Translations!$B$498</f>
        <v>Продком списъкът за 2010 г. може да се намери на адрес: http://ec.europa.eu/eurostat/ramon/nomenclatures/index.cfm?TargetUrl=LST_CLS_DLD&amp;StrNom=PRD_2010&amp;StrLanguageCode=EN&amp;StrLayoutCode=HIERARCHIChttp://ec.europa.eu/eurostat/ramon/nomenclatures/index.cfm?TargetUrl=LST_CLS_DLD&amp;StrNom=PRD_2010&amp;StrLanguageCode=EN&amp;StrLayoutCode=HIERARCHIC</v>
      </c>
      <c r="F927" s="2249"/>
      <c r="G927" s="2249"/>
      <c r="H927" s="2249"/>
      <c r="I927" s="2249"/>
      <c r="J927" s="2249"/>
      <c r="K927" s="2249"/>
      <c r="L927" s="2249"/>
      <c r="M927" s="2249"/>
      <c r="N927" s="2249"/>
      <c r="O927" s="302"/>
      <c r="P927" s="302"/>
      <c r="Q927" s="729"/>
      <c r="R927" s="694"/>
      <c r="S927" s="729"/>
      <c r="T927" s="729"/>
      <c r="U927" s="694"/>
      <c r="V927" s="694"/>
      <c r="W927" s="694"/>
      <c r="X927" s="694"/>
      <c r="Y927" s="694"/>
      <c r="Z927" s="694"/>
      <c r="AA927" s="694"/>
      <c r="AB927" s="694"/>
      <c r="AC927" s="694"/>
      <c r="AD927" s="694"/>
      <c r="AE927" s="694"/>
      <c r="AF927" s="694"/>
      <c r="AG927" s="694"/>
      <c r="AH927" s="694"/>
      <c r="AI927" s="694"/>
      <c r="AJ927" s="694"/>
      <c r="AK927" s="694"/>
      <c r="AL927" s="694"/>
    </row>
    <row r="928" spans="1:38" x14ac:dyDescent="0.25">
      <c r="A928" s="694"/>
      <c r="B928" s="298"/>
      <c r="C928" s="302"/>
      <c r="D928" s="302"/>
      <c r="E928" s="2855" t="str">
        <f>Translations!$B$1519</f>
        <v>https://eur-lex.europa.eu/eli/reg/2010/860/oj/bul</v>
      </c>
      <c r="F928" s="2856"/>
      <c r="G928" s="2856"/>
      <c r="H928" s="2856"/>
      <c r="I928" s="2856"/>
      <c r="J928" s="2856"/>
      <c r="K928" s="2856"/>
      <c r="L928" s="2856"/>
      <c r="M928" s="2856"/>
      <c r="N928" s="2856"/>
      <c r="O928" s="302"/>
      <c r="P928" s="302"/>
      <c r="Q928" s="729"/>
      <c r="R928" s="694"/>
      <c r="S928" s="729"/>
      <c r="T928" s="729"/>
      <c r="U928" s="694"/>
      <c r="V928" s="694"/>
      <c r="W928" s="694"/>
      <c r="X928" s="694"/>
      <c r="Y928" s="694"/>
      <c r="Z928" s="694"/>
      <c r="AA928" s="694"/>
      <c r="AB928" s="694"/>
      <c r="AC928" s="694"/>
      <c r="AD928" s="694"/>
      <c r="AE928" s="694"/>
      <c r="AF928" s="694"/>
      <c r="AG928" s="694"/>
      <c r="AH928" s="694"/>
      <c r="AI928" s="694"/>
      <c r="AJ928" s="694"/>
      <c r="AK928" s="694"/>
      <c r="AL928" s="694"/>
    </row>
    <row r="929" spans="1:38" x14ac:dyDescent="0.25">
      <c r="A929" s="694"/>
      <c r="B929" s="298"/>
      <c r="C929" s="302"/>
      <c r="D929" s="302"/>
      <c r="E929" s="2358" t="str">
        <f>Translations!$B$1520</f>
        <v>Кодовете по КН са кодовете съгласно Регламент (ЕИО) № 2658/87, които са на разположение на следния адрес:</v>
      </c>
      <c r="F929" s="2249"/>
      <c r="G929" s="2249"/>
      <c r="H929" s="2249"/>
      <c r="I929" s="2249"/>
      <c r="J929" s="2249"/>
      <c r="K929" s="2249"/>
      <c r="L929" s="2249"/>
      <c r="M929" s="2249"/>
      <c r="N929" s="2249"/>
      <c r="O929" s="302"/>
      <c r="P929" s="302"/>
      <c r="Q929" s="729"/>
      <c r="R929" s="694"/>
      <c r="S929" s="729"/>
      <c r="T929" s="729"/>
      <c r="U929" s="694"/>
      <c r="V929" s="694"/>
      <c r="W929" s="694"/>
      <c r="X929" s="694"/>
      <c r="Y929" s="694"/>
      <c r="Z929" s="694"/>
      <c r="AA929" s="694"/>
      <c r="AB929" s="694"/>
      <c r="AC929" s="694"/>
      <c r="AD929" s="694"/>
      <c r="AE929" s="694"/>
      <c r="AF929" s="694"/>
      <c r="AG929" s="694"/>
      <c r="AH929" s="694"/>
      <c r="AI929" s="694"/>
      <c r="AJ929" s="694"/>
      <c r="AK929" s="694"/>
      <c r="AL929" s="694"/>
    </row>
    <row r="930" spans="1:38" x14ac:dyDescent="0.25">
      <c r="A930" s="694"/>
      <c r="B930" s="298"/>
      <c r="C930" s="302"/>
      <c r="D930" s="302"/>
      <c r="E930" s="2855" t="str">
        <f>Translations!$B$1521</f>
        <v>https://eur-lex.europa.eu/eli/reg/1987/2658/2023-06-17</v>
      </c>
      <c r="F930" s="2856"/>
      <c r="G930" s="2856"/>
      <c r="H930" s="2856"/>
      <c r="I930" s="2856"/>
      <c r="J930" s="2856"/>
      <c r="K930" s="2856"/>
      <c r="L930" s="2856"/>
      <c r="M930" s="2856"/>
      <c r="N930" s="2856"/>
      <c r="O930" s="302"/>
      <c r="P930" s="302"/>
      <c r="Q930" s="729"/>
      <c r="R930" s="694"/>
      <c r="S930" s="729"/>
      <c r="T930" s="729"/>
      <c r="U930" s="694"/>
      <c r="V930" s="694"/>
      <c r="W930" s="694"/>
      <c r="X930" s="694"/>
      <c r="Y930" s="694"/>
      <c r="Z930" s="694"/>
      <c r="AA930" s="694"/>
      <c r="AB930" s="694"/>
      <c r="AC930" s="694"/>
      <c r="AD930" s="694"/>
      <c r="AE930" s="694"/>
      <c r="AF930" s="694"/>
      <c r="AG930" s="694"/>
      <c r="AH930" s="694"/>
      <c r="AI930" s="694"/>
      <c r="AJ930" s="694"/>
      <c r="AK930" s="694"/>
      <c r="AL930" s="694"/>
    </row>
    <row r="931" spans="1:38" ht="5.15" customHeight="1" x14ac:dyDescent="0.25">
      <c r="A931" s="694"/>
      <c r="B931" s="298"/>
      <c r="C931" s="298"/>
      <c r="D931" s="298"/>
      <c r="E931" s="298"/>
      <c r="F931" s="298"/>
      <c r="G931" s="298"/>
      <c r="H931" s="298"/>
      <c r="I931" s="298"/>
      <c r="J931" s="298"/>
      <c r="K931" s="298"/>
      <c r="L931" s="298"/>
      <c r="M931" s="298"/>
      <c r="N931" s="298"/>
      <c r="O931" s="302"/>
      <c r="P931" s="302"/>
      <c r="Q931" s="729"/>
      <c r="R931" s="729"/>
      <c r="S931" s="729"/>
      <c r="T931" s="729"/>
      <c r="U931" s="694"/>
      <c r="V931" s="694"/>
      <c r="W931" s="694"/>
      <c r="X931" s="694"/>
      <c r="Y931" s="694"/>
      <c r="Z931" s="694"/>
      <c r="AA931" s="694"/>
      <c r="AB931" s="694"/>
      <c r="AC931" s="694"/>
      <c r="AD931" s="694"/>
      <c r="AE931" s="694"/>
      <c r="AF931" s="694"/>
      <c r="AG931" s="694"/>
      <c r="AH931" s="694"/>
      <c r="AI931" s="694"/>
      <c r="AJ931" s="694"/>
      <c r="AK931" s="694"/>
      <c r="AL931" s="694"/>
    </row>
    <row r="932" spans="1:38" ht="13" x14ac:dyDescent="0.25">
      <c r="A932" s="694"/>
      <c r="B932" s="298"/>
      <c r="C932" s="300"/>
      <c r="D932" s="300" t="s">
        <v>55</v>
      </c>
      <c r="E932" s="2226" t="str">
        <f>Translations!$B$499</f>
        <v>Индивидуални равнища на производство за продуктите, включени в тази подинсталация с продуктов показател</v>
      </c>
      <c r="F932" s="2249"/>
      <c r="G932" s="2249"/>
      <c r="H932" s="2249"/>
      <c r="I932" s="2249"/>
      <c r="J932" s="2249"/>
      <c r="K932" s="2249"/>
      <c r="L932" s="2249"/>
      <c r="M932" s="2249"/>
      <c r="N932" s="2249"/>
      <c r="O932" s="302"/>
      <c r="P932" s="302"/>
      <c r="Q932" s="729"/>
      <c r="R932" s="694"/>
      <c r="S932" s="729"/>
      <c r="T932" s="729"/>
      <c r="U932" s="694"/>
      <c r="V932" s="694"/>
      <c r="W932" s="694"/>
      <c r="X932" s="694"/>
      <c r="Y932" s="694"/>
      <c r="Z932" s="694"/>
      <c r="AA932" s="694"/>
      <c r="AB932" s="694"/>
      <c r="AC932" s="694"/>
      <c r="AD932" s="694"/>
      <c r="AE932" s="694"/>
      <c r="AF932" s="694"/>
      <c r="AG932" s="694"/>
      <c r="AH932" s="694"/>
      <c r="AI932" s="694"/>
      <c r="AJ932" s="694"/>
      <c r="AK932" s="694"/>
      <c r="AL932" s="694"/>
    </row>
    <row r="933" spans="1:38" ht="5.15" customHeight="1" x14ac:dyDescent="0.25">
      <c r="A933" s="694"/>
      <c r="B933" s="298"/>
      <c r="C933" s="298"/>
      <c r="D933" s="302"/>
      <c r="E933" s="460"/>
      <c r="F933" s="460"/>
      <c r="G933" s="460"/>
      <c r="H933" s="460"/>
      <c r="I933" s="460"/>
      <c r="J933" s="329"/>
      <c r="K933" s="329"/>
      <c r="L933" s="329"/>
      <c r="M933" s="302"/>
      <c r="N933" s="302"/>
      <c r="O933" s="302"/>
      <c r="P933" s="302"/>
      <c r="Q933" s="729"/>
      <c r="R933" s="694"/>
      <c r="S933" s="729"/>
      <c r="T933" s="729"/>
      <c r="U933" s="694"/>
      <c r="V933" s="694"/>
      <c r="W933" s="694"/>
      <c r="X933" s="694"/>
      <c r="Y933" s="694"/>
      <c r="Z933" s="694"/>
      <c r="AA933" s="694"/>
      <c r="AB933" s="694"/>
      <c r="AC933" s="694"/>
      <c r="AD933" s="694"/>
      <c r="AE933" s="694"/>
      <c r="AF933" s="694"/>
      <c r="AG933" s="694"/>
      <c r="AH933" s="694"/>
      <c r="AI933" s="694"/>
      <c r="AJ933" s="694"/>
      <c r="AK933" s="694"/>
      <c r="AL933" s="694"/>
    </row>
    <row r="934" spans="1:38" ht="25.5" customHeight="1" thickBot="1" x14ac:dyDescent="0.3">
      <c r="A934" s="694"/>
      <c r="B934" s="698"/>
      <c r="C934" s="698"/>
      <c r="D934" s="1014"/>
      <c r="E934" s="1277" t="str">
        <f>Translations!$B$1522</f>
        <v>ПРОДКОМ за 2010 г.</v>
      </c>
      <c r="F934" s="1278" t="str">
        <f>Translations!$B$500</f>
        <v>Име на продукта или групата продукти</v>
      </c>
      <c r="G934" s="672" t="str">
        <f>EUconst_Unit</f>
        <v>Единица мярка</v>
      </c>
      <c r="H934" s="391">
        <f t="shared" ref="H934:N934" si="1086">H$2831</f>
        <v>2024</v>
      </c>
      <c r="I934" s="572">
        <f t="shared" si="1086"/>
        <v>2025</v>
      </c>
      <c r="J934" s="757">
        <f t="shared" si="1086"/>
        <v>2026</v>
      </c>
      <c r="K934" s="391">
        <f t="shared" si="1086"/>
        <v>2027</v>
      </c>
      <c r="L934" s="391">
        <f t="shared" si="1086"/>
        <v>2028</v>
      </c>
      <c r="M934" s="391">
        <f t="shared" si="1086"/>
        <v>2029</v>
      </c>
      <c r="N934" s="391">
        <f t="shared" si="1086"/>
        <v>2030</v>
      </c>
      <c r="O934" s="1277" t="str">
        <f>Translations!$B$1523</f>
        <v>Код по КН</v>
      </c>
      <c r="P934" s="1278"/>
      <c r="Q934" s="694"/>
      <c r="R934" s="694"/>
      <c r="S934" s="729"/>
      <c r="T934" s="729"/>
      <c r="U934" s="694"/>
      <c r="V934" s="694"/>
      <c r="W934" s="694"/>
      <c r="X934" s="694"/>
      <c r="Y934" s="694"/>
      <c r="Z934" s="1279" t="s">
        <v>737</v>
      </c>
      <c r="AA934" s="694"/>
      <c r="AB934" s="694"/>
      <c r="AC934" s="1178">
        <f t="shared" ref="AC934" si="1087">H$20</f>
        <v>2024</v>
      </c>
      <c r="AD934" s="1178">
        <f t="shared" ref="AD934" si="1088">I$20</f>
        <v>2025</v>
      </c>
      <c r="AE934" s="1178">
        <f t="shared" ref="AE934" si="1089">J$20</f>
        <v>2026</v>
      </c>
      <c r="AF934" s="1178">
        <f t="shared" ref="AF934" si="1090">K$20</f>
        <v>2027</v>
      </c>
      <c r="AG934" s="1178">
        <f t="shared" ref="AG934" si="1091">L$20</f>
        <v>2028</v>
      </c>
      <c r="AH934" s="1178">
        <f t="shared" ref="AH934" si="1092">M$20</f>
        <v>2029</v>
      </c>
      <c r="AI934" s="1178">
        <f t="shared" ref="AI934" si="1093">N$20</f>
        <v>2030</v>
      </c>
      <c r="AJ934" s="694"/>
      <c r="AK934" s="694"/>
      <c r="AL934" s="694"/>
    </row>
    <row r="935" spans="1:38" x14ac:dyDescent="0.25">
      <c r="A935" s="694"/>
      <c r="B935" s="698"/>
      <c r="C935" s="698"/>
      <c r="D935" s="981">
        <v>1</v>
      </c>
      <c r="E935" s="221"/>
      <c r="F935" s="109"/>
      <c r="G935" s="57"/>
      <c r="H935" s="40"/>
      <c r="I935" s="46"/>
      <c r="J935" s="116"/>
      <c r="K935" s="40"/>
      <c r="L935" s="40"/>
      <c r="M935" s="40"/>
      <c r="N935" s="40"/>
      <c r="O935" s="221"/>
      <c r="P935" s="158"/>
      <c r="Q935" s="694"/>
      <c r="R935" s="694"/>
      <c r="S935" s="729"/>
      <c r="T935" s="729"/>
      <c r="U935" s="694"/>
      <c r="V935" s="694"/>
      <c r="W935" s="694"/>
      <c r="X935" s="694"/>
      <c r="Y935" s="694"/>
      <c r="Z935" s="1280" t="b">
        <f t="shared" ref="Z935:Z944" si="1094">AA935</f>
        <v>0</v>
      </c>
      <c r="AA935" s="1281" t="b">
        <f t="shared" ref="AA935:AA944" si="1095">AB935</f>
        <v>0</v>
      </c>
      <c r="AB935" s="1282" t="b">
        <f>AND(AC935:AI935)</f>
        <v>0</v>
      </c>
      <c r="AC935" s="1283" t="b">
        <f t="shared" ref="AC935:AD935" si="1096">AC903</f>
        <v>0</v>
      </c>
      <c r="AD935" s="1284" t="b">
        <f t="shared" si="1096"/>
        <v>0</v>
      </c>
      <c r="AE935" s="1284" t="b">
        <f>AE903</f>
        <v>0</v>
      </c>
      <c r="AF935" s="1284" t="b">
        <f t="shared" ref="AF935" si="1097">AF903</f>
        <v>0</v>
      </c>
      <c r="AG935" s="1284" t="b">
        <f>AG903</f>
        <v>0</v>
      </c>
      <c r="AH935" s="1284" t="b">
        <f t="shared" ref="AH935:AI935" si="1098">AH903</f>
        <v>0</v>
      </c>
      <c r="AI935" s="1285" t="b">
        <f t="shared" si="1098"/>
        <v>0</v>
      </c>
      <c r="AJ935" s="1174" t="s">
        <v>2039</v>
      </c>
      <c r="AK935" s="1176" t="str">
        <f>IF(AND(CNTR_ExistSubInstEntries,COUNTIFS(AC935:AI935,FALSE,H935:N935,"")&gt;0),EUconst_Error&amp;"BM"&amp;$Q856,"")</f>
        <v/>
      </c>
      <c r="AL935" s="694"/>
    </row>
    <row r="936" spans="1:38" x14ac:dyDescent="0.25">
      <c r="A936" s="694"/>
      <c r="B936" s="698"/>
      <c r="C936" s="698"/>
      <c r="D936" s="990">
        <f>D935+1</f>
        <v>2</v>
      </c>
      <c r="E936" s="222"/>
      <c r="F936" s="110"/>
      <c r="G936" s="44"/>
      <c r="H936" s="43"/>
      <c r="I936" s="47"/>
      <c r="J936" s="119"/>
      <c r="K936" s="43"/>
      <c r="L936" s="43"/>
      <c r="M936" s="43"/>
      <c r="N936" s="43"/>
      <c r="O936" s="222"/>
      <c r="P936" s="158"/>
      <c r="Q936" s="694"/>
      <c r="R936" s="694"/>
      <c r="S936" s="729"/>
      <c r="T936" s="729"/>
      <c r="U936" s="694"/>
      <c r="V936" s="694"/>
      <c r="W936" s="694"/>
      <c r="X936" s="694"/>
      <c r="Y936" s="694"/>
      <c r="Z936" s="1286" t="b">
        <f t="shared" si="1094"/>
        <v>0</v>
      </c>
      <c r="AA936" s="982" t="b">
        <f t="shared" si="1095"/>
        <v>0</v>
      </c>
      <c r="AB936" s="1287" t="b">
        <f t="shared" ref="AB936:AB944" si="1099">AND(AC936:AI936)</f>
        <v>0</v>
      </c>
      <c r="AC936" s="1288" t="b">
        <f>AC935</f>
        <v>0</v>
      </c>
      <c r="AD936" s="982" t="b">
        <f t="shared" ref="AD936:AI936" si="1100">AD935</f>
        <v>0</v>
      </c>
      <c r="AE936" s="982" t="b">
        <f t="shared" si="1100"/>
        <v>0</v>
      </c>
      <c r="AF936" s="982" t="b">
        <f t="shared" si="1100"/>
        <v>0</v>
      </c>
      <c r="AG936" s="982" t="b">
        <f t="shared" si="1100"/>
        <v>0</v>
      </c>
      <c r="AH936" s="982" t="b">
        <f t="shared" si="1100"/>
        <v>0</v>
      </c>
      <c r="AI936" s="1287" t="b">
        <f t="shared" si="1100"/>
        <v>0</v>
      </c>
      <c r="AJ936" s="694"/>
      <c r="AK936" s="694"/>
      <c r="AL936" s="694"/>
    </row>
    <row r="937" spans="1:38" x14ac:dyDescent="0.25">
      <c r="A937" s="694"/>
      <c r="B937" s="698"/>
      <c r="C937" s="698"/>
      <c r="D937" s="990">
        <f t="shared" ref="D937:D944" si="1101">D936+1</f>
        <v>3</v>
      </c>
      <c r="E937" s="222"/>
      <c r="F937" s="111"/>
      <c r="G937" s="44"/>
      <c r="H937" s="43"/>
      <c r="I937" s="47"/>
      <c r="J937" s="119"/>
      <c r="K937" s="43"/>
      <c r="L937" s="43"/>
      <c r="M937" s="43"/>
      <c r="N937" s="43"/>
      <c r="O937" s="222"/>
      <c r="P937" s="158"/>
      <c r="Q937" s="694"/>
      <c r="R937" s="694"/>
      <c r="S937" s="729"/>
      <c r="T937" s="729"/>
      <c r="U937" s="694"/>
      <c r="V937" s="694"/>
      <c r="W937" s="694"/>
      <c r="X937" s="694"/>
      <c r="Y937" s="694"/>
      <c r="Z937" s="1286" t="b">
        <f t="shared" si="1094"/>
        <v>0</v>
      </c>
      <c r="AA937" s="982" t="b">
        <f t="shared" si="1095"/>
        <v>0</v>
      </c>
      <c r="AB937" s="1287" t="b">
        <f t="shared" si="1099"/>
        <v>0</v>
      </c>
      <c r="AC937" s="1288" t="b">
        <f t="shared" ref="AC937:AI937" si="1102">AC936</f>
        <v>0</v>
      </c>
      <c r="AD937" s="982" t="b">
        <f t="shared" si="1102"/>
        <v>0</v>
      </c>
      <c r="AE937" s="982" t="b">
        <f t="shared" si="1102"/>
        <v>0</v>
      </c>
      <c r="AF937" s="982" t="b">
        <f t="shared" si="1102"/>
        <v>0</v>
      </c>
      <c r="AG937" s="982" t="b">
        <f t="shared" si="1102"/>
        <v>0</v>
      </c>
      <c r="AH937" s="982" t="b">
        <f t="shared" si="1102"/>
        <v>0</v>
      </c>
      <c r="AI937" s="1287" t="b">
        <f t="shared" si="1102"/>
        <v>0</v>
      </c>
      <c r="AJ937" s="694"/>
      <c r="AK937" s="694"/>
      <c r="AL937" s="694"/>
    </row>
    <row r="938" spans="1:38" x14ac:dyDescent="0.25">
      <c r="A938" s="694"/>
      <c r="B938" s="698"/>
      <c r="C938" s="698"/>
      <c r="D938" s="990">
        <f t="shared" si="1101"/>
        <v>4</v>
      </c>
      <c r="E938" s="222"/>
      <c r="F938" s="111"/>
      <c r="G938" s="44"/>
      <c r="H938" s="43"/>
      <c r="I938" s="47"/>
      <c r="J938" s="119"/>
      <c r="K938" s="43"/>
      <c r="L938" s="43"/>
      <c r="M938" s="43"/>
      <c r="N938" s="43"/>
      <c r="O938" s="222"/>
      <c r="P938" s="158"/>
      <c r="Q938" s="694"/>
      <c r="R938" s="694"/>
      <c r="S938" s="729"/>
      <c r="T938" s="729"/>
      <c r="U938" s="694"/>
      <c r="V938" s="694"/>
      <c r="W938" s="694"/>
      <c r="X938" s="694"/>
      <c r="Y938" s="694"/>
      <c r="Z938" s="1286" t="b">
        <f t="shared" si="1094"/>
        <v>0</v>
      </c>
      <c r="AA938" s="982" t="b">
        <f t="shared" si="1095"/>
        <v>0</v>
      </c>
      <c r="AB938" s="1287" t="b">
        <f t="shared" si="1099"/>
        <v>0</v>
      </c>
      <c r="AC938" s="1288" t="b">
        <f t="shared" ref="AC938:AI938" si="1103">AC937</f>
        <v>0</v>
      </c>
      <c r="AD938" s="982" t="b">
        <f t="shared" si="1103"/>
        <v>0</v>
      </c>
      <c r="AE938" s="982" t="b">
        <f t="shared" si="1103"/>
        <v>0</v>
      </c>
      <c r="AF938" s="982" t="b">
        <f t="shared" si="1103"/>
        <v>0</v>
      </c>
      <c r="AG938" s="982" t="b">
        <f t="shared" si="1103"/>
        <v>0</v>
      </c>
      <c r="AH938" s="982" t="b">
        <f t="shared" si="1103"/>
        <v>0</v>
      </c>
      <c r="AI938" s="1287" t="b">
        <f t="shared" si="1103"/>
        <v>0</v>
      </c>
      <c r="AJ938" s="694"/>
      <c r="AK938" s="694"/>
      <c r="AL938" s="694"/>
    </row>
    <row r="939" spans="1:38" x14ac:dyDescent="0.25">
      <c r="A939" s="694"/>
      <c r="B939" s="698"/>
      <c r="C939" s="698"/>
      <c r="D939" s="990">
        <f t="shared" si="1101"/>
        <v>5</v>
      </c>
      <c r="E939" s="222"/>
      <c r="F939" s="111"/>
      <c r="G939" s="44"/>
      <c r="H939" s="43"/>
      <c r="I939" s="47"/>
      <c r="J939" s="119"/>
      <c r="K939" s="43"/>
      <c r="L939" s="43"/>
      <c r="M939" s="43"/>
      <c r="N939" s="43"/>
      <c r="O939" s="222"/>
      <c r="P939" s="158"/>
      <c r="Q939" s="694"/>
      <c r="R939" s="694"/>
      <c r="S939" s="729"/>
      <c r="T939" s="729"/>
      <c r="U939" s="694"/>
      <c r="V939" s="694"/>
      <c r="W939" s="694"/>
      <c r="X939" s="694"/>
      <c r="Y939" s="694"/>
      <c r="Z939" s="1286" t="b">
        <f t="shared" si="1094"/>
        <v>0</v>
      </c>
      <c r="AA939" s="982" t="b">
        <f t="shared" si="1095"/>
        <v>0</v>
      </c>
      <c r="AB939" s="1287" t="b">
        <f t="shared" si="1099"/>
        <v>0</v>
      </c>
      <c r="AC939" s="1288" t="b">
        <f t="shared" ref="AC939:AI939" si="1104">AC938</f>
        <v>0</v>
      </c>
      <c r="AD939" s="982" t="b">
        <f t="shared" si="1104"/>
        <v>0</v>
      </c>
      <c r="AE939" s="982" t="b">
        <f t="shared" si="1104"/>
        <v>0</v>
      </c>
      <c r="AF939" s="982" t="b">
        <f t="shared" si="1104"/>
        <v>0</v>
      </c>
      <c r="AG939" s="982" t="b">
        <f t="shared" si="1104"/>
        <v>0</v>
      </c>
      <c r="AH939" s="982" t="b">
        <f t="shared" si="1104"/>
        <v>0</v>
      </c>
      <c r="AI939" s="1287" t="b">
        <f t="shared" si="1104"/>
        <v>0</v>
      </c>
      <c r="AJ939" s="694"/>
      <c r="AK939" s="694"/>
      <c r="AL939" s="694"/>
    </row>
    <row r="940" spans="1:38" x14ac:dyDescent="0.25">
      <c r="A940" s="694"/>
      <c r="B940" s="698"/>
      <c r="C940" s="698"/>
      <c r="D940" s="990">
        <f t="shared" si="1101"/>
        <v>6</v>
      </c>
      <c r="E940" s="222"/>
      <c r="F940" s="111"/>
      <c r="G940" s="44"/>
      <c r="H940" s="43"/>
      <c r="I940" s="47"/>
      <c r="J940" s="119"/>
      <c r="K940" s="43"/>
      <c r="L940" s="43"/>
      <c r="M940" s="43"/>
      <c r="N940" s="43"/>
      <c r="O940" s="222"/>
      <c r="P940" s="158"/>
      <c r="Q940" s="694"/>
      <c r="R940" s="694"/>
      <c r="S940" s="729"/>
      <c r="T940" s="729"/>
      <c r="U940" s="694"/>
      <c r="V940" s="694"/>
      <c r="W940" s="694"/>
      <c r="X940" s="694"/>
      <c r="Y940" s="694"/>
      <c r="Z940" s="1286" t="b">
        <f t="shared" si="1094"/>
        <v>0</v>
      </c>
      <c r="AA940" s="982" t="b">
        <f t="shared" si="1095"/>
        <v>0</v>
      </c>
      <c r="AB940" s="1287" t="b">
        <f t="shared" si="1099"/>
        <v>0</v>
      </c>
      <c r="AC940" s="1288" t="b">
        <f t="shared" ref="AC940:AI940" si="1105">AC939</f>
        <v>0</v>
      </c>
      <c r="AD940" s="982" t="b">
        <f t="shared" si="1105"/>
        <v>0</v>
      </c>
      <c r="AE940" s="982" t="b">
        <f t="shared" si="1105"/>
        <v>0</v>
      </c>
      <c r="AF940" s="982" t="b">
        <f t="shared" si="1105"/>
        <v>0</v>
      </c>
      <c r="AG940" s="982" t="b">
        <f t="shared" si="1105"/>
        <v>0</v>
      </c>
      <c r="AH940" s="982" t="b">
        <f t="shared" si="1105"/>
        <v>0</v>
      </c>
      <c r="AI940" s="1287" t="b">
        <f t="shared" si="1105"/>
        <v>0</v>
      </c>
      <c r="AJ940" s="694"/>
      <c r="AK940" s="694"/>
      <c r="AL940" s="694"/>
    </row>
    <row r="941" spans="1:38" x14ac:dyDescent="0.25">
      <c r="A941" s="694"/>
      <c r="B941" s="698"/>
      <c r="C941" s="698"/>
      <c r="D941" s="990">
        <f t="shared" si="1101"/>
        <v>7</v>
      </c>
      <c r="E941" s="222"/>
      <c r="F941" s="111"/>
      <c r="G941" s="44"/>
      <c r="H941" s="43"/>
      <c r="I941" s="47"/>
      <c r="J941" s="119"/>
      <c r="K941" s="43"/>
      <c r="L941" s="43"/>
      <c r="M941" s="43"/>
      <c r="N941" s="43"/>
      <c r="O941" s="222"/>
      <c r="P941" s="158"/>
      <c r="Q941" s="694"/>
      <c r="R941" s="694"/>
      <c r="S941" s="729"/>
      <c r="T941" s="729"/>
      <c r="U941" s="694"/>
      <c r="V941" s="694"/>
      <c r="W941" s="694"/>
      <c r="X941" s="694"/>
      <c r="Y941" s="694"/>
      <c r="Z941" s="1286" t="b">
        <f t="shared" si="1094"/>
        <v>0</v>
      </c>
      <c r="AA941" s="982" t="b">
        <f t="shared" si="1095"/>
        <v>0</v>
      </c>
      <c r="AB941" s="1287" t="b">
        <f t="shared" si="1099"/>
        <v>0</v>
      </c>
      <c r="AC941" s="1288" t="b">
        <f t="shared" ref="AC941:AI941" si="1106">AC940</f>
        <v>0</v>
      </c>
      <c r="AD941" s="982" t="b">
        <f t="shared" si="1106"/>
        <v>0</v>
      </c>
      <c r="AE941" s="982" t="b">
        <f t="shared" si="1106"/>
        <v>0</v>
      </c>
      <c r="AF941" s="982" t="b">
        <f t="shared" si="1106"/>
        <v>0</v>
      </c>
      <c r="AG941" s="982" t="b">
        <f t="shared" si="1106"/>
        <v>0</v>
      </c>
      <c r="AH941" s="982" t="b">
        <f t="shared" si="1106"/>
        <v>0</v>
      </c>
      <c r="AI941" s="1287" t="b">
        <f t="shared" si="1106"/>
        <v>0</v>
      </c>
      <c r="AJ941" s="694"/>
      <c r="AK941" s="694"/>
      <c r="AL941" s="694"/>
    </row>
    <row r="942" spans="1:38" x14ac:dyDescent="0.25">
      <c r="A942" s="694"/>
      <c r="B942" s="698"/>
      <c r="C942" s="698"/>
      <c r="D942" s="990">
        <f t="shared" si="1101"/>
        <v>8</v>
      </c>
      <c r="E942" s="222"/>
      <c r="F942" s="111"/>
      <c r="G942" s="44"/>
      <c r="H942" s="43"/>
      <c r="I942" s="47"/>
      <c r="J942" s="119"/>
      <c r="K942" s="43"/>
      <c r="L942" s="43"/>
      <c r="M942" s="43"/>
      <c r="N942" s="43"/>
      <c r="O942" s="222"/>
      <c r="P942" s="158"/>
      <c r="Q942" s="694"/>
      <c r="R942" s="694"/>
      <c r="S942" s="729"/>
      <c r="T942" s="729"/>
      <c r="U942" s="694"/>
      <c r="V942" s="694"/>
      <c r="W942" s="694"/>
      <c r="X942" s="694"/>
      <c r="Y942" s="694"/>
      <c r="Z942" s="1286" t="b">
        <f t="shared" si="1094"/>
        <v>0</v>
      </c>
      <c r="AA942" s="982" t="b">
        <f t="shared" si="1095"/>
        <v>0</v>
      </c>
      <c r="AB942" s="1287" t="b">
        <f t="shared" si="1099"/>
        <v>0</v>
      </c>
      <c r="AC942" s="1288" t="b">
        <f t="shared" ref="AC942:AI942" si="1107">AC941</f>
        <v>0</v>
      </c>
      <c r="AD942" s="982" t="b">
        <f t="shared" si="1107"/>
        <v>0</v>
      </c>
      <c r="AE942" s="982" t="b">
        <f t="shared" si="1107"/>
        <v>0</v>
      </c>
      <c r="AF942" s="982" t="b">
        <f t="shared" si="1107"/>
        <v>0</v>
      </c>
      <c r="AG942" s="982" t="b">
        <f t="shared" si="1107"/>
        <v>0</v>
      </c>
      <c r="AH942" s="982" t="b">
        <f t="shared" si="1107"/>
        <v>0</v>
      </c>
      <c r="AI942" s="1287" t="b">
        <f t="shared" si="1107"/>
        <v>0</v>
      </c>
      <c r="AJ942" s="694"/>
      <c r="AK942" s="694"/>
      <c r="AL942" s="694"/>
    </row>
    <row r="943" spans="1:38" x14ac:dyDescent="0.25">
      <c r="A943" s="694"/>
      <c r="B943" s="698"/>
      <c r="C943" s="698"/>
      <c r="D943" s="990">
        <f t="shared" si="1101"/>
        <v>9</v>
      </c>
      <c r="E943" s="222"/>
      <c r="F943" s="111"/>
      <c r="G943" s="44"/>
      <c r="H943" s="43"/>
      <c r="I943" s="47"/>
      <c r="J943" s="119"/>
      <c r="K943" s="43"/>
      <c r="L943" s="43"/>
      <c r="M943" s="43"/>
      <c r="N943" s="43"/>
      <c r="O943" s="222"/>
      <c r="P943" s="158"/>
      <c r="Q943" s="694"/>
      <c r="R943" s="694"/>
      <c r="S943" s="729"/>
      <c r="T943" s="729"/>
      <c r="U943" s="694"/>
      <c r="V943" s="694"/>
      <c r="W943" s="694"/>
      <c r="X943" s="694"/>
      <c r="Y943" s="694"/>
      <c r="Z943" s="1286" t="b">
        <f t="shared" si="1094"/>
        <v>0</v>
      </c>
      <c r="AA943" s="982" t="b">
        <f t="shared" si="1095"/>
        <v>0</v>
      </c>
      <c r="AB943" s="1287" t="b">
        <f t="shared" si="1099"/>
        <v>0</v>
      </c>
      <c r="AC943" s="1288" t="b">
        <f t="shared" ref="AC943:AI943" si="1108">AC942</f>
        <v>0</v>
      </c>
      <c r="AD943" s="982" t="b">
        <f t="shared" si="1108"/>
        <v>0</v>
      </c>
      <c r="AE943" s="982" t="b">
        <f t="shared" si="1108"/>
        <v>0</v>
      </c>
      <c r="AF943" s="982" t="b">
        <f t="shared" si="1108"/>
        <v>0</v>
      </c>
      <c r="AG943" s="982" t="b">
        <f t="shared" si="1108"/>
        <v>0</v>
      </c>
      <c r="AH943" s="982" t="b">
        <f t="shared" si="1108"/>
        <v>0</v>
      </c>
      <c r="AI943" s="1287" t="b">
        <f t="shared" si="1108"/>
        <v>0</v>
      </c>
      <c r="AJ943" s="694"/>
      <c r="AK943" s="694"/>
      <c r="AL943" s="694"/>
    </row>
    <row r="944" spans="1:38" ht="13" thickBot="1" x14ac:dyDescent="0.3">
      <c r="A944" s="694"/>
      <c r="B944" s="698"/>
      <c r="C944" s="698"/>
      <c r="D944" s="994">
        <f t="shared" si="1101"/>
        <v>10</v>
      </c>
      <c r="E944" s="223"/>
      <c r="F944" s="112"/>
      <c r="G944" s="45"/>
      <c r="H944" s="38"/>
      <c r="I944" s="48"/>
      <c r="J944" s="117"/>
      <c r="K944" s="38"/>
      <c r="L944" s="38"/>
      <c r="M944" s="38"/>
      <c r="N944" s="38"/>
      <c r="O944" s="223"/>
      <c r="P944" s="158"/>
      <c r="Q944" s="694"/>
      <c r="R944" s="694"/>
      <c r="S944" s="729"/>
      <c r="T944" s="729"/>
      <c r="U944" s="694"/>
      <c r="V944" s="694"/>
      <c r="W944" s="694"/>
      <c r="X944" s="694"/>
      <c r="Y944" s="694"/>
      <c r="Z944" s="1289" t="b">
        <f t="shared" si="1094"/>
        <v>0</v>
      </c>
      <c r="AA944" s="1290" t="b">
        <f t="shared" si="1095"/>
        <v>0</v>
      </c>
      <c r="AB944" s="1291" t="b">
        <f t="shared" si="1099"/>
        <v>0</v>
      </c>
      <c r="AC944" s="1292" t="b">
        <f t="shared" ref="AC944:AI944" si="1109">AC943</f>
        <v>0</v>
      </c>
      <c r="AD944" s="1290" t="b">
        <f t="shared" si="1109"/>
        <v>0</v>
      </c>
      <c r="AE944" s="1290" t="b">
        <f t="shared" si="1109"/>
        <v>0</v>
      </c>
      <c r="AF944" s="1290" t="b">
        <f t="shared" si="1109"/>
        <v>0</v>
      </c>
      <c r="AG944" s="1290" t="b">
        <f t="shared" si="1109"/>
        <v>0</v>
      </c>
      <c r="AH944" s="1290" t="b">
        <f t="shared" si="1109"/>
        <v>0</v>
      </c>
      <c r="AI944" s="1291" t="b">
        <f t="shared" si="1109"/>
        <v>0</v>
      </c>
      <c r="AJ944" s="694"/>
      <c r="AK944" s="694"/>
      <c r="AL944" s="694"/>
    </row>
    <row r="945" spans="1:38" ht="12.75" customHeight="1" thickBot="1" x14ac:dyDescent="0.3">
      <c r="A945" s="694"/>
      <c r="B945" s="698"/>
      <c r="C945" s="698"/>
      <c r="D945" s="1293"/>
      <c r="E945" s="1294" t="str">
        <f>Translations!$B$501</f>
        <v>Сума на равнищата на производство</v>
      </c>
      <c r="F945" s="1295"/>
      <c r="G945" s="49"/>
      <c r="H945" s="1104" t="str">
        <f t="shared" ref="H945:N945" si="1110">IF(COUNT(H935:H944)&gt;0,SUM(H935:H944),"")</f>
        <v/>
      </c>
      <c r="I945" s="1296" t="str">
        <f t="shared" si="1110"/>
        <v/>
      </c>
      <c r="J945" s="1297" t="str">
        <f t="shared" si="1110"/>
        <v/>
      </c>
      <c r="K945" s="1104" t="str">
        <f t="shared" si="1110"/>
        <v/>
      </c>
      <c r="L945" s="1104" t="str">
        <f t="shared" si="1110"/>
        <v/>
      </c>
      <c r="M945" s="1104" t="str">
        <f t="shared" si="1110"/>
        <v/>
      </c>
      <c r="N945" s="1104" t="str">
        <f t="shared" si="1110"/>
        <v/>
      </c>
      <c r="O945" s="302"/>
      <c r="P945" s="302"/>
      <c r="Q945" s="694"/>
      <c r="R945" s="694"/>
      <c r="S945" s="729"/>
      <c r="T945" s="729"/>
      <c r="U945" s="694"/>
      <c r="V945" s="694"/>
      <c r="W945" s="694"/>
      <c r="X945" s="694"/>
      <c r="Y945" s="694"/>
      <c r="Z945" s="694"/>
      <c r="AA945" s="694"/>
      <c r="AB945" s="1177" t="b">
        <f>AND(AB935:AB944)</f>
        <v>0</v>
      </c>
      <c r="AC945" s="694"/>
      <c r="AD945" s="694"/>
      <c r="AE945" s="694"/>
      <c r="AF945" s="694"/>
      <c r="AG945" s="694"/>
      <c r="AH945" s="694"/>
      <c r="AI945" s="694"/>
      <c r="AJ945" s="694"/>
      <c r="AK945" s="694"/>
      <c r="AL945" s="694"/>
    </row>
    <row r="946" spans="1:38" ht="12.75" customHeight="1" thickBot="1" x14ac:dyDescent="0.3">
      <c r="A946" s="694"/>
      <c r="B946" s="298"/>
      <c r="C946" s="298"/>
      <c r="D946" s="298"/>
      <c r="E946" s="298"/>
      <c r="F946" s="298"/>
      <c r="G946" s="298"/>
      <c r="H946" s="298"/>
      <c r="I946" s="298"/>
      <c r="J946" s="298"/>
      <c r="K946" s="298"/>
      <c r="L946" s="298"/>
      <c r="M946" s="302"/>
      <c r="N946" s="302"/>
      <c r="O946" s="302"/>
      <c r="P946" s="302"/>
      <c r="Q946" s="729"/>
      <c r="R946" s="694"/>
      <c r="S946" s="729"/>
      <c r="T946" s="729"/>
      <c r="U946" s="694"/>
      <c r="V946" s="694"/>
      <c r="W946" s="694"/>
      <c r="X946" s="694"/>
      <c r="Y946" s="694"/>
      <c r="Z946" s="694"/>
      <c r="AA946" s="694"/>
      <c r="AB946" s="694"/>
      <c r="AC946" s="694"/>
      <c r="AD946" s="694"/>
      <c r="AE946" s="694"/>
      <c r="AF946" s="694"/>
      <c r="AG946" s="694"/>
      <c r="AH946" s="694"/>
      <c r="AI946" s="694"/>
      <c r="AJ946" s="694"/>
      <c r="AK946" s="694"/>
      <c r="AL946" s="694"/>
    </row>
    <row r="947" spans="1:38" ht="5.15" customHeight="1" x14ac:dyDescent="0.25">
      <c r="A947" s="694"/>
      <c r="B947" s="298"/>
      <c r="C947" s="1298"/>
      <c r="D947" s="1299"/>
      <c r="E947" s="1299"/>
      <c r="F947" s="1299"/>
      <c r="G947" s="1299"/>
      <c r="H947" s="1299"/>
      <c r="I947" s="1299"/>
      <c r="J947" s="1299"/>
      <c r="K947" s="1299"/>
      <c r="L947" s="1299"/>
      <c r="M947" s="1300"/>
      <c r="N947" s="1301"/>
      <c r="O947" s="302"/>
      <c r="P947" s="302"/>
      <c r="Q947" s="729"/>
      <c r="R947" s="694"/>
      <c r="S947" s="729"/>
      <c r="T947" s="729"/>
      <c r="U947" s="694"/>
      <c r="V947" s="694"/>
      <c r="W947" s="694"/>
      <c r="X947" s="694"/>
      <c r="Y947" s="694"/>
      <c r="Z947" s="694"/>
      <c r="AA947" s="694"/>
      <c r="AB947" s="694"/>
      <c r="AC947" s="694"/>
      <c r="AD947" s="694"/>
      <c r="AE947" s="694"/>
      <c r="AF947" s="694"/>
      <c r="AG947" s="694"/>
      <c r="AH947" s="694"/>
      <c r="AI947" s="694"/>
      <c r="AJ947" s="694"/>
      <c r="AK947" s="694"/>
      <c r="AL947" s="694"/>
    </row>
    <row r="948" spans="1:38" ht="15" customHeight="1" x14ac:dyDescent="0.25">
      <c r="A948" s="694"/>
      <c r="B948" s="698"/>
      <c r="C948" s="1302"/>
      <c r="D948" s="2857" t="str">
        <f>Translations!$B$502</f>
        <v>Данни, необходими за определяне на нивото на подобрение на продуктовите показатели съгласно 10а, параграф 2 от Директивата за СТЕ на ЕС</v>
      </c>
      <c r="E948" s="2851"/>
      <c r="F948" s="2851"/>
      <c r="G948" s="2851"/>
      <c r="H948" s="2851"/>
      <c r="I948" s="2851"/>
      <c r="J948" s="2851"/>
      <c r="K948" s="2851"/>
      <c r="L948" s="2851"/>
      <c r="M948" s="2851"/>
      <c r="N948" s="2852"/>
      <c r="O948" s="302"/>
      <c r="P948" s="302"/>
      <c r="Q948" s="694"/>
      <c r="R948" s="694"/>
      <c r="S948" s="729"/>
      <c r="T948" s="729"/>
      <c r="U948" s="694"/>
      <c r="V948" s="694"/>
      <c r="W948" s="694"/>
      <c r="X948" s="694"/>
      <c r="Y948" s="694"/>
      <c r="Z948" s="694"/>
      <c r="AA948" s="694"/>
      <c r="AB948" s="694"/>
      <c r="AC948" s="694"/>
      <c r="AD948" s="694"/>
      <c r="AE948" s="694"/>
      <c r="AF948" s="694"/>
      <c r="AG948" s="694"/>
      <c r="AH948" s="694"/>
      <c r="AI948" s="694"/>
      <c r="AJ948" s="694"/>
      <c r="AK948" s="694"/>
      <c r="AL948" s="694"/>
    </row>
    <row r="949" spans="1:38" ht="5.15" customHeight="1" x14ac:dyDescent="0.25">
      <c r="A949" s="694"/>
      <c r="B949" s="698"/>
      <c r="C949" s="1303"/>
      <c r="D949" s="1304"/>
      <c r="E949" s="1304"/>
      <c r="F949" s="1304"/>
      <c r="G949" s="1304"/>
      <c r="H949" s="1304"/>
      <c r="I949" s="1304"/>
      <c r="J949" s="1304"/>
      <c r="K949" s="1304"/>
      <c r="L949" s="1304"/>
      <c r="M949" s="1304"/>
      <c r="N949" s="1305"/>
      <c r="O949" s="302"/>
      <c r="P949" s="302"/>
      <c r="Q949" s="694"/>
      <c r="R949" s="694"/>
      <c r="S949" s="729"/>
      <c r="T949" s="729"/>
      <c r="U949" s="694"/>
      <c r="V949" s="694"/>
      <c r="W949" s="694"/>
      <c r="X949" s="694"/>
      <c r="Y949" s="694"/>
      <c r="Z949" s="694"/>
      <c r="AA949" s="694"/>
      <c r="AB949" s="694"/>
      <c r="AC949" s="694"/>
      <c r="AD949" s="694"/>
      <c r="AE949" s="694"/>
      <c r="AF949" s="694"/>
      <c r="AG949" s="694"/>
      <c r="AH949" s="694"/>
      <c r="AI949" s="694"/>
      <c r="AJ949" s="694"/>
      <c r="AK949" s="694"/>
      <c r="AL949" s="694"/>
    </row>
    <row r="950" spans="1:38" ht="15" customHeight="1" x14ac:dyDescent="0.25">
      <c r="A950" s="694"/>
      <c r="B950" s="698"/>
      <c r="C950" s="1303"/>
      <c r="D950" s="2841" t="str">
        <f>EUconst_BMSubinst &amp; ":"</f>
        <v>Подинсталация с продуктов показател:</v>
      </c>
      <c r="E950" s="2839"/>
      <c r="F950" s="2839"/>
      <c r="G950" s="2839"/>
      <c r="H950" s="2842"/>
      <c r="I950" s="2843" t="str">
        <f>I856</f>
        <v/>
      </c>
      <c r="J950" s="2844"/>
      <c r="K950" s="2844"/>
      <c r="L950" s="2844"/>
      <c r="M950" s="2844"/>
      <c r="N950" s="2845"/>
      <c r="O950" s="302"/>
      <c r="P950" s="302"/>
      <c r="Q950" s="694"/>
      <c r="R950" s="694"/>
      <c r="S950" s="729"/>
      <c r="T950" s="729"/>
      <c r="U950" s="694"/>
      <c r="V950" s="694"/>
      <c r="W950" s="694"/>
      <c r="X950" s="694"/>
      <c r="Y950" s="694"/>
      <c r="Z950" s="694"/>
      <c r="AA950" s="694"/>
      <c r="AB950" s="694"/>
      <c r="AC950" s="694"/>
      <c r="AD950" s="694"/>
      <c r="AE950" s="694"/>
      <c r="AF950" s="694"/>
      <c r="AG950" s="694"/>
      <c r="AH950" s="694"/>
      <c r="AI950" s="694"/>
      <c r="AJ950" s="694"/>
      <c r="AK950" s="694"/>
      <c r="AL950" s="694"/>
    </row>
    <row r="951" spans="1:38" ht="5.15" customHeight="1" x14ac:dyDescent="0.25">
      <c r="A951" s="694"/>
      <c r="B951" s="698"/>
      <c r="C951" s="1303"/>
      <c r="D951" s="1304"/>
      <c r="E951" s="1304"/>
      <c r="F951" s="1304"/>
      <c r="G951" s="1304"/>
      <c r="H951" s="1304"/>
      <c r="I951" s="1304"/>
      <c r="J951" s="1304"/>
      <c r="K951" s="1304"/>
      <c r="L951" s="1304"/>
      <c r="M951" s="1304"/>
      <c r="N951" s="1305"/>
      <c r="O951" s="302"/>
      <c r="P951" s="302"/>
      <c r="Q951" s="694"/>
      <c r="R951" s="694"/>
      <c r="S951" s="729"/>
      <c r="T951" s="729"/>
      <c r="U951" s="694"/>
      <c r="V951" s="694"/>
      <c r="W951" s="694"/>
      <c r="X951" s="694"/>
      <c r="Y951" s="694"/>
      <c r="Z951" s="694"/>
      <c r="AA951" s="694"/>
      <c r="AB951" s="694"/>
      <c r="AC951" s="694"/>
      <c r="AD951" s="694"/>
      <c r="AE951" s="694"/>
      <c r="AF951" s="694"/>
      <c r="AG951" s="694"/>
      <c r="AH951" s="694"/>
      <c r="AI951" s="694"/>
      <c r="AJ951" s="694"/>
      <c r="AK951" s="694"/>
      <c r="AL951" s="694"/>
    </row>
    <row r="952" spans="1:38" ht="30" customHeight="1" x14ac:dyDescent="0.25">
      <c r="A952" s="694"/>
      <c r="B952" s="298"/>
      <c r="C952" s="1302"/>
      <c r="D952" s="1306"/>
      <c r="E952" s="2846" t="str">
        <f>Translations!$B$503</f>
        <v>В този подраздел се обхваща разпределението на емисии по пораждащи емисии потоци, източници на емисии, получена или подадена измерима топлинна енергия и отпадни газове, включително загубите на топлинна енергия съгласно раздел 10 от приложение VII към ПБР.</v>
      </c>
      <c r="F952" s="2846"/>
      <c r="G952" s="2846"/>
      <c r="H952" s="2846"/>
      <c r="I952" s="2846"/>
      <c r="J952" s="2846"/>
      <c r="K952" s="2846"/>
      <c r="L952" s="2846"/>
      <c r="M952" s="2846"/>
      <c r="N952" s="2847"/>
      <c r="O952" s="302"/>
      <c r="P952" s="302"/>
      <c r="Q952" s="729"/>
      <c r="R952" s="694"/>
      <c r="S952" s="694"/>
      <c r="T952" s="694"/>
      <c r="U952" s="694"/>
      <c r="V952" s="694"/>
      <c r="W952" s="694"/>
      <c r="X952" s="694"/>
      <c r="Y952" s="694"/>
      <c r="Z952" s="694"/>
      <c r="AA952" s="694"/>
      <c r="AB952" s="694"/>
      <c r="AC952" s="694"/>
      <c r="AD952" s="694"/>
      <c r="AE952" s="694"/>
      <c r="AF952" s="694"/>
      <c r="AG952" s="694"/>
      <c r="AH952" s="694"/>
      <c r="AI952" s="694"/>
      <c r="AJ952" s="694"/>
      <c r="AK952" s="694"/>
      <c r="AL952" s="694"/>
    </row>
    <row r="953" spans="1:38" ht="30" customHeight="1" x14ac:dyDescent="0.25">
      <c r="A953" s="694"/>
      <c r="B953" s="298"/>
      <c r="C953" s="1302"/>
      <c r="D953" s="1306"/>
      <c r="E953" s="2846" t="str">
        <f>Translations!$B$504</f>
        <v xml:space="preserve">Моля, имайте предвид, че въпреки дадените известни насоки по всяка от точките по-долу трябва да потърсите допълнителна информация в обяснителна бележка № 5 („Мониторинг и докладване във връзка с ПБР“), която съдържа и примери. </v>
      </c>
      <c r="F953" s="2846"/>
      <c r="G953" s="2846"/>
      <c r="H953" s="2846"/>
      <c r="I953" s="2846"/>
      <c r="J953" s="2846"/>
      <c r="K953" s="2846"/>
      <c r="L953" s="2846"/>
      <c r="M953" s="2846"/>
      <c r="N953" s="2811"/>
      <c r="O953" s="302"/>
      <c r="P953" s="302"/>
      <c r="Q953" s="729"/>
      <c r="R953" s="694"/>
      <c r="S953" s="694"/>
      <c r="T953" s="694"/>
      <c r="U953" s="694"/>
      <c r="V953" s="694"/>
      <c r="W953" s="694"/>
      <c r="X953" s="694"/>
      <c r="Y953" s="694"/>
      <c r="Z953" s="694"/>
      <c r="AA953" s="694"/>
      <c r="AB953" s="694"/>
      <c r="AC953" s="694"/>
      <c r="AD953" s="694"/>
      <c r="AE953" s="694"/>
      <c r="AF953" s="694"/>
      <c r="AG953" s="694"/>
      <c r="AH953" s="694"/>
      <c r="AI953" s="694"/>
      <c r="AJ953" s="694"/>
      <c r="AK953" s="694"/>
      <c r="AL953" s="694"/>
    </row>
    <row r="954" spans="1:38" ht="12.75" customHeight="1" x14ac:dyDescent="0.25">
      <c r="A954" s="694"/>
      <c r="B954" s="298"/>
      <c r="C954" s="1302"/>
      <c r="D954" s="1306"/>
      <c r="E954" s="2846" t="str">
        <f>Translations!$B$505</f>
        <v>Можете да изтеглите насоките на адрес: https://ec.europa.eu/clima/policies/ets/allowances_en#tab-0-1</v>
      </c>
      <c r="F954" s="2240"/>
      <c r="G954" s="2240"/>
      <c r="H954" s="2240"/>
      <c r="I954" s="2240"/>
      <c r="J954" s="2240"/>
      <c r="K954" s="2240"/>
      <c r="L954" s="2240"/>
      <c r="M954" s="2240"/>
      <c r="N954" s="2811"/>
      <c r="O954" s="302"/>
      <c r="P954" s="302"/>
      <c r="Q954" s="729"/>
      <c r="R954" s="694"/>
      <c r="S954" s="694"/>
      <c r="T954" s="694"/>
      <c r="U954" s="694"/>
      <c r="V954" s="694"/>
      <c r="W954" s="694"/>
      <c r="X954" s="694"/>
      <c r="Y954" s="694"/>
      <c r="Z954" s="694"/>
      <c r="AA954" s="694"/>
      <c r="AB954" s="694"/>
      <c r="AC954" s="694"/>
      <c r="AD954" s="694"/>
      <c r="AE954" s="694"/>
      <c r="AF954" s="694"/>
      <c r="AG954" s="694"/>
      <c r="AH954" s="694"/>
      <c r="AI954" s="694"/>
      <c r="AJ954" s="694"/>
      <c r="AK954" s="694"/>
      <c r="AL954" s="694"/>
    </row>
    <row r="955" spans="1:38" ht="15" customHeight="1" x14ac:dyDescent="0.25">
      <c r="A955" s="694"/>
      <c r="B955" s="298"/>
      <c r="C955" s="1302"/>
      <c r="D955" s="1306"/>
      <c r="E955" s="2848" t="str">
        <f t="shared" ref="E955" si="1111">$E$674</f>
        <v>https://climate.ec.europa.eu/eu-action/carbon-markets/eu-emissions-trading-system-eu-ets/free-allocation/about-free-allocation_en</v>
      </c>
      <c r="F955" s="2848"/>
      <c r="G955" s="2848"/>
      <c r="H955" s="2848"/>
      <c r="I955" s="2848"/>
      <c r="J955" s="2848"/>
      <c r="K955" s="2848"/>
      <c r="L955" s="2848"/>
      <c r="M955" s="2848"/>
      <c r="N955" s="2827"/>
      <c r="O955" s="302"/>
      <c r="P955" s="302"/>
      <c r="Q955" s="729"/>
      <c r="R955" s="694"/>
      <c r="S955" s="694"/>
      <c r="T955" s="694"/>
      <c r="U955" s="694"/>
      <c r="V955" s="694"/>
      <c r="W955" s="694"/>
      <c r="X955" s="694"/>
      <c r="Y955" s="694"/>
      <c r="Z955" s="694"/>
      <c r="AA955" s="694"/>
      <c r="AB955" s="694"/>
      <c r="AC955" s="694"/>
      <c r="AD955" s="694"/>
      <c r="AE955" s="694"/>
      <c r="AF955" s="694"/>
      <c r="AG955" s="694"/>
      <c r="AH955" s="694"/>
      <c r="AI955" s="694"/>
      <c r="AJ955" s="694"/>
      <c r="AK955" s="694"/>
      <c r="AL955" s="694"/>
    </row>
    <row r="956" spans="1:38" ht="5.15" customHeight="1" x14ac:dyDescent="0.25">
      <c r="A956" s="694"/>
      <c r="B956" s="698"/>
      <c r="C956" s="1303"/>
      <c r="D956" s="1304"/>
      <c r="E956" s="1304"/>
      <c r="F956" s="1304"/>
      <c r="G956" s="1304"/>
      <c r="H956" s="1304"/>
      <c r="I956" s="1304"/>
      <c r="J956" s="1304"/>
      <c r="K956" s="1304"/>
      <c r="L956" s="1304"/>
      <c r="M956" s="1304"/>
      <c r="N956" s="1305"/>
      <c r="O956" s="302"/>
      <c r="P956" s="302"/>
      <c r="Q956" s="694"/>
      <c r="R956" s="694"/>
      <c r="S956" s="729"/>
      <c r="T956" s="729"/>
      <c r="U956" s="694"/>
      <c r="V956" s="694"/>
      <c r="W956" s="694"/>
      <c r="X956" s="694"/>
      <c r="Y956" s="694"/>
      <c r="Z956" s="694"/>
      <c r="AA956" s="694"/>
      <c r="AB956" s="694"/>
      <c r="AC956" s="694"/>
      <c r="AD956" s="694"/>
      <c r="AE956" s="694"/>
      <c r="AF956" s="694"/>
      <c r="AG956" s="694"/>
      <c r="AH956" s="694"/>
      <c r="AI956" s="694"/>
      <c r="AJ956" s="694"/>
      <c r="AK956" s="694"/>
      <c r="AL956" s="694"/>
    </row>
    <row r="957" spans="1:38" ht="15" customHeight="1" x14ac:dyDescent="0.25">
      <c r="A957" s="694"/>
      <c r="B957" s="298"/>
      <c r="C957" s="1302"/>
      <c r="D957" s="1306"/>
      <c r="E957" s="2849" t="str">
        <f>Translations!$B$506</f>
        <v>При въвеждане на данните по-долу емисиите, които могат да бъдат зададени, са изчислени в раздел K.III.2 в листа за обобщение.</v>
      </c>
      <c r="F957" s="2849"/>
      <c r="G957" s="2849"/>
      <c r="H957" s="2849"/>
      <c r="I957" s="2849"/>
      <c r="J957" s="2849"/>
      <c r="K957" s="2849"/>
      <c r="L957" s="2849"/>
      <c r="M957" s="2849"/>
      <c r="N957" s="2827"/>
      <c r="O957" s="302"/>
      <c r="P957" s="302"/>
      <c r="Q957" s="729"/>
      <c r="R957" s="694"/>
      <c r="S957" s="694"/>
      <c r="T957" s="694"/>
      <c r="U957" s="694"/>
      <c r="V957" s="694"/>
      <c r="W957" s="694"/>
      <c r="X957" s="694"/>
      <c r="Y957" s="694"/>
      <c r="Z957" s="694"/>
      <c r="AA957" s="694"/>
      <c r="AB957" s="694"/>
      <c r="AC957" s="694"/>
      <c r="AD957" s="694"/>
      <c r="AE957" s="694"/>
      <c r="AF957" s="694"/>
      <c r="AG957" s="694"/>
      <c r="AH957" s="694"/>
      <c r="AI957" s="694"/>
      <c r="AJ957" s="694"/>
      <c r="AK957" s="694"/>
      <c r="AL957" s="694"/>
    </row>
    <row r="958" spans="1:38" ht="5.15" customHeight="1" x14ac:dyDescent="0.25">
      <c r="A958" s="694"/>
      <c r="B958" s="698"/>
      <c r="C958" s="1303"/>
      <c r="D958" s="1304"/>
      <c r="E958" s="1304"/>
      <c r="F958" s="1304"/>
      <c r="G958" s="1304"/>
      <c r="H958" s="1304"/>
      <c r="I958" s="1304"/>
      <c r="J958" s="1304"/>
      <c r="K958" s="1304"/>
      <c r="L958" s="1304"/>
      <c r="M958" s="1304"/>
      <c r="N958" s="1305"/>
      <c r="O958" s="302"/>
      <c r="P958" s="302"/>
      <c r="Q958" s="694"/>
      <c r="R958" s="694"/>
      <c r="S958" s="729"/>
      <c r="T958" s="729"/>
      <c r="U958" s="694"/>
      <c r="V958" s="694"/>
      <c r="W958" s="694"/>
      <c r="X958" s="694"/>
      <c r="Y958" s="694"/>
      <c r="Z958" s="694"/>
      <c r="AA958" s="694"/>
      <c r="AB958" s="694"/>
      <c r="AC958" s="694"/>
      <c r="AD958" s="694"/>
      <c r="AE958" s="694"/>
      <c r="AF958" s="694"/>
      <c r="AG958" s="694"/>
      <c r="AH958" s="694"/>
      <c r="AI958" s="694"/>
      <c r="AJ958" s="694"/>
      <c r="AK958" s="694"/>
      <c r="AL958" s="694"/>
    </row>
    <row r="959" spans="1:38" ht="12.75" customHeight="1" x14ac:dyDescent="0.25">
      <c r="A959" s="694"/>
      <c r="B959" s="298"/>
      <c r="C959" s="1302"/>
      <c r="D959" s="1307" t="s">
        <v>273</v>
      </c>
      <c r="E959" s="2850" t="str">
        <f>Translations!$B$507</f>
        <v>Емисии, които могат се зададат пряко (DirEm* (пораждащи емисии потоци от плана за мониторинг)) на тази подинсталация</v>
      </c>
      <c r="F959" s="2851"/>
      <c r="G959" s="2851"/>
      <c r="H959" s="2851"/>
      <c r="I959" s="2851"/>
      <c r="J959" s="2851"/>
      <c r="K959" s="2851"/>
      <c r="L959" s="2851"/>
      <c r="M959" s="2851"/>
      <c r="N959" s="2852"/>
      <c r="O959" s="302"/>
      <c r="P959" s="302"/>
      <c r="Q959" s="729"/>
      <c r="R959" s="694"/>
      <c r="S959" s="729"/>
      <c r="T959" s="729"/>
      <c r="U959" s="694"/>
      <c r="V959" s="694"/>
      <c r="W959" s="694"/>
      <c r="X959" s="694"/>
      <c r="Y959" s="694"/>
      <c r="Z959" s="694"/>
      <c r="AA959" s="694"/>
      <c r="AB959" s="694"/>
      <c r="AC959" s="694"/>
      <c r="AD959" s="694"/>
      <c r="AE959" s="694"/>
      <c r="AF959" s="694"/>
      <c r="AG959" s="694"/>
      <c r="AH959" s="694"/>
      <c r="AI959" s="694"/>
      <c r="AJ959" s="694"/>
      <c r="AK959" s="694"/>
      <c r="AL959" s="694"/>
    </row>
    <row r="960" spans="1:38" ht="12.75" customHeight="1" x14ac:dyDescent="0.25">
      <c r="A960" s="694"/>
      <c r="B960" s="298"/>
      <c r="C960" s="1302"/>
      <c r="D960" s="625"/>
      <c r="E960" s="2853" t="str">
        <f>Translations!$B$508</f>
        <v>Посочените тук данни ще се отразят на емисиите, които могат да бъдат зададени съгласно раздел 10.1.1 от приложение VII към ПБР.</v>
      </c>
      <c r="F960" s="2850"/>
      <c r="G960" s="2850"/>
      <c r="H960" s="2850"/>
      <c r="I960" s="2850"/>
      <c r="J960" s="2850"/>
      <c r="K960" s="2850"/>
      <c r="L960" s="2850"/>
      <c r="M960" s="2850"/>
      <c r="N960" s="2854"/>
      <c r="O960" s="302"/>
      <c r="P960" s="302"/>
      <c r="Q960" s="729"/>
      <c r="R960" s="694"/>
      <c r="S960" s="729"/>
      <c r="T960" s="729"/>
      <c r="U960" s="694"/>
      <c r="V960" s="694"/>
      <c r="W960" s="694"/>
      <c r="X960" s="694"/>
      <c r="Y960" s="694"/>
      <c r="Z960" s="694"/>
      <c r="AA960" s="694"/>
      <c r="AB960" s="694"/>
      <c r="AC960" s="694"/>
      <c r="AD960" s="694"/>
      <c r="AE960" s="694"/>
      <c r="AF960" s="694"/>
      <c r="AG960" s="694"/>
      <c r="AH960" s="694"/>
      <c r="AI960" s="694"/>
      <c r="AJ960" s="694"/>
      <c r="AK960" s="694"/>
      <c r="AL960" s="694"/>
    </row>
    <row r="961" spans="1:38" ht="12.75" customHeight="1" x14ac:dyDescent="0.25">
      <c r="A961" s="694"/>
      <c r="B961" s="298"/>
      <c r="C961" s="1302"/>
      <c r="D961" s="1306"/>
      <c r="E961" s="2836" t="str">
        <f>Translations!$B$509</f>
        <v>Моля, въведете тук емисиите, които могат да се зададат пряко (DirEm* (пораждащи емисии потоци от плана за мониторинг)) на тази подинсталация, като се имат предвид следните уговорки:</v>
      </c>
      <c r="F961" s="2836"/>
      <c r="G961" s="2836"/>
      <c r="H961" s="2836"/>
      <c r="I961" s="2836"/>
      <c r="J961" s="2836"/>
      <c r="K961" s="2836"/>
      <c r="L961" s="2836"/>
      <c r="M961" s="2836"/>
      <c r="N961" s="2837"/>
      <c r="O961" s="302"/>
      <c r="P961" s="302"/>
      <c r="Q961" s="729"/>
      <c r="R961" s="694"/>
      <c r="S961" s="729"/>
      <c r="T961" s="694"/>
      <c r="U961" s="694"/>
      <c r="V961" s="694"/>
      <c r="W961" s="694"/>
      <c r="X961" s="694"/>
      <c r="Y961" s="694"/>
      <c r="Z961" s="694"/>
      <c r="AA961" s="694"/>
      <c r="AB961" s="694"/>
      <c r="AC961" s="694"/>
      <c r="AD961" s="694"/>
      <c r="AE961" s="694"/>
      <c r="AF961" s="694"/>
      <c r="AG961" s="694"/>
      <c r="AH961" s="694"/>
      <c r="AI961" s="694"/>
      <c r="AJ961" s="694"/>
      <c r="AK961" s="694"/>
      <c r="AL961" s="694"/>
    </row>
    <row r="962" spans="1:38" ht="25.5" customHeight="1" x14ac:dyDescent="0.25">
      <c r="A962" s="694"/>
      <c r="B962" s="298"/>
      <c r="C962" s="1302"/>
      <c r="D962" s="1306"/>
      <c r="E962" s="1308" t="s">
        <v>1052</v>
      </c>
      <c r="F962" s="2838" t="str">
        <f>Translations!$B$510</f>
        <v>„емисиите, които могат да се зададат пряко“, се следят в съответствие с плана за мониторинг, одобрен съгласно Регламента относно мониторинга и докладването (РМД), т.е. като се отчитат емисиите, получени по методики, основани на изчисления (като се използват пораждащите емисии потоци), по базиращи се на измервания методики (БИМ), както и по подходи без подреждане („fall-backs“).</v>
      </c>
      <c r="G962" s="2839"/>
      <c r="H962" s="2839"/>
      <c r="I962" s="2839"/>
      <c r="J962" s="2839"/>
      <c r="K962" s="2839"/>
      <c r="L962" s="2839"/>
      <c r="M962" s="2839"/>
      <c r="N962" s="2840"/>
      <c r="O962" s="302"/>
      <c r="P962" s="302"/>
      <c r="Q962" s="729"/>
      <c r="R962" s="694"/>
      <c r="S962" s="729"/>
      <c r="T962" s="694"/>
      <c r="U962" s="694"/>
      <c r="V962" s="694"/>
      <c r="W962" s="694"/>
      <c r="X962" s="694"/>
      <c r="Y962" s="694"/>
      <c r="Z962" s="694"/>
      <c r="AA962" s="694"/>
      <c r="AB962" s="694"/>
      <c r="AC962" s="694"/>
      <c r="AD962" s="694"/>
      <c r="AE962" s="694"/>
      <c r="AF962" s="694"/>
      <c r="AG962" s="694"/>
      <c r="AH962" s="694"/>
      <c r="AI962" s="694"/>
      <c r="AJ962" s="694"/>
      <c r="AK962" s="694"/>
      <c r="AL962" s="694"/>
    </row>
    <row r="963" spans="1:38" ht="38.25" customHeight="1" x14ac:dyDescent="0.25">
      <c r="A963" s="694"/>
      <c r="B963" s="298"/>
      <c r="C963" s="1302"/>
      <c r="D963" s="1306"/>
      <c r="E963" s="1308"/>
      <c r="F963" s="2810" t="str">
        <f>Translations!$B$511</f>
        <v>В някои случая обаче в този раздел „емисиите, които могат да се зададат пряко“, не са същите като отчетените съгласно РМД. Такива случаи са например пораждащи емисии потоци, използвани за производство на измерима топлинна енергия, отпадни газове и др. С други думи, трябва да попълните разделите по-долу много внимателно и да спазите строго инструкциите, за да се избегнат двойно отчитане или пропуски.</v>
      </c>
      <c r="G963" s="2240"/>
      <c r="H963" s="2240"/>
      <c r="I963" s="2240"/>
      <c r="J963" s="2240"/>
      <c r="K963" s="2240"/>
      <c r="L963" s="2240"/>
      <c r="M963" s="2240"/>
      <c r="N963" s="2811"/>
      <c r="O963" s="302"/>
      <c r="P963" s="302"/>
      <c r="Q963" s="729"/>
      <c r="R963" s="694"/>
      <c r="S963" s="729"/>
      <c r="T963" s="694"/>
      <c r="U963" s="694"/>
      <c r="V963" s="694"/>
      <c r="W963" s="694"/>
      <c r="X963" s="694"/>
      <c r="Y963" s="694"/>
      <c r="Z963" s="694"/>
      <c r="AA963" s="694"/>
      <c r="AB963" s="694"/>
      <c r="AC963" s="694"/>
      <c r="AD963" s="694"/>
      <c r="AE963" s="694"/>
      <c r="AF963" s="694"/>
      <c r="AG963" s="694"/>
      <c r="AH963" s="694"/>
      <c r="AI963" s="694"/>
      <c r="AJ963" s="694"/>
      <c r="AK963" s="694"/>
      <c r="AL963" s="694"/>
    </row>
    <row r="964" spans="1:38" ht="12.75" customHeight="1" x14ac:dyDescent="0.25">
      <c r="A964" s="694"/>
      <c r="B964" s="298"/>
      <c r="C964" s="1302"/>
      <c r="D964" s="1306"/>
      <c r="E964" s="1308" t="s">
        <v>1052</v>
      </c>
      <c r="F964" s="2838" t="str">
        <f>Translations!$B$512</f>
        <v xml:space="preserve">Измерима топлинна енергия: в случай че топлинната енергия е произведена изключително за една подинсталация, емисиите могат да се зададат пряко тук чрез емисиите за горивата. </v>
      </c>
      <c r="G964" s="2839"/>
      <c r="H964" s="2839"/>
      <c r="I964" s="2839"/>
      <c r="J964" s="2839"/>
      <c r="K964" s="2839"/>
      <c r="L964" s="2839"/>
      <c r="M964" s="2839"/>
      <c r="N964" s="2840"/>
      <c r="O964" s="302"/>
      <c r="P964" s="302"/>
      <c r="Q964" s="729"/>
      <c r="R964" s="694"/>
      <c r="S964" s="729"/>
      <c r="T964" s="694"/>
      <c r="U964" s="694"/>
      <c r="V964" s="694"/>
      <c r="W964" s="694"/>
      <c r="X964" s="694"/>
      <c r="Y964" s="694"/>
      <c r="Z964" s="694"/>
      <c r="AA964" s="694"/>
      <c r="AB964" s="694"/>
      <c r="AC964" s="694"/>
      <c r="AD964" s="694"/>
      <c r="AE964" s="694"/>
      <c r="AF964" s="694"/>
      <c r="AG964" s="694"/>
      <c r="AH964" s="694"/>
      <c r="AI964" s="694"/>
      <c r="AJ964" s="694"/>
      <c r="AK964" s="694"/>
      <c r="AL964" s="694"/>
    </row>
    <row r="965" spans="1:38" ht="38.9" customHeight="1" x14ac:dyDescent="0.25">
      <c r="A965" s="694"/>
      <c r="B965" s="298"/>
      <c r="C965" s="1302"/>
      <c r="D965" s="1306"/>
      <c r="E965" s="1308"/>
      <c r="F965" s="2838" t="str">
        <f>Translations!$B$513</f>
        <v>Когато за производството на измерима топлинна енергия са използвани горива като „входящи потоци“ към повече от една подинсталация, в която се консумира топлинната енергия (което включва случаи с входящи и изходящи потоци от и към други инсталации), горивата не трябва да се включват в „емисиите, които могат да се зададат пряко“ на подинсталацията, а в буква k) по-долу.</v>
      </c>
      <c r="G965" s="2839"/>
      <c r="H965" s="2839"/>
      <c r="I965" s="2839"/>
      <c r="J965" s="2839"/>
      <c r="K965" s="2839"/>
      <c r="L965" s="2839"/>
      <c r="M965" s="2839"/>
      <c r="N965" s="2840"/>
      <c r="O965" s="302"/>
      <c r="P965" s="302"/>
      <c r="Q965" s="729"/>
      <c r="R965" s="694"/>
      <c r="S965" s="729"/>
      <c r="T965" s="694"/>
      <c r="U965" s="694"/>
      <c r="V965" s="694"/>
      <c r="W965" s="694"/>
      <c r="X965" s="694"/>
      <c r="Y965" s="694"/>
      <c r="Z965" s="694"/>
      <c r="AA965" s="694"/>
      <c r="AB965" s="694"/>
      <c r="AC965" s="694"/>
      <c r="AD965" s="694"/>
      <c r="AE965" s="694"/>
      <c r="AF965" s="694"/>
      <c r="AG965" s="694"/>
      <c r="AH965" s="694"/>
      <c r="AI965" s="694"/>
      <c r="AJ965" s="694"/>
      <c r="AK965" s="694"/>
      <c r="AL965" s="694"/>
    </row>
    <row r="966" spans="1:38" ht="25.5" customHeight="1" x14ac:dyDescent="0.25">
      <c r="A966" s="694"/>
      <c r="B966" s="298"/>
      <c r="C966" s="1302"/>
      <c r="D966" s="1306"/>
      <c r="E966" s="1308"/>
      <c r="F966" s="2838" t="str">
        <f>Translations!$B$514</f>
        <v>„Входящите потоци“ включват измеримата топлинна енергия от съоръжения в рамките на обекта (напр. централна електростанция в инсталацията или по-сложна мрежа за генериране на пара с няколко съоръжения за производство на топлинна енергия), които доставят топлинна енергия до повече от една подинсталация. В такъв случай емисиите също не трябва да се задават тук, а в точка k).i. по-долу.</v>
      </c>
      <c r="G966" s="2839"/>
      <c r="H966" s="2839"/>
      <c r="I966" s="2839"/>
      <c r="J966" s="2839"/>
      <c r="K966" s="2839"/>
      <c r="L966" s="2839"/>
      <c r="M966" s="2839"/>
      <c r="N966" s="2840"/>
      <c r="O966" s="302"/>
      <c r="P966" s="302"/>
      <c r="Q966" s="729"/>
      <c r="R966" s="694"/>
      <c r="S966" s="729"/>
      <c r="T966" s="694"/>
      <c r="U966" s="694"/>
      <c r="V966" s="694"/>
      <c r="W966" s="694"/>
      <c r="X966" s="694"/>
      <c r="Y966" s="694"/>
      <c r="Z966" s="694"/>
      <c r="AA966" s="694"/>
      <c r="AB966" s="694"/>
      <c r="AC966" s="694"/>
      <c r="AD966" s="694"/>
      <c r="AE966" s="694"/>
      <c r="AF966" s="694"/>
      <c r="AG966" s="694"/>
      <c r="AH966" s="694"/>
      <c r="AI966" s="694"/>
      <c r="AJ966" s="694"/>
      <c r="AK966" s="694"/>
      <c r="AL966" s="694"/>
    </row>
    <row r="967" spans="1:38" ht="25.5" customHeight="1" x14ac:dyDescent="0.25">
      <c r="A967" s="694"/>
      <c r="B967" s="298"/>
      <c r="C967" s="1302"/>
      <c r="D967" s="1306"/>
      <c r="E967" s="1308" t="s">
        <v>1052</v>
      </c>
      <c r="F967" s="2838" t="str">
        <f>Translations!$B$515</f>
        <v>Подавана навън измерима топлинна енергия: Когато тази топлинна енергия се извлича от процеси или се подава навън, тук не се правят корекции. Приспадането на свързаните емисиите се извършва съгласно данните, въведени в точка k).v. по-долу.</v>
      </c>
      <c r="G967" s="2839"/>
      <c r="H967" s="2839"/>
      <c r="I967" s="2839"/>
      <c r="J967" s="2839"/>
      <c r="K967" s="2839"/>
      <c r="L967" s="2839"/>
      <c r="M967" s="2839"/>
      <c r="N967" s="2840"/>
      <c r="O967" s="302"/>
      <c r="P967" s="302"/>
      <c r="Q967" s="729"/>
      <c r="R967" s="694"/>
      <c r="S967" s="729"/>
      <c r="T967" s="694"/>
      <c r="U967" s="694"/>
      <c r="V967" s="694"/>
      <c r="W967" s="694"/>
      <c r="X967" s="694"/>
      <c r="Y967" s="694"/>
      <c r="Z967" s="694"/>
      <c r="AA967" s="694"/>
      <c r="AB967" s="694"/>
      <c r="AC967" s="694"/>
      <c r="AD967" s="694"/>
      <c r="AE967" s="694"/>
      <c r="AF967" s="694"/>
      <c r="AG967" s="694"/>
      <c r="AH967" s="694"/>
      <c r="AI967" s="694"/>
      <c r="AJ967" s="694"/>
      <c r="AK967" s="694"/>
      <c r="AL967" s="694"/>
    </row>
    <row r="968" spans="1:38" ht="25.5" customHeight="1" thickBot="1" x14ac:dyDescent="0.3">
      <c r="A968" s="694"/>
      <c r="B968" s="298"/>
      <c r="C968" s="1302"/>
      <c r="D968" s="1306"/>
      <c r="E968" s="1308" t="s">
        <v>1052</v>
      </c>
      <c r="F968" s="2838" t="str">
        <f>Translations!$B$516</f>
        <v>Отпадни газове: емисиите от отпадните газове, които са ПОЛУЧЕНИ от други инсталации или подинсталации и са консумирани в подинсталацията, не се включват тук, а се въвеждат в буква l) по-долу.</v>
      </c>
      <c r="G968" s="2839"/>
      <c r="H968" s="2839"/>
      <c r="I968" s="2839"/>
      <c r="J968" s="2839"/>
      <c r="K968" s="2839"/>
      <c r="L968" s="2839"/>
      <c r="M968" s="2839"/>
      <c r="N968" s="2840"/>
      <c r="O968" s="302"/>
      <c r="P968" s="302"/>
      <c r="Q968" s="729"/>
      <c r="R968" s="694"/>
      <c r="S968" s="729"/>
      <c r="T968" s="694"/>
      <c r="U968" s="694"/>
      <c r="V968" s="694"/>
      <c r="W968" s="694"/>
      <c r="X968" s="694"/>
      <c r="Y968" s="694"/>
      <c r="Z968" s="694"/>
      <c r="AA968" s="694"/>
      <c r="AB968" s="694"/>
      <c r="AC968" s="694"/>
      <c r="AD968" s="694"/>
      <c r="AE968" s="694"/>
      <c r="AF968" s="694"/>
      <c r="AG968" s="694"/>
      <c r="AH968" s="694"/>
      <c r="AI968" s="694"/>
      <c r="AJ968" s="694"/>
      <c r="AK968" s="694"/>
      <c r="AL968" s="694"/>
    </row>
    <row r="969" spans="1:38" ht="12.75" customHeight="1" thickBot="1" x14ac:dyDescent="0.3">
      <c r="A969" s="694"/>
      <c r="B969" s="298"/>
      <c r="C969" s="1302"/>
      <c r="D969" s="1307"/>
      <c r="E969" s="2803" t="str">
        <f>Translations!$B$517</f>
        <v>Емисии, които могат да се зададат пряко (DirEm*)</v>
      </c>
      <c r="F969" s="2803"/>
      <c r="G969" s="1309" t="str">
        <f>EUconst_Unit</f>
        <v>Единица мярка</v>
      </c>
      <c r="H969" s="629">
        <f t="shared" ref="H969:N969" si="1112">H$2831</f>
        <v>2024</v>
      </c>
      <c r="I969" s="1310">
        <f t="shared" si="1112"/>
        <v>2025</v>
      </c>
      <c r="J969" s="1311">
        <f t="shared" si="1112"/>
        <v>2026</v>
      </c>
      <c r="K969" s="629">
        <f t="shared" si="1112"/>
        <v>2027</v>
      </c>
      <c r="L969" s="629">
        <f t="shared" si="1112"/>
        <v>2028</v>
      </c>
      <c r="M969" s="629">
        <f t="shared" si="1112"/>
        <v>2029</v>
      </c>
      <c r="N969" s="1312">
        <f t="shared" si="1112"/>
        <v>2030</v>
      </c>
      <c r="O969" s="302"/>
      <c r="P969" s="302"/>
      <c r="Q969" s="729"/>
      <c r="R969" s="694"/>
      <c r="S969" s="1205"/>
      <c r="T969" s="1313">
        <f t="shared" ref="T969" si="1113">H969</f>
        <v>2024</v>
      </c>
      <c r="U969" s="1313">
        <f t="shared" ref="U969" si="1114">I969</f>
        <v>2025</v>
      </c>
      <c r="V969" s="1313">
        <f t="shared" ref="V969" si="1115">J969</f>
        <v>2026</v>
      </c>
      <c r="W969" s="1313">
        <f t="shared" ref="W969" si="1116">K969</f>
        <v>2027</v>
      </c>
      <c r="X969" s="1313">
        <f t="shared" ref="X969" si="1117">L969</f>
        <v>2028</v>
      </c>
      <c r="Y969" s="1313">
        <f t="shared" ref="Y969" si="1118">M969</f>
        <v>2029</v>
      </c>
      <c r="Z969" s="1314">
        <f t="shared" ref="Z969" si="1119">N969</f>
        <v>2030</v>
      </c>
      <c r="AA969" s="694"/>
      <c r="AB969" s="694"/>
      <c r="AC969" s="1178">
        <f t="shared" ref="AC969" si="1120">H$20</f>
        <v>2024</v>
      </c>
      <c r="AD969" s="1178">
        <f t="shared" ref="AD969" si="1121">I$20</f>
        <v>2025</v>
      </c>
      <c r="AE969" s="1178">
        <f t="shared" ref="AE969" si="1122">J$20</f>
        <v>2026</v>
      </c>
      <c r="AF969" s="1178">
        <f t="shared" ref="AF969" si="1123">K$20</f>
        <v>2027</v>
      </c>
      <c r="AG969" s="1178">
        <f t="shared" ref="AG969" si="1124">L$20</f>
        <v>2028</v>
      </c>
      <c r="AH969" s="1178">
        <f t="shared" ref="AH969" si="1125">M$20</f>
        <v>2029</v>
      </c>
      <c r="AI969" s="1178">
        <f t="shared" ref="AI969" si="1126">N$20</f>
        <v>2030</v>
      </c>
      <c r="AJ969" s="694"/>
      <c r="AK969" s="694"/>
      <c r="AL969" s="694"/>
    </row>
    <row r="970" spans="1:38" ht="12.75" customHeight="1" thickBot="1" x14ac:dyDescent="0.3">
      <c r="A970" s="694"/>
      <c r="B970" s="298"/>
      <c r="C970" s="1302"/>
      <c r="D970" s="1306"/>
      <c r="E970" s="2814" t="str">
        <f>I856</f>
        <v/>
      </c>
      <c r="F970" s="2258"/>
      <c r="G970" s="642" t="str">
        <f>EUconst_tCO2epa</f>
        <v>t CO2e/година</v>
      </c>
      <c r="H970" s="56"/>
      <c r="I970" s="115"/>
      <c r="J970" s="118"/>
      <c r="K970" s="56"/>
      <c r="L970" s="56"/>
      <c r="M970" s="56"/>
      <c r="N970" s="121"/>
      <c r="O970" s="302"/>
      <c r="P970" s="158"/>
      <c r="Q970" s="1190" t="str">
        <f>EUconst_CNTR_Emissions &amp; I856</f>
        <v>DirEmissions_</v>
      </c>
      <c r="R970" s="694"/>
      <c r="S970" s="1315" t="str">
        <f>EUconst_CNTR_AttributedEmissions &amp; I856</f>
        <v>AttrEmissions_</v>
      </c>
      <c r="T970" s="1290" t="str">
        <f t="shared" ref="T970" si="1127">IF(T864,SUM(H970),"")</f>
        <v/>
      </c>
      <c r="U970" s="1290" t="str">
        <f t="shared" ref="U970" si="1128">IF(U864,SUM(I970),"")</f>
        <v/>
      </c>
      <c r="V970" s="1290" t="str">
        <f t="shared" ref="V970" si="1129">IF(V864,SUM(J970),"")</f>
        <v/>
      </c>
      <c r="W970" s="1290" t="str">
        <f t="shared" ref="W970" si="1130">IF(W864,SUM(K970),"")</f>
        <v/>
      </c>
      <c r="X970" s="1290" t="str">
        <f t="shared" ref="X970" si="1131">IF(X864,SUM(L970),"")</f>
        <v/>
      </c>
      <c r="Y970" s="1290" t="str">
        <f t="shared" ref="Y970" si="1132">IF(Y864,SUM(M970),"")</f>
        <v/>
      </c>
      <c r="Z970" s="1291" t="str">
        <f t="shared" ref="Z970" si="1133">IF(Z864,SUM(N970),"")</f>
        <v/>
      </c>
      <c r="AA970" s="694"/>
      <c r="AB970" s="1182" t="s">
        <v>737</v>
      </c>
      <c r="AC970" s="982" t="b">
        <f>AC903</f>
        <v>0</v>
      </c>
      <c r="AD970" s="982" t="b">
        <f t="shared" ref="AD970:AI970" si="1134">AD903</f>
        <v>0</v>
      </c>
      <c r="AE970" s="982" t="b">
        <f t="shared" si="1134"/>
        <v>0</v>
      </c>
      <c r="AF970" s="982" t="b">
        <f t="shared" si="1134"/>
        <v>0</v>
      </c>
      <c r="AG970" s="982" t="b">
        <f t="shared" si="1134"/>
        <v>0</v>
      </c>
      <c r="AH970" s="982" t="b">
        <f t="shared" si="1134"/>
        <v>0</v>
      </c>
      <c r="AI970" s="982" t="b">
        <f t="shared" si="1134"/>
        <v>0</v>
      </c>
      <c r="AJ970" s="1174" t="s">
        <v>2039</v>
      </c>
      <c r="AK970" s="1176" t="str">
        <f>IF(AND(CNTR_ExistSubInstEntries,MSconst_RequireSubAttrEmissions,COUNTIFS(AC970:AI970,FALSE,H970:N970,"")&gt;0),EUconst_Error&amp;"BM"&amp;$Q856,"")</f>
        <v/>
      </c>
      <c r="AL970" s="694"/>
    </row>
    <row r="971" spans="1:38" ht="12.75" customHeight="1" x14ac:dyDescent="0.25">
      <c r="A971" s="694"/>
      <c r="B971" s="298"/>
      <c r="C971" s="1302"/>
      <c r="D971" s="1306"/>
      <c r="E971" s="1306"/>
      <c r="F971" s="1306"/>
      <c r="G971" s="1306"/>
      <c r="H971" s="1306"/>
      <c r="I971" s="1306"/>
      <c r="J971" s="1306"/>
      <c r="K971" s="1306"/>
      <c r="L971" s="1306"/>
      <c r="M971" s="626"/>
      <c r="N971" s="1316"/>
      <c r="O971" s="302"/>
      <c r="P971" s="302"/>
      <c r="Q971" s="729"/>
      <c r="R971" s="694"/>
      <c r="S971" s="729"/>
      <c r="T971" s="694"/>
      <c r="U971" s="694"/>
      <c r="V971" s="694"/>
      <c r="W971" s="694"/>
      <c r="X971" s="694"/>
      <c r="Y971" s="694"/>
      <c r="Z971" s="694"/>
      <c r="AA971" s="694"/>
      <c r="AB971" s="694"/>
      <c r="AC971" s="694"/>
      <c r="AD971" s="694"/>
      <c r="AE971" s="694"/>
      <c r="AF971" s="694"/>
      <c r="AG971" s="694"/>
      <c r="AH971" s="694"/>
      <c r="AI971" s="694"/>
      <c r="AJ971" s="694"/>
      <c r="AK971" s="694"/>
      <c r="AL971" s="694"/>
    </row>
    <row r="972" spans="1:38" ht="12.75" customHeight="1" x14ac:dyDescent="0.25">
      <c r="A972" s="694"/>
      <c r="B972" s="298"/>
      <c r="C972" s="1302"/>
      <c r="D972" s="1307" t="s">
        <v>277</v>
      </c>
      <c r="E972" s="2815" t="str">
        <f>Translations!$B$1524</f>
        <v>Вложена енергия в тази подинсталация и съответен емисионен фактор</v>
      </c>
      <c r="F972" s="2240"/>
      <c r="G972" s="2240"/>
      <c r="H972" s="2240"/>
      <c r="I972" s="2240"/>
      <c r="J972" s="2240"/>
      <c r="K972" s="2240"/>
      <c r="L972" s="2240"/>
      <c r="M972" s="2240"/>
      <c r="N972" s="2811"/>
      <c r="O972" s="302"/>
      <c r="P972" s="302"/>
      <c r="Q972" s="729"/>
      <c r="R972" s="729"/>
      <c r="S972" s="729"/>
      <c r="T972" s="694"/>
      <c r="U972" s="694"/>
      <c r="V972" s="694"/>
      <c r="W972" s="694"/>
      <c r="X972" s="694"/>
      <c r="Y972" s="694"/>
      <c r="Z972" s="694"/>
      <c r="AA972" s="694"/>
      <c r="AB972" s="694"/>
      <c r="AC972" s="694"/>
      <c r="AD972" s="694"/>
      <c r="AE972" s="694"/>
      <c r="AF972" s="694"/>
      <c r="AG972" s="694"/>
      <c r="AH972" s="694"/>
      <c r="AI972" s="694"/>
      <c r="AJ972" s="694"/>
      <c r="AK972" s="694"/>
      <c r="AL972" s="694"/>
    </row>
    <row r="973" spans="1:38" ht="25.5" customHeight="1" x14ac:dyDescent="0.25">
      <c r="A973" s="694"/>
      <c r="B973" s="298"/>
      <c r="C973" s="1302"/>
      <c r="D973" s="1306"/>
      <c r="E973" s="2836" t="str">
        <f>Translations!$B$1525</f>
        <v>Съгласно изискванията в приложение IV, раздел 2.4, буква а) към ПБР посочете общото количество вложена енергия от горива, материали и електроенергия за генериране на топлинна енергия от подинсталацията и съответния претеглен емисионен фактор, като вземете предвид съответното енергийно съдържание на всяко гориво, включено в числовата стойност, посочена в буква ж), и приложите същите системни граници от буква ж).</v>
      </c>
      <c r="F973" s="2836"/>
      <c r="G973" s="2836"/>
      <c r="H973" s="2836"/>
      <c r="I973" s="2836"/>
      <c r="J973" s="2836"/>
      <c r="K973" s="2836"/>
      <c r="L973" s="2836"/>
      <c r="M973" s="2836"/>
      <c r="N973" s="2837"/>
      <c r="O973" s="302"/>
      <c r="P973" s="302"/>
      <c r="Q973" s="729"/>
      <c r="R973" s="729"/>
      <c r="S973" s="729"/>
      <c r="T973" s="694"/>
      <c r="U973" s="694"/>
      <c r="V973" s="694"/>
      <c r="W973" s="694"/>
      <c r="X973" s="694"/>
      <c r="Y973" s="694"/>
      <c r="Z973" s="694"/>
      <c r="AA973" s="694"/>
      <c r="AB973" s="694"/>
      <c r="AC973" s="694"/>
      <c r="AD973" s="694"/>
      <c r="AE973" s="694"/>
      <c r="AF973" s="694"/>
      <c r="AG973" s="694"/>
      <c r="AH973" s="694"/>
      <c r="AI973" s="694"/>
      <c r="AJ973" s="694"/>
      <c r="AK973" s="694"/>
      <c r="AL973" s="694"/>
    </row>
    <row r="974" spans="1:38" ht="25.5" customHeight="1" x14ac:dyDescent="0.25">
      <c r="A974" s="694"/>
      <c r="B974" s="298"/>
      <c r="C974" s="1302"/>
      <c r="D974" s="1306"/>
      <c r="E974" s="2836" t="str">
        <f>Translations!$B$1526</f>
        <v>Терминът „гориво“ следва да се тълкува като всеки запалим пораждащ емисии поток съгласно РМД, за който може да се установи долната топлина на изгаряне. Претегленият емисионен фактор съответства на натрупаните емисии от горива, разделени на общото енергийно съдържание.</v>
      </c>
      <c r="F974" s="2836"/>
      <c r="G974" s="2836"/>
      <c r="H974" s="2836"/>
      <c r="I974" s="2836"/>
      <c r="J974" s="2836"/>
      <c r="K974" s="2836"/>
      <c r="L974" s="2836"/>
      <c r="M974" s="2836"/>
      <c r="N974" s="2837"/>
      <c r="O974" s="302"/>
      <c r="P974" s="302"/>
      <c r="Q974" s="729"/>
      <c r="R974" s="694"/>
      <c r="S974" s="729"/>
      <c r="T974" s="694"/>
      <c r="U974" s="694"/>
      <c r="V974" s="694"/>
      <c r="W974" s="694"/>
      <c r="X974" s="694"/>
      <c r="Y974" s="694"/>
      <c r="Z974" s="694"/>
      <c r="AA974" s="694"/>
      <c r="AB974" s="694"/>
      <c r="AC974" s="694"/>
      <c r="AD974" s="694"/>
      <c r="AE974" s="694"/>
      <c r="AF974" s="694"/>
      <c r="AG974" s="694"/>
      <c r="AH974" s="694"/>
      <c r="AI974" s="694"/>
      <c r="AJ974" s="694"/>
      <c r="AK974" s="694"/>
      <c r="AL974" s="694"/>
    </row>
    <row r="975" spans="1:38" ht="12.75" customHeight="1" x14ac:dyDescent="0.25">
      <c r="A975" s="694"/>
      <c r="B975" s="298"/>
      <c r="C975" s="1302"/>
      <c r="D975" s="1306"/>
      <c r="E975" s="2836" t="str">
        <f>Translations!$B$519</f>
        <v>Претегленият емисионен фактор следва също така да включва и емисии от съответното очистване на димни газове, ако е приложимо.</v>
      </c>
      <c r="F975" s="2836"/>
      <c r="G975" s="2836"/>
      <c r="H975" s="2836"/>
      <c r="I975" s="2836"/>
      <c r="J975" s="2836"/>
      <c r="K975" s="2836"/>
      <c r="L975" s="2836"/>
      <c r="M975" s="2836"/>
      <c r="N975" s="2837"/>
      <c r="O975" s="302"/>
      <c r="P975" s="302"/>
      <c r="Q975" s="729"/>
      <c r="R975" s="694"/>
      <c r="S975" s="729"/>
      <c r="T975" s="694"/>
      <c r="U975" s="694"/>
      <c r="V975" s="694"/>
      <c r="W975" s="694"/>
      <c r="X975" s="694"/>
      <c r="Y975" s="694"/>
      <c r="Z975" s="694"/>
      <c r="AA975" s="694"/>
      <c r="AB975" s="694"/>
      <c r="AC975" s="694"/>
      <c r="AD975" s="694"/>
      <c r="AE975" s="694"/>
      <c r="AF975" s="694"/>
      <c r="AG975" s="694"/>
      <c r="AH975" s="694"/>
      <c r="AI975" s="694"/>
      <c r="AJ975" s="694"/>
      <c r="AK975" s="694"/>
      <c r="AL975" s="694"/>
    </row>
    <row r="976" spans="1:38" ht="12.75" customHeight="1" x14ac:dyDescent="0.25">
      <c r="A976" s="694"/>
      <c r="B976" s="298"/>
      <c r="C976" s="1302"/>
      <c r="D976" s="1306"/>
      <c r="E976" s="2816" t="str">
        <f>Translations!$B$520</f>
        <v>Посочените тук данни се използват само с цел проверка на съответствието и нямат пряко отражение върху емисиите, които могат да бъдат зададени, или на разпределението на квотите.</v>
      </c>
      <c r="F976" s="2240"/>
      <c r="G976" s="2240"/>
      <c r="H976" s="2240"/>
      <c r="I976" s="2240"/>
      <c r="J976" s="2240"/>
      <c r="K976" s="2240"/>
      <c r="L976" s="2240"/>
      <c r="M976" s="2240"/>
      <c r="N976" s="2811"/>
      <c r="O976" s="302"/>
      <c r="P976" s="302"/>
      <c r="Q976" s="729"/>
      <c r="R976" s="694"/>
      <c r="S976" s="729"/>
      <c r="T976" s="694"/>
      <c r="U976" s="694"/>
      <c r="V976" s="694"/>
      <c r="W976" s="694"/>
      <c r="X976" s="694"/>
      <c r="Y976" s="694"/>
      <c r="Z976" s="694"/>
      <c r="AA976" s="694"/>
      <c r="AB976" s="694"/>
      <c r="AC976" s="694"/>
      <c r="AD976" s="694"/>
      <c r="AE976" s="694"/>
      <c r="AF976" s="694"/>
      <c r="AG976" s="694"/>
      <c r="AH976" s="694"/>
      <c r="AI976" s="694"/>
      <c r="AJ976" s="694"/>
      <c r="AK976" s="694"/>
      <c r="AL976" s="694"/>
    </row>
    <row r="977" spans="1:38" ht="12.75" customHeight="1" thickBot="1" x14ac:dyDescent="0.3">
      <c r="A977" s="694"/>
      <c r="B977" s="298"/>
      <c r="C977" s="1302"/>
      <c r="D977" s="1307"/>
      <c r="E977" s="1317"/>
      <c r="F977" s="1318"/>
      <c r="G977" s="1309" t="str">
        <f>EUconst_Unit</f>
        <v>Единица мярка</v>
      </c>
      <c r="H977" s="629">
        <f t="shared" ref="H977:N977" si="1135">H$2831</f>
        <v>2024</v>
      </c>
      <c r="I977" s="1310">
        <f t="shared" si="1135"/>
        <v>2025</v>
      </c>
      <c r="J977" s="1311">
        <f t="shared" si="1135"/>
        <v>2026</v>
      </c>
      <c r="K977" s="629">
        <f t="shared" si="1135"/>
        <v>2027</v>
      </c>
      <c r="L977" s="629">
        <f t="shared" si="1135"/>
        <v>2028</v>
      </c>
      <c r="M977" s="629">
        <f t="shared" si="1135"/>
        <v>2029</v>
      </c>
      <c r="N977" s="1312">
        <f t="shared" si="1135"/>
        <v>2030</v>
      </c>
      <c r="O977" s="302"/>
      <c r="P977" s="302"/>
      <c r="Q977" s="729"/>
      <c r="R977" s="694"/>
      <c r="S977" s="729"/>
      <c r="T977" s="694"/>
      <c r="U977" s="694"/>
      <c r="V977" s="694"/>
      <c r="W977" s="694"/>
      <c r="X977" s="694"/>
      <c r="Y977" s="694"/>
      <c r="Z977" s="694"/>
      <c r="AA977" s="694"/>
      <c r="AB977" s="694"/>
      <c r="AC977" s="1178">
        <f t="shared" ref="AC977" si="1136">H$20</f>
        <v>2024</v>
      </c>
      <c r="AD977" s="1178">
        <f t="shared" ref="AD977" si="1137">I$20</f>
        <v>2025</v>
      </c>
      <c r="AE977" s="1178">
        <f t="shared" ref="AE977" si="1138">J$20</f>
        <v>2026</v>
      </c>
      <c r="AF977" s="1178">
        <f t="shared" ref="AF977" si="1139">K$20</f>
        <v>2027</v>
      </c>
      <c r="AG977" s="1178">
        <f t="shared" ref="AG977" si="1140">L$20</f>
        <v>2028</v>
      </c>
      <c r="AH977" s="1178">
        <f t="shared" ref="AH977" si="1141">M$20</f>
        <v>2029</v>
      </c>
      <c r="AI977" s="1178">
        <f t="shared" ref="AI977" si="1142">N$20</f>
        <v>2030</v>
      </c>
      <c r="AJ977" s="694"/>
      <c r="AK977" s="694"/>
      <c r="AL977" s="694"/>
    </row>
    <row r="978" spans="1:38" ht="12.75" customHeight="1" x14ac:dyDescent="0.25">
      <c r="A978" s="694"/>
      <c r="B978" s="298"/>
      <c r="C978" s="1302"/>
      <c r="D978" s="625" t="s">
        <v>6</v>
      </c>
      <c r="E978" s="2820" t="str">
        <f>Translations!$B$1527</f>
        <v>Вложена енергия</v>
      </c>
      <c r="F978" s="2258"/>
      <c r="G978" s="1319" t="str">
        <f>EUconst_TJpa</f>
        <v>TJ / година</v>
      </c>
      <c r="H978" s="56"/>
      <c r="I978" s="115"/>
      <c r="J978" s="118"/>
      <c r="K978" s="56"/>
      <c r="L978" s="56"/>
      <c r="M978" s="56"/>
      <c r="N978" s="121"/>
      <c r="O978" s="302"/>
      <c r="P978" s="158"/>
      <c r="Q978" s="1190" t="str">
        <f>EUconst_CNTR_FuelInput &amp; I856</f>
        <v>FuelInput_</v>
      </c>
      <c r="R978" s="694"/>
      <c r="S978" s="729"/>
      <c r="T978" s="694"/>
      <c r="U978" s="694"/>
      <c r="V978" s="694"/>
      <c r="W978" s="694"/>
      <c r="X978" s="694"/>
      <c r="Y978" s="694"/>
      <c r="Z978" s="694"/>
      <c r="AA978" s="694"/>
      <c r="AB978" s="1182" t="s">
        <v>737</v>
      </c>
      <c r="AC978" s="982" t="b">
        <f>AC903</f>
        <v>0</v>
      </c>
      <c r="AD978" s="982" t="b">
        <f t="shared" ref="AD978:AI978" si="1143">AD903</f>
        <v>0</v>
      </c>
      <c r="AE978" s="982" t="b">
        <f t="shared" si="1143"/>
        <v>0</v>
      </c>
      <c r="AF978" s="982" t="b">
        <f t="shared" si="1143"/>
        <v>0</v>
      </c>
      <c r="AG978" s="982" t="b">
        <f t="shared" si="1143"/>
        <v>0</v>
      </c>
      <c r="AH978" s="982" t="b">
        <f t="shared" si="1143"/>
        <v>0</v>
      </c>
      <c r="AI978" s="982" t="b">
        <f t="shared" si="1143"/>
        <v>0</v>
      </c>
      <c r="AJ978" s="1174" t="s">
        <v>2039</v>
      </c>
      <c r="AK978" s="1176" t="str">
        <f>IF(AND(CNTR_ExistSubInstEntries,MSconst_RequireSubAttrEmissions,COUNTIFS(AC978:AI978,FALSE,H978:N978,"")&gt;0),EUconst_Error&amp;"BM"&amp;$Q856,"")</f>
        <v/>
      </c>
      <c r="AL978" s="694"/>
    </row>
    <row r="979" spans="1:38" ht="12.75" customHeight="1" x14ac:dyDescent="0.25">
      <c r="A979" s="694"/>
      <c r="B979" s="298"/>
      <c r="C979" s="1302"/>
      <c r="D979" s="625" t="s">
        <v>7</v>
      </c>
      <c r="E979" s="2820" t="str">
        <f>Translations!$B$522</f>
        <v>Претеглен емисионен фактор</v>
      </c>
      <c r="F979" s="2258"/>
      <c r="G979" s="1320" t="str">
        <f>EUconst_tCO2pTJ</f>
        <v>t CO2 / TJ</v>
      </c>
      <c r="H979" s="82"/>
      <c r="I979" s="126"/>
      <c r="J979" s="127"/>
      <c r="K979" s="82"/>
      <c r="L979" s="82"/>
      <c r="M979" s="82"/>
      <c r="N979" s="128"/>
      <c r="O979" s="302"/>
      <c r="P979" s="158"/>
      <c r="Q979" s="1190" t="str">
        <f>EUconst_CNTR_FuelEF &amp; I856</f>
        <v>FuelEF_</v>
      </c>
      <c r="R979" s="694"/>
      <c r="S979" s="729"/>
      <c r="T979" s="694"/>
      <c r="U979" s="694"/>
      <c r="V979" s="694"/>
      <c r="W979" s="694"/>
      <c r="X979" s="694"/>
      <c r="Y979" s="694"/>
      <c r="Z979" s="694"/>
      <c r="AA979" s="694"/>
      <c r="AB979" s="694"/>
      <c r="AC979" s="982" t="b">
        <f>AC978</f>
        <v>0</v>
      </c>
      <c r="AD979" s="982" t="b">
        <f t="shared" ref="AD979:AI979" si="1144">AD978</f>
        <v>0</v>
      </c>
      <c r="AE979" s="982" t="b">
        <f t="shared" si="1144"/>
        <v>0</v>
      </c>
      <c r="AF979" s="982" t="b">
        <f t="shared" si="1144"/>
        <v>0</v>
      </c>
      <c r="AG979" s="982" t="b">
        <f t="shared" si="1144"/>
        <v>0</v>
      </c>
      <c r="AH979" s="982" t="b">
        <f t="shared" si="1144"/>
        <v>0</v>
      </c>
      <c r="AI979" s="982" t="b">
        <f t="shared" si="1144"/>
        <v>0</v>
      </c>
      <c r="AJ979" s="1174" t="s">
        <v>2039</v>
      </c>
      <c r="AK979" s="1176" t="str">
        <f>IF(AND(CNTR_ExistSubInstEntries,MSconst_RequireSubAttrEmissions,COUNTIFS(AC979:AI979,FALSE,H979:N979,"")&gt;0),EUconst_Error&amp;"BM"&amp;$Q856,"")</f>
        <v/>
      </c>
      <c r="AL979" s="694"/>
    </row>
    <row r="980" spans="1:38" ht="12.75" customHeight="1" x14ac:dyDescent="0.25">
      <c r="A980" s="694"/>
      <c r="B980" s="298"/>
      <c r="C980" s="1302"/>
      <c r="D980" s="1306"/>
      <c r="E980" s="1306"/>
      <c r="F980" s="1306"/>
      <c r="G980" s="1306"/>
      <c r="H980" s="1306"/>
      <c r="I980" s="1306"/>
      <c r="J980" s="1306"/>
      <c r="K980" s="1306"/>
      <c r="L980" s="1306"/>
      <c r="M980" s="626"/>
      <c r="N980" s="1316"/>
      <c r="O980" s="302"/>
      <c r="P980" s="302"/>
      <c r="Q980" s="729"/>
      <c r="R980" s="694"/>
      <c r="S980" s="729"/>
      <c r="T980" s="694"/>
      <c r="U980" s="694"/>
      <c r="V980" s="694"/>
      <c r="W980" s="694"/>
      <c r="X980" s="694"/>
      <c r="Y980" s="694"/>
      <c r="Z980" s="694"/>
      <c r="AA980" s="694"/>
      <c r="AB980" s="694"/>
      <c r="AC980" s="694"/>
      <c r="AD980" s="694"/>
      <c r="AE980" s="694"/>
      <c r="AF980" s="694"/>
      <c r="AG980" s="694"/>
      <c r="AH980" s="694"/>
      <c r="AI980" s="694"/>
      <c r="AJ980" s="694"/>
      <c r="AK980" s="694"/>
      <c r="AL980" s="694"/>
    </row>
    <row r="981" spans="1:38" ht="12.75" customHeight="1" x14ac:dyDescent="0.25">
      <c r="A981" s="694"/>
      <c r="B981" s="298"/>
      <c r="C981" s="1302"/>
      <c r="D981" s="1307" t="s">
        <v>279</v>
      </c>
      <c r="E981" s="2815" t="str">
        <f>Translations!$B$523</f>
        <v>Други вътрешни пораждащи емисии потоци, получени или подадени от тази подинсталация</v>
      </c>
      <c r="F981" s="2240"/>
      <c r="G981" s="2240"/>
      <c r="H981" s="2240"/>
      <c r="I981" s="2240"/>
      <c r="J981" s="2240"/>
      <c r="K981" s="2240"/>
      <c r="L981" s="2240"/>
      <c r="M981" s="2240"/>
      <c r="N981" s="2811"/>
      <c r="O981" s="302"/>
      <c r="P981" s="302"/>
      <c r="Q981" s="729"/>
      <c r="R981" s="729"/>
      <c r="S981" s="729"/>
      <c r="T981" s="694"/>
      <c r="U981" s="694"/>
      <c r="V981" s="694"/>
      <c r="W981" s="694"/>
      <c r="X981" s="694"/>
      <c r="Y981" s="694"/>
      <c r="Z981" s="694"/>
      <c r="AA981" s="694"/>
      <c r="AB981" s="694"/>
      <c r="AC981" s="694"/>
      <c r="AD981" s="694"/>
      <c r="AE981" s="694"/>
      <c r="AF981" s="694"/>
      <c r="AG981" s="694"/>
      <c r="AH981" s="694"/>
      <c r="AI981" s="694"/>
      <c r="AJ981" s="694"/>
      <c r="AK981" s="694"/>
      <c r="AL981" s="694"/>
    </row>
    <row r="982" spans="1:38" ht="12.75" customHeight="1" x14ac:dyDescent="0.25">
      <c r="A982" s="694"/>
      <c r="B982" s="298"/>
      <c r="C982" s="1302"/>
      <c r="D982" s="625"/>
      <c r="E982" s="2816" t="str">
        <f>Translations!$B$508</f>
        <v>Посочените тук данни ще се отразят на емисиите, които могат да бъдат зададени съгласно раздел 10.1.1 от приложение VII към ПБР.</v>
      </c>
      <c r="F982" s="2240"/>
      <c r="G982" s="2240"/>
      <c r="H982" s="2240"/>
      <c r="I982" s="2240"/>
      <c r="J982" s="2240"/>
      <c r="K982" s="2240"/>
      <c r="L982" s="2240"/>
      <c r="M982" s="2240"/>
      <c r="N982" s="2811"/>
      <c r="O982" s="302"/>
      <c r="P982" s="302"/>
      <c r="Q982" s="729"/>
      <c r="R982" s="694"/>
      <c r="S982" s="729"/>
      <c r="T982" s="729"/>
      <c r="U982" s="729"/>
      <c r="V982" s="729"/>
      <c r="W982" s="694"/>
      <c r="X982" s="694"/>
      <c r="Y982" s="694"/>
      <c r="Z982" s="694"/>
      <c r="AA982" s="694"/>
      <c r="AB982" s="694"/>
      <c r="AC982" s="694"/>
      <c r="AD982" s="694"/>
      <c r="AE982" s="694"/>
      <c r="AF982" s="694"/>
      <c r="AG982" s="694"/>
      <c r="AH982" s="694"/>
      <c r="AI982" s="694"/>
      <c r="AJ982" s="694"/>
      <c r="AK982" s="694"/>
      <c r="AL982" s="694"/>
    </row>
    <row r="983" spans="1:38" ht="25.5" customHeight="1" x14ac:dyDescent="0.25">
      <c r="A983" s="694"/>
      <c r="B983" s="298"/>
      <c r="C983" s="1302"/>
      <c r="D983" s="1306"/>
      <c r="E983" s="2816" t="str">
        <f>Translations!$B$524</f>
        <v>Имайте предвид, че всички пораждащи емисии потоци трябва да се изброят тук само ако не са обхванати от преките емисии в буква g) по-горе, за да се избегнат пропуски в данните или двойно отчитане. Емисиите, свързани с отпадните газове, НЕ могат да се изброяват тук, а трябва да се посочват в буква l) по-долу.</v>
      </c>
      <c r="F983" s="2240"/>
      <c r="G983" s="2240"/>
      <c r="H983" s="2240"/>
      <c r="I983" s="2240"/>
      <c r="J983" s="2240"/>
      <c r="K983" s="2240"/>
      <c r="L983" s="2240"/>
      <c r="M983" s="2240"/>
      <c r="N983" s="2811"/>
      <c r="O983" s="302"/>
      <c r="P983" s="302"/>
      <c r="Q983" s="729"/>
      <c r="R983" s="729"/>
      <c r="S983" s="729"/>
      <c r="T983" s="694"/>
      <c r="U983" s="694"/>
      <c r="V983" s="694"/>
      <c r="W983" s="694"/>
      <c r="X983" s="694"/>
      <c r="Y983" s="694"/>
      <c r="Z983" s="694"/>
      <c r="AA983" s="694"/>
      <c r="AB983" s="694"/>
      <c r="AC983" s="694"/>
      <c r="AD983" s="694"/>
      <c r="AE983" s="694"/>
      <c r="AF983" s="694"/>
      <c r="AG983" s="694"/>
      <c r="AH983" s="694"/>
      <c r="AI983" s="694"/>
      <c r="AJ983" s="694"/>
      <c r="AK983" s="694"/>
      <c r="AL983" s="694"/>
    </row>
    <row r="984" spans="1:38" ht="12.75" customHeight="1" x14ac:dyDescent="0.25">
      <c r="A984" s="694"/>
      <c r="B984" s="298"/>
      <c r="C984" s="1302"/>
      <c r="D984" s="1306"/>
      <c r="E984" s="2810" t="str">
        <f>Translations!$B$525</f>
        <v>Тук въведете информация за т.нар. вътрешни пораждащи емисии потоци, които се пренасят между подинсталациите, т.е. са получени или подадени от тази подинсталация.</v>
      </c>
      <c r="F984" s="2240"/>
      <c r="G984" s="2240"/>
      <c r="H984" s="2240"/>
      <c r="I984" s="2240"/>
      <c r="J984" s="2240"/>
      <c r="K984" s="2240"/>
      <c r="L984" s="2240"/>
      <c r="M984" s="2240"/>
      <c r="N984" s="2811"/>
      <c r="O984" s="302"/>
      <c r="P984" s="302"/>
      <c r="Q984" s="729"/>
      <c r="R984" s="729"/>
      <c r="S984" s="729"/>
      <c r="T984" s="694"/>
      <c r="U984" s="694"/>
      <c r="V984" s="694"/>
      <c r="W984" s="694"/>
      <c r="X984" s="694"/>
      <c r="Y984" s="694"/>
      <c r="Z984" s="694"/>
      <c r="AA984" s="694"/>
      <c r="AB984" s="694"/>
      <c r="AC984" s="694"/>
      <c r="AD984" s="694"/>
      <c r="AE984" s="694"/>
      <c r="AF984" s="694"/>
      <c r="AG984" s="694"/>
      <c r="AH984" s="694"/>
      <c r="AI984" s="694"/>
      <c r="AJ984" s="694"/>
      <c r="AK984" s="694"/>
      <c r="AL984" s="694"/>
    </row>
    <row r="985" spans="1:38" ht="38.9" customHeight="1" x14ac:dyDescent="0.25">
      <c r="A985" s="694"/>
      <c r="B985" s="298"/>
      <c r="C985" s="1302"/>
      <c r="D985" s="1306"/>
      <c r="E985" s="2810" t="str">
        <f>Translations!$B$526</f>
        <v>Така например, ако това е подинсталацията за „кокс“ на комбинирана инсталация за чугун и стомана, емисиите, свързани с консумацията на кокс, възникват в доменната пещ и не трябва да се задават на тази подинсталация (т.е. подинсталацията за „кокс“). Въпреки това част от емисиите се включват в буква g) по-горе, защото въглищата, които се вкарват в коксовата пещ, ще са един от зададените на първата стъпка пораждащи емисии потоци.</v>
      </c>
      <c r="F985" s="2240"/>
      <c r="G985" s="2240"/>
      <c r="H985" s="2240"/>
      <c r="I985" s="2240"/>
      <c r="J985" s="2240"/>
      <c r="K985" s="2240"/>
      <c r="L985" s="2240"/>
      <c r="M985" s="2240"/>
      <c r="N985" s="2811"/>
      <c r="O985" s="302"/>
      <c r="P985" s="302"/>
      <c r="Q985" s="729"/>
      <c r="R985" s="694"/>
      <c r="S985" s="729"/>
      <c r="T985" s="694"/>
      <c r="U985" s="694"/>
      <c r="V985" s="694"/>
      <c r="W985" s="694"/>
      <c r="X985" s="694"/>
      <c r="Y985" s="694"/>
      <c r="Z985" s="694"/>
      <c r="AA985" s="694"/>
      <c r="AB985" s="694"/>
      <c r="AC985" s="694"/>
      <c r="AD985" s="694"/>
      <c r="AE985" s="694"/>
      <c r="AF985" s="694"/>
      <c r="AG985" s="694"/>
      <c r="AH985" s="694"/>
      <c r="AI985" s="694"/>
      <c r="AJ985" s="694"/>
      <c r="AK985" s="694"/>
      <c r="AL985" s="694"/>
    </row>
    <row r="986" spans="1:38" ht="51" customHeight="1" x14ac:dyDescent="0.25">
      <c r="A986" s="694"/>
      <c r="B986" s="298"/>
      <c r="C986" s="1302"/>
      <c r="D986" s="1306"/>
      <c r="E986" s="2810" t="str">
        <f>Translations!$B$527</f>
        <v>За да се избегне двойно отчитане, коксът, който излиза от коксовата подинсталация, трябва да се коригира като изходящ „вътрешен пораждащ емисии поток“. Това става чрез отрицателна стойност за количеството кокс в случай на „подаване“. За да се получи пълен баланс на емисиите от въглищата, вкарани в коксовата подинсталация, емисиите, свързани с използването на коксов газ (= отпаден газ), са отразени в буква g) по-горе (както е включено в емисиите от въглища), до степента на използване на газа в рамките на подинсталацията. Тук не трябва да се внасят корекции, за да се отчетат подадените количества отпаден газ; това се прави в l).xx. по-долу.</v>
      </c>
      <c r="F986" s="2240"/>
      <c r="G986" s="2240"/>
      <c r="H986" s="2240"/>
      <c r="I986" s="2240"/>
      <c r="J986" s="2240"/>
      <c r="K986" s="2240"/>
      <c r="L986" s="2240"/>
      <c r="M986" s="2240"/>
      <c r="N986" s="2811"/>
      <c r="O986" s="302"/>
      <c r="P986" s="302"/>
      <c r="Q986" s="729"/>
      <c r="R986" s="694"/>
      <c r="S986" s="729"/>
      <c r="T986" s="694"/>
      <c r="U986" s="694"/>
      <c r="V986" s="694"/>
      <c r="W986" s="694"/>
      <c r="X986" s="694"/>
      <c r="Y986" s="694"/>
      <c r="Z986" s="694"/>
      <c r="AA986" s="694"/>
      <c r="AB986" s="694"/>
      <c r="AC986" s="694"/>
      <c r="AD986" s="694"/>
      <c r="AE986" s="694"/>
      <c r="AF986" s="694"/>
      <c r="AG986" s="694"/>
      <c r="AH986" s="694"/>
      <c r="AI986" s="694"/>
      <c r="AJ986" s="694"/>
      <c r="AK986" s="694"/>
      <c r="AL986" s="694"/>
    </row>
    <row r="987" spans="1:38" ht="25.5" customHeight="1" x14ac:dyDescent="0.25">
      <c r="A987" s="694"/>
      <c r="B987" s="298"/>
      <c r="C987" s="1302"/>
      <c r="D987" s="1306"/>
      <c r="E987" s="2810" t="str">
        <f>Translations!$B$528</f>
        <v>И обратно, ако това е подинсталация с показател за течни черни метали в комбинирана инсталация за чугун и стомана, коксът трябва да се посочи тук като входящ/получен „вътрешен“ пораждащ емисии поток с положително количество.</v>
      </c>
      <c r="F987" s="2240"/>
      <c r="G987" s="2240"/>
      <c r="H987" s="2240"/>
      <c r="I987" s="2240"/>
      <c r="J987" s="2240"/>
      <c r="K987" s="2240"/>
      <c r="L987" s="2240"/>
      <c r="M987" s="2240"/>
      <c r="N987" s="2811"/>
      <c r="O987" s="302"/>
      <c r="P987" s="302"/>
      <c r="Q987" s="729"/>
      <c r="R987" s="694"/>
      <c r="S987" s="729"/>
      <c r="T987" s="694"/>
      <c r="U987" s="694"/>
      <c r="V987" s="694"/>
      <c r="W987" s="694"/>
      <c r="X987" s="694"/>
      <c r="Y987" s="694"/>
      <c r="Z987" s="694"/>
      <c r="AA987" s="694"/>
      <c r="AB987" s="694"/>
      <c r="AC987" s="694"/>
      <c r="AD987" s="694"/>
      <c r="AE987" s="694"/>
      <c r="AF987" s="694"/>
      <c r="AG987" s="694"/>
      <c r="AH987" s="694"/>
      <c r="AI987" s="694"/>
      <c r="AJ987" s="694"/>
      <c r="AK987" s="694"/>
      <c r="AL987" s="694"/>
    </row>
    <row r="988" spans="1:38" ht="12.75" customHeight="1" x14ac:dyDescent="0.25">
      <c r="A988" s="694"/>
      <c r="B988" s="298"/>
      <c r="C988" s="1302"/>
      <c r="D988" s="625" t="s">
        <v>6</v>
      </c>
      <c r="E988" s="2817" t="str">
        <f>Translations!$B$529</f>
        <v>За тази подинсталация отнасят ли се други получени или подадени вътрешни пораждащи емисии потоци?</v>
      </c>
      <c r="F988" s="2240"/>
      <c r="G988" s="2240"/>
      <c r="H988" s="2240"/>
      <c r="I988" s="2240"/>
      <c r="J988" s="2240"/>
      <c r="K988" s="2684"/>
      <c r="L988" s="83"/>
      <c r="M988" s="1322"/>
      <c r="N988" s="1323"/>
      <c r="O988" s="302"/>
      <c r="P988" s="158"/>
      <c r="Q988" s="729"/>
      <c r="R988" s="694"/>
      <c r="S988" s="729"/>
      <c r="T988" s="694"/>
      <c r="U988" s="694"/>
      <c r="V988" s="694"/>
      <c r="W988" s="694"/>
      <c r="X988" s="694"/>
      <c r="Y988" s="694"/>
      <c r="Z988" s="694"/>
      <c r="AA988" s="694"/>
      <c r="AB988" s="694"/>
      <c r="AC988" s="694"/>
      <c r="AD988" s="694"/>
      <c r="AE988" s="694"/>
      <c r="AF988" s="1182" t="s">
        <v>737</v>
      </c>
      <c r="AG988" s="901" t="b">
        <f>AND(CNTR_ExistSubInstEntries,I856="")</f>
        <v>0</v>
      </c>
      <c r="AH988" s="694"/>
      <c r="AI988" s="694"/>
      <c r="AJ988" s="694"/>
      <c r="AK988" s="694"/>
      <c r="AL988" s="694"/>
    </row>
    <row r="989" spans="1:38" ht="12.75" customHeight="1" x14ac:dyDescent="0.25">
      <c r="A989" s="694"/>
      <c r="B989" s="298"/>
      <c r="C989" s="1302"/>
      <c r="D989" s="1306"/>
      <c r="E989" s="2810" t="str">
        <f>Translations!$B$530</f>
        <v>Ако има над два получени или подадени пораждащи емисии потока, тези няколко пораждащи емисии потока следва да се групират заедно и да се посочат имената им.</v>
      </c>
      <c r="F989" s="2240"/>
      <c r="G989" s="2240"/>
      <c r="H989" s="2240"/>
      <c r="I989" s="2240"/>
      <c r="J989" s="2240"/>
      <c r="K989" s="2240"/>
      <c r="L989" s="2240"/>
      <c r="M989" s="2240"/>
      <c r="N989" s="2811"/>
      <c r="O989" s="302"/>
      <c r="P989" s="302"/>
      <c r="Q989" s="729"/>
      <c r="R989" s="694"/>
      <c r="S989" s="729"/>
      <c r="T989" s="694"/>
      <c r="U989" s="694"/>
      <c r="V989" s="694"/>
      <c r="W989" s="694"/>
      <c r="X989" s="694"/>
      <c r="Y989" s="694"/>
      <c r="Z989" s="694"/>
      <c r="AA989" s="694"/>
      <c r="AB989" s="694"/>
      <c r="AC989" s="694"/>
      <c r="AD989" s="694"/>
      <c r="AE989" s="694"/>
      <c r="AF989" s="694"/>
      <c r="AG989" s="694"/>
      <c r="AH989" s="694"/>
      <c r="AI989" s="694"/>
      <c r="AJ989" s="694"/>
      <c r="AK989" s="694"/>
      <c r="AL989" s="694"/>
    </row>
    <row r="990" spans="1:38" ht="12.75" customHeight="1" x14ac:dyDescent="0.25">
      <c r="A990" s="694"/>
      <c r="B990" s="298"/>
      <c r="C990" s="1302"/>
      <c r="D990" s="625" t="s">
        <v>7</v>
      </c>
      <c r="E990" s="2815" t="str">
        <f>Translations!$B$531</f>
        <v>Име на други пораждащи емисии потоци — 1:</v>
      </c>
      <c r="F990" s="2240"/>
      <c r="G990" s="2240"/>
      <c r="H990" s="2684"/>
      <c r="I990" s="2821"/>
      <c r="J990" s="2834"/>
      <c r="K990" s="2834"/>
      <c r="L990" s="2834"/>
      <c r="M990" s="2835"/>
      <c r="N990" s="1324"/>
      <c r="O990" s="302"/>
      <c r="P990" s="158"/>
      <c r="Q990" s="729"/>
      <c r="R990" s="694"/>
      <c r="S990" s="729"/>
      <c r="T990" s="694"/>
      <c r="U990" s="694"/>
      <c r="V990" s="694"/>
      <c r="W990" s="694"/>
      <c r="X990" s="694"/>
      <c r="Y990" s="694"/>
      <c r="Z990" s="694"/>
      <c r="AA990" s="694"/>
      <c r="AB990" s="694"/>
      <c r="AC990" s="1182" t="s">
        <v>737</v>
      </c>
      <c r="AD990" s="901" t="b">
        <f>OR(AG988,AND($L988&lt;&gt;"",$L988=FALSE))</f>
        <v>0</v>
      </c>
      <c r="AE990" s="694"/>
      <c r="AF990" s="694"/>
      <c r="AG990" s="694"/>
      <c r="AH990" s="694"/>
      <c r="AI990" s="694"/>
      <c r="AJ990" s="694"/>
      <c r="AK990" s="694"/>
      <c r="AL990" s="694"/>
    </row>
    <row r="991" spans="1:38" ht="5.15" customHeight="1" x14ac:dyDescent="0.25">
      <c r="A991" s="694"/>
      <c r="B991" s="298"/>
      <c r="C991" s="1302"/>
      <c r="D991" s="1306"/>
      <c r="E991" s="1325"/>
      <c r="F991" s="1322"/>
      <c r="G991" s="1322"/>
      <c r="H991" s="1322"/>
      <c r="I991" s="1322"/>
      <c r="J991" s="1322"/>
      <c r="K991" s="1322"/>
      <c r="L991" s="1322"/>
      <c r="M991" s="1322"/>
      <c r="N991" s="1323"/>
      <c r="O991" s="302"/>
      <c r="P991" s="302"/>
      <c r="Q991" s="729"/>
      <c r="R991" s="694"/>
      <c r="S991" s="729"/>
      <c r="T991" s="694"/>
      <c r="U991" s="694"/>
      <c r="V991" s="694"/>
      <c r="W991" s="694"/>
      <c r="X991" s="694"/>
      <c r="Y991" s="694"/>
      <c r="Z991" s="694"/>
      <c r="AA991" s="694"/>
      <c r="AB991" s="694"/>
      <c r="AC991" s="694"/>
      <c r="AD991" s="694"/>
      <c r="AE991" s="694"/>
      <c r="AF991" s="694"/>
      <c r="AG991" s="694"/>
      <c r="AH991" s="694"/>
      <c r="AI991" s="694"/>
      <c r="AJ991" s="694"/>
      <c r="AK991" s="694"/>
      <c r="AL991" s="694"/>
    </row>
    <row r="992" spans="1:38" ht="12.75" customHeight="1" thickBot="1" x14ac:dyDescent="0.3">
      <c r="A992" s="694"/>
      <c r="B992" s="298"/>
      <c r="C992" s="1302"/>
      <c r="D992" s="1306"/>
      <c r="E992" s="2803" t="str">
        <f>Translations!$B$532</f>
        <v>Други пораждащи емисии потоци — 1</v>
      </c>
      <c r="F992" s="2672"/>
      <c r="G992" s="1309" t="str">
        <f>EUconst_Unit</f>
        <v>Единица мярка</v>
      </c>
      <c r="H992" s="629">
        <f t="shared" ref="H992:N992" si="1145">H$2831</f>
        <v>2024</v>
      </c>
      <c r="I992" s="1310">
        <f t="shared" si="1145"/>
        <v>2025</v>
      </c>
      <c r="J992" s="1311">
        <f t="shared" si="1145"/>
        <v>2026</v>
      </c>
      <c r="K992" s="629">
        <f t="shared" si="1145"/>
        <v>2027</v>
      </c>
      <c r="L992" s="629">
        <f t="shared" si="1145"/>
        <v>2028</v>
      </c>
      <c r="M992" s="629">
        <f t="shared" si="1145"/>
        <v>2029</v>
      </c>
      <c r="N992" s="1312">
        <f t="shared" si="1145"/>
        <v>2030</v>
      </c>
      <c r="O992" s="302"/>
      <c r="P992" s="302"/>
      <c r="Q992" s="729"/>
      <c r="R992" s="694"/>
      <c r="S992" s="729"/>
      <c r="T992" s="694"/>
      <c r="U992" s="694"/>
      <c r="V992" s="694"/>
      <c r="W992" s="694"/>
      <c r="X992" s="694"/>
      <c r="Y992" s="694"/>
      <c r="Z992" s="694"/>
      <c r="AA992" s="694"/>
      <c r="AB992" s="694"/>
      <c r="AC992" s="1178">
        <f t="shared" ref="AC992" si="1146">H$20</f>
        <v>2024</v>
      </c>
      <c r="AD992" s="1178">
        <f t="shared" ref="AD992" si="1147">I$20</f>
        <v>2025</v>
      </c>
      <c r="AE992" s="1178">
        <f t="shared" ref="AE992" si="1148">J$20</f>
        <v>2026</v>
      </c>
      <c r="AF992" s="1178">
        <f t="shared" ref="AF992" si="1149">K$20</f>
        <v>2027</v>
      </c>
      <c r="AG992" s="1178">
        <f t="shared" ref="AG992" si="1150">L$20</f>
        <v>2028</v>
      </c>
      <c r="AH992" s="1178">
        <f t="shared" ref="AH992" si="1151">M$20</f>
        <v>2029</v>
      </c>
      <c r="AI992" s="1178">
        <f t="shared" ref="AI992" si="1152">N$20</f>
        <v>2030</v>
      </c>
      <c r="AJ992" s="694"/>
      <c r="AK992" s="694"/>
      <c r="AL992" s="694"/>
    </row>
    <row r="993" spans="1:38" ht="12.75" customHeight="1" x14ac:dyDescent="0.25">
      <c r="A993" s="694"/>
      <c r="B993" s="298"/>
      <c r="C993" s="1302"/>
      <c r="D993" s="625" t="s">
        <v>8</v>
      </c>
      <c r="E993" s="2818" t="str">
        <f>Translations!$B$533</f>
        <v>Получено или подадено количество</v>
      </c>
      <c r="F993" s="2701"/>
      <c r="G993" s="1326" t="str">
        <f>EUconst_tpa</f>
        <v>t / година</v>
      </c>
      <c r="H993" s="129"/>
      <c r="I993" s="130"/>
      <c r="J993" s="131"/>
      <c r="K993" s="129"/>
      <c r="L993" s="129"/>
      <c r="M993" s="129"/>
      <c r="N993" s="132"/>
      <c r="O993" s="302"/>
      <c r="P993" s="158"/>
      <c r="Q993" s="729"/>
      <c r="R993" s="694"/>
      <c r="S993" s="729"/>
      <c r="T993" s="694"/>
      <c r="U993" s="694"/>
      <c r="V993" s="694"/>
      <c r="W993" s="694"/>
      <c r="X993" s="694"/>
      <c r="Y993" s="694"/>
      <c r="Z993" s="694"/>
      <c r="AA993" s="694"/>
      <c r="AB993" s="1182" t="s">
        <v>737</v>
      </c>
      <c r="AC993" s="901" t="b">
        <f>OR(AND($L988&lt;&gt;"",$L988=FALSE),AC903)</f>
        <v>0</v>
      </c>
      <c r="AD993" s="982" t="b">
        <f t="shared" ref="AD993:AI993" si="1153">OR(AND($L988&lt;&gt;"",$L988=FALSE),AD903)</f>
        <v>0</v>
      </c>
      <c r="AE993" s="982" t="b">
        <f t="shared" si="1153"/>
        <v>0</v>
      </c>
      <c r="AF993" s="982" t="b">
        <f t="shared" si="1153"/>
        <v>0</v>
      </c>
      <c r="AG993" s="982" t="b">
        <f t="shared" si="1153"/>
        <v>0</v>
      </c>
      <c r="AH993" s="982" t="b">
        <f t="shared" si="1153"/>
        <v>0</v>
      </c>
      <c r="AI993" s="982" t="b">
        <f t="shared" si="1153"/>
        <v>0</v>
      </c>
      <c r="AJ993" s="1174" t="s">
        <v>2039</v>
      </c>
      <c r="AK993" s="1176" t="str">
        <f>IF(AND(CNTR_ExistSubInstEntries,MSconst_RequireSubAttrEmissions,COUNTIFS(AC993:AI993,FALSE,H993:N993,"")&gt;0),EUconst_Error&amp;"BM"&amp;$Q856,"")</f>
        <v/>
      </c>
      <c r="AL993" s="694"/>
    </row>
    <row r="994" spans="1:38" ht="12.75" customHeight="1" x14ac:dyDescent="0.25">
      <c r="A994" s="694"/>
      <c r="B994" s="298"/>
      <c r="C994" s="1302"/>
      <c r="D994" s="625" t="s">
        <v>18</v>
      </c>
      <c r="E994" s="2831" t="str">
        <f>Translations!$B$534</f>
        <v>Долна топлина на изгаряне (NCV), ако е приложимо</v>
      </c>
      <c r="F994" s="2703"/>
      <c r="G994" s="1327" t="str">
        <f>EUconst_GJpt</f>
        <v>GJ / t</v>
      </c>
      <c r="H994" s="133"/>
      <c r="I994" s="134"/>
      <c r="J994" s="135"/>
      <c r="K994" s="133"/>
      <c r="L994" s="133"/>
      <c r="M994" s="133"/>
      <c r="N994" s="136"/>
      <c r="O994" s="302"/>
      <c r="P994" s="158"/>
      <c r="Q994" s="729"/>
      <c r="R994" s="694"/>
      <c r="S994" s="729"/>
      <c r="T994" s="694"/>
      <c r="U994" s="694"/>
      <c r="V994" s="694"/>
      <c r="W994" s="694"/>
      <c r="X994" s="694"/>
      <c r="Y994" s="694"/>
      <c r="Z994" s="694"/>
      <c r="AA994" s="694"/>
      <c r="AB994" s="694"/>
      <c r="AC994" s="982" t="b">
        <f t="shared" ref="AC994:AI994" si="1154">AC993</f>
        <v>0</v>
      </c>
      <c r="AD994" s="982" t="b">
        <f t="shared" si="1154"/>
        <v>0</v>
      </c>
      <c r="AE994" s="982" t="b">
        <f t="shared" si="1154"/>
        <v>0</v>
      </c>
      <c r="AF994" s="982" t="b">
        <f t="shared" si="1154"/>
        <v>0</v>
      </c>
      <c r="AG994" s="982" t="b">
        <f t="shared" si="1154"/>
        <v>0</v>
      </c>
      <c r="AH994" s="982" t="b">
        <f t="shared" si="1154"/>
        <v>0</v>
      </c>
      <c r="AI994" s="982" t="b">
        <f t="shared" si="1154"/>
        <v>0</v>
      </c>
      <c r="AJ994" s="1174" t="s">
        <v>2039</v>
      </c>
      <c r="AK994" s="1176" t="str">
        <f>IF(AND(CNTR_ExistSubInstEntries,MSconst_RequireSubAttrEmissions,COUNTIFS(AC994:AI994,FALSE,H994:N994,"")&gt;0),EUconst_Error&amp;"BM"&amp;$Q856,"")</f>
        <v/>
      </c>
      <c r="AL994" s="694"/>
    </row>
    <row r="995" spans="1:38" ht="12.75" customHeight="1" thickBot="1" x14ac:dyDescent="0.3">
      <c r="A995" s="694"/>
      <c r="B995" s="298"/>
      <c r="C995" s="1302"/>
      <c r="D995" s="625" t="s">
        <v>810</v>
      </c>
      <c r="E995" s="2831" t="str">
        <f>Translations!$B$535</f>
        <v>Въглеродно съдържание (тегловни %)</v>
      </c>
      <c r="F995" s="2703"/>
      <c r="G995" s="1328" t="s">
        <v>903</v>
      </c>
      <c r="H995" s="133"/>
      <c r="I995" s="134"/>
      <c r="J995" s="135"/>
      <c r="K995" s="133"/>
      <c r="L995" s="133"/>
      <c r="M995" s="133"/>
      <c r="N995" s="136"/>
      <c r="O995" s="302"/>
      <c r="P995" s="158"/>
      <c r="Q995" s="729"/>
      <c r="R995" s="694"/>
      <c r="S995" s="729"/>
      <c r="T995" s="694"/>
      <c r="U995" s="694"/>
      <c r="V995" s="694"/>
      <c r="W995" s="694"/>
      <c r="X995" s="694"/>
      <c r="Y995" s="694"/>
      <c r="Z995" s="694"/>
      <c r="AA995" s="694"/>
      <c r="AB995" s="694"/>
      <c r="AC995" s="982" t="b">
        <f t="shared" ref="AC995:AI995" si="1155">AC994</f>
        <v>0</v>
      </c>
      <c r="AD995" s="982" t="b">
        <f t="shared" si="1155"/>
        <v>0</v>
      </c>
      <c r="AE995" s="982" t="b">
        <f t="shared" si="1155"/>
        <v>0</v>
      </c>
      <c r="AF995" s="982" t="b">
        <f t="shared" si="1155"/>
        <v>0</v>
      </c>
      <c r="AG995" s="982" t="b">
        <f t="shared" si="1155"/>
        <v>0</v>
      </c>
      <c r="AH995" s="982" t="b">
        <f t="shared" si="1155"/>
        <v>0</v>
      </c>
      <c r="AI995" s="982" t="b">
        <f t="shared" si="1155"/>
        <v>0</v>
      </c>
      <c r="AJ995" s="1174" t="s">
        <v>2039</v>
      </c>
      <c r="AK995" s="1176" t="str">
        <f>IF(AND(CNTR_ExistSubInstEntries,MSconst_RequireSubAttrEmissions,COUNTIFS(AC995:AI995,FALSE,H995:N995,"")&gt;0),EUconst_Error&amp;"BM"&amp;$Q856,"")</f>
        <v/>
      </c>
      <c r="AL995" s="694"/>
    </row>
    <row r="996" spans="1:38" ht="12.75" customHeight="1" x14ac:dyDescent="0.25">
      <c r="A996" s="694"/>
      <c r="B996" s="298"/>
      <c r="C996" s="1302"/>
      <c r="D996" s="625" t="s">
        <v>811</v>
      </c>
      <c r="E996" s="2828" t="str">
        <f>Translations!$B$536</f>
        <v>Съдържание на биомаса (като дял от въглеродното съдържание)</v>
      </c>
      <c r="F996" s="2705"/>
      <c r="G996" s="1329" t="s">
        <v>903</v>
      </c>
      <c r="H996" s="137"/>
      <c r="I996" s="138"/>
      <c r="J996" s="139"/>
      <c r="K996" s="137"/>
      <c r="L996" s="137"/>
      <c r="M996" s="137"/>
      <c r="N996" s="140"/>
      <c r="O996" s="302"/>
      <c r="P996" s="158"/>
      <c r="Q996" s="729"/>
      <c r="R996" s="694"/>
      <c r="S996" s="1205"/>
      <c r="T996" s="1313">
        <f t="shared" ref="T996" si="1156">H992</f>
        <v>2024</v>
      </c>
      <c r="U996" s="1313">
        <f t="shared" ref="U996" si="1157">I992</f>
        <v>2025</v>
      </c>
      <c r="V996" s="1313">
        <f t="shared" ref="V996" si="1158">J992</f>
        <v>2026</v>
      </c>
      <c r="W996" s="1313">
        <f t="shared" ref="W996" si="1159">K992</f>
        <v>2027</v>
      </c>
      <c r="X996" s="1313">
        <f t="shared" ref="X996" si="1160">L992</f>
        <v>2028</v>
      </c>
      <c r="Y996" s="1313">
        <f t="shared" ref="Y996" si="1161">M992</f>
        <v>2029</v>
      </c>
      <c r="Z996" s="1314">
        <f t="shared" ref="Z996" si="1162">N992</f>
        <v>2030</v>
      </c>
      <c r="AA996" s="694"/>
      <c r="AB996" s="694"/>
      <c r="AC996" s="982" t="b">
        <f t="shared" ref="AC996:AI996" si="1163">AC995</f>
        <v>0</v>
      </c>
      <c r="AD996" s="982" t="b">
        <f t="shared" si="1163"/>
        <v>0</v>
      </c>
      <c r="AE996" s="982" t="b">
        <f t="shared" si="1163"/>
        <v>0</v>
      </c>
      <c r="AF996" s="982" t="b">
        <f t="shared" si="1163"/>
        <v>0</v>
      </c>
      <c r="AG996" s="982" t="b">
        <f t="shared" si="1163"/>
        <v>0</v>
      </c>
      <c r="AH996" s="982" t="b">
        <f t="shared" si="1163"/>
        <v>0</v>
      </c>
      <c r="AI996" s="982" t="b">
        <f t="shared" si="1163"/>
        <v>0</v>
      </c>
      <c r="AJ996" s="1174" t="s">
        <v>2039</v>
      </c>
      <c r="AK996" s="1176" t="str">
        <f>IF(AND(CNTR_ExistSubInstEntries,MSconst_RequireSubAttrEmissions,COUNTIFS(AC996:AI996,FALSE,H996:N996,"")&gt;0),EUconst_Error&amp;"BM"&amp;$Q856,"")</f>
        <v/>
      </c>
      <c r="AL996" s="694"/>
    </row>
    <row r="997" spans="1:38" ht="12.75" customHeight="1" thickBot="1" x14ac:dyDescent="0.3">
      <c r="A997" s="694"/>
      <c r="B997" s="298"/>
      <c r="C997" s="1302"/>
      <c r="D997" s="625" t="s">
        <v>812</v>
      </c>
      <c r="E997" s="2832" t="str">
        <f>Translations!$B$537</f>
        <v>Емисии (от горива, изчислени)</v>
      </c>
      <c r="F997" s="2701"/>
      <c r="G997" s="1330" t="str">
        <f>EUconst_tCO2pa</f>
        <v>t CO2 / година</v>
      </c>
      <c r="H997" s="1331" t="str">
        <f t="shared" ref="H997:N997" si="1164">IF(AND(COUNT(H993:H996)&gt;0,H1000=""),3.664*H993*(H995/100)*(1-H996/100),"")</f>
        <v/>
      </c>
      <c r="I997" s="1332" t="str">
        <f t="shared" si="1164"/>
        <v/>
      </c>
      <c r="J997" s="1333" t="str">
        <f t="shared" si="1164"/>
        <v/>
      </c>
      <c r="K997" s="1331" t="str">
        <f t="shared" si="1164"/>
        <v/>
      </c>
      <c r="L997" s="1331" t="str">
        <f t="shared" si="1164"/>
        <v/>
      </c>
      <c r="M997" s="1331" t="str">
        <f t="shared" si="1164"/>
        <v/>
      </c>
      <c r="N997" s="1334" t="str">
        <f t="shared" si="1164"/>
        <v/>
      </c>
      <c r="O997" s="302"/>
      <c r="P997" s="302"/>
      <c r="Q997" s="1190" t="str">
        <f>EUconst_CNTR_EmissionsIntSource1 &amp; I856</f>
        <v>EmInternalSource1_</v>
      </c>
      <c r="R997" s="694"/>
      <c r="S997" s="1315" t="str">
        <f>EUconst_CNTR_AttributedEmissions &amp; I856</f>
        <v>AttrEmissions_</v>
      </c>
      <c r="T997" s="1290" t="str">
        <f t="shared" ref="T997" si="1165">IF(T864,SUM(H997),"")</f>
        <v/>
      </c>
      <c r="U997" s="1290" t="str">
        <f t="shared" ref="U997" si="1166">IF(U864,SUM(I997),"")</f>
        <v/>
      </c>
      <c r="V997" s="1290" t="str">
        <f t="shared" ref="V997" si="1167">IF(V864,SUM(J997),"")</f>
        <v/>
      </c>
      <c r="W997" s="1290" t="str">
        <f t="shared" ref="W997" si="1168">IF(W864,SUM(K997),"")</f>
        <v/>
      </c>
      <c r="X997" s="1290" t="str">
        <f t="shared" ref="X997" si="1169">IF(X864,SUM(L997),"")</f>
        <v/>
      </c>
      <c r="Y997" s="1290" t="str">
        <f t="shared" ref="Y997" si="1170">IF(Y864,SUM(M997),"")</f>
        <v/>
      </c>
      <c r="Z997" s="1291" t="str">
        <f t="shared" ref="Z997" si="1171">IF(Z864,SUM(N997),"")</f>
        <v/>
      </c>
      <c r="AA997" s="694"/>
      <c r="AB997" s="694"/>
      <c r="AC997" s="694"/>
      <c r="AD997" s="694"/>
      <c r="AE997" s="694"/>
      <c r="AF997" s="694"/>
      <c r="AG997" s="694"/>
      <c r="AH997" s="694"/>
      <c r="AI997" s="694"/>
      <c r="AJ997" s="694"/>
      <c r="AK997" s="694"/>
      <c r="AL997" s="694"/>
    </row>
    <row r="998" spans="1:38" ht="12.75" customHeight="1" x14ac:dyDescent="0.25">
      <c r="A998" s="694"/>
      <c r="B998" s="298"/>
      <c r="C998" s="1302"/>
      <c r="D998" s="625" t="s">
        <v>813</v>
      </c>
      <c r="E998" s="2833" t="str">
        <f>Translations!$B$538</f>
        <v>Допълнителна информация за справка: Емисии от биомаса</v>
      </c>
      <c r="F998" s="2703"/>
      <c r="G998" s="1335" t="str">
        <f>EUconst_tCO2pa</f>
        <v>t CO2 / година</v>
      </c>
      <c r="H998" s="1336" t="str">
        <f t="shared" ref="H998:N998" si="1172">IF(ISNUMBER(H997),3.664*H993*(H995/100)*(H996/100),"")</f>
        <v/>
      </c>
      <c r="I998" s="1337" t="str">
        <f t="shared" si="1172"/>
        <v/>
      </c>
      <c r="J998" s="1338" t="str">
        <f t="shared" si="1172"/>
        <v/>
      </c>
      <c r="K998" s="1336" t="str">
        <f t="shared" si="1172"/>
        <v/>
      </c>
      <c r="L998" s="1336" t="str">
        <f t="shared" si="1172"/>
        <v/>
      </c>
      <c r="M998" s="1336" t="str">
        <f t="shared" si="1172"/>
        <v/>
      </c>
      <c r="N998" s="1339" t="str">
        <f t="shared" si="1172"/>
        <v/>
      </c>
      <c r="O998" s="302"/>
      <c r="P998" s="302"/>
      <c r="Q998" s="729"/>
      <c r="R998" s="694"/>
      <c r="S998" s="729"/>
      <c r="T998" s="694"/>
      <c r="U998" s="694"/>
      <c r="V998" s="694"/>
      <c r="W998" s="694"/>
      <c r="X998" s="694"/>
      <c r="Y998" s="694"/>
      <c r="Z998" s="694"/>
      <c r="AA998" s="694"/>
      <c r="AB998" s="694"/>
      <c r="AC998" s="694"/>
      <c r="AD998" s="694"/>
      <c r="AE998" s="694"/>
      <c r="AF998" s="694"/>
      <c r="AG998" s="694"/>
      <c r="AH998" s="694"/>
      <c r="AI998" s="694"/>
      <c r="AJ998" s="694"/>
      <c r="AK998" s="694"/>
      <c r="AL998" s="694"/>
    </row>
    <row r="999" spans="1:38" ht="12.75" customHeight="1" x14ac:dyDescent="0.25">
      <c r="A999" s="694"/>
      <c r="B999" s="298"/>
      <c r="C999" s="1302"/>
      <c r="D999" s="625" t="s">
        <v>814</v>
      </c>
      <c r="E999" s="2828" t="str">
        <f>Translations!$B$539</f>
        <v>Енергийно съдържание (изчислено)</v>
      </c>
      <c r="F999" s="2705"/>
      <c r="G999" s="1340" t="str">
        <f>EUconst_TJpa</f>
        <v>TJ / година</v>
      </c>
      <c r="H999" s="1104" t="str">
        <f t="shared" ref="H999:N999" si="1173">IF(COUNT(H993:H994)=2,H993*H994/1000,"")</f>
        <v/>
      </c>
      <c r="I999" s="1296" t="str">
        <f t="shared" si="1173"/>
        <v/>
      </c>
      <c r="J999" s="1297" t="str">
        <f t="shared" si="1173"/>
        <v/>
      </c>
      <c r="K999" s="1104" t="str">
        <f t="shared" si="1173"/>
        <v/>
      </c>
      <c r="L999" s="1104" t="str">
        <f t="shared" si="1173"/>
        <v/>
      </c>
      <c r="M999" s="1104" t="str">
        <f t="shared" si="1173"/>
        <v/>
      </c>
      <c r="N999" s="1341" t="str">
        <f t="shared" si="1173"/>
        <v/>
      </c>
      <c r="O999" s="302"/>
      <c r="P999" s="302"/>
      <c r="Q999" s="729"/>
      <c r="R999" s="694"/>
      <c r="S999" s="729"/>
      <c r="T999" s="694"/>
      <c r="U999" s="694"/>
      <c r="V999" s="694"/>
      <c r="W999" s="694"/>
      <c r="X999" s="694"/>
      <c r="Y999" s="694"/>
      <c r="Z999" s="694"/>
      <c r="AA999" s="694"/>
      <c r="AB999" s="694"/>
      <c r="AC999" s="694"/>
      <c r="AD999" s="694"/>
      <c r="AE999" s="694"/>
      <c r="AF999" s="694"/>
      <c r="AG999" s="694"/>
      <c r="AH999" s="694"/>
      <c r="AI999" s="694"/>
      <c r="AJ999" s="694"/>
      <c r="AK999" s="694"/>
      <c r="AL999" s="694"/>
    </row>
    <row r="1000" spans="1:38" ht="12.75" customHeight="1" x14ac:dyDescent="0.25">
      <c r="A1000" s="694"/>
      <c r="B1000" s="298"/>
      <c r="C1000" s="1302"/>
      <c r="D1000" s="625" t="s">
        <v>61</v>
      </c>
      <c r="E1000" s="2829" t="str">
        <f>Translations!$B$540</f>
        <v>Съобщения за грешка (емисии)</v>
      </c>
      <c r="F1000" s="2830"/>
      <c r="G1000" s="1342"/>
      <c r="H1000" s="1343" t="str">
        <f t="shared" ref="H1000:N1000" si="1174">IF(COUNT(H993,H995:H996)&gt;0,IF(COUNTIF(H994:H996,"&lt;0")&gt;0,EUconst_Negative,IF(COUNT(H993,H995:H996)&lt;3,EUconst_Incomplete,"")),"")</f>
        <v/>
      </c>
      <c r="I1000" s="1344" t="str">
        <f t="shared" si="1174"/>
        <v/>
      </c>
      <c r="J1000" s="1345" t="str">
        <f t="shared" si="1174"/>
        <v/>
      </c>
      <c r="K1000" s="1343" t="str">
        <f t="shared" si="1174"/>
        <v/>
      </c>
      <c r="L1000" s="1343" t="str">
        <f t="shared" si="1174"/>
        <v/>
      </c>
      <c r="M1000" s="1343" t="str">
        <f t="shared" si="1174"/>
        <v/>
      </c>
      <c r="N1000" s="1346" t="str">
        <f t="shared" si="1174"/>
        <v/>
      </c>
      <c r="O1000" s="302"/>
      <c r="P1000" s="302"/>
      <c r="Q1000" s="729"/>
      <c r="R1000" s="694"/>
      <c r="S1000" s="729"/>
      <c r="T1000" s="694"/>
      <c r="U1000" s="694"/>
      <c r="V1000" s="694"/>
      <c r="W1000" s="694"/>
      <c r="X1000" s="694"/>
      <c r="Y1000" s="694"/>
      <c r="Z1000" s="694"/>
      <c r="AA1000" s="694"/>
      <c r="AB1000" s="694"/>
      <c r="AC1000" s="694"/>
      <c r="AD1000" s="694"/>
      <c r="AE1000" s="694"/>
      <c r="AF1000" s="694"/>
      <c r="AG1000" s="694"/>
      <c r="AH1000" s="694"/>
      <c r="AI1000" s="694"/>
      <c r="AJ1000" s="694"/>
      <c r="AK1000" s="694"/>
      <c r="AL1000" s="694"/>
    </row>
    <row r="1001" spans="1:38" ht="12.75" customHeight="1" x14ac:dyDescent="0.25">
      <c r="A1001" s="694"/>
      <c r="B1001" s="298"/>
      <c r="C1001" s="1302"/>
      <c r="D1001" s="625"/>
      <c r="E1001" s="1306"/>
      <c r="F1001" s="1306"/>
      <c r="G1001" s="1306"/>
      <c r="H1001" s="1306"/>
      <c r="I1001" s="1306"/>
      <c r="J1001" s="1306"/>
      <c r="K1001" s="1306"/>
      <c r="L1001" s="1306"/>
      <c r="M1001" s="626"/>
      <c r="N1001" s="1316"/>
      <c r="O1001" s="302"/>
      <c r="P1001" s="302"/>
      <c r="Q1001" s="729"/>
      <c r="R1001" s="694"/>
      <c r="S1001" s="729"/>
      <c r="T1001" s="694"/>
      <c r="U1001" s="694"/>
      <c r="V1001" s="694"/>
      <c r="W1001" s="694"/>
      <c r="X1001" s="694"/>
      <c r="Y1001" s="694"/>
      <c r="Z1001" s="694"/>
      <c r="AA1001" s="694"/>
      <c r="AB1001" s="694"/>
      <c r="AC1001" s="694"/>
      <c r="AD1001" s="694"/>
      <c r="AE1001" s="694"/>
      <c r="AF1001" s="694"/>
      <c r="AG1001" s="694"/>
      <c r="AH1001" s="694"/>
      <c r="AI1001" s="694"/>
      <c r="AJ1001" s="694"/>
      <c r="AK1001" s="694"/>
      <c r="AL1001" s="694"/>
    </row>
    <row r="1002" spans="1:38" ht="12.75" customHeight="1" x14ac:dyDescent="0.25">
      <c r="A1002" s="694"/>
      <c r="B1002" s="298"/>
      <c r="C1002" s="1302"/>
      <c r="D1002" s="625" t="s">
        <v>62</v>
      </c>
      <c r="E1002" s="2815" t="str">
        <f>Translations!$B$541</f>
        <v>Име на други пораждащи емисии потоци — 2:</v>
      </c>
      <c r="F1002" s="2240"/>
      <c r="G1002" s="2240"/>
      <c r="H1002" s="2684"/>
      <c r="I1002" s="2821"/>
      <c r="J1002" s="2674"/>
      <c r="K1002" s="2674"/>
      <c r="L1002" s="2674"/>
      <c r="M1002" s="2675"/>
      <c r="N1002" s="1323"/>
      <c r="O1002" s="302"/>
      <c r="P1002" s="158"/>
      <c r="Q1002" s="729"/>
      <c r="R1002" s="694"/>
      <c r="S1002" s="729"/>
      <c r="T1002" s="694"/>
      <c r="U1002" s="694"/>
      <c r="V1002" s="694"/>
      <c r="W1002" s="694"/>
      <c r="X1002" s="694"/>
      <c r="Y1002" s="694"/>
      <c r="Z1002" s="694"/>
      <c r="AA1002" s="694"/>
      <c r="AB1002" s="694"/>
      <c r="AC1002" s="1182" t="s">
        <v>737</v>
      </c>
      <c r="AD1002" s="982" t="b">
        <f>AD990</f>
        <v>0</v>
      </c>
      <c r="AE1002" s="694"/>
      <c r="AF1002" s="694"/>
      <c r="AG1002" s="694"/>
      <c r="AH1002" s="694"/>
      <c r="AI1002" s="694"/>
      <c r="AJ1002" s="694"/>
      <c r="AK1002" s="694"/>
      <c r="AL1002" s="694"/>
    </row>
    <row r="1003" spans="1:38" ht="5.15" customHeight="1" x14ac:dyDescent="0.25">
      <c r="A1003" s="694"/>
      <c r="B1003" s="298"/>
      <c r="C1003" s="1302"/>
      <c r="D1003" s="1306"/>
      <c r="E1003" s="1325"/>
      <c r="F1003" s="1322"/>
      <c r="G1003" s="1306"/>
      <c r="H1003" s="1306"/>
      <c r="I1003" s="1322"/>
      <c r="J1003" s="1322"/>
      <c r="K1003" s="1322"/>
      <c r="L1003" s="1322"/>
      <c r="M1003" s="1322"/>
      <c r="N1003" s="1323"/>
      <c r="O1003" s="302"/>
      <c r="P1003" s="302"/>
      <c r="Q1003" s="729"/>
      <c r="R1003" s="694"/>
      <c r="S1003" s="729"/>
      <c r="T1003" s="694"/>
      <c r="U1003" s="694"/>
      <c r="V1003" s="694"/>
      <c r="W1003" s="694"/>
      <c r="X1003" s="694"/>
      <c r="Y1003" s="694"/>
      <c r="Z1003" s="694"/>
      <c r="AA1003" s="694"/>
      <c r="AB1003" s="694"/>
      <c r="AC1003" s="694"/>
      <c r="AD1003" s="694"/>
      <c r="AE1003" s="694"/>
      <c r="AF1003" s="694"/>
      <c r="AG1003" s="694"/>
      <c r="AH1003" s="694"/>
      <c r="AI1003" s="694"/>
      <c r="AJ1003" s="694"/>
      <c r="AK1003" s="694"/>
      <c r="AL1003" s="694"/>
    </row>
    <row r="1004" spans="1:38" ht="12.75" customHeight="1" thickBot="1" x14ac:dyDescent="0.3">
      <c r="A1004" s="694"/>
      <c r="B1004" s="298"/>
      <c r="C1004" s="1302"/>
      <c r="D1004" s="625"/>
      <c r="E1004" s="2803" t="str">
        <f>Translations!$B$542</f>
        <v>Други пораждащи емисии потоци — 2</v>
      </c>
      <c r="F1004" s="2672"/>
      <c r="G1004" s="1309" t="str">
        <f>EUconst_Unit</f>
        <v>Единица мярка</v>
      </c>
      <c r="H1004" s="629">
        <f t="shared" ref="H1004:N1004" si="1175">H$2831</f>
        <v>2024</v>
      </c>
      <c r="I1004" s="1310">
        <f t="shared" si="1175"/>
        <v>2025</v>
      </c>
      <c r="J1004" s="1311">
        <f t="shared" si="1175"/>
        <v>2026</v>
      </c>
      <c r="K1004" s="629">
        <f t="shared" si="1175"/>
        <v>2027</v>
      </c>
      <c r="L1004" s="629">
        <f t="shared" si="1175"/>
        <v>2028</v>
      </c>
      <c r="M1004" s="629">
        <f t="shared" si="1175"/>
        <v>2029</v>
      </c>
      <c r="N1004" s="1312">
        <f t="shared" si="1175"/>
        <v>2030</v>
      </c>
      <c r="O1004" s="302"/>
      <c r="P1004" s="302"/>
      <c r="Q1004" s="729"/>
      <c r="R1004" s="694"/>
      <c r="S1004" s="729"/>
      <c r="T1004" s="694"/>
      <c r="U1004" s="694"/>
      <c r="V1004" s="694"/>
      <c r="W1004" s="694"/>
      <c r="X1004" s="694"/>
      <c r="Y1004" s="694"/>
      <c r="Z1004" s="694"/>
      <c r="AA1004" s="694"/>
      <c r="AB1004" s="694"/>
      <c r="AC1004" s="1178">
        <f t="shared" ref="AC1004" si="1176">H$20</f>
        <v>2024</v>
      </c>
      <c r="AD1004" s="1178">
        <f t="shared" ref="AD1004" si="1177">I$20</f>
        <v>2025</v>
      </c>
      <c r="AE1004" s="1178">
        <f t="shared" ref="AE1004" si="1178">J$20</f>
        <v>2026</v>
      </c>
      <c r="AF1004" s="1178">
        <f t="shared" ref="AF1004" si="1179">K$20</f>
        <v>2027</v>
      </c>
      <c r="AG1004" s="1178">
        <f t="shared" ref="AG1004" si="1180">L$20</f>
        <v>2028</v>
      </c>
      <c r="AH1004" s="1178">
        <f t="shared" ref="AH1004" si="1181">M$20</f>
        <v>2029</v>
      </c>
      <c r="AI1004" s="1178">
        <f t="shared" ref="AI1004" si="1182">N$20</f>
        <v>2030</v>
      </c>
      <c r="AJ1004" s="694"/>
      <c r="AK1004" s="694"/>
      <c r="AL1004" s="694"/>
    </row>
    <row r="1005" spans="1:38" ht="12.75" customHeight="1" x14ac:dyDescent="0.25">
      <c r="A1005" s="694"/>
      <c r="B1005" s="298"/>
      <c r="C1005" s="1302"/>
      <c r="D1005" s="625" t="s">
        <v>63</v>
      </c>
      <c r="E1005" s="2818" t="str">
        <f>Translations!$B$533</f>
        <v>Получено или подадено количество</v>
      </c>
      <c r="F1005" s="2701"/>
      <c r="G1005" s="1326" t="str">
        <f>EUconst_tpa</f>
        <v>t / година</v>
      </c>
      <c r="H1005" s="129"/>
      <c r="I1005" s="130"/>
      <c r="J1005" s="131"/>
      <c r="K1005" s="129"/>
      <c r="L1005" s="129"/>
      <c r="M1005" s="129"/>
      <c r="N1005" s="132"/>
      <c r="O1005" s="302"/>
      <c r="P1005" s="158"/>
      <c r="Q1005" s="729"/>
      <c r="R1005" s="694"/>
      <c r="S1005" s="729"/>
      <c r="T1005" s="694"/>
      <c r="U1005" s="694"/>
      <c r="V1005" s="694"/>
      <c r="W1005" s="694"/>
      <c r="X1005" s="694"/>
      <c r="Y1005" s="694"/>
      <c r="Z1005" s="694"/>
      <c r="AA1005" s="694"/>
      <c r="AB1005" s="1182" t="s">
        <v>737</v>
      </c>
      <c r="AC1005" s="982" t="b">
        <f>AC993</f>
        <v>0</v>
      </c>
      <c r="AD1005" s="982" t="b">
        <f t="shared" ref="AD1005:AI1005" si="1183">AD993</f>
        <v>0</v>
      </c>
      <c r="AE1005" s="982" t="b">
        <f t="shared" si="1183"/>
        <v>0</v>
      </c>
      <c r="AF1005" s="982" t="b">
        <f t="shared" si="1183"/>
        <v>0</v>
      </c>
      <c r="AG1005" s="982" t="b">
        <f t="shared" si="1183"/>
        <v>0</v>
      </c>
      <c r="AH1005" s="982" t="b">
        <f t="shared" si="1183"/>
        <v>0</v>
      </c>
      <c r="AI1005" s="982" t="b">
        <f t="shared" si="1183"/>
        <v>0</v>
      </c>
      <c r="AJ1005" s="1174" t="s">
        <v>2039</v>
      </c>
      <c r="AK1005" s="1176" t="str">
        <f>IF(AND(CNTR_ExistSubInstEntries,MSconst_RequireSubAttrEmissions,COUNTIFS(AC1005:AI1005,FALSE,H1005:N1005,"")&gt;0),EUconst_Error&amp;"BM"&amp;$Q856,"")</f>
        <v/>
      </c>
      <c r="AL1005" s="694"/>
    </row>
    <row r="1006" spans="1:38" ht="12.75" customHeight="1" x14ac:dyDescent="0.25">
      <c r="A1006" s="694"/>
      <c r="B1006" s="298"/>
      <c r="C1006" s="1302"/>
      <c r="D1006" s="625" t="s">
        <v>1136</v>
      </c>
      <c r="E1006" s="2831" t="str">
        <f>Translations!$B$534</f>
        <v>Долна топлина на изгаряне (NCV), ако е приложимо</v>
      </c>
      <c r="F1006" s="2703"/>
      <c r="G1006" s="1327" t="str">
        <f>EUconst_GJpt</f>
        <v>GJ / t</v>
      </c>
      <c r="H1006" s="133"/>
      <c r="I1006" s="134"/>
      <c r="J1006" s="135"/>
      <c r="K1006" s="133"/>
      <c r="L1006" s="133"/>
      <c r="M1006" s="133"/>
      <c r="N1006" s="136"/>
      <c r="O1006" s="302"/>
      <c r="P1006" s="158"/>
      <c r="Q1006" s="729"/>
      <c r="R1006" s="694"/>
      <c r="S1006" s="729"/>
      <c r="T1006" s="694"/>
      <c r="U1006" s="694"/>
      <c r="V1006" s="694"/>
      <c r="W1006" s="694"/>
      <c r="X1006" s="694"/>
      <c r="Y1006" s="694"/>
      <c r="Z1006" s="694"/>
      <c r="AA1006" s="694"/>
      <c r="AB1006" s="694"/>
      <c r="AC1006" s="982" t="b">
        <f t="shared" ref="AC1006:AI1006" si="1184">AC994</f>
        <v>0</v>
      </c>
      <c r="AD1006" s="982" t="b">
        <f t="shared" si="1184"/>
        <v>0</v>
      </c>
      <c r="AE1006" s="982" t="b">
        <f t="shared" si="1184"/>
        <v>0</v>
      </c>
      <c r="AF1006" s="982" t="b">
        <f t="shared" si="1184"/>
        <v>0</v>
      </c>
      <c r="AG1006" s="982" t="b">
        <f t="shared" si="1184"/>
        <v>0</v>
      </c>
      <c r="AH1006" s="982" t="b">
        <f t="shared" si="1184"/>
        <v>0</v>
      </c>
      <c r="AI1006" s="982" t="b">
        <f t="shared" si="1184"/>
        <v>0</v>
      </c>
      <c r="AJ1006" s="1174" t="s">
        <v>2039</v>
      </c>
      <c r="AK1006" s="1176" t="str">
        <f>IF(AND(CNTR_ExistSubInstEntries,MSconst_RequireSubAttrEmissions,COUNTIFS(AC1006:AI1006,FALSE,H1006:N1006,"")&gt;0),EUconst_Error&amp;"BM"&amp;$Q856,"")</f>
        <v/>
      </c>
      <c r="AL1006" s="694"/>
    </row>
    <row r="1007" spans="1:38" ht="12.75" customHeight="1" thickBot="1" x14ac:dyDescent="0.3">
      <c r="A1007" s="694"/>
      <c r="B1007" s="298"/>
      <c r="C1007" s="1302"/>
      <c r="D1007" s="625" t="s">
        <v>1137</v>
      </c>
      <c r="E1007" s="2831" t="str">
        <f>Translations!$B$535</f>
        <v>Въглеродно съдържание (тегловни %)</v>
      </c>
      <c r="F1007" s="2703"/>
      <c r="G1007" s="1328" t="s">
        <v>903</v>
      </c>
      <c r="H1007" s="133"/>
      <c r="I1007" s="134"/>
      <c r="J1007" s="135"/>
      <c r="K1007" s="133"/>
      <c r="L1007" s="133"/>
      <c r="M1007" s="133"/>
      <c r="N1007" s="136"/>
      <c r="O1007" s="302"/>
      <c r="P1007" s="158"/>
      <c r="Q1007" s="729"/>
      <c r="R1007" s="694"/>
      <c r="S1007" s="729"/>
      <c r="T1007" s="694"/>
      <c r="U1007" s="694"/>
      <c r="V1007" s="694"/>
      <c r="W1007" s="694"/>
      <c r="X1007" s="694"/>
      <c r="Y1007" s="694"/>
      <c r="Z1007" s="694"/>
      <c r="AA1007" s="694"/>
      <c r="AB1007" s="694"/>
      <c r="AC1007" s="982" t="b">
        <f t="shared" ref="AC1007:AI1007" si="1185">AC995</f>
        <v>0</v>
      </c>
      <c r="AD1007" s="982" t="b">
        <f t="shared" si="1185"/>
        <v>0</v>
      </c>
      <c r="AE1007" s="982" t="b">
        <f t="shared" si="1185"/>
        <v>0</v>
      </c>
      <c r="AF1007" s="982" t="b">
        <f t="shared" si="1185"/>
        <v>0</v>
      </c>
      <c r="AG1007" s="982" t="b">
        <f t="shared" si="1185"/>
        <v>0</v>
      </c>
      <c r="AH1007" s="982" t="b">
        <f t="shared" si="1185"/>
        <v>0</v>
      </c>
      <c r="AI1007" s="982" t="b">
        <f t="shared" si="1185"/>
        <v>0</v>
      </c>
      <c r="AJ1007" s="1174" t="s">
        <v>2039</v>
      </c>
      <c r="AK1007" s="1176" t="str">
        <f>IF(AND(CNTR_ExistSubInstEntries,MSconst_RequireSubAttrEmissions,COUNTIFS(AC1007:AI1007,FALSE,H1007:N1007,"")&gt;0),EUconst_Error&amp;"BM"&amp;$Q856,"")</f>
        <v/>
      </c>
      <c r="AL1007" s="694"/>
    </row>
    <row r="1008" spans="1:38" ht="12.75" customHeight="1" x14ac:dyDescent="0.25">
      <c r="A1008" s="694"/>
      <c r="B1008" s="298"/>
      <c r="C1008" s="1302"/>
      <c r="D1008" s="625" t="s">
        <v>1138</v>
      </c>
      <c r="E1008" s="2828" t="str">
        <f>Translations!$B$536</f>
        <v>Съдържание на биомаса (като дял от въглеродното съдържание)</v>
      </c>
      <c r="F1008" s="2705"/>
      <c r="G1008" s="1329" t="s">
        <v>903</v>
      </c>
      <c r="H1008" s="137"/>
      <c r="I1008" s="138"/>
      <c r="J1008" s="139"/>
      <c r="K1008" s="137"/>
      <c r="L1008" s="137"/>
      <c r="M1008" s="137"/>
      <c r="N1008" s="140"/>
      <c r="O1008" s="302"/>
      <c r="P1008" s="158"/>
      <c r="Q1008" s="729"/>
      <c r="R1008" s="694"/>
      <c r="S1008" s="1205"/>
      <c r="T1008" s="1313">
        <f t="shared" ref="T1008" si="1186">H1004</f>
        <v>2024</v>
      </c>
      <c r="U1008" s="1313">
        <f t="shared" ref="U1008" si="1187">I1004</f>
        <v>2025</v>
      </c>
      <c r="V1008" s="1313">
        <f t="shared" ref="V1008" si="1188">J1004</f>
        <v>2026</v>
      </c>
      <c r="W1008" s="1313">
        <f t="shared" ref="W1008" si="1189">K1004</f>
        <v>2027</v>
      </c>
      <c r="X1008" s="1313">
        <f t="shared" ref="X1008" si="1190">L1004</f>
        <v>2028</v>
      </c>
      <c r="Y1008" s="1313">
        <f t="shared" ref="Y1008" si="1191">M1004</f>
        <v>2029</v>
      </c>
      <c r="Z1008" s="1314">
        <f t="shared" ref="Z1008" si="1192">N1004</f>
        <v>2030</v>
      </c>
      <c r="AA1008" s="694"/>
      <c r="AB1008" s="694"/>
      <c r="AC1008" s="982" t="b">
        <f t="shared" ref="AC1008:AI1008" si="1193">AC996</f>
        <v>0</v>
      </c>
      <c r="AD1008" s="982" t="b">
        <f t="shared" si="1193"/>
        <v>0</v>
      </c>
      <c r="AE1008" s="982" t="b">
        <f t="shared" si="1193"/>
        <v>0</v>
      </c>
      <c r="AF1008" s="982" t="b">
        <f t="shared" si="1193"/>
        <v>0</v>
      </c>
      <c r="AG1008" s="982" t="b">
        <f t="shared" si="1193"/>
        <v>0</v>
      </c>
      <c r="AH1008" s="982" t="b">
        <f t="shared" si="1193"/>
        <v>0</v>
      </c>
      <c r="AI1008" s="982" t="b">
        <f t="shared" si="1193"/>
        <v>0</v>
      </c>
      <c r="AJ1008" s="1174" t="s">
        <v>2039</v>
      </c>
      <c r="AK1008" s="1176" t="str">
        <f>IF(AND(CNTR_ExistSubInstEntries,MSconst_RequireSubAttrEmissions,COUNTIFS(AC1008:AI1008,FALSE,H1008:N1008,"")&gt;0),EUconst_Error&amp;"BM"&amp;$Q856,"")</f>
        <v/>
      </c>
      <c r="AL1008" s="694"/>
    </row>
    <row r="1009" spans="1:38" ht="12.75" customHeight="1" thickBot="1" x14ac:dyDescent="0.3">
      <c r="A1009" s="694"/>
      <c r="B1009" s="298"/>
      <c r="C1009" s="1302"/>
      <c r="D1009" s="625" t="s">
        <v>1139</v>
      </c>
      <c r="E1009" s="2832" t="str">
        <f>Translations!$B$537</f>
        <v>Емисии (от горива, изчислени)</v>
      </c>
      <c r="F1009" s="2701"/>
      <c r="G1009" s="1330" t="str">
        <f>EUconst_tCO2pa</f>
        <v>t CO2 / година</v>
      </c>
      <c r="H1009" s="1331" t="str">
        <f t="shared" ref="H1009:N1009" si="1194">IF(AND(COUNT(H1005:H1008)&gt;0,H1012=""),3.664*H1005*(H1007/100)*(1-H1008/100),"")</f>
        <v/>
      </c>
      <c r="I1009" s="1332" t="str">
        <f t="shared" si="1194"/>
        <v/>
      </c>
      <c r="J1009" s="1333" t="str">
        <f t="shared" si="1194"/>
        <v/>
      </c>
      <c r="K1009" s="1331" t="str">
        <f t="shared" si="1194"/>
        <v/>
      </c>
      <c r="L1009" s="1331" t="str">
        <f t="shared" si="1194"/>
        <v/>
      </c>
      <c r="M1009" s="1331" t="str">
        <f t="shared" si="1194"/>
        <v/>
      </c>
      <c r="N1009" s="1334" t="str">
        <f t="shared" si="1194"/>
        <v/>
      </c>
      <c r="O1009" s="302"/>
      <c r="P1009" s="302"/>
      <c r="Q1009" s="1190" t="str">
        <f>EUconst_CNTR_EmissionsIntSource2 &amp; I856</f>
        <v>EmInternalSource2_</v>
      </c>
      <c r="R1009" s="694"/>
      <c r="S1009" s="1315" t="str">
        <f>EUconst_CNTR_AttributedEmissions &amp; I856</f>
        <v>AttrEmissions_</v>
      </c>
      <c r="T1009" s="1290" t="str">
        <f t="shared" ref="T1009" si="1195">IF(T864,SUM(H1009),"")</f>
        <v/>
      </c>
      <c r="U1009" s="1290" t="str">
        <f t="shared" ref="U1009" si="1196">IF(U864,SUM(I1009),"")</f>
        <v/>
      </c>
      <c r="V1009" s="1290" t="str">
        <f t="shared" ref="V1009" si="1197">IF(V864,SUM(J1009),"")</f>
        <v/>
      </c>
      <c r="W1009" s="1290" t="str">
        <f t="shared" ref="W1009" si="1198">IF(W864,SUM(K1009),"")</f>
        <v/>
      </c>
      <c r="X1009" s="1290" t="str">
        <f t="shared" ref="X1009" si="1199">IF(X864,SUM(L1009),"")</f>
        <v/>
      </c>
      <c r="Y1009" s="1290" t="str">
        <f t="shared" ref="Y1009" si="1200">IF(Y864,SUM(M1009),"")</f>
        <v/>
      </c>
      <c r="Z1009" s="1291" t="str">
        <f t="shared" ref="Z1009" si="1201">IF(Z864,SUM(N1009),"")</f>
        <v/>
      </c>
      <c r="AA1009" s="694"/>
      <c r="AB1009" s="694"/>
      <c r="AC1009" s="694"/>
      <c r="AD1009" s="694"/>
      <c r="AE1009" s="694"/>
      <c r="AF1009" s="694"/>
      <c r="AG1009" s="694"/>
      <c r="AH1009" s="694"/>
      <c r="AI1009" s="694"/>
      <c r="AJ1009" s="694"/>
      <c r="AK1009" s="694"/>
      <c r="AL1009" s="694"/>
    </row>
    <row r="1010" spans="1:38" ht="12.75" customHeight="1" x14ac:dyDescent="0.25">
      <c r="A1010" s="694"/>
      <c r="B1010" s="298"/>
      <c r="C1010" s="1302"/>
      <c r="D1010" s="625" t="s">
        <v>1140</v>
      </c>
      <c r="E1010" s="2833" t="str">
        <f>Translations!$B$538</f>
        <v>Допълнителна информация за справка: Емисии от биомаса</v>
      </c>
      <c r="F1010" s="2703"/>
      <c r="G1010" s="1335" t="str">
        <f>EUconst_tCO2pa</f>
        <v>t CO2 / година</v>
      </c>
      <c r="H1010" s="1336" t="str">
        <f t="shared" ref="H1010:N1010" si="1202">IF(ISNUMBER(H1009),3.664*H1005*(H1007/100)*(H1008/100),"")</f>
        <v/>
      </c>
      <c r="I1010" s="1337" t="str">
        <f t="shared" si="1202"/>
        <v/>
      </c>
      <c r="J1010" s="1338" t="str">
        <f t="shared" si="1202"/>
        <v/>
      </c>
      <c r="K1010" s="1336" t="str">
        <f t="shared" si="1202"/>
        <v/>
      </c>
      <c r="L1010" s="1336" t="str">
        <f t="shared" si="1202"/>
        <v/>
      </c>
      <c r="M1010" s="1336" t="str">
        <f t="shared" si="1202"/>
        <v/>
      </c>
      <c r="N1010" s="1339" t="str">
        <f t="shared" si="1202"/>
        <v/>
      </c>
      <c r="O1010" s="302"/>
      <c r="P1010" s="302"/>
      <c r="Q1010" s="729"/>
      <c r="R1010" s="694"/>
      <c r="S1010" s="729"/>
      <c r="T1010" s="694"/>
      <c r="U1010" s="694"/>
      <c r="V1010" s="694"/>
      <c r="W1010" s="694"/>
      <c r="X1010" s="694"/>
      <c r="Y1010" s="694"/>
      <c r="Z1010" s="694"/>
      <c r="AA1010" s="694"/>
      <c r="AB1010" s="694"/>
      <c r="AC1010" s="694"/>
      <c r="AD1010" s="694"/>
      <c r="AE1010" s="694"/>
      <c r="AF1010" s="694"/>
      <c r="AG1010" s="694"/>
      <c r="AH1010" s="694"/>
      <c r="AI1010" s="694"/>
      <c r="AJ1010" s="694"/>
      <c r="AK1010" s="694"/>
      <c r="AL1010" s="694"/>
    </row>
    <row r="1011" spans="1:38" ht="12.75" customHeight="1" x14ac:dyDescent="0.25">
      <c r="A1011" s="694"/>
      <c r="B1011" s="298"/>
      <c r="C1011" s="1302"/>
      <c r="D1011" s="625" t="s">
        <v>1141</v>
      </c>
      <c r="E1011" s="2828" t="str">
        <f>Translations!$B$539</f>
        <v>Енергийно съдържание (изчислено)</v>
      </c>
      <c r="F1011" s="2705"/>
      <c r="G1011" s="1340" t="str">
        <f>EUconst_TJpa</f>
        <v>TJ / година</v>
      </c>
      <c r="H1011" s="1104" t="str">
        <f t="shared" ref="H1011:N1011" si="1203">IF(COUNT(H1005:H1006)=2,H1005*H1006/1000,"")</f>
        <v/>
      </c>
      <c r="I1011" s="1296" t="str">
        <f t="shared" si="1203"/>
        <v/>
      </c>
      <c r="J1011" s="1297" t="str">
        <f t="shared" si="1203"/>
        <v/>
      </c>
      <c r="K1011" s="1104" t="str">
        <f t="shared" si="1203"/>
        <v/>
      </c>
      <c r="L1011" s="1104" t="str">
        <f t="shared" si="1203"/>
        <v/>
      </c>
      <c r="M1011" s="1104" t="str">
        <f t="shared" si="1203"/>
        <v/>
      </c>
      <c r="N1011" s="1341" t="str">
        <f t="shared" si="1203"/>
        <v/>
      </c>
      <c r="O1011" s="302"/>
      <c r="P1011" s="302"/>
      <c r="Q1011" s="729"/>
      <c r="R1011" s="694"/>
      <c r="S1011" s="729"/>
      <c r="T1011" s="694"/>
      <c r="U1011" s="694"/>
      <c r="V1011" s="694"/>
      <c r="W1011" s="694"/>
      <c r="X1011" s="694"/>
      <c r="Y1011" s="694"/>
      <c r="Z1011" s="694"/>
      <c r="AA1011" s="694"/>
      <c r="AB1011" s="694"/>
      <c r="AC1011" s="694"/>
      <c r="AD1011" s="694"/>
      <c r="AE1011" s="694"/>
      <c r="AF1011" s="694"/>
      <c r="AG1011" s="694"/>
      <c r="AH1011" s="694"/>
      <c r="AI1011" s="694"/>
      <c r="AJ1011" s="694"/>
      <c r="AK1011" s="694"/>
      <c r="AL1011" s="694"/>
    </row>
    <row r="1012" spans="1:38" ht="12.75" customHeight="1" x14ac:dyDescent="0.25">
      <c r="A1012" s="694"/>
      <c r="B1012" s="298"/>
      <c r="C1012" s="1302"/>
      <c r="D1012" s="625" t="s">
        <v>1137</v>
      </c>
      <c r="E1012" s="2829" t="str">
        <f>Translations!$B$540</f>
        <v>Съобщения за грешка (емисии)</v>
      </c>
      <c r="F1012" s="2830"/>
      <c r="G1012" s="1342"/>
      <c r="H1012" s="1343" t="str">
        <f t="shared" ref="H1012:N1012" si="1204">IF(COUNT(H1005,H1007:H1008)&gt;0,IF(COUNTIF(H1006:H1008,"&lt;0")&gt;0,EUconst_Negative,IF(COUNT(H1005,H1007:H1008)&lt;3,EUconst_Incomplete,"")),"")</f>
        <v/>
      </c>
      <c r="I1012" s="1344" t="str">
        <f t="shared" si="1204"/>
        <v/>
      </c>
      <c r="J1012" s="1345" t="str">
        <f t="shared" si="1204"/>
        <v/>
      </c>
      <c r="K1012" s="1343" t="str">
        <f t="shared" si="1204"/>
        <v/>
      </c>
      <c r="L1012" s="1343" t="str">
        <f t="shared" si="1204"/>
        <v/>
      </c>
      <c r="M1012" s="1343" t="str">
        <f t="shared" si="1204"/>
        <v/>
      </c>
      <c r="N1012" s="1346" t="str">
        <f t="shared" si="1204"/>
        <v/>
      </c>
      <c r="O1012" s="302"/>
      <c r="P1012" s="302"/>
      <c r="Q1012" s="729"/>
      <c r="R1012" s="694"/>
      <c r="S1012" s="729"/>
      <c r="T1012" s="694"/>
      <c r="U1012" s="694"/>
      <c r="V1012" s="694"/>
      <c r="W1012" s="694"/>
      <c r="X1012" s="694"/>
      <c r="Y1012" s="694"/>
      <c r="Z1012" s="694"/>
      <c r="AA1012" s="694"/>
      <c r="AB1012" s="694"/>
      <c r="AC1012" s="694"/>
      <c r="AD1012" s="694"/>
      <c r="AE1012" s="694"/>
      <c r="AF1012" s="694"/>
      <c r="AG1012" s="694"/>
      <c r="AH1012" s="694"/>
      <c r="AI1012" s="694"/>
      <c r="AJ1012" s="694"/>
      <c r="AK1012" s="694"/>
      <c r="AL1012" s="694"/>
    </row>
    <row r="1013" spans="1:38" ht="12.75" customHeight="1" x14ac:dyDescent="0.25">
      <c r="A1013" s="694"/>
      <c r="B1013" s="298"/>
      <c r="C1013" s="1302"/>
      <c r="D1013" s="1306"/>
      <c r="E1013" s="1306"/>
      <c r="F1013" s="1306"/>
      <c r="G1013" s="1306"/>
      <c r="H1013" s="1306"/>
      <c r="I1013" s="1306"/>
      <c r="J1013" s="1306"/>
      <c r="K1013" s="1306"/>
      <c r="L1013" s="1306"/>
      <c r="M1013" s="626"/>
      <c r="N1013" s="1316"/>
      <c r="O1013" s="302"/>
      <c r="P1013" s="302"/>
      <c r="Q1013" s="729"/>
      <c r="R1013" s="694"/>
      <c r="S1013" s="729"/>
      <c r="T1013" s="694"/>
      <c r="U1013" s="694"/>
      <c r="V1013" s="694"/>
      <c r="W1013" s="694"/>
      <c r="X1013" s="694"/>
      <c r="Y1013" s="694"/>
      <c r="Z1013" s="694"/>
      <c r="AA1013" s="694"/>
      <c r="AB1013" s="694"/>
      <c r="AC1013" s="694"/>
      <c r="AD1013" s="694"/>
      <c r="AE1013" s="694"/>
      <c r="AF1013" s="694"/>
      <c r="AG1013" s="694"/>
      <c r="AH1013" s="694"/>
      <c r="AI1013" s="694"/>
      <c r="AJ1013" s="694"/>
      <c r="AK1013" s="694"/>
      <c r="AL1013" s="694"/>
    </row>
    <row r="1014" spans="1:38" ht="12.75" customHeight="1" x14ac:dyDescent="0.25">
      <c r="A1014" s="694"/>
      <c r="B1014" s="298"/>
      <c r="C1014" s="1302"/>
      <c r="D1014" s="1307" t="s">
        <v>489</v>
      </c>
      <c r="E1014" s="2815" t="str">
        <f>Translations!$B$543</f>
        <v>Количество на парникови газове, които са получени или подадени като суровини</v>
      </c>
      <c r="F1014" s="2240"/>
      <c r="G1014" s="2240"/>
      <c r="H1014" s="2240"/>
      <c r="I1014" s="2240"/>
      <c r="J1014" s="2240"/>
      <c r="K1014" s="2240"/>
      <c r="L1014" s="2240"/>
      <c r="M1014" s="2240"/>
      <c r="N1014" s="2811"/>
      <c r="O1014" s="302"/>
      <c r="P1014" s="302"/>
      <c r="Q1014" s="729"/>
      <c r="R1014" s="694"/>
      <c r="S1014" s="729"/>
      <c r="T1014" s="694"/>
      <c r="U1014" s="694"/>
      <c r="V1014" s="694"/>
      <c r="W1014" s="694"/>
      <c r="X1014" s="694"/>
      <c r="Y1014" s="694"/>
      <c r="Z1014" s="694"/>
      <c r="AA1014" s="694"/>
      <c r="AB1014" s="694"/>
      <c r="AC1014" s="694"/>
      <c r="AD1014" s="694"/>
      <c r="AE1014" s="694"/>
      <c r="AF1014" s="694"/>
      <c r="AG1014" s="694"/>
      <c r="AH1014" s="694"/>
      <c r="AI1014" s="694"/>
      <c r="AJ1014" s="694"/>
      <c r="AK1014" s="694"/>
      <c r="AL1014" s="694"/>
    </row>
    <row r="1015" spans="1:38" ht="12.75" customHeight="1" x14ac:dyDescent="0.25">
      <c r="A1015" s="694"/>
      <c r="B1015" s="298"/>
      <c r="C1015" s="1302"/>
      <c r="D1015" s="625"/>
      <c r="E1015" s="2816" t="str">
        <f>Translations!$B$508</f>
        <v>Посочените тук данни ще се отразят на емисиите, които могат да бъдат зададени съгласно раздел 10.1.1 от приложение VII към ПБР.</v>
      </c>
      <c r="F1015" s="2240"/>
      <c r="G1015" s="2240"/>
      <c r="H1015" s="2240"/>
      <c r="I1015" s="2240"/>
      <c r="J1015" s="2240"/>
      <c r="K1015" s="2240"/>
      <c r="L1015" s="2240"/>
      <c r="M1015" s="2240"/>
      <c r="N1015" s="2811"/>
      <c r="O1015" s="302"/>
      <c r="P1015" s="302"/>
      <c r="Q1015" s="729"/>
      <c r="R1015" s="694"/>
      <c r="S1015" s="729"/>
      <c r="T1015" s="729"/>
      <c r="U1015" s="729"/>
      <c r="V1015" s="729"/>
      <c r="W1015" s="694"/>
      <c r="X1015" s="694"/>
      <c r="Y1015" s="694"/>
      <c r="Z1015" s="694"/>
      <c r="AA1015" s="694"/>
      <c r="AB1015" s="694"/>
      <c r="AC1015" s="694"/>
      <c r="AD1015" s="694"/>
      <c r="AE1015" s="694"/>
      <c r="AF1015" s="694"/>
      <c r="AG1015" s="694"/>
      <c r="AH1015" s="694"/>
      <c r="AI1015" s="694"/>
      <c r="AJ1015" s="694"/>
      <c r="AK1015" s="694"/>
      <c r="AL1015" s="694"/>
    </row>
    <row r="1016" spans="1:38" ht="25.5" customHeight="1" x14ac:dyDescent="0.25">
      <c r="A1016" s="694"/>
      <c r="B1016" s="298"/>
      <c r="C1016" s="1302"/>
      <c r="D1016" s="1306"/>
      <c r="E1016" s="2810" t="str">
        <f>Translations!$B$544</f>
        <v>Съгласно раздел 3.1, букви к) и л) от приложение IV към ПБР, моля, посочете тук количеството на прехвърления CO2, получен от или подаден към други подинсталации, инсталации или други обекти, съгласно правилата, определени в Регламента относно мониторинга и докладването.</v>
      </c>
      <c r="F1016" s="2240"/>
      <c r="G1016" s="2240"/>
      <c r="H1016" s="2240"/>
      <c r="I1016" s="2240"/>
      <c r="J1016" s="2240"/>
      <c r="K1016" s="2240"/>
      <c r="L1016" s="2240"/>
      <c r="M1016" s="2240"/>
      <c r="N1016" s="2811"/>
      <c r="O1016" s="302"/>
      <c r="P1016" s="302"/>
      <c r="Q1016" s="729"/>
      <c r="R1016" s="694"/>
      <c r="S1016" s="729"/>
      <c r="T1016" s="694"/>
      <c r="U1016" s="694"/>
      <c r="V1016" s="694"/>
      <c r="W1016" s="694"/>
      <c r="X1016" s="694"/>
      <c r="Y1016" s="694"/>
      <c r="Z1016" s="694"/>
      <c r="AA1016" s="694"/>
      <c r="AB1016" s="694"/>
      <c r="AC1016" s="694"/>
      <c r="AD1016" s="694"/>
      <c r="AE1016" s="694"/>
      <c r="AF1016" s="694"/>
      <c r="AG1016" s="694"/>
      <c r="AH1016" s="694"/>
      <c r="AI1016" s="694"/>
      <c r="AJ1016" s="694"/>
      <c r="AK1016" s="694"/>
      <c r="AL1016" s="694"/>
    </row>
    <row r="1017" spans="1:38" ht="12.75" customHeight="1" thickBot="1" x14ac:dyDescent="0.3">
      <c r="A1017" s="694"/>
      <c r="B1017" s="298"/>
      <c r="C1017" s="1302"/>
      <c r="D1017" s="1306"/>
      <c r="E1017" s="2810" t="str">
        <f>Translations!$B$545</f>
        <v>Подадените количества трябва да се въведат като отрицателни стойности и да съответстват на подадения CO2, който не е изпуснат в атмосферата от тази подинсталация.</v>
      </c>
      <c r="F1017" s="2240"/>
      <c r="G1017" s="2240"/>
      <c r="H1017" s="2240"/>
      <c r="I1017" s="2240"/>
      <c r="J1017" s="2240"/>
      <c r="K1017" s="2240"/>
      <c r="L1017" s="2240"/>
      <c r="M1017" s="2240"/>
      <c r="N1017" s="2811"/>
      <c r="O1017" s="302"/>
      <c r="P1017" s="302"/>
      <c r="Q1017" s="729"/>
      <c r="R1017" s="694"/>
      <c r="S1017" s="729"/>
      <c r="T1017" s="694"/>
      <c r="U1017" s="694"/>
      <c r="V1017" s="694"/>
      <c r="W1017" s="694"/>
      <c r="X1017" s="694"/>
      <c r="Y1017" s="694"/>
      <c r="Z1017" s="694"/>
      <c r="AA1017" s="694"/>
      <c r="AB1017" s="694"/>
      <c r="AC1017" s="694"/>
      <c r="AD1017" s="694"/>
      <c r="AE1017" s="694"/>
      <c r="AF1017" s="694"/>
      <c r="AG1017" s="694"/>
      <c r="AH1017" s="694"/>
      <c r="AI1017" s="694"/>
      <c r="AJ1017" s="694"/>
      <c r="AK1017" s="694"/>
      <c r="AL1017" s="694"/>
    </row>
    <row r="1018" spans="1:38" ht="12.75" customHeight="1" thickBot="1" x14ac:dyDescent="0.3">
      <c r="A1018" s="694"/>
      <c r="B1018" s="298"/>
      <c r="C1018" s="1302"/>
      <c r="D1018" s="1307"/>
      <c r="E1018" s="1317"/>
      <c r="F1018" s="1318"/>
      <c r="G1018" s="1309" t="str">
        <f>EUconst_Unit</f>
        <v>Единица мярка</v>
      </c>
      <c r="H1018" s="629">
        <f t="shared" ref="H1018:N1018" si="1205">H$2831</f>
        <v>2024</v>
      </c>
      <c r="I1018" s="1310">
        <f t="shared" si="1205"/>
        <v>2025</v>
      </c>
      <c r="J1018" s="1311">
        <f t="shared" si="1205"/>
        <v>2026</v>
      </c>
      <c r="K1018" s="629">
        <f t="shared" si="1205"/>
        <v>2027</v>
      </c>
      <c r="L1018" s="629">
        <f t="shared" si="1205"/>
        <v>2028</v>
      </c>
      <c r="M1018" s="629">
        <f t="shared" si="1205"/>
        <v>2029</v>
      </c>
      <c r="N1018" s="1312">
        <f t="shared" si="1205"/>
        <v>2030</v>
      </c>
      <c r="O1018" s="302"/>
      <c r="P1018" s="302"/>
      <c r="Q1018" s="729"/>
      <c r="R1018" s="694"/>
      <c r="S1018" s="1205"/>
      <c r="T1018" s="1313">
        <f t="shared" ref="T1018" si="1206">H1018</f>
        <v>2024</v>
      </c>
      <c r="U1018" s="1313">
        <f t="shared" ref="U1018" si="1207">I1018</f>
        <v>2025</v>
      </c>
      <c r="V1018" s="1313">
        <f t="shared" ref="V1018" si="1208">J1018</f>
        <v>2026</v>
      </c>
      <c r="W1018" s="1313">
        <f t="shared" ref="W1018" si="1209">K1018</f>
        <v>2027</v>
      </c>
      <c r="X1018" s="1313">
        <f t="shared" ref="X1018" si="1210">L1018</f>
        <v>2028</v>
      </c>
      <c r="Y1018" s="1313">
        <f t="shared" ref="Y1018" si="1211">M1018</f>
        <v>2029</v>
      </c>
      <c r="Z1018" s="1314">
        <f t="shared" ref="Z1018" si="1212">N1018</f>
        <v>2030</v>
      </c>
      <c r="AA1018" s="694"/>
      <c r="AB1018" s="694"/>
      <c r="AC1018" s="1178">
        <f t="shared" ref="AC1018" si="1213">H$20</f>
        <v>2024</v>
      </c>
      <c r="AD1018" s="1178">
        <f t="shared" ref="AD1018" si="1214">I$20</f>
        <v>2025</v>
      </c>
      <c r="AE1018" s="1178">
        <f t="shared" ref="AE1018" si="1215">J$20</f>
        <v>2026</v>
      </c>
      <c r="AF1018" s="1178">
        <f t="shared" ref="AF1018" si="1216">K$20</f>
        <v>2027</v>
      </c>
      <c r="AG1018" s="1178">
        <f t="shared" ref="AG1018" si="1217">L$20</f>
        <v>2028</v>
      </c>
      <c r="AH1018" s="1178">
        <f t="shared" ref="AH1018" si="1218">M$20</f>
        <v>2029</v>
      </c>
      <c r="AI1018" s="1178">
        <f t="shared" ref="AI1018" si="1219">N$20</f>
        <v>2030</v>
      </c>
      <c r="AJ1018" s="694"/>
      <c r="AK1018" s="694"/>
      <c r="AL1018" s="694"/>
    </row>
    <row r="1019" spans="1:38" ht="12.75" customHeight="1" thickBot="1" x14ac:dyDescent="0.3">
      <c r="A1019" s="694"/>
      <c r="B1019" s="298"/>
      <c r="C1019" s="1302"/>
      <c r="D1019" s="625"/>
      <c r="E1019" s="2820" t="str">
        <f>Translations!$B$546</f>
        <v>Получени или подадени парникови газове</v>
      </c>
      <c r="F1019" s="2258"/>
      <c r="G1019" s="1319" t="str">
        <f>EUconst_tCO2epa</f>
        <v>t CO2e/година</v>
      </c>
      <c r="H1019" s="56"/>
      <c r="I1019" s="115"/>
      <c r="J1019" s="118"/>
      <c r="K1019" s="56"/>
      <c r="L1019" s="56"/>
      <c r="M1019" s="56"/>
      <c r="N1019" s="121"/>
      <c r="O1019" s="302"/>
      <c r="P1019" s="158"/>
      <c r="Q1019" s="1190" t="str">
        <f>EUconst_CNTR_CO2Feedstock &amp; I856</f>
        <v>EmCO2Feedstock_</v>
      </c>
      <c r="R1019" s="694"/>
      <c r="S1019" s="1315" t="str">
        <f>EUconst_CNTR_AttributedEmissions &amp; I856</f>
        <v>AttrEmissions_</v>
      </c>
      <c r="T1019" s="1290" t="str">
        <f t="shared" ref="T1019" si="1220">IF(T864,SUM(H1019),"")</f>
        <v/>
      </c>
      <c r="U1019" s="1290" t="str">
        <f t="shared" ref="U1019" si="1221">IF(U864,SUM(I1019),"")</f>
        <v/>
      </c>
      <c r="V1019" s="1290" t="str">
        <f t="shared" ref="V1019" si="1222">IF(V864,SUM(J1019),"")</f>
        <v/>
      </c>
      <c r="W1019" s="1290" t="str">
        <f t="shared" ref="W1019" si="1223">IF(W864,SUM(K1019),"")</f>
        <v/>
      </c>
      <c r="X1019" s="1290" t="str">
        <f t="shared" ref="X1019" si="1224">IF(X864,SUM(L1019),"")</f>
        <v/>
      </c>
      <c r="Y1019" s="1290" t="str">
        <f t="shared" ref="Y1019" si="1225">IF(Y864,SUM(M1019),"")</f>
        <v/>
      </c>
      <c r="Z1019" s="1291" t="str">
        <f t="shared" ref="Z1019" si="1226">IF(Z864,SUM(N1019),"")</f>
        <v/>
      </c>
      <c r="AA1019" s="694"/>
      <c r="AB1019" s="1182" t="s">
        <v>737</v>
      </c>
      <c r="AC1019" s="982" t="b">
        <f>AC903</f>
        <v>0</v>
      </c>
      <c r="AD1019" s="982" t="b">
        <f t="shared" ref="AD1019:AI1019" si="1227">AD903</f>
        <v>0</v>
      </c>
      <c r="AE1019" s="982" t="b">
        <f t="shared" si="1227"/>
        <v>0</v>
      </c>
      <c r="AF1019" s="982" t="b">
        <f t="shared" si="1227"/>
        <v>0</v>
      </c>
      <c r="AG1019" s="982" t="b">
        <f t="shared" si="1227"/>
        <v>0</v>
      </c>
      <c r="AH1019" s="982" t="b">
        <f t="shared" si="1227"/>
        <v>0</v>
      </c>
      <c r="AI1019" s="982" t="b">
        <f t="shared" si="1227"/>
        <v>0</v>
      </c>
      <c r="AJ1019" s="1174" t="s">
        <v>2039</v>
      </c>
      <c r="AK1019" s="1176" t="str">
        <f>IF(AND(CNTR_ExistSubInstEntries,MSconst_RequireSubAttrEmissions,COUNTIFS(AC1019:AI1019,FALSE,H1019:N1019,"")&gt;0),EUconst_Error&amp;"BM"&amp;$Q856,"")</f>
        <v/>
      </c>
      <c r="AL1019" s="694"/>
    </row>
    <row r="1020" spans="1:38" ht="12.75" customHeight="1" x14ac:dyDescent="0.25">
      <c r="A1020" s="694"/>
      <c r="B1020" s="298"/>
      <c r="C1020" s="1302"/>
      <c r="D1020" s="1306"/>
      <c r="E1020" s="1306"/>
      <c r="F1020" s="1306"/>
      <c r="G1020" s="1306"/>
      <c r="H1020" s="1306"/>
      <c r="I1020" s="1306"/>
      <c r="J1020" s="1306"/>
      <c r="K1020" s="1306"/>
      <c r="L1020" s="1306"/>
      <c r="M1020" s="626"/>
      <c r="N1020" s="1316"/>
      <c r="O1020" s="302"/>
      <c r="P1020" s="302"/>
      <c r="Q1020" s="729"/>
      <c r="R1020" s="694"/>
      <c r="S1020" s="729"/>
      <c r="T1020" s="694"/>
      <c r="U1020" s="694"/>
      <c r="V1020" s="694"/>
      <c r="W1020" s="694"/>
      <c r="X1020" s="694"/>
      <c r="Y1020" s="694"/>
      <c r="Z1020" s="694"/>
      <c r="AA1020" s="694"/>
      <c r="AB1020" s="694"/>
      <c r="AC1020" s="694"/>
      <c r="AD1020" s="694"/>
      <c r="AE1020" s="694"/>
      <c r="AF1020" s="694"/>
      <c r="AG1020" s="694"/>
      <c r="AH1020" s="694"/>
      <c r="AI1020" s="694"/>
      <c r="AJ1020" s="694"/>
      <c r="AK1020" s="694"/>
      <c r="AL1020" s="694"/>
    </row>
    <row r="1021" spans="1:38" ht="12.75" customHeight="1" x14ac:dyDescent="0.25">
      <c r="A1021" s="694"/>
      <c r="B1021" s="298"/>
      <c r="C1021" s="1302"/>
      <c r="D1021" s="1307" t="s">
        <v>490</v>
      </c>
      <c r="E1021" s="2815" t="str">
        <f>Translations!$B$547</f>
        <v>Получаване и подаване на измерима топлинна енергия от тази подинсталация</v>
      </c>
      <c r="F1021" s="2240"/>
      <c r="G1021" s="2240"/>
      <c r="H1021" s="2240"/>
      <c r="I1021" s="2240"/>
      <c r="J1021" s="2240"/>
      <c r="K1021" s="2240"/>
      <c r="L1021" s="2240"/>
      <c r="M1021" s="2240"/>
      <c r="N1021" s="2811"/>
      <c r="O1021" s="302"/>
      <c r="P1021" s="302"/>
      <c r="Q1021" s="729"/>
      <c r="R1021" s="694"/>
      <c r="S1021" s="729"/>
      <c r="T1021" s="694"/>
      <c r="U1021" s="694"/>
      <c r="V1021" s="694"/>
      <c r="W1021" s="694"/>
      <c r="X1021" s="694"/>
      <c r="Y1021" s="694"/>
      <c r="Z1021" s="694"/>
      <c r="AA1021" s="694"/>
      <c r="AB1021" s="694"/>
      <c r="AC1021" s="694"/>
      <c r="AD1021" s="694"/>
      <c r="AE1021" s="694"/>
      <c r="AF1021" s="694"/>
      <c r="AG1021" s="694"/>
      <c r="AH1021" s="694"/>
      <c r="AI1021" s="694"/>
      <c r="AJ1021" s="694"/>
      <c r="AK1021" s="694"/>
      <c r="AL1021" s="694"/>
    </row>
    <row r="1022" spans="1:38" ht="12.75" customHeight="1" x14ac:dyDescent="0.25">
      <c r="A1022" s="694"/>
      <c r="B1022" s="298"/>
      <c r="C1022" s="1302"/>
      <c r="D1022" s="625"/>
      <c r="E1022" s="2816" t="str">
        <f>Translations!$B$548</f>
        <v>Посочените тук данни ще се отразят на емисиите, които могат да бъдат зададени съгласно раздел 10.1.2 и 10.1.3 от приложение VII към ПБР.</v>
      </c>
      <c r="F1022" s="2240"/>
      <c r="G1022" s="2240"/>
      <c r="H1022" s="2240"/>
      <c r="I1022" s="2240"/>
      <c r="J1022" s="2240"/>
      <c r="K1022" s="2240"/>
      <c r="L1022" s="2240"/>
      <c r="M1022" s="2240"/>
      <c r="N1022" s="2811"/>
      <c r="O1022" s="302"/>
      <c r="P1022" s="302"/>
      <c r="Q1022" s="729"/>
      <c r="R1022" s="694"/>
      <c r="S1022" s="729"/>
      <c r="T1022" s="729"/>
      <c r="U1022" s="729"/>
      <c r="V1022" s="729"/>
      <c r="W1022" s="694"/>
      <c r="X1022" s="694"/>
      <c r="Y1022" s="694"/>
      <c r="Z1022" s="694"/>
      <c r="AA1022" s="694"/>
      <c r="AB1022" s="694"/>
      <c r="AC1022" s="694"/>
      <c r="AD1022" s="694"/>
      <c r="AE1022" s="694"/>
      <c r="AF1022" s="694"/>
      <c r="AG1022" s="694"/>
      <c r="AH1022" s="694"/>
      <c r="AI1022" s="694"/>
      <c r="AJ1022" s="694"/>
      <c r="AK1022" s="694"/>
      <c r="AL1022" s="694"/>
    </row>
    <row r="1023" spans="1:38" ht="38.9" customHeight="1" x14ac:dyDescent="0.25">
      <c r="A1023" s="694"/>
      <c r="B1023" s="298"/>
      <c r="C1023" s="1302"/>
      <c r="D1023" s="1306"/>
      <c r="E1023" s="2810" t="str">
        <f>Translations!$B$549</f>
        <v>Това включва общото количество топлинна енергия, произведено във, получено от или подадено към (под)инсталации, обхванати от СТЕ на ЕС, или инсталации или обекти извън СТЕ на ЕС. При специфичните емисионни фактори (EF), свързани с топлинната енергия, трябва да се отчитат разпоредбите на раздели 8 и 10 от приложение VII към ПБР, и по-специално раздели 10.1.2 и 10.1.3.</v>
      </c>
      <c r="F1023" s="2240"/>
      <c r="G1023" s="2240"/>
      <c r="H1023" s="2240"/>
      <c r="I1023" s="2240"/>
      <c r="J1023" s="2240"/>
      <c r="K1023" s="2240"/>
      <c r="L1023" s="2240"/>
      <c r="M1023" s="2240"/>
      <c r="N1023" s="2811"/>
      <c r="O1023" s="302"/>
      <c r="P1023" s="302"/>
      <c r="Q1023" s="729"/>
      <c r="R1023" s="694"/>
      <c r="S1023" s="729"/>
      <c r="T1023" s="694"/>
      <c r="U1023" s="694"/>
      <c r="V1023" s="694"/>
      <c r="W1023" s="694"/>
      <c r="X1023" s="694"/>
      <c r="Y1023" s="694"/>
      <c r="Z1023" s="694"/>
      <c r="AA1023" s="694"/>
      <c r="AB1023" s="694"/>
      <c r="AC1023" s="694"/>
      <c r="AD1023" s="694"/>
      <c r="AE1023" s="694"/>
      <c r="AF1023" s="694"/>
      <c r="AG1023" s="694"/>
      <c r="AH1023" s="694"/>
      <c r="AI1023" s="694"/>
      <c r="AJ1023" s="694"/>
      <c r="AK1023" s="694"/>
      <c r="AL1023" s="694"/>
    </row>
    <row r="1024" spans="1:38" ht="25.5" customHeight="1" x14ac:dyDescent="0.25">
      <c r="A1024" s="694"/>
      <c r="B1024" s="298"/>
      <c r="C1024" s="1302"/>
      <c r="D1024" s="1306"/>
      <c r="E1024" s="2810" t="str">
        <f>Translations!$B$550</f>
        <v>Емисиите, свързани с измерима топлинна енергия, произведена в рамките на обекта от съоръжения, които обслужват повече от една подинсталация, също трябва да се въведат тук под „получени емисии“, вместо да се зададат директно чрез емисионния фактор за горивата от буква g) по-горе. Същото важи и за всяка топлинна енергия, „получена“ от други подинсталации.</v>
      </c>
      <c r="F1024" s="2240"/>
      <c r="G1024" s="2240"/>
      <c r="H1024" s="2240"/>
      <c r="I1024" s="2240"/>
      <c r="J1024" s="2240"/>
      <c r="K1024" s="2240"/>
      <c r="L1024" s="2240"/>
      <c r="M1024" s="2240"/>
      <c r="N1024" s="2811"/>
      <c r="O1024" s="302"/>
      <c r="P1024" s="302"/>
      <c r="Q1024" s="729"/>
      <c r="R1024" s="694"/>
      <c r="S1024" s="729"/>
      <c r="T1024" s="694"/>
      <c r="U1024" s="694"/>
      <c r="V1024" s="694"/>
      <c r="W1024" s="694"/>
      <c r="X1024" s="694"/>
      <c r="Y1024" s="694"/>
      <c r="Z1024" s="694"/>
      <c r="AA1024" s="694"/>
      <c r="AB1024" s="694"/>
      <c r="AC1024" s="694"/>
      <c r="AD1024" s="694"/>
      <c r="AE1024" s="694"/>
      <c r="AF1024" s="694"/>
      <c r="AG1024" s="694"/>
      <c r="AH1024" s="694"/>
      <c r="AI1024" s="694"/>
      <c r="AJ1024" s="694"/>
      <c r="AK1024" s="694"/>
      <c r="AL1024" s="694"/>
    </row>
    <row r="1025" spans="1:38" ht="25.5" customHeight="1" x14ac:dyDescent="0.25">
      <c r="A1025" s="694"/>
      <c r="B1025" s="298"/>
      <c r="C1025" s="1302"/>
      <c r="D1025" s="1306"/>
      <c r="E1025" s="2810" t="str">
        <f>Translations!$B$551</f>
        <v xml:space="preserve">Когато топлинната енергия е произведена изключително за една подинсталация и поради това съответните емисии са вписани в буква g) по-горе, съответните количества не трябва да се докладват тук като „получени“, за да се избегне двойно отчитане. </v>
      </c>
      <c r="F1025" s="2240"/>
      <c r="G1025" s="2240"/>
      <c r="H1025" s="2240"/>
      <c r="I1025" s="2240"/>
      <c r="J1025" s="2240"/>
      <c r="K1025" s="2240"/>
      <c r="L1025" s="2240"/>
      <c r="M1025" s="2240"/>
      <c r="N1025" s="2811"/>
      <c r="O1025" s="302"/>
      <c r="P1025" s="302"/>
      <c r="Q1025" s="729"/>
      <c r="R1025" s="694"/>
      <c r="S1025" s="729"/>
      <c r="T1025" s="694"/>
      <c r="U1025" s="694"/>
      <c r="V1025" s="694"/>
      <c r="W1025" s="694"/>
      <c r="X1025" s="694"/>
      <c r="Y1025" s="694"/>
      <c r="Z1025" s="694"/>
      <c r="AA1025" s="694"/>
      <c r="AB1025" s="694"/>
      <c r="AC1025" s="694"/>
      <c r="AD1025" s="694"/>
      <c r="AE1025" s="694"/>
      <c r="AF1025" s="694"/>
      <c r="AG1025" s="694"/>
      <c r="AH1025" s="694"/>
      <c r="AI1025" s="694"/>
      <c r="AJ1025" s="694"/>
      <c r="AK1025" s="694"/>
      <c r="AL1025" s="694"/>
    </row>
    <row r="1026" spans="1:38" ht="12.75" customHeight="1" thickBot="1" x14ac:dyDescent="0.3">
      <c r="A1026" s="694"/>
      <c r="B1026" s="298"/>
      <c r="C1026" s="1302"/>
      <c r="D1026" s="1306"/>
      <c r="E1026" s="2825" t="str">
        <f>Translations!$B$552</f>
        <v>За задаването на емисии от комбинираното производство на енергия (КПТЕ) при производството на топлинна енергия трябва да използвате „Инструмента за КПТЕ“ от раздел D.III от настоящия образец.</v>
      </c>
      <c r="F1026" s="2826"/>
      <c r="G1026" s="2826"/>
      <c r="H1026" s="2826"/>
      <c r="I1026" s="2826"/>
      <c r="J1026" s="2826"/>
      <c r="K1026" s="2826"/>
      <c r="L1026" s="2826"/>
      <c r="M1026" s="2826"/>
      <c r="N1026" s="2827"/>
      <c r="O1026" s="302"/>
      <c r="P1026" s="302"/>
      <c r="Q1026" s="729"/>
      <c r="R1026" s="694"/>
      <c r="S1026" s="694"/>
      <c r="T1026" s="694"/>
      <c r="U1026" s="694"/>
      <c r="V1026" s="694"/>
      <c r="W1026" s="694"/>
      <c r="X1026" s="694"/>
      <c r="Y1026" s="694"/>
      <c r="Z1026" s="694"/>
      <c r="AA1026" s="694"/>
      <c r="AB1026" s="694"/>
      <c r="AC1026" s="694"/>
      <c r="AD1026" s="694"/>
      <c r="AE1026" s="694"/>
      <c r="AF1026" s="694"/>
      <c r="AG1026" s="694"/>
      <c r="AH1026" s="694"/>
      <c r="AI1026" s="694"/>
      <c r="AJ1026" s="694"/>
      <c r="AK1026" s="694"/>
      <c r="AL1026" s="694"/>
    </row>
    <row r="1027" spans="1:38" ht="12.75" customHeight="1" thickBot="1" x14ac:dyDescent="0.3">
      <c r="A1027" s="694"/>
      <c r="B1027" s="298"/>
      <c r="C1027" s="1302"/>
      <c r="D1027" s="1306"/>
      <c r="E1027" s="2803" t="str">
        <f>Translations!$B$553</f>
        <v>Общо получена топлинна енергия</v>
      </c>
      <c r="F1027" s="2672"/>
      <c r="G1027" s="1309" t="str">
        <f>EUconst_Unit</f>
        <v>Единица мярка</v>
      </c>
      <c r="H1027" s="629">
        <f t="shared" ref="H1027:N1027" si="1228">H$2831</f>
        <v>2024</v>
      </c>
      <c r="I1027" s="1310">
        <f t="shared" si="1228"/>
        <v>2025</v>
      </c>
      <c r="J1027" s="1311">
        <f t="shared" si="1228"/>
        <v>2026</v>
      </c>
      <c r="K1027" s="629">
        <f t="shared" si="1228"/>
        <v>2027</v>
      </c>
      <c r="L1027" s="629">
        <f t="shared" si="1228"/>
        <v>2028</v>
      </c>
      <c r="M1027" s="629">
        <f t="shared" si="1228"/>
        <v>2029</v>
      </c>
      <c r="N1027" s="1312">
        <f t="shared" si="1228"/>
        <v>2030</v>
      </c>
      <c r="O1027" s="302"/>
      <c r="P1027" s="302"/>
      <c r="Q1027" s="729"/>
      <c r="R1027" s="694"/>
      <c r="S1027" s="1205"/>
      <c r="T1027" s="1313">
        <f t="shared" ref="T1027" si="1229">H1027</f>
        <v>2024</v>
      </c>
      <c r="U1027" s="1313">
        <f t="shared" ref="U1027" si="1230">I1027</f>
        <v>2025</v>
      </c>
      <c r="V1027" s="1313">
        <f t="shared" ref="V1027" si="1231">J1027</f>
        <v>2026</v>
      </c>
      <c r="W1027" s="1313">
        <f t="shared" ref="W1027" si="1232">K1027</f>
        <v>2027</v>
      </c>
      <c r="X1027" s="1313">
        <f t="shared" ref="X1027" si="1233">L1027</f>
        <v>2028</v>
      </c>
      <c r="Y1027" s="1313">
        <f t="shared" ref="Y1027" si="1234">M1027</f>
        <v>2029</v>
      </c>
      <c r="Z1027" s="1314">
        <f t="shared" ref="Z1027" si="1235">N1027</f>
        <v>2030</v>
      </c>
      <c r="AA1027" s="694"/>
      <c r="AB1027" s="694"/>
      <c r="AC1027" s="1178">
        <f t="shared" ref="AC1027" si="1236">H$20</f>
        <v>2024</v>
      </c>
      <c r="AD1027" s="1178">
        <f t="shared" ref="AD1027" si="1237">I$20</f>
        <v>2025</v>
      </c>
      <c r="AE1027" s="1178">
        <f t="shared" ref="AE1027" si="1238">J$20</f>
        <v>2026</v>
      </c>
      <c r="AF1027" s="1178">
        <f t="shared" ref="AF1027" si="1239">K$20</f>
        <v>2027</v>
      </c>
      <c r="AG1027" s="1178">
        <f t="shared" ref="AG1027" si="1240">L$20</f>
        <v>2028</v>
      </c>
      <c r="AH1027" s="1178">
        <f t="shared" ref="AH1027" si="1241">M$20</f>
        <v>2029</v>
      </c>
      <c r="AI1027" s="1178">
        <f t="shared" ref="AI1027" si="1242">N$20</f>
        <v>2030</v>
      </c>
      <c r="AJ1027" s="694"/>
      <c r="AK1027" s="694"/>
      <c r="AL1027" s="694"/>
    </row>
    <row r="1028" spans="1:38" ht="12.75" customHeight="1" x14ac:dyDescent="0.25">
      <c r="A1028" s="694"/>
      <c r="B1028" s="298"/>
      <c r="C1028" s="1302"/>
      <c r="D1028" s="625" t="s">
        <v>6</v>
      </c>
      <c r="E1028" s="2820" t="str">
        <f>Translations!$B$554</f>
        <v>Нетно количество получена топлинна енергия</v>
      </c>
      <c r="F1028" s="2258"/>
      <c r="G1028" s="1319" t="str">
        <f>EUconst_TJpa</f>
        <v>TJ / година</v>
      </c>
      <c r="H1028" s="56"/>
      <c r="I1028" s="115"/>
      <c r="J1028" s="118"/>
      <c r="K1028" s="56"/>
      <c r="L1028" s="56"/>
      <c r="M1028" s="56"/>
      <c r="N1028" s="121"/>
      <c r="O1028" s="302"/>
      <c r="P1028" s="158"/>
      <c r="Q1028" s="1190" t="str">
        <f>EUconst_CNTR_HeatImport &amp; I856</f>
        <v>HeatIm_</v>
      </c>
      <c r="R1028" s="694"/>
      <c r="S1028" s="1347" t="str">
        <f>EUconst_ERR_AttrEmBMapplied &amp; I856</f>
        <v>ERR_AttrEmBM_</v>
      </c>
      <c r="T1028" s="982">
        <f t="shared" ref="T1028" si="1243">IF(AND(H1028&lt;&gt;0,H1029="",EUconst_StatusOfDataCollection=FALSE),1,0)</f>
        <v>0</v>
      </c>
      <c r="U1028" s="982">
        <f t="shared" ref="U1028" si="1244">IF(AND(I1028&lt;&gt;0,I1029="",EUconst_StatusOfDataCollection=FALSE),1,0)</f>
        <v>0</v>
      </c>
      <c r="V1028" s="982">
        <f t="shared" ref="V1028" si="1245">IF(AND(J1028&lt;&gt;0,J1029="",EUconst_StatusOfDataCollection=FALSE),1,0)</f>
        <v>0</v>
      </c>
      <c r="W1028" s="982">
        <f t="shared" ref="W1028" si="1246">IF(AND(K1028&lt;&gt;0,K1029="",EUconst_StatusOfDataCollection=FALSE),1,0)</f>
        <v>0</v>
      </c>
      <c r="X1028" s="982">
        <f t="shared" ref="X1028" si="1247">IF(AND(L1028&lt;&gt;0,L1029="",EUconst_StatusOfDataCollection=FALSE),1,0)</f>
        <v>0</v>
      </c>
      <c r="Y1028" s="982">
        <f t="shared" ref="Y1028" si="1248">IF(AND(M1028&lt;&gt;0,M1029="",EUconst_StatusOfDataCollection=FALSE),1,0)</f>
        <v>0</v>
      </c>
      <c r="Z1028" s="1287">
        <f t="shared" ref="Z1028" si="1249">IF(AND(N1028&lt;&gt;0,N1029="",EUconst_StatusOfDataCollection=FALSE),1,0)</f>
        <v>0</v>
      </c>
      <c r="AA1028" s="1031"/>
      <c r="AB1028" s="1182" t="s">
        <v>737</v>
      </c>
      <c r="AC1028" s="982" t="b">
        <f t="shared" ref="AC1028:AI1028" si="1250">AC903</f>
        <v>0</v>
      </c>
      <c r="AD1028" s="982" t="b">
        <f t="shared" si="1250"/>
        <v>0</v>
      </c>
      <c r="AE1028" s="982" t="b">
        <f t="shared" si="1250"/>
        <v>0</v>
      </c>
      <c r="AF1028" s="982" t="b">
        <f t="shared" si="1250"/>
        <v>0</v>
      </c>
      <c r="AG1028" s="982" t="b">
        <f t="shared" si="1250"/>
        <v>0</v>
      </c>
      <c r="AH1028" s="982" t="b">
        <f t="shared" si="1250"/>
        <v>0</v>
      </c>
      <c r="AI1028" s="982" t="b">
        <f t="shared" si="1250"/>
        <v>0</v>
      </c>
      <c r="AJ1028" s="1174" t="s">
        <v>2039</v>
      </c>
      <c r="AK1028" s="1176" t="str">
        <f>IF(AND(CNTR_ExistSubInstEntries,MSconst_RequireSubAttrEmissions,COUNTIFS(AC1028:AI1028,FALSE,H1028:N1028,"")&gt;0),EUconst_Error&amp;"BM"&amp;$Q856,"")</f>
        <v/>
      </c>
      <c r="AL1028" s="694"/>
    </row>
    <row r="1029" spans="1:38" ht="12.75" customHeight="1" thickBot="1" x14ac:dyDescent="0.3">
      <c r="A1029" s="694"/>
      <c r="B1029" s="298"/>
      <c r="C1029" s="1302"/>
      <c r="D1029" s="625" t="s">
        <v>7</v>
      </c>
      <c r="E1029" s="2820" t="str">
        <f>Translations!$B$555</f>
        <v>Специфичен EF (получена топлинна енергия)</v>
      </c>
      <c r="F1029" s="2258"/>
      <c r="G1029" s="1319" t="str">
        <f>EUconst_tCO2pTJ</f>
        <v>t CO2 / TJ</v>
      </c>
      <c r="H1029" s="56"/>
      <c r="I1029" s="115"/>
      <c r="J1029" s="118"/>
      <c r="K1029" s="56"/>
      <c r="L1029" s="56"/>
      <c r="M1029" s="56"/>
      <c r="N1029" s="121"/>
      <c r="O1029" s="302"/>
      <c r="P1029" s="158"/>
      <c r="Q1029" s="1190" t="str">
        <f>EUconst_CNTR_HeatImportEF &amp; I856</f>
        <v>HeatImEF_</v>
      </c>
      <c r="R1029" s="694"/>
      <c r="S1029" s="1315" t="str">
        <f>EUconst_CNTR_AttributedEmissions &amp; I856</f>
        <v>AttrEmissions_</v>
      </c>
      <c r="T1029" s="1290" t="str">
        <f t="shared" ref="T1029" si="1251">IF(T864,SUM(H1028)*IF(ISNUMBER(H1029),H1029,EUconst_HeatBMvalue),"")</f>
        <v/>
      </c>
      <c r="U1029" s="1290" t="str">
        <f t="shared" ref="U1029" si="1252">IF(U864,SUM(I1028)*IF(ISNUMBER(I1029),I1029,EUconst_HeatBMvalue),"")</f>
        <v/>
      </c>
      <c r="V1029" s="1290" t="str">
        <f t="shared" ref="V1029" si="1253">IF(V864,SUM(J1028)*IF(ISNUMBER(J1029),J1029,EUconst_HeatBMvalue),"")</f>
        <v/>
      </c>
      <c r="W1029" s="1290" t="str">
        <f t="shared" ref="W1029" si="1254">IF(W864,SUM(K1028)*IF(ISNUMBER(K1029),K1029,EUconst_HeatBMvalue),"")</f>
        <v/>
      </c>
      <c r="X1029" s="1290" t="str">
        <f t="shared" ref="X1029" si="1255">IF(X864,SUM(L1028)*IF(ISNUMBER(L1029),L1029,EUconst_HeatBMvalue),"")</f>
        <v/>
      </c>
      <c r="Y1029" s="1290" t="str">
        <f t="shared" ref="Y1029" si="1256">IF(Y864,SUM(M1028)*IF(ISNUMBER(M1029),M1029,EUconst_HeatBMvalue),"")</f>
        <v/>
      </c>
      <c r="Z1029" s="1291" t="str">
        <f t="shared" ref="Z1029" si="1257">IF(Z864,SUM(N1028)*IF(ISNUMBER(N1029),N1029,EUconst_HeatBMvalue),"")</f>
        <v/>
      </c>
      <c r="AA1029" s="694"/>
      <c r="AB1029" s="694"/>
      <c r="AC1029" s="982" t="b">
        <f>AC1028</f>
        <v>0</v>
      </c>
      <c r="AD1029" s="982" t="b">
        <f t="shared" ref="AD1029:AI1029" si="1258">AD1028</f>
        <v>0</v>
      </c>
      <c r="AE1029" s="982" t="b">
        <f t="shared" si="1258"/>
        <v>0</v>
      </c>
      <c r="AF1029" s="982" t="b">
        <f t="shared" si="1258"/>
        <v>0</v>
      </c>
      <c r="AG1029" s="982" t="b">
        <f t="shared" si="1258"/>
        <v>0</v>
      </c>
      <c r="AH1029" s="982" t="b">
        <f t="shared" si="1258"/>
        <v>0</v>
      </c>
      <c r="AI1029" s="982" t="b">
        <f t="shared" si="1258"/>
        <v>0</v>
      </c>
      <c r="AJ1029" s="694"/>
      <c r="AK1029" s="694"/>
      <c r="AL1029" s="694"/>
    </row>
    <row r="1030" spans="1:38" ht="5.15" customHeight="1" x14ac:dyDescent="0.25">
      <c r="A1030" s="694"/>
      <c r="B1030" s="298"/>
      <c r="C1030" s="1302"/>
      <c r="D1030" s="1306"/>
      <c r="E1030" s="1306"/>
      <c r="F1030" s="1306"/>
      <c r="G1030" s="1306"/>
      <c r="H1030" s="1306"/>
      <c r="I1030" s="1306"/>
      <c r="J1030" s="1306"/>
      <c r="K1030" s="1306"/>
      <c r="L1030" s="1306"/>
      <c r="M1030" s="1306"/>
      <c r="N1030" s="1316"/>
      <c r="O1030" s="302"/>
      <c r="P1030" s="302"/>
      <c r="Q1030" s="729"/>
      <c r="R1030" s="694"/>
      <c r="S1030" s="729"/>
      <c r="T1030" s="729"/>
      <c r="U1030" s="729"/>
      <c r="V1030" s="729"/>
      <c r="W1030" s="694"/>
      <c r="X1030" s="694"/>
      <c r="Y1030" s="694"/>
      <c r="Z1030" s="694"/>
      <c r="AA1030" s="694"/>
      <c r="AB1030" s="694"/>
      <c r="AC1030" s="694"/>
      <c r="AD1030" s="694"/>
      <c r="AE1030" s="694"/>
      <c r="AF1030" s="694"/>
      <c r="AG1030" s="694"/>
      <c r="AH1030" s="694"/>
      <c r="AI1030" s="694"/>
      <c r="AJ1030" s="694"/>
      <c r="AK1030" s="694"/>
      <c r="AL1030" s="694"/>
    </row>
    <row r="1031" spans="1:38" ht="12.75" customHeight="1" thickBot="1" x14ac:dyDescent="0.3">
      <c r="A1031" s="694"/>
      <c r="B1031" s="298"/>
      <c r="C1031" s="1302"/>
      <c r="D1031" s="1306"/>
      <c r="E1031" s="2803" t="str">
        <f>Translations!$B$556</f>
        <v>Специфична получена топлинна енергия</v>
      </c>
      <c r="F1031" s="2672"/>
      <c r="G1031" s="1309" t="str">
        <f>EUconst_Unit</f>
        <v>Единица мярка</v>
      </c>
      <c r="H1031" s="629">
        <f t="shared" ref="H1031:N1031" si="1259">H$2831</f>
        <v>2024</v>
      </c>
      <c r="I1031" s="1310">
        <f t="shared" si="1259"/>
        <v>2025</v>
      </c>
      <c r="J1031" s="1311">
        <f t="shared" si="1259"/>
        <v>2026</v>
      </c>
      <c r="K1031" s="629">
        <f t="shared" si="1259"/>
        <v>2027</v>
      </c>
      <c r="L1031" s="629">
        <f t="shared" si="1259"/>
        <v>2028</v>
      </c>
      <c r="M1031" s="629">
        <f t="shared" si="1259"/>
        <v>2029</v>
      </c>
      <c r="N1031" s="1312">
        <f t="shared" si="1259"/>
        <v>2030</v>
      </c>
      <c r="O1031" s="302"/>
      <c r="P1031" s="302"/>
      <c r="Q1031" s="729"/>
      <c r="R1031" s="694"/>
      <c r="S1031" s="729"/>
      <c r="T1031" s="729"/>
      <c r="U1031" s="729"/>
      <c r="V1031" s="729"/>
      <c r="W1031" s="694"/>
      <c r="X1031" s="694"/>
      <c r="Y1031" s="694"/>
      <c r="Z1031" s="694"/>
      <c r="AA1031" s="694"/>
      <c r="AB1031" s="694"/>
      <c r="AC1031" s="1178">
        <f t="shared" ref="AC1031" si="1260">H$20</f>
        <v>2024</v>
      </c>
      <c r="AD1031" s="1178">
        <f t="shared" ref="AD1031" si="1261">I$20</f>
        <v>2025</v>
      </c>
      <c r="AE1031" s="1178">
        <f t="shared" ref="AE1031" si="1262">J$20</f>
        <v>2026</v>
      </c>
      <c r="AF1031" s="1178">
        <f t="shared" ref="AF1031" si="1263">K$20</f>
        <v>2027</v>
      </c>
      <c r="AG1031" s="1178">
        <f t="shared" ref="AG1031" si="1264">L$20</f>
        <v>2028</v>
      </c>
      <c r="AH1031" s="1178">
        <f t="shared" ref="AH1031" si="1265">M$20</f>
        <v>2029</v>
      </c>
      <c r="AI1031" s="1178">
        <f t="shared" ref="AI1031" si="1266">N$20</f>
        <v>2030</v>
      </c>
      <c r="AJ1031" s="694"/>
      <c r="AK1031" s="694"/>
      <c r="AL1031" s="694"/>
    </row>
    <row r="1032" spans="1:38" ht="12.75" customHeight="1" x14ac:dyDescent="0.25">
      <c r="A1032" s="694"/>
      <c r="B1032" s="298"/>
      <c r="C1032" s="1302"/>
      <c r="D1032" s="625" t="s">
        <v>8</v>
      </c>
      <c r="E1032" s="2820" t="str">
        <f>Translations!$B$557</f>
        <v>Нетно количество топлинна енергия, получена от подинсталации за пулп</v>
      </c>
      <c r="F1032" s="2258"/>
      <c r="G1032" s="1319" t="str">
        <f>EUconst_TJpa</f>
        <v>TJ / година</v>
      </c>
      <c r="H1032" s="141"/>
      <c r="I1032" s="142"/>
      <c r="J1032" s="143"/>
      <c r="K1032" s="141"/>
      <c r="L1032" s="141"/>
      <c r="M1032" s="141"/>
      <c r="N1032" s="144"/>
      <c r="O1032" s="302"/>
      <c r="P1032" s="158"/>
      <c r="Q1032" s="1190" t="str">
        <f>EUconst_CNTR_HeatImportPulp &amp; I856</f>
        <v>HeatImPulp_</v>
      </c>
      <c r="R1032" s="694"/>
      <c r="S1032" s="729"/>
      <c r="T1032" s="729"/>
      <c r="U1032" s="729"/>
      <c r="V1032" s="729"/>
      <c r="W1032" s="694"/>
      <c r="X1032" s="694"/>
      <c r="Y1032" s="694"/>
      <c r="Z1032" s="694"/>
      <c r="AA1032" s="694"/>
      <c r="AB1032" s="1182" t="s">
        <v>737</v>
      </c>
      <c r="AC1032" s="982" t="b">
        <f>AC903</f>
        <v>0</v>
      </c>
      <c r="AD1032" s="982" t="b">
        <f t="shared" ref="AD1032:AI1032" si="1267">AD903</f>
        <v>0</v>
      </c>
      <c r="AE1032" s="982" t="b">
        <f t="shared" si="1267"/>
        <v>0</v>
      </c>
      <c r="AF1032" s="982" t="b">
        <f t="shared" si="1267"/>
        <v>0</v>
      </c>
      <c r="AG1032" s="982" t="b">
        <f t="shared" si="1267"/>
        <v>0</v>
      </c>
      <c r="AH1032" s="982" t="b">
        <f t="shared" si="1267"/>
        <v>0</v>
      </c>
      <c r="AI1032" s="982" t="b">
        <f t="shared" si="1267"/>
        <v>0</v>
      </c>
      <c r="AJ1032" s="1174" t="s">
        <v>2039</v>
      </c>
      <c r="AK1032" s="1176" t="str">
        <f>IF(AND(CNTR_ExistSubInstEntries,MSconst_RequireSubAttrEmissions,COUNTIFS(AC1032:AI1032,FALSE,H1032:N1032,"")&gt;0),EUconst_Error&amp;"BM"&amp;$Q856,"")</f>
        <v/>
      </c>
      <c r="AL1032" s="694"/>
    </row>
    <row r="1033" spans="1:38" ht="25.5" customHeight="1" x14ac:dyDescent="0.25">
      <c r="A1033" s="694"/>
      <c r="B1033" s="298"/>
      <c r="C1033" s="1302"/>
      <c r="D1033" s="625" t="s">
        <v>18</v>
      </c>
      <c r="E1033" s="2820" t="str">
        <f>Translations!$B$558</f>
        <v>Нетно количество топлинна енергия, получена от подинсталации за азотна киселина</v>
      </c>
      <c r="F1033" s="2258"/>
      <c r="G1033" s="1319" t="str">
        <f>EUconst_TJpa</f>
        <v>TJ / година</v>
      </c>
      <c r="H1033" s="56"/>
      <c r="I1033" s="115"/>
      <c r="J1033" s="118"/>
      <c r="K1033" s="56"/>
      <c r="L1033" s="56"/>
      <c r="M1033" s="56"/>
      <c r="N1033" s="121"/>
      <c r="O1033" s="302"/>
      <c r="P1033" s="158"/>
      <c r="Q1033" s="1190" t="str">
        <f>EUconst_CNTR_HeatImportNitric &amp; I856</f>
        <v>HeatImNitric_</v>
      </c>
      <c r="R1033" s="694"/>
      <c r="S1033" s="729"/>
      <c r="T1033" s="729"/>
      <c r="U1033" s="729"/>
      <c r="V1033" s="729"/>
      <c r="W1033" s="694"/>
      <c r="X1033" s="694"/>
      <c r="Y1033" s="694"/>
      <c r="Z1033" s="694"/>
      <c r="AA1033" s="694"/>
      <c r="AB1033" s="694"/>
      <c r="AC1033" s="982" t="b">
        <f>AC1032</f>
        <v>0</v>
      </c>
      <c r="AD1033" s="982" t="b">
        <f t="shared" ref="AD1033:AI1033" si="1268">AD1032</f>
        <v>0</v>
      </c>
      <c r="AE1033" s="982" t="b">
        <f t="shared" si="1268"/>
        <v>0</v>
      </c>
      <c r="AF1033" s="982" t="b">
        <f t="shared" si="1268"/>
        <v>0</v>
      </c>
      <c r="AG1033" s="982" t="b">
        <f t="shared" si="1268"/>
        <v>0</v>
      </c>
      <c r="AH1033" s="982" t="b">
        <f t="shared" si="1268"/>
        <v>0</v>
      </c>
      <c r="AI1033" s="982" t="b">
        <f t="shared" si="1268"/>
        <v>0</v>
      </c>
      <c r="AJ1033" s="1174" t="s">
        <v>2039</v>
      </c>
      <c r="AK1033" s="1176" t="str">
        <f>IF(AND(CNTR_ExistSubInstEntries,MSconst_RequireSubAttrEmissions,COUNTIFS(AC1033:AI1033,FALSE,H1033:N1033,"")&gt;0),EUconst_Error&amp;"BM"&amp;$Q856,"")</f>
        <v/>
      </c>
      <c r="AL1033" s="694"/>
    </row>
    <row r="1034" spans="1:38" ht="5.15" customHeight="1" thickBot="1" x14ac:dyDescent="0.3">
      <c r="A1034" s="694"/>
      <c r="B1034" s="298"/>
      <c r="C1034" s="1302"/>
      <c r="D1034" s="1306"/>
      <c r="E1034" s="1306"/>
      <c r="F1034" s="1306"/>
      <c r="G1034" s="1306"/>
      <c r="H1034" s="1306"/>
      <c r="I1034" s="1306"/>
      <c r="J1034" s="1306"/>
      <c r="K1034" s="1306"/>
      <c r="L1034" s="1306"/>
      <c r="M1034" s="1306"/>
      <c r="N1034" s="1316"/>
      <c r="O1034" s="302"/>
      <c r="P1034" s="302"/>
      <c r="Q1034" s="729"/>
      <c r="R1034" s="694"/>
      <c r="S1034" s="729"/>
      <c r="T1034" s="729"/>
      <c r="U1034" s="729"/>
      <c r="V1034" s="729"/>
      <c r="W1034" s="694"/>
      <c r="X1034" s="694"/>
      <c r="Y1034" s="694"/>
      <c r="Z1034" s="694"/>
      <c r="AA1034" s="694"/>
      <c r="AB1034" s="694"/>
      <c r="AC1034" s="694"/>
      <c r="AD1034" s="694"/>
      <c r="AE1034" s="694"/>
      <c r="AF1034" s="694"/>
      <c r="AG1034" s="694"/>
      <c r="AH1034" s="694"/>
      <c r="AI1034" s="694"/>
      <c r="AJ1034" s="694"/>
      <c r="AK1034" s="694"/>
      <c r="AL1034" s="694"/>
    </row>
    <row r="1035" spans="1:38" ht="12.75" customHeight="1" thickBot="1" x14ac:dyDescent="0.3">
      <c r="A1035" s="694"/>
      <c r="B1035" s="298"/>
      <c r="C1035" s="1302"/>
      <c r="D1035" s="1306"/>
      <c r="E1035" s="2803" t="str">
        <f>Translations!$B$559</f>
        <v>Общо подадена топлинна енергия</v>
      </c>
      <c r="F1035" s="2672"/>
      <c r="G1035" s="1309" t="str">
        <f>EUconst_Unit</f>
        <v>Единица мярка</v>
      </c>
      <c r="H1035" s="629">
        <f t="shared" ref="H1035:N1035" si="1269">H$2831</f>
        <v>2024</v>
      </c>
      <c r="I1035" s="1310">
        <f t="shared" si="1269"/>
        <v>2025</v>
      </c>
      <c r="J1035" s="1311">
        <f t="shared" si="1269"/>
        <v>2026</v>
      </c>
      <c r="K1035" s="629">
        <f t="shared" si="1269"/>
        <v>2027</v>
      </c>
      <c r="L1035" s="629">
        <f t="shared" si="1269"/>
        <v>2028</v>
      </c>
      <c r="M1035" s="629">
        <f t="shared" si="1269"/>
        <v>2029</v>
      </c>
      <c r="N1035" s="1312">
        <f t="shared" si="1269"/>
        <v>2030</v>
      </c>
      <c r="O1035" s="302"/>
      <c r="P1035" s="302"/>
      <c r="Q1035" s="729"/>
      <c r="R1035" s="694"/>
      <c r="S1035" s="1205"/>
      <c r="T1035" s="1313">
        <f t="shared" ref="T1035" si="1270">H1035</f>
        <v>2024</v>
      </c>
      <c r="U1035" s="1313">
        <f t="shared" ref="U1035" si="1271">I1035</f>
        <v>2025</v>
      </c>
      <c r="V1035" s="1313">
        <f t="shared" ref="V1035" si="1272">J1035</f>
        <v>2026</v>
      </c>
      <c r="W1035" s="1313">
        <f t="shared" ref="W1035" si="1273">K1035</f>
        <v>2027</v>
      </c>
      <c r="X1035" s="1313">
        <f t="shared" ref="X1035" si="1274">L1035</f>
        <v>2028</v>
      </c>
      <c r="Y1035" s="1313">
        <f t="shared" ref="Y1035" si="1275">M1035</f>
        <v>2029</v>
      </c>
      <c r="Z1035" s="1314">
        <f t="shared" ref="Z1035" si="1276">N1035</f>
        <v>2030</v>
      </c>
      <c r="AA1035" s="694"/>
      <c r="AB1035" s="694"/>
      <c r="AC1035" s="1178">
        <f t="shared" ref="AC1035" si="1277">H$20</f>
        <v>2024</v>
      </c>
      <c r="AD1035" s="1178">
        <f t="shared" ref="AD1035" si="1278">I$20</f>
        <v>2025</v>
      </c>
      <c r="AE1035" s="1178">
        <f t="shared" ref="AE1035" si="1279">J$20</f>
        <v>2026</v>
      </c>
      <c r="AF1035" s="1178">
        <f t="shared" ref="AF1035" si="1280">K$20</f>
        <v>2027</v>
      </c>
      <c r="AG1035" s="1178">
        <f t="shared" ref="AG1035" si="1281">L$20</f>
        <v>2028</v>
      </c>
      <c r="AH1035" s="1178">
        <f t="shared" ref="AH1035" si="1282">M$20</f>
        <v>2029</v>
      </c>
      <c r="AI1035" s="1178">
        <f t="shared" ref="AI1035" si="1283">N$20</f>
        <v>2030</v>
      </c>
      <c r="AJ1035" s="694"/>
      <c r="AK1035" s="694"/>
      <c r="AL1035" s="694"/>
    </row>
    <row r="1036" spans="1:38" ht="12.75" customHeight="1" x14ac:dyDescent="0.25">
      <c r="A1036" s="694"/>
      <c r="B1036" s="298"/>
      <c r="C1036" s="1302"/>
      <c r="D1036" s="625" t="s">
        <v>810</v>
      </c>
      <c r="E1036" s="2820" t="str">
        <f>Translations!$B$560</f>
        <v>Нетно количество подадена топлинна енергия</v>
      </c>
      <c r="F1036" s="2258"/>
      <c r="G1036" s="1319" t="str">
        <f>EUconst_TJpa</f>
        <v>TJ / година</v>
      </c>
      <c r="H1036" s="56"/>
      <c r="I1036" s="115"/>
      <c r="J1036" s="118"/>
      <c r="K1036" s="56"/>
      <c r="L1036" s="56"/>
      <c r="M1036" s="56"/>
      <c r="N1036" s="121"/>
      <c r="O1036" s="302"/>
      <c r="P1036" s="158"/>
      <c r="Q1036" s="1190" t="str">
        <f>EUconst_CNTR_HeatExport &amp; I856</f>
        <v>HeatEx_</v>
      </c>
      <c r="R1036" s="694"/>
      <c r="S1036" s="1347" t="str">
        <f>EUconst_ERR_AttrEmBMapplied &amp; I856</f>
        <v>ERR_AttrEmBM_</v>
      </c>
      <c r="T1036" s="982">
        <f t="shared" ref="T1036" si="1284">IF(AND(H1036&lt;&gt;0,H1037="",EUconst_StatusOfDataCollection=FALSE),1,0)</f>
        <v>0</v>
      </c>
      <c r="U1036" s="982">
        <f t="shared" ref="U1036" si="1285">IF(AND(I1036&lt;&gt;0,I1037="",EUconst_StatusOfDataCollection=FALSE),1,0)</f>
        <v>0</v>
      </c>
      <c r="V1036" s="982">
        <f t="shared" ref="V1036" si="1286">IF(AND(J1036&lt;&gt;0,J1037="",EUconst_StatusOfDataCollection=FALSE),1,0)</f>
        <v>0</v>
      </c>
      <c r="W1036" s="982">
        <f t="shared" ref="W1036" si="1287">IF(AND(K1036&lt;&gt;0,K1037="",EUconst_StatusOfDataCollection=FALSE),1,0)</f>
        <v>0</v>
      </c>
      <c r="X1036" s="982">
        <f t="shared" ref="X1036" si="1288">IF(AND(L1036&lt;&gt;0,L1037="",EUconst_StatusOfDataCollection=FALSE),1,0)</f>
        <v>0</v>
      </c>
      <c r="Y1036" s="982">
        <f t="shared" ref="Y1036" si="1289">IF(AND(M1036&lt;&gt;0,M1037="",EUconst_StatusOfDataCollection=FALSE),1,0)</f>
        <v>0</v>
      </c>
      <c r="Z1036" s="1287">
        <f t="shared" ref="Z1036" si="1290">IF(AND(N1036&lt;&gt;0,N1037="",EUconst_StatusOfDataCollection=FALSE),1,0)</f>
        <v>0</v>
      </c>
      <c r="AA1036" s="694"/>
      <c r="AB1036" s="1182" t="s">
        <v>737</v>
      </c>
      <c r="AC1036" s="982" t="b">
        <f>AC1032</f>
        <v>0</v>
      </c>
      <c r="AD1036" s="982" t="b">
        <f t="shared" ref="AD1036:AI1036" si="1291">AD1032</f>
        <v>0</v>
      </c>
      <c r="AE1036" s="982" t="b">
        <f t="shared" si="1291"/>
        <v>0</v>
      </c>
      <c r="AF1036" s="982" t="b">
        <f t="shared" si="1291"/>
        <v>0</v>
      </c>
      <c r="AG1036" s="982" t="b">
        <f t="shared" si="1291"/>
        <v>0</v>
      </c>
      <c r="AH1036" s="982" t="b">
        <f t="shared" si="1291"/>
        <v>0</v>
      </c>
      <c r="AI1036" s="982" t="b">
        <f t="shared" si="1291"/>
        <v>0</v>
      </c>
      <c r="AJ1036" s="1174" t="s">
        <v>2039</v>
      </c>
      <c r="AK1036" s="1176" t="str">
        <f>IF(AND(CNTR_ExistSubInstEntries,MSconst_RequireSubAttrEmissions,COUNTIFS(AC1036:AI1036,FALSE,H1036:N1036,"")&gt;0),EUconst_Error&amp;"BM"&amp;$Q856,"")</f>
        <v/>
      </c>
      <c r="AL1036" s="694"/>
    </row>
    <row r="1037" spans="1:38" ht="12.75" customHeight="1" thickBot="1" x14ac:dyDescent="0.3">
      <c r="A1037" s="694"/>
      <c r="B1037" s="298"/>
      <c r="C1037" s="1302"/>
      <c r="D1037" s="625" t="s">
        <v>811</v>
      </c>
      <c r="E1037" s="2820" t="str">
        <f>Translations!$B$561</f>
        <v>Специфичен EF (подадена топлинна енергия)</v>
      </c>
      <c r="F1037" s="2258"/>
      <c r="G1037" s="1319" t="str">
        <f>EUconst_tCO2pTJ</f>
        <v>t CO2 / TJ</v>
      </c>
      <c r="H1037" s="56"/>
      <c r="I1037" s="115"/>
      <c r="J1037" s="118"/>
      <c r="K1037" s="56"/>
      <c r="L1037" s="56"/>
      <c r="M1037" s="56"/>
      <c r="N1037" s="121"/>
      <c r="O1037" s="302"/>
      <c r="P1037" s="158"/>
      <c r="Q1037" s="1190" t="str">
        <f>EUconst_CNTR_HeatExportEF &amp; I856</f>
        <v>HeatExEF_</v>
      </c>
      <c r="R1037" s="694"/>
      <c r="S1037" s="1315" t="str">
        <f>EUconst_CNTR_AttributedEmissions &amp; I856</f>
        <v>AttrEmissions_</v>
      </c>
      <c r="T1037" s="1290" t="str">
        <f t="shared" ref="T1037" si="1292">IF(T864,-SUM(H1036)*IF(INDEX(EUconst_BMlistMainNumberOfBM,MATCH($I856,EUconst_BMlistNames,0))=39,0,IF(ISNUMBER(H1037),H1037,EUconst_HeatBMvalue)),"")</f>
        <v/>
      </c>
      <c r="U1037" s="1290" t="str">
        <f t="shared" ref="U1037" si="1293">IF(U864,-SUM(I1036)*IF(INDEX(EUconst_BMlistMainNumberOfBM,MATCH($I856,EUconst_BMlistNames,0))=39,0,IF(ISNUMBER(I1037),I1037,EUconst_HeatBMvalue)),"")</f>
        <v/>
      </c>
      <c r="V1037" s="1290" t="str">
        <f t="shared" ref="V1037" si="1294">IF(V864,-SUM(J1036)*IF(INDEX(EUconst_BMlistMainNumberOfBM,MATCH($I856,EUconst_BMlistNames,0))=39,0,IF(ISNUMBER(J1037),J1037,EUconst_HeatBMvalue)),"")</f>
        <v/>
      </c>
      <c r="W1037" s="1290" t="str">
        <f t="shared" ref="W1037" si="1295">IF(W864,-SUM(K1036)*IF(INDEX(EUconst_BMlistMainNumberOfBM,MATCH($I856,EUconst_BMlistNames,0))=39,0,IF(ISNUMBER(K1037),K1037,EUconst_HeatBMvalue)),"")</f>
        <v/>
      </c>
      <c r="X1037" s="1290" t="str">
        <f t="shared" ref="X1037" si="1296">IF(X864,-SUM(L1036)*IF(INDEX(EUconst_BMlistMainNumberOfBM,MATCH($I856,EUconst_BMlistNames,0))=39,0,IF(ISNUMBER(L1037),L1037,EUconst_HeatBMvalue)),"")</f>
        <v/>
      </c>
      <c r="Y1037" s="1290" t="str">
        <f t="shared" ref="Y1037" si="1297">IF(Y864,-SUM(M1036)*IF(INDEX(EUconst_BMlistMainNumberOfBM,MATCH($I856,EUconst_BMlistNames,0))=39,0,IF(ISNUMBER(M1037),M1037,EUconst_HeatBMvalue)),"")</f>
        <v/>
      </c>
      <c r="Z1037" s="1291" t="str">
        <f t="shared" ref="Z1037" si="1298">IF(Z864,-SUM(N1036)*IF(INDEX(EUconst_BMlistMainNumberOfBM,MATCH($I856,EUconst_BMlistNames,0))=39,0,IF(ISNUMBER(N1037),N1037,EUconst_HeatBMvalue)),"")</f>
        <v/>
      </c>
      <c r="AA1037" s="694"/>
      <c r="AB1037" s="694"/>
      <c r="AC1037" s="982" t="b">
        <f>AC1036</f>
        <v>0</v>
      </c>
      <c r="AD1037" s="982" t="b">
        <f t="shared" ref="AD1037:AI1037" si="1299">AD1036</f>
        <v>0</v>
      </c>
      <c r="AE1037" s="982" t="b">
        <f t="shared" si="1299"/>
        <v>0</v>
      </c>
      <c r="AF1037" s="982" t="b">
        <f t="shared" si="1299"/>
        <v>0</v>
      </c>
      <c r="AG1037" s="982" t="b">
        <f t="shared" si="1299"/>
        <v>0</v>
      </c>
      <c r="AH1037" s="982" t="b">
        <f t="shared" si="1299"/>
        <v>0</v>
      </c>
      <c r="AI1037" s="982" t="b">
        <f t="shared" si="1299"/>
        <v>0</v>
      </c>
      <c r="AJ1037" s="694"/>
      <c r="AK1037" s="694"/>
      <c r="AL1037" s="694"/>
    </row>
    <row r="1038" spans="1:38" ht="12.75" customHeight="1" x14ac:dyDescent="0.25">
      <c r="A1038" s="694"/>
      <c r="B1038" s="298"/>
      <c r="C1038" s="1302"/>
      <c r="D1038" s="1306"/>
      <c r="E1038" s="1306"/>
      <c r="F1038" s="1306"/>
      <c r="G1038" s="1306"/>
      <c r="H1038" s="1306"/>
      <c r="I1038" s="1306"/>
      <c r="J1038" s="1306"/>
      <c r="K1038" s="1306"/>
      <c r="L1038" s="1306"/>
      <c r="M1038" s="626"/>
      <c r="N1038" s="1316"/>
      <c r="O1038" s="302"/>
      <c r="P1038" s="302"/>
      <c r="Q1038" s="729"/>
      <c r="R1038" s="694"/>
      <c r="S1038" s="729"/>
      <c r="T1038" s="729"/>
      <c r="U1038" s="729"/>
      <c r="V1038" s="729"/>
      <c r="W1038" s="694"/>
      <c r="X1038" s="694"/>
      <c r="Y1038" s="694"/>
      <c r="Z1038" s="694"/>
      <c r="AA1038" s="694"/>
      <c r="AB1038" s="694"/>
      <c r="AC1038" s="694"/>
      <c r="AD1038" s="694"/>
      <c r="AE1038" s="694"/>
      <c r="AF1038" s="694"/>
      <c r="AG1038" s="694"/>
      <c r="AH1038" s="694"/>
      <c r="AI1038" s="694"/>
      <c r="AJ1038" s="694"/>
      <c r="AK1038" s="694"/>
      <c r="AL1038" s="694"/>
    </row>
    <row r="1039" spans="1:38" ht="12.75" customHeight="1" x14ac:dyDescent="0.25">
      <c r="A1039" s="694"/>
      <c r="B1039" s="298"/>
      <c r="C1039" s="1302"/>
      <c r="D1039" s="1307" t="s">
        <v>492</v>
      </c>
      <c r="E1039" s="2815" t="str">
        <f>Translations!$B$562</f>
        <v>Баланс на отпадните газове за тази инсталация</v>
      </c>
      <c r="F1039" s="2240"/>
      <c r="G1039" s="2240"/>
      <c r="H1039" s="2240"/>
      <c r="I1039" s="2240"/>
      <c r="J1039" s="2240"/>
      <c r="K1039" s="2240"/>
      <c r="L1039" s="2240"/>
      <c r="M1039" s="2240"/>
      <c r="N1039" s="2811"/>
      <c r="O1039" s="302"/>
      <c r="P1039" s="302"/>
      <c r="Q1039" s="729"/>
      <c r="R1039" s="694"/>
      <c r="S1039" s="729"/>
      <c r="T1039" s="729"/>
      <c r="U1039" s="729"/>
      <c r="V1039" s="729"/>
      <c r="W1039" s="694"/>
      <c r="X1039" s="694"/>
      <c r="Y1039" s="694"/>
      <c r="Z1039" s="694"/>
      <c r="AA1039" s="694"/>
      <c r="AB1039" s="694"/>
      <c r="AC1039" s="694"/>
      <c r="AD1039" s="694"/>
      <c r="AE1039" s="694"/>
      <c r="AF1039" s="694"/>
      <c r="AG1039" s="694"/>
      <c r="AH1039" s="694"/>
      <c r="AI1039" s="694"/>
      <c r="AJ1039" s="694"/>
      <c r="AK1039" s="694"/>
      <c r="AL1039" s="694"/>
    </row>
    <row r="1040" spans="1:38" ht="5.15" customHeight="1" x14ac:dyDescent="0.25">
      <c r="A1040" s="694"/>
      <c r="B1040" s="298"/>
      <c r="C1040" s="1302"/>
      <c r="D1040" s="1306"/>
      <c r="E1040" s="1325"/>
      <c r="F1040" s="1325"/>
      <c r="G1040" s="1325"/>
      <c r="H1040" s="1325"/>
      <c r="I1040" s="1325"/>
      <c r="J1040" s="1325"/>
      <c r="K1040" s="1325"/>
      <c r="L1040" s="1325"/>
      <c r="M1040" s="1325"/>
      <c r="N1040" s="1348"/>
      <c r="O1040" s="302"/>
      <c r="P1040" s="302"/>
      <c r="Q1040" s="729"/>
      <c r="R1040" s="694"/>
      <c r="S1040" s="729"/>
      <c r="T1040" s="729"/>
      <c r="U1040" s="729"/>
      <c r="V1040" s="729"/>
      <c r="W1040" s="694"/>
      <c r="X1040" s="694"/>
      <c r="Y1040" s="694"/>
      <c r="Z1040" s="694"/>
      <c r="AA1040" s="694"/>
      <c r="AB1040" s="694"/>
      <c r="AC1040" s="694"/>
      <c r="AD1040" s="694"/>
      <c r="AE1040" s="694"/>
      <c r="AF1040" s="694"/>
      <c r="AG1040" s="694"/>
      <c r="AH1040" s="694"/>
      <c r="AI1040" s="694"/>
      <c r="AJ1040" s="694"/>
      <c r="AK1040" s="694"/>
      <c r="AL1040" s="694"/>
    </row>
    <row r="1041" spans="1:38" ht="12.75" customHeight="1" x14ac:dyDescent="0.25">
      <c r="A1041" s="694"/>
      <c r="B1041" s="298"/>
      <c r="C1041" s="1302"/>
      <c r="D1041" s="625" t="s">
        <v>6</v>
      </c>
      <c r="E1041" s="2815" t="str">
        <f>Translations!$B$563</f>
        <v>От значение ли са отпадните газове за тази подинсталация?</v>
      </c>
      <c r="F1041" s="2240"/>
      <c r="G1041" s="2240"/>
      <c r="H1041" s="2240"/>
      <c r="I1041" s="2240"/>
      <c r="J1041" s="2240"/>
      <c r="K1041" s="2684"/>
      <c r="L1041" s="83"/>
      <c r="M1041" s="1322"/>
      <c r="N1041" s="1323"/>
      <c r="O1041" s="302"/>
      <c r="P1041" s="158"/>
      <c r="Q1041" s="729"/>
      <c r="R1041" s="694"/>
      <c r="S1041" s="729"/>
      <c r="T1041" s="694"/>
      <c r="U1041" s="694"/>
      <c r="V1041" s="694"/>
      <c r="W1041" s="694"/>
      <c r="X1041" s="694"/>
      <c r="Y1041" s="694"/>
      <c r="Z1041" s="694"/>
      <c r="AA1041" s="694"/>
      <c r="AB1041" s="694"/>
      <c r="AC1041" s="694"/>
      <c r="AD1041" s="694"/>
      <c r="AE1041" s="694"/>
      <c r="AF1041" s="1182" t="s">
        <v>737</v>
      </c>
      <c r="AG1041" s="901" t="b">
        <f>AND(CNTR_ExistSubInstEntries,I856="")</f>
        <v>0</v>
      </c>
      <c r="AH1041" s="694"/>
      <c r="AI1041" s="694"/>
      <c r="AJ1041" s="694"/>
      <c r="AK1041" s="694"/>
      <c r="AL1041" s="694"/>
    </row>
    <row r="1042" spans="1:38" ht="12.75" customHeight="1" x14ac:dyDescent="0.25">
      <c r="A1042" s="694"/>
      <c r="B1042" s="298"/>
      <c r="C1042" s="1302"/>
      <c r="D1042" s="1306"/>
      <c r="E1042" s="2810" t="str">
        <f>Translations!$B$564</f>
        <v>Ако отговорът е „невярно“, целият раздел ще бъде защрихован в сиво и можете да продължите към следващите точки по-долу.</v>
      </c>
      <c r="F1042" s="2240"/>
      <c r="G1042" s="2240"/>
      <c r="H1042" s="2240"/>
      <c r="I1042" s="2240"/>
      <c r="J1042" s="2240"/>
      <c r="K1042" s="2240"/>
      <c r="L1042" s="2240"/>
      <c r="M1042" s="2240"/>
      <c r="N1042" s="2811"/>
      <c r="O1042" s="302"/>
      <c r="P1042" s="302"/>
      <c r="Q1042" s="729"/>
      <c r="R1042" s="694"/>
      <c r="S1042" s="729"/>
      <c r="T1042" s="694"/>
      <c r="U1042" s="694"/>
      <c r="V1042" s="694"/>
      <c r="W1042" s="694"/>
      <c r="X1042" s="694"/>
      <c r="Y1042" s="694"/>
      <c r="Z1042" s="694"/>
      <c r="AA1042" s="694"/>
      <c r="AB1042" s="694"/>
      <c r="AC1042" s="694"/>
      <c r="AD1042" s="694"/>
      <c r="AE1042" s="694"/>
      <c r="AF1042" s="694"/>
      <c r="AG1042" s="694"/>
      <c r="AH1042" s="694"/>
      <c r="AI1042" s="694"/>
      <c r="AJ1042" s="694"/>
      <c r="AK1042" s="694"/>
      <c r="AL1042" s="694"/>
    </row>
    <row r="1043" spans="1:38" ht="12.75" customHeight="1" x14ac:dyDescent="0.25">
      <c r="A1043" s="694"/>
      <c r="B1043" s="298"/>
      <c r="C1043" s="1302"/>
      <c r="D1043" s="625" t="s">
        <v>7</v>
      </c>
      <c r="E1043" s="2815" t="str">
        <f>Translations!$B$565</f>
        <v>Видове произведени отпадни газове:</v>
      </c>
      <c r="F1043" s="2240"/>
      <c r="G1043" s="2240"/>
      <c r="H1043" s="2684"/>
      <c r="I1043" s="2821"/>
      <c r="J1043" s="2674"/>
      <c r="K1043" s="2674"/>
      <c r="L1043" s="2674"/>
      <c r="M1043" s="2675"/>
      <c r="N1043" s="1323"/>
      <c r="O1043" s="302"/>
      <c r="P1043" s="158"/>
      <c r="Q1043" s="729"/>
      <c r="R1043" s="694"/>
      <c r="S1043" s="729"/>
      <c r="T1043" s="694"/>
      <c r="U1043" s="694"/>
      <c r="V1043" s="694"/>
      <c r="W1043" s="694"/>
      <c r="X1043" s="694"/>
      <c r="Y1043" s="694"/>
      <c r="Z1043" s="694"/>
      <c r="AA1043" s="694"/>
      <c r="AB1043" s="694"/>
      <c r="AC1043" s="1182" t="s">
        <v>737</v>
      </c>
      <c r="AD1043" s="901" t="b">
        <f>OR(AG1041,AND($L1041&lt;&gt;"",$L1041=FALSE))</f>
        <v>0</v>
      </c>
      <c r="AE1043" s="694"/>
      <c r="AF1043" s="694"/>
      <c r="AG1043" s="694"/>
      <c r="AH1043" s="694"/>
      <c r="AI1043" s="694"/>
      <c r="AJ1043" s="694"/>
      <c r="AK1043" s="694"/>
      <c r="AL1043" s="694"/>
    </row>
    <row r="1044" spans="1:38" ht="12.75" customHeight="1" x14ac:dyDescent="0.25">
      <c r="A1044" s="694"/>
      <c r="B1044" s="298"/>
      <c r="C1044" s="1302"/>
      <c r="D1044" s="1306"/>
      <c r="E1044" s="2810" t="str">
        <f>Translations!$B$566</f>
        <v>Можете да изберете да подадете данните в тонове или 1000 Nm3. Мерните единици трябва да съответстват на използваните за долна топлина на изгаряне (NCV) и емисионния фактор по-долу.</v>
      </c>
      <c r="F1044" s="2240"/>
      <c r="G1044" s="2240"/>
      <c r="H1044" s="2240"/>
      <c r="I1044" s="2240"/>
      <c r="J1044" s="2240"/>
      <c r="K1044" s="2240"/>
      <c r="L1044" s="2240"/>
      <c r="M1044" s="2240"/>
      <c r="N1044" s="2811"/>
      <c r="O1044" s="302"/>
      <c r="P1044" s="302"/>
      <c r="Q1044" s="729"/>
      <c r="R1044" s="694"/>
      <c r="S1044" s="729"/>
      <c r="T1044" s="729"/>
      <c r="U1044" s="729"/>
      <c r="V1044" s="729"/>
      <c r="W1044" s="694"/>
      <c r="X1044" s="694"/>
      <c r="Y1044" s="694"/>
      <c r="Z1044" s="694"/>
      <c r="AA1044" s="694"/>
      <c r="AB1044" s="694"/>
      <c r="AC1044" s="694"/>
      <c r="AD1044" s="694"/>
      <c r="AE1044" s="694"/>
      <c r="AF1044" s="694"/>
      <c r="AG1044" s="694"/>
      <c r="AH1044" s="694"/>
      <c r="AI1044" s="694"/>
      <c r="AJ1044" s="694"/>
      <c r="AK1044" s="694"/>
      <c r="AL1044" s="694"/>
    </row>
    <row r="1045" spans="1:38" ht="12.75" customHeight="1" x14ac:dyDescent="0.25">
      <c r="A1045" s="694"/>
      <c r="B1045" s="298"/>
      <c r="C1045" s="1302"/>
      <c r="D1045" s="1306"/>
      <c r="E1045" s="2816" t="str">
        <f>Translations!$B$520</f>
        <v>Посочените тук данни се използват само с цел проверка на съответствието и нямат пряко отражение върху емисиите, които могат да бъдат зададени, или на разпределението на квотите.</v>
      </c>
      <c r="F1045" s="2240"/>
      <c r="G1045" s="2240"/>
      <c r="H1045" s="2240"/>
      <c r="I1045" s="2240"/>
      <c r="J1045" s="2240"/>
      <c r="K1045" s="2240"/>
      <c r="L1045" s="2240"/>
      <c r="M1045" s="2240"/>
      <c r="N1045" s="2811"/>
      <c r="O1045" s="302"/>
      <c r="P1045" s="302"/>
      <c r="Q1045" s="729"/>
      <c r="R1045" s="694"/>
      <c r="S1045" s="729"/>
      <c r="T1045" s="729"/>
      <c r="U1045" s="729"/>
      <c r="V1045" s="729"/>
      <c r="W1045" s="694"/>
      <c r="X1045" s="694"/>
      <c r="Y1045" s="694"/>
      <c r="Z1045" s="694"/>
      <c r="AA1045" s="694"/>
      <c r="AB1045" s="694"/>
      <c r="AC1045" s="694"/>
      <c r="AD1045" s="694"/>
      <c r="AE1045" s="694"/>
      <c r="AF1045" s="694"/>
      <c r="AG1045" s="694"/>
      <c r="AH1045" s="694"/>
      <c r="AI1045" s="694"/>
      <c r="AJ1045" s="694"/>
      <c r="AK1045" s="694"/>
      <c r="AL1045" s="694"/>
    </row>
    <row r="1046" spans="1:38" ht="12.75" customHeight="1" thickBot="1" x14ac:dyDescent="0.3">
      <c r="A1046" s="694"/>
      <c r="B1046" s="298"/>
      <c r="C1046" s="1302"/>
      <c r="D1046" s="1306"/>
      <c r="E1046" s="1317"/>
      <c r="F1046" s="1318"/>
      <c r="G1046" s="1309" t="str">
        <f>EUconst_Unit</f>
        <v>Единица мярка</v>
      </c>
      <c r="H1046" s="629">
        <f t="shared" ref="H1046:N1046" si="1300">H$2831</f>
        <v>2024</v>
      </c>
      <c r="I1046" s="1310">
        <f t="shared" si="1300"/>
        <v>2025</v>
      </c>
      <c r="J1046" s="1311">
        <f t="shared" si="1300"/>
        <v>2026</v>
      </c>
      <c r="K1046" s="629">
        <f t="shared" si="1300"/>
        <v>2027</v>
      </c>
      <c r="L1046" s="629">
        <f t="shared" si="1300"/>
        <v>2028</v>
      </c>
      <c r="M1046" s="629">
        <f t="shared" si="1300"/>
        <v>2029</v>
      </c>
      <c r="N1046" s="1312">
        <f t="shared" si="1300"/>
        <v>2030</v>
      </c>
      <c r="O1046" s="302"/>
      <c r="P1046" s="302"/>
      <c r="Q1046" s="729"/>
      <c r="R1046" s="694"/>
      <c r="S1046" s="729"/>
      <c r="T1046" s="729"/>
      <c r="U1046" s="729"/>
      <c r="V1046" s="729"/>
      <c r="W1046" s="694"/>
      <c r="X1046" s="694"/>
      <c r="Y1046" s="694"/>
      <c r="Z1046" s="694"/>
      <c r="AA1046" s="694"/>
      <c r="AB1046" s="694"/>
      <c r="AC1046" s="1178">
        <f t="shared" ref="AC1046" si="1301">H$20</f>
        <v>2024</v>
      </c>
      <c r="AD1046" s="1178">
        <f t="shared" ref="AD1046" si="1302">I$20</f>
        <v>2025</v>
      </c>
      <c r="AE1046" s="1178">
        <f t="shared" ref="AE1046" si="1303">J$20</f>
        <v>2026</v>
      </c>
      <c r="AF1046" s="1178">
        <f t="shared" ref="AF1046" si="1304">K$20</f>
        <v>2027</v>
      </c>
      <c r="AG1046" s="1178">
        <f t="shared" ref="AG1046" si="1305">L$20</f>
        <v>2028</v>
      </c>
      <c r="AH1046" s="1178">
        <f t="shared" ref="AH1046" si="1306">M$20</f>
        <v>2029</v>
      </c>
      <c r="AI1046" s="1178">
        <f t="shared" ref="AI1046" si="1307">N$20</f>
        <v>2030</v>
      </c>
      <c r="AJ1046" s="694"/>
      <c r="AK1046" s="694"/>
      <c r="AL1046" s="694"/>
    </row>
    <row r="1047" spans="1:38" ht="12.75" customHeight="1" x14ac:dyDescent="0.25">
      <c r="A1047" s="694"/>
      <c r="B1047" s="298"/>
      <c r="C1047" s="1302"/>
      <c r="D1047" s="625" t="s">
        <v>8</v>
      </c>
      <c r="E1047" s="2818" t="str">
        <f>Translations!$B$567</f>
        <v>Произведени количества</v>
      </c>
      <c r="F1047" s="2701"/>
      <c r="G1047" s="145"/>
      <c r="H1047" s="129"/>
      <c r="I1047" s="130"/>
      <c r="J1047" s="131"/>
      <c r="K1047" s="129"/>
      <c r="L1047" s="129"/>
      <c r="M1047" s="129"/>
      <c r="N1047" s="132"/>
      <c r="O1047" s="302"/>
      <c r="P1047" s="158"/>
      <c r="Q1047" s="729"/>
      <c r="R1047" s="694"/>
      <c r="S1047" s="729"/>
      <c r="T1047" s="729"/>
      <c r="U1047" s="729"/>
      <c r="V1047" s="729"/>
      <c r="W1047" s="694"/>
      <c r="X1047" s="694"/>
      <c r="Y1047" s="694"/>
      <c r="Z1047" s="694"/>
      <c r="AA1047" s="694"/>
      <c r="AB1047" s="1182" t="s">
        <v>737</v>
      </c>
      <c r="AC1047" s="901" t="b">
        <f>OR(AND($L1041&lt;&gt;"",$L1041=FALSE),AC903)</f>
        <v>0</v>
      </c>
      <c r="AD1047" s="982" t="b">
        <f t="shared" ref="AD1047:AI1047" si="1308">OR(AND($L1041&lt;&gt;"",$L1041=FALSE),AD903)</f>
        <v>0</v>
      </c>
      <c r="AE1047" s="982" t="b">
        <f t="shared" si="1308"/>
        <v>0</v>
      </c>
      <c r="AF1047" s="982" t="b">
        <f t="shared" si="1308"/>
        <v>0</v>
      </c>
      <c r="AG1047" s="982" t="b">
        <f t="shared" si="1308"/>
        <v>0</v>
      </c>
      <c r="AH1047" s="982" t="b">
        <f t="shared" si="1308"/>
        <v>0</v>
      </c>
      <c r="AI1047" s="982" t="b">
        <f t="shared" si="1308"/>
        <v>0</v>
      </c>
      <c r="AJ1047" s="1174" t="s">
        <v>2039</v>
      </c>
      <c r="AK1047" s="1176" t="str">
        <f>IF(AND(CNTR_ExistSubInstEntries,MSconst_RequireSubAttrEmissions,COUNTIFS(AC1047:AI1047,FALSE,H1047:N1047,"")&gt;0),EUconst_Error&amp;"BM"&amp;$Q856,"")</f>
        <v/>
      </c>
      <c r="AL1047" s="694"/>
    </row>
    <row r="1048" spans="1:38" ht="12.75" customHeight="1" x14ac:dyDescent="0.25">
      <c r="A1048" s="694"/>
      <c r="B1048" s="298"/>
      <c r="C1048" s="1302"/>
      <c r="D1048" s="625" t="s">
        <v>18</v>
      </c>
      <c r="E1048" s="2819" t="str">
        <f>Translations!$B$296</f>
        <v>Долна топлина на изгаряне</v>
      </c>
      <c r="F1048" s="2705"/>
      <c r="G1048" s="1349" t="str">
        <f>IF(ISBLANK(G1047),EUconst_GJperUnit,INDEX(EUconst_GJperTorKNm3,MATCH(G1047,EUconst_TonnesOrkNm3pa,0)))</f>
        <v>GJ / Единица мярка</v>
      </c>
      <c r="H1048" s="137"/>
      <c r="I1048" s="138"/>
      <c r="J1048" s="139"/>
      <c r="K1048" s="137"/>
      <c r="L1048" s="137"/>
      <c r="M1048" s="137"/>
      <c r="N1048" s="140"/>
      <c r="O1048" s="302"/>
      <c r="P1048" s="158"/>
      <c r="Q1048" s="694"/>
      <c r="R1048" s="694"/>
      <c r="S1048" s="729"/>
      <c r="T1048" s="729"/>
      <c r="U1048" s="729"/>
      <c r="V1048" s="729"/>
      <c r="W1048" s="729"/>
      <c r="X1048" s="729"/>
      <c r="Y1048" s="729"/>
      <c r="Z1048" s="729"/>
      <c r="AA1048" s="694"/>
      <c r="AB1048" s="694"/>
      <c r="AC1048" s="982" t="b">
        <f>AC1047</f>
        <v>0</v>
      </c>
      <c r="AD1048" s="982" t="b">
        <f t="shared" ref="AD1048:AI1048" si="1309">AD1047</f>
        <v>0</v>
      </c>
      <c r="AE1048" s="982" t="b">
        <f t="shared" si="1309"/>
        <v>0</v>
      </c>
      <c r="AF1048" s="982" t="b">
        <f t="shared" si="1309"/>
        <v>0</v>
      </c>
      <c r="AG1048" s="982" t="b">
        <f t="shared" si="1309"/>
        <v>0</v>
      </c>
      <c r="AH1048" s="982" t="b">
        <f t="shared" si="1309"/>
        <v>0</v>
      </c>
      <c r="AI1048" s="982" t="b">
        <f t="shared" si="1309"/>
        <v>0</v>
      </c>
      <c r="AJ1048" s="1174" t="s">
        <v>2039</v>
      </c>
      <c r="AK1048" s="1176" t="str">
        <f>IF(AND(CNTR_ExistSubInstEntries,MSconst_RequireSubAttrEmissions,COUNTIFS(AC1048:AI1048,FALSE,H1048:N1048,"")&gt;0),EUconst_Error&amp;"BM"&amp;$Q856,"")</f>
        <v/>
      </c>
      <c r="AL1048" s="694"/>
    </row>
    <row r="1049" spans="1:38" ht="12.75" customHeight="1" x14ac:dyDescent="0.25">
      <c r="A1049" s="694"/>
      <c r="B1049" s="298"/>
      <c r="C1049" s="1302"/>
      <c r="D1049" s="625" t="s">
        <v>810</v>
      </c>
      <c r="E1049" s="2820" t="str">
        <f>Translations!$B$568</f>
        <v>Произведен отпаден газ</v>
      </c>
      <c r="F1049" s="2258"/>
      <c r="G1049" s="1319" t="str">
        <f>EUconst_TJpa</f>
        <v>TJ / година</v>
      </c>
      <c r="H1049" s="1350" t="str">
        <f t="shared" ref="H1049:N1049" si="1310">IF(COUNT(H1047:H1048)=2,H1047*H1048/1000,"")</f>
        <v/>
      </c>
      <c r="I1049" s="1351" t="str">
        <f t="shared" si="1310"/>
        <v/>
      </c>
      <c r="J1049" s="1352" t="str">
        <f t="shared" si="1310"/>
        <v/>
      </c>
      <c r="K1049" s="1350" t="str">
        <f t="shared" si="1310"/>
        <v/>
      </c>
      <c r="L1049" s="1350" t="str">
        <f t="shared" si="1310"/>
        <v/>
      </c>
      <c r="M1049" s="1350" t="str">
        <f t="shared" si="1310"/>
        <v/>
      </c>
      <c r="N1049" s="1353" t="str">
        <f t="shared" si="1310"/>
        <v/>
      </c>
      <c r="O1049" s="302"/>
      <c r="P1049" s="302"/>
      <c r="Q1049" s="1190" t="str">
        <f>EUconst_CNTR_WGProduced &amp; I856</f>
        <v>WasteGasProd_</v>
      </c>
      <c r="R1049" s="694"/>
      <c r="S1049" s="729"/>
      <c r="T1049" s="729"/>
      <c r="U1049" s="729"/>
      <c r="V1049" s="729"/>
      <c r="W1049" s="729"/>
      <c r="X1049" s="729"/>
      <c r="Y1049" s="729"/>
      <c r="Z1049" s="729"/>
      <c r="AA1049" s="694"/>
      <c r="AB1049" s="694"/>
      <c r="AC1049" s="694"/>
      <c r="AD1049" s="694"/>
      <c r="AE1049" s="694"/>
      <c r="AF1049" s="694"/>
      <c r="AG1049" s="694"/>
      <c r="AH1049" s="694"/>
      <c r="AI1049" s="694"/>
      <c r="AJ1049" s="694"/>
      <c r="AK1049" s="694"/>
      <c r="AL1049" s="694"/>
    </row>
    <row r="1050" spans="1:38" ht="12.75" customHeight="1" x14ac:dyDescent="0.25">
      <c r="A1050" s="694"/>
      <c r="B1050" s="298"/>
      <c r="C1050" s="1302"/>
      <c r="D1050" s="625" t="s">
        <v>811</v>
      </c>
      <c r="E1050" s="2820" t="str">
        <f>Translations!$B$569</f>
        <v>Специфичен EF (произведен отпаден газ)</v>
      </c>
      <c r="F1050" s="2258"/>
      <c r="G1050" s="1319" t="str">
        <f>EUconst_tCO2pTJ</f>
        <v>t CO2 / TJ</v>
      </c>
      <c r="H1050" s="56"/>
      <c r="I1050" s="115"/>
      <c r="J1050" s="118"/>
      <c r="K1050" s="56"/>
      <c r="L1050" s="56"/>
      <c r="M1050" s="56"/>
      <c r="N1050" s="121"/>
      <c r="O1050" s="302"/>
      <c r="P1050" s="158"/>
      <c r="Q1050" s="1190" t="str">
        <f>EUconst_CNTR_WGProducedEF &amp; I856</f>
        <v>WasteGasProdEF_</v>
      </c>
      <c r="R1050" s="694"/>
      <c r="S1050" s="729"/>
      <c r="T1050" s="729"/>
      <c r="U1050" s="729"/>
      <c r="V1050" s="729"/>
      <c r="W1050" s="729"/>
      <c r="X1050" s="729"/>
      <c r="Y1050" s="729"/>
      <c r="Z1050" s="729"/>
      <c r="AA1050" s="694"/>
      <c r="AB1050" s="1182" t="s">
        <v>737</v>
      </c>
      <c r="AC1050" s="982" t="b">
        <f>AC1048</f>
        <v>0</v>
      </c>
      <c r="AD1050" s="982" t="b">
        <f t="shared" ref="AD1050:AI1050" si="1311">AD1048</f>
        <v>0</v>
      </c>
      <c r="AE1050" s="982" t="b">
        <f t="shared" si="1311"/>
        <v>0</v>
      </c>
      <c r="AF1050" s="982" t="b">
        <f t="shared" si="1311"/>
        <v>0</v>
      </c>
      <c r="AG1050" s="982" t="b">
        <f t="shared" si="1311"/>
        <v>0</v>
      </c>
      <c r="AH1050" s="982" t="b">
        <f t="shared" si="1311"/>
        <v>0</v>
      </c>
      <c r="AI1050" s="982" t="b">
        <f t="shared" si="1311"/>
        <v>0</v>
      </c>
      <c r="AJ1050" s="1174" t="s">
        <v>2039</v>
      </c>
      <c r="AK1050" s="1176" t="str">
        <f>IF(AND(CNTR_ExistSubInstEntries,MSconst_RequireSubAttrEmissions,COUNTIFS(AC1050:AI1050,FALSE,H1050:N1050,"")&gt;0),EUconst_Error&amp;"BM"&amp;$Q856,"")</f>
        <v/>
      </c>
      <c r="AL1050" s="694"/>
    </row>
    <row r="1051" spans="1:38" ht="12.75" customHeight="1" x14ac:dyDescent="0.25">
      <c r="A1051" s="694"/>
      <c r="B1051" s="298"/>
      <c r="C1051" s="1302"/>
      <c r="D1051" s="1306"/>
      <c r="E1051" s="1306"/>
      <c r="F1051" s="1306"/>
      <c r="G1051" s="1306"/>
      <c r="H1051" s="1354"/>
      <c r="I1051" s="1306"/>
      <c r="J1051" s="1306"/>
      <c r="K1051" s="1306"/>
      <c r="L1051" s="1306"/>
      <c r="M1051" s="626"/>
      <c r="N1051" s="1316"/>
      <c r="O1051" s="302"/>
      <c r="P1051" s="302"/>
      <c r="Q1051" s="729"/>
      <c r="R1051" s="694"/>
      <c r="S1051" s="729"/>
      <c r="T1051" s="729"/>
      <c r="U1051" s="729"/>
      <c r="V1051" s="729"/>
      <c r="W1051" s="729"/>
      <c r="X1051" s="729"/>
      <c r="Y1051" s="729"/>
      <c r="Z1051" s="729"/>
      <c r="AA1051" s="694"/>
      <c r="AB1051" s="694"/>
      <c r="AC1051" s="694"/>
      <c r="AD1051" s="694"/>
      <c r="AE1051" s="694"/>
      <c r="AF1051" s="694"/>
      <c r="AG1051" s="694"/>
      <c r="AH1051" s="694"/>
      <c r="AI1051" s="694"/>
      <c r="AJ1051" s="694"/>
      <c r="AK1051" s="694"/>
      <c r="AL1051" s="694"/>
    </row>
    <row r="1052" spans="1:38" ht="12.75" customHeight="1" x14ac:dyDescent="0.25">
      <c r="A1052" s="694"/>
      <c r="B1052" s="298"/>
      <c r="C1052" s="1302"/>
      <c r="D1052" s="625" t="s">
        <v>812</v>
      </c>
      <c r="E1052" s="2815" t="str">
        <f>Translations!$B$570</f>
        <v>Видове консумирани отпадни газове:</v>
      </c>
      <c r="F1052" s="2240"/>
      <c r="G1052" s="2240"/>
      <c r="H1052" s="2684"/>
      <c r="I1052" s="2821"/>
      <c r="J1052" s="2674"/>
      <c r="K1052" s="2674"/>
      <c r="L1052" s="2674"/>
      <c r="M1052" s="2675"/>
      <c r="N1052" s="1323"/>
      <c r="O1052" s="302"/>
      <c r="P1052" s="158"/>
      <c r="Q1052" s="729"/>
      <c r="R1052" s="694"/>
      <c r="S1052" s="729"/>
      <c r="T1052" s="729"/>
      <c r="U1052" s="729"/>
      <c r="V1052" s="729"/>
      <c r="W1052" s="729"/>
      <c r="X1052" s="729"/>
      <c r="Y1052" s="729"/>
      <c r="Z1052" s="729"/>
      <c r="AA1052" s="694"/>
      <c r="AB1052" s="694"/>
      <c r="AC1052" s="1182" t="s">
        <v>737</v>
      </c>
      <c r="AD1052" s="982" t="b">
        <f>AD1043</f>
        <v>0</v>
      </c>
      <c r="AE1052" s="694"/>
      <c r="AF1052" s="694"/>
      <c r="AG1052" s="694"/>
      <c r="AH1052" s="694"/>
      <c r="AI1052" s="694"/>
      <c r="AJ1052" s="694"/>
      <c r="AK1052" s="694"/>
      <c r="AL1052" s="694"/>
    </row>
    <row r="1053" spans="1:38" ht="25.5" customHeight="1" x14ac:dyDescent="0.25">
      <c r="A1053" s="694"/>
      <c r="B1053" s="298"/>
      <c r="C1053" s="1302"/>
      <c r="D1053" s="625"/>
      <c r="E1053" s="2810" t="str">
        <f>Translations!$B$571</f>
        <v>Това включва всички видове отпадни газове, които се консумират от тази подинсталация при производството на измерима топлинна енергия, неизмерима топлинна енергия (включително необходимото за безопасността изгаряне във факел) или механична енергия (различна от тази за електропроизводство). Количествата, резултат от изгаряне във факел, различни от необходимото за безопасността изгаряне във факел, се отчитат в следващата точка по-долу.</v>
      </c>
      <c r="F1053" s="2240"/>
      <c r="G1053" s="2240"/>
      <c r="H1053" s="2240"/>
      <c r="I1053" s="2240"/>
      <c r="J1053" s="2240"/>
      <c r="K1053" s="2240"/>
      <c r="L1053" s="2240"/>
      <c r="M1053" s="2240"/>
      <c r="N1053" s="2811"/>
      <c r="O1053" s="302"/>
      <c r="P1053" s="302"/>
      <c r="Q1053" s="729"/>
      <c r="R1053" s="694"/>
      <c r="S1053" s="729"/>
      <c r="T1053" s="729"/>
      <c r="U1053" s="729"/>
      <c r="V1053" s="729"/>
      <c r="W1053" s="729"/>
      <c r="X1053" s="729"/>
      <c r="Y1053" s="729"/>
      <c r="Z1053" s="729"/>
      <c r="AA1053" s="694"/>
      <c r="AB1053" s="694"/>
      <c r="AC1053" s="694"/>
      <c r="AD1053" s="694"/>
      <c r="AE1053" s="694"/>
      <c r="AF1053" s="694"/>
      <c r="AG1053" s="694"/>
      <c r="AH1053" s="694"/>
      <c r="AI1053" s="694"/>
      <c r="AJ1053" s="694"/>
      <c r="AK1053" s="694"/>
      <c r="AL1053" s="694"/>
    </row>
    <row r="1054" spans="1:38" ht="12.75" customHeight="1" x14ac:dyDescent="0.25">
      <c r="A1054" s="694"/>
      <c r="B1054" s="298"/>
      <c r="C1054" s="1302"/>
      <c r="D1054" s="1306"/>
      <c r="E1054" s="2816" t="str">
        <f>Translations!$B$520</f>
        <v>Посочените тук данни се използват само с цел проверка на съответствието и нямат пряко отражение върху емисиите, които могат да бъдат зададени, или на разпределението на квотите.</v>
      </c>
      <c r="F1054" s="2240"/>
      <c r="G1054" s="2240"/>
      <c r="H1054" s="2240"/>
      <c r="I1054" s="2240"/>
      <c r="J1054" s="2240"/>
      <c r="K1054" s="2240"/>
      <c r="L1054" s="2240"/>
      <c r="M1054" s="2240"/>
      <c r="N1054" s="2811"/>
      <c r="O1054" s="302"/>
      <c r="P1054" s="302"/>
      <c r="Q1054" s="729"/>
      <c r="R1054" s="694"/>
      <c r="S1054" s="729"/>
      <c r="T1054" s="729"/>
      <c r="U1054" s="729"/>
      <c r="V1054" s="729"/>
      <c r="W1054" s="729"/>
      <c r="X1054" s="729"/>
      <c r="Y1054" s="729"/>
      <c r="Z1054" s="729"/>
      <c r="AA1054" s="694"/>
      <c r="AB1054" s="694"/>
      <c r="AC1054" s="694"/>
      <c r="AD1054" s="694"/>
      <c r="AE1054" s="694"/>
      <c r="AF1054" s="694"/>
      <c r="AG1054" s="694"/>
      <c r="AH1054" s="694"/>
      <c r="AI1054" s="694"/>
      <c r="AJ1054" s="694"/>
      <c r="AK1054" s="694"/>
      <c r="AL1054" s="694"/>
    </row>
    <row r="1055" spans="1:38" ht="12.75" customHeight="1" thickBot="1" x14ac:dyDescent="0.3">
      <c r="A1055" s="694"/>
      <c r="B1055" s="298"/>
      <c r="C1055" s="1302"/>
      <c r="D1055" s="1306"/>
      <c r="E1055" s="1317"/>
      <c r="F1055" s="1318"/>
      <c r="G1055" s="1309" t="str">
        <f>EUconst_Unit</f>
        <v>Единица мярка</v>
      </c>
      <c r="H1055" s="629">
        <f t="shared" ref="H1055:N1055" si="1312">H$2831</f>
        <v>2024</v>
      </c>
      <c r="I1055" s="1310">
        <f t="shared" si="1312"/>
        <v>2025</v>
      </c>
      <c r="J1055" s="1311">
        <f t="shared" si="1312"/>
        <v>2026</v>
      </c>
      <c r="K1055" s="629">
        <f t="shared" si="1312"/>
        <v>2027</v>
      </c>
      <c r="L1055" s="629">
        <f t="shared" si="1312"/>
        <v>2028</v>
      </c>
      <c r="M1055" s="629">
        <f t="shared" si="1312"/>
        <v>2029</v>
      </c>
      <c r="N1055" s="1312">
        <f t="shared" si="1312"/>
        <v>2030</v>
      </c>
      <c r="O1055" s="302"/>
      <c r="P1055" s="302"/>
      <c r="Q1055" s="729"/>
      <c r="R1055" s="694"/>
      <c r="S1055" s="729"/>
      <c r="T1055" s="729"/>
      <c r="U1055" s="729"/>
      <c r="V1055" s="729"/>
      <c r="W1055" s="729"/>
      <c r="X1055" s="729"/>
      <c r="Y1055" s="729"/>
      <c r="Z1055" s="729"/>
      <c r="AA1055" s="694"/>
      <c r="AB1055" s="694"/>
      <c r="AC1055" s="1178">
        <f t="shared" ref="AC1055" si="1313">H$20</f>
        <v>2024</v>
      </c>
      <c r="AD1055" s="1178">
        <f t="shared" ref="AD1055" si="1314">I$20</f>
        <v>2025</v>
      </c>
      <c r="AE1055" s="1178">
        <f t="shared" ref="AE1055" si="1315">J$20</f>
        <v>2026</v>
      </c>
      <c r="AF1055" s="1178">
        <f t="shared" ref="AF1055" si="1316">K$20</f>
        <v>2027</v>
      </c>
      <c r="AG1055" s="1178">
        <f t="shared" ref="AG1055" si="1317">L$20</f>
        <v>2028</v>
      </c>
      <c r="AH1055" s="1178">
        <f t="shared" ref="AH1055" si="1318">M$20</f>
        <v>2029</v>
      </c>
      <c r="AI1055" s="1178">
        <f t="shared" ref="AI1055" si="1319">N$20</f>
        <v>2030</v>
      </c>
      <c r="AJ1055" s="694"/>
      <c r="AK1055" s="694"/>
      <c r="AL1055" s="694"/>
    </row>
    <row r="1056" spans="1:38" ht="12.75" customHeight="1" x14ac:dyDescent="0.25">
      <c r="A1056" s="694"/>
      <c r="B1056" s="298"/>
      <c r="C1056" s="1302"/>
      <c r="D1056" s="625" t="s">
        <v>813</v>
      </c>
      <c r="E1056" s="2818" t="str">
        <f>Translations!$B$572</f>
        <v>Консумирани количества</v>
      </c>
      <c r="F1056" s="2701"/>
      <c r="G1056" s="145"/>
      <c r="H1056" s="129"/>
      <c r="I1056" s="130"/>
      <c r="J1056" s="131"/>
      <c r="K1056" s="129"/>
      <c r="L1056" s="129"/>
      <c r="M1056" s="129"/>
      <c r="N1056" s="132"/>
      <c r="O1056" s="302"/>
      <c r="P1056" s="158"/>
      <c r="Q1056" s="729"/>
      <c r="R1056" s="694"/>
      <c r="S1056" s="729"/>
      <c r="T1056" s="729"/>
      <c r="U1056" s="729"/>
      <c r="V1056" s="729"/>
      <c r="W1056" s="729"/>
      <c r="X1056" s="729"/>
      <c r="Y1056" s="729"/>
      <c r="Z1056" s="729"/>
      <c r="AA1056" s="694"/>
      <c r="AB1056" s="1182" t="s">
        <v>737</v>
      </c>
      <c r="AC1056" s="982" t="b">
        <f>AC1047</f>
        <v>0</v>
      </c>
      <c r="AD1056" s="982" t="b">
        <f t="shared" ref="AD1056:AI1056" si="1320">AD1047</f>
        <v>0</v>
      </c>
      <c r="AE1056" s="982" t="b">
        <f t="shared" si="1320"/>
        <v>0</v>
      </c>
      <c r="AF1056" s="982" t="b">
        <f t="shared" si="1320"/>
        <v>0</v>
      </c>
      <c r="AG1056" s="982" t="b">
        <f t="shared" si="1320"/>
        <v>0</v>
      </c>
      <c r="AH1056" s="982" t="b">
        <f t="shared" si="1320"/>
        <v>0</v>
      </c>
      <c r="AI1056" s="982" t="b">
        <f t="shared" si="1320"/>
        <v>0</v>
      </c>
      <c r="AJ1056" s="1174" t="s">
        <v>2039</v>
      </c>
      <c r="AK1056" s="1176" t="str">
        <f>IF(AND(CNTR_ExistSubInstEntries,MSconst_RequireSubAttrEmissions,COUNTIFS(AC1056:AI1056,FALSE,H1056:N1056,"")&gt;0),EUconst_Error&amp;"BM"&amp;$Q856,"")</f>
        <v/>
      </c>
      <c r="AL1056" s="694"/>
    </row>
    <row r="1057" spans="1:38" ht="12.75" customHeight="1" x14ac:dyDescent="0.25">
      <c r="A1057" s="694"/>
      <c r="B1057" s="298"/>
      <c r="C1057" s="1302"/>
      <c r="D1057" s="625" t="s">
        <v>814</v>
      </c>
      <c r="E1057" s="2819" t="str">
        <f>Translations!$B$296</f>
        <v>Долна топлина на изгаряне</v>
      </c>
      <c r="F1057" s="2705"/>
      <c r="G1057" s="1349" t="str">
        <f>IF(ISBLANK(G1056),EUconst_GJperUnit,INDEX(EUconst_GJperTorKNm3,MATCH(G1056,EUconst_TonnesOrkNm3pa,0)))</f>
        <v>GJ / Единица мярка</v>
      </c>
      <c r="H1057" s="137"/>
      <c r="I1057" s="138"/>
      <c r="J1057" s="139"/>
      <c r="K1057" s="137"/>
      <c r="L1057" s="137"/>
      <c r="M1057" s="137"/>
      <c r="N1057" s="140"/>
      <c r="O1057" s="302"/>
      <c r="P1057" s="158"/>
      <c r="Q1057" s="694"/>
      <c r="R1057" s="694"/>
      <c r="S1057" s="729"/>
      <c r="T1057" s="729"/>
      <c r="U1057" s="729"/>
      <c r="V1057" s="729"/>
      <c r="W1057" s="729"/>
      <c r="X1057" s="729"/>
      <c r="Y1057" s="729"/>
      <c r="Z1057" s="729"/>
      <c r="AA1057" s="694"/>
      <c r="AB1057" s="694"/>
      <c r="AC1057" s="982" t="b">
        <f>AC1056</f>
        <v>0</v>
      </c>
      <c r="AD1057" s="982" t="b">
        <f t="shared" ref="AD1057:AI1057" si="1321">AD1056</f>
        <v>0</v>
      </c>
      <c r="AE1057" s="982" t="b">
        <f t="shared" si="1321"/>
        <v>0</v>
      </c>
      <c r="AF1057" s="982" t="b">
        <f t="shared" si="1321"/>
        <v>0</v>
      </c>
      <c r="AG1057" s="982" t="b">
        <f t="shared" si="1321"/>
        <v>0</v>
      </c>
      <c r="AH1057" s="982" t="b">
        <f t="shared" si="1321"/>
        <v>0</v>
      </c>
      <c r="AI1057" s="982" t="b">
        <f t="shared" si="1321"/>
        <v>0</v>
      </c>
      <c r="AJ1057" s="1174" t="s">
        <v>2039</v>
      </c>
      <c r="AK1057" s="1176" t="str">
        <f>IF(AND(CNTR_ExistSubInstEntries,MSconst_RequireSubAttrEmissions,COUNTIFS(AC1057:AI1057,FALSE,H1057:N1057,"")&gt;0),EUconst_Error&amp;"BM"&amp;$Q856,"")</f>
        <v/>
      </c>
      <c r="AL1057" s="694"/>
    </row>
    <row r="1058" spans="1:38" ht="12.75" customHeight="1" x14ac:dyDescent="0.25">
      <c r="A1058" s="694"/>
      <c r="B1058" s="298"/>
      <c r="C1058" s="1302"/>
      <c r="D1058" s="625" t="s">
        <v>61</v>
      </c>
      <c r="E1058" s="2820" t="str">
        <f>Translations!$B$573</f>
        <v>Консумиран отпаден газ</v>
      </c>
      <c r="F1058" s="2258"/>
      <c r="G1058" s="1319" t="str">
        <f>EUconst_TJpa</f>
        <v>TJ / година</v>
      </c>
      <c r="H1058" s="1350" t="str">
        <f t="shared" ref="H1058:N1058" si="1322">IF(COUNT(H1056:H1057)=2,H1056*H1057/1000,"")</f>
        <v/>
      </c>
      <c r="I1058" s="1351" t="str">
        <f t="shared" si="1322"/>
        <v/>
      </c>
      <c r="J1058" s="1352" t="str">
        <f t="shared" si="1322"/>
        <v/>
      </c>
      <c r="K1058" s="1350" t="str">
        <f t="shared" si="1322"/>
        <v/>
      </c>
      <c r="L1058" s="1350" t="str">
        <f t="shared" si="1322"/>
        <v/>
      </c>
      <c r="M1058" s="1350" t="str">
        <f t="shared" si="1322"/>
        <v/>
      </c>
      <c r="N1058" s="1353" t="str">
        <f t="shared" si="1322"/>
        <v/>
      </c>
      <c r="O1058" s="302"/>
      <c r="P1058" s="302"/>
      <c r="Q1058" s="1190" t="str">
        <f>EUconst_CNTR_WGConsumed &amp; I856</f>
        <v>WasteGasCons_</v>
      </c>
      <c r="R1058" s="694"/>
      <c r="S1058" s="729"/>
      <c r="T1058" s="729"/>
      <c r="U1058" s="729"/>
      <c r="V1058" s="729"/>
      <c r="W1058" s="729"/>
      <c r="X1058" s="729"/>
      <c r="Y1058" s="729"/>
      <c r="Z1058" s="729"/>
      <c r="AA1058" s="694"/>
      <c r="AB1058" s="694"/>
      <c r="AC1058" s="694"/>
      <c r="AD1058" s="694"/>
      <c r="AE1058" s="694"/>
      <c r="AF1058" s="694"/>
      <c r="AG1058" s="694"/>
      <c r="AH1058" s="694"/>
      <c r="AI1058" s="694"/>
      <c r="AJ1058" s="694"/>
      <c r="AK1058" s="694"/>
      <c r="AL1058" s="694"/>
    </row>
    <row r="1059" spans="1:38" ht="12.75" customHeight="1" x14ac:dyDescent="0.25">
      <c r="A1059" s="694"/>
      <c r="B1059" s="298"/>
      <c r="C1059" s="1302"/>
      <c r="D1059" s="625" t="s">
        <v>62</v>
      </c>
      <c r="E1059" s="2820" t="str">
        <f>Translations!$B$574</f>
        <v>Специфичен EF (консумиран отпаден газ)</v>
      </c>
      <c r="F1059" s="2258"/>
      <c r="G1059" s="1319" t="str">
        <f>EUconst_tCO2pTJ</f>
        <v>t CO2 / TJ</v>
      </c>
      <c r="H1059" s="56"/>
      <c r="I1059" s="115"/>
      <c r="J1059" s="118"/>
      <c r="K1059" s="56"/>
      <c r="L1059" s="56"/>
      <c r="M1059" s="56"/>
      <c r="N1059" s="121"/>
      <c r="O1059" s="302"/>
      <c r="P1059" s="158"/>
      <c r="Q1059" s="1190" t="str">
        <f>EUconst_CNTR_WGConsumedEF &amp; I856</f>
        <v>WasteGasConsEF_</v>
      </c>
      <c r="R1059" s="694"/>
      <c r="S1059" s="729"/>
      <c r="T1059" s="729"/>
      <c r="U1059" s="729"/>
      <c r="V1059" s="729"/>
      <c r="W1059" s="729"/>
      <c r="X1059" s="729"/>
      <c r="Y1059" s="729"/>
      <c r="Z1059" s="729"/>
      <c r="AA1059" s="694"/>
      <c r="AB1059" s="1182" t="s">
        <v>737</v>
      </c>
      <c r="AC1059" s="982" t="b">
        <f>AC1057</f>
        <v>0</v>
      </c>
      <c r="AD1059" s="982" t="b">
        <f t="shared" ref="AD1059:AI1059" si="1323">AD1057</f>
        <v>0</v>
      </c>
      <c r="AE1059" s="982" t="b">
        <f t="shared" si="1323"/>
        <v>0</v>
      </c>
      <c r="AF1059" s="982" t="b">
        <f t="shared" si="1323"/>
        <v>0</v>
      </c>
      <c r="AG1059" s="982" t="b">
        <f t="shared" si="1323"/>
        <v>0</v>
      </c>
      <c r="AH1059" s="982" t="b">
        <f t="shared" si="1323"/>
        <v>0</v>
      </c>
      <c r="AI1059" s="982" t="b">
        <f t="shared" si="1323"/>
        <v>0</v>
      </c>
      <c r="AJ1059" s="1174" t="s">
        <v>2039</v>
      </c>
      <c r="AK1059" s="1176" t="str">
        <f>IF(AND(CNTR_ExistSubInstEntries,MSconst_RequireSubAttrEmissions,COUNTIFS(AC1059:AI1059,FALSE,H1059:N1059,"")&gt;0),EUconst_Error&amp;"BM"&amp;$Q856,"")</f>
        <v/>
      </c>
      <c r="AL1059" s="694"/>
    </row>
    <row r="1060" spans="1:38" ht="12.75" customHeight="1" x14ac:dyDescent="0.25">
      <c r="A1060" s="694"/>
      <c r="B1060" s="298"/>
      <c r="C1060" s="1302"/>
      <c r="D1060" s="1306"/>
      <c r="E1060" s="1306"/>
      <c r="F1060" s="1306"/>
      <c r="G1060" s="1306"/>
      <c r="H1060" s="1354"/>
      <c r="I1060" s="1306"/>
      <c r="J1060" s="1306"/>
      <c r="K1060" s="1306"/>
      <c r="L1060" s="1306"/>
      <c r="M1060" s="626"/>
      <c r="N1060" s="1316"/>
      <c r="O1060" s="302"/>
      <c r="P1060" s="302"/>
      <c r="Q1060" s="729"/>
      <c r="R1060" s="694"/>
      <c r="S1060" s="729"/>
      <c r="T1060" s="729"/>
      <c r="U1060" s="729"/>
      <c r="V1060" s="729"/>
      <c r="W1060" s="694"/>
      <c r="X1060" s="694"/>
      <c r="Y1060" s="694"/>
      <c r="Z1060" s="694"/>
      <c r="AA1060" s="694"/>
      <c r="AB1060" s="694"/>
      <c r="AC1060" s="694"/>
      <c r="AD1060" s="694"/>
      <c r="AE1060" s="694"/>
      <c r="AF1060" s="694"/>
      <c r="AG1060" s="694"/>
      <c r="AH1060" s="694"/>
      <c r="AI1060" s="694"/>
      <c r="AJ1060" s="694"/>
      <c r="AK1060" s="694"/>
      <c r="AL1060" s="694"/>
    </row>
    <row r="1061" spans="1:38" ht="12.75" customHeight="1" x14ac:dyDescent="0.25">
      <c r="A1061" s="694"/>
      <c r="B1061" s="298"/>
      <c r="C1061" s="1302"/>
      <c r="D1061" s="625" t="s">
        <v>63</v>
      </c>
      <c r="E1061" s="2815" t="str">
        <f>Translations!$B$575</f>
        <v>Видове отпадни газове резултат от изгаряне във факел:</v>
      </c>
      <c r="F1061" s="2240"/>
      <c r="G1061" s="2240"/>
      <c r="H1061" s="2684"/>
      <c r="I1061" s="2821"/>
      <c r="J1061" s="2674"/>
      <c r="K1061" s="2674"/>
      <c r="L1061" s="2674"/>
      <c r="M1061" s="2675"/>
      <c r="N1061" s="1323"/>
      <c r="O1061" s="302"/>
      <c r="P1061" s="158"/>
      <c r="Q1061" s="729"/>
      <c r="R1061" s="694"/>
      <c r="S1061" s="729"/>
      <c r="T1061" s="694"/>
      <c r="U1061" s="694"/>
      <c r="V1061" s="694"/>
      <c r="W1061" s="694"/>
      <c r="X1061" s="694"/>
      <c r="Y1061" s="694"/>
      <c r="Z1061" s="694"/>
      <c r="AA1061" s="694"/>
      <c r="AB1061" s="694"/>
      <c r="AC1061" s="1182" t="s">
        <v>737</v>
      </c>
      <c r="AD1061" s="982" t="b">
        <f>AD1052</f>
        <v>0</v>
      </c>
      <c r="AE1061" s="694"/>
      <c r="AF1061" s="694"/>
      <c r="AG1061" s="694"/>
      <c r="AH1061" s="694"/>
      <c r="AI1061" s="694"/>
      <c r="AJ1061" s="694"/>
      <c r="AK1061" s="694"/>
      <c r="AL1061" s="694"/>
    </row>
    <row r="1062" spans="1:38" ht="12.75" customHeight="1" x14ac:dyDescent="0.25">
      <c r="A1062" s="694"/>
      <c r="B1062" s="298"/>
      <c r="C1062" s="1302"/>
      <c r="D1062" s="625"/>
      <c r="E1062" s="2810" t="str">
        <f>Translations!$B$576</f>
        <v>Това включва всички видове отпадни газове, които в крайна сметка са изгорени във факел, различни от необходимото за безопасността изгаряне във факел, в подинсталацията или извън нея.</v>
      </c>
      <c r="F1062" s="2240"/>
      <c r="G1062" s="2240"/>
      <c r="H1062" s="2240"/>
      <c r="I1062" s="2240"/>
      <c r="J1062" s="2240"/>
      <c r="K1062" s="2240"/>
      <c r="L1062" s="2240"/>
      <c r="M1062" s="2240"/>
      <c r="N1062" s="2811"/>
      <c r="O1062" s="302"/>
      <c r="P1062" s="302"/>
      <c r="Q1062" s="729"/>
      <c r="R1062" s="694"/>
      <c r="S1062" s="694"/>
      <c r="T1062" s="729"/>
      <c r="U1062" s="729"/>
      <c r="V1062" s="729"/>
      <c r="W1062" s="694"/>
      <c r="X1062" s="694"/>
      <c r="Y1062" s="694"/>
      <c r="Z1062" s="694"/>
      <c r="AA1062" s="694"/>
      <c r="AB1062" s="694"/>
      <c r="AC1062" s="694"/>
      <c r="AD1062" s="694"/>
      <c r="AE1062" s="694"/>
      <c r="AF1062" s="694"/>
      <c r="AG1062" s="694"/>
      <c r="AH1062" s="694"/>
      <c r="AI1062" s="694"/>
      <c r="AJ1062" s="694"/>
      <c r="AK1062" s="694"/>
      <c r="AL1062" s="694"/>
    </row>
    <row r="1063" spans="1:38" ht="12.75" customHeight="1" x14ac:dyDescent="0.25">
      <c r="A1063" s="694"/>
      <c r="B1063" s="298"/>
      <c r="C1063" s="1302"/>
      <c r="D1063" s="1306"/>
      <c r="E1063" s="2810" t="str">
        <f>Translations!$B$577</f>
        <v>Посочените тук данни се използват само с цел проверка на съответствието и нямат пряко отражение върху емисиите, които могат да бъдат зададени.</v>
      </c>
      <c r="F1063" s="2240"/>
      <c r="G1063" s="2240"/>
      <c r="H1063" s="2240"/>
      <c r="I1063" s="2240"/>
      <c r="J1063" s="2240"/>
      <c r="K1063" s="2240"/>
      <c r="L1063" s="2240"/>
      <c r="M1063" s="2240"/>
      <c r="N1063" s="2811"/>
      <c r="O1063" s="302"/>
      <c r="P1063" s="302"/>
      <c r="Q1063" s="729"/>
      <c r="R1063" s="694"/>
      <c r="S1063" s="729"/>
      <c r="T1063" s="729"/>
      <c r="U1063" s="729"/>
      <c r="V1063" s="729"/>
      <c r="W1063" s="694"/>
      <c r="X1063" s="694"/>
      <c r="Y1063" s="694"/>
      <c r="Z1063" s="694"/>
      <c r="AA1063" s="694"/>
      <c r="AB1063" s="694"/>
      <c r="AC1063" s="694"/>
      <c r="AD1063" s="694"/>
      <c r="AE1063" s="694"/>
      <c r="AF1063" s="694"/>
      <c r="AG1063" s="694"/>
      <c r="AH1063" s="694"/>
      <c r="AI1063" s="694"/>
      <c r="AJ1063" s="694"/>
      <c r="AK1063" s="694"/>
      <c r="AL1063" s="694"/>
    </row>
    <row r="1064" spans="1:38" ht="12.75" customHeight="1" x14ac:dyDescent="0.25">
      <c r="A1064" s="694"/>
      <c r="B1064" s="298"/>
      <c r="C1064" s="1302"/>
      <c r="D1064" s="1306"/>
      <c r="E1064" s="2816" t="str">
        <f>Translations!$B$578</f>
        <v>Въпреки това от 2026 г. квотите ще бъдат намалени по отношение на факелното изгаряне на отпадни газове, различно от необходимото за безопасността изгаряне във факел.</v>
      </c>
      <c r="F1064" s="2240"/>
      <c r="G1064" s="2240"/>
      <c r="H1064" s="2240"/>
      <c r="I1064" s="2240"/>
      <c r="J1064" s="2240"/>
      <c r="K1064" s="2240"/>
      <c r="L1064" s="2240"/>
      <c r="M1064" s="2240"/>
      <c r="N1064" s="2811"/>
      <c r="O1064" s="302"/>
      <c r="P1064" s="302"/>
      <c r="Q1064" s="729"/>
      <c r="R1064" s="694"/>
      <c r="S1064" s="729"/>
      <c r="T1064" s="729"/>
      <c r="U1064" s="729"/>
      <c r="V1064" s="729"/>
      <c r="W1064" s="729"/>
      <c r="X1064" s="729"/>
      <c r="Y1064" s="729"/>
      <c r="Z1064" s="729"/>
      <c r="AA1064" s="694"/>
      <c r="AB1064" s="694"/>
      <c r="AC1064" s="694"/>
      <c r="AD1064" s="694"/>
      <c r="AE1064" s="694"/>
      <c r="AF1064" s="694"/>
      <c r="AG1064" s="694"/>
      <c r="AH1064" s="694"/>
      <c r="AI1064" s="694"/>
      <c r="AJ1064" s="694"/>
      <c r="AK1064" s="694"/>
      <c r="AL1064" s="694"/>
    </row>
    <row r="1065" spans="1:38" ht="12.75" customHeight="1" thickBot="1" x14ac:dyDescent="0.3">
      <c r="A1065" s="694"/>
      <c r="B1065" s="298"/>
      <c r="C1065" s="1302"/>
      <c r="D1065" s="1306"/>
      <c r="E1065" s="1317"/>
      <c r="F1065" s="1318"/>
      <c r="G1065" s="1309" t="str">
        <f>EUconst_Unit</f>
        <v>Единица мярка</v>
      </c>
      <c r="H1065" s="629">
        <f t="shared" ref="H1065:N1065" si="1324">H$2831</f>
        <v>2024</v>
      </c>
      <c r="I1065" s="1310">
        <f t="shared" si="1324"/>
        <v>2025</v>
      </c>
      <c r="J1065" s="1311">
        <f t="shared" si="1324"/>
        <v>2026</v>
      </c>
      <c r="K1065" s="629">
        <f t="shared" si="1324"/>
        <v>2027</v>
      </c>
      <c r="L1065" s="629">
        <f t="shared" si="1324"/>
        <v>2028</v>
      </c>
      <c r="M1065" s="629">
        <f t="shared" si="1324"/>
        <v>2029</v>
      </c>
      <c r="N1065" s="1312">
        <f t="shared" si="1324"/>
        <v>2030</v>
      </c>
      <c r="O1065" s="302"/>
      <c r="P1065" s="302"/>
      <c r="Q1065" s="729"/>
      <c r="R1065" s="694"/>
      <c r="S1065" s="729"/>
      <c r="T1065" s="729"/>
      <c r="U1065" s="729"/>
      <c r="V1065" s="729"/>
      <c r="W1065" s="729"/>
      <c r="X1065" s="729"/>
      <c r="Y1065" s="729"/>
      <c r="Z1065" s="729"/>
      <c r="AA1065" s="694"/>
      <c r="AB1065" s="694"/>
      <c r="AC1065" s="1178">
        <f t="shared" ref="AC1065" si="1325">H$20</f>
        <v>2024</v>
      </c>
      <c r="AD1065" s="1178">
        <f t="shared" ref="AD1065" si="1326">I$20</f>
        <v>2025</v>
      </c>
      <c r="AE1065" s="1178">
        <f t="shared" ref="AE1065" si="1327">J$20</f>
        <v>2026</v>
      </c>
      <c r="AF1065" s="1178">
        <f t="shared" ref="AF1065" si="1328">K$20</f>
        <v>2027</v>
      </c>
      <c r="AG1065" s="1178">
        <f t="shared" ref="AG1065" si="1329">L$20</f>
        <v>2028</v>
      </c>
      <c r="AH1065" s="1178">
        <f t="shared" ref="AH1065" si="1330">M$20</f>
        <v>2029</v>
      </c>
      <c r="AI1065" s="1178">
        <f t="shared" ref="AI1065" si="1331">N$20</f>
        <v>2030</v>
      </c>
      <c r="AJ1065" s="694"/>
      <c r="AK1065" s="694"/>
      <c r="AL1065" s="694"/>
    </row>
    <row r="1066" spans="1:38" ht="12.75" customHeight="1" x14ac:dyDescent="0.25">
      <c r="A1066" s="694"/>
      <c r="B1066" s="298"/>
      <c r="C1066" s="1302"/>
      <c r="D1066" s="625" t="s">
        <v>1136</v>
      </c>
      <c r="E1066" s="2818" t="str">
        <f>Translations!$B$579</f>
        <v>Количества, изгорени във факел</v>
      </c>
      <c r="F1066" s="2701"/>
      <c r="G1066" s="145"/>
      <c r="H1066" s="129"/>
      <c r="I1066" s="130"/>
      <c r="J1066" s="131"/>
      <c r="K1066" s="129"/>
      <c r="L1066" s="129"/>
      <c r="M1066" s="129"/>
      <c r="N1066" s="132"/>
      <c r="O1066" s="302"/>
      <c r="P1066" s="158"/>
      <c r="Q1066" s="729"/>
      <c r="R1066" s="694"/>
      <c r="S1066" s="729"/>
      <c r="T1066" s="729"/>
      <c r="U1066" s="729"/>
      <c r="V1066" s="729"/>
      <c r="W1066" s="729"/>
      <c r="X1066" s="729"/>
      <c r="Y1066" s="729"/>
      <c r="Z1066" s="729"/>
      <c r="AA1066" s="694"/>
      <c r="AB1066" s="1182" t="s">
        <v>737</v>
      </c>
      <c r="AC1066" s="982" t="b">
        <f>AC1056</f>
        <v>0</v>
      </c>
      <c r="AD1066" s="982" t="b">
        <f t="shared" ref="AD1066:AI1066" si="1332">AD1056</f>
        <v>0</v>
      </c>
      <c r="AE1066" s="982" t="b">
        <f t="shared" si="1332"/>
        <v>0</v>
      </c>
      <c r="AF1066" s="982" t="b">
        <f t="shared" si="1332"/>
        <v>0</v>
      </c>
      <c r="AG1066" s="982" t="b">
        <f t="shared" si="1332"/>
        <v>0</v>
      </c>
      <c r="AH1066" s="982" t="b">
        <f t="shared" si="1332"/>
        <v>0</v>
      </c>
      <c r="AI1066" s="982" t="b">
        <f t="shared" si="1332"/>
        <v>0</v>
      </c>
      <c r="AJ1066" s="1174" t="s">
        <v>2039</v>
      </c>
      <c r="AK1066" s="1176" t="str">
        <f>IF(AND(CNTR_ExistSubInstEntries,MSconst_RequireSubAttrEmissions,COUNTIFS(AC1066:AI1066,FALSE,H1066:N1066,"")&gt;0),EUconst_Error&amp;"BM"&amp;$Q856,"")</f>
        <v/>
      </c>
      <c r="AL1066" s="694"/>
    </row>
    <row r="1067" spans="1:38" ht="12.75" customHeight="1" x14ac:dyDescent="0.25">
      <c r="A1067" s="694"/>
      <c r="B1067" s="298"/>
      <c r="C1067" s="1302"/>
      <c r="D1067" s="625" t="s">
        <v>1137</v>
      </c>
      <c r="E1067" s="2819" t="str">
        <f>Translations!$B$296</f>
        <v>Долна топлина на изгаряне</v>
      </c>
      <c r="F1067" s="2705"/>
      <c r="G1067" s="1349" t="str">
        <f>IF(ISBLANK(G1066),EUconst_GJperUnit,INDEX(EUconst_GJperTorKNm3,MATCH(G1066,EUconst_TonnesOrkNm3pa,0)))</f>
        <v>GJ / Единица мярка</v>
      </c>
      <c r="H1067" s="137"/>
      <c r="I1067" s="138"/>
      <c r="J1067" s="139"/>
      <c r="K1067" s="137"/>
      <c r="L1067" s="137"/>
      <c r="M1067" s="137"/>
      <c r="N1067" s="140"/>
      <c r="O1067" s="302"/>
      <c r="P1067" s="158"/>
      <c r="Q1067" s="694"/>
      <c r="R1067" s="694"/>
      <c r="S1067" s="729"/>
      <c r="T1067" s="729"/>
      <c r="U1067" s="729"/>
      <c r="V1067" s="729"/>
      <c r="W1067" s="729"/>
      <c r="X1067" s="729"/>
      <c r="Y1067" s="729"/>
      <c r="Z1067" s="729"/>
      <c r="AA1067" s="694"/>
      <c r="AB1067" s="694"/>
      <c r="AC1067" s="982" t="b">
        <f>AC1066</f>
        <v>0</v>
      </c>
      <c r="AD1067" s="982" t="b">
        <f t="shared" ref="AD1067:AI1067" si="1333">AD1066</f>
        <v>0</v>
      </c>
      <c r="AE1067" s="982" t="b">
        <f t="shared" si="1333"/>
        <v>0</v>
      </c>
      <c r="AF1067" s="982" t="b">
        <f t="shared" si="1333"/>
        <v>0</v>
      </c>
      <c r="AG1067" s="982" t="b">
        <f t="shared" si="1333"/>
        <v>0</v>
      </c>
      <c r="AH1067" s="982" t="b">
        <f t="shared" si="1333"/>
        <v>0</v>
      </c>
      <c r="AI1067" s="982" t="b">
        <f t="shared" si="1333"/>
        <v>0</v>
      </c>
      <c r="AJ1067" s="1174" t="s">
        <v>2039</v>
      </c>
      <c r="AK1067" s="1176" t="str">
        <f>IF(AND(CNTR_ExistSubInstEntries,MSconst_RequireSubAttrEmissions,COUNTIFS(AC1067:AI1067,FALSE,H1067:N1067,"")&gt;0),EUconst_Error&amp;"BM"&amp;$Q856,"")</f>
        <v/>
      </c>
      <c r="AL1067" s="694"/>
    </row>
    <row r="1068" spans="1:38" ht="12.75" customHeight="1" x14ac:dyDescent="0.25">
      <c r="A1068" s="694"/>
      <c r="B1068" s="298"/>
      <c r="C1068" s="1302"/>
      <c r="D1068" s="625" t="s">
        <v>1138</v>
      </c>
      <c r="E1068" s="2820" t="str">
        <f>Translations!$B$580</f>
        <v>Изгорен във факел отпаден газ</v>
      </c>
      <c r="F1068" s="2258"/>
      <c r="G1068" s="1319" t="str">
        <f>EUconst_TJpa</f>
        <v>TJ / година</v>
      </c>
      <c r="H1068" s="1350" t="str">
        <f t="shared" ref="H1068:N1068" si="1334">IF(COUNT(H1066:H1067)=2,H1066*H1067/1000,"")</f>
        <v/>
      </c>
      <c r="I1068" s="1351" t="str">
        <f t="shared" si="1334"/>
        <v/>
      </c>
      <c r="J1068" s="1352" t="str">
        <f t="shared" si="1334"/>
        <v/>
      </c>
      <c r="K1068" s="1350" t="str">
        <f t="shared" si="1334"/>
        <v/>
      </c>
      <c r="L1068" s="1350" t="str">
        <f t="shared" si="1334"/>
        <v/>
      </c>
      <c r="M1068" s="1350" t="str">
        <f t="shared" si="1334"/>
        <v/>
      </c>
      <c r="N1068" s="1353" t="str">
        <f t="shared" si="1334"/>
        <v/>
      </c>
      <c r="O1068" s="302"/>
      <c r="P1068" s="302"/>
      <c r="Q1068" s="1190" t="str">
        <f>EUconst_CNTR_WGFlared &amp; I856</f>
        <v>WasteGasFlare_</v>
      </c>
      <c r="R1068" s="694"/>
      <c r="S1068" s="729"/>
      <c r="T1068" s="729"/>
      <c r="U1068" s="729"/>
      <c r="V1068" s="729"/>
      <c r="W1068" s="729"/>
      <c r="X1068" s="729"/>
      <c r="Y1068" s="729"/>
      <c r="Z1068" s="729"/>
      <c r="AA1068" s="694"/>
      <c r="AB1068" s="694"/>
      <c r="AC1068" s="694"/>
      <c r="AD1068" s="694"/>
      <c r="AE1068" s="694"/>
      <c r="AF1068" s="694"/>
      <c r="AG1068" s="694"/>
      <c r="AH1068" s="694"/>
      <c r="AI1068" s="694"/>
      <c r="AJ1068" s="694"/>
      <c r="AK1068" s="694"/>
      <c r="AL1068" s="694"/>
    </row>
    <row r="1069" spans="1:38" ht="12.75" customHeight="1" x14ac:dyDescent="0.25">
      <c r="A1069" s="694"/>
      <c r="B1069" s="298"/>
      <c r="C1069" s="1302"/>
      <c r="D1069" s="625" t="s">
        <v>1139</v>
      </c>
      <c r="E1069" s="2820" t="str">
        <f>Translations!$B$581</f>
        <v>Специфичен EF (изгорен във факел отпаден газ)</v>
      </c>
      <c r="F1069" s="2258"/>
      <c r="G1069" s="1319" t="str">
        <f>EUconst_tCO2pTJ</f>
        <v>t CO2 / TJ</v>
      </c>
      <c r="H1069" s="56"/>
      <c r="I1069" s="115"/>
      <c r="J1069" s="118"/>
      <c r="K1069" s="56"/>
      <c r="L1069" s="56"/>
      <c r="M1069" s="56"/>
      <c r="N1069" s="121"/>
      <c r="O1069" s="302"/>
      <c r="P1069" s="158"/>
      <c r="Q1069" s="1190" t="str">
        <f>EUconst_CNTR_WGFlaredEF &amp; I856</f>
        <v>WasteGasFlareEF_</v>
      </c>
      <c r="R1069" s="694"/>
      <c r="S1069" s="729"/>
      <c r="T1069" s="729"/>
      <c r="U1069" s="729"/>
      <c r="V1069" s="729"/>
      <c r="W1069" s="729"/>
      <c r="X1069" s="729"/>
      <c r="Y1069" s="729"/>
      <c r="Z1069" s="729"/>
      <c r="AA1069" s="694"/>
      <c r="AB1069" s="1182" t="s">
        <v>737</v>
      </c>
      <c r="AC1069" s="982" t="b">
        <f>AC1067</f>
        <v>0</v>
      </c>
      <c r="AD1069" s="982" t="b">
        <f t="shared" ref="AD1069:AI1069" si="1335">AD1067</f>
        <v>0</v>
      </c>
      <c r="AE1069" s="982" t="b">
        <f t="shared" si="1335"/>
        <v>0</v>
      </c>
      <c r="AF1069" s="982" t="b">
        <f t="shared" si="1335"/>
        <v>0</v>
      </c>
      <c r="AG1069" s="982" t="b">
        <f t="shared" si="1335"/>
        <v>0</v>
      </c>
      <c r="AH1069" s="982" t="b">
        <f t="shared" si="1335"/>
        <v>0</v>
      </c>
      <c r="AI1069" s="982" t="b">
        <f t="shared" si="1335"/>
        <v>0</v>
      </c>
      <c r="AJ1069" s="1174" t="s">
        <v>2039</v>
      </c>
      <c r="AK1069" s="1176" t="str">
        <f>IF(AND(CNTR_ExistSubInstEntries,MSconst_RequireSubAttrEmissions,COUNTIFS(AC1069:AI1069,FALSE,H1069:N1069,"")&gt;0),EUconst_Error&amp;"BM"&amp;$Q856,"")</f>
        <v/>
      </c>
      <c r="AL1069" s="694"/>
    </row>
    <row r="1070" spans="1:38" ht="5.15" customHeight="1" thickBot="1" x14ac:dyDescent="0.3">
      <c r="A1070" s="694"/>
      <c r="B1070" s="298"/>
      <c r="C1070" s="1302"/>
      <c r="D1070" s="1306"/>
      <c r="E1070" s="1306"/>
      <c r="F1070" s="1306"/>
      <c r="G1070" s="1306"/>
      <c r="H1070" s="1354"/>
      <c r="I1070" s="1306"/>
      <c r="J1070" s="1306"/>
      <c r="K1070" s="1306"/>
      <c r="L1070" s="1306"/>
      <c r="M1070" s="626"/>
      <c r="N1070" s="1316"/>
      <c r="O1070" s="302"/>
      <c r="P1070" s="302"/>
      <c r="Q1070" s="729"/>
      <c r="R1070" s="694"/>
      <c r="S1070" s="729"/>
      <c r="T1070" s="729"/>
      <c r="U1070" s="729"/>
      <c r="V1070" s="729"/>
      <c r="W1070" s="694"/>
      <c r="X1070" s="694"/>
      <c r="Y1070" s="694"/>
      <c r="Z1070" s="694"/>
      <c r="AA1070" s="694"/>
      <c r="AB1070" s="694"/>
      <c r="AC1070" s="694"/>
      <c r="AD1070" s="694"/>
      <c r="AE1070" s="694"/>
      <c r="AF1070" s="694"/>
      <c r="AG1070" s="694"/>
      <c r="AH1070" s="694"/>
      <c r="AI1070" s="694"/>
      <c r="AJ1070" s="694"/>
      <c r="AK1070" s="694"/>
      <c r="AL1070" s="694"/>
    </row>
    <row r="1071" spans="1:38" ht="12.75" customHeight="1" thickBot="1" x14ac:dyDescent="0.3">
      <c r="A1071" s="694"/>
      <c r="B1071" s="298"/>
      <c r="C1071" s="1302"/>
      <c r="D1071" s="1306"/>
      <c r="E1071" s="2820" t="str">
        <f>Translations!$B$1330</f>
        <v>Количество изгорен във факел отпаден газ</v>
      </c>
      <c r="F1071" s="2820"/>
      <c r="G1071" s="1355" t="str">
        <f>EUconst_tCO2</f>
        <v>t CO2</v>
      </c>
      <c r="H1071" s="1356" t="str">
        <f t="shared" ref="H1071" si="1336">IF(T864,SUM(H1068)*SUM(H1069),"")</f>
        <v/>
      </c>
      <c r="I1071" s="1357" t="str">
        <f t="shared" ref="I1071" si="1337">IF(U864,SUM(I1068)*SUM(I1069),"")</f>
        <v/>
      </c>
      <c r="J1071" s="1358" t="str">
        <f t="shared" ref="J1071" si="1338">IF(V864,SUM(J1068)*SUM(J1069),"")</f>
        <v/>
      </c>
      <c r="K1071" s="1356" t="str">
        <f t="shared" ref="K1071" si="1339">IF(W864,SUM(K1068)*SUM(K1069),"")</f>
        <v/>
      </c>
      <c r="L1071" s="1356" t="str">
        <f t="shared" ref="L1071" si="1340">IF(X864,SUM(L1068)*SUM(L1069),"")</f>
        <v/>
      </c>
      <c r="M1071" s="1356" t="str">
        <f t="shared" ref="M1071" si="1341">IF(Y864,SUM(M1068)*SUM(M1069),"")</f>
        <v/>
      </c>
      <c r="N1071" s="1356" t="str">
        <f t="shared" ref="N1071" si="1342">IF(Z864,SUM(N1068)*SUM(N1069),"")</f>
        <v/>
      </c>
      <c r="O1071" s="302"/>
      <c r="P1071" s="302"/>
      <c r="Q1071" s="1190" t="str">
        <f>EUconst_CNTR_HAL &amp; EUconst_CNTR_WGFlared &amp; I856</f>
        <v>HAL_WasteGasFlare_</v>
      </c>
      <c r="R1071" s="694"/>
      <c r="S1071" s="1174" t="s">
        <v>1811</v>
      </c>
      <c r="T1071" s="1169" t="b">
        <f>CNTR_SubPeriod=2</f>
        <v>1</v>
      </c>
      <c r="U1071" s="729"/>
      <c r="V1071" s="729"/>
      <c r="W1071" s="694"/>
      <c r="X1071" s="694"/>
      <c r="Y1071" s="694"/>
      <c r="Z1071" s="694"/>
      <c r="AA1071" s="694"/>
      <c r="AB1071" s="694"/>
      <c r="AC1071" s="694"/>
      <c r="AD1071" s="694"/>
      <c r="AE1071" s="694"/>
      <c r="AF1071" s="694"/>
      <c r="AG1071" s="694"/>
      <c r="AH1071" s="694"/>
      <c r="AI1071" s="694"/>
      <c r="AJ1071" s="694"/>
      <c r="AK1071" s="694"/>
      <c r="AL1071" s="694"/>
    </row>
    <row r="1072" spans="1:38" ht="5.15" customHeight="1" thickBot="1" x14ac:dyDescent="0.3">
      <c r="A1072" s="694"/>
      <c r="B1072" s="298"/>
      <c r="C1072" s="1302"/>
      <c r="D1072" s="1306"/>
      <c r="E1072" s="1306"/>
      <c r="F1072" s="1306"/>
      <c r="G1072" s="1306"/>
      <c r="H1072" s="1354"/>
      <c r="I1072" s="1306"/>
      <c r="J1072" s="1306"/>
      <c r="K1072" s="1306"/>
      <c r="L1072" s="1306"/>
      <c r="M1072" s="626"/>
      <c r="N1072" s="1316"/>
      <c r="O1072" s="302"/>
      <c r="P1072" s="302"/>
      <c r="Q1072" s="729"/>
      <c r="R1072" s="694"/>
      <c r="S1072" s="729"/>
      <c r="T1072" s="729"/>
      <c r="U1072" s="729"/>
      <c r="V1072" s="729"/>
      <c r="W1072" s="694"/>
      <c r="X1072" s="694"/>
      <c r="Y1072" s="694"/>
      <c r="Z1072" s="694"/>
      <c r="AA1072" s="694"/>
      <c r="AB1072" s="694"/>
      <c r="AC1072" s="694"/>
      <c r="AD1072" s="694"/>
      <c r="AE1072" s="694"/>
      <c r="AF1072" s="694"/>
      <c r="AG1072" s="694"/>
      <c r="AH1072" s="694"/>
      <c r="AI1072" s="694"/>
      <c r="AJ1072" s="694"/>
      <c r="AK1072" s="694"/>
      <c r="AL1072" s="694"/>
    </row>
    <row r="1073" spans="1:38" ht="5.15" customHeight="1" thickBot="1" x14ac:dyDescent="0.3">
      <c r="A1073" s="694"/>
      <c r="B1073" s="298"/>
      <c r="C1073" s="1302"/>
      <c r="D1073" s="1359"/>
      <c r="E1073" s="1360"/>
      <c r="F1073" s="1360"/>
      <c r="G1073" s="1360"/>
      <c r="H1073" s="1361"/>
      <c r="I1073" s="1360"/>
      <c r="J1073" s="1360"/>
      <c r="K1073" s="1360"/>
      <c r="L1073" s="1360"/>
      <c r="M1073" s="1362"/>
      <c r="N1073" s="1363"/>
      <c r="O1073" s="302"/>
      <c r="P1073" s="302"/>
      <c r="Q1073" s="729"/>
      <c r="R1073" s="694"/>
      <c r="S1073" s="729"/>
      <c r="T1073" s="729"/>
      <c r="U1073" s="729"/>
      <c r="V1073" s="729"/>
      <c r="W1073" s="694"/>
      <c r="X1073" s="694"/>
      <c r="Y1073" s="694"/>
      <c r="Z1073" s="694"/>
      <c r="AA1073" s="694"/>
      <c r="AB1073" s="694"/>
      <c r="AC1073" s="694"/>
      <c r="AD1073" s="694"/>
      <c r="AE1073" s="694"/>
      <c r="AF1073" s="694"/>
      <c r="AG1073" s="694"/>
      <c r="AH1073" s="694"/>
      <c r="AI1073" s="694"/>
      <c r="AJ1073" s="694"/>
      <c r="AK1073" s="694"/>
      <c r="AL1073" s="694"/>
    </row>
    <row r="1074" spans="1:38" ht="12.75" customHeight="1" x14ac:dyDescent="0.25">
      <c r="A1074" s="694"/>
      <c r="B1074" s="298"/>
      <c r="C1074" s="1302"/>
      <c r="D1074" s="1197" t="s">
        <v>2004</v>
      </c>
      <c r="E1074" s="2823" t="str">
        <f>Translations!$B$1331</f>
        <v>Корекции: изгорени във факел отпадни газове</v>
      </c>
      <c r="F1074" s="2672"/>
      <c r="G1074" s="2672"/>
      <c r="H1074" s="1200" t="str">
        <f>EUconst_Unit</f>
        <v>Единица мярка</v>
      </c>
      <c r="I1074" s="1201" t="str">
        <f>Translations!$B$1327</f>
        <v>(НМИ) стойност</v>
      </c>
      <c r="J1074" s="1202">
        <f>J$2831</f>
        <v>2026</v>
      </c>
      <c r="K1074" s="1203">
        <f>K$2831</f>
        <v>2027</v>
      </c>
      <c r="L1074" s="1203">
        <f>L$2831</f>
        <v>2028</v>
      </c>
      <c r="M1074" s="1203">
        <f>M$2831</f>
        <v>2029</v>
      </c>
      <c r="N1074" s="1204">
        <f>N$2831</f>
        <v>2030</v>
      </c>
      <c r="O1074" s="302"/>
      <c r="P1074" s="302"/>
      <c r="Q1074" s="729"/>
      <c r="R1074" s="694"/>
      <c r="S1074" s="694"/>
      <c r="T1074" s="694"/>
      <c r="U1074" s="1205"/>
      <c r="V1074" s="1206">
        <f>J1074</f>
        <v>2026</v>
      </c>
      <c r="W1074" s="1206">
        <f>K1074</f>
        <v>2027</v>
      </c>
      <c r="X1074" s="1206">
        <f>L1074</f>
        <v>2028</v>
      </c>
      <c r="Y1074" s="1206">
        <f>M1074</f>
        <v>2029</v>
      </c>
      <c r="Z1074" s="1207">
        <f>N1074</f>
        <v>2030</v>
      </c>
      <c r="AA1074" s="694"/>
      <c r="AB1074" s="694"/>
      <c r="AC1074" s="694"/>
      <c r="AD1074" s="694"/>
      <c r="AE1074" s="694"/>
      <c r="AF1074" s="694"/>
      <c r="AG1074" s="694"/>
      <c r="AH1074" s="694"/>
      <c r="AI1074" s="694"/>
      <c r="AJ1074" s="694"/>
      <c r="AK1074" s="694"/>
      <c r="AL1074" s="694"/>
    </row>
    <row r="1075" spans="1:38" ht="12.75" customHeight="1" x14ac:dyDescent="0.25">
      <c r="A1075" s="694"/>
      <c r="B1075" s="298"/>
      <c r="C1075" s="1302"/>
      <c r="D1075" s="1208" t="s">
        <v>6</v>
      </c>
      <c r="E1075" s="2822" t="str">
        <f>Translations!$B$1328</f>
        <v>Средна годишна стойност</v>
      </c>
      <c r="F1075" s="2258"/>
      <c r="G1075" s="2258"/>
      <c r="H1075" s="1266" t="str">
        <f>G1071</f>
        <v>t CO2</v>
      </c>
      <c r="I1075" s="1211" t="str">
        <f>INDEX('B+C_SubInstallations'!$K:$K,MATCH(Q1075,'B+C_SubInstallations'!$V:$V,0))</f>
        <v/>
      </c>
      <c r="J1075" s="1267" t="str">
        <f>IF($T1071&lt;&gt;TRUE,"",IF(AND(V1075&gt;=3,CNTR_ReportingYear&gt;J1074-1),AVERAGE(SUM(H1071),SUM(I1071)),""))</f>
        <v/>
      </c>
      <c r="K1075" s="1268" t="str">
        <f>IF($T1071&lt;&gt;TRUE,"",IF(AND(W1075&gt;=3,CNTR_ReportingYear&gt;K1074-1),AVERAGE(SUM(I1071),SUM(J1071)),""))</f>
        <v/>
      </c>
      <c r="L1075" s="1268" t="str">
        <f>IF($T1071&lt;&gt;TRUE,"",IF(AND(X1075&gt;=3,CNTR_ReportingYear&gt;L1074-1),AVERAGE(SUM(J1071),SUM(K1071)),""))</f>
        <v/>
      </c>
      <c r="M1075" s="1268" t="str">
        <f>IF($T1071&lt;&gt;TRUE,"",IF(AND(Y1075&gt;=3,CNTR_ReportingYear&gt;M1074-1),AVERAGE(SUM(K1071),SUM(L1071)),""))</f>
        <v/>
      </c>
      <c r="N1075" s="1269" t="str">
        <f>IF($T1071&lt;&gt;TRUE,"",IF(AND(Z1075&gt;=3,CNTR_ReportingYear&gt;N1074-1),AVERAGE(SUM(L1071),SUM(M1071)),""))</f>
        <v/>
      </c>
      <c r="O1075" s="302"/>
      <c r="P1075" s="302"/>
      <c r="Q1075" s="1190" t="str">
        <f>EUconst_CNTR_HALinitial &amp; EUconst_CNTR_WGFlared &amp; I856</f>
        <v>HALini_WasteGasFlare_</v>
      </c>
      <c r="R1075" s="694"/>
      <c r="S1075" s="694"/>
      <c r="T1075" s="694"/>
      <c r="U1075" s="1365" t="s">
        <v>1710</v>
      </c>
      <c r="V1075" s="1176">
        <f>V878</f>
        <v>0</v>
      </c>
      <c r="W1075" s="1176">
        <f>W878</f>
        <v>0</v>
      </c>
      <c r="X1075" s="1176">
        <f>X878</f>
        <v>0</v>
      </c>
      <c r="Y1075" s="1176">
        <f>Y878</f>
        <v>0</v>
      </c>
      <c r="Z1075" s="1216">
        <f>Z878</f>
        <v>0</v>
      </c>
      <c r="AA1075" s="694"/>
      <c r="AB1075" s="694"/>
      <c r="AC1075" s="694"/>
      <c r="AD1075" s="694"/>
      <c r="AE1075" s="694"/>
      <c r="AF1075" s="694"/>
      <c r="AG1075" s="694"/>
      <c r="AH1075" s="694"/>
      <c r="AI1075" s="694"/>
      <c r="AJ1075" s="694"/>
      <c r="AK1075" s="694"/>
      <c r="AL1075" s="694"/>
    </row>
    <row r="1076" spans="1:38" ht="12.75" hidden="1" customHeight="1" x14ac:dyDescent="0.25">
      <c r="A1076" s="729" t="s">
        <v>312</v>
      </c>
      <c r="B1076" s="298"/>
      <c r="C1076" s="1302"/>
      <c r="D1076" s="1208"/>
      <c r="E1076" s="2822" t="str">
        <f>Translations!$B$1378</f>
        <v>Промяна в сравнение със стойността в НМИ</v>
      </c>
      <c r="F1076" s="2258"/>
      <c r="G1076" s="2258"/>
      <c r="H1076" s="1222"/>
      <c r="I1076" s="1223"/>
      <c r="J1076" s="104" t="str">
        <f>IF(J1075="","",IF($I1078=0,IF(J1075=0,0%,100%),J1075/$I1078-1))</f>
        <v/>
      </c>
      <c r="K1076" s="99" t="str">
        <f>IF(K1075="","",IF($I1078=0,IF(K1075=0,0%,100%),K1075/$I1078-1))</f>
        <v/>
      </c>
      <c r="L1076" s="99" t="str">
        <f>IF(L1075="","",IF($I1078=0,IF(L1075=0,0%,100%),L1075/$I1078-1))</f>
        <v/>
      </c>
      <c r="M1076" s="99" t="str">
        <f>IF(M1075="","",IF($I1078=0,IF(M1075=0,0%,100%),M1075/$I1078-1))</f>
        <v/>
      </c>
      <c r="N1076" s="123" t="str">
        <f>IF(N1075="","",IF($I1078=0,IF(N1075=0,0%,100%),N1075/$I1078-1))</f>
        <v/>
      </c>
      <c r="O1076" s="302"/>
      <c r="P1076" s="302"/>
      <c r="Q1076" s="1190" t="str">
        <f>EUconst_CNTR_RelThreshold &amp; Q1078</f>
        <v>RelThresh_HALprelim_WasteGasFlare_</v>
      </c>
      <c r="R1076" s="694"/>
      <c r="S1076" s="694"/>
      <c r="T1076" s="694"/>
      <c r="U1076" s="1365" t="s">
        <v>1715</v>
      </c>
      <c r="V1076" s="727" t="str">
        <f>IF(J1075="","",ABS(J1076)&gt;15%)</f>
        <v/>
      </c>
      <c r="W1076" s="727" t="str">
        <f>IF(K1075="","",ABS(K1076)&gt;15%)</f>
        <v/>
      </c>
      <c r="X1076" s="727" t="str">
        <f>IF(L1075="","",ABS(L1076)&gt;15%)</f>
        <v/>
      </c>
      <c r="Y1076" s="727" t="str">
        <f>IF(M1075="","",ABS(M1076)&gt;15%)</f>
        <v/>
      </c>
      <c r="Z1076" s="1221" t="str">
        <f>IF(N1075="","",ABS(N1076)&gt;15%)</f>
        <v/>
      </c>
      <c r="AA1076" s="694"/>
      <c r="AB1076" s="694"/>
      <c r="AC1076" s="694"/>
      <c r="AD1076" s="694"/>
      <c r="AE1076" s="694"/>
      <c r="AF1076" s="694"/>
      <c r="AG1076" s="694"/>
      <c r="AH1076" s="694"/>
      <c r="AI1076" s="694"/>
      <c r="AJ1076" s="694"/>
      <c r="AK1076" s="694"/>
      <c r="AL1076" s="694"/>
    </row>
    <row r="1077" spans="1:38" ht="12.75" customHeight="1" x14ac:dyDescent="0.25">
      <c r="A1077" s="729"/>
      <c r="B1077" s="298"/>
      <c r="C1077" s="1302"/>
      <c r="D1077" s="1208" t="s">
        <v>7</v>
      </c>
      <c r="E1077" s="2822" t="str">
        <f>Translations!$B$1322</f>
        <v>Предварителна корекция (ако са надвишени относителните прагове)</v>
      </c>
      <c r="F1077" s="2258"/>
      <c r="G1077" s="2258"/>
      <c r="H1077" s="1222"/>
      <c r="I1077" s="1223"/>
      <c r="J1077" s="1224" t="str">
        <f>IF(J1075="","",IF(V1076=FALSE,0%,IF(V1077,J1076,I1083)))</f>
        <v/>
      </c>
      <c r="K1077" s="1225" t="str">
        <f>IF(K1075="","",IF(W1076=FALSE,0%,IF(W1077,K1076,J1083)))</f>
        <v/>
      </c>
      <c r="L1077" s="1225" t="str">
        <f>IF(L1075="","",IF(X1076=FALSE,0%,IF(X1077,L1076,K1083)))</f>
        <v/>
      </c>
      <c r="M1077" s="1225" t="str">
        <f>IF(M1075="","",IF(Y1076=FALSE,0%,IF(Y1077,M1076,L1083)))</f>
        <v/>
      </c>
      <c r="N1077" s="1226" t="str">
        <f>IF(N1075="","",IF(Z1076=FALSE,0%,IF(Z1077,N1076,M1083)))</f>
        <v/>
      </c>
      <c r="O1077" s="302"/>
      <c r="P1077" s="302"/>
      <c r="Q1077" s="729"/>
      <c r="R1077" s="694"/>
      <c r="S1077" s="694"/>
      <c r="T1077" s="694"/>
      <c r="U1077" s="1215" t="s">
        <v>1716</v>
      </c>
      <c r="V1077" s="727" t="str">
        <f>IF(J1075="","",AND(V1076,IF(SUM(I1083)&lt;0,OR(SUM(J1076)&lt;SUM(I1083)-MOD(SUM(I1083),5%),J1076&gt;=SUM(I1083)+5%-MOD(SUM(I1083),5%)),OR(SUM(J1076)&lt;=SUM(I1083)-MOD(SUM(I1083),5%),SUM(J1076)&gt;SUM(I1083)+5%-MOD(SUM(I1083),5%)))))</f>
        <v/>
      </c>
      <c r="W1077" s="727" t="str">
        <f>IF(K1075="","",AND(W1076,IF(SUM(J1083)&lt;0,OR(SUM(K1076)&lt;SUM(J1083)-MOD(SUM(J1083),5%),K1076&gt;=SUM(J1083)+5%-MOD(SUM(J1083),5%)),OR(SUM(K1076)&lt;=SUM(J1083)-MOD(SUM(J1083),5%),SUM(K1076)&gt;SUM(J1083)+5%-MOD(SUM(J1083),5%)))))</f>
        <v/>
      </c>
      <c r="X1077" s="727" t="str">
        <f>IF(L1075="","",AND(X1076,IF(SUM(K1083)&lt;0,OR(SUM(L1076)&lt;SUM(K1083)-MOD(SUM(K1083),5%),L1076&gt;=SUM(K1083)+5%-MOD(SUM(K1083),5%)),OR(SUM(L1076)&lt;=SUM(K1083)-MOD(SUM(K1083),5%),SUM(L1076)&gt;SUM(K1083)+5%-MOD(SUM(K1083),5%)))))</f>
        <v/>
      </c>
      <c r="Y1077" s="727" t="str">
        <f>IF(M1075="","",AND(Y1076,IF(SUM(L1083)&lt;0,OR(SUM(M1076)&lt;SUM(L1083)-MOD(SUM(L1083),5%),M1076&gt;=SUM(L1083)+5%-MOD(SUM(L1083),5%)),OR(SUM(M1076)&lt;=SUM(L1083)-MOD(SUM(L1083),5%),SUM(M1076)&gt;SUM(L1083)+5%-MOD(SUM(L1083),5%)))))</f>
        <v/>
      </c>
      <c r="Z1077" s="1221" t="str">
        <f>IF(N1075="","",AND(Z1076,IF(SUM(M1083)&lt;0,OR(SUM(N1076)&lt;SUM(M1083)-MOD(SUM(M1083),5%),N1076&gt;=SUM(M1083)+5%-MOD(SUM(M1083),5%)),OR(SUM(N1076)&lt;=SUM(M1083)-MOD(SUM(M1083),5%),SUM(N1076)&gt;SUM(M1083)+5%-MOD(SUM(M1083),5%)))))</f>
        <v/>
      </c>
      <c r="AA1077" s="694"/>
      <c r="AB1077" s="694"/>
      <c r="AC1077" s="694"/>
      <c r="AD1077" s="694"/>
      <c r="AE1077" s="694"/>
      <c r="AF1077" s="694"/>
      <c r="AG1077" s="694"/>
      <c r="AH1077" s="694"/>
      <c r="AI1077" s="694"/>
      <c r="AJ1077" s="694"/>
      <c r="AK1077" s="694"/>
      <c r="AL1077" s="694"/>
    </row>
    <row r="1078" spans="1:38" ht="12.75" hidden="1" customHeight="1" x14ac:dyDescent="0.25">
      <c r="A1078" s="729" t="s">
        <v>312</v>
      </c>
      <c r="B1078" s="298"/>
      <c r="C1078" s="1302"/>
      <c r="D1078" s="1208"/>
      <c r="E1078" s="2822" t="str">
        <f>Translations!$B$1377</f>
        <v>Предварителна стойност</v>
      </c>
      <c r="F1078" s="2258"/>
      <c r="G1078" s="2258"/>
      <c r="H1078" s="1266" t="str">
        <f>H1075</f>
        <v>t CO2</v>
      </c>
      <c r="I1078" s="1211" t="str">
        <f>IF($I856="","",IF(AB856=FALSE,EUconst_NA,IF(V856&gt;($J$2831-3),INDEX(H1071:N1071,MATCH(V856,H1065:N1065,0)),SUM(I1075))))</f>
        <v/>
      </c>
      <c r="J1078" s="1212" t="str">
        <f>IF($I856="","",IF(V1075&lt;2,SUM(J1071),IF(V1075&lt;3,SUM(I1071),IF(V1078="",I1078,V1078))))</f>
        <v/>
      </c>
      <c r="K1078" s="1213" t="str">
        <f>IF($I856="","",IF(W1075&lt;2,SUM(K1071),IF(W1075&lt;3,SUM(J1071),IF(W1078="",J1078,W1078))))</f>
        <v/>
      </c>
      <c r="L1078" s="1213" t="str">
        <f>IF($I856="","",IF(X1075&lt;2,SUM(L1071),IF(X1075&lt;3,SUM(K1071),IF(X1078="",K1078,X1078))))</f>
        <v/>
      </c>
      <c r="M1078" s="1213" t="str">
        <f>IF($I856="","",IF(Y1075&lt;2,SUM(M1071),IF(Y1075&lt;3,SUM(L1071),IF(Y1078="",L1078,Y1078))))</f>
        <v/>
      </c>
      <c r="N1078" s="1214" t="str">
        <f>IF($I856="","",IF(Z1075&lt;2,SUM(N1071),IF(Z1075&lt;3,SUM(M1071),IF(Z1078="",M1078,Z1078))))</f>
        <v/>
      </c>
      <c r="O1078" s="302"/>
      <c r="P1078" s="302"/>
      <c r="Q1078" s="1190" t="str">
        <f>EUconst_CNTR_HALprelim&amp;EUconst_CNTR_WGFlared &amp; I856</f>
        <v>HALprelim_WasteGasFlare_</v>
      </c>
      <c r="R1078" s="694"/>
      <c r="S1078" s="694"/>
      <c r="T1078" s="694"/>
      <c r="U1078" s="1365" t="s">
        <v>1756</v>
      </c>
      <c r="V1078" s="1227" t="str">
        <f>IF(J1075="","",IF(CNTR_ReportingYear&lt;J1074,I1077,IF($I1078=0,J1075,$I1078*(1+J1077))))</f>
        <v/>
      </c>
      <c r="W1078" s="1227" t="str">
        <f>IF(K1075="","",IF(CNTR_ReportingYear&lt;K1074,J1077,IF($I1078=0,K1075,$I1078*(1+K1077))))</f>
        <v/>
      </c>
      <c r="X1078" s="1227" t="str">
        <f>IF(L1075="","",IF(CNTR_ReportingYear&lt;L1074,K1077,IF($I1078=0,L1075,$I1078*(1+L1077))))</f>
        <v/>
      </c>
      <c r="Y1078" s="1227" t="str">
        <f>IF(M1075="","",IF(CNTR_ReportingYear&lt;M1074,L1077,IF($I1078=0,M1075,$I1078*(1+M1077))))</f>
        <v/>
      </c>
      <c r="Z1078" s="1228" t="str">
        <f>IF(N1075="","",IF(CNTR_ReportingYear&lt;N1074,M1077,IF($I1078=0,N1075,$I1078*(1+N1077))))</f>
        <v/>
      </c>
      <c r="AA1078" s="694"/>
      <c r="AB1078" s="694"/>
      <c r="AC1078" s="694"/>
      <c r="AD1078" s="694"/>
      <c r="AE1078" s="694"/>
      <c r="AF1078" s="694"/>
      <c r="AG1078" s="694"/>
      <c r="AH1078" s="694"/>
      <c r="AI1078" s="694"/>
      <c r="AJ1078" s="694"/>
      <c r="AK1078" s="694"/>
      <c r="AL1078" s="694"/>
    </row>
    <row r="1079" spans="1:38" ht="5.15" customHeight="1" x14ac:dyDescent="0.25">
      <c r="A1079" s="729"/>
      <c r="B1079" s="298"/>
      <c r="C1079" s="1302"/>
      <c r="D1079" s="1208"/>
      <c r="E1079" s="1199"/>
      <c r="F1079" s="1199"/>
      <c r="G1079" s="1199"/>
      <c r="H1079" s="1199"/>
      <c r="I1079" s="1199"/>
      <c r="J1079" s="1229"/>
      <c r="K1079" s="1229"/>
      <c r="L1079" s="1229"/>
      <c r="M1079" s="1229"/>
      <c r="N1079" s="1230"/>
      <c r="O1079" s="302"/>
      <c r="P1079" s="302"/>
      <c r="Q1079" s="729"/>
      <c r="R1079" s="694"/>
      <c r="S1079" s="694"/>
      <c r="T1079" s="694"/>
      <c r="U1079" s="1231"/>
      <c r="V1079" s="729"/>
      <c r="W1079" s="694"/>
      <c r="X1079" s="694"/>
      <c r="Y1079" s="694"/>
      <c r="Z1079" s="1232"/>
      <c r="AA1079" s="694"/>
      <c r="AB1079" s="694"/>
      <c r="AC1079" s="694"/>
      <c r="AD1079" s="694"/>
      <c r="AE1079" s="694"/>
      <c r="AF1079" s="694"/>
      <c r="AG1079" s="694"/>
      <c r="AH1079" s="694"/>
      <c r="AI1079" s="694"/>
      <c r="AJ1079" s="694"/>
      <c r="AK1079" s="694"/>
      <c r="AL1079" s="694"/>
    </row>
    <row r="1080" spans="1:38" ht="12.75" customHeight="1" x14ac:dyDescent="0.25">
      <c r="A1080" s="729"/>
      <c r="B1080" s="298"/>
      <c r="C1080" s="1302"/>
      <c r="D1080" s="1208"/>
      <c r="E1080" s="2823" t="str">
        <f>Translations!$B$1323</f>
        <v>Действителна корекция (база за следващи години)</v>
      </c>
      <c r="F1080" s="2672"/>
      <c r="G1080" s="2672"/>
      <c r="H1080" s="2672"/>
      <c r="I1080" s="2813"/>
      <c r="J1080" s="1202">
        <f>J$2831</f>
        <v>2026</v>
      </c>
      <c r="K1080" s="1203">
        <f>K$2831</f>
        <v>2027</v>
      </c>
      <c r="L1080" s="1203">
        <f>L$2831</f>
        <v>2028</v>
      </c>
      <c r="M1080" s="1203">
        <f>M$2831</f>
        <v>2029</v>
      </c>
      <c r="N1080" s="1204">
        <f>N$2831</f>
        <v>2030</v>
      </c>
      <c r="O1080" s="302"/>
      <c r="P1080" s="302"/>
      <c r="Q1080" s="729"/>
      <c r="R1080" s="694"/>
      <c r="S1080" s="694"/>
      <c r="T1080" s="694"/>
      <c r="U1080" s="1234"/>
      <c r="V1080" s="694"/>
      <c r="W1080" s="694"/>
      <c r="X1080" s="694"/>
      <c r="Y1080" s="694"/>
      <c r="Z1080" s="1232"/>
      <c r="AA1080" s="694"/>
      <c r="AB1080" s="694"/>
      <c r="AC1080" s="694"/>
      <c r="AD1080" s="694"/>
      <c r="AE1080" s="694"/>
      <c r="AF1080" s="694"/>
      <c r="AG1080" s="694"/>
      <c r="AH1080" s="694"/>
      <c r="AI1080" s="694"/>
      <c r="AJ1080" s="694"/>
      <c r="AK1080" s="694"/>
      <c r="AL1080" s="694"/>
    </row>
    <row r="1081" spans="1:38" ht="12.75" customHeight="1" x14ac:dyDescent="0.25">
      <c r="A1081" s="729"/>
      <c r="B1081" s="298"/>
      <c r="C1081" s="1302"/>
      <c r="D1081" s="1208" t="s">
        <v>8</v>
      </c>
      <c r="E1081" s="2822" t="str">
        <f>Translations!$B$1515</f>
        <v>изпълнен ли е критерият за &gt;=300 квоти за емисии?</v>
      </c>
      <c r="F1081" s="2258"/>
      <c r="G1081" s="2258"/>
      <c r="H1081" s="2258"/>
      <c r="I1081" s="2824"/>
      <c r="J1081" s="1236" t="str">
        <f>IF($I856="","",INDEX(K_Summary!J:J,MATCH($Q1081,K_Summary!$P:$P,0)))</f>
        <v/>
      </c>
      <c r="K1081" s="385" t="str">
        <f>IF($I856="","",INDEX(K_Summary!K:K,MATCH($Q1081,K_Summary!$P:$P,0)))</f>
        <v/>
      </c>
      <c r="L1081" s="385" t="str">
        <f>IF($I856="","",INDEX(K_Summary!L:L,MATCH($Q1081,K_Summary!$P:$P,0)))</f>
        <v/>
      </c>
      <c r="M1081" s="385" t="str">
        <f>IF($I856="","",INDEX(K_Summary!M:M,MATCH($Q1081,K_Summary!$P:$P,0)))</f>
        <v/>
      </c>
      <c r="N1081" s="1237" t="str">
        <f>IF($I856="","",INDEX(K_Summary!N:N,MATCH($Q1081,K_Summary!$P:$P,0)))</f>
        <v/>
      </c>
      <c r="O1081" s="302"/>
      <c r="P1081" s="302"/>
      <c r="Q1081" s="1182" t="str">
        <f>EUconst_CNTR_300EUA&amp;I856</f>
        <v>EUA300_</v>
      </c>
      <c r="R1081" s="694"/>
      <c r="S1081" s="694"/>
      <c r="T1081" s="694"/>
      <c r="U1081" s="1234"/>
      <c r="V1081" s="694"/>
      <c r="W1081" s="694"/>
      <c r="X1081" s="694"/>
      <c r="Y1081" s="694"/>
      <c r="Z1081" s="1232"/>
      <c r="AA1081" s="694"/>
      <c r="AB1081" s="694"/>
      <c r="AC1081" s="694"/>
      <c r="AD1081" s="694"/>
      <c r="AE1081" s="694"/>
      <c r="AF1081" s="694"/>
      <c r="AG1081" s="694"/>
      <c r="AH1081" s="694"/>
      <c r="AI1081" s="694"/>
      <c r="AJ1081" s="694"/>
      <c r="AK1081" s="694"/>
      <c r="AL1081" s="694"/>
    </row>
    <row r="1082" spans="1:38" ht="5.15" customHeight="1" thickBot="1" x14ac:dyDescent="0.3">
      <c r="A1082" s="729"/>
      <c r="B1082" s="298"/>
      <c r="C1082" s="1302"/>
      <c r="D1082" s="1208"/>
      <c r="E1082" s="1199"/>
      <c r="F1082" s="1199"/>
      <c r="G1082" s="1199"/>
      <c r="H1082" s="1199"/>
      <c r="I1082" s="1199"/>
      <c r="J1082" s="1199"/>
      <c r="K1082" s="1199"/>
      <c r="L1082" s="1199"/>
      <c r="M1082" s="1199"/>
      <c r="N1082" s="1238"/>
      <c r="O1082" s="302"/>
      <c r="P1082" s="302"/>
      <c r="Q1082" s="729"/>
      <c r="R1082" s="694"/>
      <c r="S1082" s="694"/>
      <c r="T1082" s="694"/>
      <c r="U1082" s="1231"/>
      <c r="V1082" s="729"/>
      <c r="W1082" s="694"/>
      <c r="X1082" s="694"/>
      <c r="Y1082" s="694"/>
      <c r="Z1082" s="1232"/>
      <c r="AA1082" s="694"/>
      <c r="AB1082" s="694"/>
      <c r="AC1082" s="694"/>
      <c r="AD1082" s="694"/>
      <c r="AE1082" s="694"/>
      <c r="AF1082" s="694"/>
      <c r="AG1082" s="694"/>
      <c r="AH1082" s="694"/>
      <c r="AI1082" s="694"/>
      <c r="AJ1082" s="694"/>
      <c r="AK1082" s="694"/>
      <c r="AL1082" s="694"/>
    </row>
    <row r="1083" spans="1:38" ht="12.75" customHeight="1" thickBot="1" x14ac:dyDescent="0.3">
      <c r="A1083" s="694"/>
      <c r="B1083" s="298"/>
      <c r="C1083" s="1302"/>
      <c r="D1083" s="1208" t="s">
        <v>18</v>
      </c>
      <c r="E1083" s="2822" t="str">
        <f>Translations!$B$1324</f>
        <v>Действителна корекция (ако са надвишени всички прагове)</v>
      </c>
      <c r="F1083" s="2258"/>
      <c r="G1083" s="2258"/>
      <c r="H1083" s="2258"/>
      <c r="I1083" s="2824"/>
      <c r="J1083" s="1240" t="str">
        <f>IF(J1081="","",IF(OR(J1081,V1075&lt;1),J1077,I1083))</f>
        <v/>
      </c>
      <c r="K1083" s="1241" t="str">
        <f>IF(K1081="","",IF(OR(K1081,W1075&lt;1),K1077,J1083))</f>
        <v/>
      </c>
      <c r="L1083" s="1241" t="str">
        <f>IF(L1081="","",IF(OR(L1081,X1075&lt;1),L1077,K1083))</f>
        <v/>
      </c>
      <c r="M1083" s="1241" t="str">
        <f>IF(M1081="","",IF(OR(M1081,Y1075&lt;1),M1077,L1083))</f>
        <v/>
      </c>
      <c r="N1083" s="1242" t="str">
        <f>IF(N1081="","",IF(OR(N1081,Z1075&lt;1),N1077,M1083))</f>
        <v/>
      </c>
      <c r="O1083" s="302"/>
      <c r="P1083" s="302"/>
      <c r="Q1083" s="729"/>
      <c r="R1083" s="694"/>
      <c r="S1083" s="694"/>
      <c r="T1083" s="694"/>
      <c r="U1083" s="1231" t="s">
        <v>1718</v>
      </c>
      <c r="V1083" s="1243">
        <f>J1080</f>
        <v>2026</v>
      </c>
      <c r="W1083" s="1243">
        <f>K1080</f>
        <v>2027</v>
      </c>
      <c r="X1083" s="1243">
        <f>L1080</f>
        <v>2028</v>
      </c>
      <c r="Y1083" s="1243">
        <f>M1080</f>
        <v>2029</v>
      </c>
      <c r="Z1083" s="1244">
        <f>N1080</f>
        <v>2030</v>
      </c>
      <c r="AA1083" s="694"/>
      <c r="AB1083" s="694"/>
      <c r="AC1083" s="694"/>
      <c r="AD1083" s="694"/>
      <c r="AE1083" s="694"/>
      <c r="AF1083" s="694"/>
      <c r="AG1083" s="694"/>
      <c r="AH1083" s="694"/>
      <c r="AI1083" s="694"/>
      <c r="AJ1083" s="694"/>
      <c r="AK1083" s="694"/>
      <c r="AL1083" s="694"/>
    </row>
    <row r="1084" spans="1:38" ht="12.75" customHeight="1" thickBot="1" x14ac:dyDescent="0.3">
      <c r="A1084" s="729"/>
      <c r="B1084" s="298"/>
      <c r="C1084" s="1302"/>
      <c r="D1084" s="1208" t="s">
        <v>810</v>
      </c>
      <c r="E1084" s="2822" t="str">
        <f>Translations!$B$1325</f>
        <v>Действителна стойност</v>
      </c>
      <c r="F1084" s="2258"/>
      <c r="G1084" s="2258"/>
      <c r="H1084" s="1266" t="str">
        <f>H1075</f>
        <v>t CO2</v>
      </c>
      <c r="I1084" s="1211" t="str">
        <f>I1078</f>
        <v/>
      </c>
      <c r="J1084" s="632" t="str">
        <f>IF($I856="","",IF(OR($I1084=0,$I1084=EUconst_NA),IF(OR(J1081=TRUE,J1080=$V856),J1078,SUM(I1084)),IF(J1083="",J1078,$I1084*(1+SUM(J1083)))))</f>
        <v/>
      </c>
      <c r="K1084" s="633" t="str">
        <f>IF($I856="","",IF(OR($I1084=0,$I1084=EUconst_NA),IF(OR(K1081=TRUE,K1080=$V856),K1078,SUM(J1084)),IF(K1083="",K1078,$I1084*(1+SUM(K1083)))))</f>
        <v/>
      </c>
      <c r="L1084" s="633" t="str">
        <f>IF($I856="","",IF(OR($I1084=0,$I1084=EUconst_NA),IF(OR(L1081=TRUE,L1080=$V856),L1078,SUM(K1084)),IF(L1083="",L1078,$I1084*(1+SUM(L1083)))))</f>
        <v/>
      </c>
      <c r="M1084" s="633" t="str">
        <f>IF($I856="","",IF(OR($I1084=0,$I1084=EUconst_NA),IF(OR(M1081=TRUE,M1080=$V856),M1078,SUM(L1084)),IF(M1083="",M1078,$I1084*(1+SUM(M1083)))))</f>
        <v/>
      </c>
      <c r="N1084" s="634" t="str">
        <f>IF($I856="","",IF(OR($I1084=0,$I1084=EUconst_NA),IF(OR(N1081=TRUE,N1080=$V856),N1078,SUM(M1084)),IF(N1083="",N1078,$I1084*(1+SUM(N1083)))))</f>
        <v/>
      </c>
      <c r="O1084" s="302"/>
      <c r="P1084" s="302"/>
      <c r="Q1084" s="1190" t="str">
        <f>EUconst_CNTR_HALfinal&amp;EUconst_CNTR_WGFlared &amp; I856</f>
        <v>HALfinal_WasteGasFlare_</v>
      </c>
      <c r="R1084" s="694"/>
      <c r="S1084" s="694"/>
      <c r="T1084" s="694"/>
      <c r="U1084" s="1245" t="b">
        <v>0</v>
      </c>
      <c r="V1084" s="1246" t="str">
        <f>IF(V1034,IF(J1081=TRUE,V864,U1084),"")</f>
        <v/>
      </c>
      <c r="W1084" s="1246" t="str">
        <f>IF(W1034,IF(K1081=TRUE,W864,V1084),"")</f>
        <v/>
      </c>
      <c r="X1084" s="1246" t="str">
        <f>IF(X1034,IF(L1081=TRUE,X864,W1084),"")</f>
        <v/>
      </c>
      <c r="Y1084" s="1246" t="str">
        <f>IF(Y1034,IF(M1081=TRUE,Y864,X1084),"")</f>
        <v/>
      </c>
      <c r="Z1084" s="1247" t="str">
        <f>IF(Z1034,IF(N1081=TRUE,Z864,Y1084),"")</f>
        <v/>
      </c>
      <c r="AA1084" s="694"/>
      <c r="AB1084" s="694"/>
      <c r="AC1084" s="694"/>
      <c r="AD1084" s="694"/>
      <c r="AE1084" s="694"/>
      <c r="AF1084" s="694"/>
      <c r="AG1084" s="694"/>
      <c r="AH1084" s="694"/>
      <c r="AI1084" s="694"/>
      <c r="AJ1084" s="1174" t="s">
        <v>2033</v>
      </c>
      <c r="AK1084" s="982" t="str">
        <f>IF(OR(ISERROR(J1084),ISERROR(K1084),ISERROR(L1084),ISERROR(M1084),ISERROR(N1084)),EUconst_Error &amp; "BM" &amp; Q856,"")</f>
        <v/>
      </c>
      <c r="AL1084" s="694"/>
    </row>
    <row r="1085" spans="1:38" ht="5.15" customHeight="1" thickBot="1" x14ac:dyDescent="0.3">
      <c r="A1085" s="694"/>
      <c r="B1085" s="298"/>
      <c r="C1085" s="1302"/>
      <c r="D1085" s="1366"/>
      <c r="E1085" s="1367"/>
      <c r="F1085" s="1367"/>
      <c r="G1085" s="1367"/>
      <c r="H1085" s="1368"/>
      <c r="I1085" s="1367"/>
      <c r="J1085" s="1367"/>
      <c r="K1085" s="1367"/>
      <c r="L1085" s="1367"/>
      <c r="M1085" s="1249"/>
      <c r="N1085" s="1250"/>
      <c r="O1085" s="302"/>
      <c r="P1085" s="302"/>
      <c r="Q1085" s="729"/>
      <c r="R1085" s="694"/>
      <c r="S1085" s="729"/>
      <c r="T1085" s="729"/>
      <c r="U1085" s="729"/>
      <c r="V1085" s="729"/>
      <c r="W1085" s="694"/>
      <c r="X1085" s="694"/>
      <c r="Y1085" s="694"/>
      <c r="Z1085" s="694"/>
      <c r="AA1085" s="694"/>
      <c r="AB1085" s="694"/>
      <c r="AC1085" s="694"/>
      <c r="AD1085" s="694"/>
      <c r="AE1085" s="694"/>
      <c r="AF1085" s="694"/>
      <c r="AG1085" s="694"/>
      <c r="AH1085" s="694"/>
      <c r="AI1085" s="694"/>
      <c r="AJ1085" s="694"/>
      <c r="AK1085" s="694"/>
      <c r="AL1085" s="694"/>
    </row>
    <row r="1086" spans="1:38" ht="5.15" customHeight="1" x14ac:dyDescent="0.25">
      <c r="A1086" s="694"/>
      <c r="B1086" s="298"/>
      <c r="C1086" s="1302"/>
      <c r="D1086" s="1306"/>
      <c r="E1086" s="1306"/>
      <c r="F1086" s="1306"/>
      <c r="G1086" s="1306"/>
      <c r="H1086" s="1354"/>
      <c r="I1086" s="1306"/>
      <c r="J1086" s="1306"/>
      <c r="K1086" s="1306"/>
      <c r="L1086" s="1306"/>
      <c r="M1086" s="626"/>
      <c r="N1086" s="1316"/>
      <c r="O1086" s="302"/>
      <c r="P1086" s="302"/>
      <c r="Q1086" s="729"/>
      <c r="R1086" s="694"/>
      <c r="S1086" s="729"/>
      <c r="T1086" s="729"/>
      <c r="U1086" s="729"/>
      <c r="V1086" s="729"/>
      <c r="W1086" s="694"/>
      <c r="X1086" s="694"/>
      <c r="Y1086" s="694"/>
      <c r="Z1086" s="694"/>
      <c r="AA1086" s="694"/>
      <c r="AB1086" s="694"/>
      <c r="AC1086" s="694"/>
      <c r="AD1086" s="694"/>
      <c r="AE1086" s="694"/>
      <c r="AF1086" s="694"/>
      <c r="AG1086" s="694"/>
      <c r="AH1086" s="694"/>
      <c r="AI1086" s="694"/>
      <c r="AJ1086" s="694"/>
      <c r="AK1086" s="694"/>
      <c r="AL1086" s="694"/>
    </row>
    <row r="1087" spans="1:38" ht="12.75" customHeight="1" x14ac:dyDescent="0.25">
      <c r="A1087" s="694"/>
      <c r="B1087" s="298"/>
      <c r="C1087" s="1302"/>
      <c r="D1087" s="625" t="s">
        <v>1140</v>
      </c>
      <c r="E1087" s="2815" t="str">
        <f>Translations!$B$582</f>
        <v>Видове получени отпадни газове:</v>
      </c>
      <c r="F1087" s="2240"/>
      <c r="G1087" s="2240"/>
      <c r="H1087" s="2684"/>
      <c r="I1087" s="2821"/>
      <c r="J1087" s="2674"/>
      <c r="K1087" s="2674"/>
      <c r="L1087" s="2674"/>
      <c r="M1087" s="2675"/>
      <c r="N1087" s="1316"/>
      <c r="O1087" s="302"/>
      <c r="P1087" s="158"/>
      <c r="Q1087" s="729"/>
      <c r="R1087" s="694"/>
      <c r="S1087" s="729"/>
      <c r="T1087" s="694"/>
      <c r="U1087" s="694"/>
      <c r="V1087" s="694"/>
      <c r="W1087" s="694"/>
      <c r="X1087" s="694"/>
      <c r="Y1087" s="694"/>
      <c r="Z1087" s="694"/>
      <c r="AA1087" s="694"/>
      <c r="AB1087" s="694"/>
      <c r="AC1087" s="1182" t="s">
        <v>737</v>
      </c>
      <c r="AD1087" s="982" t="b">
        <f>AD1061</f>
        <v>0</v>
      </c>
      <c r="AE1087" s="694"/>
      <c r="AF1087" s="694"/>
      <c r="AG1087" s="694"/>
      <c r="AH1087" s="694"/>
      <c r="AI1087" s="694"/>
      <c r="AJ1087" s="694"/>
      <c r="AK1087" s="694"/>
      <c r="AL1087" s="694"/>
    </row>
    <row r="1088" spans="1:38" ht="12.75" customHeight="1" x14ac:dyDescent="0.25">
      <c r="A1088" s="694"/>
      <c r="B1088" s="298"/>
      <c r="C1088" s="1302"/>
      <c r="D1088" s="625"/>
      <c r="E1088" s="2816" t="str">
        <f>Translations!$B$583</f>
        <v>Посочените тук данни ще се отразят на емисиите, които могат да бъдат зададени съгласно раздел 10.1.5 от приложение VII към ПБР.</v>
      </c>
      <c r="F1088" s="2240"/>
      <c r="G1088" s="2240"/>
      <c r="H1088" s="2240"/>
      <c r="I1088" s="2240"/>
      <c r="J1088" s="2240"/>
      <c r="K1088" s="2240"/>
      <c r="L1088" s="2240"/>
      <c r="M1088" s="2240"/>
      <c r="N1088" s="2811"/>
      <c r="O1088" s="302"/>
      <c r="P1088" s="302"/>
      <c r="Q1088" s="729"/>
      <c r="R1088" s="694"/>
      <c r="S1088" s="729"/>
      <c r="T1088" s="729"/>
      <c r="U1088" s="729"/>
      <c r="V1088" s="729"/>
      <c r="W1088" s="694"/>
      <c r="X1088" s="694"/>
      <c r="Y1088" s="694"/>
      <c r="Z1088" s="694"/>
      <c r="AA1088" s="694"/>
      <c r="AB1088" s="694"/>
      <c r="AC1088" s="694"/>
      <c r="AD1088" s="694"/>
      <c r="AE1088" s="694"/>
      <c r="AF1088" s="694"/>
      <c r="AG1088" s="694"/>
      <c r="AH1088" s="694"/>
      <c r="AI1088" s="694"/>
      <c r="AJ1088" s="694"/>
      <c r="AK1088" s="694"/>
      <c r="AL1088" s="694"/>
    </row>
    <row r="1089" spans="1:38" ht="25.5" customHeight="1" x14ac:dyDescent="0.25">
      <c r="A1089" s="694"/>
      <c r="B1089" s="298"/>
      <c r="C1089" s="1302"/>
      <c r="D1089" s="625"/>
      <c r="E1089" s="2810" t="str">
        <f>Translations!$B$584</f>
        <v>Това включва всички видове отпадни газове, произведени извън системните граници на тази подинсталация, но получени от нея и използвани за производството на измерима топлинна енергия, неизмерима топлинна енергия (включително необходимото за безопасността изгаряне във факел) или механична енергия (различна от тази за електропроизводство).</v>
      </c>
      <c r="F1089" s="2240"/>
      <c r="G1089" s="2240"/>
      <c r="H1089" s="2240"/>
      <c r="I1089" s="2240"/>
      <c r="J1089" s="2240"/>
      <c r="K1089" s="2240"/>
      <c r="L1089" s="2240"/>
      <c r="M1089" s="2240"/>
      <c r="N1089" s="2811"/>
      <c r="O1089" s="302"/>
      <c r="P1089" s="302"/>
      <c r="Q1089" s="729"/>
      <c r="R1089" s="694"/>
      <c r="S1089" s="729"/>
      <c r="T1089" s="729"/>
      <c r="U1089" s="729"/>
      <c r="V1089" s="729"/>
      <c r="W1089" s="694"/>
      <c r="X1089" s="694"/>
      <c r="Y1089" s="694"/>
      <c r="Z1089" s="694"/>
      <c r="AA1089" s="694"/>
      <c r="AB1089" s="694"/>
      <c r="AC1089" s="694"/>
      <c r="AD1089" s="694"/>
      <c r="AE1089" s="694"/>
      <c r="AF1089" s="694"/>
      <c r="AG1089" s="694"/>
      <c r="AH1089" s="694"/>
      <c r="AI1089" s="694"/>
      <c r="AJ1089" s="694"/>
      <c r="AK1089" s="694"/>
      <c r="AL1089" s="694"/>
    </row>
    <row r="1090" spans="1:38" ht="12.75" customHeight="1" thickBot="1" x14ac:dyDescent="0.3">
      <c r="A1090" s="694"/>
      <c r="B1090" s="298"/>
      <c r="C1090" s="1302"/>
      <c r="D1090" s="1306"/>
      <c r="E1090" s="1317"/>
      <c r="F1090" s="1318"/>
      <c r="G1090" s="1309" t="str">
        <f>EUconst_Unit</f>
        <v>Единица мярка</v>
      </c>
      <c r="H1090" s="629">
        <f t="shared" ref="H1090:N1090" si="1343">H$2831</f>
        <v>2024</v>
      </c>
      <c r="I1090" s="1310">
        <f t="shared" si="1343"/>
        <v>2025</v>
      </c>
      <c r="J1090" s="1311">
        <f t="shared" si="1343"/>
        <v>2026</v>
      </c>
      <c r="K1090" s="629">
        <f t="shared" si="1343"/>
        <v>2027</v>
      </c>
      <c r="L1090" s="629">
        <f t="shared" si="1343"/>
        <v>2028</v>
      </c>
      <c r="M1090" s="629">
        <f t="shared" si="1343"/>
        <v>2029</v>
      </c>
      <c r="N1090" s="1312">
        <f t="shared" si="1343"/>
        <v>2030</v>
      </c>
      <c r="O1090" s="302"/>
      <c r="P1090" s="302"/>
      <c r="Q1090" s="729"/>
      <c r="R1090" s="694"/>
      <c r="S1090" s="729"/>
      <c r="T1090" s="729"/>
      <c r="U1090" s="729"/>
      <c r="V1090" s="729"/>
      <c r="W1090" s="694"/>
      <c r="X1090" s="694"/>
      <c r="Y1090" s="694"/>
      <c r="Z1090" s="694"/>
      <c r="AA1090" s="694"/>
      <c r="AB1090" s="694"/>
      <c r="AC1090" s="1178">
        <f t="shared" ref="AC1090" si="1344">H$20</f>
        <v>2024</v>
      </c>
      <c r="AD1090" s="1178">
        <f t="shared" ref="AD1090" si="1345">I$20</f>
        <v>2025</v>
      </c>
      <c r="AE1090" s="1178">
        <f t="shared" ref="AE1090" si="1346">J$20</f>
        <v>2026</v>
      </c>
      <c r="AF1090" s="1178">
        <f t="shared" ref="AF1090" si="1347">K$20</f>
        <v>2027</v>
      </c>
      <c r="AG1090" s="1178">
        <f t="shared" ref="AG1090" si="1348">L$20</f>
        <v>2028</v>
      </c>
      <c r="AH1090" s="1178">
        <f t="shared" ref="AH1090" si="1349">M$20</f>
        <v>2029</v>
      </c>
      <c r="AI1090" s="1178">
        <f t="shared" ref="AI1090" si="1350">N$20</f>
        <v>2030</v>
      </c>
      <c r="AJ1090" s="694"/>
      <c r="AK1090" s="694"/>
      <c r="AL1090" s="694"/>
    </row>
    <row r="1091" spans="1:38" ht="12.75" customHeight="1" thickBot="1" x14ac:dyDescent="0.3">
      <c r="A1091" s="694"/>
      <c r="B1091" s="298"/>
      <c r="C1091" s="1302"/>
      <c r="D1091" s="625" t="s">
        <v>1141</v>
      </c>
      <c r="E1091" s="2818" t="str">
        <f>Translations!$B$585</f>
        <v>Получени количества</v>
      </c>
      <c r="F1091" s="2701"/>
      <c r="G1091" s="145"/>
      <c r="H1091" s="129"/>
      <c r="I1091" s="130"/>
      <c r="J1091" s="131"/>
      <c r="K1091" s="129"/>
      <c r="L1091" s="129"/>
      <c r="M1091" s="129"/>
      <c r="N1091" s="132"/>
      <c r="O1091" s="302"/>
      <c r="P1091" s="158"/>
      <c r="Q1091" s="729"/>
      <c r="R1091" s="694"/>
      <c r="S1091" s="729"/>
      <c r="T1091" s="729"/>
      <c r="U1091" s="729"/>
      <c r="V1091" s="729"/>
      <c r="W1091" s="694"/>
      <c r="X1091" s="694"/>
      <c r="Y1091" s="694"/>
      <c r="Z1091" s="694"/>
      <c r="AA1091" s="694"/>
      <c r="AB1091" s="1182" t="s">
        <v>737</v>
      </c>
      <c r="AC1091" s="982" t="b">
        <f t="shared" ref="AC1091:AI1091" si="1351">AC1047</f>
        <v>0</v>
      </c>
      <c r="AD1091" s="982" t="b">
        <f t="shared" si="1351"/>
        <v>0</v>
      </c>
      <c r="AE1091" s="982" t="b">
        <f t="shared" si="1351"/>
        <v>0</v>
      </c>
      <c r="AF1091" s="982" t="b">
        <f t="shared" si="1351"/>
        <v>0</v>
      </c>
      <c r="AG1091" s="982" t="b">
        <f t="shared" si="1351"/>
        <v>0</v>
      </c>
      <c r="AH1091" s="982" t="b">
        <f t="shared" si="1351"/>
        <v>0</v>
      </c>
      <c r="AI1091" s="982" t="b">
        <f t="shared" si="1351"/>
        <v>0</v>
      </c>
      <c r="AJ1091" s="1174" t="s">
        <v>2039</v>
      </c>
      <c r="AK1091" s="1176" t="str">
        <f>IF(AND(CNTR_ExistSubInstEntries,MSconst_RequireSubAttrEmissions,COUNTIFS(AC1091:AI1091,FALSE,H1091:N1091,"")&gt;0),EUconst_Error&amp;"BM"&amp;$Q856,"")</f>
        <v/>
      </c>
      <c r="AL1091" s="694"/>
    </row>
    <row r="1092" spans="1:38" ht="12.75" customHeight="1" x14ac:dyDescent="0.25">
      <c r="A1092" s="694"/>
      <c r="B1092" s="298"/>
      <c r="C1092" s="1302"/>
      <c r="D1092" s="625" t="s">
        <v>1142</v>
      </c>
      <c r="E1092" s="2819" t="str">
        <f>Translations!$B$296</f>
        <v>Долна топлина на изгаряне</v>
      </c>
      <c r="F1092" s="2705"/>
      <c r="G1092" s="1349" t="str">
        <f>IF(ISBLANK(G1091),EUconst_GJperUnit,INDEX(EUconst_GJperTorKNm3,MATCH(G1091,EUconst_TonnesOrkNm3pa,0)))</f>
        <v>GJ / Единица мярка</v>
      </c>
      <c r="H1092" s="137"/>
      <c r="I1092" s="138"/>
      <c r="J1092" s="139"/>
      <c r="K1092" s="137"/>
      <c r="L1092" s="137"/>
      <c r="M1092" s="137"/>
      <c r="N1092" s="140"/>
      <c r="O1092" s="302"/>
      <c r="P1092" s="158"/>
      <c r="Q1092" s="729"/>
      <c r="R1092" s="694"/>
      <c r="S1092" s="1205"/>
      <c r="T1092" s="1313">
        <f t="shared" ref="T1092" si="1352">H1090</f>
        <v>2024</v>
      </c>
      <c r="U1092" s="1313">
        <f t="shared" ref="U1092" si="1353">I1090</f>
        <v>2025</v>
      </c>
      <c r="V1092" s="1313">
        <f t="shared" ref="V1092" si="1354">J1090</f>
        <v>2026</v>
      </c>
      <c r="W1092" s="1313">
        <f t="shared" ref="W1092" si="1355">K1090</f>
        <v>2027</v>
      </c>
      <c r="X1092" s="1313">
        <f t="shared" ref="X1092" si="1356">L1090</f>
        <v>2028</v>
      </c>
      <c r="Y1092" s="1313">
        <f t="shared" ref="Y1092" si="1357">M1090</f>
        <v>2029</v>
      </c>
      <c r="Z1092" s="1314">
        <f t="shared" ref="Z1092" si="1358">N1090</f>
        <v>2030</v>
      </c>
      <c r="AA1092" s="694"/>
      <c r="AB1092" s="694"/>
      <c r="AC1092" s="982" t="b">
        <f>AC1091</f>
        <v>0</v>
      </c>
      <c r="AD1092" s="982" t="b">
        <f t="shared" ref="AD1092:AI1092" si="1359">AD1091</f>
        <v>0</v>
      </c>
      <c r="AE1092" s="982" t="b">
        <f t="shared" si="1359"/>
        <v>0</v>
      </c>
      <c r="AF1092" s="982" t="b">
        <f t="shared" si="1359"/>
        <v>0</v>
      </c>
      <c r="AG1092" s="982" t="b">
        <f t="shared" si="1359"/>
        <v>0</v>
      </c>
      <c r="AH1092" s="982" t="b">
        <f t="shared" si="1359"/>
        <v>0</v>
      </c>
      <c r="AI1092" s="982" t="b">
        <f t="shared" si="1359"/>
        <v>0</v>
      </c>
      <c r="AJ1092" s="1174" t="s">
        <v>2039</v>
      </c>
      <c r="AK1092" s="1176" t="str">
        <f>IF(AND(CNTR_ExistSubInstEntries,MSconst_RequireSubAttrEmissions,COUNTIFS(AC1092:AI1092,FALSE,H1092:N1092,"")&gt;0),EUconst_Error&amp;"BM"&amp;$Q856,"")</f>
        <v/>
      </c>
      <c r="AL1092" s="694"/>
    </row>
    <row r="1093" spans="1:38" ht="12.75" customHeight="1" x14ac:dyDescent="0.25">
      <c r="A1093" s="694"/>
      <c r="B1093" s="298"/>
      <c r="C1093" s="1302"/>
      <c r="D1093" s="625" t="s">
        <v>1143</v>
      </c>
      <c r="E1093" s="2820" t="str">
        <f>Translations!$B$586</f>
        <v>Получен отпаден газ</v>
      </c>
      <c r="F1093" s="2258"/>
      <c r="G1093" s="1319" t="str">
        <f>EUconst_TJpa</f>
        <v>TJ / година</v>
      </c>
      <c r="H1093" s="1020" t="str">
        <f t="shared" ref="H1093:N1093" si="1360">IF(COUNT(H1091:H1092)=2,H1091*H1092/1000,"")</f>
        <v/>
      </c>
      <c r="I1093" s="1369" t="str">
        <f t="shared" si="1360"/>
        <v/>
      </c>
      <c r="J1093" s="1370" t="str">
        <f t="shared" si="1360"/>
        <v/>
      </c>
      <c r="K1093" s="1020" t="str">
        <f t="shared" si="1360"/>
        <v/>
      </c>
      <c r="L1093" s="1020" t="str">
        <f t="shared" si="1360"/>
        <v/>
      </c>
      <c r="M1093" s="1020" t="str">
        <f t="shared" si="1360"/>
        <v/>
      </c>
      <c r="N1093" s="1371" t="str">
        <f t="shared" si="1360"/>
        <v/>
      </c>
      <c r="O1093" s="302"/>
      <c r="P1093" s="302"/>
      <c r="Q1093" s="1190" t="str">
        <f>EUconst_CNTR_WGImport &amp; I856</f>
        <v>WasteGasIm_</v>
      </c>
      <c r="R1093" s="694"/>
      <c r="S1093" s="1347" t="str">
        <f>EUconst_ERR_AttrEmBMapplied &amp; I856</f>
        <v>ERR_AttrEmBM_</v>
      </c>
      <c r="T1093" s="982">
        <f t="shared" ref="T1093" si="1361">IF(AND(H1093&lt;&gt;"",EUconst_StatusOfDataCollection=FALSE),1,0)</f>
        <v>0</v>
      </c>
      <c r="U1093" s="982">
        <f t="shared" ref="U1093" si="1362">IF(AND(I1093&lt;&gt;"",EUconst_StatusOfDataCollection=FALSE),1,0)</f>
        <v>0</v>
      </c>
      <c r="V1093" s="982">
        <f t="shared" ref="V1093" si="1363">IF(AND(J1093&lt;&gt;"",EUconst_StatusOfDataCollection=FALSE),1,0)</f>
        <v>0</v>
      </c>
      <c r="W1093" s="982">
        <f t="shared" ref="W1093" si="1364">IF(AND(K1093&lt;&gt;"",EUconst_StatusOfDataCollection=FALSE),1,0)</f>
        <v>0</v>
      </c>
      <c r="X1093" s="982">
        <f t="shared" ref="X1093" si="1365">IF(AND(L1093&lt;&gt;"",EUconst_StatusOfDataCollection=FALSE),1,0)</f>
        <v>0</v>
      </c>
      <c r="Y1093" s="982">
        <f t="shared" ref="Y1093" si="1366">IF(AND(M1093&lt;&gt;"",EUconst_StatusOfDataCollection=FALSE),1,0)</f>
        <v>0</v>
      </c>
      <c r="Z1093" s="1287">
        <f t="shared" ref="Z1093" si="1367">IF(AND(N1093&lt;&gt;"",EUconst_StatusOfDataCollection=FALSE),1,0)</f>
        <v>0</v>
      </c>
      <c r="AA1093" s="694"/>
      <c r="AB1093" s="694"/>
      <c r="AC1093" s="694"/>
      <c r="AD1093" s="694"/>
      <c r="AE1093" s="694"/>
      <c r="AF1093" s="694"/>
      <c r="AG1093" s="694"/>
      <c r="AH1093" s="694"/>
      <c r="AI1093" s="694"/>
      <c r="AJ1093" s="694"/>
      <c r="AK1093" s="694"/>
      <c r="AL1093" s="694"/>
    </row>
    <row r="1094" spans="1:38" s="364" customFormat="1" ht="12.75" customHeight="1" thickBot="1" x14ac:dyDescent="0.3">
      <c r="A1094" s="729"/>
      <c r="B1094" s="298"/>
      <c r="C1094" s="1302"/>
      <c r="D1094" s="625" t="s">
        <v>1144</v>
      </c>
      <c r="E1094" s="2820" t="str">
        <f>Translations!$B$587</f>
        <v>Специфичен EF (получен отпаден газ)</v>
      </c>
      <c r="F1094" s="2258"/>
      <c r="G1094" s="642" t="str">
        <f>EUconst_tCO2pTJ</f>
        <v>t CO2 / TJ</v>
      </c>
      <c r="H1094" s="146"/>
      <c r="I1094" s="147"/>
      <c r="J1094" s="148"/>
      <c r="K1094" s="146"/>
      <c r="L1094" s="146"/>
      <c r="M1094" s="146"/>
      <c r="N1094" s="149"/>
      <c r="O1094" s="302"/>
      <c r="P1094" s="158"/>
      <c r="Q1094" s="1190" t="str">
        <f>EUconst_CNTR_WGImportEF &amp; I856</f>
        <v>WasteGasImEF_</v>
      </c>
      <c r="R1094" s="729"/>
      <c r="S1094" s="1315" t="str">
        <f>EUconst_CNTR_AttributedEmissions &amp; I856</f>
        <v>AttrEmissions_</v>
      </c>
      <c r="T1094" s="1290" t="str">
        <f t="shared" ref="T1094" si="1368">IF(T864,SUM(H1093)*EUconst_FuelBMvalue,"")</f>
        <v/>
      </c>
      <c r="U1094" s="1290" t="str">
        <f t="shared" ref="U1094" si="1369">IF(U864,SUM(I1093)*EUconst_FuelBMvalue,"")</f>
        <v/>
      </c>
      <c r="V1094" s="1290" t="str">
        <f t="shared" ref="V1094" si="1370">IF(V864,SUM(J1093)*EUconst_FuelBMvalue,"")</f>
        <v/>
      </c>
      <c r="W1094" s="1290" t="str">
        <f t="shared" ref="W1094" si="1371">IF(W864,SUM(K1093)*EUconst_FuelBMvalue,"")</f>
        <v/>
      </c>
      <c r="X1094" s="1290" t="str">
        <f t="shared" ref="X1094" si="1372">IF(X864,SUM(L1093)*EUconst_FuelBMvalue,"")</f>
        <v/>
      </c>
      <c r="Y1094" s="1290" t="str">
        <f t="shared" ref="Y1094" si="1373">IF(Y864,SUM(M1093)*EUconst_FuelBMvalue,"")</f>
        <v/>
      </c>
      <c r="Z1094" s="1291" t="str">
        <f t="shared" ref="Z1094" si="1374">IF(Z864,SUM(N1093)*EUconst_FuelBMvalue,"")</f>
        <v/>
      </c>
      <c r="AA1094" s="729"/>
      <c r="AB1094" s="1182" t="s">
        <v>737</v>
      </c>
      <c r="AC1094" s="982" t="b">
        <f>AC1092</f>
        <v>0</v>
      </c>
      <c r="AD1094" s="982" t="b">
        <f t="shared" ref="AD1094:AI1094" si="1375">AD1092</f>
        <v>0</v>
      </c>
      <c r="AE1094" s="982" t="b">
        <f t="shared" si="1375"/>
        <v>0</v>
      </c>
      <c r="AF1094" s="982" t="b">
        <f t="shared" si="1375"/>
        <v>0</v>
      </c>
      <c r="AG1094" s="982" t="b">
        <f t="shared" si="1375"/>
        <v>0</v>
      </c>
      <c r="AH1094" s="982" t="b">
        <f t="shared" si="1375"/>
        <v>0</v>
      </c>
      <c r="AI1094" s="982" t="b">
        <f t="shared" si="1375"/>
        <v>0</v>
      </c>
      <c r="AJ1094" s="1174" t="s">
        <v>2039</v>
      </c>
      <c r="AK1094" s="1176" t="str">
        <f>IF(AND(CNTR_ExistSubInstEntries,MSconst_RequireSubAttrEmissions,COUNTIFS(AC1094:AI1094,FALSE,H1094:N1094,"")&gt;0),EUconst_Error&amp;"BM"&amp;$Q856,"")</f>
        <v/>
      </c>
      <c r="AL1094" s="694"/>
    </row>
    <row r="1095" spans="1:38" ht="12.75" customHeight="1" x14ac:dyDescent="0.25">
      <c r="A1095" s="694"/>
      <c r="B1095" s="298"/>
      <c r="C1095" s="1302"/>
      <c r="D1095" s="1306"/>
      <c r="E1095" s="1306"/>
      <c r="F1095" s="1306"/>
      <c r="G1095" s="1306"/>
      <c r="H1095" s="1354"/>
      <c r="I1095" s="1306"/>
      <c r="J1095" s="1306"/>
      <c r="K1095" s="1306"/>
      <c r="L1095" s="1306"/>
      <c r="M1095" s="626"/>
      <c r="N1095" s="1316"/>
      <c r="O1095" s="302"/>
      <c r="P1095" s="302"/>
      <c r="Q1095" s="729"/>
      <c r="R1095" s="694"/>
      <c r="S1095" s="729"/>
      <c r="T1095" s="729"/>
      <c r="U1095" s="729"/>
      <c r="V1095" s="729"/>
      <c r="W1095" s="694"/>
      <c r="X1095" s="694"/>
      <c r="Y1095" s="694"/>
      <c r="Z1095" s="694"/>
      <c r="AA1095" s="694"/>
      <c r="AB1095" s="694"/>
      <c r="AC1095" s="694"/>
      <c r="AD1095" s="694"/>
      <c r="AE1095" s="694"/>
      <c r="AF1095" s="694"/>
      <c r="AG1095" s="694"/>
      <c r="AH1095" s="694"/>
      <c r="AI1095" s="694"/>
      <c r="AJ1095" s="694"/>
      <c r="AK1095" s="694"/>
      <c r="AL1095" s="694"/>
    </row>
    <row r="1096" spans="1:38" ht="12.75" customHeight="1" x14ac:dyDescent="0.25">
      <c r="A1096" s="694"/>
      <c r="B1096" s="298"/>
      <c r="C1096" s="1302"/>
      <c r="D1096" s="625" t="s">
        <v>1145</v>
      </c>
      <c r="E1096" s="2815" t="str">
        <f>Translations!$B$588</f>
        <v>Видове подадени отпадни газове:</v>
      </c>
      <c r="F1096" s="2240"/>
      <c r="G1096" s="2240"/>
      <c r="H1096" s="2684"/>
      <c r="I1096" s="2821"/>
      <c r="J1096" s="2674"/>
      <c r="K1096" s="2674"/>
      <c r="L1096" s="2674"/>
      <c r="M1096" s="2675"/>
      <c r="N1096" s="1323"/>
      <c r="O1096" s="302"/>
      <c r="P1096" s="158"/>
      <c r="Q1096" s="729"/>
      <c r="R1096" s="694"/>
      <c r="S1096" s="729"/>
      <c r="T1096" s="694"/>
      <c r="U1096" s="694"/>
      <c r="V1096" s="694"/>
      <c r="W1096" s="694"/>
      <c r="X1096" s="694"/>
      <c r="Y1096" s="694"/>
      <c r="Z1096" s="694"/>
      <c r="AA1096" s="694"/>
      <c r="AB1096" s="694"/>
      <c r="AC1096" s="1182" t="s">
        <v>737</v>
      </c>
      <c r="AD1096" s="982" t="b">
        <f>AD1087</f>
        <v>0</v>
      </c>
      <c r="AE1096" s="694"/>
      <c r="AF1096" s="694"/>
      <c r="AG1096" s="694"/>
      <c r="AH1096" s="694"/>
      <c r="AI1096" s="694"/>
      <c r="AJ1096" s="694"/>
      <c r="AK1096" s="694"/>
      <c r="AL1096" s="694"/>
    </row>
    <row r="1097" spans="1:38" ht="12.75" customHeight="1" x14ac:dyDescent="0.25">
      <c r="A1097" s="694"/>
      <c r="B1097" s="298"/>
      <c r="C1097" s="1302"/>
      <c r="D1097" s="625"/>
      <c r="E1097" s="2816" t="str">
        <f>Translations!$B$583</f>
        <v>Посочените тук данни ще се отразят на емисиите, които могат да бъдат зададени съгласно раздел 10.1.5 от приложение VII към ПБР.</v>
      </c>
      <c r="F1097" s="2240"/>
      <c r="G1097" s="2240"/>
      <c r="H1097" s="2240"/>
      <c r="I1097" s="2240"/>
      <c r="J1097" s="2240"/>
      <c r="K1097" s="2240"/>
      <c r="L1097" s="2240"/>
      <c r="M1097" s="2240"/>
      <c r="N1097" s="2811"/>
      <c r="O1097" s="302"/>
      <c r="P1097" s="302"/>
      <c r="Q1097" s="729"/>
      <c r="R1097" s="694"/>
      <c r="S1097" s="729"/>
      <c r="T1097" s="729"/>
      <c r="U1097" s="729"/>
      <c r="V1097" s="729"/>
      <c r="W1097" s="694"/>
      <c r="X1097" s="694"/>
      <c r="Y1097" s="694"/>
      <c r="Z1097" s="694"/>
      <c r="AA1097" s="694"/>
      <c r="AB1097" s="694"/>
      <c r="AC1097" s="694"/>
      <c r="AD1097" s="694"/>
      <c r="AE1097" s="694"/>
      <c r="AF1097" s="694"/>
      <c r="AG1097" s="694"/>
      <c r="AH1097" s="694"/>
      <c r="AI1097" s="694"/>
      <c r="AJ1097" s="694"/>
      <c r="AK1097" s="694"/>
      <c r="AL1097" s="694"/>
    </row>
    <row r="1098" spans="1:38" ht="25.5" customHeight="1" x14ac:dyDescent="0.25">
      <c r="A1098" s="694"/>
      <c r="B1098" s="298"/>
      <c r="C1098" s="1302"/>
      <c r="D1098" s="625"/>
      <c r="E1098" s="2810" t="str">
        <f>Translations!$B$589</f>
        <v>Това включва всички видове отпадни газове, произведени в системните граници на тази подинсталация и подадени от тази инсталация към други подинсталации, както и към всички други инсталации или обекти.</v>
      </c>
      <c r="F1098" s="2240"/>
      <c r="G1098" s="2240"/>
      <c r="H1098" s="2240"/>
      <c r="I1098" s="2240"/>
      <c r="J1098" s="2240"/>
      <c r="K1098" s="2240"/>
      <c r="L1098" s="2240"/>
      <c r="M1098" s="2240"/>
      <c r="N1098" s="2811"/>
      <c r="O1098" s="302"/>
      <c r="P1098" s="302"/>
      <c r="Q1098" s="729"/>
      <c r="R1098" s="694"/>
      <c r="S1098" s="729"/>
      <c r="T1098" s="729"/>
      <c r="U1098" s="729"/>
      <c r="V1098" s="729"/>
      <c r="W1098" s="694"/>
      <c r="X1098" s="694"/>
      <c r="Y1098" s="694"/>
      <c r="Z1098" s="694"/>
      <c r="AA1098" s="694"/>
      <c r="AB1098" s="694"/>
      <c r="AC1098" s="694"/>
      <c r="AD1098" s="694"/>
      <c r="AE1098" s="694"/>
      <c r="AF1098" s="694"/>
      <c r="AG1098" s="694"/>
      <c r="AH1098" s="694"/>
      <c r="AI1098" s="694"/>
      <c r="AJ1098" s="694"/>
      <c r="AK1098" s="694"/>
      <c r="AL1098" s="694"/>
    </row>
    <row r="1099" spans="1:38" ht="12.75" customHeight="1" thickBot="1" x14ac:dyDescent="0.3">
      <c r="A1099" s="694"/>
      <c r="B1099" s="298"/>
      <c r="C1099" s="1302"/>
      <c r="D1099" s="1306"/>
      <c r="E1099" s="1317"/>
      <c r="F1099" s="1318"/>
      <c r="G1099" s="1309" t="str">
        <f>EUconst_Unit</f>
        <v>Единица мярка</v>
      </c>
      <c r="H1099" s="629">
        <f t="shared" ref="H1099:N1099" si="1376">H$2831</f>
        <v>2024</v>
      </c>
      <c r="I1099" s="1310">
        <f t="shared" si="1376"/>
        <v>2025</v>
      </c>
      <c r="J1099" s="1311">
        <f t="shared" si="1376"/>
        <v>2026</v>
      </c>
      <c r="K1099" s="629">
        <f t="shared" si="1376"/>
        <v>2027</v>
      </c>
      <c r="L1099" s="629">
        <f t="shared" si="1376"/>
        <v>2028</v>
      </c>
      <c r="M1099" s="629">
        <f t="shared" si="1376"/>
        <v>2029</v>
      </c>
      <c r="N1099" s="1312">
        <f t="shared" si="1376"/>
        <v>2030</v>
      </c>
      <c r="O1099" s="302"/>
      <c r="P1099" s="302"/>
      <c r="Q1099" s="729"/>
      <c r="R1099" s="694"/>
      <c r="S1099" s="729"/>
      <c r="T1099" s="729"/>
      <c r="U1099" s="729"/>
      <c r="V1099" s="729"/>
      <c r="W1099" s="694"/>
      <c r="X1099" s="694"/>
      <c r="Y1099" s="694"/>
      <c r="Z1099" s="694"/>
      <c r="AA1099" s="694"/>
      <c r="AB1099" s="694"/>
      <c r="AC1099" s="1178">
        <f t="shared" ref="AC1099" si="1377">H$20</f>
        <v>2024</v>
      </c>
      <c r="AD1099" s="1178">
        <f t="shared" ref="AD1099" si="1378">I$20</f>
        <v>2025</v>
      </c>
      <c r="AE1099" s="1178">
        <f t="shared" ref="AE1099" si="1379">J$20</f>
        <v>2026</v>
      </c>
      <c r="AF1099" s="1178">
        <f t="shared" ref="AF1099" si="1380">K$20</f>
        <v>2027</v>
      </c>
      <c r="AG1099" s="1178">
        <f t="shared" ref="AG1099" si="1381">L$20</f>
        <v>2028</v>
      </c>
      <c r="AH1099" s="1178">
        <f t="shared" ref="AH1099" si="1382">M$20</f>
        <v>2029</v>
      </c>
      <c r="AI1099" s="1178">
        <f t="shared" ref="AI1099" si="1383">N$20</f>
        <v>2030</v>
      </c>
      <c r="AJ1099" s="694"/>
      <c r="AK1099" s="694"/>
      <c r="AL1099" s="694"/>
    </row>
    <row r="1100" spans="1:38" ht="12.75" customHeight="1" x14ac:dyDescent="0.25">
      <c r="A1100" s="694"/>
      <c r="B1100" s="298"/>
      <c r="C1100" s="1302"/>
      <c r="D1100" s="625" t="s">
        <v>1146</v>
      </c>
      <c r="E1100" s="2818" t="str">
        <f>Translations!$B$590</f>
        <v>Подадени количества</v>
      </c>
      <c r="F1100" s="2701"/>
      <c r="G1100" s="145"/>
      <c r="H1100" s="129"/>
      <c r="I1100" s="130"/>
      <c r="J1100" s="131"/>
      <c r="K1100" s="129"/>
      <c r="L1100" s="129"/>
      <c r="M1100" s="129"/>
      <c r="N1100" s="132"/>
      <c r="O1100" s="302"/>
      <c r="P1100" s="158"/>
      <c r="Q1100" s="729"/>
      <c r="R1100" s="694"/>
      <c r="S1100" s="729"/>
      <c r="T1100" s="729"/>
      <c r="U1100" s="729"/>
      <c r="V1100" s="729"/>
      <c r="W1100" s="694"/>
      <c r="X1100" s="694"/>
      <c r="Y1100" s="694"/>
      <c r="Z1100" s="694"/>
      <c r="AA1100" s="694"/>
      <c r="AB1100" s="1182" t="s">
        <v>737</v>
      </c>
      <c r="AC1100" s="982" t="b">
        <f>AC1047</f>
        <v>0</v>
      </c>
      <c r="AD1100" s="982" t="b">
        <f t="shared" ref="AD1100:AI1100" si="1384">AD1047</f>
        <v>0</v>
      </c>
      <c r="AE1100" s="982" t="b">
        <f t="shared" si="1384"/>
        <v>0</v>
      </c>
      <c r="AF1100" s="982" t="b">
        <f t="shared" si="1384"/>
        <v>0</v>
      </c>
      <c r="AG1100" s="982" t="b">
        <f t="shared" si="1384"/>
        <v>0</v>
      </c>
      <c r="AH1100" s="982" t="b">
        <f t="shared" si="1384"/>
        <v>0</v>
      </c>
      <c r="AI1100" s="982" t="b">
        <f t="shared" si="1384"/>
        <v>0</v>
      </c>
      <c r="AJ1100" s="1174" t="s">
        <v>2039</v>
      </c>
      <c r="AK1100" s="1176" t="str">
        <f>IF(AND(CNTR_ExistSubInstEntries,MSconst_RequireSubAttrEmissions,COUNTIFS(AC1100:AI1100,FALSE,H1100:N1100,"")&gt;0),EUconst_Error&amp;"BM"&amp;$Q856,"")</f>
        <v/>
      </c>
      <c r="AL1100" s="694"/>
    </row>
    <row r="1101" spans="1:38" ht="12.75" customHeight="1" thickBot="1" x14ac:dyDescent="0.3">
      <c r="A1101" s="694"/>
      <c r="B1101" s="298"/>
      <c r="C1101" s="1302"/>
      <c r="D1101" s="625" t="s">
        <v>1619</v>
      </c>
      <c r="E1101" s="2819" t="str">
        <f>Translations!$B$296</f>
        <v>Долна топлина на изгаряне</v>
      </c>
      <c r="F1101" s="2705"/>
      <c r="G1101" s="1349" t="str">
        <f>IF(ISBLANK(G1100),EUconst_GJperUnit,INDEX(EUconst_GJperTorKNm3,MATCH(G1100,EUconst_TonnesOrkNm3pa,0)))</f>
        <v>GJ / Единица мярка</v>
      </c>
      <c r="H1101" s="137"/>
      <c r="I1101" s="138"/>
      <c r="J1101" s="139"/>
      <c r="K1101" s="137"/>
      <c r="L1101" s="137"/>
      <c r="M1101" s="137"/>
      <c r="N1101" s="140"/>
      <c r="O1101" s="302"/>
      <c r="P1101" s="158"/>
      <c r="Q1101" s="729"/>
      <c r="R1101" s="694"/>
      <c r="S1101" s="729"/>
      <c r="T1101" s="729"/>
      <c r="U1101" s="729"/>
      <c r="V1101" s="729"/>
      <c r="W1101" s="694"/>
      <c r="X1101" s="694"/>
      <c r="Y1101" s="694"/>
      <c r="Z1101" s="694"/>
      <c r="AA1101" s="694"/>
      <c r="AB1101" s="694"/>
      <c r="AC1101" s="982" t="b">
        <f>AC1100</f>
        <v>0</v>
      </c>
      <c r="AD1101" s="982" t="b">
        <f t="shared" ref="AD1101:AI1101" si="1385">AD1100</f>
        <v>0</v>
      </c>
      <c r="AE1101" s="982" t="b">
        <f t="shared" si="1385"/>
        <v>0</v>
      </c>
      <c r="AF1101" s="982" t="b">
        <f t="shared" si="1385"/>
        <v>0</v>
      </c>
      <c r="AG1101" s="982" t="b">
        <f t="shared" si="1385"/>
        <v>0</v>
      </c>
      <c r="AH1101" s="982" t="b">
        <f t="shared" si="1385"/>
        <v>0</v>
      </c>
      <c r="AI1101" s="982" t="b">
        <f t="shared" si="1385"/>
        <v>0</v>
      </c>
      <c r="AJ1101" s="1174" t="s">
        <v>2039</v>
      </c>
      <c r="AK1101" s="1176" t="str">
        <f>IF(AND(CNTR_ExistSubInstEntries,MSconst_RequireSubAttrEmissions,COUNTIFS(AC1101:AI1101,FALSE,H1101:N1101,"")&gt;0),EUconst_Error&amp;"BM"&amp;$Q856,"")</f>
        <v/>
      </c>
      <c r="AL1101" s="694"/>
    </row>
    <row r="1102" spans="1:38" ht="12.75" customHeight="1" x14ac:dyDescent="0.25">
      <c r="A1102" s="694"/>
      <c r="B1102" s="298"/>
      <c r="C1102" s="1302"/>
      <c r="D1102" s="625" t="s">
        <v>1659</v>
      </c>
      <c r="E1102" s="2820" t="str">
        <f>Translations!$B$591</f>
        <v>Подаден отпаден газ</v>
      </c>
      <c r="F1102" s="2258"/>
      <c r="G1102" s="1319" t="str">
        <f>EUconst_TJpa</f>
        <v>TJ / година</v>
      </c>
      <c r="H1102" s="1020" t="str">
        <f t="shared" ref="H1102:N1102" si="1386">IF(COUNT(H1100:H1101)=2,H1100*H1101/1000,"")</f>
        <v/>
      </c>
      <c r="I1102" s="1369" t="str">
        <f t="shared" si="1386"/>
        <v/>
      </c>
      <c r="J1102" s="1370" t="str">
        <f t="shared" si="1386"/>
        <v/>
      </c>
      <c r="K1102" s="1020" t="str">
        <f t="shared" si="1386"/>
        <v/>
      </c>
      <c r="L1102" s="1020" t="str">
        <f t="shared" si="1386"/>
        <v/>
      </c>
      <c r="M1102" s="1020" t="str">
        <f t="shared" si="1386"/>
        <v/>
      </c>
      <c r="N1102" s="1371" t="str">
        <f t="shared" si="1386"/>
        <v/>
      </c>
      <c r="O1102" s="302"/>
      <c r="P1102" s="302"/>
      <c r="Q1102" s="1190" t="str">
        <f>EUconst_CNTR_WGExport &amp; I856</f>
        <v>WasteGasEx_</v>
      </c>
      <c r="R1102" s="694"/>
      <c r="S1102" s="1205"/>
      <c r="T1102" s="1313">
        <f t="shared" ref="T1102" si="1387">H1099</f>
        <v>2024</v>
      </c>
      <c r="U1102" s="1313">
        <f t="shared" ref="U1102" si="1388">I1099</f>
        <v>2025</v>
      </c>
      <c r="V1102" s="1313">
        <f t="shared" ref="V1102" si="1389">J1099</f>
        <v>2026</v>
      </c>
      <c r="W1102" s="1313">
        <f t="shared" ref="W1102" si="1390">K1099</f>
        <v>2027</v>
      </c>
      <c r="X1102" s="1313">
        <f t="shared" ref="X1102" si="1391">L1099</f>
        <v>2028</v>
      </c>
      <c r="Y1102" s="1313">
        <f t="shared" ref="Y1102" si="1392">M1099</f>
        <v>2029</v>
      </c>
      <c r="Z1102" s="1314">
        <f t="shared" ref="Z1102" si="1393">N1099</f>
        <v>2030</v>
      </c>
      <c r="AA1102" s="694"/>
      <c r="AB1102" s="694"/>
      <c r="AC1102" s="694"/>
      <c r="AD1102" s="694"/>
      <c r="AE1102" s="694"/>
      <c r="AF1102" s="694"/>
      <c r="AG1102" s="694"/>
      <c r="AH1102" s="694"/>
      <c r="AI1102" s="694"/>
      <c r="AJ1102" s="694"/>
      <c r="AK1102" s="694"/>
      <c r="AL1102" s="694"/>
    </row>
    <row r="1103" spans="1:38" s="364" customFormat="1" ht="12.75" customHeight="1" thickBot="1" x14ac:dyDescent="0.3">
      <c r="A1103" s="694"/>
      <c r="B1103" s="298"/>
      <c r="C1103" s="1302"/>
      <c r="D1103" s="625" t="s">
        <v>1660</v>
      </c>
      <c r="E1103" s="2820" t="str">
        <f>Translations!$B$592</f>
        <v>Специфичен EF (подаден отпаден газ)</v>
      </c>
      <c r="F1103" s="2258"/>
      <c r="G1103" s="642" t="str">
        <f>EUconst_tCO2pTJ</f>
        <v>t CO2 / TJ</v>
      </c>
      <c r="H1103" s="146"/>
      <c r="I1103" s="147"/>
      <c r="J1103" s="148"/>
      <c r="K1103" s="146"/>
      <c r="L1103" s="146"/>
      <c r="M1103" s="146"/>
      <c r="N1103" s="149"/>
      <c r="O1103" s="302"/>
      <c r="P1103" s="158"/>
      <c r="Q1103" s="1190" t="str">
        <f>EUconst_CNTR_WGExportEF &amp; I856</f>
        <v>WasteGasExEF_</v>
      </c>
      <c r="R1103" s="729"/>
      <c r="S1103" s="1315" t="str">
        <f>EUconst_CNTR_AttributedEmissions &amp; I856</f>
        <v>AttrEmissions_</v>
      </c>
      <c r="T1103" s="1290" t="str">
        <f t="shared" ref="T1103" si="1394">IF(T864,-SUM(H1102)*EUconst_NGEFvalue*EUconst_WasteGasCorrFactor,"")</f>
        <v/>
      </c>
      <c r="U1103" s="1290" t="str">
        <f t="shared" ref="U1103" si="1395">IF(U864,-SUM(I1102)*EUconst_NGEFvalue*EUconst_WasteGasCorrFactor,"")</f>
        <v/>
      </c>
      <c r="V1103" s="1290" t="str">
        <f t="shared" ref="V1103" si="1396">IF(V864,-SUM(J1102)*EUconst_NGEFvalue*EUconst_WasteGasCorrFactor,"")</f>
        <v/>
      </c>
      <c r="W1103" s="1290" t="str">
        <f t="shared" ref="W1103" si="1397">IF(W864,-SUM(K1102)*EUconst_NGEFvalue*EUconst_WasteGasCorrFactor,"")</f>
        <v/>
      </c>
      <c r="X1103" s="1290" t="str">
        <f t="shared" ref="X1103" si="1398">IF(X864,-SUM(L1102)*EUconst_NGEFvalue*EUconst_WasteGasCorrFactor,"")</f>
        <v/>
      </c>
      <c r="Y1103" s="1290" t="str">
        <f t="shared" ref="Y1103" si="1399">IF(Y864,-SUM(M1102)*EUconst_NGEFvalue*EUconst_WasteGasCorrFactor,"")</f>
        <v/>
      </c>
      <c r="Z1103" s="1291" t="str">
        <f t="shared" ref="Z1103" si="1400">IF(Z864,-SUM(N1102)*EUconst_NGEFvalue*EUconst_WasteGasCorrFactor,"")</f>
        <v/>
      </c>
      <c r="AA1103" s="729"/>
      <c r="AB1103" s="1182" t="s">
        <v>737</v>
      </c>
      <c r="AC1103" s="982" t="b">
        <f t="shared" ref="AC1103:AI1103" si="1401">AC1050</f>
        <v>0</v>
      </c>
      <c r="AD1103" s="982" t="b">
        <f t="shared" si="1401"/>
        <v>0</v>
      </c>
      <c r="AE1103" s="982" t="b">
        <f t="shared" si="1401"/>
        <v>0</v>
      </c>
      <c r="AF1103" s="982" t="b">
        <f t="shared" si="1401"/>
        <v>0</v>
      </c>
      <c r="AG1103" s="982" t="b">
        <f t="shared" si="1401"/>
        <v>0</v>
      </c>
      <c r="AH1103" s="982" t="b">
        <f t="shared" si="1401"/>
        <v>0</v>
      </c>
      <c r="AI1103" s="982" t="b">
        <f t="shared" si="1401"/>
        <v>0</v>
      </c>
      <c r="AJ1103" s="1174" t="s">
        <v>2039</v>
      </c>
      <c r="AK1103" s="1176" t="str">
        <f>IF(AND(CNTR_ExistSubInstEntries,MSconst_RequireSubAttrEmissions,COUNTIFS(AC1103:AI1103,FALSE,H1103:N1103,"")&gt;0),EUconst_Error&amp;"BM"&amp;$Q856,"")</f>
        <v/>
      </c>
      <c r="AL1103" s="694"/>
    </row>
    <row r="1104" spans="1:38" ht="12.75" customHeight="1" x14ac:dyDescent="0.25">
      <c r="A1104" s="694"/>
      <c r="B1104" s="298"/>
      <c r="C1104" s="1302"/>
      <c r="D1104" s="1306"/>
      <c r="E1104" s="1306"/>
      <c r="F1104" s="1306"/>
      <c r="G1104" s="1306"/>
      <c r="H1104" s="1306"/>
      <c r="I1104" s="1354"/>
      <c r="J1104" s="1306"/>
      <c r="K1104" s="1306"/>
      <c r="L1104" s="1306"/>
      <c r="M1104" s="1306"/>
      <c r="N1104" s="1316"/>
      <c r="O1104" s="302"/>
      <c r="P1104" s="302"/>
      <c r="Q1104" s="729"/>
      <c r="R1104" s="694"/>
      <c r="S1104" s="729"/>
      <c r="T1104" s="694"/>
      <c r="U1104" s="694"/>
      <c r="V1104" s="694"/>
      <c r="W1104" s="694"/>
      <c r="X1104" s="694"/>
      <c r="Y1104" s="694"/>
      <c r="Z1104" s="694"/>
      <c r="AA1104" s="694"/>
      <c r="AB1104" s="694"/>
      <c r="AC1104" s="694"/>
      <c r="AD1104" s="694"/>
      <c r="AE1104" s="694"/>
      <c r="AF1104" s="694"/>
      <c r="AG1104" s="694"/>
      <c r="AH1104" s="694"/>
      <c r="AI1104" s="694"/>
      <c r="AJ1104" s="694"/>
      <c r="AK1104" s="694"/>
      <c r="AL1104" s="694"/>
    </row>
    <row r="1105" spans="1:38" ht="12.75" customHeight="1" x14ac:dyDescent="0.25">
      <c r="A1105" s="694"/>
      <c r="B1105" s="298"/>
      <c r="C1105" s="1302"/>
      <c r="D1105" s="1307" t="s">
        <v>493</v>
      </c>
      <c r="E1105" s="2815" t="str">
        <f>Translations!$B$246</f>
        <v>Производство на електроенергия</v>
      </c>
      <c r="F1105" s="2240"/>
      <c r="G1105" s="2240"/>
      <c r="H1105" s="2240"/>
      <c r="I1105" s="2240"/>
      <c r="J1105" s="2240"/>
      <c r="K1105" s="2240"/>
      <c r="L1105" s="2240"/>
      <c r="M1105" s="2240"/>
      <c r="N1105" s="2811"/>
      <c r="O1105" s="302"/>
      <c r="P1105" s="302"/>
      <c r="Q1105" s="729"/>
      <c r="R1105" s="694"/>
      <c r="S1105" s="729"/>
      <c r="T1105" s="694"/>
      <c r="U1105" s="694"/>
      <c r="V1105" s="694"/>
      <c r="W1105" s="694"/>
      <c r="X1105" s="694"/>
      <c r="Y1105" s="694"/>
      <c r="Z1105" s="694"/>
      <c r="AA1105" s="694"/>
      <c r="AB1105" s="694"/>
      <c r="AC1105" s="694"/>
      <c r="AD1105" s="694"/>
      <c r="AE1105" s="694"/>
      <c r="AF1105" s="694"/>
      <c r="AG1105" s="694"/>
      <c r="AH1105" s="694"/>
      <c r="AI1105" s="694"/>
      <c r="AJ1105" s="694"/>
      <c r="AK1105" s="694"/>
      <c r="AL1105" s="694"/>
    </row>
    <row r="1106" spans="1:38" ht="12.75" customHeight="1" x14ac:dyDescent="0.25">
      <c r="A1106" s="694"/>
      <c r="B1106" s="298"/>
      <c r="C1106" s="1302"/>
      <c r="D1106" s="625"/>
      <c r="E1106" s="2816" t="str">
        <f>Translations!$B$593</f>
        <v>Посочените тук данни ще се отразят на емисиите, които могат да бъдат зададени съгласно раздел 10 от приложение VII към ПБР.</v>
      </c>
      <c r="F1106" s="2240"/>
      <c r="G1106" s="2240"/>
      <c r="H1106" s="2240"/>
      <c r="I1106" s="2240"/>
      <c r="J1106" s="2240"/>
      <c r="K1106" s="2240"/>
      <c r="L1106" s="2240"/>
      <c r="M1106" s="2240"/>
      <c r="N1106" s="2811"/>
      <c r="O1106" s="302"/>
      <c r="P1106" s="302"/>
      <c r="Q1106" s="729"/>
      <c r="R1106" s="694"/>
      <c r="S1106" s="729"/>
      <c r="T1106" s="729"/>
      <c r="U1106" s="729"/>
      <c r="V1106" s="729"/>
      <c r="W1106" s="694"/>
      <c r="X1106" s="694"/>
      <c r="Y1106" s="694"/>
      <c r="Z1106" s="694"/>
      <c r="AA1106" s="694"/>
      <c r="AB1106" s="694"/>
      <c r="AC1106" s="694"/>
      <c r="AD1106" s="694"/>
      <c r="AE1106" s="694"/>
      <c r="AF1106" s="694"/>
      <c r="AG1106" s="694"/>
      <c r="AH1106" s="694"/>
      <c r="AI1106" s="694"/>
      <c r="AJ1106" s="694"/>
      <c r="AK1106" s="694"/>
      <c r="AL1106" s="694"/>
    </row>
    <row r="1107" spans="1:38" ht="25.5" customHeight="1" thickBot="1" x14ac:dyDescent="0.3">
      <c r="A1107" s="694"/>
      <c r="B1107" s="298"/>
      <c r="C1107" s="1302"/>
      <c r="D1107" s="1306"/>
      <c r="E1107" s="2810" t="str">
        <f>Translations!$B$594</f>
        <v>Това включва електроенергията, произведена директно от тази подинсталация, съгласно раздел 3.1, буква и) от приложение IV към ПБР. Електроенергията, произведена чрез междинна измерима топлинна енергия, не се посочват тук, а като подадена измерима топлинна енергия в k).v по-горе.</v>
      </c>
      <c r="F1107" s="2240"/>
      <c r="G1107" s="2240"/>
      <c r="H1107" s="2240"/>
      <c r="I1107" s="2240"/>
      <c r="J1107" s="2240"/>
      <c r="K1107" s="2240"/>
      <c r="L1107" s="2240"/>
      <c r="M1107" s="2240"/>
      <c r="N1107" s="2811"/>
      <c r="O1107" s="302"/>
      <c r="P1107" s="302"/>
      <c r="Q1107" s="729"/>
      <c r="R1107" s="694"/>
      <c r="S1107" s="729"/>
      <c r="T1107" s="694"/>
      <c r="U1107" s="694"/>
      <c r="V1107" s="694"/>
      <c r="W1107" s="694"/>
      <c r="X1107" s="694"/>
      <c r="Y1107" s="694"/>
      <c r="Z1107" s="694"/>
      <c r="AA1107" s="694"/>
      <c r="AB1107" s="694"/>
      <c r="AC1107" s="694"/>
      <c r="AD1107" s="694"/>
      <c r="AE1107" s="694"/>
      <c r="AF1107" s="694"/>
      <c r="AG1107" s="694"/>
      <c r="AH1107" s="694"/>
      <c r="AI1107" s="694"/>
      <c r="AJ1107" s="694"/>
      <c r="AK1107" s="694"/>
      <c r="AL1107" s="694"/>
    </row>
    <row r="1108" spans="1:38" ht="12.75" customHeight="1" thickBot="1" x14ac:dyDescent="0.3">
      <c r="A1108" s="694"/>
      <c r="B1108" s="298"/>
      <c r="C1108" s="1302"/>
      <c r="D1108" s="1307"/>
      <c r="E1108" s="1317"/>
      <c r="F1108" s="1318"/>
      <c r="G1108" s="1309" t="str">
        <f>EUconst_Unit</f>
        <v>Единица мярка</v>
      </c>
      <c r="H1108" s="629">
        <f t="shared" ref="H1108:N1108" si="1402">H$2831</f>
        <v>2024</v>
      </c>
      <c r="I1108" s="1310">
        <f t="shared" si="1402"/>
        <v>2025</v>
      </c>
      <c r="J1108" s="1311">
        <f t="shared" si="1402"/>
        <v>2026</v>
      </c>
      <c r="K1108" s="629">
        <f t="shared" si="1402"/>
        <v>2027</v>
      </c>
      <c r="L1108" s="629">
        <f t="shared" si="1402"/>
        <v>2028</v>
      </c>
      <c r="M1108" s="629">
        <f t="shared" si="1402"/>
        <v>2029</v>
      </c>
      <c r="N1108" s="1312">
        <f t="shared" si="1402"/>
        <v>2030</v>
      </c>
      <c r="O1108" s="302"/>
      <c r="P1108" s="302"/>
      <c r="Q1108" s="729"/>
      <c r="R1108" s="694"/>
      <c r="S1108" s="1205"/>
      <c r="T1108" s="1313">
        <f t="shared" ref="T1108" si="1403">H1108</f>
        <v>2024</v>
      </c>
      <c r="U1108" s="1313">
        <f t="shared" ref="U1108" si="1404">I1108</f>
        <v>2025</v>
      </c>
      <c r="V1108" s="1313">
        <f t="shared" ref="V1108" si="1405">J1108</f>
        <v>2026</v>
      </c>
      <c r="W1108" s="1313">
        <f t="shared" ref="W1108" si="1406">K1108</f>
        <v>2027</v>
      </c>
      <c r="X1108" s="1313">
        <f t="shared" ref="X1108" si="1407">L1108</f>
        <v>2028</v>
      </c>
      <c r="Y1108" s="1313">
        <f t="shared" ref="Y1108" si="1408">M1108</f>
        <v>2029</v>
      </c>
      <c r="Z1108" s="1314">
        <f t="shared" ref="Z1108" si="1409">N1108</f>
        <v>2030</v>
      </c>
      <c r="AA1108" s="694"/>
      <c r="AB1108" s="694"/>
      <c r="AC1108" s="1178">
        <f t="shared" ref="AC1108" si="1410">H$20</f>
        <v>2024</v>
      </c>
      <c r="AD1108" s="1178">
        <f t="shared" ref="AD1108" si="1411">I$20</f>
        <v>2025</v>
      </c>
      <c r="AE1108" s="1178">
        <f t="shared" ref="AE1108" si="1412">J$20</f>
        <v>2026</v>
      </c>
      <c r="AF1108" s="1178">
        <f t="shared" ref="AF1108" si="1413">K$20</f>
        <v>2027</v>
      </c>
      <c r="AG1108" s="1178">
        <f t="shared" ref="AG1108" si="1414">L$20</f>
        <v>2028</v>
      </c>
      <c r="AH1108" s="1178">
        <f t="shared" ref="AH1108" si="1415">M$20</f>
        <v>2029</v>
      </c>
      <c r="AI1108" s="1178">
        <f t="shared" ref="AI1108" si="1416">N$20</f>
        <v>2030</v>
      </c>
      <c r="AJ1108" s="694"/>
      <c r="AK1108" s="694"/>
      <c r="AL1108" s="694"/>
    </row>
    <row r="1109" spans="1:38" ht="12.75" customHeight="1" thickBot="1" x14ac:dyDescent="0.3">
      <c r="A1109" s="694"/>
      <c r="B1109" s="298"/>
      <c r="C1109" s="1302"/>
      <c r="D1109" s="625"/>
      <c r="E1109" s="2820" t="str">
        <f>Translations!$B$595</f>
        <v>Произведена електроенергия</v>
      </c>
      <c r="F1109" s="2258"/>
      <c r="G1109" s="1319" t="str">
        <f>EUconst_MWhpa</f>
        <v>MWh / година</v>
      </c>
      <c r="H1109" s="56"/>
      <c r="I1109" s="115"/>
      <c r="J1109" s="118"/>
      <c r="K1109" s="56"/>
      <c r="L1109" s="56"/>
      <c r="M1109" s="56"/>
      <c r="N1109" s="121"/>
      <c r="O1109" s="302"/>
      <c r="P1109" s="158"/>
      <c r="Q1109" s="1190" t="str">
        <f>EUconst_CNTR_ElectricityExported &amp; I856</f>
        <v>ElecEx_</v>
      </c>
      <c r="R1109" s="694"/>
      <c r="S1109" s="1315" t="str">
        <f>EUconst_CNTR_AttributedEmissions &amp; I856</f>
        <v>AttrEmissions_</v>
      </c>
      <c r="T1109" s="1290" t="str">
        <f t="shared" ref="T1109" si="1417">IF(T864,-SUM(H1109)*EUconst_ElBM,"")</f>
        <v/>
      </c>
      <c r="U1109" s="1290" t="str">
        <f t="shared" ref="U1109" si="1418">IF(U864,-SUM(I1109)*EUconst_ElBM,"")</f>
        <v/>
      </c>
      <c r="V1109" s="1290" t="str">
        <f t="shared" ref="V1109" si="1419">IF(V864,-SUM(J1109)*EUconst_ElBM,"")</f>
        <v/>
      </c>
      <c r="W1109" s="1290" t="str">
        <f t="shared" ref="W1109" si="1420">IF(W864,-SUM(K1109)*EUconst_ElBM,"")</f>
        <v/>
      </c>
      <c r="X1109" s="1290" t="str">
        <f t="shared" ref="X1109" si="1421">IF(X864,-SUM(L1109)*EUconst_ElBM,"")</f>
        <v/>
      </c>
      <c r="Y1109" s="1290" t="str">
        <f t="shared" ref="Y1109" si="1422">IF(Y864,-SUM(M1109)*EUconst_ElBM,"")</f>
        <v/>
      </c>
      <c r="Z1109" s="1291" t="str">
        <f t="shared" ref="Z1109" si="1423">IF(Z864,-SUM(N1109)*EUconst_ElBM,"")</f>
        <v/>
      </c>
      <c r="AA1109" s="694"/>
      <c r="AB1109" s="1182" t="s">
        <v>737</v>
      </c>
      <c r="AC1109" s="982" t="b">
        <f>AC903</f>
        <v>0</v>
      </c>
      <c r="AD1109" s="982" t="b">
        <f t="shared" ref="AD1109:AI1109" si="1424">AD903</f>
        <v>0</v>
      </c>
      <c r="AE1109" s="982" t="b">
        <f t="shared" si="1424"/>
        <v>0</v>
      </c>
      <c r="AF1109" s="982" t="b">
        <f t="shared" si="1424"/>
        <v>0</v>
      </c>
      <c r="AG1109" s="982" t="b">
        <f t="shared" si="1424"/>
        <v>0</v>
      </c>
      <c r="AH1109" s="982" t="b">
        <f t="shared" si="1424"/>
        <v>0</v>
      </c>
      <c r="AI1109" s="982" t="b">
        <f t="shared" si="1424"/>
        <v>0</v>
      </c>
      <c r="AJ1109" s="1174" t="s">
        <v>2039</v>
      </c>
      <c r="AK1109" s="1176" t="str">
        <f>IF(AND(CNTR_ExistSubInstEntries,MSconst_RequireSubAttrEmissions,COUNTIFS(AC1109:AI1109,FALSE,H1109:N1109,"")&gt;0),EUconst_Error&amp;"BM"&amp;$Q856,"")</f>
        <v/>
      </c>
      <c r="AL1109" s="694"/>
    </row>
    <row r="1110" spans="1:38" ht="12.75" customHeight="1" x14ac:dyDescent="0.25">
      <c r="A1110" s="694"/>
      <c r="B1110" s="298"/>
      <c r="C1110" s="1302"/>
      <c r="D1110" s="1306"/>
      <c r="E1110" s="1306"/>
      <c r="F1110" s="1306"/>
      <c r="G1110" s="1306"/>
      <c r="H1110" s="1306"/>
      <c r="I1110" s="1354"/>
      <c r="J1110" s="1306"/>
      <c r="K1110" s="1306"/>
      <c r="L1110" s="1306"/>
      <c r="M1110" s="1306"/>
      <c r="N1110" s="1316"/>
      <c r="O1110" s="302"/>
      <c r="P1110" s="302"/>
      <c r="Q1110" s="729"/>
      <c r="R1110" s="694"/>
      <c r="S1110" s="729"/>
      <c r="T1110" s="694"/>
      <c r="U1110" s="694"/>
      <c r="V1110" s="729"/>
      <c r="W1110" s="694"/>
      <c r="X1110" s="694"/>
      <c r="Y1110" s="694"/>
      <c r="Z1110" s="694"/>
      <c r="AA1110" s="694"/>
      <c r="AB1110" s="694"/>
      <c r="AC1110" s="694"/>
      <c r="AD1110" s="694"/>
      <c r="AE1110" s="694"/>
      <c r="AF1110" s="694"/>
      <c r="AG1110" s="694"/>
      <c r="AH1110" s="694"/>
      <c r="AI1110" s="694"/>
      <c r="AJ1110" s="694"/>
      <c r="AK1110" s="694"/>
      <c r="AL1110" s="694"/>
    </row>
    <row r="1111" spans="1:38" ht="12.75" customHeight="1" x14ac:dyDescent="0.25">
      <c r="A1111" s="694"/>
      <c r="B1111" s="298"/>
      <c r="C1111" s="1302"/>
      <c r="D1111" s="1307" t="s">
        <v>249</v>
      </c>
      <c r="E1111" s="2815" t="str">
        <f>Translations!$B$596</f>
        <v>Общо количество произведен пулп</v>
      </c>
      <c r="F1111" s="2240"/>
      <c r="G1111" s="2240"/>
      <c r="H1111" s="2240"/>
      <c r="I1111" s="2240"/>
      <c r="J1111" s="2240"/>
      <c r="K1111" s="2240"/>
      <c r="L1111" s="2240"/>
      <c r="M1111" s="2240"/>
      <c r="N1111" s="2811"/>
      <c r="O1111" s="302"/>
      <c r="P1111" s="302"/>
      <c r="Q1111" s="694"/>
      <c r="R1111" s="694"/>
      <c r="S1111" s="694"/>
      <c r="T1111" s="694"/>
      <c r="U1111" s="694"/>
      <c r="V1111" s="729"/>
      <c r="W1111" s="694"/>
      <c r="X1111" s="694"/>
      <c r="Y1111" s="694"/>
      <c r="Z1111" s="694"/>
      <c r="AA1111" s="694"/>
      <c r="AB1111" s="694"/>
      <c r="AC1111" s="694"/>
      <c r="AD1111" s="694"/>
      <c r="AE1111" s="694"/>
      <c r="AF1111" s="694"/>
      <c r="AG1111" s="694"/>
      <c r="AH1111" s="694"/>
      <c r="AI1111" s="694"/>
      <c r="AJ1111" s="694"/>
      <c r="AK1111" s="694"/>
      <c r="AL1111" s="694"/>
    </row>
    <row r="1112" spans="1:38" ht="25.5" customHeight="1" x14ac:dyDescent="0.25">
      <c r="A1112" s="694"/>
      <c r="B1112" s="298"/>
      <c r="C1112" s="1302"/>
      <c r="D1112" s="1306"/>
      <c r="E1112" s="2810" t="str">
        <f>Translations!$B$597</f>
        <v>Съгласно раздел 2.7, буква к) от приложение IV към ПБР се отчита общото количество пулп, произведен за подинсталации с продуктов показател за късовлакнест крафт-пулп, дълговлакнест крафт-пулп, термомеханичен пулп и механичен пулп или сулфитен пулп.</v>
      </c>
      <c r="F1112" s="2240"/>
      <c r="G1112" s="2240"/>
      <c r="H1112" s="2240"/>
      <c r="I1112" s="2240"/>
      <c r="J1112" s="2240"/>
      <c r="K1112" s="2240"/>
      <c r="L1112" s="2240"/>
      <c r="M1112" s="2240"/>
      <c r="N1112" s="2811"/>
      <c r="O1112" s="302"/>
      <c r="P1112" s="302"/>
      <c r="Q1112" s="729"/>
      <c r="R1112" s="694"/>
      <c r="S1112" s="729"/>
      <c r="T1112" s="694"/>
      <c r="U1112" s="694"/>
      <c r="V1112" s="729"/>
      <c r="W1112" s="694"/>
      <c r="X1112" s="694"/>
      <c r="Y1112" s="694"/>
      <c r="Z1112" s="694"/>
      <c r="AA1112" s="694"/>
      <c r="AB1112" s="694"/>
      <c r="AC1112" s="694"/>
      <c r="AD1112" s="694"/>
      <c r="AE1112" s="694"/>
      <c r="AF1112" s="694"/>
      <c r="AG1112" s="694"/>
      <c r="AH1112" s="694"/>
      <c r="AI1112" s="694"/>
      <c r="AJ1112" s="694"/>
      <c r="AK1112" s="694"/>
      <c r="AL1112" s="694"/>
    </row>
    <row r="1113" spans="1:38" ht="12.75" customHeight="1" x14ac:dyDescent="0.25">
      <c r="A1113" s="694"/>
      <c r="B1113" s="298"/>
      <c r="C1113" s="1302"/>
      <c r="D1113" s="1306"/>
      <c r="E1113" s="2810" t="str">
        <f>Translations!$B$598</f>
        <v>Този раздел ще бъде защрихован в сиво, ако тази подинсталация не е една от тези видове подинсталации за производство на пулп. В такъв случай, моля, продължете с точките по-долу.</v>
      </c>
      <c r="F1113" s="2240"/>
      <c r="G1113" s="2240"/>
      <c r="H1113" s="2240"/>
      <c r="I1113" s="2240"/>
      <c r="J1113" s="2240"/>
      <c r="K1113" s="2240"/>
      <c r="L1113" s="2240"/>
      <c r="M1113" s="2240"/>
      <c r="N1113" s="2811"/>
      <c r="O1113" s="302"/>
      <c r="P1113" s="302"/>
      <c r="Q1113" s="729"/>
      <c r="R1113" s="694"/>
      <c r="S1113" s="729"/>
      <c r="T1113" s="694"/>
      <c r="U1113" s="694"/>
      <c r="V1113" s="729"/>
      <c r="W1113" s="694"/>
      <c r="X1113" s="694"/>
      <c r="Y1113" s="694"/>
      <c r="Z1113" s="694"/>
      <c r="AA1113" s="694"/>
      <c r="AB1113" s="694"/>
      <c r="AC1113" s="694"/>
      <c r="AD1113" s="694"/>
      <c r="AE1113" s="694"/>
      <c r="AF1113" s="694"/>
      <c r="AG1113" s="694"/>
      <c r="AH1113" s="694"/>
      <c r="AI1113" s="694"/>
      <c r="AJ1113" s="694"/>
      <c r="AK1113" s="694"/>
      <c r="AL1113" s="694"/>
    </row>
    <row r="1114" spans="1:38" ht="12.75" customHeight="1" thickBot="1" x14ac:dyDescent="0.3">
      <c r="A1114" s="694"/>
      <c r="B1114" s="298"/>
      <c r="C1114" s="1302"/>
      <c r="D1114" s="625"/>
      <c r="E1114" s="2812" t="str">
        <f>Translations!$B$599</f>
        <v>Посочените тук данни ще са необходими при актуализацията на конкретния показател за пулп.</v>
      </c>
      <c r="F1114" s="2672"/>
      <c r="G1114" s="2672"/>
      <c r="H1114" s="2672"/>
      <c r="I1114" s="2672"/>
      <c r="J1114" s="2672"/>
      <c r="K1114" s="2672"/>
      <c r="L1114" s="2672"/>
      <c r="M1114" s="2672"/>
      <c r="N1114" s="2813"/>
      <c r="O1114" s="302"/>
      <c r="P1114" s="302"/>
      <c r="Q1114" s="729"/>
      <c r="R1114" s="694"/>
      <c r="S1114" s="729"/>
      <c r="T1114" s="694"/>
      <c r="U1114" s="694"/>
      <c r="V1114" s="729"/>
      <c r="W1114" s="694"/>
      <c r="X1114" s="694"/>
      <c r="Y1114" s="694"/>
      <c r="Z1114" s="694"/>
      <c r="AA1114" s="694"/>
      <c r="AB1114" s="694"/>
      <c r="AC1114" s="1178">
        <f t="shared" ref="AC1114" si="1425">H$20</f>
        <v>2024</v>
      </c>
      <c r="AD1114" s="1178">
        <f t="shared" ref="AD1114" si="1426">I$20</f>
        <v>2025</v>
      </c>
      <c r="AE1114" s="1178">
        <f t="shared" ref="AE1114" si="1427">J$20</f>
        <v>2026</v>
      </c>
      <c r="AF1114" s="1178">
        <f t="shared" ref="AF1114" si="1428">K$20</f>
        <v>2027</v>
      </c>
      <c r="AG1114" s="1178">
        <f t="shared" ref="AG1114" si="1429">L$20</f>
        <v>2028</v>
      </c>
      <c r="AH1114" s="1178">
        <f t="shared" ref="AH1114" si="1430">M$20</f>
        <v>2029</v>
      </c>
      <c r="AI1114" s="1178">
        <f t="shared" ref="AI1114" si="1431">N$20</f>
        <v>2030</v>
      </c>
      <c r="AJ1114" s="694"/>
      <c r="AK1114" s="694"/>
      <c r="AL1114" s="694"/>
    </row>
    <row r="1115" spans="1:38" ht="12.75" customHeight="1" x14ac:dyDescent="0.25">
      <c r="A1115" s="694"/>
      <c r="B1115" s="298"/>
      <c r="C1115" s="1302"/>
      <c r="D1115" s="625"/>
      <c r="E1115" s="2814" t="str">
        <f>IF(I856="","",IF(INDEX(EUconst_BMlistPulp,MATCH(I856,EUconst_BMlistNames,0)),I856,""))</f>
        <v/>
      </c>
      <c r="F1115" s="2258"/>
      <c r="G1115" s="1319" t="str">
        <f>EUconst_Tons</f>
        <v>тона</v>
      </c>
      <c r="H1115" s="56"/>
      <c r="I1115" s="115"/>
      <c r="J1115" s="118"/>
      <c r="K1115" s="56"/>
      <c r="L1115" s="56"/>
      <c r="M1115" s="56"/>
      <c r="N1115" s="121"/>
      <c r="O1115" s="302"/>
      <c r="P1115" s="158"/>
      <c r="Q1115" s="1190" t="str">
        <f>EUconst_CNTR_HALPulpTotal &amp; I856</f>
        <v>HALPulpTotal_</v>
      </c>
      <c r="R1115" s="694"/>
      <c r="S1115" s="729"/>
      <c r="T1115" s="694"/>
      <c r="U1115" s="694"/>
      <c r="V1115" s="694"/>
      <c r="W1115" s="694"/>
      <c r="X1115" s="694"/>
      <c r="Y1115" s="694"/>
      <c r="Z1115" s="694"/>
      <c r="AA1115" s="694"/>
      <c r="AB1115" s="1182" t="s">
        <v>737</v>
      </c>
      <c r="AC1115" s="901" t="b">
        <f t="shared" ref="AC1115:AI1115" si="1432">IF($I856&lt;&gt;"",IF(INDEX(EUconst_BMlistPulp,MATCH($I856,EUconst_BMlistNames,0))=TRUE,FALSE,TRUE),AC903)</f>
        <v>0</v>
      </c>
      <c r="AD1115" s="982" t="b">
        <f t="shared" si="1432"/>
        <v>0</v>
      </c>
      <c r="AE1115" s="982" t="b">
        <f t="shared" si="1432"/>
        <v>0</v>
      </c>
      <c r="AF1115" s="982" t="b">
        <f t="shared" si="1432"/>
        <v>0</v>
      </c>
      <c r="AG1115" s="982" t="b">
        <f t="shared" si="1432"/>
        <v>0</v>
      </c>
      <c r="AH1115" s="982" t="b">
        <f t="shared" si="1432"/>
        <v>0</v>
      </c>
      <c r="AI1115" s="982" t="b">
        <f t="shared" si="1432"/>
        <v>0</v>
      </c>
      <c r="AJ1115" s="1174" t="s">
        <v>2039</v>
      </c>
      <c r="AK1115" s="1176" t="str">
        <f>IF(AND(CNTR_ExistSubInstEntries,MSconst_RequireSubAttrEmissions,COUNTIFS(AC1115:AI1115,FALSE,H1115:N1115,"")&gt;0),EUconst_Error&amp;"BM"&amp;$Q856,"")</f>
        <v/>
      </c>
      <c r="AL1115" s="694"/>
    </row>
    <row r="1116" spans="1:38" ht="12.75" customHeight="1" x14ac:dyDescent="0.25">
      <c r="A1116" s="694"/>
      <c r="B1116" s="298"/>
      <c r="C1116" s="1302"/>
      <c r="D1116" s="625"/>
      <c r="E1116" s="625"/>
      <c r="F1116" s="625"/>
      <c r="G1116" s="625"/>
      <c r="H1116" s="1354"/>
      <c r="I1116" s="625"/>
      <c r="J1116" s="625"/>
      <c r="K1116" s="625"/>
      <c r="L1116" s="625"/>
      <c r="M1116" s="625"/>
      <c r="N1116" s="1348"/>
      <c r="O1116" s="302"/>
      <c r="P1116" s="302"/>
      <c r="Q1116" s="729"/>
      <c r="R1116" s="694"/>
      <c r="S1116" s="729"/>
      <c r="T1116" s="694"/>
      <c r="U1116" s="694"/>
      <c r="V1116" s="729"/>
      <c r="W1116" s="694"/>
      <c r="X1116" s="694"/>
      <c r="Y1116" s="694"/>
      <c r="Z1116" s="694"/>
      <c r="AA1116" s="694"/>
      <c r="AB1116" s="694"/>
      <c r="AC1116" s="694"/>
      <c r="AD1116" s="694"/>
      <c r="AE1116" s="694"/>
      <c r="AF1116" s="694"/>
      <c r="AG1116" s="694"/>
      <c r="AH1116" s="694"/>
      <c r="AI1116" s="694"/>
      <c r="AJ1116" s="694"/>
      <c r="AK1116" s="694"/>
      <c r="AL1116" s="694"/>
    </row>
    <row r="1117" spans="1:38" ht="12.75" customHeight="1" x14ac:dyDescent="0.25">
      <c r="A1117" s="694"/>
      <c r="B1117" s="298"/>
      <c r="C1117" s="1302"/>
      <c r="D1117" s="1307" t="s">
        <v>852</v>
      </c>
      <c r="E1117" s="2815" t="str">
        <f>Translations!$B$600</f>
        <v>Получаване или подаване на междинни продукти, обхванати от продуктови показатели</v>
      </c>
      <c r="F1117" s="2240"/>
      <c r="G1117" s="2240"/>
      <c r="H1117" s="2240"/>
      <c r="I1117" s="2240"/>
      <c r="J1117" s="2240"/>
      <c r="K1117" s="2240"/>
      <c r="L1117" s="2240"/>
      <c r="M1117" s="2240"/>
      <c r="N1117" s="2811"/>
      <c r="O1117" s="302"/>
      <c r="P1117" s="302"/>
      <c r="Q1117" s="729"/>
      <c r="R1117" s="694"/>
      <c r="S1117" s="729"/>
      <c r="T1117" s="694"/>
      <c r="U1117" s="694"/>
      <c r="V1117" s="729"/>
      <c r="W1117" s="694"/>
      <c r="X1117" s="694"/>
      <c r="Y1117" s="694"/>
      <c r="Z1117" s="694"/>
      <c r="AA1117" s="694"/>
      <c r="AB1117" s="694"/>
      <c r="AC1117" s="694"/>
      <c r="AD1117" s="694"/>
      <c r="AE1117" s="694"/>
      <c r="AF1117" s="694"/>
      <c r="AG1117" s="694"/>
      <c r="AH1117" s="694"/>
      <c r="AI1117" s="694"/>
      <c r="AJ1117" s="694"/>
      <c r="AK1117" s="694"/>
      <c r="AL1117" s="694"/>
    </row>
    <row r="1118" spans="1:38" ht="25.5" customHeight="1" x14ac:dyDescent="0.25">
      <c r="A1118" s="694"/>
      <c r="B1118" s="298"/>
      <c r="C1118" s="1302"/>
      <c r="D1118" s="1306"/>
      <c r="E1118" s="2810" t="str">
        <f>Translations!$B$601</f>
        <v>За да се избегне двойно отчитане или пропуски в зададените емисии при определянето на актуализираните показатели, съгласно изискванията на раздел 2.7, буква г) от приложение IV към ПБР е необходимо да подадете данни за получените или подадените междинни продукти, обхванати от който и да било от продуктовите показатели, изброени в приложение I към ПБР.</v>
      </c>
      <c r="F1118" s="2240"/>
      <c r="G1118" s="2240"/>
      <c r="H1118" s="2240"/>
      <c r="I1118" s="2240"/>
      <c r="J1118" s="2240"/>
      <c r="K1118" s="2240"/>
      <c r="L1118" s="2240"/>
      <c r="M1118" s="2240"/>
      <c r="N1118" s="2811"/>
      <c r="O1118" s="302"/>
      <c r="P1118" s="302"/>
      <c r="Q1118" s="729"/>
      <c r="R1118" s="694"/>
      <c r="S1118" s="729"/>
      <c r="T1118" s="694"/>
      <c r="U1118" s="694"/>
      <c r="V1118" s="729"/>
      <c r="W1118" s="694"/>
      <c r="X1118" s="694"/>
      <c r="Y1118" s="694"/>
      <c r="Z1118" s="694"/>
      <c r="AA1118" s="694"/>
      <c r="AB1118" s="694"/>
      <c r="AC1118" s="694"/>
      <c r="AD1118" s="694"/>
      <c r="AE1118" s="694"/>
      <c r="AF1118" s="694"/>
      <c r="AG1118" s="694"/>
      <c r="AH1118" s="694"/>
      <c r="AI1118" s="694"/>
      <c r="AJ1118" s="694"/>
      <c r="AK1118" s="694"/>
      <c r="AL1118" s="694"/>
    </row>
    <row r="1119" spans="1:38" ht="12.75" customHeight="1" x14ac:dyDescent="0.25">
      <c r="A1119" s="694"/>
      <c r="B1119" s="298"/>
      <c r="C1119" s="1302"/>
      <c r="D1119" s="1306"/>
      <c r="E1119" s="2816" t="str">
        <f>Translations!$B$602</f>
        <v>Посочените тук данни могат да се отразят на актуализацията на конкретния показател.</v>
      </c>
      <c r="F1119" s="2240"/>
      <c r="G1119" s="2240"/>
      <c r="H1119" s="2240"/>
      <c r="I1119" s="2240"/>
      <c r="J1119" s="2240"/>
      <c r="K1119" s="2240"/>
      <c r="L1119" s="2240"/>
      <c r="M1119" s="2240"/>
      <c r="N1119" s="2811"/>
      <c r="O1119" s="302"/>
      <c r="P1119" s="302"/>
      <c r="Q1119" s="729"/>
      <c r="R1119" s="694"/>
      <c r="S1119" s="729"/>
      <c r="T1119" s="694"/>
      <c r="U1119" s="694"/>
      <c r="V1119" s="729"/>
      <c r="W1119" s="694"/>
      <c r="X1119" s="694"/>
      <c r="Y1119" s="694"/>
      <c r="Z1119" s="694"/>
      <c r="AA1119" s="694"/>
      <c r="AB1119" s="694"/>
      <c r="AC1119" s="694"/>
      <c r="AD1119" s="694"/>
      <c r="AE1119" s="694"/>
      <c r="AF1119" s="694"/>
      <c r="AG1119" s="694"/>
      <c r="AH1119" s="694"/>
      <c r="AI1119" s="694"/>
      <c r="AJ1119" s="694"/>
      <c r="AK1119" s="694"/>
      <c r="AL1119" s="694"/>
    </row>
    <row r="1120" spans="1:38" ht="12.75" customHeight="1" x14ac:dyDescent="0.25">
      <c r="A1120" s="694"/>
      <c r="B1120" s="698"/>
      <c r="C1120" s="1302"/>
      <c r="D1120" s="625" t="s">
        <v>6</v>
      </c>
      <c r="E1120" s="2817" t="str">
        <f>Translations!$B$603</f>
        <v>Има ли получени или подадени междинни продукти, които са обхванати от продуктови показатели?</v>
      </c>
      <c r="F1120" s="2240"/>
      <c r="G1120" s="2240"/>
      <c r="H1120" s="2240"/>
      <c r="I1120" s="2240"/>
      <c r="J1120" s="2240"/>
      <c r="K1120" s="2684"/>
      <c r="L1120" s="83"/>
      <c r="M1120" s="1304"/>
      <c r="N1120" s="1372"/>
      <c r="O1120" s="302"/>
      <c r="P1120" s="158"/>
      <c r="Q1120" s="694"/>
      <c r="R1120" s="694"/>
      <c r="S1120" s="694"/>
      <c r="T1120" s="694"/>
      <c r="U1120" s="694"/>
      <c r="V1120" s="694"/>
      <c r="W1120" s="694"/>
      <c r="X1120" s="694"/>
      <c r="Y1120" s="694"/>
      <c r="Z1120" s="694"/>
      <c r="AA1120" s="694"/>
      <c r="AB1120" s="694"/>
      <c r="AC1120" s="694"/>
      <c r="AD1120" s="694"/>
      <c r="AE1120" s="694"/>
      <c r="AF1120" s="1182" t="s">
        <v>737</v>
      </c>
      <c r="AG1120" s="901" t="b">
        <f>AND(CNTR_ExistSubInstEntries,I856="")</f>
        <v>0</v>
      </c>
      <c r="AH1120" s="694"/>
      <c r="AI1120" s="694"/>
      <c r="AJ1120" s="694"/>
      <c r="AK1120" s="694"/>
      <c r="AL1120" s="694"/>
    </row>
    <row r="1121" spans="1:38" ht="5.15" customHeight="1" x14ac:dyDescent="0.25">
      <c r="A1121" s="694"/>
      <c r="B1121" s="298"/>
      <c r="C1121" s="1302"/>
      <c r="D1121" s="625"/>
      <c r="E1121" s="625"/>
      <c r="F1121" s="625"/>
      <c r="G1121" s="625"/>
      <c r="H1121" s="1354"/>
      <c r="I1121" s="625"/>
      <c r="J1121" s="625"/>
      <c r="K1121" s="625"/>
      <c r="L1121" s="625"/>
      <c r="M1121" s="625"/>
      <c r="N1121" s="1348"/>
      <c r="O1121" s="302"/>
      <c r="P1121" s="302"/>
      <c r="Q1121" s="729"/>
      <c r="R1121" s="694"/>
      <c r="S1121" s="729"/>
      <c r="T1121" s="694"/>
      <c r="U1121" s="694"/>
      <c r="V1121" s="729"/>
      <c r="W1121" s="694"/>
      <c r="X1121" s="694"/>
      <c r="Y1121" s="694"/>
      <c r="Z1121" s="694"/>
      <c r="AA1121" s="694"/>
      <c r="AB1121" s="694"/>
      <c r="AC1121" s="694"/>
      <c r="AD1121" s="694"/>
      <c r="AE1121" s="694"/>
      <c r="AF1121" s="694"/>
      <c r="AG1121" s="694"/>
      <c r="AH1121" s="694"/>
      <c r="AI1121" s="694"/>
      <c r="AJ1121" s="694"/>
      <c r="AK1121" s="694"/>
      <c r="AL1121" s="694"/>
    </row>
    <row r="1122" spans="1:38" ht="12.75" customHeight="1" thickBot="1" x14ac:dyDescent="0.3">
      <c r="A1122" s="694"/>
      <c r="B1122" s="298"/>
      <c r="C1122" s="1302"/>
      <c r="D1122" s="1307"/>
      <c r="E1122" s="2803" t="str">
        <f>Translations!$B$604</f>
        <v>Получени количества:</v>
      </c>
      <c r="F1122" s="2672"/>
      <c r="G1122" s="627" t="str">
        <f>EUconst_Unit</f>
        <v>Единица мярка</v>
      </c>
      <c r="H1122" s="629">
        <f t="shared" ref="H1122:N1122" si="1433">H$2831</f>
        <v>2024</v>
      </c>
      <c r="I1122" s="1310">
        <f t="shared" si="1433"/>
        <v>2025</v>
      </c>
      <c r="J1122" s="1311">
        <f t="shared" si="1433"/>
        <v>2026</v>
      </c>
      <c r="K1122" s="629">
        <f t="shared" si="1433"/>
        <v>2027</v>
      </c>
      <c r="L1122" s="629">
        <f t="shared" si="1433"/>
        <v>2028</v>
      </c>
      <c r="M1122" s="629">
        <f t="shared" si="1433"/>
        <v>2029</v>
      </c>
      <c r="N1122" s="1312">
        <f t="shared" si="1433"/>
        <v>2030</v>
      </c>
      <c r="O1122" s="302"/>
      <c r="P1122" s="302"/>
      <c r="Q1122" s="729"/>
      <c r="R1122" s="694"/>
      <c r="S1122" s="729"/>
      <c r="T1122" s="694"/>
      <c r="U1122" s="694"/>
      <c r="V1122" s="729"/>
      <c r="W1122" s="694"/>
      <c r="X1122" s="694"/>
      <c r="Y1122" s="694"/>
      <c r="Z1122" s="694"/>
      <c r="AA1122" s="694"/>
      <c r="AB1122" s="694"/>
      <c r="AC1122" s="1178">
        <f t="shared" ref="AC1122" si="1434">H$20</f>
        <v>2024</v>
      </c>
      <c r="AD1122" s="1178">
        <f t="shared" ref="AD1122" si="1435">I$20</f>
        <v>2025</v>
      </c>
      <c r="AE1122" s="1178">
        <f t="shared" ref="AE1122" si="1436">J$20</f>
        <v>2026</v>
      </c>
      <c r="AF1122" s="1178">
        <f t="shared" ref="AF1122" si="1437">K$20</f>
        <v>2027</v>
      </c>
      <c r="AG1122" s="1178">
        <f t="shared" ref="AG1122" si="1438">L$20</f>
        <v>2028</v>
      </c>
      <c r="AH1122" s="1178">
        <f t="shared" ref="AH1122" si="1439">M$20</f>
        <v>2029</v>
      </c>
      <c r="AI1122" s="1178">
        <f t="shared" ref="AI1122" si="1440">N$20</f>
        <v>2030</v>
      </c>
      <c r="AJ1122" s="694"/>
      <c r="AK1122" s="694"/>
      <c r="AL1122" s="694"/>
    </row>
    <row r="1123" spans="1:38" ht="12.75" customHeight="1" x14ac:dyDescent="0.25">
      <c r="A1123" s="694"/>
      <c r="B1123" s="298"/>
      <c r="C1123" s="1302"/>
      <c r="D1123" s="625" t="s">
        <v>7</v>
      </c>
      <c r="E1123" s="2799"/>
      <c r="F1123" s="2800"/>
      <c r="G1123" s="1116" t="str">
        <f>IF(E1123&lt;&gt;"",INDEX(EUconst_BMlistUnits,MATCH(E1123,EUconst_BMlistNames,0)),EUconst_Tons)</f>
        <v>тона</v>
      </c>
      <c r="H1123" s="150"/>
      <c r="I1123" s="151"/>
      <c r="J1123" s="152"/>
      <c r="K1123" s="150"/>
      <c r="L1123" s="150"/>
      <c r="M1123" s="150"/>
      <c r="N1123" s="153"/>
      <c r="O1123" s="302"/>
      <c r="P1123" s="158"/>
      <c r="Q1123" s="1190" t="str">
        <f>EUconst_CNTR_IntermediateImport &amp; S1123 &amp; "_" &amp; I856</f>
        <v>IntImp_1_</v>
      </c>
      <c r="R1123" s="694"/>
      <c r="S1123" s="1190">
        <v>1</v>
      </c>
      <c r="T1123" s="694"/>
      <c r="U1123" s="694"/>
      <c r="V1123" s="729"/>
      <c r="W1123" s="694"/>
      <c r="X1123" s="694"/>
      <c r="Y1123" s="694"/>
      <c r="Z1123" s="694"/>
      <c r="AA1123" s="694"/>
      <c r="AB1123" s="1182" t="s">
        <v>737</v>
      </c>
      <c r="AC1123" s="901" t="b">
        <f>OR(AND($L1120&lt;&gt;"",$L1120=FALSE),AC903)</f>
        <v>0</v>
      </c>
      <c r="AD1123" s="982" t="b">
        <f t="shared" ref="AD1123:AI1123" si="1441">OR(AND($L1120&lt;&gt;"",$L1120=FALSE),AD903)</f>
        <v>0</v>
      </c>
      <c r="AE1123" s="982" t="b">
        <f t="shared" si="1441"/>
        <v>0</v>
      </c>
      <c r="AF1123" s="982" t="b">
        <f t="shared" si="1441"/>
        <v>0</v>
      </c>
      <c r="AG1123" s="982" t="b">
        <f t="shared" si="1441"/>
        <v>0</v>
      </c>
      <c r="AH1123" s="982" t="b">
        <f t="shared" si="1441"/>
        <v>0</v>
      </c>
      <c r="AI1123" s="982" t="b">
        <f t="shared" si="1441"/>
        <v>0</v>
      </c>
      <c r="AJ1123" s="1174" t="s">
        <v>2039</v>
      </c>
      <c r="AK1123" s="1176" t="str">
        <f>IF(AND(CNTR_ExistSubInstEntries,MSconst_RequireSubAttrEmissions,COUNTIFS(AC1123:AI1123,FALSE,H1123:N1123,"")&gt;0),EUconst_Error&amp;"BM"&amp;$Q856,"")</f>
        <v/>
      </c>
      <c r="AL1123" s="694"/>
    </row>
    <row r="1124" spans="1:38" ht="12.75" customHeight="1" x14ac:dyDescent="0.25">
      <c r="A1124" s="694"/>
      <c r="B1124" s="298"/>
      <c r="C1124" s="1302"/>
      <c r="D1124" s="625" t="s">
        <v>8</v>
      </c>
      <c r="E1124" s="2801"/>
      <c r="F1124" s="2802"/>
      <c r="G1124" s="1349" t="str">
        <f>IF(E1124&lt;&gt;"",INDEX(EUconst_BMlistUnits,MATCH(E1124,EUconst_BMlistNames,0)),EUconst_Tons)</f>
        <v>тона</v>
      </c>
      <c r="H1124" s="154"/>
      <c r="I1124" s="155"/>
      <c r="J1124" s="156"/>
      <c r="K1124" s="154"/>
      <c r="L1124" s="154"/>
      <c r="M1124" s="154"/>
      <c r="N1124" s="157"/>
      <c r="O1124" s="302"/>
      <c r="P1124" s="158"/>
      <c r="Q1124" s="1190" t="str">
        <f>EUconst_CNTR_IntermediateImport &amp; S1124 &amp; "_" &amp; I856</f>
        <v>IntImp_2_</v>
      </c>
      <c r="R1124" s="694"/>
      <c r="S1124" s="1190">
        <v>2</v>
      </c>
      <c r="T1124" s="694"/>
      <c r="U1124" s="694"/>
      <c r="V1124" s="729"/>
      <c r="W1124" s="694"/>
      <c r="X1124" s="694"/>
      <c r="Y1124" s="694"/>
      <c r="Z1124" s="694"/>
      <c r="AA1124" s="694"/>
      <c r="AB1124" s="694"/>
      <c r="AC1124" s="982" t="b">
        <f>AC1123</f>
        <v>0</v>
      </c>
      <c r="AD1124" s="982" t="b">
        <f t="shared" ref="AD1124:AI1124" si="1442">AD1123</f>
        <v>0</v>
      </c>
      <c r="AE1124" s="982" t="b">
        <f t="shared" si="1442"/>
        <v>0</v>
      </c>
      <c r="AF1124" s="982" t="b">
        <f t="shared" si="1442"/>
        <v>0</v>
      </c>
      <c r="AG1124" s="982" t="b">
        <f t="shared" si="1442"/>
        <v>0</v>
      </c>
      <c r="AH1124" s="982" t="b">
        <f t="shared" si="1442"/>
        <v>0</v>
      </c>
      <c r="AI1124" s="982" t="b">
        <f t="shared" si="1442"/>
        <v>0</v>
      </c>
      <c r="AJ1124" s="694"/>
      <c r="AK1124" s="694"/>
      <c r="AL1124" s="694"/>
    </row>
    <row r="1125" spans="1:38" ht="5.15" customHeight="1" x14ac:dyDescent="0.25">
      <c r="A1125" s="694"/>
      <c r="B1125" s="298"/>
      <c r="C1125" s="1302"/>
      <c r="D1125" s="625"/>
      <c r="E1125" s="625"/>
      <c r="F1125" s="625"/>
      <c r="G1125" s="625"/>
      <c r="H1125" s="625"/>
      <c r="I1125" s="625"/>
      <c r="J1125" s="625"/>
      <c r="K1125" s="625"/>
      <c r="L1125" s="625"/>
      <c r="M1125" s="625"/>
      <c r="N1125" s="1373"/>
      <c r="O1125" s="302"/>
      <c r="P1125" s="302"/>
      <c r="Q1125" s="729"/>
      <c r="R1125" s="694"/>
      <c r="S1125" s="729"/>
      <c r="T1125" s="694"/>
      <c r="U1125" s="694"/>
      <c r="V1125" s="729"/>
      <c r="W1125" s="694"/>
      <c r="X1125" s="694"/>
      <c r="Y1125" s="694"/>
      <c r="Z1125" s="694"/>
      <c r="AA1125" s="694"/>
      <c r="AB1125" s="694"/>
      <c r="AC1125" s="694"/>
      <c r="AD1125" s="694"/>
      <c r="AE1125" s="694"/>
      <c r="AF1125" s="694"/>
      <c r="AG1125" s="694"/>
      <c r="AH1125" s="694"/>
      <c r="AI1125" s="694"/>
      <c r="AJ1125" s="694"/>
      <c r="AK1125" s="694"/>
      <c r="AL1125" s="694"/>
    </row>
    <row r="1126" spans="1:38" ht="12.75" customHeight="1" thickBot="1" x14ac:dyDescent="0.3">
      <c r="A1126" s="694"/>
      <c r="B1126" s="298"/>
      <c r="C1126" s="1302"/>
      <c r="D1126" s="1307"/>
      <c r="E1126" s="2803" t="str">
        <f>Translations!$B$605</f>
        <v>Подадени количества:</v>
      </c>
      <c r="F1126" s="2672"/>
      <c r="G1126" s="627" t="str">
        <f>EUconst_Unit</f>
        <v>Единица мярка</v>
      </c>
      <c r="H1126" s="629">
        <f t="shared" ref="H1126:N1126" si="1443">H$2831</f>
        <v>2024</v>
      </c>
      <c r="I1126" s="1310">
        <f t="shared" si="1443"/>
        <v>2025</v>
      </c>
      <c r="J1126" s="1311">
        <f t="shared" si="1443"/>
        <v>2026</v>
      </c>
      <c r="K1126" s="629">
        <f t="shared" si="1443"/>
        <v>2027</v>
      </c>
      <c r="L1126" s="629">
        <f t="shared" si="1443"/>
        <v>2028</v>
      </c>
      <c r="M1126" s="629">
        <f t="shared" si="1443"/>
        <v>2029</v>
      </c>
      <c r="N1126" s="1312">
        <f t="shared" si="1443"/>
        <v>2030</v>
      </c>
      <c r="O1126" s="302"/>
      <c r="P1126" s="302"/>
      <c r="Q1126" s="729"/>
      <c r="R1126" s="694"/>
      <c r="S1126" s="729"/>
      <c r="T1126" s="694"/>
      <c r="U1126" s="694"/>
      <c r="V1126" s="729"/>
      <c r="W1126" s="694"/>
      <c r="X1126" s="694"/>
      <c r="Y1126" s="694"/>
      <c r="Z1126" s="694"/>
      <c r="AA1126" s="694"/>
      <c r="AB1126" s="694"/>
      <c r="AC1126" s="1178">
        <f t="shared" ref="AC1126" si="1444">H$20</f>
        <v>2024</v>
      </c>
      <c r="AD1126" s="1178">
        <f t="shared" ref="AD1126" si="1445">I$20</f>
        <v>2025</v>
      </c>
      <c r="AE1126" s="1178">
        <f t="shared" ref="AE1126" si="1446">J$20</f>
        <v>2026</v>
      </c>
      <c r="AF1126" s="1178">
        <f t="shared" ref="AF1126" si="1447">K$20</f>
        <v>2027</v>
      </c>
      <c r="AG1126" s="1178">
        <f t="shared" ref="AG1126" si="1448">L$20</f>
        <v>2028</v>
      </c>
      <c r="AH1126" s="1178">
        <f t="shared" ref="AH1126" si="1449">M$20</f>
        <v>2029</v>
      </c>
      <c r="AI1126" s="1178">
        <f t="shared" ref="AI1126" si="1450">N$20</f>
        <v>2030</v>
      </c>
      <c r="AJ1126" s="694"/>
      <c r="AK1126" s="694"/>
      <c r="AL1126" s="694"/>
    </row>
    <row r="1127" spans="1:38" ht="12.75" customHeight="1" x14ac:dyDescent="0.25">
      <c r="A1127" s="694"/>
      <c r="B1127" s="298"/>
      <c r="C1127" s="1302"/>
      <c r="D1127" s="625" t="s">
        <v>18</v>
      </c>
      <c r="E1127" s="2799"/>
      <c r="F1127" s="2800"/>
      <c r="G1127" s="1116" t="str">
        <f>IF(E1127&lt;&gt;"",INDEX(EUconst_BMlistUnits,MATCH(E1127,EUconst_BMlistNames,0)),EUconst_Tons)</f>
        <v>тона</v>
      </c>
      <c r="H1127" s="150"/>
      <c r="I1127" s="151"/>
      <c r="J1127" s="152"/>
      <c r="K1127" s="150"/>
      <c r="L1127" s="150"/>
      <c r="M1127" s="150"/>
      <c r="N1127" s="153"/>
      <c r="O1127" s="302"/>
      <c r="P1127" s="158"/>
      <c r="Q1127" s="1190" t="str">
        <f>EUconst_CNTR_IntermediateExport &amp; S1123 &amp; "_" &amp; I856</f>
        <v>IntExp_1_</v>
      </c>
      <c r="R1127" s="694"/>
      <c r="S1127" s="1190">
        <v>1</v>
      </c>
      <c r="T1127" s="694"/>
      <c r="U1127" s="694"/>
      <c r="V1127" s="729"/>
      <c r="W1127" s="694"/>
      <c r="X1127" s="1374"/>
      <c r="Y1127" s="1374"/>
      <c r="Z1127" s="694"/>
      <c r="AA1127" s="694"/>
      <c r="AB1127" s="1182" t="s">
        <v>737</v>
      </c>
      <c r="AC1127" s="982" t="b">
        <f>AC1123</f>
        <v>0</v>
      </c>
      <c r="AD1127" s="982" t="b">
        <f t="shared" ref="AD1127:AI1127" si="1451">AD1123</f>
        <v>0</v>
      </c>
      <c r="AE1127" s="982" t="b">
        <f t="shared" si="1451"/>
        <v>0</v>
      </c>
      <c r="AF1127" s="982" t="b">
        <f t="shared" si="1451"/>
        <v>0</v>
      </c>
      <c r="AG1127" s="982" t="b">
        <f t="shared" si="1451"/>
        <v>0</v>
      </c>
      <c r="AH1127" s="982" t="b">
        <f t="shared" si="1451"/>
        <v>0</v>
      </c>
      <c r="AI1127" s="982" t="b">
        <f t="shared" si="1451"/>
        <v>0</v>
      </c>
      <c r="AJ1127" s="1174" t="s">
        <v>2039</v>
      </c>
      <c r="AK1127" s="1176" t="str">
        <f>IF(AND(CNTR_ExistSubInstEntries,MSconst_RequireSubAttrEmissions,COUNTIFS(AC1127:AI1127,FALSE,H1127:N1127,"")&gt;0),EUconst_Error&amp;"BM"&amp;$Q856,"")</f>
        <v/>
      </c>
      <c r="AL1127" s="694"/>
    </row>
    <row r="1128" spans="1:38" ht="12.75" customHeight="1" x14ac:dyDescent="0.25">
      <c r="A1128" s="694"/>
      <c r="B1128" s="298"/>
      <c r="C1128" s="1302"/>
      <c r="D1128" s="625" t="s">
        <v>810</v>
      </c>
      <c r="E1128" s="2801"/>
      <c r="F1128" s="2802"/>
      <c r="G1128" s="1349" t="str">
        <f>IF(E1128&lt;&gt;"",INDEX(EUconst_BMlistUnits,MATCH(E1128,EUconst_BMlistNames,0)),EUconst_Tons)</f>
        <v>тона</v>
      </c>
      <c r="H1128" s="154"/>
      <c r="I1128" s="155"/>
      <c r="J1128" s="156"/>
      <c r="K1128" s="154"/>
      <c r="L1128" s="154"/>
      <c r="M1128" s="154"/>
      <c r="N1128" s="157"/>
      <c r="O1128" s="302"/>
      <c r="P1128" s="158"/>
      <c r="Q1128" s="1190" t="str">
        <f>EUconst_CNTR_IntermediateExport &amp; S1128 &amp; "_" &amp; I856</f>
        <v>IntExp_2_</v>
      </c>
      <c r="R1128" s="694"/>
      <c r="S1128" s="1190">
        <v>2</v>
      </c>
      <c r="T1128" s="694"/>
      <c r="U1128" s="694"/>
      <c r="V1128" s="729"/>
      <c r="W1128" s="694"/>
      <c r="X1128" s="1374"/>
      <c r="Y1128" s="1374"/>
      <c r="Z1128" s="694"/>
      <c r="AA1128" s="694"/>
      <c r="AB1128" s="694"/>
      <c r="AC1128" s="982" t="b">
        <f t="shared" ref="AC1128:AI1128" si="1452">AC1124</f>
        <v>0</v>
      </c>
      <c r="AD1128" s="982" t="b">
        <f t="shared" si="1452"/>
        <v>0</v>
      </c>
      <c r="AE1128" s="982" t="b">
        <f t="shared" si="1452"/>
        <v>0</v>
      </c>
      <c r="AF1128" s="982" t="b">
        <f t="shared" si="1452"/>
        <v>0</v>
      </c>
      <c r="AG1128" s="982" t="b">
        <f t="shared" si="1452"/>
        <v>0</v>
      </c>
      <c r="AH1128" s="982" t="b">
        <f t="shared" si="1452"/>
        <v>0</v>
      </c>
      <c r="AI1128" s="982" t="b">
        <f t="shared" si="1452"/>
        <v>0</v>
      </c>
      <c r="AJ1128" s="694"/>
      <c r="AK1128" s="694"/>
      <c r="AL1128" s="694"/>
    </row>
    <row r="1129" spans="1:38" ht="5.15" customHeight="1" x14ac:dyDescent="0.25">
      <c r="A1129" s="694"/>
      <c r="B1129" s="298"/>
      <c r="C1129" s="1302"/>
      <c r="D1129" s="625"/>
      <c r="E1129" s="625"/>
      <c r="F1129" s="625"/>
      <c r="G1129" s="625"/>
      <c r="H1129" s="625"/>
      <c r="I1129" s="625"/>
      <c r="J1129" s="625"/>
      <c r="K1129" s="625"/>
      <c r="L1129" s="625"/>
      <c r="M1129" s="625"/>
      <c r="N1129" s="1348"/>
      <c r="O1129" s="302"/>
      <c r="P1129" s="302"/>
      <c r="Q1129" s="729"/>
      <c r="R1129" s="694"/>
      <c r="S1129" s="729"/>
      <c r="T1129" s="694"/>
      <c r="U1129" s="694"/>
      <c r="V1129" s="729"/>
      <c r="W1129" s="694"/>
      <c r="X1129" s="1374"/>
      <c r="Y1129" s="1374"/>
      <c r="Z1129" s="694"/>
      <c r="AA1129" s="694"/>
      <c r="AB1129" s="694"/>
      <c r="AC1129" s="694"/>
      <c r="AD1129" s="694"/>
      <c r="AE1129" s="694"/>
      <c r="AF1129" s="694"/>
      <c r="AG1129" s="694"/>
      <c r="AH1129" s="694"/>
      <c r="AI1129" s="694"/>
      <c r="AJ1129" s="694"/>
      <c r="AK1129" s="694"/>
      <c r="AL1129" s="694"/>
    </row>
    <row r="1130" spans="1:38" ht="12.75" customHeight="1" x14ac:dyDescent="0.25">
      <c r="A1130" s="694"/>
      <c r="B1130" s="298"/>
      <c r="C1130" s="1302"/>
      <c r="D1130" s="625" t="s">
        <v>811</v>
      </c>
      <c r="E1130" s="626" t="str">
        <f>Translations!$B$606</f>
        <v>Описание на получените или подадените междинни продукти</v>
      </c>
      <c r="F1130" s="626"/>
      <c r="G1130" s="626"/>
      <c r="H1130" s="626"/>
      <c r="I1130" s="626"/>
      <c r="J1130" s="626"/>
      <c r="K1130" s="626"/>
      <c r="L1130" s="626"/>
      <c r="M1130" s="626"/>
      <c r="N1130" s="1348"/>
      <c r="O1130" s="302"/>
      <c r="P1130" s="302"/>
      <c r="Q1130" s="729"/>
      <c r="R1130" s="694"/>
      <c r="S1130" s="729"/>
      <c r="T1130" s="694"/>
      <c r="U1130" s="694"/>
      <c r="V1130" s="729"/>
      <c r="W1130" s="694"/>
      <c r="X1130" s="1374"/>
      <c r="Y1130" s="1374"/>
      <c r="Z1130" s="694"/>
      <c r="AA1130" s="694"/>
      <c r="AB1130" s="694"/>
      <c r="AC1130" s="694"/>
      <c r="AD1130" s="694"/>
      <c r="AE1130" s="694"/>
      <c r="AF1130" s="694"/>
      <c r="AG1130" s="694"/>
      <c r="AH1130" s="694"/>
      <c r="AI1130" s="694"/>
      <c r="AJ1130" s="694"/>
      <c r="AK1130" s="694"/>
      <c r="AL1130" s="694"/>
    </row>
    <row r="1131" spans="1:38" ht="12.75" customHeight="1" x14ac:dyDescent="0.25">
      <c r="A1131" s="694"/>
      <c r="B1131" s="298"/>
      <c r="C1131" s="1302"/>
      <c r="D1131" s="625"/>
      <c r="E1131" s="1375" t="str">
        <f>Translations!$B$607</f>
        <v>Моля, опишете накратко производствения процес във връзка с получени или подадени междинни продукти.</v>
      </c>
      <c r="F1131" s="1322"/>
      <c r="G1131" s="1322"/>
      <c r="H1131" s="1322"/>
      <c r="I1131" s="1322"/>
      <c r="J1131" s="1322"/>
      <c r="K1131" s="1322"/>
      <c r="L1131" s="1322"/>
      <c r="M1131" s="1322"/>
      <c r="N1131" s="1323"/>
      <c r="O1131" s="302"/>
      <c r="P1131" s="302"/>
      <c r="Q1131" s="729"/>
      <c r="R1131" s="694"/>
      <c r="S1131" s="729"/>
      <c r="T1131" s="694"/>
      <c r="U1131" s="694"/>
      <c r="V1131" s="729"/>
      <c r="W1131" s="694"/>
      <c r="X1131" s="1374"/>
      <c r="Y1131" s="1374"/>
      <c r="Z1131" s="694"/>
      <c r="AA1131" s="694"/>
      <c r="AB1131" s="694"/>
      <c r="AC1131" s="694"/>
      <c r="AD1131" s="694"/>
      <c r="AE1131" s="694"/>
      <c r="AF1131" s="694"/>
      <c r="AG1131" s="694"/>
      <c r="AH1131" s="694"/>
      <c r="AI1131" s="694"/>
      <c r="AJ1131" s="694"/>
      <c r="AK1131" s="694"/>
      <c r="AL1131" s="694"/>
    </row>
    <row r="1132" spans="1:38" ht="12.75" customHeight="1" x14ac:dyDescent="0.25">
      <c r="A1132" s="694"/>
      <c r="B1132" s="298"/>
      <c r="C1132" s="1302"/>
      <c r="D1132" s="625"/>
      <c r="E1132" s="2804"/>
      <c r="F1132" s="2805"/>
      <c r="G1132" s="2805"/>
      <c r="H1132" s="2805"/>
      <c r="I1132" s="2805"/>
      <c r="J1132" s="2805"/>
      <c r="K1132" s="2805"/>
      <c r="L1132" s="2805"/>
      <c r="M1132" s="2806"/>
      <c r="N1132" s="1348"/>
      <c r="O1132" s="302"/>
      <c r="P1132" s="158"/>
      <c r="Q1132" s="729"/>
      <c r="R1132" s="694"/>
      <c r="S1132" s="729"/>
      <c r="T1132" s="694"/>
      <c r="U1132" s="694"/>
      <c r="V1132" s="729"/>
      <c r="W1132" s="694"/>
      <c r="X1132" s="1374"/>
      <c r="Y1132" s="1374"/>
      <c r="Z1132" s="694"/>
      <c r="AA1132" s="694"/>
      <c r="AB1132" s="1182" t="s">
        <v>737</v>
      </c>
      <c r="AC1132" s="982" t="b">
        <f>AND(AC1127:AI1127)</f>
        <v>0</v>
      </c>
      <c r="AD1132" s="694"/>
      <c r="AE1132" s="694"/>
      <c r="AF1132" s="694"/>
      <c r="AG1132" s="694"/>
      <c r="AH1132" s="694"/>
      <c r="AI1132" s="694"/>
      <c r="AJ1132" s="694"/>
      <c r="AK1132" s="694"/>
      <c r="AL1132" s="694"/>
    </row>
    <row r="1133" spans="1:38" ht="12.75" customHeight="1" x14ac:dyDescent="0.25">
      <c r="A1133" s="694"/>
      <c r="B1133" s="298"/>
      <c r="C1133" s="1302"/>
      <c r="D1133" s="625"/>
      <c r="E1133" s="2807"/>
      <c r="F1133" s="2808"/>
      <c r="G1133" s="2808"/>
      <c r="H1133" s="2808"/>
      <c r="I1133" s="2808"/>
      <c r="J1133" s="2808"/>
      <c r="K1133" s="2808"/>
      <c r="L1133" s="2808"/>
      <c r="M1133" s="2809"/>
      <c r="N1133" s="1348"/>
      <c r="O1133" s="302"/>
      <c r="P1133" s="302"/>
      <c r="Q1133" s="729"/>
      <c r="R1133" s="694"/>
      <c r="S1133" s="729"/>
      <c r="T1133" s="694"/>
      <c r="U1133" s="694"/>
      <c r="V1133" s="729"/>
      <c r="W1133" s="694"/>
      <c r="X1133" s="1374"/>
      <c r="Y1133" s="1374"/>
      <c r="Z1133" s="694"/>
      <c r="AA1133" s="694"/>
      <c r="AB1133" s="694"/>
      <c r="AC1133" s="982" t="b">
        <f>AC1132</f>
        <v>0</v>
      </c>
      <c r="AD1133" s="694"/>
      <c r="AE1133" s="694"/>
      <c r="AF1133" s="694"/>
      <c r="AG1133" s="694"/>
      <c r="AH1133" s="694"/>
      <c r="AI1133" s="694"/>
      <c r="AJ1133" s="694"/>
      <c r="AK1133" s="694"/>
      <c r="AL1133" s="694"/>
    </row>
    <row r="1134" spans="1:38" ht="12.75" customHeight="1" thickBot="1" x14ac:dyDescent="0.3">
      <c r="A1134" s="694"/>
      <c r="B1134" s="298"/>
      <c r="C1134" s="1376"/>
      <c r="D1134" s="1377"/>
      <c r="E1134" s="1377"/>
      <c r="F1134" s="1377"/>
      <c r="G1134" s="1377"/>
      <c r="H1134" s="1377"/>
      <c r="I1134" s="1377"/>
      <c r="J1134" s="1377"/>
      <c r="K1134" s="1377"/>
      <c r="L1134" s="1377"/>
      <c r="M1134" s="1378"/>
      <c r="N1134" s="1379"/>
      <c r="O1134" s="302"/>
      <c r="P1134" s="302"/>
      <c r="Q1134" s="729"/>
      <c r="R1134" s="694"/>
      <c r="S1134" s="729"/>
      <c r="T1134" s="694"/>
      <c r="U1134" s="694"/>
      <c r="V1134" s="729"/>
      <c r="W1134" s="694"/>
      <c r="X1134" s="694"/>
      <c r="Y1134" s="694"/>
      <c r="Z1134" s="694"/>
      <c r="AA1134" s="694"/>
      <c r="AB1134" s="694"/>
      <c r="AC1134" s="694"/>
      <c r="AD1134" s="694"/>
      <c r="AE1134" s="694"/>
      <c r="AF1134" s="694"/>
      <c r="AG1134" s="694"/>
      <c r="AH1134" s="694"/>
      <c r="AI1134" s="694"/>
      <c r="AJ1134" s="694"/>
      <c r="AK1134" s="694"/>
      <c r="AL1134" s="694"/>
    </row>
    <row r="1135" spans="1:38" ht="12.75" customHeight="1" thickBot="1" x14ac:dyDescent="0.3">
      <c r="A1135" s="729"/>
      <c r="B1135" s="284"/>
      <c r="C1135" s="284"/>
      <c r="D1135" s="284"/>
      <c r="E1135" s="284"/>
      <c r="F1135" s="284"/>
      <c r="G1135" s="284"/>
      <c r="H1135" s="284"/>
      <c r="I1135" s="284"/>
      <c r="J1135" s="284"/>
      <c r="K1135" s="284"/>
      <c r="L1135" s="284"/>
      <c r="M1135" s="336"/>
      <c r="N1135" s="336"/>
      <c r="O1135" s="336"/>
      <c r="P1135" s="336"/>
      <c r="Q1135" s="1026" t="str">
        <f>IF(OR(AND(CNTR_ExistProductSubEntries=FALSE,Q856=1),AND(I856&lt;&gt;"",COUNTIF(Q1136:Q$2825,"PRINT")=0)),"PRINT","")</f>
        <v/>
      </c>
      <c r="R1135" s="770"/>
      <c r="S1135" s="770"/>
      <c r="T1135" s="770"/>
      <c r="U1135" s="770"/>
      <c r="V1135" s="770"/>
      <c r="W1135" s="770"/>
      <c r="X1135" s="770"/>
      <c r="Y1135" s="770"/>
      <c r="Z1135" s="694"/>
      <c r="AA1135" s="694"/>
      <c r="AB1135" s="694"/>
      <c r="AC1135" s="694"/>
      <c r="AD1135" s="694"/>
      <c r="AE1135" s="343"/>
      <c r="AF1135" s="343"/>
      <c r="AG1135" s="343"/>
      <c r="AH1135" s="343"/>
      <c r="AI1135" s="343"/>
      <c r="AJ1135" s="343"/>
      <c r="AK1135" s="343"/>
      <c r="AL1135" s="343"/>
    </row>
    <row r="1136" spans="1:38" ht="5.15" customHeight="1" thickBot="1" x14ac:dyDescent="0.3">
      <c r="A1136" s="694"/>
      <c r="B1136" s="298"/>
      <c r="C1136" s="1380"/>
      <c r="D1136" s="1380"/>
      <c r="E1136" s="1380"/>
      <c r="F1136" s="1380"/>
      <c r="G1136" s="1380"/>
      <c r="H1136" s="1380"/>
      <c r="I1136" s="1380"/>
      <c r="J1136" s="1380"/>
      <c r="K1136" s="1380"/>
      <c r="L1136" s="1380"/>
      <c r="M1136" s="1380"/>
      <c r="N1136" s="1380"/>
      <c r="O1136" s="302"/>
      <c r="P1136" s="302"/>
      <c r="Q1136" s="1381"/>
      <c r="R1136" s="1381"/>
      <c r="S1136" s="1381"/>
      <c r="T1136" s="1381"/>
      <c r="U1136" s="1381"/>
      <c r="V1136" s="1381"/>
      <c r="W1136" s="1381"/>
      <c r="X1136" s="1381"/>
      <c r="Y1136" s="1381"/>
      <c r="Z1136" s="1381"/>
      <c r="AA1136" s="1381"/>
      <c r="AB1136" s="1381"/>
      <c r="AC1136" s="1381"/>
      <c r="AD1136" s="1381"/>
      <c r="AE1136" s="1381"/>
      <c r="AF1136" s="1381"/>
      <c r="AG1136" s="1381"/>
      <c r="AH1136" s="1381"/>
      <c r="AI1136" s="1381"/>
      <c r="AJ1136" s="1381"/>
      <c r="AK1136" s="1381"/>
      <c r="AL1136" s="1381"/>
    </row>
    <row r="1137" spans="1:38" ht="14.5" thickBot="1" x14ac:dyDescent="0.3">
      <c r="A1137" s="694"/>
      <c r="B1137" s="298"/>
      <c r="C1137" s="1173">
        <f>C856+1</f>
        <v>5</v>
      </c>
      <c r="D1137" s="2323" t="str">
        <f>EUconst_BMSubinst &amp; ":"</f>
        <v>Подинсталация с продуктов показател:</v>
      </c>
      <c r="E1137" s="2249"/>
      <c r="F1137" s="2249"/>
      <c r="G1137" s="2249"/>
      <c r="H1137" s="2295"/>
      <c r="I1137" s="2843" t="str">
        <f>IF(INDEX(CNTR_SubInstListIsProdBM,$C1137),INDEX(CNTR_SubInstListNames,$C1137),"")</f>
        <v/>
      </c>
      <c r="J1137" s="2844"/>
      <c r="K1137" s="2844"/>
      <c r="L1137" s="2844"/>
      <c r="M1137" s="2844"/>
      <c r="N1137" s="2865"/>
      <c r="O1137" s="302"/>
      <c r="P1137" s="302"/>
      <c r="Q1137" s="1026">
        <f>C1137</f>
        <v>5</v>
      </c>
      <c r="R1137" s="694"/>
      <c r="S1137" s="1174" t="str">
        <f>Translations!$B$898</f>
        <v>Дата на въвеждане в експлоатация:</v>
      </c>
      <c r="T1137" s="1175" t="str">
        <f>IF(I1137="","",MAX(INDEX(CNTR_SubInstStartDate,MATCH($I1137,CNTR_SubInstListNames,0)),DATE(2005,1,1)))</f>
        <v/>
      </c>
      <c r="U1137" s="729" t="s">
        <v>1731</v>
      </c>
      <c r="V1137" s="1176">
        <f>IF(ISNUMBER(T1137),YEAR($T1137-IF(YEAR(T1137)&gt;=2022,0,1))+1,2005)</f>
        <v>2005</v>
      </c>
      <c r="W1137" s="1174" t="s">
        <v>1734</v>
      </c>
      <c r="X1137" s="1175" t="str">
        <f>IF(I1137="","",INDEX(CNTR_SubInstCessationDate,MATCH($I1137,CNTR_SubInstListNames,0)))</f>
        <v/>
      </c>
      <c r="Y1137" s="1174" t="s">
        <v>1735</v>
      </c>
      <c r="Z1137" s="1176">
        <f>IF(SUM(X1137)=0,2050,YEAR($X1137))</f>
        <v>2050</v>
      </c>
      <c r="AA1137" s="1174" t="s">
        <v>2009</v>
      </c>
      <c r="AB1137" s="1176" t="b">
        <f>CNTR_ReportingYear&gt;V1137</f>
        <v>1</v>
      </c>
      <c r="AC1137" s="694"/>
      <c r="AD1137" s="694"/>
      <c r="AE1137" s="694"/>
      <c r="AF1137" s="694"/>
      <c r="AG1137" s="694"/>
      <c r="AH1137" s="694"/>
      <c r="AI1137" s="694"/>
      <c r="AJ1137" s="694"/>
      <c r="AK1137" s="694"/>
      <c r="AL1137" s="1177" t="b">
        <f>AND(CNTR_ExistSubInstEntries,I1137="")</f>
        <v>0</v>
      </c>
    </row>
    <row r="1138" spans="1:38" x14ac:dyDescent="0.25">
      <c r="A1138" s="694"/>
      <c r="B1138" s="298"/>
      <c r="C1138" s="298"/>
      <c r="D1138" s="302"/>
      <c r="E1138" s="2358" t="str">
        <f>Translations!$B$330</f>
        <v>Наименованието на подинсталацията с продуктов показател се показва автоматично въз основа на данните, въведени в лист „A_InstallationData“ („А_Данни за инсталацията“).</v>
      </c>
      <c r="F1138" s="2249"/>
      <c r="G1138" s="2249"/>
      <c r="H1138" s="2249"/>
      <c r="I1138" s="2249"/>
      <c r="J1138" s="2249"/>
      <c r="K1138" s="2249"/>
      <c r="L1138" s="2249"/>
      <c r="M1138" s="2249"/>
      <c r="N1138" s="2249"/>
      <c r="O1138" s="302"/>
      <c r="P1138" s="302"/>
      <c r="Q1138" s="729"/>
      <c r="R1138" s="694"/>
      <c r="S1138" s="729"/>
      <c r="T1138" s="729"/>
      <c r="U1138" s="694"/>
      <c r="V1138" s="694"/>
      <c r="W1138" s="694"/>
      <c r="X1138" s="694"/>
      <c r="Y1138" s="694"/>
      <c r="Z1138" s="694"/>
      <c r="AA1138" s="694"/>
      <c r="AB1138" s="694"/>
      <c r="AC1138" s="694"/>
      <c r="AD1138" s="694"/>
      <c r="AE1138" s="694"/>
      <c r="AF1138" s="694"/>
      <c r="AG1138" s="694"/>
      <c r="AH1138" s="694"/>
      <c r="AI1138" s="694"/>
      <c r="AJ1138" s="694"/>
      <c r="AK1138" s="694"/>
      <c r="AL1138" s="694"/>
    </row>
    <row r="1139" spans="1:38" ht="5.15" customHeight="1" x14ac:dyDescent="0.25">
      <c r="A1139" s="694"/>
      <c r="B1139" s="298"/>
      <c r="C1139" s="298"/>
      <c r="D1139" s="298"/>
      <c r="E1139" s="298"/>
      <c r="F1139" s="298"/>
      <c r="G1139" s="298"/>
      <c r="H1139" s="298"/>
      <c r="I1139" s="298"/>
      <c r="J1139" s="298"/>
      <c r="K1139" s="298"/>
      <c r="L1139" s="298"/>
      <c r="M1139" s="302"/>
      <c r="N1139" s="302"/>
      <c r="O1139" s="302"/>
      <c r="P1139" s="302"/>
      <c r="Q1139" s="729"/>
      <c r="R1139" s="694"/>
      <c r="S1139" s="729"/>
      <c r="T1139" s="729"/>
      <c r="U1139" s="694"/>
      <c r="V1139" s="694"/>
      <c r="W1139" s="694"/>
      <c r="X1139" s="694"/>
      <c r="Y1139" s="694"/>
      <c r="Z1139" s="694"/>
      <c r="AA1139" s="694"/>
      <c r="AB1139" s="694"/>
      <c r="AC1139" s="694"/>
      <c r="AD1139" s="694"/>
      <c r="AE1139" s="694"/>
      <c r="AF1139" s="694"/>
      <c r="AG1139" s="694"/>
      <c r="AH1139" s="694"/>
      <c r="AI1139" s="694"/>
      <c r="AJ1139" s="694"/>
      <c r="AK1139" s="694"/>
      <c r="AL1139" s="694"/>
    </row>
    <row r="1140" spans="1:38" ht="13" x14ac:dyDescent="0.25">
      <c r="A1140" s="694"/>
      <c r="B1140" s="298"/>
      <c r="C1140" s="298"/>
      <c r="D1140" s="300" t="s">
        <v>408</v>
      </c>
      <c r="E1140" s="2226" t="str">
        <f>Translations!$B$1315</f>
        <v>Равнища на дейност</v>
      </c>
      <c r="F1140" s="2249"/>
      <c r="G1140" s="2249"/>
      <c r="H1140" s="2249"/>
      <c r="I1140" s="2249"/>
      <c r="J1140" s="2249"/>
      <c r="K1140" s="2249"/>
      <c r="L1140" s="2249"/>
      <c r="M1140" s="2249"/>
      <c r="N1140" s="2249"/>
      <c r="O1140" s="302"/>
      <c r="P1140" s="302"/>
      <c r="Q1140" s="729"/>
      <c r="R1140" s="694"/>
      <c r="S1140" s="694"/>
      <c r="T1140" s="694"/>
      <c r="U1140" s="694"/>
      <c r="V1140" s="694"/>
      <c r="W1140" s="694"/>
      <c r="X1140" s="694"/>
      <c r="Y1140" s="694"/>
      <c r="Z1140" s="694"/>
      <c r="AA1140" s="694"/>
      <c r="AB1140" s="694"/>
      <c r="AC1140" s="694"/>
      <c r="AD1140" s="694"/>
      <c r="AE1140" s="694"/>
      <c r="AF1140" s="694"/>
      <c r="AG1140" s="694"/>
      <c r="AH1140" s="694"/>
      <c r="AI1140" s="694"/>
      <c r="AJ1140" s="694"/>
      <c r="AK1140" s="694"/>
      <c r="AL1140" s="694"/>
    </row>
    <row r="1141" spans="1:38" x14ac:dyDescent="0.25">
      <c r="A1141" s="694"/>
      <c r="B1141" s="298"/>
      <c r="C1141" s="298"/>
      <c r="D1141" s="302"/>
      <c r="E1141" s="2358" t="str">
        <f>Translations!$B$474</f>
        <v>По тази точка следва да се отчетат „основните равнища на дейност“, т.е. данните, които се прилагат пряко за изчисляване на разпределението.</v>
      </c>
      <c r="F1141" s="2249"/>
      <c r="G1141" s="2249"/>
      <c r="H1141" s="2249"/>
      <c r="I1141" s="2249"/>
      <c r="J1141" s="2249"/>
      <c r="K1141" s="2249"/>
      <c r="L1141" s="2249"/>
      <c r="M1141" s="2249"/>
      <c r="N1141" s="2249"/>
      <c r="O1141" s="302"/>
      <c r="P1141" s="302"/>
      <c r="Q1141" s="729"/>
      <c r="R1141" s="694"/>
      <c r="S1141" s="729"/>
      <c r="T1141" s="729"/>
      <c r="U1141" s="729"/>
      <c r="V1141" s="694"/>
      <c r="W1141" s="694"/>
      <c r="X1141" s="694"/>
      <c r="Y1141" s="694"/>
      <c r="Z1141" s="694"/>
      <c r="AA1141" s="694"/>
      <c r="AB1141" s="694"/>
      <c r="AC1141" s="694"/>
      <c r="AD1141" s="694"/>
      <c r="AE1141" s="694"/>
      <c r="AF1141" s="694"/>
      <c r="AG1141" s="694"/>
      <c r="AH1141" s="694"/>
      <c r="AI1141" s="694"/>
      <c r="AJ1141" s="694"/>
      <c r="AK1141" s="694"/>
      <c r="AL1141" s="694"/>
    </row>
    <row r="1142" spans="1:38" x14ac:dyDescent="0.25">
      <c r="A1142" s="694"/>
      <c r="B1142" s="298"/>
      <c r="C1142" s="298"/>
      <c r="D1142" s="302"/>
      <c r="E1142" s="2358" t="str">
        <f>Translations!$B$475</f>
        <v xml:space="preserve">Това обикновено са производствените данни за продукта, напр. тонове клинкер за сив цимент или тонове стъклени бутилки, както е определено в приложение I към ПБР. </v>
      </c>
      <c r="F1142" s="2249"/>
      <c r="G1142" s="2249"/>
      <c r="H1142" s="2249"/>
      <c r="I1142" s="2249"/>
      <c r="J1142" s="2249"/>
      <c r="K1142" s="2249"/>
      <c r="L1142" s="2249"/>
      <c r="M1142" s="2249"/>
      <c r="N1142" s="2249"/>
      <c r="O1142" s="302"/>
      <c r="P1142" s="302"/>
      <c r="Q1142" s="729"/>
      <c r="R1142" s="694"/>
      <c r="S1142" s="729"/>
      <c r="T1142" s="729"/>
      <c r="U1142" s="729"/>
      <c r="V1142" s="694"/>
      <c r="W1142" s="694"/>
      <c r="X1142" s="694"/>
      <c r="Y1142" s="694"/>
      <c r="Z1142" s="694"/>
      <c r="AA1142" s="694"/>
      <c r="AB1142" s="694"/>
      <c r="AC1142" s="694"/>
      <c r="AD1142" s="694"/>
      <c r="AE1142" s="694"/>
      <c r="AF1142" s="694"/>
      <c r="AG1142" s="694"/>
      <c r="AH1142" s="694"/>
      <c r="AI1142" s="694"/>
      <c r="AJ1142" s="694"/>
      <c r="AK1142" s="694"/>
      <c r="AL1142" s="694"/>
    </row>
    <row r="1143" spans="1:38" x14ac:dyDescent="0.25">
      <c r="A1143" s="694"/>
      <c r="B1143" s="298"/>
      <c r="C1143" s="298"/>
      <c r="D1143" s="302"/>
      <c r="E1143" s="2358" t="str">
        <f>Translations!$B$476</f>
        <v>Въпреки това, ако се покаже съобщение съгласно буква b), трябва да се използва съответният инструмент за изчисляване, а резултатите от него автоматично се копират в тази таблица в ii).</v>
      </c>
      <c r="F1143" s="2249"/>
      <c r="G1143" s="2249"/>
      <c r="H1143" s="2249"/>
      <c r="I1143" s="2249"/>
      <c r="J1143" s="2249"/>
      <c r="K1143" s="2249"/>
      <c r="L1143" s="2249"/>
      <c r="M1143" s="2249"/>
      <c r="N1143" s="2249"/>
      <c r="O1143" s="302"/>
      <c r="P1143" s="302"/>
      <c r="Q1143" s="729"/>
      <c r="R1143" s="694"/>
      <c r="S1143" s="729"/>
      <c r="T1143" s="694"/>
      <c r="U1143" s="694"/>
      <c r="V1143" s="694"/>
      <c r="W1143" s="694"/>
      <c r="X1143" s="694"/>
      <c r="Y1143" s="694"/>
      <c r="Z1143" s="729"/>
      <c r="AA1143" s="694"/>
      <c r="AB1143" s="694"/>
      <c r="AC1143" s="694"/>
      <c r="AD1143" s="694"/>
      <c r="AE1143" s="694"/>
      <c r="AF1143" s="694"/>
      <c r="AG1143" s="694"/>
      <c r="AH1143" s="694"/>
      <c r="AI1143" s="694"/>
      <c r="AJ1143" s="694"/>
      <c r="AK1143" s="694"/>
      <c r="AL1143" s="694"/>
    </row>
    <row r="1144" spans="1:38" ht="13.5" customHeight="1" thickBot="1" x14ac:dyDescent="0.3">
      <c r="A1144" s="694"/>
      <c r="B1144" s="698"/>
      <c r="C1144" s="698"/>
      <c r="D1144" s="300"/>
      <c r="E1144" s="2671" t="str">
        <f>Translations!$B$477</f>
        <v>Годишни равнища на дейност:</v>
      </c>
      <c r="F1144" s="2671"/>
      <c r="G1144" s="527" t="str">
        <f>EUconst_Unit</f>
        <v>Единица мярка</v>
      </c>
      <c r="H1144" s="391">
        <f>H$2831</f>
        <v>2024</v>
      </c>
      <c r="I1144" s="572">
        <f t="shared" ref="I1144:N1144" si="1453">I$2831</f>
        <v>2025</v>
      </c>
      <c r="J1144" s="757">
        <f>J$2831</f>
        <v>2026</v>
      </c>
      <c r="K1144" s="391">
        <f t="shared" si="1453"/>
        <v>2027</v>
      </c>
      <c r="L1144" s="391">
        <f t="shared" si="1453"/>
        <v>2028</v>
      </c>
      <c r="M1144" s="391">
        <f t="shared" si="1453"/>
        <v>2029</v>
      </c>
      <c r="N1144" s="387">
        <f t="shared" si="1453"/>
        <v>2030</v>
      </c>
      <c r="O1144" s="302"/>
      <c r="P1144" s="302"/>
      <c r="Q1144" s="729"/>
      <c r="R1144" s="694"/>
      <c r="S1144" s="694"/>
      <c r="T1144" s="1178">
        <f t="shared" ref="T1144" si="1454">H1144</f>
        <v>2024</v>
      </c>
      <c r="U1144" s="1178">
        <f t="shared" ref="U1144" si="1455">I1144</f>
        <v>2025</v>
      </c>
      <c r="V1144" s="1178">
        <f t="shared" ref="V1144" si="1456">J1144</f>
        <v>2026</v>
      </c>
      <c r="W1144" s="1178">
        <f t="shared" ref="W1144" si="1457">K1144</f>
        <v>2027</v>
      </c>
      <c r="X1144" s="1178">
        <f t="shared" ref="X1144" si="1458">L1144</f>
        <v>2028</v>
      </c>
      <c r="Y1144" s="1178">
        <f t="shared" ref="Y1144" si="1459">M1144</f>
        <v>2029</v>
      </c>
      <c r="Z1144" s="1178">
        <f t="shared" ref="Z1144" si="1460">N1144</f>
        <v>2030</v>
      </c>
      <c r="AA1144" s="694"/>
      <c r="AB1144" s="694"/>
      <c r="AC1144" s="1178">
        <f>H$20</f>
        <v>2024</v>
      </c>
      <c r="AD1144" s="1178">
        <f t="shared" ref="AD1144" si="1461">I$20</f>
        <v>2025</v>
      </c>
      <c r="AE1144" s="1178">
        <f t="shared" ref="AE1144" si="1462">J$20</f>
        <v>2026</v>
      </c>
      <c r="AF1144" s="1178">
        <f t="shared" ref="AF1144" si="1463">K$20</f>
        <v>2027</v>
      </c>
      <c r="AG1144" s="1178">
        <f t="shared" ref="AG1144" si="1464">L$20</f>
        <v>2028</v>
      </c>
      <c r="AH1144" s="1178">
        <f t="shared" ref="AH1144" si="1465">M$20</f>
        <v>2029</v>
      </c>
      <c r="AI1144" s="1178">
        <f t="shared" ref="AI1144" si="1466">N$20</f>
        <v>2030</v>
      </c>
      <c r="AJ1144" s="694"/>
      <c r="AK1144" s="694"/>
      <c r="AL1144" s="729"/>
    </row>
    <row r="1145" spans="1:38" ht="13" thickBot="1" x14ac:dyDescent="0.3">
      <c r="A1145" s="694"/>
      <c r="B1145" s="698"/>
      <c r="C1145" s="698"/>
      <c r="D1145" s="1084" t="s">
        <v>6</v>
      </c>
      <c r="E1145" s="2862" t="str">
        <f>I1137</f>
        <v/>
      </c>
      <c r="F1145" s="2862"/>
      <c r="G1145" s="1032" t="str">
        <f>IF(INDEX(CNTR_SubInstListIsProdBM,$C1137),INDEX(CNTR_SubInstListHALUnit,$C1137),EUconst_Tons)</f>
        <v>тона</v>
      </c>
      <c r="H1145" s="98"/>
      <c r="I1145" s="101"/>
      <c r="J1145" s="102"/>
      <c r="K1145" s="98"/>
      <c r="L1145" s="98"/>
      <c r="M1145" s="98"/>
      <c r="N1145" s="120"/>
      <c r="O1145" s="302"/>
      <c r="P1145" s="158"/>
      <c r="Q1145" s="694"/>
      <c r="R1145" s="694"/>
      <c r="S1145" s="729" t="s">
        <v>1732</v>
      </c>
      <c r="T1145" s="1179" t="b">
        <f t="shared" ref="T1145" si="1467">AND($I1137&lt;&gt;"",H1144&lt;CNTR_ReportingYear,H1144&gt;=$V1137-1)</f>
        <v>0</v>
      </c>
      <c r="U1145" s="1180" t="b">
        <f t="shared" ref="U1145" si="1468">AND($I1137&lt;&gt;"",I1144&lt;CNTR_ReportingYear,I1144&gt;=$V1137-1)</f>
        <v>0</v>
      </c>
      <c r="V1145" s="1180" t="b">
        <f t="shared" ref="V1145" si="1469">AND($I1137&lt;&gt;"",J1144&lt;CNTR_ReportingYear,J1144&gt;=$V1137-1)</f>
        <v>0</v>
      </c>
      <c r="W1145" s="1180" t="b">
        <f t="shared" ref="W1145" si="1470">AND($I1137&lt;&gt;"",K1144&lt;CNTR_ReportingYear,K1144&gt;=$V1137-1)</f>
        <v>0</v>
      </c>
      <c r="X1145" s="1180" t="b">
        <f t="shared" ref="X1145" si="1471">AND($I1137&lt;&gt;"",L1144&lt;CNTR_ReportingYear,L1144&gt;=$V1137-1)</f>
        <v>0</v>
      </c>
      <c r="Y1145" s="1180" t="b">
        <f t="shared" ref="Y1145" si="1472">AND($I1137&lt;&gt;"",M1144&lt;CNTR_ReportingYear,M1144&gt;=$V1137-1)</f>
        <v>0</v>
      </c>
      <c r="Z1145" s="1181" t="b">
        <f t="shared" ref="Z1145" si="1473">AND($I1137&lt;&gt;"",N1144&lt;CNTR_ReportingYear,N1144&gt;=$V1137-1)</f>
        <v>0</v>
      </c>
      <c r="AA1145" s="729"/>
      <c r="AB1145" s="1182" t="s">
        <v>737</v>
      </c>
      <c r="AC1145" s="1183" t="b">
        <f t="shared" ref="AC1145" si="1474">IF(CNTR_ExistSubInstEntries,OR($I1137="",$R1149,H1144&gt;=CNTR_ReportingYear,AC1144&lt;$V1137-1),FALSE)</f>
        <v>0</v>
      </c>
      <c r="AD1145" s="1184" t="b">
        <f t="shared" ref="AD1145" si="1475">IF(CNTR_ExistSubInstEntries,OR($I1137="",$R1149,I1144&gt;=CNTR_ReportingYear,AD1144&lt;$V1137-1),FALSE)</f>
        <v>0</v>
      </c>
      <c r="AE1145" s="1184" t="b">
        <f t="shared" ref="AE1145" si="1476">IF(CNTR_ExistSubInstEntries,OR($I1137="",$R1149,J1144&gt;=CNTR_ReportingYear,AE1144&lt;$V1137-1),FALSE)</f>
        <v>0</v>
      </c>
      <c r="AF1145" s="1184" t="b">
        <f t="shared" ref="AF1145" si="1477">IF(CNTR_ExistSubInstEntries,OR($I1137="",$R1149,K1144&gt;=CNTR_ReportingYear,AF1144&lt;$V1137-1),FALSE)</f>
        <v>0</v>
      </c>
      <c r="AG1145" s="1184" t="b">
        <f t="shared" ref="AG1145" si="1478">IF(CNTR_ExistSubInstEntries,OR($I1137="",$R1149,L1144&gt;=CNTR_ReportingYear,AG1144&lt;$V1137-1),FALSE)</f>
        <v>0</v>
      </c>
      <c r="AH1145" s="1184" t="b">
        <f t="shared" ref="AH1145" si="1479">IF(CNTR_ExistSubInstEntries,OR($I1137="",$R1149,M1144&gt;=CNTR_ReportingYear,AH1144&lt;$V1137-1),FALSE)</f>
        <v>0</v>
      </c>
      <c r="AI1145" s="1185" t="b">
        <f t="shared" ref="AI1145" si="1480">IF(CNTR_ExistSubInstEntries,OR($I1137="",$R1149,N1144&gt;=CNTR_ReportingYear,AI1144&lt;$V1137-1),FALSE)</f>
        <v>0</v>
      </c>
      <c r="AJ1145" s="1174" t="s">
        <v>2039</v>
      </c>
      <c r="AK1145" s="1176" t="str">
        <f>IF(AND(CNTR_ExistSubInstEntries,COUNTIFS(AC1145:AI1145,FALSE,H1145:N1145,"")&gt;0),EUconst_Error&amp;"BM"&amp;$Q1137,"")</f>
        <v/>
      </c>
      <c r="AL1145" s="694"/>
    </row>
    <row r="1146" spans="1:38" ht="13" customHeight="1" thickBot="1" x14ac:dyDescent="0.3">
      <c r="A1146" s="694"/>
      <c r="B1146" s="698"/>
      <c r="C1146" s="698"/>
      <c r="D1146" s="1084" t="s">
        <v>7</v>
      </c>
      <c r="E1146" s="2862" t="str">
        <f>Translations!$B$478</f>
        <v>От работен лист „H_SpecialBM“ („H_Специфичен показател“):</v>
      </c>
      <c r="F1146" s="2862"/>
      <c r="G1146" s="1032" t="str">
        <f>G1145</f>
        <v>тона</v>
      </c>
      <c r="H1146" s="1186" t="str">
        <f>IF(OR($I1137="",H1144&gt;=CNTR_ReportingYear),"",IF($R1149,SUMIF(H_SpecialBM!$Q$9:$Q$483,$Q1146,H_SpecialBM!H$9:H$483),""))</f>
        <v/>
      </c>
      <c r="I1146" s="1187" t="str">
        <f>IF(OR($I1137="",I1144&gt;=CNTR_ReportingYear),"",IF($R1149,SUMIF(H_SpecialBM!$Q$9:$Q$483,$Q1146,H_SpecialBM!I$9:I$483),""))</f>
        <v/>
      </c>
      <c r="J1146" s="1188" t="str">
        <f>IF(OR($I1137="",J1144&gt;=CNTR_ReportingYear),"",IF($R1149,SUMIF(H_SpecialBM!$Q$9:$Q$483,$Q1146,H_SpecialBM!J$9:J$483),""))</f>
        <v/>
      </c>
      <c r="K1146" s="1186" t="str">
        <f>IF(OR($I1137="",K1144&gt;=CNTR_ReportingYear),"",IF($R1149,SUMIF(H_SpecialBM!$Q$9:$Q$483,$Q1146,H_SpecialBM!K$9:K$483),""))</f>
        <v/>
      </c>
      <c r="L1146" s="1186" t="str">
        <f>IF(OR($I1137="",L1144&gt;=CNTR_ReportingYear),"",IF($R1149,SUMIF(H_SpecialBM!$Q$9:$Q$483,$Q1146,H_SpecialBM!L$9:L$483),""))</f>
        <v/>
      </c>
      <c r="M1146" s="1186" t="str">
        <f>IF(OR($I1137="",M1144&gt;=CNTR_ReportingYear),"",IF($R1149,SUMIF(H_SpecialBM!$Q$9:$Q$483,$Q1146,H_SpecialBM!M$9:M$483),""))</f>
        <v/>
      </c>
      <c r="N1146" s="1189" t="str">
        <f>IF(OR($I1137="",N1144&gt;=CNTR_ReportingYear),"",IF($R1149,SUMIF(H_SpecialBM!$Q$9:$Q$483,$Q1146,H_SpecialBM!N$9:N$483),""))</f>
        <v/>
      </c>
      <c r="O1146" s="302"/>
      <c r="P1146" s="302"/>
      <c r="Q1146" s="1190" t="str">
        <f>EUconst_CNTR_HALspecial&amp;I1137</f>
        <v>HALspecial_</v>
      </c>
      <c r="R1146" s="694"/>
      <c r="S1146" s="694"/>
      <c r="T1146" s="694"/>
      <c r="U1146" s="694"/>
      <c r="V1146" s="694"/>
      <c r="W1146" s="694"/>
      <c r="X1146" s="694"/>
      <c r="Y1146" s="694"/>
      <c r="Z1146" s="694"/>
      <c r="AA1146" s="694"/>
      <c r="AB1146" s="1182" t="s">
        <v>737</v>
      </c>
      <c r="AC1146" s="1183" t="b">
        <f t="shared" ref="AC1146" si="1481">AND(CNTR_HasEntries_A_I,OR($R1149=FALSE,H1144&gt;=CNTR_ReportingYear))</f>
        <v>0</v>
      </c>
      <c r="AD1146" s="1184" t="b">
        <f t="shared" ref="AD1146" si="1482">AND(CNTR_HasEntries_A_I,OR($R1149=FALSE,I1144&gt;=CNTR_ReportingYear))</f>
        <v>0</v>
      </c>
      <c r="AE1146" s="1184" t="b">
        <f t="shared" ref="AE1146" si="1483">AND(CNTR_HasEntries_A_I,OR($R1149=FALSE,J1144&gt;=CNTR_ReportingYear))</f>
        <v>0</v>
      </c>
      <c r="AF1146" s="1184" t="b">
        <f t="shared" ref="AF1146" si="1484">AND(CNTR_HasEntries_A_I,OR($R1149=FALSE,K1144&gt;=CNTR_ReportingYear))</f>
        <v>0</v>
      </c>
      <c r="AG1146" s="1184" t="b">
        <f t="shared" ref="AG1146" si="1485">AND(CNTR_HasEntries_A_I,OR($R1149=FALSE,L1144&gt;=CNTR_ReportingYear))</f>
        <v>0</v>
      </c>
      <c r="AH1146" s="1184" t="b">
        <f t="shared" ref="AH1146" si="1486">AND(CNTR_HasEntries_A_I,OR($R1149=FALSE,M1144&gt;=CNTR_ReportingYear))</f>
        <v>0</v>
      </c>
      <c r="AI1146" s="1185" t="b">
        <f t="shared" ref="AI1146" si="1487">AND(CNTR_HasEntries_A_I,OR($R1149=FALSE,N1144&gt;=CNTR_ReportingYear))</f>
        <v>0</v>
      </c>
      <c r="AJ1146" s="1165"/>
      <c r="AK1146" s="1165"/>
      <c r="AL1146" s="729"/>
    </row>
    <row r="1147" spans="1:38" ht="13" customHeight="1" x14ac:dyDescent="0.25">
      <c r="A1147" s="694"/>
      <c r="B1147" s="698"/>
      <c r="C1147" s="698"/>
      <c r="D1147" s="1084" t="s">
        <v>8</v>
      </c>
      <c r="E1147" s="2862" t="str">
        <f>Translations!$B$479</f>
        <v>Стойности, използвани за изчислението:</v>
      </c>
      <c r="F1147" s="2862"/>
      <c r="G1147" s="1032" t="str">
        <f>G1146</f>
        <v>тона</v>
      </c>
      <c r="H1147" s="1186" t="str">
        <f t="shared" ref="H1147:N1147" si="1488">IF(OR($I1137="",H1144&gt;=CNTR_ReportingYear),"",IF($R1149=TRUE,IF(ISNUMBER(H1146),H1146,0),IF(AND(H1144&gt;=$V1137-1,ISNUMBER(H1145)),H1145,0)))</f>
        <v/>
      </c>
      <c r="I1147" s="1187" t="str">
        <f t="shared" si="1488"/>
        <v/>
      </c>
      <c r="J1147" s="1188" t="str">
        <f t="shared" si="1488"/>
        <v/>
      </c>
      <c r="K1147" s="1186" t="str">
        <f t="shared" si="1488"/>
        <v/>
      </c>
      <c r="L1147" s="1186" t="str">
        <f t="shared" si="1488"/>
        <v/>
      </c>
      <c r="M1147" s="1186" t="str">
        <f t="shared" si="1488"/>
        <v/>
      </c>
      <c r="N1147" s="1189" t="str">
        <f t="shared" si="1488"/>
        <v/>
      </c>
      <c r="O1147" s="302"/>
      <c r="P1147" s="710"/>
      <c r="Q1147" s="1190" t="str">
        <f>EUconst_CNTR_HAL&amp;I1137</f>
        <v>HAL_</v>
      </c>
      <c r="R1147" s="694"/>
      <c r="S1147" s="694"/>
      <c r="T1147" s="694"/>
      <c r="U1147" s="694"/>
      <c r="V1147" s="694"/>
      <c r="W1147" s="694"/>
      <c r="X1147" s="694"/>
      <c r="Y1147" s="694"/>
      <c r="Z1147" s="694"/>
      <c r="AA1147" s="694"/>
      <c r="AB1147" s="694"/>
      <c r="AC1147" s="694"/>
      <c r="AD1147" s="694"/>
      <c r="AE1147" s="694"/>
      <c r="AF1147" s="694"/>
      <c r="AG1147" s="694"/>
      <c r="AH1147" s="694"/>
      <c r="AI1147" s="694"/>
      <c r="AJ1147" s="1174" t="s">
        <v>2033</v>
      </c>
      <c r="AK1147" s="982" t="str">
        <f>IF(COUNTIFS(H1144:N1144,"&lt;"&amp;YEAR(SUM(T1137)),H1147:N1147,"&gt;"&amp;0)&gt;0,EUconst_Error&amp;"BM"&amp;Q1137,"")</f>
        <v/>
      </c>
      <c r="AL1147" s="729"/>
    </row>
    <row r="1148" spans="1:38" ht="5.15" customHeight="1" x14ac:dyDescent="0.25">
      <c r="A1148" s="694"/>
      <c r="B1148" s="298"/>
      <c r="C1148" s="298"/>
      <c r="D1148" s="298"/>
      <c r="E1148" s="298"/>
      <c r="F1148" s="298"/>
      <c r="G1148" s="298"/>
      <c r="H1148" s="298"/>
      <c r="I1148" s="298"/>
      <c r="J1148" s="298"/>
      <c r="K1148" s="298"/>
      <c r="L1148" s="298"/>
      <c r="M1148" s="302"/>
      <c r="N1148" s="302"/>
      <c r="O1148" s="302"/>
      <c r="P1148" s="302"/>
      <c r="Q1148" s="729"/>
      <c r="R1148" s="694"/>
      <c r="S1148" s="729"/>
      <c r="T1148" s="729"/>
      <c r="U1148" s="694"/>
      <c r="V1148" s="694"/>
      <c r="W1148" s="694"/>
      <c r="X1148" s="694"/>
      <c r="Y1148" s="694"/>
      <c r="Z1148" s="694"/>
      <c r="AA1148" s="694"/>
      <c r="AB1148" s="694"/>
      <c r="AC1148" s="694"/>
      <c r="AD1148" s="694"/>
      <c r="AE1148" s="694"/>
      <c r="AF1148" s="694"/>
      <c r="AG1148" s="694"/>
      <c r="AH1148" s="694"/>
      <c r="AI1148" s="694"/>
      <c r="AJ1148" s="694"/>
      <c r="AK1148" s="694"/>
      <c r="AL1148" s="694"/>
    </row>
    <row r="1149" spans="1:38" ht="13" x14ac:dyDescent="0.25">
      <c r="A1149" s="694"/>
      <c r="B1149" s="298"/>
      <c r="C1149" s="298"/>
      <c r="D1149" s="360" t="s">
        <v>18</v>
      </c>
      <c r="E1149" s="2226" t="str">
        <f>Translations!$B$480</f>
        <v>Специални изисквания за докладване:</v>
      </c>
      <c r="F1149" s="2226"/>
      <c r="G1149" s="2317"/>
      <c r="H1149" s="2858" t="str">
        <f>IF(I1137="","",HYPERLINK(INDEX(EUconst_BMlistSpecialJumpTable,MATCH(I1137,EUconst_BMlistNames,0)),INDEX(EUconst_BMlistSpecialReporting,MATCH(I1137,EUconst_BMlistNames,0))))</f>
        <v/>
      </c>
      <c r="I1149" s="2863"/>
      <c r="J1149" s="2863"/>
      <c r="K1149" s="2863"/>
      <c r="L1149" s="2863"/>
      <c r="M1149" s="2863"/>
      <c r="N1149" s="2864"/>
      <c r="O1149" s="302"/>
      <c r="P1149" s="302"/>
      <c r="Q1149" s="1174" t="s">
        <v>119</v>
      </c>
      <c r="R1149" s="982" t="str">
        <f>IF(I1137="","",IF(AND(INDEX(EUconst_BMlistSpecialJumpTable,MATCH(I1137,EUconst_BMlistNames,0))&lt;&gt;"",INDEX(EUconst_BMlistMainNumberOfBM,MATCH(I1137,EUconst_BMlistNames,0))&lt;&gt;47),TRUE,FALSE))</f>
        <v/>
      </c>
      <c r="S1149" s="729"/>
      <c r="T1149" s="729"/>
      <c r="U1149" s="694"/>
      <c r="V1149" s="694"/>
      <c r="W1149" s="694"/>
      <c r="X1149" s="694"/>
      <c r="Y1149" s="694"/>
      <c r="Z1149" s="694"/>
      <c r="AA1149" s="694"/>
      <c r="AB1149" s="694"/>
      <c r="AC1149" s="694"/>
      <c r="AD1149" s="694"/>
      <c r="AE1149" s="694"/>
      <c r="AF1149" s="694"/>
      <c r="AG1149" s="694"/>
      <c r="AH1149" s="694"/>
      <c r="AI1149" s="694"/>
      <c r="AJ1149" s="694"/>
      <c r="AK1149" s="694"/>
      <c r="AL1149" s="694"/>
    </row>
    <row r="1150" spans="1:38" x14ac:dyDescent="0.25">
      <c r="A1150" s="694"/>
      <c r="B1150" s="298"/>
      <c r="C1150" s="298"/>
      <c r="D1150" s="302"/>
      <c r="E1150" s="2358" t="str">
        <f>Translations!$B$481</f>
        <v>При някои продуктови показатели се изисква да се отчита специфична информация (напр. стойности на приведени по CO2 тонове (CWT)). Ако е приложимо, тук ще се покаже автоматично съобщение.</v>
      </c>
      <c r="F1150" s="2249"/>
      <c r="G1150" s="2249"/>
      <c r="H1150" s="2249"/>
      <c r="I1150" s="2249"/>
      <c r="J1150" s="2249"/>
      <c r="K1150" s="2249"/>
      <c r="L1150" s="2249"/>
      <c r="M1150" s="2249"/>
      <c r="N1150" s="2249"/>
      <c r="O1150" s="302"/>
      <c r="P1150" s="302"/>
      <c r="Q1150" s="729"/>
      <c r="R1150" s="694"/>
      <c r="S1150" s="729"/>
      <c r="T1150" s="729"/>
      <c r="U1150" s="694"/>
      <c r="V1150" s="694"/>
      <c r="W1150" s="694"/>
      <c r="X1150" s="694"/>
      <c r="Y1150" s="694"/>
      <c r="Z1150" s="694"/>
      <c r="AA1150" s="694"/>
      <c r="AB1150" s="694"/>
      <c r="AC1150" s="694"/>
      <c r="AD1150" s="694"/>
      <c r="AE1150" s="694"/>
      <c r="AF1150" s="694"/>
      <c r="AG1150" s="694"/>
      <c r="AH1150" s="694"/>
      <c r="AI1150" s="694"/>
      <c r="AJ1150" s="694"/>
      <c r="AK1150" s="694"/>
      <c r="AL1150" s="694"/>
    </row>
    <row r="1151" spans="1:38" ht="5.15" customHeight="1" x14ac:dyDescent="0.25">
      <c r="A1151" s="694"/>
      <c r="B1151" s="298"/>
      <c r="C1151" s="298"/>
      <c r="D1151" s="302"/>
      <c r="E1151" s="302"/>
      <c r="F1151" s="302"/>
      <c r="G1151" s="302"/>
      <c r="H1151" s="302"/>
      <c r="I1151" s="302"/>
      <c r="J1151" s="302"/>
      <c r="K1151" s="302"/>
      <c r="L1151" s="302"/>
      <c r="M1151" s="302"/>
      <c r="N1151" s="302"/>
      <c r="O1151" s="302"/>
      <c r="P1151" s="302"/>
      <c r="Q1151" s="729"/>
      <c r="R1151" s="694"/>
      <c r="S1151" s="729"/>
      <c r="T1151" s="729"/>
      <c r="U1151" s="694"/>
      <c r="V1151" s="694"/>
      <c r="W1151" s="694"/>
      <c r="X1151" s="694"/>
      <c r="Y1151" s="694"/>
      <c r="Z1151" s="729"/>
      <c r="AA1151" s="694"/>
      <c r="AB1151" s="694"/>
      <c r="AC1151" s="694"/>
      <c r="AD1151" s="694"/>
      <c r="AE1151" s="694"/>
      <c r="AF1151" s="694"/>
      <c r="AG1151" s="694"/>
      <c r="AH1151" s="694"/>
      <c r="AI1151" s="694"/>
      <c r="AJ1151" s="694"/>
      <c r="AK1151" s="694"/>
      <c r="AL1151" s="729"/>
    </row>
    <row r="1152" spans="1:38" ht="12.75" customHeight="1" x14ac:dyDescent="0.25">
      <c r="A1152" s="694"/>
      <c r="B1152" s="298"/>
      <c r="C1152" s="298"/>
      <c r="D1152" s="300" t="s">
        <v>901</v>
      </c>
      <c r="E1152" s="2226" t="str">
        <f>Translations!$B$1316</f>
        <v>Определяне на корекции на равнището на дейност</v>
      </c>
      <c r="F1152" s="2249"/>
      <c r="G1152" s="2249"/>
      <c r="H1152" s="2249"/>
      <c r="I1152" s="2249"/>
      <c r="J1152" s="2249"/>
      <c r="K1152" s="2249"/>
      <c r="L1152" s="2249"/>
      <c r="M1152" s="2249"/>
      <c r="N1152" s="2249"/>
      <c r="O1152" s="302"/>
      <c r="P1152" s="302"/>
      <c r="Q1152" s="729"/>
      <c r="R1152" s="694"/>
      <c r="S1152" s="729"/>
      <c r="T1152" s="729"/>
      <c r="U1152" s="694"/>
      <c r="V1152" s="694"/>
      <c r="W1152" s="694"/>
      <c r="X1152" s="694"/>
      <c r="Y1152" s="694"/>
      <c r="Z1152" s="729"/>
      <c r="AA1152" s="694"/>
      <c r="AB1152" s="694"/>
      <c r="AC1152" s="694"/>
      <c r="AD1152" s="694"/>
      <c r="AE1152" s="694"/>
      <c r="AF1152" s="694"/>
      <c r="AG1152" s="694"/>
      <c r="AH1152" s="694"/>
      <c r="AI1152" s="694"/>
      <c r="AJ1152" s="694"/>
      <c r="AK1152" s="694"/>
      <c r="AL1152" s="729"/>
    </row>
    <row r="1153" spans="1:38" ht="12.75" customHeight="1" x14ac:dyDescent="0.25">
      <c r="A1153" s="694"/>
      <c r="B1153" s="298"/>
      <c r="C1153" s="298"/>
      <c r="D1153" s="302"/>
      <c r="E1153" s="2358" t="str">
        <f>Translations!$B$1317</f>
        <v>Историческото равнище на дейността (HAL) ще бъде определено автоматично за данните по буква а) по-горе и данните в лист „B+C_SubInstallations“ („B+C_Подинсталации“). За нови подинсталации HAL ще бъде показано в v. на базата на първата пълна година на експлоатация.</v>
      </c>
      <c r="F1153" s="2249"/>
      <c r="G1153" s="2249"/>
      <c r="H1153" s="2249"/>
      <c r="I1153" s="2249"/>
      <c r="J1153" s="2249"/>
      <c r="K1153" s="2249"/>
      <c r="L1153" s="2249"/>
      <c r="M1153" s="2249"/>
      <c r="N1153" s="2249"/>
      <c r="O1153" s="302"/>
      <c r="P1153" s="302"/>
      <c r="Q1153" s="729"/>
      <c r="R1153" s="694"/>
      <c r="S1153" s="729"/>
      <c r="T1153" s="729"/>
      <c r="U1153" s="729"/>
      <c r="V1153" s="694"/>
      <c r="W1153" s="694"/>
      <c r="X1153" s="694"/>
      <c r="Y1153" s="694"/>
      <c r="Z1153" s="694"/>
      <c r="AA1153" s="694"/>
      <c r="AB1153" s="694"/>
      <c r="AC1153" s="694"/>
      <c r="AD1153" s="694"/>
      <c r="AE1153" s="694"/>
      <c r="AF1153" s="694"/>
      <c r="AG1153" s="694"/>
      <c r="AH1153" s="694"/>
      <c r="AI1153" s="694"/>
      <c r="AJ1153" s="694"/>
      <c r="AK1153" s="694"/>
      <c r="AL1153" s="694"/>
    </row>
    <row r="1154" spans="1:38" ht="25.5" customHeight="1" x14ac:dyDescent="0.25">
      <c r="A1154" s="694"/>
      <c r="B1154" s="298"/>
      <c r="C1154" s="298"/>
      <c r="D1154" s="302"/>
      <c r="E1154" s="2358" t="str">
        <f>Translations!$B$1318</f>
        <v>На базата на стойностите на HAL и данните, въведени в буква а) по-горе, тук се определят средните равнища на дейност. Разпределението ще бъде променено само ако са надвишени всички долуизброени прагове по член 5 от Регламента за ALC:</v>
      </c>
      <c r="F1154" s="2249"/>
      <c r="G1154" s="2249"/>
      <c r="H1154" s="2249"/>
      <c r="I1154" s="2249"/>
      <c r="J1154" s="2249"/>
      <c r="K1154" s="2249"/>
      <c r="L1154" s="2249"/>
      <c r="M1154" s="2249"/>
      <c r="N1154" s="2249"/>
      <c r="O1154" s="302"/>
      <c r="P1154" s="302"/>
      <c r="Q1154" s="729"/>
      <c r="R1154" s="694"/>
      <c r="S1154" s="729"/>
      <c r="T1154" s="729"/>
      <c r="U1154" s="729"/>
      <c r="V1154" s="694"/>
      <c r="W1154" s="694"/>
      <c r="X1154" s="694"/>
      <c r="Y1154" s="694"/>
      <c r="Z1154" s="694"/>
      <c r="AA1154" s="694"/>
      <c r="AB1154" s="694"/>
      <c r="AC1154" s="694"/>
      <c r="AD1154" s="694"/>
      <c r="AE1154" s="694"/>
      <c r="AF1154" s="694"/>
      <c r="AG1154" s="694"/>
      <c r="AH1154" s="694"/>
      <c r="AI1154" s="694"/>
      <c r="AJ1154" s="694"/>
      <c r="AK1154" s="694"/>
      <c r="AL1154" s="694"/>
    </row>
    <row r="1155" spans="1:38" ht="12.75" customHeight="1" x14ac:dyDescent="0.25">
      <c r="A1155" s="694"/>
      <c r="B1155" s="298"/>
      <c r="C1155" s="298"/>
      <c r="D1155" s="302"/>
      <c r="E1155" s="1191" t="s">
        <v>1052</v>
      </c>
      <c r="F1155" s="2358" t="str">
        <f>Translations!$B$1319</f>
        <v>относителните прагове (15 % и 5 % за последващи промени) за средното равнище на дейност в сравнение с HAL</v>
      </c>
      <c r="G1155" s="2861"/>
      <c r="H1155" s="2861"/>
      <c r="I1155" s="2861"/>
      <c r="J1155" s="2861"/>
      <c r="K1155" s="2861"/>
      <c r="L1155" s="2861"/>
      <c r="M1155" s="2861"/>
      <c r="N1155" s="2861"/>
      <c r="O1155" s="302"/>
      <c r="P1155" s="302"/>
      <c r="Q1155" s="729"/>
      <c r="R1155" s="694"/>
      <c r="S1155" s="729"/>
      <c r="T1155" s="729"/>
      <c r="U1155" s="729"/>
      <c r="V1155" s="694"/>
      <c r="W1155" s="694"/>
      <c r="X1155" s="694"/>
      <c r="Y1155" s="694"/>
      <c r="Z1155" s="694"/>
      <c r="AA1155" s="694"/>
      <c r="AB1155" s="694"/>
      <c r="AC1155" s="694"/>
      <c r="AD1155" s="694"/>
      <c r="AE1155" s="694"/>
      <c r="AF1155" s="694"/>
      <c r="AG1155" s="694"/>
      <c r="AH1155" s="694"/>
      <c r="AI1155" s="694"/>
      <c r="AJ1155" s="694"/>
      <c r="AK1155" s="694"/>
      <c r="AL1155" s="694"/>
    </row>
    <row r="1156" spans="1:38" ht="12.75" customHeight="1" thickBot="1" x14ac:dyDescent="0.3">
      <c r="A1156" s="694"/>
      <c r="B1156" s="298"/>
      <c r="C1156" s="298"/>
      <c r="D1156" s="302"/>
      <c r="E1156" s="1191" t="s">
        <v>1052</v>
      </c>
      <c r="F1156" s="2358" t="str">
        <f>Translations!$B$1514</f>
        <v>абсолютния праг, т.е. промяната би довела до разлика в предварителното разпределение от най-малко 300 квоти</v>
      </c>
      <c r="G1156" s="2861"/>
      <c r="H1156" s="2861"/>
      <c r="I1156" s="2861"/>
      <c r="J1156" s="2861"/>
      <c r="K1156" s="2861"/>
      <c r="L1156" s="2861"/>
      <c r="M1156" s="2861"/>
      <c r="N1156" s="2861"/>
      <c r="O1156" s="302"/>
      <c r="P1156" s="302"/>
      <c r="Q1156" s="729"/>
      <c r="R1156" s="694"/>
      <c r="S1156" s="729"/>
      <c r="T1156" s="729"/>
      <c r="U1156" s="729"/>
      <c r="V1156" s="694"/>
      <c r="W1156" s="694"/>
      <c r="X1156" s="694"/>
      <c r="Y1156" s="694"/>
      <c r="Z1156" s="694"/>
      <c r="AA1156" s="694"/>
      <c r="AB1156" s="694"/>
      <c r="AC1156" s="694"/>
      <c r="AD1156" s="694"/>
      <c r="AE1156" s="694"/>
      <c r="AF1156" s="694"/>
      <c r="AG1156" s="694"/>
      <c r="AH1156" s="694"/>
      <c r="AI1156" s="694"/>
      <c r="AJ1156" s="694"/>
      <c r="AK1156" s="694"/>
      <c r="AL1156" s="694"/>
    </row>
    <row r="1157" spans="1:38" ht="5.15" customHeight="1" thickBot="1" x14ac:dyDescent="0.3">
      <c r="A1157" s="694"/>
      <c r="B1157" s="298"/>
      <c r="C1157" s="298"/>
      <c r="D1157" s="1192"/>
      <c r="E1157" s="1193"/>
      <c r="F1157" s="1194"/>
      <c r="G1157" s="1195"/>
      <c r="H1157" s="1195"/>
      <c r="I1157" s="1195"/>
      <c r="J1157" s="1195"/>
      <c r="K1157" s="1195"/>
      <c r="L1157" s="1195"/>
      <c r="M1157" s="1195"/>
      <c r="N1157" s="1196"/>
      <c r="O1157" s="302"/>
      <c r="P1157" s="302"/>
      <c r="Q1157" s="729"/>
      <c r="R1157" s="694"/>
      <c r="S1157" s="729"/>
      <c r="T1157" s="729"/>
      <c r="U1157" s="729"/>
      <c r="V1157" s="694"/>
      <c r="W1157" s="694"/>
      <c r="X1157" s="694"/>
      <c r="Y1157" s="694"/>
      <c r="Z1157" s="694"/>
      <c r="AA1157" s="694"/>
      <c r="AB1157" s="694"/>
      <c r="AC1157" s="694"/>
      <c r="AD1157" s="694"/>
      <c r="AE1157" s="694"/>
      <c r="AF1157" s="694"/>
      <c r="AG1157" s="694"/>
      <c r="AH1157" s="694"/>
      <c r="AI1157" s="694"/>
      <c r="AJ1157" s="694"/>
      <c r="AK1157" s="694"/>
      <c r="AL1157" s="694"/>
    </row>
    <row r="1158" spans="1:38" ht="12.75" customHeight="1" x14ac:dyDescent="0.25">
      <c r="A1158" s="694"/>
      <c r="B1158" s="298"/>
      <c r="C1158" s="298"/>
      <c r="D1158" s="1197"/>
      <c r="E1158" s="1198" t="str">
        <f>Translations!$B$1196</f>
        <v>Корекции</v>
      </c>
      <c r="F1158" s="1199"/>
      <c r="G1158" s="1199"/>
      <c r="H1158" s="1200" t="str">
        <f>EUconst_Unit</f>
        <v>Единица мярка</v>
      </c>
      <c r="I1158" s="1201" t="str">
        <f>Translations!$B$1320</f>
        <v>(НМИ) HAL</v>
      </c>
      <c r="J1158" s="1202">
        <f>J$2831</f>
        <v>2026</v>
      </c>
      <c r="K1158" s="1203">
        <f>K$2831</f>
        <v>2027</v>
      </c>
      <c r="L1158" s="1203">
        <f>L$2831</f>
        <v>2028</v>
      </c>
      <c r="M1158" s="1203">
        <f>M$2831</f>
        <v>2029</v>
      </c>
      <c r="N1158" s="1204">
        <f>N$2831</f>
        <v>2030</v>
      </c>
      <c r="O1158" s="302"/>
      <c r="P1158" s="302"/>
      <c r="Q1158" s="729"/>
      <c r="R1158" s="694"/>
      <c r="S1158" s="694"/>
      <c r="T1158" s="694"/>
      <c r="U1158" s="1205"/>
      <c r="V1158" s="1206">
        <f>J1158</f>
        <v>2026</v>
      </c>
      <c r="W1158" s="1206">
        <f>K1158</f>
        <v>2027</v>
      </c>
      <c r="X1158" s="1206">
        <f>L1158</f>
        <v>2028</v>
      </c>
      <c r="Y1158" s="1206">
        <f>M1158</f>
        <v>2029</v>
      </c>
      <c r="Z1158" s="1207">
        <f>N1158</f>
        <v>2030</v>
      </c>
      <c r="AA1158" s="694"/>
      <c r="AB1158" s="694"/>
      <c r="AC1158" s="694"/>
      <c r="AD1158" s="694"/>
      <c r="AE1158" s="694"/>
      <c r="AF1158" s="694"/>
      <c r="AG1158" s="694"/>
      <c r="AH1158" s="694"/>
      <c r="AI1158" s="694"/>
      <c r="AJ1158" s="694"/>
      <c r="AK1158" s="694"/>
      <c r="AL1158" s="694"/>
    </row>
    <row r="1159" spans="1:38" ht="12.75" customHeight="1" x14ac:dyDescent="0.25">
      <c r="A1159" s="694"/>
      <c r="B1159" s="298"/>
      <c r="C1159" s="298"/>
      <c r="D1159" s="1208" t="s">
        <v>6</v>
      </c>
      <c r="E1159" s="1209" t="str">
        <f>Translations!$B$1321</f>
        <v>Средно годишно равнище на дейност (стойност в НМИ)</v>
      </c>
      <c r="F1159" s="1209"/>
      <c r="G1159" s="1209"/>
      <c r="H1159" s="1210" t="str">
        <f>IF(INDEX(CNTR_SubInstListIsProdBM,$C1137),INDEX(CNTR_SubInstListHALUnit,$C1137),EUconst_Tons)</f>
        <v>тона</v>
      </c>
      <c r="I1159" s="1211" t="str">
        <f>IF(V1137&gt;($J$2831-3),EUconst_NA,INDEX('B+C_SubInstallations'!$I:$I,MATCH(Q1159,'B+C_SubInstallations'!$T:$T,0)))</f>
        <v/>
      </c>
      <c r="J1159" s="1212" t="str">
        <f>IF(AND(V1159&gt;=3,CNTR_ReportingYear&gt;J1158-1),AVERAGE(H1147:I1147),"")</f>
        <v/>
      </c>
      <c r="K1159" s="1213" t="str">
        <f>IF(AND(W1159&gt;=3,CNTR_ReportingYear&gt;K1158-1),AVERAGE(I1147:J1147),"")</f>
        <v/>
      </c>
      <c r="L1159" s="1213" t="str">
        <f>IF(AND(X1159&gt;=3,CNTR_ReportingYear&gt;L1158-1),AVERAGE(J1147:K1147),"")</f>
        <v/>
      </c>
      <c r="M1159" s="1213" t="str">
        <f>IF(AND(Y1159&gt;=3,CNTR_ReportingYear&gt;M1158-1),AVERAGE(K1147:L1147),"")</f>
        <v/>
      </c>
      <c r="N1159" s="1214" t="str">
        <f>IF(AND(Z1159&gt;=3,CNTR_ReportingYear&gt;N1158-1),AVERAGE(L1147:M1147),"")</f>
        <v/>
      </c>
      <c r="O1159" s="302"/>
      <c r="P1159" s="302"/>
      <c r="Q1159" s="1182" t="str">
        <f>EUconst_CNTR_HALinitial&amp;I1137</f>
        <v>HALini_</v>
      </c>
      <c r="R1159" s="694"/>
      <c r="S1159" s="694"/>
      <c r="T1159" s="694"/>
      <c r="U1159" s="1215" t="s">
        <v>1710</v>
      </c>
      <c r="V1159" s="1176">
        <f>IF($I1137="",0,V1158-$V1137+1)</f>
        <v>0</v>
      </c>
      <c r="W1159" s="1176">
        <f>IF($I1137="",0,W1158-$V1137+1)</f>
        <v>0</v>
      </c>
      <c r="X1159" s="1176">
        <f>IF($I1137="",0,X1158-$V1137+1)</f>
        <v>0</v>
      </c>
      <c r="Y1159" s="1176">
        <f>IF($I1137="",0,Y1158-$V1137+1)</f>
        <v>0</v>
      </c>
      <c r="Z1159" s="1216">
        <f>IF($I1137="",0,Z1158-$V1137+1)</f>
        <v>0</v>
      </c>
      <c r="AA1159" s="694"/>
      <c r="AB1159" s="694"/>
      <c r="AC1159" s="694"/>
      <c r="AD1159" s="694"/>
      <c r="AE1159" s="694"/>
      <c r="AF1159" s="694"/>
      <c r="AG1159" s="694"/>
      <c r="AH1159" s="694"/>
      <c r="AI1159" s="694"/>
      <c r="AJ1159" s="694"/>
      <c r="AK1159" s="694"/>
      <c r="AL1159" s="694"/>
    </row>
    <row r="1160" spans="1:38" ht="12.75" hidden="1" customHeight="1" x14ac:dyDescent="0.25">
      <c r="A1160" s="729" t="s">
        <v>312</v>
      </c>
      <c r="B1160" s="298"/>
      <c r="C1160" s="298"/>
      <c r="D1160" s="1217"/>
      <c r="E1160" s="1218" t="str">
        <f>Translations!$B$1376</f>
        <v>Промяна в сравнение с HAL</v>
      </c>
      <c r="F1160" s="1218"/>
      <c r="G1160" s="1218"/>
      <c r="H1160" s="1219"/>
      <c r="I1160" s="1220"/>
      <c r="J1160" s="103" t="str">
        <f>IF(J1159="","",IF($I1162=0,IF(J1159=0,0%,100%),J1159/$I1162-1))</f>
        <v/>
      </c>
      <c r="K1160" s="100" t="str">
        <f>IF(K1159="","",IF($I1162=0,IF(K1159=0,0%,100%),K1159/$I1162-1))</f>
        <v/>
      </c>
      <c r="L1160" s="100" t="str">
        <f>IF(L1159="","",IF($I1162=0,IF(L1159=0,0%,100%),L1159/$I1162-1))</f>
        <v/>
      </c>
      <c r="M1160" s="100" t="str">
        <f>IF(M1159="","",IF($I1162=0,IF(M1159=0,0%,100%),M1159/$I1162-1))</f>
        <v/>
      </c>
      <c r="N1160" s="122" t="str">
        <f>IF(N1159="","",IF($I1162=0,IF(N1159=0,0%,100%),N1159/$I1162-1))</f>
        <v/>
      </c>
      <c r="O1160" s="302"/>
      <c r="P1160" s="302"/>
      <c r="Q1160" s="1190" t="str">
        <f>EUconst_CNTR_RelThreshold &amp; Q1162</f>
        <v>RelThresh_HALprelim_</v>
      </c>
      <c r="R1160" s="694"/>
      <c r="S1160" s="694"/>
      <c r="T1160" s="694"/>
      <c r="U1160" s="1215" t="s">
        <v>1715</v>
      </c>
      <c r="V1160" s="727" t="str">
        <f>IF(J1159="","",ABS(J1160)&gt;15%)</f>
        <v/>
      </c>
      <c r="W1160" s="727" t="str">
        <f>IF(K1159="","",ABS(K1160)&gt;15%)</f>
        <v/>
      </c>
      <c r="X1160" s="727" t="str">
        <f>IF(L1159="","",ABS(L1160)&gt;15%)</f>
        <v/>
      </c>
      <c r="Y1160" s="727" t="str">
        <f>IF(M1159="","",ABS(M1160)&gt;15%)</f>
        <v/>
      </c>
      <c r="Z1160" s="1221" t="str">
        <f>IF(N1159="","",ABS(N1160)&gt;15%)</f>
        <v/>
      </c>
      <c r="AA1160" s="694"/>
      <c r="AB1160" s="694"/>
      <c r="AC1160" s="694"/>
      <c r="AD1160" s="694"/>
      <c r="AE1160" s="694"/>
      <c r="AF1160" s="694"/>
      <c r="AG1160" s="694"/>
      <c r="AH1160" s="694"/>
      <c r="AI1160" s="694"/>
      <c r="AJ1160" s="694"/>
      <c r="AK1160" s="694"/>
      <c r="AL1160" s="729"/>
    </row>
    <row r="1161" spans="1:38" ht="12.75" customHeight="1" x14ac:dyDescent="0.25">
      <c r="A1161" s="729"/>
      <c r="B1161" s="298"/>
      <c r="C1161" s="298"/>
      <c r="D1161" s="1208" t="s">
        <v>7</v>
      </c>
      <c r="E1161" s="1209" t="str">
        <f>Translations!$B$1322</f>
        <v>Предварителна корекция (ако са надвишени относителните прагове)</v>
      </c>
      <c r="F1161" s="1209"/>
      <c r="G1161" s="1209"/>
      <c r="H1161" s="1222"/>
      <c r="I1161" s="1223"/>
      <c r="J1161" s="1224" t="str">
        <f>IF(J1159="","",IF(V1160=FALSE,0%,IF(V1161,J1160,I1167)))</f>
        <v/>
      </c>
      <c r="K1161" s="1225" t="str">
        <f>IF(K1159="","",IF(W1160=FALSE,0%,IF(W1161,K1160,J1167)))</f>
        <v/>
      </c>
      <c r="L1161" s="1225" t="str">
        <f>IF(L1159="","",IF(X1160=FALSE,0%,IF(X1161,L1160,K1167)))</f>
        <v/>
      </c>
      <c r="M1161" s="1225" t="str">
        <f>IF(M1159="","",IF(Y1160=FALSE,0%,IF(Y1161,M1160,L1167)))</f>
        <v/>
      </c>
      <c r="N1161" s="1226" t="str">
        <f>IF(N1159="","",IF(Z1160=FALSE,0%,IF(Z1161,N1160,M1167)))</f>
        <v/>
      </c>
      <c r="O1161" s="302"/>
      <c r="P1161" s="302"/>
      <c r="Q1161" s="694"/>
      <c r="R1161" s="694"/>
      <c r="S1161" s="694"/>
      <c r="T1161" s="694"/>
      <c r="U1161" s="1215" t="s">
        <v>1716</v>
      </c>
      <c r="V1161" s="727" t="str">
        <f>IF(J1159="","",AND(V1160,IF(SUM(I1167)&lt;0,OR(SUM(J1160)&lt;SUM(I1167)-MOD(SUM(I1167),5%),J1160&gt;=SUM(I1167)+5%-MOD(SUM(I1167),5%)),OR(SUM(J1160)&lt;=SUM(I1167)-MOD(SUM(I1167),5%),SUM(J1160)&gt;SUM(I1167)+5%-MOD(SUM(I1167),5%)))))</f>
        <v/>
      </c>
      <c r="W1161" s="727" t="str">
        <f>IF(K1159="","",AND(W1160,IF(SUM(J1167)&lt;0,OR(SUM(K1160)&lt;SUM(J1167)-MOD(SUM(J1167),5%),K1160&gt;=SUM(J1167)+5%-MOD(SUM(J1167),5%)),OR(SUM(K1160)&lt;=SUM(J1167)-MOD(SUM(J1167),5%),SUM(K1160)&gt;SUM(J1167)+5%-MOD(SUM(J1167),5%)))))</f>
        <v/>
      </c>
      <c r="X1161" s="727" t="str">
        <f>IF(L1159="","",AND(X1160,IF(SUM(K1167)&lt;0,OR(SUM(L1160)&lt;SUM(K1167)-MOD(SUM(K1167),5%),L1160&gt;=SUM(K1167)+5%-MOD(SUM(K1167),5%)),OR(SUM(L1160)&lt;=SUM(K1167)-MOD(SUM(K1167),5%),SUM(L1160)&gt;SUM(K1167)+5%-MOD(SUM(K1167),5%)))))</f>
        <v/>
      </c>
      <c r="Y1161" s="727" t="str">
        <f>IF(M1159="","",AND(Y1160,IF(SUM(L1167)&lt;0,OR(SUM(M1160)&lt;SUM(L1167)-MOD(SUM(L1167),5%),M1160&gt;=SUM(L1167)+5%-MOD(SUM(L1167),5%)),OR(SUM(M1160)&lt;=SUM(L1167)-MOD(SUM(L1167),5%),SUM(M1160)&gt;SUM(L1167)+5%-MOD(SUM(L1167),5%)))))</f>
        <v/>
      </c>
      <c r="Z1161" s="1221" t="str">
        <f>IF(N1159="","",AND(Z1160,IF(SUM(M1167)&lt;0,OR(SUM(N1160)&lt;SUM(M1167)-MOD(SUM(M1167),5%),N1160&gt;=SUM(M1167)+5%-MOD(SUM(M1167),5%)),OR(SUM(N1160)&lt;=SUM(M1167)-MOD(SUM(M1167),5%),SUM(N1160)&gt;SUM(M1167)+5%-MOD(SUM(M1167),5%)))))</f>
        <v/>
      </c>
      <c r="AA1161" s="694"/>
      <c r="AB1161" s="694"/>
      <c r="AC1161" s="694"/>
      <c r="AD1161" s="694"/>
      <c r="AE1161" s="694"/>
      <c r="AF1161" s="694"/>
      <c r="AG1161" s="694"/>
      <c r="AH1161" s="694"/>
      <c r="AI1161" s="694"/>
      <c r="AJ1161" s="694"/>
      <c r="AK1161" s="694"/>
      <c r="AL1161" s="729"/>
    </row>
    <row r="1162" spans="1:38" ht="12.75" hidden="1" customHeight="1" x14ac:dyDescent="0.25">
      <c r="A1162" s="729" t="s">
        <v>312</v>
      </c>
      <c r="B1162" s="298"/>
      <c r="C1162" s="298"/>
      <c r="D1162" s="1217"/>
      <c r="E1162" s="1209" t="str">
        <f>Translations!$B$1377</f>
        <v>Предварителна стойност</v>
      </c>
      <c r="F1162" s="1209"/>
      <c r="G1162" s="1209"/>
      <c r="H1162" s="1210" t="str">
        <f>H1159</f>
        <v>тона</v>
      </c>
      <c r="I1162" s="1211" t="str">
        <f>IF(I1137="","",IF(AB1137=FALSE,EUconst_NA,IF(V1137&gt;($J$2831-3),INDEX(H1147:N1147,MATCH(V1137,H1144:N1144,0)),SUM(I1159))))</f>
        <v/>
      </c>
      <c r="J1162" s="1212" t="str">
        <f>IF($I1137="","",IF(V1159&lt;2,SUM(J1147),IF(V1159&lt;3,SUM(I1147),IF(V1162="",I1162,V1162))))</f>
        <v/>
      </c>
      <c r="K1162" s="1213" t="str">
        <f>IF($I1137="","",IF(W1159&lt;2,SUM(K1147),IF(W1159&lt;3,SUM(J1147),IF(W1162="",J1162,W1162))))</f>
        <v/>
      </c>
      <c r="L1162" s="1213" t="str">
        <f>IF($I1137="","",IF(X1159&lt;2,SUM(L1147),IF(X1159&lt;3,SUM(K1147),IF(X1162="",K1162,X1162))))</f>
        <v/>
      </c>
      <c r="M1162" s="1213" t="str">
        <f>IF($I1137="","",IF(Y1159&lt;2,SUM(M1147),IF(Y1159&lt;3,SUM(L1147),IF(Y1162="",L1162,Y1162))))</f>
        <v/>
      </c>
      <c r="N1162" s="1214" t="str">
        <f>IF($I1137="","",IF(Z1159&lt;2,SUM(N1147),IF(Z1159&lt;3,SUM(M1147),IF(Z1162="",M1162,Z1162))))</f>
        <v/>
      </c>
      <c r="O1162" s="302"/>
      <c r="P1162" s="302"/>
      <c r="Q1162" s="1182" t="str">
        <f>EUconst_CNTR_HALprelim&amp;I1137</f>
        <v>HALprelim_</v>
      </c>
      <c r="R1162" s="694"/>
      <c r="S1162" s="694"/>
      <c r="T1162" s="694"/>
      <c r="U1162" s="1215" t="s">
        <v>1756</v>
      </c>
      <c r="V1162" s="1227" t="str">
        <f>IF(J1159="","",IF(CNTR_ReportingYear&lt;J1158,I1161,IF($I1162=0,J1159,$I1162*(1+J1161))))</f>
        <v/>
      </c>
      <c r="W1162" s="1227" t="str">
        <f>IF(K1159="","",IF(CNTR_ReportingYear&lt;K1158,J1161,IF($I1162=0,K1159,$I1162*(1+K1161))))</f>
        <v/>
      </c>
      <c r="X1162" s="1227" t="str">
        <f>IF(L1159="","",IF(CNTR_ReportingYear&lt;L1158,K1161,IF($I1162=0,L1159,$I1162*(1+L1161))))</f>
        <v/>
      </c>
      <c r="Y1162" s="1227" t="str">
        <f>IF(M1159="","",IF(CNTR_ReportingYear&lt;M1158,L1161,IF($I1162=0,M1159,$I1162*(1+M1161))))</f>
        <v/>
      </c>
      <c r="Z1162" s="1228" t="str">
        <f>IF(N1159="","",IF(CNTR_ReportingYear&lt;N1158,M1161,IF($I1162=0,N1159,$I1162*(1+N1161))))</f>
        <v/>
      </c>
      <c r="AA1162" s="694"/>
      <c r="AB1162" s="694"/>
      <c r="AC1162" s="694"/>
      <c r="AD1162" s="694"/>
      <c r="AE1162" s="694"/>
      <c r="AF1162" s="694"/>
      <c r="AG1162" s="694"/>
      <c r="AH1162" s="694"/>
      <c r="AI1162" s="694"/>
      <c r="AJ1162" s="694"/>
      <c r="AK1162" s="694"/>
      <c r="AL1162" s="729"/>
    </row>
    <row r="1163" spans="1:38" ht="5.15" customHeight="1" x14ac:dyDescent="0.25">
      <c r="A1163" s="729"/>
      <c r="B1163" s="298"/>
      <c r="C1163" s="298"/>
      <c r="D1163" s="1217"/>
      <c r="E1163" s="1199"/>
      <c r="F1163" s="1199"/>
      <c r="G1163" s="1199"/>
      <c r="H1163" s="1199"/>
      <c r="I1163" s="1199"/>
      <c r="J1163" s="1229"/>
      <c r="K1163" s="1229"/>
      <c r="L1163" s="1229"/>
      <c r="M1163" s="1229"/>
      <c r="N1163" s="1230"/>
      <c r="O1163" s="302"/>
      <c r="P1163" s="302"/>
      <c r="Q1163" s="729"/>
      <c r="R1163" s="694"/>
      <c r="S1163" s="694"/>
      <c r="T1163" s="694"/>
      <c r="U1163" s="1231"/>
      <c r="V1163" s="729"/>
      <c r="W1163" s="694"/>
      <c r="X1163" s="694"/>
      <c r="Y1163" s="694"/>
      <c r="Z1163" s="1232"/>
      <c r="AA1163" s="694"/>
      <c r="AB1163" s="694"/>
      <c r="AC1163" s="694"/>
      <c r="AD1163" s="694"/>
      <c r="AE1163" s="694"/>
      <c r="AF1163" s="694"/>
      <c r="AG1163" s="694"/>
      <c r="AH1163" s="694"/>
      <c r="AI1163" s="694"/>
      <c r="AJ1163" s="694"/>
      <c r="AK1163" s="694"/>
      <c r="AL1163" s="729"/>
    </row>
    <row r="1164" spans="1:38" ht="12.75" customHeight="1" x14ac:dyDescent="0.25">
      <c r="A1164" s="729"/>
      <c r="B1164" s="298"/>
      <c r="C1164" s="298"/>
      <c r="D1164" s="1217"/>
      <c r="E1164" s="1233" t="str">
        <f>Translations!$B$1323</f>
        <v>Действителна корекция (база за следващи години)</v>
      </c>
      <c r="F1164" s="1233"/>
      <c r="G1164" s="1233"/>
      <c r="H1164" s="1233"/>
      <c r="I1164" s="1233"/>
      <c r="J1164" s="1202">
        <f>J$2831</f>
        <v>2026</v>
      </c>
      <c r="K1164" s="1203">
        <f>K$2831</f>
        <v>2027</v>
      </c>
      <c r="L1164" s="1203">
        <f>L$2831</f>
        <v>2028</v>
      </c>
      <c r="M1164" s="1203">
        <f>M$2831</f>
        <v>2029</v>
      </c>
      <c r="N1164" s="1204">
        <f>N$2831</f>
        <v>2030</v>
      </c>
      <c r="O1164" s="302"/>
      <c r="P1164" s="302"/>
      <c r="Q1164" s="729"/>
      <c r="R1164" s="694"/>
      <c r="S1164" s="694"/>
      <c r="T1164" s="694"/>
      <c r="U1164" s="1234"/>
      <c r="V1164" s="213"/>
      <c r="W1164" s="214" t="s">
        <v>2101</v>
      </c>
      <c r="X1164" s="215" t="str">
        <f>IF(OR($X1137=0,$X1137=""),"",MIN(1,1-(DATE($Z1137,12,31)-$X1137)/(DATE($Z1137,12,31)-DATE($Z1137,1,1)+1)))</f>
        <v/>
      </c>
      <c r="Y1164" s="1165"/>
      <c r="Z1164" s="1235"/>
      <c r="AA1164" s="694"/>
      <c r="AB1164" s="694"/>
      <c r="AC1164" s="694"/>
      <c r="AD1164" s="694"/>
      <c r="AE1164" s="694"/>
      <c r="AF1164" s="694"/>
      <c r="AG1164" s="694"/>
      <c r="AH1164" s="694"/>
      <c r="AI1164" s="694"/>
      <c r="AJ1164" s="694"/>
      <c r="AK1164" s="694"/>
      <c r="AL1164" s="729"/>
    </row>
    <row r="1165" spans="1:38" ht="12.75" customHeight="1" x14ac:dyDescent="0.25">
      <c r="A1165" s="729"/>
      <c r="B1165" s="298"/>
      <c r="C1165" s="298"/>
      <c r="D1165" s="1208" t="s">
        <v>8</v>
      </c>
      <c r="E1165" s="1209" t="str">
        <f>Translations!$B$1515</f>
        <v>изпълнен ли е критерият за &gt;=300 квоти за емисии?</v>
      </c>
      <c r="F1165" s="1209"/>
      <c r="G1165" s="1209"/>
      <c r="H1165" s="1209"/>
      <c r="I1165" s="1209"/>
      <c r="J1165" s="1236" t="str">
        <f>IF($I1137="","",INDEX(K_Summary!J:J,MATCH($Q1165,K_Summary!$P:$P,0)))</f>
        <v/>
      </c>
      <c r="K1165" s="385" t="str">
        <f>IF($I1137="","",INDEX(K_Summary!K:K,MATCH($Q1165,K_Summary!$P:$P,0)))</f>
        <v/>
      </c>
      <c r="L1165" s="385" t="str">
        <f>IF($I1137="","",INDEX(K_Summary!L:L,MATCH($Q1165,K_Summary!$P:$P,0)))</f>
        <v/>
      </c>
      <c r="M1165" s="385" t="str">
        <f>IF($I1137="","",INDEX(K_Summary!M:M,MATCH($Q1165,K_Summary!$P:$P,0)))</f>
        <v/>
      </c>
      <c r="N1165" s="1237" t="str">
        <f>IF($I1137="","",INDEX(K_Summary!N:N,MATCH($Q1165,K_Summary!$P:$P,0)))</f>
        <v/>
      </c>
      <c r="O1165" s="302"/>
      <c r="P1165" s="302"/>
      <c r="Q1165" s="1182" t="str">
        <f>EUconst_CNTR_300EUA&amp;I1137</f>
        <v>EUA300_</v>
      </c>
      <c r="R1165" s="694"/>
      <c r="S1165" s="694"/>
      <c r="T1165" s="694"/>
      <c r="U1165" s="1234"/>
      <c r="V1165" s="216">
        <f>IF(V1158=$Z1137,$X1164,1)</f>
        <v>1</v>
      </c>
      <c r="W1165" s="216">
        <f>IF(W1158=$Z1137,$X1164,1)</f>
        <v>1</v>
      </c>
      <c r="X1165" s="216">
        <f>IF(X1158=$Z1137,$X1164,1)</f>
        <v>1</v>
      </c>
      <c r="Y1165" s="216">
        <f>IF(Y1158=$Z1137,$X1164,1)</f>
        <v>1</v>
      </c>
      <c r="Z1165" s="217">
        <f>IF(Z1158=$Z1137,$X1164,1)</f>
        <v>1</v>
      </c>
      <c r="AA1165" s="694"/>
      <c r="AB1165" s="694"/>
      <c r="AC1165" s="694"/>
      <c r="AD1165" s="694"/>
      <c r="AE1165" s="694"/>
      <c r="AF1165" s="694"/>
      <c r="AG1165" s="694"/>
      <c r="AH1165" s="694"/>
      <c r="AI1165" s="694"/>
      <c r="AJ1165" s="694"/>
      <c r="AK1165" s="694"/>
      <c r="AL1165" s="729"/>
    </row>
    <row r="1166" spans="1:38" ht="5.15" customHeight="1" thickBot="1" x14ac:dyDescent="0.3">
      <c r="A1166" s="729"/>
      <c r="B1166" s="298"/>
      <c r="C1166" s="298"/>
      <c r="D1166" s="1217"/>
      <c r="E1166" s="1199"/>
      <c r="F1166" s="1199"/>
      <c r="G1166" s="1199"/>
      <c r="H1166" s="1199"/>
      <c r="I1166" s="1199"/>
      <c r="J1166" s="1199"/>
      <c r="K1166" s="1199"/>
      <c r="L1166" s="1199"/>
      <c r="M1166" s="1199"/>
      <c r="N1166" s="1238"/>
      <c r="O1166" s="302"/>
      <c r="P1166" s="302"/>
      <c r="Q1166" s="729"/>
      <c r="R1166" s="694"/>
      <c r="S1166" s="694"/>
      <c r="T1166" s="694"/>
      <c r="U1166" s="1231"/>
      <c r="V1166" s="729"/>
      <c r="W1166" s="694"/>
      <c r="X1166" s="694"/>
      <c r="Y1166" s="694"/>
      <c r="Z1166" s="1232"/>
      <c r="AA1166" s="694"/>
      <c r="AB1166" s="694"/>
      <c r="AC1166" s="694"/>
      <c r="AD1166" s="694"/>
      <c r="AE1166" s="694"/>
      <c r="AF1166" s="694"/>
      <c r="AG1166" s="694"/>
      <c r="AH1166" s="694"/>
      <c r="AI1166" s="694"/>
      <c r="AJ1166" s="694"/>
      <c r="AK1166" s="694"/>
      <c r="AL1166" s="729"/>
    </row>
    <row r="1167" spans="1:38" ht="12.75" customHeight="1" thickBot="1" x14ac:dyDescent="0.3">
      <c r="A1167" s="694"/>
      <c r="B1167" s="298"/>
      <c r="C1167" s="298"/>
      <c r="D1167" s="1208" t="s">
        <v>18</v>
      </c>
      <c r="E1167" s="1209" t="str">
        <f>Translations!$B$1324</f>
        <v>Действителна корекция (ако са надвишени всички прагове)</v>
      </c>
      <c r="F1167" s="1209"/>
      <c r="G1167" s="1209"/>
      <c r="H1167" s="1222"/>
      <c r="I1167" s="1239"/>
      <c r="J1167" s="1240" t="str">
        <f>IF(J1165="","",IF(J1158&gt;$Z1137,-100%,IF(OR(J1165,V1159&lt;1),J1161,I1167)))</f>
        <v/>
      </c>
      <c r="K1167" s="1241" t="str">
        <f>IF(K1165="","",IF(K1158&gt;$Z1137,-100%,IF(OR(K1165,W1159&lt;1),K1161,J1167)))</f>
        <v/>
      </c>
      <c r="L1167" s="1241" t="str">
        <f>IF(L1165="","",IF(L1158&gt;$Z1137,-100%,IF(OR(L1165,X1159&lt;1),L1161,K1167)))</f>
        <v/>
      </c>
      <c r="M1167" s="1241" t="str">
        <f>IF(M1165="","",IF(M1158&gt;$Z1137,-100%,IF(OR(M1165,Y1159&lt;1),M1161,L1167)))</f>
        <v/>
      </c>
      <c r="N1167" s="1242" t="str">
        <f>IF(N1165="","",IF(N1158&gt;$Z1137,-100%,IF(OR(N1165,Z1159&lt;1),N1161,M1167)))</f>
        <v/>
      </c>
      <c r="O1167" s="302"/>
      <c r="P1167" s="710"/>
      <c r="Q1167" s="1190" t="str">
        <f>EUconst_CNTR_HALAdjPct &amp; I1137</f>
        <v>HALAdjPct_</v>
      </c>
      <c r="R1167" s="694"/>
      <c r="S1167" s="694"/>
      <c r="T1167" s="694"/>
      <c r="U1167" s="1231" t="s">
        <v>1718</v>
      </c>
      <c r="V1167" s="1243">
        <f>J1164</f>
        <v>2026</v>
      </c>
      <c r="W1167" s="1243">
        <f>K1164</f>
        <v>2027</v>
      </c>
      <c r="X1167" s="1243">
        <f>L1164</f>
        <v>2028</v>
      </c>
      <c r="Y1167" s="1243">
        <f>M1164</f>
        <v>2029</v>
      </c>
      <c r="Z1167" s="1244">
        <f>N1164</f>
        <v>2030</v>
      </c>
      <c r="AA1167" s="694"/>
      <c r="AB1167" s="694"/>
      <c r="AC1167" s="694"/>
      <c r="AD1167" s="694"/>
      <c r="AE1167" s="694"/>
      <c r="AF1167" s="694"/>
      <c r="AG1167" s="694"/>
      <c r="AH1167" s="694"/>
      <c r="AI1167" s="694"/>
      <c r="AJ1167" s="694"/>
      <c r="AK1167" s="694"/>
      <c r="AL1167" s="729"/>
    </row>
    <row r="1168" spans="1:38" ht="12.75" customHeight="1" thickBot="1" x14ac:dyDescent="0.3">
      <c r="A1168" s="729"/>
      <c r="B1168" s="298"/>
      <c r="C1168" s="298"/>
      <c r="D1168" s="1208" t="s">
        <v>810</v>
      </c>
      <c r="E1168" s="1209" t="str">
        <f>Translations!$B$1325</f>
        <v>Действителна стойност</v>
      </c>
      <c r="F1168" s="1209"/>
      <c r="G1168" s="1209"/>
      <c r="H1168" s="1210" t="str">
        <f>H1159</f>
        <v>тона</v>
      </c>
      <c r="I1168" s="1211" t="str">
        <f>I1162</f>
        <v/>
      </c>
      <c r="J1168" s="632" t="str">
        <f>IF($I1137="","",IF(OR($I1168=0,J1167="",$I1168=EUconst_NA),IF(OR(J1165=TRUE,J1164&lt;=$V1137),J1162,SUM(I1168)),$I1168*(1+SUM(J1167))))</f>
        <v/>
      </c>
      <c r="K1168" s="633" t="str">
        <f>IF($I1137="","",IF(OR($I1168=0,K1167="",$I1168=EUconst_NA),IF(OR(K1165=TRUE,K1164&lt;=$V1137),K1162,SUM(J1168)),$I1168*(1+SUM(K1167))))</f>
        <v/>
      </c>
      <c r="L1168" s="633" t="str">
        <f>IF($I1137="","",IF(OR($I1168=0,L1167="",$I1168=EUconst_NA),IF(OR(L1165=TRUE,L1164&lt;=$V1137),L1162,SUM(K1168)),$I1168*(1+SUM(L1167))))</f>
        <v/>
      </c>
      <c r="M1168" s="633" t="str">
        <f>IF($I1137="","",IF(OR($I1168=0,M1167="",$I1168=EUconst_NA),IF(OR(M1165=TRUE,M1164&lt;=$V1137),M1162,SUM(L1168)),$I1168*(1+SUM(M1167))))</f>
        <v/>
      </c>
      <c r="N1168" s="634" t="str">
        <f>IF($I1137="","",IF(OR($I1168=0,N1167="",$I1168=EUconst_NA),IF(OR(N1165=TRUE,N1164&lt;=$V1137),N1162,SUM(M1168)),$I1168*(1+SUM(N1167))))</f>
        <v/>
      </c>
      <c r="O1168" s="302"/>
      <c r="P1168" s="302"/>
      <c r="Q1168" s="1182" t="str">
        <f>EUconst_CNTR_HALfinal&amp;I1137</f>
        <v>HALfinal_</v>
      </c>
      <c r="R1168" s="694"/>
      <c r="S1168" s="694"/>
      <c r="T1168" s="694"/>
      <c r="U1168" s="1245" t="b">
        <v>0</v>
      </c>
      <c r="V1168" s="1246" t="str">
        <f>IF(V1145,IF(J1165=TRUE,V1160,U1168),"")</f>
        <v/>
      </c>
      <c r="W1168" s="1246" t="str">
        <f>IF(W1145,IF(K1165=TRUE,W1160,V1168),"")</f>
        <v/>
      </c>
      <c r="X1168" s="1246" t="str">
        <f>IF(X1145,IF(L1165=TRUE,X1160,W1168),"")</f>
        <v/>
      </c>
      <c r="Y1168" s="1246" t="str">
        <f>IF(Y1145,IF(M1165=TRUE,Y1160,X1168),"")</f>
        <v/>
      </c>
      <c r="Z1168" s="1247" t="str">
        <f>IF(Z1145,IF(N1165=TRUE,Z1160,Y1168),"")</f>
        <v/>
      </c>
      <c r="AA1168" s="694"/>
      <c r="AB1168" s="694"/>
      <c r="AC1168" s="694"/>
      <c r="AD1168" s="694"/>
      <c r="AE1168" s="694"/>
      <c r="AF1168" s="694"/>
      <c r="AG1168" s="694"/>
      <c r="AH1168" s="694"/>
      <c r="AI1168" s="694"/>
      <c r="AJ1168" s="1174" t="s">
        <v>2033</v>
      </c>
      <c r="AK1168" s="982" t="str">
        <f>IF(OR(ISERROR(J1168),ISERROR(K1168),ISERROR(L1168),ISERROR(M1168),ISERROR(N1168)),EUconst_Error &amp; "BM" &amp; Q1137,"")</f>
        <v/>
      </c>
      <c r="AL1168" s="729"/>
    </row>
    <row r="1169" spans="1:38" ht="5.15" customHeight="1" thickBot="1" x14ac:dyDescent="0.3">
      <c r="A1169" s="694"/>
      <c r="B1169" s="298"/>
      <c r="C1169" s="298"/>
      <c r="D1169" s="1248"/>
      <c r="E1169" s="1249"/>
      <c r="F1169" s="1249"/>
      <c r="G1169" s="1249"/>
      <c r="H1169" s="1249"/>
      <c r="I1169" s="1249"/>
      <c r="J1169" s="1249"/>
      <c r="K1169" s="1249"/>
      <c r="L1169" s="1249"/>
      <c r="M1169" s="1249"/>
      <c r="N1169" s="1250"/>
      <c r="O1169" s="302"/>
      <c r="P1169" s="302"/>
      <c r="Q1169" s="729"/>
      <c r="R1169" s="694"/>
      <c r="S1169" s="694"/>
      <c r="T1169" s="694"/>
      <c r="U1169" s="729"/>
      <c r="V1169" s="729"/>
      <c r="W1169" s="694"/>
      <c r="X1169" s="694"/>
      <c r="Y1169" s="694"/>
      <c r="Z1169" s="694"/>
      <c r="AA1169" s="694"/>
      <c r="AB1169" s="694"/>
      <c r="AC1169" s="694"/>
      <c r="AD1169" s="694"/>
      <c r="AE1169" s="694"/>
      <c r="AF1169" s="694"/>
      <c r="AG1169" s="694"/>
      <c r="AH1169" s="694"/>
      <c r="AI1169" s="694"/>
      <c r="AJ1169" s="694"/>
      <c r="AK1169" s="694"/>
      <c r="AL1169" s="729"/>
    </row>
    <row r="1170" spans="1:38" ht="5.15" customHeight="1" x14ac:dyDescent="0.25">
      <c r="A1170" s="694"/>
      <c r="B1170" s="298"/>
      <c r="C1170" s="298"/>
      <c r="D1170" s="302"/>
      <c r="E1170" s="302"/>
      <c r="F1170" s="302"/>
      <c r="G1170" s="302"/>
      <c r="H1170" s="302"/>
      <c r="I1170" s="302"/>
      <c r="J1170" s="302"/>
      <c r="K1170" s="302"/>
      <c r="L1170" s="302"/>
      <c r="M1170" s="302"/>
      <c r="N1170" s="302"/>
      <c r="O1170" s="302"/>
      <c r="P1170" s="302"/>
      <c r="Q1170" s="729"/>
      <c r="R1170" s="694"/>
      <c r="S1170" s="694"/>
      <c r="T1170" s="694"/>
      <c r="U1170" s="729"/>
      <c r="V1170" s="729"/>
      <c r="W1170" s="694"/>
      <c r="X1170" s="694"/>
      <c r="Y1170" s="694"/>
      <c r="Z1170" s="694"/>
      <c r="AA1170" s="694"/>
      <c r="AB1170" s="694"/>
      <c r="AC1170" s="694"/>
      <c r="AD1170" s="694"/>
      <c r="AE1170" s="694"/>
      <c r="AF1170" s="694"/>
      <c r="AG1170" s="694"/>
      <c r="AH1170" s="694"/>
      <c r="AI1170" s="694"/>
      <c r="AJ1170" s="694"/>
      <c r="AK1170" s="694"/>
      <c r="AL1170" s="729"/>
    </row>
    <row r="1171" spans="1:38" ht="15" customHeight="1" x14ac:dyDescent="0.25">
      <c r="A1171" s="694"/>
      <c r="B1171" s="698"/>
      <c r="C1171" s="298"/>
      <c r="D1171" s="2323" t="str">
        <f>Translations!$B$482</f>
        <v>Други корекционни коефициенти</v>
      </c>
      <c r="E1171" s="2249"/>
      <c r="F1171" s="2249"/>
      <c r="G1171" s="2249"/>
      <c r="H1171" s="2249"/>
      <c r="I1171" s="2249"/>
      <c r="J1171" s="2249"/>
      <c r="K1171" s="2249"/>
      <c r="L1171" s="2249"/>
      <c r="M1171" s="2249"/>
      <c r="N1171" s="2249"/>
      <c r="O1171" s="302"/>
      <c r="P1171" s="302"/>
      <c r="Q1171" s="694"/>
      <c r="R1171" s="694"/>
      <c r="S1171" s="694"/>
      <c r="T1171" s="694"/>
      <c r="U1171" s="729"/>
      <c r="V1171" s="729"/>
      <c r="W1171" s="694"/>
      <c r="X1171" s="694"/>
      <c r="Y1171" s="694"/>
      <c r="Z1171" s="694"/>
      <c r="AA1171" s="694"/>
      <c r="AB1171" s="694"/>
      <c r="AC1171" s="694"/>
      <c r="AD1171" s="694"/>
      <c r="AE1171" s="694"/>
      <c r="AF1171" s="694"/>
      <c r="AG1171" s="694"/>
      <c r="AH1171" s="694"/>
      <c r="AI1171" s="694"/>
      <c r="AJ1171" s="694"/>
      <c r="AK1171" s="694"/>
      <c r="AL1171" s="694"/>
    </row>
    <row r="1172" spans="1:38" ht="5.15" customHeight="1" x14ac:dyDescent="0.25">
      <c r="A1172" s="694"/>
      <c r="B1172" s="298"/>
      <c r="C1172" s="298"/>
      <c r="D1172" s="298"/>
      <c r="E1172" s="298"/>
      <c r="F1172" s="298"/>
      <c r="G1172" s="298"/>
      <c r="H1172" s="298"/>
      <c r="I1172" s="298"/>
      <c r="J1172" s="298"/>
      <c r="K1172" s="298"/>
      <c r="L1172" s="298"/>
      <c r="M1172" s="298"/>
      <c r="N1172" s="298"/>
      <c r="O1172" s="302"/>
      <c r="P1172" s="302"/>
      <c r="Q1172" s="729"/>
      <c r="R1172" s="694"/>
      <c r="S1172" s="694"/>
      <c r="T1172" s="694"/>
      <c r="U1172" s="729"/>
      <c r="V1172" s="729"/>
      <c r="W1172" s="694"/>
      <c r="X1172" s="694"/>
      <c r="Y1172" s="694"/>
      <c r="Z1172" s="694"/>
      <c r="AA1172" s="694"/>
      <c r="AB1172" s="694"/>
      <c r="AC1172" s="694"/>
      <c r="AD1172" s="694"/>
      <c r="AE1172" s="694"/>
      <c r="AF1172" s="694"/>
      <c r="AG1172" s="694"/>
      <c r="AH1172" s="694"/>
      <c r="AI1172" s="694"/>
      <c r="AJ1172" s="694"/>
      <c r="AK1172" s="694"/>
      <c r="AL1172" s="694"/>
    </row>
    <row r="1173" spans="1:38" ht="13" x14ac:dyDescent="0.25">
      <c r="A1173" s="694"/>
      <c r="B1173" s="698"/>
      <c r="C1173" s="698"/>
      <c r="D1173" s="300" t="s">
        <v>46</v>
      </c>
      <c r="E1173" s="2463" t="str">
        <f>Translations!$B$1516</f>
        <v>Потребление на електроенергия</v>
      </c>
      <c r="F1173" s="2463"/>
      <c r="G1173" s="2463"/>
      <c r="H1173" s="2463"/>
      <c r="I1173" s="2463"/>
      <c r="J1173" s="2463"/>
      <c r="K1173" s="2463"/>
      <c r="L1173" s="2463"/>
      <c r="M1173" s="2463"/>
      <c r="N1173" s="2463"/>
      <c r="O1173" s="302"/>
      <c r="P1173" s="302"/>
      <c r="Q1173" s="694" t="s">
        <v>450</v>
      </c>
      <c r="R1173" s="1026" t="str">
        <f>"#"&amp;ADDRESS(ROW(D1178),COLUMN(D1178))</f>
        <v>#$D$1178</v>
      </c>
      <c r="S1173" s="1174" t="s">
        <v>1732</v>
      </c>
      <c r="T1173" s="1190" t="str">
        <f>IF(I1137="","",INDEX(EUconst_BMlistElExchangability,MATCH(I1137,EUconst_BMlistNames,0)))</f>
        <v/>
      </c>
      <c r="U1173" s="729"/>
      <c r="V1173" s="729"/>
      <c r="W1173" s="694"/>
      <c r="X1173" s="694"/>
      <c r="Y1173" s="694"/>
      <c r="Z1173" s="694"/>
      <c r="AA1173" s="694"/>
      <c r="AB1173" s="694"/>
      <c r="AC1173" s="694"/>
      <c r="AD1173" s="694"/>
      <c r="AE1173" s="694"/>
      <c r="AF1173" s="694"/>
      <c r="AG1173" s="694"/>
      <c r="AH1173" s="694"/>
      <c r="AI1173" s="694"/>
      <c r="AJ1173" s="694"/>
      <c r="AK1173" s="694"/>
      <c r="AL1173" s="694"/>
    </row>
    <row r="1174" spans="1:38" ht="25.5" customHeight="1" x14ac:dyDescent="0.25">
      <c r="A1174" s="694"/>
      <c r="B1174" s="298"/>
      <c r="C1174" s="298"/>
      <c r="D1174" s="302"/>
      <c r="E1174" s="2358" t="str">
        <f>Translations!$B$1517</f>
        <v>Въведете тук електроенергията, потребена в системните граници на тази подинсталация. За продуктовите показатели, изброени в раздел 2 от приложение I към ПБР, въвеждането тук на данни е задължително, като те трябва да съответстват на съответните системни граници, посочени в този раздел.</v>
      </c>
      <c r="F1174" s="2249"/>
      <c r="G1174" s="2249"/>
      <c r="H1174" s="2249"/>
      <c r="I1174" s="2249"/>
      <c r="J1174" s="2249"/>
      <c r="K1174" s="2249"/>
      <c r="L1174" s="2249"/>
      <c r="M1174" s="2249"/>
      <c r="N1174" s="2249"/>
      <c r="O1174" s="302"/>
      <c r="P1174" s="302"/>
      <c r="Q1174" s="694"/>
      <c r="R1174" s="694"/>
      <c r="S1174" s="694"/>
      <c r="T1174" s="694"/>
      <c r="U1174" s="729"/>
      <c r="V1174" s="729"/>
      <c r="W1174" s="694"/>
      <c r="X1174" s="694"/>
      <c r="Y1174" s="694"/>
      <c r="Z1174" s="694"/>
      <c r="AA1174" s="694"/>
      <c r="AB1174" s="694"/>
      <c r="AC1174" s="694"/>
      <c r="AD1174" s="694"/>
      <c r="AE1174" s="694"/>
      <c r="AF1174" s="694"/>
      <c r="AG1174" s="694"/>
      <c r="AH1174" s="694"/>
      <c r="AI1174" s="694"/>
      <c r="AJ1174" s="694"/>
      <c r="AK1174" s="694"/>
      <c r="AL1174" s="694"/>
    </row>
    <row r="1175" spans="1:38" s="364" customFormat="1" ht="13.5" thickBot="1" x14ac:dyDescent="0.3">
      <c r="A1175" s="729"/>
      <c r="B1175" s="302"/>
      <c r="C1175" s="302"/>
      <c r="D1175" s="300"/>
      <c r="E1175" s="1013" t="str">
        <f>Translations!$B$483</f>
        <v>Параметър</v>
      </c>
      <c r="F1175" s="1015"/>
      <c r="G1175" s="527" t="str">
        <f>EUconst_Unit</f>
        <v>Единица мярка</v>
      </c>
      <c r="H1175" s="391">
        <f>H$2831</f>
        <v>2024</v>
      </c>
      <c r="I1175" s="572">
        <f>I$2831</f>
        <v>2025</v>
      </c>
      <c r="J1175" s="757">
        <f>J$91</f>
        <v>2026</v>
      </c>
      <c r="K1175" s="758">
        <f>K$91</f>
        <v>2027</v>
      </c>
      <c r="L1175" s="391">
        <f>L$91</f>
        <v>2028</v>
      </c>
      <c r="M1175" s="391">
        <f>M$91</f>
        <v>2029</v>
      </c>
      <c r="N1175" s="391">
        <f>N$91</f>
        <v>2030</v>
      </c>
      <c r="O1175" s="302"/>
      <c r="P1175" s="302"/>
      <c r="Q1175" s="729"/>
      <c r="R1175" s="729"/>
      <c r="S1175" s="694"/>
      <c r="T1175" s="694"/>
      <c r="U1175" s="729"/>
      <c r="V1175" s="729"/>
      <c r="W1175" s="729"/>
      <c r="X1175" s="729"/>
      <c r="Y1175" s="729"/>
      <c r="Z1175" s="729"/>
      <c r="AA1175" s="729"/>
      <c r="AB1175" s="694"/>
      <c r="AC1175" s="1178">
        <f t="shared" ref="AC1175" si="1489">H$20</f>
        <v>2024</v>
      </c>
      <c r="AD1175" s="1178">
        <f t="shared" ref="AD1175" si="1490">I$20</f>
        <v>2025</v>
      </c>
      <c r="AE1175" s="1178">
        <f t="shared" ref="AE1175" si="1491">J$20</f>
        <v>2026</v>
      </c>
      <c r="AF1175" s="1178">
        <f t="shared" ref="AF1175" si="1492">K$20</f>
        <v>2027</v>
      </c>
      <c r="AG1175" s="1178">
        <f t="shared" ref="AG1175" si="1493">L$20</f>
        <v>2028</v>
      </c>
      <c r="AH1175" s="1178">
        <f t="shared" ref="AH1175" si="1494">M$20</f>
        <v>2029</v>
      </c>
      <c r="AI1175" s="1178">
        <f t="shared" ref="AI1175" si="1495">N$20</f>
        <v>2030</v>
      </c>
      <c r="AJ1175" s="694"/>
      <c r="AK1175" s="694"/>
      <c r="AL1175" s="694"/>
    </row>
    <row r="1176" spans="1:38" s="364" customFormat="1" ht="12.75" customHeight="1" thickBot="1" x14ac:dyDescent="0.3">
      <c r="A1176" s="729"/>
      <c r="B1176" s="302"/>
      <c r="C1176" s="302"/>
      <c r="D1176" s="360"/>
      <c r="E1176" s="1251" t="str">
        <f>Translations!$B$485</f>
        <v>Съответно потребление на електроенергия</v>
      </c>
      <c r="F1176" s="1252"/>
      <c r="G1176" s="1253" t="str">
        <f>EUconst_MWhpa</f>
        <v>MWh / година</v>
      </c>
      <c r="H1176" s="39"/>
      <c r="I1176" s="194"/>
      <c r="J1176" s="195"/>
      <c r="K1176" s="208"/>
      <c r="L1176" s="39"/>
      <c r="M1176" s="39"/>
      <c r="N1176" s="39"/>
      <c r="O1176" s="302"/>
      <c r="P1176" s="158"/>
      <c r="Q1176" s="982" t="str">
        <f>EUconst_CNTR_HAL&amp;EUconst_CNTR_ELEXCH &amp;I1137</f>
        <v>HAL_ELEXCH_</v>
      </c>
      <c r="R1176" s="729"/>
      <c r="S1176" s="729"/>
      <c r="T1176" s="729"/>
      <c r="U1176" s="729"/>
      <c r="V1176" s="729"/>
      <c r="W1176" s="729"/>
      <c r="X1176" s="729"/>
      <c r="Y1176" s="729"/>
      <c r="Z1176" s="729"/>
      <c r="AA1176" s="729"/>
      <c r="AB1176" s="1182" t="s">
        <v>737</v>
      </c>
      <c r="AC1176" s="1254" t="b">
        <f t="shared" ref="AC1176" si="1496">IF(CNTR_ExistSubInstEntries,IF($I1137="",TRUE,OR(H1175&gt;=CNTR_ReportingYear,AC1175&lt;$V1137-1,INDEX(EUconst_BMlistElExchangability,MATCH($I1137,EUconst_BMlistNames,0))=FALSE)),FALSE)</f>
        <v>0</v>
      </c>
      <c r="AD1176" s="1255" t="b">
        <f t="shared" ref="AD1176" si="1497">IF(CNTR_ExistSubInstEntries,IF($I1137="",TRUE,OR(I1175&gt;=CNTR_ReportingYear,AD1175&lt;$V1137-1,INDEX(EUconst_BMlistElExchangability,MATCH($I1137,EUconst_BMlistNames,0))=FALSE)),FALSE)</f>
        <v>0</v>
      </c>
      <c r="AE1176" s="1255" t="b">
        <f t="shared" ref="AE1176" si="1498">IF(CNTR_ExistSubInstEntries,IF($I1137="",TRUE,OR(J1175&gt;=CNTR_ReportingYear,AE1175&lt;$V1137-1,INDEX(EUconst_BMlistElExchangability,MATCH($I1137,EUconst_BMlistNames,0))=FALSE)),FALSE)</f>
        <v>0</v>
      </c>
      <c r="AF1176" s="1255" t="b">
        <f t="shared" ref="AF1176" si="1499">IF(CNTR_ExistSubInstEntries,IF($I1137="",TRUE,OR(K1175&gt;=CNTR_ReportingYear,AF1175&lt;$V1137-1,INDEX(EUconst_BMlistElExchangability,MATCH($I1137,EUconst_BMlistNames,0))=FALSE)),FALSE)</f>
        <v>0</v>
      </c>
      <c r="AG1176" s="1255" t="b">
        <f t="shared" ref="AG1176" si="1500">IF(CNTR_ExistSubInstEntries,IF($I1137="",TRUE,OR(L1175&gt;=CNTR_ReportingYear,AG1175&lt;$V1137-1,INDEX(EUconst_BMlistElExchangability,MATCH($I1137,EUconst_BMlistNames,0))=FALSE)),FALSE)</f>
        <v>0</v>
      </c>
      <c r="AH1176" s="1255" t="b">
        <f t="shared" ref="AH1176" si="1501">IF(CNTR_ExistSubInstEntries,IF($I1137="",TRUE,OR(M1175&gt;=CNTR_ReportingYear,AH1175&lt;$V1137-1,INDEX(EUconst_BMlistElExchangability,MATCH($I1137,EUconst_BMlistNames,0))=FALSE)),FALSE)</f>
        <v>0</v>
      </c>
      <c r="AI1176" s="1256" t="b">
        <f t="shared" ref="AI1176" si="1502">IF(CNTR_ExistSubInstEntries,IF($I1137="",TRUE,OR(N1175&gt;=CNTR_ReportingYear,AI1175&lt;$V1137-1,INDEX(EUconst_BMlistElExchangability,MATCH($I1137,EUconst_BMlistNames,0))=FALSE)),FALSE)</f>
        <v>0</v>
      </c>
      <c r="AJ1176" s="1174" t="s">
        <v>2039</v>
      </c>
      <c r="AK1176" s="1176" t="str">
        <f>IF(AND(CNTR_ExistSubInstEntries,COUNTIFS(AC1176:AI1176,FALSE,H1176:N1176,"")&gt;0),EUconst_Error&amp;"BM"&amp;$Q1137,"")</f>
        <v/>
      </c>
      <c r="AL1176" s="694"/>
    </row>
    <row r="1177" spans="1:38" ht="5.15" customHeight="1" x14ac:dyDescent="0.25">
      <c r="A1177" s="694"/>
      <c r="B1177" s="298"/>
      <c r="C1177" s="298"/>
      <c r="D1177" s="298"/>
      <c r="E1177" s="298"/>
      <c r="F1177" s="298"/>
      <c r="G1177" s="298"/>
      <c r="H1177" s="298"/>
      <c r="I1177" s="298"/>
      <c r="J1177" s="298"/>
      <c r="K1177" s="298"/>
      <c r="L1177" s="298"/>
      <c r="M1177" s="302"/>
      <c r="N1177" s="302"/>
      <c r="O1177" s="302"/>
      <c r="P1177" s="302"/>
      <c r="Q1177" s="729"/>
      <c r="R1177" s="694"/>
      <c r="S1177" s="694"/>
      <c r="T1177" s="694"/>
      <c r="U1177" s="694"/>
      <c r="V1177" s="694"/>
      <c r="W1177" s="694"/>
      <c r="X1177" s="694"/>
      <c r="Y1177" s="694"/>
      <c r="Z1177" s="694"/>
      <c r="AA1177" s="694"/>
      <c r="AB1177" s="694"/>
      <c r="AC1177" s="694"/>
      <c r="AD1177" s="694"/>
      <c r="AE1177" s="694"/>
      <c r="AF1177" s="694"/>
      <c r="AG1177" s="694"/>
      <c r="AH1177" s="694"/>
      <c r="AI1177" s="694"/>
      <c r="AJ1177" s="694"/>
      <c r="AK1177" s="694"/>
      <c r="AL1177" s="694"/>
    </row>
    <row r="1178" spans="1:38" ht="13" x14ac:dyDescent="0.25">
      <c r="A1178" s="694"/>
      <c r="B1178" s="298"/>
      <c r="C1178" s="298"/>
      <c r="D1178" s="300" t="s">
        <v>906</v>
      </c>
      <c r="E1178" s="2226" t="str">
        <f>Translations!$B$487</f>
        <v>Топлинна енергия, получена от инсталации или обекти извън СТЕ:</v>
      </c>
      <c r="F1178" s="2226"/>
      <c r="G1178" s="2226"/>
      <c r="H1178" s="2226"/>
      <c r="I1178" s="2317"/>
      <c r="J1178" s="2858" t="str">
        <f>IF(I1137="","",HYPERLINK(R1178,EUconst_MsgGoOnIfNotRelevant))</f>
        <v/>
      </c>
      <c r="K1178" s="2859"/>
      <c r="L1178" s="2859"/>
      <c r="M1178" s="2859"/>
      <c r="N1178" s="2860"/>
      <c r="O1178" s="302"/>
      <c r="P1178" s="302"/>
      <c r="Q1178" s="694" t="s">
        <v>450</v>
      </c>
      <c r="R1178" s="1026" t="str">
        <f>"#"&amp;ADDRESS(ROW(D1203),COLUMN(D1203))</f>
        <v>#$D$1203</v>
      </c>
      <c r="S1178" s="694"/>
      <c r="T1178" s="694"/>
      <c r="U1178" s="694"/>
      <c r="V1178" s="694"/>
      <c r="W1178" s="694"/>
      <c r="X1178" s="694"/>
      <c r="Y1178" s="694"/>
      <c r="Z1178" s="694"/>
      <c r="AA1178" s="694"/>
      <c r="AB1178" s="694"/>
      <c r="AC1178" s="694"/>
      <c r="AD1178" s="694"/>
      <c r="AE1178" s="694"/>
      <c r="AF1178" s="694"/>
      <c r="AG1178" s="694"/>
      <c r="AH1178" s="694"/>
      <c r="AI1178" s="694"/>
      <c r="AJ1178" s="694"/>
      <c r="AK1178" s="694"/>
      <c r="AL1178" s="694"/>
    </row>
    <row r="1179" spans="1:38" x14ac:dyDescent="0.25">
      <c r="A1179" s="694"/>
      <c r="B1179" s="298"/>
      <c r="C1179" s="298"/>
      <c r="D1179" s="302"/>
      <c r="E1179" s="2358" t="str">
        <f>Translations!$B$488</f>
        <v>Съгласно член 21 от ПБР определено количество емисии трябва да се приспадне от предварителното годишно разпределение за подинсталациите с продуктов показател.</v>
      </c>
      <c r="F1179" s="2249"/>
      <c r="G1179" s="2249"/>
      <c r="H1179" s="2249"/>
      <c r="I1179" s="2249"/>
      <c r="J1179" s="2249"/>
      <c r="K1179" s="2249"/>
      <c r="L1179" s="2249"/>
      <c r="M1179" s="2249"/>
      <c r="N1179" s="2249"/>
      <c r="O1179" s="302"/>
      <c r="P1179" s="302"/>
      <c r="Q1179" s="729"/>
      <c r="R1179" s="694"/>
      <c r="S1179" s="694"/>
      <c r="T1179" s="694"/>
      <c r="U1179" s="729"/>
      <c r="V1179" s="729"/>
      <c r="W1179" s="694"/>
      <c r="X1179" s="694"/>
      <c r="Y1179" s="694"/>
      <c r="Z1179" s="694"/>
      <c r="AA1179" s="694"/>
      <c r="AB1179" s="694"/>
      <c r="AC1179" s="694"/>
      <c r="AD1179" s="694"/>
      <c r="AE1179" s="694"/>
      <c r="AF1179" s="694"/>
      <c r="AG1179" s="694"/>
      <c r="AH1179" s="694"/>
      <c r="AI1179" s="694"/>
      <c r="AJ1179" s="694"/>
      <c r="AK1179" s="694"/>
      <c r="AL1179" s="694"/>
    </row>
    <row r="1180" spans="1:38" x14ac:dyDescent="0.25">
      <c r="A1180" s="694"/>
      <c r="B1180" s="298"/>
      <c r="C1180" s="298"/>
      <c r="D1180" s="302"/>
      <c r="E1180" s="2358" t="str">
        <f>Translations!$B$489</f>
        <v>Това количество е количеството измерима топлинна енергия, внесена от инсталации или обекти извън СТЕ (включително всяка топлинна енергия от подинсталации за производство на азотна киселина), умножено по топлинния показател.</v>
      </c>
      <c r="F1180" s="2249"/>
      <c r="G1180" s="2249"/>
      <c r="H1180" s="2249"/>
      <c r="I1180" s="2249"/>
      <c r="J1180" s="2249"/>
      <c r="K1180" s="2249"/>
      <c r="L1180" s="2249"/>
      <c r="M1180" s="2249"/>
      <c r="N1180" s="2249"/>
      <c r="O1180" s="302"/>
      <c r="P1180" s="302"/>
      <c r="Q1180" s="729"/>
      <c r="R1180" s="694"/>
      <c r="S1180" s="694"/>
      <c r="T1180" s="694"/>
      <c r="U1180" s="729"/>
      <c r="V1180" s="729"/>
      <c r="W1180" s="694"/>
      <c r="X1180" s="694"/>
      <c r="Y1180" s="694"/>
      <c r="Z1180" s="694"/>
      <c r="AA1180" s="694"/>
      <c r="AB1180" s="694"/>
      <c r="AC1180" s="694"/>
      <c r="AD1180" s="694"/>
      <c r="AE1180" s="694"/>
      <c r="AF1180" s="694"/>
      <c r="AG1180" s="694"/>
      <c r="AH1180" s="694"/>
      <c r="AI1180" s="694"/>
      <c r="AJ1180" s="694"/>
      <c r="AK1180" s="694"/>
      <c r="AL1180" s="694"/>
    </row>
    <row r="1181" spans="1:38" x14ac:dyDescent="0.25">
      <c r="A1181" s="694"/>
      <c r="B1181" s="298"/>
      <c r="C1181" s="298"/>
      <c r="D1181" s="302"/>
      <c r="E1181" s="2358" t="str">
        <f>Translations!$B$490</f>
        <v>Моля, въведете тук съответните стойности. Имайте предвид, че стойностите трябва да съответстват на сумите за енергията, получена от източници извън СТЕ, въведени в точка E.II.c в работен лист „E_Energy flows“ („E_Енергийни потоци“).</v>
      </c>
      <c r="F1181" s="2249"/>
      <c r="G1181" s="2249"/>
      <c r="H1181" s="2249"/>
      <c r="I1181" s="2249"/>
      <c r="J1181" s="2249"/>
      <c r="K1181" s="2249"/>
      <c r="L1181" s="2249"/>
      <c r="M1181" s="2249"/>
      <c r="N1181" s="2249"/>
      <c r="O1181" s="302"/>
      <c r="P1181" s="302"/>
      <c r="Q1181" s="729"/>
      <c r="R1181" s="694"/>
      <c r="S1181" s="694"/>
      <c r="T1181" s="694"/>
      <c r="U1181" s="729"/>
      <c r="V1181" s="729"/>
      <c r="W1181" s="694"/>
      <c r="X1181" s="694"/>
      <c r="Y1181" s="694"/>
      <c r="Z1181" s="694"/>
      <c r="AA1181" s="694"/>
      <c r="AB1181" s="694"/>
      <c r="AC1181" s="694"/>
      <c r="AD1181" s="694"/>
      <c r="AE1181" s="694"/>
      <c r="AF1181" s="694"/>
      <c r="AG1181" s="694"/>
      <c r="AH1181" s="694"/>
      <c r="AI1181" s="694"/>
      <c r="AJ1181" s="694"/>
      <c r="AK1181" s="694"/>
      <c r="AL1181" s="694"/>
    </row>
    <row r="1182" spans="1:38" x14ac:dyDescent="0.25">
      <c r="A1182" s="694"/>
      <c r="B1182" s="298"/>
      <c r="C1182" s="298"/>
      <c r="D1182" s="302"/>
      <c r="E1182" s="2358" t="str">
        <f>Translations!$B$491</f>
        <v>Освен това данните трябва да съответстват и на общото нетно количество получена измерима топлинна енергия, въведено в k). i по-долу.</v>
      </c>
      <c r="F1182" s="2249"/>
      <c r="G1182" s="2249"/>
      <c r="H1182" s="2249"/>
      <c r="I1182" s="2249"/>
      <c r="J1182" s="2249"/>
      <c r="K1182" s="2249"/>
      <c r="L1182" s="2249"/>
      <c r="M1182" s="2249"/>
      <c r="N1182" s="2249"/>
      <c r="O1182" s="302"/>
      <c r="P1182" s="302"/>
      <c r="Q1182" s="729"/>
      <c r="R1182" s="694"/>
      <c r="S1182" s="694"/>
      <c r="T1182" s="694"/>
      <c r="U1182" s="729"/>
      <c r="V1182" s="729"/>
      <c r="W1182" s="729"/>
      <c r="X1182" s="729"/>
      <c r="Y1182" s="729"/>
      <c r="Z1182" s="729"/>
      <c r="AA1182" s="694"/>
      <c r="AB1182" s="694"/>
      <c r="AC1182" s="694"/>
      <c r="AD1182" s="694"/>
      <c r="AE1182" s="694"/>
      <c r="AF1182" s="694"/>
      <c r="AG1182" s="694"/>
      <c r="AH1182" s="694"/>
      <c r="AI1182" s="694"/>
      <c r="AJ1182" s="694"/>
      <c r="AK1182" s="694"/>
      <c r="AL1182" s="694"/>
    </row>
    <row r="1183" spans="1:38" ht="13.5" thickBot="1" x14ac:dyDescent="0.3">
      <c r="A1183" s="694"/>
      <c r="B1183" s="698"/>
      <c r="C1183" s="698"/>
      <c r="D1183" s="300"/>
      <c r="E1183" s="1013" t="str">
        <f>Translations!$B$483</f>
        <v>Параметър</v>
      </c>
      <c r="F1183" s="1015"/>
      <c r="G1183" s="527" t="str">
        <f>EUconst_Unit</f>
        <v>Единица мярка</v>
      </c>
      <c r="H1183" s="391">
        <f>H$2831</f>
        <v>2024</v>
      </c>
      <c r="I1183" s="572">
        <f>I$2831</f>
        <v>2025</v>
      </c>
      <c r="J1183" s="757">
        <f>J$91</f>
        <v>2026</v>
      </c>
      <c r="K1183" s="391">
        <f>K$91</f>
        <v>2027</v>
      </c>
      <c r="L1183" s="391">
        <f>L$91</f>
        <v>2028</v>
      </c>
      <c r="M1183" s="391">
        <f>M$91</f>
        <v>2029</v>
      </c>
      <c r="N1183" s="391">
        <f>N$91</f>
        <v>2030</v>
      </c>
      <c r="O1183" s="302"/>
      <c r="P1183" s="302"/>
      <c r="Q1183" s="694"/>
      <c r="R1183" s="1031"/>
      <c r="S1183" s="1174" t="s">
        <v>1906</v>
      </c>
      <c r="T1183" s="1178">
        <f>H1183</f>
        <v>2024</v>
      </c>
      <c r="U1183" s="1178">
        <f t="shared" ref="U1183" si="1503">I1183</f>
        <v>2025</v>
      </c>
      <c r="V1183" s="1178">
        <f t="shared" ref="V1183" si="1504">J1183</f>
        <v>2026</v>
      </c>
      <c r="W1183" s="1178">
        <f t="shared" ref="W1183" si="1505">K1183</f>
        <v>2027</v>
      </c>
      <c r="X1183" s="1178">
        <f t="shared" ref="X1183" si="1506">L1183</f>
        <v>2028</v>
      </c>
      <c r="Y1183" s="1178">
        <f t="shared" ref="Y1183" si="1507">M1183</f>
        <v>2029</v>
      </c>
      <c r="Z1183" s="1178">
        <f t="shared" ref="Z1183" si="1508">N1183</f>
        <v>2030</v>
      </c>
      <c r="AA1183" s="1031"/>
      <c r="AB1183" s="694"/>
      <c r="AC1183" s="1178">
        <f t="shared" ref="AC1183" si="1509">H$20</f>
        <v>2024</v>
      </c>
      <c r="AD1183" s="1178">
        <f t="shared" ref="AD1183" si="1510">I$20</f>
        <v>2025</v>
      </c>
      <c r="AE1183" s="1178">
        <f t="shared" ref="AE1183" si="1511">J$20</f>
        <v>2026</v>
      </c>
      <c r="AF1183" s="1178">
        <f t="shared" ref="AF1183" si="1512">K$20</f>
        <v>2027</v>
      </c>
      <c r="AG1183" s="1178">
        <f t="shared" ref="AG1183" si="1513">L$20</f>
        <v>2028</v>
      </c>
      <c r="AH1183" s="1178">
        <f t="shared" ref="AH1183" si="1514">M$20</f>
        <v>2029</v>
      </c>
      <c r="AI1183" s="1178">
        <f t="shared" ref="AI1183" si="1515">N$20</f>
        <v>2030</v>
      </c>
      <c r="AJ1183" s="694"/>
      <c r="AK1183" s="694"/>
      <c r="AL1183" s="694"/>
    </row>
    <row r="1184" spans="1:38" ht="13" customHeight="1" thickBot="1" x14ac:dyDescent="0.3">
      <c r="A1184" s="694"/>
      <c r="B1184" s="698"/>
      <c r="C1184" s="698"/>
      <c r="D1184" s="1084" t="s">
        <v>6</v>
      </c>
      <c r="E1184" s="2667" t="str">
        <f>Translations!$B$492</f>
        <v>Измерима топлинна енергия, получена от източници извън СТЕ:</v>
      </c>
      <c r="F1184" s="2667"/>
      <c r="G1184" s="1016" t="str">
        <f>EUconst_TJpa</f>
        <v>TJ / година</v>
      </c>
      <c r="H1184" s="24"/>
      <c r="I1184" s="59"/>
      <c r="J1184" s="60"/>
      <c r="K1184" s="24"/>
      <c r="L1184" s="24"/>
      <c r="M1184" s="24"/>
      <c r="N1184" s="24"/>
      <c r="O1184" s="302"/>
      <c r="P1184" s="158"/>
      <c r="Q1184" s="982" t="str">
        <f>EUconst_CNTR_HAL&amp;EUconst_CNTR_nonETSMeasHeat</f>
        <v>HAL_измерима топлинна енергия извън СТЕ</v>
      </c>
      <c r="R1184" s="694"/>
      <c r="S1184" s="1174"/>
      <c r="T1184" s="1257" t="str">
        <f t="shared" ref="T1184" si="1516">IF(H1184="","",SUM(H1184)*EUconst_HeatBMvalue)</f>
        <v/>
      </c>
      <c r="U1184" s="1257" t="str">
        <f t="shared" ref="U1184" si="1517">IF(I1184="","",SUM(I1184)*EUconst_HeatBMvalue)</f>
        <v/>
      </c>
      <c r="V1184" s="1257" t="str">
        <f t="shared" ref="V1184" si="1518">IF(J1184="","",SUM(J1184)*EUconst_HeatBMvalue)</f>
        <v/>
      </c>
      <c r="W1184" s="1257" t="str">
        <f t="shared" ref="W1184" si="1519">IF(K1184="","",SUM(K1184)*EUconst_HeatBMvalue)</f>
        <v/>
      </c>
      <c r="X1184" s="1257" t="str">
        <f t="shared" ref="X1184" si="1520">IF(L1184="","",SUM(L1184)*EUconst_HeatBMvalue)</f>
        <v/>
      </c>
      <c r="Y1184" s="1257" t="str">
        <f t="shared" ref="Y1184" si="1521">IF(M1184="","",SUM(M1184)*EUconst_HeatBMvalue)</f>
        <v/>
      </c>
      <c r="Z1184" s="1257" t="str">
        <f t="shared" ref="Z1184" si="1522">IF(N1184="","",SUM(N1184)*EUconst_HeatBMvalue)</f>
        <v/>
      </c>
      <c r="AA1184" s="694"/>
      <c r="AB1184" s="1182" t="s">
        <v>737</v>
      </c>
      <c r="AC1184" s="1183" t="b">
        <f t="shared" ref="AC1184" si="1523">IF(CNTR_ExistSubInstEntries,OR($I1137="",H1144&gt;=CNTR_ReportingYear,AC1183&lt;$V1137-1),FALSE)</f>
        <v>0</v>
      </c>
      <c r="AD1184" s="1184" t="b">
        <f t="shared" ref="AD1184" si="1524">IF(CNTR_ExistSubInstEntries,OR($I1137="",I1144&gt;=CNTR_ReportingYear,AD1183&lt;$V1137-1),FALSE)</f>
        <v>0</v>
      </c>
      <c r="AE1184" s="1184" t="b">
        <f t="shared" ref="AE1184" si="1525">IF(CNTR_ExistSubInstEntries,OR($I1137="",J1144&gt;=CNTR_ReportingYear,AE1183&lt;$V1137-1),FALSE)</f>
        <v>0</v>
      </c>
      <c r="AF1184" s="1184" t="b">
        <f t="shared" ref="AF1184" si="1526">IF(CNTR_ExistSubInstEntries,OR($I1137="",K1144&gt;=CNTR_ReportingYear,AF1183&lt;$V1137-1),FALSE)</f>
        <v>0</v>
      </c>
      <c r="AG1184" s="1184" t="b">
        <f t="shared" ref="AG1184" si="1527">IF(CNTR_ExistSubInstEntries,OR($I1137="",L1144&gt;=CNTR_ReportingYear,AG1183&lt;$V1137-1),FALSE)</f>
        <v>0</v>
      </c>
      <c r="AH1184" s="1184" t="b">
        <f t="shared" ref="AH1184" si="1528">IF(CNTR_ExistSubInstEntries,OR($I1137="",M1144&gt;=CNTR_ReportingYear,AH1183&lt;$V1137-1),FALSE)</f>
        <v>0</v>
      </c>
      <c r="AI1184" s="1185" t="b">
        <f t="shared" ref="AI1184" si="1529">IF(CNTR_ExistSubInstEntries,OR($I1137="",N1144&gt;=CNTR_ReportingYear,AI1183&lt;$V1137-1),FALSE)</f>
        <v>0</v>
      </c>
      <c r="AJ1184" s="1174" t="s">
        <v>2039</v>
      </c>
      <c r="AK1184" s="1176" t="str">
        <f>IF(AND(CNTR_ExistSubInstEntries,COUNTIFS(AC1184:AI1184,FALSE,H1184:N1184,"")&gt;0),EUconst_Error&amp;"BM"&amp;$Q1137,"")</f>
        <v/>
      </c>
      <c r="AL1184" s="694"/>
    </row>
    <row r="1185" spans="1:38" ht="25.5" customHeight="1" x14ac:dyDescent="0.25">
      <c r="A1185" s="694"/>
      <c r="B1185" s="698"/>
      <c r="C1185" s="698"/>
      <c r="D1185" s="1084" t="s">
        <v>7</v>
      </c>
      <c r="E1185" s="1258" t="str">
        <f>Translations!$B$493</f>
        <v>Проверка на съответствието с работен лист „E_Energy flows“ („E_Енергийни потоци“):</v>
      </c>
      <c r="F1185" s="1258"/>
      <c r="G1185" s="1259" t="s">
        <v>1053</v>
      </c>
      <c r="H1185" s="16" t="str">
        <f>IF(AND(ISNUMBER(H1184),ISNUMBER(E_EnergyFlows!H$141)), H1184/E_EnergyFlows!H$141*100,"")</f>
        <v/>
      </c>
      <c r="I1185" s="105" t="str">
        <f>IF(AND(ISNUMBER(I1184),ISNUMBER(E_EnergyFlows!I$141)), I1184/E_EnergyFlows!I$141*100,"")</f>
        <v/>
      </c>
      <c r="J1185" s="107" t="str">
        <f>IF(AND(ISNUMBER(J1184),ISNUMBER(E_EnergyFlows!J$141)), J1184/E_EnergyFlows!J$141*100,"")</f>
        <v/>
      </c>
      <c r="K1185" s="16" t="str">
        <f>IF(AND(ISNUMBER(K1184),ISNUMBER(E_EnergyFlows!K$141)), K1184/E_EnergyFlows!K$141*100,"")</f>
        <v/>
      </c>
      <c r="L1185" s="16" t="str">
        <f>IF(AND(ISNUMBER(L1184),ISNUMBER(E_EnergyFlows!L$141)), L1184/E_EnergyFlows!L$141*100,"")</f>
        <v/>
      </c>
      <c r="M1185" s="16" t="str">
        <f>IF(AND(ISNUMBER(M1184),ISNUMBER(E_EnergyFlows!M$141)), M1184/E_EnergyFlows!M$141*100,"")</f>
        <v/>
      </c>
      <c r="N1185" s="16" t="str">
        <f>IF(AND(ISNUMBER(N1184),ISNUMBER(E_EnergyFlows!N$141)), N1184/E_EnergyFlows!N$141*100,"")</f>
        <v/>
      </c>
      <c r="O1185" s="302"/>
      <c r="P1185" s="302"/>
      <c r="Q1185" s="1033" t="str">
        <f>EUconst_CNTR_HEAT &amp; I1137</f>
        <v>HEAT_</v>
      </c>
      <c r="R1185" s="729"/>
      <c r="S1185" s="694"/>
      <c r="T1185" s="694"/>
      <c r="U1185" s="729"/>
      <c r="V1185" s="729"/>
      <c r="W1185" s="694"/>
      <c r="X1185" s="694"/>
      <c r="Y1185" s="694"/>
      <c r="Z1185" s="694"/>
      <c r="AA1185" s="694"/>
      <c r="AB1185" s="694"/>
      <c r="AC1185" s="694"/>
      <c r="AD1185" s="694"/>
      <c r="AE1185" s="694"/>
      <c r="AF1185" s="694"/>
      <c r="AG1185" s="694"/>
      <c r="AH1185" s="694"/>
      <c r="AI1185" s="694"/>
      <c r="AJ1185" s="694"/>
      <c r="AK1185" s="694"/>
      <c r="AL1185" s="694"/>
    </row>
    <row r="1186" spans="1:38" ht="12.65" customHeight="1" x14ac:dyDescent="0.25">
      <c r="A1186" s="694"/>
      <c r="B1186" s="698"/>
      <c r="C1186" s="698"/>
      <c r="D1186" s="1084" t="s">
        <v>8</v>
      </c>
      <c r="E1186" s="1260" t="str">
        <f>Translations!$B$494</f>
        <v>Проверка на съответствието с k).i):</v>
      </c>
      <c r="F1186" s="1261"/>
      <c r="G1186" s="1262" t="s">
        <v>1053</v>
      </c>
      <c r="H1186" s="15" t="str">
        <f t="shared" ref="H1186:N1186" si="1530">IF(AND(H1309&gt;0,ISNUMBER(H1184)), H1184/H1309*100,"")</f>
        <v/>
      </c>
      <c r="I1186" s="106" t="str">
        <f t="shared" si="1530"/>
        <v/>
      </c>
      <c r="J1186" s="108" t="str">
        <f t="shared" si="1530"/>
        <v/>
      </c>
      <c r="K1186" s="15" t="str">
        <f t="shared" si="1530"/>
        <v/>
      </c>
      <c r="L1186" s="15" t="str">
        <f t="shared" si="1530"/>
        <v/>
      </c>
      <c r="M1186" s="15" t="str">
        <f t="shared" si="1530"/>
        <v/>
      </c>
      <c r="N1186" s="15" t="str">
        <f t="shared" si="1530"/>
        <v/>
      </c>
      <c r="O1186" s="302"/>
      <c r="P1186" s="302"/>
      <c r="Q1186" s="694"/>
      <c r="R1186" s="694"/>
      <c r="S1186" s="694"/>
      <c r="T1186" s="694"/>
      <c r="U1186" s="729"/>
      <c r="V1186" s="729"/>
      <c r="W1186" s="694"/>
      <c r="X1186" s="694"/>
      <c r="Y1186" s="694"/>
      <c r="Z1186" s="694"/>
      <c r="AA1186" s="694"/>
      <c r="AB1186" s="694"/>
      <c r="AC1186" s="694"/>
      <c r="AD1186" s="694"/>
      <c r="AE1186" s="694"/>
      <c r="AF1186" s="694"/>
      <c r="AG1186" s="694"/>
      <c r="AH1186" s="694"/>
      <c r="AI1186" s="694"/>
      <c r="AJ1186" s="694"/>
      <c r="AK1186" s="694"/>
      <c r="AL1186" s="694"/>
    </row>
    <row r="1187" spans="1:38" ht="5.15" customHeight="1" x14ac:dyDescent="0.25">
      <c r="A1187" s="694"/>
      <c r="B1187" s="698"/>
      <c r="C1187" s="698"/>
      <c r="D1187" s="698"/>
      <c r="E1187" s="698"/>
      <c r="F1187" s="698"/>
      <c r="G1187" s="698"/>
      <c r="H1187" s="698"/>
      <c r="I1187" s="1025"/>
      <c r="J1187" s="698"/>
      <c r="K1187" s="698"/>
      <c r="L1187" s="698"/>
      <c r="M1187" s="698"/>
      <c r="N1187" s="698"/>
      <c r="O1187" s="302"/>
      <c r="P1187" s="302"/>
      <c r="Q1187" s="1263"/>
      <c r="R1187" s="694"/>
      <c r="S1187" s="694"/>
      <c r="T1187" s="694"/>
      <c r="U1187" s="729"/>
      <c r="V1187" s="729"/>
      <c r="W1187" s="694"/>
      <c r="X1187" s="694"/>
      <c r="Y1187" s="694"/>
      <c r="Z1187" s="694"/>
      <c r="AA1187" s="694"/>
      <c r="AB1187" s="694"/>
      <c r="AC1187" s="694"/>
      <c r="AD1187" s="694"/>
      <c r="AE1187" s="694"/>
      <c r="AF1187" s="694"/>
      <c r="AG1187" s="694"/>
      <c r="AH1187" s="694"/>
      <c r="AI1187" s="694"/>
      <c r="AJ1187" s="694"/>
      <c r="AK1187" s="694"/>
      <c r="AL1187" s="694"/>
    </row>
    <row r="1188" spans="1:38" ht="25.5" customHeight="1" thickBot="1" x14ac:dyDescent="0.3">
      <c r="A1188" s="694"/>
      <c r="B1188" s="298"/>
      <c r="C1188" s="298"/>
      <c r="D1188" s="302"/>
      <c r="E1188" s="2358" t="str">
        <f>Translations!$B$1326</f>
        <v>На базата на данните по-горе тук се определят средните годишни стойности на стойностите от i. Разпределението ще бъде променено само ако са надвишени относителният праг (15 % в сравнение със стойността в НМИ) и абсолютният праг (промяната води до корекция с повече от 100 квоти), определени в член 6, параграф 4 от Регламента за ALC.</v>
      </c>
      <c r="F1188" s="2249"/>
      <c r="G1188" s="2249"/>
      <c r="H1188" s="2249"/>
      <c r="I1188" s="2249"/>
      <c r="J1188" s="2249"/>
      <c r="K1188" s="2249"/>
      <c r="L1188" s="2249"/>
      <c r="M1188" s="2249"/>
      <c r="N1188" s="2249"/>
      <c r="O1188" s="302"/>
      <c r="P1188" s="302"/>
      <c r="Q1188" s="729"/>
      <c r="R1188" s="694"/>
      <c r="S1188" s="729"/>
      <c r="T1188" s="729"/>
      <c r="U1188" s="729"/>
      <c r="V1188" s="694"/>
      <c r="W1188" s="694"/>
      <c r="X1188" s="694"/>
      <c r="Y1188" s="694"/>
      <c r="Z1188" s="694"/>
      <c r="AA1188" s="694"/>
      <c r="AB1188" s="694"/>
      <c r="AC1188" s="694"/>
      <c r="AD1188" s="694"/>
      <c r="AE1188" s="694"/>
      <c r="AF1188" s="694"/>
      <c r="AG1188" s="694"/>
      <c r="AH1188" s="694"/>
      <c r="AI1188" s="694"/>
      <c r="AJ1188" s="694"/>
      <c r="AK1188" s="694"/>
      <c r="AL1188" s="694"/>
    </row>
    <row r="1189" spans="1:38" ht="5.15" customHeight="1" thickBot="1" x14ac:dyDescent="0.3">
      <c r="A1189" s="694"/>
      <c r="B1189" s="298"/>
      <c r="C1189" s="298"/>
      <c r="D1189" s="1192"/>
      <c r="E1189" s="1194"/>
      <c r="F1189" s="1264"/>
      <c r="G1189" s="1264"/>
      <c r="H1189" s="1264"/>
      <c r="I1189" s="1264"/>
      <c r="J1189" s="1264"/>
      <c r="K1189" s="1264"/>
      <c r="L1189" s="1264"/>
      <c r="M1189" s="1264"/>
      <c r="N1189" s="1265"/>
      <c r="O1189" s="302"/>
      <c r="P1189" s="302"/>
      <c r="Q1189" s="729"/>
      <c r="R1189" s="694"/>
      <c r="S1189" s="729"/>
      <c r="T1189" s="729"/>
      <c r="U1189" s="729"/>
      <c r="V1189" s="694"/>
      <c r="W1189" s="694"/>
      <c r="X1189" s="694"/>
      <c r="Y1189" s="694"/>
      <c r="Z1189" s="694"/>
      <c r="AA1189" s="694"/>
      <c r="AB1189" s="694"/>
      <c r="AC1189" s="694"/>
      <c r="AD1189" s="694"/>
      <c r="AE1189" s="694"/>
      <c r="AF1189" s="694"/>
      <c r="AG1189" s="694"/>
      <c r="AH1189" s="694"/>
      <c r="AI1189" s="694"/>
      <c r="AJ1189" s="694"/>
      <c r="AK1189" s="694"/>
      <c r="AL1189" s="694"/>
    </row>
    <row r="1190" spans="1:38" ht="12.75" customHeight="1" x14ac:dyDescent="0.25">
      <c r="A1190" s="694"/>
      <c r="B1190" s="298"/>
      <c r="C1190" s="298"/>
      <c r="D1190" s="1197" t="s">
        <v>2003</v>
      </c>
      <c r="E1190" s="1198" t="str">
        <f>Translations!$B$1329</f>
        <v>Корекции: Топлинна енергия извън СТЕ</v>
      </c>
      <c r="F1190" s="1199"/>
      <c r="G1190" s="1199"/>
      <c r="H1190" s="1200" t="str">
        <f>EUconst_Unit</f>
        <v>Единица мярка</v>
      </c>
      <c r="I1190" s="1201" t="str">
        <f>Translations!$B$1327</f>
        <v>(НМИ) стойност</v>
      </c>
      <c r="J1190" s="1202">
        <f>J$2831</f>
        <v>2026</v>
      </c>
      <c r="K1190" s="1203">
        <f>K$2831</f>
        <v>2027</v>
      </c>
      <c r="L1190" s="1203">
        <f>L$2831</f>
        <v>2028</v>
      </c>
      <c r="M1190" s="1203">
        <f>M$2831</f>
        <v>2029</v>
      </c>
      <c r="N1190" s="1204">
        <f>N$2831</f>
        <v>2030</v>
      </c>
      <c r="O1190" s="302"/>
      <c r="P1190" s="302"/>
      <c r="Q1190" s="729"/>
      <c r="R1190" s="694"/>
      <c r="S1190" s="694"/>
      <c r="T1190" s="694"/>
      <c r="U1190" s="1205"/>
      <c r="V1190" s="1206">
        <f>J1190</f>
        <v>2026</v>
      </c>
      <c r="W1190" s="1206">
        <f>K1190</f>
        <v>2027</v>
      </c>
      <c r="X1190" s="1206">
        <f>L1190</f>
        <v>2028</v>
      </c>
      <c r="Y1190" s="1206">
        <f>M1190</f>
        <v>2029</v>
      </c>
      <c r="Z1190" s="1207">
        <f>N1190</f>
        <v>2030</v>
      </c>
      <c r="AA1190" s="694"/>
      <c r="AB1190" s="694"/>
      <c r="AC1190" s="694"/>
      <c r="AD1190" s="694"/>
      <c r="AE1190" s="694"/>
      <c r="AF1190" s="694"/>
      <c r="AG1190" s="694"/>
      <c r="AH1190" s="694"/>
      <c r="AI1190" s="694"/>
      <c r="AJ1190" s="694"/>
      <c r="AK1190" s="694"/>
      <c r="AL1190" s="694"/>
    </row>
    <row r="1191" spans="1:38" ht="12.75" customHeight="1" x14ac:dyDescent="0.25">
      <c r="A1191" s="694"/>
      <c r="B1191" s="298"/>
      <c r="C1191" s="298"/>
      <c r="D1191" s="1208" t="s">
        <v>6</v>
      </c>
      <c r="E1191" s="1209" t="str">
        <f>Translations!$B$1328</f>
        <v>Средна годишна стойност</v>
      </c>
      <c r="F1191" s="1209"/>
      <c r="G1191" s="1209"/>
      <c r="H1191" s="1266" t="str">
        <f>EUconst_tCO2</f>
        <v>t CO2</v>
      </c>
      <c r="I1191" s="1211" t="str">
        <f>INDEX('B+C_SubInstallations'!$J:$J,MATCH(Q1191,'B+C_SubInstallations'!$U:$U,0))</f>
        <v/>
      </c>
      <c r="J1191" s="1267" t="str">
        <f>IF(AND(V1191&gt;=3,CNTR_ReportingYear&gt;J1190-1),AVERAGE(SUM(T1184),SUM(U1184)),"")</f>
        <v/>
      </c>
      <c r="K1191" s="1268" t="str">
        <f>IF(AND(W1191&gt;=3,CNTR_ReportingYear&gt;K1190-1),AVERAGE(SUM(U1184),SUM(V1184)),"")</f>
        <v/>
      </c>
      <c r="L1191" s="1268" t="str">
        <f>IF(AND(X1191&gt;=3,CNTR_ReportingYear&gt;L1190-1),AVERAGE(SUM(V1184),SUM(W1184)),"")</f>
        <v/>
      </c>
      <c r="M1191" s="1268" t="str">
        <f>IF(AND(Y1191&gt;=3,CNTR_ReportingYear&gt;M1190-1),AVERAGE(SUM(W1184),SUM(X1184)),"")</f>
        <v/>
      </c>
      <c r="N1191" s="1269" t="str">
        <f>IF(AND(Z1191&gt;=3,CNTR_ReportingYear&gt;N1190-1),AVERAGE(SUM(X1184),SUM(Y1184)),"")</f>
        <v/>
      </c>
      <c r="O1191" s="302"/>
      <c r="P1191" s="302"/>
      <c r="Q1191" s="1270" t="str">
        <f>EUconst_CNTR_HEATInitial &amp; I1137</f>
        <v>HEATIni_</v>
      </c>
      <c r="R1191" s="694"/>
      <c r="S1191" s="694"/>
      <c r="T1191" s="694"/>
      <c r="U1191" s="1231" t="s">
        <v>1710</v>
      </c>
      <c r="V1191" s="1176">
        <f>V1159</f>
        <v>0</v>
      </c>
      <c r="W1191" s="1176">
        <f>W1159</f>
        <v>0</v>
      </c>
      <c r="X1191" s="1176">
        <f>X1159</f>
        <v>0</v>
      </c>
      <c r="Y1191" s="1176">
        <f>Y1159</f>
        <v>0</v>
      </c>
      <c r="Z1191" s="1216">
        <f>Z1159</f>
        <v>0</v>
      </c>
      <c r="AA1191" s="694"/>
      <c r="AB1191" s="694"/>
      <c r="AC1191" s="694"/>
      <c r="AD1191" s="694"/>
      <c r="AE1191" s="694"/>
      <c r="AF1191" s="694"/>
      <c r="AG1191" s="694"/>
      <c r="AH1191" s="694"/>
      <c r="AI1191" s="694"/>
      <c r="AJ1191" s="694"/>
      <c r="AK1191" s="694"/>
      <c r="AL1191" s="694"/>
    </row>
    <row r="1192" spans="1:38" ht="12.75" hidden="1" customHeight="1" x14ac:dyDescent="0.25">
      <c r="A1192" s="729" t="s">
        <v>312</v>
      </c>
      <c r="B1192" s="298"/>
      <c r="C1192" s="298"/>
      <c r="D1192" s="1208"/>
      <c r="E1192" s="1209" t="str">
        <f>Translations!$B$1378</f>
        <v>Промяна в сравнение със стойността в НМИ</v>
      </c>
      <c r="F1192" s="1209"/>
      <c r="G1192" s="1209"/>
      <c r="H1192" s="1222"/>
      <c r="I1192" s="1223"/>
      <c r="J1192" s="104" t="str">
        <f>IF(J1191="","",IF($I1194=0,IF(J1191=0,0%,100%),J1191/$I1194-1))</f>
        <v/>
      </c>
      <c r="K1192" s="99" t="str">
        <f>IF(K1191="","",IF($I1194=0,IF(K1191=0,0%,100%),K1191/$I1194-1))</f>
        <v/>
      </c>
      <c r="L1192" s="99" t="str">
        <f>IF(L1191="","",IF($I1194=0,IF(L1191=0,0%,100%),L1191/$I1194-1))</f>
        <v/>
      </c>
      <c r="M1192" s="99" t="str">
        <f>IF(M1191="","",IF($I1194=0,IF(M1191=0,0%,100%),M1191/$I1194-1))</f>
        <v/>
      </c>
      <c r="N1192" s="123" t="str">
        <f>IF(N1191="","",IF($I1194=0,IF(N1191=0,0%,100%),N1191/$I1194-1))</f>
        <v/>
      </c>
      <c r="O1192" s="302"/>
      <c r="P1192" s="302"/>
      <c r="Q1192" s="1190" t="str">
        <f>EUconst_CNTR_RelThreshold &amp; Q1194</f>
        <v>RelThresh_HEATprelim_</v>
      </c>
      <c r="R1192" s="694"/>
      <c r="S1192" s="694"/>
      <c r="T1192" s="694"/>
      <c r="U1192" s="1231" t="s">
        <v>1715</v>
      </c>
      <c r="V1192" s="727" t="str">
        <f>IF(J1191="","",ABS(J1192)&gt;15%)</f>
        <v/>
      </c>
      <c r="W1192" s="727" t="str">
        <f>IF(K1191="","",ABS(K1192)&gt;15%)</f>
        <v/>
      </c>
      <c r="X1192" s="727" t="str">
        <f>IF(L1191="","",ABS(L1192)&gt;15%)</f>
        <v/>
      </c>
      <c r="Y1192" s="727" t="str">
        <f>IF(M1191="","",ABS(M1192)&gt;15%)</f>
        <v/>
      </c>
      <c r="Z1192" s="1221" t="str">
        <f>IF(N1191="","",ABS(N1192)&gt;15%)</f>
        <v/>
      </c>
      <c r="AA1192" s="694"/>
      <c r="AB1192" s="694"/>
      <c r="AC1192" s="694"/>
      <c r="AD1192" s="694"/>
      <c r="AE1192" s="694"/>
      <c r="AF1192" s="694"/>
      <c r="AG1192" s="694"/>
      <c r="AH1192" s="694"/>
      <c r="AI1192" s="694"/>
      <c r="AJ1192" s="694"/>
      <c r="AK1192" s="694"/>
      <c r="AL1192" s="694"/>
    </row>
    <row r="1193" spans="1:38" ht="12.75" customHeight="1" x14ac:dyDescent="0.25">
      <c r="A1193" s="729"/>
      <c r="B1193" s="298"/>
      <c r="C1193" s="298"/>
      <c r="D1193" s="1208" t="s">
        <v>7</v>
      </c>
      <c r="E1193" s="1209" t="str">
        <f>Translations!$B$1322</f>
        <v>Предварителна корекция (ако са надвишени относителните прагове)</v>
      </c>
      <c r="F1193" s="1209"/>
      <c r="G1193" s="1209"/>
      <c r="H1193" s="1222"/>
      <c r="I1193" s="1223"/>
      <c r="J1193" s="1224" t="str">
        <f>IF(J1191="","",IF(V1192=FALSE,0%,IF(V1193,J1192,I1199)))</f>
        <v/>
      </c>
      <c r="K1193" s="1225" t="str">
        <f>IF(K1191="","",IF(W1192=FALSE,0%,IF(W1193,K1192,J1199)))</f>
        <v/>
      </c>
      <c r="L1193" s="1225" t="str">
        <f>IF(L1191="","",IF(X1192=FALSE,0%,IF(X1193,L1192,K1199)))</f>
        <v/>
      </c>
      <c r="M1193" s="1225" t="str">
        <f>IF(M1191="","",IF(Y1192=FALSE,0%,IF(Y1193,M1192,L1199)))</f>
        <v/>
      </c>
      <c r="N1193" s="1226" t="str">
        <f>IF(N1191="","",IF(Z1192=FALSE,0%,IF(Z1193,N1192,M1199)))</f>
        <v/>
      </c>
      <c r="O1193" s="302"/>
      <c r="P1193" s="302"/>
      <c r="Q1193" s="729"/>
      <c r="R1193" s="694"/>
      <c r="S1193" s="694"/>
      <c r="T1193" s="694"/>
      <c r="U1193" s="1215" t="s">
        <v>1716</v>
      </c>
      <c r="V1193" s="727" t="str">
        <f>IF(J1191="","",AND(V1192,IF(SUM(I1199)&lt;0,OR(SUM(J1192)&lt;SUM(I1199)-MOD(SUM(I1199),5%),J1192&gt;=SUM(I1199)+5%-MOD(SUM(I1199),5%)),OR(SUM(J1192)&lt;=SUM(I1199)-MOD(SUM(I1199),5%),SUM(J1192)&gt;SUM(I1199)+5%-MOD(SUM(I1199),5%)))))</f>
        <v/>
      </c>
      <c r="W1193" s="727" t="str">
        <f>IF(K1191="","",AND(W1192,IF(SUM(J1199)&lt;0,OR(SUM(K1192)&lt;SUM(J1199)-MOD(SUM(J1199),5%),K1192&gt;=SUM(J1199)+5%-MOD(SUM(J1199),5%)),OR(SUM(K1192)&lt;=SUM(J1199)-MOD(SUM(J1199),5%),SUM(K1192)&gt;SUM(J1199)+5%-MOD(SUM(J1199),5%)))))</f>
        <v/>
      </c>
      <c r="X1193" s="727" t="str">
        <f>IF(L1191="","",AND(X1192,IF(SUM(K1199)&lt;0,OR(SUM(L1192)&lt;SUM(K1199)-MOD(SUM(K1199),5%),L1192&gt;=SUM(K1199)+5%-MOD(SUM(K1199),5%)),OR(SUM(L1192)&lt;=SUM(K1199)-MOD(SUM(K1199),5%),SUM(L1192)&gt;SUM(K1199)+5%-MOD(SUM(K1199),5%)))))</f>
        <v/>
      </c>
      <c r="Y1193" s="727" t="str">
        <f>IF(M1191="","",AND(Y1192,IF(SUM(L1199)&lt;0,OR(SUM(M1192)&lt;SUM(L1199)-MOD(SUM(L1199),5%),M1192&gt;=SUM(L1199)+5%-MOD(SUM(L1199),5%)),OR(SUM(M1192)&lt;=SUM(L1199)-MOD(SUM(L1199),5%),SUM(M1192)&gt;SUM(L1199)+5%-MOD(SUM(L1199),5%)))))</f>
        <v/>
      </c>
      <c r="Z1193" s="1221" t="str">
        <f>IF(N1191="","",AND(Z1192,IF(SUM(M1199)&lt;0,OR(SUM(N1192)&lt;SUM(M1199)-MOD(SUM(M1199),5%),N1192&gt;=SUM(M1199)+5%-MOD(SUM(M1199),5%)),OR(SUM(N1192)&lt;=SUM(M1199)-MOD(SUM(M1199),5%),SUM(N1192)&gt;SUM(M1199)+5%-MOD(SUM(M1199),5%)))))</f>
        <v/>
      </c>
      <c r="AA1193" s="694"/>
      <c r="AB1193" s="694"/>
      <c r="AC1193" s="694"/>
      <c r="AD1193" s="694"/>
      <c r="AE1193" s="694"/>
      <c r="AF1193" s="694"/>
      <c r="AG1193" s="694"/>
      <c r="AH1193" s="694"/>
      <c r="AI1193" s="694"/>
      <c r="AJ1193" s="694"/>
      <c r="AK1193" s="694"/>
      <c r="AL1193" s="729"/>
    </row>
    <row r="1194" spans="1:38" ht="12.75" hidden="1" customHeight="1" x14ac:dyDescent="0.25">
      <c r="A1194" s="729" t="s">
        <v>312</v>
      </c>
      <c r="B1194" s="298"/>
      <c r="C1194" s="298"/>
      <c r="D1194" s="1208"/>
      <c r="E1194" s="1209" t="str">
        <f>Translations!$B$1377</f>
        <v>Предварителна стойност</v>
      </c>
      <c r="F1194" s="1209"/>
      <c r="G1194" s="1209"/>
      <c r="H1194" s="1266" t="str">
        <f>H1191</f>
        <v>t CO2</v>
      </c>
      <c r="I1194" s="1211" t="str">
        <f>IF($I1137="","",IF(AB1137=FALSE,EUconst_NA,IF(V1137&gt;($J$2831-3),SUM(INDEX(H1184:N1184,MATCH(V1137,H1183:N1183,0))*EUconst_HeatBMvalue),SUM(I1191))))</f>
        <v/>
      </c>
      <c r="J1194" s="1212" t="str">
        <f>IF($I1137="","",IF(V1191&lt;2,SUM(V1184),IF(V1191&lt;3,SUM(U1184),IF(V1194="",I1194,V1194))))</f>
        <v/>
      </c>
      <c r="K1194" s="1213" t="str">
        <f>IF($I1137="","",IF(W1191&lt;2,SUM(W1184),IF(W1191&lt;3,SUM(V1184),IF(W1194="",J1194,W1194))))</f>
        <v/>
      </c>
      <c r="L1194" s="1213" t="str">
        <f>IF($I1137="","",IF(X1191&lt;2,SUM(X1184),IF(X1191&lt;3,SUM(W1184),IF(X1194="",K1194,X1194))))</f>
        <v/>
      </c>
      <c r="M1194" s="1213" t="str">
        <f>IF($I1137="","",IF(Y1191&lt;2,SUM(Y1184),IF(Y1191&lt;3,SUM(X1184),IF(Y1194="",L1194,Y1194))))</f>
        <v/>
      </c>
      <c r="N1194" s="1214" t="str">
        <f>IF($I1137="","",IF(Z1191&lt;2,SUM(Z1184),IF(Z1191&lt;3,SUM(Y1184),IF(Z1194="",M1194,Z1194))))</f>
        <v/>
      </c>
      <c r="O1194" s="302"/>
      <c r="P1194" s="302"/>
      <c r="Q1194" s="1190" t="str">
        <f>EUconst_CNTR_HEATprelim &amp; I1137</f>
        <v>HEATprelim_</v>
      </c>
      <c r="R1194" s="694"/>
      <c r="S1194" s="694"/>
      <c r="T1194" s="694"/>
      <c r="U1194" s="1231" t="s">
        <v>1756</v>
      </c>
      <c r="V1194" s="1271" t="str">
        <f>IF(J1191="","",IF(CNTR_ReportingYear&lt;J1190,I1193,IF($I1194=0,J1191,$I1194*(1+J1193))))</f>
        <v/>
      </c>
      <c r="W1194" s="1271" t="str">
        <f>IF(K1191="","",IF(CNTR_ReportingYear&lt;K1190,J1193,IF($I1194=0,K1191,$I1194*(1+K1193))))</f>
        <v/>
      </c>
      <c r="X1194" s="1271" t="str">
        <f>IF(L1191="","",IF(CNTR_ReportingYear&lt;L1190,K1193,IF($I1194=0,L1191,$I1194*(1+L1193))))</f>
        <v/>
      </c>
      <c r="Y1194" s="1271" t="str">
        <f>IF(M1191="","",IF(CNTR_ReportingYear&lt;M1190,L1193,IF($I1194=0,M1191,$I1194*(1+M1193))))</f>
        <v/>
      </c>
      <c r="Z1194" s="1272" t="str">
        <f>IF(N1191="","",IF(CNTR_ReportingYear&lt;N1190,M1193,IF($I1194=0,N1191,$I1194*(1+N1193))))</f>
        <v/>
      </c>
      <c r="AA1194" s="694"/>
      <c r="AB1194" s="694"/>
      <c r="AC1194" s="694"/>
      <c r="AD1194" s="694"/>
      <c r="AE1194" s="694"/>
      <c r="AF1194" s="694"/>
      <c r="AG1194" s="694"/>
      <c r="AH1194" s="694"/>
      <c r="AI1194" s="694"/>
      <c r="AJ1194" s="694"/>
      <c r="AK1194" s="694"/>
      <c r="AL1194" s="729"/>
    </row>
    <row r="1195" spans="1:38" ht="5.15" customHeight="1" x14ac:dyDescent="0.25">
      <c r="A1195" s="729"/>
      <c r="B1195" s="298"/>
      <c r="C1195" s="298"/>
      <c r="D1195" s="1208"/>
      <c r="E1195" s="1199"/>
      <c r="F1195" s="1199"/>
      <c r="G1195" s="1199"/>
      <c r="H1195" s="1199"/>
      <c r="I1195" s="1199"/>
      <c r="J1195" s="1229"/>
      <c r="K1195" s="1229"/>
      <c r="L1195" s="1229"/>
      <c r="M1195" s="1229"/>
      <c r="N1195" s="1230"/>
      <c r="O1195" s="302"/>
      <c r="P1195" s="302"/>
      <c r="Q1195" s="729"/>
      <c r="R1195" s="694"/>
      <c r="S1195" s="694"/>
      <c r="T1195" s="694"/>
      <c r="U1195" s="1231"/>
      <c r="V1195" s="729"/>
      <c r="W1195" s="694"/>
      <c r="X1195" s="694"/>
      <c r="Y1195" s="694"/>
      <c r="Z1195" s="1232"/>
      <c r="AA1195" s="694"/>
      <c r="AB1195" s="694"/>
      <c r="AC1195" s="694"/>
      <c r="AD1195" s="694"/>
      <c r="AE1195" s="694"/>
      <c r="AF1195" s="694"/>
      <c r="AG1195" s="694"/>
      <c r="AH1195" s="694"/>
      <c r="AI1195" s="694"/>
      <c r="AJ1195" s="694"/>
      <c r="AK1195" s="694"/>
      <c r="AL1195" s="729"/>
    </row>
    <row r="1196" spans="1:38" ht="12.75" customHeight="1" x14ac:dyDescent="0.25">
      <c r="A1196" s="729"/>
      <c r="B1196" s="298"/>
      <c r="C1196" s="298"/>
      <c r="D1196" s="1208"/>
      <c r="E1196" s="1233" t="str">
        <f>Translations!$B$1323</f>
        <v>Действителна корекция (база за следващи години)</v>
      </c>
      <c r="F1196" s="1233"/>
      <c r="G1196" s="1233"/>
      <c r="H1196" s="1233"/>
      <c r="I1196" s="1233"/>
      <c r="J1196" s="1202">
        <f>J$2831</f>
        <v>2026</v>
      </c>
      <c r="K1196" s="1203">
        <f>K$2831</f>
        <v>2027</v>
      </c>
      <c r="L1196" s="1203">
        <f>L$2831</f>
        <v>2028</v>
      </c>
      <c r="M1196" s="1203">
        <f>M$2831</f>
        <v>2029</v>
      </c>
      <c r="N1196" s="1204">
        <f>N$2831</f>
        <v>2030</v>
      </c>
      <c r="O1196" s="302"/>
      <c r="P1196" s="302"/>
      <c r="Q1196" s="729"/>
      <c r="R1196" s="694"/>
      <c r="S1196" s="694"/>
      <c r="T1196" s="694"/>
      <c r="U1196" s="1234"/>
      <c r="V1196" s="694"/>
      <c r="W1196" s="694"/>
      <c r="X1196" s="694"/>
      <c r="Y1196" s="694"/>
      <c r="Z1196" s="1232"/>
      <c r="AA1196" s="694"/>
      <c r="AB1196" s="694"/>
      <c r="AC1196" s="694"/>
      <c r="AD1196" s="694"/>
      <c r="AE1196" s="694"/>
      <c r="AF1196" s="694"/>
      <c r="AG1196" s="694"/>
      <c r="AH1196" s="694"/>
      <c r="AI1196" s="694"/>
      <c r="AJ1196" s="694"/>
      <c r="AK1196" s="694"/>
      <c r="AL1196" s="729"/>
    </row>
    <row r="1197" spans="1:38" ht="12.75" customHeight="1" x14ac:dyDescent="0.25">
      <c r="A1197" s="729"/>
      <c r="B1197" s="298"/>
      <c r="C1197" s="298"/>
      <c r="D1197" s="1208" t="s">
        <v>8</v>
      </c>
      <c r="E1197" s="1209" t="str">
        <f>Translations!$B$1515</f>
        <v>изпълнен ли е критерият за &gt;=300 квоти за емисии?</v>
      </c>
      <c r="F1197" s="1209"/>
      <c r="G1197" s="1209"/>
      <c r="H1197" s="1209"/>
      <c r="I1197" s="1209"/>
      <c r="J1197" s="1236" t="str">
        <f>IF($I1137="","",INDEX(K_Summary!J:J,MATCH($Q1197,K_Summary!$P:$P,0)))</f>
        <v/>
      </c>
      <c r="K1197" s="385" t="str">
        <f>IF($I1137="","",INDEX(K_Summary!K:K,MATCH($Q1197,K_Summary!$P:$P,0)))</f>
        <v/>
      </c>
      <c r="L1197" s="385" t="str">
        <f>IF($I1137="","",INDEX(K_Summary!L:L,MATCH($Q1197,K_Summary!$P:$P,0)))</f>
        <v/>
      </c>
      <c r="M1197" s="385" t="str">
        <f>IF($I1137="","",INDEX(K_Summary!M:M,MATCH($Q1197,K_Summary!$P:$P,0)))</f>
        <v/>
      </c>
      <c r="N1197" s="1237" t="str">
        <f>IF($I1137="","",INDEX(K_Summary!N:N,MATCH($Q1197,K_Summary!$P:$P,0)))</f>
        <v/>
      </c>
      <c r="O1197" s="302"/>
      <c r="P1197" s="302"/>
      <c r="Q1197" s="1182" t="str">
        <f>EUconst_CNTR_300EUA&amp;I1137</f>
        <v>EUA300_</v>
      </c>
      <c r="R1197" s="694"/>
      <c r="S1197" s="694"/>
      <c r="T1197" s="694"/>
      <c r="U1197" s="1234"/>
      <c r="V1197" s="694"/>
      <c r="W1197" s="694"/>
      <c r="X1197" s="694"/>
      <c r="Y1197" s="694"/>
      <c r="Z1197" s="1232"/>
      <c r="AA1197" s="694"/>
      <c r="AB1197" s="694"/>
      <c r="AC1197" s="694"/>
      <c r="AD1197" s="694"/>
      <c r="AE1197" s="694"/>
      <c r="AF1197" s="694"/>
      <c r="AG1197" s="694"/>
      <c r="AH1197" s="694"/>
      <c r="AI1197" s="694"/>
      <c r="AJ1197" s="694"/>
      <c r="AK1197" s="694"/>
      <c r="AL1197" s="729"/>
    </row>
    <row r="1198" spans="1:38" ht="5.15" customHeight="1" thickBot="1" x14ac:dyDescent="0.3">
      <c r="A1198" s="729"/>
      <c r="B1198" s="298"/>
      <c r="C1198" s="298"/>
      <c r="D1198" s="1208"/>
      <c r="E1198" s="1199"/>
      <c r="F1198" s="1199"/>
      <c r="G1198" s="1199"/>
      <c r="H1198" s="1199"/>
      <c r="I1198" s="1199"/>
      <c r="J1198" s="1199"/>
      <c r="K1198" s="1199"/>
      <c r="L1198" s="1199"/>
      <c r="M1198" s="1199"/>
      <c r="N1198" s="1238"/>
      <c r="O1198" s="302"/>
      <c r="P1198" s="302"/>
      <c r="Q1198" s="729"/>
      <c r="R1198" s="694"/>
      <c r="S1198" s="694"/>
      <c r="T1198" s="694"/>
      <c r="U1198" s="1231"/>
      <c r="V1198" s="729"/>
      <c r="W1198" s="694"/>
      <c r="X1198" s="694"/>
      <c r="Y1198" s="694"/>
      <c r="Z1198" s="1232"/>
      <c r="AA1198" s="694"/>
      <c r="AB1198" s="694"/>
      <c r="AC1198" s="694"/>
      <c r="AD1198" s="694"/>
      <c r="AE1198" s="694"/>
      <c r="AF1198" s="694"/>
      <c r="AG1198" s="694"/>
      <c r="AH1198" s="694"/>
      <c r="AI1198" s="694"/>
      <c r="AJ1198" s="694"/>
      <c r="AK1198" s="694"/>
      <c r="AL1198" s="729"/>
    </row>
    <row r="1199" spans="1:38" ht="12.75" customHeight="1" thickBot="1" x14ac:dyDescent="0.3">
      <c r="A1199" s="694"/>
      <c r="B1199" s="298"/>
      <c r="C1199" s="298"/>
      <c r="D1199" s="1208" t="s">
        <v>18</v>
      </c>
      <c r="E1199" s="1209" t="str">
        <f>Translations!$B$1324</f>
        <v>Действителна корекция (ако са надвишени всички прагове)</v>
      </c>
      <c r="F1199" s="1209"/>
      <c r="G1199" s="1209"/>
      <c r="H1199" s="1222"/>
      <c r="I1199" s="1239"/>
      <c r="J1199" s="1240" t="str">
        <f>IF(J1197="","",IF(OR(J1197,V1191&lt;1),J1193,I1199))</f>
        <v/>
      </c>
      <c r="K1199" s="1241" t="str">
        <f>IF(K1197="","",IF(OR(K1197,W1191&lt;1),K1193,J1199))</f>
        <v/>
      </c>
      <c r="L1199" s="1241" t="str">
        <f>IF(L1197="","",IF(OR(L1197,X1191&lt;1),L1193,K1199))</f>
        <v/>
      </c>
      <c r="M1199" s="1241" t="str">
        <f>IF(M1197="","",IF(OR(M1197,Y1191&lt;1),M1193,L1199))</f>
        <v/>
      </c>
      <c r="N1199" s="1242" t="str">
        <f>IF(N1197="","",IF(OR(N1197,Z1191&lt;1),N1193,M1199))</f>
        <v/>
      </c>
      <c r="O1199" s="302"/>
      <c r="P1199" s="302"/>
      <c r="Q1199" s="729"/>
      <c r="R1199" s="694"/>
      <c r="S1199" s="694"/>
      <c r="T1199" s="694"/>
      <c r="U1199" s="1231" t="s">
        <v>1718</v>
      </c>
      <c r="V1199" s="1243">
        <f>J1196</f>
        <v>2026</v>
      </c>
      <c r="W1199" s="1243">
        <f>K1196</f>
        <v>2027</v>
      </c>
      <c r="X1199" s="1243">
        <f>L1196</f>
        <v>2028</v>
      </c>
      <c r="Y1199" s="1243">
        <f>M1196</f>
        <v>2029</v>
      </c>
      <c r="Z1199" s="1244">
        <f>N1196</f>
        <v>2030</v>
      </c>
      <c r="AA1199" s="694"/>
      <c r="AB1199" s="694"/>
      <c r="AC1199" s="694"/>
      <c r="AD1199" s="694"/>
      <c r="AE1199" s="694"/>
      <c r="AF1199" s="694"/>
      <c r="AG1199" s="694"/>
      <c r="AH1199" s="694"/>
      <c r="AI1199" s="694"/>
      <c r="AJ1199" s="694"/>
      <c r="AK1199" s="694"/>
      <c r="AL1199" s="729"/>
    </row>
    <row r="1200" spans="1:38" ht="12.75" customHeight="1" thickBot="1" x14ac:dyDescent="0.3">
      <c r="A1200" s="729"/>
      <c r="B1200" s="298"/>
      <c r="C1200" s="298"/>
      <c r="D1200" s="1208" t="s">
        <v>810</v>
      </c>
      <c r="E1200" s="1209" t="str">
        <f>Translations!$B$1325</f>
        <v>Действителна стойност</v>
      </c>
      <c r="F1200" s="1209"/>
      <c r="G1200" s="1209"/>
      <c r="H1200" s="1266" t="str">
        <f>H1191</f>
        <v>t CO2</v>
      </c>
      <c r="I1200" s="1211" t="str">
        <f>I1194</f>
        <v/>
      </c>
      <c r="J1200" s="632" t="str">
        <f>IF($I1137="","",IF(OR($I1200=0,$I1200=EUconst_NA,J1199=""),IF(OR(J1197=TRUE,J1196&lt;=$V1137),J1194,SUM(I1200)),$I1200*(1+SUM(J1199))))</f>
        <v/>
      </c>
      <c r="K1200" s="633" t="str">
        <f>IF($I1137="","",IF(OR($I1200=0,$I1200=EUconst_NA,K1199=""),IF(OR(K1197=TRUE,K1196&lt;=$V1137),K1194,SUM(J1200)),$I1200*(1+SUM(K1199))))</f>
        <v/>
      </c>
      <c r="L1200" s="633" t="str">
        <f>IF($I1137="","",IF(OR($I1200=0,$I1200=EUconst_NA,L1199=""),IF(OR(L1197=TRUE,L1196&lt;=$V1137),L1194,SUM(K1200)),$I1200*(1+SUM(L1199))))</f>
        <v/>
      </c>
      <c r="M1200" s="633" t="str">
        <f>IF($I1137="","",IF(OR($I1200=0,$I1200=EUconst_NA,M1199=""),IF(OR(M1197=TRUE,M1196&lt;=$V1137),M1194,SUM(L1200)),$I1200*(1+SUM(M1199))))</f>
        <v/>
      </c>
      <c r="N1200" s="634" t="str">
        <f>IF($I1137="","",IF(OR($I1200=0,$I1200=EUconst_NA,N1199=""),IF(OR(N1197=TRUE,N1196&lt;=$V1137),N1194,SUM(M1200)),$I1200*(1+SUM(N1199))))</f>
        <v/>
      </c>
      <c r="O1200" s="302"/>
      <c r="P1200" s="302"/>
      <c r="Q1200" s="1190" t="str">
        <f>EUconst_CNTR_HEATfinal &amp; I1137</f>
        <v>HEATfinal_</v>
      </c>
      <c r="R1200" s="694"/>
      <c r="S1200" s="694"/>
      <c r="T1200" s="694"/>
      <c r="U1200" s="1245" t="b">
        <v>0</v>
      </c>
      <c r="V1200" s="1246" t="str">
        <f>IF(V1145,IF(J1197=TRUE,V1192,U1200),"")</f>
        <v/>
      </c>
      <c r="W1200" s="1246" t="str">
        <f>IF(W1145,IF(K1197=TRUE,W1192,V1200),"")</f>
        <v/>
      </c>
      <c r="X1200" s="1246" t="str">
        <f>IF(X1145,IF(L1197=TRUE,X1192,W1200),"")</f>
        <v/>
      </c>
      <c r="Y1200" s="1246" t="str">
        <f>IF(Y1145,IF(M1197=TRUE,Y1192,X1200),"")</f>
        <v/>
      </c>
      <c r="Z1200" s="1247" t="str">
        <f>IF(Z1145,IF(N1197=TRUE,Z1192,Y1200),"")</f>
        <v/>
      </c>
      <c r="AA1200" s="694"/>
      <c r="AB1200" s="694"/>
      <c r="AC1200" s="694"/>
      <c r="AD1200" s="694"/>
      <c r="AE1200" s="694"/>
      <c r="AF1200" s="694"/>
      <c r="AG1200" s="694"/>
      <c r="AH1200" s="694"/>
      <c r="AI1200" s="694"/>
      <c r="AJ1200" s="1174" t="s">
        <v>2033</v>
      </c>
      <c r="AK1200" s="982" t="str">
        <f>IF(OR(ISERROR(J1200),ISERROR(K1200),ISERROR(L1200),ISERROR(M1200),ISERROR(N1200)),EUconst_Error &amp; "BM" &amp; Q1137,"")</f>
        <v/>
      </c>
      <c r="AL1200" s="694"/>
    </row>
    <row r="1201" spans="1:38" ht="5.15" customHeight="1" thickBot="1" x14ac:dyDescent="0.3">
      <c r="A1201" s="694"/>
      <c r="B1201" s="698"/>
      <c r="C1201" s="698"/>
      <c r="D1201" s="1273"/>
      <c r="E1201" s="1274"/>
      <c r="F1201" s="1274"/>
      <c r="G1201" s="1274"/>
      <c r="H1201" s="1274"/>
      <c r="I1201" s="1275"/>
      <c r="J1201" s="1274"/>
      <c r="K1201" s="1274"/>
      <c r="L1201" s="1274"/>
      <c r="M1201" s="1274"/>
      <c r="N1201" s="1276"/>
      <c r="O1201" s="302"/>
      <c r="P1201" s="302"/>
      <c r="Q1201" s="1263"/>
      <c r="R1201" s="694"/>
      <c r="S1201" s="729"/>
      <c r="T1201" s="729"/>
      <c r="U1201" s="694"/>
      <c r="V1201" s="694"/>
      <c r="W1201" s="694"/>
      <c r="X1201" s="694"/>
      <c r="Y1201" s="694"/>
      <c r="Z1201" s="694"/>
      <c r="AA1201" s="694"/>
      <c r="AB1201" s="694"/>
      <c r="AC1201" s="694"/>
      <c r="AD1201" s="694"/>
      <c r="AE1201" s="694"/>
      <c r="AF1201" s="694"/>
      <c r="AG1201" s="694"/>
      <c r="AH1201" s="694"/>
      <c r="AI1201" s="694"/>
      <c r="AJ1201" s="694"/>
      <c r="AK1201" s="694"/>
      <c r="AL1201" s="694"/>
    </row>
    <row r="1202" spans="1:38" ht="5.15" customHeight="1" x14ac:dyDescent="0.25">
      <c r="A1202" s="694"/>
      <c r="B1202" s="698"/>
      <c r="C1202" s="698"/>
      <c r="D1202" s="698"/>
      <c r="E1202" s="698"/>
      <c r="F1202" s="698"/>
      <c r="G1202" s="698"/>
      <c r="H1202" s="698"/>
      <c r="I1202" s="1025"/>
      <c r="J1202" s="698"/>
      <c r="K1202" s="698"/>
      <c r="L1202" s="698"/>
      <c r="M1202" s="698"/>
      <c r="N1202" s="698"/>
      <c r="O1202" s="302"/>
      <c r="P1202" s="302"/>
      <c r="Q1202" s="1263"/>
      <c r="R1202" s="694"/>
      <c r="S1202" s="729"/>
      <c r="T1202" s="729"/>
      <c r="U1202" s="694"/>
      <c r="V1202" s="694"/>
      <c r="W1202" s="694"/>
      <c r="X1202" s="694"/>
      <c r="Y1202" s="694"/>
      <c r="Z1202" s="694"/>
      <c r="AA1202" s="694"/>
      <c r="AB1202" s="694"/>
      <c r="AC1202" s="694"/>
      <c r="AD1202" s="694"/>
      <c r="AE1202" s="694"/>
      <c r="AF1202" s="694"/>
      <c r="AG1202" s="694"/>
      <c r="AH1202" s="694"/>
      <c r="AI1202" s="694"/>
      <c r="AJ1202" s="694"/>
      <c r="AK1202" s="694"/>
      <c r="AL1202" s="694"/>
    </row>
    <row r="1203" spans="1:38" ht="14" x14ac:dyDescent="0.25">
      <c r="A1203" s="694"/>
      <c r="B1203" s="698"/>
      <c r="C1203" s="358"/>
      <c r="D1203" s="2323" t="str">
        <f>Translations!$B$495</f>
        <v>Данни за производството</v>
      </c>
      <c r="E1203" s="2249"/>
      <c r="F1203" s="2249"/>
      <c r="G1203" s="2249"/>
      <c r="H1203" s="2249"/>
      <c r="I1203" s="2249"/>
      <c r="J1203" s="2249"/>
      <c r="K1203" s="2249"/>
      <c r="L1203" s="2249"/>
      <c r="M1203" s="2249"/>
      <c r="N1203" s="2249"/>
      <c r="O1203" s="302"/>
      <c r="P1203" s="302"/>
      <c r="Q1203" s="694"/>
      <c r="R1203" s="694"/>
      <c r="S1203" s="729"/>
      <c r="T1203" s="729"/>
      <c r="U1203" s="694"/>
      <c r="V1203" s="694"/>
      <c r="W1203" s="694"/>
      <c r="X1203" s="694"/>
      <c r="Y1203" s="694"/>
      <c r="Z1203" s="694"/>
      <c r="AA1203" s="694"/>
      <c r="AB1203" s="694"/>
      <c r="AC1203" s="694"/>
      <c r="AD1203" s="694"/>
      <c r="AE1203" s="694"/>
      <c r="AF1203" s="694"/>
      <c r="AG1203" s="694"/>
      <c r="AH1203" s="694"/>
      <c r="AI1203" s="694"/>
      <c r="AJ1203" s="694"/>
      <c r="AK1203" s="694"/>
      <c r="AL1203" s="694"/>
    </row>
    <row r="1204" spans="1:38" ht="5.15" customHeight="1" x14ac:dyDescent="0.25">
      <c r="A1204" s="694"/>
      <c r="B1204" s="298"/>
      <c r="C1204" s="298"/>
      <c r="D1204" s="298"/>
      <c r="E1204" s="298"/>
      <c r="F1204" s="298"/>
      <c r="G1204" s="298"/>
      <c r="H1204" s="298"/>
      <c r="I1204" s="298"/>
      <c r="J1204" s="298"/>
      <c r="K1204" s="298"/>
      <c r="L1204" s="298"/>
      <c r="M1204" s="298"/>
      <c r="N1204" s="298"/>
      <c r="O1204" s="302"/>
      <c r="P1204" s="302"/>
      <c r="Q1204" s="729"/>
      <c r="R1204" s="729"/>
      <c r="S1204" s="729"/>
      <c r="T1204" s="729"/>
      <c r="U1204" s="694"/>
      <c r="V1204" s="694"/>
      <c r="W1204" s="694"/>
      <c r="X1204" s="694"/>
      <c r="Y1204" s="694"/>
      <c r="Z1204" s="694"/>
      <c r="AA1204" s="694"/>
      <c r="AB1204" s="694"/>
      <c r="AC1204" s="694"/>
      <c r="AD1204" s="694"/>
      <c r="AE1204" s="694"/>
      <c r="AF1204" s="694"/>
      <c r="AG1204" s="694"/>
      <c r="AH1204" s="694"/>
      <c r="AI1204" s="694"/>
      <c r="AJ1204" s="694"/>
      <c r="AK1204" s="694"/>
      <c r="AL1204" s="694"/>
    </row>
    <row r="1205" spans="1:38" ht="13" x14ac:dyDescent="0.25">
      <c r="A1205" s="694"/>
      <c r="B1205" s="298"/>
      <c r="C1205" s="300"/>
      <c r="D1205" s="300" t="s">
        <v>54</v>
      </c>
      <c r="E1205" s="2226" t="str">
        <f>Translations!$B$496</f>
        <v>Идентификация на продуктите, включени в тази подинсталация с продуктов показател</v>
      </c>
      <c r="F1205" s="2249"/>
      <c r="G1205" s="2249"/>
      <c r="H1205" s="2249"/>
      <c r="I1205" s="2249"/>
      <c r="J1205" s="2249"/>
      <c r="K1205" s="2249"/>
      <c r="L1205" s="2249"/>
      <c r="M1205" s="2249"/>
      <c r="N1205" s="2249"/>
      <c r="O1205" s="302"/>
      <c r="P1205" s="302"/>
      <c r="Q1205" s="729"/>
      <c r="R1205" s="694"/>
      <c r="S1205" s="729"/>
      <c r="T1205" s="729"/>
      <c r="U1205" s="694"/>
      <c r="V1205" s="694"/>
      <c r="W1205" s="694"/>
      <c r="X1205" s="694"/>
      <c r="Y1205" s="694"/>
      <c r="Z1205" s="694"/>
      <c r="AA1205" s="694"/>
      <c r="AB1205" s="694"/>
      <c r="AC1205" s="694"/>
      <c r="AD1205" s="694"/>
      <c r="AE1205" s="694"/>
      <c r="AF1205" s="694"/>
      <c r="AG1205" s="694"/>
      <c r="AH1205" s="694"/>
      <c r="AI1205" s="694"/>
      <c r="AJ1205" s="694"/>
      <c r="AK1205" s="694"/>
      <c r="AL1205" s="694"/>
    </row>
    <row r="1206" spans="1:38" ht="5.15" customHeight="1" x14ac:dyDescent="0.25">
      <c r="A1206" s="694"/>
      <c r="B1206" s="298"/>
      <c r="C1206" s="302"/>
      <c r="D1206" s="302"/>
      <c r="E1206" s="2358" t="str">
        <f>Translations!$B$1518</f>
        <v xml:space="preserve"> </v>
      </c>
      <c r="F1206" s="2249"/>
      <c r="G1206" s="2249"/>
      <c r="H1206" s="2249"/>
      <c r="I1206" s="2249"/>
      <c r="J1206" s="2249"/>
      <c r="K1206" s="2249"/>
      <c r="L1206" s="2249"/>
      <c r="M1206" s="2249"/>
      <c r="N1206" s="2249"/>
      <c r="O1206" s="302"/>
      <c r="P1206" s="302"/>
      <c r="Q1206" s="729"/>
      <c r="R1206" s="694"/>
      <c r="S1206" s="729"/>
      <c r="T1206" s="729"/>
      <c r="U1206" s="694"/>
      <c r="V1206" s="694"/>
      <c r="W1206" s="694"/>
      <c r="X1206" s="694"/>
      <c r="Y1206" s="694"/>
      <c r="Z1206" s="694"/>
      <c r="AA1206" s="694"/>
      <c r="AB1206" s="694"/>
      <c r="AC1206" s="694"/>
      <c r="AD1206" s="694"/>
      <c r="AE1206" s="694"/>
      <c r="AF1206" s="694"/>
      <c r="AG1206" s="694"/>
      <c r="AH1206" s="694"/>
      <c r="AI1206" s="694"/>
      <c r="AJ1206" s="694"/>
      <c r="AK1206" s="694"/>
      <c r="AL1206" s="694"/>
    </row>
    <row r="1207" spans="1:38" ht="25.5" customHeight="1" x14ac:dyDescent="0.25">
      <c r="A1207" s="694"/>
      <c r="B1207" s="298"/>
      <c r="C1207" s="302"/>
      <c r="D1207" s="302"/>
      <c r="E1207" s="2358" t="str">
        <f>Translations!$B$497</f>
        <v>Кодовете по Продком се въвеждат като низове във вида „nnnnnnnn“, т.е. без точки или други разделителни знаци между тях. Само когато липсва код по Продком, се посочва 4-цифрения код по статистическата класификация на икономическите дейности в Европейския съюз (NACE) във вида „nnnn“.</v>
      </c>
      <c r="F1207" s="2249"/>
      <c r="G1207" s="2249"/>
      <c r="H1207" s="2249"/>
      <c r="I1207" s="2249"/>
      <c r="J1207" s="2249"/>
      <c r="K1207" s="2249"/>
      <c r="L1207" s="2249"/>
      <c r="M1207" s="2249"/>
      <c r="N1207" s="2249"/>
      <c r="O1207" s="302"/>
      <c r="P1207" s="302"/>
      <c r="Q1207" s="729"/>
      <c r="R1207" s="694"/>
      <c r="S1207" s="729"/>
      <c r="T1207" s="729"/>
      <c r="U1207" s="694"/>
      <c r="V1207" s="694"/>
      <c r="W1207" s="694"/>
      <c r="X1207" s="694"/>
      <c r="Y1207" s="694"/>
      <c r="Z1207" s="694"/>
      <c r="AA1207" s="694"/>
      <c r="AB1207" s="694"/>
      <c r="AC1207" s="694"/>
      <c r="AD1207" s="694"/>
      <c r="AE1207" s="694"/>
      <c r="AF1207" s="694"/>
      <c r="AG1207" s="694"/>
      <c r="AH1207" s="694"/>
      <c r="AI1207" s="694"/>
      <c r="AJ1207" s="694"/>
      <c r="AK1207" s="694"/>
      <c r="AL1207" s="694"/>
    </row>
    <row r="1208" spans="1:38" x14ac:dyDescent="0.25">
      <c r="A1208" s="694"/>
      <c r="B1208" s="298"/>
      <c r="C1208" s="302"/>
      <c r="D1208" s="302"/>
      <c r="E1208" s="2358" t="str">
        <f>Translations!$B$498</f>
        <v>Продком списъкът за 2010 г. може да се намери на адрес: http://ec.europa.eu/eurostat/ramon/nomenclatures/index.cfm?TargetUrl=LST_CLS_DLD&amp;StrNom=PRD_2010&amp;StrLanguageCode=EN&amp;StrLayoutCode=HIERARCHIChttp://ec.europa.eu/eurostat/ramon/nomenclatures/index.cfm?TargetUrl=LST_CLS_DLD&amp;StrNom=PRD_2010&amp;StrLanguageCode=EN&amp;StrLayoutCode=HIERARCHIC</v>
      </c>
      <c r="F1208" s="2249"/>
      <c r="G1208" s="2249"/>
      <c r="H1208" s="2249"/>
      <c r="I1208" s="2249"/>
      <c r="J1208" s="2249"/>
      <c r="K1208" s="2249"/>
      <c r="L1208" s="2249"/>
      <c r="M1208" s="2249"/>
      <c r="N1208" s="2249"/>
      <c r="O1208" s="302"/>
      <c r="P1208" s="302"/>
      <c r="Q1208" s="729"/>
      <c r="R1208" s="694"/>
      <c r="S1208" s="729"/>
      <c r="T1208" s="729"/>
      <c r="U1208" s="694"/>
      <c r="V1208" s="694"/>
      <c r="W1208" s="694"/>
      <c r="X1208" s="694"/>
      <c r="Y1208" s="694"/>
      <c r="Z1208" s="694"/>
      <c r="AA1208" s="694"/>
      <c r="AB1208" s="694"/>
      <c r="AC1208" s="694"/>
      <c r="AD1208" s="694"/>
      <c r="AE1208" s="694"/>
      <c r="AF1208" s="694"/>
      <c r="AG1208" s="694"/>
      <c r="AH1208" s="694"/>
      <c r="AI1208" s="694"/>
      <c r="AJ1208" s="694"/>
      <c r="AK1208" s="694"/>
      <c r="AL1208" s="694"/>
    </row>
    <row r="1209" spans="1:38" x14ac:dyDescent="0.25">
      <c r="A1209" s="694"/>
      <c r="B1209" s="298"/>
      <c r="C1209" s="302"/>
      <c r="D1209" s="302"/>
      <c r="E1209" s="2855" t="str">
        <f>Translations!$B$1519</f>
        <v>https://eur-lex.europa.eu/eli/reg/2010/860/oj/bul</v>
      </c>
      <c r="F1209" s="2856"/>
      <c r="G1209" s="2856"/>
      <c r="H1209" s="2856"/>
      <c r="I1209" s="2856"/>
      <c r="J1209" s="2856"/>
      <c r="K1209" s="2856"/>
      <c r="L1209" s="2856"/>
      <c r="M1209" s="2856"/>
      <c r="N1209" s="2856"/>
      <c r="O1209" s="302"/>
      <c r="P1209" s="302"/>
      <c r="Q1209" s="729"/>
      <c r="R1209" s="694"/>
      <c r="S1209" s="729"/>
      <c r="T1209" s="729"/>
      <c r="U1209" s="694"/>
      <c r="V1209" s="694"/>
      <c r="W1209" s="694"/>
      <c r="X1209" s="694"/>
      <c r="Y1209" s="694"/>
      <c r="Z1209" s="694"/>
      <c r="AA1209" s="694"/>
      <c r="AB1209" s="694"/>
      <c r="AC1209" s="694"/>
      <c r="AD1209" s="694"/>
      <c r="AE1209" s="694"/>
      <c r="AF1209" s="694"/>
      <c r="AG1209" s="694"/>
      <c r="AH1209" s="694"/>
      <c r="AI1209" s="694"/>
      <c r="AJ1209" s="694"/>
      <c r="AK1209" s="694"/>
      <c r="AL1209" s="694"/>
    </row>
    <row r="1210" spans="1:38" x14ac:dyDescent="0.25">
      <c r="A1210" s="694"/>
      <c r="B1210" s="298"/>
      <c r="C1210" s="302"/>
      <c r="D1210" s="302"/>
      <c r="E1210" s="2358" t="str">
        <f>Translations!$B$1520</f>
        <v>Кодовете по КН са кодовете съгласно Регламент (ЕИО) № 2658/87, които са на разположение на следния адрес:</v>
      </c>
      <c r="F1210" s="2249"/>
      <c r="G1210" s="2249"/>
      <c r="H1210" s="2249"/>
      <c r="I1210" s="2249"/>
      <c r="J1210" s="2249"/>
      <c r="K1210" s="2249"/>
      <c r="L1210" s="2249"/>
      <c r="M1210" s="2249"/>
      <c r="N1210" s="2249"/>
      <c r="O1210" s="302"/>
      <c r="P1210" s="302"/>
      <c r="Q1210" s="729"/>
      <c r="R1210" s="694"/>
      <c r="S1210" s="729"/>
      <c r="T1210" s="729"/>
      <c r="U1210" s="694"/>
      <c r="V1210" s="694"/>
      <c r="W1210" s="694"/>
      <c r="X1210" s="694"/>
      <c r="Y1210" s="694"/>
      <c r="Z1210" s="694"/>
      <c r="AA1210" s="694"/>
      <c r="AB1210" s="694"/>
      <c r="AC1210" s="694"/>
      <c r="AD1210" s="694"/>
      <c r="AE1210" s="694"/>
      <c r="AF1210" s="694"/>
      <c r="AG1210" s="694"/>
      <c r="AH1210" s="694"/>
      <c r="AI1210" s="694"/>
      <c r="AJ1210" s="694"/>
      <c r="AK1210" s="694"/>
      <c r="AL1210" s="694"/>
    </row>
    <row r="1211" spans="1:38" x14ac:dyDescent="0.25">
      <c r="A1211" s="694"/>
      <c r="B1211" s="298"/>
      <c r="C1211" s="302"/>
      <c r="D1211" s="302"/>
      <c r="E1211" s="2855" t="str">
        <f>Translations!$B$1521</f>
        <v>https://eur-lex.europa.eu/eli/reg/1987/2658/2023-06-17</v>
      </c>
      <c r="F1211" s="2856"/>
      <c r="G1211" s="2856"/>
      <c r="H1211" s="2856"/>
      <c r="I1211" s="2856"/>
      <c r="J1211" s="2856"/>
      <c r="K1211" s="2856"/>
      <c r="L1211" s="2856"/>
      <c r="M1211" s="2856"/>
      <c r="N1211" s="2856"/>
      <c r="O1211" s="302"/>
      <c r="P1211" s="302"/>
      <c r="Q1211" s="729"/>
      <c r="R1211" s="694"/>
      <c r="S1211" s="729"/>
      <c r="T1211" s="729"/>
      <c r="U1211" s="694"/>
      <c r="V1211" s="694"/>
      <c r="W1211" s="694"/>
      <c r="X1211" s="694"/>
      <c r="Y1211" s="694"/>
      <c r="Z1211" s="694"/>
      <c r="AA1211" s="694"/>
      <c r="AB1211" s="694"/>
      <c r="AC1211" s="694"/>
      <c r="AD1211" s="694"/>
      <c r="AE1211" s="694"/>
      <c r="AF1211" s="694"/>
      <c r="AG1211" s="694"/>
      <c r="AH1211" s="694"/>
      <c r="AI1211" s="694"/>
      <c r="AJ1211" s="694"/>
      <c r="AK1211" s="694"/>
      <c r="AL1211" s="694"/>
    </row>
    <row r="1212" spans="1:38" ht="5.15" customHeight="1" x14ac:dyDescent="0.25">
      <c r="A1212" s="694"/>
      <c r="B1212" s="298"/>
      <c r="C1212" s="298"/>
      <c r="D1212" s="298"/>
      <c r="E1212" s="298"/>
      <c r="F1212" s="298"/>
      <c r="G1212" s="298"/>
      <c r="H1212" s="298"/>
      <c r="I1212" s="298"/>
      <c r="J1212" s="298"/>
      <c r="K1212" s="298"/>
      <c r="L1212" s="298"/>
      <c r="M1212" s="298"/>
      <c r="N1212" s="298"/>
      <c r="O1212" s="302"/>
      <c r="P1212" s="302"/>
      <c r="Q1212" s="729"/>
      <c r="R1212" s="729"/>
      <c r="S1212" s="729"/>
      <c r="T1212" s="729"/>
      <c r="U1212" s="694"/>
      <c r="V1212" s="694"/>
      <c r="W1212" s="694"/>
      <c r="X1212" s="694"/>
      <c r="Y1212" s="694"/>
      <c r="Z1212" s="694"/>
      <c r="AA1212" s="694"/>
      <c r="AB1212" s="694"/>
      <c r="AC1212" s="694"/>
      <c r="AD1212" s="694"/>
      <c r="AE1212" s="694"/>
      <c r="AF1212" s="694"/>
      <c r="AG1212" s="694"/>
      <c r="AH1212" s="694"/>
      <c r="AI1212" s="694"/>
      <c r="AJ1212" s="694"/>
      <c r="AK1212" s="694"/>
      <c r="AL1212" s="694"/>
    </row>
    <row r="1213" spans="1:38" ht="13" x14ac:dyDescent="0.25">
      <c r="A1213" s="694"/>
      <c r="B1213" s="298"/>
      <c r="C1213" s="300"/>
      <c r="D1213" s="300" t="s">
        <v>55</v>
      </c>
      <c r="E1213" s="2226" t="str">
        <f>Translations!$B$499</f>
        <v>Индивидуални равнища на производство за продуктите, включени в тази подинсталация с продуктов показател</v>
      </c>
      <c r="F1213" s="2249"/>
      <c r="G1213" s="2249"/>
      <c r="H1213" s="2249"/>
      <c r="I1213" s="2249"/>
      <c r="J1213" s="2249"/>
      <c r="K1213" s="2249"/>
      <c r="L1213" s="2249"/>
      <c r="M1213" s="2249"/>
      <c r="N1213" s="2249"/>
      <c r="O1213" s="302"/>
      <c r="P1213" s="302"/>
      <c r="Q1213" s="729"/>
      <c r="R1213" s="694"/>
      <c r="S1213" s="729"/>
      <c r="T1213" s="729"/>
      <c r="U1213" s="694"/>
      <c r="V1213" s="694"/>
      <c r="W1213" s="694"/>
      <c r="X1213" s="694"/>
      <c r="Y1213" s="694"/>
      <c r="Z1213" s="694"/>
      <c r="AA1213" s="694"/>
      <c r="AB1213" s="694"/>
      <c r="AC1213" s="694"/>
      <c r="AD1213" s="694"/>
      <c r="AE1213" s="694"/>
      <c r="AF1213" s="694"/>
      <c r="AG1213" s="694"/>
      <c r="AH1213" s="694"/>
      <c r="AI1213" s="694"/>
      <c r="AJ1213" s="694"/>
      <c r="AK1213" s="694"/>
      <c r="AL1213" s="694"/>
    </row>
    <row r="1214" spans="1:38" ht="5.15" customHeight="1" x14ac:dyDescent="0.25">
      <c r="A1214" s="694"/>
      <c r="B1214" s="298"/>
      <c r="C1214" s="298"/>
      <c r="D1214" s="302"/>
      <c r="E1214" s="460"/>
      <c r="F1214" s="460"/>
      <c r="G1214" s="460"/>
      <c r="H1214" s="460"/>
      <c r="I1214" s="460"/>
      <c r="J1214" s="329"/>
      <c r="K1214" s="329"/>
      <c r="L1214" s="329"/>
      <c r="M1214" s="302"/>
      <c r="N1214" s="302"/>
      <c r="O1214" s="302"/>
      <c r="P1214" s="302"/>
      <c r="Q1214" s="729"/>
      <c r="R1214" s="694"/>
      <c r="S1214" s="729"/>
      <c r="T1214" s="729"/>
      <c r="U1214" s="694"/>
      <c r="V1214" s="694"/>
      <c r="W1214" s="694"/>
      <c r="X1214" s="694"/>
      <c r="Y1214" s="694"/>
      <c r="Z1214" s="694"/>
      <c r="AA1214" s="694"/>
      <c r="AB1214" s="694"/>
      <c r="AC1214" s="694"/>
      <c r="AD1214" s="694"/>
      <c r="AE1214" s="694"/>
      <c r="AF1214" s="694"/>
      <c r="AG1214" s="694"/>
      <c r="AH1214" s="694"/>
      <c r="AI1214" s="694"/>
      <c r="AJ1214" s="694"/>
      <c r="AK1214" s="694"/>
      <c r="AL1214" s="694"/>
    </row>
    <row r="1215" spans="1:38" ht="25.5" customHeight="1" thickBot="1" x14ac:dyDescent="0.3">
      <c r="A1215" s="694"/>
      <c r="B1215" s="698"/>
      <c r="C1215" s="698"/>
      <c r="D1215" s="1014"/>
      <c r="E1215" s="1277" t="str">
        <f>Translations!$B$1522</f>
        <v>ПРОДКОМ за 2010 г.</v>
      </c>
      <c r="F1215" s="1278" t="str">
        <f>Translations!$B$500</f>
        <v>Име на продукта или групата продукти</v>
      </c>
      <c r="G1215" s="672" t="str">
        <f>EUconst_Unit</f>
        <v>Единица мярка</v>
      </c>
      <c r="H1215" s="391">
        <f t="shared" ref="H1215:N1215" si="1531">H$2831</f>
        <v>2024</v>
      </c>
      <c r="I1215" s="572">
        <f t="shared" si="1531"/>
        <v>2025</v>
      </c>
      <c r="J1215" s="757">
        <f t="shared" si="1531"/>
        <v>2026</v>
      </c>
      <c r="K1215" s="391">
        <f t="shared" si="1531"/>
        <v>2027</v>
      </c>
      <c r="L1215" s="391">
        <f t="shared" si="1531"/>
        <v>2028</v>
      </c>
      <c r="M1215" s="391">
        <f t="shared" si="1531"/>
        <v>2029</v>
      </c>
      <c r="N1215" s="391">
        <f t="shared" si="1531"/>
        <v>2030</v>
      </c>
      <c r="O1215" s="1277" t="str">
        <f>Translations!$B$1523</f>
        <v>Код по КН</v>
      </c>
      <c r="P1215" s="1278"/>
      <c r="Q1215" s="694"/>
      <c r="R1215" s="694"/>
      <c r="S1215" s="729"/>
      <c r="T1215" s="729"/>
      <c r="U1215" s="694"/>
      <c r="V1215" s="694"/>
      <c r="W1215" s="694"/>
      <c r="X1215" s="694"/>
      <c r="Y1215" s="694"/>
      <c r="Z1215" s="1279" t="s">
        <v>737</v>
      </c>
      <c r="AA1215" s="694"/>
      <c r="AB1215" s="694"/>
      <c r="AC1215" s="1178">
        <f t="shared" ref="AC1215" si="1532">H$20</f>
        <v>2024</v>
      </c>
      <c r="AD1215" s="1178">
        <f t="shared" ref="AD1215" si="1533">I$20</f>
        <v>2025</v>
      </c>
      <c r="AE1215" s="1178">
        <f t="shared" ref="AE1215" si="1534">J$20</f>
        <v>2026</v>
      </c>
      <c r="AF1215" s="1178">
        <f t="shared" ref="AF1215" si="1535">K$20</f>
        <v>2027</v>
      </c>
      <c r="AG1215" s="1178">
        <f t="shared" ref="AG1215" si="1536">L$20</f>
        <v>2028</v>
      </c>
      <c r="AH1215" s="1178">
        <f t="shared" ref="AH1215" si="1537">M$20</f>
        <v>2029</v>
      </c>
      <c r="AI1215" s="1178">
        <f t="shared" ref="AI1215" si="1538">N$20</f>
        <v>2030</v>
      </c>
      <c r="AJ1215" s="694"/>
      <c r="AK1215" s="694"/>
      <c r="AL1215" s="694"/>
    </row>
    <row r="1216" spans="1:38" x14ac:dyDescent="0.25">
      <c r="A1216" s="694"/>
      <c r="B1216" s="698"/>
      <c r="C1216" s="698"/>
      <c r="D1216" s="981">
        <v>1</v>
      </c>
      <c r="E1216" s="221"/>
      <c r="F1216" s="109"/>
      <c r="G1216" s="57"/>
      <c r="H1216" s="40"/>
      <c r="I1216" s="46"/>
      <c r="J1216" s="116"/>
      <c r="K1216" s="40"/>
      <c r="L1216" s="40"/>
      <c r="M1216" s="40"/>
      <c r="N1216" s="40"/>
      <c r="O1216" s="221"/>
      <c r="P1216" s="158"/>
      <c r="Q1216" s="694"/>
      <c r="R1216" s="694"/>
      <c r="S1216" s="729"/>
      <c r="T1216" s="729"/>
      <c r="U1216" s="694"/>
      <c r="V1216" s="694"/>
      <c r="W1216" s="694"/>
      <c r="X1216" s="694"/>
      <c r="Y1216" s="694"/>
      <c r="Z1216" s="1280" t="b">
        <f t="shared" ref="Z1216:Z1225" si="1539">AA1216</f>
        <v>0</v>
      </c>
      <c r="AA1216" s="1281" t="b">
        <f t="shared" ref="AA1216:AA1225" si="1540">AB1216</f>
        <v>0</v>
      </c>
      <c r="AB1216" s="1282" t="b">
        <f>AND(AC1216:AI1216)</f>
        <v>0</v>
      </c>
      <c r="AC1216" s="1283" t="b">
        <f t="shared" ref="AC1216:AD1216" si="1541">AC1184</f>
        <v>0</v>
      </c>
      <c r="AD1216" s="1284" t="b">
        <f t="shared" si="1541"/>
        <v>0</v>
      </c>
      <c r="AE1216" s="1284" t="b">
        <f>AE1184</f>
        <v>0</v>
      </c>
      <c r="AF1216" s="1284" t="b">
        <f t="shared" ref="AF1216" si="1542">AF1184</f>
        <v>0</v>
      </c>
      <c r="AG1216" s="1284" t="b">
        <f>AG1184</f>
        <v>0</v>
      </c>
      <c r="AH1216" s="1284" t="b">
        <f t="shared" ref="AH1216:AI1216" si="1543">AH1184</f>
        <v>0</v>
      </c>
      <c r="AI1216" s="1285" t="b">
        <f t="shared" si="1543"/>
        <v>0</v>
      </c>
      <c r="AJ1216" s="1174" t="s">
        <v>2039</v>
      </c>
      <c r="AK1216" s="1176" t="str">
        <f>IF(AND(CNTR_ExistSubInstEntries,COUNTIFS(AC1216:AI1216,FALSE,H1216:N1216,"")&gt;0),EUconst_Error&amp;"BM"&amp;$Q1137,"")</f>
        <v/>
      </c>
      <c r="AL1216" s="694"/>
    </row>
    <row r="1217" spans="1:38" x14ac:dyDescent="0.25">
      <c r="A1217" s="694"/>
      <c r="B1217" s="698"/>
      <c r="C1217" s="698"/>
      <c r="D1217" s="990">
        <f>D1216+1</f>
        <v>2</v>
      </c>
      <c r="E1217" s="222"/>
      <c r="F1217" s="110"/>
      <c r="G1217" s="44"/>
      <c r="H1217" s="43"/>
      <c r="I1217" s="47"/>
      <c r="J1217" s="119"/>
      <c r="K1217" s="43"/>
      <c r="L1217" s="43"/>
      <c r="M1217" s="43"/>
      <c r="N1217" s="43"/>
      <c r="O1217" s="222"/>
      <c r="P1217" s="158"/>
      <c r="Q1217" s="694"/>
      <c r="R1217" s="694"/>
      <c r="S1217" s="729"/>
      <c r="T1217" s="729"/>
      <c r="U1217" s="694"/>
      <c r="V1217" s="694"/>
      <c r="W1217" s="694"/>
      <c r="X1217" s="694"/>
      <c r="Y1217" s="694"/>
      <c r="Z1217" s="1286" t="b">
        <f t="shared" si="1539"/>
        <v>0</v>
      </c>
      <c r="AA1217" s="982" t="b">
        <f t="shared" si="1540"/>
        <v>0</v>
      </c>
      <c r="AB1217" s="1287" t="b">
        <f t="shared" ref="AB1217:AB1225" si="1544">AND(AC1217:AI1217)</f>
        <v>0</v>
      </c>
      <c r="AC1217" s="1288" t="b">
        <f>AC1216</f>
        <v>0</v>
      </c>
      <c r="AD1217" s="982" t="b">
        <f t="shared" ref="AD1217:AI1217" si="1545">AD1216</f>
        <v>0</v>
      </c>
      <c r="AE1217" s="982" t="b">
        <f t="shared" si="1545"/>
        <v>0</v>
      </c>
      <c r="AF1217" s="982" t="b">
        <f t="shared" si="1545"/>
        <v>0</v>
      </c>
      <c r="AG1217" s="982" t="b">
        <f t="shared" si="1545"/>
        <v>0</v>
      </c>
      <c r="AH1217" s="982" t="b">
        <f t="shared" si="1545"/>
        <v>0</v>
      </c>
      <c r="AI1217" s="1287" t="b">
        <f t="shared" si="1545"/>
        <v>0</v>
      </c>
      <c r="AJ1217" s="694"/>
      <c r="AK1217" s="694"/>
      <c r="AL1217" s="694"/>
    </row>
    <row r="1218" spans="1:38" x14ac:dyDescent="0.25">
      <c r="A1218" s="694"/>
      <c r="B1218" s="698"/>
      <c r="C1218" s="698"/>
      <c r="D1218" s="990">
        <f t="shared" ref="D1218:D1225" si="1546">D1217+1</f>
        <v>3</v>
      </c>
      <c r="E1218" s="222"/>
      <c r="F1218" s="111"/>
      <c r="G1218" s="44"/>
      <c r="H1218" s="43"/>
      <c r="I1218" s="47"/>
      <c r="J1218" s="119"/>
      <c r="K1218" s="43"/>
      <c r="L1218" s="43"/>
      <c r="M1218" s="43"/>
      <c r="N1218" s="43"/>
      <c r="O1218" s="222"/>
      <c r="P1218" s="158"/>
      <c r="Q1218" s="694"/>
      <c r="R1218" s="694"/>
      <c r="S1218" s="729"/>
      <c r="T1218" s="729"/>
      <c r="U1218" s="694"/>
      <c r="V1218" s="694"/>
      <c r="W1218" s="694"/>
      <c r="X1218" s="694"/>
      <c r="Y1218" s="694"/>
      <c r="Z1218" s="1286" t="b">
        <f t="shared" si="1539"/>
        <v>0</v>
      </c>
      <c r="AA1218" s="982" t="b">
        <f t="shared" si="1540"/>
        <v>0</v>
      </c>
      <c r="AB1218" s="1287" t="b">
        <f t="shared" si="1544"/>
        <v>0</v>
      </c>
      <c r="AC1218" s="1288" t="b">
        <f t="shared" ref="AC1218:AI1218" si="1547">AC1217</f>
        <v>0</v>
      </c>
      <c r="AD1218" s="982" t="b">
        <f t="shared" si="1547"/>
        <v>0</v>
      </c>
      <c r="AE1218" s="982" t="b">
        <f t="shared" si="1547"/>
        <v>0</v>
      </c>
      <c r="AF1218" s="982" t="b">
        <f t="shared" si="1547"/>
        <v>0</v>
      </c>
      <c r="AG1218" s="982" t="b">
        <f t="shared" si="1547"/>
        <v>0</v>
      </c>
      <c r="AH1218" s="982" t="b">
        <f t="shared" si="1547"/>
        <v>0</v>
      </c>
      <c r="AI1218" s="1287" t="b">
        <f t="shared" si="1547"/>
        <v>0</v>
      </c>
      <c r="AJ1218" s="694"/>
      <c r="AK1218" s="694"/>
      <c r="AL1218" s="694"/>
    </row>
    <row r="1219" spans="1:38" x14ac:dyDescent="0.25">
      <c r="A1219" s="694"/>
      <c r="B1219" s="698"/>
      <c r="C1219" s="698"/>
      <c r="D1219" s="990">
        <f t="shared" si="1546"/>
        <v>4</v>
      </c>
      <c r="E1219" s="222"/>
      <c r="F1219" s="111"/>
      <c r="G1219" s="44"/>
      <c r="H1219" s="43"/>
      <c r="I1219" s="47"/>
      <c r="J1219" s="119"/>
      <c r="K1219" s="43"/>
      <c r="L1219" s="43"/>
      <c r="M1219" s="43"/>
      <c r="N1219" s="43"/>
      <c r="O1219" s="222"/>
      <c r="P1219" s="158"/>
      <c r="Q1219" s="694"/>
      <c r="R1219" s="694"/>
      <c r="S1219" s="729"/>
      <c r="T1219" s="729"/>
      <c r="U1219" s="694"/>
      <c r="V1219" s="694"/>
      <c r="W1219" s="694"/>
      <c r="X1219" s="694"/>
      <c r="Y1219" s="694"/>
      <c r="Z1219" s="1286" t="b">
        <f t="shared" si="1539"/>
        <v>0</v>
      </c>
      <c r="AA1219" s="982" t="b">
        <f t="shared" si="1540"/>
        <v>0</v>
      </c>
      <c r="AB1219" s="1287" t="b">
        <f t="shared" si="1544"/>
        <v>0</v>
      </c>
      <c r="AC1219" s="1288" t="b">
        <f t="shared" ref="AC1219:AI1219" si="1548">AC1218</f>
        <v>0</v>
      </c>
      <c r="AD1219" s="982" t="b">
        <f t="shared" si="1548"/>
        <v>0</v>
      </c>
      <c r="AE1219" s="982" t="b">
        <f t="shared" si="1548"/>
        <v>0</v>
      </c>
      <c r="AF1219" s="982" t="b">
        <f t="shared" si="1548"/>
        <v>0</v>
      </c>
      <c r="AG1219" s="982" t="b">
        <f t="shared" si="1548"/>
        <v>0</v>
      </c>
      <c r="AH1219" s="982" t="b">
        <f t="shared" si="1548"/>
        <v>0</v>
      </c>
      <c r="AI1219" s="1287" t="b">
        <f t="shared" si="1548"/>
        <v>0</v>
      </c>
      <c r="AJ1219" s="694"/>
      <c r="AK1219" s="694"/>
      <c r="AL1219" s="694"/>
    </row>
    <row r="1220" spans="1:38" x14ac:dyDescent="0.25">
      <c r="A1220" s="694"/>
      <c r="B1220" s="698"/>
      <c r="C1220" s="698"/>
      <c r="D1220" s="990">
        <f t="shared" si="1546"/>
        <v>5</v>
      </c>
      <c r="E1220" s="222"/>
      <c r="F1220" s="111"/>
      <c r="G1220" s="44"/>
      <c r="H1220" s="43"/>
      <c r="I1220" s="47"/>
      <c r="J1220" s="119"/>
      <c r="K1220" s="43"/>
      <c r="L1220" s="43"/>
      <c r="M1220" s="43"/>
      <c r="N1220" s="43"/>
      <c r="O1220" s="222"/>
      <c r="P1220" s="158"/>
      <c r="Q1220" s="694"/>
      <c r="R1220" s="694"/>
      <c r="S1220" s="729"/>
      <c r="T1220" s="729"/>
      <c r="U1220" s="694"/>
      <c r="V1220" s="694"/>
      <c r="W1220" s="694"/>
      <c r="X1220" s="694"/>
      <c r="Y1220" s="694"/>
      <c r="Z1220" s="1286" t="b">
        <f t="shared" si="1539"/>
        <v>0</v>
      </c>
      <c r="AA1220" s="982" t="b">
        <f t="shared" si="1540"/>
        <v>0</v>
      </c>
      <c r="AB1220" s="1287" t="b">
        <f t="shared" si="1544"/>
        <v>0</v>
      </c>
      <c r="AC1220" s="1288" t="b">
        <f t="shared" ref="AC1220:AI1220" si="1549">AC1219</f>
        <v>0</v>
      </c>
      <c r="AD1220" s="982" t="b">
        <f t="shared" si="1549"/>
        <v>0</v>
      </c>
      <c r="AE1220" s="982" t="b">
        <f t="shared" si="1549"/>
        <v>0</v>
      </c>
      <c r="AF1220" s="982" t="b">
        <f t="shared" si="1549"/>
        <v>0</v>
      </c>
      <c r="AG1220" s="982" t="b">
        <f t="shared" si="1549"/>
        <v>0</v>
      </c>
      <c r="AH1220" s="982" t="b">
        <f t="shared" si="1549"/>
        <v>0</v>
      </c>
      <c r="AI1220" s="1287" t="b">
        <f t="shared" si="1549"/>
        <v>0</v>
      </c>
      <c r="AJ1220" s="694"/>
      <c r="AK1220" s="694"/>
      <c r="AL1220" s="694"/>
    </row>
    <row r="1221" spans="1:38" x14ac:dyDescent="0.25">
      <c r="A1221" s="694"/>
      <c r="B1221" s="698"/>
      <c r="C1221" s="698"/>
      <c r="D1221" s="990">
        <f t="shared" si="1546"/>
        <v>6</v>
      </c>
      <c r="E1221" s="222"/>
      <c r="F1221" s="111"/>
      <c r="G1221" s="44"/>
      <c r="H1221" s="43"/>
      <c r="I1221" s="47"/>
      <c r="J1221" s="119"/>
      <c r="K1221" s="43"/>
      <c r="L1221" s="43"/>
      <c r="M1221" s="43"/>
      <c r="N1221" s="43"/>
      <c r="O1221" s="222"/>
      <c r="P1221" s="158"/>
      <c r="Q1221" s="694"/>
      <c r="R1221" s="694"/>
      <c r="S1221" s="729"/>
      <c r="T1221" s="729"/>
      <c r="U1221" s="694"/>
      <c r="V1221" s="694"/>
      <c r="W1221" s="694"/>
      <c r="X1221" s="694"/>
      <c r="Y1221" s="694"/>
      <c r="Z1221" s="1286" t="b">
        <f t="shared" si="1539"/>
        <v>0</v>
      </c>
      <c r="AA1221" s="982" t="b">
        <f t="shared" si="1540"/>
        <v>0</v>
      </c>
      <c r="AB1221" s="1287" t="b">
        <f t="shared" si="1544"/>
        <v>0</v>
      </c>
      <c r="AC1221" s="1288" t="b">
        <f t="shared" ref="AC1221:AI1221" si="1550">AC1220</f>
        <v>0</v>
      </c>
      <c r="AD1221" s="982" t="b">
        <f t="shared" si="1550"/>
        <v>0</v>
      </c>
      <c r="AE1221" s="982" t="b">
        <f t="shared" si="1550"/>
        <v>0</v>
      </c>
      <c r="AF1221" s="982" t="b">
        <f t="shared" si="1550"/>
        <v>0</v>
      </c>
      <c r="AG1221" s="982" t="b">
        <f t="shared" si="1550"/>
        <v>0</v>
      </c>
      <c r="AH1221" s="982" t="b">
        <f t="shared" si="1550"/>
        <v>0</v>
      </c>
      <c r="AI1221" s="1287" t="b">
        <f t="shared" si="1550"/>
        <v>0</v>
      </c>
      <c r="AJ1221" s="694"/>
      <c r="AK1221" s="694"/>
      <c r="AL1221" s="694"/>
    </row>
    <row r="1222" spans="1:38" x14ac:dyDescent="0.25">
      <c r="A1222" s="694"/>
      <c r="B1222" s="698"/>
      <c r="C1222" s="698"/>
      <c r="D1222" s="990">
        <f t="shared" si="1546"/>
        <v>7</v>
      </c>
      <c r="E1222" s="222"/>
      <c r="F1222" s="111"/>
      <c r="G1222" s="44"/>
      <c r="H1222" s="43"/>
      <c r="I1222" s="47"/>
      <c r="J1222" s="119"/>
      <c r="K1222" s="43"/>
      <c r="L1222" s="43"/>
      <c r="M1222" s="43"/>
      <c r="N1222" s="43"/>
      <c r="O1222" s="222"/>
      <c r="P1222" s="158"/>
      <c r="Q1222" s="694"/>
      <c r="R1222" s="694"/>
      <c r="S1222" s="729"/>
      <c r="T1222" s="729"/>
      <c r="U1222" s="694"/>
      <c r="V1222" s="694"/>
      <c r="W1222" s="694"/>
      <c r="X1222" s="694"/>
      <c r="Y1222" s="694"/>
      <c r="Z1222" s="1286" t="b">
        <f t="shared" si="1539"/>
        <v>0</v>
      </c>
      <c r="AA1222" s="982" t="b">
        <f t="shared" si="1540"/>
        <v>0</v>
      </c>
      <c r="AB1222" s="1287" t="b">
        <f t="shared" si="1544"/>
        <v>0</v>
      </c>
      <c r="AC1222" s="1288" t="b">
        <f t="shared" ref="AC1222:AI1222" si="1551">AC1221</f>
        <v>0</v>
      </c>
      <c r="AD1222" s="982" t="b">
        <f t="shared" si="1551"/>
        <v>0</v>
      </c>
      <c r="AE1222" s="982" t="b">
        <f t="shared" si="1551"/>
        <v>0</v>
      </c>
      <c r="AF1222" s="982" t="b">
        <f t="shared" si="1551"/>
        <v>0</v>
      </c>
      <c r="AG1222" s="982" t="b">
        <f t="shared" si="1551"/>
        <v>0</v>
      </c>
      <c r="AH1222" s="982" t="b">
        <f t="shared" si="1551"/>
        <v>0</v>
      </c>
      <c r="AI1222" s="1287" t="b">
        <f t="shared" si="1551"/>
        <v>0</v>
      </c>
      <c r="AJ1222" s="694"/>
      <c r="AK1222" s="694"/>
      <c r="AL1222" s="694"/>
    </row>
    <row r="1223" spans="1:38" x14ac:dyDescent="0.25">
      <c r="A1223" s="694"/>
      <c r="B1223" s="698"/>
      <c r="C1223" s="698"/>
      <c r="D1223" s="990">
        <f t="shared" si="1546"/>
        <v>8</v>
      </c>
      <c r="E1223" s="222"/>
      <c r="F1223" s="111"/>
      <c r="G1223" s="44"/>
      <c r="H1223" s="43"/>
      <c r="I1223" s="47"/>
      <c r="J1223" s="119"/>
      <c r="K1223" s="43"/>
      <c r="L1223" s="43"/>
      <c r="M1223" s="43"/>
      <c r="N1223" s="43"/>
      <c r="O1223" s="222"/>
      <c r="P1223" s="158"/>
      <c r="Q1223" s="694"/>
      <c r="R1223" s="694"/>
      <c r="S1223" s="729"/>
      <c r="T1223" s="729"/>
      <c r="U1223" s="694"/>
      <c r="V1223" s="694"/>
      <c r="W1223" s="694"/>
      <c r="X1223" s="694"/>
      <c r="Y1223" s="694"/>
      <c r="Z1223" s="1286" t="b">
        <f t="shared" si="1539"/>
        <v>0</v>
      </c>
      <c r="AA1223" s="982" t="b">
        <f t="shared" si="1540"/>
        <v>0</v>
      </c>
      <c r="AB1223" s="1287" t="b">
        <f t="shared" si="1544"/>
        <v>0</v>
      </c>
      <c r="AC1223" s="1288" t="b">
        <f t="shared" ref="AC1223:AI1223" si="1552">AC1222</f>
        <v>0</v>
      </c>
      <c r="AD1223" s="982" t="b">
        <f t="shared" si="1552"/>
        <v>0</v>
      </c>
      <c r="AE1223" s="982" t="b">
        <f t="shared" si="1552"/>
        <v>0</v>
      </c>
      <c r="AF1223" s="982" t="b">
        <f t="shared" si="1552"/>
        <v>0</v>
      </c>
      <c r="AG1223" s="982" t="b">
        <f t="shared" si="1552"/>
        <v>0</v>
      </c>
      <c r="AH1223" s="982" t="b">
        <f t="shared" si="1552"/>
        <v>0</v>
      </c>
      <c r="AI1223" s="1287" t="b">
        <f t="shared" si="1552"/>
        <v>0</v>
      </c>
      <c r="AJ1223" s="694"/>
      <c r="AK1223" s="694"/>
      <c r="AL1223" s="694"/>
    </row>
    <row r="1224" spans="1:38" x14ac:dyDescent="0.25">
      <c r="A1224" s="694"/>
      <c r="B1224" s="698"/>
      <c r="C1224" s="698"/>
      <c r="D1224" s="990">
        <f t="shared" si="1546"/>
        <v>9</v>
      </c>
      <c r="E1224" s="222"/>
      <c r="F1224" s="111"/>
      <c r="G1224" s="44"/>
      <c r="H1224" s="43"/>
      <c r="I1224" s="47"/>
      <c r="J1224" s="119"/>
      <c r="K1224" s="43"/>
      <c r="L1224" s="43"/>
      <c r="M1224" s="43"/>
      <c r="N1224" s="43"/>
      <c r="O1224" s="222"/>
      <c r="P1224" s="158"/>
      <c r="Q1224" s="694"/>
      <c r="R1224" s="694"/>
      <c r="S1224" s="729"/>
      <c r="T1224" s="729"/>
      <c r="U1224" s="694"/>
      <c r="V1224" s="694"/>
      <c r="W1224" s="694"/>
      <c r="X1224" s="694"/>
      <c r="Y1224" s="694"/>
      <c r="Z1224" s="1286" t="b">
        <f t="shared" si="1539"/>
        <v>0</v>
      </c>
      <c r="AA1224" s="982" t="b">
        <f t="shared" si="1540"/>
        <v>0</v>
      </c>
      <c r="AB1224" s="1287" t="b">
        <f t="shared" si="1544"/>
        <v>0</v>
      </c>
      <c r="AC1224" s="1288" t="b">
        <f t="shared" ref="AC1224:AI1224" si="1553">AC1223</f>
        <v>0</v>
      </c>
      <c r="AD1224" s="982" t="b">
        <f t="shared" si="1553"/>
        <v>0</v>
      </c>
      <c r="AE1224" s="982" t="b">
        <f t="shared" si="1553"/>
        <v>0</v>
      </c>
      <c r="AF1224" s="982" t="b">
        <f t="shared" si="1553"/>
        <v>0</v>
      </c>
      <c r="AG1224" s="982" t="b">
        <f t="shared" si="1553"/>
        <v>0</v>
      </c>
      <c r="AH1224" s="982" t="b">
        <f t="shared" si="1553"/>
        <v>0</v>
      </c>
      <c r="AI1224" s="1287" t="b">
        <f t="shared" si="1553"/>
        <v>0</v>
      </c>
      <c r="AJ1224" s="694"/>
      <c r="AK1224" s="694"/>
      <c r="AL1224" s="694"/>
    </row>
    <row r="1225" spans="1:38" ht="13" thickBot="1" x14ac:dyDescent="0.3">
      <c r="A1225" s="694"/>
      <c r="B1225" s="698"/>
      <c r="C1225" s="698"/>
      <c r="D1225" s="994">
        <f t="shared" si="1546"/>
        <v>10</v>
      </c>
      <c r="E1225" s="223"/>
      <c r="F1225" s="112"/>
      <c r="G1225" s="45"/>
      <c r="H1225" s="38"/>
      <c r="I1225" s="48"/>
      <c r="J1225" s="117"/>
      <c r="K1225" s="38"/>
      <c r="L1225" s="38"/>
      <c r="M1225" s="38"/>
      <c r="N1225" s="38"/>
      <c r="O1225" s="223"/>
      <c r="P1225" s="158"/>
      <c r="Q1225" s="694"/>
      <c r="R1225" s="694"/>
      <c r="S1225" s="729"/>
      <c r="T1225" s="729"/>
      <c r="U1225" s="694"/>
      <c r="V1225" s="694"/>
      <c r="W1225" s="694"/>
      <c r="X1225" s="694"/>
      <c r="Y1225" s="694"/>
      <c r="Z1225" s="1289" t="b">
        <f t="shared" si="1539"/>
        <v>0</v>
      </c>
      <c r="AA1225" s="1290" t="b">
        <f t="shared" si="1540"/>
        <v>0</v>
      </c>
      <c r="AB1225" s="1291" t="b">
        <f t="shared" si="1544"/>
        <v>0</v>
      </c>
      <c r="AC1225" s="1292" t="b">
        <f t="shared" ref="AC1225:AI1225" si="1554">AC1224</f>
        <v>0</v>
      </c>
      <c r="AD1225" s="1290" t="b">
        <f t="shared" si="1554"/>
        <v>0</v>
      </c>
      <c r="AE1225" s="1290" t="b">
        <f t="shared" si="1554"/>
        <v>0</v>
      </c>
      <c r="AF1225" s="1290" t="b">
        <f t="shared" si="1554"/>
        <v>0</v>
      </c>
      <c r="AG1225" s="1290" t="b">
        <f t="shared" si="1554"/>
        <v>0</v>
      </c>
      <c r="AH1225" s="1290" t="b">
        <f t="shared" si="1554"/>
        <v>0</v>
      </c>
      <c r="AI1225" s="1291" t="b">
        <f t="shared" si="1554"/>
        <v>0</v>
      </c>
      <c r="AJ1225" s="694"/>
      <c r="AK1225" s="694"/>
      <c r="AL1225" s="694"/>
    </row>
    <row r="1226" spans="1:38" ht="12.75" customHeight="1" thickBot="1" x14ac:dyDescent="0.3">
      <c r="A1226" s="694"/>
      <c r="B1226" s="698"/>
      <c r="C1226" s="698"/>
      <c r="D1226" s="1293"/>
      <c r="E1226" s="1294" t="str">
        <f>Translations!$B$501</f>
        <v>Сума на равнищата на производство</v>
      </c>
      <c r="F1226" s="1295"/>
      <c r="G1226" s="49"/>
      <c r="H1226" s="1104" t="str">
        <f t="shared" ref="H1226:N1226" si="1555">IF(COUNT(H1216:H1225)&gt;0,SUM(H1216:H1225),"")</f>
        <v/>
      </c>
      <c r="I1226" s="1296" t="str">
        <f t="shared" si="1555"/>
        <v/>
      </c>
      <c r="J1226" s="1297" t="str">
        <f t="shared" si="1555"/>
        <v/>
      </c>
      <c r="K1226" s="1104" t="str">
        <f t="shared" si="1555"/>
        <v/>
      </c>
      <c r="L1226" s="1104" t="str">
        <f t="shared" si="1555"/>
        <v/>
      </c>
      <c r="M1226" s="1104" t="str">
        <f t="shared" si="1555"/>
        <v/>
      </c>
      <c r="N1226" s="1104" t="str">
        <f t="shared" si="1555"/>
        <v/>
      </c>
      <c r="O1226" s="302"/>
      <c r="P1226" s="302"/>
      <c r="Q1226" s="694"/>
      <c r="R1226" s="694"/>
      <c r="S1226" s="729"/>
      <c r="T1226" s="729"/>
      <c r="U1226" s="694"/>
      <c r="V1226" s="694"/>
      <c r="W1226" s="694"/>
      <c r="X1226" s="694"/>
      <c r="Y1226" s="694"/>
      <c r="Z1226" s="694"/>
      <c r="AA1226" s="694"/>
      <c r="AB1226" s="1177" t="b">
        <f>AND(AB1216:AB1225)</f>
        <v>0</v>
      </c>
      <c r="AC1226" s="694"/>
      <c r="AD1226" s="694"/>
      <c r="AE1226" s="694"/>
      <c r="AF1226" s="694"/>
      <c r="AG1226" s="694"/>
      <c r="AH1226" s="694"/>
      <c r="AI1226" s="694"/>
      <c r="AJ1226" s="694"/>
      <c r="AK1226" s="694"/>
      <c r="AL1226" s="694"/>
    </row>
    <row r="1227" spans="1:38" ht="12.75" customHeight="1" thickBot="1" x14ac:dyDescent="0.3">
      <c r="A1227" s="694"/>
      <c r="B1227" s="298"/>
      <c r="C1227" s="298"/>
      <c r="D1227" s="298"/>
      <c r="E1227" s="298"/>
      <c r="F1227" s="298"/>
      <c r="G1227" s="298"/>
      <c r="H1227" s="298"/>
      <c r="I1227" s="298"/>
      <c r="J1227" s="298"/>
      <c r="K1227" s="298"/>
      <c r="L1227" s="298"/>
      <c r="M1227" s="302"/>
      <c r="N1227" s="302"/>
      <c r="O1227" s="302"/>
      <c r="P1227" s="302"/>
      <c r="Q1227" s="729"/>
      <c r="R1227" s="694"/>
      <c r="S1227" s="729"/>
      <c r="T1227" s="729"/>
      <c r="U1227" s="694"/>
      <c r="V1227" s="694"/>
      <c r="W1227" s="694"/>
      <c r="X1227" s="694"/>
      <c r="Y1227" s="694"/>
      <c r="Z1227" s="694"/>
      <c r="AA1227" s="694"/>
      <c r="AB1227" s="694"/>
      <c r="AC1227" s="694"/>
      <c r="AD1227" s="694"/>
      <c r="AE1227" s="694"/>
      <c r="AF1227" s="694"/>
      <c r="AG1227" s="694"/>
      <c r="AH1227" s="694"/>
      <c r="AI1227" s="694"/>
      <c r="AJ1227" s="694"/>
      <c r="AK1227" s="694"/>
      <c r="AL1227" s="694"/>
    </row>
    <row r="1228" spans="1:38" ht="5.15" customHeight="1" x14ac:dyDescent="0.25">
      <c r="A1228" s="694"/>
      <c r="B1228" s="298"/>
      <c r="C1228" s="1298"/>
      <c r="D1228" s="1299"/>
      <c r="E1228" s="1299"/>
      <c r="F1228" s="1299"/>
      <c r="G1228" s="1299"/>
      <c r="H1228" s="1299"/>
      <c r="I1228" s="1299"/>
      <c r="J1228" s="1299"/>
      <c r="K1228" s="1299"/>
      <c r="L1228" s="1299"/>
      <c r="M1228" s="1300"/>
      <c r="N1228" s="1301"/>
      <c r="O1228" s="302"/>
      <c r="P1228" s="302"/>
      <c r="Q1228" s="729"/>
      <c r="R1228" s="694"/>
      <c r="S1228" s="729"/>
      <c r="T1228" s="729"/>
      <c r="U1228" s="694"/>
      <c r="V1228" s="694"/>
      <c r="W1228" s="694"/>
      <c r="X1228" s="694"/>
      <c r="Y1228" s="694"/>
      <c r="Z1228" s="694"/>
      <c r="AA1228" s="694"/>
      <c r="AB1228" s="694"/>
      <c r="AC1228" s="694"/>
      <c r="AD1228" s="694"/>
      <c r="AE1228" s="694"/>
      <c r="AF1228" s="694"/>
      <c r="AG1228" s="694"/>
      <c r="AH1228" s="694"/>
      <c r="AI1228" s="694"/>
      <c r="AJ1228" s="694"/>
      <c r="AK1228" s="694"/>
      <c r="AL1228" s="694"/>
    </row>
    <row r="1229" spans="1:38" ht="15" customHeight="1" x14ac:dyDescent="0.25">
      <c r="A1229" s="694"/>
      <c r="B1229" s="698"/>
      <c r="C1229" s="1302"/>
      <c r="D1229" s="2857" t="str">
        <f>Translations!$B$502</f>
        <v>Данни, необходими за определяне на нивото на подобрение на продуктовите показатели съгласно 10а, параграф 2 от Директивата за СТЕ на ЕС</v>
      </c>
      <c r="E1229" s="2851"/>
      <c r="F1229" s="2851"/>
      <c r="G1229" s="2851"/>
      <c r="H1229" s="2851"/>
      <c r="I1229" s="2851"/>
      <c r="J1229" s="2851"/>
      <c r="K1229" s="2851"/>
      <c r="L1229" s="2851"/>
      <c r="M1229" s="2851"/>
      <c r="N1229" s="2852"/>
      <c r="O1229" s="302"/>
      <c r="P1229" s="302"/>
      <c r="Q1229" s="694"/>
      <c r="R1229" s="694"/>
      <c r="S1229" s="729"/>
      <c r="T1229" s="729"/>
      <c r="U1229" s="694"/>
      <c r="V1229" s="694"/>
      <c r="W1229" s="694"/>
      <c r="X1229" s="694"/>
      <c r="Y1229" s="694"/>
      <c r="Z1229" s="694"/>
      <c r="AA1229" s="694"/>
      <c r="AB1229" s="694"/>
      <c r="AC1229" s="694"/>
      <c r="AD1229" s="694"/>
      <c r="AE1229" s="694"/>
      <c r="AF1229" s="694"/>
      <c r="AG1229" s="694"/>
      <c r="AH1229" s="694"/>
      <c r="AI1229" s="694"/>
      <c r="AJ1229" s="694"/>
      <c r="AK1229" s="694"/>
      <c r="AL1229" s="694"/>
    </row>
    <row r="1230" spans="1:38" ht="5.15" customHeight="1" x14ac:dyDescent="0.25">
      <c r="A1230" s="694"/>
      <c r="B1230" s="698"/>
      <c r="C1230" s="1303"/>
      <c r="D1230" s="1304"/>
      <c r="E1230" s="1304"/>
      <c r="F1230" s="1304"/>
      <c r="G1230" s="1304"/>
      <c r="H1230" s="1304"/>
      <c r="I1230" s="1304"/>
      <c r="J1230" s="1304"/>
      <c r="K1230" s="1304"/>
      <c r="L1230" s="1304"/>
      <c r="M1230" s="1304"/>
      <c r="N1230" s="1305"/>
      <c r="O1230" s="302"/>
      <c r="P1230" s="302"/>
      <c r="Q1230" s="694"/>
      <c r="R1230" s="694"/>
      <c r="S1230" s="729"/>
      <c r="T1230" s="729"/>
      <c r="U1230" s="694"/>
      <c r="V1230" s="694"/>
      <c r="W1230" s="694"/>
      <c r="X1230" s="694"/>
      <c r="Y1230" s="694"/>
      <c r="Z1230" s="694"/>
      <c r="AA1230" s="694"/>
      <c r="AB1230" s="694"/>
      <c r="AC1230" s="694"/>
      <c r="AD1230" s="694"/>
      <c r="AE1230" s="694"/>
      <c r="AF1230" s="694"/>
      <c r="AG1230" s="694"/>
      <c r="AH1230" s="694"/>
      <c r="AI1230" s="694"/>
      <c r="AJ1230" s="694"/>
      <c r="AK1230" s="694"/>
      <c r="AL1230" s="694"/>
    </row>
    <row r="1231" spans="1:38" ht="15" customHeight="1" x14ac:dyDescent="0.25">
      <c r="A1231" s="694"/>
      <c r="B1231" s="698"/>
      <c r="C1231" s="1303"/>
      <c r="D1231" s="2841" t="str">
        <f>EUconst_BMSubinst &amp; ":"</f>
        <v>Подинсталация с продуктов показател:</v>
      </c>
      <c r="E1231" s="2839"/>
      <c r="F1231" s="2839"/>
      <c r="G1231" s="2839"/>
      <c r="H1231" s="2842"/>
      <c r="I1231" s="2843" t="str">
        <f>I1137</f>
        <v/>
      </c>
      <c r="J1231" s="2844"/>
      <c r="K1231" s="2844"/>
      <c r="L1231" s="2844"/>
      <c r="M1231" s="2844"/>
      <c r="N1231" s="2845"/>
      <c r="O1231" s="302"/>
      <c r="P1231" s="302"/>
      <c r="Q1231" s="694"/>
      <c r="R1231" s="694"/>
      <c r="S1231" s="729"/>
      <c r="T1231" s="729"/>
      <c r="U1231" s="694"/>
      <c r="V1231" s="694"/>
      <c r="W1231" s="694"/>
      <c r="X1231" s="694"/>
      <c r="Y1231" s="694"/>
      <c r="Z1231" s="694"/>
      <c r="AA1231" s="694"/>
      <c r="AB1231" s="694"/>
      <c r="AC1231" s="694"/>
      <c r="AD1231" s="694"/>
      <c r="AE1231" s="694"/>
      <c r="AF1231" s="694"/>
      <c r="AG1231" s="694"/>
      <c r="AH1231" s="694"/>
      <c r="AI1231" s="694"/>
      <c r="AJ1231" s="694"/>
      <c r="AK1231" s="694"/>
      <c r="AL1231" s="694"/>
    </row>
    <row r="1232" spans="1:38" ht="5.15" customHeight="1" x14ac:dyDescent="0.25">
      <c r="A1232" s="694"/>
      <c r="B1232" s="698"/>
      <c r="C1232" s="1303"/>
      <c r="D1232" s="1304"/>
      <c r="E1232" s="1304"/>
      <c r="F1232" s="1304"/>
      <c r="G1232" s="1304"/>
      <c r="H1232" s="1304"/>
      <c r="I1232" s="1304"/>
      <c r="J1232" s="1304"/>
      <c r="K1232" s="1304"/>
      <c r="L1232" s="1304"/>
      <c r="M1232" s="1304"/>
      <c r="N1232" s="1305"/>
      <c r="O1232" s="302"/>
      <c r="P1232" s="302"/>
      <c r="Q1232" s="694"/>
      <c r="R1232" s="694"/>
      <c r="S1232" s="729"/>
      <c r="T1232" s="729"/>
      <c r="U1232" s="694"/>
      <c r="V1232" s="694"/>
      <c r="W1232" s="694"/>
      <c r="X1232" s="694"/>
      <c r="Y1232" s="694"/>
      <c r="Z1232" s="694"/>
      <c r="AA1232" s="694"/>
      <c r="AB1232" s="694"/>
      <c r="AC1232" s="694"/>
      <c r="AD1232" s="694"/>
      <c r="AE1232" s="694"/>
      <c r="AF1232" s="694"/>
      <c r="AG1232" s="694"/>
      <c r="AH1232" s="694"/>
      <c r="AI1232" s="694"/>
      <c r="AJ1232" s="694"/>
      <c r="AK1232" s="694"/>
      <c r="AL1232" s="694"/>
    </row>
    <row r="1233" spans="1:38" ht="30" customHeight="1" x14ac:dyDescent="0.25">
      <c r="A1233" s="694"/>
      <c r="B1233" s="298"/>
      <c r="C1233" s="1302"/>
      <c r="D1233" s="1306"/>
      <c r="E1233" s="2846" t="str">
        <f>Translations!$B$503</f>
        <v>В този подраздел се обхваща разпределението на емисии по пораждащи емисии потоци, източници на емисии, получена или подадена измерима топлинна енергия и отпадни газове, включително загубите на топлинна енергия съгласно раздел 10 от приложение VII към ПБР.</v>
      </c>
      <c r="F1233" s="2846"/>
      <c r="G1233" s="2846"/>
      <c r="H1233" s="2846"/>
      <c r="I1233" s="2846"/>
      <c r="J1233" s="2846"/>
      <c r="K1233" s="2846"/>
      <c r="L1233" s="2846"/>
      <c r="M1233" s="2846"/>
      <c r="N1233" s="2847"/>
      <c r="O1233" s="302"/>
      <c r="P1233" s="302"/>
      <c r="Q1233" s="729"/>
      <c r="R1233" s="694"/>
      <c r="S1233" s="694"/>
      <c r="T1233" s="694"/>
      <c r="U1233" s="694"/>
      <c r="V1233" s="694"/>
      <c r="W1233" s="694"/>
      <c r="X1233" s="694"/>
      <c r="Y1233" s="694"/>
      <c r="Z1233" s="694"/>
      <c r="AA1233" s="694"/>
      <c r="AB1233" s="694"/>
      <c r="AC1233" s="694"/>
      <c r="AD1233" s="694"/>
      <c r="AE1233" s="694"/>
      <c r="AF1233" s="694"/>
      <c r="AG1233" s="694"/>
      <c r="AH1233" s="694"/>
      <c r="AI1233" s="694"/>
      <c r="AJ1233" s="694"/>
      <c r="AK1233" s="694"/>
      <c r="AL1233" s="694"/>
    </row>
    <row r="1234" spans="1:38" ht="30" customHeight="1" x14ac:dyDescent="0.25">
      <c r="A1234" s="694"/>
      <c r="B1234" s="298"/>
      <c r="C1234" s="1302"/>
      <c r="D1234" s="1306"/>
      <c r="E1234" s="2846" t="str">
        <f>Translations!$B$504</f>
        <v xml:space="preserve">Моля, имайте предвид, че въпреки дадените известни насоки по всяка от точките по-долу трябва да потърсите допълнителна информация в обяснителна бележка № 5 („Мониторинг и докладване във връзка с ПБР“), която съдържа и примери. </v>
      </c>
      <c r="F1234" s="2846"/>
      <c r="G1234" s="2846"/>
      <c r="H1234" s="2846"/>
      <c r="I1234" s="2846"/>
      <c r="J1234" s="2846"/>
      <c r="K1234" s="2846"/>
      <c r="L1234" s="2846"/>
      <c r="M1234" s="2846"/>
      <c r="N1234" s="2811"/>
      <c r="O1234" s="302"/>
      <c r="P1234" s="302"/>
      <c r="Q1234" s="729"/>
      <c r="R1234" s="694"/>
      <c r="S1234" s="694"/>
      <c r="T1234" s="694"/>
      <c r="U1234" s="694"/>
      <c r="V1234" s="694"/>
      <c r="W1234" s="694"/>
      <c r="X1234" s="694"/>
      <c r="Y1234" s="694"/>
      <c r="Z1234" s="694"/>
      <c r="AA1234" s="694"/>
      <c r="AB1234" s="694"/>
      <c r="AC1234" s="694"/>
      <c r="AD1234" s="694"/>
      <c r="AE1234" s="694"/>
      <c r="AF1234" s="694"/>
      <c r="AG1234" s="694"/>
      <c r="AH1234" s="694"/>
      <c r="AI1234" s="694"/>
      <c r="AJ1234" s="694"/>
      <c r="AK1234" s="694"/>
      <c r="AL1234" s="694"/>
    </row>
    <row r="1235" spans="1:38" ht="12.75" customHeight="1" x14ac:dyDescent="0.25">
      <c r="A1235" s="694"/>
      <c r="B1235" s="298"/>
      <c r="C1235" s="1302"/>
      <c r="D1235" s="1306"/>
      <c r="E1235" s="2846" t="str">
        <f>Translations!$B$505</f>
        <v>Можете да изтеглите насоките на адрес: https://ec.europa.eu/clima/policies/ets/allowances_en#tab-0-1</v>
      </c>
      <c r="F1235" s="2240"/>
      <c r="G1235" s="2240"/>
      <c r="H1235" s="2240"/>
      <c r="I1235" s="2240"/>
      <c r="J1235" s="2240"/>
      <c r="K1235" s="2240"/>
      <c r="L1235" s="2240"/>
      <c r="M1235" s="2240"/>
      <c r="N1235" s="2811"/>
      <c r="O1235" s="302"/>
      <c r="P1235" s="302"/>
      <c r="Q1235" s="729"/>
      <c r="R1235" s="694"/>
      <c r="S1235" s="694"/>
      <c r="T1235" s="694"/>
      <c r="U1235" s="694"/>
      <c r="V1235" s="694"/>
      <c r="W1235" s="694"/>
      <c r="X1235" s="694"/>
      <c r="Y1235" s="694"/>
      <c r="Z1235" s="694"/>
      <c r="AA1235" s="694"/>
      <c r="AB1235" s="694"/>
      <c r="AC1235" s="694"/>
      <c r="AD1235" s="694"/>
      <c r="AE1235" s="694"/>
      <c r="AF1235" s="694"/>
      <c r="AG1235" s="694"/>
      <c r="AH1235" s="694"/>
      <c r="AI1235" s="694"/>
      <c r="AJ1235" s="694"/>
      <c r="AK1235" s="694"/>
      <c r="AL1235" s="694"/>
    </row>
    <row r="1236" spans="1:38" ht="15" customHeight="1" x14ac:dyDescent="0.25">
      <c r="A1236" s="694"/>
      <c r="B1236" s="298"/>
      <c r="C1236" s="1302"/>
      <c r="D1236" s="1306"/>
      <c r="E1236" s="2848" t="str">
        <f t="shared" ref="E1236" si="1556">$E$674</f>
        <v>https://climate.ec.europa.eu/eu-action/carbon-markets/eu-emissions-trading-system-eu-ets/free-allocation/about-free-allocation_en</v>
      </c>
      <c r="F1236" s="2848"/>
      <c r="G1236" s="2848"/>
      <c r="H1236" s="2848"/>
      <c r="I1236" s="2848"/>
      <c r="J1236" s="2848"/>
      <c r="K1236" s="2848"/>
      <c r="L1236" s="2848"/>
      <c r="M1236" s="2848"/>
      <c r="N1236" s="2827"/>
      <c r="O1236" s="302"/>
      <c r="P1236" s="302"/>
      <c r="Q1236" s="729"/>
      <c r="R1236" s="694"/>
      <c r="S1236" s="694"/>
      <c r="T1236" s="694"/>
      <c r="U1236" s="694"/>
      <c r="V1236" s="694"/>
      <c r="W1236" s="694"/>
      <c r="X1236" s="694"/>
      <c r="Y1236" s="694"/>
      <c r="Z1236" s="694"/>
      <c r="AA1236" s="694"/>
      <c r="AB1236" s="694"/>
      <c r="AC1236" s="694"/>
      <c r="AD1236" s="694"/>
      <c r="AE1236" s="694"/>
      <c r="AF1236" s="694"/>
      <c r="AG1236" s="694"/>
      <c r="AH1236" s="694"/>
      <c r="AI1236" s="694"/>
      <c r="AJ1236" s="694"/>
      <c r="AK1236" s="694"/>
      <c r="AL1236" s="694"/>
    </row>
    <row r="1237" spans="1:38" ht="5.15" customHeight="1" x14ac:dyDescent="0.25">
      <c r="A1237" s="694"/>
      <c r="B1237" s="698"/>
      <c r="C1237" s="1303"/>
      <c r="D1237" s="1304"/>
      <c r="E1237" s="1304"/>
      <c r="F1237" s="1304"/>
      <c r="G1237" s="1304"/>
      <c r="H1237" s="1304"/>
      <c r="I1237" s="1304"/>
      <c r="J1237" s="1304"/>
      <c r="K1237" s="1304"/>
      <c r="L1237" s="1304"/>
      <c r="M1237" s="1304"/>
      <c r="N1237" s="1305"/>
      <c r="O1237" s="302"/>
      <c r="P1237" s="302"/>
      <c r="Q1237" s="694"/>
      <c r="R1237" s="694"/>
      <c r="S1237" s="729"/>
      <c r="T1237" s="729"/>
      <c r="U1237" s="694"/>
      <c r="V1237" s="694"/>
      <c r="W1237" s="694"/>
      <c r="X1237" s="694"/>
      <c r="Y1237" s="694"/>
      <c r="Z1237" s="694"/>
      <c r="AA1237" s="694"/>
      <c r="AB1237" s="694"/>
      <c r="AC1237" s="694"/>
      <c r="AD1237" s="694"/>
      <c r="AE1237" s="694"/>
      <c r="AF1237" s="694"/>
      <c r="AG1237" s="694"/>
      <c r="AH1237" s="694"/>
      <c r="AI1237" s="694"/>
      <c r="AJ1237" s="694"/>
      <c r="AK1237" s="694"/>
      <c r="AL1237" s="694"/>
    </row>
    <row r="1238" spans="1:38" ht="15" customHeight="1" x14ac:dyDescent="0.25">
      <c r="A1238" s="694"/>
      <c r="B1238" s="298"/>
      <c r="C1238" s="1302"/>
      <c r="D1238" s="1306"/>
      <c r="E1238" s="2849" t="str">
        <f>Translations!$B$506</f>
        <v>При въвеждане на данните по-долу емисиите, които могат да бъдат зададени, са изчислени в раздел K.III.2 в листа за обобщение.</v>
      </c>
      <c r="F1238" s="2849"/>
      <c r="G1238" s="2849"/>
      <c r="H1238" s="2849"/>
      <c r="I1238" s="2849"/>
      <c r="J1238" s="2849"/>
      <c r="K1238" s="2849"/>
      <c r="L1238" s="2849"/>
      <c r="M1238" s="2849"/>
      <c r="N1238" s="2827"/>
      <c r="O1238" s="302"/>
      <c r="P1238" s="302"/>
      <c r="Q1238" s="729"/>
      <c r="R1238" s="694"/>
      <c r="S1238" s="694"/>
      <c r="T1238" s="694"/>
      <c r="U1238" s="694"/>
      <c r="V1238" s="694"/>
      <c r="W1238" s="694"/>
      <c r="X1238" s="694"/>
      <c r="Y1238" s="694"/>
      <c r="Z1238" s="694"/>
      <c r="AA1238" s="694"/>
      <c r="AB1238" s="694"/>
      <c r="AC1238" s="694"/>
      <c r="AD1238" s="694"/>
      <c r="AE1238" s="694"/>
      <c r="AF1238" s="694"/>
      <c r="AG1238" s="694"/>
      <c r="AH1238" s="694"/>
      <c r="AI1238" s="694"/>
      <c r="AJ1238" s="694"/>
      <c r="AK1238" s="694"/>
      <c r="AL1238" s="694"/>
    </row>
    <row r="1239" spans="1:38" ht="5.15" customHeight="1" x14ac:dyDescent="0.25">
      <c r="A1239" s="694"/>
      <c r="B1239" s="698"/>
      <c r="C1239" s="1303"/>
      <c r="D1239" s="1304"/>
      <c r="E1239" s="1304"/>
      <c r="F1239" s="1304"/>
      <c r="G1239" s="1304"/>
      <c r="H1239" s="1304"/>
      <c r="I1239" s="1304"/>
      <c r="J1239" s="1304"/>
      <c r="K1239" s="1304"/>
      <c r="L1239" s="1304"/>
      <c r="M1239" s="1304"/>
      <c r="N1239" s="1305"/>
      <c r="O1239" s="302"/>
      <c r="P1239" s="302"/>
      <c r="Q1239" s="694"/>
      <c r="R1239" s="694"/>
      <c r="S1239" s="729"/>
      <c r="T1239" s="729"/>
      <c r="U1239" s="694"/>
      <c r="V1239" s="694"/>
      <c r="W1239" s="694"/>
      <c r="X1239" s="694"/>
      <c r="Y1239" s="694"/>
      <c r="Z1239" s="694"/>
      <c r="AA1239" s="694"/>
      <c r="AB1239" s="694"/>
      <c r="AC1239" s="694"/>
      <c r="AD1239" s="694"/>
      <c r="AE1239" s="694"/>
      <c r="AF1239" s="694"/>
      <c r="AG1239" s="694"/>
      <c r="AH1239" s="694"/>
      <c r="AI1239" s="694"/>
      <c r="AJ1239" s="694"/>
      <c r="AK1239" s="694"/>
      <c r="AL1239" s="694"/>
    </row>
    <row r="1240" spans="1:38" ht="12.75" customHeight="1" x14ac:dyDescent="0.25">
      <c r="A1240" s="694"/>
      <c r="B1240" s="298"/>
      <c r="C1240" s="1302"/>
      <c r="D1240" s="1307" t="s">
        <v>273</v>
      </c>
      <c r="E1240" s="2850" t="str">
        <f>Translations!$B$507</f>
        <v>Емисии, които могат се зададат пряко (DirEm* (пораждащи емисии потоци от плана за мониторинг)) на тази подинсталация</v>
      </c>
      <c r="F1240" s="2851"/>
      <c r="G1240" s="2851"/>
      <c r="H1240" s="2851"/>
      <c r="I1240" s="2851"/>
      <c r="J1240" s="2851"/>
      <c r="K1240" s="2851"/>
      <c r="L1240" s="2851"/>
      <c r="M1240" s="2851"/>
      <c r="N1240" s="2852"/>
      <c r="O1240" s="302"/>
      <c r="P1240" s="302"/>
      <c r="Q1240" s="729"/>
      <c r="R1240" s="694"/>
      <c r="S1240" s="729"/>
      <c r="T1240" s="729"/>
      <c r="U1240" s="694"/>
      <c r="V1240" s="694"/>
      <c r="W1240" s="694"/>
      <c r="X1240" s="694"/>
      <c r="Y1240" s="694"/>
      <c r="Z1240" s="694"/>
      <c r="AA1240" s="694"/>
      <c r="AB1240" s="694"/>
      <c r="AC1240" s="694"/>
      <c r="AD1240" s="694"/>
      <c r="AE1240" s="694"/>
      <c r="AF1240" s="694"/>
      <c r="AG1240" s="694"/>
      <c r="AH1240" s="694"/>
      <c r="AI1240" s="694"/>
      <c r="AJ1240" s="694"/>
      <c r="AK1240" s="694"/>
      <c r="AL1240" s="694"/>
    </row>
    <row r="1241" spans="1:38" ht="12.75" customHeight="1" x14ac:dyDescent="0.25">
      <c r="A1241" s="694"/>
      <c r="B1241" s="298"/>
      <c r="C1241" s="1302"/>
      <c r="D1241" s="625"/>
      <c r="E1241" s="2853" t="str">
        <f>Translations!$B$508</f>
        <v>Посочените тук данни ще се отразят на емисиите, които могат да бъдат зададени съгласно раздел 10.1.1 от приложение VII към ПБР.</v>
      </c>
      <c r="F1241" s="2850"/>
      <c r="G1241" s="2850"/>
      <c r="H1241" s="2850"/>
      <c r="I1241" s="2850"/>
      <c r="J1241" s="2850"/>
      <c r="K1241" s="2850"/>
      <c r="L1241" s="2850"/>
      <c r="M1241" s="2850"/>
      <c r="N1241" s="2854"/>
      <c r="O1241" s="302"/>
      <c r="P1241" s="302"/>
      <c r="Q1241" s="729"/>
      <c r="R1241" s="694"/>
      <c r="S1241" s="729"/>
      <c r="T1241" s="729"/>
      <c r="U1241" s="694"/>
      <c r="V1241" s="694"/>
      <c r="W1241" s="694"/>
      <c r="X1241" s="694"/>
      <c r="Y1241" s="694"/>
      <c r="Z1241" s="694"/>
      <c r="AA1241" s="694"/>
      <c r="AB1241" s="694"/>
      <c r="AC1241" s="694"/>
      <c r="AD1241" s="694"/>
      <c r="AE1241" s="694"/>
      <c r="AF1241" s="694"/>
      <c r="AG1241" s="694"/>
      <c r="AH1241" s="694"/>
      <c r="AI1241" s="694"/>
      <c r="AJ1241" s="694"/>
      <c r="AK1241" s="694"/>
      <c r="AL1241" s="694"/>
    </row>
    <row r="1242" spans="1:38" ht="12.75" customHeight="1" x14ac:dyDescent="0.25">
      <c r="A1242" s="694"/>
      <c r="B1242" s="298"/>
      <c r="C1242" s="1302"/>
      <c r="D1242" s="1306"/>
      <c r="E1242" s="2836" t="str">
        <f>Translations!$B$509</f>
        <v>Моля, въведете тук емисиите, които могат да се зададат пряко (DirEm* (пораждащи емисии потоци от плана за мониторинг)) на тази подинсталация, като се имат предвид следните уговорки:</v>
      </c>
      <c r="F1242" s="2836"/>
      <c r="G1242" s="2836"/>
      <c r="H1242" s="2836"/>
      <c r="I1242" s="2836"/>
      <c r="J1242" s="2836"/>
      <c r="K1242" s="2836"/>
      <c r="L1242" s="2836"/>
      <c r="M1242" s="2836"/>
      <c r="N1242" s="2837"/>
      <c r="O1242" s="302"/>
      <c r="P1242" s="302"/>
      <c r="Q1242" s="729"/>
      <c r="R1242" s="694"/>
      <c r="S1242" s="729"/>
      <c r="T1242" s="694"/>
      <c r="U1242" s="694"/>
      <c r="V1242" s="694"/>
      <c r="W1242" s="694"/>
      <c r="X1242" s="694"/>
      <c r="Y1242" s="694"/>
      <c r="Z1242" s="694"/>
      <c r="AA1242" s="694"/>
      <c r="AB1242" s="694"/>
      <c r="AC1242" s="694"/>
      <c r="AD1242" s="694"/>
      <c r="AE1242" s="694"/>
      <c r="AF1242" s="694"/>
      <c r="AG1242" s="694"/>
      <c r="AH1242" s="694"/>
      <c r="AI1242" s="694"/>
      <c r="AJ1242" s="694"/>
      <c r="AK1242" s="694"/>
      <c r="AL1242" s="694"/>
    </row>
    <row r="1243" spans="1:38" ht="25.5" customHeight="1" x14ac:dyDescent="0.25">
      <c r="A1243" s="694"/>
      <c r="B1243" s="298"/>
      <c r="C1243" s="1302"/>
      <c r="D1243" s="1306"/>
      <c r="E1243" s="1308" t="s">
        <v>1052</v>
      </c>
      <c r="F1243" s="2838" t="str">
        <f>Translations!$B$510</f>
        <v>„емисиите, които могат да се зададат пряко“, се следят в съответствие с плана за мониторинг, одобрен съгласно Регламента относно мониторинга и докладването (РМД), т.е. като се отчитат емисиите, получени по методики, основани на изчисления (като се използват пораждащите емисии потоци), по базиращи се на измервания методики (БИМ), както и по подходи без подреждане („fall-backs“).</v>
      </c>
      <c r="G1243" s="2839"/>
      <c r="H1243" s="2839"/>
      <c r="I1243" s="2839"/>
      <c r="J1243" s="2839"/>
      <c r="K1243" s="2839"/>
      <c r="L1243" s="2839"/>
      <c r="M1243" s="2839"/>
      <c r="N1243" s="2840"/>
      <c r="O1243" s="302"/>
      <c r="P1243" s="302"/>
      <c r="Q1243" s="729"/>
      <c r="R1243" s="694"/>
      <c r="S1243" s="729"/>
      <c r="T1243" s="694"/>
      <c r="U1243" s="694"/>
      <c r="V1243" s="694"/>
      <c r="W1243" s="694"/>
      <c r="X1243" s="694"/>
      <c r="Y1243" s="694"/>
      <c r="Z1243" s="694"/>
      <c r="AA1243" s="694"/>
      <c r="AB1243" s="694"/>
      <c r="AC1243" s="694"/>
      <c r="AD1243" s="694"/>
      <c r="AE1243" s="694"/>
      <c r="AF1243" s="694"/>
      <c r="AG1243" s="694"/>
      <c r="AH1243" s="694"/>
      <c r="AI1243" s="694"/>
      <c r="AJ1243" s="694"/>
      <c r="AK1243" s="694"/>
      <c r="AL1243" s="694"/>
    </row>
    <row r="1244" spans="1:38" ht="38.25" customHeight="1" x14ac:dyDescent="0.25">
      <c r="A1244" s="694"/>
      <c r="B1244" s="298"/>
      <c r="C1244" s="1302"/>
      <c r="D1244" s="1306"/>
      <c r="E1244" s="1308"/>
      <c r="F1244" s="2810" t="str">
        <f>Translations!$B$511</f>
        <v>В някои случая обаче в този раздел „емисиите, които могат да се зададат пряко“, не са същите като отчетените съгласно РМД. Такива случаи са например пораждащи емисии потоци, използвани за производство на измерима топлинна енергия, отпадни газове и др. С други думи, трябва да попълните разделите по-долу много внимателно и да спазите строго инструкциите, за да се избегнат двойно отчитане или пропуски.</v>
      </c>
      <c r="G1244" s="2240"/>
      <c r="H1244" s="2240"/>
      <c r="I1244" s="2240"/>
      <c r="J1244" s="2240"/>
      <c r="K1244" s="2240"/>
      <c r="L1244" s="2240"/>
      <c r="M1244" s="2240"/>
      <c r="N1244" s="2811"/>
      <c r="O1244" s="302"/>
      <c r="P1244" s="302"/>
      <c r="Q1244" s="729"/>
      <c r="R1244" s="694"/>
      <c r="S1244" s="729"/>
      <c r="T1244" s="694"/>
      <c r="U1244" s="694"/>
      <c r="V1244" s="694"/>
      <c r="W1244" s="694"/>
      <c r="X1244" s="694"/>
      <c r="Y1244" s="694"/>
      <c r="Z1244" s="694"/>
      <c r="AA1244" s="694"/>
      <c r="AB1244" s="694"/>
      <c r="AC1244" s="694"/>
      <c r="AD1244" s="694"/>
      <c r="AE1244" s="694"/>
      <c r="AF1244" s="694"/>
      <c r="AG1244" s="694"/>
      <c r="AH1244" s="694"/>
      <c r="AI1244" s="694"/>
      <c r="AJ1244" s="694"/>
      <c r="AK1244" s="694"/>
      <c r="AL1244" s="694"/>
    </row>
    <row r="1245" spans="1:38" ht="12.75" customHeight="1" x14ac:dyDescent="0.25">
      <c r="A1245" s="694"/>
      <c r="B1245" s="298"/>
      <c r="C1245" s="1302"/>
      <c r="D1245" s="1306"/>
      <c r="E1245" s="1308" t="s">
        <v>1052</v>
      </c>
      <c r="F1245" s="2838" t="str">
        <f>Translations!$B$512</f>
        <v xml:space="preserve">Измерима топлинна енергия: в случай че топлинната енергия е произведена изключително за една подинсталация, емисиите могат да се зададат пряко тук чрез емисиите за горивата. </v>
      </c>
      <c r="G1245" s="2839"/>
      <c r="H1245" s="2839"/>
      <c r="I1245" s="2839"/>
      <c r="J1245" s="2839"/>
      <c r="K1245" s="2839"/>
      <c r="L1245" s="2839"/>
      <c r="M1245" s="2839"/>
      <c r="N1245" s="2840"/>
      <c r="O1245" s="302"/>
      <c r="P1245" s="302"/>
      <c r="Q1245" s="729"/>
      <c r="R1245" s="694"/>
      <c r="S1245" s="729"/>
      <c r="T1245" s="694"/>
      <c r="U1245" s="694"/>
      <c r="V1245" s="694"/>
      <c r="W1245" s="694"/>
      <c r="X1245" s="694"/>
      <c r="Y1245" s="694"/>
      <c r="Z1245" s="694"/>
      <c r="AA1245" s="694"/>
      <c r="AB1245" s="694"/>
      <c r="AC1245" s="694"/>
      <c r="AD1245" s="694"/>
      <c r="AE1245" s="694"/>
      <c r="AF1245" s="694"/>
      <c r="AG1245" s="694"/>
      <c r="AH1245" s="694"/>
      <c r="AI1245" s="694"/>
      <c r="AJ1245" s="694"/>
      <c r="AK1245" s="694"/>
      <c r="AL1245" s="694"/>
    </row>
    <row r="1246" spans="1:38" ht="38.9" customHeight="1" x14ac:dyDescent="0.25">
      <c r="A1246" s="694"/>
      <c r="B1246" s="298"/>
      <c r="C1246" s="1302"/>
      <c r="D1246" s="1306"/>
      <c r="E1246" s="1308"/>
      <c r="F1246" s="2838" t="str">
        <f>Translations!$B$513</f>
        <v>Когато за производството на измерима топлинна енергия са използвани горива като „входящи потоци“ към повече от една подинсталация, в която се консумира топлинната енергия (което включва случаи с входящи и изходящи потоци от и към други инсталации), горивата не трябва да се включват в „емисиите, които могат да се зададат пряко“ на подинсталацията, а в буква k) по-долу.</v>
      </c>
      <c r="G1246" s="2839"/>
      <c r="H1246" s="2839"/>
      <c r="I1246" s="2839"/>
      <c r="J1246" s="2839"/>
      <c r="K1246" s="2839"/>
      <c r="L1246" s="2839"/>
      <c r="M1246" s="2839"/>
      <c r="N1246" s="2840"/>
      <c r="O1246" s="302"/>
      <c r="P1246" s="302"/>
      <c r="Q1246" s="729"/>
      <c r="R1246" s="694"/>
      <c r="S1246" s="729"/>
      <c r="T1246" s="694"/>
      <c r="U1246" s="694"/>
      <c r="V1246" s="694"/>
      <c r="W1246" s="694"/>
      <c r="X1246" s="694"/>
      <c r="Y1246" s="694"/>
      <c r="Z1246" s="694"/>
      <c r="AA1246" s="694"/>
      <c r="AB1246" s="694"/>
      <c r="AC1246" s="694"/>
      <c r="AD1246" s="694"/>
      <c r="AE1246" s="694"/>
      <c r="AF1246" s="694"/>
      <c r="AG1246" s="694"/>
      <c r="AH1246" s="694"/>
      <c r="AI1246" s="694"/>
      <c r="AJ1246" s="694"/>
      <c r="AK1246" s="694"/>
      <c r="AL1246" s="694"/>
    </row>
    <row r="1247" spans="1:38" ht="25.5" customHeight="1" x14ac:dyDescent="0.25">
      <c r="A1247" s="694"/>
      <c r="B1247" s="298"/>
      <c r="C1247" s="1302"/>
      <c r="D1247" s="1306"/>
      <c r="E1247" s="1308"/>
      <c r="F1247" s="2838" t="str">
        <f>Translations!$B$514</f>
        <v>„Входящите потоци“ включват измеримата топлинна енергия от съоръжения в рамките на обекта (напр. централна електростанция в инсталацията или по-сложна мрежа за генериране на пара с няколко съоръжения за производство на топлинна енергия), които доставят топлинна енергия до повече от една подинсталация. В такъв случай емисиите също не трябва да се задават тук, а в точка k).i. по-долу.</v>
      </c>
      <c r="G1247" s="2839"/>
      <c r="H1247" s="2839"/>
      <c r="I1247" s="2839"/>
      <c r="J1247" s="2839"/>
      <c r="K1247" s="2839"/>
      <c r="L1247" s="2839"/>
      <c r="M1247" s="2839"/>
      <c r="N1247" s="2840"/>
      <c r="O1247" s="302"/>
      <c r="P1247" s="302"/>
      <c r="Q1247" s="729"/>
      <c r="R1247" s="694"/>
      <c r="S1247" s="729"/>
      <c r="T1247" s="694"/>
      <c r="U1247" s="694"/>
      <c r="V1247" s="694"/>
      <c r="W1247" s="694"/>
      <c r="X1247" s="694"/>
      <c r="Y1247" s="694"/>
      <c r="Z1247" s="694"/>
      <c r="AA1247" s="694"/>
      <c r="AB1247" s="694"/>
      <c r="AC1247" s="694"/>
      <c r="AD1247" s="694"/>
      <c r="AE1247" s="694"/>
      <c r="AF1247" s="694"/>
      <c r="AG1247" s="694"/>
      <c r="AH1247" s="694"/>
      <c r="AI1247" s="694"/>
      <c r="AJ1247" s="694"/>
      <c r="AK1247" s="694"/>
      <c r="AL1247" s="694"/>
    </row>
    <row r="1248" spans="1:38" ht="25.5" customHeight="1" x14ac:dyDescent="0.25">
      <c r="A1248" s="694"/>
      <c r="B1248" s="298"/>
      <c r="C1248" s="1302"/>
      <c r="D1248" s="1306"/>
      <c r="E1248" s="1308" t="s">
        <v>1052</v>
      </c>
      <c r="F1248" s="2838" t="str">
        <f>Translations!$B$515</f>
        <v>Подавана навън измерима топлинна енергия: Когато тази топлинна енергия се извлича от процеси или се подава навън, тук не се правят корекции. Приспадането на свързаните емисиите се извършва съгласно данните, въведени в точка k).v. по-долу.</v>
      </c>
      <c r="G1248" s="2839"/>
      <c r="H1248" s="2839"/>
      <c r="I1248" s="2839"/>
      <c r="J1248" s="2839"/>
      <c r="K1248" s="2839"/>
      <c r="L1248" s="2839"/>
      <c r="M1248" s="2839"/>
      <c r="N1248" s="2840"/>
      <c r="O1248" s="302"/>
      <c r="P1248" s="302"/>
      <c r="Q1248" s="729"/>
      <c r="R1248" s="694"/>
      <c r="S1248" s="729"/>
      <c r="T1248" s="694"/>
      <c r="U1248" s="694"/>
      <c r="V1248" s="694"/>
      <c r="W1248" s="694"/>
      <c r="X1248" s="694"/>
      <c r="Y1248" s="694"/>
      <c r="Z1248" s="694"/>
      <c r="AA1248" s="694"/>
      <c r="AB1248" s="694"/>
      <c r="AC1248" s="694"/>
      <c r="AD1248" s="694"/>
      <c r="AE1248" s="694"/>
      <c r="AF1248" s="694"/>
      <c r="AG1248" s="694"/>
      <c r="AH1248" s="694"/>
      <c r="AI1248" s="694"/>
      <c r="AJ1248" s="694"/>
      <c r="AK1248" s="694"/>
      <c r="AL1248" s="694"/>
    </row>
    <row r="1249" spans="1:38" ht="25.5" customHeight="1" thickBot="1" x14ac:dyDescent="0.3">
      <c r="A1249" s="694"/>
      <c r="B1249" s="298"/>
      <c r="C1249" s="1302"/>
      <c r="D1249" s="1306"/>
      <c r="E1249" s="1308" t="s">
        <v>1052</v>
      </c>
      <c r="F1249" s="2838" t="str">
        <f>Translations!$B$516</f>
        <v>Отпадни газове: емисиите от отпадните газове, които са ПОЛУЧЕНИ от други инсталации или подинсталации и са консумирани в подинсталацията, не се включват тук, а се въвеждат в буква l) по-долу.</v>
      </c>
      <c r="G1249" s="2839"/>
      <c r="H1249" s="2839"/>
      <c r="I1249" s="2839"/>
      <c r="J1249" s="2839"/>
      <c r="K1249" s="2839"/>
      <c r="L1249" s="2839"/>
      <c r="M1249" s="2839"/>
      <c r="N1249" s="2840"/>
      <c r="O1249" s="302"/>
      <c r="P1249" s="302"/>
      <c r="Q1249" s="729"/>
      <c r="R1249" s="694"/>
      <c r="S1249" s="729"/>
      <c r="T1249" s="694"/>
      <c r="U1249" s="694"/>
      <c r="V1249" s="694"/>
      <c r="W1249" s="694"/>
      <c r="X1249" s="694"/>
      <c r="Y1249" s="694"/>
      <c r="Z1249" s="694"/>
      <c r="AA1249" s="694"/>
      <c r="AB1249" s="694"/>
      <c r="AC1249" s="694"/>
      <c r="AD1249" s="694"/>
      <c r="AE1249" s="694"/>
      <c r="AF1249" s="694"/>
      <c r="AG1249" s="694"/>
      <c r="AH1249" s="694"/>
      <c r="AI1249" s="694"/>
      <c r="AJ1249" s="694"/>
      <c r="AK1249" s="694"/>
      <c r="AL1249" s="694"/>
    </row>
    <row r="1250" spans="1:38" ht="12.75" customHeight="1" thickBot="1" x14ac:dyDescent="0.3">
      <c r="A1250" s="694"/>
      <c r="B1250" s="298"/>
      <c r="C1250" s="1302"/>
      <c r="D1250" s="1307"/>
      <c r="E1250" s="2803" t="str">
        <f>Translations!$B$517</f>
        <v>Емисии, които могат да се зададат пряко (DirEm*)</v>
      </c>
      <c r="F1250" s="2803"/>
      <c r="G1250" s="1309" t="str">
        <f>EUconst_Unit</f>
        <v>Единица мярка</v>
      </c>
      <c r="H1250" s="629">
        <f t="shared" ref="H1250:N1250" si="1557">H$2831</f>
        <v>2024</v>
      </c>
      <c r="I1250" s="1310">
        <f t="shared" si="1557"/>
        <v>2025</v>
      </c>
      <c r="J1250" s="1311">
        <f t="shared" si="1557"/>
        <v>2026</v>
      </c>
      <c r="K1250" s="629">
        <f t="shared" si="1557"/>
        <v>2027</v>
      </c>
      <c r="L1250" s="629">
        <f t="shared" si="1557"/>
        <v>2028</v>
      </c>
      <c r="M1250" s="629">
        <f t="shared" si="1557"/>
        <v>2029</v>
      </c>
      <c r="N1250" s="1312">
        <f t="shared" si="1557"/>
        <v>2030</v>
      </c>
      <c r="O1250" s="302"/>
      <c r="P1250" s="302"/>
      <c r="Q1250" s="729"/>
      <c r="R1250" s="694"/>
      <c r="S1250" s="1205"/>
      <c r="T1250" s="1313">
        <f t="shared" ref="T1250" si="1558">H1250</f>
        <v>2024</v>
      </c>
      <c r="U1250" s="1313">
        <f t="shared" ref="U1250" si="1559">I1250</f>
        <v>2025</v>
      </c>
      <c r="V1250" s="1313">
        <f t="shared" ref="V1250" si="1560">J1250</f>
        <v>2026</v>
      </c>
      <c r="W1250" s="1313">
        <f t="shared" ref="W1250" si="1561">K1250</f>
        <v>2027</v>
      </c>
      <c r="X1250" s="1313">
        <f t="shared" ref="X1250" si="1562">L1250</f>
        <v>2028</v>
      </c>
      <c r="Y1250" s="1313">
        <f t="shared" ref="Y1250" si="1563">M1250</f>
        <v>2029</v>
      </c>
      <c r="Z1250" s="1314">
        <f t="shared" ref="Z1250" si="1564">N1250</f>
        <v>2030</v>
      </c>
      <c r="AA1250" s="694"/>
      <c r="AB1250" s="694"/>
      <c r="AC1250" s="1178">
        <f t="shared" ref="AC1250" si="1565">H$20</f>
        <v>2024</v>
      </c>
      <c r="AD1250" s="1178">
        <f t="shared" ref="AD1250" si="1566">I$20</f>
        <v>2025</v>
      </c>
      <c r="AE1250" s="1178">
        <f t="shared" ref="AE1250" si="1567">J$20</f>
        <v>2026</v>
      </c>
      <c r="AF1250" s="1178">
        <f t="shared" ref="AF1250" si="1568">K$20</f>
        <v>2027</v>
      </c>
      <c r="AG1250" s="1178">
        <f t="shared" ref="AG1250" si="1569">L$20</f>
        <v>2028</v>
      </c>
      <c r="AH1250" s="1178">
        <f t="shared" ref="AH1250" si="1570">M$20</f>
        <v>2029</v>
      </c>
      <c r="AI1250" s="1178">
        <f t="shared" ref="AI1250" si="1571">N$20</f>
        <v>2030</v>
      </c>
      <c r="AJ1250" s="694"/>
      <c r="AK1250" s="694"/>
      <c r="AL1250" s="694"/>
    </row>
    <row r="1251" spans="1:38" ht="12.75" customHeight="1" thickBot="1" x14ac:dyDescent="0.3">
      <c r="A1251" s="694"/>
      <c r="B1251" s="298"/>
      <c r="C1251" s="1302"/>
      <c r="D1251" s="1306"/>
      <c r="E1251" s="2814" t="str">
        <f>I1137</f>
        <v/>
      </c>
      <c r="F1251" s="2258"/>
      <c r="G1251" s="642" t="str">
        <f>EUconst_tCO2epa</f>
        <v>t CO2e/година</v>
      </c>
      <c r="H1251" s="56"/>
      <c r="I1251" s="115"/>
      <c r="J1251" s="118"/>
      <c r="K1251" s="56"/>
      <c r="L1251" s="56"/>
      <c r="M1251" s="56"/>
      <c r="N1251" s="121"/>
      <c r="O1251" s="302"/>
      <c r="P1251" s="158"/>
      <c r="Q1251" s="1190" t="str">
        <f>EUconst_CNTR_Emissions &amp; I1137</f>
        <v>DirEmissions_</v>
      </c>
      <c r="R1251" s="694"/>
      <c r="S1251" s="1315" t="str">
        <f>EUconst_CNTR_AttributedEmissions &amp; I1137</f>
        <v>AttrEmissions_</v>
      </c>
      <c r="T1251" s="1290" t="str">
        <f t="shared" ref="T1251" si="1572">IF(T1145,SUM(H1251),"")</f>
        <v/>
      </c>
      <c r="U1251" s="1290" t="str">
        <f t="shared" ref="U1251" si="1573">IF(U1145,SUM(I1251),"")</f>
        <v/>
      </c>
      <c r="V1251" s="1290" t="str">
        <f t="shared" ref="V1251" si="1574">IF(V1145,SUM(J1251),"")</f>
        <v/>
      </c>
      <c r="W1251" s="1290" t="str">
        <f t="shared" ref="W1251" si="1575">IF(W1145,SUM(K1251),"")</f>
        <v/>
      </c>
      <c r="X1251" s="1290" t="str">
        <f t="shared" ref="X1251" si="1576">IF(X1145,SUM(L1251),"")</f>
        <v/>
      </c>
      <c r="Y1251" s="1290" t="str">
        <f t="shared" ref="Y1251" si="1577">IF(Y1145,SUM(M1251),"")</f>
        <v/>
      </c>
      <c r="Z1251" s="1291" t="str">
        <f t="shared" ref="Z1251" si="1578">IF(Z1145,SUM(N1251),"")</f>
        <v/>
      </c>
      <c r="AA1251" s="694"/>
      <c r="AB1251" s="1182" t="s">
        <v>737</v>
      </c>
      <c r="AC1251" s="982" t="b">
        <f>AC1184</f>
        <v>0</v>
      </c>
      <c r="AD1251" s="982" t="b">
        <f t="shared" ref="AD1251:AI1251" si="1579">AD1184</f>
        <v>0</v>
      </c>
      <c r="AE1251" s="982" t="b">
        <f t="shared" si="1579"/>
        <v>0</v>
      </c>
      <c r="AF1251" s="982" t="b">
        <f t="shared" si="1579"/>
        <v>0</v>
      </c>
      <c r="AG1251" s="982" t="b">
        <f t="shared" si="1579"/>
        <v>0</v>
      </c>
      <c r="AH1251" s="982" t="b">
        <f t="shared" si="1579"/>
        <v>0</v>
      </c>
      <c r="AI1251" s="982" t="b">
        <f t="shared" si="1579"/>
        <v>0</v>
      </c>
      <c r="AJ1251" s="1174" t="s">
        <v>2039</v>
      </c>
      <c r="AK1251" s="1176" t="str">
        <f>IF(AND(CNTR_ExistSubInstEntries,MSconst_RequireSubAttrEmissions,COUNTIFS(AC1251:AI1251,FALSE,H1251:N1251,"")&gt;0),EUconst_Error&amp;"BM"&amp;$Q1137,"")</f>
        <v/>
      </c>
      <c r="AL1251" s="694"/>
    </row>
    <row r="1252" spans="1:38" ht="12.75" customHeight="1" x14ac:dyDescent="0.25">
      <c r="A1252" s="694"/>
      <c r="B1252" s="298"/>
      <c r="C1252" s="1302"/>
      <c r="D1252" s="1306"/>
      <c r="E1252" s="1306"/>
      <c r="F1252" s="1306"/>
      <c r="G1252" s="1306"/>
      <c r="H1252" s="1306"/>
      <c r="I1252" s="1306"/>
      <c r="J1252" s="1306"/>
      <c r="K1252" s="1306"/>
      <c r="L1252" s="1306"/>
      <c r="M1252" s="626"/>
      <c r="N1252" s="1316"/>
      <c r="O1252" s="302"/>
      <c r="P1252" s="302"/>
      <c r="Q1252" s="729"/>
      <c r="R1252" s="694"/>
      <c r="S1252" s="729"/>
      <c r="T1252" s="694"/>
      <c r="U1252" s="694"/>
      <c r="V1252" s="694"/>
      <c r="W1252" s="694"/>
      <c r="X1252" s="694"/>
      <c r="Y1252" s="694"/>
      <c r="Z1252" s="694"/>
      <c r="AA1252" s="694"/>
      <c r="AB1252" s="694"/>
      <c r="AC1252" s="694"/>
      <c r="AD1252" s="694"/>
      <c r="AE1252" s="694"/>
      <c r="AF1252" s="694"/>
      <c r="AG1252" s="694"/>
      <c r="AH1252" s="694"/>
      <c r="AI1252" s="694"/>
      <c r="AJ1252" s="694"/>
      <c r="AK1252" s="694"/>
      <c r="AL1252" s="694"/>
    </row>
    <row r="1253" spans="1:38" ht="12.75" customHeight="1" x14ac:dyDescent="0.25">
      <c r="A1253" s="694"/>
      <c r="B1253" s="298"/>
      <c r="C1253" s="1302"/>
      <c r="D1253" s="1307" t="s">
        <v>277</v>
      </c>
      <c r="E1253" s="2815" t="str">
        <f>Translations!$B$1524</f>
        <v>Вложена енергия в тази подинсталация и съответен емисионен фактор</v>
      </c>
      <c r="F1253" s="2240"/>
      <c r="G1253" s="2240"/>
      <c r="H1253" s="2240"/>
      <c r="I1253" s="2240"/>
      <c r="J1253" s="2240"/>
      <c r="K1253" s="2240"/>
      <c r="L1253" s="2240"/>
      <c r="M1253" s="2240"/>
      <c r="N1253" s="2811"/>
      <c r="O1253" s="302"/>
      <c r="P1253" s="302"/>
      <c r="Q1253" s="729"/>
      <c r="R1253" s="729"/>
      <c r="S1253" s="729"/>
      <c r="T1253" s="694"/>
      <c r="U1253" s="694"/>
      <c r="V1253" s="694"/>
      <c r="W1253" s="694"/>
      <c r="X1253" s="694"/>
      <c r="Y1253" s="694"/>
      <c r="Z1253" s="694"/>
      <c r="AA1253" s="694"/>
      <c r="AB1253" s="694"/>
      <c r="AC1253" s="694"/>
      <c r="AD1253" s="694"/>
      <c r="AE1253" s="694"/>
      <c r="AF1253" s="694"/>
      <c r="AG1253" s="694"/>
      <c r="AH1253" s="694"/>
      <c r="AI1253" s="694"/>
      <c r="AJ1253" s="694"/>
      <c r="AK1253" s="694"/>
      <c r="AL1253" s="694"/>
    </row>
    <row r="1254" spans="1:38" ht="25.5" customHeight="1" x14ac:dyDescent="0.25">
      <c r="A1254" s="694"/>
      <c r="B1254" s="298"/>
      <c r="C1254" s="1302"/>
      <c r="D1254" s="1306"/>
      <c r="E1254" s="2836" t="str">
        <f>Translations!$B$1525</f>
        <v>Съгласно изискванията в приложение IV, раздел 2.4, буква а) към ПБР посочете общото количество вложена енергия от горива, материали и електроенергия за генериране на топлинна енергия от подинсталацията и съответния претеглен емисионен фактор, като вземете предвид съответното енергийно съдържание на всяко гориво, включено в числовата стойност, посочена в буква ж), и приложите същите системни граници от буква ж).</v>
      </c>
      <c r="F1254" s="2836"/>
      <c r="G1254" s="2836"/>
      <c r="H1254" s="2836"/>
      <c r="I1254" s="2836"/>
      <c r="J1254" s="2836"/>
      <c r="K1254" s="2836"/>
      <c r="L1254" s="2836"/>
      <c r="M1254" s="2836"/>
      <c r="N1254" s="2837"/>
      <c r="O1254" s="302"/>
      <c r="P1254" s="302"/>
      <c r="Q1254" s="729"/>
      <c r="R1254" s="729"/>
      <c r="S1254" s="729"/>
      <c r="T1254" s="694"/>
      <c r="U1254" s="694"/>
      <c r="V1254" s="694"/>
      <c r="W1254" s="694"/>
      <c r="X1254" s="694"/>
      <c r="Y1254" s="694"/>
      <c r="Z1254" s="694"/>
      <c r="AA1254" s="694"/>
      <c r="AB1254" s="694"/>
      <c r="AC1254" s="694"/>
      <c r="AD1254" s="694"/>
      <c r="AE1254" s="694"/>
      <c r="AF1254" s="694"/>
      <c r="AG1254" s="694"/>
      <c r="AH1254" s="694"/>
      <c r="AI1254" s="694"/>
      <c r="AJ1254" s="694"/>
      <c r="AK1254" s="694"/>
      <c r="AL1254" s="694"/>
    </row>
    <row r="1255" spans="1:38" ht="25.5" customHeight="1" x14ac:dyDescent="0.25">
      <c r="A1255" s="694"/>
      <c r="B1255" s="298"/>
      <c r="C1255" s="1302"/>
      <c r="D1255" s="1306"/>
      <c r="E1255" s="2836" t="str">
        <f>Translations!$B$1526</f>
        <v>Терминът „гориво“ следва да се тълкува като всеки запалим пораждащ емисии поток съгласно РМД, за който може да се установи долната топлина на изгаряне. Претегленият емисионен фактор съответства на натрупаните емисии от горива, разделени на общото енергийно съдържание.</v>
      </c>
      <c r="F1255" s="2836"/>
      <c r="G1255" s="2836"/>
      <c r="H1255" s="2836"/>
      <c r="I1255" s="2836"/>
      <c r="J1255" s="2836"/>
      <c r="K1255" s="2836"/>
      <c r="L1255" s="2836"/>
      <c r="M1255" s="2836"/>
      <c r="N1255" s="2837"/>
      <c r="O1255" s="302"/>
      <c r="P1255" s="302"/>
      <c r="Q1255" s="729"/>
      <c r="R1255" s="694"/>
      <c r="S1255" s="729"/>
      <c r="T1255" s="694"/>
      <c r="U1255" s="694"/>
      <c r="V1255" s="694"/>
      <c r="W1255" s="694"/>
      <c r="X1255" s="694"/>
      <c r="Y1255" s="694"/>
      <c r="Z1255" s="694"/>
      <c r="AA1255" s="694"/>
      <c r="AB1255" s="694"/>
      <c r="AC1255" s="694"/>
      <c r="AD1255" s="694"/>
      <c r="AE1255" s="694"/>
      <c r="AF1255" s="694"/>
      <c r="AG1255" s="694"/>
      <c r="AH1255" s="694"/>
      <c r="AI1255" s="694"/>
      <c r="AJ1255" s="694"/>
      <c r="AK1255" s="694"/>
      <c r="AL1255" s="694"/>
    </row>
    <row r="1256" spans="1:38" ht="12.75" customHeight="1" x14ac:dyDescent="0.25">
      <c r="A1256" s="694"/>
      <c r="B1256" s="298"/>
      <c r="C1256" s="1302"/>
      <c r="D1256" s="1306"/>
      <c r="E1256" s="2836" t="str">
        <f>Translations!$B$519</f>
        <v>Претегленият емисионен фактор следва също така да включва и емисии от съответното очистване на димни газове, ако е приложимо.</v>
      </c>
      <c r="F1256" s="2836"/>
      <c r="G1256" s="2836"/>
      <c r="H1256" s="2836"/>
      <c r="I1256" s="2836"/>
      <c r="J1256" s="2836"/>
      <c r="K1256" s="2836"/>
      <c r="L1256" s="2836"/>
      <c r="M1256" s="2836"/>
      <c r="N1256" s="2837"/>
      <c r="O1256" s="302"/>
      <c r="P1256" s="302"/>
      <c r="Q1256" s="729"/>
      <c r="R1256" s="694"/>
      <c r="S1256" s="729"/>
      <c r="T1256" s="694"/>
      <c r="U1256" s="694"/>
      <c r="V1256" s="694"/>
      <c r="W1256" s="694"/>
      <c r="X1256" s="694"/>
      <c r="Y1256" s="694"/>
      <c r="Z1256" s="694"/>
      <c r="AA1256" s="694"/>
      <c r="AB1256" s="694"/>
      <c r="AC1256" s="694"/>
      <c r="AD1256" s="694"/>
      <c r="AE1256" s="694"/>
      <c r="AF1256" s="694"/>
      <c r="AG1256" s="694"/>
      <c r="AH1256" s="694"/>
      <c r="AI1256" s="694"/>
      <c r="AJ1256" s="694"/>
      <c r="AK1256" s="694"/>
      <c r="AL1256" s="694"/>
    </row>
    <row r="1257" spans="1:38" ht="12.75" customHeight="1" x14ac:dyDescent="0.25">
      <c r="A1257" s="694"/>
      <c r="B1257" s="298"/>
      <c r="C1257" s="1302"/>
      <c r="D1257" s="1306"/>
      <c r="E1257" s="2816" t="str">
        <f>Translations!$B$520</f>
        <v>Посочените тук данни се използват само с цел проверка на съответствието и нямат пряко отражение върху емисиите, които могат да бъдат зададени, или на разпределението на квотите.</v>
      </c>
      <c r="F1257" s="2240"/>
      <c r="G1257" s="2240"/>
      <c r="H1257" s="2240"/>
      <c r="I1257" s="2240"/>
      <c r="J1257" s="2240"/>
      <c r="K1257" s="2240"/>
      <c r="L1257" s="2240"/>
      <c r="M1257" s="2240"/>
      <c r="N1257" s="2811"/>
      <c r="O1257" s="302"/>
      <c r="P1257" s="302"/>
      <c r="Q1257" s="729"/>
      <c r="R1257" s="694"/>
      <c r="S1257" s="729"/>
      <c r="T1257" s="694"/>
      <c r="U1257" s="694"/>
      <c r="V1257" s="694"/>
      <c r="W1257" s="694"/>
      <c r="X1257" s="694"/>
      <c r="Y1257" s="694"/>
      <c r="Z1257" s="694"/>
      <c r="AA1257" s="694"/>
      <c r="AB1257" s="694"/>
      <c r="AC1257" s="694"/>
      <c r="AD1257" s="694"/>
      <c r="AE1257" s="694"/>
      <c r="AF1257" s="694"/>
      <c r="AG1257" s="694"/>
      <c r="AH1257" s="694"/>
      <c r="AI1257" s="694"/>
      <c r="AJ1257" s="694"/>
      <c r="AK1257" s="694"/>
      <c r="AL1257" s="694"/>
    </row>
    <row r="1258" spans="1:38" ht="12.75" customHeight="1" thickBot="1" x14ac:dyDescent="0.3">
      <c r="A1258" s="694"/>
      <c r="B1258" s="298"/>
      <c r="C1258" s="1302"/>
      <c r="D1258" s="1307"/>
      <c r="E1258" s="1317"/>
      <c r="F1258" s="1318"/>
      <c r="G1258" s="1309" t="str">
        <f>EUconst_Unit</f>
        <v>Единица мярка</v>
      </c>
      <c r="H1258" s="629">
        <f t="shared" ref="H1258:N1258" si="1580">H$2831</f>
        <v>2024</v>
      </c>
      <c r="I1258" s="1310">
        <f t="shared" si="1580"/>
        <v>2025</v>
      </c>
      <c r="J1258" s="1311">
        <f t="shared" si="1580"/>
        <v>2026</v>
      </c>
      <c r="K1258" s="629">
        <f t="shared" si="1580"/>
        <v>2027</v>
      </c>
      <c r="L1258" s="629">
        <f t="shared" si="1580"/>
        <v>2028</v>
      </c>
      <c r="M1258" s="629">
        <f t="shared" si="1580"/>
        <v>2029</v>
      </c>
      <c r="N1258" s="1312">
        <f t="shared" si="1580"/>
        <v>2030</v>
      </c>
      <c r="O1258" s="302"/>
      <c r="P1258" s="302"/>
      <c r="Q1258" s="729"/>
      <c r="R1258" s="694"/>
      <c r="S1258" s="729"/>
      <c r="T1258" s="694"/>
      <c r="U1258" s="694"/>
      <c r="V1258" s="694"/>
      <c r="W1258" s="694"/>
      <c r="X1258" s="694"/>
      <c r="Y1258" s="694"/>
      <c r="Z1258" s="694"/>
      <c r="AA1258" s="694"/>
      <c r="AB1258" s="694"/>
      <c r="AC1258" s="1178">
        <f t="shared" ref="AC1258" si="1581">H$20</f>
        <v>2024</v>
      </c>
      <c r="AD1258" s="1178">
        <f t="shared" ref="AD1258" si="1582">I$20</f>
        <v>2025</v>
      </c>
      <c r="AE1258" s="1178">
        <f t="shared" ref="AE1258" si="1583">J$20</f>
        <v>2026</v>
      </c>
      <c r="AF1258" s="1178">
        <f t="shared" ref="AF1258" si="1584">K$20</f>
        <v>2027</v>
      </c>
      <c r="AG1258" s="1178">
        <f t="shared" ref="AG1258" si="1585">L$20</f>
        <v>2028</v>
      </c>
      <c r="AH1258" s="1178">
        <f t="shared" ref="AH1258" si="1586">M$20</f>
        <v>2029</v>
      </c>
      <c r="AI1258" s="1178">
        <f t="shared" ref="AI1258" si="1587">N$20</f>
        <v>2030</v>
      </c>
      <c r="AJ1258" s="694"/>
      <c r="AK1258" s="694"/>
      <c r="AL1258" s="694"/>
    </row>
    <row r="1259" spans="1:38" ht="12.75" customHeight="1" x14ac:dyDescent="0.25">
      <c r="A1259" s="694"/>
      <c r="B1259" s="298"/>
      <c r="C1259" s="1302"/>
      <c r="D1259" s="625" t="s">
        <v>6</v>
      </c>
      <c r="E1259" s="2820" t="str">
        <f>Translations!$B$1527</f>
        <v>Вложена енергия</v>
      </c>
      <c r="F1259" s="2258"/>
      <c r="G1259" s="1319" t="str">
        <f>EUconst_TJpa</f>
        <v>TJ / година</v>
      </c>
      <c r="H1259" s="56"/>
      <c r="I1259" s="115"/>
      <c r="J1259" s="118"/>
      <c r="K1259" s="56"/>
      <c r="L1259" s="56"/>
      <c r="M1259" s="56"/>
      <c r="N1259" s="121"/>
      <c r="O1259" s="302"/>
      <c r="P1259" s="158"/>
      <c r="Q1259" s="1190" t="str">
        <f>EUconst_CNTR_FuelInput &amp; I1137</f>
        <v>FuelInput_</v>
      </c>
      <c r="R1259" s="694"/>
      <c r="S1259" s="729"/>
      <c r="T1259" s="694"/>
      <c r="U1259" s="694"/>
      <c r="V1259" s="694"/>
      <c r="W1259" s="694"/>
      <c r="X1259" s="694"/>
      <c r="Y1259" s="694"/>
      <c r="Z1259" s="694"/>
      <c r="AA1259" s="694"/>
      <c r="AB1259" s="1182" t="s">
        <v>737</v>
      </c>
      <c r="AC1259" s="982" t="b">
        <f>AC1184</f>
        <v>0</v>
      </c>
      <c r="AD1259" s="982" t="b">
        <f t="shared" ref="AD1259:AI1259" si="1588">AD1184</f>
        <v>0</v>
      </c>
      <c r="AE1259" s="982" t="b">
        <f t="shared" si="1588"/>
        <v>0</v>
      </c>
      <c r="AF1259" s="982" t="b">
        <f t="shared" si="1588"/>
        <v>0</v>
      </c>
      <c r="AG1259" s="982" t="b">
        <f t="shared" si="1588"/>
        <v>0</v>
      </c>
      <c r="AH1259" s="982" t="b">
        <f t="shared" si="1588"/>
        <v>0</v>
      </c>
      <c r="AI1259" s="982" t="b">
        <f t="shared" si="1588"/>
        <v>0</v>
      </c>
      <c r="AJ1259" s="1174" t="s">
        <v>2039</v>
      </c>
      <c r="AK1259" s="1176" t="str">
        <f>IF(AND(CNTR_ExistSubInstEntries,MSconst_RequireSubAttrEmissions,COUNTIFS(AC1259:AI1259,FALSE,H1259:N1259,"")&gt;0),EUconst_Error&amp;"BM"&amp;$Q1137,"")</f>
        <v/>
      </c>
      <c r="AL1259" s="694"/>
    </row>
    <row r="1260" spans="1:38" ht="12.75" customHeight="1" x14ac:dyDescent="0.25">
      <c r="A1260" s="694"/>
      <c r="B1260" s="298"/>
      <c r="C1260" s="1302"/>
      <c r="D1260" s="625" t="s">
        <v>7</v>
      </c>
      <c r="E1260" s="2820" t="str">
        <f>Translations!$B$522</f>
        <v>Претеглен емисионен фактор</v>
      </c>
      <c r="F1260" s="2258"/>
      <c r="G1260" s="1320" t="str">
        <f>EUconst_tCO2pTJ</f>
        <v>t CO2 / TJ</v>
      </c>
      <c r="H1260" s="82"/>
      <c r="I1260" s="126"/>
      <c r="J1260" s="127"/>
      <c r="K1260" s="82"/>
      <c r="L1260" s="82"/>
      <c r="M1260" s="82"/>
      <c r="N1260" s="128"/>
      <c r="O1260" s="302"/>
      <c r="P1260" s="158"/>
      <c r="Q1260" s="1190" t="str">
        <f>EUconst_CNTR_FuelEF &amp; I1137</f>
        <v>FuelEF_</v>
      </c>
      <c r="R1260" s="694"/>
      <c r="S1260" s="729"/>
      <c r="T1260" s="694"/>
      <c r="U1260" s="694"/>
      <c r="V1260" s="694"/>
      <c r="W1260" s="694"/>
      <c r="X1260" s="694"/>
      <c r="Y1260" s="694"/>
      <c r="Z1260" s="694"/>
      <c r="AA1260" s="694"/>
      <c r="AB1260" s="694"/>
      <c r="AC1260" s="982" t="b">
        <f>AC1259</f>
        <v>0</v>
      </c>
      <c r="AD1260" s="982" t="b">
        <f t="shared" ref="AD1260:AI1260" si="1589">AD1259</f>
        <v>0</v>
      </c>
      <c r="AE1260" s="982" t="b">
        <f t="shared" si="1589"/>
        <v>0</v>
      </c>
      <c r="AF1260" s="982" t="b">
        <f t="shared" si="1589"/>
        <v>0</v>
      </c>
      <c r="AG1260" s="982" t="b">
        <f t="shared" si="1589"/>
        <v>0</v>
      </c>
      <c r="AH1260" s="982" t="b">
        <f t="shared" si="1589"/>
        <v>0</v>
      </c>
      <c r="AI1260" s="982" t="b">
        <f t="shared" si="1589"/>
        <v>0</v>
      </c>
      <c r="AJ1260" s="1174" t="s">
        <v>2039</v>
      </c>
      <c r="AK1260" s="1176" t="str">
        <f>IF(AND(CNTR_ExistSubInstEntries,MSconst_RequireSubAttrEmissions,COUNTIFS(AC1260:AI1260,FALSE,H1260:N1260,"")&gt;0),EUconst_Error&amp;"BM"&amp;$Q1137,"")</f>
        <v/>
      </c>
      <c r="AL1260" s="694"/>
    </row>
    <row r="1261" spans="1:38" ht="12.75" customHeight="1" x14ac:dyDescent="0.25">
      <c r="A1261" s="694"/>
      <c r="B1261" s="298"/>
      <c r="C1261" s="1302"/>
      <c r="D1261" s="1306"/>
      <c r="E1261" s="1306"/>
      <c r="F1261" s="1306"/>
      <c r="G1261" s="1306"/>
      <c r="H1261" s="1306"/>
      <c r="I1261" s="1306"/>
      <c r="J1261" s="1306"/>
      <c r="K1261" s="1306"/>
      <c r="L1261" s="1306"/>
      <c r="M1261" s="626"/>
      <c r="N1261" s="1316"/>
      <c r="O1261" s="302"/>
      <c r="P1261" s="302"/>
      <c r="Q1261" s="729"/>
      <c r="R1261" s="694"/>
      <c r="S1261" s="729"/>
      <c r="T1261" s="694"/>
      <c r="U1261" s="694"/>
      <c r="V1261" s="694"/>
      <c r="W1261" s="694"/>
      <c r="X1261" s="694"/>
      <c r="Y1261" s="694"/>
      <c r="Z1261" s="694"/>
      <c r="AA1261" s="694"/>
      <c r="AB1261" s="694"/>
      <c r="AC1261" s="694"/>
      <c r="AD1261" s="694"/>
      <c r="AE1261" s="694"/>
      <c r="AF1261" s="694"/>
      <c r="AG1261" s="694"/>
      <c r="AH1261" s="694"/>
      <c r="AI1261" s="694"/>
      <c r="AJ1261" s="694"/>
      <c r="AK1261" s="694"/>
      <c r="AL1261" s="694"/>
    </row>
    <row r="1262" spans="1:38" ht="12.75" customHeight="1" x14ac:dyDescent="0.25">
      <c r="A1262" s="694"/>
      <c r="B1262" s="298"/>
      <c r="C1262" s="1302"/>
      <c r="D1262" s="1307" t="s">
        <v>279</v>
      </c>
      <c r="E1262" s="2815" t="str">
        <f>Translations!$B$523</f>
        <v>Други вътрешни пораждащи емисии потоци, получени или подадени от тази подинсталация</v>
      </c>
      <c r="F1262" s="2240"/>
      <c r="G1262" s="2240"/>
      <c r="H1262" s="2240"/>
      <c r="I1262" s="2240"/>
      <c r="J1262" s="2240"/>
      <c r="K1262" s="2240"/>
      <c r="L1262" s="2240"/>
      <c r="M1262" s="2240"/>
      <c r="N1262" s="2811"/>
      <c r="O1262" s="302"/>
      <c r="P1262" s="302"/>
      <c r="Q1262" s="729"/>
      <c r="R1262" s="729"/>
      <c r="S1262" s="729"/>
      <c r="T1262" s="694"/>
      <c r="U1262" s="694"/>
      <c r="V1262" s="694"/>
      <c r="W1262" s="694"/>
      <c r="X1262" s="694"/>
      <c r="Y1262" s="694"/>
      <c r="Z1262" s="694"/>
      <c r="AA1262" s="694"/>
      <c r="AB1262" s="694"/>
      <c r="AC1262" s="694"/>
      <c r="AD1262" s="694"/>
      <c r="AE1262" s="694"/>
      <c r="AF1262" s="694"/>
      <c r="AG1262" s="694"/>
      <c r="AH1262" s="694"/>
      <c r="AI1262" s="694"/>
      <c r="AJ1262" s="694"/>
      <c r="AK1262" s="694"/>
      <c r="AL1262" s="694"/>
    </row>
    <row r="1263" spans="1:38" ht="12.75" customHeight="1" x14ac:dyDescent="0.25">
      <c r="A1263" s="694"/>
      <c r="B1263" s="298"/>
      <c r="C1263" s="1302"/>
      <c r="D1263" s="625"/>
      <c r="E1263" s="2816" t="str">
        <f>Translations!$B$508</f>
        <v>Посочените тук данни ще се отразят на емисиите, които могат да бъдат зададени съгласно раздел 10.1.1 от приложение VII към ПБР.</v>
      </c>
      <c r="F1263" s="2240"/>
      <c r="G1263" s="2240"/>
      <c r="H1263" s="2240"/>
      <c r="I1263" s="2240"/>
      <c r="J1263" s="2240"/>
      <c r="K1263" s="2240"/>
      <c r="L1263" s="2240"/>
      <c r="M1263" s="2240"/>
      <c r="N1263" s="2811"/>
      <c r="O1263" s="302"/>
      <c r="P1263" s="302"/>
      <c r="Q1263" s="729"/>
      <c r="R1263" s="694"/>
      <c r="S1263" s="729"/>
      <c r="T1263" s="729"/>
      <c r="U1263" s="729"/>
      <c r="V1263" s="729"/>
      <c r="W1263" s="694"/>
      <c r="X1263" s="694"/>
      <c r="Y1263" s="694"/>
      <c r="Z1263" s="694"/>
      <c r="AA1263" s="694"/>
      <c r="AB1263" s="694"/>
      <c r="AC1263" s="694"/>
      <c r="AD1263" s="694"/>
      <c r="AE1263" s="694"/>
      <c r="AF1263" s="694"/>
      <c r="AG1263" s="694"/>
      <c r="AH1263" s="694"/>
      <c r="AI1263" s="694"/>
      <c r="AJ1263" s="694"/>
      <c r="AK1263" s="694"/>
      <c r="AL1263" s="694"/>
    </row>
    <row r="1264" spans="1:38" ht="25.5" customHeight="1" x14ac:dyDescent="0.25">
      <c r="A1264" s="694"/>
      <c r="B1264" s="298"/>
      <c r="C1264" s="1302"/>
      <c r="D1264" s="1306"/>
      <c r="E1264" s="2816" t="str">
        <f>Translations!$B$524</f>
        <v>Имайте предвид, че всички пораждащи емисии потоци трябва да се изброят тук само ако не са обхванати от преките емисии в буква g) по-горе, за да се избегнат пропуски в данните или двойно отчитане. Емисиите, свързани с отпадните газове, НЕ могат да се изброяват тук, а трябва да се посочват в буква l) по-долу.</v>
      </c>
      <c r="F1264" s="2240"/>
      <c r="G1264" s="2240"/>
      <c r="H1264" s="2240"/>
      <c r="I1264" s="2240"/>
      <c r="J1264" s="2240"/>
      <c r="K1264" s="2240"/>
      <c r="L1264" s="2240"/>
      <c r="M1264" s="2240"/>
      <c r="N1264" s="2811"/>
      <c r="O1264" s="302"/>
      <c r="P1264" s="302"/>
      <c r="Q1264" s="729"/>
      <c r="R1264" s="729"/>
      <c r="S1264" s="729"/>
      <c r="T1264" s="694"/>
      <c r="U1264" s="694"/>
      <c r="V1264" s="694"/>
      <c r="W1264" s="694"/>
      <c r="X1264" s="694"/>
      <c r="Y1264" s="694"/>
      <c r="Z1264" s="694"/>
      <c r="AA1264" s="694"/>
      <c r="AB1264" s="694"/>
      <c r="AC1264" s="694"/>
      <c r="AD1264" s="694"/>
      <c r="AE1264" s="694"/>
      <c r="AF1264" s="694"/>
      <c r="AG1264" s="694"/>
      <c r="AH1264" s="694"/>
      <c r="AI1264" s="694"/>
      <c r="AJ1264" s="694"/>
      <c r="AK1264" s="694"/>
      <c r="AL1264" s="694"/>
    </row>
    <row r="1265" spans="1:38" ht="12.75" customHeight="1" x14ac:dyDescent="0.25">
      <c r="A1265" s="694"/>
      <c r="B1265" s="298"/>
      <c r="C1265" s="1302"/>
      <c r="D1265" s="1306"/>
      <c r="E1265" s="2810" t="str">
        <f>Translations!$B$525</f>
        <v>Тук въведете информация за т.нар. вътрешни пораждащи емисии потоци, които се пренасят между подинсталациите, т.е. са получени или подадени от тази подинсталация.</v>
      </c>
      <c r="F1265" s="2240"/>
      <c r="G1265" s="2240"/>
      <c r="H1265" s="2240"/>
      <c r="I1265" s="2240"/>
      <c r="J1265" s="2240"/>
      <c r="K1265" s="2240"/>
      <c r="L1265" s="2240"/>
      <c r="M1265" s="2240"/>
      <c r="N1265" s="2811"/>
      <c r="O1265" s="302"/>
      <c r="P1265" s="302"/>
      <c r="Q1265" s="729"/>
      <c r="R1265" s="729"/>
      <c r="S1265" s="729"/>
      <c r="T1265" s="694"/>
      <c r="U1265" s="694"/>
      <c r="V1265" s="694"/>
      <c r="W1265" s="694"/>
      <c r="X1265" s="694"/>
      <c r="Y1265" s="694"/>
      <c r="Z1265" s="694"/>
      <c r="AA1265" s="694"/>
      <c r="AB1265" s="694"/>
      <c r="AC1265" s="694"/>
      <c r="AD1265" s="694"/>
      <c r="AE1265" s="694"/>
      <c r="AF1265" s="694"/>
      <c r="AG1265" s="694"/>
      <c r="AH1265" s="694"/>
      <c r="AI1265" s="694"/>
      <c r="AJ1265" s="694"/>
      <c r="AK1265" s="694"/>
      <c r="AL1265" s="694"/>
    </row>
    <row r="1266" spans="1:38" ht="38.9" customHeight="1" x14ac:dyDescent="0.25">
      <c r="A1266" s="694"/>
      <c r="B1266" s="298"/>
      <c r="C1266" s="1302"/>
      <c r="D1266" s="1306"/>
      <c r="E1266" s="2810" t="str">
        <f>Translations!$B$526</f>
        <v>Така например, ако това е подинсталацията за „кокс“ на комбинирана инсталация за чугун и стомана, емисиите, свързани с консумацията на кокс, възникват в доменната пещ и не трябва да се задават на тази подинсталация (т.е. подинсталацията за „кокс“). Въпреки това част от емисиите се включват в буква g) по-горе, защото въглищата, които се вкарват в коксовата пещ, ще са един от зададените на първата стъпка пораждащи емисии потоци.</v>
      </c>
      <c r="F1266" s="2240"/>
      <c r="G1266" s="2240"/>
      <c r="H1266" s="2240"/>
      <c r="I1266" s="2240"/>
      <c r="J1266" s="2240"/>
      <c r="K1266" s="2240"/>
      <c r="L1266" s="2240"/>
      <c r="M1266" s="2240"/>
      <c r="N1266" s="2811"/>
      <c r="O1266" s="302"/>
      <c r="P1266" s="302"/>
      <c r="Q1266" s="729"/>
      <c r="R1266" s="694"/>
      <c r="S1266" s="729"/>
      <c r="T1266" s="694"/>
      <c r="U1266" s="694"/>
      <c r="V1266" s="694"/>
      <c r="W1266" s="694"/>
      <c r="X1266" s="694"/>
      <c r="Y1266" s="694"/>
      <c r="Z1266" s="694"/>
      <c r="AA1266" s="694"/>
      <c r="AB1266" s="694"/>
      <c r="AC1266" s="694"/>
      <c r="AD1266" s="694"/>
      <c r="AE1266" s="694"/>
      <c r="AF1266" s="694"/>
      <c r="AG1266" s="694"/>
      <c r="AH1266" s="694"/>
      <c r="AI1266" s="694"/>
      <c r="AJ1266" s="694"/>
      <c r="AK1266" s="694"/>
      <c r="AL1266" s="694"/>
    </row>
    <row r="1267" spans="1:38" ht="51" customHeight="1" x14ac:dyDescent="0.25">
      <c r="A1267" s="694"/>
      <c r="B1267" s="298"/>
      <c r="C1267" s="1302"/>
      <c r="D1267" s="1306"/>
      <c r="E1267" s="2810" t="str">
        <f>Translations!$B$527</f>
        <v>За да се избегне двойно отчитане, коксът, който излиза от коксовата подинсталация, трябва да се коригира като изходящ „вътрешен пораждащ емисии поток“. Това става чрез отрицателна стойност за количеството кокс в случай на „подаване“. За да се получи пълен баланс на емисиите от въглищата, вкарани в коксовата подинсталация, емисиите, свързани с използването на коксов газ (= отпаден газ), са отразени в буква g) по-горе (както е включено в емисиите от въглища), до степента на използване на газа в рамките на подинсталацията. Тук не трябва да се внасят корекции, за да се отчетат подадените количества отпаден газ; това се прави в l).xx. по-долу.</v>
      </c>
      <c r="F1267" s="2240"/>
      <c r="G1267" s="2240"/>
      <c r="H1267" s="2240"/>
      <c r="I1267" s="2240"/>
      <c r="J1267" s="2240"/>
      <c r="K1267" s="2240"/>
      <c r="L1267" s="2240"/>
      <c r="M1267" s="2240"/>
      <c r="N1267" s="2811"/>
      <c r="O1267" s="302"/>
      <c r="P1267" s="302"/>
      <c r="Q1267" s="729"/>
      <c r="R1267" s="694"/>
      <c r="S1267" s="729"/>
      <c r="T1267" s="694"/>
      <c r="U1267" s="694"/>
      <c r="V1267" s="694"/>
      <c r="W1267" s="694"/>
      <c r="X1267" s="694"/>
      <c r="Y1267" s="694"/>
      <c r="Z1267" s="694"/>
      <c r="AA1267" s="694"/>
      <c r="AB1267" s="694"/>
      <c r="AC1267" s="694"/>
      <c r="AD1267" s="694"/>
      <c r="AE1267" s="694"/>
      <c r="AF1267" s="694"/>
      <c r="AG1267" s="694"/>
      <c r="AH1267" s="694"/>
      <c r="AI1267" s="694"/>
      <c r="AJ1267" s="694"/>
      <c r="AK1267" s="694"/>
      <c r="AL1267" s="694"/>
    </row>
    <row r="1268" spans="1:38" ht="25.5" customHeight="1" x14ac:dyDescent="0.25">
      <c r="A1268" s="694"/>
      <c r="B1268" s="298"/>
      <c r="C1268" s="1302"/>
      <c r="D1268" s="1306"/>
      <c r="E1268" s="2810" t="str">
        <f>Translations!$B$528</f>
        <v>И обратно, ако това е подинсталация с показател за течни черни метали в комбинирана инсталация за чугун и стомана, коксът трябва да се посочи тук като входящ/получен „вътрешен“ пораждащ емисии поток с положително количество.</v>
      </c>
      <c r="F1268" s="2240"/>
      <c r="G1268" s="2240"/>
      <c r="H1268" s="2240"/>
      <c r="I1268" s="2240"/>
      <c r="J1268" s="2240"/>
      <c r="K1268" s="2240"/>
      <c r="L1268" s="2240"/>
      <c r="M1268" s="2240"/>
      <c r="N1268" s="2811"/>
      <c r="O1268" s="302"/>
      <c r="P1268" s="302"/>
      <c r="Q1268" s="729"/>
      <c r="R1268" s="694"/>
      <c r="S1268" s="729"/>
      <c r="T1268" s="694"/>
      <c r="U1268" s="694"/>
      <c r="V1268" s="694"/>
      <c r="W1268" s="694"/>
      <c r="X1268" s="694"/>
      <c r="Y1268" s="694"/>
      <c r="Z1268" s="694"/>
      <c r="AA1268" s="694"/>
      <c r="AB1268" s="694"/>
      <c r="AC1268" s="694"/>
      <c r="AD1268" s="694"/>
      <c r="AE1268" s="694"/>
      <c r="AF1268" s="694"/>
      <c r="AG1268" s="694"/>
      <c r="AH1268" s="694"/>
      <c r="AI1268" s="694"/>
      <c r="AJ1268" s="694"/>
      <c r="AK1268" s="694"/>
      <c r="AL1268" s="694"/>
    </row>
    <row r="1269" spans="1:38" ht="12.75" customHeight="1" x14ac:dyDescent="0.25">
      <c r="A1269" s="694"/>
      <c r="B1269" s="298"/>
      <c r="C1269" s="1302"/>
      <c r="D1269" s="625" t="s">
        <v>6</v>
      </c>
      <c r="E1269" s="2817" t="str">
        <f>Translations!$B$529</f>
        <v>За тази подинсталация отнасят ли се други получени или подадени вътрешни пораждащи емисии потоци?</v>
      </c>
      <c r="F1269" s="2240"/>
      <c r="G1269" s="2240"/>
      <c r="H1269" s="2240"/>
      <c r="I1269" s="2240"/>
      <c r="J1269" s="2240"/>
      <c r="K1269" s="2684"/>
      <c r="L1269" s="83"/>
      <c r="M1269" s="1322"/>
      <c r="N1269" s="1323"/>
      <c r="O1269" s="302"/>
      <c r="P1269" s="158"/>
      <c r="Q1269" s="729"/>
      <c r="R1269" s="694"/>
      <c r="S1269" s="729"/>
      <c r="T1269" s="694"/>
      <c r="U1269" s="694"/>
      <c r="V1269" s="694"/>
      <c r="W1269" s="694"/>
      <c r="X1269" s="694"/>
      <c r="Y1269" s="694"/>
      <c r="Z1269" s="694"/>
      <c r="AA1269" s="694"/>
      <c r="AB1269" s="694"/>
      <c r="AC1269" s="694"/>
      <c r="AD1269" s="694"/>
      <c r="AE1269" s="694"/>
      <c r="AF1269" s="1182" t="s">
        <v>737</v>
      </c>
      <c r="AG1269" s="901" t="b">
        <f>AND(CNTR_ExistSubInstEntries,I1137="")</f>
        <v>0</v>
      </c>
      <c r="AH1269" s="694"/>
      <c r="AI1269" s="694"/>
      <c r="AJ1269" s="694"/>
      <c r="AK1269" s="694"/>
      <c r="AL1269" s="694"/>
    </row>
    <row r="1270" spans="1:38" ht="12.75" customHeight="1" x14ac:dyDescent="0.25">
      <c r="A1270" s="694"/>
      <c r="B1270" s="298"/>
      <c r="C1270" s="1302"/>
      <c r="D1270" s="1306"/>
      <c r="E1270" s="2810" t="str">
        <f>Translations!$B$530</f>
        <v>Ако има над два получени или подадени пораждащи емисии потока, тези няколко пораждащи емисии потока следва да се групират заедно и да се посочат имената им.</v>
      </c>
      <c r="F1270" s="2240"/>
      <c r="G1270" s="2240"/>
      <c r="H1270" s="2240"/>
      <c r="I1270" s="2240"/>
      <c r="J1270" s="2240"/>
      <c r="K1270" s="2240"/>
      <c r="L1270" s="2240"/>
      <c r="M1270" s="2240"/>
      <c r="N1270" s="2811"/>
      <c r="O1270" s="302"/>
      <c r="P1270" s="302"/>
      <c r="Q1270" s="729"/>
      <c r="R1270" s="694"/>
      <c r="S1270" s="729"/>
      <c r="T1270" s="694"/>
      <c r="U1270" s="694"/>
      <c r="V1270" s="694"/>
      <c r="W1270" s="694"/>
      <c r="X1270" s="694"/>
      <c r="Y1270" s="694"/>
      <c r="Z1270" s="694"/>
      <c r="AA1270" s="694"/>
      <c r="AB1270" s="694"/>
      <c r="AC1270" s="694"/>
      <c r="AD1270" s="694"/>
      <c r="AE1270" s="694"/>
      <c r="AF1270" s="694"/>
      <c r="AG1270" s="694"/>
      <c r="AH1270" s="694"/>
      <c r="AI1270" s="694"/>
      <c r="AJ1270" s="694"/>
      <c r="AK1270" s="694"/>
      <c r="AL1270" s="694"/>
    </row>
    <row r="1271" spans="1:38" ht="12.75" customHeight="1" x14ac:dyDescent="0.25">
      <c r="A1271" s="694"/>
      <c r="B1271" s="298"/>
      <c r="C1271" s="1302"/>
      <c r="D1271" s="625" t="s">
        <v>7</v>
      </c>
      <c r="E1271" s="2815" t="str">
        <f>Translations!$B$531</f>
        <v>Име на други пораждащи емисии потоци — 1:</v>
      </c>
      <c r="F1271" s="2240"/>
      <c r="G1271" s="2240"/>
      <c r="H1271" s="2684"/>
      <c r="I1271" s="2821"/>
      <c r="J1271" s="2834"/>
      <c r="K1271" s="2834"/>
      <c r="L1271" s="2834"/>
      <c r="M1271" s="2835"/>
      <c r="N1271" s="1324"/>
      <c r="O1271" s="302"/>
      <c r="P1271" s="158"/>
      <c r="Q1271" s="729"/>
      <c r="R1271" s="694"/>
      <c r="S1271" s="729"/>
      <c r="T1271" s="694"/>
      <c r="U1271" s="694"/>
      <c r="V1271" s="694"/>
      <c r="W1271" s="694"/>
      <c r="X1271" s="694"/>
      <c r="Y1271" s="694"/>
      <c r="Z1271" s="694"/>
      <c r="AA1271" s="694"/>
      <c r="AB1271" s="694"/>
      <c r="AC1271" s="1182" t="s">
        <v>737</v>
      </c>
      <c r="AD1271" s="901" t="b">
        <f>OR(AG1269,AND($L1269&lt;&gt;"",$L1269=FALSE))</f>
        <v>0</v>
      </c>
      <c r="AE1271" s="694"/>
      <c r="AF1271" s="694"/>
      <c r="AG1271" s="694"/>
      <c r="AH1271" s="694"/>
      <c r="AI1271" s="694"/>
      <c r="AJ1271" s="694"/>
      <c r="AK1271" s="694"/>
      <c r="AL1271" s="694"/>
    </row>
    <row r="1272" spans="1:38" ht="5.15" customHeight="1" x14ac:dyDescent="0.25">
      <c r="A1272" s="694"/>
      <c r="B1272" s="298"/>
      <c r="C1272" s="1302"/>
      <c r="D1272" s="1306"/>
      <c r="E1272" s="1325"/>
      <c r="F1272" s="1322"/>
      <c r="G1272" s="1322"/>
      <c r="H1272" s="1322"/>
      <c r="I1272" s="1322"/>
      <c r="J1272" s="1322"/>
      <c r="K1272" s="1322"/>
      <c r="L1272" s="1322"/>
      <c r="M1272" s="1322"/>
      <c r="N1272" s="1323"/>
      <c r="O1272" s="302"/>
      <c r="P1272" s="302"/>
      <c r="Q1272" s="729"/>
      <c r="R1272" s="694"/>
      <c r="S1272" s="729"/>
      <c r="T1272" s="694"/>
      <c r="U1272" s="694"/>
      <c r="V1272" s="694"/>
      <c r="W1272" s="694"/>
      <c r="X1272" s="694"/>
      <c r="Y1272" s="694"/>
      <c r="Z1272" s="694"/>
      <c r="AA1272" s="694"/>
      <c r="AB1272" s="694"/>
      <c r="AC1272" s="694"/>
      <c r="AD1272" s="694"/>
      <c r="AE1272" s="694"/>
      <c r="AF1272" s="694"/>
      <c r="AG1272" s="694"/>
      <c r="AH1272" s="694"/>
      <c r="AI1272" s="694"/>
      <c r="AJ1272" s="694"/>
      <c r="AK1272" s="694"/>
      <c r="AL1272" s="694"/>
    </row>
    <row r="1273" spans="1:38" ht="12.75" customHeight="1" thickBot="1" x14ac:dyDescent="0.3">
      <c r="A1273" s="694"/>
      <c r="B1273" s="298"/>
      <c r="C1273" s="1302"/>
      <c r="D1273" s="1306"/>
      <c r="E1273" s="2803" t="str">
        <f>Translations!$B$532</f>
        <v>Други пораждащи емисии потоци — 1</v>
      </c>
      <c r="F1273" s="2672"/>
      <c r="G1273" s="1309" t="str">
        <f>EUconst_Unit</f>
        <v>Единица мярка</v>
      </c>
      <c r="H1273" s="629">
        <f t="shared" ref="H1273:N1273" si="1590">H$2831</f>
        <v>2024</v>
      </c>
      <c r="I1273" s="1310">
        <f t="shared" si="1590"/>
        <v>2025</v>
      </c>
      <c r="J1273" s="1311">
        <f t="shared" si="1590"/>
        <v>2026</v>
      </c>
      <c r="K1273" s="629">
        <f t="shared" si="1590"/>
        <v>2027</v>
      </c>
      <c r="L1273" s="629">
        <f t="shared" si="1590"/>
        <v>2028</v>
      </c>
      <c r="M1273" s="629">
        <f t="shared" si="1590"/>
        <v>2029</v>
      </c>
      <c r="N1273" s="1312">
        <f t="shared" si="1590"/>
        <v>2030</v>
      </c>
      <c r="O1273" s="302"/>
      <c r="P1273" s="302"/>
      <c r="Q1273" s="729"/>
      <c r="R1273" s="694"/>
      <c r="S1273" s="729"/>
      <c r="T1273" s="694"/>
      <c r="U1273" s="694"/>
      <c r="V1273" s="694"/>
      <c r="W1273" s="694"/>
      <c r="X1273" s="694"/>
      <c r="Y1273" s="694"/>
      <c r="Z1273" s="694"/>
      <c r="AA1273" s="694"/>
      <c r="AB1273" s="694"/>
      <c r="AC1273" s="1178">
        <f t="shared" ref="AC1273" si="1591">H$20</f>
        <v>2024</v>
      </c>
      <c r="AD1273" s="1178">
        <f t="shared" ref="AD1273" si="1592">I$20</f>
        <v>2025</v>
      </c>
      <c r="AE1273" s="1178">
        <f t="shared" ref="AE1273" si="1593">J$20</f>
        <v>2026</v>
      </c>
      <c r="AF1273" s="1178">
        <f t="shared" ref="AF1273" si="1594">K$20</f>
        <v>2027</v>
      </c>
      <c r="AG1273" s="1178">
        <f t="shared" ref="AG1273" si="1595">L$20</f>
        <v>2028</v>
      </c>
      <c r="AH1273" s="1178">
        <f t="shared" ref="AH1273" si="1596">M$20</f>
        <v>2029</v>
      </c>
      <c r="AI1273" s="1178">
        <f t="shared" ref="AI1273" si="1597">N$20</f>
        <v>2030</v>
      </c>
      <c r="AJ1273" s="694"/>
      <c r="AK1273" s="694"/>
      <c r="AL1273" s="694"/>
    </row>
    <row r="1274" spans="1:38" ht="12.75" customHeight="1" x14ac:dyDescent="0.25">
      <c r="A1274" s="694"/>
      <c r="B1274" s="298"/>
      <c r="C1274" s="1302"/>
      <c r="D1274" s="625" t="s">
        <v>8</v>
      </c>
      <c r="E1274" s="2818" t="str">
        <f>Translations!$B$533</f>
        <v>Получено или подадено количество</v>
      </c>
      <c r="F1274" s="2701"/>
      <c r="G1274" s="1326" t="str">
        <f>EUconst_tpa</f>
        <v>t / година</v>
      </c>
      <c r="H1274" s="129"/>
      <c r="I1274" s="130"/>
      <c r="J1274" s="131"/>
      <c r="K1274" s="129"/>
      <c r="L1274" s="129"/>
      <c r="M1274" s="129"/>
      <c r="N1274" s="132"/>
      <c r="O1274" s="302"/>
      <c r="P1274" s="158"/>
      <c r="Q1274" s="729"/>
      <c r="R1274" s="694"/>
      <c r="S1274" s="729"/>
      <c r="T1274" s="694"/>
      <c r="U1274" s="694"/>
      <c r="V1274" s="694"/>
      <c r="W1274" s="694"/>
      <c r="X1274" s="694"/>
      <c r="Y1274" s="694"/>
      <c r="Z1274" s="694"/>
      <c r="AA1274" s="694"/>
      <c r="AB1274" s="1182" t="s">
        <v>737</v>
      </c>
      <c r="AC1274" s="901" t="b">
        <f>OR(AND($L1269&lt;&gt;"",$L1269=FALSE),AC1184)</f>
        <v>0</v>
      </c>
      <c r="AD1274" s="982" t="b">
        <f t="shared" ref="AD1274:AI1274" si="1598">OR(AND($L1269&lt;&gt;"",$L1269=FALSE),AD1184)</f>
        <v>0</v>
      </c>
      <c r="AE1274" s="982" t="b">
        <f t="shared" si="1598"/>
        <v>0</v>
      </c>
      <c r="AF1274" s="982" t="b">
        <f t="shared" si="1598"/>
        <v>0</v>
      </c>
      <c r="AG1274" s="982" t="b">
        <f t="shared" si="1598"/>
        <v>0</v>
      </c>
      <c r="AH1274" s="982" t="b">
        <f t="shared" si="1598"/>
        <v>0</v>
      </c>
      <c r="AI1274" s="982" t="b">
        <f t="shared" si="1598"/>
        <v>0</v>
      </c>
      <c r="AJ1274" s="1174" t="s">
        <v>2039</v>
      </c>
      <c r="AK1274" s="1176" t="str">
        <f>IF(AND(CNTR_ExistSubInstEntries,MSconst_RequireSubAttrEmissions,COUNTIFS(AC1274:AI1274,FALSE,H1274:N1274,"")&gt;0),EUconst_Error&amp;"BM"&amp;$Q1137,"")</f>
        <v/>
      </c>
      <c r="AL1274" s="694"/>
    </row>
    <row r="1275" spans="1:38" ht="12.75" customHeight="1" x14ac:dyDescent="0.25">
      <c r="A1275" s="694"/>
      <c r="B1275" s="298"/>
      <c r="C1275" s="1302"/>
      <c r="D1275" s="625" t="s">
        <v>18</v>
      </c>
      <c r="E1275" s="2831" t="str">
        <f>Translations!$B$534</f>
        <v>Долна топлина на изгаряне (NCV), ако е приложимо</v>
      </c>
      <c r="F1275" s="2703"/>
      <c r="G1275" s="1327" t="str">
        <f>EUconst_GJpt</f>
        <v>GJ / t</v>
      </c>
      <c r="H1275" s="133"/>
      <c r="I1275" s="134"/>
      <c r="J1275" s="135"/>
      <c r="K1275" s="133"/>
      <c r="L1275" s="133"/>
      <c r="M1275" s="133"/>
      <c r="N1275" s="136"/>
      <c r="O1275" s="302"/>
      <c r="P1275" s="158"/>
      <c r="Q1275" s="729"/>
      <c r="R1275" s="694"/>
      <c r="S1275" s="729"/>
      <c r="T1275" s="694"/>
      <c r="U1275" s="694"/>
      <c r="V1275" s="694"/>
      <c r="W1275" s="694"/>
      <c r="X1275" s="694"/>
      <c r="Y1275" s="694"/>
      <c r="Z1275" s="694"/>
      <c r="AA1275" s="694"/>
      <c r="AB1275" s="694"/>
      <c r="AC1275" s="982" t="b">
        <f t="shared" ref="AC1275:AI1275" si="1599">AC1274</f>
        <v>0</v>
      </c>
      <c r="AD1275" s="982" t="b">
        <f t="shared" si="1599"/>
        <v>0</v>
      </c>
      <c r="AE1275" s="982" t="b">
        <f t="shared" si="1599"/>
        <v>0</v>
      </c>
      <c r="AF1275" s="982" t="b">
        <f t="shared" si="1599"/>
        <v>0</v>
      </c>
      <c r="AG1275" s="982" t="b">
        <f t="shared" si="1599"/>
        <v>0</v>
      </c>
      <c r="AH1275" s="982" t="b">
        <f t="shared" si="1599"/>
        <v>0</v>
      </c>
      <c r="AI1275" s="982" t="b">
        <f t="shared" si="1599"/>
        <v>0</v>
      </c>
      <c r="AJ1275" s="1174" t="s">
        <v>2039</v>
      </c>
      <c r="AK1275" s="1176" t="str">
        <f>IF(AND(CNTR_ExistSubInstEntries,MSconst_RequireSubAttrEmissions,COUNTIFS(AC1275:AI1275,FALSE,H1275:N1275,"")&gt;0),EUconst_Error&amp;"BM"&amp;$Q1137,"")</f>
        <v/>
      </c>
      <c r="AL1275" s="694"/>
    </row>
    <row r="1276" spans="1:38" ht="12.75" customHeight="1" thickBot="1" x14ac:dyDescent="0.3">
      <c r="A1276" s="694"/>
      <c r="B1276" s="298"/>
      <c r="C1276" s="1302"/>
      <c r="D1276" s="625" t="s">
        <v>810</v>
      </c>
      <c r="E1276" s="2831" t="str">
        <f>Translations!$B$535</f>
        <v>Въглеродно съдържание (тегловни %)</v>
      </c>
      <c r="F1276" s="2703"/>
      <c r="G1276" s="1328" t="s">
        <v>903</v>
      </c>
      <c r="H1276" s="133"/>
      <c r="I1276" s="134"/>
      <c r="J1276" s="135"/>
      <c r="K1276" s="133"/>
      <c r="L1276" s="133"/>
      <c r="M1276" s="133"/>
      <c r="N1276" s="136"/>
      <c r="O1276" s="302"/>
      <c r="P1276" s="158"/>
      <c r="Q1276" s="729"/>
      <c r="R1276" s="694"/>
      <c r="S1276" s="729"/>
      <c r="T1276" s="694"/>
      <c r="U1276" s="694"/>
      <c r="V1276" s="694"/>
      <c r="W1276" s="694"/>
      <c r="X1276" s="694"/>
      <c r="Y1276" s="694"/>
      <c r="Z1276" s="694"/>
      <c r="AA1276" s="694"/>
      <c r="AB1276" s="694"/>
      <c r="AC1276" s="982" t="b">
        <f t="shared" ref="AC1276:AI1276" si="1600">AC1275</f>
        <v>0</v>
      </c>
      <c r="AD1276" s="982" t="b">
        <f t="shared" si="1600"/>
        <v>0</v>
      </c>
      <c r="AE1276" s="982" t="b">
        <f t="shared" si="1600"/>
        <v>0</v>
      </c>
      <c r="AF1276" s="982" t="b">
        <f t="shared" si="1600"/>
        <v>0</v>
      </c>
      <c r="AG1276" s="982" t="b">
        <f t="shared" si="1600"/>
        <v>0</v>
      </c>
      <c r="AH1276" s="982" t="b">
        <f t="shared" si="1600"/>
        <v>0</v>
      </c>
      <c r="AI1276" s="982" t="b">
        <f t="shared" si="1600"/>
        <v>0</v>
      </c>
      <c r="AJ1276" s="1174" t="s">
        <v>2039</v>
      </c>
      <c r="AK1276" s="1176" t="str">
        <f>IF(AND(CNTR_ExistSubInstEntries,MSconst_RequireSubAttrEmissions,COUNTIFS(AC1276:AI1276,FALSE,H1276:N1276,"")&gt;0),EUconst_Error&amp;"BM"&amp;$Q1137,"")</f>
        <v/>
      </c>
      <c r="AL1276" s="694"/>
    </row>
    <row r="1277" spans="1:38" ht="12.75" customHeight="1" x14ac:dyDescent="0.25">
      <c r="A1277" s="694"/>
      <c r="B1277" s="298"/>
      <c r="C1277" s="1302"/>
      <c r="D1277" s="625" t="s">
        <v>811</v>
      </c>
      <c r="E1277" s="2828" t="str">
        <f>Translations!$B$536</f>
        <v>Съдържание на биомаса (като дял от въглеродното съдържание)</v>
      </c>
      <c r="F1277" s="2705"/>
      <c r="G1277" s="1329" t="s">
        <v>903</v>
      </c>
      <c r="H1277" s="137"/>
      <c r="I1277" s="138"/>
      <c r="J1277" s="139"/>
      <c r="K1277" s="137"/>
      <c r="L1277" s="137"/>
      <c r="M1277" s="137"/>
      <c r="N1277" s="140"/>
      <c r="O1277" s="302"/>
      <c r="P1277" s="158"/>
      <c r="Q1277" s="729"/>
      <c r="R1277" s="694"/>
      <c r="S1277" s="1205"/>
      <c r="T1277" s="1313">
        <f t="shared" ref="T1277" si="1601">H1273</f>
        <v>2024</v>
      </c>
      <c r="U1277" s="1313">
        <f t="shared" ref="U1277" si="1602">I1273</f>
        <v>2025</v>
      </c>
      <c r="V1277" s="1313">
        <f t="shared" ref="V1277" si="1603">J1273</f>
        <v>2026</v>
      </c>
      <c r="W1277" s="1313">
        <f t="shared" ref="W1277" si="1604">K1273</f>
        <v>2027</v>
      </c>
      <c r="X1277" s="1313">
        <f t="shared" ref="X1277" si="1605">L1273</f>
        <v>2028</v>
      </c>
      <c r="Y1277" s="1313">
        <f t="shared" ref="Y1277" si="1606">M1273</f>
        <v>2029</v>
      </c>
      <c r="Z1277" s="1314">
        <f t="shared" ref="Z1277" si="1607">N1273</f>
        <v>2030</v>
      </c>
      <c r="AA1277" s="694"/>
      <c r="AB1277" s="694"/>
      <c r="AC1277" s="982" t="b">
        <f t="shared" ref="AC1277:AI1277" si="1608">AC1276</f>
        <v>0</v>
      </c>
      <c r="AD1277" s="982" t="b">
        <f t="shared" si="1608"/>
        <v>0</v>
      </c>
      <c r="AE1277" s="982" t="b">
        <f t="shared" si="1608"/>
        <v>0</v>
      </c>
      <c r="AF1277" s="982" t="b">
        <f t="shared" si="1608"/>
        <v>0</v>
      </c>
      <c r="AG1277" s="982" t="b">
        <f t="shared" si="1608"/>
        <v>0</v>
      </c>
      <c r="AH1277" s="982" t="b">
        <f t="shared" si="1608"/>
        <v>0</v>
      </c>
      <c r="AI1277" s="982" t="b">
        <f t="shared" si="1608"/>
        <v>0</v>
      </c>
      <c r="AJ1277" s="1174" t="s">
        <v>2039</v>
      </c>
      <c r="AK1277" s="1176" t="str">
        <f>IF(AND(CNTR_ExistSubInstEntries,MSconst_RequireSubAttrEmissions,COUNTIFS(AC1277:AI1277,FALSE,H1277:N1277,"")&gt;0),EUconst_Error&amp;"BM"&amp;$Q1137,"")</f>
        <v/>
      </c>
      <c r="AL1277" s="694"/>
    </row>
    <row r="1278" spans="1:38" ht="12.75" customHeight="1" thickBot="1" x14ac:dyDescent="0.3">
      <c r="A1278" s="694"/>
      <c r="B1278" s="298"/>
      <c r="C1278" s="1302"/>
      <c r="D1278" s="625" t="s">
        <v>812</v>
      </c>
      <c r="E1278" s="2832" t="str">
        <f>Translations!$B$537</f>
        <v>Емисии (от горива, изчислени)</v>
      </c>
      <c r="F1278" s="2701"/>
      <c r="G1278" s="1330" t="str">
        <f>EUconst_tCO2pa</f>
        <v>t CO2 / година</v>
      </c>
      <c r="H1278" s="1331" t="str">
        <f t="shared" ref="H1278:N1278" si="1609">IF(AND(COUNT(H1274:H1277)&gt;0,H1281=""),3.664*H1274*(H1276/100)*(1-H1277/100),"")</f>
        <v/>
      </c>
      <c r="I1278" s="1332" t="str">
        <f t="shared" si="1609"/>
        <v/>
      </c>
      <c r="J1278" s="1333" t="str">
        <f t="shared" si="1609"/>
        <v/>
      </c>
      <c r="K1278" s="1331" t="str">
        <f t="shared" si="1609"/>
        <v/>
      </c>
      <c r="L1278" s="1331" t="str">
        <f t="shared" si="1609"/>
        <v/>
      </c>
      <c r="M1278" s="1331" t="str">
        <f t="shared" si="1609"/>
        <v/>
      </c>
      <c r="N1278" s="1334" t="str">
        <f t="shared" si="1609"/>
        <v/>
      </c>
      <c r="O1278" s="302"/>
      <c r="P1278" s="302"/>
      <c r="Q1278" s="1190" t="str">
        <f>EUconst_CNTR_EmissionsIntSource1 &amp; I1137</f>
        <v>EmInternalSource1_</v>
      </c>
      <c r="R1278" s="694"/>
      <c r="S1278" s="1315" t="str">
        <f>EUconst_CNTR_AttributedEmissions &amp; I1137</f>
        <v>AttrEmissions_</v>
      </c>
      <c r="T1278" s="1290" t="str">
        <f t="shared" ref="T1278" si="1610">IF(T1145,SUM(H1278),"")</f>
        <v/>
      </c>
      <c r="U1278" s="1290" t="str">
        <f t="shared" ref="U1278" si="1611">IF(U1145,SUM(I1278),"")</f>
        <v/>
      </c>
      <c r="V1278" s="1290" t="str">
        <f t="shared" ref="V1278" si="1612">IF(V1145,SUM(J1278),"")</f>
        <v/>
      </c>
      <c r="W1278" s="1290" t="str">
        <f t="shared" ref="W1278" si="1613">IF(W1145,SUM(K1278),"")</f>
        <v/>
      </c>
      <c r="X1278" s="1290" t="str">
        <f t="shared" ref="X1278" si="1614">IF(X1145,SUM(L1278),"")</f>
        <v/>
      </c>
      <c r="Y1278" s="1290" t="str">
        <f t="shared" ref="Y1278" si="1615">IF(Y1145,SUM(M1278),"")</f>
        <v/>
      </c>
      <c r="Z1278" s="1291" t="str">
        <f t="shared" ref="Z1278" si="1616">IF(Z1145,SUM(N1278),"")</f>
        <v/>
      </c>
      <c r="AA1278" s="694"/>
      <c r="AB1278" s="694"/>
      <c r="AC1278" s="694"/>
      <c r="AD1278" s="694"/>
      <c r="AE1278" s="694"/>
      <c r="AF1278" s="694"/>
      <c r="AG1278" s="694"/>
      <c r="AH1278" s="694"/>
      <c r="AI1278" s="694"/>
      <c r="AJ1278" s="694"/>
      <c r="AK1278" s="694"/>
      <c r="AL1278" s="694"/>
    </row>
    <row r="1279" spans="1:38" ht="12.75" customHeight="1" x14ac:dyDescent="0.25">
      <c r="A1279" s="694"/>
      <c r="B1279" s="298"/>
      <c r="C1279" s="1302"/>
      <c r="D1279" s="625" t="s">
        <v>813</v>
      </c>
      <c r="E1279" s="2833" t="str">
        <f>Translations!$B$538</f>
        <v>Допълнителна информация за справка: Емисии от биомаса</v>
      </c>
      <c r="F1279" s="2703"/>
      <c r="G1279" s="1335" t="str">
        <f>EUconst_tCO2pa</f>
        <v>t CO2 / година</v>
      </c>
      <c r="H1279" s="1336" t="str">
        <f t="shared" ref="H1279:N1279" si="1617">IF(ISNUMBER(H1278),3.664*H1274*(H1276/100)*(H1277/100),"")</f>
        <v/>
      </c>
      <c r="I1279" s="1337" t="str">
        <f t="shared" si="1617"/>
        <v/>
      </c>
      <c r="J1279" s="1338" t="str">
        <f t="shared" si="1617"/>
        <v/>
      </c>
      <c r="K1279" s="1336" t="str">
        <f t="shared" si="1617"/>
        <v/>
      </c>
      <c r="L1279" s="1336" t="str">
        <f t="shared" si="1617"/>
        <v/>
      </c>
      <c r="M1279" s="1336" t="str">
        <f t="shared" si="1617"/>
        <v/>
      </c>
      <c r="N1279" s="1339" t="str">
        <f t="shared" si="1617"/>
        <v/>
      </c>
      <c r="O1279" s="302"/>
      <c r="P1279" s="302"/>
      <c r="Q1279" s="729"/>
      <c r="R1279" s="694"/>
      <c r="S1279" s="729"/>
      <c r="T1279" s="694"/>
      <c r="U1279" s="694"/>
      <c r="V1279" s="694"/>
      <c r="W1279" s="694"/>
      <c r="X1279" s="694"/>
      <c r="Y1279" s="694"/>
      <c r="Z1279" s="694"/>
      <c r="AA1279" s="694"/>
      <c r="AB1279" s="694"/>
      <c r="AC1279" s="694"/>
      <c r="AD1279" s="694"/>
      <c r="AE1279" s="694"/>
      <c r="AF1279" s="694"/>
      <c r="AG1279" s="694"/>
      <c r="AH1279" s="694"/>
      <c r="AI1279" s="694"/>
      <c r="AJ1279" s="694"/>
      <c r="AK1279" s="694"/>
      <c r="AL1279" s="694"/>
    </row>
    <row r="1280" spans="1:38" ht="12.75" customHeight="1" x14ac:dyDescent="0.25">
      <c r="A1280" s="694"/>
      <c r="B1280" s="298"/>
      <c r="C1280" s="1302"/>
      <c r="D1280" s="625" t="s">
        <v>814</v>
      </c>
      <c r="E1280" s="2828" t="str">
        <f>Translations!$B$539</f>
        <v>Енергийно съдържание (изчислено)</v>
      </c>
      <c r="F1280" s="2705"/>
      <c r="G1280" s="1340" t="str">
        <f>EUconst_TJpa</f>
        <v>TJ / година</v>
      </c>
      <c r="H1280" s="1104" t="str">
        <f t="shared" ref="H1280:N1280" si="1618">IF(COUNT(H1274:H1275)=2,H1274*H1275/1000,"")</f>
        <v/>
      </c>
      <c r="I1280" s="1296" t="str">
        <f t="shared" si="1618"/>
        <v/>
      </c>
      <c r="J1280" s="1297" t="str">
        <f t="shared" si="1618"/>
        <v/>
      </c>
      <c r="K1280" s="1104" t="str">
        <f t="shared" si="1618"/>
        <v/>
      </c>
      <c r="L1280" s="1104" t="str">
        <f t="shared" si="1618"/>
        <v/>
      </c>
      <c r="M1280" s="1104" t="str">
        <f t="shared" si="1618"/>
        <v/>
      </c>
      <c r="N1280" s="1341" t="str">
        <f t="shared" si="1618"/>
        <v/>
      </c>
      <c r="O1280" s="302"/>
      <c r="P1280" s="302"/>
      <c r="Q1280" s="729"/>
      <c r="R1280" s="694"/>
      <c r="S1280" s="729"/>
      <c r="T1280" s="694"/>
      <c r="U1280" s="694"/>
      <c r="V1280" s="694"/>
      <c r="W1280" s="694"/>
      <c r="X1280" s="694"/>
      <c r="Y1280" s="694"/>
      <c r="Z1280" s="694"/>
      <c r="AA1280" s="694"/>
      <c r="AB1280" s="694"/>
      <c r="AC1280" s="694"/>
      <c r="AD1280" s="694"/>
      <c r="AE1280" s="694"/>
      <c r="AF1280" s="694"/>
      <c r="AG1280" s="694"/>
      <c r="AH1280" s="694"/>
      <c r="AI1280" s="694"/>
      <c r="AJ1280" s="694"/>
      <c r="AK1280" s="694"/>
      <c r="AL1280" s="694"/>
    </row>
    <row r="1281" spans="1:38" ht="12.75" customHeight="1" x14ac:dyDescent="0.25">
      <c r="A1281" s="694"/>
      <c r="B1281" s="298"/>
      <c r="C1281" s="1302"/>
      <c r="D1281" s="625" t="s">
        <v>61</v>
      </c>
      <c r="E1281" s="2829" t="str">
        <f>Translations!$B$540</f>
        <v>Съобщения за грешка (емисии)</v>
      </c>
      <c r="F1281" s="2830"/>
      <c r="G1281" s="1342"/>
      <c r="H1281" s="1343" t="str">
        <f t="shared" ref="H1281:N1281" si="1619">IF(COUNT(H1274,H1276:H1277)&gt;0,IF(COUNTIF(H1275:H1277,"&lt;0")&gt;0,EUconst_Negative,IF(COUNT(H1274,H1276:H1277)&lt;3,EUconst_Incomplete,"")),"")</f>
        <v/>
      </c>
      <c r="I1281" s="1344" t="str">
        <f t="shared" si="1619"/>
        <v/>
      </c>
      <c r="J1281" s="1345" t="str">
        <f t="shared" si="1619"/>
        <v/>
      </c>
      <c r="K1281" s="1343" t="str">
        <f t="shared" si="1619"/>
        <v/>
      </c>
      <c r="L1281" s="1343" t="str">
        <f t="shared" si="1619"/>
        <v/>
      </c>
      <c r="M1281" s="1343" t="str">
        <f t="shared" si="1619"/>
        <v/>
      </c>
      <c r="N1281" s="1346" t="str">
        <f t="shared" si="1619"/>
        <v/>
      </c>
      <c r="O1281" s="302"/>
      <c r="P1281" s="302"/>
      <c r="Q1281" s="729"/>
      <c r="R1281" s="694"/>
      <c r="S1281" s="729"/>
      <c r="T1281" s="694"/>
      <c r="U1281" s="694"/>
      <c r="V1281" s="694"/>
      <c r="W1281" s="694"/>
      <c r="X1281" s="694"/>
      <c r="Y1281" s="694"/>
      <c r="Z1281" s="694"/>
      <c r="AA1281" s="694"/>
      <c r="AB1281" s="694"/>
      <c r="AC1281" s="694"/>
      <c r="AD1281" s="694"/>
      <c r="AE1281" s="694"/>
      <c r="AF1281" s="694"/>
      <c r="AG1281" s="694"/>
      <c r="AH1281" s="694"/>
      <c r="AI1281" s="694"/>
      <c r="AJ1281" s="694"/>
      <c r="AK1281" s="694"/>
      <c r="AL1281" s="694"/>
    </row>
    <row r="1282" spans="1:38" ht="12.75" customHeight="1" x14ac:dyDescent="0.25">
      <c r="A1282" s="694"/>
      <c r="B1282" s="298"/>
      <c r="C1282" s="1302"/>
      <c r="D1282" s="625"/>
      <c r="E1282" s="1306"/>
      <c r="F1282" s="1306"/>
      <c r="G1282" s="1306"/>
      <c r="H1282" s="1306"/>
      <c r="I1282" s="1306"/>
      <c r="J1282" s="1306"/>
      <c r="K1282" s="1306"/>
      <c r="L1282" s="1306"/>
      <c r="M1282" s="626"/>
      <c r="N1282" s="1316"/>
      <c r="O1282" s="302"/>
      <c r="P1282" s="302"/>
      <c r="Q1282" s="729"/>
      <c r="R1282" s="694"/>
      <c r="S1282" s="729"/>
      <c r="T1282" s="694"/>
      <c r="U1282" s="694"/>
      <c r="V1282" s="694"/>
      <c r="W1282" s="694"/>
      <c r="X1282" s="694"/>
      <c r="Y1282" s="694"/>
      <c r="Z1282" s="694"/>
      <c r="AA1282" s="694"/>
      <c r="AB1282" s="694"/>
      <c r="AC1282" s="694"/>
      <c r="AD1282" s="694"/>
      <c r="AE1282" s="694"/>
      <c r="AF1282" s="694"/>
      <c r="AG1282" s="694"/>
      <c r="AH1282" s="694"/>
      <c r="AI1282" s="694"/>
      <c r="AJ1282" s="694"/>
      <c r="AK1282" s="694"/>
      <c r="AL1282" s="694"/>
    </row>
    <row r="1283" spans="1:38" ht="12.75" customHeight="1" x14ac:dyDescent="0.25">
      <c r="A1283" s="694"/>
      <c r="B1283" s="298"/>
      <c r="C1283" s="1302"/>
      <c r="D1283" s="625" t="s">
        <v>62</v>
      </c>
      <c r="E1283" s="2815" t="str">
        <f>Translations!$B$541</f>
        <v>Име на други пораждащи емисии потоци — 2:</v>
      </c>
      <c r="F1283" s="2240"/>
      <c r="G1283" s="2240"/>
      <c r="H1283" s="2684"/>
      <c r="I1283" s="2821"/>
      <c r="J1283" s="2674"/>
      <c r="K1283" s="2674"/>
      <c r="L1283" s="2674"/>
      <c r="M1283" s="2675"/>
      <c r="N1283" s="1323"/>
      <c r="O1283" s="302"/>
      <c r="P1283" s="158"/>
      <c r="Q1283" s="729"/>
      <c r="R1283" s="694"/>
      <c r="S1283" s="729"/>
      <c r="T1283" s="694"/>
      <c r="U1283" s="694"/>
      <c r="V1283" s="694"/>
      <c r="W1283" s="694"/>
      <c r="X1283" s="694"/>
      <c r="Y1283" s="694"/>
      <c r="Z1283" s="694"/>
      <c r="AA1283" s="694"/>
      <c r="AB1283" s="694"/>
      <c r="AC1283" s="1182" t="s">
        <v>737</v>
      </c>
      <c r="AD1283" s="982" t="b">
        <f>AD1271</f>
        <v>0</v>
      </c>
      <c r="AE1283" s="694"/>
      <c r="AF1283" s="694"/>
      <c r="AG1283" s="694"/>
      <c r="AH1283" s="694"/>
      <c r="AI1283" s="694"/>
      <c r="AJ1283" s="694"/>
      <c r="AK1283" s="694"/>
      <c r="AL1283" s="694"/>
    </row>
    <row r="1284" spans="1:38" ht="5.15" customHeight="1" x14ac:dyDescent="0.25">
      <c r="A1284" s="694"/>
      <c r="B1284" s="298"/>
      <c r="C1284" s="1302"/>
      <c r="D1284" s="1306"/>
      <c r="E1284" s="1325"/>
      <c r="F1284" s="1322"/>
      <c r="G1284" s="1306"/>
      <c r="H1284" s="1306"/>
      <c r="I1284" s="1322"/>
      <c r="J1284" s="1322"/>
      <c r="K1284" s="1322"/>
      <c r="L1284" s="1322"/>
      <c r="M1284" s="1322"/>
      <c r="N1284" s="1323"/>
      <c r="O1284" s="302"/>
      <c r="P1284" s="302"/>
      <c r="Q1284" s="729"/>
      <c r="R1284" s="694"/>
      <c r="S1284" s="729"/>
      <c r="T1284" s="694"/>
      <c r="U1284" s="694"/>
      <c r="V1284" s="694"/>
      <c r="W1284" s="694"/>
      <c r="X1284" s="694"/>
      <c r="Y1284" s="694"/>
      <c r="Z1284" s="694"/>
      <c r="AA1284" s="694"/>
      <c r="AB1284" s="694"/>
      <c r="AC1284" s="694"/>
      <c r="AD1284" s="694"/>
      <c r="AE1284" s="694"/>
      <c r="AF1284" s="694"/>
      <c r="AG1284" s="694"/>
      <c r="AH1284" s="694"/>
      <c r="AI1284" s="694"/>
      <c r="AJ1284" s="694"/>
      <c r="AK1284" s="694"/>
      <c r="AL1284" s="694"/>
    </row>
    <row r="1285" spans="1:38" ht="12.75" customHeight="1" thickBot="1" x14ac:dyDescent="0.3">
      <c r="A1285" s="694"/>
      <c r="B1285" s="298"/>
      <c r="C1285" s="1302"/>
      <c r="D1285" s="625"/>
      <c r="E1285" s="2803" t="str">
        <f>Translations!$B$542</f>
        <v>Други пораждащи емисии потоци — 2</v>
      </c>
      <c r="F1285" s="2672"/>
      <c r="G1285" s="1309" t="str">
        <f>EUconst_Unit</f>
        <v>Единица мярка</v>
      </c>
      <c r="H1285" s="629">
        <f t="shared" ref="H1285:N1285" si="1620">H$2831</f>
        <v>2024</v>
      </c>
      <c r="I1285" s="1310">
        <f t="shared" si="1620"/>
        <v>2025</v>
      </c>
      <c r="J1285" s="1311">
        <f t="shared" si="1620"/>
        <v>2026</v>
      </c>
      <c r="K1285" s="629">
        <f t="shared" si="1620"/>
        <v>2027</v>
      </c>
      <c r="L1285" s="629">
        <f t="shared" si="1620"/>
        <v>2028</v>
      </c>
      <c r="M1285" s="629">
        <f t="shared" si="1620"/>
        <v>2029</v>
      </c>
      <c r="N1285" s="1312">
        <f t="shared" si="1620"/>
        <v>2030</v>
      </c>
      <c r="O1285" s="302"/>
      <c r="P1285" s="302"/>
      <c r="Q1285" s="729"/>
      <c r="R1285" s="694"/>
      <c r="S1285" s="729"/>
      <c r="T1285" s="694"/>
      <c r="U1285" s="694"/>
      <c r="V1285" s="694"/>
      <c r="W1285" s="694"/>
      <c r="X1285" s="694"/>
      <c r="Y1285" s="694"/>
      <c r="Z1285" s="694"/>
      <c r="AA1285" s="694"/>
      <c r="AB1285" s="694"/>
      <c r="AC1285" s="1178">
        <f t="shared" ref="AC1285" si="1621">H$20</f>
        <v>2024</v>
      </c>
      <c r="AD1285" s="1178">
        <f t="shared" ref="AD1285" si="1622">I$20</f>
        <v>2025</v>
      </c>
      <c r="AE1285" s="1178">
        <f t="shared" ref="AE1285" si="1623">J$20</f>
        <v>2026</v>
      </c>
      <c r="AF1285" s="1178">
        <f t="shared" ref="AF1285" si="1624">K$20</f>
        <v>2027</v>
      </c>
      <c r="AG1285" s="1178">
        <f t="shared" ref="AG1285" si="1625">L$20</f>
        <v>2028</v>
      </c>
      <c r="AH1285" s="1178">
        <f t="shared" ref="AH1285" si="1626">M$20</f>
        <v>2029</v>
      </c>
      <c r="AI1285" s="1178">
        <f t="shared" ref="AI1285" si="1627">N$20</f>
        <v>2030</v>
      </c>
      <c r="AJ1285" s="694"/>
      <c r="AK1285" s="694"/>
      <c r="AL1285" s="694"/>
    </row>
    <row r="1286" spans="1:38" ht="12.75" customHeight="1" x14ac:dyDescent="0.25">
      <c r="A1286" s="694"/>
      <c r="B1286" s="298"/>
      <c r="C1286" s="1302"/>
      <c r="D1286" s="625" t="s">
        <v>63</v>
      </c>
      <c r="E1286" s="2818" t="str">
        <f>Translations!$B$533</f>
        <v>Получено или подадено количество</v>
      </c>
      <c r="F1286" s="2701"/>
      <c r="G1286" s="1326" t="str">
        <f>EUconst_tpa</f>
        <v>t / година</v>
      </c>
      <c r="H1286" s="129"/>
      <c r="I1286" s="130"/>
      <c r="J1286" s="131"/>
      <c r="K1286" s="129"/>
      <c r="L1286" s="129"/>
      <c r="M1286" s="129"/>
      <c r="N1286" s="132"/>
      <c r="O1286" s="302"/>
      <c r="P1286" s="158"/>
      <c r="Q1286" s="729"/>
      <c r="R1286" s="694"/>
      <c r="S1286" s="729"/>
      <c r="T1286" s="694"/>
      <c r="U1286" s="694"/>
      <c r="V1286" s="694"/>
      <c r="W1286" s="694"/>
      <c r="X1286" s="694"/>
      <c r="Y1286" s="694"/>
      <c r="Z1286" s="694"/>
      <c r="AA1286" s="694"/>
      <c r="AB1286" s="1182" t="s">
        <v>737</v>
      </c>
      <c r="AC1286" s="982" t="b">
        <f>AC1274</f>
        <v>0</v>
      </c>
      <c r="AD1286" s="982" t="b">
        <f t="shared" ref="AD1286:AI1286" si="1628">AD1274</f>
        <v>0</v>
      </c>
      <c r="AE1286" s="982" t="b">
        <f t="shared" si="1628"/>
        <v>0</v>
      </c>
      <c r="AF1286" s="982" t="b">
        <f t="shared" si="1628"/>
        <v>0</v>
      </c>
      <c r="AG1286" s="982" t="b">
        <f t="shared" si="1628"/>
        <v>0</v>
      </c>
      <c r="AH1286" s="982" t="b">
        <f t="shared" si="1628"/>
        <v>0</v>
      </c>
      <c r="AI1286" s="982" t="b">
        <f t="shared" si="1628"/>
        <v>0</v>
      </c>
      <c r="AJ1286" s="1174" t="s">
        <v>2039</v>
      </c>
      <c r="AK1286" s="1176" t="str">
        <f>IF(AND(CNTR_ExistSubInstEntries,MSconst_RequireSubAttrEmissions,COUNTIFS(AC1286:AI1286,FALSE,H1286:N1286,"")&gt;0),EUconst_Error&amp;"BM"&amp;$Q1137,"")</f>
        <v/>
      </c>
      <c r="AL1286" s="694"/>
    </row>
    <row r="1287" spans="1:38" ht="12.75" customHeight="1" x14ac:dyDescent="0.25">
      <c r="A1287" s="694"/>
      <c r="B1287" s="298"/>
      <c r="C1287" s="1302"/>
      <c r="D1287" s="625" t="s">
        <v>1136</v>
      </c>
      <c r="E1287" s="2831" t="str">
        <f>Translations!$B$534</f>
        <v>Долна топлина на изгаряне (NCV), ако е приложимо</v>
      </c>
      <c r="F1287" s="2703"/>
      <c r="G1287" s="1327" t="str">
        <f>EUconst_GJpt</f>
        <v>GJ / t</v>
      </c>
      <c r="H1287" s="133"/>
      <c r="I1287" s="134"/>
      <c r="J1287" s="135"/>
      <c r="K1287" s="133"/>
      <c r="L1287" s="133"/>
      <c r="M1287" s="133"/>
      <c r="N1287" s="136"/>
      <c r="O1287" s="302"/>
      <c r="P1287" s="158"/>
      <c r="Q1287" s="729"/>
      <c r="R1287" s="694"/>
      <c r="S1287" s="729"/>
      <c r="T1287" s="694"/>
      <c r="U1287" s="694"/>
      <c r="V1287" s="694"/>
      <c r="W1287" s="694"/>
      <c r="X1287" s="694"/>
      <c r="Y1287" s="694"/>
      <c r="Z1287" s="694"/>
      <c r="AA1287" s="694"/>
      <c r="AB1287" s="694"/>
      <c r="AC1287" s="982" t="b">
        <f t="shared" ref="AC1287:AI1287" si="1629">AC1275</f>
        <v>0</v>
      </c>
      <c r="AD1287" s="982" t="b">
        <f t="shared" si="1629"/>
        <v>0</v>
      </c>
      <c r="AE1287" s="982" t="b">
        <f t="shared" si="1629"/>
        <v>0</v>
      </c>
      <c r="AF1287" s="982" t="b">
        <f t="shared" si="1629"/>
        <v>0</v>
      </c>
      <c r="AG1287" s="982" t="b">
        <f t="shared" si="1629"/>
        <v>0</v>
      </c>
      <c r="AH1287" s="982" t="b">
        <f t="shared" si="1629"/>
        <v>0</v>
      </c>
      <c r="AI1287" s="982" t="b">
        <f t="shared" si="1629"/>
        <v>0</v>
      </c>
      <c r="AJ1287" s="1174" t="s">
        <v>2039</v>
      </c>
      <c r="AK1287" s="1176" t="str">
        <f>IF(AND(CNTR_ExistSubInstEntries,MSconst_RequireSubAttrEmissions,COUNTIFS(AC1287:AI1287,FALSE,H1287:N1287,"")&gt;0),EUconst_Error&amp;"BM"&amp;$Q1137,"")</f>
        <v/>
      </c>
      <c r="AL1287" s="694"/>
    </row>
    <row r="1288" spans="1:38" ht="12.75" customHeight="1" thickBot="1" x14ac:dyDescent="0.3">
      <c r="A1288" s="694"/>
      <c r="B1288" s="298"/>
      <c r="C1288" s="1302"/>
      <c r="D1288" s="625" t="s">
        <v>1137</v>
      </c>
      <c r="E1288" s="2831" t="str">
        <f>Translations!$B$535</f>
        <v>Въглеродно съдържание (тегловни %)</v>
      </c>
      <c r="F1288" s="2703"/>
      <c r="G1288" s="1328" t="s">
        <v>903</v>
      </c>
      <c r="H1288" s="133"/>
      <c r="I1288" s="134"/>
      <c r="J1288" s="135"/>
      <c r="K1288" s="133"/>
      <c r="L1288" s="133"/>
      <c r="M1288" s="133"/>
      <c r="N1288" s="136"/>
      <c r="O1288" s="302"/>
      <c r="P1288" s="158"/>
      <c r="Q1288" s="729"/>
      <c r="R1288" s="694"/>
      <c r="S1288" s="729"/>
      <c r="T1288" s="694"/>
      <c r="U1288" s="694"/>
      <c r="V1288" s="694"/>
      <c r="W1288" s="694"/>
      <c r="X1288" s="694"/>
      <c r="Y1288" s="694"/>
      <c r="Z1288" s="694"/>
      <c r="AA1288" s="694"/>
      <c r="AB1288" s="694"/>
      <c r="AC1288" s="982" t="b">
        <f t="shared" ref="AC1288:AI1288" si="1630">AC1276</f>
        <v>0</v>
      </c>
      <c r="AD1288" s="982" t="b">
        <f t="shared" si="1630"/>
        <v>0</v>
      </c>
      <c r="AE1288" s="982" t="b">
        <f t="shared" si="1630"/>
        <v>0</v>
      </c>
      <c r="AF1288" s="982" t="b">
        <f t="shared" si="1630"/>
        <v>0</v>
      </c>
      <c r="AG1288" s="982" t="b">
        <f t="shared" si="1630"/>
        <v>0</v>
      </c>
      <c r="AH1288" s="982" t="b">
        <f t="shared" si="1630"/>
        <v>0</v>
      </c>
      <c r="AI1288" s="982" t="b">
        <f t="shared" si="1630"/>
        <v>0</v>
      </c>
      <c r="AJ1288" s="1174" t="s">
        <v>2039</v>
      </c>
      <c r="AK1288" s="1176" t="str">
        <f>IF(AND(CNTR_ExistSubInstEntries,MSconst_RequireSubAttrEmissions,COUNTIFS(AC1288:AI1288,FALSE,H1288:N1288,"")&gt;0),EUconst_Error&amp;"BM"&amp;$Q1137,"")</f>
        <v/>
      </c>
      <c r="AL1288" s="694"/>
    </row>
    <row r="1289" spans="1:38" ht="12.75" customHeight="1" x14ac:dyDescent="0.25">
      <c r="A1289" s="694"/>
      <c r="B1289" s="298"/>
      <c r="C1289" s="1302"/>
      <c r="D1289" s="625" t="s">
        <v>1138</v>
      </c>
      <c r="E1289" s="2828" t="str">
        <f>Translations!$B$536</f>
        <v>Съдържание на биомаса (като дял от въглеродното съдържание)</v>
      </c>
      <c r="F1289" s="2705"/>
      <c r="G1289" s="1329" t="s">
        <v>903</v>
      </c>
      <c r="H1289" s="137"/>
      <c r="I1289" s="138"/>
      <c r="J1289" s="139"/>
      <c r="K1289" s="137"/>
      <c r="L1289" s="137"/>
      <c r="M1289" s="137"/>
      <c r="N1289" s="140"/>
      <c r="O1289" s="302"/>
      <c r="P1289" s="158"/>
      <c r="Q1289" s="729"/>
      <c r="R1289" s="694"/>
      <c r="S1289" s="1205"/>
      <c r="T1289" s="1313">
        <f t="shared" ref="T1289" si="1631">H1285</f>
        <v>2024</v>
      </c>
      <c r="U1289" s="1313">
        <f t="shared" ref="U1289" si="1632">I1285</f>
        <v>2025</v>
      </c>
      <c r="V1289" s="1313">
        <f t="shared" ref="V1289" si="1633">J1285</f>
        <v>2026</v>
      </c>
      <c r="W1289" s="1313">
        <f t="shared" ref="W1289" si="1634">K1285</f>
        <v>2027</v>
      </c>
      <c r="X1289" s="1313">
        <f t="shared" ref="X1289" si="1635">L1285</f>
        <v>2028</v>
      </c>
      <c r="Y1289" s="1313">
        <f t="shared" ref="Y1289" si="1636">M1285</f>
        <v>2029</v>
      </c>
      <c r="Z1289" s="1314">
        <f t="shared" ref="Z1289" si="1637">N1285</f>
        <v>2030</v>
      </c>
      <c r="AA1289" s="694"/>
      <c r="AB1289" s="694"/>
      <c r="AC1289" s="982" t="b">
        <f t="shared" ref="AC1289:AI1289" si="1638">AC1277</f>
        <v>0</v>
      </c>
      <c r="AD1289" s="982" t="b">
        <f t="shared" si="1638"/>
        <v>0</v>
      </c>
      <c r="AE1289" s="982" t="b">
        <f t="shared" si="1638"/>
        <v>0</v>
      </c>
      <c r="AF1289" s="982" t="b">
        <f t="shared" si="1638"/>
        <v>0</v>
      </c>
      <c r="AG1289" s="982" t="b">
        <f t="shared" si="1638"/>
        <v>0</v>
      </c>
      <c r="AH1289" s="982" t="b">
        <f t="shared" si="1638"/>
        <v>0</v>
      </c>
      <c r="AI1289" s="982" t="b">
        <f t="shared" si="1638"/>
        <v>0</v>
      </c>
      <c r="AJ1289" s="1174" t="s">
        <v>2039</v>
      </c>
      <c r="AK1289" s="1176" t="str">
        <f>IF(AND(CNTR_ExistSubInstEntries,MSconst_RequireSubAttrEmissions,COUNTIFS(AC1289:AI1289,FALSE,H1289:N1289,"")&gt;0),EUconst_Error&amp;"BM"&amp;$Q1137,"")</f>
        <v/>
      </c>
      <c r="AL1289" s="694"/>
    </row>
    <row r="1290" spans="1:38" ht="12.75" customHeight="1" thickBot="1" x14ac:dyDescent="0.3">
      <c r="A1290" s="694"/>
      <c r="B1290" s="298"/>
      <c r="C1290" s="1302"/>
      <c r="D1290" s="625" t="s">
        <v>1139</v>
      </c>
      <c r="E1290" s="2832" t="str">
        <f>Translations!$B$537</f>
        <v>Емисии (от горива, изчислени)</v>
      </c>
      <c r="F1290" s="2701"/>
      <c r="G1290" s="1330" t="str">
        <f>EUconst_tCO2pa</f>
        <v>t CO2 / година</v>
      </c>
      <c r="H1290" s="1331" t="str">
        <f t="shared" ref="H1290:N1290" si="1639">IF(AND(COUNT(H1286:H1289)&gt;0,H1293=""),3.664*H1286*(H1288/100)*(1-H1289/100),"")</f>
        <v/>
      </c>
      <c r="I1290" s="1332" t="str">
        <f t="shared" si="1639"/>
        <v/>
      </c>
      <c r="J1290" s="1333" t="str">
        <f t="shared" si="1639"/>
        <v/>
      </c>
      <c r="K1290" s="1331" t="str">
        <f t="shared" si="1639"/>
        <v/>
      </c>
      <c r="L1290" s="1331" t="str">
        <f t="shared" si="1639"/>
        <v/>
      </c>
      <c r="M1290" s="1331" t="str">
        <f t="shared" si="1639"/>
        <v/>
      </c>
      <c r="N1290" s="1334" t="str">
        <f t="shared" si="1639"/>
        <v/>
      </c>
      <c r="O1290" s="302"/>
      <c r="P1290" s="302"/>
      <c r="Q1290" s="1190" t="str">
        <f>EUconst_CNTR_EmissionsIntSource2 &amp; I1137</f>
        <v>EmInternalSource2_</v>
      </c>
      <c r="R1290" s="694"/>
      <c r="S1290" s="1315" t="str">
        <f>EUconst_CNTR_AttributedEmissions &amp; I1137</f>
        <v>AttrEmissions_</v>
      </c>
      <c r="T1290" s="1290" t="str">
        <f t="shared" ref="T1290" si="1640">IF(T1145,SUM(H1290),"")</f>
        <v/>
      </c>
      <c r="U1290" s="1290" t="str">
        <f t="shared" ref="U1290" si="1641">IF(U1145,SUM(I1290),"")</f>
        <v/>
      </c>
      <c r="V1290" s="1290" t="str">
        <f t="shared" ref="V1290" si="1642">IF(V1145,SUM(J1290),"")</f>
        <v/>
      </c>
      <c r="W1290" s="1290" t="str">
        <f t="shared" ref="W1290" si="1643">IF(W1145,SUM(K1290),"")</f>
        <v/>
      </c>
      <c r="X1290" s="1290" t="str">
        <f t="shared" ref="X1290" si="1644">IF(X1145,SUM(L1290),"")</f>
        <v/>
      </c>
      <c r="Y1290" s="1290" t="str">
        <f t="shared" ref="Y1290" si="1645">IF(Y1145,SUM(M1290),"")</f>
        <v/>
      </c>
      <c r="Z1290" s="1291" t="str">
        <f t="shared" ref="Z1290" si="1646">IF(Z1145,SUM(N1290),"")</f>
        <v/>
      </c>
      <c r="AA1290" s="694"/>
      <c r="AB1290" s="694"/>
      <c r="AC1290" s="694"/>
      <c r="AD1290" s="694"/>
      <c r="AE1290" s="694"/>
      <c r="AF1290" s="694"/>
      <c r="AG1290" s="694"/>
      <c r="AH1290" s="694"/>
      <c r="AI1290" s="694"/>
      <c r="AJ1290" s="694"/>
      <c r="AK1290" s="694"/>
      <c r="AL1290" s="694"/>
    </row>
    <row r="1291" spans="1:38" ht="12.75" customHeight="1" x14ac:dyDescent="0.25">
      <c r="A1291" s="694"/>
      <c r="B1291" s="298"/>
      <c r="C1291" s="1302"/>
      <c r="D1291" s="625" t="s">
        <v>1140</v>
      </c>
      <c r="E1291" s="2833" t="str">
        <f>Translations!$B$538</f>
        <v>Допълнителна информация за справка: Емисии от биомаса</v>
      </c>
      <c r="F1291" s="2703"/>
      <c r="G1291" s="1335" t="str">
        <f>EUconst_tCO2pa</f>
        <v>t CO2 / година</v>
      </c>
      <c r="H1291" s="1336" t="str">
        <f t="shared" ref="H1291:N1291" si="1647">IF(ISNUMBER(H1290),3.664*H1286*(H1288/100)*(H1289/100),"")</f>
        <v/>
      </c>
      <c r="I1291" s="1337" t="str">
        <f t="shared" si="1647"/>
        <v/>
      </c>
      <c r="J1291" s="1338" t="str">
        <f t="shared" si="1647"/>
        <v/>
      </c>
      <c r="K1291" s="1336" t="str">
        <f t="shared" si="1647"/>
        <v/>
      </c>
      <c r="L1291" s="1336" t="str">
        <f t="shared" si="1647"/>
        <v/>
      </c>
      <c r="M1291" s="1336" t="str">
        <f t="shared" si="1647"/>
        <v/>
      </c>
      <c r="N1291" s="1339" t="str">
        <f t="shared" si="1647"/>
        <v/>
      </c>
      <c r="O1291" s="302"/>
      <c r="P1291" s="302"/>
      <c r="Q1291" s="729"/>
      <c r="R1291" s="694"/>
      <c r="S1291" s="729"/>
      <c r="T1291" s="694"/>
      <c r="U1291" s="694"/>
      <c r="V1291" s="694"/>
      <c r="W1291" s="694"/>
      <c r="X1291" s="694"/>
      <c r="Y1291" s="694"/>
      <c r="Z1291" s="694"/>
      <c r="AA1291" s="694"/>
      <c r="AB1291" s="694"/>
      <c r="AC1291" s="694"/>
      <c r="AD1291" s="694"/>
      <c r="AE1291" s="694"/>
      <c r="AF1291" s="694"/>
      <c r="AG1291" s="694"/>
      <c r="AH1291" s="694"/>
      <c r="AI1291" s="694"/>
      <c r="AJ1291" s="694"/>
      <c r="AK1291" s="694"/>
      <c r="AL1291" s="694"/>
    </row>
    <row r="1292" spans="1:38" ht="12.75" customHeight="1" x14ac:dyDescent="0.25">
      <c r="A1292" s="694"/>
      <c r="B1292" s="298"/>
      <c r="C1292" s="1302"/>
      <c r="D1292" s="625" t="s">
        <v>1141</v>
      </c>
      <c r="E1292" s="2828" t="str">
        <f>Translations!$B$539</f>
        <v>Енергийно съдържание (изчислено)</v>
      </c>
      <c r="F1292" s="2705"/>
      <c r="G1292" s="1340" t="str">
        <f>EUconst_TJpa</f>
        <v>TJ / година</v>
      </c>
      <c r="H1292" s="1104" t="str">
        <f t="shared" ref="H1292:N1292" si="1648">IF(COUNT(H1286:H1287)=2,H1286*H1287/1000,"")</f>
        <v/>
      </c>
      <c r="I1292" s="1296" t="str">
        <f t="shared" si="1648"/>
        <v/>
      </c>
      <c r="J1292" s="1297" t="str">
        <f t="shared" si="1648"/>
        <v/>
      </c>
      <c r="K1292" s="1104" t="str">
        <f t="shared" si="1648"/>
        <v/>
      </c>
      <c r="L1292" s="1104" t="str">
        <f t="shared" si="1648"/>
        <v/>
      </c>
      <c r="M1292" s="1104" t="str">
        <f t="shared" si="1648"/>
        <v/>
      </c>
      <c r="N1292" s="1341" t="str">
        <f t="shared" si="1648"/>
        <v/>
      </c>
      <c r="O1292" s="302"/>
      <c r="P1292" s="302"/>
      <c r="Q1292" s="729"/>
      <c r="R1292" s="694"/>
      <c r="S1292" s="729"/>
      <c r="T1292" s="694"/>
      <c r="U1292" s="694"/>
      <c r="V1292" s="694"/>
      <c r="W1292" s="694"/>
      <c r="X1292" s="694"/>
      <c r="Y1292" s="694"/>
      <c r="Z1292" s="694"/>
      <c r="AA1292" s="694"/>
      <c r="AB1292" s="694"/>
      <c r="AC1292" s="694"/>
      <c r="AD1292" s="694"/>
      <c r="AE1292" s="694"/>
      <c r="AF1292" s="694"/>
      <c r="AG1292" s="694"/>
      <c r="AH1292" s="694"/>
      <c r="AI1292" s="694"/>
      <c r="AJ1292" s="694"/>
      <c r="AK1292" s="694"/>
      <c r="AL1292" s="694"/>
    </row>
    <row r="1293" spans="1:38" ht="12.75" customHeight="1" x14ac:dyDescent="0.25">
      <c r="A1293" s="694"/>
      <c r="B1293" s="298"/>
      <c r="C1293" s="1302"/>
      <c r="D1293" s="625" t="s">
        <v>1137</v>
      </c>
      <c r="E1293" s="2829" t="str">
        <f>Translations!$B$540</f>
        <v>Съобщения за грешка (емисии)</v>
      </c>
      <c r="F1293" s="2830"/>
      <c r="G1293" s="1342"/>
      <c r="H1293" s="1343" t="str">
        <f t="shared" ref="H1293:N1293" si="1649">IF(COUNT(H1286,H1288:H1289)&gt;0,IF(COUNTIF(H1287:H1289,"&lt;0")&gt;0,EUconst_Negative,IF(COUNT(H1286,H1288:H1289)&lt;3,EUconst_Incomplete,"")),"")</f>
        <v/>
      </c>
      <c r="I1293" s="1344" t="str">
        <f t="shared" si="1649"/>
        <v/>
      </c>
      <c r="J1293" s="1345" t="str">
        <f t="shared" si="1649"/>
        <v/>
      </c>
      <c r="K1293" s="1343" t="str">
        <f t="shared" si="1649"/>
        <v/>
      </c>
      <c r="L1293" s="1343" t="str">
        <f t="shared" si="1649"/>
        <v/>
      </c>
      <c r="M1293" s="1343" t="str">
        <f t="shared" si="1649"/>
        <v/>
      </c>
      <c r="N1293" s="1346" t="str">
        <f t="shared" si="1649"/>
        <v/>
      </c>
      <c r="O1293" s="302"/>
      <c r="P1293" s="302"/>
      <c r="Q1293" s="729"/>
      <c r="R1293" s="694"/>
      <c r="S1293" s="729"/>
      <c r="T1293" s="694"/>
      <c r="U1293" s="694"/>
      <c r="V1293" s="694"/>
      <c r="W1293" s="694"/>
      <c r="X1293" s="694"/>
      <c r="Y1293" s="694"/>
      <c r="Z1293" s="694"/>
      <c r="AA1293" s="694"/>
      <c r="AB1293" s="694"/>
      <c r="AC1293" s="694"/>
      <c r="AD1293" s="694"/>
      <c r="AE1293" s="694"/>
      <c r="AF1293" s="694"/>
      <c r="AG1293" s="694"/>
      <c r="AH1293" s="694"/>
      <c r="AI1293" s="694"/>
      <c r="AJ1293" s="694"/>
      <c r="AK1293" s="694"/>
      <c r="AL1293" s="694"/>
    </row>
    <row r="1294" spans="1:38" ht="12.75" customHeight="1" x14ac:dyDescent="0.25">
      <c r="A1294" s="694"/>
      <c r="B1294" s="298"/>
      <c r="C1294" s="1302"/>
      <c r="D1294" s="1306"/>
      <c r="E1294" s="1306"/>
      <c r="F1294" s="1306"/>
      <c r="G1294" s="1306"/>
      <c r="H1294" s="1306"/>
      <c r="I1294" s="1306"/>
      <c r="J1294" s="1306"/>
      <c r="K1294" s="1306"/>
      <c r="L1294" s="1306"/>
      <c r="M1294" s="626"/>
      <c r="N1294" s="1316"/>
      <c r="O1294" s="302"/>
      <c r="P1294" s="302"/>
      <c r="Q1294" s="729"/>
      <c r="R1294" s="694"/>
      <c r="S1294" s="729"/>
      <c r="T1294" s="694"/>
      <c r="U1294" s="694"/>
      <c r="V1294" s="694"/>
      <c r="W1294" s="694"/>
      <c r="X1294" s="694"/>
      <c r="Y1294" s="694"/>
      <c r="Z1294" s="694"/>
      <c r="AA1294" s="694"/>
      <c r="AB1294" s="694"/>
      <c r="AC1294" s="694"/>
      <c r="AD1294" s="694"/>
      <c r="AE1294" s="694"/>
      <c r="AF1294" s="694"/>
      <c r="AG1294" s="694"/>
      <c r="AH1294" s="694"/>
      <c r="AI1294" s="694"/>
      <c r="AJ1294" s="694"/>
      <c r="AK1294" s="694"/>
      <c r="AL1294" s="694"/>
    </row>
    <row r="1295" spans="1:38" ht="12.75" customHeight="1" x14ac:dyDescent="0.25">
      <c r="A1295" s="694"/>
      <c r="B1295" s="298"/>
      <c r="C1295" s="1302"/>
      <c r="D1295" s="1307" t="s">
        <v>489</v>
      </c>
      <c r="E1295" s="2815" t="str">
        <f>Translations!$B$543</f>
        <v>Количество на парникови газове, които са получени или подадени като суровини</v>
      </c>
      <c r="F1295" s="2240"/>
      <c r="G1295" s="2240"/>
      <c r="H1295" s="2240"/>
      <c r="I1295" s="2240"/>
      <c r="J1295" s="2240"/>
      <c r="K1295" s="2240"/>
      <c r="L1295" s="2240"/>
      <c r="M1295" s="2240"/>
      <c r="N1295" s="2811"/>
      <c r="O1295" s="302"/>
      <c r="P1295" s="302"/>
      <c r="Q1295" s="729"/>
      <c r="R1295" s="694"/>
      <c r="S1295" s="729"/>
      <c r="T1295" s="694"/>
      <c r="U1295" s="694"/>
      <c r="V1295" s="694"/>
      <c r="W1295" s="694"/>
      <c r="X1295" s="694"/>
      <c r="Y1295" s="694"/>
      <c r="Z1295" s="694"/>
      <c r="AA1295" s="694"/>
      <c r="AB1295" s="694"/>
      <c r="AC1295" s="694"/>
      <c r="AD1295" s="694"/>
      <c r="AE1295" s="694"/>
      <c r="AF1295" s="694"/>
      <c r="AG1295" s="694"/>
      <c r="AH1295" s="694"/>
      <c r="AI1295" s="694"/>
      <c r="AJ1295" s="694"/>
      <c r="AK1295" s="694"/>
      <c r="AL1295" s="694"/>
    </row>
    <row r="1296" spans="1:38" ht="12.75" customHeight="1" x14ac:dyDescent="0.25">
      <c r="A1296" s="694"/>
      <c r="B1296" s="298"/>
      <c r="C1296" s="1302"/>
      <c r="D1296" s="625"/>
      <c r="E1296" s="2816" t="str">
        <f>Translations!$B$508</f>
        <v>Посочените тук данни ще се отразят на емисиите, които могат да бъдат зададени съгласно раздел 10.1.1 от приложение VII към ПБР.</v>
      </c>
      <c r="F1296" s="2240"/>
      <c r="G1296" s="2240"/>
      <c r="H1296" s="2240"/>
      <c r="I1296" s="2240"/>
      <c r="J1296" s="2240"/>
      <c r="K1296" s="2240"/>
      <c r="L1296" s="2240"/>
      <c r="M1296" s="2240"/>
      <c r="N1296" s="2811"/>
      <c r="O1296" s="302"/>
      <c r="P1296" s="302"/>
      <c r="Q1296" s="729"/>
      <c r="R1296" s="694"/>
      <c r="S1296" s="729"/>
      <c r="T1296" s="729"/>
      <c r="U1296" s="729"/>
      <c r="V1296" s="729"/>
      <c r="W1296" s="694"/>
      <c r="X1296" s="694"/>
      <c r="Y1296" s="694"/>
      <c r="Z1296" s="694"/>
      <c r="AA1296" s="694"/>
      <c r="AB1296" s="694"/>
      <c r="AC1296" s="694"/>
      <c r="AD1296" s="694"/>
      <c r="AE1296" s="694"/>
      <c r="AF1296" s="694"/>
      <c r="AG1296" s="694"/>
      <c r="AH1296" s="694"/>
      <c r="AI1296" s="694"/>
      <c r="AJ1296" s="694"/>
      <c r="AK1296" s="694"/>
      <c r="AL1296" s="694"/>
    </row>
    <row r="1297" spans="1:38" ht="25.5" customHeight="1" x14ac:dyDescent="0.25">
      <c r="A1297" s="694"/>
      <c r="B1297" s="298"/>
      <c r="C1297" s="1302"/>
      <c r="D1297" s="1306"/>
      <c r="E1297" s="2810" t="str">
        <f>Translations!$B$544</f>
        <v>Съгласно раздел 3.1, букви к) и л) от приложение IV към ПБР, моля, посочете тук количеството на прехвърления CO2, получен от или подаден към други подинсталации, инсталации или други обекти, съгласно правилата, определени в Регламента относно мониторинга и докладването.</v>
      </c>
      <c r="F1297" s="2240"/>
      <c r="G1297" s="2240"/>
      <c r="H1297" s="2240"/>
      <c r="I1297" s="2240"/>
      <c r="J1297" s="2240"/>
      <c r="K1297" s="2240"/>
      <c r="L1297" s="2240"/>
      <c r="M1297" s="2240"/>
      <c r="N1297" s="2811"/>
      <c r="O1297" s="302"/>
      <c r="P1297" s="302"/>
      <c r="Q1297" s="729"/>
      <c r="R1297" s="694"/>
      <c r="S1297" s="729"/>
      <c r="T1297" s="694"/>
      <c r="U1297" s="694"/>
      <c r="V1297" s="694"/>
      <c r="W1297" s="694"/>
      <c r="X1297" s="694"/>
      <c r="Y1297" s="694"/>
      <c r="Z1297" s="694"/>
      <c r="AA1297" s="694"/>
      <c r="AB1297" s="694"/>
      <c r="AC1297" s="694"/>
      <c r="AD1297" s="694"/>
      <c r="AE1297" s="694"/>
      <c r="AF1297" s="694"/>
      <c r="AG1297" s="694"/>
      <c r="AH1297" s="694"/>
      <c r="AI1297" s="694"/>
      <c r="AJ1297" s="694"/>
      <c r="AK1297" s="694"/>
      <c r="AL1297" s="694"/>
    </row>
    <row r="1298" spans="1:38" ht="12.75" customHeight="1" thickBot="1" x14ac:dyDescent="0.3">
      <c r="A1298" s="694"/>
      <c r="B1298" s="298"/>
      <c r="C1298" s="1302"/>
      <c r="D1298" s="1306"/>
      <c r="E1298" s="2810" t="str">
        <f>Translations!$B$545</f>
        <v>Подадените количества трябва да се въведат като отрицателни стойности и да съответстват на подадения CO2, който не е изпуснат в атмосферата от тази подинсталация.</v>
      </c>
      <c r="F1298" s="2240"/>
      <c r="G1298" s="2240"/>
      <c r="H1298" s="2240"/>
      <c r="I1298" s="2240"/>
      <c r="J1298" s="2240"/>
      <c r="K1298" s="2240"/>
      <c r="L1298" s="2240"/>
      <c r="M1298" s="2240"/>
      <c r="N1298" s="2811"/>
      <c r="O1298" s="302"/>
      <c r="P1298" s="302"/>
      <c r="Q1298" s="729"/>
      <c r="R1298" s="694"/>
      <c r="S1298" s="729"/>
      <c r="T1298" s="694"/>
      <c r="U1298" s="694"/>
      <c r="V1298" s="694"/>
      <c r="W1298" s="694"/>
      <c r="X1298" s="694"/>
      <c r="Y1298" s="694"/>
      <c r="Z1298" s="694"/>
      <c r="AA1298" s="694"/>
      <c r="AB1298" s="694"/>
      <c r="AC1298" s="694"/>
      <c r="AD1298" s="694"/>
      <c r="AE1298" s="694"/>
      <c r="AF1298" s="694"/>
      <c r="AG1298" s="694"/>
      <c r="AH1298" s="694"/>
      <c r="AI1298" s="694"/>
      <c r="AJ1298" s="694"/>
      <c r="AK1298" s="694"/>
      <c r="AL1298" s="694"/>
    </row>
    <row r="1299" spans="1:38" ht="12.75" customHeight="1" thickBot="1" x14ac:dyDescent="0.3">
      <c r="A1299" s="694"/>
      <c r="B1299" s="298"/>
      <c r="C1299" s="1302"/>
      <c r="D1299" s="1307"/>
      <c r="E1299" s="1317"/>
      <c r="F1299" s="1318"/>
      <c r="G1299" s="1309" t="str">
        <f>EUconst_Unit</f>
        <v>Единица мярка</v>
      </c>
      <c r="H1299" s="629">
        <f t="shared" ref="H1299:N1299" si="1650">H$2831</f>
        <v>2024</v>
      </c>
      <c r="I1299" s="1310">
        <f t="shared" si="1650"/>
        <v>2025</v>
      </c>
      <c r="J1299" s="1311">
        <f t="shared" si="1650"/>
        <v>2026</v>
      </c>
      <c r="K1299" s="629">
        <f t="shared" si="1650"/>
        <v>2027</v>
      </c>
      <c r="L1299" s="629">
        <f t="shared" si="1650"/>
        <v>2028</v>
      </c>
      <c r="M1299" s="629">
        <f t="shared" si="1650"/>
        <v>2029</v>
      </c>
      <c r="N1299" s="1312">
        <f t="shared" si="1650"/>
        <v>2030</v>
      </c>
      <c r="O1299" s="302"/>
      <c r="P1299" s="302"/>
      <c r="Q1299" s="729"/>
      <c r="R1299" s="694"/>
      <c r="S1299" s="1205"/>
      <c r="T1299" s="1313">
        <f t="shared" ref="T1299" si="1651">H1299</f>
        <v>2024</v>
      </c>
      <c r="U1299" s="1313">
        <f t="shared" ref="U1299" si="1652">I1299</f>
        <v>2025</v>
      </c>
      <c r="V1299" s="1313">
        <f t="shared" ref="V1299" si="1653">J1299</f>
        <v>2026</v>
      </c>
      <c r="W1299" s="1313">
        <f t="shared" ref="W1299" si="1654">K1299</f>
        <v>2027</v>
      </c>
      <c r="X1299" s="1313">
        <f t="shared" ref="X1299" si="1655">L1299</f>
        <v>2028</v>
      </c>
      <c r="Y1299" s="1313">
        <f t="shared" ref="Y1299" si="1656">M1299</f>
        <v>2029</v>
      </c>
      <c r="Z1299" s="1314">
        <f t="shared" ref="Z1299" si="1657">N1299</f>
        <v>2030</v>
      </c>
      <c r="AA1299" s="694"/>
      <c r="AB1299" s="694"/>
      <c r="AC1299" s="1178">
        <f t="shared" ref="AC1299" si="1658">H$20</f>
        <v>2024</v>
      </c>
      <c r="AD1299" s="1178">
        <f t="shared" ref="AD1299" si="1659">I$20</f>
        <v>2025</v>
      </c>
      <c r="AE1299" s="1178">
        <f t="shared" ref="AE1299" si="1660">J$20</f>
        <v>2026</v>
      </c>
      <c r="AF1299" s="1178">
        <f t="shared" ref="AF1299" si="1661">K$20</f>
        <v>2027</v>
      </c>
      <c r="AG1299" s="1178">
        <f t="shared" ref="AG1299" si="1662">L$20</f>
        <v>2028</v>
      </c>
      <c r="AH1299" s="1178">
        <f t="shared" ref="AH1299" si="1663">M$20</f>
        <v>2029</v>
      </c>
      <c r="AI1299" s="1178">
        <f t="shared" ref="AI1299" si="1664">N$20</f>
        <v>2030</v>
      </c>
      <c r="AJ1299" s="694"/>
      <c r="AK1299" s="694"/>
      <c r="AL1299" s="694"/>
    </row>
    <row r="1300" spans="1:38" ht="12.75" customHeight="1" thickBot="1" x14ac:dyDescent="0.3">
      <c r="A1300" s="694"/>
      <c r="B1300" s="298"/>
      <c r="C1300" s="1302"/>
      <c r="D1300" s="625"/>
      <c r="E1300" s="2820" t="str">
        <f>Translations!$B$546</f>
        <v>Получени или подадени парникови газове</v>
      </c>
      <c r="F1300" s="2258"/>
      <c r="G1300" s="1319" t="str">
        <f>EUconst_tCO2epa</f>
        <v>t CO2e/година</v>
      </c>
      <c r="H1300" s="56"/>
      <c r="I1300" s="115"/>
      <c r="J1300" s="118"/>
      <c r="K1300" s="56"/>
      <c r="L1300" s="56"/>
      <c r="M1300" s="56"/>
      <c r="N1300" s="121"/>
      <c r="O1300" s="302"/>
      <c r="P1300" s="158"/>
      <c r="Q1300" s="1190" t="str">
        <f>EUconst_CNTR_CO2Feedstock &amp; I1137</f>
        <v>EmCO2Feedstock_</v>
      </c>
      <c r="R1300" s="694"/>
      <c r="S1300" s="1315" t="str">
        <f>EUconst_CNTR_AttributedEmissions &amp; I1137</f>
        <v>AttrEmissions_</v>
      </c>
      <c r="T1300" s="1290" t="str">
        <f t="shared" ref="T1300" si="1665">IF(T1145,SUM(H1300),"")</f>
        <v/>
      </c>
      <c r="U1300" s="1290" t="str">
        <f t="shared" ref="U1300" si="1666">IF(U1145,SUM(I1300),"")</f>
        <v/>
      </c>
      <c r="V1300" s="1290" t="str">
        <f t="shared" ref="V1300" si="1667">IF(V1145,SUM(J1300),"")</f>
        <v/>
      </c>
      <c r="W1300" s="1290" t="str">
        <f t="shared" ref="W1300" si="1668">IF(W1145,SUM(K1300),"")</f>
        <v/>
      </c>
      <c r="X1300" s="1290" t="str">
        <f t="shared" ref="X1300" si="1669">IF(X1145,SUM(L1300),"")</f>
        <v/>
      </c>
      <c r="Y1300" s="1290" t="str">
        <f t="shared" ref="Y1300" si="1670">IF(Y1145,SUM(M1300),"")</f>
        <v/>
      </c>
      <c r="Z1300" s="1291" t="str">
        <f t="shared" ref="Z1300" si="1671">IF(Z1145,SUM(N1300),"")</f>
        <v/>
      </c>
      <c r="AA1300" s="694"/>
      <c r="AB1300" s="1182" t="s">
        <v>737</v>
      </c>
      <c r="AC1300" s="982" t="b">
        <f>AC1184</f>
        <v>0</v>
      </c>
      <c r="AD1300" s="982" t="b">
        <f t="shared" ref="AD1300:AI1300" si="1672">AD1184</f>
        <v>0</v>
      </c>
      <c r="AE1300" s="982" t="b">
        <f t="shared" si="1672"/>
        <v>0</v>
      </c>
      <c r="AF1300" s="982" t="b">
        <f t="shared" si="1672"/>
        <v>0</v>
      </c>
      <c r="AG1300" s="982" t="b">
        <f t="shared" si="1672"/>
        <v>0</v>
      </c>
      <c r="AH1300" s="982" t="b">
        <f t="shared" si="1672"/>
        <v>0</v>
      </c>
      <c r="AI1300" s="982" t="b">
        <f t="shared" si="1672"/>
        <v>0</v>
      </c>
      <c r="AJ1300" s="1174" t="s">
        <v>2039</v>
      </c>
      <c r="AK1300" s="1176" t="str">
        <f>IF(AND(CNTR_ExistSubInstEntries,MSconst_RequireSubAttrEmissions,COUNTIFS(AC1300:AI1300,FALSE,H1300:N1300,"")&gt;0),EUconst_Error&amp;"BM"&amp;$Q1137,"")</f>
        <v/>
      </c>
      <c r="AL1300" s="694"/>
    </row>
    <row r="1301" spans="1:38" ht="12.75" customHeight="1" x14ac:dyDescent="0.25">
      <c r="A1301" s="694"/>
      <c r="B1301" s="298"/>
      <c r="C1301" s="1302"/>
      <c r="D1301" s="1306"/>
      <c r="E1301" s="1306"/>
      <c r="F1301" s="1306"/>
      <c r="G1301" s="1306"/>
      <c r="H1301" s="1306"/>
      <c r="I1301" s="1306"/>
      <c r="J1301" s="1306"/>
      <c r="K1301" s="1306"/>
      <c r="L1301" s="1306"/>
      <c r="M1301" s="626"/>
      <c r="N1301" s="1316"/>
      <c r="O1301" s="302"/>
      <c r="P1301" s="302"/>
      <c r="Q1301" s="729"/>
      <c r="R1301" s="694"/>
      <c r="S1301" s="729"/>
      <c r="T1301" s="694"/>
      <c r="U1301" s="694"/>
      <c r="V1301" s="694"/>
      <c r="W1301" s="694"/>
      <c r="X1301" s="694"/>
      <c r="Y1301" s="694"/>
      <c r="Z1301" s="694"/>
      <c r="AA1301" s="694"/>
      <c r="AB1301" s="694"/>
      <c r="AC1301" s="694"/>
      <c r="AD1301" s="694"/>
      <c r="AE1301" s="694"/>
      <c r="AF1301" s="694"/>
      <c r="AG1301" s="694"/>
      <c r="AH1301" s="694"/>
      <c r="AI1301" s="694"/>
      <c r="AJ1301" s="694"/>
      <c r="AK1301" s="694"/>
      <c r="AL1301" s="694"/>
    </row>
    <row r="1302" spans="1:38" ht="12.75" customHeight="1" x14ac:dyDescent="0.25">
      <c r="A1302" s="694"/>
      <c r="B1302" s="298"/>
      <c r="C1302" s="1302"/>
      <c r="D1302" s="1307" t="s">
        <v>490</v>
      </c>
      <c r="E1302" s="2815" t="str">
        <f>Translations!$B$547</f>
        <v>Получаване и подаване на измерима топлинна енергия от тази подинсталация</v>
      </c>
      <c r="F1302" s="2240"/>
      <c r="G1302" s="2240"/>
      <c r="H1302" s="2240"/>
      <c r="I1302" s="2240"/>
      <c r="J1302" s="2240"/>
      <c r="K1302" s="2240"/>
      <c r="L1302" s="2240"/>
      <c r="M1302" s="2240"/>
      <c r="N1302" s="2811"/>
      <c r="O1302" s="302"/>
      <c r="P1302" s="302"/>
      <c r="Q1302" s="729"/>
      <c r="R1302" s="694"/>
      <c r="S1302" s="729"/>
      <c r="T1302" s="694"/>
      <c r="U1302" s="694"/>
      <c r="V1302" s="694"/>
      <c r="W1302" s="694"/>
      <c r="X1302" s="694"/>
      <c r="Y1302" s="694"/>
      <c r="Z1302" s="694"/>
      <c r="AA1302" s="694"/>
      <c r="AB1302" s="694"/>
      <c r="AC1302" s="694"/>
      <c r="AD1302" s="694"/>
      <c r="AE1302" s="694"/>
      <c r="AF1302" s="694"/>
      <c r="AG1302" s="694"/>
      <c r="AH1302" s="694"/>
      <c r="AI1302" s="694"/>
      <c r="AJ1302" s="694"/>
      <c r="AK1302" s="694"/>
      <c r="AL1302" s="694"/>
    </row>
    <row r="1303" spans="1:38" ht="12.75" customHeight="1" x14ac:dyDescent="0.25">
      <c r="A1303" s="694"/>
      <c r="B1303" s="298"/>
      <c r="C1303" s="1302"/>
      <c r="D1303" s="625"/>
      <c r="E1303" s="2816" t="str">
        <f>Translations!$B$548</f>
        <v>Посочените тук данни ще се отразят на емисиите, които могат да бъдат зададени съгласно раздел 10.1.2 и 10.1.3 от приложение VII към ПБР.</v>
      </c>
      <c r="F1303" s="2240"/>
      <c r="G1303" s="2240"/>
      <c r="H1303" s="2240"/>
      <c r="I1303" s="2240"/>
      <c r="J1303" s="2240"/>
      <c r="K1303" s="2240"/>
      <c r="L1303" s="2240"/>
      <c r="M1303" s="2240"/>
      <c r="N1303" s="2811"/>
      <c r="O1303" s="302"/>
      <c r="P1303" s="302"/>
      <c r="Q1303" s="729"/>
      <c r="R1303" s="694"/>
      <c r="S1303" s="729"/>
      <c r="T1303" s="729"/>
      <c r="U1303" s="729"/>
      <c r="V1303" s="729"/>
      <c r="W1303" s="694"/>
      <c r="X1303" s="694"/>
      <c r="Y1303" s="694"/>
      <c r="Z1303" s="694"/>
      <c r="AA1303" s="694"/>
      <c r="AB1303" s="694"/>
      <c r="AC1303" s="694"/>
      <c r="AD1303" s="694"/>
      <c r="AE1303" s="694"/>
      <c r="AF1303" s="694"/>
      <c r="AG1303" s="694"/>
      <c r="AH1303" s="694"/>
      <c r="AI1303" s="694"/>
      <c r="AJ1303" s="694"/>
      <c r="AK1303" s="694"/>
      <c r="AL1303" s="694"/>
    </row>
    <row r="1304" spans="1:38" ht="38.9" customHeight="1" x14ac:dyDescent="0.25">
      <c r="A1304" s="694"/>
      <c r="B1304" s="298"/>
      <c r="C1304" s="1302"/>
      <c r="D1304" s="1306"/>
      <c r="E1304" s="2810" t="str">
        <f>Translations!$B$549</f>
        <v>Това включва общото количество топлинна енергия, произведено във, получено от или подадено към (под)инсталации, обхванати от СТЕ на ЕС, или инсталации или обекти извън СТЕ на ЕС. При специфичните емисионни фактори (EF), свързани с топлинната енергия, трябва да се отчитат разпоредбите на раздели 8 и 10 от приложение VII към ПБР, и по-специално раздели 10.1.2 и 10.1.3.</v>
      </c>
      <c r="F1304" s="2240"/>
      <c r="G1304" s="2240"/>
      <c r="H1304" s="2240"/>
      <c r="I1304" s="2240"/>
      <c r="J1304" s="2240"/>
      <c r="K1304" s="2240"/>
      <c r="L1304" s="2240"/>
      <c r="M1304" s="2240"/>
      <c r="N1304" s="2811"/>
      <c r="O1304" s="302"/>
      <c r="P1304" s="302"/>
      <c r="Q1304" s="729"/>
      <c r="R1304" s="694"/>
      <c r="S1304" s="729"/>
      <c r="T1304" s="694"/>
      <c r="U1304" s="694"/>
      <c r="V1304" s="694"/>
      <c r="W1304" s="694"/>
      <c r="X1304" s="694"/>
      <c r="Y1304" s="694"/>
      <c r="Z1304" s="694"/>
      <c r="AA1304" s="694"/>
      <c r="AB1304" s="694"/>
      <c r="AC1304" s="694"/>
      <c r="AD1304" s="694"/>
      <c r="AE1304" s="694"/>
      <c r="AF1304" s="694"/>
      <c r="AG1304" s="694"/>
      <c r="AH1304" s="694"/>
      <c r="AI1304" s="694"/>
      <c r="AJ1304" s="694"/>
      <c r="AK1304" s="694"/>
      <c r="AL1304" s="694"/>
    </row>
    <row r="1305" spans="1:38" ht="25.5" customHeight="1" x14ac:dyDescent="0.25">
      <c r="A1305" s="694"/>
      <c r="B1305" s="298"/>
      <c r="C1305" s="1302"/>
      <c r="D1305" s="1306"/>
      <c r="E1305" s="2810" t="str">
        <f>Translations!$B$550</f>
        <v>Емисиите, свързани с измерима топлинна енергия, произведена в рамките на обекта от съоръжения, които обслужват повече от една подинсталация, също трябва да се въведат тук под „получени емисии“, вместо да се зададат директно чрез емисионния фактор за горивата от буква g) по-горе. Същото важи и за всяка топлинна енергия, „получена“ от други подинсталации.</v>
      </c>
      <c r="F1305" s="2240"/>
      <c r="G1305" s="2240"/>
      <c r="H1305" s="2240"/>
      <c r="I1305" s="2240"/>
      <c r="J1305" s="2240"/>
      <c r="K1305" s="2240"/>
      <c r="L1305" s="2240"/>
      <c r="M1305" s="2240"/>
      <c r="N1305" s="2811"/>
      <c r="O1305" s="302"/>
      <c r="P1305" s="302"/>
      <c r="Q1305" s="729"/>
      <c r="R1305" s="694"/>
      <c r="S1305" s="729"/>
      <c r="T1305" s="694"/>
      <c r="U1305" s="694"/>
      <c r="V1305" s="694"/>
      <c r="W1305" s="694"/>
      <c r="X1305" s="694"/>
      <c r="Y1305" s="694"/>
      <c r="Z1305" s="694"/>
      <c r="AA1305" s="694"/>
      <c r="AB1305" s="694"/>
      <c r="AC1305" s="694"/>
      <c r="AD1305" s="694"/>
      <c r="AE1305" s="694"/>
      <c r="AF1305" s="694"/>
      <c r="AG1305" s="694"/>
      <c r="AH1305" s="694"/>
      <c r="AI1305" s="694"/>
      <c r="AJ1305" s="694"/>
      <c r="AK1305" s="694"/>
      <c r="AL1305" s="694"/>
    </row>
    <row r="1306" spans="1:38" ht="25.5" customHeight="1" x14ac:dyDescent="0.25">
      <c r="A1306" s="694"/>
      <c r="B1306" s="298"/>
      <c r="C1306" s="1302"/>
      <c r="D1306" s="1306"/>
      <c r="E1306" s="2810" t="str">
        <f>Translations!$B$551</f>
        <v xml:space="preserve">Когато топлинната енергия е произведена изключително за една подинсталация и поради това съответните емисии са вписани в буква g) по-горе, съответните количества не трябва да се докладват тук като „получени“, за да се избегне двойно отчитане. </v>
      </c>
      <c r="F1306" s="2240"/>
      <c r="G1306" s="2240"/>
      <c r="H1306" s="2240"/>
      <c r="I1306" s="2240"/>
      <c r="J1306" s="2240"/>
      <c r="K1306" s="2240"/>
      <c r="L1306" s="2240"/>
      <c r="M1306" s="2240"/>
      <c r="N1306" s="2811"/>
      <c r="O1306" s="302"/>
      <c r="P1306" s="302"/>
      <c r="Q1306" s="729"/>
      <c r="R1306" s="694"/>
      <c r="S1306" s="729"/>
      <c r="T1306" s="694"/>
      <c r="U1306" s="694"/>
      <c r="V1306" s="694"/>
      <c r="W1306" s="694"/>
      <c r="X1306" s="694"/>
      <c r="Y1306" s="694"/>
      <c r="Z1306" s="694"/>
      <c r="AA1306" s="694"/>
      <c r="AB1306" s="694"/>
      <c r="AC1306" s="694"/>
      <c r="AD1306" s="694"/>
      <c r="AE1306" s="694"/>
      <c r="AF1306" s="694"/>
      <c r="AG1306" s="694"/>
      <c r="AH1306" s="694"/>
      <c r="AI1306" s="694"/>
      <c r="AJ1306" s="694"/>
      <c r="AK1306" s="694"/>
      <c r="AL1306" s="694"/>
    </row>
    <row r="1307" spans="1:38" ht="12.75" customHeight="1" thickBot="1" x14ac:dyDescent="0.3">
      <c r="A1307" s="694"/>
      <c r="B1307" s="298"/>
      <c r="C1307" s="1302"/>
      <c r="D1307" s="1306"/>
      <c r="E1307" s="2825" t="str">
        <f>Translations!$B$552</f>
        <v>За задаването на емисии от комбинираното производство на енергия (КПТЕ) при производството на топлинна енергия трябва да използвате „Инструмента за КПТЕ“ от раздел D.III от настоящия образец.</v>
      </c>
      <c r="F1307" s="2826"/>
      <c r="G1307" s="2826"/>
      <c r="H1307" s="2826"/>
      <c r="I1307" s="2826"/>
      <c r="J1307" s="2826"/>
      <c r="K1307" s="2826"/>
      <c r="L1307" s="2826"/>
      <c r="M1307" s="2826"/>
      <c r="N1307" s="2827"/>
      <c r="O1307" s="302"/>
      <c r="P1307" s="302"/>
      <c r="Q1307" s="729"/>
      <c r="R1307" s="694"/>
      <c r="S1307" s="694"/>
      <c r="T1307" s="694"/>
      <c r="U1307" s="694"/>
      <c r="V1307" s="694"/>
      <c r="W1307" s="694"/>
      <c r="X1307" s="694"/>
      <c r="Y1307" s="694"/>
      <c r="Z1307" s="694"/>
      <c r="AA1307" s="694"/>
      <c r="AB1307" s="694"/>
      <c r="AC1307" s="694"/>
      <c r="AD1307" s="694"/>
      <c r="AE1307" s="694"/>
      <c r="AF1307" s="694"/>
      <c r="AG1307" s="694"/>
      <c r="AH1307" s="694"/>
      <c r="AI1307" s="694"/>
      <c r="AJ1307" s="694"/>
      <c r="AK1307" s="694"/>
      <c r="AL1307" s="694"/>
    </row>
    <row r="1308" spans="1:38" ht="12.75" customHeight="1" thickBot="1" x14ac:dyDescent="0.3">
      <c r="A1308" s="694"/>
      <c r="B1308" s="298"/>
      <c r="C1308" s="1302"/>
      <c r="D1308" s="1306"/>
      <c r="E1308" s="2803" t="str">
        <f>Translations!$B$553</f>
        <v>Общо получена топлинна енергия</v>
      </c>
      <c r="F1308" s="2672"/>
      <c r="G1308" s="1309" t="str">
        <f>EUconst_Unit</f>
        <v>Единица мярка</v>
      </c>
      <c r="H1308" s="629">
        <f t="shared" ref="H1308:N1308" si="1673">H$2831</f>
        <v>2024</v>
      </c>
      <c r="I1308" s="1310">
        <f t="shared" si="1673"/>
        <v>2025</v>
      </c>
      <c r="J1308" s="1311">
        <f t="shared" si="1673"/>
        <v>2026</v>
      </c>
      <c r="K1308" s="629">
        <f t="shared" si="1673"/>
        <v>2027</v>
      </c>
      <c r="L1308" s="629">
        <f t="shared" si="1673"/>
        <v>2028</v>
      </c>
      <c r="M1308" s="629">
        <f t="shared" si="1673"/>
        <v>2029</v>
      </c>
      <c r="N1308" s="1312">
        <f t="shared" si="1673"/>
        <v>2030</v>
      </c>
      <c r="O1308" s="302"/>
      <c r="P1308" s="302"/>
      <c r="Q1308" s="729"/>
      <c r="R1308" s="694"/>
      <c r="S1308" s="1205"/>
      <c r="T1308" s="1313">
        <f t="shared" ref="T1308" si="1674">H1308</f>
        <v>2024</v>
      </c>
      <c r="U1308" s="1313">
        <f t="shared" ref="U1308" si="1675">I1308</f>
        <v>2025</v>
      </c>
      <c r="V1308" s="1313">
        <f t="shared" ref="V1308" si="1676">J1308</f>
        <v>2026</v>
      </c>
      <c r="W1308" s="1313">
        <f t="shared" ref="W1308" si="1677">K1308</f>
        <v>2027</v>
      </c>
      <c r="X1308" s="1313">
        <f t="shared" ref="X1308" si="1678">L1308</f>
        <v>2028</v>
      </c>
      <c r="Y1308" s="1313">
        <f t="shared" ref="Y1308" si="1679">M1308</f>
        <v>2029</v>
      </c>
      <c r="Z1308" s="1314">
        <f t="shared" ref="Z1308" si="1680">N1308</f>
        <v>2030</v>
      </c>
      <c r="AA1308" s="694"/>
      <c r="AB1308" s="694"/>
      <c r="AC1308" s="1178">
        <f t="shared" ref="AC1308" si="1681">H$20</f>
        <v>2024</v>
      </c>
      <c r="AD1308" s="1178">
        <f t="shared" ref="AD1308" si="1682">I$20</f>
        <v>2025</v>
      </c>
      <c r="AE1308" s="1178">
        <f t="shared" ref="AE1308" si="1683">J$20</f>
        <v>2026</v>
      </c>
      <c r="AF1308" s="1178">
        <f t="shared" ref="AF1308" si="1684">K$20</f>
        <v>2027</v>
      </c>
      <c r="AG1308" s="1178">
        <f t="shared" ref="AG1308" si="1685">L$20</f>
        <v>2028</v>
      </c>
      <c r="AH1308" s="1178">
        <f t="shared" ref="AH1308" si="1686">M$20</f>
        <v>2029</v>
      </c>
      <c r="AI1308" s="1178">
        <f t="shared" ref="AI1308" si="1687">N$20</f>
        <v>2030</v>
      </c>
      <c r="AJ1308" s="694"/>
      <c r="AK1308" s="694"/>
      <c r="AL1308" s="694"/>
    </row>
    <row r="1309" spans="1:38" ht="12.75" customHeight="1" x14ac:dyDescent="0.25">
      <c r="A1309" s="694"/>
      <c r="B1309" s="298"/>
      <c r="C1309" s="1302"/>
      <c r="D1309" s="625" t="s">
        <v>6</v>
      </c>
      <c r="E1309" s="2820" t="str">
        <f>Translations!$B$554</f>
        <v>Нетно количество получена топлинна енергия</v>
      </c>
      <c r="F1309" s="2258"/>
      <c r="G1309" s="1319" t="str">
        <f>EUconst_TJpa</f>
        <v>TJ / година</v>
      </c>
      <c r="H1309" s="56"/>
      <c r="I1309" s="115"/>
      <c r="J1309" s="118"/>
      <c r="K1309" s="56"/>
      <c r="L1309" s="56"/>
      <c r="M1309" s="56"/>
      <c r="N1309" s="121"/>
      <c r="O1309" s="302"/>
      <c r="P1309" s="158"/>
      <c r="Q1309" s="1190" t="str">
        <f>EUconst_CNTR_HeatImport &amp; I1137</f>
        <v>HeatIm_</v>
      </c>
      <c r="R1309" s="694"/>
      <c r="S1309" s="1347" t="str">
        <f>EUconst_ERR_AttrEmBMapplied &amp; I1137</f>
        <v>ERR_AttrEmBM_</v>
      </c>
      <c r="T1309" s="982">
        <f t="shared" ref="T1309" si="1688">IF(AND(H1309&lt;&gt;0,H1310="",EUconst_StatusOfDataCollection=FALSE),1,0)</f>
        <v>0</v>
      </c>
      <c r="U1309" s="982">
        <f t="shared" ref="U1309" si="1689">IF(AND(I1309&lt;&gt;0,I1310="",EUconst_StatusOfDataCollection=FALSE),1,0)</f>
        <v>0</v>
      </c>
      <c r="V1309" s="982">
        <f t="shared" ref="V1309" si="1690">IF(AND(J1309&lt;&gt;0,J1310="",EUconst_StatusOfDataCollection=FALSE),1,0)</f>
        <v>0</v>
      </c>
      <c r="W1309" s="982">
        <f t="shared" ref="W1309" si="1691">IF(AND(K1309&lt;&gt;0,K1310="",EUconst_StatusOfDataCollection=FALSE),1,0)</f>
        <v>0</v>
      </c>
      <c r="X1309" s="982">
        <f t="shared" ref="X1309" si="1692">IF(AND(L1309&lt;&gt;0,L1310="",EUconst_StatusOfDataCollection=FALSE),1,0)</f>
        <v>0</v>
      </c>
      <c r="Y1309" s="982">
        <f t="shared" ref="Y1309" si="1693">IF(AND(M1309&lt;&gt;0,M1310="",EUconst_StatusOfDataCollection=FALSE),1,0)</f>
        <v>0</v>
      </c>
      <c r="Z1309" s="1287">
        <f t="shared" ref="Z1309" si="1694">IF(AND(N1309&lt;&gt;0,N1310="",EUconst_StatusOfDataCollection=FALSE),1,0)</f>
        <v>0</v>
      </c>
      <c r="AA1309" s="1031"/>
      <c r="AB1309" s="1182" t="s">
        <v>737</v>
      </c>
      <c r="AC1309" s="982" t="b">
        <f t="shared" ref="AC1309:AI1309" si="1695">AC1184</f>
        <v>0</v>
      </c>
      <c r="AD1309" s="982" t="b">
        <f t="shared" si="1695"/>
        <v>0</v>
      </c>
      <c r="AE1309" s="982" t="b">
        <f t="shared" si="1695"/>
        <v>0</v>
      </c>
      <c r="AF1309" s="982" t="b">
        <f t="shared" si="1695"/>
        <v>0</v>
      </c>
      <c r="AG1309" s="982" t="b">
        <f t="shared" si="1695"/>
        <v>0</v>
      </c>
      <c r="AH1309" s="982" t="b">
        <f t="shared" si="1695"/>
        <v>0</v>
      </c>
      <c r="AI1309" s="982" t="b">
        <f t="shared" si="1695"/>
        <v>0</v>
      </c>
      <c r="AJ1309" s="1174" t="s">
        <v>2039</v>
      </c>
      <c r="AK1309" s="1176" t="str">
        <f>IF(AND(CNTR_ExistSubInstEntries,MSconst_RequireSubAttrEmissions,COUNTIFS(AC1309:AI1309,FALSE,H1309:N1309,"")&gt;0),EUconst_Error&amp;"BM"&amp;$Q1137,"")</f>
        <v/>
      </c>
      <c r="AL1309" s="694"/>
    </row>
    <row r="1310" spans="1:38" ht="12.75" customHeight="1" thickBot="1" x14ac:dyDescent="0.3">
      <c r="A1310" s="694"/>
      <c r="B1310" s="298"/>
      <c r="C1310" s="1302"/>
      <c r="D1310" s="625" t="s">
        <v>7</v>
      </c>
      <c r="E1310" s="2820" t="str">
        <f>Translations!$B$555</f>
        <v>Специфичен EF (получена топлинна енергия)</v>
      </c>
      <c r="F1310" s="2258"/>
      <c r="G1310" s="1319" t="str">
        <f>EUconst_tCO2pTJ</f>
        <v>t CO2 / TJ</v>
      </c>
      <c r="H1310" s="56"/>
      <c r="I1310" s="115"/>
      <c r="J1310" s="118"/>
      <c r="K1310" s="56"/>
      <c r="L1310" s="56"/>
      <c r="M1310" s="56"/>
      <c r="N1310" s="121"/>
      <c r="O1310" s="302"/>
      <c r="P1310" s="158"/>
      <c r="Q1310" s="1190" t="str">
        <f>EUconst_CNTR_HeatImportEF &amp; I1137</f>
        <v>HeatImEF_</v>
      </c>
      <c r="R1310" s="694"/>
      <c r="S1310" s="1315" t="str">
        <f>EUconst_CNTR_AttributedEmissions &amp; I1137</f>
        <v>AttrEmissions_</v>
      </c>
      <c r="T1310" s="1290" t="str">
        <f t="shared" ref="T1310" si="1696">IF(T1145,SUM(H1309)*IF(ISNUMBER(H1310),H1310,EUconst_HeatBMvalue),"")</f>
        <v/>
      </c>
      <c r="U1310" s="1290" t="str">
        <f t="shared" ref="U1310" si="1697">IF(U1145,SUM(I1309)*IF(ISNUMBER(I1310),I1310,EUconst_HeatBMvalue),"")</f>
        <v/>
      </c>
      <c r="V1310" s="1290" t="str">
        <f t="shared" ref="V1310" si="1698">IF(V1145,SUM(J1309)*IF(ISNUMBER(J1310),J1310,EUconst_HeatBMvalue),"")</f>
        <v/>
      </c>
      <c r="W1310" s="1290" t="str">
        <f t="shared" ref="W1310" si="1699">IF(W1145,SUM(K1309)*IF(ISNUMBER(K1310),K1310,EUconst_HeatBMvalue),"")</f>
        <v/>
      </c>
      <c r="X1310" s="1290" t="str">
        <f t="shared" ref="X1310" si="1700">IF(X1145,SUM(L1309)*IF(ISNUMBER(L1310),L1310,EUconst_HeatBMvalue),"")</f>
        <v/>
      </c>
      <c r="Y1310" s="1290" t="str">
        <f t="shared" ref="Y1310" si="1701">IF(Y1145,SUM(M1309)*IF(ISNUMBER(M1310),M1310,EUconst_HeatBMvalue),"")</f>
        <v/>
      </c>
      <c r="Z1310" s="1291" t="str">
        <f t="shared" ref="Z1310" si="1702">IF(Z1145,SUM(N1309)*IF(ISNUMBER(N1310),N1310,EUconst_HeatBMvalue),"")</f>
        <v/>
      </c>
      <c r="AA1310" s="694"/>
      <c r="AB1310" s="694"/>
      <c r="AC1310" s="982" t="b">
        <f>AC1309</f>
        <v>0</v>
      </c>
      <c r="AD1310" s="982" t="b">
        <f t="shared" ref="AD1310:AI1310" si="1703">AD1309</f>
        <v>0</v>
      </c>
      <c r="AE1310" s="982" t="b">
        <f t="shared" si="1703"/>
        <v>0</v>
      </c>
      <c r="AF1310" s="982" t="b">
        <f t="shared" si="1703"/>
        <v>0</v>
      </c>
      <c r="AG1310" s="982" t="b">
        <f t="shared" si="1703"/>
        <v>0</v>
      </c>
      <c r="AH1310" s="982" t="b">
        <f t="shared" si="1703"/>
        <v>0</v>
      </c>
      <c r="AI1310" s="982" t="b">
        <f t="shared" si="1703"/>
        <v>0</v>
      </c>
      <c r="AJ1310" s="694"/>
      <c r="AK1310" s="694"/>
      <c r="AL1310" s="694"/>
    </row>
    <row r="1311" spans="1:38" ht="5.15" customHeight="1" x14ac:dyDescent="0.25">
      <c r="A1311" s="694"/>
      <c r="B1311" s="298"/>
      <c r="C1311" s="1302"/>
      <c r="D1311" s="1306"/>
      <c r="E1311" s="1306"/>
      <c r="F1311" s="1306"/>
      <c r="G1311" s="1306"/>
      <c r="H1311" s="1306"/>
      <c r="I1311" s="1306"/>
      <c r="J1311" s="1306"/>
      <c r="K1311" s="1306"/>
      <c r="L1311" s="1306"/>
      <c r="M1311" s="1306"/>
      <c r="N1311" s="1316"/>
      <c r="O1311" s="302"/>
      <c r="P1311" s="302"/>
      <c r="Q1311" s="729"/>
      <c r="R1311" s="694"/>
      <c r="S1311" s="729"/>
      <c r="T1311" s="729"/>
      <c r="U1311" s="729"/>
      <c r="V1311" s="729"/>
      <c r="W1311" s="694"/>
      <c r="X1311" s="694"/>
      <c r="Y1311" s="694"/>
      <c r="Z1311" s="694"/>
      <c r="AA1311" s="694"/>
      <c r="AB1311" s="694"/>
      <c r="AC1311" s="694"/>
      <c r="AD1311" s="694"/>
      <c r="AE1311" s="694"/>
      <c r="AF1311" s="694"/>
      <c r="AG1311" s="694"/>
      <c r="AH1311" s="694"/>
      <c r="AI1311" s="694"/>
      <c r="AJ1311" s="694"/>
      <c r="AK1311" s="694"/>
      <c r="AL1311" s="694"/>
    </row>
    <row r="1312" spans="1:38" ht="12.75" customHeight="1" thickBot="1" x14ac:dyDescent="0.3">
      <c r="A1312" s="694"/>
      <c r="B1312" s="298"/>
      <c r="C1312" s="1302"/>
      <c r="D1312" s="1306"/>
      <c r="E1312" s="2803" t="str">
        <f>Translations!$B$556</f>
        <v>Специфична получена топлинна енергия</v>
      </c>
      <c r="F1312" s="2672"/>
      <c r="G1312" s="1309" t="str">
        <f>EUconst_Unit</f>
        <v>Единица мярка</v>
      </c>
      <c r="H1312" s="629">
        <f t="shared" ref="H1312:N1312" si="1704">H$2831</f>
        <v>2024</v>
      </c>
      <c r="I1312" s="1310">
        <f t="shared" si="1704"/>
        <v>2025</v>
      </c>
      <c r="J1312" s="1311">
        <f t="shared" si="1704"/>
        <v>2026</v>
      </c>
      <c r="K1312" s="629">
        <f t="shared" si="1704"/>
        <v>2027</v>
      </c>
      <c r="L1312" s="629">
        <f t="shared" si="1704"/>
        <v>2028</v>
      </c>
      <c r="M1312" s="629">
        <f t="shared" si="1704"/>
        <v>2029</v>
      </c>
      <c r="N1312" s="1312">
        <f t="shared" si="1704"/>
        <v>2030</v>
      </c>
      <c r="O1312" s="302"/>
      <c r="P1312" s="302"/>
      <c r="Q1312" s="729"/>
      <c r="R1312" s="694"/>
      <c r="S1312" s="729"/>
      <c r="T1312" s="729"/>
      <c r="U1312" s="729"/>
      <c r="V1312" s="729"/>
      <c r="W1312" s="694"/>
      <c r="X1312" s="694"/>
      <c r="Y1312" s="694"/>
      <c r="Z1312" s="694"/>
      <c r="AA1312" s="694"/>
      <c r="AB1312" s="694"/>
      <c r="AC1312" s="1178">
        <f t="shared" ref="AC1312" si="1705">H$20</f>
        <v>2024</v>
      </c>
      <c r="AD1312" s="1178">
        <f t="shared" ref="AD1312" si="1706">I$20</f>
        <v>2025</v>
      </c>
      <c r="AE1312" s="1178">
        <f t="shared" ref="AE1312" si="1707">J$20</f>
        <v>2026</v>
      </c>
      <c r="AF1312" s="1178">
        <f t="shared" ref="AF1312" si="1708">K$20</f>
        <v>2027</v>
      </c>
      <c r="AG1312" s="1178">
        <f t="shared" ref="AG1312" si="1709">L$20</f>
        <v>2028</v>
      </c>
      <c r="AH1312" s="1178">
        <f t="shared" ref="AH1312" si="1710">M$20</f>
        <v>2029</v>
      </c>
      <c r="AI1312" s="1178">
        <f t="shared" ref="AI1312" si="1711">N$20</f>
        <v>2030</v>
      </c>
      <c r="AJ1312" s="694"/>
      <c r="AK1312" s="694"/>
      <c r="AL1312" s="694"/>
    </row>
    <row r="1313" spans="1:38" ht="12.75" customHeight="1" x14ac:dyDescent="0.25">
      <c r="A1313" s="694"/>
      <c r="B1313" s="298"/>
      <c r="C1313" s="1302"/>
      <c r="D1313" s="625" t="s">
        <v>8</v>
      </c>
      <c r="E1313" s="2820" t="str">
        <f>Translations!$B$557</f>
        <v>Нетно количество топлинна енергия, получена от подинсталации за пулп</v>
      </c>
      <c r="F1313" s="2258"/>
      <c r="G1313" s="1319" t="str">
        <f>EUconst_TJpa</f>
        <v>TJ / година</v>
      </c>
      <c r="H1313" s="141"/>
      <c r="I1313" s="142"/>
      <c r="J1313" s="143"/>
      <c r="K1313" s="141"/>
      <c r="L1313" s="141"/>
      <c r="M1313" s="141"/>
      <c r="N1313" s="144"/>
      <c r="O1313" s="302"/>
      <c r="P1313" s="158"/>
      <c r="Q1313" s="1190" t="str">
        <f>EUconst_CNTR_HeatImportPulp &amp; I1137</f>
        <v>HeatImPulp_</v>
      </c>
      <c r="R1313" s="694"/>
      <c r="S1313" s="729"/>
      <c r="T1313" s="729"/>
      <c r="U1313" s="729"/>
      <c r="V1313" s="729"/>
      <c r="W1313" s="694"/>
      <c r="X1313" s="694"/>
      <c r="Y1313" s="694"/>
      <c r="Z1313" s="694"/>
      <c r="AA1313" s="694"/>
      <c r="AB1313" s="1182" t="s">
        <v>737</v>
      </c>
      <c r="AC1313" s="982" t="b">
        <f>AC1184</f>
        <v>0</v>
      </c>
      <c r="AD1313" s="982" t="b">
        <f t="shared" ref="AD1313:AI1313" si="1712">AD1184</f>
        <v>0</v>
      </c>
      <c r="AE1313" s="982" t="b">
        <f t="shared" si="1712"/>
        <v>0</v>
      </c>
      <c r="AF1313" s="982" t="b">
        <f t="shared" si="1712"/>
        <v>0</v>
      </c>
      <c r="AG1313" s="982" t="b">
        <f t="shared" si="1712"/>
        <v>0</v>
      </c>
      <c r="AH1313" s="982" t="b">
        <f t="shared" si="1712"/>
        <v>0</v>
      </c>
      <c r="AI1313" s="982" t="b">
        <f t="shared" si="1712"/>
        <v>0</v>
      </c>
      <c r="AJ1313" s="1174" t="s">
        <v>2039</v>
      </c>
      <c r="AK1313" s="1176" t="str">
        <f>IF(AND(CNTR_ExistSubInstEntries,MSconst_RequireSubAttrEmissions,COUNTIFS(AC1313:AI1313,FALSE,H1313:N1313,"")&gt;0),EUconst_Error&amp;"BM"&amp;$Q1137,"")</f>
        <v/>
      </c>
      <c r="AL1313" s="694"/>
    </row>
    <row r="1314" spans="1:38" ht="25.5" customHeight="1" x14ac:dyDescent="0.25">
      <c r="A1314" s="694"/>
      <c r="B1314" s="298"/>
      <c r="C1314" s="1302"/>
      <c r="D1314" s="625" t="s">
        <v>18</v>
      </c>
      <c r="E1314" s="2820" t="str">
        <f>Translations!$B$558</f>
        <v>Нетно количество топлинна енергия, получена от подинсталации за азотна киселина</v>
      </c>
      <c r="F1314" s="2258"/>
      <c r="G1314" s="1319" t="str">
        <f>EUconst_TJpa</f>
        <v>TJ / година</v>
      </c>
      <c r="H1314" s="56"/>
      <c r="I1314" s="115"/>
      <c r="J1314" s="118"/>
      <c r="K1314" s="56"/>
      <c r="L1314" s="56"/>
      <c r="M1314" s="56"/>
      <c r="N1314" s="121"/>
      <c r="O1314" s="302"/>
      <c r="P1314" s="158"/>
      <c r="Q1314" s="1190" t="str">
        <f>EUconst_CNTR_HeatImportNitric &amp; I1137</f>
        <v>HeatImNitric_</v>
      </c>
      <c r="R1314" s="694"/>
      <c r="S1314" s="729"/>
      <c r="T1314" s="729"/>
      <c r="U1314" s="729"/>
      <c r="V1314" s="729"/>
      <c r="W1314" s="694"/>
      <c r="X1314" s="694"/>
      <c r="Y1314" s="694"/>
      <c r="Z1314" s="694"/>
      <c r="AA1314" s="694"/>
      <c r="AB1314" s="694"/>
      <c r="AC1314" s="982" t="b">
        <f>AC1313</f>
        <v>0</v>
      </c>
      <c r="AD1314" s="982" t="b">
        <f t="shared" ref="AD1314:AI1314" si="1713">AD1313</f>
        <v>0</v>
      </c>
      <c r="AE1314" s="982" t="b">
        <f t="shared" si="1713"/>
        <v>0</v>
      </c>
      <c r="AF1314" s="982" t="b">
        <f t="shared" si="1713"/>
        <v>0</v>
      </c>
      <c r="AG1314" s="982" t="b">
        <f t="shared" si="1713"/>
        <v>0</v>
      </c>
      <c r="AH1314" s="982" t="b">
        <f t="shared" si="1713"/>
        <v>0</v>
      </c>
      <c r="AI1314" s="982" t="b">
        <f t="shared" si="1713"/>
        <v>0</v>
      </c>
      <c r="AJ1314" s="1174" t="s">
        <v>2039</v>
      </c>
      <c r="AK1314" s="1176" t="str">
        <f>IF(AND(CNTR_ExistSubInstEntries,MSconst_RequireSubAttrEmissions,COUNTIFS(AC1314:AI1314,FALSE,H1314:N1314,"")&gt;0),EUconst_Error&amp;"BM"&amp;$Q1137,"")</f>
        <v/>
      </c>
      <c r="AL1314" s="694"/>
    </row>
    <row r="1315" spans="1:38" ht="5.15" customHeight="1" thickBot="1" x14ac:dyDescent="0.3">
      <c r="A1315" s="694"/>
      <c r="B1315" s="298"/>
      <c r="C1315" s="1302"/>
      <c r="D1315" s="1306"/>
      <c r="E1315" s="1306"/>
      <c r="F1315" s="1306"/>
      <c r="G1315" s="1306"/>
      <c r="H1315" s="1306"/>
      <c r="I1315" s="1306"/>
      <c r="J1315" s="1306"/>
      <c r="K1315" s="1306"/>
      <c r="L1315" s="1306"/>
      <c r="M1315" s="1306"/>
      <c r="N1315" s="1316"/>
      <c r="O1315" s="302"/>
      <c r="P1315" s="302"/>
      <c r="Q1315" s="729"/>
      <c r="R1315" s="694"/>
      <c r="S1315" s="729"/>
      <c r="T1315" s="729"/>
      <c r="U1315" s="729"/>
      <c r="V1315" s="729"/>
      <c r="W1315" s="694"/>
      <c r="X1315" s="694"/>
      <c r="Y1315" s="694"/>
      <c r="Z1315" s="694"/>
      <c r="AA1315" s="694"/>
      <c r="AB1315" s="694"/>
      <c r="AC1315" s="694"/>
      <c r="AD1315" s="694"/>
      <c r="AE1315" s="694"/>
      <c r="AF1315" s="694"/>
      <c r="AG1315" s="694"/>
      <c r="AH1315" s="694"/>
      <c r="AI1315" s="694"/>
      <c r="AJ1315" s="694"/>
      <c r="AK1315" s="694"/>
      <c r="AL1315" s="694"/>
    </row>
    <row r="1316" spans="1:38" ht="12.75" customHeight="1" thickBot="1" x14ac:dyDescent="0.3">
      <c r="A1316" s="694"/>
      <c r="B1316" s="298"/>
      <c r="C1316" s="1302"/>
      <c r="D1316" s="1306"/>
      <c r="E1316" s="2803" t="str">
        <f>Translations!$B$559</f>
        <v>Общо подадена топлинна енергия</v>
      </c>
      <c r="F1316" s="2672"/>
      <c r="G1316" s="1309" t="str">
        <f>EUconst_Unit</f>
        <v>Единица мярка</v>
      </c>
      <c r="H1316" s="629">
        <f t="shared" ref="H1316:N1316" si="1714">H$2831</f>
        <v>2024</v>
      </c>
      <c r="I1316" s="1310">
        <f t="shared" si="1714"/>
        <v>2025</v>
      </c>
      <c r="J1316" s="1311">
        <f t="shared" si="1714"/>
        <v>2026</v>
      </c>
      <c r="K1316" s="629">
        <f t="shared" si="1714"/>
        <v>2027</v>
      </c>
      <c r="L1316" s="629">
        <f t="shared" si="1714"/>
        <v>2028</v>
      </c>
      <c r="M1316" s="629">
        <f t="shared" si="1714"/>
        <v>2029</v>
      </c>
      <c r="N1316" s="1312">
        <f t="shared" si="1714"/>
        <v>2030</v>
      </c>
      <c r="O1316" s="302"/>
      <c r="P1316" s="302"/>
      <c r="Q1316" s="729"/>
      <c r="R1316" s="694"/>
      <c r="S1316" s="1205"/>
      <c r="T1316" s="1313">
        <f t="shared" ref="T1316" si="1715">H1316</f>
        <v>2024</v>
      </c>
      <c r="U1316" s="1313">
        <f t="shared" ref="U1316" si="1716">I1316</f>
        <v>2025</v>
      </c>
      <c r="V1316" s="1313">
        <f t="shared" ref="V1316" si="1717">J1316</f>
        <v>2026</v>
      </c>
      <c r="W1316" s="1313">
        <f t="shared" ref="W1316" si="1718">K1316</f>
        <v>2027</v>
      </c>
      <c r="X1316" s="1313">
        <f t="shared" ref="X1316" si="1719">L1316</f>
        <v>2028</v>
      </c>
      <c r="Y1316" s="1313">
        <f t="shared" ref="Y1316" si="1720">M1316</f>
        <v>2029</v>
      </c>
      <c r="Z1316" s="1314">
        <f t="shared" ref="Z1316" si="1721">N1316</f>
        <v>2030</v>
      </c>
      <c r="AA1316" s="694"/>
      <c r="AB1316" s="694"/>
      <c r="AC1316" s="1178">
        <f t="shared" ref="AC1316" si="1722">H$20</f>
        <v>2024</v>
      </c>
      <c r="AD1316" s="1178">
        <f t="shared" ref="AD1316" si="1723">I$20</f>
        <v>2025</v>
      </c>
      <c r="AE1316" s="1178">
        <f t="shared" ref="AE1316" si="1724">J$20</f>
        <v>2026</v>
      </c>
      <c r="AF1316" s="1178">
        <f t="shared" ref="AF1316" si="1725">K$20</f>
        <v>2027</v>
      </c>
      <c r="AG1316" s="1178">
        <f t="shared" ref="AG1316" si="1726">L$20</f>
        <v>2028</v>
      </c>
      <c r="AH1316" s="1178">
        <f t="shared" ref="AH1316" si="1727">M$20</f>
        <v>2029</v>
      </c>
      <c r="AI1316" s="1178">
        <f t="shared" ref="AI1316" si="1728">N$20</f>
        <v>2030</v>
      </c>
      <c r="AJ1316" s="694"/>
      <c r="AK1316" s="694"/>
      <c r="AL1316" s="694"/>
    </row>
    <row r="1317" spans="1:38" ht="12.75" customHeight="1" x14ac:dyDescent="0.25">
      <c r="A1317" s="694"/>
      <c r="B1317" s="298"/>
      <c r="C1317" s="1302"/>
      <c r="D1317" s="625" t="s">
        <v>810</v>
      </c>
      <c r="E1317" s="2820" t="str">
        <f>Translations!$B$560</f>
        <v>Нетно количество подадена топлинна енергия</v>
      </c>
      <c r="F1317" s="2258"/>
      <c r="G1317" s="1319" t="str">
        <f>EUconst_TJpa</f>
        <v>TJ / година</v>
      </c>
      <c r="H1317" s="56"/>
      <c r="I1317" s="115"/>
      <c r="J1317" s="118"/>
      <c r="K1317" s="56"/>
      <c r="L1317" s="56"/>
      <c r="M1317" s="56"/>
      <c r="N1317" s="121"/>
      <c r="O1317" s="302"/>
      <c r="P1317" s="158"/>
      <c r="Q1317" s="1190" t="str">
        <f>EUconst_CNTR_HeatExport &amp; I1137</f>
        <v>HeatEx_</v>
      </c>
      <c r="R1317" s="694"/>
      <c r="S1317" s="1347" t="str">
        <f>EUconst_ERR_AttrEmBMapplied &amp; I1137</f>
        <v>ERR_AttrEmBM_</v>
      </c>
      <c r="T1317" s="982">
        <f t="shared" ref="T1317" si="1729">IF(AND(H1317&lt;&gt;0,H1318="",EUconst_StatusOfDataCollection=FALSE),1,0)</f>
        <v>0</v>
      </c>
      <c r="U1317" s="982">
        <f t="shared" ref="U1317" si="1730">IF(AND(I1317&lt;&gt;0,I1318="",EUconst_StatusOfDataCollection=FALSE),1,0)</f>
        <v>0</v>
      </c>
      <c r="V1317" s="982">
        <f t="shared" ref="V1317" si="1731">IF(AND(J1317&lt;&gt;0,J1318="",EUconst_StatusOfDataCollection=FALSE),1,0)</f>
        <v>0</v>
      </c>
      <c r="W1317" s="982">
        <f t="shared" ref="W1317" si="1732">IF(AND(K1317&lt;&gt;0,K1318="",EUconst_StatusOfDataCollection=FALSE),1,0)</f>
        <v>0</v>
      </c>
      <c r="X1317" s="982">
        <f t="shared" ref="X1317" si="1733">IF(AND(L1317&lt;&gt;0,L1318="",EUconst_StatusOfDataCollection=FALSE),1,0)</f>
        <v>0</v>
      </c>
      <c r="Y1317" s="982">
        <f t="shared" ref="Y1317" si="1734">IF(AND(M1317&lt;&gt;0,M1318="",EUconst_StatusOfDataCollection=FALSE),1,0)</f>
        <v>0</v>
      </c>
      <c r="Z1317" s="1287">
        <f t="shared" ref="Z1317" si="1735">IF(AND(N1317&lt;&gt;0,N1318="",EUconst_StatusOfDataCollection=FALSE),1,0)</f>
        <v>0</v>
      </c>
      <c r="AA1317" s="694"/>
      <c r="AB1317" s="1182" t="s">
        <v>737</v>
      </c>
      <c r="AC1317" s="982" t="b">
        <f>AC1313</f>
        <v>0</v>
      </c>
      <c r="AD1317" s="982" t="b">
        <f t="shared" ref="AD1317:AI1317" si="1736">AD1313</f>
        <v>0</v>
      </c>
      <c r="AE1317" s="982" t="b">
        <f t="shared" si="1736"/>
        <v>0</v>
      </c>
      <c r="AF1317" s="982" t="b">
        <f t="shared" si="1736"/>
        <v>0</v>
      </c>
      <c r="AG1317" s="982" t="b">
        <f t="shared" si="1736"/>
        <v>0</v>
      </c>
      <c r="AH1317" s="982" t="b">
        <f t="shared" si="1736"/>
        <v>0</v>
      </c>
      <c r="AI1317" s="982" t="b">
        <f t="shared" si="1736"/>
        <v>0</v>
      </c>
      <c r="AJ1317" s="1174" t="s">
        <v>2039</v>
      </c>
      <c r="AK1317" s="1176" t="str">
        <f>IF(AND(CNTR_ExistSubInstEntries,MSconst_RequireSubAttrEmissions,COUNTIFS(AC1317:AI1317,FALSE,H1317:N1317,"")&gt;0),EUconst_Error&amp;"BM"&amp;$Q1137,"")</f>
        <v/>
      </c>
      <c r="AL1317" s="694"/>
    </row>
    <row r="1318" spans="1:38" ht="12.75" customHeight="1" thickBot="1" x14ac:dyDescent="0.3">
      <c r="A1318" s="694"/>
      <c r="B1318" s="298"/>
      <c r="C1318" s="1302"/>
      <c r="D1318" s="625" t="s">
        <v>811</v>
      </c>
      <c r="E1318" s="2820" t="str">
        <f>Translations!$B$561</f>
        <v>Специфичен EF (подадена топлинна енергия)</v>
      </c>
      <c r="F1318" s="2258"/>
      <c r="G1318" s="1319" t="str">
        <f>EUconst_tCO2pTJ</f>
        <v>t CO2 / TJ</v>
      </c>
      <c r="H1318" s="56"/>
      <c r="I1318" s="115"/>
      <c r="J1318" s="118"/>
      <c r="K1318" s="56"/>
      <c r="L1318" s="56"/>
      <c r="M1318" s="56"/>
      <c r="N1318" s="121"/>
      <c r="O1318" s="302"/>
      <c r="P1318" s="158"/>
      <c r="Q1318" s="1190" t="str">
        <f>EUconst_CNTR_HeatExportEF &amp; I1137</f>
        <v>HeatExEF_</v>
      </c>
      <c r="R1318" s="694"/>
      <c r="S1318" s="1315" t="str">
        <f>EUconst_CNTR_AttributedEmissions &amp; I1137</f>
        <v>AttrEmissions_</v>
      </c>
      <c r="T1318" s="1290" t="str">
        <f t="shared" ref="T1318" si="1737">IF(T1145,-SUM(H1317)*IF(INDEX(EUconst_BMlistMainNumberOfBM,MATCH($I1137,EUconst_BMlistNames,0))=39,0,IF(ISNUMBER(H1318),H1318,EUconst_HeatBMvalue)),"")</f>
        <v/>
      </c>
      <c r="U1318" s="1290" t="str">
        <f t="shared" ref="U1318" si="1738">IF(U1145,-SUM(I1317)*IF(INDEX(EUconst_BMlistMainNumberOfBM,MATCH($I1137,EUconst_BMlistNames,0))=39,0,IF(ISNUMBER(I1318),I1318,EUconst_HeatBMvalue)),"")</f>
        <v/>
      </c>
      <c r="V1318" s="1290" t="str">
        <f t="shared" ref="V1318" si="1739">IF(V1145,-SUM(J1317)*IF(INDEX(EUconst_BMlistMainNumberOfBM,MATCH($I1137,EUconst_BMlistNames,0))=39,0,IF(ISNUMBER(J1318),J1318,EUconst_HeatBMvalue)),"")</f>
        <v/>
      </c>
      <c r="W1318" s="1290" t="str">
        <f t="shared" ref="W1318" si="1740">IF(W1145,-SUM(K1317)*IF(INDEX(EUconst_BMlistMainNumberOfBM,MATCH($I1137,EUconst_BMlistNames,0))=39,0,IF(ISNUMBER(K1318),K1318,EUconst_HeatBMvalue)),"")</f>
        <v/>
      </c>
      <c r="X1318" s="1290" t="str">
        <f t="shared" ref="X1318" si="1741">IF(X1145,-SUM(L1317)*IF(INDEX(EUconst_BMlistMainNumberOfBM,MATCH($I1137,EUconst_BMlistNames,0))=39,0,IF(ISNUMBER(L1318),L1318,EUconst_HeatBMvalue)),"")</f>
        <v/>
      </c>
      <c r="Y1318" s="1290" t="str">
        <f t="shared" ref="Y1318" si="1742">IF(Y1145,-SUM(M1317)*IF(INDEX(EUconst_BMlistMainNumberOfBM,MATCH($I1137,EUconst_BMlistNames,0))=39,0,IF(ISNUMBER(M1318),M1318,EUconst_HeatBMvalue)),"")</f>
        <v/>
      </c>
      <c r="Z1318" s="1291" t="str">
        <f t="shared" ref="Z1318" si="1743">IF(Z1145,-SUM(N1317)*IF(INDEX(EUconst_BMlistMainNumberOfBM,MATCH($I1137,EUconst_BMlistNames,0))=39,0,IF(ISNUMBER(N1318),N1318,EUconst_HeatBMvalue)),"")</f>
        <v/>
      </c>
      <c r="AA1318" s="694"/>
      <c r="AB1318" s="694"/>
      <c r="AC1318" s="982" t="b">
        <f>AC1317</f>
        <v>0</v>
      </c>
      <c r="AD1318" s="982" t="b">
        <f t="shared" ref="AD1318:AI1318" si="1744">AD1317</f>
        <v>0</v>
      </c>
      <c r="AE1318" s="982" t="b">
        <f t="shared" si="1744"/>
        <v>0</v>
      </c>
      <c r="AF1318" s="982" t="b">
        <f t="shared" si="1744"/>
        <v>0</v>
      </c>
      <c r="AG1318" s="982" t="b">
        <f t="shared" si="1744"/>
        <v>0</v>
      </c>
      <c r="AH1318" s="982" t="b">
        <f t="shared" si="1744"/>
        <v>0</v>
      </c>
      <c r="AI1318" s="982" t="b">
        <f t="shared" si="1744"/>
        <v>0</v>
      </c>
      <c r="AJ1318" s="694"/>
      <c r="AK1318" s="694"/>
      <c r="AL1318" s="694"/>
    </row>
    <row r="1319" spans="1:38" ht="12.75" customHeight="1" x14ac:dyDescent="0.25">
      <c r="A1319" s="694"/>
      <c r="B1319" s="298"/>
      <c r="C1319" s="1302"/>
      <c r="D1319" s="1306"/>
      <c r="E1319" s="1306"/>
      <c r="F1319" s="1306"/>
      <c r="G1319" s="1306"/>
      <c r="H1319" s="1306"/>
      <c r="I1319" s="1306"/>
      <c r="J1319" s="1306"/>
      <c r="K1319" s="1306"/>
      <c r="L1319" s="1306"/>
      <c r="M1319" s="626"/>
      <c r="N1319" s="1316"/>
      <c r="O1319" s="302"/>
      <c r="P1319" s="302"/>
      <c r="Q1319" s="729"/>
      <c r="R1319" s="694"/>
      <c r="S1319" s="729"/>
      <c r="T1319" s="729"/>
      <c r="U1319" s="729"/>
      <c r="V1319" s="729"/>
      <c r="W1319" s="694"/>
      <c r="X1319" s="694"/>
      <c r="Y1319" s="694"/>
      <c r="Z1319" s="694"/>
      <c r="AA1319" s="694"/>
      <c r="AB1319" s="694"/>
      <c r="AC1319" s="694"/>
      <c r="AD1319" s="694"/>
      <c r="AE1319" s="694"/>
      <c r="AF1319" s="694"/>
      <c r="AG1319" s="694"/>
      <c r="AH1319" s="694"/>
      <c r="AI1319" s="694"/>
      <c r="AJ1319" s="694"/>
      <c r="AK1319" s="694"/>
      <c r="AL1319" s="694"/>
    </row>
    <row r="1320" spans="1:38" ht="12.75" customHeight="1" x14ac:dyDescent="0.25">
      <c r="A1320" s="694"/>
      <c r="B1320" s="298"/>
      <c r="C1320" s="1302"/>
      <c r="D1320" s="1307" t="s">
        <v>492</v>
      </c>
      <c r="E1320" s="2815" t="str">
        <f>Translations!$B$562</f>
        <v>Баланс на отпадните газове за тази инсталация</v>
      </c>
      <c r="F1320" s="2240"/>
      <c r="G1320" s="2240"/>
      <c r="H1320" s="2240"/>
      <c r="I1320" s="2240"/>
      <c r="J1320" s="2240"/>
      <c r="K1320" s="2240"/>
      <c r="L1320" s="2240"/>
      <c r="M1320" s="2240"/>
      <c r="N1320" s="2811"/>
      <c r="O1320" s="302"/>
      <c r="P1320" s="302"/>
      <c r="Q1320" s="729"/>
      <c r="R1320" s="694"/>
      <c r="S1320" s="729"/>
      <c r="T1320" s="729"/>
      <c r="U1320" s="729"/>
      <c r="V1320" s="729"/>
      <c r="W1320" s="694"/>
      <c r="X1320" s="694"/>
      <c r="Y1320" s="694"/>
      <c r="Z1320" s="694"/>
      <c r="AA1320" s="694"/>
      <c r="AB1320" s="694"/>
      <c r="AC1320" s="694"/>
      <c r="AD1320" s="694"/>
      <c r="AE1320" s="694"/>
      <c r="AF1320" s="694"/>
      <c r="AG1320" s="694"/>
      <c r="AH1320" s="694"/>
      <c r="AI1320" s="694"/>
      <c r="AJ1320" s="694"/>
      <c r="AK1320" s="694"/>
      <c r="AL1320" s="694"/>
    </row>
    <row r="1321" spans="1:38" ht="5.15" customHeight="1" x14ac:dyDescent="0.25">
      <c r="A1321" s="694"/>
      <c r="B1321" s="298"/>
      <c r="C1321" s="1302"/>
      <c r="D1321" s="1306"/>
      <c r="E1321" s="1325"/>
      <c r="F1321" s="1325"/>
      <c r="G1321" s="1325"/>
      <c r="H1321" s="1325"/>
      <c r="I1321" s="1325"/>
      <c r="J1321" s="1325"/>
      <c r="K1321" s="1325"/>
      <c r="L1321" s="1325"/>
      <c r="M1321" s="1325"/>
      <c r="N1321" s="1348"/>
      <c r="O1321" s="302"/>
      <c r="P1321" s="302"/>
      <c r="Q1321" s="729"/>
      <c r="R1321" s="694"/>
      <c r="S1321" s="729"/>
      <c r="T1321" s="729"/>
      <c r="U1321" s="729"/>
      <c r="V1321" s="729"/>
      <c r="W1321" s="694"/>
      <c r="X1321" s="694"/>
      <c r="Y1321" s="694"/>
      <c r="Z1321" s="694"/>
      <c r="AA1321" s="694"/>
      <c r="AB1321" s="694"/>
      <c r="AC1321" s="694"/>
      <c r="AD1321" s="694"/>
      <c r="AE1321" s="694"/>
      <c r="AF1321" s="694"/>
      <c r="AG1321" s="694"/>
      <c r="AH1321" s="694"/>
      <c r="AI1321" s="694"/>
      <c r="AJ1321" s="694"/>
      <c r="AK1321" s="694"/>
      <c r="AL1321" s="694"/>
    </row>
    <row r="1322" spans="1:38" ht="12.75" customHeight="1" x14ac:dyDescent="0.25">
      <c r="A1322" s="694"/>
      <c r="B1322" s="298"/>
      <c r="C1322" s="1302"/>
      <c r="D1322" s="625" t="s">
        <v>6</v>
      </c>
      <c r="E1322" s="2815" t="str">
        <f>Translations!$B$563</f>
        <v>От значение ли са отпадните газове за тази подинсталация?</v>
      </c>
      <c r="F1322" s="2240"/>
      <c r="G1322" s="2240"/>
      <c r="H1322" s="2240"/>
      <c r="I1322" s="2240"/>
      <c r="J1322" s="2240"/>
      <c r="K1322" s="2684"/>
      <c r="L1322" s="83"/>
      <c r="M1322" s="1322"/>
      <c r="N1322" s="1323"/>
      <c r="O1322" s="302"/>
      <c r="P1322" s="158"/>
      <c r="Q1322" s="729"/>
      <c r="R1322" s="694"/>
      <c r="S1322" s="729"/>
      <c r="T1322" s="694"/>
      <c r="U1322" s="694"/>
      <c r="V1322" s="694"/>
      <c r="W1322" s="694"/>
      <c r="X1322" s="694"/>
      <c r="Y1322" s="694"/>
      <c r="Z1322" s="694"/>
      <c r="AA1322" s="694"/>
      <c r="AB1322" s="694"/>
      <c r="AC1322" s="694"/>
      <c r="AD1322" s="694"/>
      <c r="AE1322" s="694"/>
      <c r="AF1322" s="1182" t="s">
        <v>737</v>
      </c>
      <c r="AG1322" s="901" t="b">
        <f>AND(CNTR_ExistSubInstEntries,I1137="")</f>
        <v>0</v>
      </c>
      <c r="AH1322" s="694"/>
      <c r="AI1322" s="694"/>
      <c r="AJ1322" s="694"/>
      <c r="AK1322" s="694"/>
      <c r="AL1322" s="694"/>
    </row>
    <row r="1323" spans="1:38" ht="12.75" customHeight="1" x14ac:dyDescent="0.25">
      <c r="A1323" s="694"/>
      <c r="B1323" s="298"/>
      <c r="C1323" s="1302"/>
      <c r="D1323" s="1306"/>
      <c r="E1323" s="2810" t="str">
        <f>Translations!$B$564</f>
        <v>Ако отговорът е „невярно“, целият раздел ще бъде защрихован в сиво и можете да продължите към следващите точки по-долу.</v>
      </c>
      <c r="F1323" s="2240"/>
      <c r="G1323" s="2240"/>
      <c r="H1323" s="2240"/>
      <c r="I1323" s="2240"/>
      <c r="J1323" s="2240"/>
      <c r="K1323" s="2240"/>
      <c r="L1323" s="2240"/>
      <c r="M1323" s="2240"/>
      <c r="N1323" s="2811"/>
      <c r="O1323" s="302"/>
      <c r="P1323" s="302"/>
      <c r="Q1323" s="729"/>
      <c r="R1323" s="694"/>
      <c r="S1323" s="729"/>
      <c r="T1323" s="694"/>
      <c r="U1323" s="694"/>
      <c r="V1323" s="694"/>
      <c r="W1323" s="694"/>
      <c r="X1323" s="694"/>
      <c r="Y1323" s="694"/>
      <c r="Z1323" s="694"/>
      <c r="AA1323" s="694"/>
      <c r="AB1323" s="694"/>
      <c r="AC1323" s="694"/>
      <c r="AD1323" s="694"/>
      <c r="AE1323" s="694"/>
      <c r="AF1323" s="694"/>
      <c r="AG1323" s="694"/>
      <c r="AH1323" s="694"/>
      <c r="AI1323" s="694"/>
      <c r="AJ1323" s="694"/>
      <c r="AK1323" s="694"/>
      <c r="AL1323" s="694"/>
    </row>
    <row r="1324" spans="1:38" ht="12.75" customHeight="1" x14ac:dyDescent="0.25">
      <c r="A1324" s="694"/>
      <c r="B1324" s="298"/>
      <c r="C1324" s="1302"/>
      <c r="D1324" s="625" t="s">
        <v>7</v>
      </c>
      <c r="E1324" s="2815" t="str">
        <f>Translations!$B$565</f>
        <v>Видове произведени отпадни газове:</v>
      </c>
      <c r="F1324" s="2240"/>
      <c r="G1324" s="2240"/>
      <c r="H1324" s="2684"/>
      <c r="I1324" s="2821"/>
      <c r="J1324" s="2674"/>
      <c r="K1324" s="2674"/>
      <c r="L1324" s="2674"/>
      <c r="M1324" s="2675"/>
      <c r="N1324" s="1323"/>
      <c r="O1324" s="302"/>
      <c r="P1324" s="158"/>
      <c r="Q1324" s="729"/>
      <c r="R1324" s="694"/>
      <c r="S1324" s="729"/>
      <c r="T1324" s="694"/>
      <c r="U1324" s="694"/>
      <c r="V1324" s="694"/>
      <c r="W1324" s="694"/>
      <c r="X1324" s="694"/>
      <c r="Y1324" s="694"/>
      <c r="Z1324" s="694"/>
      <c r="AA1324" s="694"/>
      <c r="AB1324" s="694"/>
      <c r="AC1324" s="1182" t="s">
        <v>737</v>
      </c>
      <c r="AD1324" s="901" t="b">
        <f>OR(AG1322,AND($L1322&lt;&gt;"",$L1322=FALSE))</f>
        <v>0</v>
      </c>
      <c r="AE1324" s="694"/>
      <c r="AF1324" s="694"/>
      <c r="AG1324" s="694"/>
      <c r="AH1324" s="694"/>
      <c r="AI1324" s="694"/>
      <c r="AJ1324" s="694"/>
      <c r="AK1324" s="694"/>
      <c r="AL1324" s="694"/>
    </row>
    <row r="1325" spans="1:38" ht="12.75" customHeight="1" x14ac:dyDescent="0.25">
      <c r="A1325" s="694"/>
      <c r="B1325" s="298"/>
      <c r="C1325" s="1302"/>
      <c r="D1325" s="1306"/>
      <c r="E1325" s="2810" t="str">
        <f>Translations!$B$566</f>
        <v>Можете да изберете да подадете данните в тонове или 1000 Nm3. Мерните единици трябва да съответстват на използваните за долна топлина на изгаряне (NCV) и емисионния фактор по-долу.</v>
      </c>
      <c r="F1325" s="2240"/>
      <c r="G1325" s="2240"/>
      <c r="H1325" s="2240"/>
      <c r="I1325" s="2240"/>
      <c r="J1325" s="2240"/>
      <c r="K1325" s="2240"/>
      <c r="L1325" s="2240"/>
      <c r="M1325" s="2240"/>
      <c r="N1325" s="2811"/>
      <c r="O1325" s="302"/>
      <c r="P1325" s="302"/>
      <c r="Q1325" s="729"/>
      <c r="R1325" s="694"/>
      <c r="S1325" s="729"/>
      <c r="T1325" s="729"/>
      <c r="U1325" s="729"/>
      <c r="V1325" s="729"/>
      <c r="W1325" s="694"/>
      <c r="X1325" s="694"/>
      <c r="Y1325" s="694"/>
      <c r="Z1325" s="694"/>
      <c r="AA1325" s="694"/>
      <c r="AB1325" s="694"/>
      <c r="AC1325" s="694"/>
      <c r="AD1325" s="694"/>
      <c r="AE1325" s="694"/>
      <c r="AF1325" s="694"/>
      <c r="AG1325" s="694"/>
      <c r="AH1325" s="694"/>
      <c r="AI1325" s="694"/>
      <c r="AJ1325" s="694"/>
      <c r="AK1325" s="694"/>
      <c r="AL1325" s="694"/>
    </row>
    <row r="1326" spans="1:38" ht="12.75" customHeight="1" x14ac:dyDescent="0.25">
      <c r="A1326" s="694"/>
      <c r="B1326" s="298"/>
      <c r="C1326" s="1302"/>
      <c r="D1326" s="1306"/>
      <c r="E1326" s="2816" t="str">
        <f>Translations!$B$520</f>
        <v>Посочените тук данни се използват само с цел проверка на съответствието и нямат пряко отражение върху емисиите, които могат да бъдат зададени, или на разпределението на квотите.</v>
      </c>
      <c r="F1326" s="2240"/>
      <c r="G1326" s="2240"/>
      <c r="H1326" s="2240"/>
      <c r="I1326" s="2240"/>
      <c r="J1326" s="2240"/>
      <c r="K1326" s="2240"/>
      <c r="L1326" s="2240"/>
      <c r="M1326" s="2240"/>
      <c r="N1326" s="2811"/>
      <c r="O1326" s="302"/>
      <c r="P1326" s="302"/>
      <c r="Q1326" s="729"/>
      <c r="R1326" s="694"/>
      <c r="S1326" s="729"/>
      <c r="T1326" s="729"/>
      <c r="U1326" s="729"/>
      <c r="V1326" s="729"/>
      <c r="W1326" s="694"/>
      <c r="X1326" s="694"/>
      <c r="Y1326" s="694"/>
      <c r="Z1326" s="694"/>
      <c r="AA1326" s="694"/>
      <c r="AB1326" s="694"/>
      <c r="AC1326" s="694"/>
      <c r="AD1326" s="694"/>
      <c r="AE1326" s="694"/>
      <c r="AF1326" s="694"/>
      <c r="AG1326" s="694"/>
      <c r="AH1326" s="694"/>
      <c r="AI1326" s="694"/>
      <c r="AJ1326" s="694"/>
      <c r="AK1326" s="694"/>
      <c r="AL1326" s="694"/>
    </row>
    <row r="1327" spans="1:38" ht="12.75" customHeight="1" thickBot="1" x14ac:dyDescent="0.3">
      <c r="A1327" s="694"/>
      <c r="B1327" s="298"/>
      <c r="C1327" s="1302"/>
      <c r="D1327" s="1306"/>
      <c r="E1327" s="1317"/>
      <c r="F1327" s="1318"/>
      <c r="G1327" s="1309" t="str">
        <f>EUconst_Unit</f>
        <v>Единица мярка</v>
      </c>
      <c r="H1327" s="629">
        <f t="shared" ref="H1327:N1327" si="1745">H$2831</f>
        <v>2024</v>
      </c>
      <c r="I1327" s="1310">
        <f t="shared" si="1745"/>
        <v>2025</v>
      </c>
      <c r="J1327" s="1311">
        <f t="shared" si="1745"/>
        <v>2026</v>
      </c>
      <c r="K1327" s="629">
        <f t="shared" si="1745"/>
        <v>2027</v>
      </c>
      <c r="L1327" s="629">
        <f t="shared" si="1745"/>
        <v>2028</v>
      </c>
      <c r="M1327" s="629">
        <f t="shared" si="1745"/>
        <v>2029</v>
      </c>
      <c r="N1327" s="1312">
        <f t="shared" si="1745"/>
        <v>2030</v>
      </c>
      <c r="O1327" s="302"/>
      <c r="P1327" s="302"/>
      <c r="Q1327" s="729"/>
      <c r="R1327" s="694"/>
      <c r="S1327" s="729"/>
      <c r="T1327" s="729"/>
      <c r="U1327" s="729"/>
      <c r="V1327" s="729"/>
      <c r="W1327" s="694"/>
      <c r="X1327" s="694"/>
      <c r="Y1327" s="694"/>
      <c r="Z1327" s="694"/>
      <c r="AA1327" s="694"/>
      <c r="AB1327" s="694"/>
      <c r="AC1327" s="1178">
        <f t="shared" ref="AC1327" si="1746">H$20</f>
        <v>2024</v>
      </c>
      <c r="AD1327" s="1178">
        <f t="shared" ref="AD1327" si="1747">I$20</f>
        <v>2025</v>
      </c>
      <c r="AE1327" s="1178">
        <f t="shared" ref="AE1327" si="1748">J$20</f>
        <v>2026</v>
      </c>
      <c r="AF1327" s="1178">
        <f t="shared" ref="AF1327" si="1749">K$20</f>
        <v>2027</v>
      </c>
      <c r="AG1327" s="1178">
        <f t="shared" ref="AG1327" si="1750">L$20</f>
        <v>2028</v>
      </c>
      <c r="AH1327" s="1178">
        <f t="shared" ref="AH1327" si="1751">M$20</f>
        <v>2029</v>
      </c>
      <c r="AI1327" s="1178">
        <f t="shared" ref="AI1327" si="1752">N$20</f>
        <v>2030</v>
      </c>
      <c r="AJ1327" s="694"/>
      <c r="AK1327" s="694"/>
      <c r="AL1327" s="694"/>
    </row>
    <row r="1328" spans="1:38" ht="12.75" customHeight="1" x14ac:dyDescent="0.25">
      <c r="A1328" s="694"/>
      <c r="B1328" s="298"/>
      <c r="C1328" s="1302"/>
      <c r="D1328" s="625" t="s">
        <v>8</v>
      </c>
      <c r="E1328" s="2818" t="str">
        <f>Translations!$B$567</f>
        <v>Произведени количества</v>
      </c>
      <c r="F1328" s="2701"/>
      <c r="G1328" s="145"/>
      <c r="H1328" s="129"/>
      <c r="I1328" s="130"/>
      <c r="J1328" s="131"/>
      <c r="K1328" s="129"/>
      <c r="L1328" s="129"/>
      <c r="M1328" s="129"/>
      <c r="N1328" s="132"/>
      <c r="O1328" s="302"/>
      <c r="P1328" s="158"/>
      <c r="Q1328" s="729"/>
      <c r="R1328" s="694"/>
      <c r="S1328" s="729"/>
      <c r="T1328" s="729"/>
      <c r="U1328" s="729"/>
      <c r="V1328" s="729"/>
      <c r="W1328" s="694"/>
      <c r="X1328" s="694"/>
      <c r="Y1328" s="694"/>
      <c r="Z1328" s="694"/>
      <c r="AA1328" s="694"/>
      <c r="AB1328" s="1182" t="s">
        <v>737</v>
      </c>
      <c r="AC1328" s="901" t="b">
        <f>OR(AND($L1322&lt;&gt;"",$L1322=FALSE),AC1184)</f>
        <v>0</v>
      </c>
      <c r="AD1328" s="982" t="b">
        <f t="shared" ref="AD1328:AI1328" si="1753">OR(AND($L1322&lt;&gt;"",$L1322=FALSE),AD1184)</f>
        <v>0</v>
      </c>
      <c r="AE1328" s="982" t="b">
        <f t="shared" si="1753"/>
        <v>0</v>
      </c>
      <c r="AF1328" s="982" t="b">
        <f t="shared" si="1753"/>
        <v>0</v>
      </c>
      <c r="AG1328" s="982" t="b">
        <f t="shared" si="1753"/>
        <v>0</v>
      </c>
      <c r="AH1328" s="982" t="b">
        <f t="shared" si="1753"/>
        <v>0</v>
      </c>
      <c r="AI1328" s="982" t="b">
        <f t="shared" si="1753"/>
        <v>0</v>
      </c>
      <c r="AJ1328" s="1174" t="s">
        <v>2039</v>
      </c>
      <c r="AK1328" s="1176" t="str">
        <f>IF(AND(CNTR_ExistSubInstEntries,MSconst_RequireSubAttrEmissions,COUNTIFS(AC1328:AI1328,FALSE,H1328:N1328,"")&gt;0),EUconst_Error&amp;"BM"&amp;$Q1137,"")</f>
        <v/>
      </c>
      <c r="AL1328" s="694"/>
    </row>
    <row r="1329" spans="1:38" ht="12.75" customHeight="1" x14ac:dyDescent="0.25">
      <c r="A1329" s="694"/>
      <c r="B1329" s="298"/>
      <c r="C1329" s="1302"/>
      <c r="D1329" s="625" t="s">
        <v>18</v>
      </c>
      <c r="E1329" s="2819" t="str">
        <f>Translations!$B$296</f>
        <v>Долна топлина на изгаряне</v>
      </c>
      <c r="F1329" s="2705"/>
      <c r="G1329" s="1349" t="str">
        <f>IF(ISBLANK(G1328),EUconst_GJperUnit,INDEX(EUconst_GJperTorKNm3,MATCH(G1328,EUconst_TonnesOrkNm3pa,0)))</f>
        <v>GJ / Единица мярка</v>
      </c>
      <c r="H1329" s="137"/>
      <c r="I1329" s="138"/>
      <c r="J1329" s="139"/>
      <c r="K1329" s="137"/>
      <c r="L1329" s="137"/>
      <c r="M1329" s="137"/>
      <c r="N1329" s="140"/>
      <c r="O1329" s="302"/>
      <c r="P1329" s="158"/>
      <c r="Q1329" s="694"/>
      <c r="R1329" s="694"/>
      <c r="S1329" s="729"/>
      <c r="T1329" s="729"/>
      <c r="U1329" s="729"/>
      <c r="V1329" s="729"/>
      <c r="W1329" s="729"/>
      <c r="X1329" s="729"/>
      <c r="Y1329" s="729"/>
      <c r="Z1329" s="729"/>
      <c r="AA1329" s="694"/>
      <c r="AB1329" s="694"/>
      <c r="AC1329" s="982" t="b">
        <f>AC1328</f>
        <v>0</v>
      </c>
      <c r="AD1329" s="982" t="b">
        <f t="shared" ref="AD1329:AI1329" si="1754">AD1328</f>
        <v>0</v>
      </c>
      <c r="AE1329" s="982" t="b">
        <f t="shared" si="1754"/>
        <v>0</v>
      </c>
      <c r="AF1329" s="982" t="b">
        <f t="shared" si="1754"/>
        <v>0</v>
      </c>
      <c r="AG1329" s="982" t="b">
        <f t="shared" si="1754"/>
        <v>0</v>
      </c>
      <c r="AH1329" s="982" t="b">
        <f t="shared" si="1754"/>
        <v>0</v>
      </c>
      <c r="AI1329" s="982" t="b">
        <f t="shared" si="1754"/>
        <v>0</v>
      </c>
      <c r="AJ1329" s="1174" t="s">
        <v>2039</v>
      </c>
      <c r="AK1329" s="1176" t="str">
        <f>IF(AND(CNTR_ExistSubInstEntries,MSconst_RequireSubAttrEmissions,COUNTIFS(AC1329:AI1329,FALSE,H1329:N1329,"")&gt;0),EUconst_Error&amp;"BM"&amp;$Q1137,"")</f>
        <v/>
      </c>
      <c r="AL1329" s="694"/>
    </row>
    <row r="1330" spans="1:38" ht="12.75" customHeight="1" x14ac:dyDescent="0.25">
      <c r="A1330" s="694"/>
      <c r="B1330" s="298"/>
      <c r="C1330" s="1302"/>
      <c r="D1330" s="625" t="s">
        <v>810</v>
      </c>
      <c r="E1330" s="2820" t="str">
        <f>Translations!$B$568</f>
        <v>Произведен отпаден газ</v>
      </c>
      <c r="F1330" s="2258"/>
      <c r="G1330" s="1319" t="str">
        <f>EUconst_TJpa</f>
        <v>TJ / година</v>
      </c>
      <c r="H1330" s="1350" t="str">
        <f t="shared" ref="H1330:N1330" si="1755">IF(COUNT(H1328:H1329)=2,H1328*H1329/1000,"")</f>
        <v/>
      </c>
      <c r="I1330" s="1351" t="str">
        <f t="shared" si="1755"/>
        <v/>
      </c>
      <c r="J1330" s="1352" t="str">
        <f t="shared" si="1755"/>
        <v/>
      </c>
      <c r="K1330" s="1350" t="str">
        <f t="shared" si="1755"/>
        <v/>
      </c>
      <c r="L1330" s="1350" t="str">
        <f t="shared" si="1755"/>
        <v/>
      </c>
      <c r="M1330" s="1350" t="str">
        <f t="shared" si="1755"/>
        <v/>
      </c>
      <c r="N1330" s="1353" t="str">
        <f t="shared" si="1755"/>
        <v/>
      </c>
      <c r="O1330" s="302"/>
      <c r="P1330" s="302"/>
      <c r="Q1330" s="1190" t="str">
        <f>EUconst_CNTR_WGProduced &amp; I1137</f>
        <v>WasteGasProd_</v>
      </c>
      <c r="R1330" s="694"/>
      <c r="S1330" s="729"/>
      <c r="T1330" s="729"/>
      <c r="U1330" s="729"/>
      <c r="V1330" s="729"/>
      <c r="W1330" s="729"/>
      <c r="X1330" s="729"/>
      <c r="Y1330" s="729"/>
      <c r="Z1330" s="729"/>
      <c r="AA1330" s="694"/>
      <c r="AB1330" s="694"/>
      <c r="AC1330" s="694"/>
      <c r="AD1330" s="694"/>
      <c r="AE1330" s="694"/>
      <c r="AF1330" s="694"/>
      <c r="AG1330" s="694"/>
      <c r="AH1330" s="694"/>
      <c r="AI1330" s="694"/>
      <c r="AJ1330" s="694"/>
      <c r="AK1330" s="694"/>
      <c r="AL1330" s="694"/>
    </row>
    <row r="1331" spans="1:38" ht="12.75" customHeight="1" x14ac:dyDescent="0.25">
      <c r="A1331" s="694"/>
      <c r="B1331" s="298"/>
      <c r="C1331" s="1302"/>
      <c r="D1331" s="625" t="s">
        <v>811</v>
      </c>
      <c r="E1331" s="2820" t="str">
        <f>Translations!$B$569</f>
        <v>Специфичен EF (произведен отпаден газ)</v>
      </c>
      <c r="F1331" s="2258"/>
      <c r="G1331" s="1319" t="str">
        <f>EUconst_tCO2pTJ</f>
        <v>t CO2 / TJ</v>
      </c>
      <c r="H1331" s="56"/>
      <c r="I1331" s="115"/>
      <c r="J1331" s="118"/>
      <c r="K1331" s="56"/>
      <c r="L1331" s="56"/>
      <c r="M1331" s="56"/>
      <c r="N1331" s="121"/>
      <c r="O1331" s="302"/>
      <c r="P1331" s="158"/>
      <c r="Q1331" s="1190" t="str">
        <f>EUconst_CNTR_WGProducedEF &amp; I1137</f>
        <v>WasteGasProdEF_</v>
      </c>
      <c r="R1331" s="694"/>
      <c r="S1331" s="729"/>
      <c r="T1331" s="729"/>
      <c r="U1331" s="729"/>
      <c r="V1331" s="729"/>
      <c r="W1331" s="729"/>
      <c r="X1331" s="729"/>
      <c r="Y1331" s="729"/>
      <c r="Z1331" s="729"/>
      <c r="AA1331" s="694"/>
      <c r="AB1331" s="1182" t="s">
        <v>737</v>
      </c>
      <c r="AC1331" s="982" t="b">
        <f>AC1329</f>
        <v>0</v>
      </c>
      <c r="AD1331" s="982" t="b">
        <f t="shared" ref="AD1331:AI1331" si="1756">AD1329</f>
        <v>0</v>
      </c>
      <c r="AE1331" s="982" t="b">
        <f t="shared" si="1756"/>
        <v>0</v>
      </c>
      <c r="AF1331" s="982" t="b">
        <f t="shared" si="1756"/>
        <v>0</v>
      </c>
      <c r="AG1331" s="982" t="b">
        <f t="shared" si="1756"/>
        <v>0</v>
      </c>
      <c r="AH1331" s="982" t="b">
        <f t="shared" si="1756"/>
        <v>0</v>
      </c>
      <c r="AI1331" s="982" t="b">
        <f t="shared" si="1756"/>
        <v>0</v>
      </c>
      <c r="AJ1331" s="1174" t="s">
        <v>2039</v>
      </c>
      <c r="AK1331" s="1176" t="str">
        <f>IF(AND(CNTR_ExistSubInstEntries,MSconst_RequireSubAttrEmissions,COUNTIFS(AC1331:AI1331,FALSE,H1331:N1331,"")&gt;0),EUconst_Error&amp;"BM"&amp;$Q1137,"")</f>
        <v/>
      </c>
      <c r="AL1331" s="694"/>
    </row>
    <row r="1332" spans="1:38" ht="12.75" customHeight="1" x14ac:dyDescent="0.25">
      <c r="A1332" s="694"/>
      <c r="B1332" s="298"/>
      <c r="C1332" s="1302"/>
      <c r="D1332" s="1306"/>
      <c r="E1332" s="1306"/>
      <c r="F1332" s="1306"/>
      <c r="G1332" s="1306"/>
      <c r="H1332" s="1354"/>
      <c r="I1332" s="1306"/>
      <c r="J1332" s="1306"/>
      <c r="K1332" s="1306"/>
      <c r="L1332" s="1306"/>
      <c r="M1332" s="626"/>
      <c r="N1332" s="1316"/>
      <c r="O1332" s="302"/>
      <c r="P1332" s="302"/>
      <c r="Q1332" s="729"/>
      <c r="R1332" s="694"/>
      <c r="S1332" s="729"/>
      <c r="T1332" s="729"/>
      <c r="U1332" s="729"/>
      <c r="V1332" s="729"/>
      <c r="W1332" s="729"/>
      <c r="X1332" s="729"/>
      <c r="Y1332" s="729"/>
      <c r="Z1332" s="729"/>
      <c r="AA1332" s="694"/>
      <c r="AB1332" s="694"/>
      <c r="AC1332" s="694"/>
      <c r="AD1332" s="694"/>
      <c r="AE1332" s="694"/>
      <c r="AF1332" s="694"/>
      <c r="AG1332" s="694"/>
      <c r="AH1332" s="694"/>
      <c r="AI1332" s="694"/>
      <c r="AJ1332" s="694"/>
      <c r="AK1332" s="694"/>
      <c r="AL1332" s="694"/>
    </row>
    <row r="1333" spans="1:38" ht="12.75" customHeight="1" x14ac:dyDescent="0.25">
      <c r="A1333" s="694"/>
      <c r="B1333" s="298"/>
      <c r="C1333" s="1302"/>
      <c r="D1333" s="625" t="s">
        <v>812</v>
      </c>
      <c r="E1333" s="2815" t="str">
        <f>Translations!$B$570</f>
        <v>Видове консумирани отпадни газове:</v>
      </c>
      <c r="F1333" s="2240"/>
      <c r="G1333" s="2240"/>
      <c r="H1333" s="2684"/>
      <c r="I1333" s="2821"/>
      <c r="J1333" s="2674"/>
      <c r="K1333" s="2674"/>
      <c r="L1333" s="2674"/>
      <c r="M1333" s="2675"/>
      <c r="N1333" s="1323"/>
      <c r="O1333" s="302"/>
      <c r="P1333" s="158"/>
      <c r="Q1333" s="729"/>
      <c r="R1333" s="694"/>
      <c r="S1333" s="729"/>
      <c r="T1333" s="729"/>
      <c r="U1333" s="729"/>
      <c r="V1333" s="729"/>
      <c r="W1333" s="729"/>
      <c r="X1333" s="729"/>
      <c r="Y1333" s="729"/>
      <c r="Z1333" s="729"/>
      <c r="AA1333" s="694"/>
      <c r="AB1333" s="694"/>
      <c r="AC1333" s="1182" t="s">
        <v>737</v>
      </c>
      <c r="AD1333" s="982" t="b">
        <f>AD1324</f>
        <v>0</v>
      </c>
      <c r="AE1333" s="694"/>
      <c r="AF1333" s="694"/>
      <c r="AG1333" s="694"/>
      <c r="AH1333" s="694"/>
      <c r="AI1333" s="694"/>
      <c r="AJ1333" s="694"/>
      <c r="AK1333" s="694"/>
      <c r="AL1333" s="694"/>
    </row>
    <row r="1334" spans="1:38" ht="25.5" customHeight="1" x14ac:dyDescent="0.25">
      <c r="A1334" s="694"/>
      <c r="B1334" s="298"/>
      <c r="C1334" s="1302"/>
      <c r="D1334" s="625"/>
      <c r="E1334" s="2810" t="str">
        <f>Translations!$B$571</f>
        <v>Това включва всички видове отпадни газове, които се консумират от тази подинсталация при производството на измерима топлинна енергия, неизмерима топлинна енергия (включително необходимото за безопасността изгаряне във факел) или механична енергия (различна от тази за електропроизводство). Количествата, резултат от изгаряне във факел, различни от необходимото за безопасността изгаряне във факел, се отчитат в следващата точка по-долу.</v>
      </c>
      <c r="F1334" s="2240"/>
      <c r="G1334" s="2240"/>
      <c r="H1334" s="2240"/>
      <c r="I1334" s="2240"/>
      <c r="J1334" s="2240"/>
      <c r="K1334" s="2240"/>
      <c r="L1334" s="2240"/>
      <c r="M1334" s="2240"/>
      <c r="N1334" s="2811"/>
      <c r="O1334" s="302"/>
      <c r="P1334" s="302"/>
      <c r="Q1334" s="729"/>
      <c r="R1334" s="694"/>
      <c r="S1334" s="729"/>
      <c r="T1334" s="729"/>
      <c r="U1334" s="729"/>
      <c r="V1334" s="729"/>
      <c r="W1334" s="729"/>
      <c r="X1334" s="729"/>
      <c r="Y1334" s="729"/>
      <c r="Z1334" s="729"/>
      <c r="AA1334" s="694"/>
      <c r="AB1334" s="694"/>
      <c r="AC1334" s="694"/>
      <c r="AD1334" s="694"/>
      <c r="AE1334" s="694"/>
      <c r="AF1334" s="694"/>
      <c r="AG1334" s="694"/>
      <c r="AH1334" s="694"/>
      <c r="AI1334" s="694"/>
      <c r="AJ1334" s="694"/>
      <c r="AK1334" s="694"/>
      <c r="AL1334" s="694"/>
    </row>
    <row r="1335" spans="1:38" ht="12.75" customHeight="1" x14ac:dyDescent="0.25">
      <c r="A1335" s="694"/>
      <c r="B1335" s="298"/>
      <c r="C1335" s="1302"/>
      <c r="D1335" s="1306"/>
      <c r="E1335" s="2816" t="str">
        <f>Translations!$B$520</f>
        <v>Посочените тук данни се използват само с цел проверка на съответствието и нямат пряко отражение върху емисиите, които могат да бъдат зададени, или на разпределението на квотите.</v>
      </c>
      <c r="F1335" s="2240"/>
      <c r="G1335" s="2240"/>
      <c r="H1335" s="2240"/>
      <c r="I1335" s="2240"/>
      <c r="J1335" s="2240"/>
      <c r="K1335" s="2240"/>
      <c r="L1335" s="2240"/>
      <c r="M1335" s="2240"/>
      <c r="N1335" s="2811"/>
      <c r="O1335" s="302"/>
      <c r="P1335" s="302"/>
      <c r="Q1335" s="729"/>
      <c r="R1335" s="694"/>
      <c r="S1335" s="729"/>
      <c r="T1335" s="729"/>
      <c r="U1335" s="729"/>
      <c r="V1335" s="729"/>
      <c r="W1335" s="729"/>
      <c r="X1335" s="729"/>
      <c r="Y1335" s="729"/>
      <c r="Z1335" s="729"/>
      <c r="AA1335" s="694"/>
      <c r="AB1335" s="694"/>
      <c r="AC1335" s="694"/>
      <c r="AD1335" s="694"/>
      <c r="AE1335" s="694"/>
      <c r="AF1335" s="694"/>
      <c r="AG1335" s="694"/>
      <c r="AH1335" s="694"/>
      <c r="AI1335" s="694"/>
      <c r="AJ1335" s="694"/>
      <c r="AK1335" s="694"/>
      <c r="AL1335" s="694"/>
    </row>
    <row r="1336" spans="1:38" ht="12.75" customHeight="1" thickBot="1" x14ac:dyDescent="0.3">
      <c r="A1336" s="694"/>
      <c r="B1336" s="298"/>
      <c r="C1336" s="1302"/>
      <c r="D1336" s="1306"/>
      <c r="E1336" s="1317"/>
      <c r="F1336" s="1318"/>
      <c r="G1336" s="1309" t="str">
        <f>EUconst_Unit</f>
        <v>Единица мярка</v>
      </c>
      <c r="H1336" s="629">
        <f t="shared" ref="H1336:N1336" si="1757">H$2831</f>
        <v>2024</v>
      </c>
      <c r="I1336" s="1310">
        <f t="shared" si="1757"/>
        <v>2025</v>
      </c>
      <c r="J1336" s="1311">
        <f t="shared" si="1757"/>
        <v>2026</v>
      </c>
      <c r="K1336" s="629">
        <f t="shared" si="1757"/>
        <v>2027</v>
      </c>
      <c r="L1336" s="629">
        <f t="shared" si="1757"/>
        <v>2028</v>
      </c>
      <c r="M1336" s="629">
        <f t="shared" si="1757"/>
        <v>2029</v>
      </c>
      <c r="N1336" s="1312">
        <f t="shared" si="1757"/>
        <v>2030</v>
      </c>
      <c r="O1336" s="302"/>
      <c r="P1336" s="302"/>
      <c r="Q1336" s="729"/>
      <c r="R1336" s="694"/>
      <c r="S1336" s="729"/>
      <c r="T1336" s="729"/>
      <c r="U1336" s="729"/>
      <c r="V1336" s="729"/>
      <c r="W1336" s="729"/>
      <c r="X1336" s="729"/>
      <c r="Y1336" s="729"/>
      <c r="Z1336" s="729"/>
      <c r="AA1336" s="694"/>
      <c r="AB1336" s="694"/>
      <c r="AC1336" s="1178">
        <f t="shared" ref="AC1336" si="1758">H$20</f>
        <v>2024</v>
      </c>
      <c r="AD1336" s="1178">
        <f t="shared" ref="AD1336" si="1759">I$20</f>
        <v>2025</v>
      </c>
      <c r="AE1336" s="1178">
        <f t="shared" ref="AE1336" si="1760">J$20</f>
        <v>2026</v>
      </c>
      <c r="AF1336" s="1178">
        <f t="shared" ref="AF1336" si="1761">K$20</f>
        <v>2027</v>
      </c>
      <c r="AG1336" s="1178">
        <f t="shared" ref="AG1336" si="1762">L$20</f>
        <v>2028</v>
      </c>
      <c r="AH1336" s="1178">
        <f t="shared" ref="AH1336" si="1763">M$20</f>
        <v>2029</v>
      </c>
      <c r="AI1336" s="1178">
        <f t="shared" ref="AI1336" si="1764">N$20</f>
        <v>2030</v>
      </c>
      <c r="AJ1336" s="694"/>
      <c r="AK1336" s="694"/>
      <c r="AL1336" s="694"/>
    </row>
    <row r="1337" spans="1:38" ht="12.75" customHeight="1" x14ac:dyDescent="0.25">
      <c r="A1337" s="694"/>
      <c r="B1337" s="298"/>
      <c r="C1337" s="1302"/>
      <c r="D1337" s="625" t="s">
        <v>813</v>
      </c>
      <c r="E1337" s="2818" t="str">
        <f>Translations!$B$572</f>
        <v>Консумирани количества</v>
      </c>
      <c r="F1337" s="2701"/>
      <c r="G1337" s="145"/>
      <c r="H1337" s="129"/>
      <c r="I1337" s="130"/>
      <c r="J1337" s="131"/>
      <c r="K1337" s="129"/>
      <c r="L1337" s="129"/>
      <c r="M1337" s="129"/>
      <c r="N1337" s="132"/>
      <c r="O1337" s="302"/>
      <c r="P1337" s="158"/>
      <c r="Q1337" s="729"/>
      <c r="R1337" s="694"/>
      <c r="S1337" s="729"/>
      <c r="T1337" s="729"/>
      <c r="U1337" s="729"/>
      <c r="V1337" s="729"/>
      <c r="W1337" s="729"/>
      <c r="X1337" s="729"/>
      <c r="Y1337" s="729"/>
      <c r="Z1337" s="729"/>
      <c r="AA1337" s="694"/>
      <c r="AB1337" s="1182" t="s">
        <v>737</v>
      </c>
      <c r="AC1337" s="982" t="b">
        <f>AC1328</f>
        <v>0</v>
      </c>
      <c r="AD1337" s="982" t="b">
        <f t="shared" ref="AD1337:AI1337" si="1765">AD1328</f>
        <v>0</v>
      </c>
      <c r="AE1337" s="982" t="b">
        <f t="shared" si="1765"/>
        <v>0</v>
      </c>
      <c r="AF1337" s="982" t="b">
        <f t="shared" si="1765"/>
        <v>0</v>
      </c>
      <c r="AG1337" s="982" t="b">
        <f t="shared" si="1765"/>
        <v>0</v>
      </c>
      <c r="AH1337" s="982" t="b">
        <f t="shared" si="1765"/>
        <v>0</v>
      </c>
      <c r="AI1337" s="982" t="b">
        <f t="shared" si="1765"/>
        <v>0</v>
      </c>
      <c r="AJ1337" s="1174" t="s">
        <v>2039</v>
      </c>
      <c r="AK1337" s="1176" t="str">
        <f>IF(AND(CNTR_ExistSubInstEntries,MSconst_RequireSubAttrEmissions,COUNTIFS(AC1337:AI1337,FALSE,H1337:N1337,"")&gt;0),EUconst_Error&amp;"BM"&amp;$Q1137,"")</f>
        <v/>
      </c>
      <c r="AL1337" s="694"/>
    </row>
    <row r="1338" spans="1:38" ht="12.75" customHeight="1" x14ac:dyDescent="0.25">
      <c r="A1338" s="694"/>
      <c r="B1338" s="298"/>
      <c r="C1338" s="1302"/>
      <c r="D1338" s="625" t="s">
        <v>814</v>
      </c>
      <c r="E1338" s="2819" t="str">
        <f>Translations!$B$296</f>
        <v>Долна топлина на изгаряне</v>
      </c>
      <c r="F1338" s="2705"/>
      <c r="G1338" s="1349" t="str">
        <f>IF(ISBLANK(G1337),EUconst_GJperUnit,INDEX(EUconst_GJperTorKNm3,MATCH(G1337,EUconst_TonnesOrkNm3pa,0)))</f>
        <v>GJ / Единица мярка</v>
      </c>
      <c r="H1338" s="137"/>
      <c r="I1338" s="138"/>
      <c r="J1338" s="139"/>
      <c r="K1338" s="137"/>
      <c r="L1338" s="137"/>
      <c r="M1338" s="137"/>
      <c r="N1338" s="140"/>
      <c r="O1338" s="302"/>
      <c r="P1338" s="158"/>
      <c r="Q1338" s="694"/>
      <c r="R1338" s="694"/>
      <c r="S1338" s="729"/>
      <c r="T1338" s="729"/>
      <c r="U1338" s="729"/>
      <c r="V1338" s="729"/>
      <c r="W1338" s="729"/>
      <c r="X1338" s="729"/>
      <c r="Y1338" s="729"/>
      <c r="Z1338" s="729"/>
      <c r="AA1338" s="694"/>
      <c r="AB1338" s="694"/>
      <c r="AC1338" s="982" t="b">
        <f>AC1337</f>
        <v>0</v>
      </c>
      <c r="AD1338" s="982" t="b">
        <f t="shared" ref="AD1338:AI1338" si="1766">AD1337</f>
        <v>0</v>
      </c>
      <c r="AE1338" s="982" t="b">
        <f t="shared" si="1766"/>
        <v>0</v>
      </c>
      <c r="AF1338" s="982" t="b">
        <f t="shared" si="1766"/>
        <v>0</v>
      </c>
      <c r="AG1338" s="982" t="b">
        <f t="shared" si="1766"/>
        <v>0</v>
      </c>
      <c r="AH1338" s="982" t="b">
        <f t="shared" si="1766"/>
        <v>0</v>
      </c>
      <c r="AI1338" s="982" t="b">
        <f t="shared" si="1766"/>
        <v>0</v>
      </c>
      <c r="AJ1338" s="1174" t="s">
        <v>2039</v>
      </c>
      <c r="AK1338" s="1176" t="str">
        <f>IF(AND(CNTR_ExistSubInstEntries,MSconst_RequireSubAttrEmissions,COUNTIFS(AC1338:AI1338,FALSE,H1338:N1338,"")&gt;0),EUconst_Error&amp;"BM"&amp;$Q1137,"")</f>
        <v/>
      </c>
      <c r="AL1338" s="694"/>
    </row>
    <row r="1339" spans="1:38" ht="12.75" customHeight="1" x14ac:dyDescent="0.25">
      <c r="A1339" s="694"/>
      <c r="B1339" s="298"/>
      <c r="C1339" s="1302"/>
      <c r="D1339" s="625" t="s">
        <v>61</v>
      </c>
      <c r="E1339" s="2820" t="str">
        <f>Translations!$B$573</f>
        <v>Консумиран отпаден газ</v>
      </c>
      <c r="F1339" s="2258"/>
      <c r="G1339" s="1319" t="str">
        <f>EUconst_TJpa</f>
        <v>TJ / година</v>
      </c>
      <c r="H1339" s="1350" t="str">
        <f t="shared" ref="H1339:N1339" si="1767">IF(COUNT(H1337:H1338)=2,H1337*H1338/1000,"")</f>
        <v/>
      </c>
      <c r="I1339" s="1351" t="str">
        <f t="shared" si="1767"/>
        <v/>
      </c>
      <c r="J1339" s="1352" t="str">
        <f t="shared" si="1767"/>
        <v/>
      </c>
      <c r="K1339" s="1350" t="str">
        <f t="shared" si="1767"/>
        <v/>
      </c>
      <c r="L1339" s="1350" t="str">
        <f t="shared" si="1767"/>
        <v/>
      </c>
      <c r="M1339" s="1350" t="str">
        <f t="shared" si="1767"/>
        <v/>
      </c>
      <c r="N1339" s="1353" t="str">
        <f t="shared" si="1767"/>
        <v/>
      </c>
      <c r="O1339" s="302"/>
      <c r="P1339" s="302"/>
      <c r="Q1339" s="1190" t="str">
        <f>EUconst_CNTR_WGConsumed &amp; I1137</f>
        <v>WasteGasCons_</v>
      </c>
      <c r="R1339" s="694"/>
      <c r="S1339" s="729"/>
      <c r="T1339" s="729"/>
      <c r="U1339" s="729"/>
      <c r="V1339" s="729"/>
      <c r="W1339" s="729"/>
      <c r="X1339" s="729"/>
      <c r="Y1339" s="729"/>
      <c r="Z1339" s="729"/>
      <c r="AA1339" s="694"/>
      <c r="AB1339" s="694"/>
      <c r="AC1339" s="694"/>
      <c r="AD1339" s="694"/>
      <c r="AE1339" s="694"/>
      <c r="AF1339" s="694"/>
      <c r="AG1339" s="694"/>
      <c r="AH1339" s="694"/>
      <c r="AI1339" s="694"/>
      <c r="AJ1339" s="694"/>
      <c r="AK1339" s="694"/>
      <c r="AL1339" s="694"/>
    </row>
    <row r="1340" spans="1:38" ht="12.75" customHeight="1" x14ac:dyDescent="0.25">
      <c r="A1340" s="694"/>
      <c r="B1340" s="298"/>
      <c r="C1340" s="1302"/>
      <c r="D1340" s="625" t="s">
        <v>62</v>
      </c>
      <c r="E1340" s="2820" t="str">
        <f>Translations!$B$574</f>
        <v>Специфичен EF (консумиран отпаден газ)</v>
      </c>
      <c r="F1340" s="2258"/>
      <c r="G1340" s="1319" t="str">
        <f>EUconst_tCO2pTJ</f>
        <v>t CO2 / TJ</v>
      </c>
      <c r="H1340" s="56"/>
      <c r="I1340" s="115"/>
      <c r="J1340" s="118"/>
      <c r="K1340" s="56"/>
      <c r="L1340" s="56"/>
      <c r="M1340" s="56"/>
      <c r="N1340" s="121"/>
      <c r="O1340" s="302"/>
      <c r="P1340" s="158"/>
      <c r="Q1340" s="1190" t="str">
        <f>EUconst_CNTR_WGConsumedEF &amp; I1137</f>
        <v>WasteGasConsEF_</v>
      </c>
      <c r="R1340" s="694"/>
      <c r="S1340" s="729"/>
      <c r="T1340" s="729"/>
      <c r="U1340" s="729"/>
      <c r="V1340" s="729"/>
      <c r="W1340" s="729"/>
      <c r="X1340" s="729"/>
      <c r="Y1340" s="729"/>
      <c r="Z1340" s="729"/>
      <c r="AA1340" s="694"/>
      <c r="AB1340" s="1182" t="s">
        <v>737</v>
      </c>
      <c r="AC1340" s="982" t="b">
        <f>AC1338</f>
        <v>0</v>
      </c>
      <c r="AD1340" s="982" t="b">
        <f t="shared" ref="AD1340:AI1340" si="1768">AD1338</f>
        <v>0</v>
      </c>
      <c r="AE1340" s="982" t="b">
        <f t="shared" si="1768"/>
        <v>0</v>
      </c>
      <c r="AF1340" s="982" t="b">
        <f t="shared" si="1768"/>
        <v>0</v>
      </c>
      <c r="AG1340" s="982" t="b">
        <f t="shared" si="1768"/>
        <v>0</v>
      </c>
      <c r="AH1340" s="982" t="b">
        <f t="shared" si="1768"/>
        <v>0</v>
      </c>
      <c r="AI1340" s="982" t="b">
        <f t="shared" si="1768"/>
        <v>0</v>
      </c>
      <c r="AJ1340" s="1174" t="s">
        <v>2039</v>
      </c>
      <c r="AK1340" s="1176" t="str">
        <f>IF(AND(CNTR_ExistSubInstEntries,MSconst_RequireSubAttrEmissions,COUNTIFS(AC1340:AI1340,FALSE,H1340:N1340,"")&gt;0),EUconst_Error&amp;"BM"&amp;$Q1137,"")</f>
        <v/>
      </c>
      <c r="AL1340" s="694"/>
    </row>
    <row r="1341" spans="1:38" ht="12.75" customHeight="1" x14ac:dyDescent="0.25">
      <c r="A1341" s="694"/>
      <c r="B1341" s="298"/>
      <c r="C1341" s="1302"/>
      <c r="D1341" s="1306"/>
      <c r="E1341" s="1306"/>
      <c r="F1341" s="1306"/>
      <c r="G1341" s="1306"/>
      <c r="H1341" s="1354"/>
      <c r="I1341" s="1306"/>
      <c r="J1341" s="1306"/>
      <c r="K1341" s="1306"/>
      <c r="L1341" s="1306"/>
      <c r="M1341" s="626"/>
      <c r="N1341" s="1316"/>
      <c r="O1341" s="302"/>
      <c r="P1341" s="302"/>
      <c r="Q1341" s="729"/>
      <c r="R1341" s="694"/>
      <c r="S1341" s="729"/>
      <c r="T1341" s="729"/>
      <c r="U1341" s="729"/>
      <c r="V1341" s="729"/>
      <c r="W1341" s="694"/>
      <c r="X1341" s="694"/>
      <c r="Y1341" s="694"/>
      <c r="Z1341" s="694"/>
      <c r="AA1341" s="694"/>
      <c r="AB1341" s="694"/>
      <c r="AC1341" s="694"/>
      <c r="AD1341" s="694"/>
      <c r="AE1341" s="694"/>
      <c r="AF1341" s="694"/>
      <c r="AG1341" s="694"/>
      <c r="AH1341" s="694"/>
      <c r="AI1341" s="694"/>
      <c r="AJ1341" s="694"/>
      <c r="AK1341" s="694"/>
      <c r="AL1341" s="694"/>
    </row>
    <row r="1342" spans="1:38" ht="12.75" customHeight="1" x14ac:dyDescent="0.25">
      <c r="A1342" s="694"/>
      <c r="B1342" s="298"/>
      <c r="C1342" s="1302"/>
      <c r="D1342" s="625" t="s">
        <v>63</v>
      </c>
      <c r="E1342" s="2815" t="str">
        <f>Translations!$B$575</f>
        <v>Видове отпадни газове резултат от изгаряне във факел:</v>
      </c>
      <c r="F1342" s="2240"/>
      <c r="G1342" s="2240"/>
      <c r="H1342" s="2684"/>
      <c r="I1342" s="2821"/>
      <c r="J1342" s="2674"/>
      <c r="K1342" s="2674"/>
      <c r="L1342" s="2674"/>
      <c r="M1342" s="2675"/>
      <c r="N1342" s="1323"/>
      <c r="O1342" s="302"/>
      <c r="P1342" s="158"/>
      <c r="Q1342" s="729"/>
      <c r="R1342" s="694"/>
      <c r="S1342" s="729"/>
      <c r="T1342" s="694"/>
      <c r="U1342" s="694"/>
      <c r="V1342" s="694"/>
      <c r="W1342" s="694"/>
      <c r="X1342" s="694"/>
      <c r="Y1342" s="694"/>
      <c r="Z1342" s="694"/>
      <c r="AA1342" s="694"/>
      <c r="AB1342" s="694"/>
      <c r="AC1342" s="1182" t="s">
        <v>737</v>
      </c>
      <c r="AD1342" s="982" t="b">
        <f>AD1333</f>
        <v>0</v>
      </c>
      <c r="AE1342" s="694"/>
      <c r="AF1342" s="694"/>
      <c r="AG1342" s="694"/>
      <c r="AH1342" s="694"/>
      <c r="AI1342" s="694"/>
      <c r="AJ1342" s="694"/>
      <c r="AK1342" s="694"/>
      <c r="AL1342" s="694"/>
    </row>
    <row r="1343" spans="1:38" ht="12.75" customHeight="1" x14ac:dyDescent="0.25">
      <c r="A1343" s="694"/>
      <c r="B1343" s="298"/>
      <c r="C1343" s="1302"/>
      <c r="D1343" s="625"/>
      <c r="E1343" s="2810" t="str">
        <f>Translations!$B$576</f>
        <v>Това включва всички видове отпадни газове, които в крайна сметка са изгорени във факел, различни от необходимото за безопасността изгаряне във факел, в подинсталацията или извън нея.</v>
      </c>
      <c r="F1343" s="2240"/>
      <c r="G1343" s="2240"/>
      <c r="H1343" s="2240"/>
      <c r="I1343" s="2240"/>
      <c r="J1343" s="2240"/>
      <c r="K1343" s="2240"/>
      <c r="L1343" s="2240"/>
      <c r="M1343" s="2240"/>
      <c r="N1343" s="2811"/>
      <c r="O1343" s="302"/>
      <c r="P1343" s="302"/>
      <c r="Q1343" s="729"/>
      <c r="R1343" s="694"/>
      <c r="S1343" s="694"/>
      <c r="T1343" s="729"/>
      <c r="U1343" s="729"/>
      <c r="V1343" s="729"/>
      <c r="W1343" s="694"/>
      <c r="X1343" s="694"/>
      <c r="Y1343" s="694"/>
      <c r="Z1343" s="694"/>
      <c r="AA1343" s="694"/>
      <c r="AB1343" s="694"/>
      <c r="AC1343" s="694"/>
      <c r="AD1343" s="694"/>
      <c r="AE1343" s="694"/>
      <c r="AF1343" s="694"/>
      <c r="AG1343" s="694"/>
      <c r="AH1343" s="694"/>
      <c r="AI1343" s="694"/>
      <c r="AJ1343" s="694"/>
      <c r="AK1343" s="694"/>
      <c r="AL1343" s="694"/>
    </row>
    <row r="1344" spans="1:38" ht="12.75" customHeight="1" x14ac:dyDescent="0.25">
      <c r="A1344" s="694"/>
      <c r="B1344" s="298"/>
      <c r="C1344" s="1302"/>
      <c r="D1344" s="1306"/>
      <c r="E1344" s="2810" t="str">
        <f>Translations!$B$577</f>
        <v>Посочените тук данни се използват само с цел проверка на съответствието и нямат пряко отражение върху емисиите, които могат да бъдат зададени.</v>
      </c>
      <c r="F1344" s="2240"/>
      <c r="G1344" s="2240"/>
      <c r="H1344" s="2240"/>
      <c r="I1344" s="2240"/>
      <c r="J1344" s="2240"/>
      <c r="K1344" s="2240"/>
      <c r="L1344" s="2240"/>
      <c r="M1344" s="2240"/>
      <c r="N1344" s="2811"/>
      <c r="O1344" s="302"/>
      <c r="P1344" s="302"/>
      <c r="Q1344" s="729"/>
      <c r="R1344" s="694"/>
      <c r="S1344" s="729"/>
      <c r="T1344" s="729"/>
      <c r="U1344" s="729"/>
      <c r="V1344" s="729"/>
      <c r="W1344" s="694"/>
      <c r="X1344" s="694"/>
      <c r="Y1344" s="694"/>
      <c r="Z1344" s="694"/>
      <c r="AA1344" s="694"/>
      <c r="AB1344" s="694"/>
      <c r="AC1344" s="694"/>
      <c r="AD1344" s="694"/>
      <c r="AE1344" s="694"/>
      <c r="AF1344" s="694"/>
      <c r="AG1344" s="694"/>
      <c r="AH1344" s="694"/>
      <c r="AI1344" s="694"/>
      <c r="AJ1344" s="694"/>
      <c r="AK1344" s="694"/>
      <c r="AL1344" s="694"/>
    </row>
    <row r="1345" spans="1:38" ht="12.75" customHeight="1" x14ac:dyDescent="0.25">
      <c r="A1345" s="694"/>
      <c r="B1345" s="298"/>
      <c r="C1345" s="1302"/>
      <c r="D1345" s="1306"/>
      <c r="E1345" s="2816" t="str">
        <f>Translations!$B$578</f>
        <v>Въпреки това от 2026 г. квотите ще бъдат намалени по отношение на факелното изгаряне на отпадни газове, различно от необходимото за безопасността изгаряне във факел.</v>
      </c>
      <c r="F1345" s="2240"/>
      <c r="G1345" s="2240"/>
      <c r="H1345" s="2240"/>
      <c r="I1345" s="2240"/>
      <c r="J1345" s="2240"/>
      <c r="K1345" s="2240"/>
      <c r="L1345" s="2240"/>
      <c r="M1345" s="2240"/>
      <c r="N1345" s="2811"/>
      <c r="O1345" s="302"/>
      <c r="P1345" s="302"/>
      <c r="Q1345" s="729"/>
      <c r="R1345" s="694"/>
      <c r="S1345" s="729"/>
      <c r="T1345" s="729"/>
      <c r="U1345" s="729"/>
      <c r="V1345" s="729"/>
      <c r="W1345" s="729"/>
      <c r="X1345" s="729"/>
      <c r="Y1345" s="729"/>
      <c r="Z1345" s="729"/>
      <c r="AA1345" s="694"/>
      <c r="AB1345" s="694"/>
      <c r="AC1345" s="694"/>
      <c r="AD1345" s="694"/>
      <c r="AE1345" s="694"/>
      <c r="AF1345" s="694"/>
      <c r="AG1345" s="694"/>
      <c r="AH1345" s="694"/>
      <c r="AI1345" s="694"/>
      <c r="AJ1345" s="694"/>
      <c r="AK1345" s="694"/>
      <c r="AL1345" s="694"/>
    </row>
    <row r="1346" spans="1:38" ht="12.75" customHeight="1" thickBot="1" x14ac:dyDescent="0.3">
      <c r="A1346" s="694"/>
      <c r="B1346" s="298"/>
      <c r="C1346" s="1302"/>
      <c r="D1346" s="1306"/>
      <c r="E1346" s="1317"/>
      <c r="F1346" s="1318"/>
      <c r="G1346" s="1309" t="str">
        <f>EUconst_Unit</f>
        <v>Единица мярка</v>
      </c>
      <c r="H1346" s="629">
        <f t="shared" ref="H1346:N1346" si="1769">H$2831</f>
        <v>2024</v>
      </c>
      <c r="I1346" s="1310">
        <f t="shared" si="1769"/>
        <v>2025</v>
      </c>
      <c r="J1346" s="1311">
        <f t="shared" si="1769"/>
        <v>2026</v>
      </c>
      <c r="K1346" s="629">
        <f t="shared" si="1769"/>
        <v>2027</v>
      </c>
      <c r="L1346" s="629">
        <f t="shared" si="1769"/>
        <v>2028</v>
      </c>
      <c r="M1346" s="629">
        <f t="shared" si="1769"/>
        <v>2029</v>
      </c>
      <c r="N1346" s="1312">
        <f t="shared" si="1769"/>
        <v>2030</v>
      </c>
      <c r="O1346" s="302"/>
      <c r="P1346" s="302"/>
      <c r="Q1346" s="729"/>
      <c r="R1346" s="694"/>
      <c r="S1346" s="729"/>
      <c r="T1346" s="729"/>
      <c r="U1346" s="729"/>
      <c r="V1346" s="729"/>
      <c r="W1346" s="729"/>
      <c r="X1346" s="729"/>
      <c r="Y1346" s="729"/>
      <c r="Z1346" s="729"/>
      <c r="AA1346" s="694"/>
      <c r="AB1346" s="694"/>
      <c r="AC1346" s="1178">
        <f t="shared" ref="AC1346" si="1770">H$20</f>
        <v>2024</v>
      </c>
      <c r="AD1346" s="1178">
        <f t="shared" ref="AD1346" si="1771">I$20</f>
        <v>2025</v>
      </c>
      <c r="AE1346" s="1178">
        <f t="shared" ref="AE1346" si="1772">J$20</f>
        <v>2026</v>
      </c>
      <c r="AF1346" s="1178">
        <f t="shared" ref="AF1346" si="1773">K$20</f>
        <v>2027</v>
      </c>
      <c r="AG1346" s="1178">
        <f t="shared" ref="AG1346" si="1774">L$20</f>
        <v>2028</v>
      </c>
      <c r="AH1346" s="1178">
        <f t="shared" ref="AH1346" si="1775">M$20</f>
        <v>2029</v>
      </c>
      <c r="AI1346" s="1178">
        <f t="shared" ref="AI1346" si="1776">N$20</f>
        <v>2030</v>
      </c>
      <c r="AJ1346" s="694"/>
      <c r="AK1346" s="694"/>
      <c r="AL1346" s="694"/>
    </row>
    <row r="1347" spans="1:38" ht="12.75" customHeight="1" x14ac:dyDescent="0.25">
      <c r="A1347" s="694"/>
      <c r="B1347" s="298"/>
      <c r="C1347" s="1302"/>
      <c r="D1347" s="625" t="s">
        <v>1136</v>
      </c>
      <c r="E1347" s="2818" t="str">
        <f>Translations!$B$579</f>
        <v>Количества, изгорени във факел</v>
      </c>
      <c r="F1347" s="2701"/>
      <c r="G1347" s="145"/>
      <c r="H1347" s="129"/>
      <c r="I1347" s="130"/>
      <c r="J1347" s="131"/>
      <c r="K1347" s="129"/>
      <c r="L1347" s="129"/>
      <c r="M1347" s="129"/>
      <c r="N1347" s="132"/>
      <c r="O1347" s="302"/>
      <c r="P1347" s="158"/>
      <c r="Q1347" s="729"/>
      <c r="R1347" s="694"/>
      <c r="S1347" s="729"/>
      <c r="T1347" s="729"/>
      <c r="U1347" s="729"/>
      <c r="V1347" s="729"/>
      <c r="W1347" s="729"/>
      <c r="X1347" s="729"/>
      <c r="Y1347" s="729"/>
      <c r="Z1347" s="729"/>
      <c r="AA1347" s="694"/>
      <c r="AB1347" s="1182" t="s">
        <v>737</v>
      </c>
      <c r="AC1347" s="982" t="b">
        <f>AC1337</f>
        <v>0</v>
      </c>
      <c r="AD1347" s="982" t="b">
        <f t="shared" ref="AD1347:AI1347" si="1777">AD1337</f>
        <v>0</v>
      </c>
      <c r="AE1347" s="982" t="b">
        <f t="shared" si="1777"/>
        <v>0</v>
      </c>
      <c r="AF1347" s="982" t="b">
        <f t="shared" si="1777"/>
        <v>0</v>
      </c>
      <c r="AG1347" s="982" t="b">
        <f t="shared" si="1777"/>
        <v>0</v>
      </c>
      <c r="AH1347" s="982" t="b">
        <f t="shared" si="1777"/>
        <v>0</v>
      </c>
      <c r="AI1347" s="982" t="b">
        <f t="shared" si="1777"/>
        <v>0</v>
      </c>
      <c r="AJ1347" s="1174" t="s">
        <v>2039</v>
      </c>
      <c r="AK1347" s="1176" t="str">
        <f>IF(AND(CNTR_ExistSubInstEntries,MSconst_RequireSubAttrEmissions,COUNTIFS(AC1347:AI1347,FALSE,H1347:N1347,"")&gt;0),EUconst_Error&amp;"BM"&amp;$Q1137,"")</f>
        <v/>
      </c>
      <c r="AL1347" s="694"/>
    </row>
    <row r="1348" spans="1:38" ht="12.75" customHeight="1" x14ac:dyDescent="0.25">
      <c r="A1348" s="694"/>
      <c r="B1348" s="298"/>
      <c r="C1348" s="1302"/>
      <c r="D1348" s="625" t="s">
        <v>1137</v>
      </c>
      <c r="E1348" s="2819" t="str">
        <f>Translations!$B$296</f>
        <v>Долна топлина на изгаряне</v>
      </c>
      <c r="F1348" s="2705"/>
      <c r="G1348" s="1349" t="str">
        <f>IF(ISBLANK(G1347),EUconst_GJperUnit,INDEX(EUconst_GJperTorKNm3,MATCH(G1347,EUconst_TonnesOrkNm3pa,0)))</f>
        <v>GJ / Единица мярка</v>
      </c>
      <c r="H1348" s="137"/>
      <c r="I1348" s="138"/>
      <c r="J1348" s="139"/>
      <c r="K1348" s="137"/>
      <c r="L1348" s="137"/>
      <c r="M1348" s="137"/>
      <c r="N1348" s="140"/>
      <c r="O1348" s="302"/>
      <c r="P1348" s="158"/>
      <c r="Q1348" s="694"/>
      <c r="R1348" s="694"/>
      <c r="S1348" s="729"/>
      <c r="T1348" s="729"/>
      <c r="U1348" s="729"/>
      <c r="V1348" s="729"/>
      <c r="W1348" s="729"/>
      <c r="X1348" s="729"/>
      <c r="Y1348" s="729"/>
      <c r="Z1348" s="729"/>
      <c r="AA1348" s="694"/>
      <c r="AB1348" s="694"/>
      <c r="AC1348" s="982" t="b">
        <f>AC1347</f>
        <v>0</v>
      </c>
      <c r="AD1348" s="982" t="b">
        <f t="shared" ref="AD1348:AI1348" si="1778">AD1347</f>
        <v>0</v>
      </c>
      <c r="AE1348" s="982" t="b">
        <f t="shared" si="1778"/>
        <v>0</v>
      </c>
      <c r="AF1348" s="982" t="b">
        <f t="shared" si="1778"/>
        <v>0</v>
      </c>
      <c r="AG1348" s="982" t="b">
        <f t="shared" si="1778"/>
        <v>0</v>
      </c>
      <c r="AH1348" s="982" t="b">
        <f t="shared" si="1778"/>
        <v>0</v>
      </c>
      <c r="AI1348" s="982" t="b">
        <f t="shared" si="1778"/>
        <v>0</v>
      </c>
      <c r="AJ1348" s="1174" t="s">
        <v>2039</v>
      </c>
      <c r="AK1348" s="1176" t="str">
        <f>IF(AND(CNTR_ExistSubInstEntries,MSconst_RequireSubAttrEmissions,COUNTIFS(AC1348:AI1348,FALSE,H1348:N1348,"")&gt;0),EUconst_Error&amp;"BM"&amp;$Q1137,"")</f>
        <v/>
      </c>
      <c r="AL1348" s="694"/>
    </row>
    <row r="1349" spans="1:38" ht="12.75" customHeight="1" x14ac:dyDescent="0.25">
      <c r="A1349" s="694"/>
      <c r="B1349" s="298"/>
      <c r="C1349" s="1302"/>
      <c r="D1349" s="625" t="s">
        <v>1138</v>
      </c>
      <c r="E1349" s="2820" t="str">
        <f>Translations!$B$580</f>
        <v>Изгорен във факел отпаден газ</v>
      </c>
      <c r="F1349" s="2258"/>
      <c r="G1349" s="1319" t="str">
        <f>EUconst_TJpa</f>
        <v>TJ / година</v>
      </c>
      <c r="H1349" s="1350" t="str">
        <f t="shared" ref="H1349:N1349" si="1779">IF(COUNT(H1347:H1348)=2,H1347*H1348/1000,"")</f>
        <v/>
      </c>
      <c r="I1349" s="1351" t="str">
        <f t="shared" si="1779"/>
        <v/>
      </c>
      <c r="J1349" s="1352" t="str">
        <f t="shared" si="1779"/>
        <v/>
      </c>
      <c r="K1349" s="1350" t="str">
        <f t="shared" si="1779"/>
        <v/>
      </c>
      <c r="L1349" s="1350" t="str">
        <f t="shared" si="1779"/>
        <v/>
      </c>
      <c r="M1349" s="1350" t="str">
        <f t="shared" si="1779"/>
        <v/>
      </c>
      <c r="N1349" s="1353" t="str">
        <f t="shared" si="1779"/>
        <v/>
      </c>
      <c r="O1349" s="302"/>
      <c r="P1349" s="302"/>
      <c r="Q1349" s="1190" t="str">
        <f>EUconst_CNTR_WGFlared &amp; I1137</f>
        <v>WasteGasFlare_</v>
      </c>
      <c r="R1349" s="694"/>
      <c r="S1349" s="729"/>
      <c r="T1349" s="729"/>
      <c r="U1349" s="729"/>
      <c r="V1349" s="729"/>
      <c r="W1349" s="729"/>
      <c r="X1349" s="729"/>
      <c r="Y1349" s="729"/>
      <c r="Z1349" s="729"/>
      <c r="AA1349" s="694"/>
      <c r="AB1349" s="694"/>
      <c r="AC1349" s="694"/>
      <c r="AD1349" s="694"/>
      <c r="AE1349" s="694"/>
      <c r="AF1349" s="694"/>
      <c r="AG1349" s="694"/>
      <c r="AH1349" s="694"/>
      <c r="AI1349" s="694"/>
      <c r="AJ1349" s="694"/>
      <c r="AK1349" s="694"/>
      <c r="AL1349" s="694"/>
    </row>
    <row r="1350" spans="1:38" ht="12.75" customHeight="1" x14ac:dyDescent="0.25">
      <c r="A1350" s="694"/>
      <c r="B1350" s="298"/>
      <c r="C1350" s="1302"/>
      <c r="D1350" s="625" t="s">
        <v>1139</v>
      </c>
      <c r="E1350" s="2820" t="str">
        <f>Translations!$B$581</f>
        <v>Специфичен EF (изгорен във факел отпаден газ)</v>
      </c>
      <c r="F1350" s="2258"/>
      <c r="G1350" s="1319" t="str">
        <f>EUconst_tCO2pTJ</f>
        <v>t CO2 / TJ</v>
      </c>
      <c r="H1350" s="56"/>
      <c r="I1350" s="115"/>
      <c r="J1350" s="118"/>
      <c r="K1350" s="56"/>
      <c r="L1350" s="56"/>
      <c r="M1350" s="56"/>
      <c r="N1350" s="121"/>
      <c r="O1350" s="302"/>
      <c r="P1350" s="158"/>
      <c r="Q1350" s="1190" t="str">
        <f>EUconst_CNTR_WGFlaredEF &amp; I1137</f>
        <v>WasteGasFlareEF_</v>
      </c>
      <c r="R1350" s="694"/>
      <c r="S1350" s="729"/>
      <c r="T1350" s="729"/>
      <c r="U1350" s="729"/>
      <c r="V1350" s="729"/>
      <c r="W1350" s="729"/>
      <c r="X1350" s="729"/>
      <c r="Y1350" s="729"/>
      <c r="Z1350" s="729"/>
      <c r="AA1350" s="694"/>
      <c r="AB1350" s="1182" t="s">
        <v>737</v>
      </c>
      <c r="AC1350" s="982" t="b">
        <f>AC1348</f>
        <v>0</v>
      </c>
      <c r="AD1350" s="982" t="b">
        <f t="shared" ref="AD1350:AI1350" si="1780">AD1348</f>
        <v>0</v>
      </c>
      <c r="AE1350" s="982" t="b">
        <f t="shared" si="1780"/>
        <v>0</v>
      </c>
      <c r="AF1350" s="982" t="b">
        <f t="shared" si="1780"/>
        <v>0</v>
      </c>
      <c r="AG1350" s="982" t="b">
        <f t="shared" si="1780"/>
        <v>0</v>
      </c>
      <c r="AH1350" s="982" t="b">
        <f t="shared" si="1780"/>
        <v>0</v>
      </c>
      <c r="AI1350" s="982" t="b">
        <f t="shared" si="1780"/>
        <v>0</v>
      </c>
      <c r="AJ1350" s="1174" t="s">
        <v>2039</v>
      </c>
      <c r="AK1350" s="1176" t="str">
        <f>IF(AND(CNTR_ExistSubInstEntries,MSconst_RequireSubAttrEmissions,COUNTIFS(AC1350:AI1350,FALSE,H1350:N1350,"")&gt;0),EUconst_Error&amp;"BM"&amp;$Q1137,"")</f>
        <v/>
      </c>
      <c r="AL1350" s="694"/>
    </row>
    <row r="1351" spans="1:38" ht="5.15" customHeight="1" thickBot="1" x14ac:dyDescent="0.3">
      <c r="A1351" s="694"/>
      <c r="B1351" s="298"/>
      <c r="C1351" s="1302"/>
      <c r="D1351" s="1306"/>
      <c r="E1351" s="1306"/>
      <c r="F1351" s="1306"/>
      <c r="G1351" s="1306"/>
      <c r="H1351" s="1354"/>
      <c r="I1351" s="1306"/>
      <c r="J1351" s="1306"/>
      <c r="K1351" s="1306"/>
      <c r="L1351" s="1306"/>
      <c r="M1351" s="626"/>
      <c r="N1351" s="1316"/>
      <c r="O1351" s="302"/>
      <c r="P1351" s="302"/>
      <c r="Q1351" s="729"/>
      <c r="R1351" s="694"/>
      <c r="S1351" s="729"/>
      <c r="T1351" s="729"/>
      <c r="U1351" s="729"/>
      <c r="V1351" s="729"/>
      <c r="W1351" s="694"/>
      <c r="X1351" s="694"/>
      <c r="Y1351" s="694"/>
      <c r="Z1351" s="694"/>
      <c r="AA1351" s="694"/>
      <c r="AB1351" s="694"/>
      <c r="AC1351" s="694"/>
      <c r="AD1351" s="694"/>
      <c r="AE1351" s="694"/>
      <c r="AF1351" s="694"/>
      <c r="AG1351" s="694"/>
      <c r="AH1351" s="694"/>
      <c r="AI1351" s="694"/>
      <c r="AJ1351" s="694"/>
      <c r="AK1351" s="694"/>
      <c r="AL1351" s="694"/>
    </row>
    <row r="1352" spans="1:38" ht="12.75" customHeight="1" thickBot="1" x14ac:dyDescent="0.3">
      <c r="A1352" s="694"/>
      <c r="B1352" s="298"/>
      <c r="C1352" s="1302"/>
      <c r="D1352" s="1306"/>
      <c r="E1352" s="2820" t="str">
        <f>Translations!$B$1330</f>
        <v>Количество изгорен във факел отпаден газ</v>
      </c>
      <c r="F1352" s="2820"/>
      <c r="G1352" s="1355" t="str">
        <f>EUconst_tCO2</f>
        <v>t CO2</v>
      </c>
      <c r="H1352" s="1356" t="str">
        <f t="shared" ref="H1352" si="1781">IF(T1145,SUM(H1349)*SUM(H1350),"")</f>
        <v/>
      </c>
      <c r="I1352" s="1357" t="str">
        <f t="shared" ref="I1352" si="1782">IF(U1145,SUM(I1349)*SUM(I1350),"")</f>
        <v/>
      </c>
      <c r="J1352" s="1358" t="str">
        <f t="shared" ref="J1352" si="1783">IF(V1145,SUM(J1349)*SUM(J1350),"")</f>
        <v/>
      </c>
      <c r="K1352" s="1356" t="str">
        <f t="shared" ref="K1352" si="1784">IF(W1145,SUM(K1349)*SUM(K1350),"")</f>
        <v/>
      </c>
      <c r="L1352" s="1356" t="str">
        <f t="shared" ref="L1352" si="1785">IF(X1145,SUM(L1349)*SUM(L1350),"")</f>
        <v/>
      </c>
      <c r="M1352" s="1356" t="str">
        <f t="shared" ref="M1352" si="1786">IF(Y1145,SUM(M1349)*SUM(M1350),"")</f>
        <v/>
      </c>
      <c r="N1352" s="1356" t="str">
        <f t="shared" ref="N1352" si="1787">IF(Z1145,SUM(N1349)*SUM(N1350),"")</f>
        <v/>
      </c>
      <c r="O1352" s="302"/>
      <c r="P1352" s="302"/>
      <c r="Q1352" s="1190" t="str">
        <f>EUconst_CNTR_HAL &amp; EUconst_CNTR_WGFlared &amp; I1137</f>
        <v>HAL_WasteGasFlare_</v>
      </c>
      <c r="R1352" s="694"/>
      <c r="S1352" s="1174" t="s">
        <v>1811</v>
      </c>
      <c r="T1352" s="1169" t="b">
        <f>CNTR_SubPeriod=2</f>
        <v>1</v>
      </c>
      <c r="U1352" s="729"/>
      <c r="V1352" s="729"/>
      <c r="W1352" s="694"/>
      <c r="X1352" s="694"/>
      <c r="Y1352" s="694"/>
      <c r="Z1352" s="694"/>
      <c r="AA1352" s="694"/>
      <c r="AB1352" s="694"/>
      <c r="AC1352" s="694"/>
      <c r="AD1352" s="694"/>
      <c r="AE1352" s="694"/>
      <c r="AF1352" s="694"/>
      <c r="AG1352" s="694"/>
      <c r="AH1352" s="694"/>
      <c r="AI1352" s="694"/>
      <c r="AJ1352" s="694"/>
      <c r="AK1352" s="694"/>
      <c r="AL1352" s="694"/>
    </row>
    <row r="1353" spans="1:38" ht="5.15" customHeight="1" thickBot="1" x14ac:dyDescent="0.3">
      <c r="A1353" s="694"/>
      <c r="B1353" s="298"/>
      <c r="C1353" s="1302"/>
      <c r="D1353" s="1306"/>
      <c r="E1353" s="1306"/>
      <c r="F1353" s="1306"/>
      <c r="G1353" s="1306"/>
      <c r="H1353" s="1354"/>
      <c r="I1353" s="1306"/>
      <c r="J1353" s="1306"/>
      <c r="K1353" s="1306"/>
      <c r="L1353" s="1306"/>
      <c r="M1353" s="626"/>
      <c r="N1353" s="1316"/>
      <c r="O1353" s="302"/>
      <c r="P1353" s="302"/>
      <c r="Q1353" s="729"/>
      <c r="R1353" s="694"/>
      <c r="S1353" s="729"/>
      <c r="T1353" s="729"/>
      <c r="U1353" s="729"/>
      <c r="V1353" s="729"/>
      <c r="W1353" s="694"/>
      <c r="X1353" s="694"/>
      <c r="Y1353" s="694"/>
      <c r="Z1353" s="694"/>
      <c r="AA1353" s="694"/>
      <c r="AB1353" s="694"/>
      <c r="AC1353" s="694"/>
      <c r="AD1353" s="694"/>
      <c r="AE1353" s="694"/>
      <c r="AF1353" s="694"/>
      <c r="AG1353" s="694"/>
      <c r="AH1353" s="694"/>
      <c r="AI1353" s="694"/>
      <c r="AJ1353" s="694"/>
      <c r="AK1353" s="694"/>
      <c r="AL1353" s="694"/>
    </row>
    <row r="1354" spans="1:38" ht="5.15" customHeight="1" thickBot="1" x14ac:dyDescent="0.3">
      <c r="A1354" s="694"/>
      <c r="B1354" s="298"/>
      <c r="C1354" s="1302"/>
      <c r="D1354" s="1359"/>
      <c r="E1354" s="1360"/>
      <c r="F1354" s="1360"/>
      <c r="G1354" s="1360"/>
      <c r="H1354" s="1361"/>
      <c r="I1354" s="1360"/>
      <c r="J1354" s="1360"/>
      <c r="K1354" s="1360"/>
      <c r="L1354" s="1360"/>
      <c r="M1354" s="1362"/>
      <c r="N1354" s="1363"/>
      <c r="O1354" s="302"/>
      <c r="P1354" s="302"/>
      <c r="Q1354" s="729"/>
      <c r="R1354" s="694"/>
      <c r="S1354" s="729"/>
      <c r="T1354" s="729"/>
      <c r="U1354" s="729"/>
      <c r="V1354" s="729"/>
      <c r="W1354" s="694"/>
      <c r="X1354" s="694"/>
      <c r="Y1354" s="694"/>
      <c r="Z1354" s="694"/>
      <c r="AA1354" s="694"/>
      <c r="AB1354" s="694"/>
      <c r="AC1354" s="694"/>
      <c r="AD1354" s="694"/>
      <c r="AE1354" s="694"/>
      <c r="AF1354" s="694"/>
      <c r="AG1354" s="694"/>
      <c r="AH1354" s="694"/>
      <c r="AI1354" s="694"/>
      <c r="AJ1354" s="694"/>
      <c r="AK1354" s="694"/>
      <c r="AL1354" s="694"/>
    </row>
    <row r="1355" spans="1:38" ht="12.75" customHeight="1" x14ac:dyDescent="0.25">
      <c r="A1355" s="694"/>
      <c r="B1355" s="298"/>
      <c r="C1355" s="1302"/>
      <c r="D1355" s="1197" t="s">
        <v>2004</v>
      </c>
      <c r="E1355" s="2823" t="str">
        <f>Translations!$B$1331</f>
        <v>Корекции: изгорени във факел отпадни газове</v>
      </c>
      <c r="F1355" s="2672"/>
      <c r="G1355" s="2672"/>
      <c r="H1355" s="1200" t="str">
        <f>EUconst_Unit</f>
        <v>Единица мярка</v>
      </c>
      <c r="I1355" s="1201" t="str">
        <f>Translations!$B$1327</f>
        <v>(НМИ) стойност</v>
      </c>
      <c r="J1355" s="1202">
        <f>J$2831</f>
        <v>2026</v>
      </c>
      <c r="K1355" s="1203">
        <f>K$2831</f>
        <v>2027</v>
      </c>
      <c r="L1355" s="1203">
        <f>L$2831</f>
        <v>2028</v>
      </c>
      <c r="M1355" s="1203">
        <f>M$2831</f>
        <v>2029</v>
      </c>
      <c r="N1355" s="1204">
        <f>N$2831</f>
        <v>2030</v>
      </c>
      <c r="O1355" s="302"/>
      <c r="P1355" s="302"/>
      <c r="Q1355" s="729"/>
      <c r="R1355" s="694"/>
      <c r="S1355" s="694"/>
      <c r="T1355" s="694"/>
      <c r="U1355" s="1205"/>
      <c r="V1355" s="1206">
        <f>J1355</f>
        <v>2026</v>
      </c>
      <c r="W1355" s="1206">
        <f>K1355</f>
        <v>2027</v>
      </c>
      <c r="X1355" s="1206">
        <f>L1355</f>
        <v>2028</v>
      </c>
      <c r="Y1355" s="1206">
        <f>M1355</f>
        <v>2029</v>
      </c>
      <c r="Z1355" s="1207">
        <f>N1355</f>
        <v>2030</v>
      </c>
      <c r="AA1355" s="694"/>
      <c r="AB1355" s="694"/>
      <c r="AC1355" s="694"/>
      <c r="AD1355" s="694"/>
      <c r="AE1355" s="694"/>
      <c r="AF1355" s="694"/>
      <c r="AG1355" s="694"/>
      <c r="AH1355" s="694"/>
      <c r="AI1355" s="694"/>
      <c r="AJ1355" s="694"/>
      <c r="AK1355" s="694"/>
      <c r="AL1355" s="694"/>
    </row>
    <row r="1356" spans="1:38" ht="12.75" customHeight="1" x14ac:dyDescent="0.25">
      <c r="A1356" s="694"/>
      <c r="B1356" s="298"/>
      <c r="C1356" s="1302"/>
      <c r="D1356" s="1208" t="s">
        <v>6</v>
      </c>
      <c r="E1356" s="2822" t="str">
        <f>Translations!$B$1328</f>
        <v>Средна годишна стойност</v>
      </c>
      <c r="F1356" s="2258"/>
      <c r="G1356" s="2258"/>
      <c r="H1356" s="1266" t="str">
        <f>G1352</f>
        <v>t CO2</v>
      </c>
      <c r="I1356" s="1211" t="str">
        <f>INDEX('B+C_SubInstallations'!$K:$K,MATCH(Q1356,'B+C_SubInstallations'!$V:$V,0))</f>
        <v/>
      </c>
      <c r="J1356" s="1267" t="str">
        <f>IF($T1352&lt;&gt;TRUE,"",IF(AND(V1356&gt;=3,CNTR_ReportingYear&gt;J1355-1),AVERAGE(SUM(H1352),SUM(I1352)),""))</f>
        <v/>
      </c>
      <c r="K1356" s="1268" t="str">
        <f>IF($T1352&lt;&gt;TRUE,"",IF(AND(W1356&gt;=3,CNTR_ReportingYear&gt;K1355-1),AVERAGE(SUM(I1352),SUM(J1352)),""))</f>
        <v/>
      </c>
      <c r="L1356" s="1268" t="str">
        <f>IF($T1352&lt;&gt;TRUE,"",IF(AND(X1356&gt;=3,CNTR_ReportingYear&gt;L1355-1),AVERAGE(SUM(J1352),SUM(K1352)),""))</f>
        <v/>
      </c>
      <c r="M1356" s="1268" t="str">
        <f>IF($T1352&lt;&gt;TRUE,"",IF(AND(Y1356&gt;=3,CNTR_ReportingYear&gt;M1355-1),AVERAGE(SUM(K1352),SUM(L1352)),""))</f>
        <v/>
      </c>
      <c r="N1356" s="1269" t="str">
        <f>IF($T1352&lt;&gt;TRUE,"",IF(AND(Z1356&gt;=3,CNTR_ReportingYear&gt;N1355-1),AVERAGE(SUM(L1352),SUM(M1352)),""))</f>
        <v/>
      </c>
      <c r="O1356" s="302"/>
      <c r="P1356" s="302"/>
      <c r="Q1356" s="1190" t="str">
        <f>EUconst_CNTR_HALinitial &amp; EUconst_CNTR_WGFlared &amp; I1137</f>
        <v>HALini_WasteGasFlare_</v>
      </c>
      <c r="R1356" s="694"/>
      <c r="S1356" s="694"/>
      <c r="T1356" s="694"/>
      <c r="U1356" s="1365" t="s">
        <v>1710</v>
      </c>
      <c r="V1356" s="1176">
        <f>V1159</f>
        <v>0</v>
      </c>
      <c r="W1356" s="1176">
        <f>W1159</f>
        <v>0</v>
      </c>
      <c r="X1356" s="1176">
        <f>X1159</f>
        <v>0</v>
      </c>
      <c r="Y1356" s="1176">
        <f>Y1159</f>
        <v>0</v>
      </c>
      <c r="Z1356" s="1216">
        <f>Z1159</f>
        <v>0</v>
      </c>
      <c r="AA1356" s="694"/>
      <c r="AB1356" s="694"/>
      <c r="AC1356" s="694"/>
      <c r="AD1356" s="694"/>
      <c r="AE1356" s="694"/>
      <c r="AF1356" s="694"/>
      <c r="AG1356" s="694"/>
      <c r="AH1356" s="694"/>
      <c r="AI1356" s="694"/>
      <c r="AJ1356" s="694"/>
      <c r="AK1356" s="694"/>
      <c r="AL1356" s="694"/>
    </row>
    <row r="1357" spans="1:38" ht="12.75" hidden="1" customHeight="1" x14ac:dyDescent="0.25">
      <c r="A1357" s="729" t="s">
        <v>312</v>
      </c>
      <c r="B1357" s="298"/>
      <c r="C1357" s="1302"/>
      <c r="D1357" s="1208"/>
      <c r="E1357" s="2822" t="str">
        <f>Translations!$B$1378</f>
        <v>Промяна в сравнение със стойността в НМИ</v>
      </c>
      <c r="F1357" s="2258"/>
      <c r="G1357" s="2258"/>
      <c r="H1357" s="1222"/>
      <c r="I1357" s="1223"/>
      <c r="J1357" s="104" t="str">
        <f>IF(J1356="","",IF($I1359=0,IF(J1356=0,0%,100%),J1356/$I1359-1))</f>
        <v/>
      </c>
      <c r="K1357" s="99" t="str">
        <f>IF(K1356="","",IF($I1359=0,IF(K1356=0,0%,100%),K1356/$I1359-1))</f>
        <v/>
      </c>
      <c r="L1357" s="99" t="str">
        <f>IF(L1356="","",IF($I1359=0,IF(L1356=0,0%,100%),L1356/$I1359-1))</f>
        <v/>
      </c>
      <c r="M1357" s="99" t="str">
        <f>IF(M1356="","",IF($I1359=0,IF(M1356=0,0%,100%),M1356/$I1359-1))</f>
        <v/>
      </c>
      <c r="N1357" s="123" t="str">
        <f>IF(N1356="","",IF($I1359=0,IF(N1356=0,0%,100%),N1356/$I1359-1))</f>
        <v/>
      </c>
      <c r="O1357" s="302"/>
      <c r="P1357" s="302"/>
      <c r="Q1357" s="1190" t="str">
        <f>EUconst_CNTR_RelThreshold &amp; Q1359</f>
        <v>RelThresh_HALprelim_WasteGasFlare_</v>
      </c>
      <c r="R1357" s="694"/>
      <c r="S1357" s="694"/>
      <c r="T1357" s="694"/>
      <c r="U1357" s="1365" t="s">
        <v>1715</v>
      </c>
      <c r="V1357" s="727" t="str">
        <f>IF(J1356="","",ABS(J1357)&gt;15%)</f>
        <v/>
      </c>
      <c r="W1357" s="727" t="str">
        <f>IF(K1356="","",ABS(K1357)&gt;15%)</f>
        <v/>
      </c>
      <c r="X1357" s="727" t="str">
        <f>IF(L1356="","",ABS(L1357)&gt;15%)</f>
        <v/>
      </c>
      <c r="Y1357" s="727" t="str">
        <f>IF(M1356="","",ABS(M1357)&gt;15%)</f>
        <v/>
      </c>
      <c r="Z1357" s="1221" t="str">
        <f>IF(N1356="","",ABS(N1357)&gt;15%)</f>
        <v/>
      </c>
      <c r="AA1357" s="694"/>
      <c r="AB1357" s="694"/>
      <c r="AC1357" s="694"/>
      <c r="AD1357" s="694"/>
      <c r="AE1357" s="694"/>
      <c r="AF1357" s="694"/>
      <c r="AG1357" s="694"/>
      <c r="AH1357" s="694"/>
      <c r="AI1357" s="694"/>
      <c r="AJ1357" s="694"/>
      <c r="AK1357" s="694"/>
      <c r="AL1357" s="694"/>
    </row>
    <row r="1358" spans="1:38" ht="12.75" customHeight="1" x14ac:dyDescent="0.25">
      <c r="A1358" s="729"/>
      <c r="B1358" s="298"/>
      <c r="C1358" s="1302"/>
      <c r="D1358" s="1208" t="s">
        <v>7</v>
      </c>
      <c r="E1358" s="2822" t="str">
        <f>Translations!$B$1322</f>
        <v>Предварителна корекция (ако са надвишени относителните прагове)</v>
      </c>
      <c r="F1358" s="2258"/>
      <c r="G1358" s="2258"/>
      <c r="H1358" s="1222"/>
      <c r="I1358" s="1223"/>
      <c r="J1358" s="1224" t="str">
        <f>IF(J1356="","",IF(V1357=FALSE,0%,IF(V1358,J1357,I1364)))</f>
        <v/>
      </c>
      <c r="K1358" s="1225" t="str">
        <f>IF(K1356="","",IF(W1357=FALSE,0%,IF(W1358,K1357,J1364)))</f>
        <v/>
      </c>
      <c r="L1358" s="1225" t="str">
        <f>IF(L1356="","",IF(X1357=FALSE,0%,IF(X1358,L1357,K1364)))</f>
        <v/>
      </c>
      <c r="M1358" s="1225" t="str">
        <f>IF(M1356="","",IF(Y1357=FALSE,0%,IF(Y1358,M1357,L1364)))</f>
        <v/>
      </c>
      <c r="N1358" s="1226" t="str">
        <f>IF(N1356="","",IF(Z1357=FALSE,0%,IF(Z1358,N1357,M1364)))</f>
        <v/>
      </c>
      <c r="O1358" s="302"/>
      <c r="P1358" s="302"/>
      <c r="Q1358" s="729"/>
      <c r="R1358" s="694"/>
      <c r="S1358" s="694"/>
      <c r="T1358" s="694"/>
      <c r="U1358" s="1215" t="s">
        <v>1716</v>
      </c>
      <c r="V1358" s="727" t="str">
        <f>IF(J1356="","",AND(V1357,IF(SUM(I1364)&lt;0,OR(SUM(J1357)&lt;SUM(I1364)-MOD(SUM(I1364),5%),J1357&gt;=SUM(I1364)+5%-MOD(SUM(I1364),5%)),OR(SUM(J1357)&lt;=SUM(I1364)-MOD(SUM(I1364),5%),SUM(J1357)&gt;SUM(I1364)+5%-MOD(SUM(I1364),5%)))))</f>
        <v/>
      </c>
      <c r="W1358" s="727" t="str">
        <f>IF(K1356="","",AND(W1357,IF(SUM(J1364)&lt;0,OR(SUM(K1357)&lt;SUM(J1364)-MOD(SUM(J1364),5%),K1357&gt;=SUM(J1364)+5%-MOD(SUM(J1364),5%)),OR(SUM(K1357)&lt;=SUM(J1364)-MOD(SUM(J1364),5%),SUM(K1357)&gt;SUM(J1364)+5%-MOD(SUM(J1364),5%)))))</f>
        <v/>
      </c>
      <c r="X1358" s="727" t="str">
        <f>IF(L1356="","",AND(X1357,IF(SUM(K1364)&lt;0,OR(SUM(L1357)&lt;SUM(K1364)-MOD(SUM(K1364),5%),L1357&gt;=SUM(K1364)+5%-MOD(SUM(K1364),5%)),OR(SUM(L1357)&lt;=SUM(K1364)-MOD(SUM(K1364),5%),SUM(L1357)&gt;SUM(K1364)+5%-MOD(SUM(K1364),5%)))))</f>
        <v/>
      </c>
      <c r="Y1358" s="727" t="str">
        <f>IF(M1356="","",AND(Y1357,IF(SUM(L1364)&lt;0,OR(SUM(M1357)&lt;SUM(L1364)-MOD(SUM(L1364),5%),M1357&gt;=SUM(L1364)+5%-MOD(SUM(L1364),5%)),OR(SUM(M1357)&lt;=SUM(L1364)-MOD(SUM(L1364),5%),SUM(M1357)&gt;SUM(L1364)+5%-MOD(SUM(L1364),5%)))))</f>
        <v/>
      </c>
      <c r="Z1358" s="1221" t="str">
        <f>IF(N1356="","",AND(Z1357,IF(SUM(M1364)&lt;0,OR(SUM(N1357)&lt;SUM(M1364)-MOD(SUM(M1364),5%),N1357&gt;=SUM(M1364)+5%-MOD(SUM(M1364),5%)),OR(SUM(N1357)&lt;=SUM(M1364)-MOD(SUM(M1364),5%),SUM(N1357)&gt;SUM(M1364)+5%-MOD(SUM(M1364),5%)))))</f>
        <v/>
      </c>
      <c r="AA1358" s="694"/>
      <c r="AB1358" s="694"/>
      <c r="AC1358" s="694"/>
      <c r="AD1358" s="694"/>
      <c r="AE1358" s="694"/>
      <c r="AF1358" s="694"/>
      <c r="AG1358" s="694"/>
      <c r="AH1358" s="694"/>
      <c r="AI1358" s="694"/>
      <c r="AJ1358" s="694"/>
      <c r="AK1358" s="694"/>
      <c r="AL1358" s="694"/>
    </row>
    <row r="1359" spans="1:38" ht="12.75" hidden="1" customHeight="1" x14ac:dyDescent="0.25">
      <c r="A1359" s="729" t="s">
        <v>312</v>
      </c>
      <c r="B1359" s="298"/>
      <c r="C1359" s="1302"/>
      <c r="D1359" s="1208"/>
      <c r="E1359" s="2822" t="str">
        <f>Translations!$B$1377</f>
        <v>Предварителна стойност</v>
      </c>
      <c r="F1359" s="2258"/>
      <c r="G1359" s="2258"/>
      <c r="H1359" s="1266" t="str">
        <f>H1356</f>
        <v>t CO2</v>
      </c>
      <c r="I1359" s="1211" t="str">
        <f>IF($I1137="","",IF(AB1137=FALSE,EUconst_NA,IF(V1137&gt;($J$2831-3),INDEX(H1352:N1352,MATCH(V1137,H1346:N1346,0)),SUM(I1356))))</f>
        <v/>
      </c>
      <c r="J1359" s="1212" t="str">
        <f>IF($I1137="","",IF(V1356&lt;2,SUM(J1352),IF(V1356&lt;3,SUM(I1352),IF(V1359="",I1359,V1359))))</f>
        <v/>
      </c>
      <c r="K1359" s="1213" t="str">
        <f>IF($I1137="","",IF(W1356&lt;2,SUM(K1352),IF(W1356&lt;3,SUM(J1352),IF(W1359="",J1359,W1359))))</f>
        <v/>
      </c>
      <c r="L1359" s="1213" t="str">
        <f>IF($I1137="","",IF(X1356&lt;2,SUM(L1352),IF(X1356&lt;3,SUM(K1352),IF(X1359="",K1359,X1359))))</f>
        <v/>
      </c>
      <c r="M1359" s="1213" t="str">
        <f>IF($I1137="","",IF(Y1356&lt;2,SUM(M1352),IF(Y1356&lt;3,SUM(L1352),IF(Y1359="",L1359,Y1359))))</f>
        <v/>
      </c>
      <c r="N1359" s="1214" t="str">
        <f>IF($I1137="","",IF(Z1356&lt;2,SUM(N1352),IF(Z1356&lt;3,SUM(M1352),IF(Z1359="",M1359,Z1359))))</f>
        <v/>
      </c>
      <c r="O1359" s="302"/>
      <c r="P1359" s="302"/>
      <c r="Q1359" s="1190" t="str">
        <f>EUconst_CNTR_HALprelim&amp;EUconst_CNTR_WGFlared &amp; I1137</f>
        <v>HALprelim_WasteGasFlare_</v>
      </c>
      <c r="R1359" s="694"/>
      <c r="S1359" s="694"/>
      <c r="T1359" s="694"/>
      <c r="U1359" s="1365" t="s">
        <v>1756</v>
      </c>
      <c r="V1359" s="1227" t="str">
        <f>IF(J1356="","",IF(CNTR_ReportingYear&lt;J1355,I1358,IF($I1359=0,J1356,$I1359*(1+J1358))))</f>
        <v/>
      </c>
      <c r="W1359" s="1227" t="str">
        <f>IF(K1356="","",IF(CNTR_ReportingYear&lt;K1355,J1358,IF($I1359=0,K1356,$I1359*(1+K1358))))</f>
        <v/>
      </c>
      <c r="X1359" s="1227" t="str">
        <f>IF(L1356="","",IF(CNTR_ReportingYear&lt;L1355,K1358,IF($I1359=0,L1356,$I1359*(1+L1358))))</f>
        <v/>
      </c>
      <c r="Y1359" s="1227" t="str">
        <f>IF(M1356="","",IF(CNTR_ReportingYear&lt;M1355,L1358,IF($I1359=0,M1356,$I1359*(1+M1358))))</f>
        <v/>
      </c>
      <c r="Z1359" s="1228" t="str">
        <f>IF(N1356="","",IF(CNTR_ReportingYear&lt;N1355,M1358,IF($I1359=0,N1356,$I1359*(1+N1358))))</f>
        <v/>
      </c>
      <c r="AA1359" s="694"/>
      <c r="AB1359" s="694"/>
      <c r="AC1359" s="694"/>
      <c r="AD1359" s="694"/>
      <c r="AE1359" s="694"/>
      <c r="AF1359" s="694"/>
      <c r="AG1359" s="694"/>
      <c r="AH1359" s="694"/>
      <c r="AI1359" s="694"/>
      <c r="AJ1359" s="694"/>
      <c r="AK1359" s="694"/>
      <c r="AL1359" s="694"/>
    </row>
    <row r="1360" spans="1:38" ht="5.15" customHeight="1" x14ac:dyDescent="0.25">
      <c r="A1360" s="729"/>
      <c r="B1360" s="298"/>
      <c r="C1360" s="1302"/>
      <c r="D1360" s="1208"/>
      <c r="E1360" s="1199"/>
      <c r="F1360" s="1199"/>
      <c r="G1360" s="1199"/>
      <c r="H1360" s="1199"/>
      <c r="I1360" s="1199"/>
      <c r="J1360" s="1229"/>
      <c r="K1360" s="1229"/>
      <c r="L1360" s="1229"/>
      <c r="M1360" s="1229"/>
      <c r="N1360" s="1230"/>
      <c r="O1360" s="302"/>
      <c r="P1360" s="302"/>
      <c r="Q1360" s="729"/>
      <c r="R1360" s="694"/>
      <c r="S1360" s="694"/>
      <c r="T1360" s="694"/>
      <c r="U1360" s="1231"/>
      <c r="V1360" s="729"/>
      <c r="W1360" s="694"/>
      <c r="X1360" s="694"/>
      <c r="Y1360" s="694"/>
      <c r="Z1360" s="1232"/>
      <c r="AA1360" s="694"/>
      <c r="AB1360" s="694"/>
      <c r="AC1360" s="694"/>
      <c r="AD1360" s="694"/>
      <c r="AE1360" s="694"/>
      <c r="AF1360" s="694"/>
      <c r="AG1360" s="694"/>
      <c r="AH1360" s="694"/>
      <c r="AI1360" s="694"/>
      <c r="AJ1360" s="694"/>
      <c r="AK1360" s="694"/>
      <c r="AL1360" s="694"/>
    </row>
    <row r="1361" spans="1:38" ht="12.75" customHeight="1" x14ac:dyDescent="0.25">
      <c r="A1361" s="729"/>
      <c r="B1361" s="298"/>
      <c r="C1361" s="1302"/>
      <c r="D1361" s="1208"/>
      <c r="E1361" s="2823" t="str">
        <f>Translations!$B$1323</f>
        <v>Действителна корекция (база за следващи години)</v>
      </c>
      <c r="F1361" s="2672"/>
      <c r="G1361" s="2672"/>
      <c r="H1361" s="2672"/>
      <c r="I1361" s="2813"/>
      <c r="J1361" s="1202">
        <f>J$2831</f>
        <v>2026</v>
      </c>
      <c r="K1361" s="1203">
        <f>K$2831</f>
        <v>2027</v>
      </c>
      <c r="L1361" s="1203">
        <f>L$2831</f>
        <v>2028</v>
      </c>
      <c r="M1361" s="1203">
        <f>M$2831</f>
        <v>2029</v>
      </c>
      <c r="N1361" s="1204">
        <f>N$2831</f>
        <v>2030</v>
      </c>
      <c r="O1361" s="302"/>
      <c r="P1361" s="302"/>
      <c r="Q1361" s="729"/>
      <c r="R1361" s="694"/>
      <c r="S1361" s="694"/>
      <c r="T1361" s="694"/>
      <c r="U1361" s="1234"/>
      <c r="V1361" s="694"/>
      <c r="W1361" s="694"/>
      <c r="X1361" s="694"/>
      <c r="Y1361" s="694"/>
      <c r="Z1361" s="1232"/>
      <c r="AA1361" s="694"/>
      <c r="AB1361" s="694"/>
      <c r="AC1361" s="694"/>
      <c r="AD1361" s="694"/>
      <c r="AE1361" s="694"/>
      <c r="AF1361" s="694"/>
      <c r="AG1361" s="694"/>
      <c r="AH1361" s="694"/>
      <c r="AI1361" s="694"/>
      <c r="AJ1361" s="694"/>
      <c r="AK1361" s="694"/>
      <c r="AL1361" s="694"/>
    </row>
    <row r="1362" spans="1:38" ht="12.75" customHeight="1" x14ac:dyDescent="0.25">
      <c r="A1362" s="729"/>
      <c r="B1362" s="298"/>
      <c r="C1362" s="1302"/>
      <c r="D1362" s="1208" t="s">
        <v>8</v>
      </c>
      <c r="E1362" s="2822" t="str">
        <f>Translations!$B$1515</f>
        <v>изпълнен ли е критерият за &gt;=300 квоти за емисии?</v>
      </c>
      <c r="F1362" s="2258"/>
      <c r="G1362" s="2258"/>
      <c r="H1362" s="2258"/>
      <c r="I1362" s="2824"/>
      <c r="J1362" s="1236" t="str">
        <f>IF($I1137="","",INDEX(K_Summary!J:J,MATCH($Q1362,K_Summary!$P:$P,0)))</f>
        <v/>
      </c>
      <c r="K1362" s="385" t="str">
        <f>IF($I1137="","",INDEX(K_Summary!K:K,MATCH($Q1362,K_Summary!$P:$P,0)))</f>
        <v/>
      </c>
      <c r="L1362" s="385" t="str">
        <f>IF($I1137="","",INDEX(K_Summary!L:L,MATCH($Q1362,K_Summary!$P:$P,0)))</f>
        <v/>
      </c>
      <c r="M1362" s="385" t="str">
        <f>IF($I1137="","",INDEX(K_Summary!M:M,MATCH($Q1362,K_Summary!$P:$P,0)))</f>
        <v/>
      </c>
      <c r="N1362" s="1237" t="str">
        <f>IF($I1137="","",INDEX(K_Summary!N:N,MATCH($Q1362,K_Summary!$P:$P,0)))</f>
        <v/>
      </c>
      <c r="O1362" s="302"/>
      <c r="P1362" s="302"/>
      <c r="Q1362" s="1182" t="str">
        <f>EUconst_CNTR_300EUA&amp;I1137</f>
        <v>EUA300_</v>
      </c>
      <c r="R1362" s="694"/>
      <c r="S1362" s="694"/>
      <c r="T1362" s="694"/>
      <c r="U1362" s="1234"/>
      <c r="V1362" s="694"/>
      <c r="W1362" s="694"/>
      <c r="X1362" s="694"/>
      <c r="Y1362" s="694"/>
      <c r="Z1362" s="1232"/>
      <c r="AA1362" s="694"/>
      <c r="AB1362" s="694"/>
      <c r="AC1362" s="694"/>
      <c r="AD1362" s="694"/>
      <c r="AE1362" s="694"/>
      <c r="AF1362" s="694"/>
      <c r="AG1362" s="694"/>
      <c r="AH1362" s="694"/>
      <c r="AI1362" s="694"/>
      <c r="AJ1362" s="694"/>
      <c r="AK1362" s="694"/>
      <c r="AL1362" s="694"/>
    </row>
    <row r="1363" spans="1:38" ht="5.15" customHeight="1" thickBot="1" x14ac:dyDescent="0.3">
      <c r="A1363" s="729"/>
      <c r="B1363" s="298"/>
      <c r="C1363" s="1302"/>
      <c r="D1363" s="1208"/>
      <c r="E1363" s="1199"/>
      <c r="F1363" s="1199"/>
      <c r="G1363" s="1199"/>
      <c r="H1363" s="1199"/>
      <c r="I1363" s="1199"/>
      <c r="J1363" s="1199"/>
      <c r="K1363" s="1199"/>
      <c r="L1363" s="1199"/>
      <c r="M1363" s="1199"/>
      <c r="N1363" s="1238"/>
      <c r="O1363" s="302"/>
      <c r="P1363" s="302"/>
      <c r="Q1363" s="729"/>
      <c r="R1363" s="694"/>
      <c r="S1363" s="694"/>
      <c r="T1363" s="694"/>
      <c r="U1363" s="1231"/>
      <c r="V1363" s="729"/>
      <c r="W1363" s="694"/>
      <c r="X1363" s="694"/>
      <c r="Y1363" s="694"/>
      <c r="Z1363" s="1232"/>
      <c r="AA1363" s="694"/>
      <c r="AB1363" s="694"/>
      <c r="AC1363" s="694"/>
      <c r="AD1363" s="694"/>
      <c r="AE1363" s="694"/>
      <c r="AF1363" s="694"/>
      <c r="AG1363" s="694"/>
      <c r="AH1363" s="694"/>
      <c r="AI1363" s="694"/>
      <c r="AJ1363" s="694"/>
      <c r="AK1363" s="694"/>
      <c r="AL1363" s="694"/>
    </row>
    <row r="1364" spans="1:38" ht="12.75" customHeight="1" thickBot="1" x14ac:dyDescent="0.3">
      <c r="A1364" s="694"/>
      <c r="B1364" s="298"/>
      <c r="C1364" s="1302"/>
      <c r="D1364" s="1208" t="s">
        <v>18</v>
      </c>
      <c r="E1364" s="2822" t="str">
        <f>Translations!$B$1324</f>
        <v>Действителна корекция (ако са надвишени всички прагове)</v>
      </c>
      <c r="F1364" s="2258"/>
      <c r="G1364" s="2258"/>
      <c r="H1364" s="2258"/>
      <c r="I1364" s="2824"/>
      <c r="J1364" s="1240" t="str">
        <f>IF(J1362="","",IF(OR(J1362,V1356&lt;1),J1358,I1364))</f>
        <v/>
      </c>
      <c r="K1364" s="1241" t="str">
        <f>IF(K1362="","",IF(OR(K1362,W1356&lt;1),K1358,J1364))</f>
        <v/>
      </c>
      <c r="L1364" s="1241" t="str">
        <f>IF(L1362="","",IF(OR(L1362,X1356&lt;1),L1358,K1364))</f>
        <v/>
      </c>
      <c r="M1364" s="1241" t="str">
        <f>IF(M1362="","",IF(OR(M1362,Y1356&lt;1),M1358,L1364))</f>
        <v/>
      </c>
      <c r="N1364" s="1242" t="str">
        <f>IF(N1362="","",IF(OR(N1362,Z1356&lt;1),N1358,M1364))</f>
        <v/>
      </c>
      <c r="O1364" s="302"/>
      <c r="P1364" s="302"/>
      <c r="Q1364" s="729"/>
      <c r="R1364" s="694"/>
      <c r="S1364" s="694"/>
      <c r="T1364" s="694"/>
      <c r="U1364" s="1231" t="s">
        <v>1718</v>
      </c>
      <c r="V1364" s="1243">
        <f>J1361</f>
        <v>2026</v>
      </c>
      <c r="W1364" s="1243">
        <f>K1361</f>
        <v>2027</v>
      </c>
      <c r="X1364" s="1243">
        <f>L1361</f>
        <v>2028</v>
      </c>
      <c r="Y1364" s="1243">
        <f>M1361</f>
        <v>2029</v>
      </c>
      <c r="Z1364" s="1244">
        <f>N1361</f>
        <v>2030</v>
      </c>
      <c r="AA1364" s="694"/>
      <c r="AB1364" s="694"/>
      <c r="AC1364" s="694"/>
      <c r="AD1364" s="694"/>
      <c r="AE1364" s="694"/>
      <c r="AF1364" s="694"/>
      <c r="AG1364" s="694"/>
      <c r="AH1364" s="694"/>
      <c r="AI1364" s="694"/>
      <c r="AJ1364" s="694"/>
      <c r="AK1364" s="694"/>
      <c r="AL1364" s="694"/>
    </row>
    <row r="1365" spans="1:38" ht="12.75" customHeight="1" thickBot="1" x14ac:dyDescent="0.3">
      <c r="A1365" s="729"/>
      <c r="B1365" s="298"/>
      <c r="C1365" s="1302"/>
      <c r="D1365" s="1208" t="s">
        <v>810</v>
      </c>
      <c r="E1365" s="2822" t="str">
        <f>Translations!$B$1325</f>
        <v>Действителна стойност</v>
      </c>
      <c r="F1365" s="2258"/>
      <c r="G1365" s="2258"/>
      <c r="H1365" s="1266" t="str">
        <f>H1356</f>
        <v>t CO2</v>
      </c>
      <c r="I1365" s="1211" t="str">
        <f>I1359</f>
        <v/>
      </c>
      <c r="J1365" s="632" t="str">
        <f>IF($I1137="","",IF(OR($I1365=0,$I1365=EUconst_NA),IF(OR(J1362=TRUE,J1361=$V1137),J1359,SUM(I1365)),IF(J1364="",J1359,$I1365*(1+SUM(J1364)))))</f>
        <v/>
      </c>
      <c r="K1365" s="633" t="str">
        <f>IF($I1137="","",IF(OR($I1365=0,$I1365=EUconst_NA),IF(OR(K1362=TRUE,K1361=$V1137),K1359,SUM(J1365)),IF(K1364="",K1359,$I1365*(1+SUM(K1364)))))</f>
        <v/>
      </c>
      <c r="L1365" s="633" t="str">
        <f>IF($I1137="","",IF(OR($I1365=0,$I1365=EUconst_NA),IF(OR(L1362=TRUE,L1361=$V1137),L1359,SUM(K1365)),IF(L1364="",L1359,$I1365*(1+SUM(L1364)))))</f>
        <v/>
      </c>
      <c r="M1365" s="633" t="str">
        <f>IF($I1137="","",IF(OR($I1365=0,$I1365=EUconst_NA),IF(OR(M1362=TRUE,M1361=$V1137),M1359,SUM(L1365)),IF(M1364="",M1359,$I1365*(1+SUM(M1364)))))</f>
        <v/>
      </c>
      <c r="N1365" s="634" t="str">
        <f>IF($I1137="","",IF(OR($I1365=0,$I1365=EUconst_NA),IF(OR(N1362=TRUE,N1361=$V1137),N1359,SUM(M1365)),IF(N1364="",N1359,$I1365*(1+SUM(N1364)))))</f>
        <v/>
      </c>
      <c r="O1365" s="302"/>
      <c r="P1365" s="302"/>
      <c r="Q1365" s="1190" t="str">
        <f>EUconst_CNTR_HALfinal&amp;EUconst_CNTR_WGFlared &amp; I1137</f>
        <v>HALfinal_WasteGasFlare_</v>
      </c>
      <c r="R1365" s="694"/>
      <c r="S1365" s="694"/>
      <c r="T1365" s="694"/>
      <c r="U1365" s="1245" t="b">
        <v>0</v>
      </c>
      <c r="V1365" s="1246" t="str">
        <f>IF(V1315,IF(J1362=TRUE,V1145,U1365),"")</f>
        <v/>
      </c>
      <c r="W1365" s="1246" t="str">
        <f>IF(W1315,IF(K1362=TRUE,W1145,V1365),"")</f>
        <v/>
      </c>
      <c r="X1365" s="1246" t="str">
        <f>IF(X1315,IF(L1362=TRUE,X1145,W1365),"")</f>
        <v/>
      </c>
      <c r="Y1365" s="1246" t="str">
        <f>IF(Y1315,IF(M1362=TRUE,Y1145,X1365),"")</f>
        <v/>
      </c>
      <c r="Z1365" s="1247" t="str">
        <f>IF(Z1315,IF(N1362=TRUE,Z1145,Y1365),"")</f>
        <v/>
      </c>
      <c r="AA1365" s="694"/>
      <c r="AB1365" s="694"/>
      <c r="AC1365" s="694"/>
      <c r="AD1365" s="694"/>
      <c r="AE1365" s="694"/>
      <c r="AF1365" s="694"/>
      <c r="AG1365" s="694"/>
      <c r="AH1365" s="694"/>
      <c r="AI1365" s="694"/>
      <c r="AJ1365" s="1174" t="s">
        <v>2033</v>
      </c>
      <c r="AK1365" s="982" t="str">
        <f>IF(OR(ISERROR(J1365),ISERROR(K1365),ISERROR(L1365),ISERROR(M1365),ISERROR(N1365)),EUconst_Error &amp; "BM" &amp; Q1137,"")</f>
        <v/>
      </c>
      <c r="AL1365" s="694"/>
    </row>
    <row r="1366" spans="1:38" ht="5.15" customHeight="1" thickBot="1" x14ac:dyDescent="0.3">
      <c r="A1366" s="694"/>
      <c r="B1366" s="298"/>
      <c r="C1366" s="1302"/>
      <c r="D1366" s="1366"/>
      <c r="E1366" s="1367"/>
      <c r="F1366" s="1367"/>
      <c r="G1366" s="1367"/>
      <c r="H1366" s="1368"/>
      <c r="I1366" s="1367"/>
      <c r="J1366" s="1367"/>
      <c r="K1366" s="1367"/>
      <c r="L1366" s="1367"/>
      <c r="M1366" s="1249"/>
      <c r="N1366" s="1250"/>
      <c r="O1366" s="302"/>
      <c r="P1366" s="302"/>
      <c r="Q1366" s="729"/>
      <c r="R1366" s="694"/>
      <c r="S1366" s="729"/>
      <c r="T1366" s="729"/>
      <c r="U1366" s="729"/>
      <c r="V1366" s="729"/>
      <c r="W1366" s="694"/>
      <c r="X1366" s="694"/>
      <c r="Y1366" s="694"/>
      <c r="Z1366" s="694"/>
      <c r="AA1366" s="694"/>
      <c r="AB1366" s="694"/>
      <c r="AC1366" s="694"/>
      <c r="AD1366" s="694"/>
      <c r="AE1366" s="694"/>
      <c r="AF1366" s="694"/>
      <c r="AG1366" s="694"/>
      <c r="AH1366" s="694"/>
      <c r="AI1366" s="694"/>
      <c r="AJ1366" s="694"/>
      <c r="AK1366" s="694"/>
      <c r="AL1366" s="694"/>
    </row>
    <row r="1367" spans="1:38" ht="5.15" customHeight="1" x14ac:dyDescent="0.25">
      <c r="A1367" s="694"/>
      <c r="B1367" s="298"/>
      <c r="C1367" s="1302"/>
      <c r="D1367" s="1306"/>
      <c r="E1367" s="1306"/>
      <c r="F1367" s="1306"/>
      <c r="G1367" s="1306"/>
      <c r="H1367" s="1354"/>
      <c r="I1367" s="1306"/>
      <c r="J1367" s="1306"/>
      <c r="K1367" s="1306"/>
      <c r="L1367" s="1306"/>
      <c r="M1367" s="626"/>
      <c r="N1367" s="1316"/>
      <c r="O1367" s="302"/>
      <c r="P1367" s="302"/>
      <c r="Q1367" s="729"/>
      <c r="R1367" s="694"/>
      <c r="S1367" s="729"/>
      <c r="T1367" s="729"/>
      <c r="U1367" s="729"/>
      <c r="V1367" s="729"/>
      <c r="W1367" s="694"/>
      <c r="X1367" s="694"/>
      <c r="Y1367" s="694"/>
      <c r="Z1367" s="694"/>
      <c r="AA1367" s="694"/>
      <c r="AB1367" s="694"/>
      <c r="AC1367" s="694"/>
      <c r="AD1367" s="694"/>
      <c r="AE1367" s="694"/>
      <c r="AF1367" s="694"/>
      <c r="AG1367" s="694"/>
      <c r="AH1367" s="694"/>
      <c r="AI1367" s="694"/>
      <c r="AJ1367" s="694"/>
      <c r="AK1367" s="694"/>
      <c r="AL1367" s="694"/>
    </row>
    <row r="1368" spans="1:38" ht="12.75" customHeight="1" x14ac:dyDescent="0.25">
      <c r="A1368" s="694"/>
      <c r="B1368" s="298"/>
      <c r="C1368" s="1302"/>
      <c r="D1368" s="625" t="s">
        <v>1140</v>
      </c>
      <c r="E1368" s="2815" t="str">
        <f>Translations!$B$582</f>
        <v>Видове получени отпадни газове:</v>
      </c>
      <c r="F1368" s="2240"/>
      <c r="G1368" s="2240"/>
      <c r="H1368" s="2684"/>
      <c r="I1368" s="2821"/>
      <c r="J1368" s="2674"/>
      <c r="K1368" s="2674"/>
      <c r="L1368" s="2674"/>
      <c r="M1368" s="2675"/>
      <c r="N1368" s="1316"/>
      <c r="O1368" s="302"/>
      <c r="P1368" s="158"/>
      <c r="Q1368" s="729"/>
      <c r="R1368" s="694"/>
      <c r="S1368" s="729"/>
      <c r="T1368" s="694"/>
      <c r="U1368" s="694"/>
      <c r="V1368" s="694"/>
      <c r="W1368" s="694"/>
      <c r="X1368" s="694"/>
      <c r="Y1368" s="694"/>
      <c r="Z1368" s="694"/>
      <c r="AA1368" s="694"/>
      <c r="AB1368" s="694"/>
      <c r="AC1368" s="1182" t="s">
        <v>737</v>
      </c>
      <c r="AD1368" s="982" t="b">
        <f>AD1342</f>
        <v>0</v>
      </c>
      <c r="AE1368" s="694"/>
      <c r="AF1368" s="694"/>
      <c r="AG1368" s="694"/>
      <c r="AH1368" s="694"/>
      <c r="AI1368" s="694"/>
      <c r="AJ1368" s="694"/>
      <c r="AK1368" s="694"/>
      <c r="AL1368" s="694"/>
    </row>
    <row r="1369" spans="1:38" ht="12.75" customHeight="1" x14ac:dyDescent="0.25">
      <c r="A1369" s="694"/>
      <c r="B1369" s="298"/>
      <c r="C1369" s="1302"/>
      <c r="D1369" s="625"/>
      <c r="E1369" s="2816" t="str">
        <f>Translations!$B$583</f>
        <v>Посочените тук данни ще се отразят на емисиите, които могат да бъдат зададени съгласно раздел 10.1.5 от приложение VII към ПБР.</v>
      </c>
      <c r="F1369" s="2240"/>
      <c r="G1369" s="2240"/>
      <c r="H1369" s="2240"/>
      <c r="I1369" s="2240"/>
      <c r="J1369" s="2240"/>
      <c r="K1369" s="2240"/>
      <c r="L1369" s="2240"/>
      <c r="M1369" s="2240"/>
      <c r="N1369" s="2811"/>
      <c r="O1369" s="302"/>
      <c r="P1369" s="302"/>
      <c r="Q1369" s="729"/>
      <c r="R1369" s="694"/>
      <c r="S1369" s="729"/>
      <c r="T1369" s="729"/>
      <c r="U1369" s="729"/>
      <c r="V1369" s="729"/>
      <c r="W1369" s="694"/>
      <c r="X1369" s="694"/>
      <c r="Y1369" s="694"/>
      <c r="Z1369" s="694"/>
      <c r="AA1369" s="694"/>
      <c r="AB1369" s="694"/>
      <c r="AC1369" s="694"/>
      <c r="AD1369" s="694"/>
      <c r="AE1369" s="694"/>
      <c r="AF1369" s="694"/>
      <c r="AG1369" s="694"/>
      <c r="AH1369" s="694"/>
      <c r="AI1369" s="694"/>
      <c r="AJ1369" s="694"/>
      <c r="AK1369" s="694"/>
      <c r="AL1369" s="694"/>
    </row>
    <row r="1370" spans="1:38" ht="25.5" customHeight="1" x14ac:dyDescent="0.25">
      <c r="A1370" s="694"/>
      <c r="B1370" s="298"/>
      <c r="C1370" s="1302"/>
      <c r="D1370" s="625"/>
      <c r="E1370" s="2810" t="str">
        <f>Translations!$B$584</f>
        <v>Това включва всички видове отпадни газове, произведени извън системните граници на тази подинсталация, но получени от нея и използвани за производството на измерима топлинна енергия, неизмерима топлинна енергия (включително необходимото за безопасността изгаряне във факел) или механична енергия (различна от тази за електропроизводство).</v>
      </c>
      <c r="F1370" s="2240"/>
      <c r="G1370" s="2240"/>
      <c r="H1370" s="2240"/>
      <c r="I1370" s="2240"/>
      <c r="J1370" s="2240"/>
      <c r="K1370" s="2240"/>
      <c r="L1370" s="2240"/>
      <c r="M1370" s="2240"/>
      <c r="N1370" s="2811"/>
      <c r="O1370" s="302"/>
      <c r="P1370" s="302"/>
      <c r="Q1370" s="729"/>
      <c r="R1370" s="694"/>
      <c r="S1370" s="729"/>
      <c r="T1370" s="729"/>
      <c r="U1370" s="729"/>
      <c r="V1370" s="729"/>
      <c r="W1370" s="694"/>
      <c r="X1370" s="694"/>
      <c r="Y1370" s="694"/>
      <c r="Z1370" s="694"/>
      <c r="AA1370" s="694"/>
      <c r="AB1370" s="694"/>
      <c r="AC1370" s="694"/>
      <c r="AD1370" s="694"/>
      <c r="AE1370" s="694"/>
      <c r="AF1370" s="694"/>
      <c r="AG1370" s="694"/>
      <c r="AH1370" s="694"/>
      <c r="AI1370" s="694"/>
      <c r="AJ1370" s="694"/>
      <c r="AK1370" s="694"/>
      <c r="AL1370" s="694"/>
    </row>
    <row r="1371" spans="1:38" ht="12.75" customHeight="1" thickBot="1" x14ac:dyDescent="0.3">
      <c r="A1371" s="694"/>
      <c r="B1371" s="298"/>
      <c r="C1371" s="1302"/>
      <c r="D1371" s="1306"/>
      <c r="E1371" s="1317"/>
      <c r="F1371" s="1318"/>
      <c r="G1371" s="1309" t="str">
        <f>EUconst_Unit</f>
        <v>Единица мярка</v>
      </c>
      <c r="H1371" s="629">
        <f t="shared" ref="H1371:N1371" si="1788">H$2831</f>
        <v>2024</v>
      </c>
      <c r="I1371" s="1310">
        <f t="shared" si="1788"/>
        <v>2025</v>
      </c>
      <c r="J1371" s="1311">
        <f t="shared" si="1788"/>
        <v>2026</v>
      </c>
      <c r="K1371" s="629">
        <f t="shared" si="1788"/>
        <v>2027</v>
      </c>
      <c r="L1371" s="629">
        <f t="shared" si="1788"/>
        <v>2028</v>
      </c>
      <c r="M1371" s="629">
        <f t="shared" si="1788"/>
        <v>2029</v>
      </c>
      <c r="N1371" s="1312">
        <f t="shared" si="1788"/>
        <v>2030</v>
      </c>
      <c r="O1371" s="302"/>
      <c r="P1371" s="302"/>
      <c r="Q1371" s="729"/>
      <c r="R1371" s="694"/>
      <c r="S1371" s="729"/>
      <c r="T1371" s="729"/>
      <c r="U1371" s="729"/>
      <c r="V1371" s="729"/>
      <c r="W1371" s="694"/>
      <c r="X1371" s="694"/>
      <c r="Y1371" s="694"/>
      <c r="Z1371" s="694"/>
      <c r="AA1371" s="694"/>
      <c r="AB1371" s="694"/>
      <c r="AC1371" s="1178">
        <f t="shared" ref="AC1371" si="1789">H$20</f>
        <v>2024</v>
      </c>
      <c r="AD1371" s="1178">
        <f t="shared" ref="AD1371" si="1790">I$20</f>
        <v>2025</v>
      </c>
      <c r="AE1371" s="1178">
        <f t="shared" ref="AE1371" si="1791">J$20</f>
        <v>2026</v>
      </c>
      <c r="AF1371" s="1178">
        <f t="shared" ref="AF1371" si="1792">K$20</f>
        <v>2027</v>
      </c>
      <c r="AG1371" s="1178">
        <f t="shared" ref="AG1371" si="1793">L$20</f>
        <v>2028</v>
      </c>
      <c r="AH1371" s="1178">
        <f t="shared" ref="AH1371" si="1794">M$20</f>
        <v>2029</v>
      </c>
      <c r="AI1371" s="1178">
        <f t="shared" ref="AI1371" si="1795">N$20</f>
        <v>2030</v>
      </c>
      <c r="AJ1371" s="694"/>
      <c r="AK1371" s="694"/>
      <c r="AL1371" s="694"/>
    </row>
    <row r="1372" spans="1:38" ht="12.75" customHeight="1" thickBot="1" x14ac:dyDescent="0.3">
      <c r="A1372" s="694"/>
      <c r="B1372" s="298"/>
      <c r="C1372" s="1302"/>
      <c r="D1372" s="625" t="s">
        <v>1141</v>
      </c>
      <c r="E1372" s="2818" t="str">
        <f>Translations!$B$585</f>
        <v>Получени количества</v>
      </c>
      <c r="F1372" s="2701"/>
      <c r="G1372" s="145"/>
      <c r="H1372" s="129"/>
      <c r="I1372" s="130"/>
      <c r="J1372" s="131"/>
      <c r="K1372" s="129"/>
      <c r="L1372" s="129"/>
      <c r="M1372" s="129"/>
      <c r="N1372" s="132"/>
      <c r="O1372" s="302"/>
      <c r="P1372" s="158"/>
      <c r="Q1372" s="729"/>
      <c r="R1372" s="694"/>
      <c r="S1372" s="729"/>
      <c r="T1372" s="729"/>
      <c r="U1372" s="729"/>
      <c r="V1372" s="729"/>
      <c r="W1372" s="694"/>
      <c r="X1372" s="694"/>
      <c r="Y1372" s="694"/>
      <c r="Z1372" s="694"/>
      <c r="AA1372" s="694"/>
      <c r="AB1372" s="1182" t="s">
        <v>737</v>
      </c>
      <c r="AC1372" s="982" t="b">
        <f t="shared" ref="AC1372:AI1372" si="1796">AC1328</f>
        <v>0</v>
      </c>
      <c r="AD1372" s="982" t="b">
        <f t="shared" si="1796"/>
        <v>0</v>
      </c>
      <c r="AE1372" s="982" t="b">
        <f t="shared" si="1796"/>
        <v>0</v>
      </c>
      <c r="AF1372" s="982" t="b">
        <f t="shared" si="1796"/>
        <v>0</v>
      </c>
      <c r="AG1372" s="982" t="b">
        <f t="shared" si="1796"/>
        <v>0</v>
      </c>
      <c r="AH1372" s="982" t="b">
        <f t="shared" si="1796"/>
        <v>0</v>
      </c>
      <c r="AI1372" s="982" t="b">
        <f t="shared" si="1796"/>
        <v>0</v>
      </c>
      <c r="AJ1372" s="1174" t="s">
        <v>2039</v>
      </c>
      <c r="AK1372" s="1176" t="str">
        <f>IF(AND(CNTR_ExistSubInstEntries,MSconst_RequireSubAttrEmissions,COUNTIFS(AC1372:AI1372,FALSE,H1372:N1372,"")&gt;0),EUconst_Error&amp;"BM"&amp;$Q1137,"")</f>
        <v/>
      </c>
      <c r="AL1372" s="694"/>
    </row>
    <row r="1373" spans="1:38" ht="12.75" customHeight="1" x14ac:dyDescent="0.25">
      <c r="A1373" s="694"/>
      <c r="B1373" s="298"/>
      <c r="C1373" s="1302"/>
      <c r="D1373" s="625" t="s">
        <v>1142</v>
      </c>
      <c r="E1373" s="2819" t="str">
        <f>Translations!$B$296</f>
        <v>Долна топлина на изгаряне</v>
      </c>
      <c r="F1373" s="2705"/>
      <c r="G1373" s="1349" t="str">
        <f>IF(ISBLANK(G1372),EUconst_GJperUnit,INDEX(EUconst_GJperTorKNm3,MATCH(G1372,EUconst_TonnesOrkNm3pa,0)))</f>
        <v>GJ / Единица мярка</v>
      </c>
      <c r="H1373" s="137"/>
      <c r="I1373" s="138"/>
      <c r="J1373" s="139"/>
      <c r="K1373" s="137"/>
      <c r="L1373" s="137"/>
      <c r="M1373" s="137"/>
      <c r="N1373" s="140"/>
      <c r="O1373" s="302"/>
      <c r="P1373" s="158"/>
      <c r="Q1373" s="729"/>
      <c r="R1373" s="694"/>
      <c r="S1373" s="1205"/>
      <c r="T1373" s="1313">
        <f t="shared" ref="T1373" si="1797">H1371</f>
        <v>2024</v>
      </c>
      <c r="U1373" s="1313">
        <f t="shared" ref="U1373" si="1798">I1371</f>
        <v>2025</v>
      </c>
      <c r="V1373" s="1313">
        <f t="shared" ref="V1373" si="1799">J1371</f>
        <v>2026</v>
      </c>
      <c r="W1373" s="1313">
        <f t="shared" ref="W1373" si="1800">K1371</f>
        <v>2027</v>
      </c>
      <c r="X1373" s="1313">
        <f t="shared" ref="X1373" si="1801">L1371</f>
        <v>2028</v>
      </c>
      <c r="Y1373" s="1313">
        <f t="shared" ref="Y1373" si="1802">M1371</f>
        <v>2029</v>
      </c>
      <c r="Z1373" s="1314">
        <f t="shared" ref="Z1373" si="1803">N1371</f>
        <v>2030</v>
      </c>
      <c r="AA1373" s="694"/>
      <c r="AB1373" s="694"/>
      <c r="AC1373" s="982" t="b">
        <f>AC1372</f>
        <v>0</v>
      </c>
      <c r="AD1373" s="982" t="b">
        <f t="shared" ref="AD1373:AI1373" si="1804">AD1372</f>
        <v>0</v>
      </c>
      <c r="AE1373" s="982" t="b">
        <f t="shared" si="1804"/>
        <v>0</v>
      </c>
      <c r="AF1373" s="982" t="b">
        <f t="shared" si="1804"/>
        <v>0</v>
      </c>
      <c r="AG1373" s="982" t="b">
        <f t="shared" si="1804"/>
        <v>0</v>
      </c>
      <c r="AH1373" s="982" t="b">
        <f t="shared" si="1804"/>
        <v>0</v>
      </c>
      <c r="AI1373" s="982" t="b">
        <f t="shared" si="1804"/>
        <v>0</v>
      </c>
      <c r="AJ1373" s="1174" t="s">
        <v>2039</v>
      </c>
      <c r="AK1373" s="1176" t="str">
        <f>IF(AND(CNTR_ExistSubInstEntries,MSconst_RequireSubAttrEmissions,COUNTIFS(AC1373:AI1373,FALSE,H1373:N1373,"")&gt;0),EUconst_Error&amp;"BM"&amp;$Q1137,"")</f>
        <v/>
      </c>
      <c r="AL1373" s="694"/>
    </row>
    <row r="1374" spans="1:38" ht="12.75" customHeight="1" x14ac:dyDescent="0.25">
      <c r="A1374" s="694"/>
      <c r="B1374" s="298"/>
      <c r="C1374" s="1302"/>
      <c r="D1374" s="625" t="s">
        <v>1143</v>
      </c>
      <c r="E1374" s="2820" t="str">
        <f>Translations!$B$586</f>
        <v>Получен отпаден газ</v>
      </c>
      <c r="F1374" s="2258"/>
      <c r="G1374" s="1319" t="str">
        <f>EUconst_TJpa</f>
        <v>TJ / година</v>
      </c>
      <c r="H1374" s="1020" t="str">
        <f t="shared" ref="H1374:N1374" si="1805">IF(COUNT(H1372:H1373)=2,H1372*H1373/1000,"")</f>
        <v/>
      </c>
      <c r="I1374" s="1369" t="str">
        <f t="shared" si="1805"/>
        <v/>
      </c>
      <c r="J1374" s="1370" t="str">
        <f t="shared" si="1805"/>
        <v/>
      </c>
      <c r="K1374" s="1020" t="str">
        <f t="shared" si="1805"/>
        <v/>
      </c>
      <c r="L1374" s="1020" t="str">
        <f t="shared" si="1805"/>
        <v/>
      </c>
      <c r="M1374" s="1020" t="str">
        <f t="shared" si="1805"/>
        <v/>
      </c>
      <c r="N1374" s="1371" t="str">
        <f t="shared" si="1805"/>
        <v/>
      </c>
      <c r="O1374" s="302"/>
      <c r="P1374" s="302"/>
      <c r="Q1374" s="1190" t="str">
        <f>EUconst_CNTR_WGImport &amp; I1137</f>
        <v>WasteGasIm_</v>
      </c>
      <c r="R1374" s="694"/>
      <c r="S1374" s="1347" t="str">
        <f>EUconst_ERR_AttrEmBMapplied &amp; I1137</f>
        <v>ERR_AttrEmBM_</v>
      </c>
      <c r="T1374" s="982">
        <f t="shared" ref="T1374" si="1806">IF(AND(H1374&lt;&gt;"",EUconst_StatusOfDataCollection=FALSE),1,0)</f>
        <v>0</v>
      </c>
      <c r="U1374" s="982">
        <f t="shared" ref="U1374" si="1807">IF(AND(I1374&lt;&gt;"",EUconst_StatusOfDataCollection=FALSE),1,0)</f>
        <v>0</v>
      </c>
      <c r="V1374" s="982">
        <f t="shared" ref="V1374" si="1808">IF(AND(J1374&lt;&gt;"",EUconst_StatusOfDataCollection=FALSE),1,0)</f>
        <v>0</v>
      </c>
      <c r="W1374" s="982">
        <f t="shared" ref="W1374" si="1809">IF(AND(K1374&lt;&gt;"",EUconst_StatusOfDataCollection=FALSE),1,0)</f>
        <v>0</v>
      </c>
      <c r="X1374" s="982">
        <f t="shared" ref="X1374" si="1810">IF(AND(L1374&lt;&gt;"",EUconst_StatusOfDataCollection=FALSE),1,0)</f>
        <v>0</v>
      </c>
      <c r="Y1374" s="982">
        <f t="shared" ref="Y1374" si="1811">IF(AND(M1374&lt;&gt;"",EUconst_StatusOfDataCollection=FALSE),1,0)</f>
        <v>0</v>
      </c>
      <c r="Z1374" s="1287">
        <f t="shared" ref="Z1374" si="1812">IF(AND(N1374&lt;&gt;"",EUconst_StatusOfDataCollection=FALSE),1,0)</f>
        <v>0</v>
      </c>
      <c r="AA1374" s="694"/>
      <c r="AB1374" s="694"/>
      <c r="AC1374" s="694"/>
      <c r="AD1374" s="694"/>
      <c r="AE1374" s="694"/>
      <c r="AF1374" s="694"/>
      <c r="AG1374" s="694"/>
      <c r="AH1374" s="694"/>
      <c r="AI1374" s="694"/>
      <c r="AJ1374" s="694"/>
      <c r="AK1374" s="694"/>
      <c r="AL1374" s="694"/>
    </row>
    <row r="1375" spans="1:38" s="364" customFormat="1" ht="12.75" customHeight="1" thickBot="1" x14ac:dyDescent="0.3">
      <c r="A1375" s="729"/>
      <c r="B1375" s="298"/>
      <c r="C1375" s="1302"/>
      <c r="D1375" s="625" t="s">
        <v>1144</v>
      </c>
      <c r="E1375" s="2820" t="str">
        <f>Translations!$B$587</f>
        <v>Специфичен EF (получен отпаден газ)</v>
      </c>
      <c r="F1375" s="2258"/>
      <c r="G1375" s="642" t="str">
        <f>EUconst_tCO2pTJ</f>
        <v>t CO2 / TJ</v>
      </c>
      <c r="H1375" s="146"/>
      <c r="I1375" s="147"/>
      <c r="J1375" s="148"/>
      <c r="K1375" s="146"/>
      <c r="L1375" s="146"/>
      <c r="M1375" s="146"/>
      <c r="N1375" s="149"/>
      <c r="O1375" s="302"/>
      <c r="P1375" s="158"/>
      <c r="Q1375" s="1190" t="str">
        <f>EUconst_CNTR_WGImportEF &amp; I1137</f>
        <v>WasteGasImEF_</v>
      </c>
      <c r="R1375" s="729"/>
      <c r="S1375" s="1315" t="str">
        <f>EUconst_CNTR_AttributedEmissions &amp; I1137</f>
        <v>AttrEmissions_</v>
      </c>
      <c r="T1375" s="1290" t="str">
        <f t="shared" ref="T1375" si="1813">IF(T1145,SUM(H1374)*EUconst_FuelBMvalue,"")</f>
        <v/>
      </c>
      <c r="U1375" s="1290" t="str">
        <f t="shared" ref="U1375" si="1814">IF(U1145,SUM(I1374)*EUconst_FuelBMvalue,"")</f>
        <v/>
      </c>
      <c r="V1375" s="1290" t="str">
        <f t="shared" ref="V1375" si="1815">IF(V1145,SUM(J1374)*EUconst_FuelBMvalue,"")</f>
        <v/>
      </c>
      <c r="W1375" s="1290" t="str">
        <f t="shared" ref="W1375" si="1816">IF(W1145,SUM(K1374)*EUconst_FuelBMvalue,"")</f>
        <v/>
      </c>
      <c r="X1375" s="1290" t="str">
        <f t="shared" ref="X1375" si="1817">IF(X1145,SUM(L1374)*EUconst_FuelBMvalue,"")</f>
        <v/>
      </c>
      <c r="Y1375" s="1290" t="str">
        <f t="shared" ref="Y1375" si="1818">IF(Y1145,SUM(M1374)*EUconst_FuelBMvalue,"")</f>
        <v/>
      </c>
      <c r="Z1375" s="1291" t="str">
        <f t="shared" ref="Z1375" si="1819">IF(Z1145,SUM(N1374)*EUconst_FuelBMvalue,"")</f>
        <v/>
      </c>
      <c r="AA1375" s="729"/>
      <c r="AB1375" s="1182" t="s">
        <v>737</v>
      </c>
      <c r="AC1375" s="982" t="b">
        <f>AC1373</f>
        <v>0</v>
      </c>
      <c r="AD1375" s="982" t="b">
        <f t="shared" ref="AD1375:AI1375" si="1820">AD1373</f>
        <v>0</v>
      </c>
      <c r="AE1375" s="982" t="b">
        <f t="shared" si="1820"/>
        <v>0</v>
      </c>
      <c r="AF1375" s="982" t="b">
        <f t="shared" si="1820"/>
        <v>0</v>
      </c>
      <c r="AG1375" s="982" t="b">
        <f t="shared" si="1820"/>
        <v>0</v>
      </c>
      <c r="AH1375" s="982" t="b">
        <f t="shared" si="1820"/>
        <v>0</v>
      </c>
      <c r="AI1375" s="982" t="b">
        <f t="shared" si="1820"/>
        <v>0</v>
      </c>
      <c r="AJ1375" s="1174" t="s">
        <v>2039</v>
      </c>
      <c r="AK1375" s="1176" t="str">
        <f>IF(AND(CNTR_ExistSubInstEntries,MSconst_RequireSubAttrEmissions,COUNTIFS(AC1375:AI1375,FALSE,H1375:N1375,"")&gt;0),EUconst_Error&amp;"BM"&amp;$Q1137,"")</f>
        <v/>
      </c>
      <c r="AL1375" s="694"/>
    </row>
    <row r="1376" spans="1:38" ht="12.75" customHeight="1" x14ac:dyDescent="0.25">
      <c r="A1376" s="694"/>
      <c r="B1376" s="298"/>
      <c r="C1376" s="1302"/>
      <c r="D1376" s="1306"/>
      <c r="E1376" s="1306"/>
      <c r="F1376" s="1306"/>
      <c r="G1376" s="1306"/>
      <c r="H1376" s="1354"/>
      <c r="I1376" s="1306"/>
      <c r="J1376" s="1306"/>
      <c r="K1376" s="1306"/>
      <c r="L1376" s="1306"/>
      <c r="M1376" s="626"/>
      <c r="N1376" s="1316"/>
      <c r="O1376" s="302"/>
      <c r="P1376" s="302"/>
      <c r="Q1376" s="729"/>
      <c r="R1376" s="694"/>
      <c r="S1376" s="729"/>
      <c r="T1376" s="729"/>
      <c r="U1376" s="729"/>
      <c r="V1376" s="729"/>
      <c r="W1376" s="694"/>
      <c r="X1376" s="694"/>
      <c r="Y1376" s="694"/>
      <c r="Z1376" s="694"/>
      <c r="AA1376" s="694"/>
      <c r="AB1376" s="694"/>
      <c r="AC1376" s="694"/>
      <c r="AD1376" s="694"/>
      <c r="AE1376" s="694"/>
      <c r="AF1376" s="694"/>
      <c r="AG1376" s="694"/>
      <c r="AH1376" s="694"/>
      <c r="AI1376" s="694"/>
      <c r="AJ1376" s="694"/>
      <c r="AK1376" s="694"/>
      <c r="AL1376" s="694"/>
    </row>
    <row r="1377" spans="1:38" ht="12.75" customHeight="1" x14ac:dyDescent="0.25">
      <c r="A1377" s="694"/>
      <c r="B1377" s="298"/>
      <c r="C1377" s="1302"/>
      <c r="D1377" s="625" t="s">
        <v>1145</v>
      </c>
      <c r="E1377" s="2815" t="str">
        <f>Translations!$B$588</f>
        <v>Видове подадени отпадни газове:</v>
      </c>
      <c r="F1377" s="2240"/>
      <c r="G1377" s="2240"/>
      <c r="H1377" s="2684"/>
      <c r="I1377" s="2821"/>
      <c r="J1377" s="2674"/>
      <c r="K1377" s="2674"/>
      <c r="L1377" s="2674"/>
      <c r="M1377" s="2675"/>
      <c r="N1377" s="1323"/>
      <c r="O1377" s="302"/>
      <c r="P1377" s="158"/>
      <c r="Q1377" s="729"/>
      <c r="R1377" s="694"/>
      <c r="S1377" s="729"/>
      <c r="T1377" s="694"/>
      <c r="U1377" s="694"/>
      <c r="V1377" s="694"/>
      <c r="W1377" s="694"/>
      <c r="X1377" s="694"/>
      <c r="Y1377" s="694"/>
      <c r="Z1377" s="694"/>
      <c r="AA1377" s="694"/>
      <c r="AB1377" s="694"/>
      <c r="AC1377" s="1182" t="s">
        <v>737</v>
      </c>
      <c r="AD1377" s="982" t="b">
        <f>AD1368</f>
        <v>0</v>
      </c>
      <c r="AE1377" s="694"/>
      <c r="AF1377" s="694"/>
      <c r="AG1377" s="694"/>
      <c r="AH1377" s="694"/>
      <c r="AI1377" s="694"/>
      <c r="AJ1377" s="694"/>
      <c r="AK1377" s="694"/>
      <c r="AL1377" s="694"/>
    </row>
    <row r="1378" spans="1:38" ht="12.75" customHeight="1" x14ac:dyDescent="0.25">
      <c r="A1378" s="694"/>
      <c r="B1378" s="298"/>
      <c r="C1378" s="1302"/>
      <c r="D1378" s="625"/>
      <c r="E1378" s="2816" t="str">
        <f>Translations!$B$583</f>
        <v>Посочените тук данни ще се отразят на емисиите, които могат да бъдат зададени съгласно раздел 10.1.5 от приложение VII към ПБР.</v>
      </c>
      <c r="F1378" s="2240"/>
      <c r="G1378" s="2240"/>
      <c r="H1378" s="2240"/>
      <c r="I1378" s="2240"/>
      <c r="J1378" s="2240"/>
      <c r="K1378" s="2240"/>
      <c r="L1378" s="2240"/>
      <c r="M1378" s="2240"/>
      <c r="N1378" s="2811"/>
      <c r="O1378" s="302"/>
      <c r="P1378" s="302"/>
      <c r="Q1378" s="729"/>
      <c r="R1378" s="694"/>
      <c r="S1378" s="729"/>
      <c r="T1378" s="729"/>
      <c r="U1378" s="729"/>
      <c r="V1378" s="729"/>
      <c r="W1378" s="694"/>
      <c r="X1378" s="694"/>
      <c r="Y1378" s="694"/>
      <c r="Z1378" s="694"/>
      <c r="AA1378" s="694"/>
      <c r="AB1378" s="694"/>
      <c r="AC1378" s="694"/>
      <c r="AD1378" s="694"/>
      <c r="AE1378" s="694"/>
      <c r="AF1378" s="694"/>
      <c r="AG1378" s="694"/>
      <c r="AH1378" s="694"/>
      <c r="AI1378" s="694"/>
      <c r="AJ1378" s="694"/>
      <c r="AK1378" s="694"/>
      <c r="AL1378" s="694"/>
    </row>
    <row r="1379" spans="1:38" ht="25.5" customHeight="1" x14ac:dyDescent="0.25">
      <c r="A1379" s="694"/>
      <c r="B1379" s="298"/>
      <c r="C1379" s="1302"/>
      <c r="D1379" s="625"/>
      <c r="E1379" s="2810" t="str">
        <f>Translations!$B$589</f>
        <v>Това включва всички видове отпадни газове, произведени в системните граници на тази подинсталация и подадени от тази инсталация към други подинсталации, както и към всички други инсталации или обекти.</v>
      </c>
      <c r="F1379" s="2240"/>
      <c r="G1379" s="2240"/>
      <c r="H1379" s="2240"/>
      <c r="I1379" s="2240"/>
      <c r="J1379" s="2240"/>
      <c r="K1379" s="2240"/>
      <c r="L1379" s="2240"/>
      <c r="M1379" s="2240"/>
      <c r="N1379" s="2811"/>
      <c r="O1379" s="302"/>
      <c r="P1379" s="302"/>
      <c r="Q1379" s="729"/>
      <c r="R1379" s="694"/>
      <c r="S1379" s="729"/>
      <c r="T1379" s="729"/>
      <c r="U1379" s="729"/>
      <c r="V1379" s="729"/>
      <c r="W1379" s="694"/>
      <c r="X1379" s="694"/>
      <c r="Y1379" s="694"/>
      <c r="Z1379" s="694"/>
      <c r="AA1379" s="694"/>
      <c r="AB1379" s="694"/>
      <c r="AC1379" s="694"/>
      <c r="AD1379" s="694"/>
      <c r="AE1379" s="694"/>
      <c r="AF1379" s="694"/>
      <c r="AG1379" s="694"/>
      <c r="AH1379" s="694"/>
      <c r="AI1379" s="694"/>
      <c r="AJ1379" s="694"/>
      <c r="AK1379" s="694"/>
      <c r="AL1379" s="694"/>
    </row>
    <row r="1380" spans="1:38" ht="12.75" customHeight="1" thickBot="1" x14ac:dyDescent="0.3">
      <c r="A1380" s="694"/>
      <c r="B1380" s="298"/>
      <c r="C1380" s="1302"/>
      <c r="D1380" s="1306"/>
      <c r="E1380" s="1317"/>
      <c r="F1380" s="1318"/>
      <c r="G1380" s="1309" t="str">
        <f>EUconst_Unit</f>
        <v>Единица мярка</v>
      </c>
      <c r="H1380" s="629">
        <f t="shared" ref="H1380:N1380" si="1821">H$2831</f>
        <v>2024</v>
      </c>
      <c r="I1380" s="1310">
        <f t="shared" si="1821"/>
        <v>2025</v>
      </c>
      <c r="J1380" s="1311">
        <f t="shared" si="1821"/>
        <v>2026</v>
      </c>
      <c r="K1380" s="629">
        <f t="shared" si="1821"/>
        <v>2027</v>
      </c>
      <c r="L1380" s="629">
        <f t="shared" si="1821"/>
        <v>2028</v>
      </c>
      <c r="M1380" s="629">
        <f t="shared" si="1821"/>
        <v>2029</v>
      </c>
      <c r="N1380" s="1312">
        <f t="shared" si="1821"/>
        <v>2030</v>
      </c>
      <c r="O1380" s="302"/>
      <c r="P1380" s="302"/>
      <c r="Q1380" s="729"/>
      <c r="R1380" s="694"/>
      <c r="S1380" s="729"/>
      <c r="T1380" s="729"/>
      <c r="U1380" s="729"/>
      <c r="V1380" s="729"/>
      <c r="W1380" s="694"/>
      <c r="X1380" s="694"/>
      <c r="Y1380" s="694"/>
      <c r="Z1380" s="694"/>
      <c r="AA1380" s="694"/>
      <c r="AB1380" s="694"/>
      <c r="AC1380" s="1178">
        <f t="shared" ref="AC1380" si="1822">H$20</f>
        <v>2024</v>
      </c>
      <c r="AD1380" s="1178">
        <f t="shared" ref="AD1380" si="1823">I$20</f>
        <v>2025</v>
      </c>
      <c r="AE1380" s="1178">
        <f t="shared" ref="AE1380" si="1824">J$20</f>
        <v>2026</v>
      </c>
      <c r="AF1380" s="1178">
        <f t="shared" ref="AF1380" si="1825">K$20</f>
        <v>2027</v>
      </c>
      <c r="AG1380" s="1178">
        <f t="shared" ref="AG1380" si="1826">L$20</f>
        <v>2028</v>
      </c>
      <c r="AH1380" s="1178">
        <f t="shared" ref="AH1380" si="1827">M$20</f>
        <v>2029</v>
      </c>
      <c r="AI1380" s="1178">
        <f t="shared" ref="AI1380" si="1828">N$20</f>
        <v>2030</v>
      </c>
      <c r="AJ1380" s="694"/>
      <c r="AK1380" s="694"/>
      <c r="AL1380" s="694"/>
    </row>
    <row r="1381" spans="1:38" ht="12.75" customHeight="1" x14ac:dyDescent="0.25">
      <c r="A1381" s="694"/>
      <c r="B1381" s="298"/>
      <c r="C1381" s="1302"/>
      <c r="D1381" s="625" t="s">
        <v>1146</v>
      </c>
      <c r="E1381" s="2818" t="str">
        <f>Translations!$B$590</f>
        <v>Подадени количества</v>
      </c>
      <c r="F1381" s="2701"/>
      <c r="G1381" s="145"/>
      <c r="H1381" s="129"/>
      <c r="I1381" s="130"/>
      <c r="J1381" s="131"/>
      <c r="K1381" s="129"/>
      <c r="L1381" s="129"/>
      <c r="M1381" s="129"/>
      <c r="N1381" s="132"/>
      <c r="O1381" s="302"/>
      <c r="P1381" s="158"/>
      <c r="Q1381" s="729"/>
      <c r="R1381" s="694"/>
      <c r="S1381" s="729"/>
      <c r="T1381" s="729"/>
      <c r="U1381" s="729"/>
      <c r="V1381" s="729"/>
      <c r="W1381" s="694"/>
      <c r="X1381" s="694"/>
      <c r="Y1381" s="694"/>
      <c r="Z1381" s="694"/>
      <c r="AA1381" s="694"/>
      <c r="AB1381" s="1182" t="s">
        <v>737</v>
      </c>
      <c r="AC1381" s="982" t="b">
        <f>AC1328</f>
        <v>0</v>
      </c>
      <c r="AD1381" s="982" t="b">
        <f t="shared" ref="AD1381:AI1381" si="1829">AD1328</f>
        <v>0</v>
      </c>
      <c r="AE1381" s="982" t="b">
        <f t="shared" si="1829"/>
        <v>0</v>
      </c>
      <c r="AF1381" s="982" t="b">
        <f t="shared" si="1829"/>
        <v>0</v>
      </c>
      <c r="AG1381" s="982" t="b">
        <f t="shared" si="1829"/>
        <v>0</v>
      </c>
      <c r="AH1381" s="982" t="b">
        <f t="shared" si="1829"/>
        <v>0</v>
      </c>
      <c r="AI1381" s="982" t="b">
        <f t="shared" si="1829"/>
        <v>0</v>
      </c>
      <c r="AJ1381" s="1174" t="s">
        <v>2039</v>
      </c>
      <c r="AK1381" s="1176" t="str">
        <f>IF(AND(CNTR_ExistSubInstEntries,MSconst_RequireSubAttrEmissions,COUNTIFS(AC1381:AI1381,FALSE,H1381:N1381,"")&gt;0),EUconst_Error&amp;"BM"&amp;$Q1137,"")</f>
        <v/>
      </c>
      <c r="AL1381" s="694"/>
    </row>
    <row r="1382" spans="1:38" ht="12.75" customHeight="1" thickBot="1" x14ac:dyDescent="0.3">
      <c r="A1382" s="694"/>
      <c r="B1382" s="298"/>
      <c r="C1382" s="1302"/>
      <c r="D1382" s="625" t="s">
        <v>1619</v>
      </c>
      <c r="E1382" s="2819" t="str">
        <f>Translations!$B$296</f>
        <v>Долна топлина на изгаряне</v>
      </c>
      <c r="F1382" s="2705"/>
      <c r="G1382" s="1349" t="str">
        <f>IF(ISBLANK(G1381),EUconst_GJperUnit,INDEX(EUconst_GJperTorKNm3,MATCH(G1381,EUconst_TonnesOrkNm3pa,0)))</f>
        <v>GJ / Единица мярка</v>
      </c>
      <c r="H1382" s="137"/>
      <c r="I1382" s="138"/>
      <c r="J1382" s="139"/>
      <c r="K1382" s="137"/>
      <c r="L1382" s="137"/>
      <c r="M1382" s="137"/>
      <c r="N1382" s="140"/>
      <c r="O1382" s="302"/>
      <c r="P1382" s="158"/>
      <c r="Q1382" s="729"/>
      <c r="R1382" s="694"/>
      <c r="S1382" s="729"/>
      <c r="T1382" s="729"/>
      <c r="U1382" s="729"/>
      <c r="V1382" s="729"/>
      <c r="W1382" s="694"/>
      <c r="X1382" s="694"/>
      <c r="Y1382" s="694"/>
      <c r="Z1382" s="694"/>
      <c r="AA1382" s="694"/>
      <c r="AB1382" s="694"/>
      <c r="AC1382" s="982" t="b">
        <f>AC1381</f>
        <v>0</v>
      </c>
      <c r="AD1382" s="982" t="b">
        <f t="shared" ref="AD1382:AI1382" si="1830">AD1381</f>
        <v>0</v>
      </c>
      <c r="AE1382" s="982" t="b">
        <f t="shared" si="1830"/>
        <v>0</v>
      </c>
      <c r="AF1382" s="982" t="b">
        <f t="shared" si="1830"/>
        <v>0</v>
      </c>
      <c r="AG1382" s="982" t="b">
        <f t="shared" si="1830"/>
        <v>0</v>
      </c>
      <c r="AH1382" s="982" t="b">
        <f t="shared" si="1830"/>
        <v>0</v>
      </c>
      <c r="AI1382" s="982" t="b">
        <f t="shared" si="1830"/>
        <v>0</v>
      </c>
      <c r="AJ1382" s="1174" t="s">
        <v>2039</v>
      </c>
      <c r="AK1382" s="1176" t="str">
        <f>IF(AND(CNTR_ExistSubInstEntries,MSconst_RequireSubAttrEmissions,COUNTIFS(AC1382:AI1382,FALSE,H1382:N1382,"")&gt;0),EUconst_Error&amp;"BM"&amp;$Q1137,"")</f>
        <v/>
      </c>
      <c r="AL1382" s="694"/>
    </row>
    <row r="1383" spans="1:38" ht="12.75" customHeight="1" x14ac:dyDescent="0.25">
      <c r="A1383" s="694"/>
      <c r="B1383" s="298"/>
      <c r="C1383" s="1302"/>
      <c r="D1383" s="625" t="s">
        <v>1659</v>
      </c>
      <c r="E1383" s="2820" t="str">
        <f>Translations!$B$591</f>
        <v>Подаден отпаден газ</v>
      </c>
      <c r="F1383" s="2258"/>
      <c r="G1383" s="1319" t="str">
        <f>EUconst_TJpa</f>
        <v>TJ / година</v>
      </c>
      <c r="H1383" s="1020" t="str">
        <f t="shared" ref="H1383:N1383" si="1831">IF(COUNT(H1381:H1382)=2,H1381*H1382/1000,"")</f>
        <v/>
      </c>
      <c r="I1383" s="1369" t="str">
        <f t="shared" si="1831"/>
        <v/>
      </c>
      <c r="J1383" s="1370" t="str">
        <f t="shared" si="1831"/>
        <v/>
      </c>
      <c r="K1383" s="1020" t="str">
        <f t="shared" si="1831"/>
        <v/>
      </c>
      <c r="L1383" s="1020" t="str">
        <f t="shared" si="1831"/>
        <v/>
      </c>
      <c r="M1383" s="1020" t="str">
        <f t="shared" si="1831"/>
        <v/>
      </c>
      <c r="N1383" s="1371" t="str">
        <f t="shared" si="1831"/>
        <v/>
      </c>
      <c r="O1383" s="302"/>
      <c r="P1383" s="302"/>
      <c r="Q1383" s="1190" t="str">
        <f>EUconst_CNTR_WGExport &amp; I1137</f>
        <v>WasteGasEx_</v>
      </c>
      <c r="R1383" s="694"/>
      <c r="S1383" s="1205"/>
      <c r="T1383" s="1313">
        <f t="shared" ref="T1383" si="1832">H1380</f>
        <v>2024</v>
      </c>
      <c r="U1383" s="1313">
        <f t="shared" ref="U1383" si="1833">I1380</f>
        <v>2025</v>
      </c>
      <c r="V1383" s="1313">
        <f t="shared" ref="V1383" si="1834">J1380</f>
        <v>2026</v>
      </c>
      <c r="W1383" s="1313">
        <f t="shared" ref="W1383" si="1835">K1380</f>
        <v>2027</v>
      </c>
      <c r="X1383" s="1313">
        <f t="shared" ref="X1383" si="1836">L1380</f>
        <v>2028</v>
      </c>
      <c r="Y1383" s="1313">
        <f t="shared" ref="Y1383" si="1837">M1380</f>
        <v>2029</v>
      </c>
      <c r="Z1383" s="1314">
        <f t="shared" ref="Z1383" si="1838">N1380</f>
        <v>2030</v>
      </c>
      <c r="AA1383" s="694"/>
      <c r="AB1383" s="694"/>
      <c r="AC1383" s="694"/>
      <c r="AD1383" s="694"/>
      <c r="AE1383" s="694"/>
      <c r="AF1383" s="694"/>
      <c r="AG1383" s="694"/>
      <c r="AH1383" s="694"/>
      <c r="AI1383" s="694"/>
      <c r="AJ1383" s="694"/>
      <c r="AK1383" s="694"/>
      <c r="AL1383" s="694"/>
    </row>
    <row r="1384" spans="1:38" s="364" customFormat="1" ht="12.75" customHeight="1" thickBot="1" x14ac:dyDescent="0.3">
      <c r="A1384" s="694"/>
      <c r="B1384" s="298"/>
      <c r="C1384" s="1302"/>
      <c r="D1384" s="625" t="s">
        <v>1660</v>
      </c>
      <c r="E1384" s="2820" t="str">
        <f>Translations!$B$592</f>
        <v>Специфичен EF (подаден отпаден газ)</v>
      </c>
      <c r="F1384" s="2258"/>
      <c r="G1384" s="642" t="str">
        <f>EUconst_tCO2pTJ</f>
        <v>t CO2 / TJ</v>
      </c>
      <c r="H1384" s="146"/>
      <c r="I1384" s="147"/>
      <c r="J1384" s="148"/>
      <c r="K1384" s="146"/>
      <c r="L1384" s="146"/>
      <c r="M1384" s="146"/>
      <c r="N1384" s="149"/>
      <c r="O1384" s="302"/>
      <c r="P1384" s="158"/>
      <c r="Q1384" s="1190" t="str">
        <f>EUconst_CNTR_WGExportEF &amp; I1137</f>
        <v>WasteGasExEF_</v>
      </c>
      <c r="R1384" s="729"/>
      <c r="S1384" s="1315" t="str">
        <f>EUconst_CNTR_AttributedEmissions &amp; I1137</f>
        <v>AttrEmissions_</v>
      </c>
      <c r="T1384" s="1290" t="str">
        <f t="shared" ref="T1384" si="1839">IF(T1145,-SUM(H1383)*EUconst_NGEFvalue*EUconst_WasteGasCorrFactor,"")</f>
        <v/>
      </c>
      <c r="U1384" s="1290" t="str">
        <f t="shared" ref="U1384" si="1840">IF(U1145,-SUM(I1383)*EUconst_NGEFvalue*EUconst_WasteGasCorrFactor,"")</f>
        <v/>
      </c>
      <c r="V1384" s="1290" t="str">
        <f t="shared" ref="V1384" si="1841">IF(V1145,-SUM(J1383)*EUconst_NGEFvalue*EUconst_WasteGasCorrFactor,"")</f>
        <v/>
      </c>
      <c r="W1384" s="1290" t="str">
        <f t="shared" ref="W1384" si="1842">IF(W1145,-SUM(K1383)*EUconst_NGEFvalue*EUconst_WasteGasCorrFactor,"")</f>
        <v/>
      </c>
      <c r="X1384" s="1290" t="str">
        <f t="shared" ref="X1384" si="1843">IF(X1145,-SUM(L1383)*EUconst_NGEFvalue*EUconst_WasteGasCorrFactor,"")</f>
        <v/>
      </c>
      <c r="Y1384" s="1290" t="str">
        <f t="shared" ref="Y1384" si="1844">IF(Y1145,-SUM(M1383)*EUconst_NGEFvalue*EUconst_WasteGasCorrFactor,"")</f>
        <v/>
      </c>
      <c r="Z1384" s="1291" t="str">
        <f t="shared" ref="Z1384" si="1845">IF(Z1145,-SUM(N1383)*EUconst_NGEFvalue*EUconst_WasteGasCorrFactor,"")</f>
        <v/>
      </c>
      <c r="AA1384" s="729"/>
      <c r="AB1384" s="1182" t="s">
        <v>737</v>
      </c>
      <c r="AC1384" s="982" t="b">
        <f t="shared" ref="AC1384:AI1384" si="1846">AC1331</f>
        <v>0</v>
      </c>
      <c r="AD1384" s="982" t="b">
        <f t="shared" si="1846"/>
        <v>0</v>
      </c>
      <c r="AE1384" s="982" t="b">
        <f t="shared" si="1846"/>
        <v>0</v>
      </c>
      <c r="AF1384" s="982" t="b">
        <f t="shared" si="1846"/>
        <v>0</v>
      </c>
      <c r="AG1384" s="982" t="b">
        <f t="shared" si="1846"/>
        <v>0</v>
      </c>
      <c r="AH1384" s="982" t="b">
        <f t="shared" si="1846"/>
        <v>0</v>
      </c>
      <c r="AI1384" s="982" t="b">
        <f t="shared" si="1846"/>
        <v>0</v>
      </c>
      <c r="AJ1384" s="1174" t="s">
        <v>2039</v>
      </c>
      <c r="AK1384" s="1176" t="str">
        <f>IF(AND(CNTR_ExistSubInstEntries,MSconst_RequireSubAttrEmissions,COUNTIFS(AC1384:AI1384,FALSE,H1384:N1384,"")&gt;0),EUconst_Error&amp;"BM"&amp;$Q1137,"")</f>
        <v/>
      </c>
      <c r="AL1384" s="694"/>
    </row>
    <row r="1385" spans="1:38" ht="12.75" customHeight="1" x14ac:dyDescent="0.25">
      <c r="A1385" s="694"/>
      <c r="B1385" s="298"/>
      <c r="C1385" s="1302"/>
      <c r="D1385" s="1306"/>
      <c r="E1385" s="1306"/>
      <c r="F1385" s="1306"/>
      <c r="G1385" s="1306"/>
      <c r="H1385" s="1306"/>
      <c r="I1385" s="1354"/>
      <c r="J1385" s="1306"/>
      <c r="K1385" s="1306"/>
      <c r="L1385" s="1306"/>
      <c r="M1385" s="1306"/>
      <c r="N1385" s="1316"/>
      <c r="O1385" s="302"/>
      <c r="P1385" s="302"/>
      <c r="Q1385" s="729"/>
      <c r="R1385" s="694"/>
      <c r="S1385" s="729"/>
      <c r="T1385" s="694"/>
      <c r="U1385" s="694"/>
      <c r="V1385" s="694"/>
      <c r="W1385" s="694"/>
      <c r="X1385" s="694"/>
      <c r="Y1385" s="694"/>
      <c r="Z1385" s="694"/>
      <c r="AA1385" s="694"/>
      <c r="AB1385" s="694"/>
      <c r="AC1385" s="694"/>
      <c r="AD1385" s="694"/>
      <c r="AE1385" s="694"/>
      <c r="AF1385" s="694"/>
      <c r="AG1385" s="694"/>
      <c r="AH1385" s="694"/>
      <c r="AI1385" s="694"/>
      <c r="AJ1385" s="694"/>
      <c r="AK1385" s="694"/>
      <c r="AL1385" s="694"/>
    </row>
    <row r="1386" spans="1:38" ht="12.75" customHeight="1" x14ac:dyDescent="0.25">
      <c r="A1386" s="694"/>
      <c r="B1386" s="298"/>
      <c r="C1386" s="1302"/>
      <c r="D1386" s="1307" t="s">
        <v>493</v>
      </c>
      <c r="E1386" s="2815" t="str">
        <f>Translations!$B$246</f>
        <v>Производство на електроенергия</v>
      </c>
      <c r="F1386" s="2240"/>
      <c r="G1386" s="2240"/>
      <c r="H1386" s="2240"/>
      <c r="I1386" s="2240"/>
      <c r="J1386" s="2240"/>
      <c r="K1386" s="2240"/>
      <c r="L1386" s="2240"/>
      <c r="M1386" s="2240"/>
      <c r="N1386" s="2811"/>
      <c r="O1386" s="302"/>
      <c r="P1386" s="302"/>
      <c r="Q1386" s="729"/>
      <c r="R1386" s="694"/>
      <c r="S1386" s="729"/>
      <c r="T1386" s="694"/>
      <c r="U1386" s="694"/>
      <c r="V1386" s="694"/>
      <c r="W1386" s="694"/>
      <c r="X1386" s="694"/>
      <c r="Y1386" s="694"/>
      <c r="Z1386" s="694"/>
      <c r="AA1386" s="694"/>
      <c r="AB1386" s="694"/>
      <c r="AC1386" s="694"/>
      <c r="AD1386" s="694"/>
      <c r="AE1386" s="694"/>
      <c r="AF1386" s="694"/>
      <c r="AG1386" s="694"/>
      <c r="AH1386" s="694"/>
      <c r="AI1386" s="694"/>
      <c r="AJ1386" s="694"/>
      <c r="AK1386" s="694"/>
      <c r="AL1386" s="694"/>
    </row>
    <row r="1387" spans="1:38" ht="12.75" customHeight="1" x14ac:dyDescent="0.25">
      <c r="A1387" s="694"/>
      <c r="B1387" s="298"/>
      <c r="C1387" s="1302"/>
      <c r="D1387" s="625"/>
      <c r="E1387" s="2816" t="str">
        <f>Translations!$B$593</f>
        <v>Посочените тук данни ще се отразят на емисиите, които могат да бъдат зададени съгласно раздел 10 от приложение VII към ПБР.</v>
      </c>
      <c r="F1387" s="2240"/>
      <c r="G1387" s="2240"/>
      <c r="H1387" s="2240"/>
      <c r="I1387" s="2240"/>
      <c r="J1387" s="2240"/>
      <c r="K1387" s="2240"/>
      <c r="L1387" s="2240"/>
      <c r="M1387" s="2240"/>
      <c r="N1387" s="2811"/>
      <c r="O1387" s="302"/>
      <c r="P1387" s="302"/>
      <c r="Q1387" s="729"/>
      <c r="R1387" s="694"/>
      <c r="S1387" s="729"/>
      <c r="T1387" s="729"/>
      <c r="U1387" s="729"/>
      <c r="V1387" s="729"/>
      <c r="W1387" s="694"/>
      <c r="X1387" s="694"/>
      <c r="Y1387" s="694"/>
      <c r="Z1387" s="694"/>
      <c r="AA1387" s="694"/>
      <c r="AB1387" s="694"/>
      <c r="AC1387" s="694"/>
      <c r="AD1387" s="694"/>
      <c r="AE1387" s="694"/>
      <c r="AF1387" s="694"/>
      <c r="AG1387" s="694"/>
      <c r="AH1387" s="694"/>
      <c r="AI1387" s="694"/>
      <c r="AJ1387" s="694"/>
      <c r="AK1387" s="694"/>
      <c r="AL1387" s="694"/>
    </row>
    <row r="1388" spans="1:38" ht="25.5" customHeight="1" thickBot="1" x14ac:dyDescent="0.3">
      <c r="A1388" s="694"/>
      <c r="B1388" s="298"/>
      <c r="C1388" s="1302"/>
      <c r="D1388" s="1306"/>
      <c r="E1388" s="2810" t="str">
        <f>Translations!$B$594</f>
        <v>Това включва електроенергията, произведена директно от тази подинсталация, съгласно раздел 3.1, буква и) от приложение IV към ПБР. Електроенергията, произведена чрез междинна измерима топлинна енергия, не се посочват тук, а като подадена измерима топлинна енергия в k).v по-горе.</v>
      </c>
      <c r="F1388" s="2240"/>
      <c r="G1388" s="2240"/>
      <c r="H1388" s="2240"/>
      <c r="I1388" s="2240"/>
      <c r="J1388" s="2240"/>
      <c r="K1388" s="2240"/>
      <c r="L1388" s="2240"/>
      <c r="M1388" s="2240"/>
      <c r="N1388" s="2811"/>
      <c r="O1388" s="302"/>
      <c r="P1388" s="302"/>
      <c r="Q1388" s="729"/>
      <c r="R1388" s="694"/>
      <c r="S1388" s="729"/>
      <c r="T1388" s="694"/>
      <c r="U1388" s="694"/>
      <c r="V1388" s="694"/>
      <c r="W1388" s="694"/>
      <c r="X1388" s="694"/>
      <c r="Y1388" s="694"/>
      <c r="Z1388" s="694"/>
      <c r="AA1388" s="694"/>
      <c r="AB1388" s="694"/>
      <c r="AC1388" s="694"/>
      <c r="AD1388" s="694"/>
      <c r="AE1388" s="694"/>
      <c r="AF1388" s="694"/>
      <c r="AG1388" s="694"/>
      <c r="AH1388" s="694"/>
      <c r="AI1388" s="694"/>
      <c r="AJ1388" s="694"/>
      <c r="AK1388" s="694"/>
      <c r="AL1388" s="694"/>
    </row>
    <row r="1389" spans="1:38" ht="12.75" customHeight="1" thickBot="1" x14ac:dyDescent="0.3">
      <c r="A1389" s="694"/>
      <c r="B1389" s="298"/>
      <c r="C1389" s="1302"/>
      <c r="D1389" s="1307"/>
      <c r="E1389" s="1317"/>
      <c r="F1389" s="1318"/>
      <c r="G1389" s="1309" t="str">
        <f>EUconst_Unit</f>
        <v>Единица мярка</v>
      </c>
      <c r="H1389" s="629">
        <f t="shared" ref="H1389:N1389" si="1847">H$2831</f>
        <v>2024</v>
      </c>
      <c r="I1389" s="1310">
        <f t="shared" si="1847"/>
        <v>2025</v>
      </c>
      <c r="J1389" s="1311">
        <f t="shared" si="1847"/>
        <v>2026</v>
      </c>
      <c r="K1389" s="629">
        <f t="shared" si="1847"/>
        <v>2027</v>
      </c>
      <c r="L1389" s="629">
        <f t="shared" si="1847"/>
        <v>2028</v>
      </c>
      <c r="M1389" s="629">
        <f t="shared" si="1847"/>
        <v>2029</v>
      </c>
      <c r="N1389" s="1312">
        <f t="shared" si="1847"/>
        <v>2030</v>
      </c>
      <c r="O1389" s="302"/>
      <c r="P1389" s="302"/>
      <c r="Q1389" s="729"/>
      <c r="R1389" s="694"/>
      <c r="S1389" s="1205"/>
      <c r="T1389" s="1313">
        <f t="shared" ref="T1389" si="1848">H1389</f>
        <v>2024</v>
      </c>
      <c r="U1389" s="1313">
        <f t="shared" ref="U1389" si="1849">I1389</f>
        <v>2025</v>
      </c>
      <c r="V1389" s="1313">
        <f t="shared" ref="V1389" si="1850">J1389</f>
        <v>2026</v>
      </c>
      <c r="W1389" s="1313">
        <f t="shared" ref="W1389" si="1851">K1389</f>
        <v>2027</v>
      </c>
      <c r="X1389" s="1313">
        <f t="shared" ref="X1389" si="1852">L1389</f>
        <v>2028</v>
      </c>
      <c r="Y1389" s="1313">
        <f t="shared" ref="Y1389" si="1853">M1389</f>
        <v>2029</v>
      </c>
      <c r="Z1389" s="1314">
        <f t="shared" ref="Z1389" si="1854">N1389</f>
        <v>2030</v>
      </c>
      <c r="AA1389" s="694"/>
      <c r="AB1389" s="694"/>
      <c r="AC1389" s="1178">
        <f t="shared" ref="AC1389" si="1855">H$20</f>
        <v>2024</v>
      </c>
      <c r="AD1389" s="1178">
        <f t="shared" ref="AD1389" si="1856">I$20</f>
        <v>2025</v>
      </c>
      <c r="AE1389" s="1178">
        <f t="shared" ref="AE1389" si="1857">J$20</f>
        <v>2026</v>
      </c>
      <c r="AF1389" s="1178">
        <f t="shared" ref="AF1389" si="1858">K$20</f>
        <v>2027</v>
      </c>
      <c r="AG1389" s="1178">
        <f t="shared" ref="AG1389" si="1859">L$20</f>
        <v>2028</v>
      </c>
      <c r="AH1389" s="1178">
        <f t="shared" ref="AH1389" si="1860">M$20</f>
        <v>2029</v>
      </c>
      <c r="AI1389" s="1178">
        <f t="shared" ref="AI1389" si="1861">N$20</f>
        <v>2030</v>
      </c>
      <c r="AJ1389" s="694"/>
      <c r="AK1389" s="694"/>
      <c r="AL1389" s="694"/>
    </row>
    <row r="1390" spans="1:38" ht="12.75" customHeight="1" thickBot="1" x14ac:dyDescent="0.3">
      <c r="A1390" s="694"/>
      <c r="B1390" s="298"/>
      <c r="C1390" s="1302"/>
      <c r="D1390" s="625"/>
      <c r="E1390" s="2820" t="str">
        <f>Translations!$B$595</f>
        <v>Произведена електроенергия</v>
      </c>
      <c r="F1390" s="2258"/>
      <c r="G1390" s="1319" t="str">
        <f>EUconst_MWhpa</f>
        <v>MWh / година</v>
      </c>
      <c r="H1390" s="56"/>
      <c r="I1390" s="115"/>
      <c r="J1390" s="118"/>
      <c r="K1390" s="56"/>
      <c r="L1390" s="56"/>
      <c r="M1390" s="56"/>
      <c r="N1390" s="121"/>
      <c r="O1390" s="302"/>
      <c r="P1390" s="158"/>
      <c r="Q1390" s="1190" t="str">
        <f>EUconst_CNTR_ElectricityExported &amp; I1137</f>
        <v>ElecEx_</v>
      </c>
      <c r="R1390" s="694"/>
      <c r="S1390" s="1315" t="str">
        <f>EUconst_CNTR_AttributedEmissions &amp; I1137</f>
        <v>AttrEmissions_</v>
      </c>
      <c r="T1390" s="1290" t="str">
        <f t="shared" ref="T1390" si="1862">IF(T1145,-SUM(H1390)*EUconst_ElBM,"")</f>
        <v/>
      </c>
      <c r="U1390" s="1290" t="str">
        <f t="shared" ref="U1390" si="1863">IF(U1145,-SUM(I1390)*EUconst_ElBM,"")</f>
        <v/>
      </c>
      <c r="V1390" s="1290" t="str">
        <f t="shared" ref="V1390" si="1864">IF(V1145,-SUM(J1390)*EUconst_ElBM,"")</f>
        <v/>
      </c>
      <c r="W1390" s="1290" t="str">
        <f t="shared" ref="W1390" si="1865">IF(W1145,-SUM(K1390)*EUconst_ElBM,"")</f>
        <v/>
      </c>
      <c r="X1390" s="1290" t="str">
        <f t="shared" ref="X1390" si="1866">IF(X1145,-SUM(L1390)*EUconst_ElBM,"")</f>
        <v/>
      </c>
      <c r="Y1390" s="1290" t="str">
        <f t="shared" ref="Y1390" si="1867">IF(Y1145,-SUM(M1390)*EUconst_ElBM,"")</f>
        <v/>
      </c>
      <c r="Z1390" s="1291" t="str">
        <f t="shared" ref="Z1390" si="1868">IF(Z1145,-SUM(N1390)*EUconst_ElBM,"")</f>
        <v/>
      </c>
      <c r="AA1390" s="694"/>
      <c r="AB1390" s="1182" t="s">
        <v>737</v>
      </c>
      <c r="AC1390" s="982" t="b">
        <f>AC1184</f>
        <v>0</v>
      </c>
      <c r="AD1390" s="982" t="b">
        <f t="shared" ref="AD1390:AI1390" si="1869">AD1184</f>
        <v>0</v>
      </c>
      <c r="AE1390" s="982" t="b">
        <f t="shared" si="1869"/>
        <v>0</v>
      </c>
      <c r="AF1390" s="982" t="b">
        <f t="shared" si="1869"/>
        <v>0</v>
      </c>
      <c r="AG1390" s="982" t="b">
        <f t="shared" si="1869"/>
        <v>0</v>
      </c>
      <c r="AH1390" s="982" t="b">
        <f t="shared" si="1869"/>
        <v>0</v>
      </c>
      <c r="AI1390" s="982" t="b">
        <f t="shared" si="1869"/>
        <v>0</v>
      </c>
      <c r="AJ1390" s="1174" t="s">
        <v>2039</v>
      </c>
      <c r="AK1390" s="1176" t="str">
        <f>IF(AND(CNTR_ExistSubInstEntries,MSconst_RequireSubAttrEmissions,COUNTIFS(AC1390:AI1390,FALSE,H1390:N1390,"")&gt;0),EUconst_Error&amp;"BM"&amp;$Q1137,"")</f>
        <v/>
      </c>
      <c r="AL1390" s="694"/>
    </row>
    <row r="1391" spans="1:38" ht="12.75" customHeight="1" x14ac:dyDescent="0.25">
      <c r="A1391" s="694"/>
      <c r="B1391" s="298"/>
      <c r="C1391" s="1302"/>
      <c r="D1391" s="1306"/>
      <c r="E1391" s="1306"/>
      <c r="F1391" s="1306"/>
      <c r="G1391" s="1306"/>
      <c r="H1391" s="1306"/>
      <c r="I1391" s="1354"/>
      <c r="J1391" s="1306"/>
      <c r="K1391" s="1306"/>
      <c r="L1391" s="1306"/>
      <c r="M1391" s="1306"/>
      <c r="N1391" s="1316"/>
      <c r="O1391" s="302"/>
      <c r="P1391" s="302"/>
      <c r="Q1391" s="729"/>
      <c r="R1391" s="694"/>
      <c r="S1391" s="729"/>
      <c r="T1391" s="694"/>
      <c r="U1391" s="694"/>
      <c r="V1391" s="729"/>
      <c r="W1391" s="694"/>
      <c r="X1391" s="694"/>
      <c r="Y1391" s="694"/>
      <c r="Z1391" s="694"/>
      <c r="AA1391" s="694"/>
      <c r="AB1391" s="694"/>
      <c r="AC1391" s="694"/>
      <c r="AD1391" s="694"/>
      <c r="AE1391" s="694"/>
      <c r="AF1391" s="694"/>
      <c r="AG1391" s="694"/>
      <c r="AH1391" s="694"/>
      <c r="AI1391" s="694"/>
      <c r="AJ1391" s="694"/>
      <c r="AK1391" s="694"/>
      <c r="AL1391" s="694"/>
    </row>
    <row r="1392" spans="1:38" ht="12.75" customHeight="1" x14ac:dyDescent="0.25">
      <c r="A1392" s="694"/>
      <c r="B1392" s="298"/>
      <c r="C1392" s="1302"/>
      <c r="D1392" s="1307" t="s">
        <v>249</v>
      </c>
      <c r="E1392" s="2815" t="str">
        <f>Translations!$B$596</f>
        <v>Общо количество произведен пулп</v>
      </c>
      <c r="F1392" s="2240"/>
      <c r="G1392" s="2240"/>
      <c r="H1392" s="2240"/>
      <c r="I1392" s="2240"/>
      <c r="J1392" s="2240"/>
      <c r="K1392" s="2240"/>
      <c r="L1392" s="2240"/>
      <c r="M1392" s="2240"/>
      <c r="N1392" s="2811"/>
      <c r="O1392" s="302"/>
      <c r="P1392" s="302"/>
      <c r="Q1392" s="694"/>
      <c r="R1392" s="694"/>
      <c r="S1392" s="694"/>
      <c r="T1392" s="694"/>
      <c r="U1392" s="694"/>
      <c r="V1392" s="729"/>
      <c r="W1392" s="694"/>
      <c r="X1392" s="694"/>
      <c r="Y1392" s="694"/>
      <c r="Z1392" s="694"/>
      <c r="AA1392" s="694"/>
      <c r="AB1392" s="694"/>
      <c r="AC1392" s="694"/>
      <c r="AD1392" s="694"/>
      <c r="AE1392" s="694"/>
      <c r="AF1392" s="694"/>
      <c r="AG1392" s="694"/>
      <c r="AH1392" s="694"/>
      <c r="AI1392" s="694"/>
      <c r="AJ1392" s="694"/>
      <c r="AK1392" s="694"/>
      <c r="AL1392" s="694"/>
    </row>
    <row r="1393" spans="1:38" ht="25.5" customHeight="1" x14ac:dyDescent="0.25">
      <c r="A1393" s="694"/>
      <c r="B1393" s="298"/>
      <c r="C1393" s="1302"/>
      <c r="D1393" s="1306"/>
      <c r="E1393" s="2810" t="str">
        <f>Translations!$B$597</f>
        <v>Съгласно раздел 2.7, буква к) от приложение IV към ПБР се отчита общото количество пулп, произведен за подинсталации с продуктов показател за късовлакнест крафт-пулп, дълговлакнест крафт-пулп, термомеханичен пулп и механичен пулп или сулфитен пулп.</v>
      </c>
      <c r="F1393" s="2240"/>
      <c r="G1393" s="2240"/>
      <c r="H1393" s="2240"/>
      <c r="I1393" s="2240"/>
      <c r="J1393" s="2240"/>
      <c r="K1393" s="2240"/>
      <c r="L1393" s="2240"/>
      <c r="M1393" s="2240"/>
      <c r="N1393" s="2811"/>
      <c r="O1393" s="302"/>
      <c r="P1393" s="302"/>
      <c r="Q1393" s="729"/>
      <c r="R1393" s="694"/>
      <c r="S1393" s="729"/>
      <c r="T1393" s="694"/>
      <c r="U1393" s="694"/>
      <c r="V1393" s="729"/>
      <c r="W1393" s="694"/>
      <c r="X1393" s="694"/>
      <c r="Y1393" s="694"/>
      <c r="Z1393" s="694"/>
      <c r="AA1393" s="694"/>
      <c r="AB1393" s="694"/>
      <c r="AC1393" s="694"/>
      <c r="AD1393" s="694"/>
      <c r="AE1393" s="694"/>
      <c r="AF1393" s="694"/>
      <c r="AG1393" s="694"/>
      <c r="AH1393" s="694"/>
      <c r="AI1393" s="694"/>
      <c r="AJ1393" s="694"/>
      <c r="AK1393" s="694"/>
      <c r="AL1393" s="694"/>
    </row>
    <row r="1394" spans="1:38" ht="12.75" customHeight="1" x14ac:dyDescent="0.25">
      <c r="A1394" s="694"/>
      <c r="B1394" s="298"/>
      <c r="C1394" s="1302"/>
      <c r="D1394" s="1306"/>
      <c r="E1394" s="2810" t="str">
        <f>Translations!$B$598</f>
        <v>Този раздел ще бъде защрихован в сиво, ако тази подинсталация не е една от тези видове подинсталации за производство на пулп. В такъв случай, моля, продължете с точките по-долу.</v>
      </c>
      <c r="F1394" s="2240"/>
      <c r="G1394" s="2240"/>
      <c r="H1394" s="2240"/>
      <c r="I1394" s="2240"/>
      <c r="J1394" s="2240"/>
      <c r="K1394" s="2240"/>
      <c r="L1394" s="2240"/>
      <c r="M1394" s="2240"/>
      <c r="N1394" s="2811"/>
      <c r="O1394" s="302"/>
      <c r="P1394" s="302"/>
      <c r="Q1394" s="729"/>
      <c r="R1394" s="694"/>
      <c r="S1394" s="729"/>
      <c r="T1394" s="694"/>
      <c r="U1394" s="694"/>
      <c r="V1394" s="729"/>
      <c r="W1394" s="694"/>
      <c r="X1394" s="694"/>
      <c r="Y1394" s="694"/>
      <c r="Z1394" s="694"/>
      <c r="AA1394" s="694"/>
      <c r="AB1394" s="694"/>
      <c r="AC1394" s="694"/>
      <c r="AD1394" s="694"/>
      <c r="AE1394" s="694"/>
      <c r="AF1394" s="694"/>
      <c r="AG1394" s="694"/>
      <c r="AH1394" s="694"/>
      <c r="AI1394" s="694"/>
      <c r="AJ1394" s="694"/>
      <c r="AK1394" s="694"/>
      <c r="AL1394" s="694"/>
    </row>
    <row r="1395" spans="1:38" ht="12.75" customHeight="1" thickBot="1" x14ac:dyDescent="0.3">
      <c r="A1395" s="694"/>
      <c r="B1395" s="298"/>
      <c r="C1395" s="1302"/>
      <c r="D1395" s="625"/>
      <c r="E1395" s="2812" t="str">
        <f>Translations!$B$599</f>
        <v>Посочените тук данни ще са необходими при актуализацията на конкретния показател за пулп.</v>
      </c>
      <c r="F1395" s="2672"/>
      <c r="G1395" s="2672"/>
      <c r="H1395" s="2672"/>
      <c r="I1395" s="2672"/>
      <c r="J1395" s="2672"/>
      <c r="K1395" s="2672"/>
      <c r="L1395" s="2672"/>
      <c r="M1395" s="2672"/>
      <c r="N1395" s="2813"/>
      <c r="O1395" s="302"/>
      <c r="P1395" s="302"/>
      <c r="Q1395" s="729"/>
      <c r="R1395" s="694"/>
      <c r="S1395" s="729"/>
      <c r="T1395" s="694"/>
      <c r="U1395" s="694"/>
      <c r="V1395" s="729"/>
      <c r="W1395" s="694"/>
      <c r="X1395" s="694"/>
      <c r="Y1395" s="694"/>
      <c r="Z1395" s="694"/>
      <c r="AA1395" s="694"/>
      <c r="AB1395" s="694"/>
      <c r="AC1395" s="1178">
        <f t="shared" ref="AC1395" si="1870">H$20</f>
        <v>2024</v>
      </c>
      <c r="AD1395" s="1178">
        <f t="shared" ref="AD1395" si="1871">I$20</f>
        <v>2025</v>
      </c>
      <c r="AE1395" s="1178">
        <f t="shared" ref="AE1395" si="1872">J$20</f>
        <v>2026</v>
      </c>
      <c r="AF1395" s="1178">
        <f t="shared" ref="AF1395" si="1873">K$20</f>
        <v>2027</v>
      </c>
      <c r="AG1395" s="1178">
        <f t="shared" ref="AG1395" si="1874">L$20</f>
        <v>2028</v>
      </c>
      <c r="AH1395" s="1178">
        <f t="shared" ref="AH1395" si="1875">M$20</f>
        <v>2029</v>
      </c>
      <c r="AI1395" s="1178">
        <f t="shared" ref="AI1395" si="1876">N$20</f>
        <v>2030</v>
      </c>
      <c r="AJ1395" s="694"/>
      <c r="AK1395" s="694"/>
      <c r="AL1395" s="694"/>
    </row>
    <row r="1396" spans="1:38" ht="12.75" customHeight="1" x14ac:dyDescent="0.25">
      <c r="A1396" s="694"/>
      <c r="B1396" s="298"/>
      <c r="C1396" s="1302"/>
      <c r="D1396" s="625"/>
      <c r="E1396" s="2814" t="str">
        <f>IF(I1137="","",IF(INDEX(EUconst_BMlistPulp,MATCH(I1137,EUconst_BMlistNames,0)),I1137,""))</f>
        <v/>
      </c>
      <c r="F1396" s="2258"/>
      <c r="G1396" s="1319" t="str">
        <f>EUconst_Tons</f>
        <v>тона</v>
      </c>
      <c r="H1396" s="56"/>
      <c r="I1396" s="115"/>
      <c r="J1396" s="118"/>
      <c r="K1396" s="56"/>
      <c r="L1396" s="56"/>
      <c r="M1396" s="56"/>
      <c r="N1396" s="121"/>
      <c r="O1396" s="302"/>
      <c r="P1396" s="158"/>
      <c r="Q1396" s="1190" t="str">
        <f>EUconst_CNTR_HALPulpTotal &amp; I1137</f>
        <v>HALPulpTotal_</v>
      </c>
      <c r="R1396" s="694"/>
      <c r="S1396" s="729"/>
      <c r="T1396" s="694"/>
      <c r="U1396" s="694"/>
      <c r="V1396" s="694"/>
      <c r="W1396" s="694"/>
      <c r="X1396" s="694"/>
      <c r="Y1396" s="694"/>
      <c r="Z1396" s="694"/>
      <c r="AA1396" s="694"/>
      <c r="AB1396" s="1182" t="s">
        <v>737</v>
      </c>
      <c r="AC1396" s="901" t="b">
        <f t="shared" ref="AC1396:AI1396" si="1877">IF($I1137&lt;&gt;"",IF(INDEX(EUconst_BMlistPulp,MATCH($I1137,EUconst_BMlistNames,0))=TRUE,FALSE,TRUE),AC1184)</f>
        <v>0</v>
      </c>
      <c r="AD1396" s="982" t="b">
        <f t="shared" si="1877"/>
        <v>0</v>
      </c>
      <c r="AE1396" s="982" t="b">
        <f t="shared" si="1877"/>
        <v>0</v>
      </c>
      <c r="AF1396" s="982" t="b">
        <f t="shared" si="1877"/>
        <v>0</v>
      </c>
      <c r="AG1396" s="982" t="b">
        <f t="shared" si="1877"/>
        <v>0</v>
      </c>
      <c r="AH1396" s="982" t="b">
        <f t="shared" si="1877"/>
        <v>0</v>
      </c>
      <c r="AI1396" s="982" t="b">
        <f t="shared" si="1877"/>
        <v>0</v>
      </c>
      <c r="AJ1396" s="1174" t="s">
        <v>2039</v>
      </c>
      <c r="AK1396" s="1176" t="str">
        <f>IF(AND(CNTR_ExistSubInstEntries,MSconst_RequireSubAttrEmissions,COUNTIFS(AC1396:AI1396,FALSE,H1396:N1396,"")&gt;0),EUconst_Error&amp;"BM"&amp;$Q1137,"")</f>
        <v/>
      </c>
      <c r="AL1396" s="694"/>
    </row>
    <row r="1397" spans="1:38" ht="12.75" customHeight="1" x14ac:dyDescent="0.25">
      <c r="A1397" s="694"/>
      <c r="B1397" s="298"/>
      <c r="C1397" s="1302"/>
      <c r="D1397" s="625"/>
      <c r="E1397" s="625"/>
      <c r="F1397" s="625"/>
      <c r="G1397" s="625"/>
      <c r="H1397" s="1354"/>
      <c r="I1397" s="625"/>
      <c r="J1397" s="625"/>
      <c r="K1397" s="625"/>
      <c r="L1397" s="625"/>
      <c r="M1397" s="625"/>
      <c r="N1397" s="1348"/>
      <c r="O1397" s="302"/>
      <c r="P1397" s="302"/>
      <c r="Q1397" s="729"/>
      <c r="R1397" s="694"/>
      <c r="S1397" s="729"/>
      <c r="T1397" s="694"/>
      <c r="U1397" s="694"/>
      <c r="V1397" s="729"/>
      <c r="W1397" s="694"/>
      <c r="X1397" s="694"/>
      <c r="Y1397" s="694"/>
      <c r="Z1397" s="694"/>
      <c r="AA1397" s="694"/>
      <c r="AB1397" s="694"/>
      <c r="AC1397" s="694"/>
      <c r="AD1397" s="694"/>
      <c r="AE1397" s="694"/>
      <c r="AF1397" s="694"/>
      <c r="AG1397" s="694"/>
      <c r="AH1397" s="694"/>
      <c r="AI1397" s="694"/>
      <c r="AJ1397" s="694"/>
      <c r="AK1397" s="694"/>
      <c r="AL1397" s="694"/>
    </row>
    <row r="1398" spans="1:38" ht="12.75" customHeight="1" x14ac:dyDescent="0.25">
      <c r="A1398" s="694"/>
      <c r="B1398" s="298"/>
      <c r="C1398" s="1302"/>
      <c r="D1398" s="1307" t="s">
        <v>852</v>
      </c>
      <c r="E1398" s="2815" t="str">
        <f>Translations!$B$600</f>
        <v>Получаване или подаване на междинни продукти, обхванати от продуктови показатели</v>
      </c>
      <c r="F1398" s="2240"/>
      <c r="G1398" s="2240"/>
      <c r="H1398" s="2240"/>
      <c r="I1398" s="2240"/>
      <c r="J1398" s="2240"/>
      <c r="K1398" s="2240"/>
      <c r="L1398" s="2240"/>
      <c r="M1398" s="2240"/>
      <c r="N1398" s="2811"/>
      <c r="O1398" s="302"/>
      <c r="P1398" s="302"/>
      <c r="Q1398" s="729"/>
      <c r="R1398" s="694"/>
      <c r="S1398" s="729"/>
      <c r="T1398" s="694"/>
      <c r="U1398" s="694"/>
      <c r="V1398" s="729"/>
      <c r="W1398" s="694"/>
      <c r="X1398" s="694"/>
      <c r="Y1398" s="694"/>
      <c r="Z1398" s="694"/>
      <c r="AA1398" s="694"/>
      <c r="AB1398" s="694"/>
      <c r="AC1398" s="694"/>
      <c r="AD1398" s="694"/>
      <c r="AE1398" s="694"/>
      <c r="AF1398" s="694"/>
      <c r="AG1398" s="694"/>
      <c r="AH1398" s="694"/>
      <c r="AI1398" s="694"/>
      <c r="AJ1398" s="694"/>
      <c r="AK1398" s="694"/>
      <c r="AL1398" s="694"/>
    </row>
    <row r="1399" spans="1:38" ht="25.5" customHeight="1" x14ac:dyDescent="0.25">
      <c r="A1399" s="694"/>
      <c r="B1399" s="298"/>
      <c r="C1399" s="1302"/>
      <c r="D1399" s="1306"/>
      <c r="E1399" s="2810" t="str">
        <f>Translations!$B$601</f>
        <v>За да се избегне двойно отчитане или пропуски в зададените емисии при определянето на актуализираните показатели, съгласно изискванията на раздел 2.7, буква г) от приложение IV към ПБР е необходимо да подадете данни за получените или подадените междинни продукти, обхванати от който и да било от продуктовите показатели, изброени в приложение I към ПБР.</v>
      </c>
      <c r="F1399" s="2240"/>
      <c r="G1399" s="2240"/>
      <c r="H1399" s="2240"/>
      <c r="I1399" s="2240"/>
      <c r="J1399" s="2240"/>
      <c r="K1399" s="2240"/>
      <c r="L1399" s="2240"/>
      <c r="M1399" s="2240"/>
      <c r="N1399" s="2811"/>
      <c r="O1399" s="302"/>
      <c r="P1399" s="302"/>
      <c r="Q1399" s="729"/>
      <c r="R1399" s="694"/>
      <c r="S1399" s="729"/>
      <c r="T1399" s="694"/>
      <c r="U1399" s="694"/>
      <c r="V1399" s="729"/>
      <c r="W1399" s="694"/>
      <c r="X1399" s="694"/>
      <c r="Y1399" s="694"/>
      <c r="Z1399" s="694"/>
      <c r="AA1399" s="694"/>
      <c r="AB1399" s="694"/>
      <c r="AC1399" s="694"/>
      <c r="AD1399" s="694"/>
      <c r="AE1399" s="694"/>
      <c r="AF1399" s="694"/>
      <c r="AG1399" s="694"/>
      <c r="AH1399" s="694"/>
      <c r="AI1399" s="694"/>
      <c r="AJ1399" s="694"/>
      <c r="AK1399" s="694"/>
      <c r="AL1399" s="694"/>
    </row>
    <row r="1400" spans="1:38" ht="12.75" customHeight="1" x14ac:dyDescent="0.25">
      <c r="A1400" s="694"/>
      <c r="B1400" s="298"/>
      <c r="C1400" s="1302"/>
      <c r="D1400" s="1306"/>
      <c r="E1400" s="2816" t="str">
        <f>Translations!$B$602</f>
        <v>Посочените тук данни могат да се отразят на актуализацията на конкретния показател.</v>
      </c>
      <c r="F1400" s="2240"/>
      <c r="G1400" s="2240"/>
      <c r="H1400" s="2240"/>
      <c r="I1400" s="2240"/>
      <c r="J1400" s="2240"/>
      <c r="K1400" s="2240"/>
      <c r="L1400" s="2240"/>
      <c r="M1400" s="2240"/>
      <c r="N1400" s="2811"/>
      <c r="O1400" s="302"/>
      <c r="P1400" s="302"/>
      <c r="Q1400" s="729"/>
      <c r="R1400" s="694"/>
      <c r="S1400" s="729"/>
      <c r="T1400" s="694"/>
      <c r="U1400" s="694"/>
      <c r="V1400" s="729"/>
      <c r="W1400" s="694"/>
      <c r="X1400" s="694"/>
      <c r="Y1400" s="694"/>
      <c r="Z1400" s="694"/>
      <c r="AA1400" s="694"/>
      <c r="AB1400" s="694"/>
      <c r="AC1400" s="694"/>
      <c r="AD1400" s="694"/>
      <c r="AE1400" s="694"/>
      <c r="AF1400" s="694"/>
      <c r="AG1400" s="694"/>
      <c r="AH1400" s="694"/>
      <c r="AI1400" s="694"/>
      <c r="AJ1400" s="694"/>
      <c r="AK1400" s="694"/>
      <c r="AL1400" s="694"/>
    </row>
    <row r="1401" spans="1:38" ht="12.75" customHeight="1" x14ac:dyDescent="0.25">
      <c r="A1401" s="694"/>
      <c r="B1401" s="698"/>
      <c r="C1401" s="1302"/>
      <c r="D1401" s="625" t="s">
        <v>6</v>
      </c>
      <c r="E1401" s="2817" t="str">
        <f>Translations!$B$603</f>
        <v>Има ли получени или подадени междинни продукти, които са обхванати от продуктови показатели?</v>
      </c>
      <c r="F1401" s="2240"/>
      <c r="G1401" s="2240"/>
      <c r="H1401" s="2240"/>
      <c r="I1401" s="2240"/>
      <c r="J1401" s="2240"/>
      <c r="K1401" s="2684"/>
      <c r="L1401" s="83"/>
      <c r="M1401" s="1304"/>
      <c r="N1401" s="1372"/>
      <c r="O1401" s="302"/>
      <c r="P1401" s="158"/>
      <c r="Q1401" s="694"/>
      <c r="R1401" s="694"/>
      <c r="S1401" s="694"/>
      <c r="T1401" s="694"/>
      <c r="U1401" s="694"/>
      <c r="V1401" s="694"/>
      <c r="W1401" s="694"/>
      <c r="X1401" s="694"/>
      <c r="Y1401" s="694"/>
      <c r="Z1401" s="694"/>
      <c r="AA1401" s="694"/>
      <c r="AB1401" s="694"/>
      <c r="AC1401" s="694"/>
      <c r="AD1401" s="694"/>
      <c r="AE1401" s="694"/>
      <c r="AF1401" s="1182" t="s">
        <v>737</v>
      </c>
      <c r="AG1401" s="901" t="b">
        <f>AND(CNTR_ExistSubInstEntries,I1137="")</f>
        <v>0</v>
      </c>
      <c r="AH1401" s="694"/>
      <c r="AI1401" s="694"/>
      <c r="AJ1401" s="694"/>
      <c r="AK1401" s="694"/>
      <c r="AL1401" s="694"/>
    </row>
    <row r="1402" spans="1:38" ht="5.15" customHeight="1" x14ac:dyDescent="0.25">
      <c r="A1402" s="694"/>
      <c r="B1402" s="298"/>
      <c r="C1402" s="1302"/>
      <c r="D1402" s="625"/>
      <c r="E1402" s="625"/>
      <c r="F1402" s="625"/>
      <c r="G1402" s="625"/>
      <c r="H1402" s="1354"/>
      <c r="I1402" s="625"/>
      <c r="J1402" s="625"/>
      <c r="K1402" s="625"/>
      <c r="L1402" s="625"/>
      <c r="M1402" s="625"/>
      <c r="N1402" s="1348"/>
      <c r="O1402" s="302"/>
      <c r="P1402" s="302"/>
      <c r="Q1402" s="729"/>
      <c r="R1402" s="694"/>
      <c r="S1402" s="729"/>
      <c r="T1402" s="694"/>
      <c r="U1402" s="694"/>
      <c r="V1402" s="729"/>
      <c r="W1402" s="694"/>
      <c r="X1402" s="694"/>
      <c r="Y1402" s="694"/>
      <c r="Z1402" s="694"/>
      <c r="AA1402" s="694"/>
      <c r="AB1402" s="694"/>
      <c r="AC1402" s="694"/>
      <c r="AD1402" s="694"/>
      <c r="AE1402" s="694"/>
      <c r="AF1402" s="694"/>
      <c r="AG1402" s="694"/>
      <c r="AH1402" s="694"/>
      <c r="AI1402" s="694"/>
      <c r="AJ1402" s="694"/>
      <c r="AK1402" s="694"/>
      <c r="AL1402" s="694"/>
    </row>
    <row r="1403" spans="1:38" ht="12.75" customHeight="1" thickBot="1" x14ac:dyDescent="0.3">
      <c r="A1403" s="694"/>
      <c r="B1403" s="298"/>
      <c r="C1403" s="1302"/>
      <c r="D1403" s="1307"/>
      <c r="E1403" s="2803" t="str">
        <f>Translations!$B$604</f>
        <v>Получени количества:</v>
      </c>
      <c r="F1403" s="2672"/>
      <c r="G1403" s="627" t="str">
        <f>EUconst_Unit</f>
        <v>Единица мярка</v>
      </c>
      <c r="H1403" s="629">
        <f t="shared" ref="H1403:N1403" si="1878">H$2831</f>
        <v>2024</v>
      </c>
      <c r="I1403" s="1310">
        <f t="shared" si="1878"/>
        <v>2025</v>
      </c>
      <c r="J1403" s="1311">
        <f t="shared" si="1878"/>
        <v>2026</v>
      </c>
      <c r="K1403" s="629">
        <f t="shared" si="1878"/>
        <v>2027</v>
      </c>
      <c r="L1403" s="629">
        <f t="shared" si="1878"/>
        <v>2028</v>
      </c>
      <c r="M1403" s="629">
        <f t="shared" si="1878"/>
        <v>2029</v>
      </c>
      <c r="N1403" s="1312">
        <f t="shared" si="1878"/>
        <v>2030</v>
      </c>
      <c r="O1403" s="302"/>
      <c r="P1403" s="302"/>
      <c r="Q1403" s="729"/>
      <c r="R1403" s="694"/>
      <c r="S1403" s="729"/>
      <c r="T1403" s="694"/>
      <c r="U1403" s="694"/>
      <c r="V1403" s="729"/>
      <c r="W1403" s="694"/>
      <c r="X1403" s="694"/>
      <c r="Y1403" s="694"/>
      <c r="Z1403" s="694"/>
      <c r="AA1403" s="694"/>
      <c r="AB1403" s="694"/>
      <c r="AC1403" s="1178">
        <f t="shared" ref="AC1403" si="1879">H$20</f>
        <v>2024</v>
      </c>
      <c r="AD1403" s="1178">
        <f t="shared" ref="AD1403" si="1880">I$20</f>
        <v>2025</v>
      </c>
      <c r="AE1403" s="1178">
        <f t="shared" ref="AE1403" si="1881">J$20</f>
        <v>2026</v>
      </c>
      <c r="AF1403" s="1178">
        <f t="shared" ref="AF1403" si="1882">K$20</f>
        <v>2027</v>
      </c>
      <c r="AG1403" s="1178">
        <f t="shared" ref="AG1403" si="1883">L$20</f>
        <v>2028</v>
      </c>
      <c r="AH1403" s="1178">
        <f t="shared" ref="AH1403" si="1884">M$20</f>
        <v>2029</v>
      </c>
      <c r="AI1403" s="1178">
        <f t="shared" ref="AI1403" si="1885">N$20</f>
        <v>2030</v>
      </c>
      <c r="AJ1403" s="694"/>
      <c r="AK1403" s="694"/>
      <c r="AL1403" s="694"/>
    </row>
    <row r="1404" spans="1:38" ht="12.75" customHeight="1" x14ac:dyDescent="0.25">
      <c r="A1404" s="694"/>
      <c r="B1404" s="298"/>
      <c r="C1404" s="1302"/>
      <c r="D1404" s="625" t="s">
        <v>7</v>
      </c>
      <c r="E1404" s="2799"/>
      <c r="F1404" s="2800"/>
      <c r="G1404" s="1116" t="str">
        <f>IF(E1404&lt;&gt;"",INDEX(EUconst_BMlistUnits,MATCH(E1404,EUconst_BMlistNames,0)),EUconst_Tons)</f>
        <v>тона</v>
      </c>
      <c r="H1404" s="150"/>
      <c r="I1404" s="151"/>
      <c r="J1404" s="152"/>
      <c r="K1404" s="150"/>
      <c r="L1404" s="150"/>
      <c r="M1404" s="150"/>
      <c r="N1404" s="153"/>
      <c r="O1404" s="302"/>
      <c r="P1404" s="158"/>
      <c r="Q1404" s="1190" t="str">
        <f>EUconst_CNTR_IntermediateImport &amp; S1404 &amp; "_" &amp; I1137</f>
        <v>IntImp_1_</v>
      </c>
      <c r="R1404" s="694"/>
      <c r="S1404" s="1190">
        <v>1</v>
      </c>
      <c r="T1404" s="694"/>
      <c r="U1404" s="694"/>
      <c r="V1404" s="729"/>
      <c r="W1404" s="694"/>
      <c r="X1404" s="694"/>
      <c r="Y1404" s="694"/>
      <c r="Z1404" s="694"/>
      <c r="AA1404" s="694"/>
      <c r="AB1404" s="1182" t="s">
        <v>737</v>
      </c>
      <c r="AC1404" s="901" t="b">
        <f>OR(AND($L1401&lt;&gt;"",$L1401=FALSE),AC1184)</f>
        <v>0</v>
      </c>
      <c r="AD1404" s="982" t="b">
        <f t="shared" ref="AD1404:AI1404" si="1886">OR(AND($L1401&lt;&gt;"",$L1401=FALSE),AD1184)</f>
        <v>0</v>
      </c>
      <c r="AE1404" s="982" t="b">
        <f t="shared" si="1886"/>
        <v>0</v>
      </c>
      <c r="AF1404" s="982" t="b">
        <f t="shared" si="1886"/>
        <v>0</v>
      </c>
      <c r="AG1404" s="982" t="b">
        <f t="shared" si="1886"/>
        <v>0</v>
      </c>
      <c r="AH1404" s="982" t="b">
        <f t="shared" si="1886"/>
        <v>0</v>
      </c>
      <c r="AI1404" s="982" t="b">
        <f t="shared" si="1886"/>
        <v>0</v>
      </c>
      <c r="AJ1404" s="1174" t="s">
        <v>2039</v>
      </c>
      <c r="AK1404" s="1176" t="str">
        <f>IF(AND(CNTR_ExistSubInstEntries,MSconst_RequireSubAttrEmissions,COUNTIFS(AC1404:AI1404,FALSE,H1404:N1404,"")&gt;0),EUconst_Error&amp;"BM"&amp;$Q1137,"")</f>
        <v/>
      </c>
      <c r="AL1404" s="694"/>
    </row>
    <row r="1405" spans="1:38" ht="12.75" customHeight="1" x14ac:dyDescent="0.25">
      <c r="A1405" s="694"/>
      <c r="B1405" s="298"/>
      <c r="C1405" s="1302"/>
      <c r="D1405" s="625" t="s">
        <v>8</v>
      </c>
      <c r="E1405" s="2801"/>
      <c r="F1405" s="2802"/>
      <c r="G1405" s="1349" t="str">
        <f>IF(E1405&lt;&gt;"",INDEX(EUconst_BMlistUnits,MATCH(E1405,EUconst_BMlistNames,0)),EUconst_Tons)</f>
        <v>тона</v>
      </c>
      <c r="H1405" s="154"/>
      <c r="I1405" s="155"/>
      <c r="J1405" s="156"/>
      <c r="K1405" s="154"/>
      <c r="L1405" s="154"/>
      <c r="M1405" s="154"/>
      <c r="N1405" s="157"/>
      <c r="O1405" s="302"/>
      <c r="P1405" s="158"/>
      <c r="Q1405" s="1190" t="str">
        <f>EUconst_CNTR_IntermediateImport &amp; S1405 &amp; "_" &amp; I1137</f>
        <v>IntImp_2_</v>
      </c>
      <c r="R1405" s="694"/>
      <c r="S1405" s="1190">
        <v>2</v>
      </c>
      <c r="T1405" s="694"/>
      <c r="U1405" s="694"/>
      <c r="V1405" s="729"/>
      <c r="W1405" s="694"/>
      <c r="X1405" s="694"/>
      <c r="Y1405" s="694"/>
      <c r="Z1405" s="694"/>
      <c r="AA1405" s="694"/>
      <c r="AB1405" s="694"/>
      <c r="AC1405" s="982" t="b">
        <f>AC1404</f>
        <v>0</v>
      </c>
      <c r="AD1405" s="982" t="b">
        <f t="shared" ref="AD1405:AI1405" si="1887">AD1404</f>
        <v>0</v>
      </c>
      <c r="AE1405" s="982" t="b">
        <f t="shared" si="1887"/>
        <v>0</v>
      </c>
      <c r="AF1405" s="982" t="b">
        <f t="shared" si="1887"/>
        <v>0</v>
      </c>
      <c r="AG1405" s="982" t="b">
        <f t="shared" si="1887"/>
        <v>0</v>
      </c>
      <c r="AH1405" s="982" t="b">
        <f t="shared" si="1887"/>
        <v>0</v>
      </c>
      <c r="AI1405" s="982" t="b">
        <f t="shared" si="1887"/>
        <v>0</v>
      </c>
      <c r="AJ1405" s="694"/>
      <c r="AK1405" s="694"/>
      <c r="AL1405" s="694"/>
    </row>
    <row r="1406" spans="1:38" ht="5.15" customHeight="1" x14ac:dyDescent="0.25">
      <c r="A1406" s="694"/>
      <c r="B1406" s="298"/>
      <c r="C1406" s="1302"/>
      <c r="D1406" s="625"/>
      <c r="E1406" s="625"/>
      <c r="F1406" s="625"/>
      <c r="G1406" s="625"/>
      <c r="H1406" s="625"/>
      <c r="I1406" s="625"/>
      <c r="J1406" s="625"/>
      <c r="K1406" s="625"/>
      <c r="L1406" s="625"/>
      <c r="M1406" s="625"/>
      <c r="N1406" s="1373"/>
      <c r="O1406" s="302"/>
      <c r="P1406" s="302"/>
      <c r="Q1406" s="729"/>
      <c r="R1406" s="694"/>
      <c r="S1406" s="729"/>
      <c r="T1406" s="694"/>
      <c r="U1406" s="694"/>
      <c r="V1406" s="729"/>
      <c r="W1406" s="694"/>
      <c r="X1406" s="694"/>
      <c r="Y1406" s="694"/>
      <c r="Z1406" s="694"/>
      <c r="AA1406" s="694"/>
      <c r="AB1406" s="694"/>
      <c r="AC1406" s="694"/>
      <c r="AD1406" s="694"/>
      <c r="AE1406" s="694"/>
      <c r="AF1406" s="694"/>
      <c r="AG1406" s="694"/>
      <c r="AH1406" s="694"/>
      <c r="AI1406" s="694"/>
      <c r="AJ1406" s="694"/>
      <c r="AK1406" s="694"/>
      <c r="AL1406" s="694"/>
    </row>
    <row r="1407" spans="1:38" ht="12.75" customHeight="1" thickBot="1" x14ac:dyDescent="0.3">
      <c r="A1407" s="694"/>
      <c r="B1407" s="298"/>
      <c r="C1407" s="1302"/>
      <c r="D1407" s="1307"/>
      <c r="E1407" s="2803" t="str">
        <f>Translations!$B$605</f>
        <v>Подадени количества:</v>
      </c>
      <c r="F1407" s="2672"/>
      <c r="G1407" s="627" t="str">
        <f>EUconst_Unit</f>
        <v>Единица мярка</v>
      </c>
      <c r="H1407" s="629">
        <f t="shared" ref="H1407:N1407" si="1888">H$2831</f>
        <v>2024</v>
      </c>
      <c r="I1407" s="1310">
        <f t="shared" si="1888"/>
        <v>2025</v>
      </c>
      <c r="J1407" s="1311">
        <f t="shared" si="1888"/>
        <v>2026</v>
      </c>
      <c r="K1407" s="629">
        <f t="shared" si="1888"/>
        <v>2027</v>
      </c>
      <c r="L1407" s="629">
        <f t="shared" si="1888"/>
        <v>2028</v>
      </c>
      <c r="M1407" s="629">
        <f t="shared" si="1888"/>
        <v>2029</v>
      </c>
      <c r="N1407" s="1312">
        <f t="shared" si="1888"/>
        <v>2030</v>
      </c>
      <c r="O1407" s="302"/>
      <c r="P1407" s="302"/>
      <c r="Q1407" s="729"/>
      <c r="R1407" s="694"/>
      <c r="S1407" s="729"/>
      <c r="T1407" s="694"/>
      <c r="U1407" s="694"/>
      <c r="V1407" s="729"/>
      <c r="W1407" s="694"/>
      <c r="X1407" s="694"/>
      <c r="Y1407" s="694"/>
      <c r="Z1407" s="694"/>
      <c r="AA1407" s="694"/>
      <c r="AB1407" s="694"/>
      <c r="AC1407" s="1178">
        <f t="shared" ref="AC1407" si="1889">H$20</f>
        <v>2024</v>
      </c>
      <c r="AD1407" s="1178">
        <f t="shared" ref="AD1407" si="1890">I$20</f>
        <v>2025</v>
      </c>
      <c r="AE1407" s="1178">
        <f t="shared" ref="AE1407" si="1891">J$20</f>
        <v>2026</v>
      </c>
      <c r="AF1407" s="1178">
        <f t="shared" ref="AF1407" si="1892">K$20</f>
        <v>2027</v>
      </c>
      <c r="AG1407" s="1178">
        <f t="shared" ref="AG1407" si="1893">L$20</f>
        <v>2028</v>
      </c>
      <c r="AH1407" s="1178">
        <f t="shared" ref="AH1407" si="1894">M$20</f>
        <v>2029</v>
      </c>
      <c r="AI1407" s="1178">
        <f t="shared" ref="AI1407" si="1895">N$20</f>
        <v>2030</v>
      </c>
      <c r="AJ1407" s="694"/>
      <c r="AK1407" s="694"/>
      <c r="AL1407" s="694"/>
    </row>
    <row r="1408" spans="1:38" ht="12.75" customHeight="1" x14ac:dyDescent="0.25">
      <c r="A1408" s="694"/>
      <c r="B1408" s="298"/>
      <c r="C1408" s="1302"/>
      <c r="D1408" s="625" t="s">
        <v>18</v>
      </c>
      <c r="E1408" s="2799"/>
      <c r="F1408" s="2800"/>
      <c r="G1408" s="1116" t="str">
        <f>IF(E1408&lt;&gt;"",INDEX(EUconst_BMlistUnits,MATCH(E1408,EUconst_BMlistNames,0)),EUconst_Tons)</f>
        <v>тона</v>
      </c>
      <c r="H1408" s="150"/>
      <c r="I1408" s="151"/>
      <c r="J1408" s="152"/>
      <c r="K1408" s="150"/>
      <c r="L1408" s="150"/>
      <c r="M1408" s="150"/>
      <c r="N1408" s="153"/>
      <c r="O1408" s="302"/>
      <c r="P1408" s="158"/>
      <c r="Q1408" s="1190" t="str">
        <f>EUconst_CNTR_IntermediateExport &amp; S1404 &amp; "_" &amp; I1137</f>
        <v>IntExp_1_</v>
      </c>
      <c r="R1408" s="694"/>
      <c r="S1408" s="1190">
        <v>1</v>
      </c>
      <c r="T1408" s="694"/>
      <c r="U1408" s="694"/>
      <c r="V1408" s="729"/>
      <c r="W1408" s="694"/>
      <c r="X1408" s="1374"/>
      <c r="Y1408" s="1374"/>
      <c r="Z1408" s="694"/>
      <c r="AA1408" s="694"/>
      <c r="AB1408" s="1182" t="s">
        <v>737</v>
      </c>
      <c r="AC1408" s="982" t="b">
        <f>AC1404</f>
        <v>0</v>
      </c>
      <c r="AD1408" s="982" t="b">
        <f t="shared" ref="AD1408:AI1408" si="1896">AD1404</f>
        <v>0</v>
      </c>
      <c r="AE1408" s="982" t="b">
        <f t="shared" si="1896"/>
        <v>0</v>
      </c>
      <c r="AF1408" s="982" t="b">
        <f t="shared" si="1896"/>
        <v>0</v>
      </c>
      <c r="AG1408" s="982" t="b">
        <f t="shared" si="1896"/>
        <v>0</v>
      </c>
      <c r="AH1408" s="982" t="b">
        <f t="shared" si="1896"/>
        <v>0</v>
      </c>
      <c r="AI1408" s="982" t="b">
        <f t="shared" si="1896"/>
        <v>0</v>
      </c>
      <c r="AJ1408" s="1174" t="s">
        <v>2039</v>
      </c>
      <c r="AK1408" s="1176" t="str">
        <f>IF(AND(CNTR_ExistSubInstEntries,MSconst_RequireSubAttrEmissions,COUNTIFS(AC1408:AI1408,FALSE,H1408:N1408,"")&gt;0),EUconst_Error&amp;"BM"&amp;$Q1137,"")</f>
        <v/>
      </c>
      <c r="AL1408" s="694"/>
    </row>
    <row r="1409" spans="1:38" ht="12.75" customHeight="1" x14ac:dyDescent="0.25">
      <c r="A1409" s="694"/>
      <c r="B1409" s="298"/>
      <c r="C1409" s="1302"/>
      <c r="D1409" s="625" t="s">
        <v>810</v>
      </c>
      <c r="E1409" s="2801"/>
      <c r="F1409" s="2802"/>
      <c r="G1409" s="1349" t="str">
        <f>IF(E1409&lt;&gt;"",INDEX(EUconst_BMlistUnits,MATCH(E1409,EUconst_BMlistNames,0)),EUconst_Tons)</f>
        <v>тона</v>
      </c>
      <c r="H1409" s="154"/>
      <c r="I1409" s="155"/>
      <c r="J1409" s="156"/>
      <c r="K1409" s="154"/>
      <c r="L1409" s="154"/>
      <c r="M1409" s="154"/>
      <c r="N1409" s="157"/>
      <c r="O1409" s="302"/>
      <c r="P1409" s="158"/>
      <c r="Q1409" s="1190" t="str">
        <f>EUconst_CNTR_IntermediateExport &amp; S1409 &amp; "_" &amp; I1137</f>
        <v>IntExp_2_</v>
      </c>
      <c r="R1409" s="694"/>
      <c r="S1409" s="1190">
        <v>2</v>
      </c>
      <c r="T1409" s="694"/>
      <c r="U1409" s="694"/>
      <c r="V1409" s="729"/>
      <c r="W1409" s="694"/>
      <c r="X1409" s="1374"/>
      <c r="Y1409" s="1374"/>
      <c r="Z1409" s="694"/>
      <c r="AA1409" s="694"/>
      <c r="AB1409" s="694"/>
      <c r="AC1409" s="982" t="b">
        <f t="shared" ref="AC1409:AI1409" si="1897">AC1405</f>
        <v>0</v>
      </c>
      <c r="AD1409" s="982" t="b">
        <f t="shared" si="1897"/>
        <v>0</v>
      </c>
      <c r="AE1409" s="982" t="b">
        <f t="shared" si="1897"/>
        <v>0</v>
      </c>
      <c r="AF1409" s="982" t="b">
        <f t="shared" si="1897"/>
        <v>0</v>
      </c>
      <c r="AG1409" s="982" t="b">
        <f t="shared" si="1897"/>
        <v>0</v>
      </c>
      <c r="AH1409" s="982" t="b">
        <f t="shared" si="1897"/>
        <v>0</v>
      </c>
      <c r="AI1409" s="982" t="b">
        <f t="shared" si="1897"/>
        <v>0</v>
      </c>
      <c r="AJ1409" s="694"/>
      <c r="AK1409" s="694"/>
      <c r="AL1409" s="694"/>
    </row>
    <row r="1410" spans="1:38" ht="5.15" customHeight="1" x14ac:dyDescent="0.25">
      <c r="A1410" s="694"/>
      <c r="B1410" s="298"/>
      <c r="C1410" s="1302"/>
      <c r="D1410" s="625"/>
      <c r="E1410" s="625"/>
      <c r="F1410" s="625"/>
      <c r="G1410" s="625"/>
      <c r="H1410" s="625"/>
      <c r="I1410" s="625"/>
      <c r="J1410" s="625"/>
      <c r="K1410" s="625"/>
      <c r="L1410" s="625"/>
      <c r="M1410" s="625"/>
      <c r="N1410" s="1348"/>
      <c r="O1410" s="302"/>
      <c r="P1410" s="302"/>
      <c r="Q1410" s="729"/>
      <c r="R1410" s="694"/>
      <c r="S1410" s="729"/>
      <c r="T1410" s="694"/>
      <c r="U1410" s="694"/>
      <c r="V1410" s="729"/>
      <c r="W1410" s="694"/>
      <c r="X1410" s="1374"/>
      <c r="Y1410" s="1374"/>
      <c r="Z1410" s="694"/>
      <c r="AA1410" s="694"/>
      <c r="AB1410" s="694"/>
      <c r="AC1410" s="694"/>
      <c r="AD1410" s="694"/>
      <c r="AE1410" s="694"/>
      <c r="AF1410" s="694"/>
      <c r="AG1410" s="694"/>
      <c r="AH1410" s="694"/>
      <c r="AI1410" s="694"/>
      <c r="AJ1410" s="694"/>
      <c r="AK1410" s="694"/>
      <c r="AL1410" s="694"/>
    </row>
    <row r="1411" spans="1:38" ht="12.75" customHeight="1" x14ac:dyDescent="0.25">
      <c r="A1411" s="694"/>
      <c r="B1411" s="298"/>
      <c r="C1411" s="1302"/>
      <c r="D1411" s="625" t="s">
        <v>811</v>
      </c>
      <c r="E1411" s="626" t="str">
        <f>Translations!$B$606</f>
        <v>Описание на получените или подадените междинни продукти</v>
      </c>
      <c r="F1411" s="626"/>
      <c r="G1411" s="626"/>
      <c r="H1411" s="626"/>
      <c r="I1411" s="626"/>
      <c r="J1411" s="626"/>
      <c r="K1411" s="626"/>
      <c r="L1411" s="626"/>
      <c r="M1411" s="626"/>
      <c r="N1411" s="1348"/>
      <c r="O1411" s="302"/>
      <c r="P1411" s="302"/>
      <c r="Q1411" s="729"/>
      <c r="R1411" s="694"/>
      <c r="S1411" s="729"/>
      <c r="T1411" s="694"/>
      <c r="U1411" s="694"/>
      <c r="V1411" s="729"/>
      <c r="W1411" s="694"/>
      <c r="X1411" s="1374"/>
      <c r="Y1411" s="1374"/>
      <c r="Z1411" s="694"/>
      <c r="AA1411" s="694"/>
      <c r="AB1411" s="694"/>
      <c r="AC1411" s="694"/>
      <c r="AD1411" s="694"/>
      <c r="AE1411" s="694"/>
      <c r="AF1411" s="694"/>
      <c r="AG1411" s="694"/>
      <c r="AH1411" s="694"/>
      <c r="AI1411" s="694"/>
      <c r="AJ1411" s="694"/>
      <c r="AK1411" s="694"/>
      <c r="AL1411" s="694"/>
    </row>
    <row r="1412" spans="1:38" ht="12.75" customHeight="1" x14ac:dyDescent="0.25">
      <c r="A1412" s="694"/>
      <c r="B1412" s="298"/>
      <c r="C1412" s="1302"/>
      <c r="D1412" s="625"/>
      <c r="E1412" s="1375" t="str">
        <f>Translations!$B$607</f>
        <v>Моля, опишете накратко производствения процес във връзка с получени или подадени междинни продукти.</v>
      </c>
      <c r="F1412" s="1322"/>
      <c r="G1412" s="1322"/>
      <c r="H1412" s="1322"/>
      <c r="I1412" s="1322"/>
      <c r="J1412" s="1322"/>
      <c r="K1412" s="1322"/>
      <c r="L1412" s="1322"/>
      <c r="M1412" s="1322"/>
      <c r="N1412" s="1323"/>
      <c r="O1412" s="302"/>
      <c r="P1412" s="302"/>
      <c r="Q1412" s="729"/>
      <c r="R1412" s="694"/>
      <c r="S1412" s="729"/>
      <c r="T1412" s="694"/>
      <c r="U1412" s="694"/>
      <c r="V1412" s="729"/>
      <c r="W1412" s="694"/>
      <c r="X1412" s="1374"/>
      <c r="Y1412" s="1374"/>
      <c r="Z1412" s="694"/>
      <c r="AA1412" s="694"/>
      <c r="AB1412" s="694"/>
      <c r="AC1412" s="694"/>
      <c r="AD1412" s="694"/>
      <c r="AE1412" s="694"/>
      <c r="AF1412" s="694"/>
      <c r="AG1412" s="694"/>
      <c r="AH1412" s="694"/>
      <c r="AI1412" s="694"/>
      <c r="AJ1412" s="694"/>
      <c r="AK1412" s="694"/>
      <c r="AL1412" s="694"/>
    </row>
    <row r="1413" spans="1:38" ht="12.75" customHeight="1" x14ac:dyDescent="0.25">
      <c r="A1413" s="694"/>
      <c r="B1413" s="298"/>
      <c r="C1413" s="1302"/>
      <c r="D1413" s="625"/>
      <c r="E1413" s="2804"/>
      <c r="F1413" s="2805"/>
      <c r="G1413" s="2805"/>
      <c r="H1413" s="2805"/>
      <c r="I1413" s="2805"/>
      <c r="J1413" s="2805"/>
      <c r="K1413" s="2805"/>
      <c r="L1413" s="2805"/>
      <c r="M1413" s="2806"/>
      <c r="N1413" s="1348"/>
      <c r="O1413" s="302"/>
      <c r="P1413" s="158"/>
      <c r="Q1413" s="729"/>
      <c r="R1413" s="694"/>
      <c r="S1413" s="729"/>
      <c r="T1413" s="694"/>
      <c r="U1413" s="694"/>
      <c r="V1413" s="729"/>
      <c r="W1413" s="694"/>
      <c r="X1413" s="1374"/>
      <c r="Y1413" s="1374"/>
      <c r="Z1413" s="694"/>
      <c r="AA1413" s="694"/>
      <c r="AB1413" s="1182" t="s">
        <v>737</v>
      </c>
      <c r="AC1413" s="982" t="b">
        <f>AND(AC1408:AI1408)</f>
        <v>0</v>
      </c>
      <c r="AD1413" s="694"/>
      <c r="AE1413" s="694"/>
      <c r="AF1413" s="694"/>
      <c r="AG1413" s="694"/>
      <c r="AH1413" s="694"/>
      <c r="AI1413" s="694"/>
      <c r="AJ1413" s="694"/>
      <c r="AK1413" s="694"/>
      <c r="AL1413" s="694"/>
    </row>
    <row r="1414" spans="1:38" ht="12.75" customHeight="1" x14ac:dyDescent="0.25">
      <c r="A1414" s="694"/>
      <c r="B1414" s="298"/>
      <c r="C1414" s="1302"/>
      <c r="D1414" s="625"/>
      <c r="E1414" s="2807"/>
      <c r="F1414" s="2808"/>
      <c r="G1414" s="2808"/>
      <c r="H1414" s="2808"/>
      <c r="I1414" s="2808"/>
      <c r="J1414" s="2808"/>
      <c r="K1414" s="2808"/>
      <c r="L1414" s="2808"/>
      <c r="M1414" s="2809"/>
      <c r="N1414" s="1348"/>
      <c r="O1414" s="302"/>
      <c r="P1414" s="302"/>
      <c r="Q1414" s="729"/>
      <c r="R1414" s="694"/>
      <c r="S1414" s="729"/>
      <c r="T1414" s="694"/>
      <c r="U1414" s="694"/>
      <c r="V1414" s="729"/>
      <c r="W1414" s="694"/>
      <c r="X1414" s="1374"/>
      <c r="Y1414" s="1374"/>
      <c r="Z1414" s="694"/>
      <c r="AA1414" s="694"/>
      <c r="AB1414" s="694"/>
      <c r="AC1414" s="982" t="b">
        <f>AC1413</f>
        <v>0</v>
      </c>
      <c r="AD1414" s="694"/>
      <c r="AE1414" s="694"/>
      <c r="AF1414" s="694"/>
      <c r="AG1414" s="694"/>
      <c r="AH1414" s="694"/>
      <c r="AI1414" s="694"/>
      <c r="AJ1414" s="694"/>
      <c r="AK1414" s="694"/>
      <c r="AL1414" s="694"/>
    </row>
    <row r="1415" spans="1:38" ht="12.75" customHeight="1" thickBot="1" x14ac:dyDescent="0.3">
      <c r="A1415" s="694"/>
      <c r="B1415" s="298"/>
      <c r="C1415" s="1376"/>
      <c r="D1415" s="1377"/>
      <c r="E1415" s="1377"/>
      <c r="F1415" s="1377"/>
      <c r="G1415" s="1377"/>
      <c r="H1415" s="1377"/>
      <c r="I1415" s="1377"/>
      <c r="J1415" s="1377"/>
      <c r="K1415" s="1377"/>
      <c r="L1415" s="1377"/>
      <c r="M1415" s="1378"/>
      <c r="N1415" s="1379"/>
      <c r="O1415" s="302"/>
      <c r="P1415" s="302"/>
      <c r="Q1415" s="729"/>
      <c r="R1415" s="694"/>
      <c r="S1415" s="729"/>
      <c r="T1415" s="694"/>
      <c r="U1415" s="694"/>
      <c r="V1415" s="729"/>
      <c r="W1415" s="694"/>
      <c r="X1415" s="694"/>
      <c r="Y1415" s="694"/>
      <c r="Z1415" s="694"/>
      <c r="AA1415" s="694"/>
      <c r="AB1415" s="694"/>
      <c r="AC1415" s="694"/>
      <c r="AD1415" s="694"/>
      <c r="AE1415" s="694"/>
      <c r="AF1415" s="694"/>
      <c r="AG1415" s="694"/>
      <c r="AH1415" s="694"/>
      <c r="AI1415" s="694"/>
      <c r="AJ1415" s="694"/>
      <c r="AK1415" s="694"/>
      <c r="AL1415" s="694"/>
    </row>
    <row r="1416" spans="1:38" ht="12.75" customHeight="1" thickBot="1" x14ac:dyDescent="0.3">
      <c r="A1416" s="729"/>
      <c r="B1416" s="284"/>
      <c r="C1416" s="284"/>
      <c r="D1416" s="284"/>
      <c r="E1416" s="284"/>
      <c r="F1416" s="284"/>
      <c r="G1416" s="284"/>
      <c r="H1416" s="284"/>
      <c r="I1416" s="284"/>
      <c r="J1416" s="284"/>
      <c r="K1416" s="284"/>
      <c r="L1416" s="284"/>
      <c r="M1416" s="336"/>
      <c r="N1416" s="336"/>
      <c r="O1416" s="336"/>
      <c r="P1416" s="336"/>
      <c r="Q1416" s="1026" t="str">
        <f>IF(OR(AND(CNTR_ExistProductSubEntries=FALSE,Q1137=1),AND(I1137&lt;&gt;"",COUNTIF(Q1417:Q$2825,"PRINT")=0)),"PRINT","")</f>
        <v/>
      </c>
      <c r="R1416" s="770"/>
      <c r="S1416" s="770"/>
      <c r="T1416" s="770"/>
      <c r="U1416" s="770"/>
      <c r="V1416" s="770"/>
      <c r="W1416" s="770"/>
      <c r="X1416" s="770"/>
      <c r="Y1416" s="770"/>
      <c r="Z1416" s="694"/>
      <c r="AA1416" s="694"/>
      <c r="AB1416" s="694"/>
      <c r="AC1416" s="694"/>
      <c r="AD1416" s="694"/>
      <c r="AE1416" s="343"/>
      <c r="AF1416" s="343"/>
      <c r="AG1416" s="343"/>
      <c r="AH1416" s="343"/>
      <c r="AI1416" s="343"/>
      <c r="AJ1416" s="343"/>
      <c r="AK1416" s="343"/>
      <c r="AL1416" s="343"/>
    </row>
    <row r="1417" spans="1:38" ht="5.15" customHeight="1" thickBot="1" x14ac:dyDescent="0.3">
      <c r="A1417" s="694"/>
      <c r="B1417" s="298"/>
      <c r="C1417" s="1380"/>
      <c r="D1417" s="1380"/>
      <c r="E1417" s="1380"/>
      <c r="F1417" s="1380"/>
      <c r="G1417" s="1380"/>
      <c r="H1417" s="1380"/>
      <c r="I1417" s="1380"/>
      <c r="J1417" s="1380"/>
      <c r="K1417" s="1380"/>
      <c r="L1417" s="1380"/>
      <c r="M1417" s="1380"/>
      <c r="N1417" s="1380"/>
      <c r="O1417" s="302"/>
      <c r="P1417" s="302"/>
      <c r="Q1417" s="1381"/>
      <c r="R1417" s="1381"/>
      <c r="S1417" s="1381"/>
      <c r="T1417" s="1381"/>
      <c r="U1417" s="1381"/>
      <c r="V1417" s="1381"/>
      <c r="W1417" s="1381"/>
      <c r="X1417" s="1381"/>
      <c r="Y1417" s="1381"/>
      <c r="Z1417" s="1381"/>
      <c r="AA1417" s="1381"/>
      <c r="AB1417" s="1381"/>
      <c r="AC1417" s="1381"/>
      <c r="AD1417" s="1381"/>
      <c r="AE1417" s="1381"/>
      <c r="AF1417" s="1381"/>
      <c r="AG1417" s="1381"/>
      <c r="AH1417" s="1381"/>
      <c r="AI1417" s="1381"/>
      <c r="AJ1417" s="1381"/>
      <c r="AK1417" s="1381"/>
      <c r="AL1417" s="1381"/>
    </row>
    <row r="1418" spans="1:38" ht="14.5" thickBot="1" x14ac:dyDescent="0.3">
      <c r="A1418" s="694"/>
      <c r="B1418" s="298"/>
      <c r="C1418" s="1173">
        <f>C1137+1</f>
        <v>6</v>
      </c>
      <c r="D1418" s="2323" t="str">
        <f>EUconst_BMSubinst &amp; ":"</f>
        <v>Подинсталация с продуктов показател:</v>
      </c>
      <c r="E1418" s="2249"/>
      <c r="F1418" s="2249"/>
      <c r="G1418" s="2249"/>
      <c r="H1418" s="2295"/>
      <c r="I1418" s="2843" t="str">
        <f>IF(INDEX(CNTR_SubInstListIsProdBM,$C1418),INDEX(CNTR_SubInstListNames,$C1418),"")</f>
        <v/>
      </c>
      <c r="J1418" s="2844"/>
      <c r="K1418" s="2844"/>
      <c r="L1418" s="2844"/>
      <c r="M1418" s="2844"/>
      <c r="N1418" s="2865"/>
      <c r="O1418" s="302"/>
      <c r="P1418" s="302"/>
      <c r="Q1418" s="1026">
        <f>C1418</f>
        <v>6</v>
      </c>
      <c r="R1418" s="694"/>
      <c r="S1418" s="1174" t="str">
        <f>Translations!$B$898</f>
        <v>Дата на въвеждане в експлоатация:</v>
      </c>
      <c r="T1418" s="1175" t="str">
        <f>IF(I1418="","",MAX(INDEX(CNTR_SubInstStartDate,MATCH($I1418,CNTR_SubInstListNames,0)),DATE(2005,1,1)))</f>
        <v/>
      </c>
      <c r="U1418" s="729" t="s">
        <v>1731</v>
      </c>
      <c r="V1418" s="1176">
        <f>IF(ISNUMBER(T1418),YEAR($T1418-IF(YEAR(T1418)&gt;=2022,0,1))+1,2005)</f>
        <v>2005</v>
      </c>
      <c r="W1418" s="1174" t="s">
        <v>1734</v>
      </c>
      <c r="X1418" s="1175" t="str">
        <f>IF(I1418="","",INDEX(CNTR_SubInstCessationDate,MATCH($I1418,CNTR_SubInstListNames,0)))</f>
        <v/>
      </c>
      <c r="Y1418" s="1174" t="s">
        <v>1735</v>
      </c>
      <c r="Z1418" s="1176">
        <f>IF(SUM(X1418)=0,2050,YEAR($X1418))</f>
        <v>2050</v>
      </c>
      <c r="AA1418" s="1174" t="s">
        <v>2009</v>
      </c>
      <c r="AB1418" s="1176" t="b">
        <f>CNTR_ReportingYear&gt;V1418</f>
        <v>1</v>
      </c>
      <c r="AC1418" s="694"/>
      <c r="AD1418" s="694"/>
      <c r="AE1418" s="694"/>
      <c r="AF1418" s="694"/>
      <c r="AG1418" s="694"/>
      <c r="AH1418" s="694"/>
      <c r="AI1418" s="694"/>
      <c r="AJ1418" s="694"/>
      <c r="AK1418" s="694"/>
      <c r="AL1418" s="1177" t="b">
        <f>AND(CNTR_ExistSubInstEntries,I1418="")</f>
        <v>0</v>
      </c>
    </row>
    <row r="1419" spans="1:38" x14ac:dyDescent="0.25">
      <c r="A1419" s="694"/>
      <c r="B1419" s="298"/>
      <c r="C1419" s="298"/>
      <c r="D1419" s="302"/>
      <c r="E1419" s="2358" t="str">
        <f>Translations!$B$330</f>
        <v>Наименованието на подинсталацията с продуктов показател се показва автоматично въз основа на данните, въведени в лист „A_InstallationData“ („А_Данни за инсталацията“).</v>
      </c>
      <c r="F1419" s="2249"/>
      <c r="G1419" s="2249"/>
      <c r="H1419" s="2249"/>
      <c r="I1419" s="2249"/>
      <c r="J1419" s="2249"/>
      <c r="K1419" s="2249"/>
      <c r="L1419" s="2249"/>
      <c r="M1419" s="2249"/>
      <c r="N1419" s="2249"/>
      <c r="O1419" s="302"/>
      <c r="P1419" s="302"/>
      <c r="Q1419" s="729"/>
      <c r="R1419" s="694"/>
      <c r="S1419" s="729"/>
      <c r="T1419" s="729"/>
      <c r="U1419" s="694"/>
      <c r="V1419" s="694"/>
      <c r="W1419" s="694"/>
      <c r="X1419" s="694"/>
      <c r="Y1419" s="694"/>
      <c r="Z1419" s="694"/>
      <c r="AA1419" s="694"/>
      <c r="AB1419" s="694"/>
      <c r="AC1419" s="694"/>
      <c r="AD1419" s="694"/>
      <c r="AE1419" s="694"/>
      <c r="AF1419" s="694"/>
      <c r="AG1419" s="694"/>
      <c r="AH1419" s="694"/>
      <c r="AI1419" s="694"/>
      <c r="AJ1419" s="694"/>
      <c r="AK1419" s="694"/>
      <c r="AL1419" s="694"/>
    </row>
    <row r="1420" spans="1:38" ht="5.15" customHeight="1" x14ac:dyDescent="0.25">
      <c r="A1420" s="694"/>
      <c r="B1420" s="298"/>
      <c r="C1420" s="298"/>
      <c r="D1420" s="298"/>
      <c r="E1420" s="298"/>
      <c r="F1420" s="298"/>
      <c r="G1420" s="298"/>
      <c r="H1420" s="298"/>
      <c r="I1420" s="298"/>
      <c r="J1420" s="298"/>
      <c r="K1420" s="298"/>
      <c r="L1420" s="298"/>
      <c r="M1420" s="302"/>
      <c r="N1420" s="302"/>
      <c r="O1420" s="302"/>
      <c r="P1420" s="302"/>
      <c r="Q1420" s="729"/>
      <c r="R1420" s="694"/>
      <c r="S1420" s="729"/>
      <c r="T1420" s="729"/>
      <c r="U1420" s="694"/>
      <c r="V1420" s="694"/>
      <c r="W1420" s="694"/>
      <c r="X1420" s="694"/>
      <c r="Y1420" s="694"/>
      <c r="Z1420" s="694"/>
      <c r="AA1420" s="694"/>
      <c r="AB1420" s="694"/>
      <c r="AC1420" s="694"/>
      <c r="AD1420" s="694"/>
      <c r="AE1420" s="694"/>
      <c r="AF1420" s="694"/>
      <c r="AG1420" s="694"/>
      <c r="AH1420" s="694"/>
      <c r="AI1420" s="694"/>
      <c r="AJ1420" s="694"/>
      <c r="AK1420" s="694"/>
      <c r="AL1420" s="694"/>
    </row>
    <row r="1421" spans="1:38" ht="13" x14ac:dyDescent="0.25">
      <c r="A1421" s="694"/>
      <c r="B1421" s="298"/>
      <c r="C1421" s="298"/>
      <c r="D1421" s="300" t="s">
        <v>408</v>
      </c>
      <c r="E1421" s="2226" t="str">
        <f>Translations!$B$1315</f>
        <v>Равнища на дейност</v>
      </c>
      <c r="F1421" s="2249"/>
      <c r="G1421" s="2249"/>
      <c r="H1421" s="2249"/>
      <c r="I1421" s="2249"/>
      <c r="J1421" s="2249"/>
      <c r="K1421" s="2249"/>
      <c r="L1421" s="2249"/>
      <c r="M1421" s="2249"/>
      <c r="N1421" s="2249"/>
      <c r="O1421" s="302"/>
      <c r="P1421" s="302"/>
      <c r="Q1421" s="729"/>
      <c r="R1421" s="694"/>
      <c r="S1421" s="694"/>
      <c r="T1421" s="694"/>
      <c r="U1421" s="694"/>
      <c r="V1421" s="694"/>
      <c r="W1421" s="694"/>
      <c r="X1421" s="694"/>
      <c r="Y1421" s="694"/>
      <c r="Z1421" s="694"/>
      <c r="AA1421" s="694"/>
      <c r="AB1421" s="694"/>
      <c r="AC1421" s="694"/>
      <c r="AD1421" s="694"/>
      <c r="AE1421" s="694"/>
      <c r="AF1421" s="694"/>
      <c r="AG1421" s="694"/>
      <c r="AH1421" s="694"/>
      <c r="AI1421" s="694"/>
      <c r="AJ1421" s="694"/>
      <c r="AK1421" s="694"/>
      <c r="AL1421" s="694"/>
    </row>
    <row r="1422" spans="1:38" x14ac:dyDescent="0.25">
      <c r="A1422" s="694"/>
      <c r="B1422" s="298"/>
      <c r="C1422" s="298"/>
      <c r="D1422" s="302"/>
      <c r="E1422" s="2358" t="str">
        <f>Translations!$B$474</f>
        <v>По тази точка следва да се отчетат „основните равнища на дейност“, т.е. данните, които се прилагат пряко за изчисляване на разпределението.</v>
      </c>
      <c r="F1422" s="2249"/>
      <c r="G1422" s="2249"/>
      <c r="H1422" s="2249"/>
      <c r="I1422" s="2249"/>
      <c r="J1422" s="2249"/>
      <c r="K1422" s="2249"/>
      <c r="L1422" s="2249"/>
      <c r="M1422" s="2249"/>
      <c r="N1422" s="2249"/>
      <c r="O1422" s="302"/>
      <c r="P1422" s="302"/>
      <c r="Q1422" s="729"/>
      <c r="R1422" s="694"/>
      <c r="S1422" s="729"/>
      <c r="T1422" s="729"/>
      <c r="U1422" s="729"/>
      <c r="V1422" s="694"/>
      <c r="W1422" s="694"/>
      <c r="X1422" s="694"/>
      <c r="Y1422" s="694"/>
      <c r="Z1422" s="694"/>
      <c r="AA1422" s="694"/>
      <c r="AB1422" s="694"/>
      <c r="AC1422" s="694"/>
      <c r="AD1422" s="694"/>
      <c r="AE1422" s="694"/>
      <c r="AF1422" s="694"/>
      <c r="AG1422" s="694"/>
      <c r="AH1422" s="694"/>
      <c r="AI1422" s="694"/>
      <c r="AJ1422" s="694"/>
      <c r="AK1422" s="694"/>
      <c r="AL1422" s="694"/>
    </row>
    <row r="1423" spans="1:38" x14ac:dyDescent="0.25">
      <c r="A1423" s="694"/>
      <c r="B1423" s="298"/>
      <c r="C1423" s="298"/>
      <c r="D1423" s="302"/>
      <c r="E1423" s="2358" t="str">
        <f>Translations!$B$475</f>
        <v xml:space="preserve">Това обикновено са производствените данни за продукта, напр. тонове клинкер за сив цимент или тонове стъклени бутилки, както е определено в приложение I към ПБР. </v>
      </c>
      <c r="F1423" s="2249"/>
      <c r="G1423" s="2249"/>
      <c r="H1423" s="2249"/>
      <c r="I1423" s="2249"/>
      <c r="J1423" s="2249"/>
      <c r="K1423" s="2249"/>
      <c r="L1423" s="2249"/>
      <c r="M1423" s="2249"/>
      <c r="N1423" s="2249"/>
      <c r="O1423" s="302"/>
      <c r="P1423" s="302"/>
      <c r="Q1423" s="729"/>
      <c r="R1423" s="694"/>
      <c r="S1423" s="729"/>
      <c r="T1423" s="729"/>
      <c r="U1423" s="729"/>
      <c r="V1423" s="694"/>
      <c r="W1423" s="694"/>
      <c r="X1423" s="694"/>
      <c r="Y1423" s="694"/>
      <c r="Z1423" s="694"/>
      <c r="AA1423" s="694"/>
      <c r="AB1423" s="694"/>
      <c r="AC1423" s="694"/>
      <c r="AD1423" s="694"/>
      <c r="AE1423" s="694"/>
      <c r="AF1423" s="694"/>
      <c r="AG1423" s="694"/>
      <c r="AH1423" s="694"/>
      <c r="AI1423" s="694"/>
      <c r="AJ1423" s="694"/>
      <c r="AK1423" s="694"/>
      <c r="AL1423" s="694"/>
    </row>
    <row r="1424" spans="1:38" x14ac:dyDescent="0.25">
      <c r="A1424" s="694"/>
      <c r="B1424" s="298"/>
      <c r="C1424" s="298"/>
      <c r="D1424" s="302"/>
      <c r="E1424" s="2358" t="str">
        <f>Translations!$B$476</f>
        <v>Въпреки това, ако се покаже съобщение съгласно буква b), трябва да се използва съответният инструмент за изчисляване, а резултатите от него автоматично се копират в тази таблица в ii).</v>
      </c>
      <c r="F1424" s="2249"/>
      <c r="G1424" s="2249"/>
      <c r="H1424" s="2249"/>
      <c r="I1424" s="2249"/>
      <c r="J1424" s="2249"/>
      <c r="K1424" s="2249"/>
      <c r="L1424" s="2249"/>
      <c r="M1424" s="2249"/>
      <c r="N1424" s="2249"/>
      <c r="O1424" s="302"/>
      <c r="P1424" s="302"/>
      <c r="Q1424" s="729"/>
      <c r="R1424" s="694"/>
      <c r="S1424" s="729"/>
      <c r="T1424" s="694"/>
      <c r="U1424" s="694"/>
      <c r="V1424" s="694"/>
      <c r="W1424" s="694"/>
      <c r="X1424" s="694"/>
      <c r="Y1424" s="694"/>
      <c r="Z1424" s="729"/>
      <c r="AA1424" s="694"/>
      <c r="AB1424" s="694"/>
      <c r="AC1424" s="694"/>
      <c r="AD1424" s="694"/>
      <c r="AE1424" s="694"/>
      <c r="AF1424" s="694"/>
      <c r="AG1424" s="694"/>
      <c r="AH1424" s="694"/>
      <c r="AI1424" s="694"/>
      <c r="AJ1424" s="694"/>
      <c r="AK1424" s="694"/>
      <c r="AL1424" s="694"/>
    </row>
    <row r="1425" spans="1:38" ht="13.5" customHeight="1" thickBot="1" x14ac:dyDescent="0.3">
      <c r="A1425" s="694"/>
      <c r="B1425" s="698"/>
      <c r="C1425" s="698"/>
      <c r="D1425" s="300"/>
      <c r="E1425" s="2671" t="str">
        <f>Translations!$B$477</f>
        <v>Годишни равнища на дейност:</v>
      </c>
      <c r="F1425" s="2671"/>
      <c r="G1425" s="527" t="str">
        <f>EUconst_Unit</f>
        <v>Единица мярка</v>
      </c>
      <c r="H1425" s="391">
        <f>H$2831</f>
        <v>2024</v>
      </c>
      <c r="I1425" s="572">
        <f t="shared" ref="I1425:N1425" si="1898">I$2831</f>
        <v>2025</v>
      </c>
      <c r="J1425" s="757">
        <f>J$2831</f>
        <v>2026</v>
      </c>
      <c r="K1425" s="391">
        <f t="shared" si="1898"/>
        <v>2027</v>
      </c>
      <c r="L1425" s="391">
        <f t="shared" si="1898"/>
        <v>2028</v>
      </c>
      <c r="M1425" s="391">
        <f t="shared" si="1898"/>
        <v>2029</v>
      </c>
      <c r="N1425" s="387">
        <f t="shared" si="1898"/>
        <v>2030</v>
      </c>
      <c r="O1425" s="302"/>
      <c r="P1425" s="302"/>
      <c r="Q1425" s="729"/>
      <c r="R1425" s="694"/>
      <c r="S1425" s="694"/>
      <c r="T1425" s="1178">
        <f t="shared" ref="T1425" si="1899">H1425</f>
        <v>2024</v>
      </c>
      <c r="U1425" s="1178">
        <f t="shared" ref="U1425" si="1900">I1425</f>
        <v>2025</v>
      </c>
      <c r="V1425" s="1178">
        <f t="shared" ref="V1425" si="1901">J1425</f>
        <v>2026</v>
      </c>
      <c r="W1425" s="1178">
        <f t="shared" ref="W1425" si="1902">K1425</f>
        <v>2027</v>
      </c>
      <c r="X1425" s="1178">
        <f t="shared" ref="X1425" si="1903">L1425</f>
        <v>2028</v>
      </c>
      <c r="Y1425" s="1178">
        <f t="shared" ref="Y1425" si="1904">M1425</f>
        <v>2029</v>
      </c>
      <c r="Z1425" s="1178">
        <f t="shared" ref="Z1425" si="1905">N1425</f>
        <v>2030</v>
      </c>
      <c r="AA1425" s="694"/>
      <c r="AB1425" s="694"/>
      <c r="AC1425" s="1178">
        <f>H$20</f>
        <v>2024</v>
      </c>
      <c r="AD1425" s="1178">
        <f t="shared" ref="AD1425" si="1906">I$20</f>
        <v>2025</v>
      </c>
      <c r="AE1425" s="1178">
        <f t="shared" ref="AE1425" si="1907">J$20</f>
        <v>2026</v>
      </c>
      <c r="AF1425" s="1178">
        <f t="shared" ref="AF1425" si="1908">K$20</f>
        <v>2027</v>
      </c>
      <c r="AG1425" s="1178">
        <f t="shared" ref="AG1425" si="1909">L$20</f>
        <v>2028</v>
      </c>
      <c r="AH1425" s="1178">
        <f t="shared" ref="AH1425" si="1910">M$20</f>
        <v>2029</v>
      </c>
      <c r="AI1425" s="1178">
        <f t="shared" ref="AI1425" si="1911">N$20</f>
        <v>2030</v>
      </c>
      <c r="AJ1425" s="694"/>
      <c r="AK1425" s="694"/>
      <c r="AL1425" s="729"/>
    </row>
    <row r="1426" spans="1:38" ht="13" thickBot="1" x14ac:dyDescent="0.3">
      <c r="A1426" s="694"/>
      <c r="B1426" s="698"/>
      <c r="C1426" s="698"/>
      <c r="D1426" s="1084" t="s">
        <v>6</v>
      </c>
      <c r="E1426" s="2862" t="str">
        <f>I1418</f>
        <v/>
      </c>
      <c r="F1426" s="2862"/>
      <c r="G1426" s="1032" t="str">
        <f>IF(INDEX(CNTR_SubInstListIsProdBM,$C1418),INDEX(CNTR_SubInstListHALUnit,$C1418),EUconst_Tons)</f>
        <v>тона</v>
      </c>
      <c r="H1426" s="98"/>
      <c r="I1426" s="101"/>
      <c r="J1426" s="102"/>
      <c r="K1426" s="98"/>
      <c r="L1426" s="98"/>
      <c r="M1426" s="98"/>
      <c r="N1426" s="120"/>
      <c r="O1426" s="302"/>
      <c r="P1426" s="158"/>
      <c r="Q1426" s="694"/>
      <c r="R1426" s="694"/>
      <c r="S1426" s="729" t="s">
        <v>1732</v>
      </c>
      <c r="T1426" s="1179" t="b">
        <f t="shared" ref="T1426" si="1912">AND($I1418&lt;&gt;"",H1425&lt;CNTR_ReportingYear,H1425&gt;=$V1418-1)</f>
        <v>0</v>
      </c>
      <c r="U1426" s="1180" t="b">
        <f t="shared" ref="U1426" si="1913">AND($I1418&lt;&gt;"",I1425&lt;CNTR_ReportingYear,I1425&gt;=$V1418-1)</f>
        <v>0</v>
      </c>
      <c r="V1426" s="1180" t="b">
        <f t="shared" ref="V1426" si="1914">AND($I1418&lt;&gt;"",J1425&lt;CNTR_ReportingYear,J1425&gt;=$V1418-1)</f>
        <v>0</v>
      </c>
      <c r="W1426" s="1180" t="b">
        <f t="shared" ref="W1426" si="1915">AND($I1418&lt;&gt;"",K1425&lt;CNTR_ReportingYear,K1425&gt;=$V1418-1)</f>
        <v>0</v>
      </c>
      <c r="X1426" s="1180" t="b">
        <f t="shared" ref="X1426" si="1916">AND($I1418&lt;&gt;"",L1425&lt;CNTR_ReportingYear,L1425&gt;=$V1418-1)</f>
        <v>0</v>
      </c>
      <c r="Y1426" s="1180" t="b">
        <f t="shared" ref="Y1426" si="1917">AND($I1418&lt;&gt;"",M1425&lt;CNTR_ReportingYear,M1425&gt;=$V1418-1)</f>
        <v>0</v>
      </c>
      <c r="Z1426" s="1181" t="b">
        <f t="shared" ref="Z1426" si="1918">AND($I1418&lt;&gt;"",N1425&lt;CNTR_ReportingYear,N1425&gt;=$V1418-1)</f>
        <v>0</v>
      </c>
      <c r="AA1426" s="729"/>
      <c r="AB1426" s="1182" t="s">
        <v>737</v>
      </c>
      <c r="AC1426" s="1183" t="b">
        <f t="shared" ref="AC1426" si="1919">IF(CNTR_ExistSubInstEntries,OR($I1418="",$R1430,H1425&gt;=CNTR_ReportingYear,AC1425&lt;$V1418-1),FALSE)</f>
        <v>0</v>
      </c>
      <c r="AD1426" s="1184" t="b">
        <f t="shared" ref="AD1426" si="1920">IF(CNTR_ExistSubInstEntries,OR($I1418="",$R1430,I1425&gt;=CNTR_ReportingYear,AD1425&lt;$V1418-1),FALSE)</f>
        <v>0</v>
      </c>
      <c r="AE1426" s="1184" t="b">
        <f t="shared" ref="AE1426" si="1921">IF(CNTR_ExistSubInstEntries,OR($I1418="",$R1430,J1425&gt;=CNTR_ReportingYear,AE1425&lt;$V1418-1),FALSE)</f>
        <v>0</v>
      </c>
      <c r="AF1426" s="1184" t="b">
        <f t="shared" ref="AF1426" si="1922">IF(CNTR_ExistSubInstEntries,OR($I1418="",$R1430,K1425&gt;=CNTR_ReportingYear,AF1425&lt;$V1418-1),FALSE)</f>
        <v>0</v>
      </c>
      <c r="AG1426" s="1184" t="b">
        <f t="shared" ref="AG1426" si="1923">IF(CNTR_ExistSubInstEntries,OR($I1418="",$R1430,L1425&gt;=CNTR_ReportingYear,AG1425&lt;$V1418-1),FALSE)</f>
        <v>0</v>
      </c>
      <c r="AH1426" s="1184" t="b">
        <f t="shared" ref="AH1426" si="1924">IF(CNTR_ExistSubInstEntries,OR($I1418="",$R1430,M1425&gt;=CNTR_ReportingYear,AH1425&lt;$V1418-1),FALSE)</f>
        <v>0</v>
      </c>
      <c r="AI1426" s="1185" t="b">
        <f t="shared" ref="AI1426" si="1925">IF(CNTR_ExistSubInstEntries,OR($I1418="",$R1430,N1425&gt;=CNTR_ReportingYear,AI1425&lt;$V1418-1),FALSE)</f>
        <v>0</v>
      </c>
      <c r="AJ1426" s="1174" t="s">
        <v>2039</v>
      </c>
      <c r="AK1426" s="1176" t="str">
        <f>IF(AND(CNTR_ExistSubInstEntries,COUNTIFS(AC1426:AI1426,FALSE,H1426:N1426,"")&gt;0),EUconst_Error&amp;"BM"&amp;$Q1418,"")</f>
        <v/>
      </c>
      <c r="AL1426" s="694"/>
    </row>
    <row r="1427" spans="1:38" ht="13" customHeight="1" thickBot="1" x14ac:dyDescent="0.3">
      <c r="A1427" s="694"/>
      <c r="B1427" s="698"/>
      <c r="C1427" s="698"/>
      <c r="D1427" s="1084" t="s">
        <v>7</v>
      </c>
      <c r="E1427" s="2862" t="str">
        <f>Translations!$B$478</f>
        <v>От работен лист „H_SpecialBM“ („H_Специфичен показател“):</v>
      </c>
      <c r="F1427" s="2862"/>
      <c r="G1427" s="1032" t="str">
        <f>G1426</f>
        <v>тона</v>
      </c>
      <c r="H1427" s="1186" t="str">
        <f>IF(OR($I1418="",H1425&gt;=CNTR_ReportingYear),"",IF($R1430,SUMIF(H_SpecialBM!$Q$9:$Q$483,$Q1427,H_SpecialBM!H$9:H$483),""))</f>
        <v/>
      </c>
      <c r="I1427" s="1187" t="str">
        <f>IF(OR($I1418="",I1425&gt;=CNTR_ReportingYear),"",IF($R1430,SUMIF(H_SpecialBM!$Q$9:$Q$483,$Q1427,H_SpecialBM!I$9:I$483),""))</f>
        <v/>
      </c>
      <c r="J1427" s="1188" t="str">
        <f>IF(OR($I1418="",J1425&gt;=CNTR_ReportingYear),"",IF($R1430,SUMIF(H_SpecialBM!$Q$9:$Q$483,$Q1427,H_SpecialBM!J$9:J$483),""))</f>
        <v/>
      </c>
      <c r="K1427" s="1186" t="str">
        <f>IF(OR($I1418="",K1425&gt;=CNTR_ReportingYear),"",IF($R1430,SUMIF(H_SpecialBM!$Q$9:$Q$483,$Q1427,H_SpecialBM!K$9:K$483),""))</f>
        <v/>
      </c>
      <c r="L1427" s="1186" t="str">
        <f>IF(OR($I1418="",L1425&gt;=CNTR_ReportingYear),"",IF($R1430,SUMIF(H_SpecialBM!$Q$9:$Q$483,$Q1427,H_SpecialBM!L$9:L$483),""))</f>
        <v/>
      </c>
      <c r="M1427" s="1186" t="str">
        <f>IF(OR($I1418="",M1425&gt;=CNTR_ReportingYear),"",IF($R1430,SUMIF(H_SpecialBM!$Q$9:$Q$483,$Q1427,H_SpecialBM!M$9:M$483),""))</f>
        <v/>
      </c>
      <c r="N1427" s="1189" t="str">
        <f>IF(OR($I1418="",N1425&gt;=CNTR_ReportingYear),"",IF($R1430,SUMIF(H_SpecialBM!$Q$9:$Q$483,$Q1427,H_SpecialBM!N$9:N$483),""))</f>
        <v/>
      </c>
      <c r="O1427" s="302"/>
      <c r="P1427" s="302"/>
      <c r="Q1427" s="1190" t="str">
        <f>EUconst_CNTR_HALspecial&amp;I1418</f>
        <v>HALspecial_</v>
      </c>
      <c r="R1427" s="694"/>
      <c r="S1427" s="694"/>
      <c r="T1427" s="694"/>
      <c r="U1427" s="694"/>
      <c r="V1427" s="694"/>
      <c r="W1427" s="694"/>
      <c r="X1427" s="694"/>
      <c r="Y1427" s="694"/>
      <c r="Z1427" s="694"/>
      <c r="AA1427" s="694"/>
      <c r="AB1427" s="1182" t="s">
        <v>737</v>
      </c>
      <c r="AC1427" s="1183" t="b">
        <f t="shared" ref="AC1427" si="1926">AND(CNTR_HasEntries_A_I,OR($R1430=FALSE,H1425&gt;=CNTR_ReportingYear))</f>
        <v>0</v>
      </c>
      <c r="AD1427" s="1184" t="b">
        <f t="shared" ref="AD1427" si="1927">AND(CNTR_HasEntries_A_I,OR($R1430=FALSE,I1425&gt;=CNTR_ReportingYear))</f>
        <v>0</v>
      </c>
      <c r="AE1427" s="1184" t="b">
        <f t="shared" ref="AE1427" si="1928">AND(CNTR_HasEntries_A_I,OR($R1430=FALSE,J1425&gt;=CNTR_ReportingYear))</f>
        <v>0</v>
      </c>
      <c r="AF1427" s="1184" t="b">
        <f t="shared" ref="AF1427" si="1929">AND(CNTR_HasEntries_A_I,OR($R1430=FALSE,K1425&gt;=CNTR_ReportingYear))</f>
        <v>0</v>
      </c>
      <c r="AG1427" s="1184" t="b">
        <f t="shared" ref="AG1427" si="1930">AND(CNTR_HasEntries_A_I,OR($R1430=FALSE,L1425&gt;=CNTR_ReportingYear))</f>
        <v>0</v>
      </c>
      <c r="AH1427" s="1184" t="b">
        <f t="shared" ref="AH1427" si="1931">AND(CNTR_HasEntries_A_I,OR($R1430=FALSE,M1425&gt;=CNTR_ReportingYear))</f>
        <v>0</v>
      </c>
      <c r="AI1427" s="1185" t="b">
        <f t="shared" ref="AI1427" si="1932">AND(CNTR_HasEntries_A_I,OR($R1430=FALSE,N1425&gt;=CNTR_ReportingYear))</f>
        <v>0</v>
      </c>
      <c r="AJ1427" s="1165"/>
      <c r="AK1427" s="1165"/>
      <c r="AL1427" s="729"/>
    </row>
    <row r="1428" spans="1:38" ht="13" customHeight="1" x14ac:dyDescent="0.25">
      <c r="A1428" s="694"/>
      <c r="B1428" s="698"/>
      <c r="C1428" s="698"/>
      <c r="D1428" s="1084" t="s">
        <v>8</v>
      </c>
      <c r="E1428" s="2862" t="str">
        <f>Translations!$B$479</f>
        <v>Стойности, използвани за изчислението:</v>
      </c>
      <c r="F1428" s="2862"/>
      <c r="G1428" s="1032" t="str">
        <f>G1427</f>
        <v>тона</v>
      </c>
      <c r="H1428" s="1186" t="str">
        <f t="shared" ref="H1428:N1428" si="1933">IF(OR($I1418="",H1425&gt;=CNTR_ReportingYear),"",IF($R1430=TRUE,IF(ISNUMBER(H1427),H1427,0),IF(AND(H1425&gt;=$V1418-1,ISNUMBER(H1426)),H1426,0)))</f>
        <v/>
      </c>
      <c r="I1428" s="1187" t="str">
        <f t="shared" si="1933"/>
        <v/>
      </c>
      <c r="J1428" s="1188" t="str">
        <f t="shared" si="1933"/>
        <v/>
      </c>
      <c r="K1428" s="1186" t="str">
        <f t="shared" si="1933"/>
        <v/>
      </c>
      <c r="L1428" s="1186" t="str">
        <f t="shared" si="1933"/>
        <v/>
      </c>
      <c r="M1428" s="1186" t="str">
        <f t="shared" si="1933"/>
        <v/>
      </c>
      <c r="N1428" s="1189" t="str">
        <f t="shared" si="1933"/>
        <v/>
      </c>
      <c r="O1428" s="302"/>
      <c r="P1428" s="710"/>
      <c r="Q1428" s="1190" t="str">
        <f>EUconst_CNTR_HAL&amp;I1418</f>
        <v>HAL_</v>
      </c>
      <c r="R1428" s="694"/>
      <c r="S1428" s="694"/>
      <c r="T1428" s="694"/>
      <c r="U1428" s="694"/>
      <c r="V1428" s="694"/>
      <c r="W1428" s="694"/>
      <c r="X1428" s="694"/>
      <c r="Y1428" s="694"/>
      <c r="Z1428" s="694"/>
      <c r="AA1428" s="694"/>
      <c r="AB1428" s="694"/>
      <c r="AC1428" s="694"/>
      <c r="AD1428" s="694"/>
      <c r="AE1428" s="694"/>
      <c r="AF1428" s="694"/>
      <c r="AG1428" s="694"/>
      <c r="AH1428" s="694"/>
      <c r="AI1428" s="694"/>
      <c r="AJ1428" s="1174" t="s">
        <v>2033</v>
      </c>
      <c r="AK1428" s="982" t="str">
        <f>IF(COUNTIFS(H1425:N1425,"&lt;"&amp;YEAR(SUM(T1418)),H1428:N1428,"&gt;"&amp;0)&gt;0,EUconst_Error&amp;"BM"&amp;Q1418,"")</f>
        <v/>
      </c>
      <c r="AL1428" s="729"/>
    </row>
    <row r="1429" spans="1:38" ht="5.15" customHeight="1" x14ac:dyDescent="0.25">
      <c r="A1429" s="694"/>
      <c r="B1429" s="298"/>
      <c r="C1429" s="298"/>
      <c r="D1429" s="298"/>
      <c r="E1429" s="298"/>
      <c r="F1429" s="298"/>
      <c r="G1429" s="298"/>
      <c r="H1429" s="298"/>
      <c r="I1429" s="298"/>
      <c r="J1429" s="298"/>
      <c r="K1429" s="298"/>
      <c r="L1429" s="298"/>
      <c r="M1429" s="302"/>
      <c r="N1429" s="302"/>
      <c r="O1429" s="302"/>
      <c r="P1429" s="302"/>
      <c r="Q1429" s="729"/>
      <c r="R1429" s="694"/>
      <c r="S1429" s="729"/>
      <c r="T1429" s="729"/>
      <c r="U1429" s="694"/>
      <c r="V1429" s="694"/>
      <c r="W1429" s="694"/>
      <c r="X1429" s="694"/>
      <c r="Y1429" s="694"/>
      <c r="Z1429" s="694"/>
      <c r="AA1429" s="694"/>
      <c r="AB1429" s="694"/>
      <c r="AC1429" s="694"/>
      <c r="AD1429" s="694"/>
      <c r="AE1429" s="694"/>
      <c r="AF1429" s="694"/>
      <c r="AG1429" s="694"/>
      <c r="AH1429" s="694"/>
      <c r="AI1429" s="694"/>
      <c r="AJ1429" s="694"/>
      <c r="AK1429" s="694"/>
      <c r="AL1429" s="694"/>
    </row>
    <row r="1430" spans="1:38" ht="13" x14ac:dyDescent="0.25">
      <c r="A1430" s="694"/>
      <c r="B1430" s="298"/>
      <c r="C1430" s="298"/>
      <c r="D1430" s="360" t="s">
        <v>18</v>
      </c>
      <c r="E1430" s="2226" t="str">
        <f>Translations!$B$480</f>
        <v>Специални изисквания за докладване:</v>
      </c>
      <c r="F1430" s="2226"/>
      <c r="G1430" s="2317"/>
      <c r="H1430" s="2858" t="str">
        <f>IF(I1418="","",HYPERLINK(INDEX(EUconst_BMlistSpecialJumpTable,MATCH(I1418,EUconst_BMlistNames,0)),INDEX(EUconst_BMlistSpecialReporting,MATCH(I1418,EUconst_BMlistNames,0))))</f>
        <v/>
      </c>
      <c r="I1430" s="2863"/>
      <c r="J1430" s="2863"/>
      <c r="K1430" s="2863"/>
      <c r="L1430" s="2863"/>
      <c r="M1430" s="2863"/>
      <c r="N1430" s="2864"/>
      <c r="O1430" s="302"/>
      <c r="P1430" s="302"/>
      <c r="Q1430" s="1174" t="s">
        <v>119</v>
      </c>
      <c r="R1430" s="982" t="str">
        <f>IF(I1418="","",IF(AND(INDEX(EUconst_BMlistSpecialJumpTable,MATCH(I1418,EUconst_BMlistNames,0))&lt;&gt;"",INDEX(EUconst_BMlistMainNumberOfBM,MATCH(I1418,EUconst_BMlistNames,0))&lt;&gt;47),TRUE,FALSE))</f>
        <v/>
      </c>
      <c r="S1430" s="729"/>
      <c r="T1430" s="729"/>
      <c r="U1430" s="694"/>
      <c r="V1430" s="694"/>
      <c r="W1430" s="694"/>
      <c r="X1430" s="694"/>
      <c r="Y1430" s="694"/>
      <c r="Z1430" s="694"/>
      <c r="AA1430" s="694"/>
      <c r="AB1430" s="694"/>
      <c r="AC1430" s="694"/>
      <c r="AD1430" s="694"/>
      <c r="AE1430" s="694"/>
      <c r="AF1430" s="694"/>
      <c r="AG1430" s="694"/>
      <c r="AH1430" s="694"/>
      <c r="AI1430" s="694"/>
      <c r="AJ1430" s="694"/>
      <c r="AK1430" s="694"/>
      <c r="AL1430" s="694"/>
    </row>
    <row r="1431" spans="1:38" x14ac:dyDescent="0.25">
      <c r="A1431" s="694"/>
      <c r="B1431" s="298"/>
      <c r="C1431" s="298"/>
      <c r="D1431" s="302"/>
      <c r="E1431" s="2358" t="str">
        <f>Translations!$B$481</f>
        <v>При някои продуктови показатели се изисква да се отчита специфична информация (напр. стойности на приведени по CO2 тонове (CWT)). Ако е приложимо, тук ще се покаже автоматично съобщение.</v>
      </c>
      <c r="F1431" s="2249"/>
      <c r="G1431" s="2249"/>
      <c r="H1431" s="2249"/>
      <c r="I1431" s="2249"/>
      <c r="J1431" s="2249"/>
      <c r="K1431" s="2249"/>
      <c r="L1431" s="2249"/>
      <c r="M1431" s="2249"/>
      <c r="N1431" s="2249"/>
      <c r="O1431" s="302"/>
      <c r="P1431" s="302"/>
      <c r="Q1431" s="729"/>
      <c r="R1431" s="694"/>
      <c r="S1431" s="729"/>
      <c r="T1431" s="729"/>
      <c r="U1431" s="694"/>
      <c r="V1431" s="694"/>
      <c r="W1431" s="694"/>
      <c r="X1431" s="694"/>
      <c r="Y1431" s="694"/>
      <c r="Z1431" s="694"/>
      <c r="AA1431" s="694"/>
      <c r="AB1431" s="694"/>
      <c r="AC1431" s="694"/>
      <c r="AD1431" s="694"/>
      <c r="AE1431" s="694"/>
      <c r="AF1431" s="694"/>
      <c r="AG1431" s="694"/>
      <c r="AH1431" s="694"/>
      <c r="AI1431" s="694"/>
      <c r="AJ1431" s="694"/>
      <c r="AK1431" s="694"/>
      <c r="AL1431" s="694"/>
    </row>
    <row r="1432" spans="1:38" ht="5.15" customHeight="1" x14ac:dyDescent="0.25">
      <c r="A1432" s="694"/>
      <c r="B1432" s="298"/>
      <c r="C1432" s="298"/>
      <c r="D1432" s="302"/>
      <c r="E1432" s="302"/>
      <c r="F1432" s="302"/>
      <c r="G1432" s="302"/>
      <c r="H1432" s="302"/>
      <c r="I1432" s="302"/>
      <c r="J1432" s="302"/>
      <c r="K1432" s="302"/>
      <c r="L1432" s="302"/>
      <c r="M1432" s="302"/>
      <c r="N1432" s="302"/>
      <c r="O1432" s="302"/>
      <c r="P1432" s="302"/>
      <c r="Q1432" s="729"/>
      <c r="R1432" s="694"/>
      <c r="S1432" s="729"/>
      <c r="T1432" s="729"/>
      <c r="U1432" s="694"/>
      <c r="V1432" s="694"/>
      <c r="W1432" s="694"/>
      <c r="X1432" s="694"/>
      <c r="Y1432" s="694"/>
      <c r="Z1432" s="729"/>
      <c r="AA1432" s="694"/>
      <c r="AB1432" s="694"/>
      <c r="AC1432" s="694"/>
      <c r="AD1432" s="694"/>
      <c r="AE1432" s="694"/>
      <c r="AF1432" s="694"/>
      <c r="AG1432" s="694"/>
      <c r="AH1432" s="694"/>
      <c r="AI1432" s="694"/>
      <c r="AJ1432" s="694"/>
      <c r="AK1432" s="694"/>
      <c r="AL1432" s="729"/>
    </row>
    <row r="1433" spans="1:38" ht="12.75" customHeight="1" x14ac:dyDescent="0.25">
      <c r="A1433" s="694"/>
      <c r="B1433" s="298"/>
      <c r="C1433" s="298"/>
      <c r="D1433" s="300" t="s">
        <v>901</v>
      </c>
      <c r="E1433" s="2226" t="str">
        <f>Translations!$B$1316</f>
        <v>Определяне на корекции на равнището на дейност</v>
      </c>
      <c r="F1433" s="2249"/>
      <c r="G1433" s="2249"/>
      <c r="H1433" s="2249"/>
      <c r="I1433" s="2249"/>
      <c r="J1433" s="2249"/>
      <c r="K1433" s="2249"/>
      <c r="L1433" s="2249"/>
      <c r="M1433" s="2249"/>
      <c r="N1433" s="2249"/>
      <c r="O1433" s="302"/>
      <c r="P1433" s="302"/>
      <c r="Q1433" s="729"/>
      <c r="R1433" s="694"/>
      <c r="S1433" s="729"/>
      <c r="T1433" s="729"/>
      <c r="U1433" s="694"/>
      <c r="V1433" s="694"/>
      <c r="W1433" s="694"/>
      <c r="X1433" s="694"/>
      <c r="Y1433" s="694"/>
      <c r="Z1433" s="729"/>
      <c r="AA1433" s="694"/>
      <c r="AB1433" s="694"/>
      <c r="AC1433" s="694"/>
      <c r="AD1433" s="694"/>
      <c r="AE1433" s="694"/>
      <c r="AF1433" s="694"/>
      <c r="AG1433" s="694"/>
      <c r="AH1433" s="694"/>
      <c r="AI1433" s="694"/>
      <c r="AJ1433" s="694"/>
      <c r="AK1433" s="694"/>
      <c r="AL1433" s="729"/>
    </row>
    <row r="1434" spans="1:38" ht="12.75" customHeight="1" x14ac:dyDescent="0.25">
      <c r="A1434" s="694"/>
      <c r="B1434" s="298"/>
      <c r="C1434" s="298"/>
      <c r="D1434" s="302"/>
      <c r="E1434" s="2358" t="str">
        <f>Translations!$B$1317</f>
        <v>Историческото равнище на дейността (HAL) ще бъде определено автоматично за данните по буква а) по-горе и данните в лист „B+C_SubInstallations“ („B+C_Подинсталации“). За нови подинсталации HAL ще бъде показано в v. на базата на първата пълна година на експлоатация.</v>
      </c>
      <c r="F1434" s="2249"/>
      <c r="G1434" s="2249"/>
      <c r="H1434" s="2249"/>
      <c r="I1434" s="2249"/>
      <c r="J1434" s="2249"/>
      <c r="K1434" s="2249"/>
      <c r="L1434" s="2249"/>
      <c r="M1434" s="2249"/>
      <c r="N1434" s="2249"/>
      <c r="O1434" s="302"/>
      <c r="P1434" s="302"/>
      <c r="Q1434" s="729"/>
      <c r="R1434" s="694"/>
      <c r="S1434" s="729"/>
      <c r="T1434" s="729"/>
      <c r="U1434" s="729"/>
      <c r="V1434" s="694"/>
      <c r="W1434" s="694"/>
      <c r="X1434" s="694"/>
      <c r="Y1434" s="694"/>
      <c r="Z1434" s="694"/>
      <c r="AA1434" s="694"/>
      <c r="AB1434" s="694"/>
      <c r="AC1434" s="694"/>
      <c r="AD1434" s="694"/>
      <c r="AE1434" s="694"/>
      <c r="AF1434" s="694"/>
      <c r="AG1434" s="694"/>
      <c r="AH1434" s="694"/>
      <c r="AI1434" s="694"/>
      <c r="AJ1434" s="694"/>
      <c r="AK1434" s="694"/>
      <c r="AL1434" s="694"/>
    </row>
    <row r="1435" spans="1:38" ht="25.5" customHeight="1" x14ac:dyDescent="0.25">
      <c r="A1435" s="694"/>
      <c r="B1435" s="298"/>
      <c r="C1435" s="298"/>
      <c r="D1435" s="302"/>
      <c r="E1435" s="2358" t="str">
        <f>Translations!$B$1318</f>
        <v>На базата на стойностите на HAL и данните, въведени в буква а) по-горе, тук се определят средните равнища на дейност. Разпределението ще бъде променено само ако са надвишени всички долуизброени прагове по член 5 от Регламента за ALC:</v>
      </c>
      <c r="F1435" s="2249"/>
      <c r="G1435" s="2249"/>
      <c r="H1435" s="2249"/>
      <c r="I1435" s="2249"/>
      <c r="J1435" s="2249"/>
      <c r="K1435" s="2249"/>
      <c r="L1435" s="2249"/>
      <c r="M1435" s="2249"/>
      <c r="N1435" s="2249"/>
      <c r="O1435" s="302"/>
      <c r="P1435" s="302"/>
      <c r="Q1435" s="729"/>
      <c r="R1435" s="694"/>
      <c r="S1435" s="729"/>
      <c r="T1435" s="729"/>
      <c r="U1435" s="729"/>
      <c r="V1435" s="694"/>
      <c r="W1435" s="694"/>
      <c r="X1435" s="694"/>
      <c r="Y1435" s="694"/>
      <c r="Z1435" s="694"/>
      <c r="AA1435" s="694"/>
      <c r="AB1435" s="694"/>
      <c r="AC1435" s="694"/>
      <c r="AD1435" s="694"/>
      <c r="AE1435" s="694"/>
      <c r="AF1435" s="694"/>
      <c r="AG1435" s="694"/>
      <c r="AH1435" s="694"/>
      <c r="AI1435" s="694"/>
      <c r="AJ1435" s="694"/>
      <c r="AK1435" s="694"/>
      <c r="AL1435" s="694"/>
    </row>
    <row r="1436" spans="1:38" ht="12.75" customHeight="1" x14ac:dyDescent="0.25">
      <c r="A1436" s="694"/>
      <c r="B1436" s="298"/>
      <c r="C1436" s="298"/>
      <c r="D1436" s="302"/>
      <c r="E1436" s="1191" t="s">
        <v>1052</v>
      </c>
      <c r="F1436" s="2358" t="str">
        <f>Translations!$B$1319</f>
        <v>относителните прагове (15 % и 5 % за последващи промени) за средното равнище на дейност в сравнение с HAL</v>
      </c>
      <c r="G1436" s="2861"/>
      <c r="H1436" s="2861"/>
      <c r="I1436" s="2861"/>
      <c r="J1436" s="2861"/>
      <c r="K1436" s="2861"/>
      <c r="L1436" s="2861"/>
      <c r="M1436" s="2861"/>
      <c r="N1436" s="2861"/>
      <c r="O1436" s="302"/>
      <c r="P1436" s="302"/>
      <c r="Q1436" s="729"/>
      <c r="R1436" s="694"/>
      <c r="S1436" s="729"/>
      <c r="T1436" s="729"/>
      <c r="U1436" s="729"/>
      <c r="V1436" s="694"/>
      <c r="W1436" s="694"/>
      <c r="X1436" s="694"/>
      <c r="Y1436" s="694"/>
      <c r="Z1436" s="694"/>
      <c r="AA1436" s="694"/>
      <c r="AB1436" s="694"/>
      <c r="AC1436" s="694"/>
      <c r="AD1436" s="694"/>
      <c r="AE1436" s="694"/>
      <c r="AF1436" s="694"/>
      <c r="AG1436" s="694"/>
      <c r="AH1436" s="694"/>
      <c r="AI1436" s="694"/>
      <c r="AJ1436" s="694"/>
      <c r="AK1436" s="694"/>
      <c r="AL1436" s="694"/>
    </row>
    <row r="1437" spans="1:38" ht="12.75" customHeight="1" thickBot="1" x14ac:dyDescent="0.3">
      <c r="A1437" s="694"/>
      <c r="B1437" s="298"/>
      <c r="C1437" s="298"/>
      <c r="D1437" s="302"/>
      <c r="E1437" s="1191" t="s">
        <v>1052</v>
      </c>
      <c r="F1437" s="2358" t="str">
        <f>Translations!$B$1514</f>
        <v>абсолютния праг, т.е. промяната би довела до разлика в предварителното разпределение от най-малко 300 квоти</v>
      </c>
      <c r="G1437" s="2861"/>
      <c r="H1437" s="2861"/>
      <c r="I1437" s="2861"/>
      <c r="J1437" s="2861"/>
      <c r="K1437" s="2861"/>
      <c r="L1437" s="2861"/>
      <c r="M1437" s="2861"/>
      <c r="N1437" s="2861"/>
      <c r="O1437" s="302"/>
      <c r="P1437" s="302"/>
      <c r="Q1437" s="729"/>
      <c r="R1437" s="694"/>
      <c r="S1437" s="729"/>
      <c r="T1437" s="729"/>
      <c r="U1437" s="729"/>
      <c r="V1437" s="694"/>
      <c r="W1437" s="694"/>
      <c r="X1437" s="694"/>
      <c r="Y1437" s="694"/>
      <c r="Z1437" s="694"/>
      <c r="AA1437" s="694"/>
      <c r="AB1437" s="694"/>
      <c r="AC1437" s="694"/>
      <c r="AD1437" s="694"/>
      <c r="AE1437" s="694"/>
      <c r="AF1437" s="694"/>
      <c r="AG1437" s="694"/>
      <c r="AH1437" s="694"/>
      <c r="AI1437" s="694"/>
      <c r="AJ1437" s="694"/>
      <c r="AK1437" s="694"/>
      <c r="AL1437" s="694"/>
    </row>
    <row r="1438" spans="1:38" ht="5.15" customHeight="1" thickBot="1" x14ac:dyDescent="0.3">
      <c r="A1438" s="694"/>
      <c r="B1438" s="298"/>
      <c r="C1438" s="298"/>
      <c r="D1438" s="1192"/>
      <c r="E1438" s="1193"/>
      <c r="F1438" s="1194"/>
      <c r="G1438" s="1195"/>
      <c r="H1438" s="1195"/>
      <c r="I1438" s="1195"/>
      <c r="J1438" s="1195"/>
      <c r="K1438" s="1195"/>
      <c r="L1438" s="1195"/>
      <c r="M1438" s="1195"/>
      <c r="N1438" s="1196"/>
      <c r="O1438" s="302"/>
      <c r="P1438" s="302"/>
      <c r="Q1438" s="729"/>
      <c r="R1438" s="694"/>
      <c r="S1438" s="729"/>
      <c r="T1438" s="729"/>
      <c r="U1438" s="729"/>
      <c r="V1438" s="694"/>
      <c r="W1438" s="694"/>
      <c r="X1438" s="694"/>
      <c r="Y1438" s="694"/>
      <c r="Z1438" s="694"/>
      <c r="AA1438" s="694"/>
      <c r="AB1438" s="694"/>
      <c r="AC1438" s="694"/>
      <c r="AD1438" s="694"/>
      <c r="AE1438" s="694"/>
      <c r="AF1438" s="694"/>
      <c r="AG1438" s="694"/>
      <c r="AH1438" s="694"/>
      <c r="AI1438" s="694"/>
      <c r="AJ1438" s="694"/>
      <c r="AK1438" s="694"/>
      <c r="AL1438" s="694"/>
    </row>
    <row r="1439" spans="1:38" ht="12.75" customHeight="1" x14ac:dyDescent="0.25">
      <c r="A1439" s="694"/>
      <c r="B1439" s="298"/>
      <c r="C1439" s="298"/>
      <c r="D1439" s="1197"/>
      <c r="E1439" s="1198" t="str">
        <f>Translations!$B$1196</f>
        <v>Корекции</v>
      </c>
      <c r="F1439" s="1199"/>
      <c r="G1439" s="1199"/>
      <c r="H1439" s="1200" t="str">
        <f>EUconst_Unit</f>
        <v>Единица мярка</v>
      </c>
      <c r="I1439" s="1201" t="str">
        <f>Translations!$B$1320</f>
        <v>(НМИ) HAL</v>
      </c>
      <c r="J1439" s="1202">
        <f>J$2831</f>
        <v>2026</v>
      </c>
      <c r="K1439" s="1203">
        <f>K$2831</f>
        <v>2027</v>
      </c>
      <c r="L1439" s="1203">
        <f>L$2831</f>
        <v>2028</v>
      </c>
      <c r="M1439" s="1203">
        <f>M$2831</f>
        <v>2029</v>
      </c>
      <c r="N1439" s="1204">
        <f>N$2831</f>
        <v>2030</v>
      </c>
      <c r="O1439" s="302"/>
      <c r="P1439" s="302"/>
      <c r="Q1439" s="729"/>
      <c r="R1439" s="694"/>
      <c r="S1439" s="694"/>
      <c r="T1439" s="694"/>
      <c r="U1439" s="1205"/>
      <c r="V1439" s="1206">
        <f>J1439</f>
        <v>2026</v>
      </c>
      <c r="W1439" s="1206">
        <f>K1439</f>
        <v>2027</v>
      </c>
      <c r="X1439" s="1206">
        <f>L1439</f>
        <v>2028</v>
      </c>
      <c r="Y1439" s="1206">
        <f>M1439</f>
        <v>2029</v>
      </c>
      <c r="Z1439" s="1207">
        <f>N1439</f>
        <v>2030</v>
      </c>
      <c r="AA1439" s="694"/>
      <c r="AB1439" s="694"/>
      <c r="AC1439" s="694"/>
      <c r="AD1439" s="694"/>
      <c r="AE1439" s="694"/>
      <c r="AF1439" s="694"/>
      <c r="AG1439" s="694"/>
      <c r="AH1439" s="694"/>
      <c r="AI1439" s="694"/>
      <c r="AJ1439" s="694"/>
      <c r="AK1439" s="694"/>
      <c r="AL1439" s="694"/>
    </row>
    <row r="1440" spans="1:38" ht="12.75" customHeight="1" x14ac:dyDescent="0.25">
      <c r="A1440" s="694"/>
      <c r="B1440" s="298"/>
      <c r="C1440" s="298"/>
      <c r="D1440" s="1208" t="s">
        <v>6</v>
      </c>
      <c r="E1440" s="1209" t="str">
        <f>Translations!$B$1321</f>
        <v>Средно годишно равнище на дейност (стойност в НМИ)</v>
      </c>
      <c r="F1440" s="1209"/>
      <c r="G1440" s="1209"/>
      <c r="H1440" s="1210" t="str">
        <f>IF(INDEX(CNTR_SubInstListIsProdBM,$C1418),INDEX(CNTR_SubInstListHALUnit,$C1418),EUconst_Tons)</f>
        <v>тона</v>
      </c>
      <c r="I1440" s="1211" t="str">
        <f>IF(V1418&gt;($J$2831-3),EUconst_NA,INDEX('B+C_SubInstallations'!$I:$I,MATCH(Q1440,'B+C_SubInstallations'!$T:$T,0)))</f>
        <v/>
      </c>
      <c r="J1440" s="1212" t="str">
        <f>IF(AND(V1440&gt;=3,CNTR_ReportingYear&gt;J1439-1),AVERAGE(H1428:I1428),"")</f>
        <v/>
      </c>
      <c r="K1440" s="1213" t="str">
        <f>IF(AND(W1440&gt;=3,CNTR_ReportingYear&gt;K1439-1),AVERAGE(I1428:J1428),"")</f>
        <v/>
      </c>
      <c r="L1440" s="1213" t="str">
        <f>IF(AND(X1440&gt;=3,CNTR_ReportingYear&gt;L1439-1),AVERAGE(J1428:K1428),"")</f>
        <v/>
      </c>
      <c r="M1440" s="1213" t="str">
        <f>IF(AND(Y1440&gt;=3,CNTR_ReportingYear&gt;M1439-1),AVERAGE(K1428:L1428),"")</f>
        <v/>
      </c>
      <c r="N1440" s="1214" t="str">
        <f>IF(AND(Z1440&gt;=3,CNTR_ReportingYear&gt;N1439-1),AVERAGE(L1428:M1428),"")</f>
        <v/>
      </c>
      <c r="O1440" s="302"/>
      <c r="P1440" s="302"/>
      <c r="Q1440" s="1182" t="str">
        <f>EUconst_CNTR_HALinitial&amp;I1418</f>
        <v>HALini_</v>
      </c>
      <c r="R1440" s="694"/>
      <c r="S1440" s="694"/>
      <c r="T1440" s="694"/>
      <c r="U1440" s="1215" t="s">
        <v>1710</v>
      </c>
      <c r="V1440" s="1176">
        <f>IF($I1418="",0,V1439-$V1418+1)</f>
        <v>0</v>
      </c>
      <c r="W1440" s="1176">
        <f>IF($I1418="",0,W1439-$V1418+1)</f>
        <v>0</v>
      </c>
      <c r="X1440" s="1176">
        <f>IF($I1418="",0,X1439-$V1418+1)</f>
        <v>0</v>
      </c>
      <c r="Y1440" s="1176">
        <f>IF($I1418="",0,Y1439-$V1418+1)</f>
        <v>0</v>
      </c>
      <c r="Z1440" s="1216">
        <f>IF($I1418="",0,Z1439-$V1418+1)</f>
        <v>0</v>
      </c>
      <c r="AA1440" s="694"/>
      <c r="AB1440" s="694"/>
      <c r="AC1440" s="694"/>
      <c r="AD1440" s="694"/>
      <c r="AE1440" s="694"/>
      <c r="AF1440" s="694"/>
      <c r="AG1440" s="694"/>
      <c r="AH1440" s="694"/>
      <c r="AI1440" s="694"/>
      <c r="AJ1440" s="694"/>
      <c r="AK1440" s="694"/>
      <c r="AL1440" s="694"/>
    </row>
    <row r="1441" spans="1:38" ht="12.75" hidden="1" customHeight="1" x14ac:dyDescent="0.25">
      <c r="A1441" s="729" t="s">
        <v>312</v>
      </c>
      <c r="B1441" s="298"/>
      <c r="C1441" s="298"/>
      <c r="D1441" s="1217"/>
      <c r="E1441" s="1218" t="str">
        <f>Translations!$B$1376</f>
        <v>Промяна в сравнение с HAL</v>
      </c>
      <c r="F1441" s="1218"/>
      <c r="G1441" s="1218"/>
      <c r="H1441" s="1219"/>
      <c r="I1441" s="1220"/>
      <c r="J1441" s="103" t="str">
        <f>IF(J1440="","",IF($I1443=0,IF(J1440=0,0%,100%),J1440/$I1443-1))</f>
        <v/>
      </c>
      <c r="K1441" s="100" t="str">
        <f>IF(K1440="","",IF($I1443=0,IF(K1440=0,0%,100%),K1440/$I1443-1))</f>
        <v/>
      </c>
      <c r="L1441" s="100" t="str">
        <f>IF(L1440="","",IF($I1443=0,IF(L1440=0,0%,100%),L1440/$I1443-1))</f>
        <v/>
      </c>
      <c r="M1441" s="100" t="str">
        <f>IF(M1440="","",IF($I1443=0,IF(M1440=0,0%,100%),M1440/$I1443-1))</f>
        <v/>
      </c>
      <c r="N1441" s="122" t="str">
        <f>IF(N1440="","",IF($I1443=0,IF(N1440=0,0%,100%),N1440/$I1443-1))</f>
        <v/>
      </c>
      <c r="O1441" s="302"/>
      <c r="P1441" s="302"/>
      <c r="Q1441" s="1190" t="str">
        <f>EUconst_CNTR_RelThreshold &amp; Q1443</f>
        <v>RelThresh_HALprelim_</v>
      </c>
      <c r="R1441" s="694"/>
      <c r="S1441" s="694"/>
      <c r="T1441" s="694"/>
      <c r="U1441" s="1215" t="s">
        <v>1715</v>
      </c>
      <c r="V1441" s="727" t="str">
        <f>IF(J1440="","",ABS(J1441)&gt;15%)</f>
        <v/>
      </c>
      <c r="W1441" s="727" t="str">
        <f>IF(K1440="","",ABS(K1441)&gt;15%)</f>
        <v/>
      </c>
      <c r="X1441" s="727" t="str">
        <f>IF(L1440="","",ABS(L1441)&gt;15%)</f>
        <v/>
      </c>
      <c r="Y1441" s="727" t="str">
        <f>IF(M1440="","",ABS(M1441)&gt;15%)</f>
        <v/>
      </c>
      <c r="Z1441" s="1221" t="str">
        <f>IF(N1440="","",ABS(N1441)&gt;15%)</f>
        <v/>
      </c>
      <c r="AA1441" s="694"/>
      <c r="AB1441" s="694"/>
      <c r="AC1441" s="694"/>
      <c r="AD1441" s="694"/>
      <c r="AE1441" s="694"/>
      <c r="AF1441" s="694"/>
      <c r="AG1441" s="694"/>
      <c r="AH1441" s="694"/>
      <c r="AI1441" s="694"/>
      <c r="AJ1441" s="694"/>
      <c r="AK1441" s="694"/>
      <c r="AL1441" s="729"/>
    </row>
    <row r="1442" spans="1:38" ht="12.75" customHeight="1" x14ac:dyDescent="0.25">
      <c r="A1442" s="729"/>
      <c r="B1442" s="298"/>
      <c r="C1442" s="298"/>
      <c r="D1442" s="1208" t="s">
        <v>7</v>
      </c>
      <c r="E1442" s="1209" t="str">
        <f>Translations!$B$1322</f>
        <v>Предварителна корекция (ако са надвишени относителните прагове)</v>
      </c>
      <c r="F1442" s="1209"/>
      <c r="G1442" s="1209"/>
      <c r="H1442" s="1222"/>
      <c r="I1442" s="1223"/>
      <c r="J1442" s="1224" t="str">
        <f>IF(J1440="","",IF(V1441=FALSE,0%,IF(V1442,J1441,I1448)))</f>
        <v/>
      </c>
      <c r="K1442" s="1225" t="str">
        <f>IF(K1440="","",IF(W1441=FALSE,0%,IF(W1442,K1441,J1448)))</f>
        <v/>
      </c>
      <c r="L1442" s="1225" t="str">
        <f>IF(L1440="","",IF(X1441=FALSE,0%,IF(X1442,L1441,K1448)))</f>
        <v/>
      </c>
      <c r="M1442" s="1225" t="str">
        <f>IF(M1440="","",IF(Y1441=FALSE,0%,IF(Y1442,M1441,L1448)))</f>
        <v/>
      </c>
      <c r="N1442" s="1226" t="str">
        <f>IF(N1440="","",IF(Z1441=FALSE,0%,IF(Z1442,N1441,M1448)))</f>
        <v/>
      </c>
      <c r="O1442" s="302"/>
      <c r="P1442" s="302"/>
      <c r="Q1442" s="694"/>
      <c r="R1442" s="694"/>
      <c r="S1442" s="694"/>
      <c r="T1442" s="694"/>
      <c r="U1442" s="1215" t="s">
        <v>1716</v>
      </c>
      <c r="V1442" s="727" t="str">
        <f>IF(J1440="","",AND(V1441,IF(SUM(I1448)&lt;0,OR(SUM(J1441)&lt;SUM(I1448)-MOD(SUM(I1448),5%),J1441&gt;=SUM(I1448)+5%-MOD(SUM(I1448),5%)),OR(SUM(J1441)&lt;=SUM(I1448)-MOD(SUM(I1448),5%),SUM(J1441)&gt;SUM(I1448)+5%-MOD(SUM(I1448),5%)))))</f>
        <v/>
      </c>
      <c r="W1442" s="727" t="str">
        <f>IF(K1440="","",AND(W1441,IF(SUM(J1448)&lt;0,OR(SUM(K1441)&lt;SUM(J1448)-MOD(SUM(J1448),5%),K1441&gt;=SUM(J1448)+5%-MOD(SUM(J1448),5%)),OR(SUM(K1441)&lt;=SUM(J1448)-MOD(SUM(J1448),5%),SUM(K1441)&gt;SUM(J1448)+5%-MOD(SUM(J1448),5%)))))</f>
        <v/>
      </c>
      <c r="X1442" s="727" t="str">
        <f>IF(L1440="","",AND(X1441,IF(SUM(K1448)&lt;0,OR(SUM(L1441)&lt;SUM(K1448)-MOD(SUM(K1448),5%),L1441&gt;=SUM(K1448)+5%-MOD(SUM(K1448),5%)),OR(SUM(L1441)&lt;=SUM(K1448)-MOD(SUM(K1448),5%),SUM(L1441)&gt;SUM(K1448)+5%-MOD(SUM(K1448),5%)))))</f>
        <v/>
      </c>
      <c r="Y1442" s="727" t="str">
        <f>IF(M1440="","",AND(Y1441,IF(SUM(L1448)&lt;0,OR(SUM(M1441)&lt;SUM(L1448)-MOD(SUM(L1448),5%),M1441&gt;=SUM(L1448)+5%-MOD(SUM(L1448),5%)),OR(SUM(M1441)&lt;=SUM(L1448)-MOD(SUM(L1448),5%),SUM(M1441)&gt;SUM(L1448)+5%-MOD(SUM(L1448),5%)))))</f>
        <v/>
      </c>
      <c r="Z1442" s="1221" t="str">
        <f>IF(N1440="","",AND(Z1441,IF(SUM(M1448)&lt;0,OR(SUM(N1441)&lt;SUM(M1448)-MOD(SUM(M1448),5%),N1441&gt;=SUM(M1448)+5%-MOD(SUM(M1448),5%)),OR(SUM(N1441)&lt;=SUM(M1448)-MOD(SUM(M1448),5%),SUM(N1441)&gt;SUM(M1448)+5%-MOD(SUM(M1448),5%)))))</f>
        <v/>
      </c>
      <c r="AA1442" s="694"/>
      <c r="AB1442" s="694"/>
      <c r="AC1442" s="694"/>
      <c r="AD1442" s="694"/>
      <c r="AE1442" s="694"/>
      <c r="AF1442" s="694"/>
      <c r="AG1442" s="694"/>
      <c r="AH1442" s="694"/>
      <c r="AI1442" s="694"/>
      <c r="AJ1442" s="694"/>
      <c r="AK1442" s="694"/>
      <c r="AL1442" s="729"/>
    </row>
    <row r="1443" spans="1:38" ht="12.75" hidden="1" customHeight="1" x14ac:dyDescent="0.25">
      <c r="A1443" s="729" t="s">
        <v>312</v>
      </c>
      <c r="B1443" s="298"/>
      <c r="C1443" s="298"/>
      <c r="D1443" s="1217"/>
      <c r="E1443" s="1209" t="str">
        <f>Translations!$B$1377</f>
        <v>Предварителна стойност</v>
      </c>
      <c r="F1443" s="1209"/>
      <c r="G1443" s="1209"/>
      <c r="H1443" s="1210" t="str">
        <f>H1440</f>
        <v>тона</v>
      </c>
      <c r="I1443" s="1211" t="str">
        <f>IF(I1418="","",IF(AB1418=FALSE,EUconst_NA,IF(V1418&gt;($J$2831-3),INDEX(H1428:N1428,MATCH(V1418,H1425:N1425,0)),SUM(I1440))))</f>
        <v/>
      </c>
      <c r="J1443" s="1212" t="str">
        <f>IF($I1418="","",IF(V1440&lt;2,SUM(J1428),IF(V1440&lt;3,SUM(I1428),IF(V1443="",I1443,V1443))))</f>
        <v/>
      </c>
      <c r="K1443" s="1213" t="str">
        <f>IF($I1418="","",IF(W1440&lt;2,SUM(K1428),IF(W1440&lt;3,SUM(J1428),IF(W1443="",J1443,W1443))))</f>
        <v/>
      </c>
      <c r="L1443" s="1213" t="str">
        <f>IF($I1418="","",IF(X1440&lt;2,SUM(L1428),IF(X1440&lt;3,SUM(K1428),IF(X1443="",K1443,X1443))))</f>
        <v/>
      </c>
      <c r="M1443" s="1213" t="str">
        <f>IF($I1418="","",IF(Y1440&lt;2,SUM(M1428),IF(Y1440&lt;3,SUM(L1428),IF(Y1443="",L1443,Y1443))))</f>
        <v/>
      </c>
      <c r="N1443" s="1214" t="str">
        <f>IF($I1418="","",IF(Z1440&lt;2,SUM(N1428),IF(Z1440&lt;3,SUM(M1428),IF(Z1443="",M1443,Z1443))))</f>
        <v/>
      </c>
      <c r="O1443" s="302"/>
      <c r="P1443" s="302"/>
      <c r="Q1443" s="1182" t="str">
        <f>EUconst_CNTR_HALprelim&amp;I1418</f>
        <v>HALprelim_</v>
      </c>
      <c r="R1443" s="694"/>
      <c r="S1443" s="694"/>
      <c r="T1443" s="694"/>
      <c r="U1443" s="1215" t="s">
        <v>1756</v>
      </c>
      <c r="V1443" s="1227" t="str">
        <f>IF(J1440="","",IF(CNTR_ReportingYear&lt;J1439,I1442,IF($I1443=0,J1440,$I1443*(1+J1442))))</f>
        <v/>
      </c>
      <c r="W1443" s="1227" t="str">
        <f>IF(K1440="","",IF(CNTR_ReportingYear&lt;K1439,J1442,IF($I1443=0,K1440,$I1443*(1+K1442))))</f>
        <v/>
      </c>
      <c r="X1443" s="1227" t="str">
        <f>IF(L1440="","",IF(CNTR_ReportingYear&lt;L1439,K1442,IF($I1443=0,L1440,$I1443*(1+L1442))))</f>
        <v/>
      </c>
      <c r="Y1443" s="1227" t="str">
        <f>IF(M1440="","",IF(CNTR_ReportingYear&lt;M1439,L1442,IF($I1443=0,M1440,$I1443*(1+M1442))))</f>
        <v/>
      </c>
      <c r="Z1443" s="1228" t="str">
        <f>IF(N1440="","",IF(CNTR_ReportingYear&lt;N1439,M1442,IF($I1443=0,N1440,$I1443*(1+N1442))))</f>
        <v/>
      </c>
      <c r="AA1443" s="694"/>
      <c r="AB1443" s="694"/>
      <c r="AC1443" s="694"/>
      <c r="AD1443" s="694"/>
      <c r="AE1443" s="694"/>
      <c r="AF1443" s="694"/>
      <c r="AG1443" s="694"/>
      <c r="AH1443" s="694"/>
      <c r="AI1443" s="694"/>
      <c r="AJ1443" s="694"/>
      <c r="AK1443" s="694"/>
      <c r="AL1443" s="729"/>
    </row>
    <row r="1444" spans="1:38" ht="5.15" customHeight="1" x14ac:dyDescent="0.25">
      <c r="A1444" s="729"/>
      <c r="B1444" s="298"/>
      <c r="C1444" s="298"/>
      <c r="D1444" s="1217"/>
      <c r="E1444" s="1199"/>
      <c r="F1444" s="1199"/>
      <c r="G1444" s="1199"/>
      <c r="H1444" s="1199"/>
      <c r="I1444" s="1199"/>
      <c r="J1444" s="1229"/>
      <c r="K1444" s="1229"/>
      <c r="L1444" s="1229"/>
      <c r="M1444" s="1229"/>
      <c r="N1444" s="1230"/>
      <c r="O1444" s="302"/>
      <c r="P1444" s="302"/>
      <c r="Q1444" s="729"/>
      <c r="R1444" s="694"/>
      <c r="S1444" s="694"/>
      <c r="T1444" s="694"/>
      <c r="U1444" s="1231"/>
      <c r="V1444" s="729"/>
      <c r="W1444" s="694"/>
      <c r="X1444" s="694"/>
      <c r="Y1444" s="694"/>
      <c r="Z1444" s="1232"/>
      <c r="AA1444" s="694"/>
      <c r="AB1444" s="694"/>
      <c r="AC1444" s="694"/>
      <c r="AD1444" s="694"/>
      <c r="AE1444" s="694"/>
      <c r="AF1444" s="694"/>
      <c r="AG1444" s="694"/>
      <c r="AH1444" s="694"/>
      <c r="AI1444" s="694"/>
      <c r="AJ1444" s="694"/>
      <c r="AK1444" s="694"/>
      <c r="AL1444" s="729"/>
    </row>
    <row r="1445" spans="1:38" ht="12.75" customHeight="1" x14ac:dyDescent="0.25">
      <c r="A1445" s="729"/>
      <c r="B1445" s="298"/>
      <c r="C1445" s="298"/>
      <c r="D1445" s="1217"/>
      <c r="E1445" s="1233" t="str">
        <f>Translations!$B$1323</f>
        <v>Действителна корекция (база за следващи години)</v>
      </c>
      <c r="F1445" s="1233"/>
      <c r="G1445" s="1233"/>
      <c r="H1445" s="1233"/>
      <c r="I1445" s="1233"/>
      <c r="J1445" s="1202">
        <f>J$2831</f>
        <v>2026</v>
      </c>
      <c r="K1445" s="1203">
        <f>K$2831</f>
        <v>2027</v>
      </c>
      <c r="L1445" s="1203">
        <f>L$2831</f>
        <v>2028</v>
      </c>
      <c r="M1445" s="1203">
        <f>M$2831</f>
        <v>2029</v>
      </c>
      <c r="N1445" s="1204">
        <f>N$2831</f>
        <v>2030</v>
      </c>
      <c r="O1445" s="302"/>
      <c r="P1445" s="302"/>
      <c r="Q1445" s="729"/>
      <c r="R1445" s="694"/>
      <c r="S1445" s="694"/>
      <c r="T1445" s="694"/>
      <c r="U1445" s="1234"/>
      <c r="V1445" s="213"/>
      <c r="W1445" s="214" t="s">
        <v>2101</v>
      </c>
      <c r="X1445" s="215" t="str">
        <f>IF(OR($X1418=0,$X1418=""),"",MIN(1,1-(DATE($Z1418,12,31)-$X1418)/(DATE($Z1418,12,31)-DATE($Z1418,1,1)+1)))</f>
        <v/>
      </c>
      <c r="Y1445" s="1165"/>
      <c r="Z1445" s="1235"/>
      <c r="AA1445" s="694"/>
      <c r="AB1445" s="694"/>
      <c r="AC1445" s="694"/>
      <c r="AD1445" s="694"/>
      <c r="AE1445" s="694"/>
      <c r="AF1445" s="694"/>
      <c r="AG1445" s="694"/>
      <c r="AH1445" s="694"/>
      <c r="AI1445" s="694"/>
      <c r="AJ1445" s="694"/>
      <c r="AK1445" s="694"/>
      <c r="AL1445" s="729"/>
    </row>
    <row r="1446" spans="1:38" ht="12.75" customHeight="1" x14ac:dyDescent="0.25">
      <c r="A1446" s="729"/>
      <c r="B1446" s="298"/>
      <c r="C1446" s="298"/>
      <c r="D1446" s="1208" t="s">
        <v>8</v>
      </c>
      <c r="E1446" s="1209" t="str">
        <f>Translations!$B$1515</f>
        <v>изпълнен ли е критерият за &gt;=300 квоти за емисии?</v>
      </c>
      <c r="F1446" s="1209"/>
      <c r="G1446" s="1209"/>
      <c r="H1446" s="1209"/>
      <c r="I1446" s="1209"/>
      <c r="J1446" s="1236" t="str">
        <f>IF($I1418="","",INDEX(K_Summary!J:J,MATCH($Q1446,K_Summary!$P:$P,0)))</f>
        <v/>
      </c>
      <c r="K1446" s="385" t="str">
        <f>IF($I1418="","",INDEX(K_Summary!K:K,MATCH($Q1446,K_Summary!$P:$P,0)))</f>
        <v/>
      </c>
      <c r="L1446" s="385" t="str">
        <f>IF($I1418="","",INDEX(K_Summary!L:L,MATCH($Q1446,K_Summary!$P:$P,0)))</f>
        <v/>
      </c>
      <c r="M1446" s="385" t="str">
        <f>IF($I1418="","",INDEX(K_Summary!M:M,MATCH($Q1446,K_Summary!$P:$P,0)))</f>
        <v/>
      </c>
      <c r="N1446" s="1237" t="str">
        <f>IF($I1418="","",INDEX(K_Summary!N:N,MATCH($Q1446,K_Summary!$P:$P,0)))</f>
        <v/>
      </c>
      <c r="O1446" s="302"/>
      <c r="P1446" s="302"/>
      <c r="Q1446" s="1182" t="str">
        <f>EUconst_CNTR_300EUA&amp;I1418</f>
        <v>EUA300_</v>
      </c>
      <c r="R1446" s="694"/>
      <c r="S1446" s="694"/>
      <c r="T1446" s="694"/>
      <c r="U1446" s="1234"/>
      <c r="V1446" s="216">
        <f>IF(V1439=$Z1418,$X1445,1)</f>
        <v>1</v>
      </c>
      <c r="W1446" s="216">
        <f>IF(W1439=$Z1418,$X1445,1)</f>
        <v>1</v>
      </c>
      <c r="X1446" s="216">
        <f>IF(X1439=$Z1418,$X1445,1)</f>
        <v>1</v>
      </c>
      <c r="Y1446" s="216">
        <f>IF(Y1439=$Z1418,$X1445,1)</f>
        <v>1</v>
      </c>
      <c r="Z1446" s="217">
        <f>IF(Z1439=$Z1418,$X1445,1)</f>
        <v>1</v>
      </c>
      <c r="AA1446" s="694"/>
      <c r="AB1446" s="694"/>
      <c r="AC1446" s="694"/>
      <c r="AD1446" s="694"/>
      <c r="AE1446" s="694"/>
      <c r="AF1446" s="694"/>
      <c r="AG1446" s="694"/>
      <c r="AH1446" s="694"/>
      <c r="AI1446" s="694"/>
      <c r="AJ1446" s="694"/>
      <c r="AK1446" s="694"/>
      <c r="AL1446" s="729"/>
    </row>
    <row r="1447" spans="1:38" ht="5.15" customHeight="1" thickBot="1" x14ac:dyDescent="0.3">
      <c r="A1447" s="729"/>
      <c r="B1447" s="298"/>
      <c r="C1447" s="298"/>
      <c r="D1447" s="1217"/>
      <c r="E1447" s="1199"/>
      <c r="F1447" s="1199"/>
      <c r="G1447" s="1199"/>
      <c r="H1447" s="1199"/>
      <c r="I1447" s="1199"/>
      <c r="J1447" s="1199"/>
      <c r="K1447" s="1199"/>
      <c r="L1447" s="1199"/>
      <c r="M1447" s="1199"/>
      <c r="N1447" s="1238"/>
      <c r="O1447" s="302"/>
      <c r="P1447" s="302"/>
      <c r="Q1447" s="729"/>
      <c r="R1447" s="694"/>
      <c r="S1447" s="694"/>
      <c r="T1447" s="694"/>
      <c r="U1447" s="1231"/>
      <c r="V1447" s="729"/>
      <c r="W1447" s="694"/>
      <c r="X1447" s="694"/>
      <c r="Y1447" s="694"/>
      <c r="Z1447" s="1232"/>
      <c r="AA1447" s="694"/>
      <c r="AB1447" s="694"/>
      <c r="AC1447" s="694"/>
      <c r="AD1447" s="694"/>
      <c r="AE1447" s="694"/>
      <c r="AF1447" s="694"/>
      <c r="AG1447" s="694"/>
      <c r="AH1447" s="694"/>
      <c r="AI1447" s="694"/>
      <c r="AJ1447" s="694"/>
      <c r="AK1447" s="694"/>
      <c r="AL1447" s="729"/>
    </row>
    <row r="1448" spans="1:38" ht="12.75" customHeight="1" thickBot="1" x14ac:dyDescent="0.3">
      <c r="A1448" s="694"/>
      <c r="B1448" s="298"/>
      <c r="C1448" s="298"/>
      <c r="D1448" s="1208" t="s">
        <v>18</v>
      </c>
      <c r="E1448" s="1209" t="str">
        <f>Translations!$B$1324</f>
        <v>Действителна корекция (ако са надвишени всички прагове)</v>
      </c>
      <c r="F1448" s="1209"/>
      <c r="G1448" s="1209"/>
      <c r="H1448" s="1222"/>
      <c r="I1448" s="1239"/>
      <c r="J1448" s="1240" t="str">
        <f>IF(J1446="","",IF(J1439&gt;$Z1418,-100%,IF(OR(J1446,V1440&lt;1),J1442,I1448)))</f>
        <v/>
      </c>
      <c r="K1448" s="1241" t="str">
        <f>IF(K1446="","",IF(K1439&gt;$Z1418,-100%,IF(OR(K1446,W1440&lt;1),K1442,J1448)))</f>
        <v/>
      </c>
      <c r="L1448" s="1241" t="str">
        <f>IF(L1446="","",IF(L1439&gt;$Z1418,-100%,IF(OR(L1446,X1440&lt;1),L1442,K1448)))</f>
        <v/>
      </c>
      <c r="M1448" s="1241" t="str">
        <f>IF(M1446="","",IF(M1439&gt;$Z1418,-100%,IF(OR(M1446,Y1440&lt;1),M1442,L1448)))</f>
        <v/>
      </c>
      <c r="N1448" s="1242" t="str">
        <f>IF(N1446="","",IF(N1439&gt;$Z1418,-100%,IF(OR(N1446,Z1440&lt;1),N1442,M1448)))</f>
        <v/>
      </c>
      <c r="O1448" s="302"/>
      <c r="P1448" s="710"/>
      <c r="Q1448" s="1190" t="str">
        <f>EUconst_CNTR_HALAdjPct &amp; I1418</f>
        <v>HALAdjPct_</v>
      </c>
      <c r="R1448" s="694"/>
      <c r="S1448" s="694"/>
      <c r="T1448" s="694"/>
      <c r="U1448" s="1231" t="s">
        <v>1718</v>
      </c>
      <c r="V1448" s="1243">
        <f>J1445</f>
        <v>2026</v>
      </c>
      <c r="W1448" s="1243">
        <f>K1445</f>
        <v>2027</v>
      </c>
      <c r="X1448" s="1243">
        <f>L1445</f>
        <v>2028</v>
      </c>
      <c r="Y1448" s="1243">
        <f>M1445</f>
        <v>2029</v>
      </c>
      <c r="Z1448" s="1244">
        <f>N1445</f>
        <v>2030</v>
      </c>
      <c r="AA1448" s="694"/>
      <c r="AB1448" s="694"/>
      <c r="AC1448" s="694"/>
      <c r="AD1448" s="694"/>
      <c r="AE1448" s="694"/>
      <c r="AF1448" s="694"/>
      <c r="AG1448" s="694"/>
      <c r="AH1448" s="694"/>
      <c r="AI1448" s="694"/>
      <c r="AJ1448" s="694"/>
      <c r="AK1448" s="694"/>
      <c r="AL1448" s="729"/>
    </row>
    <row r="1449" spans="1:38" ht="12.75" customHeight="1" thickBot="1" x14ac:dyDescent="0.3">
      <c r="A1449" s="729"/>
      <c r="B1449" s="298"/>
      <c r="C1449" s="298"/>
      <c r="D1449" s="1208" t="s">
        <v>810</v>
      </c>
      <c r="E1449" s="1209" t="str">
        <f>Translations!$B$1325</f>
        <v>Действителна стойност</v>
      </c>
      <c r="F1449" s="1209"/>
      <c r="G1449" s="1209"/>
      <c r="H1449" s="1210" t="str">
        <f>H1440</f>
        <v>тона</v>
      </c>
      <c r="I1449" s="1211" t="str">
        <f>I1443</f>
        <v/>
      </c>
      <c r="J1449" s="632" t="str">
        <f>IF($I1418="","",IF(OR($I1449=0,J1448="",$I1449=EUconst_NA),IF(OR(J1446=TRUE,J1445&lt;=$V1418),J1443,SUM(I1449)),$I1449*(1+SUM(J1448))))</f>
        <v/>
      </c>
      <c r="K1449" s="633" t="str">
        <f>IF($I1418="","",IF(OR($I1449=0,K1448="",$I1449=EUconst_NA),IF(OR(K1446=TRUE,K1445&lt;=$V1418),K1443,SUM(J1449)),$I1449*(1+SUM(K1448))))</f>
        <v/>
      </c>
      <c r="L1449" s="633" t="str">
        <f>IF($I1418="","",IF(OR($I1449=0,L1448="",$I1449=EUconst_NA),IF(OR(L1446=TRUE,L1445&lt;=$V1418),L1443,SUM(K1449)),$I1449*(1+SUM(L1448))))</f>
        <v/>
      </c>
      <c r="M1449" s="633" t="str">
        <f>IF($I1418="","",IF(OR($I1449=0,M1448="",$I1449=EUconst_NA),IF(OR(M1446=TRUE,M1445&lt;=$V1418),M1443,SUM(L1449)),$I1449*(1+SUM(M1448))))</f>
        <v/>
      </c>
      <c r="N1449" s="634" t="str">
        <f>IF($I1418="","",IF(OR($I1449=0,N1448="",$I1449=EUconst_NA),IF(OR(N1446=TRUE,N1445&lt;=$V1418),N1443,SUM(M1449)),$I1449*(1+SUM(N1448))))</f>
        <v/>
      </c>
      <c r="O1449" s="302"/>
      <c r="P1449" s="302"/>
      <c r="Q1449" s="1182" t="str">
        <f>EUconst_CNTR_HALfinal&amp;I1418</f>
        <v>HALfinal_</v>
      </c>
      <c r="R1449" s="694"/>
      <c r="S1449" s="694"/>
      <c r="T1449" s="694"/>
      <c r="U1449" s="1245" t="b">
        <v>0</v>
      </c>
      <c r="V1449" s="1246" t="str">
        <f>IF(V1426,IF(J1446=TRUE,V1441,U1449),"")</f>
        <v/>
      </c>
      <c r="W1449" s="1246" t="str">
        <f>IF(W1426,IF(K1446=TRUE,W1441,V1449),"")</f>
        <v/>
      </c>
      <c r="X1449" s="1246" t="str">
        <f>IF(X1426,IF(L1446=TRUE,X1441,W1449),"")</f>
        <v/>
      </c>
      <c r="Y1449" s="1246" t="str">
        <f>IF(Y1426,IF(M1446=TRUE,Y1441,X1449),"")</f>
        <v/>
      </c>
      <c r="Z1449" s="1247" t="str">
        <f>IF(Z1426,IF(N1446=TRUE,Z1441,Y1449),"")</f>
        <v/>
      </c>
      <c r="AA1449" s="694"/>
      <c r="AB1449" s="694"/>
      <c r="AC1449" s="694"/>
      <c r="AD1449" s="694"/>
      <c r="AE1449" s="694"/>
      <c r="AF1449" s="694"/>
      <c r="AG1449" s="694"/>
      <c r="AH1449" s="694"/>
      <c r="AI1449" s="694"/>
      <c r="AJ1449" s="1174" t="s">
        <v>2033</v>
      </c>
      <c r="AK1449" s="982" t="str">
        <f>IF(OR(ISERROR(J1449),ISERROR(K1449),ISERROR(L1449),ISERROR(M1449),ISERROR(N1449)),EUconst_Error &amp; "BM" &amp; Q1418,"")</f>
        <v/>
      </c>
      <c r="AL1449" s="729"/>
    </row>
    <row r="1450" spans="1:38" ht="5.15" customHeight="1" thickBot="1" x14ac:dyDescent="0.3">
      <c r="A1450" s="694"/>
      <c r="B1450" s="298"/>
      <c r="C1450" s="298"/>
      <c r="D1450" s="1248"/>
      <c r="E1450" s="1249"/>
      <c r="F1450" s="1249"/>
      <c r="G1450" s="1249"/>
      <c r="H1450" s="1249"/>
      <c r="I1450" s="1249"/>
      <c r="J1450" s="1249"/>
      <c r="K1450" s="1249"/>
      <c r="L1450" s="1249"/>
      <c r="M1450" s="1249"/>
      <c r="N1450" s="1250"/>
      <c r="O1450" s="302"/>
      <c r="P1450" s="302"/>
      <c r="Q1450" s="729"/>
      <c r="R1450" s="694"/>
      <c r="S1450" s="694"/>
      <c r="T1450" s="694"/>
      <c r="U1450" s="729"/>
      <c r="V1450" s="729"/>
      <c r="W1450" s="694"/>
      <c r="X1450" s="694"/>
      <c r="Y1450" s="694"/>
      <c r="Z1450" s="694"/>
      <c r="AA1450" s="694"/>
      <c r="AB1450" s="694"/>
      <c r="AC1450" s="694"/>
      <c r="AD1450" s="694"/>
      <c r="AE1450" s="694"/>
      <c r="AF1450" s="694"/>
      <c r="AG1450" s="694"/>
      <c r="AH1450" s="694"/>
      <c r="AI1450" s="694"/>
      <c r="AJ1450" s="694"/>
      <c r="AK1450" s="694"/>
      <c r="AL1450" s="729"/>
    </row>
    <row r="1451" spans="1:38" ht="5.15" customHeight="1" x14ac:dyDescent="0.25">
      <c r="A1451" s="694"/>
      <c r="B1451" s="298"/>
      <c r="C1451" s="298"/>
      <c r="D1451" s="302"/>
      <c r="E1451" s="302"/>
      <c r="F1451" s="302"/>
      <c r="G1451" s="302"/>
      <c r="H1451" s="302"/>
      <c r="I1451" s="302"/>
      <c r="J1451" s="302"/>
      <c r="K1451" s="302"/>
      <c r="L1451" s="302"/>
      <c r="M1451" s="302"/>
      <c r="N1451" s="302"/>
      <c r="O1451" s="302"/>
      <c r="P1451" s="302"/>
      <c r="Q1451" s="729"/>
      <c r="R1451" s="694"/>
      <c r="S1451" s="694"/>
      <c r="T1451" s="694"/>
      <c r="U1451" s="729"/>
      <c r="V1451" s="729"/>
      <c r="W1451" s="694"/>
      <c r="X1451" s="694"/>
      <c r="Y1451" s="694"/>
      <c r="Z1451" s="694"/>
      <c r="AA1451" s="694"/>
      <c r="AB1451" s="694"/>
      <c r="AC1451" s="694"/>
      <c r="AD1451" s="694"/>
      <c r="AE1451" s="694"/>
      <c r="AF1451" s="694"/>
      <c r="AG1451" s="694"/>
      <c r="AH1451" s="694"/>
      <c r="AI1451" s="694"/>
      <c r="AJ1451" s="694"/>
      <c r="AK1451" s="694"/>
      <c r="AL1451" s="729"/>
    </row>
    <row r="1452" spans="1:38" ht="15" customHeight="1" x14ac:dyDescent="0.25">
      <c r="A1452" s="694"/>
      <c r="B1452" s="698"/>
      <c r="C1452" s="298"/>
      <c r="D1452" s="2323" t="str">
        <f>Translations!$B$482</f>
        <v>Други корекционни коефициенти</v>
      </c>
      <c r="E1452" s="2249"/>
      <c r="F1452" s="2249"/>
      <c r="G1452" s="2249"/>
      <c r="H1452" s="2249"/>
      <c r="I1452" s="2249"/>
      <c r="J1452" s="2249"/>
      <c r="K1452" s="2249"/>
      <c r="L1452" s="2249"/>
      <c r="M1452" s="2249"/>
      <c r="N1452" s="2249"/>
      <c r="O1452" s="302"/>
      <c r="P1452" s="302"/>
      <c r="Q1452" s="694"/>
      <c r="R1452" s="694"/>
      <c r="S1452" s="694"/>
      <c r="T1452" s="694"/>
      <c r="U1452" s="729"/>
      <c r="V1452" s="729"/>
      <c r="W1452" s="694"/>
      <c r="X1452" s="694"/>
      <c r="Y1452" s="694"/>
      <c r="Z1452" s="694"/>
      <c r="AA1452" s="694"/>
      <c r="AB1452" s="694"/>
      <c r="AC1452" s="694"/>
      <c r="AD1452" s="694"/>
      <c r="AE1452" s="694"/>
      <c r="AF1452" s="694"/>
      <c r="AG1452" s="694"/>
      <c r="AH1452" s="694"/>
      <c r="AI1452" s="694"/>
      <c r="AJ1452" s="694"/>
      <c r="AK1452" s="694"/>
      <c r="AL1452" s="694"/>
    </row>
    <row r="1453" spans="1:38" ht="5.15" customHeight="1" x14ac:dyDescent="0.25">
      <c r="A1453" s="694"/>
      <c r="B1453" s="298"/>
      <c r="C1453" s="298"/>
      <c r="D1453" s="298"/>
      <c r="E1453" s="298"/>
      <c r="F1453" s="298"/>
      <c r="G1453" s="298"/>
      <c r="H1453" s="298"/>
      <c r="I1453" s="298"/>
      <c r="J1453" s="298"/>
      <c r="K1453" s="298"/>
      <c r="L1453" s="298"/>
      <c r="M1453" s="298"/>
      <c r="N1453" s="298"/>
      <c r="O1453" s="302"/>
      <c r="P1453" s="302"/>
      <c r="Q1453" s="729"/>
      <c r="R1453" s="694"/>
      <c r="S1453" s="694"/>
      <c r="T1453" s="694"/>
      <c r="U1453" s="729"/>
      <c r="V1453" s="729"/>
      <c r="W1453" s="694"/>
      <c r="X1453" s="694"/>
      <c r="Y1453" s="694"/>
      <c r="Z1453" s="694"/>
      <c r="AA1453" s="694"/>
      <c r="AB1453" s="694"/>
      <c r="AC1453" s="694"/>
      <c r="AD1453" s="694"/>
      <c r="AE1453" s="694"/>
      <c r="AF1453" s="694"/>
      <c r="AG1453" s="694"/>
      <c r="AH1453" s="694"/>
      <c r="AI1453" s="694"/>
      <c r="AJ1453" s="694"/>
      <c r="AK1453" s="694"/>
      <c r="AL1453" s="694"/>
    </row>
    <row r="1454" spans="1:38" ht="13" x14ac:dyDescent="0.25">
      <c r="A1454" s="694"/>
      <c r="B1454" s="698"/>
      <c r="C1454" s="698"/>
      <c r="D1454" s="300" t="s">
        <v>46</v>
      </c>
      <c r="E1454" s="2463" t="str">
        <f>Translations!$B$1516</f>
        <v>Потребление на електроенергия</v>
      </c>
      <c r="F1454" s="2463"/>
      <c r="G1454" s="2463"/>
      <c r="H1454" s="2463"/>
      <c r="I1454" s="2463"/>
      <c r="J1454" s="2463"/>
      <c r="K1454" s="2463"/>
      <c r="L1454" s="2463"/>
      <c r="M1454" s="2463"/>
      <c r="N1454" s="2463"/>
      <c r="O1454" s="302"/>
      <c r="P1454" s="302"/>
      <c r="Q1454" s="694" t="s">
        <v>450</v>
      </c>
      <c r="R1454" s="1026" t="str">
        <f>"#"&amp;ADDRESS(ROW(D1459),COLUMN(D1459))</f>
        <v>#$D$1459</v>
      </c>
      <c r="S1454" s="1174" t="s">
        <v>1732</v>
      </c>
      <c r="T1454" s="1190" t="str">
        <f>IF(I1418="","",INDEX(EUconst_BMlistElExchangability,MATCH(I1418,EUconst_BMlistNames,0)))</f>
        <v/>
      </c>
      <c r="U1454" s="729"/>
      <c r="V1454" s="729"/>
      <c r="W1454" s="694"/>
      <c r="X1454" s="694"/>
      <c r="Y1454" s="694"/>
      <c r="Z1454" s="694"/>
      <c r="AA1454" s="694"/>
      <c r="AB1454" s="694"/>
      <c r="AC1454" s="694"/>
      <c r="AD1454" s="694"/>
      <c r="AE1454" s="694"/>
      <c r="AF1454" s="694"/>
      <c r="AG1454" s="694"/>
      <c r="AH1454" s="694"/>
      <c r="AI1454" s="694"/>
      <c r="AJ1454" s="694"/>
      <c r="AK1454" s="694"/>
      <c r="AL1454" s="694"/>
    </row>
    <row r="1455" spans="1:38" ht="25.5" customHeight="1" x14ac:dyDescent="0.25">
      <c r="A1455" s="694"/>
      <c r="B1455" s="298"/>
      <c r="C1455" s="298"/>
      <c r="D1455" s="302"/>
      <c r="E1455" s="2358" t="str">
        <f>Translations!$B$1517</f>
        <v>Въведете тук електроенергията, потребена в системните граници на тази подинсталация. За продуктовите показатели, изброени в раздел 2 от приложение I към ПБР, въвеждането тук на данни е задължително, като те трябва да съответстват на съответните системни граници, посочени в този раздел.</v>
      </c>
      <c r="F1455" s="2249"/>
      <c r="G1455" s="2249"/>
      <c r="H1455" s="2249"/>
      <c r="I1455" s="2249"/>
      <c r="J1455" s="2249"/>
      <c r="K1455" s="2249"/>
      <c r="L1455" s="2249"/>
      <c r="M1455" s="2249"/>
      <c r="N1455" s="2249"/>
      <c r="O1455" s="302"/>
      <c r="P1455" s="302"/>
      <c r="Q1455" s="694"/>
      <c r="R1455" s="694"/>
      <c r="S1455" s="694"/>
      <c r="T1455" s="694"/>
      <c r="U1455" s="729"/>
      <c r="V1455" s="729"/>
      <c r="W1455" s="694"/>
      <c r="X1455" s="694"/>
      <c r="Y1455" s="694"/>
      <c r="Z1455" s="694"/>
      <c r="AA1455" s="694"/>
      <c r="AB1455" s="694"/>
      <c r="AC1455" s="694"/>
      <c r="AD1455" s="694"/>
      <c r="AE1455" s="694"/>
      <c r="AF1455" s="694"/>
      <c r="AG1455" s="694"/>
      <c r="AH1455" s="694"/>
      <c r="AI1455" s="694"/>
      <c r="AJ1455" s="694"/>
      <c r="AK1455" s="694"/>
      <c r="AL1455" s="694"/>
    </row>
    <row r="1456" spans="1:38" s="364" customFormat="1" ht="13.5" thickBot="1" x14ac:dyDescent="0.3">
      <c r="A1456" s="729"/>
      <c r="B1456" s="302"/>
      <c r="C1456" s="302"/>
      <c r="D1456" s="300"/>
      <c r="E1456" s="1013" t="str">
        <f>Translations!$B$483</f>
        <v>Параметър</v>
      </c>
      <c r="F1456" s="1015"/>
      <c r="G1456" s="527" t="str">
        <f>EUconst_Unit</f>
        <v>Единица мярка</v>
      </c>
      <c r="H1456" s="391">
        <f>H$2831</f>
        <v>2024</v>
      </c>
      <c r="I1456" s="572">
        <f>I$2831</f>
        <v>2025</v>
      </c>
      <c r="J1456" s="757">
        <f>J$91</f>
        <v>2026</v>
      </c>
      <c r="K1456" s="758">
        <f>K$91</f>
        <v>2027</v>
      </c>
      <c r="L1456" s="391">
        <f>L$91</f>
        <v>2028</v>
      </c>
      <c r="M1456" s="391">
        <f>M$91</f>
        <v>2029</v>
      </c>
      <c r="N1456" s="391">
        <f>N$91</f>
        <v>2030</v>
      </c>
      <c r="O1456" s="302"/>
      <c r="P1456" s="302"/>
      <c r="Q1456" s="729"/>
      <c r="R1456" s="729"/>
      <c r="S1456" s="694"/>
      <c r="T1456" s="694"/>
      <c r="U1456" s="729"/>
      <c r="V1456" s="729"/>
      <c r="W1456" s="729"/>
      <c r="X1456" s="729"/>
      <c r="Y1456" s="729"/>
      <c r="Z1456" s="729"/>
      <c r="AA1456" s="729"/>
      <c r="AB1456" s="694"/>
      <c r="AC1456" s="1178">
        <f t="shared" ref="AC1456" si="1934">H$20</f>
        <v>2024</v>
      </c>
      <c r="AD1456" s="1178">
        <f t="shared" ref="AD1456" si="1935">I$20</f>
        <v>2025</v>
      </c>
      <c r="AE1456" s="1178">
        <f t="shared" ref="AE1456" si="1936">J$20</f>
        <v>2026</v>
      </c>
      <c r="AF1456" s="1178">
        <f t="shared" ref="AF1456" si="1937">K$20</f>
        <v>2027</v>
      </c>
      <c r="AG1456" s="1178">
        <f t="shared" ref="AG1456" si="1938">L$20</f>
        <v>2028</v>
      </c>
      <c r="AH1456" s="1178">
        <f t="shared" ref="AH1456" si="1939">M$20</f>
        <v>2029</v>
      </c>
      <c r="AI1456" s="1178">
        <f t="shared" ref="AI1456" si="1940">N$20</f>
        <v>2030</v>
      </c>
      <c r="AJ1456" s="694"/>
      <c r="AK1456" s="694"/>
      <c r="AL1456" s="694"/>
    </row>
    <row r="1457" spans="1:38" s="364" customFormat="1" ht="12.75" customHeight="1" thickBot="1" x14ac:dyDescent="0.3">
      <c r="A1457" s="729"/>
      <c r="B1457" s="302"/>
      <c r="C1457" s="302"/>
      <c r="D1457" s="360"/>
      <c r="E1457" s="1251" t="str">
        <f>Translations!$B$485</f>
        <v>Съответно потребление на електроенергия</v>
      </c>
      <c r="F1457" s="1252"/>
      <c r="G1457" s="1253" t="str">
        <f>EUconst_MWhpa</f>
        <v>MWh / година</v>
      </c>
      <c r="H1457" s="39"/>
      <c r="I1457" s="194"/>
      <c r="J1457" s="195"/>
      <c r="K1457" s="208"/>
      <c r="L1457" s="39"/>
      <c r="M1457" s="39"/>
      <c r="N1457" s="39"/>
      <c r="O1457" s="302"/>
      <c r="P1457" s="158"/>
      <c r="Q1457" s="982" t="str">
        <f>EUconst_CNTR_HAL&amp;EUconst_CNTR_ELEXCH &amp;I1418</f>
        <v>HAL_ELEXCH_</v>
      </c>
      <c r="R1457" s="729"/>
      <c r="S1457" s="729"/>
      <c r="T1457" s="729"/>
      <c r="U1457" s="729"/>
      <c r="V1457" s="729"/>
      <c r="W1457" s="729"/>
      <c r="X1457" s="729"/>
      <c r="Y1457" s="729"/>
      <c r="Z1457" s="729"/>
      <c r="AA1457" s="729"/>
      <c r="AB1457" s="1182" t="s">
        <v>737</v>
      </c>
      <c r="AC1457" s="1254" t="b">
        <f t="shared" ref="AC1457" si="1941">IF(CNTR_ExistSubInstEntries,IF($I1418="",TRUE,OR(H1456&gt;=CNTR_ReportingYear,AC1456&lt;$V1418-1,INDEX(EUconst_BMlistElExchangability,MATCH($I1418,EUconst_BMlistNames,0))=FALSE)),FALSE)</f>
        <v>0</v>
      </c>
      <c r="AD1457" s="1255" t="b">
        <f t="shared" ref="AD1457" si="1942">IF(CNTR_ExistSubInstEntries,IF($I1418="",TRUE,OR(I1456&gt;=CNTR_ReportingYear,AD1456&lt;$V1418-1,INDEX(EUconst_BMlistElExchangability,MATCH($I1418,EUconst_BMlistNames,0))=FALSE)),FALSE)</f>
        <v>0</v>
      </c>
      <c r="AE1457" s="1255" t="b">
        <f t="shared" ref="AE1457" si="1943">IF(CNTR_ExistSubInstEntries,IF($I1418="",TRUE,OR(J1456&gt;=CNTR_ReportingYear,AE1456&lt;$V1418-1,INDEX(EUconst_BMlistElExchangability,MATCH($I1418,EUconst_BMlistNames,0))=FALSE)),FALSE)</f>
        <v>0</v>
      </c>
      <c r="AF1457" s="1255" t="b">
        <f t="shared" ref="AF1457" si="1944">IF(CNTR_ExistSubInstEntries,IF($I1418="",TRUE,OR(K1456&gt;=CNTR_ReportingYear,AF1456&lt;$V1418-1,INDEX(EUconst_BMlistElExchangability,MATCH($I1418,EUconst_BMlistNames,0))=FALSE)),FALSE)</f>
        <v>0</v>
      </c>
      <c r="AG1457" s="1255" t="b">
        <f t="shared" ref="AG1457" si="1945">IF(CNTR_ExistSubInstEntries,IF($I1418="",TRUE,OR(L1456&gt;=CNTR_ReportingYear,AG1456&lt;$V1418-1,INDEX(EUconst_BMlistElExchangability,MATCH($I1418,EUconst_BMlistNames,0))=FALSE)),FALSE)</f>
        <v>0</v>
      </c>
      <c r="AH1457" s="1255" t="b">
        <f t="shared" ref="AH1457" si="1946">IF(CNTR_ExistSubInstEntries,IF($I1418="",TRUE,OR(M1456&gt;=CNTR_ReportingYear,AH1456&lt;$V1418-1,INDEX(EUconst_BMlistElExchangability,MATCH($I1418,EUconst_BMlistNames,0))=FALSE)),FALSE)</f>
        <v>0</v>
      </c>
      <c r="AI1457" s="1256" t="b">
        <f t="shared" ref="AI1457" si="1947">IF(CNTR_ExistSubInstEntries,IF($I1418="",TRUE,OR(N1456&gt;=CNTR_ReportingYear,AI1456&lt;$V1418-1,INDEX(EUconst_BMlistElExchangability,MATCH($I1418,EUconst_BMlistNames,0))=FALSE)),FALSE)</f>
        <v>0</v>
      </c>
      <c r="AJ1457" s="1174" t="s">
        <v>2039</v>
      </c>
      <c r="AK1457" s="1176" t="str">
        <f>IF(AND(CNTR_ExistSubInstEntries,COUNTIFS(AC1457:AI1457,FALSE,H1457:N1457,"")&gt;0),EUconst_Error&amp;"BM"&amp;$Q1418,"")</f>
        <v/>
      </c>
      <c r="AL1457" s="694"/>
    </row>
    <row r="1458" spans="1:38" ht="5.15" customHeight="1" x14ac:dyDescent="0.25">
      <c r="A1458" s="694"/>
      <c r="B1458" s="298"/>
      <c r="C1458" s="298"/>
      <c r="D1458" s="298"/>
      <c r="E1458" s="298"/>
      <c r="F1458" s="298"/>
      <c r="G1458" s="298"/>
      <c r="H1458" s="298"/>
      <c r="I1458" s="298"/>
      <c r="J1458" s="298"/>
      <c r="K1458" s="298"/>
      <c r="L1458" s="298"/>
      <c r="M1458" s="302"/>
      <c r="N1458" s="302"/>
      <c r="O1458" s="302"/>
      <c r="P1458" s="302"/>
      <c r="Q1458" s="729"/>
      <c r="R1458" s="694"/>
      <c r="S1458" s="694"/>
      <c r="T1458" s="694"/>
      <c r="U1458" s="694"/>
      <c r="V1458" s="694"/>
      <c r="W1458" s="694"/>
      <c r="X1458" s="694"/>
      <c r="Y1458" s="694"/>
      <c r="Z1458" s="694"/>
      <c r="AA1458" s="694"/>
      <c r="AB1458" s="694"/>
      <c r="AC1458" s="694"/>
      <c r="AD1458" s="694"/>
      <c r="AE1458" s="694"/>
      <c r="AF1458" s="694"/>
      <c r="AG1458" s="694"/>
      <c r="AH1458" s="694"/>
      <c r="AI1458" s="694"/>
      <c r="AJ1458" s="694"/>
      <c r="AK1458" s="694"/>
      <c r="AL1458" s="694"/>
    </row>
    <row r="1459" spans="1:38" ht="13" x14ac:dyDescent="0.25">
      <c r="A1459" s="694"/>
      <c r="B1459" s="298"/>
      <c r="C1459" s="298"/>
      <c r="D1459" s="300" t="s">
        <v>906</v>
      </c>
      <c r="E1459" s="2226" t="str">
        <f>Translations!$B$487</f>
        <v>Топлинна енергия, получена от инсталации или обекти извън СТЕ:</v>
      </c>
      <c r="F1459" s="2226"/>
      <c r="G1459" s="2226"/>
      <c r="H1459" s="2226"/>
      <c r="I1459" s="2317"/>
      <c r="J1459" s="2858" t="str">
        <f>IF(I1418="","",HYPERLINK(R1459,EUconst_MsgGoOnIfNotRelevant))</f>
        <v/>
      </c>
      <c r="K1459" s="2859"/>
      <c r="L1459" s="2859"/>
      <c r="M1459" s="2859"/>
      <c r="N1459" s="2860"/>
      <c r="O1459" s="302"/>
      <c r="P1459" s="302"/>
      <c r="Q1459" s="694" t="s">
        <v>450</v>
      </c>
      <c r="R1459" s="1026" t="str">
        <f>"#"&amp;ADDRESS(ROW(D1484),COLUMN(D1484))</f>
        <v>#$D$1484</v>
      </c>
      <c r="S1459" s="694"/>
      <c r="T1459" s="694"/>
      <c r="U1459" s="694"/>
      <c r="V1459" s="694"/>
      <c r="W1459" s="694"/>
      <c r="X1459" s="694"/>
      <c r="Y1459" s="694"/>
      <c r="Z1459" s="694"/>
      <c r="AA1459" s="694"/>
      <c r="AB1459" s="694"/>
      <c r="AC1459" s="694"/>
      <c r="AD1459" s="694"/>
      <c r="AE1459" s="694"/>
      <c r="AF1459" s="694"/>
      <c r="AG1459" s="694"/>
      <c r="AH1459" s="694"/>
      <c r="AI1459" s="694"/>
      <c r="AJ1459" s="694"/>
      <c r="AK1459" s="694"/>
      <c r="AL1459" s="694"/>
    </row>
    <row r="1460" spans="1:38" x14ac:dyDescent="0.25">
      <c r="A1460" s="694"/>
      <c r="B1460" s="298"/>
      <c r="C1460" s="298"/>
      <c r="D1460" s="302"/>
      <c r="E1460" s="2358" t="str">
        <f>Translations!$B$488</f>
        <v>Съгласно член 21 от ПБР определено количество емисии трябва да се приспадне от предварителното годишно разпределение за подинсталациите с продуктов показател.</v>
      </c>
      <c r="F1460" s="2249"/>
      <c r="G1460" s="2249"/>
      <c r="H1460" s="2249"/>
      <c r="I1460" s="2249"/>
      <c r="J1460" s="2249"/>
      <c r="K1460" s="2249"/>
      <c r="L1460" s="2249"/>
      <c r="M1460" s="2249"/>
      <c r="N1460" s="2249"/>
      <c r="O1460" s="302"/>
      <c r="P1460" s="302"/>
      <c r="Q1460" s="729"/>
      <c r="R1460" s="694"/>
      <c r="S1460" s="694"/>
      <c r="T1460" s="694"/>
      <c r="U1460" s="729"/>
      <c r="V1460" s="729"/>
      <c r="W1460" s="694"/>
      <c r="X1460" s="694"/>
      <c r="Y1460" s="694"/>
      <c r="Z1460" s="694"/>
      <c r="AA1460" s="694"/>
      <c r="AB1460" s="694"/>
      <c r="AC1460" s="694"/>
      <c r="AD1460" s="694"/>
      <c r="AE1460" s="694"/>
      <c r="AF1460" s="694"/>
      <c r="AG1460" s="694"/>
      <c r="AH1460" s="694"/>
      <c r="AI1460" s="694"/>
      <c r="AJ1460" s="694"/>
      <c r="AK1460" s="694"/>
      <c r="AL1460" s="694"/>
    </row>
    <row r="1461" spans="1:38" x14ac:dyDescent="0.25">
      <c r="A1461" s="694"/>
      <c r="B1461" s="298"/>
      <c r="C1461" s="298"/>
      <c r="D1461" s="302"/>
      <c r="E1461" s="2358" t="str">
        <f>Translations!$B$489</f>
        <v>Това количество е количеството измерима топлинна енергия, внесена от инсталации или обекти извън СТЕ (включително всяка топлинна енергия от подинсталации за производство на азотна киселина), умножено по топлинния показател.</v>
      </c>
      <c r="F1461" s="2249"/>
      <c r="G1461" s="2249"/>
      <c r="H1461" s="2249"/>
      <c r="I1461" s="2249"/>
      <c r="J1461" s="2249"/>
      <c r="K1461" s="2249"/>
      <c r="L1461" s="2249"/>
      <c r="M1461" s="2249"/>
      <c r="N1461" s="2249"/>
      <c r="O1461" s="302"/>
      <c r="P1461" s="302"/>
      <c r="Q1461" s="729"/>
      <c r="R1461" s="694"/>
      <c r="S1461" s="694"/>
      <c r="T1461" s="694"/>
      <c r="U1461" s="729"/>
      <c r="V1461" s="729"/>
      <c r="W1461" s="694"/>
      <c r="X1461" s="694"/>
      <c r="Y1461" s="694"/>
      <c r="Z1461" s="694"/>
      <c r="AA1461" s="694"/>
      <c r="AB1461" s="694"/>
      <c r="AC1461" s="694"/>
      <c r="AD1461" s="694"/>
      <c r="AE1461" s="694"/>
      <c r="AF1461" s="694"/>
      <c r="AG1461" s="694"/>
      <c r="AH1461" s="694"/>
      <c r="AI1461" s="694"/>
      <c r="AJ1461" s="694"/>
      <c r="AK1461" s="694"/>
      <c r="AL1461" s="694"/>
    </row>
    <row r="1462" spans="1:38" x14ac:dyDescent="0.25">
      <c r="A1462" s="694"/>
      <c r="B1462" s="298"/>
      <c r="C1462" s="298"/>
      <c r="D1462" s="302"/>
      <c r="E1462" s="2358" t="str">
        <f>Translations!$B$490</f>
        <v>Моля, въведете тук съответните стойности. Имайте предвид, че стойностите трябва да съответстват на сумите за енергията, получена от източници извън СТЕ, въведени в точка E.II.c в работен лист „E_Energy flows“ („E_Енергийни потоци“).</v>
      </c>
      <c r="F1462" s="2249"/>
      <c r="G1462" s="2249"/>
      <c r="H1462" s="2249"/>
      <c r="I1462" s="2249"/>
      <c r="J1462" s="2249"/>
      <c r="K1462" s="2249"/>
      <c r="L1462" s="2249"/>
      <c r="M1462" s="2249"/>
      <c r="N1462" s="2249"/>
      <c r="O1462" s="302"/>
      <c r="P1462" s="302"/>
      <c r="Q1462" s="729"/>
      <c r="R1462" s="694"/>
      <c r="S1462" s="694"/>
      <c r="T1462" s="694"/>
      <c r="U1462" s="729"/>
      <c r="V1462" s="729"/>
      <c r="W1462" s="694"/>
      <c r="X1462" s="694"/>
      <c r="Y1462" s="694"/>
      <c r="Z1462" s="694"/>
      <c r="AA1462" s="694"/>
      <c r="AB1462" s="694"/>
      <c r="AC1462" s="694"/>
      <c r="AD1462" s="694"/>
      <c r="AE1462" s="694"/>
      <c r="AF1462" s="694"/>
      <c r="AG1462" s="694"/>
      <c r="AH1462" s="694"/>
      <c r="AI1462" s="694"/>
      <c r="AJ1462" s="694"/>
      <c r="AK1462" s="694"/>
      <c r="AL1462" s="694"/>
    </row>
    <row r="1463" spans="1:38" x14ac:dyDescent="0.25">
      <c r="A1463" s="694"/>
      <c r="B1463" s="298"/>
      <c r="C1463" s="298"/>
      <c r="D1463" s="302"/>
      <c r="E1463" s="2358" t="str">
        <f>Translations!$B$491</f>
        <v>Освен това данните трябва да съответстват и на общото нетно количество получена измерима топлинна енергия, въведено в k). i по-долу.</v>
      </c>
      <c r="F1463" s="2249"/>
      <c r="G1463" s="2249"/>
      <c r="H1463" s="2249"/>
      <c r="I1463" s="2249"/>
      <c r="J1463" s="2249"/>
      <c r="K1463" s="2249"/>
      <c r="L1463" s="2249"/>
      <c r="M1463" s="2249"/>
      <c r="N1463" s="2249"/>
      <c r="O1463" s="302"/>
      <c r="P1463" s="302"/>
      <c r="Q1463" s="729"/>
      <c r="R1463" s="694"/>
      <c r="S1463" s="694"/>
      <c r="T1463" s="694"/>
      <c r="U1463" s="729"/>
      <c r="V1463" s="729"/>
      <c r="W1463" s="729"/>
      <c r="X1463" s="729"/>
      <c r="Y1463" s="729"/>
      <c r="Z1463" s="729"/>
      <c r="AA1463" s="694"/>
      <c r="AB1463" s="694"/>
      <c r="AC1463" s="694"/>
      <c r="AD1463" s="694"/>
      <c r="AE1463" s="694"/>
      <c r="AF1463" s="694"/>
      <c r="AG1463" s="694"/>
      <c r="AH1463" s="694"/>
      <c r="AI1463" s="694"/>
      <c r="AJ1463" s="694"/>
      <c r="AK1463" s="694"/>
      <c r="AL1463" s="694"/>
    </row>
    <row r="1464" spans="1:38" ht="13.5" thickBot="1" x14ac:dyDescent="0.3">
      <c r="A1464" s="694"/>
      <c r="B1464" s="698"/>
      <c r="C1464" s="698"/>
      <c r="D1464" s="300"/>
      <c r="E1464" s="1013" t="str">
        <f>Translations!$B$483</f>
        <v>Параметър</v>
      </c>
      <c r="F1464" s="1015"/>
      <c r="G1464" s="527" t="str">
        <f>EUconst_Unit</f>
        <v>Единица мярка</v>
      </c>
      <c r="H1464" s="391">
        <f>H$2831</f>
        <v>2024</v>
      </c>
      <c r="I1464" s="572">
        <f>I$2831</f>
        <v>2025</v>
      </c>
      <c r="J1464" s="757">
        <f>J$91</f>
        <v>2026</v>
      </c>
      <c r="K1464" s="391">
        <f>K$91</f>
        <v>2027</v>
      </c>
      <c r="L1464" s="391">
        <f>L$91</f>
        <v>2028</v>
      </c>
      <c r="M1464" s="391">
        <f>M$91</f>
        <v>2029</v>
      </c>
      <c r="N1464" s="391">
        <f>N$91</f>
        <v>2030</v>
      </c>
      <c r="O1464" s="302"/>
      <c r="P1464" s="302"/>
      <c r="Q1464" s="694"/>
      <c r="R1464" s="1031"/>
      <c r="S1464" s="1174" t="s">
        <v>1906</v>
      </c>
      <c r="T1464" s="1178">
        <f>H1464</f>
        <v>2024</v>
      </c>
      <c r="U1464" s="1178">
        <f t="shared" ref="U1464" si="1948">I1464</f>
        <v>2025</v>
      </c>
      <c r="V1464" s="1178">
        <f t="shared" ref="V1464" si="1949">J1464</f>
        <v>2026</v>
      </c>
      <c r="W1464" s="1178">
        <f t="shared" ref="W1464" si="1950">K1464</f>
        <v>2027</v>
      </c>
      <c r="X1464" s="1178">
        <f t="shared" ref="X1464" si="1951">L1464</f>
        <v>2028</v>
      </c>
      <c r="Y1464" s="1178">
        <f t="shared" ref="Y1464" si="1952">M1464</f>
        <v>2029</v>
      </c>
      <c r="Z1464" s="1178">
        <f t="shared" ref="Z1464" si="1953">N1464</f>
        <v>2030</v>
      </c>
      <c r="AA1464" s="1031"/>
      <c r="AB1464" s="694"/>
      <c r="AC1464" s="1178">
        <f t="shared" ref="AC1464" si="1954">H$20</f>
        <v>2024</v>
      </c>
      <c r="AD1464" s="1178">
        <f t="shared" ref="AD1464" si="1955">I$20</f>
        <v>2025</v>
      </c>
      <c r="AE1464" s="1178">
        <f t="shared" ref="AE1464" si="1956">J$20</f>
        <v>2026</v>
      </c>
      <c r="AF1464" s="1178">
        <f t="shared" ref="AF1464" si="1957">K$20</f>
        <v>2027</v>
      </c>
      <c r="AG1464" s="1178">
        <f t="shared" ref="AG1464" si="1958">L$20</f>
        <v>2028</v>
      </c>
      <c r="AH1464" s="1178">
        <f t="shared" ref="AH1464" si="1959">M$20</f>
        <v>2029</v>
      </c>
      <c r="AI1464" s="1178">
        <f t="shared" ref="AI1464" si="1960">N$20</f>
        <v>2030</v>
      </c>
      <c r="AJ1464" s="694"/>
      <c r="AK1464" s="694"/>
      <c r="AL1464" s="694"/>
    </row>
    <row r="1465" spans="1:38" ht="13" customHeight="1" thickBot="1" x14ac:dyDescent="0.3">
      <c r="A1465" s="694"/>
      <c r="B1465" s="698"/>
      <c r="C1465" s="698"/>
      <c r="D1465" s="1084" t="s">
        <v>6</v>
      </c>
      <c r="E1465" s="2667" t="str">
        <f>Translations!$B$492</f>
        <v>Измерима топлинна енергия, получена от източници извън СТЕ:</v>
      </c>
      <c r="F1465" s="2667"/>
      <c r="G1465" s="1016" t="str">
        <f>EUconst_TJpa</f>
        <v>TJ / година</v>
      </c>
      <c r="H1465" s="24"/>
      <c r="I1465" s="59"/>
      <c r="J1465" s="60"/>
      <c r="K1465" s="24"/>
      <c r="L1465" s="24"/>
      <c r="M1465" s="24"/>
      <c r="N1465" s="24"/>
      <c r="O1465" s="302"/>
      <c r="P1465" s="158"/>
      <c r="Q1465" s="982" t="str">
        <f>EUconst_CNTR_HAL&amp;EUconst_CNTR_nonETSMeasHeat</f>
        <v>HAL_измерима топлинна енергия извън СТЕ</v>
      </c>
      <c r="R1465" s="694"/>
      <c r="S1465" s="1174"/>
      <c r="T1465" s="1257" t="str">
        <f t="shared" ref="T1465" si="1961">IF(H1465="","",SUM(H1465)*EUconst_HeatBMvalue)</f>
        <v/>
      </c>
      <c r="U1465" s="1257" t="str">
        <f t="shared" ref="U1465" si="1962">IF(I1465="","",SUM(I1465)*EUconst_HeatBMvalue)</f>
        <v/>
      </c>
      <c r="V1465" s="1257" t="str">
        <f t="shared" ref="V1465" si="1963">IF(J1465="","",SUM(J1465)*EUconst_HeatBMvalue)</f>
        <v/>
      </c>
      <c r="W1465" s="1257" t="str">
        <f t="shared" ref="W1465" si="1964">IF(K1465="","",SUM(K1465)*EUconst_HeatBMvalue)</f>
        <v/>
      </c>
      <c r="X1465" s="1257" t="str">
        <f t="shared" ref="X1465" si="1965">IF(L1465="","",SUM(L1465)*EUconst_HeatBMvalue)</f>
        <v/>
      </c>
      <c r="Y1465" s="1257" t="str">
        <f t="shared" ref="Y1465" si="1966">IF(M1465="","",SUM(M1465)*EUconst_HeatBMvalue)</f>
        <v/>
      </c>
      <c r="Z1465" s="1257" t="str">
        <f t="shared" ref="Z1465" si="1967">IF(N1465="","",SUM(N1465)*EUconst_HeatBMvalue)</f>
        <v/>
      </c>
      <c r="AA1465" s="694"/>
      <c r="AB1465" s="1182" t="s">
        <v>737</v>
      </c>
      <c r="AC1465" s="1183" t="b">
        <f t="shared" ref="AC1465" si="1968">IF(CNTR_ExistSubInstEntries,OR($I1418="",H1425&gt;=CNTR_ReportingYear,AC1464&lt;$V1418-1),FALSE)</f>
        <v>0</v>
      </c>
      <c r="AD1465" s="1184" t="b">
        <f t="shared" ref="AD1465" si="1969">IF(CNTR_ExistSubInstEntries,OR($I1418="",I1425&gt;=CNTR_ReportingYear,AD1464&lt;$V1418-1),FALSE)</f>
        <v>0</v>
      </c>
      <c r="AE1465" s="1184" t="b">
        <f t="shared" ref="AE1465" si="1970">IF(CNTR_ExistSubInstEntries,OR($I1418="",J1425&gt;=CNTR_ReportingYear,AE1464&lt;$V1418-1),FALSE)</f>
        <v>0</v>
      </c>
      <c r="AF1465" s="1184" t="b">
        <f t="shared" ref="AF1465" si="1971">IF(CNTR_ExistSubInstEntries,OR($I1418="",K1425&gt;=CNTR_ReportingYear,AF1464&lt;$V1418-1),FALSE)</f>
        <v>0</v>
      </c>
      <c r="AG1465" s="1184" t="b">
        <f t="shared" ref="AG1465" si="1972">IF(CNTR_ExistSubInstEntries,OR($I1418="",L1425&gt;=CNTR_ReportingYear,AG1464&lt;$V1418-1),FALSE)</f>
        <v>0</v>
      </c>
      <c r="AH1465" s="1184" t="b">
        <f t="shared" ref="AH1465" si="1973">IF(CNTR_ExistSubInstEntries,OR($I1418="",M1425&gt;=CNTR_ReportingYear,AH1464&lt;$V1418-1),FALSE)</f>
        <v>0</v>
      </c>
      <c r="AI1465" s="1185" t="b">
        <f t="shared" ref="AI1465" si="1974">IF(CNTR_ExistSubInstEntries,OR($I1418="",N1425&gt;=CNTR_ReportingYear,AI1464&lt;$V1418-1),FALSE)</f>
        <v>0</v>
      </c>
      <c r="AJ1465" s="1174" t="s">
        <v>2039</v>
      </c>
      <c r="AK1465" s="1176" t="str">
        <f>IF(AND(CNTR_ExistSubInstEntries,COUNTIFS(AC1465:AI1465,FALSE,H1465:N1465,"")&gt;0),EUconst_Error&amp;"BM"&amp;$Q1418,"")</f>
        <v/>
      </c>
      <c r="AL1465" s="694"/>
    </row>
    <row r="1466" spans="1:38" ht="25.5" customHeight="1" x14ac:dyDescent="0.25">
      <c r="A1466" s="694"/>
      <c r="B1466" s="698"/>
      <c r="C1466" s="698"/>
      <c r="D1466" s="1084" t="s">
        <v>7</v>
      </c>
      <c r="E1466" s="1258" t="str">
        <f>Translations!$B$493</f>
        <v>Проверка на съответствието с работен лист „E_Energy flows“ („E_Енергийни потоци“):</v>
      </c>
      <c r="F1466" s="1258"/>
      <c r="G1466" s="1259" t="s">
        <v>1053</v>
      </c>
      <c r="H1466" s="16" t="str">
        <f>IF(AND(ISNUMBER(H1465),ISNUMBER(E_EnergyFlows!H$141)), H1465/E_EnergyFlows!H$141*100,"")</f>
        <v/>
      </c>
      <c r="I1466" s="105" t="str">
        <f>IF(AND(ISNUMBER(I1465),ISNUMBER(E_EnergyFlows!I$141)), I1465/E_EnergyFlows!I$141*100,"")</f>
        <v/>
      </c>
      <c r="J1466" s="107" t="str">
        <f>IF(AND(ISNUMBER(J1465),ISNUMBER(E_EnergyFlows!J$141)), J1465/E_EnergyFlows!J$141*100,"")</f>
        <v/>
      </c>
      <c r="K1466" s="16" t="str">
        <f>IF(AND(ISNUMBER(K1465),ISNUMBER(E_EnergyFlows!K$141)), K1465/E_EnergyFlows!K$141*100,"")</f>
        <v/>
      </c>
      <c r="L1466" s="16" t="str">
        <f>IF(AND(ISNUMBER(L1465),ISNUMBER(E_EnergyFlows!L$141)), L1465/E_EnergyFlows!L$141*100,"")</f>
        <v/>
      </c>
      <c r="M1466" s="16" t="str">
        <f>IF(AND(ISNUMBER(M1465),ISNUMBER(E_EnergyFlows!M$141)), M1465/E_EnergyFlows!M$141*100,"")</f>
        <v/>
      </c>
      <c r="N1466" s="16" t="str">
        <f>IF(AND(ISNUMBER(N1465),ISNUMBER(E_EnergyFlows!N$141)), N1465/E_EnergyFlows!N$141*100,"")</f>
        <v/>
      </c>
      <c r="O1466" s="302"/>
      <c r="P1466" s="302"/>
      <c r="Q1466" s="1033" t="str">
        <f>EUconst_CNTR_HEAT &amp; I1418</f>
        <v>HEAT_</v>
      </c>
      <c r="R1466" s="729"/>
      <c r="S1466" s="694"/>
      <c r="T1466" s="694"/>
      <c r="U1466" s="729"/>
      <c r="V1466" s="729"/>
      <c r="W1466" s="694"/>
      <c r="X1466" s="694"/>
      <c r="Y1466" s="694"/>
      <c r="Z1466" s="694"/>
      <c r="AA1466" s="694"/>
      <c r="AB1466" s="694"/>
      <c r="AC1466" s="694"/>
      <c r="AD1466" s="694"/>
      <c r="AE1466" s="694"/>
      <c r="AF1466" s="694"/>
      <c r="AG1466" s="694"/>
      <c r="AH1466" s="694"/>
      <c r="AI1466" s="694"/>
      <c r="AJ1466" s="694"/>
      <c r="AK1466" s="694"/>
      <c r="AL1466" s="694"/>
    </row>
    <row r="1467" spans="1:38" ht="12.65" customHeight="1" x14ac:dyDescent="0.25">
      <c r="A1467" s="694"/>
      <c r="B1467" s="698"/>
      <c r="C1467" s="698"/>
      <c r="D1467" s="1084" t="s">
        <v>8</v>
      </c>
      <c r="E1467" s="1260" t="str">
        <f>Translations!$B$494</f>
        <v>Проверка на съответствието с k).i):</v>
      </c>
      <c r="F1467" s="1261"/>
      <c r="G1467" s="1262" t="s">
        <v>1053</v>
      </c>
      <c r="H1467" s="15" t="str">
        <f t="shared" ref="H1467:N1467" si="1975">IF(AND(H1590&gt;0,ISNUMBER(H1465)), H1465/H1590*100,"")</f>
        <v/>
      </c>
      <c r="I1467" s="106" t="str">
        <f t="shared" si="1975"/>
        <v/>
      </c>
      <c r="J1467" s="108" t="str">
        <f t="shared" si="1975"/>
        <v/>
      </c>
      <c r="K1467" s="15" t="str">
        <f t="shared" si="1975"/>
        <v/>
      </c>
      <c r="L1467" s="15" t="str">
        <f t="shared" si="1975"/>
        <v/>
      </c>
      <c r="M1467" s="15" t="str">
        <f t="shared" si="1975"/>
        <v/>
      </c>
      <c r="N1467" s="15" t="str">
        <f t="shared" si="1975"/>
        <v/>
      </c>
      <c r="O1467" s="302"/>
      <c r="P1467" s="302"/>
      <c r="Q1467" s="694"/>
      <c r="R1467" s="694"/>
      <c r="S1467" s="694"/>
      <c r="T1467" s="694"/>
      <c r="U1467" s="729"/>
      <c r="V1467" s="729"/>
      <c r="W1467" s="694"/>
      <c r="X1467" s="694"/>
      <c r="Y1467" s="694"/>
      <c r="Z1467" s="694"/>
      <c r="AA1467" s="694"/>
      <c r="AB1467" s="694"/>
      <c r="AC1467" s="694"/>
      <c r="AD1467" s="694"/>
      <c r="AE1467" s="694"/>
      <c r="AF1467" s="694"/>
      <c r="AG1467" s="694"/>
      <c r="AH1467" s="694"/>
      <c r="AI1467" s="694"/>
      <c r="AJ1467" s="694"/>
      <c r="AK1467" s="694"/>
      <c r="AL1467" s="694"/>
    </row>
    <row r="1468" spans="1:38" ht="5.15" customHeight="1" x14ac:dyDescent="0.25">
      <c r="A1468" s="694"/>
      <c r="B1468" s="698"/>
      <c r="C1468" s="698"/>
      <c r="D1468" s="698"/>
      <c r="E1468" s="698"/>
      <c r="F1468" s="698"/>
      <c r="G1468" s="698"/>
      <c r="H1468" s="698"/>
      <c r="I1468" s="1025"/>
      <c r="J1468" s="698"/>
      <c r="K1468" s="698"/>
      <c r="L1468" s="698"/>
      <c r="M1468" s="698"/>
      <c r="N1468" s="698"/>
      <c r="O1468" s="302"/>
      <c r="P1468" s="302"/>
      <c r="Q1468" s="1263"/>
      <c r="R1468" s="694"/>
      <c r="S1468" s="694"/>
      <c r="T1468" s="694"/>
      <c r="U1468" s="729"/>
      <c r="V1468" s="729"/>
      <c r="W1468" s="694"/>
      <c r="X1468" s="694"/>
      <c r="Y1468" s="694"/>
      <c r="Z1468" s="694"/>
      <c r="AA1468" s="694"/>
      <c r="AB1468" s="694"/>
      <c r="AC1468" s="694"/>
      <c r="AD1468" s="694"/>
      <c r="AE1468" s="694"/>
      <c r="AF1468" s="694"/>
      <c r="AG1468" s="694"/>
      <c r="AH1468" s="694"/>
      <c r="AI1468" s="694"/>
      <c r="AJ1468" s="694"/>
      <c r="AK1468" s="694"/>
      <c r="AL1468" s="694"/>
    </row>
    <row r="1469" spans="1:38" ht="25.5" customHeight="1" thickBot="1" x14ac:dyDescent="0.3">
      <c r="A1469" s="694"/>
      <c r="B1469" s="298"/>
      <c r="C1469" s="298"/>
      <c r="D1469" s="302"/>
      <c r="E1469" s="2358" t="str">
        <f>Translations!$B$1326</f>
        <v>На базата на данните по-горе тук се определят средните годишни стойности на стойностите от i. Разпределението ще бъде променено само ако са надвишени относителният праг (15 % в сравнение със стойността в НМИ) и абсолютният праг (промяната води до корекция с повече от 100 квоти), определени в член 6, параграф 4 от Регламента за ALC.</v>
      </c>
      <c r="F1469" s="2249"/>
      <c r="G1469" s="2249"/>
      <c r="H1469" s="2249"/>
      <c r="I1469" s="2249"/>
      <c r="J1469" s="2249"/>
      <c r="K1469" s="2249"/>
      <c r="L1469" s="2249"/>
      <c r="M1469" s="2249"/>
      <c r="N1469" s="2249"/>
      <c r="O1469" s="302"/>
      <c r="P1469" s="302"/>
      <c r="Q1469" s="729"/>
      <c r="R1469" s="694"/>
      <c r="S1469" s="729"/>
      <c r="T1469" s="729"/>
      <c r="U1469" s="729"/>
      <c r="V1469" s="694"/>
      <c r="W1469" s="694"/>
      <c r="X1469" s="694"/>
      <c r="Y1469" s="694"/>
      <c r="Z1469" s="694"/>
      <c r="AA1469" s="694"/>
      <c r="AB1469" s="694"/>
      <c r="AC1469" s="694"/>
      <c r="AD1469" s="694"/>
      <c r="AE1469" s="694"/>
      <c r="AF1469" s="694"/>
      <c r="AG1469" s="694"/>
      <c r="AH1469" s="694"/>
      <c r="AI1469" s="694"/>
      <c r="AJ1469" s="694"/>
      <c r="AK1469" s="694"/>
      <c r="AL1469" s="694"/>
    </row>
    <row r="1470" spans="1:38" ht="5.15" customHeight="1" thickBot="1" x14ac:dyDescent="0.3">
      <c r="A1470" s="694"/>
      <c r="B1470" s="298"/>
      <c r="C1470" s="298"/>
      <c r="D1470" s="1192"/>
      <c r="E1470" s="1194"/>
      <c r="F1470" s="1264"/>
      <c r="G1470" s="1264"/>
      <c r="H1470" s="1264"/>
      <c r="I1470" s="1264"/>
      <c r="J1470" s="1264"/>
      <c r="K1470" s="1264"/>
      <c r="L1470" s="1264"/>
      <c r="M1470" s="1264"/>
      <c r="N1470" s="1265"/>
      <c r="O1470" s="302"/>
      <c r="P1470" s="302"/>
      <c r="Q1470" s="729"/>
      <c r="R1470" s="694"/>
      <c r="S1470" s="729"/>
      <c r="T1470" s="729"/>
      <c r="U1470" s="729"/>
      <c r="V1470" s="694"/>
      <c r="W1470" s="694"/>
      <c r="X1470" s="694"/>
      <c r="Y1470" s="694"/>
      <c r="Z1470" s="694"/>
      <c r="AA1470" s="694"/>
      <c r="AB1470" s="694"/>
      <c r="AC1470" s="694"/>
      <c r="AD1470" s="694"/>
      <c r="AE1470" s="694"/>
      <c r="AF1470" s="694"/>
      <c r="AG1470" s="694"/>
      <c r="AH1470" s="694"/>
      <c r="AI1470" s="694"/>
      <c r="AJ1470" s="694"/>
      <c r="AK1470" s="694"/>
      <c r="AL1470" s="694"/>
    </row>
    <row r="1471" spans="1:38" ht="12.75" customHeight="1" x14ac:dyDescent="0.25">
      <c r="A1471" s="694"/>
      <c r="B1471" s="298"/>
      <c r="C1471" s="298"/>
      <c r="D1471" s="1197" t="s">
        <v>2003</v>
      </c>
      <c r="E1471" s="1198" t="str">
        <f>Translations!$B$1329</f>
        <v>Корекции: Топлинна енергия извън СТЕ</v>
      </c>
      <c r="F1471" s="1199"/>
      <c r="G1471" s="1199"/>
      <c r="H1471" s="1200" t="str">
        <f>EUconst_Unit</f>
        <v>Единица мярка</v>
      </c>
      <c r="I1471" s="1201" t="str">
        <f>Translations!$B$1327</f>
        <v>(НМИ) стойност</v>
      </c>
      <c r="J1471" s="1202">
        <f>J$2831</f>
        <v>2026</v>
      </c>
      <c r="K1471" s="1203">
        <f>K$2831</f>
        <v>2027</v>
      </c>
      <c r="L1471" s="1203">
        <f>L$2831</f>
        <v>2028</v>
      </c>
      <c r="M1471" s="1203">
        <f>M$2831</f>
        <v>2029</v>
      </c>
      <c r="N1471" s="1204">
        <f>N$2831</f>
        <v>2030</v>
      </c>
      <c r="O1471" s="302"/>
      <c r="P1471" s="302"/>
      <c r="Q1471" s="729"/>
      <c r="R1471" s="694"/>
      <c r="S1471" s="694"/>
      <c r="T1471" s="694"/>
      <c r="U1471" s="1205"/>
      <c r="V1471" s="1206">
        <f>J1471</f>
        <v>2026</v>
      </c>
      <c r="W1471" s="1206">
        <f>K1471</f>
        <v>2027</v>
      </c>
      <c r="X1471" s="1206">
        <f>L1471</f>
        <v>2028</v>
      </c>
      <c r="Y1471" s="1206">
        <f>M1471</f>
        <v>2029</v>
      </c>
      <c r="Z1471" s="1207">
        <f>N1471</f>
        <v>2030</v>
      </c>
      <c r="AA1471" s="694"/>
      <c r="AB1471" s="694"/>
      <c r="AC1471" s="694"/>
      <c r="AD1471" s="694"/>
      <c r="AE1471" s="694"/>
      <c r="AF1471" s="694"/>
      <c r="AG1471" s="694"/>
      <c r="AH1471" s="694"/>
      <c r="AI1471" s="694"/>
      <c r="AJ1471" s="694"/>
      <c r="AK1471" s="694"/>
      <c r="AL1471" s="694"/>
    </row>
    <row r="1472" spans="1:38" ht="12.75" customHeight="1" x14ac:dyDescent="0.25">
      <c r="A1472" s="694"/>
      <c r="B1472" s="298"/>
      <c r="C1472" s="298"/>
      <c r="D1472" s="1208" t="s">
        <v>6</v>
      </c>
      <c r="E1472" s="1209" t="str">
        <f>Translations!$B$1328</f>
        <v>Средна годишна стойност</v>
      </c>
      <c r="F1472" s="1209"/>
      <c r="G1472" s="1209"/>
      <c r="H1472" s="1266" t="str">
        <f>EUconst_tCO2</f>
        <v>t CO2</v>
      </c>
      <c r="I1472" s="1211" t="str">
        <f>INDEX('B+C_SubInstallations'!$J:$J,MATCH(Q1472,'B+C_SubInstallations'!$U:$U,0))</f>
        <v/>
      </c>
      <c r="J1472" s="1267" t="str">
        <f>IF(AND(V1472&gt;=3,CNTR_ReportingYear&gt;J1471-1),AVERAGE(SUM(T1465),SUM(U1465)),"")</f>
        <v/>
      </c>
      <c r="K1472" s="1268" t="str">
        <f>IF(AND(W1472&gt;=3,CNTR_ReportingYear&gt;K1471-1),AVERAGE(SUM(U1465),SUM(V1465)),"")</f>
        <v/>
      </c>
      <c r="L1472" s="1268" t="str">
        <f>IF(AND(X1472&gt;=3,CNTR_ReportingYear&gt;L1471-1),AVERAGE(SUM(V1465),SUM(W1465)),"")</f>
        <v/>
      </c>
      <c r="M1472" s="1268" t="str">
        <f>IF(AND(Y1472&gt;=3,CNTR_ReportingYear&gt;M1471-1),AVERAGE(SUM(W1465),SUM(X1465)),"")</f>
        <v/>
      </c>
      <c r="N1472" s="1269" t="str">
        <f>IF(AND(Z1472&gt;=3,CNTR_ReportingYear&gt;N1471-1),AVERAGE(SUM(X1465),SUM(Y1465)),"")</f>
        <v/>
      </c>
      <c r="O1472" s="302"/>
      <c r="P1472" s="302"/>
      <c r="Q1472" s="1270" t="str">
        <f>EUconst_CNTR_HEATInitial &amp; I1418</f>
        <v>HEATIni_</v>
      </c>
      <c r="R1472" s="694"/>
      <c r="S1472" s="694"/>
      <c r="T1472" s="694"/>
      <c r="U1472" s="1231" t="s">
        <v>1710</v>
      </c>
      <c r="V1472" s="1176">
        <f>V1440</f>
        <v>0</v>
      </c>
      <c r="W1472" s="1176">
        <f>W1440</f>
        <v>0</v>
      </c>
      <c r="X1472" s="1176">
        <f>X1440</f>
        <v>0</v>
      </c>
      <c r="Y1472" s="1176">
        <f>Y1440</f>
        <v>0</v>
      </c>
      <c r="Z1472" s="1216">
        <f>Z1440</f>
        <v>0</v>
      </c>
      <c r="AA1472" s="694"/>
      <c r="AB1472" s="694"/>
      <c r="AC1472" s="694"/>
      <c r="AD1472" s="694"/>
      <c r="AE1472" s="694"/>
      <c r="AF1472" s="694"/>
      <c r="AG1472" s="694"/>
      <c r="AH1472" s="694"/>
      <c r="AI1472" s="694"/>
      <c r="AJ1472" s="694"/>
      <c r="AK1472" s="694"/>
      <c r="AL1472" s="694"/>
    </row>
    <row r="1473" spans="1:38" ht="12.75" hidden="1" customHeight="1" x14ac:dyDescent="0.25">
      <c r="A1473" s="729" t="s">
        <v>312</v>
      </c>
      <c r="B1473" s="298"/>
      <c r="C1473" s="298"/>
      <c r="D1473" s="1208"/>
      <c r="E1473" s="1209" t="str">
        <f>Translations!$B$1378</f>
        <v>Промяна в сравнение със стойността в НМИ</v>
      </c>
      <c r="F1473" s="1209"/>
      <c r="G1473" s="1209"/>
      <c r="H1473" s="1222"/>
      <c r="I1473" s="1223"/>
      <c r="J1473" s="104" t="str">
        <f>IF(J1472="","",IF($I1475=0,IF(J1472=0,0%,100%),J1472/$I1475-1))</f>
        <v/>
      </c>
      <c r="K1473" s="99" t="str">
        <f>IF(K1472="","",IF($I1475=0,IF(K1472=0,0%,100%),K1472/$I1475-1))</f>
        <v/>
      </c>
      <c r="L1473" s="99" t="str">
        <f>IF(L1472="","",IF($I1475=0,IF(L1472=0,0%,100%),L1472/$I1475-1))</f>
        <v/>
      </c>
      <c r="M1473" s="99" t="str">
        <f>IF(M1472="","",IF($I1475=0,IF(M1472=0,0%,100%),M1472/$I1475-1))</f>
        <v/>
      </c>
      <c r="N1473" s="123" t="str">
        <f>IF(N1472="","",IF($I1475=0,IF(N1472=0,0%,100%),N1472/$I1475-1))</f>
        <v/>
      </c>
      <c r="O1473" s="302"/>
      <c r="P1473" s="302"/>
      <c r="Q1473" s="1190" t="str">
        <f>EUconst_CNTR_RelThreshold &amp; Q1475</f>
        <v>RelThresh_HEATprelim_</v>
      </c>
      <c r="R1473" s="694"/>
      <c r="S1473" s="694"/>
      <c r="T1473" s="694"/>
      <c r="U1473" s="1231" t="s">
        <v>1715</v>
      </c>
      <c r="V1473" s="727" t="str">
        <f>IF(J1472="","",ABS(J1473)&gt;15%)</f>
        <v/>
      </c>
      <c r="W1473" s="727" t="str">
        <f>IF(K1472="","",ABS(K1473)&gt;15%)</f>
        <v/>
      </c>
      <c r="X1473" s="727" t="str">
        <f>IF(L1472="","",ABS(L1473)&gt;15%)</f>
        <v/>
      </c>
      <c r="Y1473" s="727" t="str">
        <f>IF(M1472="","",ABS(M1473)&gt;15%)</f>
        <v/>
      </c>
      <c r="Z1473" s="1221" t="str">
        <f>IF(N1472="","",ABS(N1473)&gt;15%)</f>
        <v/>
      </c>
      <c r="AA1473" s="694"/>
      <c r="AB1473" s="694"/>
      <c r="AC1473" s="694"/>
      <c r="AD1473" s="694"/>
      <c r="AE1473" s="694"/>
      <c r="AF1473" s="694"/>
      <c r="AG1473" s="694"/>
      <c r="AH1473" s="694"/>
      <c r="AI1473" s="694"/>
      <c r="AJ1473" s="694"/>
      <c r="AK1473" s="694"/>
      <c r="AL1473" s="694"/>
    </row>
    <row r="1474" spans="1:38" ht="12.75" customHeight="1" x14ac:dyDescent="0.25">
      <c r="A1474" s="729"/>
      <c r="B1474" s="298"/>
      <c r="C1474" s="298"/>
      <c r="D1474" s="1208" t="s">
        <v>7</v>
      </c>
      <c r="E1474" s="1209" t="str">
        <f>Translations!$B$1322</f>
        <v>Предварителна корекция (ако са надвишени относителните прагове)</v>
      </c>
      <c r="F1474" s="1209"/>
      <c r="G1474" s="1209"/>
      <c r="H1474" s="1222"/>
      <c r="I1474" s="1223"/>
      <c r="J1474" s="1224" t="str">
        <f>IF(J1472="","",IF(V1473=FALSE,0%,IF(V1474,J1473,I1480)))</f>
        <v/>
      </c>
      <c r="K1474" s="1225" t="str">
        <f>IF(K1472="","",IF(W1473=FALSE,0%,IF(W1474,K1473,J1480)))</f>
        <v/>
      </c>
      <c r="L1474" s="1225" t="str">
        <f>IF(L1472="","",IF(X1473=FALSE,0%,IF(X1474,L1473,K1480)))</f>
        <v/>
      </c>
      <c r="M1474" s="1225" t="str">
        <f>IF(M1472="","",IF(Y1473=FALSE,0%,IF(Y1474,M1473,L1480)))</f>
        <v/>
      </c>
      <c r="N1474" s="1226" t="str">
        <f>IF(N1472="","",IF(Z1473=FALSE,0%,IF(Z1474,N1473,M1480)))</f>
        <v/>
      </c>
      <c r="O1474" s="302"/>
      <c r="P1474" s="302"/>
      <c r="Q1474" s="729"/>
      <c r="R1474" s="694"/>
      <c r="S1474" s="694"/>
      <c r="T1474" s="694"/>
      <c r="U1474" s="1215" t="s">
        <v>1716</v>
      </c>
      <c r="V1474" s="727" t="str">
        <f>IF(J1472="","",AND(V1473,IF(SUM(I1480)&lt;0,OR(SUM(J1473)&lt;SUM(I1480)-MOD(SUM(I1480),5%),J1473&gt;=SUM(I1480)+5%-MOD(SUM(I1480),5%)),OR(SUM(J1473)&lt;=SUM(I1480)-MOD(SUM(I1480),5%),SUM(J1473)&gt;SUM(I1480)+5%-MOD(SUM(I1480),5%)))))</f>
        <v/>
      </c>
      <c r="W1474" s="727" t="str">
        <f>IF(K1472="","",AND(W1473,IF(SUM(J1480)&lt;0,OR(SUM(K1473)&lt;SUM(J1480)-MOD(SUM(J1480),5%),K1473&gt;=SUM(J1480)+5%-MOD(SUM(J1480),5%)),OR(SUM(K1473)&lt;=SUM(J1480)-MOD(SUM(J1480),5%),SUM(K1473)&gt;SUM(J1480)+5%-MOD(SUM(J1480),5%)))))</f>
        <v/>
      </c>
      <c r="X1474" s="727" t="str">
        <f>IF(L1472="","",AND(X1473,IF(SUM(K1480)&lt;0,OR(SUM(L1473)&lt;SUM(K1480)-MOD(SUM(K1480),5%),L1473&gt;=SUM(K1480)+5%-MOD(SUM(K1480),5%)),OR(SUM(L1473)&lt;=SUM(K1480)-MOD(SUM(K1480),5%),SUM(L1473)&gt;SUM(K1480)+5%-MOD(SUM(K1480),5%)))))</f>
        <v/>
      </c>
      <c r="Y1474" s="727" t="str">
        <f>IF(M1472="","",AND(Y1473,IF(SUM(L1480)&lt;0,OR(SUM(M1473)&lt;SUM(L1480)-MOD(SUM(L1480),5%),M1473&gt;=SUM(L1480)+5%-MOD(SUM(L1480),5%)),OR(SUM(M1473)&lt;=SUM(L1480)-MOD(SUM(L1480),5%),SUM(M1473)&gt;SUM(L1480)+5%-MOD(SUM(L1480),5%)))))</f>
        <v/>
      </c>
      <c r="Z1474" s="1221" t="str">
        <f>IF(N1472="","",AND(Z1473,IF(SUM(M1480)&lt;0,OR(SUM(N1473)&lt;SUM(M1480)-MOD(SUM(M1480),5%),N1473&gt;=SUM(M1480)+5%-MOD(SUM(M1480),5%)),OR(SUM(N1473)&lt;=SUM(M1480)-MOD(SUM(M1480),5%),SUM(N1473)&gt;SUM(M1480)+5%-MOD(SUM(M1480),5%)))))</f>
        <v/>
      </c>
      <c r="AA1474" s="694"/>
      <c r="AB1474" s="694"/>
      <c r="AC1474" s="694"/>
      <c r="AD1474" s="694"/>
      <c r="AE1474" s="694"/>
      <c r="AF1474" s="694"/>
      <c r="AG1474" s="694"/>
      <c r="AH1474" s="694"/>
      <c r="AI1474" s="694"/>
      <c r="AJ1474" s="694"/>
      <c r="AK1474" s="694"/>
      <c r="AL1474" s="729"/>
    </row>
    <row r="1475" spans="1:38" ht="12.75" hidden="1" customHeight="1" x14ac:dyDescent="0.25">
      <c r="A1475" s="729" t="s">
        <v>312</v>
      </c>
      <c r="B1475" s="298"/>
      <c r="C1475" s="298"/>
      <c r="D1475" s="1208"/>
      <c r="E1475" s="1209" t="str">
        <f>Translations!$B$1377</f>
        <v>Предварителна стойност</v>
      </c>
      <c r="F1475" s="1209"/>
      <c r="G1475" s="1209"/>
      <c r="H1475" s="1266" t="str">
        <f>H1472</f>
        <v>t CO2</v>
      </c>
      <c r="I1475" s="1211" t="str">
        <f>IF($I1418="","",IF(AB1418=FALSE,EUconst_NA,IF(V1418&gt;($J$2831-3),SUM(INDEX(H1465:N1465,MATCH(V1418,H1464:N1464,0))*EUconst_HeatBMvalue),SUM(I1472))))</f>
        <v/>
      </c>
      <c r="J1475" s="1212" t="str">
        <f>IF($I1418="","",IF(V1472&lt;2,SUM(V1465),IF(V1472&lt;3,SUM(U1465),IF(V1475="",I1475,V1475))))</f>
        <v/>
      </c>
      <c r="K1475" s="1213" t="str">
        <f>IF($I1418="","",IF(W1472&lt;2,SUM(W1465),IF(W1472&lt;3,SUM(V1465),IF(W1475="",J1475,W1475))))</f>
        <v/>
      </c>
      <c r="L1475" s="1213" t="str">
        <f>IF($I1418="","",IF(X1472&lt;2,SUM(X1465),IF(X1472&lt;3,SUM(W1465),IF(X1475="",K1475,X1475))))</f>
        <v/>
      </c>
      <c r="M1475" s="1213" t="str">
        <f>IF($I1418="","",IF(Y1472&lt;2,SUM(Y1465),IF(Y1472&lt;3,SUM(X1465),IF(Y1475="",L1475,Y1475))))</f>
        <v/>
      </c>
      <c r="N1475" s="1214" t="str">
        <f>IF($I1418="","",IF(Z1472&lt;2,SUM(Z1465),IF(Z1472&lt;3,SUM(Y1465),IF(Z1475="",M1475,Z1475))))</f>
        <v/>
      </c>
      <c r="O1475" s="302"/>
      <c r="P1475" s="302"/>
      <c r="Q1475" s="1190" t="str">
        <f>EUconst_CNTR_HEATprelim &amp; I1418</f>
        <v>HEATprelim_</v>
      </c>
      <c r="R1475" s="694"/>
      <c r="S1475" s="694"/>
      <c r="T1475" s="694"/>
      <c r="U1475" s="1231" t="s">
        <v>1756</v>
      </c>
      <c r="V1475" s="1271" t="str">
        <f>IF(J1472="","",IF(CNTR_ReportingYear&lt;J1471,I1474,IF($I1475=0,J1472,$I1475*(1+J1474))))</f>
        <v/>
      </c>
      <c r="W1475" s="1271" t="str">
        <f>IF(K1472="","",IF(CNTR_ReportingYear&lt;K1471,J1474,IF($I1475=0,K1472,$I1475*(1+K1474))))</f>
        <v/>
      </c>
      <c r="X1475" s="1271" t="str">
        <f>IF(L1472="","",IF(CNTR_ReportingYear&lt;L1471,K1474,IF($I1475=0,L1472,$I1475*(1+L1474))))</f>
        <v/>
      </c>
      <c r="Y1475" s="1271" t="str">
        <f>IF(M1472="","",IF(CNTR_ReportingYear&lt;M1471,L1474,IF($I1475=0,M1472,$I1475*(1+M1474))))</f>
        <v/>
      </c>
      <c r="Z1475" s="1272" t="str">
        <f>IF(N1472="","",IF(CNTR_ReportingYear&lt;N1471,M1474,IF($I1475=0,N1472,$I1475*(1+N1474))))</f>
        <v/>
      </c>
      <c r="AA1475" s="694"/>
      <c r="AB1475" s="694"/>
      <c r="AC1475" s="694"/>
      <c r="AD1475" s="694"/>
      <c r="AE1475" s="694"/>
      <c r="AF1475" s="694"/>
      <c r="AG1475" s="694"/>
      <c r="AH1475" s="694"/>
      <c r="AI1475" s="694"/>
      <c r="AJ1475" s="694"/>
      <c r="AK1475" s="694"/>
      <c r="AL1475" s="729"/>
    </row>
    <row r="1476" spans="1:38" ht="5.15" customHeight="1" x14ac:dyDescent="0.25">
      <c r="A1476" s="729"/>
      <c r="B1476" s="298"/>
      <c r="C1476" s="298"/>
      <c r="D1476" s="1208"/>
      <c r="E1476" s="1199"/>
      <c r="F1476" s="1199"/>
      <c r="G1476" s="1199"/>
      <c r="H1476" s="1199"/>
      <c r="I1476" s="1199"/>
      <c r="J1476" s="1229"/>
      <c r="K1476" s="1229"/>
      <c r="L1476" s="1229"/>
      <c r="M1476" s="1229"/>
      <c r="N1476" s="1230"/>
      <c r="O1476" s="302"/>
      <c r="P1476" s="302"/>
      <c r="Q1476" s="729"/>
      <c r="R1476" s="694"/>
      <c r="S1476" s="694"/>
      <c r="T1476" s="694"/>
      <c r="U1476" s="1231"/>
      <c r="V1476" s="729"/>
      <c r="W1476" s="694"/>
      <c r="X1476" s="694"/>
      <c r="Y1476" s="694"/>
      <c r="Z1476" s="1232"/>
      <c r="AA1476" s="694"/>
      <c r="AB1476" s="694"/>
      <c r="AC1476" s="694"/>
      <c r="AD1476" s="694"/>
      <c r="AE1476" s="694"/>
      <c r="AF1476" s="694"/>
      <c r="AG1476" s="694"/>
      <c r="AH1476" s="694"/>
      <c r="AI1476" s="694"/>
      <c r="AJ1476" s="694"/>
      <c r="AK1476" s="694"/>
      <c r="AL1476" s="729"/>
    </row>
    <row r="1477" spans="1:38" ht="12.75" customHeight="1" x14ac:dyDescent="0.25">
      <c r="A1477" s="729"/>
      <c r="B1477" s="298"/>
      <c r="C1477" s="298"/>
      <c r="D1477" s="1208"/>
      <c r="E1477" s="1233" t="str">
        <f>Translations!$B$1323</f>
        <v>Действителна корекция (база за следващи години)</v>
      </c>
      <c r="F1477" s="1233"/>
      <c r="G1477" s="1233"/>
      <c r="H1477" s="1233"/>
      <c r="I1477" s="1233"/>
      <c r="J1477" s="1202">
        <f>J$2831</f>
        <v>2026</v>
      </c>
      <c r="K1477" s="1203">
        <f>K$2831</f>
        <v>2027</v>
      </c>
      <c r="L1477" s="1203">
        <f>L$2831</f>
        <v>2028</v>
      </c>
      <c r="M1477" s="1203">
        <f>M$2831</f>
        <v>2029</v>
      </c>
      <c r="N1477" s="1204">
        <f>N$2831</f>
        <v>2030</v>
      </c>
      <c r="O1477" s="302"/>
      <c r="P1477" s="302"/>
      <c r="Q1477" s="729"/>
      <c r="R1477" s="694"/>
      <c r="S1477" s="694"/>
      <c r="T1477" s="694"/>
      <c r="U1477" s="1234"/>
      <c r="V1477" s="694"/>
      <c r="W1477" s="694"/>
      <c r="X1477" s="694"/>
      <c r="Y1477" s="694"/>
      <c r="Z1477" s="1232"/>
      <c r="AA1477" s="694"/>
      <c r="AB1477" s="694"/>
      <c r="AC1477" s="694"/>
      <c r="AD1477" s="694"/>
      <c r="AE1477" s="694"/>
      <c r="AF1477" s="694"/>
      <c r="AG1477" s="694"/>
      <c r="AH1477" s="694"/>
      <c r="AI1477" s="694"/>
      <c r="AJ1477" s="694"/>
      <c r="AK1477" s="694"/>
      <c r="AL1477" s="729"/>
    </row>
    <row r="1478" spans="1:38" ht="12.75" customHeight="1" x14ac:dyDescent="0.25">
      <c r="A1478" s="729"/>
      <c r="B1478" s="298"/>
      <c r="C1478" s="298"/>
      <c r="D1478" s="1208" t="s">
        <v>8</v>
      </c>
      <c r="E1478" s="1209" t="str">
        <f>Translations!$B$1515</f>
        <v>изпълнен ли е критерият за &gt;=300 квоти за емисии?</v>
      </c>
      <c r="F1478" s="1209"/>
      <c r="G1478" s="1209"/>
      <c r="H1478" s="1209"/>
      <c r="I1478" s="1209"/>
      <c r="J1478" s="1236" t="str">
        <f>IF($I1418="","",INDEX(K_Summary!J:J,MATCH($Q1478,K_Summary!$P:$P,0)))</f>
        <v/>
      </c>
      <c r="K1478" s="385" t="str">
        <f>IF($I1418="","",INDEX(K_Summary!K:K,MATCH($Q1478,K_Summary!$P:$P,0)))</f>
        <v/>
      </c>
      <c r="L1478" s="385" t="str">
        <f>IF($I1418="","",INDEX(K_Summary!L:L,MATCH($Q1478,K_Summary!$P:$P,0)))</f>
        <v/>
      </c>
      <c r="M1478" s="385" t="str">
        <f>IF($I1418="","",INDEX(K_Summary!M:M,MATCH($Q1478,K_Summary!$P:$P,0)))</f>
        <v/>
      </c>
      <c r="N1478" s="1237" t="str">
        <f>IF($I1418="","",INDEX(K_Summary!N:N,MATCH($Q1478,K_Summary!$P:$P,0)))</f>
        <v/>
      </c>
      <c r="O1478" s="302"/>
      <c r="P1478" s="302"/>
      <c r="Q1478" s="1182" t="str">
        <f>EUconst_CNTR_300EUA&amp;I1418</f>
        <v>EUA300_</v>
      </c>
      <c r="R1478" s="694"/>
      <c r="S1478" s="694"/>
      <c r="T1478" s="694"/>
      <c r="U1478" s="1234"/>
      <c r="V1478" s="694"/>
      <c r="W1478" s="694"/>
      <c r="X1478" s="694"/>
      <c r="Y1478" s="694"/>
      <c r="Z1478" s="1232"/>
      <c r="AA1478" s="694"/>
      <c r="AB1478" s="694"/>
      <c r="AC1478" s="694"/>
      <c r="AD1478" s="694"/>
      <c r="AE1478" s="694"/>
      <c r="AF1478" s="694"/>
      <c r="AG1478" s="694"/>
      <c r="AH1478" s="694"/>
      <c r="AI1478" s="694"/>
      <c r="AJ1478" s="694"/>
      <c r="AK1478" s="694"/>
      <c r="AL1478" s="729"/>
    </row>
    <row r="1479" spans="1:38" ht="5.15" customHeight="1" thickBot="1" x14ac:dyDescent="0.3">
      <c r="A1479" s="729"/>
      <c r="B1479" s="298"/>
      <c r="C1479" s="298"/>
      <c r="D1479" s="1208"/>
      <c r="E1479" s="1199"/>
      <c r="F1479" s="1199"/>
      <c r="G1479" s="1199"/>
      <c r="H1479" s="1199"/>
      <c r="I1479" s="1199"/>
      <c r="J1479" s="1199"/>
      <c r="K1479" s="1199"/>
      <c r="L1479" s="1199"/>
      <c r="M1479" s="1199"/>
      <c r="N1479" s="1238"/>
      <c r="O1479" s="302"/>
      <c r="P1479" s="302"/>
      <c r="Q1479" s="729"/>
      <c r="R1479" s="694"/>
      <c r="S1479" s="694"/>
      <c r="T1479" s="694"/>
      <c r="U1479" s="1231"/>
      <c r="V1479" s="729"/>
      <c r="W1479" s="694"/>
      <c r="X1479" s="694"/>
      <c r="Y1479" s="694"/>
      <c r="Z1479" s="1232"/>
      <c r="AA1479" s="694"/>
      <c r="AB1479" s="694"/>
      <c r="AC1479" s="694"/>
      <c r="AD1479" s="694"/>
      <c r="AE1479" s="694"/>
      <c r="AF1479" s="694"/>
      <c r="AG1479" s="694"/>
      <c r="AH1479" s="694"/>
      <c r="AI1479" s="694"/>
      <c r="AJ1479" s="694"/>
      <c r="AK1479" s="694"/>
      <c r="AL1479" s="729"/>
    </row>
    <row r="1480" spans="1:38" ht="12.75" customHeight="1" thickBot="1" x14ac:dyDescent="0.3">
      <c r="A1480" s="694"/>
      <c r="B1480" s="298"/>
      <c r="C1480" s="298"/>
      <c r="D1480" s="1208" t="s">
        <v>18</v>
      </c>
      <c r="E1480" s="1209" t="str">
        <f>Translations!$B$1324</f>
        <v>Действителна корекция (ако са надвишени всички прагове)</v>
      </c>
      <c r="F1480" s="1209"/>
      <c r="G1480" s="1209"/>
      <c r="H1480" s="1222"/>
      <c r="I1480" s="1239"/>
      <c r="J1480" s="1240" t="str">
        <f>IF(J1478="","",IF(OR(J1478,V1472&lt;1),J1474,I1480))</f>
        <v/>
      </c>
      <c r="K1480" s="1241" t="str">
        <f>IF(K1478="","",IF(OR(K1478,W1472&lt;1),K1474,J1480))</f>
        <v/>
      </c>
      <c r="L1480" s="1241" t="str">
        <f>IF(L1478="","",IF(OR(L1478,X1472&lt;1),L1474,K1480))</f>
        <v/>
      </c>
      <c r="M1480" s="1241" t="str">
        <f>IF(M1478="","",IF(OR(M1478,Y1472&lt;1),M1474,L1480))</f>
        <v/>
      </c>
      <c r="N1480" s="1242" t="str">
        <f>IF(N1478="","",IF(OR(N1478,Z1472&lt;1),N1474,M1480))</f>
        <v/>
      </c>
      <c r="O1480" s="302"/>
      <c r="P1480" s="302"/>
      <c r="Q1480" s="729"/>
      <c r="R1480" s="694"/>
      <c r="S1480" s="694"/>
      <c r="T1480" s="694"/>
      <c r="U1480" s="1231" t="s">
        <v>1718</v>
      </c>
      <c r="V1480" s="1243">
        <f>J1477</f>
        <v>2026</v>
      </c>
      <c r="W1480" s="1243">
        <f>K1477</f>
        <v>2027</v>
      </c>
      <c r="X1480" s="1243">
        <f>L1477</f>
        <v>2028</v>
      </c>
      <c r="Y1480" s="1243">
        <f>M1477</f>
        <v>2029</v>
      </c>
      <c r="Z1480" s="1244">
        <f>N1477</f>
        <v>2030</v>
      </c>
      <c r="AA1480" s="694"/>
      <c r="AB1480" s="694"/>
      <c r="AC1480" s="694"/>
      <c r="AD1480" s="694"/>
      <c r="AE1480" s="694"/>
      <c r="AF1480" s="694"/>
      <c r="AG1480" s="694"/>
      <c r="AH1480" s="694"/>
      <c r="AI1480" s="694"/>
      <c r="AJ1480" s="694"/>
      <c r="AK1480" s="694"/>
      <c r="AL1480" s="729"/>
    </row>
    <row r="1481" spans="1:38" ht="12.75" customHeight="1" thickBot="1" x14ac:dyDescent="0.3">
      <c r="A1481" s="729"/>
      <c r="B1481" s="298"/>
      <c r="C1481" s="298"/>
      <c r="D1481" s="1208" t="s">
        <v>810</v>
      </c>
      <c r="E1481" s="1209" t="str">
        <f>Translations!$B$1325</f>
        <v>Действителна стойност</v>
      </c>
      <c r="F1481" s="1209"/>
      <c r="G1481" s="1209"/>
      <c r="H1481" s="1266" t="str">
        <f>H1472</f>
        <v>t CO2</v>
      </c>
      <c r="I1481" s="1211" t="str">
        <f>I1475</f>
        <v/>
      </c>
      <c r="J1481" s="632" t="str">
        <f>IF($I1418="","",IF(OR($I1481=0,$I1481=EUconst_NA,J1480=""),IF(OR(J1478=TRUE,J1477&lt;=$V1418),J1475,SUM(I1481)),$I1481*(1+SUM(J1480))))</f>
        <v/>
      </c>
      <c r="K1481" s="633" t="str">
        <f>IF($I1418="","",IF(OR($I1481=0,$I1481=EUconst_NA,K1480=""),IF(OR(K1478=TRUE,K1477&lt;=$V1418),K1475,SUM(J1481)),$I1481*(1+SUM(K1480))))</f>
        <v/>
      </c>
      <c r="L1481" s="633" t="str">
        <f>IF($I1418="","",IF(OR($I1481=0,$I1481=EUconst_NA,L1480=""),IF(OR(L1478=TRUE,L1477&lt;=$V1418),L1475,SUM(K1481)),$I1481*(1+SUM(L1480))))</f>
        <v/>
      </c>
      <c r="M1481" s="633" t="str">
        <f>IF($I1418="","",IF(OR($I1481=0,$I1481=EUconst_NA,M1480=""),IF(OR(M1478=TRUE,M1477&lt;=$V1418),M1475,SUM(L1481)),$I1481*(1+SUM(M1480))))</f>
        <v/>
      </c>
      <c r="N1481" s="634" t="str">
        <f>IF($I1418="","",IF(OR($I1481=0,$I1481=EUconst_NA,N1480=""),IF(OR(N1478=TRUE,N1477&lt;=$V1418),N1475,SUM(M1481)),$I1481*(1+SUM(N1480))))</f>
        <v/>
      </c>
      <c r="O1481" s="302"/>
      <c r="P1481" s="302"/>
      <c r="Q1481" s="1190" t="str">
        <f>EUconst_CNTR_HEATfinal &amp; I1418</f>
        <v>HEATfinal_</v>
      </c>
      <c r="R1481" s="694"/>
      <c r="S1481" s="694"/>
      <c r="T1481" s="694"/>
      <c r="U1481" s="1245" t="b">
        <v>0</v>
      </c>
      <c r="V1481" s="1246" t="str">
        <f>IF(V1426,IF(J1478=TRUE,V1473,U1481),"")</f>
        <v/>
      </c>
      <c r="W1481" s="1246" t="str">
        <f>IF(W1426,IF(K1478=TRUE,W1473,V1481),"")</f>
        <v/>
      </c>
      <c r="X1481" s="1246" t="str">
        <f>IF(X1426,IF(L1478=TRUE,X1473,W1481),"")</f>
        <v/>
      </c>
      <c r="Y1481" s="1246" t="str">
        <f>IF(Y1426,IF(M1478=TRUE,Y1473,X1481),"")</f>
        <v/>
      </c>
      <c r="Z1481" s="1247" t="str">
        <f>IF(Z1426,IF(N1478=TRUE,Z1473,Y1481),"")</f>
        <v/>
      </c>
      <c r="AA1481" s="694"/>
      <c r="AB1481" s="694"/>
      <c r="AC1481" s="694"/>
      <c r="AD1481" s="694"/>
      <c r="AE1481" s="694"/>
      <c r="AF1481" s="694"/>
      <c r="AG1481" s="694"/>
      <c r="AH1481" s="694"/>
      <c r="AI1481" s="694"/>
      <c r="AJ1481" s="1174" t="s">
        <v>2033</v>
      </c>
      <c r="AK1481" s="982" t="str">
        <f>IF(OR(ISERROR(J1481),ISERROR(K1481),ISERROR(L1481),ISERROR(M1481),ISERROR(N1481)),EUconst_Error &amp; "BM" &amp; Q1418,"")</f>
        <v/>
      </c>
      <c r="AL1481" s="694"/>
    </row>
    <row r="1482" spans="1:38" ht="5.15" customHeight="1" thickBot="1" x14ac:dyDescent="0.3">
      <c r="A1482" s="694"/>
      <c r="B1482" s="698"/>
      <c r="C1482" s="698"/>
      <c r="D1482" s="1273"/>
      <c r="E1482" s="1274"/>
      <c r="F1482" s="1274"/>
      <c r="G1482" s="1274"/>
      <c r="H1482" s="1274"/>
      <c r="I1482" s="1275"/>
      <c r="J1482" s="1274"/>
      <c r="K1482" s="1274"/>
      <c r="L1482" s="1274"/>
      <c r="M1482" s="1274"/>
      <c r="N1482" s="1276"/>
      <c r="O1482" s="302"/>
      <c r="P1482" s="302"/>
      <c r="Q1482" s="1263"/>
      <c r="R1482" s="694"/>
      <c r="S1482" s="729"/>
      <c r="T1482" s="729"/>
      <c r="U1482" s="694"/>
      <c r="V1482" s="694"/>
      <c r="W1482" s="694"/>
      <c r="X1482" s="694"/>
      <c r="Y1482" s="694"/>
      <c r="Z1482" s="694"/>
      <c r="AA1482" s="694"/>
      <c r="AB1482" s="694"/>
      <c r="AC1482" s="694"/>
      <c r="AD1482" s="694"/>
      <c r="AE1482" s="694"/>
      <c r="AF1482" s="694"/>
      <c r="AG1482" s="694"/>
      <c r="AH1482" s="694"/>
      <c r="AI1482" s="694"/>
      <c r="AJ1482" s="694"/>
      <c r="AK1482" s="694"/>
      <c r="AL1482" s="694"/>
    </row>
    <row r="1483" spans="1:38" ht="5.15" customHeight="1" x14ac:dyDescent="0.25">
      <c r="A1483" s="694"/>
      <c r="B1483" s="698"/>
      <c r="C1483" s="698"/>
      <c r="D1483" s="698"/>
      <c r="E1483" s="698"/>
      <c r="F1483" s="698"/>
      <c r="G1483" s="698"/>
      <c r="H1483" s="698"/>
      <c r="I1483" s="1025"/>
      <c r="J1483" s="698"/>
      <c r="K1483" s="698"/>
      <c r="L1483" s="698"/>
      <c r="M1483" s="698"/>
      <c r="N1483" s="698"/>
      <c r="O1483" s="302"/>
      <c r="P1483" s="302"/>
      <c r="Q1483" s="1263"/>
      <c r="R1483" s="694"/>
      <c r="S1483" s="729"/>
      <c r="T1483" s="729"/>
      <c r="U1483" s="694"/>
      <c r="V1483" s="694"/>
      <c r="W1483" s="694"/>
      <c r="X1483" s="694"/>
      <c r="Y1483" s="694"/>
      <c r="Z1483" s="694"/>
      <c r="AA1483" s="694"/>
      <c r="AB1483" s="694"/>
      <c r="AC1483" s="694"/>
      <c r="AD1483" s="694"/>
      <c r="AE1483" s="694"/>
      <c r="AF1483" s="694"/>
      <c r="AG1483" s="694"/>
      <c r="AH1483" s="694"/>
      <c r="AI1483" s="694"/>
      <c r="AJ1483" s="694"/>
      <c r="AK1483" s="694"/>
      <c r="AL1483" s="694"/>
    </row>
    <row r="1484" spans="1:38" ht="14" x14ac:dyDescent="0.25">
      <c r="A1484" s="694"/>
      <c r="B1484" s="698"/>
      <c r="C1484" s="358"/>
      <c r="D1484" s="2323" t="str">
        <f>Translations!$B$495</f>
        <v>Данни за производството</v>
      </c>
      <c r="E1484" s="2249"/>
      <c r="F1484" s="2249"/>
      <c r="G1484" s="2249"/>
      <c r="H1484" s="2249"/>
      <c r="I1484" s="2249"/>
      <c r="J1484" s="2249"/>
      <c r="K1484" s="2249"/>
      <c r="L1484" s="2249"/>
      <c r="M1484" s="2249"/>
      <c r="N1484" s="2249"/>
      <c r="O1484" s="302"/>
      <c r="P1484" s="302"/>
      <c r="Q1484" s="694"/>
      <c r="R1484" s="694"/>
      <c r="S1484" s="729"/>
      <c r="T1484" s="729"/>
      <c r="U1484" s="694"/>
      <c r="V1484" s="694"/>
      <c r="W1484" s="694"/>
      <c r="X1484" s="694"/>
      <c r="Y1484" s="694"/>
      <c r="Z1484" s="694"/>
      <c r="AA1484" s="694"/>
      <c r="AB1484" s="694"/>
      <c r="AC1484" s="694"/>
      <c r="AD1484" s="694"/>
      <c r="AE1484" s="694"/>
      <c r="AF1484" s="694"/>
      <c r="AG1484" s="694"/>
      <c r="AH1484" s="694"/>
      <c r="AI1484" s="694"/>
      <c r="AJ1484" s="694"/>
      <c r="AK1484" s="694"/>
      <c r="AL1484" s="694"/>
    </row>
    <row r="1485" spans="1:38" ht="5.15" customHeight="1" x14ac:dyDescent="0.25">
      <c r="A1485" s="694"/>
      <c r="B1485" s="298"/>
      <c r="C1485" s="298"/>
      <c r="D1485" s="298"/>
      <c r="E1485" s="298"/>
      <c r="F1485" s="298"/>
      <c r="G1485" s="298"/>
      <c r="H1485" s="298"/>
      <c r="I1485" s="298"/>
      <c r="J1485" s="298"/>
      <c r="K1485" s="298"/>
      <c r="L1485" s="298"/>
      <c r="M1485" s="298"/>
      <c r="N1485" s="298"/>
      <c r="O1485" s="302"/>
      <c r="P1485" s="302"/>
      <c r="Q1485" s="729"/>
      <c r="R1485" s="729"/>
      <c r="S1485" s="729"/>
      <c r="T1485" s="729"/>
      <c r="U1485" s="694"/>
      <c r="V1485" s="694"/>
      <c r="W1485" s="694"/>
      <c r="X1485" s="694"/>
      <c r="Y1485" s="694"/>
      <c r="Z1485" s="694"/>
      <c r="AA1485" s="694"/>
      <c r="AB1485" s="694"/>
      <c r="AC1485" s="694"/>
      <c r="AD1485" s="694"/>
      <c r="AE1485" s="694"/>
      <c r="AF1485" s="694"/>
      <c r="AG1485" s="694"/>
      <c r="AH1485" s="694"/>
      <c r="AI1485" s="694"/>
      <c r="AJ1485" s="694"/>
      <c r="AK1485" s="694"/>
      <c r="AL1485" s="694"/>
    </row>
    <row r="1486" spans="1:38" ht="13" x14ac:dyDescent="0.25">
      <c r="A1486" s="694"/>
      <c r="B1486" s="298"/>
      <c r="C1486" s="300"/>
      <c r="D1486" s="300" t="s">
        <v>54</v>
      </c>
      <c r="E1486" s="2226" t="str">
        <f>Translations!$B$496</f>
        <v>Идентификация на продуктите, включени в тази подинсталация с продуктов показател</v>
      </c>
      <c r="F1486" s="2249"/>
      <c r="G1486" s="2249"/>
      <c r="H1486" s="2249"/>
      <c r="I1486" s="2249"/>
      <c r="J1486" s="2249"/>
      <c r="K1486" s="2249"/>
      <c r="L1486" s="2249"/>
      <c r="M1486" s="2249"/>
      <c r="N1486" s="2249"/>
      <c r="O1486" s="302"/>
      <c r="P1486" s="302"/>
      <c r="Q1486" s="729"/>
      <c r="R1486" s="694"/>
      <c r="S1486" s="729"/>
      <c r="T1486" s="729"/>
      <c r="U1486" s="694"/>
      <c r="V1486" s="694"/>
      <c r="W1486" s="694"/>
      <c r="X1486" s="694"/>
      <c r="Y1486" s="694"/>
      <c r="Z1486" s="694"/>
      <c r="AA1486" s="694"/>
      <c r="AB1486" s="694"/>
      <c r="AC1486" s="694"/>
      <c r="AD1486" s="694"/>
      <c r="AE1486" s="694"/>
      <c r="AF1486" s="694"/>
      <c r="AG1486" s="694"/>
      <c r="AH1486" s="694"/>
      <c r="AI1486" s="694"/>
      <c r="AJ1486" s="694"/>
      <c r="AK1486" s="694"/>
      <c r="AL1486" s="694"/>
    </row>
    <row r="1487" spans="1:38" ht="5.15" customHeight="1" x14ac:dyDescent="0.25">
      <c r="A1487" s="694"/>
      <c r="B1487" s="298"/>
      <c r="C1487" s="302"/>
      <c r="D1487" s="302"/>
      <c r="E1487" s="2358" t="str">
        <f>Translations!$B$1518</f>
        <v xml:space="preserve"> </v>
      </c>
      <c r="F1487" s="2249"/>
      <c r="G1487" s="2249"/>
      <c r="H1487" s="2249"/>
      <c r="I1487" s="2249"/>
      <c r="J1487" s="2249"/>
      <c r="K1487" s="2249"/>
      <c r="L1487" s="2249"/>
      <c r="M1487" s="2249"/>
      <c r="N1487" s="2249"/>
      <c r="O1487" s="302"/>
      <c r="P1487" s="302"/>
      <c r="Q1487" s="729"/>
      <c r="R1487" s="694"/>
      <c r="S1487" s="729"/>
      <c r="T1487" s="729"/>
      <c r="U1487" s="694"/>
      <c r="V1487" s="694"/>
      <c r="W1487" s="694"/>
      <c r="X1487" s="694"/>
      <c r="Y1487" s="694"/>
      <c r="Z1487" s="694"/>
      <c r="AA1487" s="694"/>
      <c r="AB1487" s="694"/>
      <c r="AC1487" s="694"/>
      <c r="AD1487" s="694"/>
      <c r="AE1487" s="694"/>
      <c r="AF1487" s="694"/>
      <c r="AG1487" s="694"/>
      <c r="AH1487" s="694"/>
      <c r="AI1487" s="694"/>
      <c r="AJ1487" s="694"/>
      <c r="AK1487" s="694"/>
      <c r="AL1487" s="694"/>
    </row>
    <row r="1488" spans="1:38" ht="25.5" customHeight="1" x14ac:dyDescent="0.25">
      <c r="A1488" s="694"/>
      <c r="B1488" s="298"/>
      <c r="C1488" s="302"/>
      <c r="D1488" s="302"/>
      <c r="E1488" s="2358" t="str">
        <f>Translations!$B$497</f>
        <v>Кодовете по Продком се въвеждат като низове във вида „nnnnnnnn“, т.е. без точки или други разделителни знаци между тях. Само когато липсва код по Продком, се посочва 4-цифрения код по статистическата класификация на икономическите дейности в Европейския съюз (NACE) във вида „nnnn“.</v>
      </c>
      <c r="F1488" s="2249"/>
      <c r="G1488" s="2249"/>
      <c r="H1488" s="2249"/>
      <c r="I1488" s="2249"/>
      <c r="J1488" s="2249"/>
      <c r="K1488" s="2249"/>
      <c r="L1488" s="2249"/>
      <c r="M1488" s="2249"/>
      <c r="N1488" s="2249"/>
      <c r="O1488" s="302"/>
      <c r="P1488" s="302"/>
      <c r="Q1488" s="729"/>
      <c r="R1488" s="694"/>
      <c r="S1488" s="729"/>
      <c r="T1488" s="729"/>
      <c r="U1488" s="694"/>
      <c r="V1488" s="694"/>
      <c r="W1488" s="694"/>
      <c r="X1488" s="694"/>
      <c r="Y1488" s="694"/>
      <c r="Z1488" s="694"/>
      <c r="AA1488" s="694"/>
      <c r="AB1488" s="694"/>
      <c r="AC1488" s="694"/>
      <c r="AD1488" s="694"/>
      <c r="AE1488" s="694"/>
      <c r="AF1488" s="694"/>
      <c r="AG1488" s="694"/>
      <c r="AH1488" s="694"/>
      <c r="AI1488" s="694"/>
      <c r="AJ1488" s="694"/>
      <c r="AK1488" s="694"/>
      <c r="AL1488" s="694"/>
    </row>
    <row r="1489" spans="1:38" x14ac:dyDescent="0.25">
      <c r="A1489" s="694"/>
      <c r="B1489" s="298"/>
      <c r="C1489" s="302"/>
      <c r="D1489" s="302"/>
      <c r="E1489" s="2358" t="str">
        <f>Translations!$B$498</f>
        <v>Продком списъкът за 2010 г. може да се намери на адрес: http://ec.europa.eu/eurostat/ramon/nomenclatures/index.cfm?TargetUrl=LST_CLS_DLD&amp;StrNom=PRD_2010&amp;StrLanguageCode=EN&amp;StrLayoutCode=HIERARCHIChttp://ec.europa.eu/eurostat/ramon/nomenclatures/index.cfm?TargetUrl=LST_CLS_DLD&amp;StrNom=PRD_2010&amp;StrLanguageCode=EN&amp;StrLayoutCode=HIERARCHIC</v>
      </c>
      <c r="F1489" s="2249"/>
      <c r="G1489" s="2249"/>
      <c r="H1489" s="2249"/>
      <c r="I1489" s="2249"/>
      <c r="J1489" s="2249"/>
      <c r="K1489" s="2249"/>
      <c r="L1489" s="2249"/>
      <c r="M1489" s="2249"/>
      <c r="N1489" s="2249"/>
      <c r="O1489" s="302"/>
      <c r="P1489" s="302"/>
      <c r="Q1489" s="729"/>
      <c r="R1489" s="694"/>
      <c r="S1489" s="729"/>
      <c r="T1489" s="729"/>
      <c r="U1489" s="694"/>
      <c r="V1489" s="694"/>
      <c r="W1489" s="694"/>
      <c r="X1489" s="694"/>
      <c r="Y1489" s="694"/>
      <c r="Z1489" s="694"/>
      <c r="AA1489" s="694"/>
      <c r="AB1489" s="694"/>
      <c r="AC1489" s="694"/>
      <c r="AD1489" s="694"/>
      <c r="AE1489" s="694"/>
      <c r="AF1489" s="694"/>
      <c r="AG1489" s="694"/>
      <c r="AH1489" s="694"/>
      <c r="AI1489" s="694"/>
      <c r="AJ1489" s="694"/>
      <c r="AK1489" s="694"/>
      <c r="AL1489" s="694"/>
    </row>
    <row r="1490" spans="1:38" x14ac:dyDescent="0.25">
      <c r="A1490" s="694"/>
      <c r="B1490" s="298"/>
      <c r="C1490" s="302"/>
      <c r="D1490" s="302"/>
      <c r="E1490" s="2855" t="str">
        <f>Translations!$B$1519</f>
        <v>https://eur-lex.europa.eu/eli/reg/2010/860/oj/bul</v>
      </c>
      <c r="F1490" s="2856"/>
      <c r="G1490" s="2856"/>
      <c r="H1490" s="2856"/>
      <c r="I1490" s="2856"/>
      <c r="J1490" s="2856"/>
      <c r="K1490" s="2856"/>
      <c r="L1490" s="2856"/>
      <c r="M1490" s="2856"/>
      <c r="N1490" s="2856"/>
      <c r="O1490" s="302"/>
      <c r="P1490" s="302"/>
      <c r="Q1490" s="729"/>
      <c r="R1490" s="694"/>
      <c r="S1490" s="729"/>
      <c r="T1490" s="729"/>
      <c r="U1490" s="694"/>
      <c r="V1490" s="694"/>
      <c r="W1490" s="694"/>
      <c r="X1490" s="694"/>
      <c r="Y1490" s="694"/>
      <c r="Z1490" s="694"/>
      <c r="AA1490" s="694"/>
      <c r="AB1490" s="694"/>
      <c r="AC1490" s="694"/>
      <c r="AD1490" s="694"/>
      <c r="AE1490" s="694"/>
      <c r="AF1490" s="694"/>
      <c r="AG1490" s="694"/>
      <c r="AH1490" s="694"/>
      <c r="AI1490" s="694"/>
      <c r="AJ1490" s="694"/>
      <c r="AK1490" s="694"/>
      <c r="AL1490" s="694"/>
    </row>
    <row r="1491" spans="1:38" x14ac:dyDescent="0.25">
      <c r="A1491" s="694"/>
      <c r="B1491" s="298"/>
      <c r="C1491" s="302"/>
      <c r="D1491" s="302"/>
      <c r="E1491" s="2358" t="str">
        <f>Translations!$B$1520</f>
        <v>Кодовете по КН са кодовете съгласно Регламент (ЕИО) № 2658/87, които са на разположение на следния адрес:</v>
      </c>
      <c r="F1491" s="2249"/>
      <c r="G1491" s="2249"/>
      <c r="H1491" s="2249"/>
      <c r="I1491" s="2249"/>
      <c r="J1491" s="2249"/>
      <c r="K1491" s="2249"/>
      <c r="L1491" s="2249"/>
      <c r="M1491" s="2249"/>
      <c r="N1491" s="2249"/>
      <c r="O1491" s="302"/>
      <c r="P1491" s="302"/>
      <c r="Q1491" s="729"/>
      <c r="R1491" s="694"/>
      <c r="S1491" s="729"/>
      <c r="T1491" s="729"/>
      <c r="U1491" s="694"/>
      <c r="V1491" s="694"/>
      <c r="W1491" s="694"/>
      <c r="X1491" s="694"/>
      <c r="Y1491" s="694"/>
      <c r="Z1491" s="694"/>
      <c r="AA1491" s="694"/>
      <c r="AB1491" s="694"/>
      <c r="AC1491" s="694"/>
      <c r="AD1491" s="694"/>
      <c r="AE1491" s="694"/>
      <c r="AF1491" s="694"/>
      <c r="AG1491" s="694"/>
      <c r="AH1491" s="694"/>
      <c r="AI1491" s="694"/>
      <c r="AJ1491" s="694"/>
      <c r="AK1491" s="694"/>
      <c r="AL1491" s="694"/>
    </row>
    <row r="1492" spans="1:38" x14ac:dyDescent="0.25">
      <c r="A1492" s="694"/>
      <c r="B1492" s="298"/>
      <c r="C1492" s="302"/>
      <c r="D1492" s="302"/>
      <c r="E1492" s="2855" t="str">
        <f>Translations!$B$1521</f>
        <v>https://eur-lex.europa.eu/eli/reg/1987/2658/2023-06-17</v>
      </c>
      <c r="F1492" s="2856"/>
      <c r="G1492" s="2856"/>
      <c r="H1492" s="2856"/>
      <c r="I1492" s="2856"/>
      <c r="J1492" s="2856"/>
      <c r="K1492" s="2856"/>
      <c r="L1492" s="2856"/>
      <c r="M1492" s="2856"/>
      <c r="N1492" s="2856"/>
      <c r="O1492" s="302"/>
      <c r="P1492" s="302"/>
      <c r="Q1492" s="729"/>
      <c r="R1492" s="694"/>
      <c r="S1492" s="729"/>
      <c r="T1492" s="729"/>
      <c r="U1492" s="694"/>
      <c r="V1492" s="694"/>
      <c r="W1492" s="694"/>
      <c r="X1492" s="694"/>
      <c r="Y1492" s="694"/>
      <c r="Z1492" s="694"/>
      <c r="AA1492" s="694"/>
      <c r="AB1492" s="694"/>
      <c r="AC1492" s="694"/>
      <c r="AD1492" s="694"/>
      <c r="AE1492" s="694"/>
      <c r="AF1492" s="694"/>
      <c r="AG1492" s="694"/>
      <c r="AH1492" s="694"/>
      <c r="AI1492" s="694"/>
      <c r="AJ1492" s="694"/>
      <c r="AK1492" s="694"/>
      <c r="AL1492" s="694"/>
    </row>
    <row r="1493" spans="1:38" ht="5.15" customHeight="1" x14ac:dyDescent="0.25">
      <c r="A1493" s="694"/>
      <c r="B1493" s="298"/>
      <c r="C1493" s="298"/>
      <c r="D1493" s="298"/>
      <c r="E1493" s="298"/>
      <c r="F1493" s="298"/>
      <c r="G1493" s="298"/>
      <c r="H1493" s="298"/>
      <c r="I1493" s="298"/>
      <c r="J1493" s="298"/>
      <c r="K1493" s="298"/>
      <c r="L1493" s="298"/>
      <c r="M1493" s="298"/>
      <c r="N1493" s="298"/>
      <c r="O1493" s="302"/>
      <c r="P1493" s="302"/>
      <c r="Q1493" s="729"/>
      <c r="R1493" s="729"/>
      <c r="S1493" s="729"/>
      <c r="T1493" s="729"/>
      <c r="U1493" s="694"/>
      <c r="V1493" s="694"/>
      <c r="W1493" s="694"/>
      <c r="X1493" s="694"/>
      <c r="Y1493" s="694"/>
      <c r="Z1493" s="694"/>
      <c r="AA1493" s="694"/>
      <c r="AB1493" s="694"/>
      <c r="AC1493" s="694"/>
      <c r="AD1493" s="694"/>
      <c r="AE1493" s="694"/>
      <c r="AF1493" s="694"/>
      <c r="AG1493" s="694"/>
      <c r="AH1493" s="694"/>
      <c r="AI1493" s="694"/>
      <c r="AJ1493" s="694"/>
      <c r="AK1493" s="694"/>
      <c r="AL1493" s="694"/>
    </row>
    <row r="1494" spans="1:38" ht="13" x14ac:dyDescent="0.25">
      <c r="A1494" s="694"/>
      <c r="B1494" s="298"/>
      <c r="C1494" s="300"/>
      <c r="D1494" s="300" t="s">
        <v>55</v>
      </c>
      <c r="E1494" s="2226" t="str">
        <f>Translations!$B$499</f>
        <v>Индивидуални равнища на производство за продуктите, включени в тази подинсталация с продуктов показател</v>
      </c>
      <c r="F1494" s="2249"/>
      <c r="G1494" s="2249"/>
      <c r="H1494" s="2249"/>
      <c r="I1494" s="2249"/>
      <c r="J1494" s="2249"/>
      <c r="K1494" s="2249"/>
      <c r="L1494" s="2249"/>
      <c r="M1494" s="2249"/>
      <c r="N1494" s="2249"/>
      <c r="O1494" s="302"/>
      <c r="P1494" s="302"/>
      <c r="Q1494" s="729"/>
      <c r="R1494" s="694"/>
      <c r="S1494" s="729"/>
      <c r="T1494" s="729"/>
      <c r="U1494" s="694"/>
      <c r="V1494" s="694"/>
      <c r="W1494" s="694"/>
      <c r="X1494" s="694"/>
      <c r="Y1494" s="694"/>
      <c r="Z1494" s="694"/>
      <c r="AA1494" s="694"/>
      <c r="AB1494" s="694"/>
      <c r="AC1494" s="694"/>
      <c r="AD1494" s="694"/>
      <c r="AE1494" s="694"/>
      <c r="AF1494" s="694"/>
      <c r="AG1494" s="694"/>
      <c r="AH1494" s="694"/>
      <c r="AI1494" s="694"/>
      <c r="AJ1494" s="694"/>
      <c r="AK1494" s="694"/>
      <c r="AL1494" s="694"/>
    </row>
    <row r="1495" spans="1:38" ht="5.15" customHeight="1" x14ac:dyDescent="0.25">
      <c r="A1495" s="694"/>
      <c r="B1495" s="298"/>
      <c r="C1495" s="298"/>
      <c r="D1495" s="302"/>
      <c r="E1495" s="460"/>
      <c r="F1495" s="460"/>
      <c r="G1495" s="460"/>
      <c r="H1495" s="460"/>
      <c r="I1495" s="460"/>
      <c r="J1495" s="329"/>
      <c r="K1495" s="329"/>
      <c r="L1495" s="329"/>
      <c r="M1495" s="302"/>
      <c r="N1495" s="302"/>
      <c r="O1495" s="302"/>
      <c r="P1495" s="302"/>
      <c r="Q1495" s="729"/>
      <c r="R1495" s="694"/>
      <c r="S1495" s="729"/>
      <c r="T1495" s="729"/>
      <c r="U1495" s="694"/>
      <c r="V1495" s="694"/>
      <c r="W1495" s="694"/>
      <c r="X1495" s="694"/>
      <c r="Y1495" s="694"/>
      <c r="Z1495" s="694"/>
      <c r="AA1495" s="694"/>
      <c r="AB1495" s="694"/>
      <c r="AC1495" s="694"/>
      <c r="AD1495" s="694"/>
      <c r="AE1495" s="694"/>
      <c r="AF1495" s="694"/>
      <c r="AG1495" s="694"/>
      <c r="AH1495" s="694"/>
      <c r="AI1495" s="694"/>
      <c r="AJ1495" s="694"/>
      <c r="AK1495" s="694"/>
      <c r="AL1495" s="694"/>
    </row>
    <row r="1496" spans="1:38" ht="25.5" customHeight="1" thickBot="1" x14ac:dyDescent="0.3">
      <c r="A1496" s="694"/>
      <c r="B1496" s="698"/>
      <c r="C1496" s="698"/>
      <c r="D1496" s="1014"/>
      <c r="E1496" s="1277" t="str">
        <f>Translations!$B$1522</f>
        <v>ПРОДКОМ за 2010 г.</v>
      </c>
      <c r="F1496" s="1278" t="str">
        <f>Translations!$B$500</f>
        <v>Име на продукта или групата продукти</v>
      </c>
      <c r="G1496" s="672" t="str">
        <f>EUconst_Unit</f>
        <v>Единица мярка</v>
      </c>
      <c r="H1496" s="391">
        <f t="shared" ref="H1496:N1496" si="1976">H$2831</f>
        <v>2024</v>
      </c>
      <c r="I1496" s="572">
        <f t="shared" si="1976"/>
        <v>2025</v>
      </c>
      <c r="J1496" s="757">
        <f t="shared" si="1976"/>
        <v>2026</v>
      </c>
      <c r="K1496" s="391">
        <f t="shared" si="1976"/>
        <v>2027</v>
      </c>
      <c r="L1496" s="391">
        <f t="shared" si="1976"/>
        <v>2028</v>
      </c>
      <c r="M1496" s="391">
        <f t="shared" si="1976"/>
        <v>2029</v>
      </c>
      <c r="N1496" s="391">
        <f t="shared" si="1976"/>
        <v>2030</v>
      </c>
      <c r="O1496" s="1277" t="str">
        <f>Translations!$B$1523</f>
        <v>Код по КН</v>
      </c>
      <c r="P1496" s="1278"/>
      <c r="Q1496" s="694"/>
      <c r="R1496" s="694"/>
      <c r="S1496" s="729"/>
      <c r="T1496" s="729"/>
      <c r="U1496" s="694"/>
      <c r="V1496" s="694"/>
      <c r="W1496" s="694"/>
      <c r="X1496" s="694"/>
      <c r="Y1496" s="694"/>
      <c r="Z1496" s="1279" t="s">
        <v>737</v>
      </c>
      <c r="AA1496" s="694"/>
      <c r="AB1496" s="694"/>
      <c r="AC1496" s="1178">
        <f t="shared" ref="AC1496" si="1977">H$20</f>
        <v>2024</v>
      </c>
      <c r="AD1496" s="1178">
        <f t="shared" ref="AD1496" si="1978">I$20</f>
        <v>2025</v>
      </c>
      <c r="AE1496" s="1178">
        <f t="shared" ref="AE1496" si="1979">J$20</f>
        <v>2026</v>
      </c>
      <c r="AF1496" s="1178">
        <f t="shared" ref="AF1496" si="1980">K$20</f>
        <v>2027</v>
      </c>
      <c r="AG1496" s="1178">
        <f t="shared" ref="AG1496" si="1981">L$20</f>
        <v>2028</v>
      </c>
      <c r="AH1496" s="1178">
        <f t="shared" ref="AH1496" si="1982">M$20</f>
        <v>2029</v>
      </c>
      <c r="AI1496" s="1178">
        <f t="shared" ref="AI1496" si="1983">N$20</f>
        <v>2030</v>
      </c>
      <c r="AJ1496" s="694"/>
      <c r="AK1496" s="694"/>
      <c r="AL1496" s="694"/>
    </row>
    <row r="1497" spans="1:38" x14ac:dyDescent="0.25">
      <c r="A1497" s="694"/>
      <c r="B1497" s="698"/>
      <c r="C1497" s="698"/>
      <c r="D1497" s="981">
        <v>1</v>
      </c>
      <c r="E1497" s="221"/>
      <c r="F1497" s="109"/>
      <c r="G1497" s="57"/>
      <c r="H1497" s="40"/>
      <c r="I1497" s="46"/>
      <c r="J1497" s="116"/>
      <c r="K1497" s="40"/>
      <c r="L1497" s="40"/>
      <c r="M1497" s="40"/>
      <c r="N1497" s="40"/>
      <c r="O1497" s="221"/>
      <c r="P1497" s="158"/>
      <c r="Q1497" s="694"/>
      <c r="R1497" s="694"/>
      <c r="S1497" s="729"/>
      <c r="T1497" s="729"/>
      <c r="U1497" s="694"/>
      <c r="V1497" s="694"/>
      <c r="W1497" s="694"/>
      <c r="X1497" s="694"/>
      <c r="Y1497" s="694"/>
      <c r="Z1497" s="1280" t="b">
        <f t="shared" ref="Z1497:Z1506" si="1984">AA1497</f>
        <v>0</v>
      </c>
      <c r="AA1497" s="1281" t="b">
        <f t="shared" ref="AA1497:AA1506" si="1985">AB1497</f>
        <v>0</v>
      </c>
      <c r="AB1497" s="1282" t="b">
        <f>AND(AC1497:AI1497)</f>
        <v>0</v>
      </c>
      <c r="AC1497" s="1283" t="b">
        <f t="shared" ref="AC1497:AD1497" si="1986">AC1465</f>
        <v>0</v>
      </c>
      <c r="AD1497" s="1284" t="b">
        <f t="shared" si="1986"/>
        <v>0</v>
      </c>
      <c r="AE1497" s="1284" t="b">
        <f>AE1465</f>
        <v>0</v>
      </c>
      <c r="AF1497" s="1284" t="b">
        <f t="shared" ref="AF1497" si="1987">AF1465</f>
        <v>0</v>
      </c>
      <c r="AG1497" s="1284" t="b">
        <f>AG1465</f>
        <v>0</v>
      </c>
      <c r="AH1497" s="1284" t="b">
        <f t="shared" ref="AH1497:AI1497" si="1988">AH1465</f>
        <v>0</v>
      </c>
      <c r="AI1497" s="1285" t="b">
        <f t="shared" si="1988"/>
        <v>0</v>
      </c>
      <c r="AJ1497" s="1174" t="s">
        <v>2039</v>
      </c>
      <c r="AK1497" s="1176" t="str">
        <f>IF(AND(CNTR_ExistSubInstEntries,COUNTIFS(AC1497:AI1497,FALSE,H1497:N1497,"")&gt;0),EUconst_Error&amp;"BM"&amp;$Q1418,"")</f>
        <v/>
      </c>
      <c r="AL1497" s="694"/>
    </row>
    <row r="1498" spans="1:38" x14ac:dyDescent="0.25">
      <c r="A1498" s="694"/>
      <c r="B1498" s="698"/>
      <c r="C1498" s="698"/>
      <c r="D1498" s="990">
        <f>D1497+1</f>
        <v>2</v>
      </c>
      <c r="E1498" s="222"/>
      <c r="F1498" s="110"/>
      <c r="G1498" s="44"/>
      <c r="H1498" s="43"/>
      <c r="I1498" s="47"/>
      <c r="J1498" s="119"/>
      <c r="K1498" s="43"/>
      <c r="L1498" s="43"/>
      <c r="M1498" s="43"/>
      <c r="N1498" s="43"/>
      <c r="O1498" s="222"/>
      <c r="P1498" s="158"/>
      <c r="Q1498" s="694"/>
      <c r="R1498" s="694"/>
      <c r="S1498" s="729"/>
      <c r="T1498" s="729"/>
      <c r="U1498" s="694"/>
      <c r="V1498" s="694"/>
      <c r="W1498" s="694"/>
      <c r="X1498" s="694"/>
      <c r="Y1498" s="694"/>
      <c r="Z1498" s="1286" t="b">
        <f t="shared" si="1984"/>
        <v>0</v>
      </c>
      <c r="AA1498" s="982" t="b">
        <f t="shared" si="1985"/>
        <v>0</v>
      </c>
      <c r="AB1498" s="1287" t="b">
        <f t="shared" ref="AB1498:AB1506" si="1989">AND(AC1498:AI1498)</f>
        <v>0</v>
      </c>
      <c r="AC1498" s="1288" t="b">
        <f>AC1497</f>
        <v>0</v>
      </c>
      <c r="AD1498" s="982" t="b">
        <f t="shared" ref="AD1498:AI1498" si="1990">AD1497</f>
        <v>0</v>
      </c>
      <c r="AE1498" s="982" t="b">
        <f t="shared" si="1990"/>
        <v>0</v>
      </c>
      <c r="AF1498" s="982" t="b">
        <f t="shared" si="1990"/>
        <v>0</v>
      </c>
      <c r="AG1498" s="982" t="b">
        <f t="shared" si="1990"/>
        <v>0</v>
      </c>
      <c r="AH1498" s="982" t="b">
        <f t="shared" si="1990"/>
        <v>0</v>
      </c>
      <c r="AI1498" s="1287" t="b">
        <f t="shared" si="1990"/>
        <v>0</v>
      </c>
      <c r="AJ1498" s="694"/>
      <c r="AK1498" s="694"/>
      <c r="AL1498" s="694"/>
    </row>
    <row r="1499" spans="1:38" x14ac:dyDescent="0.25">
      <c r="A1499" s="694"/>
      <c r="B1499" s="698"/>
      <c r="C1499" s="698"/>
      <c r="D1499" s="990">
        <f t="shared" ref="D1499:D1506" si="1991">D1498+1</f>
        <v>3</v>
      </c>
      <c r="E1499" s="222"/>
      <c r="F1499" s="111"/>
      <c r="G1499" s="44"/>
      <c r="H1499" s="43"/>
      <c r="I1499" s="47"/>
      <c r="J1499" s="119"/>
      <c r="K1499" s="43"/>
      <c r="L1499" s="43"/>
      <c r="M1499" s="43"/>
      <c r="N1499" s="43"/>
      <c r="O1499" s="222"/>
      <c r="P1499" s="158"/>
      <c r="Q1499" s="694"/>
      <c r="R1499" s="694"/>
      <c r="S1499" s="729"/>
      <c r="T1499" s="729"/>
      <c r="U1499" s="694"/>
      <c r="V1499" s="694"/>
      <c r="W1499" s="694"/>
      <c r="X1499" s="694"/>
      <c r="Y1499" s="694"/>
      <c r="Z1499" s="1286" t="b">
        <f t="shared" si="1984"/>
        <v>0</v>
      </c>
      <c r="AA1499" s="982" t="b">
        <f t="shared" si="1985"/>
        <v>0</v>
      </c>
      <c r="AB1499" s="1287" t="b">
        <f t="shared" si="1989"/>
        <v>0</v>
      </c>
      <c r="AC1499" s="1288" t="b">
        <f t="shared" ref="AC1499:AI1499" si="1992">AC1498</f>
        <v>0</v>
      </c>
      <c r="AD1499" s="982" t="b">
        <f t="shared" si="1992"/>
        <v>0</v>
      </c>
      <c r="AE1499" s="982" t="b">
        <f t="shared" si="1992"/>
        <v>0</v>
      </c>
      <c r="AF1499" s="982" t="b">
        <f t="shared" si="1992"/>
        <v>0</v>
      </c>
      <c r="AG1499" s="982" t="b">
        <f t="shared" si="1992"/>
        <v>0</v>
      </c>
      <c r="AH1499" s="982" t="b">
        <f t="shared" si="1992"/>
        <v>0</v>
      </c>
      <c r="AI1499" s="1287" t="b">
        <f t="shared" si="1992"/>
        <v>0</v>
      </c>
      <c r="AJ1499" s="694"/>
      <c r="AK1499" s="694"/>
      <c r="AL1499" s="694"/>
    </row>
    <row r="1500" spans="1:38" x14ac:dyDescent="0.25">
      <c r="A1500" s="694"/>
      <c r="B1500" s="698"/>
      <c r="C1500" s="698"/>
      <c r="D1500" s="990">
        <f t="shared" si="1991"/>
        <v>4</v>
      </c>
      <c r="E1500" s="222"/>
      <c r="F1500" s="111"/>
      <c r="G1500" s="44"/>
      <c r="H1500" s="43"/>
      <c r="I1500" s="47"/>
      <c r="J1500" s="119"/>
      <c r="K1500" s="43"/>
      <c r="L1500" s="43"/>
      <c r="M1500" s="43"/>
      <c r="N1500" s="43"/>
      <c r="O1500" s="222"/>
      <c r="P1500" s="158"/>
      <c r="Q1500" s="694"/>
      <c r="R1500" s="694"/>
      <c r="S1500" s="729"/>
      <c r="T1500" s="729"/>
      <c r="U1500" s="694"/>
      <c r="V1500" s="694"/>
      <c r="W1500" s="694"/>
      <c r="X1500" s="694"/>
      <c r="Y1500" s="694"/>
      <c r="Z1500" s="1286" t="b">
        <f t="shared" si="1984"/>
        <v>0</v>
      </c>
      <c r="AA1500" s="982" t="b">
        <f t="shared" si="1985"/>
        <v>0</v>
      </c>
      <c r="AB1500" s="1287" t="b">
        <f t="shared" si="1989"/>
        <v>0</v>
      </c>
      <c r="AC1500" s="1288" t="b">
        <f t="shared" ref="AC1500:AI1500" si="1993">AC1499</f>
        <v>0</v>
      </c>
      <c r="AD1500" s="982" t="b">
        <f t="shared" si="1993"/>
        <v>0</v>
      </c>
      <c r="AE1500" s="982" t="b">
        <f t="shared" si="1993"/>
        <v>0</v>
      </c>
      <c r="AF1500" s="982" t="b">
        <f t="shared" si="1993"/>
        <v>0</v>
      </c>
      <c r="AG1500" s="982" t="b">
        <f t="shared" si="1993"/>
        <v>0</v>
      </c>
      <c r="AH1500" s="982" t="b">
        <f t="shared" si="1993"/>
        <v>0</v>
      </c>
      <c r="AI1500" s="1287" t="b">
        <f t="shared" si="1993"/>
        <v>0</v>
      </c>
      <c r="AJ1500" s="694"/>
      <c r="AK1500" s="694"/>
      <c r="AL1500" s="694"/>
    </row>
    <row r="1501" spans="1:38" x14ac:dyDescent="0.25">
      <c r="A1501" s="694"/>
      <c r="B1501" s="698"/>
      <c r="C1501" s="698"/>
      <c r="D1501" s="990">
        <f t="shared" si="1991"/>
        <v>5</v>
      </c>
      <c r="E1501" s="222"/>
      <c r="F1501" s="111"/>
      <c r="G1501" s="44"/>
      <c r="H1501" s="43"/>
      <c r="I1501" s="47"/>
      <c r="J1501" s="119"/>
      <c r="K1501" s="43"/>
      <c r="L1501" s="43"/>
      <c r="M1501" s="43"/>
      <c r="N1501" s="43"/>
      <c r="O1501" s="222"/>
      <c r="P1501" s="158"/>
      <c r="Q1501" s="694"/>
      <c r="R1501" s="694"/>
      <c r="S1501" s="729"/>
      <c r="T1501" s="729"/>
      <c r="U1501" s="694"/>
      <c r="V1501" s="694"/>
      <c r="W1501" s="694"/>
      <c r="X1501" s="694"/>
      <c r="Y1501" s="694"/>
      <c r="Z1501" s="1286" t="b">
        <f t="shared" si="1984"/>
        <v>0</v>
      </c>
      <c r="AA1501" s="982" t="b">
        <f t="shared" si="1985"/>
        <v>0</v>
      </c>
      <c r="AB1501" s="1287" t="b">
        <f t="shared" si="1989"/>
        <v>0</v>
      </c>
      <c r="AC1501" s="1288" t="b">
        <f t="shared" ref="AC1501:AI1501" si="1994">AC1500</f>
        <v>0</v>
      </c>
      <c r="AD1501" s="982" t="b">
        <f t="shared" si="1994"/>
        <v>0</v>
      </c>
      <c r="AE1501" s="982" t="b">
        <f t="shared" si="1994"/>
        <v>0</v>
      </c>
      <c r="AF1501" s="982" t="b">
        <f t="shared" si="1994"/>
        <v>0</v>
      </c>
      <c r="AG1501" s="982" t="b">
        <f t="shared" si="1994"/>
        <v>0</v>
      </c>
      <c r="AH1501" s="982" t="b">
        <f t="shared" si="1994"/>
        <v>0</v>
      </c>
      <c r="AI1501" s="1287" t="b">
        <f t="shared" si="1994"/>
        <v>0</v>
      </c>
      <c r="AJ1501" s="694"/>
      <c r="AK1501" s="694"/>
      <c r="AL1501" s="694"/>
    </row>
    <row r="1502" spans="1:38" x14ac:dyDescent="0.25">
      <c r="A1502" s="694"/>
      <c r="B1502" s="698"/>
      <c r="C1502" s="698"/>
      <c r="D1502" s="990">
        <f t="shared" si="1991"/>
        <v>6</v>
      </c>
      <c r="E1502" s="222"/>
      <c r="F1502" s="111"/>
      <c r="G1502" s="44"/>
      <c r="H1502" s="43"/>
      <c r="I1502" s="47"/>
      <c r="J1502" s="119"/>
      <c r="K1502" s="43"/>
      <c r="L1502" s="43"/>
      <c r="M1502" s="43"/>
      <c r="N1502" s="43"/>
      <c r="O1502" s="222"/>
      <c r="P1502" s="158"/>
      <c r="Q1502" s="694"/>
      <c r="R1502" s="694"/>
      <c r="S1502" s="729"/>
      <c r="T1502" s="729"/>
      <c r="U1502" s="694"/>
      <c r="V1502" s="694"/>
      <c r="W1502" s="694"/>
      <c r="X1502" s="694"/>
      <c r="Y1502" s="694"/>
      <c r="Z1502" s="1286" t="b">
        <f t="shared" si="1984"/>
        <v>0</v>
      </c>
      <c r="AA1502" s="982" t="b">
        <f t="shared" si="1985"/>
        <v>0</v>
      </c>
      <c r="AB1502" s="1287" t="b">
        <f t="shared" si="1989"/>
        <v>0</v>
      </c>
      <c r="AC1502" s="1288" t="b">
        <f t="shared" ref="AC1502:AI1502" si="1995">AC1501</f>
        <v>0</v>
      </c>
      <c r="AD1502" s="982" t="b">
        <f t="shared" si="1995"/>
        <v>0</v>
      </c>
      <c r="AE1502" s="982" t="b">
        <f t="shared" si="1995"/>
        <v>0</v>
      </c>
      <c r="AF1502" s="982" t="b">
        <f t="shared" si="1995"/>
        <v>0</v>
      </c>
      <c r="AG1502" s="982" t="b">
        <f t="shared" si="1995"/>
        <v>0</v>
      </c>
      <c r="AH1502" s="982" t="b">
        <f t="shared" si="1995"/>
        <v>0</v>
      </c>
      <c r="AI1502" s="1287" t="b">
        <f t="shared" si="1995"/>
        <v>0</v>
      </c>
      <c r="AJ1502" s="694"/>
      <c r="AK1502" s="694"/>
      <c r="AL1502" s="694"/>
    </row>
    <row r="1503" spans="1:38" x14ac:dyDescent="0.25">
      <c r="A1503" s="694"/>
      <c r="B1503" s="698"/>
      <c r="C1503" s="698"/>
      <c r="D1503" s="990">
        <f t="shared" si="1991"/>
        <v>7</v>
      </c>
      <c r="E1503" s="222"/>
      <c r="F1503" s="111"/>
      <c r="G1503" s="44"/>
      <c r="H1503" s="43"/>
      <c r="I1503" s="47"/>
      <c r="J1503" s="119"/>
      <c r="K1503" s="43"/>
      <c r="L1503" s="43"/>
      <c r="M1503" s="43"/>
      <c r="N1503" s="43"/>
      <c r="O1503" s="222"/>
      <c r="P1503" s="158"/>
      <c r="Q1503" s="694"/>
      <c r="R1503" s="694"/>
      <c r="S1503" s="729"/>
      <c r="T1503" s="729"/>
      <c r="U1503" s="694"/>
      <c r="V1503" s="694"/>
      <c r="W1503" s="694"/>
      <c r="X1503" s="694"/>
      <c r="Y1503" s="694"/>
      <c r="Z1503" s="1286" t="b">
        <f t="shared" si="1984"/>
        <v>0</v>
      </c>
      <c r="AA1503" s="982" t="b">
        <f t="shared" si="1985"/>
        <v>0</v>
      </c>
      <c r="AB1503" s="1287" t="b">
        <f t="shared" si="1989"/>
        <v>0</v>
      </c>
      <c r="AC1503" s="1288" t="b">
        <f t="shared" ref="AC1503:AI1503" si="1996">AC1502</f>
        <v>0</v>
      </c>
      <c r="AD1503" s="982" t="b">
        <f t="shared" si="1996"/>
        <v>0</v>
      </c>
      <c r="AE1503" s="982" t="b">
        <f t="shared" si="1996"/>
        <v>0</v>
      </c>
      <c r="AF1503" s="982" t="b">
        <f t="shared" si="1996"/>
        <v>0</v>
      </c>
      <c r="AG1503" s="982" t="b">
        <f t="shared" si="1996"/>
        <v>0</v>
      </c>
      <c r="AH1503" s="982" t="b">
        <f t="shared" si="1996"/>
        <v>0</v>
      </c>
      <c r="AI1503" s="1287" t="b">
        <f t="shared" si="1996"/>
        <v>0</v>
      </c>
      <c r="AJ1503" s="694"/>
      <c r="AK1503" s="694"/>
      <c r="AL1503" s="694"/>
    </row>
    <row r="1504" spans="1:38" x14ac:dyDescent="0.25">
      <c r="A1504" s="694"/>
      <c r="B1504" s="698"/>
      <c r="C1504" s="698"/>
      <c r="D1504" s="990">
        <f t="shared" si="1991"/>
        <v>8</v>
      </c>
      <c r="E1504" s="222"/>
      <c r="F1504" s="111"/>
      <c r="G1504" s="44"/>
      <c r="H1504" s="43"/>
      <c r="I1504" s="47"/>
      <c r="J1504" s="119"/>
      <c r="K1504" s="43"/>
      <c r="L1504" s="43"/>
      <c r="M1504" s="43"/>
      <c r="N1504" s="43"/>
      <c r="O1504" s="222"/>
      <c r="P1504" s="158"/>
      <c r="Q1504" s="694"/>
      <c r="R1504" s="694"/>
      <c r="S1504" s="729"/>
      <c r="T1504" s="729"/>
      <c r="U1504" s="694"/>
      <c r="V1504" s="694"/>
      <c r="W1504" s="694"/>
      <c r="X1504" s="694"/>
      <c r="Y1504" s="694"/>
      <c r="Z1504" s="1286" t="b">
        <f t="shared" si="1984"/>
        <v>0</v>
      </c>
      <c r="AA1504" s="982" t="b">
        <f t="shared" si="1985"/>
        <v>0</v>
      </c>
      <c r="AB1504" s="1287" t="b">
        <f t="shared" si="1989"/>
        <v>0</v>
      </c>
      <c r="AC1504" s="1288" t="b">
        <f t="shared" ref="AC1504:AI1504" si="1997">AC1503</f>
        <v>0</v>
      </c>
      <c r="AD1504" s="982" t="b">
        <f t="shared" si="1997"/>
        <v>0</v>
      </c>
      <c r="AE1504" s="982" t="b">
        <f t="shared" si="1997"/>
        <v>0</v>
      </c>
      <c r="AF1504" s="982" t="b">
        <f t="shared" si="1997"/>
        <v>0</v>
      </c>
      <c r="AG1504" s="982" t="b">
        <f t="shared" si="1997"/>
        <v>0</v>
      </c>
      <c r="AH1504" s="982" t="b">
        <f t="shared" si="1997"/>
        <v>0</v>
      </c>
      <c r="AI1504" s="1287" t="b">
        <f t="shared" si="1997"/>
        <v>0</v>
      </c>
      <c r="AJ1504" s="694"/>
      <c r="AK1504" s="694"/>
      <c r="AL1504" s="694"/>
    </row>
    <row r="1505" spans="1:38" x14ac:dyDescent="0.25">
      <c r="A1505" s="694"/>
      <c r="B1505" s="698"/>
      <c r="C1505" s="698"/>
      <c r="D1505" s="990">
        <f t="shared" si="1991"/>
        <v>9</v>
      </c>
      <c r="E1505" s="222"/>
      <c r="F1505" s="111"/>
      <c r="G1505" s="44"/>
      <c r="H1505" s="43"/>
      <c r="I1505" s="47"/>
      <c r="J1505" s="119"/>
      <c r="K1505" s="43"/>
      <c r="L1505" s="43"/>
      <c r="M1505" s="43"/>
      <c r="N1505" s="43"/>
      <c r="O1505" s="222"/>
      <c r="P1505" s="158"/>
      <c r="Q1505" s="694"/>
      <c r="R1505" s="694"/>
      <c r="S1505" s="729"/>
      <c r="T1505" s="729"/>
      <c r="U1505" s="694"/>
      <c r="V1505" s="694"/>
      <c r="W1505" s="694"/>
      <c r="X1505" s="694"/>
      <c r="Y1505" s="694"/>
      <c r="Z1505" s="1286" t="b">
        <f t="shared" si="1984"/>
        <v>0</v>
      </c>
      <c r="AA1505" s="982" t="b">
        <f t="shared" si="1985"/>
        <v>0</v>
      </c>
      <c r="AB1505" s="1287" t="b">
        <f t="shared" si="1989"/>
        <v>0</v>
      </c>
      <c r="AC1505" s="1288" t="b">
        <f t="shared" ref="AC1505:AI1505" si="1998">AC1504</f>
        <v>0</v>
      </c>
      <c r="AD1505" s="982" t="b">
        <f t="shared" si="1998"/>
        <v>0</v>
      </c>
      <c r="AE1505" s="982" t="b">
        <f t="shared" si="1998"/>
        <v>0</v>
      </c>
      <c r="AF1505" s="982" t="b">
        <f t="shared" si="1998"/>
        <v>0</v>
      </c>
      <c r="AG1505" s="982" t="b">
        <f t="shared" si="1998"/>
        <v>0</v>
      </c>
      <c r="AH1505" s="982" t="b">
        <f t="shared" si="1998"/>
        <v>0</v>
      </c>
      <c r="AI1505" s="1287" t="b">
        <f t="shared" si="1998"/>
        <v>0</v>
      </c>
      <c r="AJ1505" s="694"/>
      <c r="AK1505" s="694"/>
      <c r="AL1505" s="694"/>
    </row>
    <row r="1506" spans="1:38" ht="13" thickBot="1" x14ac:dyDescent="0.3">
      <c r="A1506" s="694"/>
      <c r="B1506" s="698"/>
      <c r="C1506" s="698"/>
      <c r="D1506" s="994">
        <f t="shared" si="1991"/>
        <v>10</v>
      </c>
      <c r="E1506" s="223"/>
      <c r="F1506" s="112"/>
      <c r="G1506" s="45"/>
      <c r="H1506" s="38"/>
      <c r="I1506" s="48"/>
      <c r="J1506" s="117"/>
      <c r="K1506" s="38"/>
      <c r="L1506" s="38"/>
      <c r="M1506" s="38"/>
      <c r="N1506" s="38"/>
      <c r="O1506" s="223"/>
      <c r="P1506" s="158"/>
      <c r="Q1506" s="694"/>
      <c r="R1506" s="694"/>
      <c r="S1506" s="729"/>
      <c r="T1506" s="729"/>
      <c r="U1506" s="694"/>
      <c r="V1506" s="694"/>
      <c r="W1506" s="694"/>
      <c r="X1506" s="694"/>
      <c r="Y1506" s="694"/>
      <c r="Z1506" s="1289" t="b">
        <f t="shared" si="1984"/>
        <v>0</v>
      </c>
      <c r="AA1506" s="1290" t="b">
        <f t="shared" si="1985"/>
        <v>0</v>
      </c>
      <c r="AB1506" s="1291" t="b">
        <f t="shared" si="1989"/>
        <v>0</v>
      </c>
      <c r="AC1506" s="1292" t="b">
        <f t="shared" ref="AC1506:AI1506" si="1999">AC1505</f>
        <v>0</v>
      </c>
      <c r="AD1506" s="1290" t="b">
        <f t="shared" si="1999"/>
        <v>0</v>
      </c>
      <c r="AE1506" s="1290" t="b">
        <f t="shared" si="1999"/>
        <v>0</v>
      </c>
      <c r="AF1506" s="1290" t="b">
        <f t="shared" si="1999"/>
        <v>0</v>
      </c>
      <c r="AG1506" s="1290" t="b">
        <f t="shared" si="1999"/>
        <v>0</v>
      </c>
      <c r="AH1506" s="1290" t="b">
        <f t="shared" si="1999"/>
        <v>0</v>
      </c>
      <c r="AI1506" s="1291" t="b">
        <f t="shared" si="1999"/>
        <v>0</v>
      </c>
      <c r="AJ1506" s="694"/>
      <c r="AK1506" s="694"/>
      <c r="AL1506" s="694"/>
    </row>
    <row r="1507" spans="1:38" ht="12.75" customHeight="1" thickBot="1" x14ac:dyDescent="0.3">
      <c r="A1507" s="694"/>
      <c r="B1507" s="698"/>
      <c r="C1507" s="698"/>
      <c r="D1507" s="1293"/>
      <c r="E1507" s="1294" t="str">
        <f>Translations!$B$501</f>
        <v>Сума на равнищата на производство</v>
      </c>
      <c r="F1507" s="1295"/>
      <c r="G1507" s="49"/>
      <c r="H1507" s="1104" t="str">
        <f t="shared" ref="H1507:N1507" si="2000">IF(COUNT(H1497:H1506)&gt;0,SUM(H1497:H1506),"")</f>
        <v/>
      </c>
      <c r="I1507" s="1296" t="str">
        <f t="shared" si="2000"/>
        <v/>
      </c>
      <c r="J1507" s="1297" t="str">
        <f t="shared" si="2000"/>
        <v/>
      </c>
      <c r="K1507" s="1104" t="str">
        <f t="shared" si="2000"/>
        <v/>
      </c>
      <c r="L1507" s="1104" t="str">
        <f t="shared" si="2000"/>
        <v/>
      </c>
      <c r="M1507" s="1104" t="str">
        <f t="shared" si="2000"/>
        <v/>
      </c>
      <c r="N1507" s="1104" t="str">
        <f t="shared" si="2000"/>
        <v/>
      </c>
      <c r="O1507" s="302"/>
      <c r="P1507" s="302"/>
      <c r="Q1507" s="694"/>
      <c r="R1507" s="694"/>
      <c r="S1507" s="729"/>
      <c r="T1507" s="729"/>
      <c r="U1507" s="694"/>
      <c r="V1507" s="694"/>
      <c r="W1507" s="694"/>
      <c r="X1507" s="694"/>
      <c r="Y1507" s="694"/>
      <c r="Z1507" s="694"/>
      <c r="AA1507" s="694"/>
      <c r="AB1507" s="1177" t="b">
        <f>AND(AB1497:AB1506)</f>
        <v>0</v>
      </c>
      <c r="AC1507" s="694"/>
      <c r="AD1507" s="694"/>
      <c r="AE1507" s="694"/>
      <c r="AF1507" s="694"/>
      <c r="AG1507" s="694"/>
      <c r="AH1507" s="694"/>
      <c r="AI1507" s="694"/>
      <c r="AJ1507" s="694"/>
      <c r="AK1507" s="694"/>
      <c r="AL1507" s="694"/>
    </row>
    <row r="1508" spans="1:38" ht="12.75" customHeight="1" thickBot="1" x14ac:dyDescent="0.3">
      <c r="A1508" s="694"/>
      <c r="B1508" s="298"/>
      <c r="C1508" s="298"/>
      <c r="D1508" s="298"/>
      <c r="E1508" s="298"/>
      <c r="F1508" s="298"/>
      <c r="G1508" s="298"/>
      <c r="H1508" s="298"/>
      <c r="I1508" s="298"/>
      <c r="J1508" s="298"/>
      <c r="K1508" s="298"/>
      <c r="L1508" s="298"/>
      <c r="M1508" s="302"/>
      <c r="N1508" s="302"/>
      <c r="O1508" s="302"/>
      <c r="P1508" s="302"/>
      <c r="Q1508" s="729"/>
      <c r="R1508" s="694"/>
      <c r="S1508" s="729"/>
      <c r="T1508" s="729"/>
      <c r="U1508" s="694"/>
      <c r="V1508" s="694"/>
      <c r="W1508" s="694"/>
      <c r="X1508" s="694"/>
      <c r="Y1508" s="694"/>
      <c r="Z1508" s="694"/>
      <c r="AA1508" s="694"/>
      <c r="AB1508" s="694"/>
      <c r="AC1508" s="694"/>
      <c r="AD1508" s="694"/>
      <c r="AE1508" s="694"/>
      <c r="AF1508" s="694"/>
      <c r="AG1508" s="694"/>
      <c r="AH1508" s="694"/>
      <c r="AI1508" s="694"/>
      <c r="AJ1508" s="694"/>
      <c r="AK1508" s="694"/>
      <c r="AL1508" s="694"/>
    </row>
    <row r="1509" spans="1:38" ht="5.15" customHeight="1" x14ac:dyDescent="0.25">
      <c r="A1509" s="694"/>
      <c r="B1509" s="298"/>
      <c r="C1509" s="1298"/>
      <c r="D1509" s="1299"/>
      <c r="E1509" s="1299"/>
      <c r="F1509" s="1299"/>
      <c r="G1509" s="1299"/>
      <c r="H1509" s="1299"/>
      <c r="I1509" s="1299"/>
      <c r="J1509" s="1299"/>
      <c r="K1509" s="1299"/>
      <c r="L1509" s="1299"/>
      <c r="M1509" s="1300"/>
      <c r="N1509" s="1301"/>
      <c r="O1509" s="302"/>
      <c r="P1509" s="302"/>
      <c r="Q1509" s="729"/>
      <c r="R1509" s="694"/>
      <c r="S1509" s="729"/>
      <c r="T1509" s="729"/>
      <c r="U1509" s="694"/>
      <c r="V1509" s="694"/>
      <c r="W1509" s="694"/>
      <c r="X1509" s="694"/>
      <c r="Y1509" s="694"/>
      <c r="Z1509" s="694"/>
      <c r="AA1509" s="694"/>
      <c r="AB1509" s="694"/>
      <c r="AC1509" s="694"/>
      <c r="AD1509" s="694"/>
      <c r="AE1509" s="694"/>
      <c r="AF1509" s="694"/>
      <c r="AG1509" s="694"/>
      <c r="AH1509" s="694"/>
      <c r="AI1509" s="694"/>
      <c r="AJ1509" s="694"/>
      <c r="AK1509" s="694"/>
      <c r="AL1509" s="694"/>
    </row>
    <row r="1510" spans="1:38" ht="15" customHeight="1" x14ac:dyDescent="0.25">
      <c r="A1510" s="694"/>
      <c r="B1510" s="698"/>
      <c r="C1510" s="1302"/>
      <c r="D1510" s="2857" t="str">
        <f>Translations!$B$502</f>
        <v>Данни, необходими за определяне на нивото на подобрение на продуктовите показатели съгласно 10а, параграф 2 от Директивата за СТЕ на ЕС</v>
      </c>
      <c r="E1510" s="2851"/>
      <c r="F1510" s="2851"/>
      <c r="G1510" s="2851"/>
      <c r="H1510" s="2851"/>
      <c r="I1510" s="2851"/>
      <c r="J1510" s="2851"/>
      <c r="K1510" s="2851"/>
      <c r="L1510" s="2851"/>
      <c r="M1510" s="2851"/>
      <c r="N1510" s="2852"/>
      <c r="O1510" s="302"/>
      <c r="P1510" s="302"/>
      <c r="Q1510" s="694"/>
      <c r="R1510" s="694"/>
      <c r="S1510" s="729"/>
      <c r="T1510" s="729"/>
      <c r="U1510" s="694"/>
      <c r="V1510" s="694"/>
      <c r="W1510" s="694"/>
      <c r="X1510" s="694"/>
      <c r="Y1510" s="694"/>
      <c r="Z1510" s="694"/>
      <c r="AA1510" s="694"/>
      <c r="AB1510" s="694"/>
      <c r="AC1510" s="694"/>
      <c r="AD1510" s="694"/>
      <c r="AE1510" s="694"/>
      <c r="AF1510" s="694"/>
      <c r="AG1510" s="694"/>
      <c r="AH1510" s="694"/>
      <c r="AI1510" s="694"/>
      <c r="AJ1510" s="694"/>
      <c r="AK1510" s="694"/>
      <c r="AL1510" s="694"/>
    </row>
    <row r="1511" spans="1:38" ht="5.15" customHeight="1" x14ac:dyDescent="0.25">
      <c r="A1511" s="694"/>
      <c r="B1511" s="698"/>
      <c r="C1511" s="1303"/>
      <c r="D1511" s="1304"/>
      <c r="E1511" s="1304"/>
      <c r="F1511" s="1304"/>
      <c r="G1511" s="1304"/>
      <c r="H1511" s="1304"/>
      <c r="I1511" s="1304"/>
      <c r="J1511" s="1304"/>
      <c r="K1511" s="1304"/>
      <c r="L1511" s="1304"/>
      <c r="M1511" s="1304"/>
      <c r="N1511" s="1305"/>
      <c r="O1511" s="302"/>
      <c r="P1511" s="302"/>
      <c r="Q1511" s="694"/>
      <c r="R1511" s="694"/>
      <c r="S1511" s="729"/>
      <c r="T1511" s="729"/>
      <c r="U1511" s="694"/>
      <c r="V1511" s="694"/>
      <c r="W1511" s="694"/>
      <c r="X1511" s="694"/>
      <c r="Y1511" s="694"/>
      <c r="Z1511" s="694"/>
      <c r="AA1511" s="694"/>
      <c r="AB1511" s="694"/>
      <c r="AC1511" s="694"/>
      <c r="AD1511" s="694"/>
      <c r="AE1511" s="694"/>
      <c r="AF1511" s="694"/>
      <c r="AG1511" s="694"/>
      <c r="AH1511" s="694"/>
      <c r="AI1511" s="694"/>
      <c r="AJ1511" s="694"/>
      <c r="AK1511" s="694"/>
      <c r="AL1511" s="694"/>
    </row>
    <row r="1512" spans="1:38" ht="15" customHeight="1" x14ac:dyDescent="0.25">
      <c r="A1512" s="694"/>
      <c r="B1512" s="698"/>
      <c r="C1512" s="1303"/>
      <c r="D1512" s="2841" t="str">
        <f>EUconst_BMSubinst &amp; ":"</f>
        <v>Подинсталация с продуктов показател:</v>
      </c>
      <c r="E1512" s="2839"/>
      <c r="F1512" s="2839"/>
      <c r="G1512" s="2839"/>
      <c r="H1512" s="2842"/>
      <c r="I1512" s="2843" t="str">
        <f>I1418</f>
        <v/>
      </c>
      <c r="J1512" s="2844"/>
      <c r="K1512" s="2844"/>
      <c r="L1512" s="2844"/>
      <c r="M1512" s="2844"/>
      <c r="N1512" s="2845"/>
      <c r="O1512" s="302"/>
      <c r="P1512" s="302"/>
      <c r="Q1512" s="694"/>
      <c r="R1512" s="694"/>
      <c r="S1512" s="729"/>
      <c r="T1512" s="729"/>
      <c r="U1512" s="694"/>
      <c r="V1512" s="694"/>
      <c r="W1512" s="694"/>
      <c r="X1512" s="694"/>
      <c r="Y1512" s="694"/>
      <c r="Z1512" s="694"/>
      <c r="AA1512" s="694"/>
      <c r="AB1512" s="694"/>
      <c r="AC1512" s="694"/>
      <c r="AD1512" s="694"/>
      <c r="AE1512" s="694"/>
      <c r="AF1512" s="694"/>
      <c r="AG1512" s="694"/>
      <c r="AH1512" s="694"/>
      <c r="AI1512" s="694"/>
      <c r="AJ1512" s="694"/>
      <c r="AK1512" s="694"/>
      <c r="AL1512" s="694"/>
    </row>
    <row r="1513" spans="1:38" ht="5.15" customHeight="1" x14ac:dyDescent="0.25">
      <c r="A1513" s="694"/>
      <c r="B1513" s="698"/>
      <c r="C1513" s="1303"/>
      <c r="D1513" s="1304"/>
      <c r="E1513" s="1304"/>
      <c r="F1513" s="1304"/>
      <c r="G1513" s="1304"/>
      <c r="H1513" s="1304"/>
      <c r="I1513" s="1304"/>
      <c r="J1513" s="1304"/>
      <c r="K1513" s="1304"/>
      <c r="L1513" s="1304"/>
      <c r="M1513" s="1304"/>
      <c r="N1513" s="1305"/>
      <c r="O1513" s="302"/>
      <c r="P1513" s="302"/>
      <c r="Q1513" s="694"/>
      <c r="R1513" s="694"/>
      <c r="S1513" s="729"/>
      <c r="T1513" s="729"/>
      <c r="U1513" s="694"/>
      <c r="V1513" s="694"/>
      <c r="W1513" s="694"/>
      <c r="X1513" s="694"/>
      <c r="Y1513" s="694"/>
      <c r="Z1513" s="694"/>
      <c r="AA1513" s="694"/>
      <c r="AB1513" s="694"/>
      <c r="AC1513" s="694"/>
      <c r="AD1513" s="694"/>
      <c r="AE1513" s="694"/>
      <c r="AF1513" s="694"/>
      <c r="AG1513" s="694"/>
      <c r="AH1513" s="694"/>
      <c r="AI1513" s="694"/>
      <c r="AJ1513" s="694"/>
      <c r="AK1513" s="694"/>
      <c r="AL1513" s="694"/>
    </row>
    <row r="1514" spans="1:38" ht="30" customHeight="1" x14ac:dyDescent="0.25">
      <c r="A1514" s="694"/>
      <c r="B1514" s="298"/>
      <c r="C1514" s="1302"/>
      <c r="D1514" s="1306"/>
      <c r="E1514" s="2846" t="str">
        <f>Translations!$B$503</f>
        <v>В този подраздел се обхваща разпределението на емисии по пораждащи емисии потоци, източници на емисии, получена или подадена измерима топлинна енергия и отпадни газове, включително загубите на топлинна енергия съгласно раздел 10 от приложение VII към ПБР.</v>
      </c>
      <c r="F1514" s="2846"/>
      <c r="G1514" s="2846"/>
      <c r="H1514" s="2846"/>
      <c r="I1514" s="2846"/>
      <c r="J1514" s="2846"/>
      <c r="K1514" s="2846"/>
      <c r="L1514" s="2846"/>
      <c r="M1514" s="2846"/>
      <c r="N1514" s="2847"/>
      <c r="O1514" s="302"/>
      <c r="P1514" s="302"/>
      <c r="Q1514" s="729"/>
      <c r="R1514" s="694"/>
      <c r="S1514" s="694"/>
      <c r="T1514" s="694"/>
      <c r="U1514" s="694"/>
      <c r="V1514" s="694"/>
      <c r="W1514" s="694"/>
      <c r="X1514" s="694"/>
      <c r="Y1514" s="694"/>
      <c r="Z1514" s="694"/>
      <c r="AA1514" s="694"/>
      <c r="AB1514" s="694"/>
      <c r="AC1514" s="694"/>
      <c r="AD1514" s="694"/>
      <c r="AE1514" s="694"/>
      <c r="AF1514" s="694"/>
      <c r="AG1514" s="694"/>
      <c r="AH1514" s="694"/>
      <c r="AI1514" s="694"/>
      <c r="AJ1514" s="694"/>
      <c r="AK1514" s="694"/>
      <c r="AL1514" s="694"/>
    </row>
    <row r="1515" spans="1:38" ht="30" customHeight="1" x14ac:dyDescent="0.25">
      <c r="A1515" s="694"/>
      <c r="B1515" s="298"/>
      <c r="C1515" s="1302"/>
      <c r="D1515" s="1306"/>
      <c r="E1515" s="2846" t="str">
        <f>Translations!$B$504</f>
        <v xml:space="preserve">Моля, имайте предвид, че въпреки дадените известни насоки по всяка от точките по-долу трябва да потърсите допълнителна информация в обяснителна бележка № 5 („Мониторинг и докладване във връзка с ПБР“), която съдържа и примери. </v>
      </c>
      <c r="F1515" s="2846"/>
      <c r="G1515" s="2846"/>
      <c r="H1515" s="2846"/>
      <c r="I1515" s="2846"/>
      <c r="J1515" s="2846"/>
      <c r="K1515" s="2846"/>
      <c r="L1515" s="2846"/>
      <c r="M1515" s="2846"/>
      <c r="N1515" s="2811"/>
      <c r="O1515" s="302"/>
      <c r="P1515" s="302"/>
      <c r="Q1515" s="729"/>
      <c r="R1515" s="694"/>
      <c r="S1515" s="694"/>
      <c r="T1515" s="694"/>
      <c r="U1515" s="694"/>
      <c r="V1515" s="694"/>
      <c r="W1515" s="694"/>
      <c r="X1515" s="694"/>
      <c r="Y1515" s="694"/>
      <c r="Z1515" s="694"/>
      <c r="AA1515" s="694"/>
      <c r="AB1515" s="694"/>
      <c r="AC1515" s="694"/>
      <c r="AD1515" s="694"/>
      <c r="AE1515" s="694"/>
      <c r="AF1515" s="694"/>
      <c r="AG1515" s="694"/>
      <c r="AH1515" s="694"/>
      <c r="AI1515" s="694"/>
      <c r="AJ1515" s="694"/>
      <c r="AK1515" s="694"/>
      <c r="AL1515" s="694"/>
    </row>
    <row r="1516" spans="1:38" ht="12.75" customHeight="1" x14ac:dyDescent="0.25">
      <c r="A1516" s="694"/>
      <c r="B1516" s="298"/>
      <c r="C1516" s="1302"/>
      <c r="D1516" s="1306"/>
      <c r="E1516" s="2846" t="str">
        <f>Translations!$B$505</f>
        <v>Можете да изтеглите насоките на адрес: https://ec.europa.eu/clima/policies/ets/allowances_en#tab-0-1</v>
      </c>
      <c r="F1516" s="2240"/>
      <c r="G1516" s="2240"/>
      <c r="H1516" s="2240"/>
      <c r="I1516" s="2240"/>
      <c r="J1516" s="2240"/>
      <c r="K1516" s="2240"/>
      <c r="L1516" s="2240"/>
      <c r="M1516" s="2240"/>
      <c r="N1516" s="2811"/>
      <c r="O1516" s="302"/>
      <c r="P1516" s="302"/>
      <c r="Q1516" s="729"/>
      <c r="R1516" s="694"/>
      <c r="S1516" s="694"/>
      <c r="T1516" s="694"/>
      <c r="U1516" s="694"/>
      <c r="V1516" s="694"/>
      <c r="W1516" s="694"/>
      <c r="X1516" s="694"/>
      <c r="Y1516" s="694"/>
      <c r="Z1516" s="694"/>
      <c r="AA1516" s="694"/>
      <c r="AB1516" s="694"/>
      <c r="AC1516" s="694"/>
      <c r="AD1516" s="694"/>
      <c r="AE1516" s="694"/>
      <c r="AF1516" s="694"/>
      <c r="AG1516" s="694"/>
      <c r="AH1516" s="694"/>
      <c r="AI1516" s="694"/>
      <c r="AJ1516" s="694"/>
      <c r="AK1516" s="694"/>
      <c r="AL1516" s="694"/>
    </row>
    <row r="1517" spans="1:38" ht="15" customHeight="1" x14ac:dyDescent="0.25">
      <c r="A1517" s="694"/>
      <c r="B1517" s="298"/>
      <c r="C1517" s="1302"/>
      <c r="D1517" s="1306"/>
      <c r="E1517" s="2848" t="str">
        <f t="shared" ref="E1517" si="2001">$E$674</f>
        <v>https://climate.ec.europa.eu/eu-action/carbon-markets/eu-emissions-trading-system-eu-ets/free-allocation/about-free-allocation_en</v>
      </c>
      <c r="F1517" s="2848"/>
      <c r="G1517" s="2848"/>
      <c r="H1517" s="2848"/>
      <c r="I1517" s="2848"/>
      <c r="J1517" s="2848"/>
      <c r="K1517" s="2848"/>
      <c r="L1517" s="2848"/>
      <c r="M1517" s="2848"/>
      <c r="N1517" s="2827"/>
      <c r="O1517" s="302"/>
      <c r="P1517" s="302"/>
      <c r="Q1517" s="729"/>
      <c r="R1517" s="694"/>
      <c r="S1517" s="694"/>
      <c r="T1517" s="694"/>
      <c r="U1517" s="694"/>
      <c r="V1517" s="694"/>
      <c r="W1517" s="694"/>
      <c r="X1517" s="694"/>
      <c r="Y1517" s="694"/>
      <c r="Z1517" s="694"/>
      <c r="AA1517" s="694"/>
      <c r="AB1517" s="694"/>
      <c r="AC1517" s="694"/>
      <c r="AD1517" s="694"/>
      <c r="AE1517" s="694"/>
      <c r="AF1517" s="694"/>
      <c r="AG1517" s="694"/>
      <c r="AH1517" s="694"/>
      <c r="AI1517" s="694"/>
      <c r="AJ1517" s="694"/>
      <c r="AK1517" s="694"/>
      <c r="AL1517" s="694"/>
    </row>
    <row r="1518" spans="1:38" ht="5.15" customHeight="1" x14ac:dyDescent="0.25">
      <c r="A1518" s="694"/>
      <c r="B1518" s="698"/>
      <c r="C1518" s="1303"/>
      <c r="D1518" s="1304"/>
      <c r="E1518" s="1304"/>
      <c r="F1518" s="1304"/>
      <c r="G1518" s="1304"/>
      <c r="H1518" s="1304"/>
      <c r="I1518" s="1304"/>
      <c r="J1518" s="1304"/>
      <c r="K1518" s="1304"/>
      <c r="L1518" s="1304"/>
      <c r="M1518" s="1304"/>
      <c r="N1518" s="1305"/>
      <c r="O1518" s="302"/>
      <c r="P1518" s="302"/>
      <c r="Q1518" s="694"/>
      <c r="R1518" s="694"/>
      <c r="S1518" s="729"/>
      <c r="T1518" s="729"/>
      <c r="U1518" s="694"/>
      <c r="V1518" s="694"/>
      <c r="W1518" s="694"/>
      <c r="X1518" s="694"/>
      <c r="Y1518" s="694"/>
      <c r="Z1518" s="694"/>
      <c r="AA1518" s="694"/>
      <c r="AB1518" s="694"/>
      <c r="AC1518" s="694"/>
      <c r="AD1518" s="694"/>
      <c r="AE1518" s="694"/>
      <c r="AF1518" s="694"/>
      <c r="AG1518" s="694"/>
      <c r="AH1518" s="694"/>
      <c r="AI1518" s="694"/>
      <c r="AJ1518" s="694"/>
      <c r="AK1518" s="694"/>
      <c r="AL1518" s="694"/>
    </row>
    <row r="1519" spans="1:38" ht="15" customHeight="1" x14ac:dyDescent="0.25">
      <c r="A1519" s="694"/>
      <c r="B1519" s="298"/>
      <c r="C1519" s="1302"/>
      <c r="D1519" s="1306"/>
      <c r="E1519" s="2849" t="str">
        <f>Translations!$B$506</f>
        <v>При въвеждане на данните по-долу емисиите, които могат да бъдат зададени, са изчислени в раздел K.III.2 в листа за обобщение.</v>
      </c>
      <c r="F1519" s="2849"/>
      <c r="G1519" s="2849"/>
      <c r="H1519" s="2849"/>
      <c r="I1519" s="2849"/>
      <c r="J1519" s="2849"/>
      <c r="K1519" s="2849"/>
      <c r="L1519" s="2849"/>
      <c r="M1519" s="2849"/>
      <c r="N1519" s="2827"/>
      <c r="O1519" s="302"/>
      <c r="P1519" s="302"/>
      <c r="Q1519" s="729"/>
      <c r="R1519" s="694"/>
      <c r="S1519" s="694"/>
      <c r="T1519" s="694"/>
      <c r="U1519" s="694"/>
      <c r="V1519" s="694"/>
      <c r="W1519" s="694"/>
      <c r="X1519" s="694"/>
      <c r="Y1519" s="694"/>
      <c r="Z1519" s="694"/>
      <c r="AA1519" s="694"/>
      <c r="AB1519" s="694"/>
      <c r="AC1519" s="694"/>
      <c r="AD1519" s="694"/>
      <c r="AE1519" s="694"/>
      <c r="AF1519" s="694"/>
      <c r="AG1519" s="694"/>
      <c r="AH1519" s="694"/>
      <c r="AI1519" s="694"/>
      <c r="AJ1519" s="694"/>
      <c r="AK1519" s="694"/>
      <c r="AL1519" s="694"/>
    </row>
    <row r="1520" spans="1:38" ht="5.15" customHeight="1" x14ac:dyDescent="0.25">
      <c r="A1520" s="694"/>
      <c r="B1520" s="698"/>
      <c r="C1520" s="1303"/>
      <c r="D1520" s="1304"/>
      <c r="E1520" s="1304"/>
      <c r="F1520" s="1304"/>
      <c r="G1520" s="1304"/>
      <c r="H1520" s="1304"/>
      <c r="I1520" s="1304"/>
      <c r="J1520" s="1304"/>
      <c r="K1520" s="1304"/>
      <c r="L1520" s="1304"/>
      <c r="M1520" s="1304"/>
      <c r="N1520" s="1305"/>
      <c r="O1520" s="302"/>
      <c r="P1520" s="302"/>
      <c r="Q1520" s="694"/>
      <c r="R1520" s="694"/>
      <c r="S1520" s="729"/>
      <c r="T1520" s="729"/>
      <c r="U1520" s="694"/>
      <c r="V1520" s="694"/>
      <c r="W1520" s="694"/>
      <c r="X1520" s="694"/>
      <c r="Y1520" s="694"/>
      <c r="Z1520" s="694"/>
      <c r="AA1520" s="694"/>
      <c r="AB1520" s="694"/>
      <c r="AC1520" s="694"/>
      <c r="AD1520" s="694"/>
      <c r="AE1520" s="694"/>
      <c r="AF1520" s="694"/>
      <c r="AG1520" s="694"/>
      <c r="AH1520" s="694"/>
      <c r="AI1520" s="694"/>
      <c r="AJ1520" s="694"/>
      <c r="AK1520" s="694"/>
      <c r="AL1520" s="694"/>
    </row>
    <row r="1521" spans="1:38" ht="12.75" customHeight="1" x14ac:dyDescent="0.25">
      <c r="A1521" s="694"/>
      <c r="B1521" s="298"/>
      <c r="C1521" s="1302"/>
      <c r="D1521" s="1307" t="s">
        <v>273</v>
      </c>
      <c r="E1521" s="2850" t="str">
        <f>Translations!$B$507</f>
        <v>Емисии, които могат се зададат пряко (DirEm* (пораждащи емисии потоци от плана за мониторинг)) на тази подинсталация</v>
      </c>
      <c r="F1521" s="2851"/>
      <c r="G1521" s="2851"/>
      <c r="H1521" s="2851"/>
      <c r="I1521" s="2851"/>
      <c r="J1521" s="2851"/>
      <c r="K1521" s="2851"/>
      <c r="L1521" s="2851"/>
      <c r="M1521" s="2851"/>
      <c r="N1521" s="2852"/>
      <c r="O1521" s="302"/>
      <c r="P1521" s="302"/>
      <c r="Q1521" s="729"/>
      <c r="R1521" s="694"/>
      <c r="S1521" s="729"/>
      <c r="T1521" s="729"/>
      <c r="U1521" s="694"/>
      <c r="V1521" s="694"/>
      <c r="W1521" s="694"/>
      <c r="X1521" s="694"/>
      <c r="Y1521" s="694"/>
      <c r="Z1521" s="694"/>
      <c r="AA1521" s="694"/>
      <c r="AB1521" s="694"/>
      <c r="AC1521" s="694"/>
      <c r="AD1521" s="694"/>
      <c r="AE1521" s="694"/>
      <c r="AF1521" s="694"/>
      <c r="AG1521" s="694"/>
      <c r="AH1521" s="694"/>
      <c r="AI1521" s="694"/>
      <c r="AJ1521" s="694"/>
      <c r="AK1521" s="694"/>
      <c r="AL1521" s="694"/>
    </row>
    <row r="1522" spans="1:38" ht="12.75" customHeight="1" x14ac:dyDescent="0.25">
      <c r="A1522" s="694"/>
      <c r="B1522" s="298"/>
      <c r="C1522" s="1302"/>
      <c r="D1522" s="625"/>
      <c r="E1522" s="2853" t="str">
        <f>Translations!$B$508</f>
        <v>Посочените тук данни ще се отразят на емисиите, които могат да бъдат зададени съгласно раздел 10.1.1 от приложение VII към ПБР.</v>
      </c>
      <c r="F1522" s="2850"/>
      <c r="G1522" s="2850"/>
      <c r="H1522" s="2850"/>
      <c r="I1522" s="2850"/>
      <c r="J1522" s="2850"/>
      <c r="K1522" s="2850"/>
      <c r="L1522" s="2850"/>
      <c r="M1522" s="2850"/>
      <c r="N1522" s="2854"/>
      <c r="O1522" s="302"/>
      <c r="P1522" s="302"/>
      <c r="Q1522" s="729"/>
      <c r="R1522" s="694"/>
      <c r="S1522" s="729"/>
      <c r="T1522" s="729"/>
      <c r="U1522" s="694"/>
      <c r="V1522" s="694"/>
      <c r="W1522" s="694"/>
      <c r="X1522" s="694"/>
      <c r="Y1522" s="694"/>
      <c r="Z1522" s="694"/>
      <c r="AA1522" s="694"/>
      <c r="AB1522" s="694"/>
      <c r="AC1522" s="694"/>
      <c r="AD1522" s="694"/>
      <c r="AE1522" s="694"/>
      <c r="AF1522" s="694"/>
      <c r="AG1522" s="694"/>
      <c r="AH1522" s="694"/>
      <c r="AI1522" s="694"/>
      <c r="AJ1522" s="694"/>
      <c r="AK1522" s="694"/>
      <c r="AL1522" s="694"/>
    </row>
    <row r="1523" spans="1:38" ht="12.75" customHeight="1" x14ac:dyDescent="0.25">
      <c r="A1523" s="694"/>
      <c r="B1523" s="298"/>
      <c r="C1523" s="1302"/>
      <c r="D1523" s="1306"/>
      <c r="E1523" s="2836" t="str">
        <f>Translations!$B$509</f>
        <v>Моля, въведете тук емисиите, които могат да се зададат пряко (DirEm* (пораждащи емисии потоци от плана за мониторинг)) на тази подинсталация, като се имат предвид следните уговорки:</v>
      </c>
      <c r="F1523" s="2836"/>
      <c r="G1523" s="2836"/>
      <c r="H1523" s="2836"/>
      <c r="I1523" s="2836"/>
      <c r="J1523" s="2836"/>
      <c r="K1523" s="2836"/>
      <c r="L1523" s="2836"/>
      <c r="M1523" s="2836"/>
      <c r="N1523" s="2837"/>
      <c r="O1523" s="302"/>
      <c r="P1523" s="302"/>
      <c r="Q1523" s="729"/>
      <c r="R1523" s="694"/>
      <c r="S1523" s="729"/>
      <c r="T1523" s="694"/>
      <c r="U1523" s="694"/>
      <c r="V1523" s="694"/>
      <c r="W1523" s="694"/>
      <c r="X1523" s="694"/>
      <c r="Y1523" s="694"/>
      <c r="Z1523" s="694"/>
      <c r="AA1523" s="694"/>
      <c r="AB1523" s="694"/>
      <c r="AC1523" s="694"/>
      <c r="AD1523" s="694"/>
      <c r="AE1523" s="694"/>
      <c r="AF1523" s="694"/>
      <c r="AG1523" s="694"/>
      <c r="AH1523" s="694"/>
      <c r="AI1523" s="694"/>
      <c r="AJ1523" s="694"/>
      <c r="AK1523" s="694"/>
      <c r="AL1523" s="694"/>
    </row>
    <row r="1524" spans="1:38" ht="25.5" customHeight="1" x14ac:dyDescent="0.25">
      <c r="A1524" s="694"/>
      <c r="B1524" s="298"/>
      <c r="C1524" s="1302"/>
      <c r="D1524" s="1306"/>
      <c r="E1524" s="1308" t="s">
        <v>1052</v>
      </c>
      <c r="F1524" s="2838" t="str">
        <f>Translations!$B$510</f>
        <v>„емисиите, които могат да се зададат пряко“, се следят в съответствие с плана за мониторинг, одобрен съгласно Регламента относно мониторинга и докладването (РМД), т.е. като се отчитат емисиите, получени по методики, основани на изчисления (като се използват пораждащите емисии потоци), по базиращи се на измервания методики (БИМ), както и по подходи без подреждане („fall-backs“).</v>
      </c>
      <c r="G1524" s="2839"/>
      <c r="H1524" s="2839"/>
      <c r="I1524" s="2839"/>
      <c r="J1524" s="2839"/>
      <c r="K1524" s="2839"/>
      <c r="L1524" s="2839"/>
      <c r="M1524" s="2839"/>
      <c r="N1524" s="2840"/>
      <c r="O1524" s="302"/>
      <c r="P1524" s="302"/>
      <c r="Q1524" s="729"/>
      <c r="R1524" s="694"/>
      <c r="S1524" s="729"/>
      <c r="T1524" s="694"/>
      <c r="U1524" s="694"/>
      <c r="V1524" s="694"/>
      <c r="W1524" s="694"/>
      <c r="X1524" s="694"/>
      <c r="Y1524" s="694"/>
      <c r="Z1524" s="694"/>
      <c r="AA1524" s="694"/>
      <c r="AB1524" s="694"/>
      <c r="AC1524" s="694"/>
      <c r="AD1524" s="694"/>
      <c r="AE1524" s="694"/>
      <c r="AF1524" s="694"/>
      <c r="AG1524" s="694"/>
      <c r="AH1524" s="694"/>
      <c r="AI1524" s="694"/>
      <c r="AJ1524" s="694"/>
      <c r="AK1524" s="694"/>
      <c r="AL1524" s="694"/>
    </row>
    <row r="1525" spans="1:38" ht="38.25" customHeight="1" x14ac:dyDescent="0.25">
      <c r="A1525" s="694"/>
      <c r="B1525" s="298"/>
      <c r="C1525" s="1302"/>
      <c r="D1525" s="1306"/>
      <c r="E1525" s="1308"/>
      <c r="F1525" s="2810" t="str">
        <f>Translations!$B$511</f>
        <v>В някои случая обаче в този раздел „емисиите, които могат да се зададат пряко“, не са същите като отчетените съгласно РМД. Такива случаи са например пораждащи емисии потоци, използвани за производство на измерима топлинна енергия, отпадни газове и др. С други думи, трябва да попълните разделите по-долу много внимателно и да спазите строго инструкциите, за да се избегнат двойно отчитане или пропуски.</v>
      </c>
      <c r="G1525" s="2240"/>
      <c r="H1525" s="2240"/>
      <c r="I1525" s="2240"/>
      <c r="J1525" s="2240"/>
      <c r="K1525" s="2240"/>
      <c r="L1525" s="2240"/>
      <c r="M1525" s="2240"/>
      <c r="N1525" s="2811"/>
      <c r="O1525" s="302"/>
      <c r="P1525" s="302"/>
      <c r="Q1525" s="729"/>
      <c r="R1525" s="694"/>
      <c r="S1525" s="729"/>
      <c r="T1525" s="694"/>
      <c r="U1525" s="694"/>
      <c r="V1525" s="694"/>
      <c r="W1525" s="694"/>
      <c r="X1525" s="694"/>
      <c r="Y1525" s="694"/>
      <c r="Z1525" s="694"/>
      <c r="AA1525" s="694"/>
      <c r="AB1525" s="694"/>
      <c r="AC1525" s="694"/>
      <c r="AD1525" s="694"/>
      <c r="AE1525" s="694"/>
      <c r="AF1525" s="694"/>
      <c r="AG1525" s="694"/>
      <c r="AH1525" s="694"/>
      <c r="AI1525" s="694"/>
      <c r="AJ1525" s="694"/>
      <c r="AK1525" s="694"/>
      <c r="AL1525" s="694"/>
    </row>
    <row r="1526" spans="1:38" ht="12.75" customHeight="1" x14ac:dyDescent="0.25">
      <c r="A1526" s="694"/>
      <c r="B1526" s="298"/>
      <c r="C1526" s="1302"/>
      <c r="D1526" s="1306"/>
      <c r="E1526" s="1308" t="s">
        <v>1052</v>
      </c>
      <c r="F1526" s="2838" t="str">
        <f>Translations!$B$512</f>
        <v xml:space="preserve">Измерима топлинна енергия: в случай че топлинната енергия е произведена изключително за една подинсталация, емисиите могат да се зададат пряко тук чрез емисиите за горивата. </v>
      </c>
      <c r="G1526" s="2839"/>
      <c r="H1526" s="2839"/>
      <c r="I1526" s="2839"/>
      <c r="J1526" s="2839"/>
      <c r="K1526" s="2839"/>
      <c r="L1526" s="2839"/>
      <c r="M1526" s="2839"/>
      <c r="N1526" s="2840"/>
      <c r="O1526" s="302"/>
      <c r="P1526" s="302"/>
      <c r="Q1526" s="729"/>
      <c r="R1526" s="694"/>
      <c r="S1526" s="729"/>
      <c r="T1526" s="694"/>
      <c r="U1526" s="694"/>
      <c r="V1526" s="694"/>
      <c r="W1526" s="694"/>
      <c r="X1526" s="694"/>
      <c r="Y1526" s="694"/>
      <c r="Z1526" s="694"/>
      <c r="AA1526" s="694"/>
      <c r="AB1526" s="694"/>
      <c r="AC1526" s="694"/>
      <c r="AD1526" s="694"/>
      <c r="AE1526" s="694"/>
      <c r="AF1526" s="694"/>
      <c r="AG1526" s="694"/>
      <c r="AH1526" s="694"/>
      <c r="AI1526" s="694"/>
      <c r="AJ1526" s="694"/>
      <c r="AK1526" s="694"/>
      <c r="AL1526" s="694"/>
    </row>
    <row r="1527" spans="1:38" ht="38.9" customHeight="1" x14ac:dyDescent="0.25">
      <c r="A1527" s="694"/>
      <c r="B1527" s="298"/>
      <c r="C1527" s="1302"/>
      <c r="D1527" s="1306"/>
      <c r="E1527" s="1308"/>
      <c r="F1527" s="2838" t="str">
        <f>Translations!$B$513</f>
        <v>Когато за производството на измерима топлинна енергия са използвани горива като „входящи потоци“ към повече от една подинсталация, в която се консумира топлинната енергия (което включва случаи с входящи и изходящи потоци от и към други инсталации), горивата не трябва да се включват в „емисиите, които могат да се зададат пряко“ на подинсталацията, а в буква k) по-долу.</v>
      </c>
      <c r="G1527" s="2839"/>
      <c r="H1527" s="2839"/>
      <c r="I1527" s="2839"/>
      <c r="J1527" s="2839"/>
      <c r="K1527" s="2839"/>
      <c r="L1527" s="2839"/>
      <c r="M1527" s="2839"/>
      <c r="N1527" s="2840"/>
      <c r="O1527" s="302"/>
      <c r="P1527" s="302"/>
      <c r="Q1527" s="729"/>
      <c r="R1527" s="694"/>
      <c r="S1527" s="729"/>
      <c r="T1527" s="694"/>
      <c r="U1527" s="694"/>
      <c r="V1527" s="694"/>
      <c r="W1527" s="694"/>
      <c r="X1527" s="694"/>
      <c r="Y1527" s="694"/>
      <c r="Z1527" s="694"/>
      <c r="AA1527" s="694"/>
      <c r="AB1527" s="694"/>
      <c r="AC1527" s="694"/>
      <c r="AD1527" s="694"/>
      <c r="AE1527" s="694"/>
      <c r="AF1527" s="694"/>
      <c r="AG1527" s="694"/>
      <c r="AH1527" s="694"/>
      <c r="AI1527" s="694"/>
      <c r="AJ1527" s="694"/>
      <c r="AK1527" s="694"/>
      <c r="AL1527" s="694"/>
    </row>
    <row r="1528" spans="1:38" ht="25.5" customHeight="1" x14ac:dyDescent="0.25">
      <c r="A1528" s="694"/>
      <c r="B1528" s="298"/>
      <c r="C1528" s="1302"/>
      <c r="D1528" s="1306"/>
      <c r="E1528" s="1308"/>
      <c r="F1528" s="2838" t="str">
        <f>Translations!$B$514</f>
        <v>„Входящите потоци“ включват измеримата топлинна енергия от съоръжения в рамките на обекта (напр. централна електростанция в инсталацията или по-сложна мрежа за генериране на пара с няколко съоръжения за производство на топлинна енергия), които доставят топлинна енергия до повече от една подинсталация. В такъв случай емисиите също не трябва да се задават тук, а в точка k).i. по-долу.</v>
      </c>
      <c r="G1528" s="2839"/>
      <c r="H1528" s="2839"/>
      <c r="I1528" s="2839"/>
      <c r="J1528" s="2839"/>
      <c r="K1528" s="2839"/>
      <c r="L1528" s="2839"/>
      <c r="M1528" s="2839"/>
      <c r="N1528" s="2840"/>
      <c r="O1528" s="302"/>
      <c r="P1528" s="302"/>
      <c r="Q1528" s="729"/>
      <c r="R1528" s="694"/>
      <c r="S1528" s="729"/>
      <c r="T1528" s="694"/>
      <c r="U1528" s="694"/>
      <c r="V1528" s="694"/>
      <c r="W1528" s="694"/>
      <c r="X1528" s="694"/>
      <c r="Y1528" s="694"/>
      <c r="Z1528" s="694"/>
      <c r="AA1528" s="694"/>
      <c r="AB1528" s="694"/>
      <c r="AC1528" s="694"/>
      <c r="AD1528" s="694"/>
      <c r="AE1528" s="694"/>
      <c r="AF1528" s="694"/>
      <c r="AG1528" s="694"/>
      <c r="AH1528" s="694"/>
      <c r="AI1528" s="694"/>
      <c r="AJ1528" s="694"/>
      <c r="AK1528" s="694"/>
      <c r="AL1528" s="694"/>
    </row>
    <row r="1529" spans="1:38" ht="25.5" customHeight="1" x14ac:dyDescent="0.25">
      <c r="A1529" s="694"/>
      <c r="B1529" s="298"/>
      <c r="C1529" s="1302"/>
      <c r="D1529" s="1306"/>
      <c r="E1529" s="1308" t="s">
        <v>1052</v>
      </c>
      <c r="F1529" s="2838" t="str">
        <f>Translations!$B$515</f>
        <v>Подавана навън измерима топлинна енергия: Когато тази топлинна енергия се извлича от процеси или се подава навън, тук не се правят корекции. Приспадането на свързаните емисиите се извършва съгласно данните, въведени в точка k).v. по-долу.</v>
      </c>
      <c r="G1529" s="2839"/>
      <c r="H1529" s="2839"/>
      <c r="I1529" s="2839"/>
      <c r="J1529" s="2839"/>
      <c r="K1529" s="2839"/>
      <c r="L1529" s="2839"/>
      <c r="M1529" s="2839"/>
      <c r="N1529" s="2840"/>
      <c r="O1529" s="302"/>
      <c r="P1529" s="302"/>
      <c r="Q1529" s="729"/>
      <c r="R1529" s="694"/>
      <c r="S1529" s="729"/>
      <c r="T1529" s="694"/>
      <c r="U1529" s="694"/>
      <c r="V1529" s="694"/>
      <c r="W1529" s="694"/>
      <c r="X1529" s="694"/>
      <c r="Y1529" s="694"/>
      <c r="Z1529" s="694"/>
      <c r="AA1529" s="694"/>
      <c r="AB1529" s="694"/>
      <c r="AC1529" s="694"/>
      <c r="AD1529" s="694"/>
      <c r="AE1529" s="694"/>
      <c r="AF1529" s="694"/>
      <c r="AG1529" s="694"/>
      <c r="AH1529" s="694"/>
      <c r="AI1529" s="694"/>
      <c r="AJ1529" s="694"/>
      <c r="AK1529" s="694"/>
      <c r="AL1529" s="694"/>
    </row>
    <row r="1530" spans="1:38" ht="25.5" customHeight="1" thickBot="1" x14ac:dyDescent="0.3">
      <c r="A1530" s="694"/>
      <c r="B1530" s="298"/>
      <c r="C1530" s="1302"/>
      <c r="D1530" s="1306"/>
      <c r="E1530" s="1308" t="s">
        <v>1052</v>
      </c>
      <c r="F1530" s="2838" t="str">
        <f>Translations!$B$516</f>
        <v>Отпадни газове: емисиите от отпадните газове, които са ПОЛУЧЕНИ от други инсталации или подинсталации и са консумирани в подинсталацията, не се включват тук, а се въвеждат в буква l) по-долу.</v>
      </c>
      <c r="G1530" s="2839"/>
      <c r="H1530" s="2839"/>
      <c r="I1530" s="2839"/>
      <c r="J1530" s="2839"/>
      <c r="K1530" s="2839"/>
      <c r="L1530" s="2839"/>
      <c r="M1530" s="2839"/>
      <c r="N1530" s="2840"/>
      <c r="O1530" s="302"/>
      <c r="P1530" s="302"/>
      <c r="Q1530" s="729"/>
      <c r="R1530" s="694"/>
      <c r="S1530" s="729"/>
      <c r="T1530" s="694"/>
      <c r="U1530" s="694"/>
      <c r="V1530" s="694"/>
      <c r="W1530" s="694"/>
      <c r="X1530" s="694"/>
      <c r="Y1530" s="694"/>
      <c r="Z1530" s="694"/>
      <c r="AA1530" s="694"/>
      <c r="AB1530" s="694"/>
      <c r="AC1530" s="694"/>
      <c r="AD1530" s="694"/>
      <c r="AE1530" s="694"/>
      <c r="AF1530" s="694"/>
      <c r="AG1530" s="694"/>
      <c r="AH1530" s="694"/>
      <c r="AI1530" s="694"/>
      <c r="AJ1530" s="694"/>
      <c r="AK1530" s="694"/>
      <c r="AL1530" s="694"/>
    </row>
    <row r="1531" spans="1:38" ht="12.75" customHeight="1" thickBot="1" x14ac:dyDescent="0.3">
      <c r="A1531" s="694"/>
      <c r="B1531" s="298"/>
      <c r="C1531" s="1302"/>
      <c r="D1531" s="1307"/>
      <c r="E1531" s="2803" t="str">
        <f>Translations!$B$517</f>
        <v>Емисии, които могат да се зададат пряко (DirEm*)</v>
      </c>
      <c r="F1531" s="2803"/>
      <c r="G1531" s="1309" t="str">
        <f>EUconst_Unit</f>
        <v>Единица мярка</v>
      </c>
      <c r="H1531" s="629">
        <f t="shared" ref="H1531:N1531" si="2002">H$2831</f>
        <v>2024</v>
      </c>
      <c r="I1531" s="1310">
        <f t="shared" si="2002"/>
        <v>2025</v>
      </c>
      <c r="J1531" s="1311">
        <f t="shared" si="2002"/>
        <v>2026</v>
      </c>
      <c r="K1531" s="629">
        <f t="shared" si="2002"/>
        <v>2027</v>
      </c>
      <c r="L1531" s="629">
        <f t="shared" si="2002"/>
        <v>2028</v>
      </c>
      <c r="M1531" s="629">
        <f t="shared" si="2002"/>
        <v>2029</v>
      </c>
      <c r="N1531" s="1312">
        <f t="shared" si="2002"/>
        <v>2030</v>
      </c>
      <c r="O1531" s="302"/>
      <c r="P1531" s="302"/>
      <c r="Q1531" s="729"/>
      <c r="R1531" s="694"/>
      <c r="S1531" s="1205"/>
      <c r="T1531" s="1313">
        <f t="shared" ref="T1531" si="2003">H1531</f>
        <v>2024</v>
      </c>
      <c r="U1531" s="1313">
        <f t="shared" ref="U1531" si="2004">I1531</f>
        <v>2025</v>
      </c>
      <c r="V1531" s="1313">
        <f t="shared" ref="V1531" si="2005">J1531</f>
        <v>2026</v>
      </c>
      <c r="W1531" s="1313">
        <f t="shared" ref="W1531" si="2006">K1531</f>
        <v>2027</v>
      </c>
      <c r="X1531" s="1313">
        <f t="shared" ref="X1531" si="2007">L1531</f>
        <v>2028</v>
      </c>
      <c r="Y1531" s="1313">
        <f t="shared" ref="Y1531" si="2008">M1531</f>
        <v>2029</v>
      </c>
      <c r="Z1531" s="1314">
        <f t="shared" ref="Z1531" si="2009">N1531</f>
        <v>2030</v>
      </c>
      <c r="AA1531" s="694"/>
      <c r="AB1531" s="694"/>
      <c r="AC1531" s="1178">
        <f t="shared" ref="AC1531" si="2010">H$20</f>
        <v>2024</v>
      </c>
      <c r="AD1531" s="1178">
        <f t="shared" ref="AD1531" si="2011">I$20</f>
        <v>2025</v>
      </c>
      <c r="AE1531" s="1178">
        <f t="shared" ref="AE1531" si="2012">J$20</f>
        <v>2026</v>
      </c>
      <c r="AF1531" s="1178">
        <f t="shared" ref="AF1531" si="2013">K$20</f>
        <v>2027</v>
      </c>
      <c r="AG1531" s="1178">
        <f t="shared" ref="AG1531" si="2014">L$20</f>
        <v>2028</v>
      </c>
      <c r="AH1531" s="1178">
        <f t="shared" ref="AH1531" si="2015">M$20</f>
        <v>2029</v>
      </c>
      <c r="AI1531" s="1178">
        <f t="shared" ref="AI1531" si="2016">N$20</f>
        <v>2030</v>
      </c>
      <c r="AJ1531" s="694"/>
      <c r="AK1531" s="694"/>
      <c r="AL1531" s="694"/>
    </row>
    <row r="1532" spans="1:38" ht="12.75" customHeight="1" thickBot="1" x14ac:dyDescent="0.3">
      <c r="A1532" s="694"/>
      <c r="B1532" s="298"/>
      <c r="C1532" s="1302"/>
      <c r="D1532" s="1306"/>
      <c r="E1532" s="2814" t="str">
        <f>I1418</f>
        <v/>
      </c>
      <c r="F1532" s="2258"/>
      <c r="G1532" s="642" t="str">
        <f>EUconst_tCO2epa</f>
        <v>t CO2e/година</v>
      </c>
      <c r="H1532" s="56"/>
      <c r="I1532" s="115"/>
      <c r="J1532" s="118"/>
      <c r="K1532" s="56"/>
      <c r="L1532" s="56"/>
      <c r="M1532" s="56"/>
      <c r="N1532" s="121"/>
      <c r="O1532" s="302"/>
      <c r="P1532" s="158"/>
      <c r="Q1532" s="1190" t="str">
        <f>EUconst_CNTR_Emissions &amp; I1418</f>
        <v>DirEmissions_</v>
      </c>
      <c r="R1532" s="694"/>
      <c r="S1532" s="1315" t="str">
        <f>EUconst_CNTR_AttributedEmissions &amp; I1418</f>
        <v>AttrEmissions_</v>
      </c>
      <c r="T1532" s="1290" t="str">
        <f t="shared" ref="T1532" si="2017">IF(T1426,SUM(H1532),"")</f>
        <v/>
      </c>
      <c r="U1532" s="1290" t="str">
        <f t="shared" ref="U1532" si="2018">IF(U1426,SUM(I1532),"")</f>
        <v/>
      </c>
      <c r="V1532" s="1290" t="str">
        <f t="shared" ref="V1532" si="2019">IF(V1426,SUM(J1532),"")</f>
        <v/>
      </c>
      <c r="W1532" s="1290" t="str">
        <f t="shared" ref="W1532" si="2020">IF(W1426,SUM(K1532),"")</f>
        <v/>
      </c>
      <c r="X1532" s="1290" t="str">
        <f t="shared" ref="X1532" si="2021">IF(X1426,SUM(L1532),"")</f>
        <v/>
      </c>
      <c r="Y1532" s="1290" t="str">
        <f t="shared" ref="Y1532" si="2022">IF(Y1426,SUM(M1532),"")</f>
        <v/>
      </c>
      <c r="Z1532" s="1291" t="str">
        <f t="shared" ref="Z1532" si="2023">IF(Z1426,SUM(N1532),"")</f>
        <v/>
      </c>
      <c r="AA1532" s="694"/>
      <c r="AB1532" s="1182" t="s">
        <v>737</v>
      </c>
      <c r="AC1532" s="982" t="b">
        <f>AC1465</f>
        <v>0</v>
      </c>
      <c r="AD1532" s="982" t="b">
        <f t="shared" ref="AD1532:AI1532" si="2024">AD1465</f>
        <v>0</v>
      </c>
      <c r="AE1532" s="982" t="b">
        <f t="shared" si="2024"/>
        <v>0</v>
      </c>
      <c r="AF1532" s="982" t="b">
        <f t="shared" si="2024"/>
        <v>0</v>
      </c>
      <c r="AG1532" s="982" t="b">
        <f t="shared" si="2024"/>
        <v>0</v>
      </c>
      <c r="AH1532" s="982" t="b">
        <f t="shared" si="2024"/>
        <v>0</v>
      </c>
      <c r="AI1532" s="982" t="b">
        <f t="shared" si="2024"/>
        <v>0</v>
      </c>
      <c r="AJ1532" s="1174" t="s">
        <v>2039</v>
      </c>
      <c r="AK1532" s="1176" t="str">
        <f>IF(AND(CNTR_ExistSubInstEntries,MSconst_RequireSubAttrEmissions,COUNTIFS(AC1532:AI1532,FALSE,H1532:N1532,"")&gt;0),EUconst_Error&amp;"BM"&amp;$Q1418,"")</f>
        <v/>
      </c>
      <c r="AL1532" s="694"/>
    </row>
    <row r="1533" spans="1:38" ht="12.75" customHeight="1" x14ac:dyDescent="0.25">
      <c r="A1533" s="694"/>
      <c r="B1533" s="298"/>
      <c r="C1533" s="1302"/>
      <c r="D1533" s="1306"/>
      <c r="E1533" s="1306"/>
      <c r="F1533" s="1306"/>
      <c r="G1533" s="1306"/>
      <c r="H1533" s="1306"/>
      <c r="I1533" s="1306"/>
      <c r="J1533" s="1306"/>
      <c r="K1533" s="1306"/>
      <c r="L1533" s="1306"/>
      <c r="M1533" s="626"/>
      <c r="N1533" s="1316"/>
      <c r="O1533" s="302"/>
      <c r="P1533" s="302"/>
      <c r="Q1533" s="729"/>
      <c r="R1533" s="694"/>
      <c r="S1533" s="729"/>
      <c r="T1533" s="694"/>
      <c r="U1533" s="694"/>
      <c r="V1533" s="694"/>
      <c r="W1533" s="694"/>
      <c r="X1533" s="694"/>
      <c r="Y1533" s="694"/>
      <c r="Z1533" s="694"/>
      <c r="AA1533" s="694"/>
      <c r="AB1533" s="694"/>
      <c r="AC1533" s="694"/>
      <c r="AD1533" s="694"/>
      <c r="AE1533" s="694"/>
      <c r="AF1533" s="694"/>
      <c r="AG1533" s="694"/>
      <c r="AH1533" s="694"/>
      <c r="AI1533" s="694"/>
      <c r="AJ1533" s="694"/>
      <c r="AK1533" s="694"/>
      <c r="AL1533" s="694"/>
    </row>
    <row r="1534" spans="1:38" ht="12.75" customHeight="1" x14ac:dyDescent="0.25">
      <c r="A1534" s="694"/>
      <c r="B1534" s="298"/>
      <c r="C1534" s="1302"/>
      <c r="D1534" s="1307" t="s">
        <v>277</v>
      </c>
      <c r="E1534" s="2815" t="str">
        <f>Translations!$B$1524</f>
        <v>Вложена енергия в тази подинсталация и съответен емисионен фактор</v>
      </c>
      <c r="F1534" s="2240"/>
      <c r="G1534" s="2240"/>
      <c r="H1534" s="2240"/>
      <c r="I1534" s="2240"/>
      <c r="J1534" s="2240"/>
      <c r="K1534" s="2240"/>
      <c r="L1534" s="2240"/>
      <c r="M1534" s="2240"/>
      <c r="N1534" s="2811"/>
      <c r="O1534" s="302"/>
      <c r="P1534" s="302"/>
      <c r="Q1534" s="729"/>
      <c r="R1534" s="729"/>
      <c r="S1534" s="729"/>
      <c r="T1534" s="694"/>
      <c r="U1534" s="694"/>
      <c r="V1534" s="694"/>
      <c r="W1534" s="694"/>
      <c r="X1534" s="694"/>
      <c r="Y1534" s="694"/>
      <c r="Z1534" s="694"/>
      <c r="AA1534" s="694"/>
      <c r="AB1534" s="694"/>
      <c r="AC1534" s="694"/>
      <c r="AD1534" s="694"/>
      <c r="AE1534" s="694"/>
      <c r="AF1534" s="694"/>
      <c r="AG1534" s="694"/>
      <c r="AH1534" s="694"/>
      <c r="AI1534" s="694"/>
      <c r="AJ1534" s="694"/>
      <c r="AK1534" s="694"/>
      <c r="AL1534" s="694"/>
    </row>
    <row r="1535" spans="1:38" ht="25.5" customHeight="1" x14ac:dyDescent="0.25">
      <c r="A1535" s="694"/>
      <c r="B1535" s="298"/>
      <c r="C1535" s="1302"/>
      <c r="D1535" s="1306"/>
      <c r="E1535" s="2836" t="str">
        <f>Translations!$B$1525</f>
        <v>Съгласно изискванията в приложение IV, раздел 2.4, буква а) към ПБР посочете общото количество вложена енергия от горива, материали и електроенергия за генериране на топлинна енергия от подинсталацията и съответния претеглен емисионен фактор, като вземете предвид съответното енергийно съдържание на всяко гориво, включено в числовата стойност, посочена в буква ж), и приложите същите системни граници от буква ж).</v>
      </c>
      <c r="F1535" s="2836"/>
      <c r="G1535" s="2836"/>
      <c r="H1535" s="2836"/>
      <c r="I1535" s="2836"/>
      <c r="J1535" s="2836"/>
      <c r="K1535" s="2836"/>
      <c r="L1535" s="2836"/>
      <c r="M1535" s="2836"/>
      <c r="N1535" s="2837"/>
      <c r="O1535" s="302"/>
      <c r="P1535" s="302"/>
      <c r="Q1535" s="729"/>
      <c r="R1535" s="729"/>
      <c r="S1535" s="729"/>
      <c r="T1535" s="694"/>
      <c r="U1535" s="694"/>
      <c r="V1535" s="694"/>
      <c r="W1535" s="694"/>
      <c r="X1535" s="694"/>
      <c r="Y1535" s="694"/>
      <c r="Z1535" s="694"/>
      <c r="AA1535" s="694"/>
      <c r="AB1535" s="694"/>
      <c r="AC1535" s="694"/>
      <c r="AD1535" s="694"/>
      <c r="AE1535" s="694"/>
      <c r="AF1535" s="694"/>
      <c r="AG1535" s="694"/>
      <c r="AH1535" s="694"/>
      <c r="AI1535" s="694"/>
      <c r="AJ1535" s="694"/>
      <c r="AK1535" s="694"/>
      <c r="AL1535" s="694"/>
    </row>
    <row r="1536" spans="1:38" ht="25.5" customHeight="1" x14ac:dyDescent="0.25">
      <c r="A1536" s="694"/>
      <c r="B1536" s="298"/>
      <c r="C1536" s="1302"/>
      <c r="D1536" s="1306"/>
      <c r="E1536" s="2836" t="str">
        <f>Translations!$B$1526</f>
        <v>Терминът „гориво“ следва да се тълкува като всеки запалим пораждащ емисии поток съгласно РМД, за който може да се установи долната топлина на изгаряне. Претегленият емисионен фактор съответства на натрупаните емисии от горива, разделени на общото енергийно съдържание.</v>
      </c>
      <c r="F1536" s="2836"/>
      <c r="G1536" s="2836"/>
      <c r="H1536" s="2836"/>
      <c r="I1536" s="2836"/>
      <c r="J1536" s="2836"/>
      <c r="K1536" s="2836"/>
      <c r="L1536" s="2836"/>
      <c r="M1536" s="2836"/>
      <c r="N1536" s="2837"/>
      <c r="O1536" s="302"/>
      <c r="P1536" s="302"/>
      <c r="Q1536" s="729"/>
      <c r="R1536" s="694"/>
      <c r="S1536" s="729"/>
      <c r="T1536" s="694"/>
      <c r="U1536" s="694"/>
      <c r="V1536" s="694"/>
      <c r="W1536" s="694"/>
      <c r="X1536" s="694"/>
      <c r="Y1536" s="694"/>
      <c r="Z1536" s="694"/>
      <c r="AA1536" s="694"/>
      <c r="AB1536" s="694"/>
      <c r="AC1536" s="694"/>
      <c r="AD1536" s="694"/>
      <c r="AE1536" s="694"/>
      <c r="AF1536" s="694"/>
      <c r="AG1536" s="694"/>
      <c r="AH1536" s="694"/>
      <c r="AI1536" s="694"/>
      <c r="AJ1536" s="694"/>
      <c r="AK1536" s="694"/>
      <c r="AL1536" s="694"/>
    </row>
    <row r="1537" spans="1:38" ht="12.75" customHeight="1" x14ac:dyDescent="0.25">
      <c r="A1537" s="694"/>
      <c r="B1537" s="298"/>
      <c r="C1537" s="1302"/>
      <c r="D1537" s="1306"/>
      <c r="E1537" s="2836" t="str">
        <f>Translations!$B$519</f>
        <v>Претегленият емисионен фактор следва също така да включва и емисии от съответното очистване на димни газове, ако е приложимо.</v>
      </c>
      <c r="F1537" s="2836"/>
      <c r="G1537" s="2836"/>
      <c r="H1537" s="2836"/>
      <c r="I1537" s="2836"/>
      <c r="J1537" s="2836"/>
      <c r="K1537" s="2836"/>
      <c r="L1537" s="2836"/>
      <c r="M1537" s="2836"/>
      <c r="N1537" s="2837"/>
      <c r="O1537" s="302"/>
      <c r="P1537" s="302"/>
      <c r="Q1537" s="729"/>
      <c r="R1537" s="694"/>
      <c r="S1537" s="729"/>
      <c r="T1537" s="694"/>
      <c r="U1537" s="694"/>
      <c r="V1537" s="694"/>
      <c r="W1537" s="694"/>
      <c r="X1537" s="694"/>
      <c r="Y1537" s="694"/>
      <c r="Z1537" s="694"/>
      <c r="AA1537" s="694"/>
      <c r="AB1537" s="694"/>
      <c r="AC1537" s="694"/>
      <c r="AD1537" s="694"/>
      <c r="AE1537" s="694"/>
      <c r="AF1537" s="694"/>
      <c r="AG1537" s="694"/>
      <c r="AH1537" s="694"/>
      <c r="AI1537" s="694"/>
      <c r="AJ1537" s="694"/>
      <c r="AK1537" s="694"/>
      <c r="AL1537" s="694"/>
    </row>
    <row r="1538" spans="1:38" ht="12.75" customHeight="1" x14ac:dyDescent="0.25">
      <c r="A1538" s="694"/>
      <c r="B1538" s="298"/>
      <c r="C1538" s="1302"/>
      <c r="D1538" s="1306"/>
      <c r="E1538" s="2816" t="str">
        <f>Translations!$B$520</f>
        <v>Посочените тук данни се използват само с цел проверка на съответствието и нямат пряко отражение върху емисиите, които могат да бъдат зададени, или на разпределението на квотите.</v>
      </c>
      <c r="F1538" s="2240"/>
      <c r="G1538" s="2240"/>
      <c r="H1538" s="2240"/>
      <c r="I1538" s="2240"/>
      <c r="J1538" s="2240"/>
      <c r="K1538" s="2240"/>
      <c r="L1538" s="2240"/>
      <c r="M1538" s="2240"/>
      <c r="N1538" s="2811"/>
      <c r="O1538" s="302"/>
      <c r="P1538" s="302"/>
      <c r="Q1538" s="729"/>
      <c r="R1538" s="694"/>
      <c r="S1538" s="729"/>
      <c r="T1538" s="694"/>
      <c r="U1538" s="694"/>
      <c r="V1538" s="694"/>
      <c r="W1538" s="694"/>
      <c r="X1538" s="694"/>
      <c r="Y1538" s="694"/>
      <c r="Z1538" s="694"/>
      <c r="AA1538" s="694"/>
      <c r="AB1538" s="694"/>
      <c r="AC1538" s="694"/>
      <c r="AD1538" s="694"/>
      <c r="AE1538" s="694"/>
      <c r="AF1538" s="694"/>
      <c r="AG1538" s="694"/>
      <c r="AH1538" s="694"/>
      <c r="AI1538" s="694"/>
      <c r="AJ1538" s="694"/>
      <c r="AK1538" s="694"/>
      <c r="AL1538" s="694"/>
    </row>
    <row r="1539" spans="1:38" ht="12.75" customHeight="1" thickBot="1" x14ac:dyDescent="0.3">
      <c r="A1539" s="694"/>
      <c r="B1539" s="298"/>
      <c r="C1539" s="1302"/>
      <c r="D1539" s="1307"/>
      <c r="E1539" s="1317"/>
      <c r="F1539" s="1318"/>
      <c r="G1539" s="1309" t="str">
        <f>EUconst_Unit</f>
        <v>Единица мярка</v>
      </c>
      <c r="H1539" s="629">
        <f t="shared" ref="H1539:N1539" si="2025">H$2831</f>
        <v>2024</v>
      </c>
      <c r="I1539" s="1310">
        <f t="shared" si="2025"/>
        <v>2025</v>
      </c>
      <c r="J1539" s="1311">
        <f t="shared" si="2025"/>
        <v>2026</v>
      </c>
      <c r="K1539" s="629">
        <f t="shared" si="2025"/>
        <v>2027</v>
      </c>
      <c r="L1539" s="629">
        <f t="shared" si="2025"/>
        <v>2028</v>
      </c>
      <c r="M1539" s="629">
        <f t="shared" si="2025"/>
        <v>2029</v>
      </c>
      <c r="N1539" s="1312">
        <f t="shared" si="2025"/>
        <v>2030</v>
      </c>
      <c r="O1539" s="302"/>
      <c r="P1539" s="302"/>
      <c r="Q1539" s="729"/>
      <c r="R1539" s="694"/>
      <c r="S1539" s="729"/>
      <c r="T1539" s="694"/>
      <c r="U1539" s="694"/>
      <c r="V1539" s="694"/>
      <c r="W1539" s="694"/>
      <c r="X1539" s="694"/>
      <c r="Y1539" s="694"/>
      <c r="Z1539" s="694"/>
      <c r="AA1539" s="694"/>
      <c r="AB1539" s="694"/>
      <c r="AC1539" s="1178">
        <f t="shared" ref="AC1539" si="2026">H$20</f>
        <v>2024</v>
      </c>
      <c r="AD1539" s="1178">
        <f t="shared" ref="AD1539" si="2027">I$20</f>
        <v>2025</v>
      </c>
      <c r="AE1539" s="1178">
        <f t="shared" ref="AE1539" si="2028">J$20</f>
        <v>2026</v>
      </c>
      <c r="AF1539" s="1178">
        <f t="shared" ref="AF1539" si="2029">K$20</f>
        <v>2027</v>
      </c>
      <c r="AG1539" s="1178">
        <f t="shared" ref="AG1539" si="2030">L$20</f>
        <v>2028</v>
      </c>
      <c r="AH1539" s="1178">
        <f t="shared" ref="AH1539" si="2031">M$20</f>
        <v>2029</v>
      </c>
      <c r="AI1539" s="1178">
        <f t="shared" ref="AI1539" si="2032">N$20</f>
        <v>2030</v>
      </c>
      <c r="AJ1539" s="694"/>
      <c r="AK1539" s="694"/>
      <c r="AL1539" s="694"/>
    </row>
    <row r="1540" spans="1:38" ht="12.75" customHeight="1" x14ac:dyDescent="0.25">
      <c r="A1540" s="694"/>
      <c r="B1540" s="298"/>
      <c r="C1540" s="1302"/>
      <c r="D1540" s="625" t="s">
        <v>6</v>
      </c>
      <c r="E1540" s="2820" t="str">
        <f>Translations!$B$1527</f>
        <v>Вложена енергия</v>
      </c>
      <c r="F1540" s="2258"/>
      <c r="G1540" s="1319" t="str">
        <f>EUconst_TJpa</f>
        <v>TJ / година</v>
      </c>
      <c r="H1540" s="56"/>
      <c r="I1540" s="115"/>
      <c r="J1540" s="118"/>
      <c r="K1540" s="56"/>
      <c r="L1540" s="56"/>
      <c r="M1540" s="56"/>
      <c r="N1540" s="121"/>
      <c r="O1540" s="302"/>
      <c r="P1540" s="158"/>
      <c r="Q1540" s="1190" t="str">
        <f>EUconst_CNTR_FuelInput &amp; I1418</f>
        <v>FuelInput_</v>
      </c>
      <c r="R1540" s="694"/>
      <c r="S1540" s="729"/>
      <c r="T1540" s="694"/>
      <c r="U1540" s="694"/>
      <c r="V1540" s="694"/>
      <c r="W1540" s="694"/>
      <c r="X1540" s="694"/>
      <c r="Y1540" s="694"/>
      <c r="Z1540" s="694"/>
      <c r="AA1540" s="694"/>
      <c r="AB1540" s="1182" t="s">
        <v>737</v>
      </c>
      <c r="AC1540" s="982" t="b">
        <f>AC1465</f>
        <v>0</v>
      </c>
      <c r="AD1540" s="982" t="b">
        <f t="shared" ref="AD1540:AI1540" si="2033">AD1465</f>
        <v>0</v>
      </c>
      <c r="AE1540" s="982" t="b">
        <f t="shared" si="2033"/>
        <v>0</v>
      </c>
      <c r="AF1540" s="982" t="b">
        <f t="shared" si="2033"/>
        <v>0</v>
      </c>
      <c r="AG1540" s="982" t="b">
        <f t="shared" si="2033"/>
        <v>0</v>
      </c>
      <c r="AH1540" s="982" t="b">
        <f t="shared" si="2033"/>
        <v>0</v>
      </c>
      <c r="AI1540" s="982" t="b">
        <f t="shared" si="2033"/>
        <v>0</v>
      </c>
      <c r="AJ1540" s="1174" t="s">
        <v>2039</v>
      </c>
      <c r="AK1540" s="1176" t="str">
        <f>IF(AND(CNTR_ExistSubInstEntries,MSconst_RequireSubAttrEmissions,COUNTIFS(AC1540:AI1540,FALSE,H1540:N1540,"")&gt;0),EUconst_Error&amp;"BM"&amp;$Q1418,"")</f>
        <v/>
      </c>
      <c r="AL1540" s="694"/>
    </row>
    <row r="1541" spans="1:38" ht="12.75" customHeight="1" x14ac:dyDescent="0.25">
      <c r="A1541" s="694"/>
      <c r="B1541" s="298"/>
      <c r="C1541" s="1302"/>
      <c r="D1541" s="625" t="s">
        <v>7</v>
      </c>
      <c r="E1541" s="2820" t="str">
        <f>Translations!$B$522</f>
        <v>Претеглен емисионен фактор</v>
      </c>
      <c r="F1541" s="2258"/>
      <c r="G1541" s="1320" t="str">
        <f>EUconst_tCO2pTJ</f>
        <v>t CO2 / TJ</v>
      </c>
      <c r="H1541" s="82"/>
      <c r="I1541" s="126"/>
      <c r="J1541" s="127"/>
      <c r="K1541" s="82"/>
      <c r="L1541" s="82"/>
      <c r="M1541" s="82"/>
      <c r="N1541" s="128"/>
      <c r="O1541" s="302"/>
      <c r="P1541" s="158"/>
      <c r="Q1541" s="1190" t="str">
        <f>EUconst_CNTR_FuelEF &amp; I1418</f>
        <v>FuelEF_</v>
      </c>
      <c r="R1541" s="694"/>
      <c r="S1541" s="729"/>
      <c r="T1541" s="694"/>
      <c r="U1541" s="694"/>
      <c r="V1541" s="694"/>
      <c r="W1541" s="694"/>
      <c r="X1541" s="694"/>
      <c r="Y1541" s="694"/>
      <c r="Z1541" s="694"/>
      <c r="AA1541" s="694"/>
      <c r="AB1541" s="694"/>
      <c r="AC1541" s="982" t="b">
        <f>AC1540</f>
        <v>0</v>
      </c>
      <c r="AD1541" s="982" t="b">
        <f t="shared" ref="AD1541:AI1541" si="2034">AD1540</f>
        <v>0</v>
      </c>
      <c r="AE1541" s="982" t="b">
        <f t="shared" si="2034"/>
        <v>0</v>
      </c>
      <c r="AF1541" s="982" t="b">
        <f t="shared" si="2034"/>
        <v>0</v>
      </c>
      <c r="AG1541" s="982" t="b">
        <f t="shared" si="2034"/>
        <v>0</v>
      </c>
      <c r="AH1541" s="982" t="b">
        <f t="shared" si="2034"/>
        <v>0</v>
      </c>
      <c r="AI1541" s="982" t="b">
        <f t="shared" si="2034"/>
        <v>0</v>
      </c>
      <c r="AJ1541" s="1174" t="s">
        <v>2039</v>
      </c>
      <c r="AK1541" s="1176" t="str">
        <f>IF(AND(CNTR_ExistSubInstEntries,MSconst_RequireSubAttrEmissions,COUNTIFS(AC1541:AI1541,FALSE,H1541:N1541,"")&gt;0),EUconst_Error&amp;"BM"&amp;$Q1418,"")</f>
        <v/>
      </c>
      <c r="AL1541" s="694"/>
    </row>
    <row r="1542" spans="1:38" ht="12.75" customHeight="1" x14ac:dyDescent="0.25">
      <c r="A1542" s="694"/>
      <c r="B1542" s="298"/>
      <c r="C1542" s="1302"/>
      <c r="D1542" s="1306"/>
      <c r="E1542" s="1306"/>
      <c r="F1542" s="1306"/>
      <c r="G1542" s="1306"/>
      <c r="H1542" s="1306"/>
      <c r="I1542" s="1306"/>
      <c r="J1542" s="1306"/>
      <c r="K1542" s="1306"/>
      <c r="L1542" s="1306"/>
      <c r="M1542" s="626"/>
      <c r="N1542" s="1316"/>
      <c r="O1542" s="302"/>
      <c r="P1542" s="302"/>
      <c r="Q1542" s="729"/>
      <c r="R1542" s="694"/>
      <c r="S1542" s="729"/>
      <c r="T1542" s="694"/>
      <c r="U1542" s="694"/>
      <c r="V1542" s="694"/>
      <c r="W1542" s="694"/>
      <c r="X1542" s="694"/>
      <c r="Y1542" s="694"/>
      <c r="Z1542" s="694"/>
      <c r="AA1542" s="694"/>
      <c r="AB1542" s="694"/>
      <c r="AC1542" s="694"/>
      <c r="AD1542" s="694"/>
      <c r="AE1542" s="694"/>
      <c r="AF1542" s="694"/>
      <c r="AG1542" s="694"/>
      <c r="AH1542" s="694"/>
      <c r="AI1542" s="694"/>
      <c r="AJ1542" s="694"/>
      <c r="AK1542" s="694"/>
      <c r="AL1542" s="694"/>
    </row>
    <row r="1543" spans="1:38" ht="12.75" customHeight="1" x14ac:dyDescent="0.25">
      <c r="A1543" s="694"/>
      <c r="B1543" s="298"/>
      <c r="C1543" s="1302"/>
      <c r="D1543" s="1307" t="s">
        <v>279</v>
      </c>
      <c r="E1543" s="2815" t="str">
        <f>Translations!$B$523</f>
        <v>Други вътрешни пораждащи емисии потоци, получени или подадени от тази подинсталация</v>
      </c>
      <c r="F1543" s="2240"/>
      <c r="G1543" s="2240"/>
      <c r="H1543" s="2240"/>
      <c r="I1543" s="2240"/>
      <c r="J1543" s="2240"/>
      <c r="K1543" s="2240"/>
      <c r="L1543" s="2240"/>
      <c r="M1543" s="2240"/>
      <c r="N1543" s="2811"/>
      <c r="O1543" s="302"/>
      <c r="P1543" s="302"/>
      <c r="Q1543" s="729"/>
      <c r="R1543" s="729"/>
      <c r="S1543" s="729"/>
      <c r="T1543" s="694"/>
      <c r="U1543" s="694"/>
      <c r="V1543" s="694"/>
      <c r="W1543" s="694"/>
      <c r="X1543" s="694"/>
      <c r="Y1543" s="694"/>
      <c r="Z1543" s="694"/>
      <c r="AA1543" s="694"/>
      <c r="AB1543" s="694"/>
      <c r="AC1543" s="694"/>
      <c r="AD1543" s="694"/>
      <c r="AE1543" s="694"/>
      <c r="AF1543" s="694"/>
      <c r="AG1543" s="694"/>
      <c r="AH1543" s="694"/>
      <c r="AI1543" s="694"/>
      <c r="AJ1543" s="694"/>
      <c r="AK1543" s="694"/>
      <c r="AL1543" s="694"/>
    </row>
    <row r="1544" spans="1:38" ht="12.75" customHeight="1" x14ac:dyDescent="0.25">
      <c r="A1544" s="694"/>
      <c r="B1544" s="298"/>
      <c r="C1544" s="1302"/>
      <c r="D1544" s="625"/>
      <c r="E1544" s="2816" t="str">
        <f>Translations!$B$508</f>
        <v>Посочените тук данни ще се отразят на емисиите, които могат да бъдат зададени съгласно раздел 10.1.1 от приложение VII към ПБР.</v>
      </c>
      <c r="F1544" s="2240"/>
      <c r="G1544" s="2240"/>
      <c r="H1544" s="2240"/>
      <c r="I1544" s="2240"/>
      <c r="J1544" s="2240"/>
      <c r="K1544" s="2240"/>
      <c r="L1544" s="2240"/>
      <c r="M1544" s="2240"/>
      <c r="N1544" s="2811"/>
      <c r="O1544" s="302"/>
      <c r="P1544" s="302"/>
      <c r="Q1544" s="729"/>
      <c r="R1544" s="694"/>
      <c r="S1544" s="729"/>
      <c r="T1544" s="729"/>
      <c r="U1544" s="729"/>
      <c r="V1544" s="729"/>
      <c r="W1544" s="694"/>
      <c r="X1544" s="694"/>
      <c r="Y1544" s="694"/>
      <c r="Z1544" s="694"/>
      <c r="AA1544" s="694"/>
      <c r="AB1544" s="694"/>
      <c r="AC1544" s="694"/>
      <c r="AD1544" s="694"/>
      <c r="AE1544" s="694"/>
      <c r="AF1544" s="694"/>
      <c r="AG1544" s="694"/>
      <c r="AH1544" s="694"/>
      <c r="AI1544" s="694"/>
      <c r="AJ1544" s="694"/>
      <c r="AK1544" s="694"/>
      <c r="AL1544" s="694"/>
    </row>
    <row r="1545" spans="1:38" ht="25.5" customHeight="1" x14ac:dyDescent="0.25">
      <c r="A1545" s="694"/>
      <c r="B1545" s="298"/>
      <c r="C1545" s="1302"/>
      <c r="D1545" s="1306"/>
      <c r="E1545" s="2816" t="str">
        <f>Translations!$B$524</f>
        <v>Имайте предвид, че всички пораждащи емисии потоци трябва да се изброят тук само ако не са обхванати от преките емисии в буква g) по-горе, за да се избегнат пропуски в данните или двойно отчитане. Емисиите, свързани с отпадните газове, НЕ могат да се изброяват тук, а трябва да се посочват в буква l) по-долу.</v>
      </c>
      <c r="F1545" s="2240"/>
      <c r="G1545" s="2240"/>
      <c r="H1545" s="2240"/>
      <c r="I1545" s="2240"/>
      <c r="J1545" s="2240"/>
      <c r="K1545" s="2240"/>
      <c r="L1545" s="2240"/>
      <c r="M1545" s="2240"/>
      <c r="N1545" s="2811"/>
      <c r="O1545" s="302"/>
      <c r="P1545" s="302"/>
      <c r="Q1545" s="729"/>
      <c r="R1545" s="729"/>
      <c r="S1545" s="729"/>
      <c r="T1545" s="694"/>
      <c r="U1545" s="694"/>
      <c r="V1545" s="694"/>
      <c r="W1545" s="694"/>
      <c r="X1545" s="694"/>
      <c r="Y1545" s="694"/>
      <c r="Z1545" s="694"/>
      <c r="AA1545" s="694"/>
      <c r="AB1545" s="694"/>
      <c r="AC1545" s="694"/>
      <c r="AD1545" s="694"/>
      <c r="AE1545" s="694"/>
      <c r="AF1545" s="694"/>
      <c r="AG1545" s="694"/>
      <c r="AH1545" s="694"/>
      <c r="AI1545" s="694"/>
      <c r="AJ1545" s="694"/>
      <c r="AK1545" s="694"/>
      <c r="AL1545" s="694"/>
    </row>
    <row r="1546" spans="1:38" ht="12.75" customHeight="1" x14ac:dyDescent="0.25">
      <c r="A1546" s="694"/>
      <c r="B1546" s="298"/>
      <c r="C1546" s="1302"/>
      <c r="D1546" s="1306"/>
      <c r="E1546" s="2810" t="str">
        <f>Translations!$B$525</f>
        <v>Тук въведете информация за т.нар. вътрешни пораждащи емисии потоци, които се пренасят между подинсталациите, т.е. са получени или подадени от тази подинсталация.</v>
      </c>
      <c r="F1546" s="2240"/>
      <c r="G1546" s="2240"/>
      <c r="H1546" s="2240"/>
      <c r="I1546" s="2240"/>
      <c r="J1546" s="2240"/>
      <c r="K1546" s="2240"/>
      <c r="L1546" s="2240"/>
      <c r="M1546" s="2240"/>
      <c r="N1546" s="2811"/>
      <c r="O1546" s="302"/>
      <c r="P1546" s="302"/>
      <c r="Q1546" s="729"/>
      <c r="R1546" s="729"/>
      <c r="S1546" s="729"/>
      <c r="T1546" s="694"/>
      <c r="U1546" s="694"/>
      <c r="V1546" s="694"/>
      <c r="W1546" s="694"/>
      <c r="X1546" s="694"/>
      <c r="Y1546" s="694"/>
      <c r="Z1546" s="694"/>
      <c r="AA1546" s="694"/>
      <c r="AB1546" s="694"/>
      <c r="AC1546" s="694"/>
      <c r="AD1546" s="694"/>
      <c r="AE1546" s="694"/>
      <c r="AF1546" s="694"/>
      <c r="AG1546" s="694"/>
      <c r="AH1546" s="694"/>
      <c r="AI1546" s="694"/>
      <c r="AJ1546" s="694"/>
      <c r="AK1546" s="694"/>
      <c r="AL1546" s="694"/>
    </row>
    <row r="1547" spans="1:38" ht="38.9" customHeight="1" x14ac:dyDescent="0.25">
      <c r="A1547" s="694"/>
      <c r="B1547" s="298"/>
      <c r="C1547" s="1302"/>
      <c r="D1547" s="1306"/>
      <c r="E1547" s="2810" t="str">
        <f>Translations!$B$526</f>
        <v>Така например, ако това е подинсталацията за „кокс“ на комбинирана инсталация за чугун и стомана, емисиите, свързани с консумацията на кокс, възникват в доменната пещ и не трябва да се задават на тази подинсталация (т.е. подинсталацията за „кокс“). Въпреки това част от емисиите се включват в буква g) по-горе, защото въглищата, които се вкарват в коксовата пещ, ще са един от зададените на първата стъпка пораждащи емисии потоци.</v>
      </c>
      <c r="F1547" s="2240"/>
      <c r="G1547" s="2240"/>
      <c r="H1547" s="2240"/>
      <c r="I1547" s="2240"/>
      <c r="J1547" s="2240"/>
      <c r="K1547" s="2240"/>
      <c r="L1547" s="2240"/>
      <c r="M1547" s="2240"/>
      <c r="N1547" s="2811"/>
      <c r="O1547" s="302"/>
      <c r="P1547" s="302"/>
      <c r="Q1547" s="729"/>
      <c r="R1547" s="694"/>
      <c r="S1547" s="729"/>
      <c r="T1547" s="694"/>
      <c r="U1547" s="694"/>
      <c r="V1547" s="694"/>
      <c r="W1547" s="694"/>
      <c r="X1547" s="694"/>
      <c r="Y1547" s="694"/>
      <c r="Z1547" s="694"/>
      <c r="AA1547" s="694"/>
      <c r="AB1547" s="694"/>
      <c r="AC1547" s="694"/>
      <c r="AD1547" s="694"/>
      <c r="AE1547" s="694"/>
      <c r="AF1547" s="694"/>
      <c r="AG1547" s="694"/>
      <c r="AH1547" s="694"/>
      <c r="AI1547" s="694"/>
      <c r="AJ1547" s="694"/>
      <c r="AK1547" s="694"/>
      <c r="AL1547" s="694"/>
    </row>
    <row r="1548" spans="1:38" ht="51" customHeight="1" x14ac:dyDescent="0.25">
      <c r="A1548" s="694"/>
      <c r="B1548" s="298"/>
      <c r="C1548" s="1302"/>
      <c r="D1548" s="1306"/>
      <c r="E1548" s="2810" t="str">
        <f>Translations!$B$527</f>
        <v>За да се избегне двойно отчитане, коксът, който излиза от коксовата подинсталация, трябва да се коригира като изходящ „вътрешен пораждащ емисии поток“. Това става чрез отрицателна стойност за количеството кокс в случай на „подаване“. За да се получи пълен баланс на емисиите от въглищата, вкарани в коксовата подинсталация, емисиите, свързани с използването на коксов газ (= отпаден газ), са отразени в буква g) по-горе (както е включено в емисиите от въглища), до степента на използване на газа в рамките на подинсталацията. Тук не трябва да се внасят корекции, за да се отчетат подадените количества отпаден газ; това се прави в l).xx. по-долу.</v>
      </c>
      <c r="F1548" s="2240"/>
      <c r="G1548" s="2240"/>
      <c r="H1548" s="2240"/>
      <c r="I1548" s="2240"/>
      <c r="J1548" s="2240"/>
      <c r="K1548" s="2240"/>
      <c r="L1548" s="2240"/>
      <c r="M1548" s="2240"/>
      <c r="N1548" s="2811"/>
      <c r="O1548" s="302"/>
      <c r="P1548" s="302"/>
      <c r="Q1548" s="729"/>
      <c r="R1548" s="694"/>
      <c r="S1548" s="729"/>
      <c r="T1548" s="694"/>
      <c r="U1548" s="694"/>
      <c r="V1548" s="694"/>
      <c r="W1548" s="694"/>
      <c r="X1548" s="694"/>
      <c r="Y1548" s="694"/>
      <c r="Z1548" s="694"/>
      <c r="AA1548" s="694"/>
      <c r="AB1548" s="694"/>
      <c r="AC1548" s="694"/>
      <c r="AD1548" s="694"/>
      <c r="AE1548" s="694"/>
      <c r="AF1548" s="694"/>
      <c r="AG1548" s="694"/>
      <c r="AH1548" s="694"/>
      <c r="AI1548" s="694"/>
      <c r="AJ1548" s="694"/>
      <c r="AK1548" s="694"/>
      <c r="AL1548" s="694"/>
    </row>
    <row r="1549" spans="1:38" ht="25.5" customHeight="1" x14ac:dyDescent="0.25">
      <c r="A1549" s="694"/>
      <c r="B1549" s="298"/>
      <c r="C1549" s="1302"/>
      <c r="D1549" s="1306"/>
      <c r="E1549" s="2810" t="str">
        <f>Translations!$B$528</f>
        <v>И обратно, ако това е подинсталация с показател за течни черни метали в комбинирана инсталация за чугун и стомана, коксът трябва да се посочи тук като входящ/получен „вътрешен“ пораждащ емисии поток с положително количество.</v>
      </c>
      <c r="F1549" s="2240"/>
      <c r="G1549" s="2240"/>
      <c r="H1549" s="2240"/>
      <c r="I1549" s="2240"/>
      <c r="J1549" s="2240"/>
      <c r="K1549" s="2240"/>
      <c r="L1549" s="2240"/>
      <c r="M1549" s="2240"/>
      <c r="N1549" s="2811"/>
      <c r="O1549" s="302"/>
      <c r="P1549" s="302"/>
      <c r="Q1549" s="729"/>
      <c r="R1549" s="694"/>
      <c r="S1549" s="729"/>
      <c r="T1549" s="694"/>
      <c r="U1549" s="694"/>
      <c r="V1549" s="694"/>
      <c r="W1549" s="694"/>
      <c r="X1549" s="694"/>
      <c r="Y1549" s="694"/>
      <c r="Z1549" s="694"/>
      <c r="AA1549" s="694"/>
      <c r="AB1549" s="694"/>
      <c r="AC1549" s="694"/>
      <c r="AD1549" s="694"/>
      <c r="AE1549" s="694"/>
      <c r="AF1549" s="694"/>
      <c r="AG1549" s="694"/>
      <c r="AH1549" s="694"/>
      <c r="AI1549" s="694"/>
      <c r="AJ1549" s="694"/>
      <c r="AK1549" s="694"/>
      <c r="AL1549" s="694"/>
    </row>
    <row r="1550" spans="1:38" ht="12.75" customHeight="1" x14ac:dyDescent="0.25">
      <c r="A1550" s="694"/>
      <c r="B1550" s="298"/>
      <c r="C1550" s="1302"/>
      <c r="D1550" s="625" t="s">
        <v>6</v>
      </c>
      <c r="E1550" s="2817" t="str">
        <f>Translations!$B$529</f>
        <v>За тази подинсталация отнасят ли се други получени или подадени вътрешни пораждащи емисии потоци?</v>
      </c>
      <c r="F1550" s="2240"/>
      <c r="G1550" s="2240"/>
      <c r="H1550" s="2240"/>
      <c r="I1550" s="2240"/>
      <c r="J1550" s="2240"/>
      <c r="K1550" s="2684"/>
      <c r="L1550" s="83"/>
      <c r="M1550" s="1322"/>
      <c r="N1550" s="1323"/>
      <c r="O1550" s="302"/>
      <c r="P1550" s="158"/>
      <c r="Q1550" s="729"/>
      <c r="R1550" s="694"/>
      <c r="S1550" s="729"/>
      <c r="T1550" s="694"/>
      <c r="U1550" s="694"/>
      <c r="V1550" s="694"/>
      <c r="W1550" s="694"/>
      <c r="X1550" s="694"/>
      <c r="Y1550" s="694"/>
      <c r="Z1550" s="694"/>
      <c r="AA1550" s="694"/>
      <c r="AB1550" s="694"/>
      <c r="AC1550" s="694"/>
      <c r="AD1550" s="694"/>
      <c r="AE1550" s="694"/>
      <c r="AF1550" s="1182" t="s">
        <v>737</v>
      </c>
      <c r="AG1550" s="901" t="b">
        <f>AND(CNTR_ExistSubInstEntries,I1418="")</f>
        <v>0</v>
      </c>
      <c r="AH1550" s="694"/>
      <c r="AI1550" s="694"/>
      <c r="AJ1550" s="694"/>
      <c r="AK1550" s="694"/>
      <c r="AL1550" s="694"/>
    </row>
    <row r="1551" spans="1:38" ht="12.75" customHeight="1" x14ac:dyDescent="0.25">
      <c r="A1551" s="694"/>
      <c r="B1551" s="298"/>
      <c r="C1551" s="1302"/>
      <c r="D1551" s="1306"/>
      <c r="E1551" s="2810" t="str">
        <f>Translations!$B$530</f>
        <v>Ако има над два получени или подадени пораждащи емисии потока, тези няколко пораждащи емисии потока следва да се групират заедно и да се посочат имената им.</v>
      </c>
      <c r="F1551" s="2240"/>
      <c r="G1551" s="2240"/>
      <c r="H1551" s="2240"/>
      <c r="I1551" s="2240"/>
      <c r="J1551" s="2240"/>
      <c r="K1551" s="2240"/>
      <c r="L1551" s="2240"/>
      <c r="M1551" s="2240"/>
      <c r="N1551" s="2811"/>
      <c r="O1551" s="302"/>
      <c r="P1551" s="302"/>
      <c r="Q1551" s="729"/>
      <c r="R1551" s="694"/>
      <c r="S1551" s="729"/>
      <c r="T1551" s="694"/>
      <c r="U1551" s="694"/>
      <c r="V1551" s="694"/>
      <c r="W1551" s="694"/>
      <c r="X1551" s="694"/>
      <c r="Y1551" s="694"/>
      <c r="Z1551" s="694"/>
      <c r="AA1551" s="694"/>
      <c r="AB1551" s="694"/>
      <c r="AC1551" s="694"/>
      <c r="AD1551" s="694"/>
      <c r="AE1551" s="694"/>
      <c r="AF1551" s="694"/>
      <c r="AG1551" s="694"/>
      <c r="AH1551" s="694"/>
      <c r="AI1551" s="694"/>
      <c r="AJ1551" s="694"/>
      <c r="AK1551" s="694"/>
      <c r="AL1551" s="694"/>
    </row>
    <row r="1552" spans="1:38" ht="12.75" customHeight="1" x14ac:dyDescent="0.25">
      <c r="A1552" s="694"/>
      <c r="B1552" s="298"/>
      <c r="C1552" s="1302"/>
      <c r="D1552" s="625" t="s">
        <v>7</v>
      </c>
      <c r="E1552" s="2815" t="str">
        <f>Translations!$B$531</f>
        <v>Име на други пораждащи емисии потоци — 1:</v>
      </c>
      <c r="F1552" s="2240"/>
      <c r="G1552" s="2240"/>
      <c r="H1552" s="2684"/>
      <c r="I1552" s="2821"/>
      <c r="J1552" s="2834"/>
      <c r="K1552" s="2834"/>
      <c r="L1552" s="2834"/>
      <c r="M1552" s="2835"/>
      <c r="N1552" s="1324"/>
      <c r="O1552" s="302"/>
      <c r="P1552" s="158"/>
      <c r="Q1552" s="729"/>
      <c r="R1552" s="694"/>
      <c r="S1552" s="729"/>
      <c r="T1552" s="694"/>
      <c r="U1552" s="694"/>
      <c r="V1552" s="694"/>
      <c r="W1552" s="694"/>
      <c r="X1552" s="694"/>
      <c r="Y1552" s="694"/>
      <c r="Z1552" s="694"/>
      <c r="AA1552" s="694"/>
      <c r="AB1552" s="694"/>
      <c r="AC1552" s="1182" t="s">
        <v>737</v>
      </c>
      <c r="AD1552" s="901" t="b">
        <f>OR(AG1550,AND($L1550&lt;&gt;"",$L1550=FALSE))</f>
        <v>0</v>
      </c>
      <c r="AE1552" s="694"/>
      <c r="AF1552" s="694"/>
      <c r="AG1552" s="694"/>
      <c r="AH1552" s="694"/>
      <c r="AI1552" s="694"/>
      <c r="AJ1552" s="694"/>
      <c r="AK1552" s="694"/>
      <c r="AL1552" s="694"/>
    </row>
    <row r="1553" spans="1:38" ht="5.15" customHeight="1" x14ac:dyDescent="0.25">
      <c r="A1553" s="694"/>
      <c r="B1553" s="298"/>
      <c r="C1553" s="1302"/>
      <c r="D1553" s="1306"/>
      <c r="E1553" s="1325"/>
      <c r="F1553" s="1322"/>
      <c r="G1553" s="1322"/>
      <c r="H1553" s="1322"/>
      <c r="I1553" s="1322"/>
      <c r="J1553" s="1322"/>
      <c r="K1553" s="1322"/>
      <c r="L1553" s="1322"/>
      <c r="M1553" s="1322"/>
      <c r="N1553" s="1323"/>
      <c r="O1553" s="302"/>
      <c r="P1553" s="302"/>
      <c r="Q1553" s="729"/>
      <c r="R1553" s="694"/>
      <c r="S1553" s="729"/>
      <c r="T1553" s="694"/>
      <c r="U1553" s="694"/>
      <c r="V1553" s="694"/>
      <c r="W1553" s="694"/>
      <c r="X1553" s="694"/>
      <c r="Y1553" s="694"/>
      <c r="Z1553" s="694"/>
      <c r="AA1553" s="694"/>
      <c r="AB1553" s="694"/>
      <c r="AC1553" s="694"/>
      <c r="AD1553" s="694"/>
      <c r="AE1553" s="694"/>
      <c r="AF1553" s="694"/>
      <c r="AG1553" s="694"/>
      <c r="AH1553" s="694"/>
      <c r="AI1553" s="694"/>
      <c r="AJ1553" s="694"/>
      <c r="AK1553" s="694"/>
      <c r="AL1553" s="694"/>
    </row>
    <row r="1554" spans="1:38" ht="12.75" customHeight="1" thickBot="1" x14ac:dyDescent="0.3">
      <c r="A1554" s="694"/>
      <c r="B1554" s="298"/>
      <c r="C1554" s="1302"/>
      <c r="D1554" s="1306"/>
      <c r="E1554" s="2803" t="str">
        <f>Translations!$B$532</f>
        <v>Други пораждащи емисии потоци — 1</v>
      </c>
      <c r="F1554" s="2672"/>
      <c r="G1554" s="1309" t="str">
        <f>EUconst_Unit</f>
        <v>Единица мярка</v>
      </c>
      <c r="H1554" s="629">
        <f t="shared" ref="H1554:N1554" si="2035">H$2831</f>
        <v>2024</v>
      </c>
      <c r="I1554" s="1310">
        <f t="shared" si="2035"/>
        <v>2025</v>
      </c>
      <c r="J1554" s="1311">
        <f t="shared" si="2035"/>
        <v>2026</v>
      </c>
      <c r="K1554" s="629">
        <f t="shared" si="2035"/>
        <v>2027</v>
      </c>
      <c r="L1554" s="629">
        <f t="shared" si="2035"/>
        <v>2028</v>
      </c>
      <c r="M1554" s="629">
        <f t="shared" si="2035"/>
        <v>2029</v>
      </c>
      <c r="N1554" s="1312">
        <f t="shared" si="2035"/>
        <v>2030</v>
      </c>
      <c r="O1554" s="302"/>
      <c r="P1554" s="302"/>
      <c r="Q1554" s="729"/>
      <c r="R1554" s="694"/>
      <c r="S1554" s="729"/>
      <c r="T1554" s="694"/>
      <c r="U1554" s="694"/>
      <c r="V1554" s="694"/>
      <c r="W1554" s="694"/>
      <c r="X1554" s="694"/>
      <c r="Y1554" s="694"/>
      <c r="Z1554" s="694"/>
      <c r="AA1554" s="694"/>
      <c r="AB1554" s="694"/>
      <c r="AC1554" s="1178">
        <f t="shared" ref="AC1554" si="2036">H$20</f>
        <v>2024</v>
      </c>
      <c r="AD1554" s="1178">
        <f t="shared" ref="AD1554" si="2037">I$20</f>
        <v>2025</v>
      </c>
      <c r="AE1554" s="1178">
        <f t="shared" ref="AE1554" si="2038">J$20</f>
        <v>2026</v>
      </c>
      <c r="AF1554" s="1178">
        <f t="shared" ref="AF1554" si="2039">K$20</f>
        <v>2027</v>
      </c>
      <c r="AG1554" s="1178">
        <f t="shared" ref="AG1554" si="2040">L$20</f>
        <v>2028</v>
      </c>
      <c r="AH1554" s="1178">
        <f t="shared" ref="AH1554" si="2041">M$20</f>
        <v>2029</v>
      </c>
      <c r="AI1554" s="1178">
        <f t="shared" ref="AI1554" si="2042">N$20</f>
        <v>2030</v>
      </c>
      <c r="AJ1554" s="694"/>
      <c r="AK1554" s="694"/>
      <c r="AL1554" s="694"/>
    </row>
    <row r="1555" spans="1:38" ht="12.75" customHeight="1" x14ac:dyDescent="0.25">
      <c r="A1555" s="694"/>
      <c r="B1555" s="298"/>
      <c r="C1555" s="1302"/>
      <c r="D1555" s="625" t="s">
        <v>8</v>
      </c>
      <c r="E1555" s="2818" t="str">
        <f>Translations!$B$533</f>
        <v>Получено или подадено количество</v>
      </c>
      <c r="F1555" s="2701"/>
      <c r="G1555" s="1326" t="str">
        <f>EUconst_tpa</f>
        <v>t / година</v>
      </c>
      <c r="H1555" s="129"/>
      <c r="I1555" s="130"/>
      <c r="J1555" s="131"/>
      <c r="K1555" s="129"/>
      <c r="L1555" s="129"/>
      <c r="M1555" s="129"/>
      <c r="N1555" s="132"/>
      <c r="O1555" s="302"/>
      <c r="P1555" s="158"/>
      <c r="Q1555" s="729"/>
      <c r="R1555" s="694"/>
      <c r="S1555" s="729"/>
      <c r="T1555" s="694"/>
      <c r="U1555" s="694"/>
      <c r="V1555" s="694"/>
      <c r="W1555" s="694"/>
      <c r="X1555" s="694"/>
      <c r="Y1555" s="694"/>
      <c r="Z1555" s="694"/>
      <c r="AA1555" s="694"/>
      <c r="AB1555" s="1182" t="s">
        <v>737</v>
      </c>
      <c r="AC1555" s="901" t="b">
        <f>OR(AND($L1550&lt;&gt;"",$L1550=FALSE),AC1465)</f>
        <v>0</v>
      </c>
      <c r="AD1555" s="982" t="b">
        <f t="shared" ref="AD1555:AI1555" si="2043">OR(AND($L1550&lt;&gt;"",$L1550=FALSE),AD1465)</f>
        <v>0</v>
      </c>
      <c r="AE1555" s="982" t="b">
        <f t="shared" si="2043"/>
        <v>0</v>
      </c>
      <c r="AF1555" s="982" t="b">
        <f t="shared" si="2043"/>
        <v>0</v>
      </c>
      <c r="AG1555" s="982" t="b">
        <f t="shared" si="2043"/>
        <v>0</v>
      </c>
      <c r="AH1555" s="982" t="b">
        <f t="shared" si="2043"/>
        <v>0</v>
      </c>
      <c r="AI1555" s="982" t="b">
        <f t="shared" si="2043"/>
        <v>0</v>
      </c>
      <c r="AJ1555" s="1174" t="s">
        <v>2039</v>
      </c>
      <c r="AK1555" s="1176" t="str">
        <f>IF(AND(CNTR_ExistSubInstEntries,MSconst_RequireSubAttrEmissions,COUNTIFS(AC1555:AI1555,FALSE,H1555:N1555,"")&gt;0),EUconst_Error&amp;"BM"&amp;$Q1418,"")</f>
        <v/>
      </c>
      <c r="AL1555" s="694"/>
    </row>
    <row r="1556" spans="1:38" ht="12.75" customHeight="1" x14ac:dyDescent="0.25">
      <c r="A1556" s="694"/>
      <c r="B1556" s="298"/>
      <c r="C1556" s="1302"/>
      <c r="D1556" s="625" t="s">
        <v>18</v>
      </c>
      <c r="E1556" s="2831" t="str">
        <f>Translations!$B$534</f>
        <v>Долна топлина на изгаряне (NCV), ако е приложимо</v>
      </c>
      <c r="F1556" s="2703"/>
      <c r="G1556" s="1327" t="str">
        <f>EUconst_GJpt</f>
        <v>GJ / t</v>
      </c>
      <c r="H1556" s="133"/>
      <c r="I1556" s="134"/>
      <c r="J1556" s="135"/>
      <c r="K1556" s="133"/>
      <c r="L1556" s="133"/>
      <c r="M1556" s="133"/>
      <c r="N1556" s="136"/>
      <c r="O1556" s="302"/>
      <c r="P1556" s="158"/>
      <c r="Q1556" s="729"/>
      <c r="R1556" s="694"/>
      <c r="S1556" s="729"/>
      <c r="T1556" s="694"/>
      <c r="U1556" s="694"/>
      <c r="V1556" s="694"/>
      <c r="W1556" s="694"/>
      <c r="X1556" s="694"/>
      <c r="Y1556" s="694"/>
      <c r="Z1556" s="694"/>
      <c r="AA1556" s="694"/>
      <c r="AB1556" s="694"/>
      <c r="AC1556" s="982" t="b">
        <f t="shared" ref="AC1556:AI1556" si="2044">AC1555</f>
        <v>0</v>
      </c>
      <c r="AD1556" s="982" t="b">
        <f t="shared" si="2044"/>
        <v>0</v>
      </c>
      <c r="AE1556" s="982" t="b">
        <f t="shared" si="2044"/>
        <v>0</v>
      </c>
      <c r="AF1556" s="982" t="b">
        <f t="shared" si="2044"/>
        <v>0</v>
      </c>
      <c r="AG1556" s="982" t="b">
        <f t="shared" si="2044"/>
        <v>0</v>
      </c>
      <c r="AH1556" s="982" t="b">
        <f t="shared" si="2044"/>
        <v>0</v>
      </c>
      <c r="AI1556" s="982" t="b">
        <f t="shared" si="2044"/>
        <v>0</v>
      </c>
      <c r="AJ1556" s="1174" t="s">
        <v>2039</v>
      </c>
      <c r="AK1556" s="1176" t="str">
        <f>IF(AND(CNTR_ExistSubInstEntries,MSconst_RequireSubAttrEmissions,COUNTIFS(AC1556:AI1556,FALSE,H1556:N1556,"")&gt;0),EUconst_Error&amp;"BM"&amp;$Q1418,"")</f>
        <v/>
      </c>
      <c r="AL1556" s="694"/>
    </row>
    <row r="1557" spans="1:38" ht="12.75" customHeight="1" thickBot="1" x14ac:dyDescent="0.3">
      <c r="A1557" s="694"/>
      <c r="B1557" s="298"/>
      <c r="C1557" s="1302"/>
      <c r="D1557" s="625" t="s">
        <v>810</v>
      </c>
      <c r="E1557" s="2831" t="str">
        <f>Translations!$B$535</f>
        <v>Въглеродно съдържание (тегловни %)</v>
      </c>
      <c r="F1557" s="2703"/>
      <c r="G1557" s="1328" t="s">
        <v>903</v>
      </c>
      <c r="H1557" s="133"/>
      <c r="I1557" s="134"/>
      <c r="J1557" s="135"/>
      <c r="K1557" s="133"/>
      <c r="L1557" s="133"/>
      <c r="M1557" s="133"/>
      <c r="N1557" s="136"/>
      <c r="O1557" s="302"/>
      <c r="P1557" s="158"/>
      <c r="Q1557" s="729"/>
      <c r="R1557" s="694"/>
      <c r="S1557" s="729"/>
      <c r="T1557" s="694"/>
      <c r="U1557" s="694"/>
      <c r="V1557" s="694"/>
      <c r="W1557" s="694"/>
      <c r="X1557" s="694"/>
      <c r="Y1557" s="694"/>
      <c r="Z1557" s="694"/>
      <c r="AA1557" s="694"/>
      <c r="AB1557" s="694"/>
      <c r="AC1557" s="982" t="b">
        <f t="shared" ref="AC1557:AI1557" si="2045">AC1556</f>
        <v>0</v>
      </c>
      <c r="AD1557" s="982" t="b">
        <f t="shared" si="2045"/>
        <v>0</v>
      </c>
      <c r="AE1557" s="982" t="b">
        <f t="shared" si="2045"/>
        <v>0</v>
      </c>
      <c r="AF1557" s="982" t="b">
        <f t="shared" si="2045"/>
        <v>0</v>
      </c>
      <c r="AG1557" s="982" t="b">
        <f t="shared" si="2045"/>
        <v>0</v>
      </c>
      <c r="AH1557" s="982" t="b">
        <f t="shared" si="2045"/>
        <v>0</v>
      </c>
      <c r="AI1557" s="982" t="b">
        <f t="shared" si="2045"/>
        <v>0</v>
      </c>
      <c r="AJ1557" s="1174" t="s">
        <v>2039</v>
      </c>
      <c r="AK1557" s="1176" t="str">
        <f>IF(AND(CNTR_ExistSubInstEntries,MSconst_RequireSubAttrEmissions,COUNTIFS(AC1557:AI1557,FALSE,H1557:N1557,"")&gt;0),EUconst_Error&amp;"BM"&amp;$Q1418,"")</f>
        <v/>
      </c>
      <c r="AL1557" s="694"/>
    </row>
    <row r="1558" spans="1:38" ht="12.75" customHeight="1" x14ac:dyDescent="0.25">
      <c r="A1558" s="694"/>
      <c r="B1558" s="298"/>
      <c r="C1558" s="1302"/>
      <c r="D1558" s="625" t="s">
        <v>811</v>
      </c>
      <c r="E1558" s="2828" t="str">
        <f>Translations!$B$536</f>
        <v>Съдържание на биомаса (като дял от въглеродното съдържание)</v>
      </c>
      <c r="F1558" s="2705"/>
      <c r="G1558" s="1329" t="s">
        <v>903</v>
      </c>
      <c r="H1558" s="137"/>
      <c r="I1558" s="138"/>
      <c r="J1558" s="139"/>
      <c r="K1558" s="137"/>
      <c r="L1558" s="137"/>
      <c r="M1558" s="137"/>
      <c r="N1558" s="140"/>
      <c r="O1558" s="302"/>
      <c r="P1558" s="158"/>
      <c r="Q1558" s="729"/>
      <c r="R1558" s="694"/>
      <c r="S1558" s="1205"/>
      <c r="T1558" s="1313">
        <f t="shared" ref="T1558" si="2046">H1554</f>
        <v>2024</v>
      </c>
      <c r="U1558" s="1313">
        <f t="shared" ref="U1558" si="2047">I1554</f>
        <v>2025</v>
      </c>
      <c r="V1558" s="1313">
        <f t="shared" ref="V1558" si="2048">J1554</f>
        <v>2026</v>
      </c>
      <c r="W1558" s="1313">
        <f t="shared" ref="W1558" si="2049">K1554</f>
        <v>2027</v>
      </c>
      <c r="X1558" s="1313">
        <f t="shared" ref="X1558" si="2050">L1554</f>
        <v>2028</v>
      </c>
      <c r="Y1558" s="1313">
        <f t="shared" ref="Y1558" si="2051">M1554</f>
        <v>2029</v>
      </c>
      <c r="Z1558" s="1314">
        <f t="shared" ref="Z1558" si="2052">N1554</f>
        <v>2030</v>
      </c>
      <c r="AA1558" s="694"/>
      <c r="AB1558" s="694"/>
      <c r="AC1558" s="982" t="b">
        <f t="shared" ref="AC1558:AI1558" si="2053">AC1557</f>
        <v>0</v>
      </c>
      <c r="AD1558" s="982" t="b">
        <f t="shared" si="2053"/>
        <v>0</v>
      </c>
      <c r="AE1558" s="982" t="b">
        <f t="shared" si="2053"/>
        <v>0</v>
      </c>
      <c r="AF1558" s="982" t="b">
        <f t="shared" si="2053"/>
        <v>0</v>
      </c>
      <c r="AG1558" s="982" t="b">
        <f t="shared" si="2053"/>
        <v>0</v>
      </c>
      <c r="AH1558" s="982" t="b">
        <f t="shared" si="2053"/>
        <v>0</v>
      </c>
      <c r="AI1558" s="982" t="b">
        <f t="shared" si="2053"/>
        <v>0</v>
      </c>
      <c r="AJ1558" s="1174" t="s">
        <v>2039</v>
      </c>
      <c r="AK1558" s="1176" t="str">
        <f>IF(AND(CNTR_ExistSubInstEntries,MSconst_RequireSubAttrEmissions,COUNTIFS(AC1558:AI1558,FALSE,H1558:N1558,"")&gt;0),EUconst_Error&amp;"BM"&amp;$Q1418,"")</f>
        <v/>
      </c>
      <c r="AL1558" s="694"/>
    </row>
    <row r="1559" spans="1:38" ht="12.75" customHeight="1" thickBot="1" x14ac:dyDescent="0.3">
      <c r="A1559" s="694"/>
      <c r="B1559" s="298"/>
      <c r="C1559" s="1302"/>
      <c r="D1559" s="625" t="s">
        <v>812</v>
      </c>
      <c r="E1559" s="2832" t="str">
        <f>Translations!$B$537</f>
        <v>Емисии (от горива, изчислени)</v>
      </c>
      <c r="F1559" s="2701"/>
      <c r="G1559" s="1330" t="str">
        <f>EUconst_tCO2pa</f>
        <v>t CO2 / година</v>
      </c>
      <c r="H1559" s="1331" t="str">
        <f t="shared" ref="H1559:N1559" si="2054">IF(AND(COUNT(H1555:H1558)&gt;0,H1562=""),3.664*H1555*(H1557/100)*(1-H1558/100),"")</f>
        <v/>
      </c>
      <c r="I1559" s="1332" t="str">
        <f t="shared" si="2054"/>
        <v/>
      </c>
      <c r="J1559" s="1333" t="str">
        <f t="shared" si="2054"/>
        <v/>
      </c>
      <c r="K1559" s="1331" t="str">
        <f t="shared" si="2054"/>
        <v/>
      </c>
      <c r="L1559" s="1331" t="str">
        <f t="shared" si="2054"/>
        <v/>
      </c>
      <c r="M1559" s="1331" t="str">
        <f t="shared" si="2054"/>
        <v/>
      </c>
      <c r="N1559" s="1334" t="str">
        <f t="shared" si="2054"/>
        <v/>
      </c>
      <c r="O1559" s="302"/>
      <c r="P1559" s="302"/>
      <c r="Q1559" s="1190" t="str">
        <f>EUconst_CNTR_EmissionsIntSource1 &amp; I1418</f>
        <v>EmInternalSource1_</v>
      </c>
      <c r="R1559" s="694"/>
      <c r="S1559" s="1315" t="str">
        <f>EUconst_CNTR_AttributedEmissions &amp; I1418</f>
        <v>AttrEmissions_</v>
      </c>
      <c r="T1559" s="1290" t="str">
        <f t="shared" ref="T1559" si="2055">IF(T1426,SUM(H1559),"")</f>
        <v/>
      </c>
      <c r="U1559" s="1290" t="str">
        <f t="shared" ref="U1559" si="2056">IF(U1426,SUM(I1559),"")</f>
        <v/>
      </c>
      <c r="V1559" s="1290" t="str">
        <f t="shared" ref="V1559" si="2057">IF(V1426,SUM(J1559),"")</f>
        <v/>
      </c>
      <c r="W1559" s="1290" t="str">
        <f t="shared" ref="W1559" si="2058">IF(W1426,SUM(K1559),"")</f>
        <v/>
      </c>
      <c r="X1559" s="1290" t="str">
        <f t="shared" ref="X1559" si="2059">IF(X1426,SUM(L1559),"")</f>
        <v/>
      </c>
      <c r="Y1559" s="1290" t="str">
        <f t="shared" ref="Y1559" si="2060">IF(Y1426,SUM(M1559),"")</f>
        <v/>
      </c>
      <c r="Z1559" s="1291" t="str">
        <f t="shared" ref="Z1559" si="2061">IF(Z1426,SUM(N1559),"")</f>
        <v/>
      </c>
      <c r="AA1559" s="694"/>
      <c r="AB1559" s="694"/>
      <c r="AC1559" s="694"/>
      <c r="AD1559" s="694"/>
      <c r="AE1559" s="694"/>
      <c r="AF1559" s="694"/>
      <c r="AG1559" s="694"/>
      <c r="AH1559" s="694"/>
      <c r="AI1559" s="694"/>
      <c r="AJ1559" s="694"/>
      <c r="AK1559" s="694"/>
      <c r="AL1559" s="694"/>
    </row>
    <row r="1560" spans="1:38" ht="12.75" customHeight="1" x14ac:dyDescent="0.25">
      <c r="A1560" s="694"/>
      <c r="B1560" s="298"/>
      <c r="C1560" s="1302"/>
      <c r="D1560" s="625" t="s">
        <v>813</v>
      </c>
      <c r="E1560" s="2833" t="str">
        <f>Translations!$B$538</f>
        <v>Допълнителна информация за справка: Емисии от биомаса</v>
      </c>
      <c r="F1560" s="2703"/>
      <c r="G1560" s="1335" t="str">
        <f>EUconst_tCO2pa</f>
        <v>t CO2 / година</v>
      </c>
      <c r="H1560" s="1336" t="str">
        <f t="shared" ref="H1560:N1560" si="2062">IF(ISNUMBER(H1559),3.664*H1555*(H1557/100)*(H1558/100),"")</f>
        <v/>
      </c>
      <c r="I1560" s="1337" t="str">
        <f t="shared" si="2062"/>
        <v/>
      </c>
      <c r="J1560" s="1338" t="str">
        <f t="shared" si="2062"/>
        <v/>
      </c>
      <c r="K1560" s="1336" t="str">
        <f t="shared" si="2062"/>
        <v/>
      </c>
      <c r="L1560" s="1336" t="str">
        <f t="shared" si="2062"/>
        <v/>
      </c>
      <c r="M1560" s="1336" t="str">
        <f t="shared" si="2062"/>
        <v/>
      </c>
      <c r="N1560" s="1339" t="str">
        <f t="shared" si="2062"/>
        <v/>
      </c>
      <c r="O1560" s="302"/>
      <c r="P1560" s="302"/>
      <c r="Q1560" s="729"/>
      <c r="R1560" s="694"/>
      <c r="S1560" s="729"/>
      <c r="T1560" s="694"/>
      <c r="U1560" s="694"/>
      <c r="V1560" s="694"/>
      <c r="W1560" s="694"/>
      <c r="X1560" s="694"/>
      <c r="Y1560" s="694"/>
      <c r="Z1560" s="694"/>
      <c r="AA1560" s="694"/>
      <c r="AB1560" s="694"/>
      <c r="AC1560" s="694"/>
      <c r="AD1560" s="694"/>
      <c r="AE1560" s="694"/>
      <c r="AF1560" s="694"/>
      <c r="AG1560" s="694"/>
      <c r="AH1560" s="694"/>
      <c r="AI1560" s="694"/>
      <c r="AJ1560" s="694"/>
      <c r="AK1560" s="694"/>
      <c r="AL1560" s="694"/>
    </row>
    <row r="1561" spans="1:38" ht="12.75" customHeight="1" x14ac:dyDescent="0.25">
      <c r="A1561" s="694"/>
      <c r="B1561" s="298"/>
      <c r="C1561" s="1302"/>
      <c r="D1561" s="625" t="s">
        <v>814</v>
      </c>
      <c r="E1561" s="2828" t="str">
        <f>Translations!$B$539</f>
        <v>Енергийно съдържание (изчислено)</v>
      </c>
      <c r="F1561" s="2705"/>
      <c r="G1561" s="1340" t="str">
        <f>EUconst_TJpa</f>
        <v>TJ / година</v>
      </c>
      <c r="H1561" s="1104" t="str">
        <f t="shared" ref="H1561:N1561" si="2063">IF(COUNT(H1555:H1556)=2,H1555*H1556/1000,"")</f>
        <v/>
      </c>
      <c r="I1561" s="1296" t="str">
        <f t="shared" si="2063"/>
        <v/>
      </c>
      <c r="J1561" s="1297" t="str">
        <f t="shared" si="2063"/>
        <v/>
      </c>
      <c r="K1561" s="1104" t="str">
        <f t="shared" si="2063"/>
        <v/>
      </c>
      <c r="L1561" s="1104" t="str">
        <f t="shared" si="2063"/>
        <v/>
      </c>
      <c r="M1561" s="1104" t="str">
        <f t="shared" si="2063"/>
        <v/>
      </c>
      <c r="N1561" s="1341" t="str">
        <f t="shared" si="2063"/>
        <v/>
      </c>
      <c r="O1561" s="302"/>
      <c r="P1561" s="302"/>
      <c r="Q1561" s="729"/>
      <c r="R1561" s="694"/>
      <c r="S1561" s="729"/>
      <c r="T1561" s="694"/>
      <c r="U1561" s="694"/>
      <c r="V1561" s="694"/>
      <c r="W1561" s="694"/>
      <c r="X1561" s="694"/>
      <c r="Y1561" s="694"/>
      <c r="Z1561" s="694"/>
      <c r="AA1561" s="694"/>
      <c r="AB1561" s="694"/>
      <c r="AC1561" s="694"/>
      <c r="AD1561" s="694"/>
      <c r="AE1561" s="694"/>
      <c r="AF1561" s="694"/>
      <c r="AG1561" s="694"/>
      <c r="AH1561" s="694"/>
      <c r="AI1561" s="694"/>
      <c r="AJ1561" s="694"/>
      <c r="AK1561" s="694"/>
      <c r="AL1561" s="694"/>
    </row>
    <row r="1562" spans="1:38" ht="12.75" customHeight="1" x14ac:dyDescent="0.25">
      <c r="A1562" s="694"/>
      <c r="B1562" s="298"/>
      <c r="C1562" s="1302"/>
      <c r="D1562" s="625" t="s">
        <v>61</v>
      </c>
      <c r="E1562" s="2829" t="str">
        <f>Translations!$B$540</f>
        <v>Съобщения за грешка (емисии)</v>
      </c>
      <c r="F1562" s="2830"/>
      <c r="G1562" s="1342"/>
      <c r="H1562" s="1343" t="str">
        <f t="shared" ref="H1562:N1562" si="2064">IF(COUNT(H1555,H1557:H1558)&gt;0,IF(COUNTIF(H1556:H1558,"&lt;0")&gt;0,EUconst_Negative,IF(COUNT(H1555,H1557:H1558)&lt;3,EUconst_Incomplete,"")),"")</f>
        <v/>
      </c>
      <c r="I1562" s="1344" t="str">
        <f t="shared" si="2064"/>
        <v/>
      </c>
      <c r="J1562" s="1345" t="str">
        <f t="shared" si="2064"/>
        <v/>
      </c>
      <c r="K1562" s="1343" t="str">
        <f t="shared" si="2064"/>
        <v/>
      </c>
      <c r="L1562" s="1343" t="str">
        <f t="shared" si="2064"/>
        <v/>
      </c>
      <c r="M1562" s="1343" t="str">
        <f t="shared" si="2064"/>
        <v/>
      </c>
      <c r="N1562" s="1346" t="str">
        <f t="shared" si="2064"/>
        <v/>
      </c>
      <c r="O1562" s="302"/>
      <c r="P1562" s="302"/>
      <c r="Q1562" s="729"/>
      <c r="R1562" s="694"/>
      <c r="S1562" s="729"/>
      <c r="T1562" s="694"/>
      <c r="U1562" s="694"/>
      <c r="V1562" s="694"/>
      <c r="W1562" s="694"/>
      <c r="X1562" s="694"/>
      <c r="Y1562" s="694"/>
      <c r="Z1562" s="694"/>
      <c r="AA1562" s="694"/>
      <c r="AB1562" s="694"/>
      <c r="AC1562" s="694"/>
      <c r="AD1562" s="694"/>
      <c r="AE1562" s="694"/>
      <c r="AF1562" s="694"/>
      <c r="AG1562" s="694"/>
      <c r="AH1562" s="694"/>
      <c r="AI1562" s="694"/>
      <c r="AJ1562" s="694"/>
      <c r="AK1562" s="694"/>
      <c r="AL1562" s="694"/>
    </row>
    <row r="1563" spans="1:38" ht="12.75" customHeight="1" x14ac:dyDescent="0.25">
      <c r="A1563" s="694"/>
      <c r="B1563" s="298"/>
      <c r="C1563" s="1302"/>
      <c r="D1563" s="625"/>
      <c r="E1563" s="1306"/>
      <c r="F1563" s="1306"/>
      <c r="G1563" s="1306"/>
      <c r="H1563" s="1306"/>
      <c r="I1563" s="1306"/>
      <c r="J1563" s="1306"/>
      <c r="K1563" s="1306"/>
      <c r="L1563" s="1306"/>
      <c r="M1563" s="626"/>
      <c r="N1563" s="1316"/>
      <c r="O1563" s="302"/>
      <c r="P1563" s="302"/>
      <c r="Q1563" s="729"/>
      <c r="R1563" s="694"/>
      <c r="S1563" s="729"/>
      <c r="T1563" s="694"/>
      <c r="U1563" s="694"/>
      <c r="V1563" s="694"/>
      <c r="W1563" s="694"/>
      <c r="X1563" s="694"/>
      <c r="Y1563" s="694"/>
      <c r="Z1563" s="694"/>
      <c r="AA1563" s="694"/>
      <c r="AB1563" s="694"/>
      <c r="AC1563" s="694"/>
      <c r="AD1563" s="694"/>
      <c r="AE1563" s="694"/>
      <c r="AF1563" s="694"/>
      <c r="AG1563" s="694"/>
      <c r="AH1563" s="694"/>
      <c r="AI1563" s="694"/>
      <c r="AJ1563" s="694"/>
      <c r="AK1563" s="694"/>
      <c r="AL1563" s="694"/>
    </row>
    <row r="1564" spans="1:38" ht="12.75" customHeight="1" x14ac:dyDescent="0.25">
      <c r="A1564" s="694"/>
      <c r="B1564" s="298"/>
      <c r="C1564" s="1302"/>
      <c r="D1564" s="625" t="s">
        <v>62</v>
      </c>
      <c r="E1564" s="2815" t="str">
        <f>Translations!$B$541</f>
        <v>Име на други пораждащи емисии потоци — 2:</v>
      </c>
      <c r="F1564" s="2240"/>
      <c r="G1564" s="2240"/>
      <c r="H1564" s="2684"/>
      <c r="I1564" s="2821"/>
      <c r="J1564" s="2674"/>
      <c r="K1564" s="2674"/>
      <c r="L1564" s="2674"/>
      <c r="M1564" s="2675"/>
      <c r="N1564" s="1323"/>
      <c r="O1564" s="302"/>
      <c r="P1564" s="158"/>
      <c r="Q1564" s="729"/>
      <c r="R1564" s="694"/>
      <c r="S1564" s="729"/>
      <c r="T1564" s="694"/>
      <c r="U1564" s="694"/>
      <c r="V1564" s="694"/>
      <c r="W1564" s="694"/>
      <c r="X1564" s="694"/>
      <c r="Y1564" s="694"/>
      <c r="Z1564" s="694"/>
      <c r="AA1564" s="694"/>
      <c r="AB1564" s="694"/>
      <c r="AC1564" s="1182" t="s">
        <v>737</v>
      </c>
      <c r="AD1564" s="982" t="b">
        <f>AD1552</f>
        <v>0</v>
      </c>
      <c r="AE1564" s="694"/>
      <c r="AF1564" s="694"/>
      <c r="AG1564" s="694"/>
      <c r="AH1564" s="694"/>
      <c r="AI1564" s="694"/>
      <c r="AJ1564" s="694"/>
      <c r="AK1564" s="694"/>
      <c r="AL1564" s="694"/>
    </row>
    <row r="1565" spans="1:38" ht="5.15" customHeight="1" x14ac:dyDescent="0.25">
      <c r="A1565" s="694"/>
      <c r="B1565" s="298"/>
      <c r="C1565" s="1302"/>
      <c r="D1565" s="1306"/>
      <c r="E1565" s="1325"/>
      <c r="F1565" s="1322"/>
      <c r="G1565" s="1306"/>
      <c r="H1565" s="1306"/>
      <c r="I1565" s="1322"/>
      <c r="J1565" s="1322"/>
      <c r="K1565" s="1322"/>
      <c r="L1565" s="1322"/>
      <c r="M1565" s="1322"/>
      <c r="N1565" s="1323"/>
      <c r="O1565" s="302"/>
      <c r="P1565" s="302"/>
      <c r="Q1565" s="729"/>
      <c r="R1565" s="694"/>
      <c r="S1565" s="729"/>
      <c r="T1565" s="694"/>
      <c r="U1565" s="694"/>
      <c r="V1565" s="694"/>
      <c r="W1565" s="694"/>
      <c r="X1565" s="694"/>
      <c r="Y1565" s="694"/>
      <c r="Z1565" s="694"/>
      <c r="AA1565" s="694"/>
      <c r="AB1565" s="694"/>
      <c r="AC1565" s="694"/>
      <c r="AD1565" s="694"/>
      <c r="AE1565" s="694"/>
      <c r="AF1565" s="694"/>
      <c r="AG1565" s="694"/>
      <c r="AH1565" s="694"/>
      <c r="AI1565" s="694"/>
      <c r="AJ1565" s="694"/>
      <c r="AK1565" s="694"/>
      <c r="AL1565" s="694"/>
    </row>
    <row r="1566" spans="1:38" ht="12.75" customHeight="1" thickBot="1" x14ac:dyDescent="0.3">
      <c r="A1566" s="694"/>
      <c r="B1566" s="298"/>
      <c r="C1566" s="1302"/>
      <c r="D1566" s="625"/>
      <c r="E1566" s="2803" t="str">
        <f>Translations!$B$542</f>
        <v>Други пораждащи емисии потоци — 2</v>
      </c>
      <c r="F1566" s="2672"/>
      <c r="G1566" s="1309" t="str">
        <f>EUconst_Unit</f>
        <v>Единица мярка</v>
      </c>
      <c r="H1566" s="629">
        <f t="shared" ref="H1566:N1566" si="2065">H$2831</f>
        <v>2024</v>
      </c>
      <c r="I1566" s="1310">
        <f t="shared" si="2065"/>
        <v>2025</v>
      </c>
      <c r="J1566" s="1311">
        <f t="shared" si="2065"/>
        <v>2026</v>
      </c>
      <c r="K1566" s="629">
        <f t="shared" si="2065"/>
        <v>2027</v>
      </c>
      <c r="L1566" s="629">
        <f t="shared" si="2065"/>
        <v>2028</v>
      </c>
      <c r="M1566" s="629">
        <f t="shared" si="2065"/>
        <v>2029</v>
      </c>
      <c r="N1566" s="1312">
        <f t="shared" si="2065"/>
        <v>2030</v>
      </c>
      <c r="O1566" s="302"/>
      <c r="P1566" s="302"/>
      <c r="Q1566" s="729"/>
      <c r="R1566" s="694"/>
      <c r="S1566" s="729"/>
      <c r="T1566" s="694"/>
      <c r="U1566" s="694"/>
      <c r="V1566" s="694"/>
      <c r="W1566" s="694"/>
      <c r="X1566" s="694"/>
      <c r="Y1566" s="694"/>
      <c r="Z1566" s="694"/>
      <c r="AA1566" s="694"/>
      <c r="AB1566" s="694"/>
      <c r="AC1566" s="1178">
        <f t="shared" ref="AC1566" si="2066">H$20</f>
        <v>2024</v>
      </c>
      <c r="AD1566" s="1178">
        <f t="shared" ref="AD1566" si="2067">I$20</f>
        <v>2025</v>
      </c>
      <c r="AE1566" s="1178">
        <f t="shared" ref="AE1566" si="2068">J$20</f>
        <v>2026</v>
      </c>
      <c r="AF1566" s="1178">
        <f t="shared" ref="AF1566" si="2069">K$20</f>
        <v>2027</v>
      </c>
      <c r="AG1566" s="1178">
        <f t="shared" ref="AG1566" si="2070">L$20</f>
        <v>2028</v>
      </c>
      <c r="AH1566" s="1178">
        <f t="shared" ref="AH1566" si="2071">M$20</f>
        <v>2029</v>
      </c>
      <c r="AI1566" s="1178">
        <f t="shared" ref="AI1566" si="2072">N$20</f>
        <v>2030</v>
      </c>
      <c r="AJ1566" s="694"/>
      <c r="AK1566" s="694"/>
      <c r="AL1566" s="694"/>
    </row>
    <row r="1567" spans="1:38" ht="12.75" customHeight="1" x14ac:dyDescent="0.25">
      <c r="A1567" s="694"/>
      <c r="B1567" s="298"/>
      <c r="C1567" s="1302"/>
      <c r="D1567" s="625" t="s">
        <v>63</v>
      </c>
      <c r="E1567" s="2818" t="str">
        <f>Translations!$B$533</f>
        <v>Получено или подадено количество</v>
      </c>
      <c r="F1567" s="2701"/>
      <c r="G1567" s="1326" t="str">
        <f>EUconst_tpa</f>
        <v>t / година</v>
      </c>
      <c r="H1567" s="129"/>
      <c r="I1567" s="130"/>
      <c r="J1567" s="131"/>
      <c r="K1567" s="129"/>
      <c r="L1567" s="129"/>
      <c r="M1567" s="129"/>
      <c r="N1567" s="132"/>
      <c r="O1567" s="302"/>
      <c r="P1567" s="158"/>
      <c r="Q1567" s="729"/>
      <c r="R1567" s="694"/>
      <c r="S1567" s="729"/>
      <c r="T1567" s="694"/>
      <c r="U1567" s="694"/>
      <c r="V1567" s="694"/>
      <c r="W1567" s="694"/>
      <c r="X1567" s="694"/>
      <c r="Y1567" s="694"/>
      <c r="Z1567" s="694"/>
      <c r="AA1567" s="694"/>
      <c r="AB1567" s="1182" t="s">
        <v>737</v>
      </c>
      <c r="AC1567" s="982" t="b">
        <f>AC1555</f>
        <v>0</v>
      </c>
      <c r="AD1567" s="982" t="b">
        <f t="shared" ref="AD1567:AI1567" si="2073">AD1555</f>
        <v>0</v>
      </c>
      <c r="AE1567" s="982" t="b">
        <f t="shared" si="2073"/>
        <v>0</v>
      </c>
      <c r="AF1567" s="982" t="b">
        <f t="shared" si="2073"/>
        <v>0</v>
      </c>
      <c r="AG1567" s="982" t="b">
        <f t="shared" si="2073"/>
        <v>0</v>
      </c>
      <c r="AH1567" s="982" t="b">
        <f t="shared" si="2073"/>
        <v>0</v>
      </c>
      <c r="AI1567" s="982" t="b">
        <f t="shared" si="2073"/>
        <v>0</v>
      </c>
      <c r="AJ1567" s="1174" t="s">
        <v>2039</v>
      </c>
      <c r="AK1567" s="1176" t="str">
        <f>IF(AND(CNTR_ExistSubInstEntries,MSconst_RequireSubAttrEmissions,COUNTIFS(AC1567:AI1567,FALSE,H1567:N1567,"")&gt;0),EUconst_Error&amp;"BM"&amp;$Q1418,"")</f>
        <v/>
      </c>
      <c r="AL1567" s="694"/>
    </row>
    <row r="1568" spans="1:38" ht="12.75" customHeight="1" x14ac:dyDescent="0.25">
      <c r="A1568" s="694"/>
      <c r="B1568" s="298"/>
      <c r="C1568" s="1302"/>
      <c r="D1568" s="625" t="s">
        <v>1136</v>
      </c>
      <c r="E1568" s="2831" t="str">
        <f>Translations!$B$534</f>
        <v>Долна топлина на изгаряне (NCV), ако е приложимо</v>
      </c>
      <c r="F1568" s="2703"/>
      <c r="G1568" s="1327" t="str">
        <f>EUconst_GJpt</f>
        <v>GJ / t</v>
      </c>
      <c r="H1568" s="133"/>
      <c r="I1568" s="134"/>
      <c r="J1568" s="135"/>
      <c r="K1568" s="133"/>
      <c r="L1568" s="133"/>
      <c r="M1568" s="133"/>
      <c r="N1568" s="136"/>
      <c r="O1568" s="302"/>
      <c r="P1568" s="158"/>
      <c r="Q1568" s="729"/>
      <c r="R1568" s="694"/>
      <c r="S1568" s="729"/>
      <c r="T1568" s="694"/>
      <c r="U1568" s="694"/>
      <c r="V1568" s="694"/>
      <c r="W1568" s="694"/>
      <c r="X1568" s="694"/>
      <c r="Y1568" s="694"/>
      <c r="Z1568" s="694"/>
      <c r="AA1568" s="694"/>
      <c r="AB1568" s="694"/>
      <c r="AC1568" s="982" t="b">
        <f t="shared" ref="AC1568:AI1568" si="2074">AC1556</f>
        <v>0</v>
      </c>
      <c r="AD1568" s="982" t="b">
        <f t="shared" si="2074"/>
        <v>0</v>
      </c>
      <c r="AE1568" s="982" t="b">
        <f t="shared" si="2074"/>
        <v>0</v>
      </c>
      <c r="AF1568" s="982" t="b">
        <f t="shared" si="2074"/>
        <v>0</v>
      </c>
      <c r="AG1568" s="982" t="b">
        <f t="shared" si="2074"/>
        <v>0</v>
      </c>
      <c r="AH1568" s="982" t="b">
        <f t="shared" si="2074"/>
        <v>0</v>
      </c>
      <c r="AI1568" s="982" t="b">
        <f t="shared" si="2074"/>
        <v>0</v>
      </c>
      <c r="AJ1568" s="1174" t="s">
        <v>2039</v>
      </c>
      <c r="AK1568" s="1176" t="str">
        <f>IF(AND(CNTR_ExistSubInstEntries,MSconst_RequireSubAttrEmissions,COUNTIFS(AC1568:AI1568,FALSE,H1568:N1568,"")&gt;0),EUconst_Error&amp;"BM"&amp;$Q1418,"")</f>
        <v/>
      </c>
      <c r="AL1568" s="694"/>
    </row>
    <row r="1569" spans="1:38" ht="12.75" customHeight="1" thickBot="1" x14ac:dyDescent="0.3">
      <c r="A1569" s="694"/>
      <c r="B1569" s="298"/>
      <c r="C1569" s="1302"/>
      <c r="D1569" s="625" t="s">
        <v>1137</v>
      </c>
      <c r="E1569" s="2831" t="str">
        <f>Translations!$B$535</f>
        <v>Въглеродно съдържание (тегловни %)</v>
      </c>
      <c r="F1569" s="2703"/>
      <c r="G1569" s="1328" t="s">
        <v>903</v>
      </c>
      <c r="H1569" s="133"/>
      <c r="I1569" s="134"/>
      <c r="J1569" s="135"/>
      <c r="K1569" s="133"/>
      <c r="L1569" s="133"/>
      <c r="M1569" s="133"/>
      <c r="N1569" s="136"/>
      <c r="O1569" s="302"/>
      <c r="P1569" s="158"/>
      <c r="Q1569" s="729"/>
      <c r="R1569" s="694"/>
      <c r="S1569" s="729"/>
      <c r="T1569" s="694"/>
      <c r="U1569" s="694"/>
      <c r="V1569" s="694"/>
      <c r="W1569" s="694"/>
      <c r="X1569" s="694"/>
      <c r="Y1569" s="694"/>
      <c r="Z1569" s="694"/>
      <c r="AA1569" s="694"/>
      <c r="AB1569" s="694"/>
      <c r="AC1569" s="982" t="b">
        <f t="shared" ref="AC1569:AI1569" si="2075">AC1557</f>
        <v>0</v>
      </c>
      <c r="AD1569" s="982" t="b">
        <f t="shared" si="2075"/>
        <v>0</v>
      </c>
      <c r="AE1569" s="982" t="b">
        <f t="shared" si="2075"/>
        <v>0</v>
      </c>
      <c r="AF1569" s="982" t="b">
        <f t="shared" si="2075"/>
        <v>0</v>
      </c>
      <c r="AG1569" s="982" t="b">
        <f t="shared" si="2075"/>
        <v>0</v>
      </c>
      <c r="AH1569" s="982" t="b">
        <f t="shared" si="2075"/>
        <v>0</v>
      </c>
      <c r="AI1569" s="982" t="b">
        <f t="shared" si="2075"/>
        <v>0</v>
      </c>
      <c r="AJ1569" s="1174" t="s">
        <v>2039</v>
      </c>
      <c r="AK1569" s="1176" t="str">
        <f>IF(AND(CNTR_ExistSubInstEntries,MSconst_RequireSubAttrEmissions,COUNTIFS(AC1569:AI1569,FALSE,H1569:N1569,"")&gt;0),EUconst_Error&amp;"BM"&amp;$Q1418,"")</f>
        <v/>
      </c>
      <c r="AL1569" s="694"/>
    </row>
    <row r="1570" spans="1:38" ht="12.75" customHeight="1" x14ac:dyDescent="0.25">
      <c r="A1570" s="694"/>
      <c r="B1570" s="298"/>
      <c r="C1570" s="1302"/>
      <c r="D1570" s="625" t="s">
        <v>1138</v>
      </c>
      <c r="E1570" s="2828" t="str">
        <f>Translations!$B$536</f>
        <v>Съдържание на биомаса (като дял от въглеродното съдържание)</v>
      </c>
      <c r="F1570" s="2705"/>
      <c r="G1570" s="1329" t="s">
        <v>903</v>
      </c>
      <c r="H1570" s="137"/>
      <c r="I1570" s="138"/>
      <c r="J1570" s="139"/>
      <c r="K1570" s="137"/>
      <c r="L1570" s="137"/>
      <c r="M1570" s="137"/>
      <c r="N1570" s="140"/>
      <c r="O1570" s="302"/>
      <c r="P1570" s="158"/>
      <c r="Q1570" s="729"/>
      <c r="R1570" s="694"/>
      <c r="S1570" s="1205"/>
      <c r="T1570" s="1313">
        <f t="shared" ref="T1570" si="2076">H1566</f>
        <v>2024</v>
      </c>
      <c r="U1570" s="1313">
        <f t="shared" ref="U1570" si="2077">I1566</f>
        <v>2025</v>
      </c>
      <c r="V1570" s="1313">
        <f t="shared" ref="V1570" si="2078">J1566</f>
        <v>2026</v>
      </c>
      <c r="W1570" s="1313">
        <f t="shared" ref="W1570" si="2079">K1566</f>
        <v>2027</v>
      </c>
      <c r="X1570" s="1313">
        <f t="shared" ref="X1570" si="2080">L1566</f>
        <v>2028</v>
      </c>
      <c r="Y1570" s="1313">
        <f t="shared" ref="Y1570" si="2081">M1566</f>
        <v>2029</v>
      </c>
      <c r="Z1570" s="1314">
        <f t="shared" ref="Z1570" si="2082">N1566</f>
        <v>2030</v>
      </c>
      <c r="AA1570" s="694"/>
      <c r="AB1570" s="694"/>
      <c r="AC1570" s="982" t="b">
        <f t="shared" ref="AC1570:AI1570" si="2083">AC1558</f>
        <v>0</v>
      </c>
      <c r="AD1570" s="982" t="b">
        <f t="shared" si="2083"/>
        <v>0</v>
      </c>
      <c r="AE1570" s="982" t="b">
        <f t="shared" si="2083"/>
        <v>0</v>
      </c>
      <c r="AF1570" s="982" t="b">
        <f t="shared" si="2083"/>
        <v>0</v>
      </c>
      <c r="AG1570" s="982" t="b">
        <f t="shared" si="2083"/>
        <v>0</v>
      </c>
      <c r="AH1570" s="982" t="b">
        <f t="shared" si="2083"/>
        <v>0</v>
      </c>
      <c r="AI1570" s="982" t="b">
        <f t="shared" si="2083"/>
        <v>0</v>
      </c>
      <c r="AJ1570" s="1174" t="s">
        <v>2039</v>
      </c>
      <c r="AK1570" s="1176" t="str">
        <f>IF(AND(CNTR_ExistSubInstEntries,MSconst_RequireSubAttrEmissions,COUNTIFS(AC1570:AI1570,FALSE,H1570:N1570,"")&gt;0),EUconst_Error&amp;"BM"&amp;$Q1418,"")</f>
        <v/>
      </c>
      <c r="AL1570" s="694"/>
    </row>
    <row r="1571" spans="1:38" ht="12.75" customHeight="1" thickBot="1" x14ac:dyDescent="0.3">
      <c r="A1571" s="694"/>
      <c r="B1571" s="298"/>
      <c r="C1571" s="1302"/>
      <c r="D1571" s="625" t="s">
        <v>1139</v>
      </c>
      <c r="E1571" s="2832" t="str">
        <f>Translations!$B$537</f>
        <v>Емисии (от горива, изчислени)</v>
      </c>
      <c r="F1571" s="2701"/>
      <c r="G1571" s="1330" t="str">
        <f>EUconst_tCO2pa</f>
        <v>t CO2 / година</v>
      </c>
      <c r="H1571" s="1331" t="str">
        <f t="shared" ref="H1571:N1571" si="2084">IF(AND(COUNT(H1567:H1570)&gt;0,H1574=""),3.664*H1567*(H1569/100)*(1-H1570/100),"")</f>
        <v/>
      </c>
      <c r="I1571" s="1332" t="str">
        <f t="shared" si="2084"/>
        <v/>
      </c>
      <c r="J1571" s="1333" t="str">
        <f t="shared" si="2084"/>
        <v/>
      </c>
      <c r="K1571" s="1331" t="str">
        <f t="shared" si="2084"/>
        <v/>
      </c>
      <c r="L1571" s="1331" t="str">
        <f t="shared" si="2084"/>
        <v/>
      </c>
      <c r="M1571" s="1331" t="str">
        <f t="shared" si="2084"/>
        <v/>
      </c>
      <c r="N1571" s="1334" t="str">
        <f t="shared" si="2084"/>
        <v/>
      </c>
      <c r="O1571" s="302"/>
      <c r="P1571" s="302"/>
      <c r="Q1571" s="1190" t="str">
        <f>EUconst_CNTR_EmissionsIntSource2 &amp; I1418</f>
        <v>EmInternalSource2_</v>
      </c>
      <c r="R1571" s="694"/>
      <c r="S1571" s="1315" t="str">
        <f>EUconst_CNTR_AttributedEmissions &amp; I1418</f>
        <v>AttrEmissions_</v>
      </c>
      <c r="T1571" s="1290" t="str">
        <f t="shared" ref="T1571" si="2085">IF(T1426,SUM(H1571),"")</f>
        <v/>
      </c>
      <c r="U1571" s="1290" t="str">
        <f t="shared" ref="U1571" si="2086">IF(U1426,SUM(I1571),"")</f>
        <v/>
      </c>
      <c r="V1571" s="1290" t="str">
        <f t="shared" ref="V1571" si="2087">IF(V1426,SUM(J1571),"")</f>
        <v/>
      </c>
      <c r="W1571" s="1290" t="str">
        <f t="shared" ref="W1571" si="2088">IF(W1426,SUM(K1571),"")</f>
        <v/>
      </c>
      <c r="X1571" s="1290" t="str">
        <f t="shared" ref="X1571" si="2089">IF(X1426,SUM(L1571),"")</f>
        <v/>
      </c>
      <c r="Y1571" s="1290" t="str">
        <f t="shared" ref="Y1571" si="2090">IF(Y1426,SUM(M1571),"")</f>
        <v/>
      </c>
      <c r="Z1571" s="1291" t="str">
        <f t="shared" ref="Z1571" si="2091">IF(Z1426,SUM(N1571),"")</f>
        <v/>
      </c>
      <c r="AA1571" s="694"/>
      <c r="AB1571" s="694"/>
      <c r="AC1571" s="694"/>
      <c r="AD1571" s="694"/>
      <c r="AE1571" s="694"/>
      <c r="AF1571" s="694"/>
      <c r="AG1571" s="694"/>
      <c r="AH1571" s="694"/>
      <c r="AI1571" s="694"/>
      <c r="AJ1571" s="694"/>
      <c r="AK1571" s="694"/>
      <c r="AL1571" s="694"/>
    </row>
    <row r="1572" spans="1:38" ht="12.75" customHeight="1" x14ac:dyDescent="0.25">
      <c r="A1572" s="694"/>
      <c r="B1572" s="298"/>
      <c r="C1572" s="1302"/>
      <c r="D1572" s="625" t="s">
        <v>1140</v>
      </c>
      <c r="E1572" s="2833" t="str">
        <f>Translations!$B$538</f>
        <v>Допълнителна информация за справка: Емисии от биомаса</v>
      </c>
      <c r="F1572" s="2703"/>
      <c r="G1572" s="1335" t="str">
        <f>EUconst_tCO2pa</f>
        <v>t CO2 / година</v>
      </c>
      <c r="H1572" s="1336" t="str">
        <f t="shared" ref="H1572:N1572" si="2092">IF(ISNUMBER(H1571),3.664*H1567*(H1569/100)*(H1570/100),"")</f>
        <v/>
      </c>
      <c r="I1572" s="1337" t="str">
        <f t="shared" si="2092"/>
        <v/>
      </c>
      <c r="J1572" s="1338" t="str">
        <f t="shared" si="2092"/>
        <v/>
      </c>
      <c r="K1572" s="1336" t="str">
        <f t="shared" si="2092"/>
        <v/>
      </c>
      <c r="L1572" s="1336" t="str">
        <f t="shared" si="2092"/>
        <v/>
      </c>
      <c r="M1572" s="1336" t="str">
        <f t="shared" si="2092"/>
        <v/>
      </c>
      <c r="N1572" s="1339" t="str">
        <f t="shared" si="2092"/>
        <v/>
      </c>
      <c r="O1572" s="302"/>
      <c r="P1572" s="302"/>
      <c r="Q1572" s="729"/>
      <c r="R1572" s="694"/>
      <c r="S1572" s="729"/>
      <c r="T1572" s="694"/>
      <c r="U1572" s="694"/>
      <c r="V1572" s="694"/>
      <c r="W1572" s="694"/>
      <c r="X1572" s="694"/>
      <c r="Y1572" s="694"/>
      <c r="Z1572" s="694"/>
      <c r="AA1572" s="694"/>
      <c r="AB1572" s="694"/>
      <c r="AC1572" s="694"/>
      <c r="AD1572" s="694"/>
      <c r="AE1572" s="694"/>
      <c r="AF1572" s="694"/>
      <c r="AG1572" s="694"/>
      <c r="AH1572" s="694"/>
      <c r="AI1572" s="694"/>
      <c r="AJ1572" s="694"/>
      <c r="AK1572" s="694"/>
      <c r="AL1572" s="694"/>
    </row>
    <row r="1573" spans="1:38" ht="12.75" customHeight="1" x14ac:dyDescent="0.25">
      <c r="A1573" s="694"/>
      <c r="B1573" s="298"/>
      <c r="C1573" s="1302"/>
      <c r="D1573" s="625" t="s">
        <v>1141</v>
      </c>
      <c r="E1573" s="2828" t="str">
        <f>Translations!$B$539</f>
        <v>Енергийно съдържание (изчислено)</v>
      </c>
      <c r="F1573" s="2705"/>
      <c r="G1573" s="1340" t="str">
        <f>EUconst_TJpa</f>
        <v>TJ / година</v>
      </c>
      <c r="H1573" s="1104" t="str">
        <f t="shared" ref="H1573:N1573" si="2093">IF(COUNT(H1567:H1568)=2,H1567*H1568/1000,"")</f>
        <v/>
      </c>
      <c r="I1573" s="1296" t="str">
        <f t="shared" si="2093"/>
        <v/>
      </c>
      <c r="J1573" s="1297" t="str">
        <f t="shared" si="2093"/>
        <v/>
      </c>
      <c r="K1573" s="1104" t="str">
        <f t="shared" si="2093"/>
        <v/>
      </c>
      <c r="L1573" s="1104" t="str">
        <f t="shared" si="2093"/>
        <v/>
      </c>
      <c r="M1573" s="1104" t="str">
        <f t="shared" si="2093"/>
        <v/>
      </c>
      <c r="N1573" s="1341" t="str">
        <f t="shared" si="2093"/>
        <v/>
      </c>
      <c r="O1573" s="302"/>
      <c r="P1573" s="302"/>
      <c r="Q1573" s="729"/>
      <c r="R1573" s="694"/>
      <c r="S1573" s="729"/>
      <c r="T1573" s="694"/>
      <c r="U1573" s="694"/>
      <c r="V1573" s="694"/>
      <c r="W1573" s="694"/>
      <c r="X1573" s="694"/>
      <c r="Y1573" s="694"/>
      <c r="Z1573" s="694"/>
      <c r="AA1573" s="694"/>
      <c r="AB1573" s="694"/>
      <c r="AC1573" s="694"/>
      <c r="AD1573" s="694"/>
      <c r="AE1573" s="694"/>
      <c r="AF1573" s="694"/>
      <c r="AG1573" s="694"/>
      <c r="AH1573" s="694"/>
      <c r="AI1573" s="694"/>
      <c r="AJ1573" s="694"/>
      <c r="AK1573" s="694"/>
      <c r="AL1573" s="694"/>
    </row>
    <row r="1574" spans="1:38" ht="12.75" customHeight="1" x14ac:dyDescent="0.25">
      <c r="A1574" s="694"/>
      <c r="B1574" s="298"/>
      <c r="C1574" s="1302"/>
      <c r="D1574" s="625" t="s">
        <v>1137</v>
      </c>
      <c r="E1574" s="2829" t="str">
        <f>Translations!$B$540</f>
        <v>Съобщения за грешка (емисии)</v>
      </c>
      <c r="F1574" s="2830"/>
      <c r="G1574" s="1342"/>
      <c r="H1574" s="1343" t="str">
        <f t="shared" ref="H1574:N1574" si="2094">IF(COUNT(H1567,H1569:H1570)&gt;0,IF(COUNTIF(H1568:H1570,"&lt;0")&gt;0,EUconst_Negative,IF(COUNT(H1567,H1569:H1570)&lt;3,EUconst_Incomplete,"")),"")</f>
        <v/>
      </c>
      <c r="I1574" s="1344" t="str">
        <f t="shared" si="2094"/>
        <v/>
      </c>
      <c r="J1574" s="1345" t="str">
        <f t="shared" si="2094"/>
        <v/>
      </c>
      <c r="K1574" s="1343" t="str">
        <f t="shared" si="2094"/>
        <v/>
      </c>
      <c r="L1574" s="1343" t="str">
        <f t="shared" si="2094"/>
        <v/>
      </c>
      <c r="M1574" s="1343" t="str">
        <f t="shared" si="2094"/>
        <v/>
      </c>
      <c r="N1574" s="1346" t="str">
        <f t="shared" si="2094"/>
        <v/>
      </c>
      <c r="O1574" s="302"/>
      <c r="P1574" s="302"/>
      <c r="Q1574" s="729"/>
      <c r="R1574" s="694"/>
      <c r="S1574" s="729"/>
      <c r="T1574" s="694"/>
      <c r="U1574" s="694"/>
      <c r="V1574" s="694"/>
      <c r="W1574" s="694"/>
      <c r="X1574" s="694"/>
      <c r="Y1574" s="694"/>
      <c r="Z1574" s="694"/>
      <c r="AA1574" s="694"/>
      <c r="AB1574" s="694"/>
      <c r="AC1574" s="694"/>
      <c r="AD1574" s="694"/>
      <c r="AE1574" s="694"/>
      <c r="AF1574" s="694"/>
      <c r="AG1574" s="694"/>
      <c r="AH1574" s="694"/>
      <c r="AI1574" s="694"/>
      <c r="AJ1574" s="694"/>
      <c r="AK1574" s="694"/>
      <c r="AL1574" s="694"/>
    </row>
    <row r="1575" spans="1:38" ht="12.75" customHeight="1" x14ac:dyDescent="0.25">
      <c r="A1575" s="694"/>
      <c r="B1575" s="298"/>
      <c r="C1575" s="1302"/>
      <c r="D1575" s="1306"/>
      <c r="E1575" s="1306"/>
      <c r="F1575" s="1306"/>
      <c r="G1575" s="1306"/>
      <c r="H1575" s="1306"/>
      <c r="I1575" s="1306"/>
      <c r="J1575" s="1306"/>
      <c r="K1575" s="1306"/>
      <c r="L1575" s="1306"/>
      <c r="M1575" s="626"/>
      <c r="N1575" s="1316"/>
      <c r="O1575" s="302"/>
      <c r="P1575" s="302"/>
      <c r="Q1575" s="729"/>
      <c r="R1575" s="694"/>
      <c r="S1575" s="729"/>
      <c r="T1575" s="694"/>
      <c r="U1575" s="694"/>
      <c r="V1575" s="694"/>
      <c r="W1575" s="694"/>
      <c r="X1575" s="694"/>
      <c r="Y1575" s="694"/>
      <c r="Z1575" s="694"/>
      <c r="AA1575" s="694"/>
      <c r="AB1575" s="694"/>
      <c r="AC1575" s="694"/>
      <c r="AD1575" s="694"/>
      <c r="AE1575" s="694"/>
      <c r="AF1575" s="694"/>
      <c r="AG1575" s="694"/>
      <c r="AH1575" s="694"/>
      <c r="AI1575" s="694"/>
      <c r="AJ1575" s="694"/>
      <c r="AK1575" s="694"/>
      <c r="AL1575" s="694"/>
    </row>
    <row r="1576" spans="1:38" ht="12.75" customHeight="1" x14ac:dyDescent="0.25">
      <c r="A1576" s="694"/>
      <c r="B1576" s="298"/>
      <c r="C1576" s="1302"/>
      <c r="D1576" s="1307" t="s">
        <v>489</v>
      </c>
      <c r="E1576" s="2815" t="str">
        <f>Translations!$B$543</f>
        <v>Количество на парникови газове, които са получени или подадени като суровини</v>
      </c>
      <c r="F1576" s="2240"/>
      <c r="G1576" s="2240"/>
      <c r="H1576" s="2240"/>
      <c r="I1576" s="2240"/>
      <c r="J1576" s="2240"/>
      <c r="K1576" s="2240"/>
      <c r="L1576" s="2240"/>
      <c r="M1576" s="2240"/>
      <c r="N1576" s="2811"/>
      <c r="O1576" s="302"/>
      <c r="P1576" s="302"/>
      <c r="Q1576" s="729"/>
      <c r="R1576" s="694"/>
      <c r="S1576" s="729"/>
      <c r="T1576" s="694"/>
      <c r="U1576" s="694"/>
      <c r="V1576" s="694"/>
      <c r="W1576" s="694"/>
      <c r="X1576" s="694"/>
      <c r="Y1576" s="694"/>
      <c r="Z1576" s="694"/>
      <c r="AA1576" s="694"/>
      <c r="AB1576" s="694"/>
      <c r="AC1576" s="694"/>
      <c r="AD1576" s="694"/>
      <c r="AE1576" s="694"/>
      <c r="AF1576" s="694"/>
      <c r="AG1576" s="694"/>
      <c r="AH1576" s="694"/>
      <c r="AI1576" s="694"/>
      <c r="AJ1576" s="694"/>
      <c r="AK1576" s="694"/>
      <c r="AL1576" s="694"/>
    </row>
    <row r="1577" spans="1:38" ht="12.75" customHeight="1" x14ac:dyDescent="0.25">
      <c r="A1577" s="694"/>
      <c r="B1577" s="298"/>
      <c r="C1577" s="1302"/>
      <c r="D1577" s="625"/>
      <c r="E1577" s="2816" t="str">
        <f>Translations!$B$508</f>
        <v>Посочените тук данни ще се отразят на емисиите, които могат да бъдат зададени съгласно раздел 10.1.1 от приложение VII към ПБР.</v>
      </c>
      <c r="F1577" s="2240"/>
      <c r="G1577" s="2240"/>
      <c r="H1577" s="2240"/>
      <c r="I1577" s="2240"/>
      <c r="J1577" s="2240"/>
      <c r="K1577" s="2240"/>
      <c r="L1577" s="2240"/>
      <c r="M1577" s="2240"/>
      <c r="N1577" s="2811"/>
      <c r="O1577" s="302"/>
      <c r="P1577" s="302"/>
      <c r="Q1577" s="729"/>
      <c r="R1577" s="694"/>
      <c r="S1577" s="729"/>
      <c r="T1577" s="729"/>
      <c r="U1577" s="729"/>
      <c r="V1577" s="729"/>
      <c r="W1577" s="694"/>
      <c r="X1577" s="694"/>
      <c r="Y1577" s="694"/>
      <c r="Z1577" s="694"/>
      <c r="AA1577" s="694"/>
      <c r="AB1577" s="694"/>
      <c r="AC1577" s="694"/>
      <c r="AD1577" s="694"/>
      <c r="AE1577" s="694"/>
      <c r="AF1577" s="694"/>
      <c r="AG1577" s="694"/>
      <c r="AH1577" s="694"/>
      <c r="AI1577" s="694"/>
      <c r="AJ1577" s="694"/>
      <c r="AK1577" s="694"/>
      <c r="AL1577" s="694"/>
    </row>
    <row r="1578" spans="1:38" ht="25.5" customHeight="1" x14ac:dyDescent="0.25">
      <c r="A1578" s="694"/>
      <c r="B1578" s="298"/>
      <c r="C1578" s="1302"/>
      <c r="D1578" s="1306"/>
      <c r="E1578" s="2810" t="str">
        <f>Translations!$B$544</f>
        <v>Съгласно раздел 3.1, букви к) и л) от приложение IV към ПБР, моля, посочете тук количеството на прехвърления CO2, получен от или подаден към други подинсталации, инсталации или други обекти, съгласно правилата, определени в Регламента относно мониторинга и докладването.</v>
      </c>
      <c r="F1578" s="2240"/>
      <c r="G1578" s="2240"/>
      <c r="H1578" s="2240"/>
      <c r="I1578" s="2240"/>
      <c r="J1578" s="2240"/>
      <c r="K1578" s="2240"/>
      <c r="L1578" s="2240"/>
      <c r="M1578" s="2240"/>
      <c r="N1578" s="2811"/>
      <c r="O1578" s="302"/>
      <c r="P1578" s="302"/>
      <c r="Q1578" s="729"/>
      <c r="R1578" s="694"/>
      <c r="S1578" s="729"/>
      <c r="T1578" s="694"/>
      <c r="U1578" s="694"/>
      <c r="V1578" s="694"/>
      <c r="W1578" s="694"/>
      <c r="X1578" s="694"/>
      <c r="Y1578" s="694"/>
      <c r="Z1578" s="694"/>
      <c r="AA1578" s="694"/>
      <c r="AB1578" s="694"/>
      <c r="AC1578" s="694"/>
      <c r="AD1578" s="694"/>
      <c r="AE1578" s="694"/>
      <c r="AF1578" s="694"/>
      <c r="AG1578" s="694"/>
      <c r="AH1578" s="694"/>
      <c r="AI1578" s="694"/>
      <c r="AJ1578" s="694"/>
      <c r="AK1578" s="694"/>
      <c r="AL1578" s="694"/>
    </row>
    <row r="1579" spans="1:38" ht="12.75" customHeight="1" thickBot="1" x14ac:dyDescent="0.3">
      <c r="A1579" s="694"/>
      <c r="B1579" s="298"/>
      <c r="C1579" s="1302"/>
      <c r="D1579" s="1306"/>
      <c r="E1579" s="2810" t="str">
        <f>Translations!$B$545</f>
        <v>Подадените количества трябва да се въведат като отрицателни стойности и да съответстват на подадения CO2, който не е изпуснат в атмосферата от тази подинсталация.</v>
      </c>
      <c r="F1579" s="2240"/>
      <c r="G1579" s="2240"/>
      <c r="H1579" s="2240"/>
      <c r="I1579" s="2240"/>
      <c r="J1579" s="2240"/>
      <c r="K1579" s="2240"/>
      <c r="L1579" s="2240"/>
      <c r="M1579" s="2240"/>
      <c r="N1579" s="2811"/>
      <c r="O1579" s="302"/>
      <c r="P1579" s="302"/>
      <c r="Q1579" s="729"/>
      <c r="R1579" s="694"/>
      <c r="S1579" s="729"/>
      <c r="T1579" s="694"/>
      <c r="U1579" s="694"/>
      <c r="V1579" s="694"/>
      <c r="W1579" s="694"/>
      <c r="X1579" s="694"/>
      <c r="Y1579" s="694"/>
      <c r="Z1579" s="694"/>
      <c r="AA1579" s="694"/>
      <c r="AB1579" s="694"/>
      <c r="AC1579" s="694"/>
      <c r="AD1579" s="694"/>
      <c r="AE1579" s="694"/>
      <c r="AF1579" s="694"/>
      <c r="AG1579" s="694"/>
      <c r="AH1579" s="694"/>
      <c r="AI1579" s="694"/>
      <c r="AJ1579" s="694"/>
      <c r="AK1579" s="694"/>
      <c r="AL1579" s="694"/>
    </row>
    <row r="1580" spans="1:38" ht="12.75" customHeight="1" thickBot="1" x14ac:dyDescent="0.3">
      <c r="A1580" s="694"/>
      <c r="B1580" s="298"/>
      <c r="C1580" s="1302"/>
      <c r="D1580" s="1307"/>
      <c r="E1580" s="1317"/>
      <c r="F1580" s="1318"/>
      <c r="G1580" s="1309" t="str">
        <f>EUconst_Unit</f>
        <v>Единица мярка</v>
      </c>
      <c r="H1580" s="629">
        <f t="shared" ref="H1580:N1580" si="2095">H$2831</f>
        <v>2024</v>
      </c>
      <c r="I1580" s="1310">
        <f t="shared" si="2095"/>
        <v>2025</v>
      </c>
      <c r="J1580" s="1311">
        <f t="shared" si="2095"/>
        <v>2026</v>
      </c>
      <c r="K1580" s="629">
        <f t="shared" si="2095"/>
        <v>2027</v>
      </c>
      <c r="L1580" s="629">
        <f t="shared" si="2095"/>
        <v>2028</v>
      </c>
      <c r="M1580" s="629">
        <f t="shared" si="2095"/>
        <v>2029</v>
      </c>
      <c r="N1580" s="1312">
        <f t="shared" si="2095"/>
        <v>2030</v>
      </c>
      <c r="O1580" s="302"/>
      <c r="P1580" s="302"/>
      <c r="Q1580" s="729"/>
      <c r="R1580" s="694"/>
      <c r="S1580" s="1205"/>
      <c r="T1580" s="1313">
        <f t="shared" ref="T1580" si="2096">H1580</f>
        <v>2024</v>
      </c>
      <c r="U1580" s="1313">
        <f t="shared" ref="U1580" si="2097">I1580</f>
        <v>2025</v>
      </c>
      <c r="V1580" s="1313">
        <f t="shared" ref="V1580" si="2098">J1580</f>
        <v>2026</v>
      </c>
      <c r="W1580" s="1313">
        <f t="shared" ref="W1580" si="2099">K1580</f>
        <v>2027</v>
      </c>
      <c r="X1580" s="1313">
        <f t="shared" ref="X1580" si="2100">L1580</f>
        <v>2028</v>
      </c>
      <c r="Y1580" s="1313">
        <f t="shared" ref="Y1580" si="2101">M1580</f>
        <v>2029</v>
      </c>
      <c r="Z1580" s="1314">
        <f t="shared" ref="Z1580" si="2102">N1580</f>
        <v>2030</v>
      </c>
      <c r="AA1580" s="694"/>
      <c r="AB1580" s="694"/>
      <c r="AC1580" s="1178">
        <f t="shared" ref="AC1580" si="2103">H$20</f>
        <v>2024</v>
      </c>
      <c r="AD1580" s="1178">
        <f t="shared" ref="AD1580" si="2104">I$20</f>
        <v>2025</v>
      </c>
      <c r="AE1580" s="1178">
        <f t="shared" ref="AE1580" si="2105">J$20</f>
        <v>2026</v>
      </c>
      <c r="AF1580" s="1178">
        <f t="shared" ref="AF1580" si="2106">K$20</f>
        <v>2027</v>
      </c>
      <c r="AG1580" s="1178">
        <f t="shared" ref="AG1580" si="2107">L$20</f>
        <v>2028</v>
      </c>
      <c r="AH1580" s="1178">
        <f t="shared" ref="AH1580" si="2108">M$20</f>
        <v>2029</v>
      </c>
      <c r="AI1580" s="1178">
        <f t="shared" ref="AI1580" si="2109">N$20</f>
        <v>2030</v>
      </c>
      <c r="AJ1580" s="694"/>
      <c r="AK1580" s="694"/>
      <c r="AL1580" s="694"/>
    </row>
    <row r="1581" spans="1:38" ht="12.75" customHeight="1" thickBot="1" x14ac:dyDescent="0.3">
      <c r="A1581" s="694"/>
      <c r="B1581" s="298"/>
      <c r="C1581" s="1302"/>
      <c r="D1581" s="625"/>
      <c r="E1581" s="2820" t="str">
        <f>Translations!$B$546</f>
        <v>Получени или подадени парникови газове</v>
      </c>
      <c r="F1581" s="2258"/>
      <c r="G1581" s="1319" t="str">
        <f>EUconst_tCO2epa</f>
        <v>t CO2e/година</v>
      </c>
      <c r="H1581" s="56"/>
      <c r="I1581" s="115"/>
      <c r="J1581" s="118"/>
      <c r="K1581" s="56"/>
      <c r="L1581" s="56"/>
      <c r="M1581" s="56"/>
      <c r="N1581" s="121"/>
      <c r="O1581" s="302"/>
      <c r="P1581" s="158"/>
      <c r="Q1581" s="1190" t="str">
        <f>EUconst_CNTR_CO2Feedstock &amp; I1418</f>
        <v>EmCO2Feedstock_</v>
      </c>
      <c r="R1581" s="694"/>
      <c r="S1581" s="1315" t="str">
        <f>EUconst_CNTR_AttributedEmissions &amp; I1418</f>
        <v>AttrEmissions_</v>
      </c>
      <c r="T1581" s="1290" t="str">
        <f t="shared" ref="T1581" si="2110">IF(T1426,SUM(H1581),"")</f>
        <v/>
      </c>
      <c r="U1581" s="1290" t="str">
        <f t="shared" ref="U1581" si="2111">IF(U1426,SUM(I1581),"")</f>
        <v/>
      </c>
      <c r="V1581" s="1290" t="str">
        <f t="shared" ref="V1581" si="2112">IF(V1426,SUM(J1581),"")</f>
        <v/>
      </c>
      <c r="W1581" s="1290" t="str">
        <f t="shared" ref="W1581" si="2113">IF(W1426,SUM(K1581),"")</f>
        <v/>
      </c>
      <c r="X1581" s="1290" t="str">
        <f t="shared" ref="X1581" si="2114">IF(X1426,SUM(L1581),"")</f>
        <v/>
      </c>
      <c r="Y1581" s="1290" t="str">
        <f t="shared" ref="Y1581" si="2115">IF(Y1426,SUM(M1581),"")</f>
        <v/>
      </c>
      <c r="Z1581" s="1291" t="str">
        <f t="shared" ref="Z1581" si="2116">IF(Z1426,SUM(N1581),"")</f>
        <v/>
      </c>
      <c r="AA1581" s="694"/>
      <c r="AB1581" s="1182" t="s">
        <v>737</v>
      </c>
      <c r="AC1581" s="982" t="b">
        <f>AC1465</f>
        <v>0</v>
      </c>
      <c r="AD1581" s="982" t="b">
        <f t="shared" ref="AD1581:AI1581" si="2117">AD1465</f>
        <v>0</v>
      </c>
      <c r="AE1581" s="982" t="b">
        <f t="shared" si="2117"/>
        <v>0</v>
      </c>
      <c r="AF1581" s="982" t="b">
        <f t="shared" si="2117"/>
        <v>0</v>
      </c>
      <c r="AG1581" s="982" t="b">
        <f t="shared" si="2117"/>
        <v>0</v>
      </c>
      <c r="AH1581" s="982" t="b">
        <f t="shared" si="2117"/>
        <v>0</v>
      </c>
      <c r="AI1581" s="982" t="b">
        <f t="shared" si="2117"/>
        <v>0</v>
      </c>
      <c r="AJ1581" s="1174" t="s">
        <v>2039</v>
      </c>
      <c r="AK1581" s="1176" t="str">
        <f>IF(AND(CNTR_ExistSubInstEntries,MSconst_RequireSubAttrEmissions,COUNTIFS(AC1581:AI1581,FALSE,H1581:N1581,"")&gt;0),EUconst_Error&amp;"BM"&amp;$Q1418,"")</f>
        <v/>
      </c>
      <c r="AL1581" s="694"/>
    </row>
    <row r="1582" spans="1:38" ht="12.75" customHeight="1" x14ac:dyDescent="0.25">
      <c r="A1582" s="694"/>
      <c r="B1582" s="298"/>
      <c r="C1582" s="1302"/>
      <c r="D1582" s="1306"/>
      <c r="E1582" s="1306"/>
      <c r="F1582" s="1306"/>
      <c r="G1582" s="1306"/>
      <c r="H1582" s="1306"/>
      <c r="I1582" s="1306"/>
      <c r="J1582" s="1306"/>
      <c r="K1582" s="1306"/>
      <c r="L1582" s="1306"/>
      <c r="M1582" s="626"/>
      <c r="N1582" s="1316"/>
      <c r="O1582" s="302"/>
      <c r="P1582" s="302"/>
      <c r="Q1582" s="729"/>
      <c r="R1582" s="694"/>
      <c r="S1582" s="729"/>
      <c r="T1582" s="694"/>
      <c r="U1582" s="694"/>
      <c r="V1582" s="694"/>
      <c r="W1582" s="694"/>
      <c r="X1582" s="694"/>
      <c r="Y1582" s="694"/>
      <c r="Z1582" s="694"/>
      <c r="AA1582" s="694"/>
      <c r="AB1582" s="694"/>
      <c r="AC1582" s="694"/>
      <c r="AD1582" s="694"/>
      <c r="AE1582" s="694"/>
      <c r="AF1582" s="694"/>
      <c r="AG1582" s="694"/>
      <c r="AH1582" s="694"/>
      <c r="AI1582" s="694"/>
      <c r="AJ1582" s="694"/>
      <c r="AK1582" s="694"/>
      <c r="AL1582" s="694"/>
    </row>
    <row r="1583" spans="1:38" ht="12.75" customHeight="1" x14ac:dyDescent="0.25">
      <c r="A1583" s="694"/>
      <c r="B1583" s="298"/>
      <c r="C1583" s="1302"/>
      <c r="D1583" s="1307" t="s">
        <v>490</v>
      </c>
      <c r="E1583" s="2815" t="str">
        <f>Translations!$B$547</f>
        <v>Получаване и подаване на измерима топлинна енергия от тази подинсталация</v>
      </c>
      <c r="F1583" s="2240"/>
      <c r="G1583" s="2240"/>
      <c r="H1583" s="2240"/>
      <c r="I1583" s="2240"/>
      <c r="J1583" s="2240"/>
      <c r="K1583" s="2240"/>
      <c r="L1583" s="2240"/>
      <c r="M1583" s="2240"/>
      <c r="N1583" s="2811"/>
      <c r="O1583" s="302"/>
      <c r="P1583" s="302"/>
      <c r="Q1583" s="729"/>
      <c r="R1583" s="694"/>
      <c r="S1583" s="729"/>
      <c r="T1583" s="694"/>
      <c r="U1583" s="694"/>
      <c r="V1583" s="694"/>
      <c r="W1583" s="694"/>
      <c r="X1583" s="694"/>
      <c r="Y1583" s="694"/>
      <c r="Z1583" s="694"/>
      <c r="AA1583" s="694"/>
      <c r="AB1583" s="694"/>
      <c r="AC1583" s="694"/>
      <c r="AD1583" s="694"/>
      <c r="AE1583" s="694"/>
      <c r="AF1583" s="694"/>
      <c r="AG1583" s="694"/>
      <c r="AH1583" s="694"/>
      <c r="AI1583" s="694"/>
      <c r="AJ1583" s="694"/>
      <c r="AK1583" s="694"/>
      <c r="AL1583" s="694"/>
    </row>
    <row r="1584" spans="1:38" ht="12.75" customHeight="1" x14ac:dyDescent="0.25">
      <c r="A1584" s="694"/>
      <c r="B1584" s="298"/>
      <c r="C1584" s="1302"/>
      <c r="D1584" s="625"/>
      <c r="E1584" s="2816" t="str">
        <f>Translations!$B$548</f>
        <v>Посочените тук данни ще се отразят на емисиите, които могат да бъдат зададени съгласно раздел 10.1.2 и 10.1.3 от приложение VII към ПБР.</v>
      </c>
      <c r="F1584" s="2240"/>
      <c r="G1584" s="2240"/>
      <c r="H1584" s="2240"/>
      <c r="I1584" s="2240"/>
      <c r="J1584" s="2240"/>
      <c r="K1584" s="2240"/>
      <c r="L1584" s="2240"/>
      <c r="M1584" s="2240"/>
      <c r="N1584" s="2811"/>
      <c r="O1584" s="302"/>
      <c r="P1584" s="302"/>
      <c r="Q1584" s="729"/>
      <c r="R1584" s="694"/>
      <c r="S1584" s="729"/>
      <c r="T1584" s="729"/>
      <c r="U1584" s="729"/>
      <c r="V1584" s="729"/>
      <c r="W1584" s="694"/>
      <c r="X1584" s="694"/>
      <c r="Y1584" s="694"/>
      <c r="Z1584" s="694"/>
      <c r="AA1584" s="694"/>
      <c r="AB1584" s="694"/>
      <c r="AC1584" s="694"/>
      <c r="AD1584" s="694"/>
      <c r="AE1584" s="694"/>
      <c r="AF1584" s="694"/>
      <c r="AG1584" s="694"/>
      <c r="AH1584" s="694"/>
      <c r="AI1584" s="694"/>
      <c r="AJ1584" s="694"/>
      <c r="AK1584" s="694"/>
      <c r="AL1584" s="694"/>
    </row>
    <row r="1585" spans="1:38" ht="38.9" customHeight="1" x14ac:dyDescent="0.25">
      <c r="A1585" s="694"/>
      <c r="B1585" s="298"/>
      <c r="C1585" s="1302"/>
      <c r="D1585" s="1306"/>
      <c r="E1585" s="2810" t="str">
        <f>Translations!$B$549</f>
        <v>Това включва общото количество топлинна енергия, произведено във, получено от или подадено към (под)инсталации, обхванати от СТЕ на ЕС, или инсталации или обекти извън СТЕ на ЕС. При специфичните емисионни фактори (EF), свързани с топлинната енергия, трябва да се отчитат разпоредбите на раздели 8 и 10 от приложение VII към ПБР, и по-специално раздели 10.1.2 и 10.1.3.</v>
      </c>
      <c r="F1585" s="2240"/>
      <c r="G1585" s="2240"/>
      <c r="H1585" s="2240"/>
      <c r="I1585" s="2240"/>
      <c r="J1585" s="2240"/>
      <c r="K1585" s="2240"/>
      <c r="L1585" s="2240"/>
      <c r="M1585" s="2240"/>
      <c r="N1585" s="2811"/>
      <c r="O1585" s="302"/>
      <c r="P1585" s="302"/>
      <c r="Q1585" s="729"/>
      <c r="R1585" s="694"/>
      <c r="S1585" s="729"/>
      <c r="T1585" s="694"/>
      <c r="U1585" s="694"/>
      <c r="V1585" s="694"/>
      <c r="W1585" s="694"/>
      <c r="X1585" s="694"/>
      <c r="Y1585" s="694"/>
      <c r="Z1585" s="694"/>
      <c r="AA1585" s="694"/>
      <c r="AB1585" s="694"/>
      <c r="AC1585" s="694"/>
      <c r="AD1585" s="694"/>
      <c r="AE1585" s="694"/>
      <c r="AF1585" s="694"/>
      <c r="AG1585" s="694"/>
      <c r="AH1585" s="694"/>
      <c r="AI1585" s="694"/>
      <c r="AJ1585" s="694"/>
      <c r="AK1585" s="694"/>
      <c r="AL1585" s="694"/>
    </row>
    <row r="1586" spans="1:38" ht="25.5" customHeight="1" x14ac:dyDescent="0.25">
      <c r="A1586" s="694"/>
      <c r="B1586" s="298"/>
      <c r="C1586" s="1302"/>
      <c r="D1586" s="1306"/>
      <c r="E1586" s="2810" t="str">
        <f>Translations!$B$550</f>
        <v>Емисиите, свързани с измерима топлинна енергия, произведена в рамките на обекта от съоръжения, които обслужват повече от една подинсталация, също трябва да се въведат тук под „получени емисии“, вместо да се зададат директно чрез емисионния фактор за горивата от буква g) по-горе. Същото важи и за всяка топлинна енергия, „получена“ от други подинсталации.</v>
      </c>
      <c r="F1586" s="2240"/>
      <c r="G1586" s="2240"/>
      <c r="H1586" s="2240"/>
      <c r="I1586" s="2240"/>
      <c r="J1586" s="2240"/>
      <c r="K1586" s="2240"/>
      <c r="L1586" s="2240"/>
      <c r="M1586" s="2240"/>
      <c r="N1586" s="2811"/>
      <c r="O1586" s="302"/>
      <c r="P1586" s="302"/>
      <c r="Q1586" s="729"/>
      <c r="R1586" s="694"/>
      <c r="S1586" s="729"/>
      <c r="T1586" s="694"/>
      <c r="U1586" s="694"/>
      <c r="V1586" s="694"/>
      <c r="W1586" s="694"/>
      <c r="X1586" s="694"/>
      <c r="Y1586" s="694"/>
      <c r="Z1586" s="694"/>
      <c r="AA1586" s="694"/>
      <c r="AB1586" s="694"/>
      <c r="AC1586" s="694"/>
      <c r="AD1586" s="694"/>
      <c r="AE1586" s="694"/>
      <c r="AF1586" s="694"/>
      <c r="AG1586" s="694"/>
      <c r="AH1586" s="694"/>
      <c r="AI1586" s="694"/>
      <c r="AJ1586" s="694"/>
      <c r="AK1586" s="694"/>
      <c r="AL1586" s="694"/>
    </row>
    <row r="1587" spans="1:38" ht="25.5" customHeight="1" x14ac:dyDescent="0.25">
      <c r="A1587" s="694"/>
      <c r="B1587" s="298"/>
      <c r="C1587" s="1302"/>
      <c r="D1587" s="1306"/>
      <c r="E1587" s="2810" t="str">
        <f>Translations!$B$551</f>
        <v xml:space="preserve">Когато топлинната енергия е произведена изключително за една подинсталация и поради това съответните емисии са вписани в буква g) по-горе, съответните количества не трябва да се докладват тук като „получени“, за да се избегне двойно отчитане. </v>
      </c>
      <c r="F1587" s="2240"/>
      <c r="G1587" s="2240"/>
      <c r="H1587" s="2240"/>
      <c r="I1587" s="2240"/>
      <c r="J1587" s="2240"/>
      <c r="K1587" s="2240"/>
      <c r="L1587" s="2240"/>
      <c r="M1587" s="2240"/>
      <c r="N1587" s="2811"/>
      <c r="O1587" s="302"/>
      <c r="P1587" s="302"/>
      <c r="Q1587" s="729"/>
      <c r="R1587" s="694"/>
      <c r="S1587" s="729"/>
      <c r="T1587" s="694"/>
      <c r="U1587" s="694"/>
      <c r="V1587" s="694"/>
      <c r="W1587" s="694"/>
      <c r="X1587" s="694"/>
      <c r="Y1587" s="694"/>
      <c r="Z1587" s="694"/>
      <c r="AA1587" s="694"/>
      <c r="AB1587" s="694"/>
      <c r="AC1587" s="694"/>
      <c r="AD1587" s="694"/>
      <c r="AE1587" s="694"/>
      <c r="AF1587" s="694"/>
      <c r="AG1587" s="694"/>
      <c r="AH1587" s="694"/>
      <c r="AI1587" s="694"/>
      <c r="AJ1587" s="694"/>
      <c r="AK1587" s="694"/>
      <c r="AL1587" s="694"/>
    </row>
    <row r="1588" spans="1:38" ht="12.75" customHeight="1" thickBot="1" x14ac:dyDescent="0.3">
      <c r="A1588" s="694"/>
      <c r="B1588" s="298"/>
      <c r="C1588" s="1302"/>
      <c r="D1588" s="1306"/>
      <c r="E1588" s="2825" t="str">
        <f>Translations!$B$552</f>
        <v>За задаването на емисии от комбинираното производство на енергия (КПТЕ) при производството на топлинна енергия трябва да използвате „Инструмента за КПТЕ“ от раздел D.III от настоящия образец.</v>
      </c>
      <c r="F1588" s="2826"/>
      <c r="G1588" s="2826"/>
      <c r="H1588" s="2826"/>
      <c r="I1588" s="2826"/>
      <c r="J1588" s="2826"/>
      <c r="K1588" s="2826"/>
      <c r="L1588" s="2826"/>
      <c r="M1588" s="2826"/>
      <c r="N1588" s="2827"/>
      <c r="O1588" s="302"/>
      <c r="P1588" s="302"/>
      <c r="Q1588" s="729"/>
      <c r="R1588" s="694"/>
      <c r="S1588" s="694"/>
      <c r="T1588" s="694"/>
      <c r="U1588" s="694"/>
      <c r="V1588" s="694"/>
      <c r="W1588" s="694"/>
      <c r="X1588" s="694"/>
      <c r="Y1588" s="694"/>
      <c r="Z1588" s="694"/>
      <c r="AA1588" s="694"/>
      <c r="AB1588" s="694"/>
      <c r="AC1588" s="694"/>
      <c r="AD1588" s="694"/>
      <c r="AE1588" s="694"/>
      <c r="AF1588" s="694"/>
      <c r="AG1588" s="694"/>
      <c r="AH1588" s="694"/>
      <c r="AI1588" s="694"/>
      <c r="AJ1588" s="694"/>
      <c r="AK1588" s="694"/>
      <c r="AL1588" s="694"/>
    </row>
    <row r="1589" spans="1:38" ht="12.75" customHeight="1" thickBot="1" x14ac:dyDescent="0.3">
      <c r="A1589" s="694"/>
      <c r="B1589" s="298"/>
      <c r="C1589" s="1302"/>
      <c r="D1589" s="1306"/>
      <c r="E1589" s="2803" t="str">
        <f>Translations!$B$553</f>
        <v>Общо получена топлинна енергия</v>
      </c>
      <c r="F1589" s="2672"/>
      <c r="G1589" s="1309" t="str">
        <f>EUconst_Unit</f>
        <v>Единица мярка</v>
      </c>
      <c r="H1589" s="629">
        <f t="shared" ref="H1589:N1589" si="2118">H$2831</f>
        <v>2024</v>
      </c>
      <c r="I1589" s="1310">
        <f t="shared" si="2118"/>
        <v>2025</v>
      </c>
      <c r="J1589" s="1311">
        <f t="shared" si="2118"/>
        <v>2026</v>
      </c>
      <c r="K1589" s="629">
        <f t="shared" si="2118"/>
        <v>2027</v>
      </c>
      <c r="L1589" s="629">
        <f t="shared" si="2118"/>
        <v>2028</v>
      </c>
      <c r="M1589" s="629">
        <f t="shared" si="2118"/>
        <v>2029</v>
      </c>
      <c r="N1589" s="1312">
        <f t="shared" si="2118"/>
        <v>2030</v>
      </c>
      <c r="O1589" s="302"/>
      <c r="P1589" s="302"/>
      <c r="Q1589" s="729"/>
      <c r="R1589" s="694"/>
      <c r="S1589" s="1205"/>
      <c r="T1589" s="1313">
        <f t="shared" ref="T1589" si="2119">H1589</f>
        <v>2024</v>
      </c>
      <c r="U1589" s="1313">
        <f t="shared" ref="U1589" si="2120">I1589</f>
        <v>2025</v>
      </c>
      <c r="V1589" s="1313">
        <f t="shared" ref="V1589" si="2121">J1589</f>
        <v>2026</v>
      </c>
      <c r="W1589" s="1313">
        <f t="shared" ref="W1589" si="2122">K1589</f>
        <v>2027</v>
      </c>
      <c r="X1589" s="1313">
        <f t="shared" ref="X1589" si="2123">L1589</f>
        <v>2028</v>
      </c>
      <c r="Y1589" s="1313">
        <f t="shared" ref="Y1589" si="2124">M1589</f>
        <v>2029</v>
      </c>
      <c r="Z1589" s="1314">
        <f t="shared" ref="Z1589" si="2125">N1589</f>
        <v>2030</v>
      </c>
      <c r="AA1589" s="694"/>
      <c r="AB1589" s="694"/>
      <c r="AC1589" s="1178">
        <f t="shared" ref="AC1589" si="2126">H$20</f>
        <v>2024</v>
      </c>
      <c r="AD1589" s="1178">
        <f t="shared" ref="AD1589" si="2127">I$20</f>
        <v>2025</v>
      </c>
      <c r="AE1589" s="1178">
        <f t="shared" ref="AE1589" si="2128">J$20</f>
        <v>2026</v>
      </c>
      <c r="AF1589" s="1178">
        <f t="shared" ref="AF1589" si="2129">K$20</f>
        <v>2027</v>
      </c>
      <c r="AG1589" s="1178">
        <f t="shared" ref="AG1589" si="2130">L$20</f>
        <v>2028</v>
      </c>
      <c r="AH1589" s="1178">
        <f t="shared" ref="AH1589" si="2131">M$20</f>
        <v>2029</v>
      </c>
      <c r="AI1589" s="1178">
        <f t="shared" ref="AI1589" si="2132">N$20</f>
        <v>2030</v>
      </c>
      <c r="AJ1589" s="694"/>
      <c r="AK1589" s="694"/>
      <c r="AL1589" s="694"/>
    </row>
    <row r="1590" spans="1:38" ht="12.75" customHeight="1" x14ac:dyDescent="0.25">
      <c r="A1590" s="694"/>
      <c r="B1590" s="298"/>
      <c r="C1590" s="1302"/>
      <c r="D1590" s="625" t="s">
        <v>6</v>
      </c>
      <c r="E1590" s="2820" t="str">
        <f>Translations!$B$554</f>
        <v>Нетно количество получена топлинна енергия</v>
      </c>
      <c r="F1590" s="2258"/>
      <c r="G1590" s="1319" t="str">
        <f>EUconst_TJpa</f>
        <v>TJ / година</v>
      </c>
      <c r="H1590" s="56"/>
      <c r="I1590" s="115"/>
      <c r="J1590" s="118"/>
      <c r="K1590" s="56"/>
      <c r="L1590" s="56"/>
      <c r="M1590" s="56"/>
      <c r="N1590" s="121"/>
      <c r="O1590" s="302"/>
      <c r="P1590" s="158"/>
      <c r="Q1590" s="1190" t="str">
        <f>EUconst_CNTR_HeatImport &amp; I1418</f>
        <v>HeatIm_</v>
      </c>
      <c r="R1590" s="694"/>
      <c r="S1590" s="1347" t="str">
        <f>EUconst_ERR_AttrEmBMapplied &amp; I1418</f>
        <v>ERR_AttrEmBM_</v>
      </c>
      <c r="T1590" s="982">
        <f t="shared" ref="T1590" si="2133">IF(AND(H1590&lt;&gt;0,H1591="",EUconst_StatusOfDataCollection=FALSE),1,0)</f>
        <v>0</v>
      </c>
      <c r="U1590" s="982">
        <f t="shared" ref="U1590" si="2134">IF(AND(I1590&lt;&gt;0,I1591="",EUconst_StatusOfDataCollection=FALSE),1,0)</f>
        <v>0</v>
      </c>
      <c r="V1590" s="982">
        <f t="shared" ref="V1590" si="2135">IF(AND(J1590&lt;&gt;0,J1591="",EUconst_StatusOfDataCollection=FALSE),1,0)</f>
        <v>0</v>
      </c>
      <c r="W1590" s="982">
        <f t="shared" ref="W1590" si="2136">IF(AND(K1590&lt;&gt;0,K1591="",EUconst_StatusOfDataCollection=FALSE),1,0)</f>
        <v>0</v>
      </c>
      <c r="X1590" s="982">
        <f t="shared" ref="X1590" si="2137">IF(AND(L1590&lt;&gt;0,L1591="",EUconst_StatusOfDataCollection=FALSE),1,0)</f>
        <v>0</v>
      </c>
      <c r="Y1590" s="982">
        <f t="shared" ref="Y1590" si="2138">IF(AND(M1590&lt;&gt;0,M1591="",EUconst_StatusOfDataCollection=FALSE),1,0)</f>
        <v>0</v>
      </c>
      <c r="Z1590" s="1287">
        <f t="shared" ref="Z1590" si="2139">IF(AND(N1590&lt;&gt;0,N1591="",EUconst_StatusOfDataCollection=FALSE),1,0)</f>
        <v>0</v>
      </c>
      <c r="AA1590" s="1031"/>
      <c r="AB1590" s="1182" t="s">
        <v>737</v>
      </c>
      <c r="AC1590" s="982" t="b">
        <f t="shared" ref="AC1590:AI1590" si="2140">AC1465</f>
        <v>0</v>
      </c>
      <c r="AD1590" s="982" t="b">
        <f t="shared" si="2140"/>
        <v>0</v>
      </c>
      <c r="AE1590" s="982" t="b">
        <f t="shared" si="2140"/>
        <v>0</v>
      </c>
      <c r="AF1590" s="982" t="b">
        <f t="shared" si="2140"/>
        <v>0</v>
      </c>
      <c r="AG1590" s="982" t="b">
        <f t="shared" si="2140"/>
        <v>0</v>
      </c>
      <c r="AH1590" s="982" t="b">
        <f t="shared" si="2140"/>
        <v>0</v>
      </c>
      <c r="AI1590" s="982" t="b">
        <f t="shared" si="2140"/>
        <v>0</v>
      </c>
      <c r="AJ1590" s="1174" t="s">
        <v>2039</v>
      </c>
      <c r="AK1590" s="1176" t="str">
        <f>IF(AND(CNTR_ExistSubInstEntries,MSconst_RequireSubAttrEmissions,COUNTIFS(AC1590:AI1590,FALSE,H1590:N1590,"")&gt;0),EUconst_Error&amp;"BM"&amp;$Q1418,"")</f>
        <v/>
      </c>
      <c r="AL1590" s="694"/>
    </row>
    <row r="1591" spans="1:38" ht="12.75" customHeight="1" thickBot="1" x14ac:dyDescent="0.3">
      <c r="A1591" s="694"/>
      <c r="B1591" s="298"/>
      <c r="C1591" s="1302"/>
      <c r="D1591" s="625" t="s">
        <v>7</v>
      </c>
      <c r="E1591" s="2820" t="str">
        <f>Translations!$B$555</f>
        <v>Специфичен EF (получена топлинна енергия)</v>
      </c>
      <c r="F1591" s="2258"/>
      <c r="G1591" s="1319" t="str">
        <f>EUconst_tCO2pTJ</f>
        <v>t CO2 / TJ</v>
      </c>
      <c r="H1591" s="56"/>
      <c r="I1591" s="115"/>
      <c r="J1591" s="118"/>
      <c r="K1591" s="56"/>
      <c r="L1591" s="56"/>
      <c r="M1591" s="56"/>
      <c r="N1591" s="121"/>
      <c r="O1591" s="302"/>
      <c r="P1591" s="158"/>
      <c r="Q1591" s="1190" t="str">
        <f>EUconst_CNTR_HeatImportEF &amp; I1418</f>
        <v>HeatImEF_</v>
      </c>
      <c r="R1591" s="694"/>
      <c r="S1591" s="1315" t="str">
        <f>EUconst_CNTR_AttributedEmissions &amp; I1418</f>
        <v>AttrEmissions_</v>
      </c>
      <c r="T1591" s="1290" t="str">
        <f t="shared" ref="T1591" si="2141">IF(T1426,SUM(H1590)*IF(ISNUMBER(H1591),H1591,EUconst_HeatBMvalue),"")</f>
        <v/>
      </c>
      <c r="U1591" s="1290" t="str">
        <f t="shared" ref="U1591" si="2142">IF(U1426,SUM(I1590)*IF(ISNUMBER(I1591),I1591,EUconst_HeatBMvalue),"")</f>
        <v/>
      </c>
      <c r="V1591" s="1290" t="str">
        <f t="shared" ref="V1591" si="2143">IF(V1426,SUM(J1590)*IF(ISNUMBER(J1591),J1591,EUconst_HeatBMvalue),"")</f>
        <v/>
      </c>
      <c r="W1591" s="1290" t="str">
        <f t="shared" ref="W1591" si="2144">IF(W1426,SUM(K1590)*IF(ISNUMBER(K1591),K1591,EUconst_HeatBMvalue),"")</f>
        <v/>
      </c>
      <c r="X1591" s="1290" t="str">
        <f t="shared" ref="X1591" si="2145">IF(X1426,SUM(L1590)*IF(ISNUMBER(L1591),L1591,EUconst_HeatBMvalue),"")</f>
        <v/>
      </c>
      <c r="Y1591" s="1290" t="str">
        <f t="shared" ref="Y1591" si="2146">IF(Y1426,SUM(M1590)*IF(ISNUMBER(M1591),M1591,EUconst_HeatBMvalue),"")</f>
        <v/>
      </c>
      <c r="Z1591" s="1291" t="str">
        <f t="shared" ref="Z1591" si="2147">IF(Z1426,SUM(N1590)*IF(ISNUMBER(N1591),N1591,EUconst_HeatBMvalue),"")</f>
        <v/>
      </c>
      <c r="AA1591" s="694"/>
      <c r="AB1591" s="694"/>
      <c r="AC1591" s="982" t="b">
        <f>AC1590</f>
        <v>0</v>
      </c>
      <c r="AD1591" s="982" t="b">
        <f t="shared" ref="AD1591:AI1591" si="2148">AD1590</f>
        <v>0</v>
      </c>
      <c r="AE1591" s="982" t="b">
        <f t="shared" si="2148"/>
        <v>0</v>
      </c>
      <c r="AF1591" s="982" t="b">
        <f t="shared" si="2148"/>
        <v>0</v>
      </c>
      <c r="AG1591" s="982" t="b">
        <f t="shared" si="2148"/>
        <v>0</v>
      </c>
      <c r="AH1591" s="982" t="b">
        <f t="shared" si="2148"/>
        <v>0</v>
      </c>
      <c r="AI1591" s="982" t="b">
        <f t="shared" si="2148"/>
        <v>0</v>
      </c>
      <c r="AJ1591" s="694"/>
      <c r="AK1591" s="694"/>
      <c r="AL1591" s="694"/>
    </row>
    <row r="1592" spans="1:38" ht="5.15" customHeight="1" x14ac:dyDescent="0.25">
      <c r="A1592" s="694"/>
      <c r="B1592" s="298"/>
      <c r="C1592" s="1302"/>
      <c r="D1592" s="1306"/>
      <c r="E1592" s="1306"/>
      <c r="F1592" s="1306"/>
      <c r="G1592" s="1306"/>
      <c r="H1592" s="1306"/>
      <c r="I1592" s="1306"/>
      <c r="J1592" s="1306"/>
      <c r="K1592" s="1306"/>
      <c r="L1592" s="1306"/>
      <c r="M1592" s="1306"/>
      <c r="N1592" s="1316"/>
      <c r="O1592" s="302"/>
      <c r="P1592" s="302"/>
      <c r="Q1592" s="729"/>
      <c r="R1592" s="694"/>
      <c r="S1592" s="729"/>
      <c r="T1592" s="729"/>
      <c r="U1592" s="729"/>
      <c r="V1592" s="729"/>
      <c r="W1592" s="694"/>
      <c r="X1592" s="694"/>
      <c r="Y1592" s="694"/>
      <c r="Z1592" s="694"/>
      <c r="AA1592" s="694"/>
      <c r="AB1592" s="694"/>
      <c r="AC1592" s="694"/>
      <c r="AD1592" s="694"/>
      <c r="AE1592" s="694"/>
      <c r="AF1592" s="694"/>
      <c r="AG1592" s="694"/>
      <c r="AH1592" s="694"/>
      <c r="AI1592" s="694"/>
      <c r="AJ1592" s="694"/>
      <c r="AK1592" s="694"/>
      <c r="AL1592" s="694"/>
    </row>
    <row r="1593" spans="1:38" ht="12.75" customHeight="1" thickBot="1" x14ac:dyDescent="0.3">
      <c r="A1593" s="694"/>
      <c r="B1593" s="298"/>
      <c r="C1593" s="1302"/>
      <c r="D1593" s="1306"/>
      <c r="E1593" s="2803" t="str">
        <f>Translations!$B$556</f>
        <v>Специфична получена топлинна енергия</v>
      </c>
      <c r="F1593" s="2672"/>
      <c r="G1593" s="1309" t="str">
        <f>EUconst_Unit</f>
        <v>Единица мярка</v>
      </c>
      <c r="H1593" s="629">
        <f t="shared" ref="H1593:N1593" si="2149">H$2831</f>
        <v>2024</v>
      </c>
      <c r="I1593" s="1310">
        <f t="shared" si="2149"/>
        <v>2025</v>
      </c>
      <c r="J1593" s="1311">
        <f t="shared" si="2149"/>
        <v>2026</v>
      </c>
      <c r="K1593" s="629">
        <f t="shared" si="2149"/>
        <v>2027</v>
      </c>
      <c r="L1593" s="629">
        <f t="shared" si="2149"/>
        <v>2028</v>
      </c>
      <c r="M1593" s="629">
        <f t="shared" si="2149"/>
        <v>2029</v>
      </c>
      <c r="N1593" s="1312">
        <f t="shared" si="2149"/>
        <v>2030</v>
      </c>
      <c r="O1593" s="302"/>
      <c r="P1593" s="302"/>
      <c r="Q1593" s="729"/>
      <c r="R1593" s="694"/>
      <c r="S1593" s="729"/>
      <c r="T1593" s="729"/>
      <c r="U1593" s="729"/>
      <c r="V1593" s="729"/>
      <c r="W1593" s="694"/>
      <c r="X1593" s="694"/>
      <c r="Y1593" s="694"/>
      <c r="Z1593" s="694"/>
      <c r="AA1593" s="694"/>
      <c r="AB1593" s="694"/>
      <c r="AC1593" s="1178">
        <f t="shared" ref="AC1593" si="2150">H$20</f>
        <v>2024</v>
      </c>
      <c r="AD1593" s="1178">
        <f t="shared" ref="AD1593" si="2151">I$20</f>
        <v>2025</v>
      </c>
      <c r="AE1593" s="1178">
        <f t="shared" ref="AE1593" si="2152">J$20</f>
        <v>2026</v>
      </c>
      <c r="AF1593" s="1178">
        <f t="shared" ref="AF1593" si="2153">K$20</f>
        <v>2027</v>
      </c>
      <c r="AG1593" s="1178">
        <f t="shared" ref="AG1593" si="2154">L$20</f>
        <v>2028</v>
      </c>
      <c r="AH1593" s="1178">
        <f t="shared" ref="AH1593" si="2155">M$20</f>
        <v>2029</v>
      </c>
      <c r="AI1593" s="1178">
        <f t="shared" ref="AI1593" si="2156">N$20</f>
        <v>2030</v>
      </c>
      <c r="AJ1593" s="694"/>
      <c r="AK1593" s="694"/>
      <c r="AL1593" s="694"/>
    </row>
    <row r="1594" spans="1:38" ht="12.75" customHeight="1" x14ac:dyDescent="0.25">
      <c r="A1594" s="694"/>
      <c r="B1594" s="298"/>
      <c r="C1594" s="1302"/>
      <c r="D1594" s="625" t="s">
        <v>8</v>
      </c>
      <c r="E1594" s="2820" t="str">
        <f>Translations!$B$557</f>
        <v>Нетно количество топлинна енергия, получена от подинсталации за пулп</v>
      </c>
      <c r="F1594" s="2258"/>
      <c r="G1594" s="1319" t="str">
        <f>EUconst_TJpa</f>
        <v>TJ / година</v>
      </c>
      <c r="H1594" s="141"/>
      <c r="I1594" s="142"/>
      <c r="J1594" s="143"/>
      <c r="K1594" s="141"/>
      <c r="L1594" s="141"/>
      <c r="M1594" s="141"/>
      <c r="N1594" s="144"/>
      <c r="O1594" s="302"/>
      <c r="P1594" s="158"/>
      <c r="Q1594" s="1190" t="str">
        <f>EUconst_CNTR_HeatImportPulp &amp; I1418</f>
        <v>HeatImPulp_</v>
      </c>
      <c r="R1594" s="694"/>
      <c r="S1594" s="729"/>
      <c r="T1594" s="729"/>
      <c r="U1594" s="729"/>
      <c r="V1594" s="729"/>
      <c r="W1594" s="694"/>
      <c r="X1594" s="694"/>
      <c r="Y1594" s="694"/>
      <c r="Z1594" s="694"/>
      <c r="AA1594" s="694"/>
      <c r="AB1594" s="1182" t="s">
        <v>737</v>
      </c>
      <c r="AC1594" s="982" t="b">
        <f>AC1465</f>
        <v>0</v>
      </c>
      <c r="AD1594" s="982" t="b">
        <f t="shared" ref="AD1594:AI1594" si="2157">AD1465</f>
        <v>0</v>
      </c>
      <c r="AE1594" s="982" t="b">
        <f t="shared" si="2157"/>
        <v>0</v>
      </c>
      <c r="AF1594" s="982" t="b">
        <f t="shared" si="2157"/>
        <v>0</v>
      </c>
      <c r="AG1594" s="982" t="b">
        <f t="shared" si="2157"/>
        <v>0</v>
      </c>
      <c r="AH1594" s="982" t="b">
        <f t="shared" si="2157"/>
        <v>0</v>
      </c>
      <c r="AI1594" s="982" t="b">
        <f t="shared" si="2157"/>
        <v>0</v>
      </c>
      <c r="AJ1594" s="1174" t="s">
        <v>2039</v>
      </c>
      <c r="AK1594" s="1176" t="str">
        <f>IF(AND(CNTR_ExistSubInstEntries,MSconst_RequireSubAttrEmissions,COUNTIFS(AC1594:AI1594,FALSE,H1594:N1594,"")&gt;0),EUconst_Error&amp;"BM"&amp;$Q1418,"")</f>
        <v/>
      </c>
      <c r="AL1594" s="694"/>
    </row>
    <row r="1595" spans="1:38" ht="25.5" customHeight="1" x14ac:dyDescent="0.25">
      <c r="A1595" s="694"/>
      <c r="B1595" s="298"/>
      <c r="C1595" s="1302"/>
      <c r="D1595" s="625" t="s">
        <v>18</v>
      </c>
      <c r="E1595" s="2820" t="str">
        <f>Translations!$B$558</f>
        <v>Нетно количество топлинна енергия, получена от подинсталации за азотна киселина</v>
      </c>
      <c r="F1595" s="2258"/>
      <c r="G1595" s="1319" t="str">
        <f>EUconst_TJpa</f>
        <v>TJ / година</v>
      </c>
      <c r="H1595" s="56"/>
      <c r="I1595" s="115"/>
      <c r="J1595" s="118"/>
      <c r="K1595" s="56"/>
      <c r="L1595" s="56"/>
      <c r="M1595" s="56"/>
      <c r="N1595" s="121"/>
      <c r="O1595" s="302"/>
      <c r="P1595" s="158"/>
      <c r="Q1595" s="1190" t="str">
        <f>EUconst_CNTR_HeatImportNitric &amp; I1418</f>
        <v>HeatImNitric_</v>
      </c>
      <c r="R1595" s="694"/>
      <c r="S1595" s="729"/>
      <c r="T1595" s="729"/>
      <c r="U1595" s="729"/>
      <c r="V1595" s="729"/>
      <c r="W1595" s="694"/>
      <c r="X1595" s="694"/>
      <c r="Y1595" s="694"/>
      <c r="Z1595" s="694"/>
      <c r="AA1595" s="694"/>
      <c r="AB1595" s="694"/>
      <c r="AC1595" s="982" t="b">
        <f>AC1594</f>
        <v>0</v>
      </c>
      <c r="AD1595" s="982" t="b">
        <f t="shared" ref="AD1595:AI1595" si="2158">AD1594</f>
        <v>0</v>
      </c>
      <c r="AE1595" s="982" t="b">
        <f t="shared" si="2158"/>
        <v>0</v>
      </c>
      <c r="AF1595" s="982" t="b">
        <f t="shared" si="2158"/>
        <v>0</v>
      </c>
      <c r="AG1595" s="982" t="b">
        <f t="shared" si="2158"/>
        <v>0</v>
      </c>
      <c r="AH1595" s="982" t="b">
        <f t="shared" si="2158"/>
        <v>0</v>
      </c>
      <c r="AI1595" s="982" t="b">
        <f t="shared" si="2158"/>
        <v>0</v>
      </c>
      <c r="AJ1595" s="1174" t="s">
        <v>2039</v>
      </c>
      <c r="AK1595" s="1176" t="str">
        <f>IF(AND(CNTR_ExistSubInstEntries,MSconst_RequireSubAttrEmissions,COUNTIFS(AC1595:AI1595,FALSE,H1595:N1595,"")&gt;0),EUconst_Error&amp;"BM"&amp;$Q1418,"")</f>
        <v/>
      </c>
      <c r="AL1595" s="694"/>
    </row>
    <row r="1596" spans="1:38" ht="5.15" customHeight="1" thickBot="1" x14ac:dyDescent="0.3">
      <c r="A1596" s="694"/>
      <c r="B1596" s="298"/>
      <c r="C1596" s="1302"/>
      <c r="D1596" s="1306"/>
      <c r="E1596" s="1306"/>
      <c r="F1596" s="1306"/>
      <c r="G1596" s="1306"/>
      <c r="H1596" s="1306"/>
      <c r="I1596" s="1306"/>
      <c r="J1596" s="1306"/>
      <c r="K1596" s="1306"/>
      <c r="L1596" s="1306"/>
      <c r="M1596" s="1306"/>
      <c r="N1596" s="1316"/>
      <c r="O1596" s="302"/>
      <c r="P1596" s="302"/>
      <c r="Q1596" s="729"/>
      <c r="R1596" s="694"/>
      <c r="S1596" s="729"/>
      <c r="T1596" s="729"/>
      <c r="U1596" s="729"/>
      <c r="V1596" s="729"/>
      <c r="W1596" s="694"/>
      <c r="X1596" s="694"/>
      <c r="Y1596" s="694"/>
      <c r="Z1596" s="694"/>
      <c r="AA1596" s="694"/>
      <c r="AB1596" s="694"/>
      <c r="AC1596" s="694"/>
      <c r="AD1596" s="694"/>
      <c r="AE1596" s="694"/>
      <c r="AF1596" s="694"/>
      <c r="AG1596" s="694"/>
      <c r="AH1596" s="694"/>
      <c r="AI1596" s="694"/>
      <c r="AJ1596" s="694"/>
      <c r="AK1596" s="694"/>
      <c r="AL1596" s="694"/>
    </row>
    <row r="1597" spans="1:38" ht="12.75" customHeight="1" thickBot="1" x14ac:dyDescent="0.3">
      <c r="A1597" s="694"/>
      <c r="B1597" s="298"/>
      <c r="C1597" s="1302"/>
      <c r="D1597" s="1306"/>
      <c r="E1597" s="2803" t="str">
        <f>Translations!$B$559</f>
        <v>Общо подадена топлинна енергия</v>
      </c>
      <c r="F1597" s="2672"/>
      <c r="G1597" s="1309" t="str">
        <f>EUconst_Unit</f>
        <v>Единица мярка</v>
      </c>
      <c r="H1597" s="629">
        <f t="shared" ref="H1597:N1597" si="2159">H$2831</f>
        <v>2024</v>
      </c>
      <c r="I1597" s="1310">
        <f t="shared" si="2159"/>
        <v>2025</v>
      </c>
      <c r="J1597" s="1311">
        <f t="shared" si="2159"/>
        <v>2026</v>
      </c>
      <c r="K1597" s="629">
        <f t="shared" si="2159"/>
        <v>2027</v>
      </c>
      <c r="L1597" s="629">
        <f t="shared" si="2159"/>
        <v>2028</v>
      </c>
      <c r="M1597" s="629">
        <f t="shared" si="2159"/>
        <v>2029</v>
      </c>
      <c r="N1597" s="1312">
        <f t="shared" si="2159"/>
        <v>2030</v>
      </c>
      <c r="O1597" s="302"/>
      <c r="P1597" s="302"/>
      <c r="Q1597" s="729"/>
      <c r="R1597" s="694"/>
      <c r="S1597" s="1205"/>
      <c r="T1597" s="1313">
        <f t="shared" ref="T1597" si="2160">H1597</f>
        <v>2024</v>
      </c>
      <c r="U1597" s="1313">
        <f t="shared" ref="U1597" si="2161">I1597</f>
        <v>2025</v>
      </c>
      <c r="V1597" s="1313">
        <f t="shared" ref="V1597" si="2162">J1597</f>
        <v>2026</v>
      </c>
      <c r="W1597" s="1313">
        <f t="shared" ref="W1597" si="2163">K1597</f>
        <v>2027</v>
      </c>
      <c r="X1597" s="1313">
        <f t="shared" ref="X1597" si="2164">L1597</f>
        <v>2028</v>
      </c>
      <c r="Y1597" s="1313">
        <f t="shared" ref="Y1597" si="2165">M1597</f>
        <v>2029</v>
      </c>
      <c r="Z1597" s="1314">
        <f t="shared" ref="Z1597" si="2166">N1597</f>
        <v>2030</v>
      </c>
      <c r="AA1597" s="694"/>
      <c r="AB1597" s="694"/>
      <c r="AC1597" s="1178">
        <f t="shared" ref="AC1597" si="2167">H$20</f>
        <v>2024</v>
      </c>
      <c r="AD1597" s="1178">
        <f t="shared" ref="AD1597" si="2168">I$20</f>
        <v>2025</v>
      </c>
      <c r="AE1597" s="1178">
        <f t="shared" ref="AE1597" si="2169">J$20</f>
        <v>2026</v>
      </c>
      <c r="AF1597" s="1178">
        <f t="shared" ref="AF1597" si="2170">K$20</f>
        <v>2027</v>
      </c>
      <c r="AG1597" s="1178">
        <f t="shared" ref="AG1597" si="2171">L$20</f>
        <v>2028</v>
      </c>
      <c r="AH1597" s="1178">
        <f t="shared" ref="AH1597" si="2172">M$20</f>
        <v>2029</v>
      </c>
      <c r="AI1597" s="1178">
        <f t="shared" ref="AI1597" si="2173">N$20</f>
        <v>2030</v>
      </c>
      <c r="AJ1597" s="694"/>
      <c r="AK1597" s="694"/>
      <c r="AL1597" s="694"/>
    </row>
    <row r="1598" spans="1:38" ht="12.75" customHeight="1" x14ac:dyDescent="0.25">
      <c r="A1598" s="694"/>
      <c r="B1598" s="298"/>
      <c r="C1598" s="1302"/>
      <c r="D1598" s="625" t="s">
        <v>810</v>
      </c>
      <c r="E1598" s="2820" t="str">
        <f>Translations!$B$560</f>
        <v>Нетно количество подадена топлинна енергия</v>
      </c>
      <c r="F1598" s="2258"/>
      <c r="G1598" s="1319" t="str">
        <f>EUconst_TJpa</f>
        <v>TJ / година</v>
      </c>
      <c r="H1598" s="56"/>
      <c r="I1598" s="115"/>
      <c r="J1598" s="118"/>
      <c r="K1598" s="56"/>
      <c r="L1598" s="56"/>
      <c r="M1598" s="56"/>
      <c r="N1598" s="121"/>
      <c r="O1598" s="302"/>
      <c r="P1598" s="158"/>
      <c r="Q1598" s="1190" t="str">
        <f>EUconst_CNTR_HeatExport &amp; I1418</f>
        <v>HeatEx_</v>
      </c>
      <c r="R1598" s="694"/>
      <c r="S1598" s="1347" t="str">
        <f>EUconst_ERR_AttrEmBMapplied &amp; I1418</f>
        <v>ERR_AttrEmBM_</v>
      </c>
      <c r="T1598" s="982">
        <f t="shared" ref="T1598" si="2174">IF(AND(H1598&lt;&gt;0,H1599="",EUconst_StatusOfDataCollection=FALSE),1,0)</f>
        <v>0</v>
      </c>
      <c r="U1598" s="982">
        <f t="shared" ref="U1598" si="2175">IF(AND(I1598&lt;&gt;0,I1599="",EUconst_StatusOfDataCollection=FALSE),1,0)</f>
        <v>0</v>
      </c>
      <c r="V1598" s="982">
        <f t="shared" ref="V1598" si="2176">IF(AND(J1598&lt;&gt;0,J1599="",EUconst_StatusOfDataCollection=FALSE),1,0)</f>
        <v>0</v>
      </c>
      <c r="W1598" s="982">
        <f t="shared" ref="W1598" si="2177">IF(AND(K1598&lt;&gt;0,K1599="",EUconst_StatusOfDataCollection=FALSE),1,0)</f>
        <v>0</v>
      </c>
      <c r="X1598" s="982">
        <f t="shared" ref="X1598" si="2178">IF(AND(L1598&lt;&gt;0,L1599="",EUconst_StatusOfDataCollection=FALSE),1,0)</f>
        <v>0</v>
      </c>
      <c r="Y1598" s="982">
        <f t="shared" ref="Y1598" si="2179">IF(AND(M1598&lt;&gt;0,M1599="",EUconst_StatusOfDataCollection=FALSE),1,0)</f>
        <v>0</v>
      </c>
      <c r="Z1598" s="1287">
        <f t="shared" ref="Z1598" si="2180">IF(AND(N1598&lt;&gt;0,N1599="",EUconst_StatusOfDataCollection=FALSE),1,0)</f>
        <v>0</v>
      </c>
      <c r="AA1598" s="694"/>
      <c r="AB1598" s="1182" t="s">
        <v>737</v>
      </c>
      <c r="AC1598" s="982" t="b">
        <f>AC1594</f>
        <v>0</v>
      </c>
      <c r="AD1598" s="982" t="b">
        <f t="shared" ref="AD1598:AI1598" si="2181">AD1594</f>
        <v>0</v>
      </c>
      <c r="AE1598" s="982" t="b">
        <f t="shared" si="2181"/>
        <v>0</v>
      </c>
      <c r="AF1598" s="982" t="b">
        <f t="shared" si="2181"/>
        <v>0</v>
      </c>
      <c r="AG1598" s="982" t="b">
        <f t="shared" si="2181"/>
        <v>0</v>
      </c>
      <c r="AH1598" s="982" t="b">
        <f t="shared" si="2181"/>
        <v>0</v>
      </c>
      <c r="AI1598" s="982" t="b">
        <f t="shared" si="2181"/>
        <v>0</v>
      </c>
      <c r="AJ1598" s="1174" t="s">
        <v>2039</v>
      </c>
      <c r="AK1598" s="1176" t="str">
        <f>IF(AND(CNTR_ExistSubInstEntries,MSconst_RequireSubAttrEmissions,COUNTIFS(AC1598:AI1598,FALSE,H1598:N1598,"")&gt;0),EUconst_Error&amp;"BM"&amp;$Q1418,"")</f>
        <v/>
      </c>
      <c r="AL1598" s="694"/>
    </row>
    <row r="1599" spans="1:38" ht="12.75" customHeight="1" thickBot="1" x14ac:dyDescent="0.3">
      <c r="A1599" s="694"/>
      <c r="B1599" s="298"/>
      <c r="C1599" s="1302"/>
      <c r="D1599" s="625" t="s">
        <v>811</v>
      </c>
      <c r="E1599" s="2820" t="str">
        <f>Translations!$B$561</f>
        <v>Специфичен EF (подадена топлинна енергия)</v>
      </c>
      <c r="F1599" s="2258"/>
      <c r="G1599" s="1319" t="str">
        <f>EUconst_tCO2pTJ</f>
        <v>t CO2 / TJ</v>
      </c>
      <c r="H1599" s="56"/>
      <c r="I1599" s="115"/>
      <c r="J1599" s="118"/>
      <c r="K1599" s="56"/>
      <c r="L1599" s="56"/>
      <c r="M1599" s="56"/>
      <c r="N1599" s="121"/>
      <c r="O1599" s="302"/>
      <c r="P1599" s="158"/>
      <c r="Q1599" s="1190" t="str">
        <f>EUconst_CNTR_HeatExportEF &amp; I1418</f>
        <v>HeatExEF_</v>
      </c>
      <c r="R1599" s="694"/>
      <c r="S1599" s="1315" t="str">
        <f>EUconst_CNTR_AttributedEmissions &amp; I1418</f>
        <v>AttrEmissions_</v>
      </c>
      <c r="T1599" s="1290" t="str">
        <f t="shared" ref="T1599" si="2182">IF(T1426,-SUM(H1598)*IF(INDEX(EUconst_BMlistMainNumberOfBM,MATCH($I1418,EUconst_BMlistNames,0))=39,0,IF(ISNUMBER(H1599),H1599,EUconst_HeatBMvalue)),"")</f>
        <v/>
      </c>
      <c r="U1599" s="1290" t="str">
        <f t="shared" ref="U1599" si="2183">IF(U1426,-SUM(I1598)*IF(INDEX(EUconst_BMlistMainNumberOfBM,MATCH($I1418,EUconst_BMlistNames,0))=39,0,IF(ISNUMBER(I1599),I1599,EUconst_HeatBMvalue)),"")</f>
        <v/>
      </c>
      <c r="V1599" s="1290" t="str">
        <f t="shared" ref="V1599" si="2184">IF(V1426,-SUM(J1598)*IF(INDEX(EUconst_BMlistMainNumberOfBM,MATCH($I1418,EUconst_BMlistNames,0))=39,0,IF(ISNUMBER(J1599),J1599,EUconst_HeatBMvalue)),"")</f>
        <v/>
      </c>
      <c r="W1599" s="1290" t="str">
        <f t="shared" ref="W1599" si="2185">IF(W1426,-SUM(K1598)*IF(INDEX(EUconst_BMlistMainNumberOfBM,MATCH($I1418,EUconst_BMlistNames,0))=39,0,IF(ISNUMBER(K1599),K1599,EUconst_HeatBMvalue)),"")</f>
        <v/>
      </c>
      <c r="X1599" s="1290" t="str">
        <f t="shared" ref="X1599" si="2186">IF(X1426,-SUM(L1598)*IF(INDEX(EUconst_BMlistMainNumberOfBM,MATCH($I1418,EUconst_BMlistNames,0))=39,0,IF(ISNUMBER(L1599),L1599,EUconst_HeatBMvalue)),"")</f>
        <v/>
      </c>
      <c r="Y1599" s="1290" t="str">
        <f t="shared" ref="Y1599" si="2187">IF(Y1426,-SUM(M1598)*IF(INDEX(EUconst_BMlistMainNumberOfBM,MATCH($I1418,EUconst_BMlistNames,0))=39,0,IF(ISNUMBER(M1599),M1599,EUconst_HeatBMvalue)),"")</f>
        <v/>
      </c>
      <c r="Z1599" s="1291" t="str">
        <f t="shared" ref="Z1599" si="2188">IF(Z1426,-SUM(N1598)*IF(INDEX(EUconst_BMlistMainNumberOfBM,MATCH($I1418,EUconst_BMlistNames,0))=39,0,IF(ISNUMBER(N1599),N1599,EUconst_HeatBMvalue)),"")</f>
        <v/>
      </c>
      <c r="AA1599" s="694"/>
      <c r="AB1599" s="694"/>
      <c r="AC1599" s="982" t="b">
        <f>AC1598</f>
        <v>0</v>
      </c>
      <c r="AD1599" s="982" t="b">
        <f t="shared" ref="AD1599:AI1599" si="2189">AD1598</f>
        <v>0</v>
      </c>
      <c r="AE1599" s="982" t="b">
        <f t="shared" si="2189"/>
        <v>0</v>
      </c>
      <c r="AF1599" s="982" t="b">
        <f t="shared" si="2189"/>
        <v>0</v>
      </c>
      <c r="AG1599" s="982" t="b">
        <f t="shared" si="2189"/>
        <v>0</v>
      </c>
      <c r="AH1599" s="982" t="b">
        <f t="shared" si="2189"/>
        <v>0</v>
      </c>
      <c r="AI1599" s="982" t="b">
        <f t="shared" si="2189"/>
        <v>0</v>
      </c>
      <c r="AJ1599" s="694"/>
      <c r="AK1599" s="694"/>
      <c r="AL1599" s="694"/>
    </row>
    <row r="1600" spans="1:38" ht="12.75" customHeight="1" x14ac:dyDescent="0.25">
      <c r="A1600" s="694"/>
      <c r="B1600" s="298"/>
      <c r="C1600" s="1302"/>
      <c r="D1600" s="1306"/>
      <c r="E1600" s="1306"/>
      <c r="F1600" s="1306"/>
      <c r="G1600" s="1306"/>
      <c r="H1600" s="1306"/>
      <c r="I1600" s="1306"/>
      <c r="J1600" s="1306"/>
      <c r="K1600" s="1306"/>
      <c r="L1600" s="1306"/>
      <c r="M1600" s="626"/>
      <c r="N1600" s="1316"/>
      <c r="O1600" s="302"/>
      <c r="P1600" s="302"/>
      <c r="Q1600" s="729"/>
      <c r="R1600" s="694"/>
      <c r="S1600" s="729"/>
      <c r="T1600" s="729"/>
      <c r="U1600" s="729"/>
      <c r="V1600" s="729"/>
      <c r="W1600" s="694"/>
      <c r="X1600" s="694"/>
      <c r="Y1600" s="694"/>
      <c r="Z1600" s="694"/>
      <c r="AA1600" s="694"/>
      <c r="AB1600" s="694"/>
      <c r="AC1600" s="694"/>
      <c r="AD1600" s="694"/>
      <c r="AE1600" s="694"/>
      <c r="AF1600" s="694"/>
      <c r="AG1600" s="694"/>
      <c r="AH1600" s="694"/>
      <c r="AI1600" s="694"/>
      <c r="AJ1600" s="694"/>
      <c r="AK1600" s="694"/>
      <c r="AL1600" s="694"/>
    </row>
    <row r="1601" spans="1:38" ht="12.75" customHeight="1" x14ac:dyDescent="0.25">
      <c r="A1601" s="694"/>
      <c r="B1601" s="298"/>
      <c r="C1601" s="1302"/>
      <c r="D1601" s="1307" t="s">
        <v>492</v>
      </c>
      <c r="E1601" s="2815" t="str">
        <f>Translations!$B$562</f>
        <v>Баланс на отпадните газове за тази инсталация</v>
      </c>
      <c r="F1601" s="2240"/>
      <c r="G1601" s="2240"/>
      <c r="H1601" s="2240"/>
      <c r="I1601" s="2240"/>
      <c r="J1601" s="2240"/>
      <c r="K1601" s="2240"/>
      <c r="L1601" s="2240"/>
      <c r="M1601" s="2240"/>
      <c r="N1601" s="2811"/>
      <c r="O1601" s="302"/>
      <c r="P1601" s="302"/>
      <c r="Q1601" s="729"/>
      <c r="R1601" s="694"/>
      <c r="S1601" s="729"/>
      <c r="T1601" s="729"/>
      <c r="U1601" s="729"/>
      <c r="V1601" s="729"/>
      <c r="W1601" s="694"/>
      <c r="X1601" s="694"/>
      <c r="Y1601" s="694"/>
      <c r="Z1601" s="694"/>
      <c r="AA1601" s="694"/>
      <c r="AB1601" s="694"/>
      <c r="AC1601" s="694"/>
      <c r="AD1601" s="694"/>
      <c r="AE1601" s="694"/>
      <c r="AF1601" s="694"/>
      <c r="AG1601" s="694"/>
      <c r="AH1601" s="694"/>
      <c r="AI1601" s="694"/>
      <c r="AJ1601" s="694"/>
      <c r="AK1601" s="694"/>
      <c r="AL1601" s="694"/>
    </row>
    <row r="1602" spans="1:38" ht="5.15" customHeight="1" x14ac:dyDescent="0.25">
      <c r="A1602" s="694"/>
      <c r="B1602" s="298"/>
      <c r="C1602" s="1302"/>
      <c r="D1602" s="1306"/>
      <c r="E1602" s="1325"/>
      <c r="F1602" s="1325"/>
      <c r="G1602" s="1325"/>
      <c r="H1602" s="1325"/>
      <c r="I1602" s="1325"/>
      <c r="J1602" s="1325"/>
      <c r="K1602" s="1325"/>
      <c r="L1602" s="1325"/>
      <c r="M1602" s="1325"/>
      <c r="N1602" s="1348"/>
      <c r="O1602" s="302"/>
      <c r="P1602" s="302"/>
      <c r="Q1602" s="729"/>
      <c r="R1602" s="694"/>
      <c r="S1602" s="729"/>
      <c r="T1602" s="729"/>
      <c r="U1602" s="729"/>
      <c r="V1602" s="729"/>
      <c r="W1602" s="694"/>
      <c r="X1602" s="694"/>
      <c r="Y1602" s="694"/>
      <c r="Z1602" s="694"/>
      <c r="AA1602" s="694"/>
      <c r="AB1602" s="694"/>
      <c r="AC1602" s="694"/>
      <c r="AD1602" s="694"/>
      <c r="AE1602" s="694"/>
      <c r="AF1602" s="694"/>
      <c r="AG1602" s="694"/>
      <c r="AH1602" s="694"/>
      <c r="AI1602" s="694"/>
      <c r="AJ1602" s="694"/>
      <c r="AK1602" s="694"/>
      <c r="AL1602" s="694"/>
    </row>
    <row r="1603" spans="1:38" ht="12.75" customHeight="1" x14ac:dyDescent="0.25">
      <c r="A1603" s="694"/>
      <c r="B1603" s="298"/>
      <c r="C1603" s="1302"/>
      <c r="D1603" s="625" t="s">
        <v>6</v>
      </c>
      <c r="E1603" s="2815" t="str">
        <f>Translations!$B$563</f>
        <v>От значение ли са отпадните газове за тази подинсталация?</v>
      </c>
      <c r="F1603" s="2240"/>
      <c r="G1603" s="2240"/>
      <c r="H1603" s="2240"/>
      <c r="I1603" s="2240"/>
      <c r="J1603" s="2240"/>
      <c r="K1603" s="2684"/>
      <c r="L1603" s="83"/>
      <c r="M1603" s="1322"/>
      <c r="N1603" s="1323"/>
      <c r="O1603" s="302"/>
      <c r="P1603" s="158"/>
      <c r="Q1603" s="729"/>
      <c r="R1603" s="694"/>
      <c r="S1603" s="729"/>
      <c r="T1603" s="694"/>
      <c r="U1603" s="694"/>
      <c r="V1603" s="694"/>
      <c r="W1603" s="694"/>
      <c r="X1603" s="694"/>
      <c r="Y1603" s="694"/>
      <c r="Z1603" s="694"/>
      <c r="AA1603" s="694"/>
      <c r="AB1603" s="694"/>
      <c r="AC1603" s="694"/>
      <c r="AD1603" s="694"/>
      <c r="AE1603" s="694"/>
      <c r="AF1603" s="1182" t="s">
        <v>737</v>
      </c>
      <c r="AG1603" s="901" t="b">
        <f>AND(CNTR_ExistSubInstEntries,I1418="")</f>
        <v>0</v>
      </c>
      <c r="AH1603" s="694"/>
      <c r="AI1603" s="694"/>
      <c r="AJ1603" s="694"/>
      <c r="AK1603" s="694"/>
      <c r="AL1603" s="694"/>
    </row>
    <row r="1604" spans="1:38" ht="12.75" customHeight="1" x14ac:dyDescent="0.25">
      <c r="A1604" s="694"/>
      <c r="B1604" s="298"/>
      <c r="C1604" s="1302"/>
      <c r="D1604" s="1306"/>
      <c r="E1604" s="2810" t="str">
        <f>Translations!$B$564</f>
        <v>Ако отговорът е „невярно“, целият раздел ще бъде защрихован в сиво и можете да продължите към следващите точки по-долу.</v>
      </c>
      <c r="F1604" s="2240"/>
      <c r="G1604" s="2240"/>
      <c r="H1604" s="2240"/>
      <c r="I1604" s="2240"/>
      <c r="J1604" s="2240"/>
      <c r="K1604" s="2240"/>
      <c r="L1604" s="2240"/>
      <c r="M1604" s="2240"/>
      <c r="N1604" s="2811"/>
      <c r="O1604" s="302"/>
      <c r="P1604" s="302"/>
      <c r="Q1604" s="729"/>
      <c r="R1604" s="694"/>
      <c r="S1604" s="729"/>
      <c r="T1604" s="694"/>
      <c r="U1604" s="694"/>
      <c r="V1604" s="694"/>
      <c r="W1604" s="694"/>
      <c r="X1604" s="694"/>
      <c r="Y1604" s="694"/>
      <c r="Z1604" s="694"/>
      <c r="AA1604" s="694"/>
      <c r="AB1604" s="694"/>
      <c r="AC1604" s="694"/>
      <c r="AD1604" s="694"/>
      <c r="AE1604" s="694"/>
      <c r="AF1604" s="694"/>
      <c r="AG1604" s="694"/>
      <c r="AH1604" s="694"/>
      <c r="AI1604" s="694"/>
      <c r="AJ1604" s="694"/>
      <c r="AK1604" s="694"/>
      <c r="AL1604" s="694"/>
    </row>
    <row r="1605" spans="1:38" ht="12.75" customHeight="1" x14ac:dyDescent="0.25">
      <c r="A1605" s="694"/>
      <c r="B1605" s="298"/>
      <c r="C1605" s="1302"/>
      <c r="D1605" s="625" t="s">
        <v>7</v>
      </c>
      <c r="E1605" s="2815" t="str">
        <f>Translations!$B$565</f>
        <v>Видове произведени отпадни газове:</v>
      </c>
      <c r="F1605" s="2240"/>
      <c r="G1605" s="2240"/>
      <c r="H1605" s="2684"/>
      <c r="I1605" s="2821"/>
      <c r="J1605" s="2674"/>
      <c r="K1605" s="2674"/>
      <c r="L1605" s="2674"/>
      <c r="M1605" s="2675"/>
      <c r="N1605" s="1323"/>
      <c r="O1605" s="302"/>
      <c r="P1605" s="158"/>
      <c r="Q1605" s="729"/>
      <c r="R1605" s="694"/>
      <c r="S1605" s="729"/>
      <c r="T1605" s="694"/>
      <c r="U1605" s="694"/>
      <c r="V1605" s="694"/>
      <c r="W1605" s="694"/>
      <c r="X1605" s="694"/>
      <c r="Y1605" s="694"/>
      <c r="Z1605" s="694"/>
      <c r="AA1605" s="694"/>
      <c r="AB1605" s="694"/>
      <c r="AC1605" s="1182" t="s">
        <v>737</v>
      </c>
      <c r="AD1605" s="901" t="b">
        <f>OR(AG1603,AND($L1603&lt;&gt;"",$L1603=FALSE))</f>
        <v>0</v>
      </c>
      <c r="AE1605" s="694"/>
      <c r="AF1605" s="694"/>
      <c r="AG1605" s="694"/>
      <c r="AH1605" s="694"/>
      <c r="AI1605" s="694"/>
      <c r="AJ1605" s="694"/>
      <c r="AK1605" s="694"/>
      <c r="AL1605" s="694"/>
    </row>
    <row r="1606" spans="1:38" ht="12.75" customHeight="1" x14ac:dyDescent="0.25">
      <c r="A1606" s="694"/>
      <c r="B1606" s="298"/>
      <c r="C1606" s="1302"/>
      <c r="D1606" s="1306"/>
      <c r="E1606" s="2810" t="str">
        <f>Translations!$B$566</f>
        <v>Можете да изберете да подадете данните в тонове или 1000 Nm3. Мерните единици трябва да съответстват на използваните за долна топлина на изгаряне (NCV) и емисионния фактор по-долу.</v>
      </c>
      <c r="F1606" s="2240"/>
      <c r="G1606" s="2240"/>
      <c r="H1606" s="2240"/>
      <c r="I1606" s="2240"/>
      <c r="J1606" s="2240"/>
      <c r="K1606" s="2240"/>
      <c r="L1606" s="2240"/>
      <c r="M1606" s="2240"/>
      <c r="N1606" s="2811"/>
      <c r="O1606" s="302"/>
      <c r="P1606" s="302"/>
      <c r="Q1606" s="729"/>
      <c r="R1606" s="694"/>
      <c r="S1606" s="729"/>
      <c r="T1606" s="729"/>
      <c r="U1606" s="729"/>
      <c r="V1606" s="729"/>
      <c r="W1606" s="694"/>
      <c r="X1606" s="694"/>
      <c r="Y1606" s="694"/>
      <c r="Z1606" s="694"/>
      <c r="AA1606" s="694"/>
      <c r="AB1606" s="694"/>
      <c r="AC1606" s="694"/>
      <c r="AD1606" s="694"/>
      <c r="AE1606" s="694"/>
      <c r="AF1606" s="694"/>
      <c r="AG1606" s="694"/>
      <c r="AH1606" s="694"/>
      <c r="AI1606" s="694"/>
      <c r="AJ1606" s="694"/>
      <c r="AK1606" s="694"/>
      <c r="AL1606" s="694"/>
    </row>
    <row r="1607" spans="1:38" ht="12.75" customHeight="1" x14ac:dyDescent="0.25">
      <c r="A1607" s="694"/>
      <c r="B1607" s="298"/>
      <c r="C1607" s="1302"/>
      <c r="D1607" s="1306"/>
      <c r="E1607" s="2816" t="str">
        <f>Translations!$B$520</f>
        <v>Посочените тук данни се използват само с цел проверка на съответствието и нямат пряко отражение върху емисиите, които могат да бъдат зададени, или на разпределението на квотите.</v>
      </c>
      <c r="F1607" s="2240"/>
      <c r="G1607" s="2240"/>
      <c r="H1607" s="2240"/>
      <c r="I1607" s="2240"/>
      <c r="J1607" s="2240"/>
      <c r="K1607" s="2240"/>
      <c r="L1607" s="2240"/>
      <c r="M1607" s="2240"/>
      <c r="N1607" s="2811"/>
      <c r="O1607" s="302"/>
      <c r="P1607" s="302"/>
      <c r="Q1607" s="729"/>
      <c r="R1607" s="694"/>
      <c r="S1607" s="729"/>
      <c r="T1607" s="729"/>
      <c r="U1607" s="729"/>
      <c r="V1607" s="729"/>
      <c r="W1607" s="694"/>
      <c r="X1607" s="694"/>
      <c r="Y1607" s="694"/>
      <c r="Z1607" s="694"/>
      <c r="AA1607" s="694"/>
      <c r="AB1607" s="694"/>
      <c r="AC1607" s="694"/>
      <c r="AD1607" s="694"/>
      <c r="AE1607" s="694"/>
      <c r="AF1607" s="694"/>
      <c r="AG1607" s="694"/>
      <c r="AH1607" s="694"/>
      <c r="AI1607" s="694"/>
      <c r="AJ1607" s="694"/>
      <c r="AK1607" s="694"/>
      <c r="AL1607" s="694"/>
    </row>
    <row r="1608" spans="1:38" ht="12.75" customHeight="1" thickBot="1" x14ac:dyDescent="0.3">
      <c r="A1608" s="694"/>
      <c r="B1608" s="298"/>
      <c r="C1608" s="1302"/>
      <c r="D1608" s="1306"/>
      <c r="E1608" s="1317"/>
      <c r="F1608" s="1318"/>
      <c r="G1608" s="1309" t="str">
        <f>EUconst_Unit</f>
        <v>Единица мярка</v>
      </c>
      <c r="H1608" s="629">
        <f t="shared" ref="H1608:N1608" si="2190">H$2831</f>
        <v>2024</v>
      </c>
      <c r="I1608" s="1310">
        <f t="shared" si="2190"/>
        <v>2025</v>
      </c>
      <c r="J1608" s="1311">
        <f t="shared" si="2190"/>
        <v>2026</v>
      </c>
      <c r="K1608" s="629">
        <f t="shared" si="2190"/>
        <v>2027</v>
      </c>
      <c r="L1608" s="629">
        <f t="shared" si="2190"/>
        <v>2028</v>
      </c>
      <c r="M1608" s="629">
        <f t="shared" si="2190"/>
        <v>2029</v>
      </c>
      <c r="N1608" s="1312">
        <f t="shared" si="2190"/>
        <v>2030</v>
      </c>
      <c r="O1608" s="302"/>
      <c r="P1608" s="302"/>
      <c r="Q1608" s="729"/>
      <c r="R1608" s="694"/>
      <c r="S1608" s="729"/>
      <c r="T1608" s="729"/>
      <c r="U1608" s="729"/>
      <c r="V1608" s="729"/>
      <c r="W1608" s="694"/>
      <c r="X1608" s="694"/>
      <c r="Y1608" s="694"/>
      <c r="Z1608" s="694"/>
      <c r="AA1608" s="694"/>
      <c r="AB1608" s="694"/>
      <c r="AC1608" s="1178">
        <f t="shared" ref="AC1608" si="2191">H$20</f>
        <v>2024</v>
      </c>
      <c r="AD1608" s="1178">
        <f t="shared" ref="AD1608" si="2192">I$20</f>
        <v>2025</v>
      </c>
      <c r="AE1608" s="1178">
        <f t="shared" ref="AE1608" si="2193">J$20</f>
        <v>2026</v>
      </c>
      <c r="AF1608" s="1178">
        <f t="shared" ref="AF1608" si="2194">K$20</f>
        <v>2027</v>
      </c>
      <c r="AG1608" s="1178">
        <f t="shared" ref="AG1608" si="2195">L$20</f>
        <v>2028</v>
      </c>
      <c r="AH1608" s="1178">
        <f t="shared" ref="AH1608" si="2196">M$20</f>
        <v>2029</v>
      </c>
      <c r="AI1608" s="1178">
        <f t="shared" ref="AI1608" si="2197">N$20</f>
        <v>2030</v>
      </c>
      <c r="AJ1608" s="694"/>
      <c r="AK1608" s="694"/>
      <c r="AL1608" s="694"/>
    </row>
    <row r="1609" spans="1:38" ht="12.75" customHeight="1" x14ac:dyDescent="0.25">
      <c r="A1609" s="694"/>
      <c r="B1609" s="298"/>
      <c r="C1609" s="1302"/>
      <c r="D1609" s="625" t="s">
        <v>8</v>
      </c>
      <c r="E1609" s="2818" t="str">
        <f>Translations!$B$567</f>
        <v>Произведени количества</v>
      </c>
      <c r="F1609" s="2701"/>
      <c r="G1609" s="145"/>
      <c r="H1609" s="129"/>
      <c r="I1609" s="130"/>
      <c r="J1609" s="131"/>
      <c r="K1609" s="129"/>
      <c r="L1609" s="129"/>
      <c r="M1609" s="129"/>
      <c r="N1609" s="132"/>
      <c r="O1609" s="302"/>
      <c r="P1609" s="158"/>
      <c r="Q1609" s="729"/>
      <c r="R1609" s="694"/>
      <c r="S1609" s="729"/>
      <c r="T1609" s="729"/>
      <c r="U1609" s="729"/>
      <c r="V1609" s="729"/>
      <c r="W1609" s="694"/>
      <c r="X1609" s="694"/>
      <c r="Y1609" s="694"/>
      <c r="Z1609" s="694"/>
      <c r="AA1609" s="694"/>
      <c r="AB1609" s="1182" t="s">
        <v>737</v>
      </c>
      <c r="AC1609" s="901" t="b">
        <f>OR(AND($L1603&lt;&gt;"",$L1603=FALSE),AC1465)</f>
        <v>0</v>
      </c>
      <c r="AD1609" s="982" t="b">
        <f t="shared" ref="AD1609:AI1609" si="2198">OR(AND($L1603&lt;&gt;"",$L1603=FALSE),AD1465)</f>
        <v>0</v>
      </c>
      <c r="AE1609" s="982" t="b">
        <f t="shared" si="2198"/>
        <v>0</v>
      </c>
      <c r="AF1609" s="982" t="b">
        <f t="shared" si="2198"/>
        <v>0</v>
      </c>
      <c r="AG1609" s="982" t="b">
        <f t="shared" si="2198"/>
        <v>0</v>
      </c>
      <c r="AH1609" s="982" t="b">
        <f t="shared" si="2198"/>
        <v>0</v>
      </c>
      <c r="AI1609" s="982" t="b">
        <f t="shared" si="2198"/>
        <v>0</v>
      </c>
      <c r="AJ1609" s="1174" t="s">
        <v>2039</v>
      </c>
      <c r="AK1609" s="1176" t="str">
        <f>IF(AND(CNTR_ExistSubInstEntries,MSconst_RequireSubAttrEmissions,COUNTIFS(AC1609:AI1609,FALSE,H1609:N1609,"")&gt;0),EUconst_Error&amp;"BM"&amp;$Q1418,"")</f>
        <v/>
      </c>
      <c r="AL1609" s="694"/>
    </row>
    <row r="1610" spans="1:38" ht="12.75" customHeight="1" x14ac:dyDescent="0.25">
      <c r="A1610" s="694"/>
      <c r="B1610" s="298"/>
      <c r="C1610" s="1302"/>
      <c r="D1610" s="625" t="s">
        <v>18</v>
      </c>
      <c r="E1610" s="2819" t="str">
        <f>Translations!$B$296</f>
        <v>Долна топлина на изгаряне</v>
      </c>
      <c r="F1610" s="2705"/>
      <c r="G1610" s="1349" t="str">
        <f>IF(ISBLANK(G1609),EUconst_GJperUnit,INDEX(EUconst_GJperTorKNm3,MATCH(G1609,EUconst_TonnesOrkNm3pa,0)))</f>
        <v>GJ / Единица мярка</v>
      </c>
      <c r="H1610" s="137"/>
      <c r="I1610" s="138"/>
      <c r="J1610" s="139"/>
      <c r="K1610" s="137"/>
      <c r="L1610" s="137"/>
      <c r="M1610" s="137"/>
      <c r="N1610" s="140"/>
      <c r="O1610" s="302"/>
      <c r="P1610" s="158"/>
      <c r="Q1610" s="694"/>
      <c r="R1610" s="694"/>
      <c r="S1610" s="729"/>
      <c r="T1610" s="729"/>
      <c r="U1610" s="729"/>
      <c r="V1610" s="729"/>
      <c r="W1610" s="729"/>
      <c r="X1610" s="729"/>
      <c r="Y1610" s="729"/>
      <c r="Z1610" s="729"/>
      <c r="AA1610" s="694"/>
      <c r="AB1610" s="694"/>
      <c r="AC1610" s="982" t="b">
        <f>AC1609</f>
        <v>0</v>
      </c>
      <c r="AD1610" s="982" t="b">
        <f t="shared" ref="AD1610:AI1610" si="2199">AD1609</f>
        <v>0</v>
      </c>
      <c r="AE1610" s="982" t="b">
        <f t="shared" si="2199"/>
        <v>0</v>
      </c>
      <c r="AF1610" s="982" t="b">
        <f t="shared" si="2199"/>
        <v>0</v>
      </c>
      <c r="AG1610" s="982" t="b">
        <f t="shared" si="2199"/>
        <v>0</v>
      </c>
      <c r="AH1610" s="982" t="b">
        <f t="shared" si="2199"/>
        <v>0</v>
      </c>
      <c r="AI1610" s="982" t="b">
        <f t="shared" si="2199"/>
        <v>0</v>
      </c>
      <c r="AJ1610" s="1174" t="s">
        <v>2039</v>
      </c>
      <c r="AK1610" s="1176" t="str">
        <f>IF(AND(CNTR_ExistSubInstEntries,MSconst_RequireSubAttrEmissions,COUNTIFS(AC1610:AI1610,FALSE,H1610:N1610,"")&gt;0),EUconst_Error&amp;"BM"&amp;$Q1418,"")</f>
        <v/>
      </c>
      <c r="AL1610" s="694"/>
    </row>
    <row r="1611" spans="1:38" ht="12.75" customHeight="1" x14ac:dyDescent="0.25">
      <c r="A1611" s="694"/>
      <c r="B1611" s="298"/>
      <c r="C1611" s="1302"/>
      <c r="D1611" s="625" t="s">
        <v>810</v>
      </c>
      <c r="E1611" s="2820" t="str">
        <f>Translations!$B$568</f>
        <v>Произведен отпаден газ</v>
      </c>
      <c r="F1611" s="2258"/>
      <c r="G1611" s="1319" t="str">
        <f>EUconst_TJpa</f>
        <v>TJ / година</v>
      </c>
      <c r="H1611" s="1350" t="str">
        <f t="shared" ref="H1611:N1611" si="2200">IF(COUNT(H1609:H1610)=2,H1609*H1610/1000,"")</f>
        <v/>
      </c>
      <c r="I1611" s="1351" t="str">
        <f t="shared" si="2200"/>
        <v/>
      </c>
      <c r="J1611" s="1352" t="str">
        <f t="shared" si="2200"/>
        <v/>
      </c>
      <c r="K1611" s="1350" t="str">
        <f t="shared" si="2200"/>
        <v/>
      </c>
      <c r="L1611" s="1350" t="str">
        <f t="shared" si="2200"/>
        <v/>
      </c>
      <c r="M1611" s="1350" t="str">
        <f t="shared" si="2200"/>
        <v/>
      </c>
      <c r="N1611" s="1353" t="str">
        <f t="shared" si="2200"/>
        <v/>
      </c>
      <c r="O1611" s="302"/>
      <c r="P1611" s="302"/>
      <c r="Q1611" s="1190" t="str">
        <f>EUconst_CNTR_WGProduced &amp; I1418</f>
        <v>WasteGasProd_</v>
      </c>
      <c r="R1611" s="694"/>
      <c r="S1611" s="729"/>
      <c r="T1611" s="729"/>
      <c r="U1611" s="729"/>
      <c r="V1611" s="729"/>
      <c r="W1611" s="729"/>
      <c r="X1611" s="729"/>
      <c r="Y1611" s="729"/>
      <c r="Z1611" s="729"/>
      <c r="AA1611" s="694"/>
      <c r="AB1611" s="694"/>
      <c r="AC1611" s="694"/>
      <c r="AD1611" s="694"/>
      <c r="AE1611" s="694"/>
      <c r="AF1611" s="694"/>
      <c r="AG1611" s="694"/>
      <c r="AH1611" s="694"/>
      <c r="AI1611" s="694"/>
      <c r="AJ1611" s="694"/>
      <c r="AK1611" s="694"/>
      <c r="AL1611" s="694"/>
    </row>
    <row r="1612" spans="1:38" ht="12.75" customHeight="1" x14ac:dyDescent="0.25">
      <c r="A1612" s="694"/>
      <c r="B1612" s="298"/>
      <c r="C1612" s="1302"/>
      <c r="D1612" s="625" t="s">
        <v>811</v>
      </c>
      <c r="E1612" s="2820" t="str">
        <f>Translations!$B$569</f>
        <v>Специфичен EF (произведен отпаден газ)</v>
      </c>
      <c r="F1612" s="2258"/>
      <c r="G1612" s="1319" t="str">
        <f>EUconst_tCO2pTJ</f>
        <v>t CO2 / TJ</v>
      </c>
      <c r="H1612" s="56"/>
      <c r="I1612" s="115"/>
      <c r="J1612" s="118"/>
      <c r="K1612" s="56"/>
      <c r="L1612" s="56"/>
      <c r="M1612" s="56"/>
      <c r="N1612" s="121"/>
      <c r="O1612" s="302"/>
      <c r="P1612" s="158"/>
      <c r="Q1612" s="1190" t="str">
        <f>EUconst_CNTR_WGProducedEF &amp; I1418</f>
        <v>WasteGasProdEF_</v>
      </c>
      <c r="R1612" s="694"/>
      <c r="S1612" s="729"/>
      <c r="T1612" s="729"/>
      <c r="U1612" s="729"/>
      <c r="V1612" s="729"/>
      <c r="W1612" s="729"/>
      <c r="X1612" s="729"/>
      <c r="Y1612" s="729"/>
      <c r="Z1612" s="729"/>
      <c r="AA1612" s="694"/>
      <c r="AB1612" s="1182" t="s">
        <v>737</v>
      </c>
      <c r="AC1612" s="982" t="b">
        <f>AC1610</f>
        <v>0</v>
      </c>
      <c r="AD1612" s="982" t="b">
        <f t="shared" ref="AD1612:AI1612" si="2201">AD1610</f>
        <v>0</v>
      </c>
      <c r="AE1612" s="982" t="b">
        <f t="shared" si="2201"/>
        <v>0</v>
      </c>
      <c r="AF1612" s="982" t="b">
        <f t="shared" si="2201"/>
        <v>0</v>
      </c>
      <c r="AG1612" s="982" t="b">
        <f t="shared" si="2201"/>
        <v>0</v>
      </c>
      <c r="AH1612" s="982" t="b">
        <f t="shared" si="2201"/>
        <v>0</v>
      </c>
      <c r="AI1612" s="982" t="b">
        <f t="shared" si="2201"/>
        <v>0</v>
      </c>
      <c r="AJ1612" s="1174" t="s">
        <v>2039</v>
      </c>
      <c r="AK1612" s="1176" t="str">
        <f>IF(AND(CNTR_ExistSubInstEntries,MSconst_RequireSubAttrEmissions,COUNTIFS(AC1612:AI1612,FALSE,H1612:N1612,"")&gt;0),EUconst_Error&amp;"BM"&amp;$Q1418,"")</f>
        <v/>
      </c>
      <c r="AL1612" s="694"/>
    </row>
    <row r="1613" spans="1:38" ht="12.75" customHeight="1" x14ac:dyDescent="0.25">
      <c r="A1613" s="694"/>
      <c r="B1613" s="298"/>
      <c r="C1613" s="1302"/>
      <c r="D1613" s="1306"/>
      <c r="E1613" s="1306"/>
      <c r="F1613" s="1306"/>
      <c r="G1613" s="1306"/>
      <c r="H1613" s="1354"/>
      <c r="I1613" s="1306"/>
      <c r="J1613" s="1306"/>
      <c r="K1613" s="1306"/>
      <c r="L1613" s="1306"/>
      <c r="M1613" s="626"/>
      <c r="N1613" s="1316"/>
      <c r="O1613" s="302"/>
      <c r="P1613" s="302"/>
      <c r="Q1613" s="729"/>
      <c r="R1613" s="694"/>
      <c r="S1613" s="729"/>
      <c r="T1613" s="729"/>
      <c r="U1613" s="729"/>
      <c r="V1613" s="729"/>
      <c r="W1613" s="729"/>
      <c r="X1613" s="729"/>
      <c r="Y1613" s="729"/>
      <c r="Z1613" s="729"/>
      <c r="AA1613" s="694"/>
      <c r="AB1613" s="694"/>
      <c r="AC1613" s="694"/>
      <c r="AD1613" s="694"/>
      <c r="AE1613" s="694"/>
      <c r="AF1613" s="694"/>
      <c r="AG1613" s="694"/>
      <c r="AH1613" s="694"/>
      <c r="AI1613" s="694"/>
      <c r="AJ1613" s="694"/>
      <c r="AK1613" s="694"/>
      <c r="AL1613" s="694"/>
    </row>
    <row r="1614" spans="1:38" ht="12.75" customHeight="1" x14ac:dyDescent="0.25">
      <c r="A1614" s="694"/>
      <c r="B1614" s="298"/>
      <c r="C1614" s="1302"/>
      <c r="D1614" s="625" t="s">
        <v>812</v>
      </c>
      <c r="E1614" s="2815" t="str">
        <f>Translations!$B$570</f>
        <v>Видове консумирани отпадни газове:</v>
      </c>
      <c r="F1614" s="2240"/>
      <c r="G1614" s="2240"/>
      <c r="H1614" s="2684"/>
      <c r="I1614" s="2821"/>
      <c r="J1614" s="2674"/>
      <c r="K1614" s="2674"/>
      <c r="L1614" s="2674"/>
      <c r="M1614" s="2675"/>
      <c r="N1614" s="1323"/>
      <c r="O1614" s="302"/>
      <c r="P1614" s="158"/>
      <c r="Q1614" s="729"/>
      <c r="R1614" s="694"/>
      <c r="S1614" s="729"/>
      <c r="T1614" s="729"/>
      <c r="U1614" s="729"/>
      <c r="V1614" s="729"/>
      <c r="W1614" s="729"/>
      <c r="X1614" s="729"/>
      <c r="Y1614" s="729"/>
      <c r="Z1614" s="729"/>
      <c r="AA1614" s="694"/>
      <c r="AB1614" s="694"/>
      <c r="AC1614" s="1182" t="s">
        <v>737</v>
      </c>
      <c r="AD1614" s="982" t="b">
        <f>AD1605</f>
        <v>0</v>
      </c>
      <c r="AE1614" s="694"/>
      <c r="AF1614" s="694"/>
      <c r="AG1614" s="694"/>
      <c r="AH1614" s="694"/>
      <c r="AI1614" s="694"/>
      <c r="AJ1614" s="694"/>
      <c r="AK1614" s="694"/>
      <c r="AL1614" s="694"/>
    </row>
    <row r="1615" spans="1:38" ht="25.5" customHeight="1" x14ac:dyDescent="0.25">
      <c r="A1615" s="694"/>
      <c r="B1615" s="298"/>
      <c r="C1615" s="1302"/>
      <c r="D1615" s="625"/>
      <c r="E1615" s="2810" t="str">
        <f>Translations!$B$571</f>
        <v>Това включва всички видове отпадни газове, които се консумират от тази подинсталация при производството на измерима топлинна енергия, неизмерима топлинна енергия (включително необходимото за безопасността изгаряне във факел) или механична енергия (различна от тази за електропроизводство). Количествата, резултат от изгаряне във факел, различни от необходимото за безопасността изгаряне във факел, се отчитат в следващата точка по-долу.</v>
      </c>
      <c r="F1615" s="2240"/>
      <c r="G1615" s="2240"/>
      <c r="H1615" s="2240"/>
      <c r="I1615" s="2240"/>
      <c r="J1615" s="2240"/>
      <c r="K1615" s="2240"/>
      <c r="L1615" s="2240"/>
      <c r="M1615" s="2240"/>
      <c r="N1615" s="2811"/>
      <c r="O1615" s="302"/>
      <c r="P1615" s="302"/>
      <c r="Q1615" s="729"/>
      <c r="R1615" s="694"/>
      <c r="S1615" s="729"/>
      <c r="T1615" s="729"/>
      <c r="U1615" s="729"/>
      <c r="V1615" s="729"/>
      <c r="W1615" s="729"/>
      <c r="X1615" s="729"/>
      <c r="Y1615" s="729"/>
      <c r="Z1615" s="729"/>
      <c r="AA1615" s="694"/>
      <c r="AB1615" s="694"/>
      <c r="AC1615" s="694"/>
      <c r="AD1615" s="694"/>
      <c r="AE1615" s="694"/>
      <c r="AF1615" s="694"/>
      <c r="AG1615" s="694"/>
      <c r="AH1615" s="694"/>
      <c r="AI1615" s="694"/>
      <c r="AJ1615" s="694"/>
      <c r="AK1615" s="694"/>
      <c r="AL1615" s="694"/>
    </row>
    <row r="1616" spans="1:38" ht="12.75" customHeight="1" x14ac:dyDescent="0.25">
      <c r="A1616" s="694"/>
      <c r="B1616" s="298"/>
      <c r="C1616" s="1302"/>
      <c r="D1616" s="1306"/>
      <c r="E1616" s="2816" t="str">
        <f>Translations!$B$520</f>
        <v>Посочените тук данни се използват само с цел проверка на съответствието и нямат пряко отражение върху емисиите, които могат да бъдат зададени, или на разпределението на квотите.</v>
      </c>
      <c r="F1616" s="2240"/>
      <c r="G1616" s="2240"/>
      <c r="H1616" s="2240"/>
      <c r="I1616" s="2240"/>
      <c r="J1616" s="2240"/>
      <c r="K1616" s="2240"/>
      <c r="L1616" s="2240"/>
      <c r="M1616" s="2240"/>
      <c r="N1616" s="2811"/>
      <c r="O1616" s="302"/>
      <c r="P1616" s="302"/>
      <c r="Q1616" s="729"/>
      <c r="R1616" s="694"/>
      <c r="S1616" s="729"/>
      <c r="T1616" s="729"/>
      <c r="U1616" s="729"/>
      <c r="V1616" s="729"/>
      <c r="W1616" s="729"/>
      <c r="X1616" s="729"/>
      <c r="Y1616" s="729"/>
      <c r="Z1616" s="729"/>
      <c r="AA1616" s="694"/>
      <c r="AB1616" s="694"/>
      <c r="AC1616" s="694"/>
      <c r="AD1616" s="694"/>
      <c r="AE1616" s="694"/>
      <c r="AF1616" s="694"/>
      <c r="AG1616" s="694"/>
      <c r="AH1616" s="694"/>
      <c r="AI1616" s="694"/>
      <c r="AJ1616" s="694"/>
      <c r="AK1616" s="694"/>
      <c r="AL1616" s="694"/>
    </row>
    <row r="1617" spans="1:38" ht="12.75" customHeight="1" thickBot="1" x14ac:dyDescent="0.3">
      <c r="A1617" s="694"/>
      <c r="B1617" s="298"/>
      <c r="C1617" s="1302"/>
      <c r="D1617" s="1306"/>
      <c r="E1617" s="1317"/>
      <c r="F1617" s="1318"/>
      <c r="G1617" s="1309" t="str">
        <f>EUconst_Unit</f>
        <v>Единица мярка</v>
      </c>
      <c r="H1617" s="629">
        <f t="shared" ref="H1617:N1617" si="2202">H$2831</f>
        <v>2024</v>
      </c>
      <c r="I1617" s="1310">
        <f t="shared" si="2202"/>
        <v>2025</v>
      </c>
      <c r="J1617" s="1311">
        <f t="shared" si="2202"/>
        <v>2026</v>
      </c>
      <c r="K1617" s="629">
        <f t="shared" si="2202"/>
        <v>2027</v>
      </c>
      <c r="L1617" s="629">
        <f t="shared" si="2202"/>
        <v>2028</v>
      </c>
      <c r="M1617" s="629">
        <f t="shared" si="2202"/>
        <v>2029</v>
      </c>
      <c r="N1617" s="1312">
        <f t="shared" si="2202"/>
        <v>2030</v>
      </c>
      <c r="O1617" s="302"/>
      <c r="P1617" s="302"/>
      <c r="Q1617" s="729"/>
      <c r="R1617" s="694"/>
      <c r="S1617" s="729"/>
      <c r="T1617" s="729"/>
      <c r="U1617" s="729"/>
      <c r="V1617" s="729"/>
      <c r="W1617" s="729"/>
      <c r="X1617" s="729"/>
      <c r="Y1617" s="729"/>
      <c r="Z1617" s="729"/>
      <c r="AA1617" s="694"/>
      <c r="AB1617" s="694"/>
      <c r="AC1617" s="1178">
        <f t="shared" ref="AC1617" si="2203">H$20</f>
        <v>2024</v>
      </c>
      <c r="AD1617" s="1178">
        <f t="shared" ref="AD1617" si="2204">I$20</f>
        <v>2025</v>
      </c>
      <c r="AE1617" s="1178">
        <f t="shared" ref="AE1617" si="2205">J$20</f>
        <v>2026</v>
      </c>
      <c r="AF1617" s="1178">
        <f t="shared" ref="AF1617" si="2206">K$20</f>
        <v>2027</v>
      </c>
      <c r="AG1617" s="1178">
        <f t="shared" ref="AG1617" si="2207">L$20</f>
        <v>2028</v>
      </c>
      <c r="AH1617" s="1178">
        <f t="shared" ref="AH1617" si="2208">M$20</f>
        <v>2029</v>
      </c>
      <c r="AI1617" s="1178">
        <f t="shared" ref="AI1617" si="2209">N$20</f>
        <v>2030</v>
      </c>
      <c r="AJ1617" s="694"/>
      <c r="AK1617" s="694"/>
      <c r="AL1617" s="694"/>
    </row>
    <row r="1618" spans="1:38" ht="12.75" customHeight="1" x14ac:dyDescent="0.25">
      <c r="A1618" s="694"/>
      <c r="B1618" s="298"/>
      <c r="C1618" s="1302"/>
      <c r="D1618" s="625" t="s">
        <v>813</v>
      </c>
      <c r="E1618" s="2818" t="str">
        <f>Translations!$B$572</f>
        <v>Консумирани количества</v>
      </c>
      <c r="F1618" s="2701"/>
      <c r="G1618" s="145"/>
      <c r="H1618" s="129"/>
      <c r="I1618" s="130"/>
      <c r="J1618" s="131"/>
      <c r="K1618" s="129"/>
      <c r="L1618" s="129"/>
      <c r="M1618" s="129"/>
      <c r="N1618" s="132"/>
      <c r="O1618" s="302"/>
      <c r="P1618" s="158"/>
      <c r="Q1618" s="729"/>
      <c r="R1618" s="694"/>
      <c r="S1618" s="729"/>
      <c r="T1618" s="729"/>
      <c r="U1618" s="729"/>
      <c r="V1618" s="729"/>
      <c r="W1618" s="729"/>
      <c r="X1618" s="729"/>
      <c r="Y1618" s="729"/>
      <c r="Z1618" s="729"/>
      <c r="AA1618" s="694"/>
      <c r="AB1618" s="1182" t="s">
        <v>737</v>
      </c>
      <c r="AC1618" s="982" t="b">
        <f>AC1609</f>
        <v>0</v>
      </c>
      <c r="AD1618" s="982" t="b">
        <f t="shared" ref="AD1618:AI1618" si="2210">AD1609</f>
        <v>0</v>
      </c>
      <c r="AE1618" s="982" t="b">
        <f t="shared" si="2210"/>
        <v>0</v>
      </c>
      <c r="AF1618" s="982" t="b">
        <f t="shared" si="2210"/>
        <v>0</v>
      </c>
      <c r="AG1618" s="982" t="b">
        <f t="shared" si="2210"/>
        <v>0</v>
      </c>
      <c r="AH1618" s="982" t="b">
        <f t="shared" si="2210"/>
        <v>0</v>
      </c>
      <c r="AI1618" s="982" t="b">
        <f t="shared" si="2210"/>
        <v>0</v>
      </c>
      <c r="AJ1618" s="1174" t="s">
        <v>2039</v>
      </c>
      <c r="AK1618" s="1176" t="str">
        <f>IF(AND(CNTR_ExistSubInstEntries,MSconst_RequireSubAttrEmissions,COUNTIFS(AC1618:AI1618,FALSE,H1618:N1618,"")&gt;0),EUconst_Error&amp;"BM"&amp;$Q1418,"")</f>
        <v/>
      </c>
      <c r="AL1618" s="694"/>
    </row>
    <row r="1619" spans="1:38" ht="12.75" customHeight="1" x14ac:dyDescent="0.25">
      <c r="A1619" s="694"/>
      <c r="B1619" s="298"/>
      <c r="C1619" s="1302"/>
      <c r="D1619" s="625" t="s">
        <v>814</v>
      </c>
      <c r="E1619" s="2819" t="str">
        <f>Translations!$B$296</f>
        <v>Долна топлина на изгаряне</v>
      </c>
      <c r="F1619" s="2705"/>
      <c r="G1619" s="1349" t="str">
        <f>IF(ISBLANK(G1618),EUconst_GJperUnit,INDEX(EUconst_GJperTorKNm3,MATCH(G1618,EUconst_TonnesOrkNm3pa,0)))</f>
        <v>GJ / Единица мярка</v>
      </c>
      <c r="H1619" s="137"/>
      <c r="I1619" s="138"/>
      <c r="J1619" s="139"/>
      <c r="K1619" s="137"/>
      <c r="L1619" s="137"/>
      <c r="M1619" s="137"/>
      <c r="N1619" s="140"/>
      <c r="O1619" s="302"/>
      <c r="P1619" s="158"/>
      <c r="Q1619" s="694"/>
      <c r="R1619" s="694"/>
      <c r="S1619" s="729"/>
      <c r="T1619" s="729"/>
      <c r="U1619" s="729"/>
      <c r="V1619" s="729"/>
      <c r="W1619" s="729"/>
      <c r="X1619" s="729"/>
      <c r="Y1619" s="729"/>
      <c r="Z1619" s="729"/>
      <c r="AA1619" s="694"/>
      <c r="AB1619" s="694"/>
      <c r="AC1619" s="982" t="b">
        <f>AC1618</f>
        <v>0</v>
      </c>
      <c r="AD1619" s="982" t="b">
        <f t="shared" ref="AD1619:AI1619" si="2211">AD1618</f>
        <v>0</v>
      </c>
      <c r="AE1619" s="982" t="b">
        <f t="shared" si="2211"/>
        <v>0</v>
      </c>
      <c r="AF1619" s="982" t="b">
        <f t="shared" si="2211"/>
        <v>0</v>
      </c>
      <c r="AG1619" s="982" t="b">
        <f t="shared" si="2211"/>
        <v>0</v>
      </c>
      <c r="AH1619" s="982" t="b">
        <f t="shared" si="2211"/>
        <v>0</v>
      </c>
      <c r="AI1619" s="982" t="b">
        <f t="shared" si="2211"/>
        <v>0</v>
      </c>
      <c r="AJ1619" s="1174" t="s">
        <v>2039</v>
      </c>
      <c r="AK1619" s="1176" t="str">
        <f>IF(AND(CNTR_ExistSubInstEntries,MSconst_RequireSubAttrEmissions,COUNTIFS(AC1619:AI1619,FALSE,H1619:N1619,"")&gt;0),EUconst_Error&amp;"BM"&amp;$Q1418,"")</f>
        <v/>
      </c>
      <c r="AL1619" s="694"/>
    </row>
    <row r="1620" spans="1:38" ht="12.75" customHeight="1" x14ac:dyDescent="0.25">
      <c r="A1620" s="694"/>
      <c r="B1620" s="298"/>
      <c r="C1620" s="1302"/>
      <c r="D1620" s="625" t="s">
        <v>61</v>
      </c>
      <c r="E1620" s="2820" t="str">
        <f>Translations!$B$573</f>
        <v>Консумиран отпаден газ</v>
      </c>
      <c r="F1620" s="2258"/>
      <c r="G1620" s="1319" t="str">
        <f>EUconst_TJpa</f>
        <v>TJ / година</v>
      </c>
      <c r="H1620" s="1350" t="str">
        <f t="shared" ref="H1620:N1620" si="2212">IF(COUNT(H1618:H1619)=2,H1618*H1619/1000,"")</f>
        <v/>
      </c>
      <c r="I1620" s="1351" t="str">
        <f t="shared" si="2212"/>
        <v/>
      </c>
      <c r="J1620" s="1352" t="str">
        <f t="shared" si="2212"/>
        <v/>
      </c>
      <c r="K1620" s="1350" t="str">
        <f t="shared" si="2212"/>
        <v/>
      </c>
      <c r="L1620" s="1350" t="str">
        <f t="shared" si="2212"/>
        <v/>
      </c>
      <c r="M1620" s="1350" t="str">
        <f t="shared" si="2212"/>
        <v/>
      </c>
      <c r="N1620" s="1353" t="str">
        <f t="shared" si="2212"/>
        <v/>
      </c>
      <c r="O1620" s="302"/>
      <c r="P1620" s="302"/>
      <c r="Q1620" s="1190" t="str">
        <f>EUconst_CNTR_WGConsumed &amp; I1418</f>
        <v>WasteGasCons_</v>
      </c>
      <c r="R1620" s="694"/>
      <c r="S1620" s="729"/>
      <c r="T1620" s="729"/>
      <c r="U1620" s="729"/>
      <c r="V1620" s="729"/>
      <c r="W1620" s="729"/>
      <c r="X1620" s="729"/>
      <c r="Y1620" s="729"/>
      <c r="Z1620" s="729"/>
      <c r="AA1620" s="694"/>
      <c r="AB1620" s="694"/>
      <c r="AC1620" s="694"/>
      <c r="AD1620" s="694"/>
      <c r="AE1620" s="694"/>
      <c r="AF1620" s="694"/>
      <c r="AG1620" s="694"/>
      <c r="AH1620" s="694"/>
      <c r="AI1620" s="694"/>
      <c r="AJ1620" s="694"/>
      <c r="AK1620" s="694"/>
      <c r="AL1620" s="694"/>
    </row>
    <row r="1621" spans="1:38" ht="12.75" customHeight="1" x14ac:dyDescent="0.25">
      <c r="A1621" s="694"/>
      <c r="B1621" s="298"/>
      <c r="C1621" s="1302"/>
      <c r="D1621" s="625" t="s">
        <v>62</v>
      </c>
      <c r="E1621" s="2820" t="str">
        <f>Translations!$B$574</f>
        <v>Специфичен EF (консумиран отпаден газ)</v>
      </c>
      <c r="F1621" s="2258"/>
      <c r="G1621" s="1319" t="str">
        <f>EUconst_tCO2pTJ</f>
        <v>t CO2 / TJ</v>
      </c>
      <c r="H1621" s="56"/>
      <c r="I1621" s="115"/>
      <c r="J1621" s="118"/>
      <c r="K1621" s="56"/>
      <c r="L1621" s="56"/>
      <c r="M1621" s="56"/>
      <c r="N1621" s="121"/>
      <c r="O1621" s="302"/>
      <c r="P1621" s="158"/>
      <c r="Q1621" s="1190" t="str">
        <f>EUconst_CNTR_WGConsumedEF &amp; I1418</f>
        <v>WasteGasConsEF_</v>
      </c>
      <c r="R1621" s="694"/>
      <c r="S1621" s="729"/>
      <c r="T1621" s="729"/>
      <c r="U1621" s="729"/>
      <c r="V1621" s="729"/>
      <c r="W1621" s="729"/>
      <c r="X1621" s="729"/>
      <c r="Y1621" s="729"/>
      <c r="Z1621" s="729"/>
      <c r="AA1621" s="694"/>
      <c r="AB1621" s="1182" t="s">
        <v>737</v>
      </c>
      <c r="AC1621" s="982" t="b">
        <f>AC1619</f>
        <v>0</v>
      </c>
      <c r="AD1621" s="982" t="b">
        <f t="shared" ref="AD1621:AI1621" si="2213">AD1619</f>
        <v>0</v>
      </c>
      <c r="AE1621" s="982" t="b">
        <f t="shared" si="2213"/>
        <v>0</v>
      </c>
      <c r="AF1621" s="982" t="b">
        <f t="shared" si="2213"/>
        <v>0</v>
      </c>
      <c r="AG1621" s="982" t="b">
        <f t="shared" si="2213"/>
        <v>0</v>
      </c>
      <c r="AH1621" s="982" t="b">
        <f t="shared" si="2213"/>
        <v>0</v>
      </c>
      <c r="AI1621" s="982" t="b">
        <f t="shared" si="2213"/>
        <v>0</v>
      </c>
      <c r="AJ1621" s="1174" t="s">
        <v>2039</v>
      </c>
      <c r="AK1621" s="1176" t="str">
        <f>IF(AND(CNTR_ExistSubInstEntries,MSconst_RequireSubAttrEmissions,COUNTIFS(AC1621:AI1621,FALSE,H1621:N1621,"")&gt;0),EUconst_Error&amp;"BM"&amp;$Q1418,"")</f>
        <v/>
      </c>
      <c r="AL1621" s="694"/>
    </row>
    <row r="1622" spans="1:38" ht="12.75" customHeight="1" x14ac:dyDescent="0.25">
      <c r="A1622" s="694"/>
      <c r="B1622" s="298"/>
      <c r="C1622" s="1302"/>
      <c r="D1622" s="1306"/>
      <c r="E1622" s="1306"/>
      <c r="F1622" s="1306"/>
      <c r="G1622" s="1306"/>
      <c r="H1622" s="1354"/>
      <c r="I1622" s="1306"/>
      <c r="J1622" s="1306"/>
      <c r="K1622" s="1306"/>
      <c r="L1622" s="1306"/>
      <c r="M1622" s="626"/>
      <c r="N1622" s="1316"/>
      <c r="O1622" s="302"/>
      <c r="P1622" s="302"/>
      <c r="Q1622" s="729"/>
      <c r="R1622" s="694"/>
      <c r="S1622" s="729"/>
      <c r="T1622" s="729"/>
      <c r="U1622" s="729"/>
      <c r="V1622" s="729"/>
      <c r="W1622" s="694"/>
      <c r="X1622" s="694"/>
      <c r="Y1622" s="694"/>
      <c r="Z1622" s="694"/>
      <c r="AA1622" s="694"/>
      <c r="AB1622" s="694"/>
      <c r="AC1622" s="694"/>
      <c r="AD1622" s="694"/>
      <c r="AE1622" s="694"/>
      <c r="AF1622" s="694"/>
      <c r="AG1622" s="694"/>
      <c r="AH1622" s="694"/>
      <c r="AI1622" s="694"/>
      <c r="AJ1622" s="694"/>
      <c r="AK1622" s="694"/>
      <c r="AL1622" s="694"/>
    </row>
    <row r="1623" spans="1:38" ht="12.75" customHeight="1" x14ac:dyDescent="0.25">
      <c r="A1623" s="694"/>
      <c r="B1623" s="298"/>
      <c r="C1623" s="1302"/>
      <c r="D1623" s="625" t="s">
        <v>63</v>
      </c>
      <c r="E1623" s="2815" t="str">
        <f>Translations!$B$575</f>
        <v>Видове отпадни газове резултат от изгаряне във факел:</v>
      </c>
      <c r="F1623" s="2240"/>
      <c r="G1623" s="2240"/>
      <c r="H1623" s="2684"/>
      <c r="I1623" s="2821"/>
      <c r="J1623" s="2674"/>
      <c r="K1623" s="2674"/>
      <c r="L1623" s="2674"/>
      <c r="M1623" s="2675"/>
      <c r="N1623" s="1323"/>
      <c r="O1623" s="302"/>
      <c r="P1623" s="158"/>
      <c r="Q1623" s="729"/>
      <c r="R1623" s="694"/>
      <c r="S1623" s="729"/>
      <c r="T1623" s="694"/>
      <c r="U1623" s="694"/>
      <c r="V1623" s="694"/>
      <c r="W1623" s="694"/>
      <c r="X1623" s="694"/>
      <c r="Y1623" s="694"/>
      <c r="Z1623" s="694"/>
      <c r="AA1623" s="694"/>
      <c r="AB1623" s="694"/>
      <c r="AC1623" s="1182" t="s">
        <v>737</v>
      </c>
      <c r="AD1623" s="982" t="b">
        <f>AD1614</f>
        <v>0</v>
      </c>
      <c r="AE1623" s="694"/>
      <c r="AF1623" s="694"/>
      <c r="AG1623" s="694"/>
      <c r="AH1623" s="694"/>
      <c r="AI1623" s="694"/>
      <c r="AJ1623" s="694"/>
      <c r="AK1623" s="694"/>
      <c r="AL1623" s="694"/>
    </row>
    <row r="1624" spans="1:38" ht="12.75" customHeight="1" x14ac:dyDescent="0.25">
      <c r="A1624" s="694"/>
      <c r="B1624" s="298"/>
      <c r="C1624" s="1302"/>
      <c r="D1624" s="625"/>
      <c r="E1624" s="2810" t="str">
        <f>Translations!$B$576</f>
        <v>Това включва всички видове отпадни газове, които в крайна сметка са изгорени във факел, различни от необходимото за безопасността изгаряне във факел, в подинсталацията или извън нея.</v>
      </c>
      <c r="F1624" s="2240"/>
      <c r="G1624" s="2240"/>
      <c r="H1624" s="2240"/>
      <c r="I1624" s="2240"/>
      <c r="J1624" s="2240"/>
      <c r="K1624" s="2240"/>
      <c r="L1624" s="2240"/>
      <c r="M1624" s="2240"/>
      <c r="N1624" s="2811"/>
      <c r="O1624" s="302"/>
      <c r="P1624" s="302"/>
      <c r="Q1624" s="729"/>
      <c r="R1624" s="694"/>
      <c r="S1624" s="694"/>
      <c r="T1624" s="729"/>
      <c r="U1624" s="729"/>
      <c r="V1624" s="729"/>
      <c r="W1624" s="694"/>
      <c r="X1624" s="694"/>
      <c r="Y1624" s="694"/>
      <c r="Z1624" s="694"/>
      <c r="AA1624" s="694"/>
      <c r="AB1624" s="694"/>
      <c r="AC1624" s="694"/>
      <c r="AD1624" s="694"/>
      <c r="AE1624" s="694"/>
      <c r="AF1624" s="694"/>
      <c r="AG1624" s="694"/>
      <c r="AH1624" s="694"/>
      <c r="AI1624" s="694"/>
      <c r="AJ1624" s="694"/>
      <c r="AK1624" s="694"/>
      <c r="AL1624" s="694"/>
    </row>
    <row r="1625" spans="1:38" ht="12.75" customHeight="1" x14ac:dyDescent="0.25">
      <c r="A1625" s="694"/>
      <c r="B1625" s="298"/>
      <c r="C1625" s="1302"/>
      <c r="D1625" s="1306"/>
      <c r="E1625" s="2810" t="str">
        <f>Translations!$B$577</f>
        <v>Посочените тук данни се използват само с цел проверка на съответствието и нямат пряко отражение върху емисиите, които могат да бъдат зададени.</v>
      </c>
      <c r="F1625" s="2240"/>
      <c r="G1625" s="2240"/>
      <c r="H1625" s="2240"/>
      <c r="I1625" s="2240"/>
      <c r="J1625" s="2240"/>
      <c r="K1625" s="2240"/>
      <c r="L1625" s="2240"/>
      <c r="M1625" s="2240"/>
      <c r="N1625" s="2811"/>
      <c r="O1625" s="302"/>
      <c r="P1625" s="302"/>
      <c r="Q1625" s="729"/>
      <c r="R1625" s="694"/>
      <c r="S1625" s="729"/>
      <c r="T1625" s="729"/>
      <c r="U1625" s="729"/>
      <c r="V1625" s="729"/>
      <c r="W1625" s="694"/>
      <c r="X1625" s="694"/>
      <c r="Y1625" s="694"/>
      <c r="Z1625" s="694"/>
      <c r="AA1625" s="694"/>
      <c r="AB1625" s="694"/>
      <c r="AC1625" s="694"/>
      <c r="AD1625" s="694"/>
      <c r="AE1625" s="694"/>
      <c r="AF1625" s="694"/>
      <c r="AG1625" s="694"/>
      <c r="AH1625" s="694"/>
      <c r="AI1625" s="694"/>
      <c r="AJ1625" s="694"/>
      <c r="AK1625" s="694"/>
      <c r="AL1625" s="694"/>
    </row>
    <row r="1626" spans="1:38" ht="12.75" customHeight="1" x14ac:dyDescent="0.25">
      <c r="A1626" s="694"/>
      <c r="B1626" s="298"/>
      <c r="C1626" s="1302"/>
      <c r="D1626" s="1306"/>
      <c r="E1626" s="2816" t="str">
        <f>Translations!$B$578</f>
        <v>Въпреки това от 2026 г. квотите ще бъдат намалени по отношение на факелното изгаряне на отпадни газове, различно от необходимото за безопасността изгаряне във факел.</v>
      </c>
      <c r="F1626" s="2240"/>
      <c r="G1626" s="2240"/>
      <c r="H1626" s="2240"/>
      <c r="I1626" s="2240"/>
      <c r="J1626" s="2240"/>
      <c r="K1626" s="2240"/>
      <c r="L1626" s="2240"/>
      <c r="M1626" s="2240"/>
      <c r="N1626" s="2811"/>
      <c r="O1626" s="302"/>
      <c r="P1626" s="302"/>
      <c r="Q1626" s="729"/>
      <c r="R1626" s="694"/>
      <c r="S1626" s="729"/>
      <c r="T1626" s="729"/>
      <c r="U1626" s="729"/>
      <c r="V1626" s="729"/>
      <c r="W1626" s="729"/>
      <c r="X1626" s="729"/>
      <c r="Y1626" s="729"/>
      <c r="Z1626" s="729"/>
      <c r="AA1626" s="694"/>
      <c r="AB1626" s="694"/>
      <c r="AC1626" s="694"/>
      <c r="AD1626" s="694"/>
      <c r="AE1626" s="694"/>
      <c r="AF1626" s="694"/>
      <c r="AG1626" s="694"/>
      <c r="AH1626" s="694"/>
      <c r="AI1626" s="694"/>
      <c r="AJ1626" s="694"/>
      <c r="AK1626" s="694"/>
      <c r="AL1626" s="694"/>
    </row>
    <row r="1627" spans="1:38" ht="12.75" customHeight="1" thickBot="1" x14ac:dyDescent="0.3">
      <c r="A1627" s="694"/>
      <c r="B1627" s="298"/>
      <c r="C1627" s="1302"/>
      <c r="D1627" s="1306"/>
      <c r="E1627" s="1317"/>
      <c r="F1627" s="1318"/>
      <c r="G1627" s="1309" t="str">
        <f>EUconst_Unit</f>
        <v>Единица мярка</v>
      </c>
      <c r="H1627" s="629">
        <f t="shared" ref="H1627:N1627" si="2214">H$2831</f>
        <v>2024</v>
      </c>
      <c r="I1627" s="1310">
        <f t="shared" si="2214"/>
        <v>2025</v>
      </c>
      <c r="J1627" s="1311">
        <f t="shared" si="2214"/>
        <v>2026</v>
      </c>
      <c r="K1627" s="629">
        <f t="shared" si="2214"/>
        <v>2027</v>
      </c>
      <c r="L1627" s="629">
        <f t="shared" si="2214"/>
        <v>2028</v>
      </c>
      <c r="M1627" s="629">
        <f t="shared" si="2214"/>
        <v>2029</v>
      </c>
      <c r="N1627" s="1312">
        <f t="shared" si="2214"/>
        <v>2030</v>
      </c>
      <c r="O1627" s="302"/>
      <c r="P1627" s="302"/>
      <c r="Q1627" s="729"/>
      <c r="R1627" s="694"/>
      <c r="S1627" s="729"/>
      <c r="T1627" s="729"/>
      <c r="U1627" s="729"/>
      <c r="V1627" s="729"/>
      <c r="W1627" s="729"/>
      <c r="X1627" s="729"/>
      <c r="Y1627" s="729"/>
      <c r="Z1627" s="729"/>
      <c r="AA1627" s="694"/>
      <c r="AB1627" s="694"/>
      <c r="AC1627" s="1178">
        <f t="shared" ref="AC1627" si="2215">H$20</f>
        <v>2024</v>
      </c>
      <c r="AD1627" s="1178">
        <f t="shared" ref="AD1627" si="2216">I$20</f>
        <v>2025</v>
      </c>
      <c r="AE1627" s="1178">
        <f t="shared" ref="AE1627" si="2217">J$20</f>
        <v>2026</v>
      </c>
      <c r="AF1627" s="1178">
        <f t="shared" ref="AF1627" si="2218">K$20</f>
        <v>2027</v>
      </c>
      <c r="AG1627" s="1178">
        <f t="shared" ref="AG1627" si="2219">L$20</f>
        <v>2028</v>
      </c>
      <c r="AH1627" s="1178">
        <f t="shared" ref="AH1627" si="2220">M$20</f>
        <v>2029</v>
      </c>
      <c r="AI1627" s="1178">
        <f t="shared" ref="AI1627" si="2221">N$20</f>
        <v>2030</v>
      </c>
      <c r="AJ1627" s="694"/>
      <c r="AK1627" s="694"/>
      <c r="AL1627" s="694"/>
    </row>
    <row r="1628" spans="1:38" ht="12.75" customHeight="1" x14ac:dyDescent="0.25">
      <c r="A1628" s="694"/>
      <c r="B1628" s="298"/>
      <c r="C1628" s="1302"/>
      <c r="D1628" s="625" t="s">
        <v>1136</v>
      </c>
      <c r="E1628" s="2818" t="str">
        <f>Translations!$B$579</f>
        <v>Количества, изгорени във факел</v>
      </c>
      <c r="F1628" s="2701"/>
      <c r="G1628" s="145"/>
      <c r="H1628" s="129"/>
      <c r="I1628" s="130"/>
      <c r="J1628" s="131"/>
      <c r="K1628" s="129"/>
      <c r="L1628" s="129"/>
      <c r="M1628" s="129"/>
      <c r="N1628" s="132"/>
      <c r="O1628" s="302"/>
      <c r="P1628" s="158"/>
      <c r="Q1628" s="729"/>
      <c r="R1628" s="694"/>
      <c r="S1628" s="729"/>
      <c r="T1628" s="729"/>
      <c r="U1628" s="729"/>
      <c r="V1628" s="729"/>
      <c r="W1628" s="729"/>
      <c r="X1628" s="729"/>
      <c r="Y1628" s="729"/>
      <c r="Z1628" s="729"/>
      <c r="AA1628" s="694"/>
      <c r="AB1628" s="1182" t="s">
        <v>737</v>
      </c>
      <c r="AC1628" s="982" t="b">
        <f>AC1618</f>
        <v>0</v>
      </c>
      <c r="AD1628" s="982" t="b">
        <f t="shared" ref="AD1628:AI1628" si="2222">AD1618</f>
        <v>0</v>
      </c>
      <c r="AE1628" s="982" t="b">
        <f t="shared" si="2222"/>
        <v>0</v>
      </c>
      <c r="AF1628" s="982" t="b">
        <f t="shared" si="2222"/>
        <v>0</v>
      </c>
      <c r="AG1628" s="982" t="b">
        <f t="shared" si="2222"/>
        <v>0</v>
      </c>
      <c r="AH1628" s="982" t="b">
        <f t="shared" si="2222"/>
        <v>0</v>
      </c>
      <c r="AI1628" s="982" t="b">
        <f t="shared" si="2222"/>
        <v>0</v>
      </c>
      <c r="AJ1628" s="1174" t="s">
        <v>2039</v>
      </c>
      <c r="AK1628" s="1176" t="str">
        <f>IF(AND(CNTR_ExistSubInstEntries,MSconst_RequireSubAttrEmissions,COUNTIFS(AC1628:AI1628,FALSE,H1628:N1628,"")&gt;0),EUconst_Error&amp;"BM"&amp;$Q1418,"")</f>
        <v/>
      </c>
      <c r="AL1628" s="694"/>
    </row>
    <row r="1629" spans="1:38" ht="12.75" customHeight="1" x14ac:dyDescent="0.25">
      <c r="A1629" s="694"/>
      <c r="B1629" s="298"/>
      <c r="C1629" s="1302"/>
      <c r="D1629" s="625" t="s">
        <v>1137</v>
      </c>
      <c r="E1629" s="2819" t="str">
        <f>Translations!$B$296</f>
        <v>Долна топлина на изгаряне</v>
      </c>
      <c r="F1629" s="2705"/>
      <c r="G1629" s="1349" t="str">
        <f>IF(ISBLANK(G1628),EUconst_GJperUnit,INDEX(EUconst_GJperTorKNm3,MATCH(G1628,EUconst_TonnesOrkNm3pa,0)))</f>
        <v>GJ / Единица мярка</v>
      </c>
      <c r="H1629" s="137"/>
      <c r="I1629" s="138"/>
      <c r="J1629" s="139"/>
      <c r="K1629" s="137"/>
      <c r="L1629" s="137"/>
      <c r="M1629" s="137"/>
      <c r="N1629" s="140"/>
      <c r="O1629" s="302"/>
      <c r="P1629" s="158"/>
      <c r="Q1629" s="694"/>
      <c r="R1629" s="694"/>
      <c r="S1629" s="729"/>
      <c r="T1629" s="729"/>
      <c r="U1629" s="729"/>
      <c r="V1629" s="729"/>
      <c r="W1629" s="729"/>
      <c r="X1629" s="729"/>
      <c r="Y1629" s="729"/>
      <c r="Z1629" s="729"/>
      <c r="AA1629" s="694"/>
      <c r="AB1629" s="694"/>
      <c r="AC1629" s="982" t="b">
        <f>AC1628</f>
        <v>0</v>
      </c>
      <c r="AD1629" s="982" t="b">
        <f t="shared" ref="AD1629:AI1629" si="2223">AD1628</f>
        <v>0</v>
      </c>
      <c r="AE1629" s="982" t="b">
        <f t="shared" si="2223"/>
        <v>0</v>
      </c>
      <c r="AF1629" s="982" t="b">
        <f t="shared" si="2223"/>
        <v>0</v>
      </c>
      <c r="AG1629" s="982" t="b">
        <f t="shared" si="2223"/>
        <v>0</v>
      </c>
      <c r="AH1629" s="982" t="b">
        <f t="shared" si="2223"/>
        <v>0</v>
      </c>
      <c r="AI1629" s="982" t="b">
        <f t="shared" si="2223"/>
        <v>0</v>
      </c>
      <c r="AJ1629" s="1174" t="s">
        <v>2039</v>
      </c>
      <c r="AK1629" s="1176" t="str">
        <f>IF(AND(CNTR_ExistSubInstEntries,MSconst_RequireSubAttrEmissions,COUNTIFS(AC1629:AI1629,FALSE,H1629:N1629,"")&gt;0),EUconst_Error&amp;"BM"&amp;$Q1418,"")</f>
        <v/>
      </c>
      <c r="AL1629" s="694"/>
    </row>
    <row r="1630" spans="1:38" ht="12.75" customHeight="1" x14ac:dyDescent="0.25">
      <c r="A1630" s="694"/>
      <c r="B1630" s="298"/>
      <c r="C1630" s="1302"/>
      <c r="D1630" s="625" t="s">
        <v>1138</v>
      </c>
      <c r="E1630" s="2820" t="str">
        <f>Translations!$B$580</f>
        <v>Изгорен във факел отпаден газ</v>
      </c>
      <c r="F1630" s="2258"/>
      <c r="G1630" s="1319" t="str">
        <f>EUconst_TJpa</f>
        <v>TJ / година</v>
      </c>
      <c r="H1630" s="1350" t="str">
        <f t="shared" ref="H1630:N1630" si="2224">IF(COUNT(H1628:H1629)=2,H1628*H1629/1000,"")</f>
        <v/>
      </c>
      <c r="I1630" s="1351" t="str">
        <f t="shared" si="2224"/>
        <v/>
      </c>
      <c r="J1630" s="1352" t="str">
        <f t="shared" si="2224"/>
        <v/>
      </c>
      <c r="K1630" s="1350" t="str">
        <f t="shared" si="2224"/>
        <v/>
      </c>
      <c r="L1630" s="1350" t="str">
        <f t="shared" si="2224"/>
        <v/>
      </c>
      <c r="M1630" s="1350" t="str">
        <f t="shared" si="2224"/>
        <v/>
      </c>
      <c r="N1630" s="1353" t="str">
        <f t="shared" si="2224"/>
        <v/>
      </c>
      <c r="O1630" s="302"/>
      <c r="P1630" s="302"/>
      <c r="Q1630" s="1190" t="str">
        <f>EUconst_CNTR_WGFlared &amp; I1418</f>
        <v>WasteGasFlare_</v>
      </c>
      <c r="R1630" s="694"/>
      <c r="S1630" s="729"/>
      <c r="T1630" s="729"/>
      <c r="U1630" s="729"/>
      <c r="V1630" s="729"/>
      <c r="W1630" s="729"/>
      <c r="X1630" s="729"/>
      <c r="Y1630" s="729"/>
      <c r="Z1630" s="729"/>
      <c r="AA1630" s="694"/>
      <c r="AB1630" s="694"/>
      <c r="AC1630" s="694"/>
      <c r="AD1630" s="694"/>
      <c r="AE1630" s="694"/>
      <c r="AF1630" s="694"/>
      <c r="AG1630" s="694"/>
      <c r="AH1630" s="694"/>
      <c r="AI1630" s="694"/>
      <c r="AJ1630" s="694"/>
      <c r="AK1630" s="694"/>
      <c r="AL1630" s="694"/>
    </row>
    <row r="1631" spans="1:38" ht="12.75" customHeight="1" x14ac:dyDescent="0.25">
      <c r="A1631" s="694"/>
      <c r="B1631" s="298"/>
      <c r="C1631" s="1302"/>
      <c r="D1631" s="625" t="s">
        <v>1139</v>
      </c>
      <c r="E1631" s="2820" t="str">
        <f>Translations!$B$581</f>
        <v>Специфичен EF (изгорен във факел отпаден газ)</v>
      </c>
      <c r="F1631" s="2258"/>
      <c r="G1631" s="1319" t="str">
        <f>EUconst_tCO2pTJ</f>
        <v>t CO2 / TJ</v>
      </c>
      <c r="H1631" s="56"/>
      <c r="I1631" s="115"/>
      <c r="J1631" s="118"/>
      <c r="K1631" s="56"/>
      <c r="L1631" s="56"/>
      <c r="M1631" s="56"/>
      <c r="N1631" s="121"/>
      <c r="O1631" s="302"/>
      <c r="P1631" s="158"/>
      <c r="Q1631" s="1190" t="str">
        <f>EUconst_CNTR_WGFlaredEF &amp; I1418</f>
        <v>WasteGasFlareEF_</v>
      </c>
      <c r="R1631" s="694"/>
      <c r="S1631" s="729"/>
      <c r="T1631" s="729"/>
      <c r="U1631" s="729"/>
      <c r="V1631" s="729"/>
      <c r="W1631" s="729"/>
      <c r="X1631" s="729"/>
      <c r="Y1631" s="729"/>
      <c r="Z1631" s="729"/>
      <c r="AA1631" s="694"/>
      <c r="AB1631" s="1182" t="s">
        <v>737</v>
      </c>
      <c r="AC1631" s="982" t="b">
        <f>AC1629</f>
        <v>0</v>
      </c>
      <c r="AD1631" s="982" t="b">
        <f t="shared" ref="AD1631:AI1631" si="2225">AD1629</f>
        <v>0</v>
      </c>
      <c r="AE1631" s="982" t="b">
        <f t="shared" si="2225"/>
        <v>0</v>
      </c>
      <c r="AF1631" s="982" t="b">
        <f t="shared" si="2225"/>
        <v>0</v>
      </c>
      <c r="AG1631" s="982" t="b">
        <f t="shared" si="2225"/>
        <v>0</v>
      </c>
      <c r="AH1631" s="982" t="b">
        <f t="shared" si="2225"/>
        <v>0</v>
      </c>
      <c r="AI1631" s="982" t="b">
        <f t="shared" si="2225"/>
        <v>0</v>
      </c>
      <c r="AJ1631" s="1174" t="s">
        <v>2039</v>
      </c>
      <c r="AK1631" s="1176" t="str">
        <f>IF(AND(CNTR_ExistSubInstEntries,MSconst_RequireSubAttrEmissions,COUNTIFS(AC1631:AI1631,FALSE,H1631:N1631,"")&gt;0),EUconst_Error&amp;"BM"&amp;$Q1418,"")</f>
        <v/>
      </c>
      <c r="AL1631" s="694"/>
    </row>
    <row r="1632" spans="1:38" ht="5.15" customHeight="1" thickBot="1" x14ac:dyDescent="0.3">
      <c r="A1632" s="694"/>
      <c r="B1632" s="298"/>
      <c r="C1632" s="1302"/>
      <c r="D1632" s="1306"/>
      <c r="E1632" s="1306"/>
      <c r="F1632" s="1306"/>
      <c r="G1632" s="1306"/>
      <c r="H1632" s="1354"/>
      <c r="I1632" s="1306"/>
      <c r="J1632" s="1306"/>
      <c r="K1632" s="1306"/>
      <c r="L1632" s="1306"/>
      <c r="M1632" s="626"/>
      <c r="N1632" s="1316"/>
      <c r="O1632" s="302"/>
      <c r="P1632" s="302"/>
      <c r="Q1632" s="729"/>
      <c r="R1632" s="694"/>
      <c r="S1632" s="729"/>
      <c r="T1632" s="729"/>
      <c r="U1632" s="729"/>
      <c r="V1632" s="729"/>
      <c r="W1632" s="694"/>
      <c r="X1632" s="694"/>
      <c r="Y1632" s="694"/>
      <c r="Z1632" s="694"/>
      <c r="AA1632" s="694"/>
      <c r="AB1632" s="694"/>
      <c r="AC1632" s="694"/>
      <c r="AD1632" s="694"/>
      <c r="AE1632" s="694"/>
      <c r="AF1632" s="694"/>
      <c r="AG1632" s="694"/>
      <c r="AH1632" s="694"/>
      <c r="AI1632" s="694"/>
      <c r="AJ1632" s="694"/>
      <c r="AK1632" s="694"/>
      <c r="AL1632" s="694"/>
    </row>
    <row r="1633" spans="1:38" ht="12.75" customHeight="1" thickBot="1" x14ac:dyDescent="0.3">
      <c r="A1633" s="694"/>
      <c r="B1633" s="298"/>
      <c r="C1633" s="1302"/>
      <c r="D1633" s="1306"/>
      <c r="E1633" s="2820" t="str">
        <f>Translations!$B$1330</f>
        <v>Количество изгорен във факел отпаден газ</v>
      </c>
      <c r="F1633" s="2820"/>
      <c r="G1633" s="1355" t="str">
        <f>EUconst_tCO2</f>
        <v>t CO2</v>
      </c>
      <c r="H1633" s="1356" t="str">
        <f t="shared" ref="H1633" si="2226">IF(T1426,SUM(H1630)*SUM(H1631),"")</f>
        <v/>
      </c>
      <c r="I1633" s="1357" t="str">
        <f t="shared" ref="I1633" si="2227">IF(U1426,SUM(I1630)*SUM(I1631),"")</f>
        <v/>
      </c>
      <c r="J1633" s="1358" t="str">
        <f t="shared" ref="J1633" si="2228">IF(V1426,SUM(J1630)*SUM(J1631),"")</f>
        <v/>
      </c>
      <c r="K1633" s="1356" t="str">
        <f t="shared" ref="K1633" si="2229">IF(W1426,SUM(K1630)*SUM(K1631),"")</f>
        <v/>
      </c>
      <c r="L1633" s="1356" t="str">
        <f t="shared" ref="L1633" si="2230">IF(X1426,SUM(L1630)*SUM(L1631),"")</f>
        <v/>
      </c>
      <c r="M1633" s="1356" t="str">
        <f t="shared" ref="M1633" si="2231">IF(Y1426,SUM(M1630)*SUM(M1631),"")</f>
        <v/>
      </c>
      <c r="N1633" s="1356" t="str">
        <f t="shared" ref="N1633" si="2232">IF(Z1426,SUM(N1630)*SUM(N1631),"")</f>
        <v/>
      </c>
      <c r="O1633" s="302"/>
      <c r="P1633" s="302"/>
      <c r="Q1633" s="1190" t="str">
        <f>EUconst_CNTR_HAL &amp; EUconst_CNTR_WGFlared &amp; I1418</f>
        <v>HAL_WasteGasFlare_</v>
      </c>
      <c r="R1633" s="694"/>
      <c r="S1633" s="1174" t="s">
        <v>1811</v>
      </c>
      <c r="T1633" s="1169" t="b">
        <f>CNTR_SubPeriod=2</f>
        <v>1</v>
      </c>
      <c r="U1633" s="729"/>
      <c r="V1633" s="729"/>
      <c r="W1633" s="694"/>
      <c r="X1633" s="694"/>
      <c r="Y1633" s="694"/>
      <c r="Z1633" s="694"/>
      <c r="AA1633" s="694"/>
      <c r="AB1633" s="694"/>
      <c r="AC1633" s="694"/>
      <c r="AD1633" s="694"/>
      <c r="AE1633" s="694"/>
      <c r="AF1633" s="694"/>
      <c r="AG1633" s="694"/>
      <c r="AH1633" s="694"/>
      <c r="AI1633" s="694"/>
      <c r="AJ1633" s="694"/>
      <c r="AK1633" s="694"/>
      <c r="AL1633" s="694"/>
    </row>
    <row r="1634" spans="1:38" ht="5.15" customHeight="1" thickBot="1" x14ac:dyDescent="0.3">
      <c r="A1634" s="694"/>
      <c r="B1634" s="298"/>
      <c r="C1634" s="1302"/>
      <c r="D1634" s="1306"/>
      <c r="E1634" s="1306"/>
      <c r="F1634" s="1306"/>
      <c r="G1634" s="1306"/>
      <c r="H1634" s="1354"/>
      <c r="I1634" s="1306"/>
      <c r="J1634" s="1306"/>
      <c r="K1634" s="1306"/>
      <c r="L1634" s="1306"/>
      <c r="M1634" s="626"/>
      <c r="N1634" s="1316"/>
      <c r="O1634" s="302"/>
      <c r="P1634" s="302"/>
      <c r="Q1634" s="729"/>
      <c r="R1634" s="694"/>
      <c r="S1634" s="729"/>
      <c r="T1634" s="729"/>
      <c r="U1634" s="729"/>
      <c r="V1634" s="729"/>
      <c r="W1634" s="694"/>
      <c r="X1634" s="694"/>
      <c r="Y1634" s="694"/>
      <c r="Z1634" s="694"/>
      <c r="AA1634" s="694"/>
      <c r="AB1634" s="694"/>
      <c r="AC1634" s="694"/>
      <c r="AD1634" s="694"/>
      <c r="AE1634" s="694"/>
      <c r="AF1634" s="694"/>
      <c r="AG1634" s="694"/>
      <c r="AH1634" s="694"/>
      <c r="AI1634" s="694"/>
      <c r="AJ1634" s="694"/>
      <c r="AK1634" s="694"/>
      <c r="AL1634" s="694"/>
    </row>
    <row r="1635" spans="1:38" ht="5.15" customHeight="1" thickBot="1" x14ac:dyDescent="0.3">
      <c r="A1635" s="694"/>
      <c r="B1635" s="298"/>
      <c r="C1635" s="1302"/>
      <c r="D1635" s="1359"/>
      <c r="E1635" s="1360"/>
      <c r="F1635" s="1360"/>
      <c r="G1635" s="1360"/>
      <c r="H1635" s="1361"/>
      <c r="I1635" s="1360"/>
      <c r="J1635" s="1360"/>
      <c r="K1635" s="1360"/>
      <c r="L1635" s="1360"/>
      <c r="M1635" s="1362"/>
      <c r="N1635" s="1363"/>
      <c r="O1635" s="302"/>
      <c r="P1635" s="302"/>
      <c r="Q1635" s="729"/>
      <c r="R1635" s="694"/>
      <c r="S1635" s="729"/>
      <c r="T1635" s="729"/>
      <c r="U1635" s="729"/>
      <c r="V1635" s="729"/>
      <c r="W1635" s="694"/>
      <c r="X1635" s="694"/>
      <c r="Y1635" s="694"/>
      <c r="Z1635" s="694"/>
      <c r="AA1635" s="694"/>
      <c r="AB1635" s="694"/>
      <c r="AC1635" s="694"/>
      <c r="AD1635" s="694"/>
      <c r="AE1635" s="694"/>
      <c r="AF1635" s="694"/>
      <c r="AG1635" s="694"/>
      <c r="AH1635" s="694"/>
      <c r="AI1635" s="694"/>
      <c r="AJ1635" s="694"/>
      <c r="AK1635" s="694"/>
      <c r="AL1635" s="694"/>
    </row>
    <row r="1636" spans="1:38" ht="12.75" customHeight="1" x14ac:dyDescent="0.25">
      <c r="A1636" s="694"/>
      <c r="B1636" s="298"/>
      <c r="C1636" s="1302"/>
      <c r="D1636" s="1197" t="s">
        <v>2004</v>
      </c>
      <c r="E1636" s="2823" t="str">
        <f>Translations!$B$1331</f>
        <v>Корекции: изгорени във факел отпадни газове</v>
      </c>
      <c r="F1636" s="2672"/>
      <c r="G1636" s="2672"/>
      <c r="H1636" s="1200" t="str">
        <f>EUconst_Unit</f>
        <v>Единица мярка</v>
      </c>
      <c r="I1636" s="1201" t="str">
        <f>Translations!$B$1327</f>
        <v>(НМИ) стойност</v>
      </c>
      <c r="J1636" s="1202">
        <f>J$2831</f>
        <v>2026</v>
      </c>
      <c r="K1636" s="1203">
        <f>K$2831</f>
        <v>2027</v>
      </c>
      <c r="L1636" s="1203">
        <f>L$2831</f>
        <v>2028</v>
      </c>
      <c r="M1636" s="1203">
        <f>M$2831</f>
        <v>2029</v>
      </c>
      <c r="N1636" s="1204">
        <f>N$2831</f>
        <v>2030</v>
      </c>
      <c r="O1636" s="302"/>
      <c r="P1636" s="302"/>
      <c r="Q1636" s="729"/>
      <c r="R1636" s="694"/>
      <c r="S1636" s="694"/>
      <c r="T1636" s="694"/>
      <c r="U1636" s="1205"/>
      <c r="V1636" s="1206">
        <f>J1636</f>
        <v>2026</v>
      </c>
      <c r="W1636" s="1206">
        <f>K1636</f>
        <v>2027</v>
      </c>
      <c r="X1636" s="1206">
        <f>L1636</f>
        <v>2028</v>
      </c>
      <c r="Y1636" s="1206">
        <f>M1636</f>
        <v>2029</v>
      </c>
      <c r="Z1636" s="1207">
        <f>N1636</f>
        <v>2030</v>
      </c>
      <c r="AA1636" s="694"/>
      <c r="AB1636" s="694"/>
      <c r="AC1636" s="694"/>
      <c r="AD1636" s="694"/>
      <c r="AE1636" s="694"/>
      <c r="AF1636" s="694"/>
      <c r="AG1636" s="694"/>
      <c r="AH1636" s="694"/>
      <c r="AI1636" s="694"/>
      <c r="AJ1636" s="694"/>
      <c r="AK1636" s="694"/>
      <c r="AL1636" s="694"/>
    </row>
    <row r="1637" spans="1:38" ht="12.75" customHeight="1" x14ac:dyDescent="0.25">
      <c r="A1637" s="694"/>
      <c r="B1637" s="298"/>
      <c r="C1637" s="1302"/>
      <c r="D1637" s="1208" t="s">
        <v>6</v>
      </c>
      <c r="E1637" s="2822" t="str">
        <f>Translations!$B$1328</f>
        <v>Средна годишна стойност</v>
      </c>
      <c r="F1637" s="2258"/>
      <c r="G1637" s="2258"/>
      <c r="H1637" s="1266" t="str">
        <f>G1633</f>
        <v>t CO2</v>
      </c>
      <c r="I1637" s="1211" t="str">
        <f>INDEX('B+C_SubInstallations'!$K:$K,MATCH(Q1637,'B+C_SubInstallations'!$V:$V,0))</f>
        <v/>
      </c>
      <c r="J1637" s="1267" t="str">
        <f>IF($T1633&lt;&gt;TRUE,"",IF(AND(V1637&gt;=3,CNTR_ReportingYear&gt;J1636-1),AVERAGE(SUM(H1633),SUM(I1633)),""))</f>
        <v/>
      </c>
      <c r="K1637" s="1268" t="str">
        <f>IF($T1633&lt;&gt;TRUE,"",IF(AND(W1637&gt;=3,CNTR_ReportingYear&gt;K1636-1),AVERAGE(SUM(I1633),SUM(J1633)),""))</f>
        <v/>
      </c>
      <c r="L1637" s="1268" t="str">
        <f>IF($T1633&lt;&gt;TRUE,"",IF(AND(X1637&gt;=3,CNTR_ReportingYear&gt;L1636-1),AVERAGE(SUM(J1633),SUM(K1633)),""))</f>
        <v/>
      </c>
      <c r="M1637" s="1268" t="str">
        <f>IF($T1633&lt;&gt;TRUE,"",IF(AND(Y1637&gt;=3,CNTR_ReportingYear&gt;M1636-1),AVERAGE(SUM(K1633),SUM(L1633)),""))</f>
        <v/>
      </c>
      <c r="N1637" s="1269" t="str">
        <f>IF($T1633&lt;&gt;TRUE,"",IF(AND(Z1637&gt;=3,CNTR_ReportingYear&gt;N1636-1),AVERAGE(SUM(L1633),SUM(M1633)),""))</f>
        <v/>
      </c>
      <c r="O1637" s="302"/>
      <c r="P1637" s="302"/>
      <c r="Q1637" s="1190" t="str">
        <f>EUconst_CNTR_HALinitial &amp; EUconst_CNTR_WGFlared &amp; I1418</f>
        <v>HALini_WasteGasFlare_</v>
      </c>
      <c r="R1637" s="694"/>
      <c r="S1637" s="694"/>
      <c r="T1637" s="694"/>
      <c r="U1637" s="1365" t="s">
        <v>1710</v>
      </c>
      <c r="V1637" s="1176">
        <f>V1440</f>
        <v>0</v>
      </c>
      <c r="W1637" s="1176">
        <f>W1440</f>
        <v>0</v>
      </c>
      <c r="X1637" s="1176">
        <f>X1440</f>
        <v>0</v>
      </c>
      <c r="Y1637" s="1176">
        <f>Y1440</f>
        <v>0</v>
      </c>
      <c r="Z1637" s="1216">
        <f>Z1440</f>
        <v>0</v>
      </c>
      <c r="AA1637" s="694"/>
      <c r="AB1637" s="694"/>
      <c r="AC1637" s="694"/>
      <c r="AD1637" s="694"/>
      <c r="AE1637" s="694"/>
      <c r="AF1637" s="694"/>
      <c r="AG1637" s="694"/>
      <c r="AH1637" s="694"/>
      <c r="AI1637" s="694"/>
      <c r="AJ1637" s="694"/>
      <c r="AK1637" s="694"/>
      <c r="AL1637" s="694"/>
    </row>
    <row r="1638" spans="1:38" ht="12.75" hidden="1" customHeight="1" x14ac:dyDescent="0.25">
      <c r="A1638" s="729" t="s">
        <v>312</v>
      </c>
      <c r="B1638" s="298"/>
      <c r="C1638" s="1302"/>
      <c r="D1638" s="1208"/>
      <c r="E1638" s="2822" t="str">
        <f>Translations!$B$1378</f>
        <v>Промяна в сравнение със стойността в НМИ</v>
      </c>
      <c r="F1638" s="2258"/>
      <c r="G1638" s="2258"/>
      <c r="H1638" s="1222"/>
      <c r="I1638" s="1223"/>
      <c r="J1638" s="104" t="str">
        <f>IF(J1637="","",IF($I1640=0,IF(J1637=0,0%,100%),J1637/$I1640-1))</f>
        <v/>
      </c>
      <c r="K1638" s="99" t="str">
        <f>IF(K1637="","",IF($I1640=0,IF(K1637=0,0%,100%),K1637/$I1640-1))</f>
        <v/>
      </c>
      <c r="L1638" s="99" t="str">
        <f>IF(L1637="","",IF($I1640=0,IF(L1637=0,0%,100%),L1637/$I1640-1))</f>
        <v/>
      </c>
      <c r="M1638" s="99" t="str">
        <f>IF(M1637="","",IF($I1640=0,IF(M1637=0,0%,100%),M1637/$I1640-1))</f>
        <v/>
      </c>
      <c r="N1638" s="123" t="str">
        <f>IF(N1637="","",IF($I1640=0,IF(N1637=0,0%,100%),N1637/$I1640-1))</f>
        <v/>
      </c>
      <c r="O1638" s="302"/>
      <c r="P1638" s="302"/>
      <c r="Q1638" s="1190" t="str">
        <f>EUconst_CNTR_RelThreshold &amp; Q1640</f>
        <v>RelThresh_HALprelim_WasteGasFlare_</v>
      </c>
      <c r="R1638" s="694"/>
      <c r="S1638" s="694"/>
      <c r="T1638" s="694"/>
      <c r="U1638" s="1365" t="s">
        <v>1715</v>
      </c>
      <c r="V1638" s="727" t="str">
        <f>IF(J1637="","",ABS(J1638)&gt;15%)</f>
        <v/>
      </c>
      <c r="W1638" s="727" t="str">
        <f>IF(K1637="","",ABS(K1638)&gt;15%)</f>
        <v/>
      </c>
      <c r="X1638" s="727" t="str">
        <f>IF(L1637="","",ABS(L1638)&gt;15%)</f>
        <v/>
      </c>
      <c r="Y1638" s="727" t="str">
        <f>IF(M1637="","",ABS(M1638)&gt;15%)</f>
        <v/>
      </c>
      <c r="Z1638" s="1221" t="str">
        <f>IF(N1637="","",ABS(N1638)&gt;15%)</f>
        <v/>
      </c>
      <c r="AA1638" s="694"/>
      <c r="AB1638" s="694"/>
      <c r="AC1638" s="694"/>
      <c r="AD1638" s="694"/>
      <c r="AE1638" s="694"/>
      <c r="AF1638" s="694"/>
      <c r="AG1638" s="694"/>
      <c r="AH1638" s="694"/>
      <c r="AI1638" s="694"/>
      <c r="AJ1638" s="694"/>
      <c r="AK1638" s="694"/>
      <c r="AL1638" s="694"/>
    </row>
    <row r="1639" spans="1:38" ht="12.75" customHeight="1" x14ac:dyDescent="0.25">
      <c r="A1639" s="729"/>
      <c r="B1639" s="298"/>
      <c r="C1639" s="1302"/>
      <c r="D1639" s="1208" t="s">
        <v>7</v>
      </c>
      <c r="E1639" s="2822" t="str">
        <f>Translations!$B$1322</f>
        <v>Предварителна корекция (ако са надвишени относителните прагове)</v>
      </c>
      <c r="F1639" s="2258"/>
      <c r="G1639" s="2258"/>
      <c r="H1639" s="1222"/>
      <c r="I1639" s="1223"/>
      <c r="J1639" s="1224" t="str">
        <f>IF(J1637="","",IF(V1638=FALSE,0%,IF(V1639,J1638,I1645)))</f>
        <v/>
      </c>
      <c r="K1639" s="1225" t="str">
        <f>IF(K1637="","",IF(W1638=FALSE,0%,IF(W1639,K1638,J1645)))</f>
        <v/>
      </c>
      <c r="L1639" s="1225" t="str">
        <f>IF(L1637="","",IF(X1638=FALSE,0%,IF(X1639,L1638,K1645)))</f>
        <v/>
      </c>
      <c r="M1639" s="1225" t="str">
        <f>IF(M1637="","",IF(Y1638=FALSE,0%,IF(Y1639,M1638,L1645)))</f>
        <v/>
      </c>
      <c r="N1639" s="1226" t="str">
        <f>IF(N1637="","",IF(Z1638=FALSE,0%,IF(Z1639,N1638,M1645)))</f>
        <v/>
      </c>
      <c r="O1639" s="302"/>
      <c r="P1639" s="302"/>
      <c r="Q1639" s="729"/>
      <c r="R1639" s="694"/>
      <c r="S1639" s="694"/>
      <c r="T1639" s="694"/>
      <c r="U1639" s="1215" t="s">
        <v>1716</v>
      </c>
      <c r="V1639" s="727" t="str">
        <f>IF(J1637="","",AND(V1638,IF(SUM(I1645)&lt;0,OR(SUM(J1638)&lt;SUM(I1645)-MOD(SUM(I1645),5%),J1638&gt;=SUM(I1645)+5%-MOD(SUM(I1645),5%)),OR(SUM(J1638)&lt;=SUM(I1645)-MOD(SUM(I1645),5%),SUM(J1638)&gt;SUM(I1645)+5%-MOD(SUM(I1645),5%)))))</f>
        <v/>
      </c>
      <c r="W1639" s="727" t="str">
        <f>IF(K1637="","",AND(W1638,IF(SUM(J1645)&lt;0,OR(SUM(K1638)&lt;SUM(J1645)-MOD(SUM(J1645),5%),K1638&gt;=SUM(J1645)+5%-MOD(SUM(J1645),5%)),OR(SUM(K1638)&lt;=SUM(J1645)-MOD(SUM(J1645),5%),SUM(K1638)&gt;SUM(J1645)+5%-MOD(SUM(J1645),5%)))))</f>
        <v/>
      </c>
      <c r="X1639" s="727" t="str">
        <f>IF(L1637="","",AND(X1638,IF(SUM(K1645)&lt;0,OR(SUM(L1638)&lt;SUM(K1645)-MOD(SUM(K1645),5%),L1638&gt;=SUM(K1645)+5%-MOD(SUM(K1645),5%)),OR(SUM(L1638)&lt;=SUM(K1645)-MOD(SUM(K1645),5%),SUM(L1638)&gt;SUM(K1645)+5%-MOD(SUM(K1645),5%)))))</f>
        <v/>
      </c>
      <c r="Y1639" s="727" t="str">
        <f>IF(M1637="","",AND(Y1638,IF(SUM(L1645)&lt;0,OR(SUM(M1638)&lt;SUM(L1645)-MOD(SUM(L1645),5%),M1638&gt;=SUM(L1645)+5%-MOD(SUM(L1645),5%)),OR(SUM(M1638)&lt;=SUM(L1645)-MOD(SUM(L1645),5%),SUM(M1638)&gt;SUM(L1645)+5%-MOD(SUM(L1645),5%)))))</f>
        <v/>
      </c>
      <c r="Z1639" s="1221" t="str">
        <f>IF(N1637="","",AND(Z1638,IF(SUM(M1645)&lt;0,OR(SUM(N1638)&lt;SUM(M1645)-MOD(SUM(M1645),5%),N1638&gt;=SUM(M1645)+5%-MOD(SUM(M1645),5%)),OR(SUM(N1638)&lt;=SUM(M1645)-MOD(SUM(M1645),5%),SUM(N1638)&gt;SUM(M1645)+5%-MOD(SUM(M1645),5%)))))</f>
        <v/>
      </c>
      <c r="AA1639" s="694"/>
      <c r="AB1639" s="694"/>
      <c r="AC1639" s="694"/>
      <c r="AD1639" s="694"/>
      <c r="AE1639" s="694"/>
      <c r="AF1639" s="694"/>
      <c r="AG1639" s="694"/>
      <c r="AH1639" s="694"/>
      <c r="AI1639" s="694"/>
      <c r="AJ1639" s="694"/>
      <c r="AK1639" s="694"/>
      <c r="AL1639" s="694"/>
    </row>
    <row r="1640" spans="1:38" ht="12.75" hidden="1" customHeight="1" x14ac:dyDescent="0.25">
      <c r="A1640" s="729" t="s">
        <v>312</v>
      </c>
      <c r="B1640" s="298"/>
      <c r="C1640" s="1302"/>
      <c r="D1640" s="1208"/>
      <c r="E1640" s="2822" t="str">
        <f>Translations!$B$1377</f>
        <v>Предварителна стойност</v>
      </c>
      <c r="F1640" s="2258"/>
      <c r="G1640" s="2258"/>
      <c r="H1640" s="1266" t="str">
        <f>H1637</f>
        <v>t CO2</v>
      </c>
      <c r="I1640" s="1211" t="str">
        <f>IF($I1418="","",IF(AB1418=FALSE,EUconst_NA,IF(V1418&gt;($J$2831-3),INDEX(H1633:N1633,MATCH(V1418,H1627:N1627,0)),SUM(I1637))))</f>
        <v/>
      </c>
      <c r="J1640" s="1212" t="str">
        <f>IF($I1418="","",IF(V1637&lt;2,SUM(J1633),IF(V1637&lt;3,SUM(I1633),IF(V1640="",I1640,V1640))))</f>
        <v/>
      </c>
      <c r="K1640" s="1213" t="str">
        <f>IF($I1418="","",IF(W1637&lt;2,SUM(K1633),IF(W1637&lt;3,SUM(J1633),IF(W1640="",J1640,W1640))))</f>
        <v/>
      </c>
      <c r="L1640" s="1213" t="str">
        <f>IF($I1418="","",IF(X1637&lt;2,SUM(L1633),IF(X1637&lt;3,SUM(K1633),IF(X1640="",K1640,X1640))))</f>
        <v/>
      </c>
      <c r="M1640" s="1213" t="str">
        <f>IF($I1418="","",IF(Y1637&lt;2,SUM(M1633),IF(Y1637&lt;3,SUM(L1633),IF(Y1640="",L1640,Y1640))))</f>
        <v/>
      </c>
      <c r="N1640" s="1214" t="str">
        <f>IF($I1418="","",IF(Z1637&lt;2,SUM(N1633),IF(Z1637&lt;3,SUM(M1633),IF(Z1640="",M1640,Z1640))))</f>
        <v/>
      </c>
      <c r="O1640" s="302"/>
      <c r="P1640" s="302"/>
      <c r="Q1640" s="1190" t="str">
        <f>EUconst_CNTR_HALprelim&amp;EUconst_CNTR_WGFlared &amp; I1418</f>
        <v>HALprelim_WasteGasFlare_</v>
      </c>
      <c r="R1640" s="694"/>
      <c r="S1640" s="694"/>
      <c r="T1640" s="694"/>
      <c r="U1640" s="1365" t="s">
        <v>1756</v>
      </c>
      <c r="V1640" s="1227" t="str">
        <f>IF(J1637="","",IF(CNTR_ReportingYear&lt;J1636,I1639,IF($I1640=0,J1637,$I1640*(1+J1639))))</f>
        <v/>
      </c>
      <c r="W1640" s="1227" t="str">
        <f>IF(K1637="","",IF(CNTR_ReportingYear&lt;K1636,J1639,IF($I1640=0,K1637,$I1640*(1+K1639))))</f>
        <v/>
      </c>
      <c r="X1640" s="1227" t="str">
        <f>IF(L1637="","",IF(CNTR_ReportingYear&lt;L1636,K1639,IF($I1640=0,L1637,$I1640*(1+L1639))))</f>
        <v/>
      </c>
      <c r="Y1640" s="1227" t="str">
        <f>IF(M1637="","",IF(CNTR_ReportingYear&lt;M1636,L1639,IF($I1640=0,M1637,$I1640*(1+M1639))))</f>
        <v/>
      </c>
      <c r="Z1640" s="1228" t="str">
        <f>IF(N1637="","",IF(CNTR_ReportingYear&lt;N1636,M1639,IF($I1640=0,N1637,$I1640*(1+N1639))))</f>
        <v/>
      </c>
      <c r="AA1640" s="694"/>
      <c r="AB1640" s="694"/>
      <c r="AC1640" s="694"/>
      <c r="AD1640" s="694"/>
      <c r="AE1640" s="694"/>
      <c r="AF1640" s="694"/>
      <c r="AG1640" s="694"/>
      <c r="AH1640" s="694"/>
      <c r="AI1640" s="694"/>
      <c r="AJ1640" s="694"/>
      <c r="AK1640" s="694"/>
      <c r="AL1640" s="694"/>
    </row>
    <row r="1641" spans="1:38" ht="5.15" customHeight="1" x14ac:dyDescent="0.25">
      <c r="A1641" s="729"/>
      <c r="B1641" s="298"/>
      <c r="C1641" s="1302"/>
      <c r="D1641" s="1208"/>
      <c r="E1641" s="1199"/>
      <c r="F1641" s="1199"/>
      <c r="G1641" s="1199"/>
      <c r="H1641" s="1199"/>
      <c r="I1641" s="1199"/>
      <c r="J1641" s="1229"/>
      <c r="K1641" s="1229"/>
      <c r="L1641" s="1229"/>
      <c r="M1641" s="1229"/>
      <c r="N1641" s="1230"/>
      <c r="O1641" s="302"/>
      <c r="P1641" s="302"/>
      <c r="Q1641" s="729"/>
      <c r="R1641" s="694"/>
      <c r="S1641" s="694"/>
      <c r="T1641" s="694"/>
      <c r="U1641" s="1231"/>
      <c r="V1641" s="729"/>
      <c r="W1641" s="694"/>
      <c r="X1641" s="694"/>
      <c r="Y1641" s="694"/>
      <c r="Z1641" s="1232"/>
      <c r="AA1641" s="694"/>
      <c r="AB1641" s="694"/>
      <c r="AC1641" s="694"/>
      <c r="AD1641" s="694"/>
      <c r="AE1641" s="694"/>
      <c r="AF1641" s="694"/>
      <c r="AG1641" s="694"/>
      <c r="AH1641" s="694"/>
      <c r="AI1641" s="694"/>
      <c r="AJ1641" s="694"/>
      <c r="AK1641" s="694"/>
      <c r="AL1641" s="694"/>
    </row>
    <row r="1642" spans="1:38" ht="12.75" customHeight="1" x14ac:dyDescent="0.25">
      <c r="A1642" s="729"/>
      <c r="B1642" s="298"/>
      <c r="C1642" s="1302"/>
      <c r="D1642" s="1208"/>
      <c r="E1642" s="2823" t="str">
        <f>Translations!$B$1323</f>
        <v>Действителна корекция (база за следващи години)</v>
      </c>
      <c r="F1642" s="2672"/>
      <c r="G1642" s="2672"/>
      <c r="H1642" s="2672"/>
      <c r="I1642" s="2813"/>
      <c r="J1642" s="1202">
        <f>J$2831</f>
        <v>2026</v>
      </c>
      <c r="K1642" s="1203">
        <f>K$2831</f>
        <v>2027</v>
      </c>
      <c r="L1642" s="1203">
        <f>L$2831</f>
        <v>2028</v>
      </c>
      <c r="M1642" s="1203">
        <f>M$2831</f>
        <v>2029</v>
      </c>
      <c r="N1642" s="1204">
        <f>N$2831</f>
        <v>2030</v>
      </c>
      <c r="O1642" s="302"/>
      <c r="P1642" s="302"/>
      <c r="Q1642" s="729"/>
      <c r="R1642" s="694"/>
      <c r="S1642" s="694"/>
      <c r="T1642" s="694"/>
      <c r="U1642" s="1234"/>
      <c r="V1642" s="694"/>
      <c r="W1642" s="694"/>
      <c r="X1642" s="694"/>
      <c r="Y1642" s="694"/>
      <c r="Z1642" s="1232"/>
      <c r="AA1642" s="694"/>
      <c r="AB1642" s="694"/>
      <c r="AC1642" s="694"/>
      <c r="AD1642" s="694"/>
      <c r="AE1642" s="694"/>
      <c r="AF1642" s="694"/>
      <c r="AG1642" s="694"/>
      <c r="AH1642" s="694"/>
      <c r="AI1642" s="694"/>
      <c r="AJ1642" s="694"/>
      <c r="AK1642" s="694"/>
      <c r="AL1642" s="694"/>
    </row>
    <row r="1643" spans="1:38" ht="12.75" customHeight="1" x14ac:dyDescent="0.25">
      <c r="A1643" s="729"/>
      <c r="B1643" s="298"/>
      <c r="C1643" s="1302"/>
      <c r="D1643" s="1208" t="s">
        <v>8</v>
      </c>
      <c r="E1643" s="2822" t="str">
        <f>Translations!$B$1515</f>
        <v>изпълнен ли е критерият за &gt;=300 квоти за емисии?</v>
      </c>
      <c r="F1643" s="2258"/>
      <c r="G1643" s="2258"/>
      <c r="H1643" s="2258"/>
      <c r="I1643" s="2824"/>
      <c r="J1643" s="1236" t="str">
        <f>IF($I1418="","",INDEX(K_Summary!J:J,MATCH($Q1643,K_Summary!$P:$P,0)))</f>
        <v/>
      </c>
      <c r="K1643" s="385" t="str">
        <f>IF($I1418="","",INDEX(K_Summary!K:K,MATCH($Q1643,K_Summary!$P:$P,0)))</f>
        <v/>
      </c>
      <c r="L1643" s="385" t="str">
        <f>IF($I1418="","",INDEX(K_Summary!L:L,MATCH($Q1643,K_Summary!$P:$P,0)))</f>
        <v/>
      </c>
      <c r="M1643" s="385" t="str">
        <f>IF($I1418="","",INDEX(K_Summary!M:M,MATCH($Q1643,K_Summary!$P:$P,0)))</f>
        <v/>
      </c>
      <c r="N1643" s="1237" t="str">
        <f>IF($I1418="","",INDEX(K_Summary!N:N,MATCH($Q1643,K_Summary!$P:$P,0)))</f>
        <v/>
      </c>
      <c r="O1643" s="302"/>
      <c r="P1643" s="302"/>
      <c r="Q1643" s="1182" t="str">
        <f>EUconst_CNTR_300EUA&amp;I1418</f>
        <v>EUA300_</v>
      </c>
      <c r="R1643" s="694"/>
      <c r="S1643" s="694"/>
      <c r="T1643" s="694"/>
      <c r="U1643" s="1234"/>
      <c r="V1643" s="694"/>
      <c r="W1643" s="694"/>
      <c r="X1643" s="694"/>
      <c r="Y1643" s="694"/>
      <c r="Z1643" s="1232"/>
      <c r="AA1643" s="694"/>
      <c r="AB1643" s="694"/>
      <c r="AC1643" s="694"/>
      <c r="AD1643" s="694"/>
      <c r="AE1643" s="694"/>
      <c r="AF1643" s="694"/>
      <c r="AG1643" s="694"/>
      <c r="AH1643" s="694"/>
      <c r="AI1643" s="694"/>
      <c r="AJ1643" s="694"/>
      <c r="AK1643" s="694"/>
      <c r="AL1643" s="694"/>
    </row>
    <row r="1644" spans="1:38" ht="5.15" customHeight="1" thickBot="1" x14ac:dyDescent="0.3">
      <c r="A1644" s="729"/>
      <c r="B1644" s="298"/>
      <c r="C1644" s="1302"/>
      <c r="D1644" s="1208"/>
      <c r="E1644" s="1199"/>
      <c r="F1644" s="1199"/>
      <c r="G1644" s="1199"/>
      <c r="H1644" s="1199"/>
      <c r="I1644" s="1199"/>
      <c r="J1644" s="1199"/>
      <c r="K1644" s="1199"/>
      <c r="L1644" s="1199"/>
      <c r="M1644" s="1199"/>
      <c r="N1644" s="1238"/>
      <c r="O1644" s="302"/>
      <c r="P1644" s="302"/>
      <c r="Q1644" s="729"/>
      <c r="R1644" s="694"/>
      <c r="S1644" s="694"/>
      <c r="T1644" s="694"/>
      <c r="U1644" s="1231"/>
      <c r="V1644" s="729"/>
      <c r="W1644" s="694"/>
      <c r="X1644" s="694"/>
      <c r="Y1644" s="694"/>
      <c r="Z1644" s="1232"/>
      <c r="AA1644" s="694"/>
      <c r="AB1644" s="694"/>
      <c r="AC1644" s="694"/>
      <c r="AD1644" s="694"/>
      <c r="AE1644" s="694"/>
      <c r="AF1644" s="694"/>
      <c r="AG1644" s="694"/>
      <c r="AH1644" s="694"/>
      <c r="AI1644" s="694"/>
      <c r="AJ1644" s="694"/>
      <c r="AK1644" s="694"/>
      <c r="AL1644" s="694"/>
    </row>
    <row r="1645" spans="1:38" ht="12.75" customHeight="1" thickBot="1" x14ac:dyDescent="0.3">
      <c r="A1645" s="694"/>
      <c r="B1645" s="298"/>
      <c r="C1645" s="1302"/>
      <c r="D1645" s="1208" t="s">
        <v>18</v>
      </c>
      <c r="E1645" s="2822" t="str">
        <f>Translations!$B$1324</f>
        <v>Действителна корекция (ако са надвишени всички прагове)</v>
      </c>
      <c r="F1645" s="2258"/>
      <c r="G1645" s="2258"/>
      <c r="H1645" s="2258"/>
      <c r="I1645" s="2824"/>
      <c r="J1645" s="1240" t="str">
        <f>IF(J1643="","",IF(OR(J1643,V1637&lt;1),J1639,I1645))</f>
        <v/>
      </c>
      <c r="K1645" s="1241" t="str">
        <f>IF(K1643="","",IF(OR(K1643,W1637&lt;1),K1639,J1645))</f>
        <v/>
      </c>
      <c r="L1645" s="1241" t="str">
        <f>IF(L1643="","",IF(OR(L1643,X1637&lt;1),L1639,K1645))</f>
        <v/>
      </c>
      <c r="M1645" s="1241" t="str">
        <f>IF(M1643="","",IF(OR(M1643,Y1637&lt;1),M1639,L1645))</f>
        <v/>
      </c>
      <c r="N1645" s="1242" t="str">
        <f>IF(N1643="","",IF(OR(N1643,Z1637&lt;1),N1639,M1645))</f>
        <v/>
      </c>
      <c r="O1645" s="302"/>
      <c r="P1645" s="302"/>
      <c r="Q1645" s="729"/>
      <c r="R1645" s="694"/>
      <c r="S1645" s="694"/>
      <c r="T1645" s="694"/>
      <c r="U1645" s="1231" t="s">
        <v>1718</v>
      </c>
      <c r="V1645" s="1243">
        <f>J1642</f>
        <v>2026</v>
      </c>
      <c r="W1645" s="1243">
        <f>K1642</f>
        <v>2027</v>
      </c>
      <c r="X1645" s="1243">
        <f>L1642</f>
        <v>2028</v>
      </c>
      <c r="Y1645" s="1243">
        <f>M1642</f>
        <v>2029</v>
      </c>
      <c r="Z1645" s="1244">
        <f>N1642</f>
        <v>2030</v>
      </c>
      <c r="AA1645" s="694"/>
      <c r="AB1645" s="694"/>
      <c r="AC1645" s="694"/>
      <c r="AD1645" s="694"/>
      <c r="AE1645" s="694"/>
      <c r="AF1645" s="694"/>
      <c r="AG1645" s="694"/>
      <c r="AH1645" s="694"/>
      <c r="AI1645" s="694"/>
      <c r="AJ1645" s="694"/>
      <c r="AK1645" s="694"/>
      <c r="AL1645" s="694"/>
    </row>
    <row r="1646" spans="1:38" ht="12.75" customHeight="1" thickBot="1" x14ac:dyDescent="0.3">
      <c r="A1646" s="729"/>
      <c r="B1646" s="298"/>
      <c r="C1646" s="1302"/>
      <c r="D1646" s="1208" t="s">
        <v>810</v>
      </c>
      <c r="E1646" s="2822" t="str">
        <f>Translations!$B$1325</f>
        <v>Действителна стойност</v>
      </c>
      <c r="F1646" s="2258"/>
      <c r="G1646" s="2258"/>
      <c r="H1646" s="1266" t="str">
        <f>H1637</f>
        <v>t CO2</v>
      </c>
      <c r="I1646" s="1211" t="str">
        <f>I1640</f>
        <v/>
      </c>
      <c r="J1646" s="632" t="str">
        <f>IF($I1418="","",IF(OR($I1646=0,$I1646=EUconst_NA),IF(OR(J1643=TRUE,J1642=$V1418),J1640,SUM(I1646)),IF(J1645="",J1640,$I1646*(1+SUM(J1645)))))</f>
        <v/>
      </c>
      <c r="K1646" s="633" t="str">
        <f>IF($I1418="","",IF(OR($I1646=0,$I1646=EUconst_NA),IF(OR(K1643=TRUE,K1642=$V1418),K1640,SUM(J1646)),IF(K1645="",K1640,$I1646*(1+SUM(K1645)))))</f>
        <v/>
      </c>
      <c r="L1646" s="633" t="str">
        <f>IF($I1418="","",IF(OR($I1646=0,$I1646=EUconst_NA),IF(OR(L1643=TRUE,L1642=$V1418),L1640,SUM(K1646)),IF(L1645="",L1640,$I1646*(1+SUM(L1645)))))</f>
        <v/>
      </c>
      <c r="M1646" s="633" t="str">
        <f>IF($I1418="","",IF(OR($I1646=0,$I1646=EUconst_NA),IF(OR(M1643=TRUE,M1642=$V1418),M1640,SUM(L1646)),IF(M1645="",M1640,$I1646*(1+SUM(M1645)))))</f>
        <v/>
      </c>
      <c r="N1646" s="634" t="str">
        <f>IF($I1418="","",IF(OR($I1646=0,$I1646=EUconst_NA),IF(OR(N1643=TRUE,N1642=$V1418),N1640,SUM(M1646)),IF(N1645="",N1640,$I1646*(1+SUM(N1645)))))</f>
        <v/>
      </c>
      <c r="O1646" s="302"/>
      <c r="P1646" s="302"/>
      <c r="Q1646" s="1190" t="str">
        <f>EUconst_CNTR_HALfinal&amp;EUconst_CNTR_WGFlared &amp; I1418</f>
        <v>HALfinal_WasteGasFlare_</v>
      </c>
      <c r="R1646" s="694"/>
      <c r="S1646" s="694"/>
      <c r="T1646" s="694"/>
      <c r="U1646" s="1245" t="b">
        <v>0</v>
      </c>
      <c r="V1646" s="1246" t="str">
        <f>IF(V1596,IF(J1643=TRUE,V1426,U1646),"")</f>
        <v/>
      </c>
      <c r="W1646" s="1246" t="str">
        <f>IF(W1596,IF(K1643=TRUE,W1426,V1646),"")</f>
        <v/>
      </c>
      <c r="X1646" s="1246" t="str">
        <f>IF(X1596,IF(L1643=TRUE,X1426,W1646),"")</f>
        <v/>
      </c>
      <c r="Y1646" s="1246" t="str">
        <f>IF(Y1596,IF(M1643=TRUE,Y1426,X1646),"")</f>
        <v/>
      </c>
      <c r="Z1646" s="1247" t="str">
        <f>IF(Z1596,IF(N1643=TRUE,Z1426,Y1646),"")</f>
        <v/>
      </c>
      <c r="AA1646" s="694"/>
      <c r="AB1646" s="694"/>
      <c r="AC1646" s="694"/>
      <c r="AD1646" s="694"/>
      <c r="AE1646" s="694"/>
      <c r="AF1646" s="694"/>
      <c r="AG1646" s="694"/>
      <c r="AH1646" s="694"/>
      <c r="AI1646" s="694"/>
      <c r="AJ1646" s="1174" t="s">
        <v>2033</v>
      </c>
      <c r="AK1646" s="982" t="str">
        <f>IF(OR(ISERROR(J1646),ISERROR(K1646),ISERROR(L1646),ISERROR(M1646),ISERROR(N1646)),EUconst_Error &amp; "BM" &amp; Q1418,"")</f>
        <v/>
      </c>
      <c r="AL1646" s="694"/>
    </row>
    <row r="1647" spans="1:38" ht="5.15" customHeight="1" thickBot="1" x14ac:dyDescent="0.3">
      <c r="A1647" s="694"/>
      <c r="B1647" s="298"/>
      <c r="C1647" s="1302"/>
      <c r="D1647" s="1366"/>
      <c r="E1647" s="1367"/>
      <c r="F1647" s="1367"/>
      <c r="G1647" s="1367"/>
      <c r="H1647" s="1368"/>
      <c r="I1647" s="1367"/>
      <c r="J1647" s="1367"/>
      <c r="K1647" s="1367"/>
      <c r="L1647" s="1367"/>
      <c r="M1647" s="1249"/>
      <c r="N1647" s="1250"/>
      <c r="O1647" s="302"/>
      <c r="P1647" s="302"/>
      <c r="Q1647" s="729"/>
      <c r="R1647" s="694"/>
      <c r="S1647" s="729"/>
      <c r="T1647" s="729"/>
      <c r="U1647" s="729"/>
      <c r="V1647" s="729"/>
      <c r="W1647" s="694"/>
      <c r="X1647" s="694"/>
      <c r="Y1647" s="694"/>
      <c r="Z1647" s="694"/>
      <c r="AA1647" s="694"/>
      <c r="AB1647" s="694"/>
      <c r="AC1647" s="694"/>
      <c r="AD1647" s="694"/>
      <c r="AE1647" s="694"/>
      <c r="AF1647" s="694"/>
      <c r="AG1647" s="694"/>
      <c r="AH1647" s="694"/>
      <c r="AI1647" s="694"/>
      <c r="AJ1647" s="694"/>
      <c r="AK1647" s="694"/>
      <c r="AL1647" s="694"/>
    </row>
    <row r="1648" spans="1:38" ht="5.15" customHeight="1" x14ac:dyDescent="0.25">
      <c r="A1648" s="694"/>
      <c r="B1648" s="298"/>
      <c r="C1648" s="1302"/>
      <c r="D1648" s="1306"/>
      <c r="E1648" s="1306"/>
      <c r="F1648" s="1306"/>
      <c r="G1648" s="1306"/>
      <c r="H1648" s="1354"/>
      <c r="I1648" s="1306"/>
      <c r="J1648" s="1306"/>
      <c r="K1648" s="1306"/>
      <c r="L1648" s="1306"/>
      <c r="M1648" s="626"/>
      <c r="N1648" s="1316"/>
      <c r="O1648" s="302"/>
      <c r="P1648" s="302"/>
      <c r="Q1648" s="729"/>
      <c r="R1648" s="694"/>
      <c r="S1648" s="729"/>
      <c r="T1648" s="729"/>
      <c r="U1648" s="729"/>
      <c r="V1648" s="729"/>
      <c r="W1648" s="694"/>
      <c r="X1648" s="694"/>
      <c r="Y1648" s="694"/>
      <c r="Z1648" s="694"/>
      <c r="AA1648" s="694"/>
      <c r="AB1648" s="694"/>
      <c r="AC1648" s="694"/>
      <c r="AD1648" s="694"/>
      <c r="AE1648" s="694"/>
      <c r="AF1648" s="694"/>
      <c r="AG1648" s="694"/>
      <c r="AH1648" s="694"/>
      <c r="AI1648" s="694"/>
      <c r="AJ1648" s="694"/>
      <c r="AK1648" s="694"/>
      <c r="AL1648" s="694"/>
    </row>
    <row r="1649" spans="1:38" ht="12.75" customHeight="1" x14ac:dyDescent="0.25">
      <c r="A1649" s="694"/>
      <c r="B1649" s="298"/>
      <c r="C1649" s="1302"/>
      <c r="D1649" s="625" t="s">
        <v>1140</v>
      </c>
      <c r="E1649" s="2815" t="str">
        <f>Translations!$B$582</f>
        <v>Видове получени отпадни газове:</v>
      </c>
      <c r="F1649" s="2240"/>
      <c r="G1649" s="2240"/>
      <c r="H1649" s="2684"/>
      <c r="I1649" s="2821"/>
      <c r="J1649" s="2674"/>
      <c r="K1649" s="2674"/>
      <c r="L1649" s="2674"/>
      <c r="M1649" s="2675"/>
      <c r="N1649" s="1316"/>
      <c r="O1649" s="302"/>
      <c r="P1649" s="158"/>
      <c r="Q1649" s="729"/>
      <c r="R1649" s="694"/>
      <c r="S1649" s="729"/>
      <c r="T1649" s="694"/>
      <c r="U1649" s="694"/>
      <c r="V1649" s="694"/>
      <c r="W1649" s="694"/>
      <c r="X1649" s="694"/>
      <c r="Y1649" s="694"/>
      <c r="Z1649" s="694"/>
      <c r="AA1649" s="694"/>
      <c r="AB1649" s="694"/>
      <c r="AC1649" s="1182" t="s">
        <v>737</v>
      </c>
      <c r="AD1649" s="982" t="b">
        <f>AD1623</f>
        <v>0</v>
      </c>
      <c r="AE1649" s="694"/>
      <c r="AF1649" s="694"/>
      <c r="AG1649" s="694"/>
      <c r="AH1649" s="694"/>
      <c r="AI1649" s="694"/>
      <c r="AJ1649" s="694"/>
      <c r="AK1649" s="694"/>
      <c r="AL1649" s="694"/>
    </row>
    <row r="1650" spans="1:38" ht="12.75" customHeight="1" x14ac:dyDescent="0.25">
      <c r="A1650" s="694"/>
      <c r="B1650" s="298"/>
      <c r="C1650" s="1302"/>
      <c r="D1650" s="625"/>
      <c r="E1650" s="2816" t="str">
        <f>Translations!$B$583</f>
        <v>Посочените тук данни ще се отразят на емисиите, които могат да бъдат зададени съгласно раздел 10.1.5 от приложение VII към ПБР.</v>
      </c>
      <c r="F1650" s="2240"/>
      <c r="G1650" s="2240"/>
      <c r="H1650" s="2240"/>
      <c r="I1650" s="2240"/>
      <c r="J1650" s="2240"/>
      <c r="K1650" s="2240"/>
      <c r="L1650" s="2240"/>
      <c r="M1650" s="2240"/>
      <c r="N1650" s="2811"/>
      <c r="O1650" s="302"/>
      <c r="P1650" s="302"/>
      <c r="Q1650" s="729"/>
      <c r="R1650" s="694"/>
      <c r="S1650" s="729"/>
      <c r="T1650" s="729"/>
      <c r="U1650" s="729"/>
      <c r="V1650" s="729"/>
      <c r="W1650" s="694"/>
      <c r="X1650" s="694"/>
      <c r="Y1650" s="694"/>
      <c r="Z1650" s="694"/>
      <c r="AA1650" s="694"/>
      <c r="AB1650" s="694"/>
      <c r="AC1650" s="694"/>
      <c r="AD1650" s="694"/>
      <c r="AE1650" s="694"/>
      <c r="AF1650" s="694"/>
      <c r="AG1650" s="694"/>
      <c r="AH1650" s="694"/>
      <c r="AI1650" s="694"/>
      <c r="AJ1650" s="694"/>
      <c r="AK1650" s="694"/>
      <c r="AL1650" s="694"/>
    </row>
    <row r="1651" spans="1:38" ht="25.5" customHeight="1" x14ac:dyDescent="0.25">
      <c r="A1651" s="694"/>
      <c r="B1651" s="298"/>
      <c r="C1651" s="1302"/>
      <c r="D1651" s="625"/>
      <c r="E1651" s="2810" t="str">
        <f>Translations!$B$584</f>
        <v>Това включва всички видове отпадни газове, произведени извън системните граници на тази подинсталация, но получени от нея и използвани за производството на измерима топлинна енергия, неизмерима топлинна енергия (включително необходимото за безопасността изгаряне във факел) или механична енергия (различна от тази за електропроизводство).</v>
      </c>
      <c r="F1651" s="2240"/>
      <c r="G1651" s="2240"/>
      <c r="H1651" s="2240"/>
      <c r="I1651" s="2240"/>
      <c r="J1651" s="2240"/>
      <c r="K1651" s="2240"/>
      <c r="L1651" s="2240"/>
      <c r="M1651" s="2240"/>
      <c r="N1651" s="2811"/>
      <c r="O1651" s="302"/>
      <c r="P1651" s="302"/>
      <c r="Q1651" s="729"/>
      <c r="R1651" s="694"/>
      <c r="S1651" s="729"/>
      <c r="T1651" s="729"/>
      <c r="U1651" s="729"/>
      <c r="V1651" s="729"/>
      <c r="W1651" s="694"/>
      <c r="X1651" s="694"/>
      <c r="Y1651" s="694"/>
      <c r="Z1651" s="694"/>
      <c r="AA1651" s="694"/>
      <c r="AB1651" s="694"/>
      <c r="AC1651" s="694"/>
      <c r="AD1651" s="694"/>
      <c r="AE1651" s="694"/>
      <c r="AF1651" s="694"/>
      <c r="AG1651" s="694"/>
      <c r="AH1651" s="694"/>
      <c r="AI1651" s="694"/>
      <c r="AJ1651" s="694"/>
      <c r="AK1651" s="694"/>
      <c r="AL1651" s="694"/>
    </row>
    <row r="1652" spans="1:38" ht="12.75" customHeight="1" thickBot="1" x14ac:dyDescent="0.3">
      <c r="A1652" s="694"/>
      <c r="B1652" s="298"/>
      <c r="C1652" s="1302"/>
      <c r="D1652" s="1306"/>
      <c r="E1652" s="1317"/>
      <c r="F1652" s="1318"/>
      <c r="G1652" s="1309" t="str">
        <f>EUconst_Unit</f>
        <v>Единица мярка</v>
      </c>
      <c r="H1652" s="629">
        <f t="shared" ref="H1652:N1652" si="2233">H$2831</f>
        <v>2024</v>
      </c>
      <c r="I1652" s="1310">
        <f t="shared" si="2233"/>
        <v>2025</v>
      </c>
      <c r="J1652" s="1311">
        <f t="shared" si="2233"/>
        <v>2026</v>
      </c>
      <c r="K1652" s="629">
        <f t="shared" si="2233"/>
        <v>2027</v>
      </c>
      <c r="L1652" s="629">
        <f t="shared" si="2233"/>
        <v>2028</v>
      </c>
      <c r="M1652" s="629">
        <f t="shared" si="2233"/>
        <v>2029</v>
      </c>
      <c r="N1652" s="1312">
        <f t="shared" si="2233"/>
        <v>2030</v>
      </c>
      <c r="O1652" s="302"/>
      <c r="P1652" s="302"/>
      <c r="Q1652" s="729"/>
      <c r="R1652" s="694"/>
      <c r="S1652" s="729"/>
      <c r="T1652" s="729"/>
      <c r="U1652" s="729"/>
      <c r="V1652" s="729"/>
      <c r="W1652" s="694"/>
      <c r="X1652" s="694"/>
      <c r="Y1652" s="694"/>
      <c r="Z1652" s="694"/>
      <c r="AA1652" s="694"/>
      <c r="AB1652" s="694"/>
      <c r="AC1652" s="1178">
        <f t="shared" ref="AC1652" si="2234">H$20</f>
        <v>2024</v>
      </c>
      <c r="AD1652" s="1178">
        <f t="shared" ref="AD1652" si="2235">I$20</f>
        <v>2025</v>
      </c>
      <c r="AE1652" s="1178">
        <f t="shared" ref="AE1652" si="2236">J$20</f>
        <v>2026</v>
      </c>
      <c r="AF1652" s="1178">
        <f t="shared" ref="AF1652" si="2237">K$20</f>
        <v>2027</v>
      </c>
      <c r="AG1652" s="1178">
        <f t="shared" ref="AG1652" si="2238">L$20</f>
        <v>2028</v>
      </c>
      <c r="AH1652" s="1178">
        <f t="shared" ref="AH1652" si="2239">M$20</f>
        <v>2029</v>
      </c>
      <c r="AI1652" s="1178">
        <f t="shared" ref="AI1652" si="2240">N$20</f>
        <v>2030</v>
      </c>
      <c r="AJ1652" s="694"/>
      <c r="AK1652" s="694"/>
      <c r="AL1652" s="694"/>
    </row>
    <row r="1653" spans="1:38" ht="12.75" customHeight="1" thickBot="1" x14ac:dyDescent="0.3">
      <c r="A1653" s="694"/>
      <c r="B1653" s="298"/>
      <c r="C1653" s="1302"/>
      <c r="D1653" s="625" t="s">
        <v>1141</v>
      </c>
      <c r="E1653" s="2818" t="str">
        <f>Translations!$B$585</f>
        <v>Получени количества</v>
      </c>
      <c r="F1653" s="2701"/>
      <c r="G1653" s="145"/>
      <c r="H1653" s="129"/>
      <c r="I1653" s="130"/>
      <c r="J1653" s="131"/>
      <c r="K1653" s="129"/>
      <c r="L1653" s="129"/>
      <c r="M1653" s="129"/>
      <c r="N1653" s="132"/>
      <c r="O1653" s="302"/>
      <c r="P1653" s="158"/>
      <c r="Q1653" s="729"/>
      <c r="R1653" s="694"/>
      <c r="S1653" s="729"/>
      <c r="T1653" s="729"/>
      <c r="U1653" s="729"/>
      <c r="V1653" s="729"/>
      <c r="W1653" s="694"/>
      <c r="X1653" s="694"/>
      <c r="Y1653" s="694"/>
      <c r="Z1653" s="694"/>
      <c r="AA1653" s="694"/>
      <c r="AB1653" s="1182" t="s">
        <v>737</v>
      </c>
      <c r="AC1653" s="982" t="b">
        <f t="shared" ref="AC1653:AI1653" si="2241">AC1609</f>
        <v>0</v>
      </c>
      <c r="AD1653" s="982" t="b">
        <f t="shared" si="2241"/>
        <v>0</v>
      </c>
      <c r="AE1653" s="982" t="b">
        <f t="shared" si="2241"/>
        <v>0</v>
      </c>
      <c r="AF1653" s="982" t="b">
        <f t="shared" si="2241"/>
        <v>0</v>
      </c>
      <c r="AG1653" s="982" t="b">
        <f t="shared" si="2241"/>
        <v>0</v>
      </c>
      <c r="AH1653" s="982" t="b">
        <f t="shared" si="2241"/>
        <v>0</v>
      </c>
      <c r="AI1653" s="982" t="b">
        <f t="shared" si="2241"/>
        <v>0</v>
      </c>
      <c r="AJ1653" s="1174" t="s">
        <v>2039</v>
      </c>
      <c r="AK1653" s="1176" t="str">
        <f>IF(AND(CNTR_ExistSubInstEntries,MSconst_RequireSubAttrEmissions,COUNTIFS(AC1653:AI1653,FALSE,H1653:N1653,"")&gt;0),EUconst_Error&amp;"BM"&amp;$Q1418,"")</f>
        <v/>
      </c>
      <c r="AL1653" s="694"/>
    </row>
    <row r="1654" spans="1:38" ht="12.75" customHeight="1" x14ac:dyDescent="0.25">
      <c r="A1654" s="694"/>
      <c r="B1654" s="298"/>
      <c r="C1654" s="1302"/>
      <c r="D1654" s="625" t="s">
        <v>1142</v>
      </c>
      <c r="E1654" s="2819" t="str">
        <f>Translations!$B$296</f>
        <v>Долна топлина на изгаряне</v>
      </c>
      <c r="F1654" s="2705"/>
      <c r="G1654" s="1349" t="str">
        <f>IF(ISBLANK(G1653),EUconst_GJperUnit,INDEX(EUconst_GJperTorKNm3,MATCH(G1653,EUconst_TonnesOrkNm3pa,0)))</f>
        <v>GJ / Единица мярка</v>
      </c>
      <c r="H1654" s="137"/>
      <c r="I1654" s="138"/>
      <c r="J1654" s="139"/>
      <c r="K1654" s="137"/>
      <c r="L1654" s="137"/>
      <c r="M1654" s="137"/>
      <c r="N1654" s="140"/>
      <c r="O1654" s="302"/>
      <c r="P1654" s="158"/>
      <c r="Q1654" s="729"/>
      <c r="R1654" s="694"/>
      <c r="S1654" s="1205"/>
      <c r="T1654" s="1313">
        <f t="shared" ref="T1654" si="2242">H1652</f>
        <v>2024</v>
      </c>
      <c r="U1654" s="1313">
        <f t="shared" ref="U1654" si="2243">I1652</f>
        <v>2025</v>
      </c>
      <c r="V1654" s="1313">
        <f t="shared" ref="V1654" si="2244">J1652</f>
        <v>2026</v>
      </c>
      <c r="W1654" s="1313">
        <f t="shared" ref="W1654" si="2245">K1652</f>
        <v>2027</v>
      </c>
      <c r="X1654" s="1313">
        <f t="shared" ref="X1654" si="2246">L1652</f>
        <v>2028</v>
      </c>
      <c r="Y1654" s="1313">
        <f t="shared" ref="Y1654" si="2247">M1652</f>
        <v>2029</v>
      </c>
      <c r="Z1654" s="1314">
        <f t="shared" ref="Z1654" si="2248">N1652</f>
        <v>2030</v>
      </c>
      <c r="AA1654" s="694"/>
      <c r="AB1654" s="694"/>
      <c r="AC1654" s="982" t="b">
        <f>AC1653</f>
        <v>0</v>
      </c>
      <c r="AD1654" s="982" t="b">
        <f t="shared" ref="AD1654:AI1654" si="2249">AD1653</f>
        <v>0</v>
      </c>
      <c r="AE1654" s="982" t="b">
        <f t="shared" si="2249"/>
        <v>0</v>
      </c>
      <c r="AF1654" s="982" t="b">
        <f t="shared" si="2249"/>
        <v>0</v>
      </c>
      <c r="AG1654" s="982" t="b">
        <f t="shared" si="2249"/>
        <v>0</v>
      </c>
      <c r="AH1654" s="982" t="b">
        <f t="shared" si="2249"/>
        <v>0</v>
      </c>
      <c r="AI1654" s="982" t="b">
        <f t="shared" si="2249"/>
        <v>0</v>
      </c>
      <c r="AJ1654" s="1174" t="s">
        <v>2039</v>
      </c>
      <c r="AK1654" s="1176" t="str">
        <f>IF(AND(CNTR_ExistSubInstEntries,MSconst_RequireSubAttrEmissions,COUNTIFS(AC1654:AI1654,FALSE,H1654:N1654,"")&gt;0),EUconst_Error&amp;"BM"&amp;$Q1418,"")</f>
        <v/>
      </c>
      <c r="AL1654" s="694"/>
    </row>
    <row r="1655" spans="1:38" ht="12.75" customHeight="1" x14ac:dyDescent="0.25">
      <c r="A1655" s="694"/>
      <c r="B1655" s="298"/>
      <c r="C1655" s="1302"/>
      <c r="D1655" s="625" t="s">
        <v>1143</v>
      </c>
      <c r="E1655" s="2820" t="str">
        <f>Translations!$B$586</f>
        <v>Получен отпаден газ</v>
      </c>
      <c r="F1655" s="2258"/>
      <c r="G1655" s="1319" t="str">
        <f>EUconst_TJpa</f>
        <v>TJ / година</v>
      </c>
      <c r="H1655" s="1020" t="str">
        <f t="shared" ref="H1655:N1655" si="2250">IF(COUNT(H1653:H1654)=2,H1653*H1654/1000,"")</f>
        <v/>
      </c>
      <c r="I1655" s="1369" t="str">
        <f t="shared" si="2250"/>
        <v/>
      </c>
      <c r="J1655" s="1370" t="str">
        <f t="shared" si="2250"/>
        <v/>
      </c>
      <c r="K1655" s="1020" t="str">
        <f t="shared" si="2250"/>
        <v/>
      </c>
      <c r="L1655" s="1020" t="str">
        <f t="shared" si="2250"/>
        <v/>
      </c>
      <c r="M1655" s="1020" t="str">
        <f t="shared" si="2250"/>
        <v/>
      </c>
      <c r="N1655" s="1371" t="str">
        <f t="shared" si="2250"/>
        <v/>
      </c>
      <c r="O1655" s="302"/>
      <c r="P1655" s="302"/>
      <c r="Q1655" s="1190" t="str">
        <f>EUconst_CNTR_WGImport &amp; I1418</f>
        <v>WasteGasIm_</v>
      </c>
      <c r="R1655" s="694"/>
      <c r="S1655" s="1347" t="str">
        <f>EUconst_ERR_AttrEmBMapplied &amp; I1418</f>
        <v>ERR_AttrEmBM_</v>
      </c>
      <c r="T1655" s="982">
        <f t="shared" ref="T1655" si="2251">IF(AND(H1655&lt;&gt;"",EUconst_StatusOfDataCollection=FALSE),1,0)</f>
        <v>0</v>
      </c>
      <c r="U1655" s="982">
        <f t="shared" ref="U1655" si="2252">IF(AND(I1655&lt;&gt;"",EUconst_StatusOfDataCollection=FALSE),1,0)</f>
        <v>0</v>
      </c>
      <c r="V1655" s="982">
        <f t="shared" ref="V1655" si="2253">IF(AND(J1655&lt;&gt;"",EUconst_StatusOfDataCollection=FALSE),1,0)</f>
        <v>0</v>
      </c>
      <c r="W1655" s="982">
        <f t="shared" ref="W1655" si="2254">IF(AND(K1655&lt;&gt;"",EUconst_StatusOfDataCollection=FALSE),1,0)</f>
        <v>0</v>
      </c>
      <c r="X1655" s="982">
        <f t="shared" ref="X1655" si="2255">IF(AND(L1655&lt;&gt;"",EUconst_StatusOfDataCollection=FALSE),1,0)</f>
        <v>0</v>
      </c>
      <c r="Y1655" s="982">
        <f t="shared" ref="Y1655" si="2256">IF(AND(M1655&lt;&gt;"",EUconst_StatusOfDataCollection=FALSE),1,0)</f>
        <v>0</v>
      </c>
      <c r="Z1655" s="1287">
        <f t="shared" ref="Z1655" si="2257">IF(AND(N1655&lt;&gt;"",EUconst_StatusOfDataCollection=FALSE),1,0)</f>
        <v>0</v>
      </c>
      <c r="AA1655" s="694"/>
      <c r="AB1655" s="694"/>
      <c r="AC1655" s="694"/>
      <c r="AD1655" s="694"/>
      <c r="AE1655" s="694"/>
      <c r="AF1655" s="694"/>
      <c r="AG1655" s="694"/>
      <c r="AH1655" s="694"/>
      <c r="AI1655" s="694"/>
      <c r="AJ1655" s="694"/>
      <c r="AK1655" s="694"/>
      <c r="AL1655" s="694"/>
    </row>
    <row r="1656" spans="1:38" s="364" customFormat="1" ht="12.75" customHeight="1" thickBot="1" x14ac:dyDescent="0.3">
      <c r="A1656" s="729"/>
      <c r="B1656" s="298"/>
      <c r="C1656" s="1302"/>
      <c r="D1656" s="625" t="s">
        <v>1144</v>
      </c>
      <c r="E1656" s="2820" t="str">
        <f>Translations!$B$587</f>
        <v>Специфичен EF (получен отпаден газ)</v>
      </c>
      <c r="F1656" s="2258"/>
      <c r="G1656" s="642" t="str">
        <f>EUconst_tCO2pTJ</f>
        <v>t CO2 / TJ</v>
      </c>
      <c r="H1656" s="146"/>
      <c r="I1656" s="147"/>
      <c r="J1656" s="148"/>
      <c r="K1656" s="146"/>
      <c r="L1656" s="146"/>
      <c r="M1656" s="146"/>
      <c r="N1656" s="149"/>
      <c r="O1656" s="302"/>
      <c r="P1656" s="158"/>
      <c r="Q1656" s="1190" t="str">
        <f>EUconst_CNTR_WGImportEF &amp; I1418</f>
        <v>WasteGasImEF_</v>
      </c>
      <c r="R1656" s="729"/>
      <c r="S1656" s="1315" t="str">
        <f>EUconst_CNTR_AttributedEmissions &amp; I1418</f>
        <v>AttrEmissions_</v>
      </c>
      <c r="T1656" s="1290" t="str">
        <f t="shared" ref="T1656" si="2258">IF(T1426,SUM(H1655)*EUconst_FuelBMvalue,"")</f>
        <v/>
      </c>
      <c r="U1656" s="1290" t="str">
        <f t="shared" ref="U1656" si="2259">IF(U1426,SUM(I1655)*EUconst_FuelBMvalue,"")</f>
        <v/>
      </c>
      <c r="V1656" s="1290" t="str">
        <f t="shared" ref="V1656" si="2260">IF(V1426,SUM(J1655)*EUconst_FuelBMvalue,"")</f>
        <v/>
      </c>
      <c r="W1656" s="1290" t="str">
        <f t="shared" ref="W1656" si="2261">IF(W1426,SUM(K1655)*EUconst_FuelBMvalue,"")</f>
        <v/>
      </c>
      <c r="X1656" s="1290" t="str">
        <f t="shared" ref="X1656" si="2262">IF(X1426,SUM(L1655)*EUconst_FuelBMvalue,"")</f>
        <v/>
      </c>
      <c r="Y1656" s="1290" t="str">
        <f t="shared" ref="Y1656" si="2263">IF(Y1426,SUM(M1655)*EUconst_FuelBMvalue,"")</f>
        <v/>
      </c>
      <c r="Z1656" s="1291" t="str">
        <f t="shared" ref="Z1656" si="2264">IF(Z1426,SUM(N1655)*EUconst_FuelBMvalue,"")</f>
        <v/>
      </c>
      <c r="AA1656" s="729"/>
      <c r="AB1656" s="1182" t="s">
        <v>737</v>
      </c>
      <c r="AC1656" s="982" t="b">
        <f>AC1654</f>
        <v>0</v>
      </c>
      <c r="AD1656" s="982" t="b">
        <f t="shared" ref="AD1656:AI1656" si="2265">AD1654</f>
        <v>0</v>
      </c>
      <c r="AE1656" s="982" t="b">
        <f t="shared" si="2265"/>
        <v>0</v>
      </c>
      <c r="AF1656" s="982" t="b">
        <f t="shared" si="2265"/>
        <v>0</v>
      </c>
      <c r="AG1656" s="982" t="b">
        <f t="shared" si="2265"/>
        <v>0</v>
      </c>
      <c r="AH1656" s="982" t="b">
        <f t="shared" si="2265"/>
        <v>0</v>
      </c>
      <c r="AI1656" s="982" t="b">
        <f t="shared" si="2265"/>
        <v>0</v>
      </c>
      <c r="AJ1656" s="1174" t="s">
        <v>2039</v>
      </c>
      <c r="AK1656" s="1176" t="str">
        <f>IF(AND(CNTR_ExistSubInstEntries,MSconst_RequireSubAttrEmissions,COUNTIFS(AC1656:AI1656,FALSE,H1656:N1656,"")&gt;0),EUconst_Error&amp;"BM"&amp;$Q1418,"")</f>
        <v/>
      </c>
      <c r="AL1656" s="694"/>
    </row>
    <row r="1657" spans="1:38" ht="12.75" customHeight="1" x14ac:dyDescent="0.25">
      <c r="A1657" s="694"/>
      <c r="B1657" s="298"/>
      <c r="C1657" s="1302"/>
      <c r="D1657" s="1306"/>
      <c r="E1657" s="1306"/>
      <c r="F1657" s="1306"/>
      <c r="G1657" s="1306"/>
      <c r="H1657" s="1354"/>
      <c r="I1657" s="1306"/>
      <c r="J1657" s="1306"/>
      <c r="K1657" s="1306"/>
      <c r="L1657" s="1306"/>
      <c r="M1657" s="626"/>
      <c r="N1657" s="1316"/>
      <c r="O1657" s="302"/>
      <c r="P1657" s="302"/>
      <c r="Q1657" s="729"/>
      <c r="R1657" s="694"/>
      <c r="S1657" s="729"/>
      <c r="T1657" s="729"/>
      <c r="U1657" s="729"/>
      <c r="V1657" s="729"/>
      <c r="W1657" s="694"/>
      <c r="X1657" s="694"/>
      <c r="Y1657" s="694"/>
      <c r="Z1657" s="694"/>
      <c r="AA1657" s="694"/>
      <c r="AB1657" s="694"/>
      <c r="AC1657" s="694"/>
      <c r="AD1657" s="694"/>
      <c r="AE1657" s="694"/>
      <c r="AF1657" s="694"/>
      <c r="AG1657" s="694"/>
      <c r="AH1657" s="694"/>
      <c r="AI1657" s="694"/>
      <c r="AJ1657" s="694"/>
      <c r="AK1657" s="694"/>
      <c r="AL1657" s="694"/>
    </row>
    <row r="1658" spans="1:38" ht="12.75" customHeight="1" x14ac:dyDescent="0.25">
      <c r="A1658" s="694"/>
      <c r="B1658" s="298"/>
      <c r="C1658" s="1302"/>
      <c r="D1658" s="625" t="s">
        <v>1145</v>
      </c>
      <c r="E1658" s="2815" t="str">
        <f>Translations!$B$588</f>
        <v>Видове подадени отпадни газове:</v>
      </c>
      <c r="F1658" s="2240"/>
      <c r="G1658" s="2240"/>
      <c r="H1658" s="2684"/>
      <c r="I1658" s="2821"/>
      <c r="J1658" s="2674"/>
      <c r="K1658" s="2674"/>
      <c r="L1658" s="2674"/>
      <c r="M1658" s="2675"/>
      <c r="N1658" s="1323"/>
      <c r="O1658" s="302"/>
      <c r="P1658" s="158"/>
      <c r="Q1658" s="729"/>
      <c r="R1658" s="694"/>
      <c r="S1658" s="729"/>
      <c r="T1658" s="694"/>
      <c r="U1658" s="694"/>
      <c r="V1658" s="694"/>
      <c r="W1658" s="694"/>
      <c r="X1658" s="694"/>
      <c r="Y1658" s="694"/>
      <c r="Z1658" s="694"/>
      <c r="AA1658" s="694"/>
      <c r="AB1658" s="694"/>
      <c r="AC1658" s="1182" t="s">
        <v>737</v>
      </c>
      <c r="AD1658" s="982" t="b">
        <f>AD1649</f>
        <v>0</v>
      </c>
      <c r="AE1658" s="694"/>
      <c r="AF1658" s="694"/>
      <c r="AG1658" s="694"/>
      <c r="AH1658" s="694"/>
      <c r="AI1658" s="694"/>
      <c r="AJ1658" s="694"/>
      <c r="AK1658" s="694"/>
      <c r="AL1658" s="694"/>
    </row>
    <row r="1659" spans="1:38" ht="12.75" customHeight="1" x14ac:dyDescent="0.25">
      <c r="A1659" s="694"/>
      <c r="B1659" s="298"/>
      <c r="C1659" s="1302"/>
      <c r="D1659" s="625"/>
      <c r="E1659" s="2816" t="str">
        <f>Translations!$B$583</f>
        <v>Посочените тук данни ще се отразят на емисиите, които могат да бъдат зададени съгласно раздел 10.1.5 от приложение VII към ПБР.</v>
      </c>
      <c r="F1659" s="2240"/>
      <c r="G1659" s="2240"/>
      <c r="H1659" s="2240"/>
      <c r="I1659" s="2240"/>
      <c r="J1659" s="2240"/>
      <c r="K1659" s="2240"/>
      <c r="L1659" s="2240"/>
      <c r="M1659" s="2240"/>
      <c r="N1659" s="2811"/>
      <c r="O1659" s="302"/>
      <c r="P1659" s="302"/>
      <c r="Q1659" s="729"/>
      <c r="R1659" s="694"/>
      <c r="S1659" s="729"/>
      <c r="T1659" s="729"/>
      <c r="U1659" s="729"/>
      <c r="V1659" s="729"/>
      <c r="W1659" s="694"/>
      <c r="X1659" s="694"/>
      <c r="Y1659" s="694"/>
      <c r="Z1659" s="694"/>
      <c r="AA1659" s="694"/>
      <c r="AB1659" s="694"/>
      <c r="AC1659" s="694"/>
      <c r="AD1659" s="694"/>
      <c r="AE1659" s="694"/>
      <c r="AF1659" s="694"/>
      <c r="AG1659" s="694"/>
      <c r="AH1659" s="694"/>
      <c r="AI1659" s="694"/>
      <c r="AJ1659" s="694"/>
      <c r="AK1659" s="694"/>
      <c r="AL1659" s="694"/>
    </row>
    <row r="1660" spans="1:38" ht="25.5" customHeight="1" x14ac:dyDescent="0.25">
      <c r="A1660" s="694"/>
      <c r="B1660" s="298"/>
      <c r="C1660" s="1302"/>
      <c r="D1660" s="625"/>
      <c r="E1660" s="2810" t="str">
        <f>Translations!$B$589</f>
        <v>Това включва всички видове отпадни газове, произведени в системните граници на тази подинсталация и подадени от тази инсталация към други подинсталации, както и към всички други инсталации или обекти.</v>
      </c>
      <c r="F1660" s="2240"/>
      <c r="G1660" s="2240"/>
      <c r="H1660" s="2240"/>
      <c r="I1660" s="2240"/>
      <c r="J1660" s="2240"/>
      <c r="K1660" s="2240"/>
      <c r="L1660" s="2240"/>
      <c r="M1660" s="2240"/>
      <c r="N1660" s="2811"/>
      <c r="O1660" s="302"/>
      <c r="P1660" s="302"/>
      <c r="Q1660" s="729"/>
      <c r="R1660" s="694"/>
      <c r="S1660" s="729"/>
      <c r="T1660" s="729"/>
      <c r="U1660" s="729"/>
      <c r="V1660" s="729"/>
      <c r="W1660" s="694"/>
      <c r="X1660" s="694"/>
      <c r="Y1660" s="694"/>
      <c r="Z1660" s="694"/>
      <c r="AA1660" s="694"/>
      <c r="AB1660" s="694"/>
      <c r="AC1660" s="694"/>
      <c r="AD1660" s="694"/>
      <c r="AE1660" s="694"/>
      <c r="AF1660" s="694"/>
      <c r="AG1660" s="694"/>
      <c r="AH1660" s="694"/>
      <c r="AI1660" s="694"/>
      <c r="AJ1660" s="694"/>
      <c r="AK1660" s="694"/>
      <c r="AL1660" s="694"/>
    </row>
    <row r="1661" spans="1:38" ht="12.75" customHeight="1" thickBot="1" x14ac:dyDescent="0.3">
      <c r="A1661" s="694"/>
      <c r="B1661" s="298"/>
      <c r="C1661" s="1302"/>
      <c r="D1661" s="1306"/>
      <c r="E1661" s="1317"/>
      <c r="F1661" s="1318"/>
      <c r="G1661" s="1309" t="str">
        <f>EUconst_Unit</f>
        <v>Единица мярка</v>
      </c>
      <c r="H1661" s="629">
        <f t="shared" ref="H1661:N1661" si="2266">H$2831</f>
        <v>2024</v>
      </c>
      <c r="I1661" s="1310">
        <f t="shared" si="2266"/>
        <v>2025</v>
      </c>
      <c r="J1661" s="1311">
        <f t="shared" si="2266"/>
        <v>2026</v>
      </c>
      <c r="K1661" s="629">
        <f t="shared" si="2266"/>
        <v>2027</v>
      </c>
      <c r="L1661" s="629">
        <f t="shared" si="2266"/>
        <v>2028</v>
      </c>
      <c r="M1661" s="629">
        <f t="shared" si="2266"/>
        <v>2029</v>
      </c>
      <c r="N1661" s="1312">
        <f t="shared" si="2266"/>
        <v>2030</v>
      </c>
      <c r="O1661" s="302"/>
      <c r="P1661" s="302"/>
      <c r="Q1661" s="729"/>
      <c r="R1661" s="694"/>
      <c r="S1661" s="729"/>
      <c r="T1661" s="729"/>
      <c r="U1661" s="729"/>
      <c r="V1661" s="729"/>
      <c r="W1661" s="694"/>
      <c r="X1661" s="694"/>
      <c r="Y1661" s="694"/>
      <c r="Z1661" s="694"/>
      <c r="AA1661" s="694"/>
      <c r="AB1661" s="694"/>
      <c r="AC1661" s="1178">
        <f t="shared" ref="AC1661" si="2267">H$20</f>
        <v>2024</v>
      </c>
      <c r="AD1661" s="1178">
        <f t="shared" ref="AD1661" si="2268">I$20</f>
        <v>2025</v>
      </c>
      <c r="AE1661" s="1178">
        <f t="shared" ref="AE1661" si="2269">J$20</f>
        <v>2026</v>
      </c>
      <c r="AF1661" s="1178">
        <f t="shared" ref="AF1661" si="2270">K$20</f>
        <v>2027</v>
      </c>
      <c r="AG1661" s="1178">
        <f t="shared" ref="AG1661" si="2271">L$20</f>
        <v>2028</v>
      </c>
      <c r="AH1661" s="1178">
        <f t="shared" ref="AH1661" si="2272">M$20</f>
        <v>2029</v>
      </c>
      <c r="AI1661" s="1178">
        <f t="shared" ref="AI1661" si="2273">N$20</f>
        <v>2030</v>
      </c>
      <c r="AJ1661" s="694"/>
      <c r="AK1661" s="694"/>
      <c r="AL1661" s="694"/>
    </row>
    <row r="1662" spans="1:38" ht="12.75" customHeight="1" x14ac:dyDescent="0.25">
      <c r="A1662" s="694"/>
      <c r="B1662" s="298"/>
      <c r="C1662" s="1302"/>
      <c r="D1662" s="625" t="s">
        <v>1146</v>
      </c>
      <c r="E1662" s="2818" t="str">
        <f>Translations!$B$590</f>
        <v>Подадени количества</v>
      </c>
      <c r="F1662" s="2701"/>
      <c r="G1662" s="145"/>
      <c r="H1662" s="129"/>
      <c r="I1662" s="130"/>
      <c r="J1662" s="131"/>
      <c r="K1662" s="129"/>
      <c r="L1662" s="129"/>
      <c r="M1662" s="129"/>
      <c r="N1662" s="132"/>
      <c r="O1662" s="302"/>
      <c r="P1662" s="158"/>
      <c r="Q1662" s="729"/>
      <c r="R1662" s="694"/>
      <c r="S1662" s="729"/>
      <c r="T1662" s="729"/>
      <c r="U1662" s="729"/>
      <c r="V1662" s="729"/>
      <c r="W1662" s="694"/>
      <c r="X1662" s="694"/>
      <c r="Y1662" s="694"/>
      <c r="Z1662" s="694"/>
      <c r="AA1662" s="694"/>
      <c r="AB1662" s="1182" t="s">
        <v>737</v>
      </c>
      <c r="AC1662" s="982" t="b">
        <f>AC1609</f>
        <v>0</v>
      </c>
      <c r="AD1662" s="982" t="b">
        <f t="shared" ref="AD1662:AI1662" si="2274">AD1609</f>
        <v>0</v>
      </c>
      <c r="AE1662" s="982" t="b">
        <f t="shared" si="2274"/>
        <v>0</v>
      </c>
      <c r="AF1662" s="982" t="b">
        <f t="shared" si="2274"/>
        <v>0</v>
      </c>
      <c r="AG1662" s="982" t="b">
        <f t="shared" si="2274"/>
        <v>0</v>
      </c>
      <c r="AH1662" s="982" t="b">
        <f t="shared" si="2274"/>
        <v>0</v>
      </c>
      <c r="AI1662" s="982" t="b">
        <f t="shared" si="2274"/>
        <v>0</v>
      </c>
      <c r="AJ1662" s="1174" t="s">
        <v>2039</v>
      </c>
      <c r="AK1662" s="1176" t="str">
        <f>IF(AND(CNTR_ExistSubInstEntries,MSconst_RequireSubAttrEmissions,COUNTIFS(AC1662:AI1662,FALSE,H1662:N1662,"")&gt;0),EUconst_Error&amp;"BM"&amp;$Q1418,"")</f>
        <v/>
      </c>
      <c r="AL1662" s="694"/>
    </row>
    <row r="1663" spans="1:38" ht="12.75" customHeight="1" thickBot="1" x14ac:dyDescent="0.3">
      <c r="A1663" s="694"/>
      <c r="B1663" s="298"/>
      <c r="C1663" s="1302"/>
      <c r="D1663" s="625" t="s">
        <v>1619</v>
      </c>
      <c r="E1663" s="2819" t="str">
        <f>Translations!$B$296</f>
        <v>Долна топлина на изгаряне</v>
      </c>
      <c r="F1663" s="2705"/>
      <c r="G1663" s="1349" t="str">
        <f>IF(ISBLANK(G1662),EUconst_GJperUnit,INDEX(EUconst_GJperTorKNm3,MATCH(G1662,EUconst_TonnesOrkNm3pa,0)))</f>
        <v>GJ / Единица мярка</v>
      </c>
      <c r="H1663" s="137"/>
      <c r="I1663" s="138"/>
      <c r="J1663" s="139"/>
      <c r="K1663" s="137"/>
      <c r="L1663" s="137"/>
      <c r="M1663" s="137"/>
      <c r="N1663" s="140"/>
      <c r="O1663" s="302"/>
      <c r="P1663" s="158"/>
      <c r="Q1663" s="729"/>
      <c r="R1663" s="694"/>
      <c r="S1663" s="729"/>
      <c r="T1663" s="729"/>
      <c r="U1663" s="729"/>
      <c r="V1663" s="729"/>
      <c r="W1663" s="694"/>
      <c r="X1663" s="694"/>
      <c r="Y1663" s="694"/>
      <c r="Z1663" s="694"/>
      <c r="AA1663" s="694"/>
      <c r="AB1663" s="694"/>
      <c r="AC1663" s="982" t="b">
        <f>AC1662</f>
        <v>0</v>
      </c>
      <c r="AD1663" s="982" t="b">
        <f t="shared" ref="AD1663:AI1663" si="2275">AD1662</f>
        <v>0</v>
      </c>
      <c r="AE1663" s="982" t="b">
        <f t="shared" si="2275"/>
        <v>0</v>
      </c>
      <c r="AF1663" s="982" t="b">
        <f t="shared" si="2275"/>
        <v>0</v>
      </c>
      <c r="AG1663" s="982" t="b">
        <f t="shared" si="2275"/>
        <v>0</v>
      </c>
      <c r="AH1663" s="982" t="b">
        <f t="shared" si="2275"/>
        <v>0</v>
      </c>
      <c r="AI1663" s="982" t="b">
        <f t="shared" si="2275"/>
        <v>0</v>
      </c>
      <c r="AJ1663" s="1174" t="s">
        <v>2039</v>
      </c>
      <c r="AK1663" s="1176" t="str">
        <f>IF(AND(CNTR_ExistSubInstEntries,MSconst_RequireSubAttrEmissions,COUNTIFS(AC1663:AI1663,FALSE,H1663:N1663,"")&gt;0),EUconst_Error&amp;"BM"&amp;$Q1418,"")</f>
        <v/>
      </c>
      <c r="AL1663" s="694"/>
    </row>
    <row r="1664" spans="1:38" ht="12.75" customHeight="1" x14ac:dyDescent="0.25">
      <c r="A1664" s="694"/>
      <c r="B1664" s="298"/>
      <c r="C1664" s="1302"/>
      <c r="D1664" s="625" t="s">
        <v>1659</v>
      </c>
      <c r="E1664" s="2820" t="str">
        <f>Translations!$B$591</f>
        <v>Подаден отпаден газ</v>
      </c>
      <c r="F1664" s="2258"/>
      <c r="G1664" s="1319" t="str">
        <f>EUconst_TJpa</f>
        <v>TJ / година</v>
      </c>
      <c r="H1664" s="1020" t="str">
        <f t="shared" ref="H1664:N1664" si="2276">IF(COUNT(H1662:H1663)=2,H1662*H1663/1000,"")</f>
        <v/>
      </c>
      <c r="I1664" s="1369" t="str">
        <f t="shared" si="2276"/>
        <v/>
      </c>
      <c r="J1664" s="1370" t="str">
        <f t="shared" si="2276"/>
        <v/>
      </c>
      <c r="K1664" s="1020" t="str">
        <f t="shared" si="2276"/>
        <v/>
      </c>
      <c r="L1664" s="1020" t="str">
        <f t="shared" si="2276"/>
        <v/>
      </c>
      <c r="M1664" s="1020" t="str">
        <f t="shared" si="2276"/>
        <v/>
      </c>
      <c r="N1664" s="1371" t="str">
        <f t="shared" si="2276"/>
        <v/>
      </c>
      <c r="O1664" s="302"/>
      <c r="P1664" s="302"/>
      <c r="Q1664" s="1190" t="str">
        <f>EUconst_CNTR_WGExport &amp; I1418</f>
        <v>WasteGasEx_</v>
      </c>
      <c r="R1664" s="694"/>
      <c r="S1664" s="1205"/>
      <c r="T1664" s="1313">
        <f t="shared" ref="T1664" si="2277">H1661</f>
        <v>2024</v>
      </c>
      <c r="U1664" s="1313">
        <f t="shared" ref="U1664" si="2278">I1661</f>
        <v>2025</v>
      </c>
      <c r="V1664" s="1313">
        <f t="shared" ref="V1664" si="2279">J1661</f>
        <v>2026</v>
      </c>
      <c r="W1664" s="1313">
        <f t="shared" ref="W1664" si="2280">K1661</f>
        <v>2027</v>
      </c>
      <c r="X1664" s="1313">
        <f t="shared" ref="X1664" si="2281">L1661</f>
        <v>2028</v>
      </c>
      <c r="Y1664" s="1313">
        <f t="shared" ref="Y1664" si="2282">M1661</f>
        <v>2029</v>
      </c>
      <c r="Z1664" s="1314">
        <f t="shared" ref="Z1664" si="2283">N1661</f>
        <v>2030</v>
      </c>
      <c r="AA1664" s="694"/>
      <c r="AB1664" s="694"/>
      <c r="AC1664" s="694"/>
      <c r="AD1664" s="694"/>
      <c r="AE1664" s="694"/>
      <c r="AF1664" s="694"/>
      <c r="AG1664" s="694"/>
      <c r="AH1664" s="694"/>
      <c r="AI1664" s="694"/>
      <c r="AJ1664" s="694"/>
      <c r="AK1664" s="694"/>
      <c r="AL1664" s="694"/>
    </row>
    <row r="1665" spans="1:38" s="364" customFormat="1" ht="12.75" customHeight="1" thickBot="1" x14ac:dyDescent="0.3">
      <c r="A1665" s="694"/>
      <c r="B1665" s="298"/>
      <c r="C1665" s="1302"/>
      <c r="D1665" s="625" t="s">
        <v>1660</v>
      </c>
      <c r="E1665" s="2820" t="str">
        <f>Translations!$B$592</f>
        <v>Специфичен EF (подаден отпаден газ)</v>
      </c>
      <c r="F1665" s="2258"/>
      <c r="G1665" s="642" t="str">
        <f>EUconst_tCO2pTJ</f>
        <v>t CO2 / TJ</v>
      </c>
      <c r="H1665" s="146"/>
      <c r="I1665" s="147"/>
      <c r="J1665" s="148"/>
      <c r="K1665" s="146"/>
      <c r="L1665" s="146"/>
      <c r="M1665" s="146"/>
      <c r="N1665" s="149"/>
      <c r="O1665" s="302"/>
      <c r="P1665" s="158"/>
      <c r="Q1665" s="1190" t="str">
        <f>EUconst_CNTR_WGExportEF &amp; I1418</f>
        <v>WasteGasExEF_</v>
      </c>
      <c r="R1665" s="729"/>
      <c r="S1665" s="1315" t="str">
        <f>EUconst_CNTR_AttributedEmissions &amp; I1418</f>
        <v>AttrEmissions_</v>
      </c>
      <c r="T1665" s="1290" t="str">
        <f t="shared" ref="T1665" si="2284">IF(T1426,-SUM(H1664)*EUconst_NGEFvalue*EUconst_WasteGasCorrFactor,"")</f>
        <v/>
      </c>
      <c r="U1665" s="1290" t="str">
        <f t="shared" ref="U1665" si="2285">IF(U1426,-SUM(I1664)*EUconst_NGEFvalue*EUconst_WasteGasCorrFactor,"")</f>
        <v/>
      </c>
      <c r="V1665" s="1290" t="str">
        <f t="shared" ref="V1665" si="2286">IF(V1426,-SUM(J1664)*EUconst_NGEFvalue*EUconst_WasteGasCorrFactor,"")</f>
        <v/>
      </c>
      <c r="W1665" s="1290" t="str">
        <f t="shared" ref="W1665" si="2287">IF(W1426,-SUM(K1664)*EUconst_NGEFvalue*EUconst_WasteGasCorrFactor,"")</f>
        <v/>
      </c>
      <c r="X1665" s="1290" t="str">
        <f t="shared" ref="X1665" si="2288">IF(X1426,-SUM(L1664)*EUconst_NGEFvalue*EUconst_WasteGasCorrFactor,"")</f>
        <v/>
      </c>
      <c r="Y1665" s="1290" t="str">
        <f t="shared" ref="Y1665" si="2289">IF(Y1426,-SUM(M1664)*EUconst_NGEFvalue*EUconst_WasteGasCorrFactor,"")</f>
        <v/>
      </c>
      <c r="Z1665" s="1291" t="str">
        <f t="shared" ref="Z1665" si="2290">IF(Z1426,-SUM(N1664)*EUconst_NGEFvalue*EUconst_WasteGasCorrFactor,"")</f>
        <v/>
      </c>
      <c r="AA1665" s="729"/>
      <c r="AB1665" s="1182" t="s">
        <v>737</v>
      </c>
      <c r="AC1665" s="982" t="b">
        <f t="shared" ref="AC1665:AI1665" si="2291">AC1612</f>
        <v>0</v>
      </c>
      <c r="AD1665" s="982" t="b">
        <f t="shared" si="2291"/>
        <v>0</v>
      </c>
      <c r="AE1665" s="982" t="b">
        <f t="shared" si="2291"/>
        <v>0</v>
      </c>
      <c r="AF1665" s="982" t="b">
        <f t="shared" si="2291"/>
        <v>0</v>
      </c>
      <c r="AG1665" s="982" t="b">
        <f t="shared" si="2291"/>
        <v>0</v>
      </c>
      <c r="AH1665" s="982" t="b">
        <f t="shared" si="2291"/>
        <v>0</v>
      </c>
      <c r="AI1665" s="982" t="b">
        <f t="shared" si="2291"/>
        <v>0</v>
      </c>
      <c r="AJ1665" s="1174" t="s">
        <v>2039</v>
      </c>
      <c r="AK1665" s="1176" t="str">
        <f>IF(AND(CNTR_ExistSubInstEntries,MSconst_RequireSubAttrEmissions,COUNTIFS(AC1665:AI1665,FALSE,H1665:N1665,"")&gt;0),EUconst_Error&amp;"BM"&amp;$Q1418,"")</f>
        <v/>
      </c>
      <c r="AL1665" s="694"/>
    </row>
    <row r="1666" spans="1:38" ht="12.75" customHeight="1" x14ac:dyDescent="0.25">
      <c r="A1666" s="694"/>
      <c r="B1666" s="298"/>
      <c r="C1666" s="1302"/>
      <c r="D1666" s="1306"/>
      <c r="E1666" s="1306"/>
      <c r="F1666" s="1306"/>
      <c r="G1666" s="1306"/>
      <c r="H1666" s="1306"/>
      <c r="I1666" s="1354"/>
      <c r="J1666" s="1306"/>
      <c r="K1666" s="1306"/>
      <c r="L1666" s="1306"/>
      <c r="M1666" s="1306"/>
      <c r="N1666" s="1316"/>
      <c r="O1666" s="302"/>
      <c r="P1666" s="302"/>
      <c r="Q1666" s="729"/>
      <c r="R1666" s="694"/>
      <c r="S1666" s="729"/>
      <c r="T1666" s="694"/>
      <c r="U1666" s="694"/>
      <c r="V1666" s="694"/>
      <c r="W1666" s="694"/>
      <c r="X1666" s="694"/>
      <c r="Y1666" s="694"/>
      <c r="Z1666" s="694"/>
      <c r="AA1666" s="694"/>
      <c r="AB1666" s="694"/>
      <c r="AC1666" s="694"/>
      <c r="AD1666" s="694"/>
      <c r="AE1666" s="694"/>
      <c r="AF1666" s="694"/>
      <c r="AG1666" s="694"/>
      <c r="AH1666" s="694"/>
      <c r="AI1666" s="694"/>
      <c r="AJ1666" s="694"/>
      <c r="AK1666" s="694"/>
      <c r="AL1666" s="694"/>
    </row>
    <row r="1667" spans="1:38" ht="12.75" customHeight="1" x14ac:dyDescent="0.25">
      <c r="A1667" s="694"/>
      <c r="B1667" s="298"/>
      <c r="C1667" s="1302"/>
      <c r="D1667" s="1307" t="s">
        <v>493</v>
      </c>
      <c r="E1667" s="2815" t="str">
        <f>Translations!$B$246</f>
        <v>Производство на електроенергия</v>
      </c>
      <c r="F1667" s="2240"/>
      <c r="G1667" s="2240"/>
      <c r="H1667" s="2240"/>
      <c r="I1667" s="2240"/>
      <c r="J1667" s="2240"/>
      <c r="K1667" s="2240"/>
      <c r="L1667" s="2240"/>
      <c r="M1667" s="2240"/>
      <c r="N1667" s="2811"/>
      <c r="O1667" s="302"/>
      <c r="P1667" s="302"/>
      <c r="Q1667" s="729"/>
      <c r="R1667" s="694"/>
      <c r="S1667" s="729"/>
      <c r="T1667" s="694"/>
      <c r="U1667" s="694"/>
      <c r="V1667" s="694"/>
      <c r="W1667" s="694"/>
      <c r="X1667" s="694"/>
      <c r="Y1667" s="694"/>
      <c r="Z1667" s="694"/>
      <c r="AA1667" s="694"/>
      <c r="AB1667" s="694"/>
      <c r="AC1667" s="694"/>
      <c r="AD1667" s="694"/>
      <c r="AE1667" s="694"/>
      <c r="AF1667" s="694"/>
      <c r="AG1667" s="694"/>
      <c r="AH1667" s="694"/>
      <c r="AI1667" s="694"/>
      <c r="AJ1667" s="694"/>
      <c r="AK1667" s="694"/>
      <c r="AL1667" s="694"/>
    </row>
    <row r="1668" spans="1:38" ht="12.75" customHeight="1" x14ac:dyDescent="0.25">
      <c r="A1668" s="694"/>
      <c r="B1668" s="298"/>
      <c r="C1668" s="1302"/>
      <c r="D1668" s="625"/>
      <c r="E1668" s="2816" t="str">
        <f>Translations!$B$593</f>
        <v>Посочените тук данни ще се отразят на емисиите, които могат да бъдат зададени съгласно раздел 10 от приложение VII към ПБР.</v>
      </c>
      <c r="F1668" s="2240"/>
      <c r="G1668" s="2240"/>
      <c r="H1668" s="2240"/>
      <c r="I1668" s="2240"/>
      <c r="J1668" s="2240"/>
      <c r="K1668" s="2240"/>
      <c r="L1668" s="2240"/>
      <c r="M1668" s="2240"/>
      <c r="N1668" s="2811"/>
      <c r="O1668" s="302"/>
      <c r="P1668" s="302"/>
      <c r="Q1668" s="729"/>
      <c r="R1668" s="694"/>
      <c r="S1668" s="729"/>
      <c r="T1668" s="729"/>
      <c r="U1668" s="729"/>
      <c r="V1668" s="729"/>
      <c r="W1668" s="694"/>
      <c r="X1668" s="694"/>
      <c r="Y1668" s="694"/>
      <c r="Z1668" s="694"/>
      <c r="AA1668" s="694"/>
      <c r="AB1668" s="694"/>
      <c r="AC1668" s="694"/>
      <c r="AD1668" s="694"/>
      <c r="AE1668" s="694"/>
      <c r="AF1668" s="694"/>
      <c r="AG1668" s="694"/>
      <c r="AH1668" s="694"/>
      <c r="AI1668" s="694"/>
      <c r="AJ1668" s="694"/>
      <c r="AK1668" s="694"/>
      <c r="AL1668" s="694"/>
    </row>
    <row r="1669" spans="1:38" ht="25.5" customHeight="1" thickBot="1" x14ac:dyDescent="0.3">
      <c r="A1669" s="694"/>
      <c r="B1669" s="298"/>
      <c r="C1669" s="1302"/>
      <c r="D1669" s="1306"/>
      <c r="E1669" s="2810" t="str">
        <f>Translations!$B$594</f>
        <v>Това включва електроенергията, произведена директно от тази подинсталация, съгласно раздел 3.1, буква и) от приложение IV към ПБР. Електроенергията, произведена чрез междинна измерима топлинна енергия, не се посочват тук, а като подадена измерима топлинна енергия в k).v по-горе.</v>
      </c>
      <c r="F1669" s="2240"/>
      <c r="G1669" s="2240"/>
      <c r="H1669" s="2240"/>
      <c r="I1669" s="2240"/>
      <c r="J1669" s="2240"/>
      <c r="K1669" s="2240"/>
      <c r="L1669" s="2240"/>
      <c r="M1669" s="2240"/>
      <c r="N1669" s="2811"/>
      <c r="O1669" s="302"/>
      <c r="P1669" s="302"/>
      <c r="Q1669" s="729"/>
      <c r="R1669" s="694"/>
      <c r="S1669" s="729"/>
      <c r="T1669" s="694"/>
      <c r="U1669" s="694"/>
      <c r="V1669" s="694"/>
      <c r="W1669" s="694"/>
      <c r="X1669" s="694"/>
      <c r="Y1669" s="694"/>
      <c r="Z1669" s="694"/>
      <c r="AA1669" s="694"/>
      <c r="AB1669" s="694"/>
      <c r="AC1669" s="694"/>
      <c r="AD1669" s="694"/>
      <c r="AE1669" s="694"/>
      <c r="AF1669" s="694"/>
      <c r="AG1669" s="694"/>
      <c r="AH1669" s="694"/>
      <c r="AI1669" s="694"/>
      <c r="AJ1669" s="694"/>
      <c r="AK1669" s="694"/>
      <c r="AL1669" s="694"/>
    </row>
    <row r="1670" spans="1:38" ht="12.75" customHeight="1" thickBot="1" x14ac:dyDescent="0.3">
      <c r="A1670" s="694"/>
      <c r="B1670" s="298"/>
      <c r="C1670" s="1302"/>
      <c r="D1670" s="1307"/>
      <c r="E1670" s="1317"/>
      <c r="F1670" s="1318"/>
      <c r="G1670" s="1309" t="str">
        <f>EUconst_Unit</f>
        <v>Единица мярка</v>
      </c>
      <c r="H1670" s="629">
        <f t="shared" ref="H1670:N1670" si="2292">H$2831</f>
        <v>2024</v>
      </c>
      <c r="I1670" s="1310">
        <f t="shared" si="2292"/>
        <v>2025</v>
      </c>
      <c r="J1670" s="1311">
        <f t="shared" si="2292"/>
        <v>2026</v>
      </c>
      <c r="K1670" s="629">
        <f t="shared" si="2292"/>
        <v>2027</v>
      </c>
      <c r="L1670" s="629">
        <f t="shared" si="2292"/>
        <v>2028</v>
      </c>
      <c r="M1670" s="629">
        <f t="shared" si="2292"/>
        <v>2029</v>
      </c>
      <c r="N1670" s="1312">
        <f t="shared" si="2292"/>
        <v>2030</v>
      </c>
      <c r="O1670" s="302"/>
      <c r="P1670" s="302"/>
      <c r="Q1670" s="729"/>
      <c r="R1670" s="694"/>
      <c r="S1670" s="1205"/>
      <c r="T1670" s="1313">
        <f t="shared" ref="T1670" si="2293">H1670</f>
        <v>2024</v>
      </c>
      <c r="U1670" s="1313">
        <f t="shared" ref="U1670" si="2294">I1670</f>
        <v>2025</v>
      </c>
      <c r="V1670" s="1313">
        <f t="shared" ref="V1670" si="2295">J1670</f>
        <v>2026</v>
      </c>
      <c r="W1670" s="1313">
        <f t="shared" ref="W1670" si="2296">K1670</f>
        <v>2027</v>
      </c>
      <c r="X1670" s="1313">
        <f t="shared" ref="X1670" si="2297">L1670</f>
        <v>2028</v>
      </c>
      <c r="Y1670" s="1313">
        <f t="shared" ref="Y1670" si="2298">M1670</f>
        <v>2029</v>
      </c>
      <c r="Z1670" s="1314">
        <f t="shared" ref="Z1670" si="2299">N1670</f>
        <v>2030</v>
      </c>
      <c r="AA1670" s="694"/>
      <c r="AB1670" s="694"/>
      <c r="AC1670" s="1178">
        <f t="shared" ref="AC1670" si="2300">H$20</f>
        <v>2024</v>
      </c>
      <c r="AD1670" s="1178">
        <f t="shared" ref="AD1670" si="2301">I$20</f>
        <v>2025</v>
      </c>
      <c r="AE1670" s="1178">
        <f t="shared" ref="AE1670" si="2302">J$20</f>
        <v>2026</v>
      </c>
      <c r="AF1670" s="1178">
        <f t="shared" ref="AF1670" si="2303">K$20</f>
        <v>2027</v>
      </c>
      <c r="AG1670" s="1178">
        <f t="shared" ref="AG1670" si="2304">L$20</f>
        <v>2028</v>
      </c>
      <c r="AH1670" s="1178">
        <f t="shared" ref="AH1670" si="2305">M$20</f>
        <v>2029</v>
      </c>
      <c r="AI1670" s="1178">
        <f t="shared" ref="AI1670" si="2306">N$20</f>
        <v>2030</v>
      </c>
      <c r="AJ1670" s="694"/>
      <c r="AK1670" s="694"/>
      <c r="AL1670" s="694"/>
    </row>
    <row r="1671" spans="1:38" ht="12.75" customHeight="1" thickBot="1" x14ac:dyDescent="0.3">
      <c r="A1671" s="694"/>
      <c r="B1671" s="298"/>
      <c r="C1671" s="1302"/>
      <c r="D1671" s="625"/>
      <c r="E1671" s="2820" t="str">
        <f>Translations!$B$595</f>
        <v>Произведена електроенергия</v>
      </c>
      <c r="F1671" s="2258"/>
      <c r="G1671" s="1319" t="str">
        <f>EUconst_MWhpa</f>
        <v>MWh / година</v>
      </c>
      <c r="H1671" s="56"/>
      <c r="I1671" s="115"/>
      <c r="J1671" s="118"/>
      <c r="K1671" s="56"/>
      <c r="L1671" s="56"/>
      <c r="M1671" s="56"/>
      <c r="N1671" s="121"/>
      <c r="O1671" s="302"/>
      <c r="P1671" s="158"/>
      <c r="Q1671" s="1190" t="str">
        <f>EUconst_CNTR_ElectricityExported &amp; I1418</f>
        <v>ElecEx_</v>
      </c>
      <c r="R1671" s="694"/>
      <c r="S1671" s="1315" t="str">
        <f>EUconst_CNTR_AttributedEmissions &amp; I1418</f>
        <v>AttrEmissions_</v>
      </c>
      <c r="T1671" s="1290" t="str">
        <f t="shared" ref="T1671" si="2307">IF(T1426,-SUM(H1671)*EUconst_ElBM,"")</f>
        <v/>
      </c>
      <c r="U1671" s="1290" t="str">
        <f t="shared" ref="U1671" si="2308">IF(U1426,-SUM(I1671)*EUconst_ElBM,"")</f>
        <v/>
      </c>
      <c r="V1671" s="1290" t="str">
        <f t="shared" ref="V1671" si="2309">IF(V1426,-SUM(J1671)*EUconst_ElBM,"")</f>
        <v/>
      </c>
      <c r="W1671" s="1290" t="str">
        <f t="shared" ref="W1671" si="2310">IF(W1426,-SUM(K1671)*EUconst_ElBM,"")</f>
        <v/>
      </c>
      <c r="X1671" s="1290" t="str">
        <f t="shared" ref="X1671" si="2311">IF(X1426,-SUM(L1671)*EUconst_ElBM,"")</f>
        <v/>
      </c>
      <c r="Y1671" s="1290" t="str">
        <f t="shared" ref="Y1671" si="2312">IF(Y1426,-SUM(M1671)*EUconst_ElBM,"")</f>
        <v/>
      </c>
      <c r="Z1671" s="1291" t="str">
        <f t="shared" ref="Z1671" si="2313">IF(Z1426,-SUM(N1671)*EUconst_ElBM,"")</f>
        <v/>
      </c>
      <c r="AA1671" s="694"/>
      <c r="AB1671" s="1182" t="s">
        <v>737</v>
      </c>
      <c r="AC1671" s="982" t="b">
        <f>AC1465</f>
        <v>0</v>
      </c>
      <c r="AD1671" s="982" t="b">
        <f t="shared" ref="AD1671:AI1671" si="2314">AD1465</f>
        <v>0</v>
      </c>
      <c r="AE1671" s="982" t="b">
        <f t="shared" si="2314"/>
        <v>0</v>
      </c>
      <c r="AF1671" s="982" t="b">
        <f t="shared" si="2314"/>
        <v>0</v>
      </c>
      <c r="AG1671" s="982" t="b">
        <f t="shared" si="2314"/>
        <v>0</v>
      </c>
      <c r="AH1671" s="982" t="b">
        <f t="shared" si="2314"/>
        <v>0</v>
      </c>
      <c r="AI1671" s="982" t="b">
        <f t="shared" si="2314"/>
        <v>0</v>
      </c>
      <c r="AJ1671" s="1174" t="s">
        <v>2039</v>
      </c>
      <c r="AK1671" s="1176" t="str">
        <f>IF(AND(CNTR_ExistSubInstEntries,MSconst_RequireSubAttrEmissions,COUNTIFS(AC1671:AI1671,FALSE,H1671:N1671,"")&gt;0),EUconst_Error&amp;"BM"&amp;$Q1418,"")</f>
        <v/>
      </c>
      <c r="AL1671" s="694"/>
    </row>
    <row r="1672" spans="1:38" ht="12.75" customHeight="1" x14ac:dyDescent="0.25">
      <c r="A1672" s="694"/>
      <c r="B1672" s="298"/>
      <c r="C1672" s="1302"/>
      <c r="D1672" s="1306"/>
      <c r="E1672" s="1306"/>
      <c r="F1672" s="1306"/>
      <c r="G1672" s="1306"/>
      <c r="H1672" s="1306"/>
      <c r="I1672" s="1354"/>
      <c r="J1672" s="1306"/>
      <c r="K1672" s="1306"/>
      <c r="L1672" s="1306"/>
      <c r="M1672" s="1306"/>
      <c r="N1672" s="1316"/>
      <c r="O1672" s="302"/>
      <c r="P1672" s="302"/>
      <c r="Q1672" s="729"/>
      <c r="R1672" s="694"/>
      <c r="S1672" s="729"/>
      <c r="T1672" s="694"/>
      <c r="U1672" s="694"/>
      <c r="V1672" s="729"/>
      <c r="W1672" s="694"/>
      <c r="X1672" s="694"/>
      <c r="Y1672" s="694"/>
      <c r="Z1672" s="694"/>
      <c r="AA1672" s="694"/>
      <c r="AB1672" s="694"/>
      <c r="AC1672" s="694"/>
      <c r="AD1672" s="694"/>
      <c r="AE1672" s="694"/>
      <c r="AF1672" s="694"/>
      <c r="AG1672" s="694"/>
      <c r="AH1672" s="694"/>
      <c r="AI1672" s="694"/>
      <c r="AJ1672" s="694"/>
      <c r="AK1672" s="694"/>
      <c r="AL1672" s="694"/>
    </row>
    <row r="1673" spans="1:38" ht="12.75" customHeight="1" x14ac:dyDescent="0.25">
      <c r="A1673" s="694"/>
      <c r="B1673" s="298"/>
      <c r="C1673" s="1302"/>
      <c r="D1673" s="1307" t="s">
        <v>249</v>
      </c>
      <c r="E1673" s="2815" t="str">
        <f>Translations!$B$596</f>
        <v>Общо количество произведен пулп</v>
      </c>
      <c r="F1673" s="2240"/>
      <c r="G1673" s="2240"/>
      <c r="H1673" s="2240"/>
      <c r="I1673" s="2240"/>
      <c r="J1673" s="2240"/>
      <c r="K1673" s="2240"/>
      <c r="L1673" s="2240"/>
      <c r="M1673" s="2240"/>
      <c r="N1673" s="2811"/>
      <c r="O1673" s="302"/>
      <c r="P1673" s="302"/>
      <c r="Q1673" s="694"/>
      <c r="R1673" s="694"/>
      <c r="S1673" s="694"/>
      <c r="T1673" s="694"/>
      <c r="U1673" s="694"/>
      <c r="V1673" s="729"/>
      <c r="W1673" s="694"/>
      <c r="X1673" s="694"/>
      <c r="Y1673" s="694"/>
      <c r="Z1673" s="694"/>
      <c r="AA1673" s="694"/>
      <c r="AB1673" s="694"/>
      <c r="AC1673" s="694"/>
      <c r="AD1673" s="694"/>
      <c r="AE1673" s="694"/>
      <c r="AF1673" s="694"/>
      <c r="AG1673" s="694"/>
      <c r="AH1673" s="694"/>
      <c r="AI1673" s="694"/>
      <c r="AJ1673" s="694"/>
      <c r="AK1673" s="694"/>
      <c r="AL1673" s="694"/>
    </row>
    <row r="1674" spans="1:38" ht="25.5" customHeight="1" x14ac:dyDescent="0.25">
      <c r="A1674" s="694"/>
      <c r="B1674" s="298"/>
      <c r="C1674" s="1302"/>
      <c r="D1674" s="1306"/>
      <c r="E1674" s="2810" t="str">
        <f>Translations!$B$597</f>
        <v>Съгласно раздел 2.7, буква к) от приложение IV към ПБР се отчита общото количество пулп, произведен за подинсталации с продуктов показател за късовлакнест крафт-пулп, дълговлакнест крафт-пулп, термомеханичен пулп и механичен пулп или сулфитен пулп.</v>
      </c>
      <c r="F1674" s="2240"/>
      <c r="G1674" s="2240"/>
      <c r="H1674" s="2240"/>
      <c r="I1674" s="2240"/>
      <c r="J1674" s="2240"/>
      <c r="K1674" s="2240"/>
      <c r="L1674" s="2240"/>
      <c r="M1674" s="2240"/>
      <c r="N1674" s="2811"/>
      <c r="O1674" s="302"/>
      <c r="P1674" s="302"/>
      <c r="Q1674" s="729"/>
      <c r="R1674" s="694"/>
      <c r="S1674" s="729"/>
      <c r="T1674" s="694"/>
      <c r="U1674" s="694"/>
      <c r="V1674" s="729"/>
      <c r="W1674" s="694"/>
      <c r="X1674" s="694"/>
      <c r="Y1674" s="694"/>
      <c r="Z1674" s="694"/>
      <c r="AA1674" s="694"/>
      <c r="AB1674" s="694"/>
      <c r="AC1674" s="694"/>
      <c r="AD1674" s="694"/>
      <c r="AE1674" s="694"/>
      <c r="AF1674" s="694"/>
      <c r="AG1674" s="694"/>
      <c r="AH1674" s="694"/>
      <c r="AI1674" s="694"/>
      <c r="AJ1674" s="694"/>
      <c r="AK1674" s="694"/>
      <c r="AL1674" s="694"/>
    </row>
    <row r="1675" spans="1:38" ht="12.75" customHeight="1" x14ac:dyDescent="0.25">
      <c r="A1675" s="694"/>
      <c r="B1675" s="298"/>
      <c r="C1675" s="1302"/>
      <c r="D1675" s="1306"/>
      <c r="E1675" s="2810" t="str">
        <f>Translations!$B$598</f>
        <v>Този раздел ще бъде защрихован в сиво, ако тази подинсталация не е една от тези видове подинсталации за производство на пулп. В такъв случай, моля, продължете с точките по-долу.</v>
      </c>
      <c r="F1675" s="2240"/>
      <c r="G1675" s="2240"/>
      <c r="H1675" s="2240"/>
      <c r="I1675" s="2240"/>
      <c r="J1675" s="2240"/>
      <c r="K1675" s="2240"/>
      <c r="L1675" s="2240"/>
      <c r="M1675" s="2240"/>
      <c r="N1675" s="2811"/>
      <c r="O1675" s="302"/>
      <c r="P1675" s="302"/>
      <c r="Q1675" s="729"/>
      <c r="R1675" s="694"/>
      <c r="S1675" s="729"/>
      <c r="T1675" s="694"/>
      <c r="U1675" s="694"/>
      <c r="V1675" s="729"/>
      <c r="W1675" s="694"/>
      <c r="X1675" s="694"/>
      <c r="Y1675" s="694"/>
      <c r="Z1675" s="694"/>
      <c r="AA1675" s="694"/>
      <c r="AB1675" s="694"/>
      <c r="AC1675" s="694"/>
      <c r="AD1675" s="694"/>
      <c r="AE1675" s="694"/>
      <c r="AF1675" s="694"/>
      <c r="AG1675" s="694"/>
      <c r="AH1675" s="694"/>
      <c r="AI1675" s="694"/>
      <c r="AJ1675" s="694"/>
      <c r="AK1675" s="694"/>
      <c r="AL1675" s="694"/>
    </row>
    <row r="1676" spans="1:38" ht="12.75" customHeight="1" thickBot="1" x14ac:dyDescent="0.3">
      <c r="A1676" s="694"/>
      <c r="B1676" s="298"/>
      <c r="C1676" s="1302"/>
      <c r="D1676" s="625"/>
      <c r="E1676" s="2812" t="str">
        <f>Translations!$B$599</f>
        <v>Посочените тук данни ще са необходими при актуализацията на конкретния показател за пулп.</v>
      </c>
      <c r="F1676" s="2672"/>
      <c r="G1676" s="2672"/>
      <c r="H1676" s="2672"/>
      <c r="I1676" s="2672"/>
      <c r="J1676" s="2672"/>
      <c r="K1676" s="2672"/>
      <c r="L1676" s="2672"/>
      <c r="M1676" s="2672"/>
      <c r="N1676" s="2813"/>
      <c r="O1676" s="302"/>
      <c r="P1676" s="302"/>
      <c r="Q1676" s="729"/>
      <c r="R1676" s="694"/>
      <c r="S1676" s="729"/>
      <c r="T1676" s="694"/>
      <c r="U1676" s="694"/>
      <c r="V1676" s="729"/>
      <c r="W1676" s="694"/>
      <c r="X1676" s="694"/>
      <c r="Y1676" s="694"/>
      <c r="Z1676" s="694"/>
      <c r="AA1676" s="694"/>
      <c r="AB1676" s="694"/>
      <c r="AC1676" s="1178">
        <f t="shared" ref="AC1676" si="2315">H$20</f>
        <v>2024</v>
      </c>
      <c r="AD1676" s="1178">
        <f t="shared" ref="AD1676" si="2316">I$20</f>
        <v>2025</v>
      </c>
      <c r="AE1676" s="1178">
        <f t="shared" ref="AE1676" si="2317">J$20</f>
        <v>2026</v>
      </c>
      <c r="AF1676" s="1178">
        <f t="shared" ref="AF1676" si="2318">K$20</f>
        <v>2027</v>
      </c>
      <c r="AG1676" s="1178">
        <f t="shared" ref="AG1676" si="2319">L$20</f>
        <v>2028</v>
      </c>
      <c r="AH1676" s="1178">
        <f t="shared" ref="AH1676" si="2320">M$20</f>
        <v>2029</v>
      </c>
      <c r="AI1676" s="1178">
        <f t="shared" ref="AI1676" si="2321">N$20</f>
        <v>2030</v>
      </c>
      <c r="AJ1676" s="694"/>
      <c r="AK1676" s="694"/>
      <c r="AL1676" s="694"/>
    </row>
    <row r="1677" spans="1:38" ht="12.75" customHeight="1" x14ac:dyDescent="0.25">
      <c r="A1677" s="694"/>
      <c r="B1677" s="298"/>
      <c r="C1677" s="1302"/>
      <c r="D1677" s="625"/>
      <c r="E1677" s="2814" t="str">
        <f>IF(I1418="","",IF(INDEX(EUconst_BMlistPulp,MATCH(I1418,EUconst_BMlistNames,0)),I1418,""))</f>
        <v/>
      </c>
      <c r="F1677" s="2258"/>
      <c r="G1677" s="1319" t="str">
        <f>EUconst_Tons</f>
        <v>тона</v>
      </c>
      <c r="H1677" s="56"/>
      <c r="I1677" s="115"/>
      <c r="J1677" s="118"/>
      <c r="K1677" s="56"/>
      <c r="L1677" s="56"/>
      <c r="M1677" s="56"/>
      <c r="N1677" s="121"/>
      <c r="O1677" s="302"/>
      <c r="P1677" s="158"/>
      <c r="Q1677" s="1190" t="str">
        <f>EUconst_CNTR_HALPulpTotal &amp; I1418</f>
        <v>HALPulpTotal_</v>
      </c>
      <c r="R1677" s="694"/>
      <c r="S1677" s="729"/>
      <c r="T1677" s="694"/>
      <c r="U1677" s="694"/>
      <c r="V1677" s="694"/>
      <c r="W1677" s="694"/>
      <c r="X1677" s="694"/>
      <c r="Y1677" s="694"/>
      <c r="Z1677" s="694"/>
      <c r="AA1677" s="694"/>
      <c r="AB1677" s="1182" t="s">
        <v>737</v>
      </c>
      <c r="AC1677" s="901" t="b">
        <f t="shared" ref="AC1677:AI1677" si="2322">IF($I1418&lt;&gt;"",IF(INDEX(EUconst_BMlistPulp,MATCH($I1418,EUconst_BMlistNames,0))=TRUE,FALSE,TRUE),AC1465)</f>
        <v>0</v>
      </c>
      <c r="AD1677" s="982" t="b">
        <f t="shared" si="2322"/>
        <v>0</v>
      </c>
      <c r="AE1677" s="982" t="b">
        <f t="shared" si="2322"/>
        <v>0</v>
      </c>
      <c r="AF1677" s="982" t="b">
        <f t="shared" si="2322"/>
        <v>0</v>
      </c>
      <c r="AG1677" s="982" t="b">
        <f t="shared" si="2322"/>
        <v>0</v>
      </c>
      <c r="AH1677" s="982" t="b">
        <f t="shared" si="2322"/>
        <v>0</v>
      </c>
      <c r="AI1677" s="982" t="b">
        <f t="shared" si="2322"/>
        <v>0</v>
      </c>
      <c r="AJ1677" s="1174" t="s">
        <v>2039</v>
      </c>
      <c r="AK1677" s="1176" t="str">
        <f>IF(AND(CNTR_ExistSubInstEntries,MSconst_RequireSubAttrEmissions,COUNTIFS(AC1677:AI1677,FALSE,H1677:N1677,"")&gt;0),EUconst_Error&amp;"BM"&amp;$Q1418,"")</f>
        <v/>
      </c>
      <c r="AL1677" s="694"/>
    </row>
    <row r="1678" spans="1:38" ht="12.75" customHeight="1" x14ac:dyDescent="0.25">
      <c r="A1678" s="694"/>
      <c r="B1678" s="298"/>
      <c r="C1678" s="1302"/>
      <c r="D1678" s="625"/>
      <c r="E1678" s="625"/>
      <c r="F1678" s="625"/>
      <c r="G1678" s="625"/>
      <c r="H1678" s="1354"/>
      <c r="I1678" s="625"/>
      <c r="J1678" s="625"/>
      <c r="K1678" s="625"/>
      <c r="L1678" s="625"/>
      <c r="M1678" s="625"/>
      <c r="N1678" s="1348"/>
      <c r="O1678" s="302"/>
      <c r="P1678" s="302"/>
      <c r="Q1678" s="729"/>
      <c r="R1678" s="694"/>
      <c r="S1678" s="729"/>
      <c r="T1678" s="694"/>
      <c r="U1678" s="694"/>
      <c r="V1678" s="729"/>
      <c r="W1678" s="694"/>
      <c r="X1678" s="694"/>
      <c r="Y1678" s="694"/>
      <c r="Z1678" s="694"/>
      <c r="AA1678" s="694"/>
      <c r="AB1678" s="694"/>
      <c r="AC1678" s="694"/>
      <c r="AD1678" s="694"/>
      <c r="AE1678" s="694"/>
      <c r="AF1678" s="694"/>
      <c r="AG1678" s="694"/>
      <c r="AH1678" s="694"/>
      <c r="AI1678" s="694"/>
      <c r="AJ1678" s="694"/>
      <c r="AK1678" s="694"/>
      <c r="AL1678" s="694"/>
    </row>
    <row r="1679" spans="1:38" ht="12.75" customHeight="1" x14ac:dyDescent="0.25">
      <c r="A1679" s="694"/>
      <c r="B1679" s="298"/>
      <c r="C1679" s="1302"/>
      <c r="D1679" s="1307" t="s">
        <v>852</v>
      </c>
      <c r="E1679" s="2815" t="str">
        <f>Translations!$B$600</f>
        <v>Получаване или подаване на междинни продукти, обхванати от продуктови показатели</v>
      </c>
      <c r="F1679" s="2240"/>
      <c r="G1679" s="2240"/>
      <c r="H1679" s="2240"/>
      <c r="I1679" s="2240"/>
      <c r="J1679" s="2240"/>
      <c r="K1679" s="2240"/>
      <c r="L1679" s="2240"/>
      <c r="M1679" s="2240"/>
      <c r="N1679" s="2811"/>
      <c r="O1679" s="302"/>
      <c r="P1679" s="302"/>
      <c r="Q1679" s="729"/>
      <c r="R1679" s="694"/>
      <c r="S1679" s="729"/>
      <c r="T1679" s="694"/>
      <c r="U1679" s="694"/>
      <c r="V1679" s="729"/>
      <c r="W1679" s="694"/>
      <c r="X1679" s="694"/>
      <c r="Y1679" s="694"/>
      <c r="Z1679" s="694"/>
      <c r="AA1679" s="694"/>
      <c r="AB1679" s="694"/>
      <c r="AC1679" s="694"/>
      <c r="AD1679" s="694"/>
      <c r="AE1679" s="694"/>
      <c r="AF1679" s="694"/>
      <c r="AG1679" s="694"/>
      <c r="AH1679" s="694"/>
      <c r="AI1679" s="694"/>
      <c r="AJ1679" s="694"/>
      <c r="AK1679" s="694"/>
      <c r="AL1679" s="694"/>
    </row>
    <row r="1680" spans="1:38" ht="25.5" customHeight="1" x14ac:dyDescent="0.25">
      <c r="A1680" s="694"/>
      <c r="B1680" s="298"/>
      <c r="C1680" s="1302"/>
      <c r="D1680" s="1306"/>
      <c r="E1680" s="2810" t="str">
        <f>Translations!$B$601</f>
        <v>За да се избегне двойно отчитане или пропуски в зададените емисии при определянето на актуализираните показатели, съгласно изискванията на раздел 2.7, буква г) от приложение IV към ПБР е необходимо да подадете данни за получените или подадените междинни продукти, обхванати от който и да било от продуктовите показатели, изброени в приложение I към ПБР.</v>
      </c>
      <c r="F1680" s="2240"/>
      <c r="G1680" s="2240"/>
      <c r="H1680" s="2240"/>
      <c r="I1680" s="2240"/>
      <c r="J1680" s="2240"/>
      <c r="K1680" s="2240"/>
      <c r="L1680" s="2240"/>
      <c r="M1680" s="2240"/>
      <c r="N1680" s="2811"/>
      <c r="O1680" s="302"/>
      <c r="P1680" s="302"/>
      <c r="Q1680" s="729"/>
      <c r="R1680" s="694"/>
      <c r="S1680" s="729"/>
      <c r="T1680" s="694"/>
      <c r="U1680" s="694"/>
      <c r="V1680" s="729"/>
      <c r="W1680" s="694"/>
      <c r="X1680" s="694"/>
      <c r="Y1680" s="694"/>
      <c r="Z1680" s="694"/>
      <c r="AA1680" s="694"/>
      <c r="AB1680" s="694"/>
      <c r="AC1680" s="694"/>
      <c r="AD1680" s="694"/>
      <c r="AE1680" s="694"/>
      <c r="AF1680" s="694"/>
      <c r="AG1680" s="694"/>
      <c r="AH1680" s="694"/>
      <c r="AI1680" s="694"/>
      <c r="AJ1680" s="694"/>
      <c r="AK1680" s="694"/>
      <c r="AL1680" s="694"/>
    </row>
    <row r="1681" spans="1:38" ht="12.75" customHeight="1" x14ac:dyDescent="0.25">
      <c r="A1681" s="694"/>
      <c r="B1681" s="298"/>
      <c r="C1681" s="1302"/>
      <c r="D1681" s="1306"/>
      <c r="E1681" s="2816" t="str">
        <f>Translations!$B$602</f>
        <v>Посочените тук данни могат да се отразят на актуализацията на конкретния показател.</v>
      </c>
      <c r="F1681" s="2240"/>
      <c r="G1681" s="2240"/>
      <c r="H1681" s="2240"/>
      <c r="I1681" s="2240"/>
      <c r="J1681" s="2240"/>
      <c r="K1681" s="2240"/>
      <c r="L1681" s="2240"/>
      <c r="M1681" s="2240"/>
      <c r="N1681" s="2811"/>
      <c r="O1681" s="302"/>
      <c r="P1681" s="302"/>
      <c r="Q1681" s="729"/>
      <c r="R1681" s="694"/>
      <c r="S1681" s="729"/>
      <c r="T1681" s="694"/>
      <c r="U1681" s="694"/>
      <c r="V1681" s="729"/>
      <c r="W1681" s="694"/>
      <c r="X1681" s="694"/>
      <c r="Y1681" s="694"/>
      <c r="Z1681" s="694"/>
      <c r="AA1681" s="694"/>
      <c r="AB1681" s="694"/>
      <c r="AC1681" s="694"/>
      <c r="AD1681" s="694"/>
      <c r="AE1681" s="694"/>
      <c r="AF1681" s="694"/>
      <c r="AG1681" s="694"/>
      <c r="AH1681" s="694"/>
      <c r="AI1681" s="694"/>
      <c r="AJ1681" s="694"/>
      <c r="AK1681" s="694"/>
      <c r="AL1681" s="694"/>
    </row>
    <row r="1682" spans="1:38" ht="12.75" customHeight="1" x14ac:dyDescent="0.25">
      <c r="A1682" s="694"/>
      <c r="B1682" s="698"/>
      <c r="C1682" s="1302"/>
      <c r="D1682" s="625" t="s">
        <v>6</v>
      </c>
      <c r="E1682" s="2817" t="str">
        <f>Translations!$B$603</f>
        <v>Има ли получени или подадени междинни продукти, които са обхванати от продуктови показатели?</v>
      </c>
      <c r="F1682" s="2240"/>
      <c r="G1682" s="2240"/>
      <c r="H1682" s="2240"/>
      <c r="I1682" s="2240"/>
      <c r="J1682" s="2240"/>
      <c r="K1682" s="2684"/>
      <c r="L1682" s="83"/>
      <c r="M1682" s="1304"/>
      <c r="N1682" s="1372"/>
      <c r="O1682" s="302"/>
      <c r="P1682" s="158"/>
      <c r="Q1682" s="694"/>
      <c r="R1682" s="694"/>
      <c r="S1682" s="694"/>
      <c r="T1682" s="694"/>
      <c r="U1682" s="694"/>
      <c r="V1682" s="694"/>
      <c r="W1682" s="694"/>
      <c r="X1682" s="694"/>
      <c r="Y1682" s="694"/>
      <c r="Z1682" s="694"/>
      <c r="AA1682" s="694"/>
      <c r="AB1682" s="694"/>
      <c r="AC1682" s="694"/>
      <c r="AD1682" s="694"/>
      <c r="AE1682" s="694"/>
      <c r="AF1682" s="1182" t="s">
        <v>737</v>
      </c>
      <c r="AG1682" s="901" t="b">
        <f>AND(CNTR_ExistSubInstEntries,I1418="")</f>
        <v>0</v>
      </c>
      <c r="AH1682" s="694"/>
      <c r="AI1682" s="694"/>
      <c r="AJ1682" s="694"/>
      <c r="AK1682" s="694"/>
      <c r="AL1682" s="694"/>
    </row>
    <row r="1683" spans="1:38" ht="5.15" customHeight="1" x14ac:dyDescent="0.25">
      <c r="A1683" s="694"/>
      <c r="B1683" s="298"/>
      <c r="C1683" s="1302"/>
      <c r="D1683" s="625"/>
      <c r="E1683" s="625"/>
      <c r="F1683" s="625"/>
      <c r="G1683" s="625"/>
      <c r="H1683" s="1354"/>
      <c r="I1683" s="625"/>
      <c r="J1683" s="625"/>
      <c r="K1683" s="625"/>
      <c r="L1683" s="625"/>
      <c r="M1683" s="625"/>
      <c r="N1683" s="1348"/>
      <c r="O1683" s="302"/>
      <c r="P1683" s="302"/>
      <c r="Q1683" s="729"/>
      <c r="R1683" s="694"/>
      <c r="S1683" s="729"/>
      <c r="T1683" s="694"/>
      <c r="U1683" s="694"/>
      <c r="V1683" s="729"/>
      <c r="W1683" s="694"/>
      <c r="X1683" s="694"/>
      <c r="Y1683" s="694"/>
      <c r="Z1683" s="694"/>
      <c r="AA1683" s="694"/>
      <c r="AB1683" s="694"/>
      <c r="AC1683" s="694"/>
      <c r="AD1683" s="694"/>
      <c r="AE1683" s="694"/>
      <c r="AF1683" s="694"/>
      <c r="AG1683" s="694"/>
      <c r="AH1683" s="694"/>
      <c r="AI1683" s="694"/>
      <c r="AJ1683" s="694"/>
      <c r="AK1683" s="694"/>
      <c r="AL1683" s="694"/>
    </row>
    <row r="1684" spans="1:38" ht="12.75" customHeight="1" thickBot="1" x14ac:dyDescent="0.3">
      <c r="A1684" s="694"/>
      <c r="B1684" s="298"/>
      <c r="C1684" s="1302"/>
      <c r="D1684" s="1307"/>
      <c r="E1684" s="2803" t="str">
        <f>Translations!$B$604</f>
        <v>Получени количества:</v>
      </c>
      <c r="F1684" s="2672"/>
      <c r="G1684" s="627" t="str">
        <f>EUconst_Unit</f>
        <v>Единица мярка</v>
      </c>
      <c r="H1684" s="629">
        <f t="shared" ref="H1684:N1684" si="2323">H$2831</f>
        <v>2024</v>
      </c>
      <c r="I1684" s="1310">
        <f t="shared" si="2323"/>
        <v>2025</v>
      </c>
      <c r="J1684" s="1311">
        <f t="shared" si="2323"/>
        <v>2026</v>
      </c>
      <c r="K1684" s="629">
        <f t="shared" si="2323"/>
        <v>2027</v>
      </c>
      <c r="L1684" s="629">
        <f t="shared" si="2323"/>
        <v>2028</v>
      </c>
      <c r="M1684" s="629">
        <f t="shared" si="2323"/>
        <v>2029</v>
      </c>
      <c r="N1684" s="1312">
        <f t="shared" si="2323"/>
        <v>2030</v>
      </c>
      <c r="O1684" s="302"/>
      <c r="P1684" s="302"/>
      <c r="Q1684" s="729"/>
      <c r="R1684" s="694"/>
      <c r="S1684" s="729"/>
      <c r="T1684" s="694"/>
      <c r="U1684" s="694"/>
      <c r="V1684" s="729"/>
      <c r="W1684" s="694"/>
      <c r="X1684" s="694"/>
      <c r="Y1684" s="694"/>
      <c r="Z1684" s="694"/>
      <c r="AA1684" s="694"/>
      <c r="AB1684" s="694"/>
      <c r="AC1684" s="1178">
        <f t="shared" ref="AC1684" si="2324">H$20</f>
        <v>2024</v>
      </c>
      <c r="AD1684" s="1178">
        <f t="shared" ref="AD1684" si="2325">I$20</f>
        <v>2025</v>
      </c>
      <c r="AE1684" s="1178">
        <f t="shared" ref="AE1684" si="2326">J$20</f>
        <v>2026</v>
      </c>
      <c r="AF1684" s="1178">
        <f t="shared" ref="AF1684" si="2327">K$20</f>
        <v>2027</v>
      </c>
      <c r="AG1684" s="1178">
        <f t="shared" ref="AG1684" si="2328">L$20</f>
        <v>2028</v>
      </c>
      <c r="AH1684" s="1178">
        <f t="shared" ref="AH1684" si="2329">M$20</f>
        <v>2029</v>
      </c>
      <c r="AI1684" s="1178">
        <f t="shared" ref="AI1684" si="2330">N$20</f>
        <v>2030</v>
      </c>
      <c r="AJ1684" s="694"/>
      <c r="AK1684" s="694"/>
      <c r="AL1684" s="694"/>
    </row>
    <row r="1685" spans="1:38" ht="12.75" customHeight="1" x14ac:dyDescent="0.25">
      <c r="A1685" s="694"/>
      <c r="B1685" s="298"/>
      <c r="C1685" s="1302"/>
      <c r="D1685" s="625" t="s">
        <v>7</v>
      </c>
      <c r="E1685" s="2799"/>
      <c r="F1685" s="2800"/>
      <c r="G1685" s="1116" t="str">
        <f>IF(E1685&lt;&gt;"",INDEX(EUconst_BMlistUnits,MATCH(E1685,EUconst_BMlistNames,0)),EUconst_Tons)</f>
        <v>тона</v>
      </c>
      <c r="H1685" s="150"/>
      <c r="I1685" s="151"/>
      <c r="J1685" s="152"/>
      <c r="K1685" s="150"/>
      <c r="L1685" s="150"/>
      <c r="M1685" s="150"/>
      <c r="N1685" s="153"/>
      <c r="O1685" s="302"/>
      <c r="P1685" s="158"/>
      <c r="Q1685" s="1190" t="str">
        <f>EUconst_CNTR_IntermediateImport &amp; S1685 &amp; "_" &amp; I1418</f>
        <v>IntImp_1_</v>
      </c>
      <c r="R1685" s="694"/>
      <c r="S1685" s="1190">
        <v>1</v>
      </c>
      <c r="T1685" s="694"/>
      <c r="U1685" s="694"/>
      <c r="V1685" s="729"/>
      <c r="W1685" s="694"/>
      <c r="X1685" s="694"/>
      <c r="Y1685" s="694"/>
      <c r="Z1685" s="694"/>
      <c r="AA1685" s="694"/>
      <c r="AB1685" s="1182" t="s">
        <v>737</v>
      </c>
      <c r="AC1685" s="901" t="b">
        <f>OR(AND($L1682&lt;&gt;"",$L1682=FALSE),AC1465)</f>
        <v>0</v>
      </c>
      <c r="AD1685" s="982" t="b">
        <f t="shared" ref="AD1685:AI1685" si="2331">OR(AND($L1682&lt;&gt;"",$L1682=FALSE),AD1465)</f>
        <v>0</v>
      </c>
      <c r="AE1685" s="982" t="b">
        <f t="shared" si="2331"/>
        <v>0</v>
      </c>
      <c r="AF1685" s="982" t="b">
        <f t="shared" si="2331"/>
        <v>0</v>
      </c>
      <c r="AG1685" s="982" t="b">
        <f t="shared" si="2331"/>
        <v>0</v>
      </c>
      <c r="AH1685" s="982" t="b">
        <f t="shared" si="2331"/>
        <v>0</v>
      </c>
      <c r="AI1685" s="982" t="b">
        <f t="shared" si="2331"/>
        <v>0</v>
      </c>
      <c r="AJ1685" s="1174" t="s">
        <v>2039</v>
      </c>
      <c r="AK1685" s="1176" t="str">
        <f>IF(AND(CNTR_ExistSubInstEntries,MSconst_RequireSubAttrEmissions,COUNTIFS(AC1685:AI1685,FALSE,H1685:N1685,"")&gt;0),EUconst_Error&amp;"BM"&amp;$Q1418,"")</f>
        <v/>
      </c>
      <c r="AL1685" s="694"/>
    </row>
    <row r="1686" spans="1:38" ht="12.75" customHeight="1" x14ac:dyDescent="0.25">
      <c r="A1686" s="694"/>
      <c r="B1686" s="298"/>
      <c r="C1686" s="1302"/>
      <c r="D1686" s="625" t="s">
        <v>8</v>
      </c>
      <c r="E1686" s="2801"/>
      <c r="F1686" s="2802"/>
      <c r="G1686" s="1349" t="str">
        <f>IF(E1686&lt;&gt;"",INDEX(EUconst_BMlistUnits,MATCH(E1686,EUconst_BMlistNames,0)),EUconst_Tons)</f>
        <v>тона</v>
      </c>
      <c r="H1686" s="154"/>
      <c r="I1686" s="155"/>
      <c r="J1686" s="156"/>
      <c r="K1686" s="154"/>
      <c r="L1686" s="154"/>
      <c r="M1686" s="154"/>
      <c r="N1686" s="157"/>
      <c r="O1686" s="302"/>
      <c r="P1686" s="158"/>
      <c r="Q1686" s="1190" t="str">
        <f>EUconst_CNTR_IntermediateImport &amp; S1686 &amp; "_" &amp; I1418</f>
        <v>IntImp_2_</v>
      </c>
      <c r="R1686" s="694"/>
      <c r="S1686" s="1190">
        <v>2</v>
      </c>
      <c r="T1686" s="694"/>
      <c r="U1686" s="694"/>
      <c r="V1686" s="729"/>
      <c r="W1686" s="694"/>
      <c r="X1686" s="694"/>
      <c r="Y1686" s="694"/>
      <c r="Z1686" s="694"/>
      <c r="AA1686" s="694"/>
      <c r="AB1686" s="694"/>
      <c r="AC1686" s="982" t="b">
        <f>AC1685</f>
        <v>0</v>
      </c>
      <c r="AD1686" s="982" t="b">
        <f t="shared" ref="AD1686:AI1686" si="2332">AD1685</f>
        <v>0</v>
      </c>
      <c r="AE1686" s="982" t="b">
        <f t="shared" si="2332"/>
        <v>0</v>
      </c>
      <c r="AF1686" s="982" t="b">
        <f t="shared" si="2332"/>
        <v>0</v>
      </c>
      <c r="AG1686" s="982" t="b">
        <f t="shared" si="2332"/>
        <v>0</v>
      </c>
      <c r="AH1686" s="982" t="b">
        <f t="shared" si="2332"/>
        <v>0</v>
      </c>
      <c r="AI1686" s="982" t="b">
        <f t="shared" si="2332"/>
        <v>0</v>
      </c>
      <c r="AJ1686" s="694"/>
      <c r="AK1686" s="694"/>
      <c r="AL1686" s="694"/>
    </row>
    <row r="1687" spans="1:38" ht="5.15" customHeight="1" x14ac:dyDescent="0.25">
      <c r="A1687" s="694"/>
      <c r="B1687" s="298"/>
      <c r="C1687" s="1302"/>
      <c r="D1687" s="625"/>
      <c r="E1687" s="625"/>
      <c r="F1687" s="625"/>
      <c r="G1687" s="625"/>
      <c r="H1687" s="625"/>
      <c r="I1687" s="625"/>
      <c r="J1687" s="625"/>
      <c r="K1687" s="625"/>
      <c r="L1687" s="625"/>
      <c r="M1687" s="625"/>
      <c r="N1687" s="1373"/>
      <c r="O1687" s="302"/>
      <c r="P1687" s="302"/>
      <c r="Q1687" s="729"/>
      <c r="R1687" s="694"/>
      <c r="S1687" s="729"/>
      <c r="T1687" s="694"/>
      <c r="U1687" s="694"/>
      <c r="V1687" s="729"/>
      <c r="W1687" s="694"/>
      <c r="X1687" s="694"/>
      <c r="Y1687" s="694"/>
      <c r="Z1687" s="694"/>
      <c r="AA1687" s="694"/>
      <c r="AB1687" s="694"/>
      <c r="AC1687" s="694"/>
      <c r="AD1687" s="694"/>
      <c r="AE1687" s="694"/>
      <c r="AF1687" s="694"/>
      <c r="AG1687" s="694"/>
      <c r="AH1687" s="694"/>
      <c r="AI1687" s="694"/>
      <c r="AJ1687" s="694"/>
      <c r="AK1687" s="694"/>
      <c r="AL1687" s="694"/>
    </row>
    <row r="1688" spans="1:38" ht="12.75" customHeight="1" thickBot="1" x14ac:dyDescent="0.3">
      <c r="A1688" s="694"/>
      <c r="B1688" s="298"/>
      <c r="C1688" s="1302"/>
      <c r="D1688" s="1307"/>
      <c r="E1688" s="2803" t="str">
        <f>Translations!$B$605</f>
        <v>Подадени количества:</v>
      </c>
      <c r="F1688" s="2672"/>
      <c r="G1688" s="627" t="str">
        <f>EUconst_Unit</f>
        <v>Единица мярка</v>
      </c>
      <c r="H1688" s="629">
        <f t="shared" ref="H1688:N1688" si="2333">H$2831</f>
        <v>2024</v>
      </c>
      <c r="I1688" s="1310">
        <f t="shared" si="2333"/>
        <v>2025</v>
      </c>
      <c r="J1688" s="1311">
        <f t="shared" si="2333"/>
        <v>2026</v>
      </c>
      <c r="K1688" s="629">
        <f t="shared" si="2333"/>
        <v>2027</v>
      </c>
      <c r="L1688" s="629">
        <f t="shared" si="2333"/>
        <v>2028</v>
      </c>
      <c r="M1688" s="629">
        <f t="shared" si="2333"/>
        <v>2029</v>
      </c>
      <c r="N1688" s="1312">
        <f t="shared" si="2333"/>
        <v>2030</v>
      </c>
      <c r="O1688" s="302"/>
      <c r="P1688" s="302"/>
      <c r="Q1688" s="729"/>
      <c r="R1688" s="694"/>
      <c r="S1688" s="729"/>
      <c r="T1688" s="694"/>
      <c r="U1688" s="694"/>
      <c r="V1688" s="729"/>
      <c r="W1688" s="694"/>
      <c r="X1688" s="694"/>
      <c r="Y1688" s="694"/>
      <c r="Z1688" s="694"/>
      <c r="AA1688" s="694"/>
      <c r="AB1688" s="694"/>
      <c r="AC1688" s="1178">
        <f t="shared" ref="AC1688" si="2334">H$20</f>
        <v>2024</v>
      </c>
      <c r="AD1688" s="1178">
        <f t="shared" ref="AD1688" si="2335">I$20</f>
        <v>2025</v>
      </c>
      <c r="AE1688" s="1178">
        <f t="shared" ref="AE1688" si="2336">J$20</f>
        <v>2026</v>
      </c>
      <c r="AF1688" s="1178">
        <f t="shared" ref="AF1688" si="2337">K$20</f>
        <v>2027</v>
      </c>
      <c r="AG1688" s="1178">
        <f t="shared" ref="AG1688" si="2338">L$20</f>
        <v>2028</v>
      </c>
      <c r="AH1688" s="1178">
        <f t="shared" ref="AH1688" si="2339">M$20</f>
        <v>2029</v>
      </c>
      <c r="AI1688" s="1178">
        <f t="shared" ref="AI1688" si="2340">N$20</f>
        <v>2030</v>
      </c>
      <c r="AJ1688" s="694"/>
      <c r="AK1688" s="694"/>
      <c r="AL1688" s="694"/>
    </row>
    <row r="1689" spans="1:38" ht="12.75" customHeight="1" x14ac:dyDescent="0.25">
      <c r="A1689" s="694"/>
      <c r="B1689" s="298"/>
      <c r="C1689" s="1302"/>
      <c r="D1689" s="625" t="s">
        <v>18</v>
      </c>
      <c r="E1689" s="2799"/>
      <c r="F1689" s="2800"/>
      <c r="G1689" s="1116" t="str">
        <f>IF(E1689&lt;&gt;"",INDEX(EUconst_BMlistUnits,MATCH(E1689,EUconst_BMlistNames,0)),EUconst_Tons)</f>
        <v>тона</v>
      </c>
      <c r="H1689" s="150"/>
      <c r="I1689" s="151"/>
      <c r="J1689" s="152"/>
      <c r="K1689" s="150"/>
      <c r="L1689" s="150"/>
      <c r="M1689" s="150"/>
      <c r="N1689" s="153"/>
      <c r="O1689" s="302"/>
      <c r="P1689" s="158"/>
      <c r="Q1689" s="1190" t="str">
        <f>EUconst_CNTR_IntermediateExport &amp; S1685 &amp; "_" &amp; I1418</f>
        <v>IntExp_1_</v>
      </c>
      <c r="R1689" s="694"/>
      <c r="S1689" s="1190">
        <v>1</v>
      </c>
      <c r="T1689" s="694"/>
      <c r="U1689" s="694"/>
      <c r="V1689" s="729"/>
      <c r="W1689" s="694"/>
      <c r="X1689" s="1374"/>
      <c r="Y1689" s="1374"/>
      <c r="Z1689" s="694"/>
      <c r="AA1689" s="694"/>
      <c r="AB1689" s="1182" t="s">
        <v>737</v>
      </c>
      <c r="AC1689" s="982" t="b">
        <f>AC1685</f>
        <v>0</v>
      </c>
      <c r="AD1689" s="982" t="b">
        <f t="shared" ref="AD1689:AI1689" si="2341">AD1685</f>
        <v>0</v>
      </c>
      <c r="AE1689" s="982" t="b">
        <f t="shared" si="2341"/>
        <v>0</v>
      </c>
      <c r="AF1689" s="982" t="b">
        <f t="shared" si="2341"/>
        <v>0</v>
      </c>
      <c r="AG1689" s="982" t="b">
        <f t="shared" si="2341"/>
        <v>0</v>
      </c>
      <c r="AH1689" s="982" t="b">
        <f t="shared" si="2341"/>
        <v>0</v>
      </c>
      <c r="AI1689" s="982" t="b">
        <f t="shared" si="2341"/>
        <v>0</v>
      </c>
      <c r="AJ1689" s="1174" t="s">
        <v>2039</v>
      </c>
      <c r="AK1689" s="1176" t="str">
        <f>IF(AND(CNTR_ExistSubInstEntries,MSconst_RequireSubAttrEmissions,COUNTIFS(AC1689:AI1689,FALSE,H1689:N1689,"")&gt;0),EUconst_Error&amp;"BM"&amp;$Q1418,"")</f>
        <v/>
      </c>
      <c r="AL1689" s="694"/>
    </row>
    <row r="1690" spans="1:38" ht="12.75" customHeight="1" x14ac:dyDescent="0.25">
      <c r="A1690" s="694"/>
      <c r="B1690" s="298"/>
      <c r="C1690" s="1302"/>
      <c r="D1690" s="625" t="s">
        <v>810</v>
      </c>
      <c r="E1690" s="2801"/>
      <c r="F1690" s="2802"/>
      <c r="G1690" s="1349" t="str">
        <f>IF(E1690&lt;&gt;"",INDEX(EUconst_BMlistUnits,MATCH(E1690,EUconst_BMlistNames,0)),EUconst_Tons)</f>
        <v>тона</v>
      </c>
      <c r="H1690" s="154"/>
      <c r="I1690" s="155"/>
      <c r="J1690" s="156"/>
      <c r="K1690" s="154"/>
      <c r="L1690" s="154"/>
      <c r="M1690" s="154"/>
      <c r="N1690" s="157"/>
      <c r="O1690" s="302"/>
      <c r="P1690" s="158"/>
      <c r="Q1690" s="1190" t="str">
        <f>EUconst_CNTR_IntermediateExport &amp; S1690 &amp; "_" &amp; I1418</f>
        <v>IntExp_2_</v>
      </c>
      <c r="R1690" s="694"/>
      <c r="S1690" s="1190">
        <v>2</v>
      </c>
      <c r="T1690" s="694"/>
      <c r="U1690" s="694"/>
      <c r="V1690" s="729"/>
      <c r="W1690" s="694"/>
      <c r="X1690" s="1374"/>
      <c r="Y1690" s="1374"/>
      <c r="Z1690" s="694"/>
      <c r="AA1690" s="694"/>
      <c r="AB1690" s="694"/>
      <c r="AC1690" s="982" t="b">
        <f t="shared" ref="AC1690:AI1690" si="2342">AC1686</f>
        <v>0</v>
      </c>
      <c r="AD1690" s="982" t="b">
        <f t="shared" si="2342"/>
        <v>0</v>
      </c>
      <c r="AE1690" s="982" t="b">
        <f t="shared" si="2342"/>
        <v>0</v>
      </c>
      <c r="AF1690" s="982" t="b">
        <f t="shared" si="2342"/>
        <v>0</v>
      </c>
      <c r="AG1690" s="982" t="b">
        <f t="shared" si="2342"/>
        <v>0</v>
      </c>
      <c r="AH1690" s="982" t="b">
        <f t="shared" si="2342"/>
        <v>0</v>
      </c>
      <c r="AI1690" s="982" t="b">
        <f t="shared" si="2342"/>
        <v>0</v>
      </c>
      <c r="AJ1690" s="694"/>
      <c r="AK1690" s="694"/>
      <c r="AL1690" s="694"/>
    </row>
    <row r="1691" spans="1:38" ht="5.15" customHeight="1" x14ac:dyDescent="0.25">
      <c r="A1691" s="694"/>
      <c r="B1691" s="298"/>
      <c r="C1691" s="1302"/>
      <c r="D1691" s="625"/>
      <c r="E1691" s="625"/>
      <c r="F1691" s="625"/>
      <c r="G1691" s="625"/>
      <c r="H1691" s="625"/>
      <c r="I1691" s="625"/>
      <c r="J1691" s="625"/>
      <c r="K1691" s="625"/>
      <c r="L1691" s="625"/>
      <c r="M1691" s="625"/>
      <c r="N1691" s="1348"/>
      <c r="O1691" s="302"/>
      <c r="P1691" s="302"/>
      <c r="Q1691" s="729"/>
      <c r="R1691" s="694"/>
      <c r="S1691" s="729"/>
      <c r="T1691" s="694"/>
      <c r="U1691" s="694"/>
      <c r="V1691" s="729"/>
      <c r="W1691" s="694"/>
      <c r="X1691" s="1374"/>
      <c r="Y1691" s="1374"/>
      <c r="Z1691" s="694"/>
      <c r="AA1691" s="694"/>
      <c r="AB1691" s="694"/>
      <c r="AC1691" s="694"/>
      <c r="AD1691" s="694"/>
      <c r="AE1691" s="694"/>
      <c r="AF1691" s="694"/>
      <c r="AG1691" s="694"/>
      <c r="AH1691" s="694"/>
      <c r="AI1691" s="694"/>
      <c r="AJ1691" s="694"/>
      <c r="AK1691" s="694"/>
      <c r="AL1691" s="694"/>
    </row>
    <row r="1692" spans="1:38" ht="12.75" customHeight="1" x14ac:dyDescent="0.25">
      <c r="A1692" s="694"/>
      <c r="B1692" s="298"/>
      <c r="C1692" s="1302"/>
      <c r="D1692" s="625" t="s">
        <v>811</v>
      </c>
      <c r="E1692" s="626" t="str">
        <f>Translations!$B$606</f>
        <v>Описание на получените или подадените междинни продукти</v>
      </c>
      <c r="F1692" s="626"/>
      <c r="G1692" s="626"/>
      <c r="H1692" s="626"/>
      <c r="I1692" s="626"/>
      <c r="J1692" s="626"/>
      <c r="K1692" s="626"/>
      <c r="L1692" s="626"/>
      <c r="M1692" s="626"/>
      <c r="N1692" s="1348"/>
      <c r="O1692" s="302"/>
      <c r="P1692" s="302"/>
      <c r="Q1692" s="729"/>
      <c r="R1692" s="694"/>
      <c r="S1692" s="729"/>
      <c r="T1692" s="694"/>
      <c r="U1692" s="694"/>
      <c r="V1692" s="729"/>
      <c r="W1692" s="694"/>
      <c r="X1692" s="1374"/>
      <c r="Y1692" s="1374"/>
      <c r="Z1692" s="694"/>
      <c r="AA1692" s="694"/>
      <c r="AB1692" s="694"/>
      <c r="AC1692" s="694"/>
      <c r="AD1692" s="694"/>
      <c r="AE1692" s="694"/>
      <c r="AF1692" s="694"/>
      <c r="AG1692" s="694"/>
      <c r="AH1692" s="694"/>
      <c r="AI1692" s="694"/>
      <c r="AJ1692" s="694"/>
      <c r="AK1692" s="694"/>
      <c r="AL1692" s="694"/>
    </row>
    <row r="1693" spans="1:38" ht="12.75" customHeight="1" x14ac:dyDescent="0.25">
      <c r="A1693" s="694"/>
      <c r="B1693" s="298"/>
      <c r="C1693" s="1302"/>
      <c r="D1693" s="625"/>
      <c r="E1693" s="1375" t="str">
        <f>Translations!$B$607</f>
        <v>Моля, опишете накратко производствения процес във връзка с получени или подадени междинни продукти.</v>
      </c>
      <c r="F1693" s="1322"/>
      <c r="G1693" s="1322"/>
      <c r="H1693" s="1322"/>
      <c r="I1693" s="1322"/>
      <c r="J1693" s="1322"/>
      <c r="K1693" s="1322"/>
      <c r="L1693" s="1322"/>
      <c r="M1693" s="1322"/>
      <c r="N1693" s="1323"/>
      <c r="O1693" s="302"/>
      <c r="P1693" s="302"/>
      <c r="Q1693" s="729"/>
      <c r="R1693" s="694"/>
      <c r="S1693" s="729"/>
      <c r="T1693" s="694"/>
      <c r="U1693" s="694"/>
      <c r="V1693" s="729"/>
      <c r="W1693" s="694"/>
      <c r="X1693" s="1374"/>
      <c r="Y1693" s="1374"/>
      <c r="Z1693" s="694"/>
      <c r="AA1693" s="694"/>
      <c r="AB1693" s="694"/>
      <c r="AC1693" s="694"/>
      <c r="AD1693" s="694"/>
      <c r="AE1693" s="694"/>
      <c r="AF1693" s="694"/>
      <c r="AG1693" s="694"/>
      <c r="AH1693" s="694"/>
      <c r="AI1693" s="694"/>
      <c r="AJ1693" s="694"/>
      <c r="AK1693" s="694"/>
      <c r="AL1693" s="694"/>
    </row>
    <row r="1694" spans="1:38" ht="12.75" customHeight="1" x14ac:dyDescent="0.25">
      <c r="A1694" s="694"/>
      <c r="B1694" s="298"/>
      <c r="C1694" s="1302"/>
      <c r="D1694" s="625"/>
      <c r="E1694" s="2804"/>
      <c r="F1694" s="2805"/>
      <c r="G1694" s="2805"/>
      <c r="H1694" s="2805"/>
      <c r="I1694" s="2805"/>
      <c r="J1694" s="2805"/>
      <c r="K1694" s="2805"/>
      <c r="L1694" s="2805"/>
      <c r="M1694" s="2806"/>
      <c r="N1694" s="1348"/>
      <c r="O1694" s="302"/>
      <c r="P1694" s="158"/>
      <c r="Q1694" s="729"/>
      <c r="R1694" s="694"/>
      <c r="S1694" s="729"/>
      <c r="T1694" s="694"/>
      <c r="U1694" s="694"/>
      <c r="V1694" s="729"/>
      <c r="W1694" s="694"/>
      <c r="X1694" s="1374"/>
      <c r="Y1694" s="1374"/>
      <c r="Z1694" s="694"/>
      <c r="AA1694" s="694"/>
      <c r="AB1694" s="1182" t="s">
        <v>737</v>
      </c>
      <c r="AC1694" s="982" t="b">
        <f>AND(AC1689:AI1689)</f>
        <v>0</v>
      </c>
      <c r="AD1694" s="694"/>
      <c r="AE1694" s="694"/>
      <c r="AF1694" s="694"/>
      <c r="AG1694" s="694"/>
      <c r="AH1694" s="694"/>
      <c r="AI1694" s="694"/>
      <c r="AJ1694" s="694"/>
      <c r="AK1694" s="694"/>
      <c r="AL1694" s="694"/>
    </row>
    <row r="1695" spans="1:38" ht="12.75" customHeight="1" x14ac:dyDescent="0.25">
      <c r="A1695" s="694"/>
      <c r="B1695" s="298"/>
      <c r="C1695" s="1302"/>
      <c r="D1695" s="625"/>
      <c r="E1695" s="2807"/>
      <c r="F1695" s="2808"/>
      <c r="G1695" s="2808"/>
      <c r="H1695" s="2808"/>
      <c r="I1695" s="2808"/>
      <c r="J1695" s="2808"/>
      <c r="K1695" s="2808"/>
      <c r="L1695" s="2808"/>
      <c r="M1695" s="2809"/>
      <c r="N1695" s="1348"/>
      <c r="O1695" s="302"/>
      <c r="P1695" s="302"/>
      <c r="Q1695" s="729"/>
      <c r="R1695" s="694"/>
      <c r="S1695" s="729"/>
      <c r="T1695" s="694"/>
      <c r="U1695" s="694"/>
      <c r="V1695" s="729"/>
      <c r="W1695" s="694"/>
      <c r="X1695" s="1374"/>
      <c r="Y1695" s="1374"/>
      <c r="Z1695" s="694"/>
      <c r="AA1695" s="694"/>
      <c r="AB1695" s="694"/>
      <c r="AC1695" s="982" t="b">
        <f>AC1694</f>
        <v>0</v>
      </c>
      <c r="AD1695" s="694"/>
      <c r="AE1695" s="694"/>
      <c r="AF1695" s="694"/>
      <c r="AG1695" s="694"/>
      <c r="AH1695" s="694"/>
      <c r="AI1695" s="694"/>
      <c r="AJ1695" s="694"/>
      <c r="AK1695" s="694"/>
      <c r="AL1695" s="694"/>
    </row>
    <row r="1696" spans="1:38" ht="12.75" customHeight="1" thickBot="1" x14ac:dyDescent="0.3">
      <c r="A1696" s="694"/>
      <c r="B1696" s="298"/>
      <c r="C1696" s="1376"/>
      <c r="D1696" s="1377"/>
      <c r="E1696" s="1377"/>
      <c r="F1696" s="1377"/>
      <c r="G1696" s="1377"/>
      <c r="H1696" s="1377"/>
      <c r="I1696" s="1377"/>
      <c r="J1696" s="1377"/>
      <c r="K1696" s="1377"/>
      <c r="L1696" s="1377"/>
      <c r="M1696" s="1378"/>
      <c r="N1696" s="1379"/>
      <c r="O1696" s="302"/>
      <c r="P1696" s="302"/>
      <c r="Q1696" s="729"/>
      <c r="R1696" s="694"/>
      <c r="S1696" s="729"/>
      <c r="T1696" s="694"/>
      <c r="U1696" s="694"/>
      <c r="V1696" s="729"/>
      <c r="W1696" s="694"/>
      <c r="X1696" s="694"/>
      <c r="Y1696" s="694"/>
      <c r="Z1696" s="694"/>
      <c r="AA1696" s="694"/>
      <c r="AB1696" s="694"/>
      <c r="AC1696" s="694"/>
      <c r="AD1696" s="694"/>
      <c r="AE1696" s="694"/>
      <c r="AF1696" s="694"/>
      <c r="AG1696" s="694"/>
      <c r="AH1696" s="694"/>
      <c r="AI1696" s="694"/>
      <c r="AJ1696" s="694"/>
      <c r="AK1696" s="694"/>
      <c r="AL1696" s="694"/>
    </row>
    <row r="1697" spans="1:38" ht="12.75" customHeight="1" thickBot="1" x14ac:dyDescent="0.3">
      <c r="A1697" s="729"/>
      <c r="B1697" s="284"/>
      <c r="C1697" s="284"/>
      <c r="D1697" s="284"/>
      <c r="E1697" s="284"/>
      <c r="F1697" s="284"/>
      <c r="G1697" s="284"/>
      <c r="H1697" s="284"/>
      <c r="I1697" s="284"/>
      <c r="J1697" s="284"/>
      <c r="K1697" s="284"/>
      <c r="L1697" s="284"/>
      <c r="M1697" s="336"/>
      <c r="N1697" s="336"/>
      <c r="O1697" s="336"/>
      <c r="P1697" s="336"/>
      <c r="Q1697" s="1026" t="str">
        <f>IF(OR(AND(CNTR_ExistProductSubEntries=FALSE,Q1418=1),AND(I1418&lt;&gt;"",COUNTIF(Q1698:Q$2825,"PRINT")=0)),"PRINT","")</f>
        <v/>
      </c>
      <c r="R1697" s="770"/>
      <c r="S1697" s="770"/>
      <c r="T1697" s="770"/>
      <c r="U1697" s="770"/>
      <c r="V1697" s="770"/>
      <c r="W1697" s="770"/>
      <c r="X1697" s="770"/>
      <c r="Y1697" s="770"/>
      <c r="Z1697" s="694"/>
      <c r="AA1697" s="694"/>
      <c r="AB1697" s="694"/>
      <c r="AC1697" s="694"/>
      <c r="AD1697" s="694"/>
      <c r="AE1697" s="343"/>
      <c r="AF1697" s="343"/>
      <c r="AG1697" s="343"/>
      <c r="AH1697" s="343"/>
      <c r="AI1697" s="343"/>
      <c r="AJ1697" s="343"/>
      <c r="AK1697" s="343"/>
      <c r="AL1697" s="343"/>
    </row>
    <row r="1698" spans="1:38" ht="5.15" customHeight="1" thickBot="1" x14ac:dyDescent="0.3">
      <c r="A1698" s="694"/>
      <c r="B1698" s="298"/>
      <c r="C1698" s="1380"/>
      <c r="D1698" s="1380"/>
      <c r="E1698" s="1380"/>
      <c r="F1698" s="1380"/>
      <c r="G1698" s="1380"/>
      <c r="H1698" s="1380"/>
      <c r="I1698" s="1380"/>
      <c r="J1698" s="1380"/>
      <c r="K1698" s="1380"/>
      <c r="L1698" s="1380"/>
      <c r="M1698" s="1380"/>
      <c r="N1698" s="1380"/>
      <c r="O1698" s="302"/>
      <c r="P1698" s="302"/>
      <c r="Q1698" s="1381"/>
      <c r="R1698" s="1381"/>
      <c r="S1698" s="1381"/>
      <c r="T1698" s="1381"/>
      <c r="U1698" s="1381"/>
      <c r="V1698" s="1381"/>
      <c r="W1698" s="1381"/>
      <c r="X1698" s="1381"/>
      <c r="Y1698" s="1381"/>
      <c r="Z1698" s="1381"/>
      <c r="AA1698" s="1381"/>
      <c r="AB1698" s="1381"/>
      <c r="AC1698" s="1381"/>
      <c r="AD1698" s="1381"/>
      <c r="AE1698" s="1381"/>
      <c r="AF1698" s="1381"/>
      <c r="AG1698" s="1381"/>
      <c r="AH1698" s="1381"/>
      <c r="AI1698" s="1381"/>
      <c r="AJ1698" s="1381"/>
      <c r="AK1698" s="1381"/>
      <c r="AL1698" s="1381"/>
    </row>
    <row r="1699" spans="1:38" ht="14.5" thickBot="1" x14ac:dyDescent="0.3">
      <c r="A1699" s="694"/>
      <c r="B1699" s="298"/>
      <c r="C1699" s="1173">
        <f>C1418+1</f>
        <v>7</v>
      </c>
      <c r="D1699" s="2323" t="str">
        <f>EUconst_BMSubinst &amp; ":"</f>
        <v>Подинсталация с продуктов показател:</v>
      </c>
      <c r="E1699" s="2249"/>
      <c r="F1699" s="2249"/>
      <c r="G1699" s="2249"/>
      <c r="H1699" s="2295"/>
      <c r="I1699" s="2843" t="str">
        <f>IF(INDEX(CNTR_SubInstListIsProdBM,$C1699),INDEX(CNTR_SubInstListNames,$C1699),"")</f>
        <v/>
      </c>
      <c r="J1699" s="2844"/>
      <c r="K1699" s="2844"/>
      <c r="L1699" s="2844"/>
      <c r="M1699" s="2844"/>
      <c r="N1699" s="2865"/>
      <c r="O1699" s="302"/>
      <c r="P1699" s="302"/>
      <c r="Q1699" s="1026">
        <f>C1699</f>
        <v>7</v>
      </c>
      <c r="R1699" s="694"/>
      <c r="S1699" s="1174" t="str">
        <f>Translations!$B$898</f>
        <v>Дата на въвеждане в експлоатация:</v>
      </c>
      <c r="T1699" s="1175" t="str">
        <f>IF(I1699="","",MAX(INDEX(CNTR_SubInstStartDate,MATCH($I1699,CNTR_SubInstListNames,0)),DATE(2005,1,1)))</f>
        <v/>
      </c>
      <c r="U1699" s="729" t="s">
        <v>1731</v>
      </c>
      <c r="V1699" s="1176">
        <f>IF(ISNUMBER(T1699),YEAR($T1699-IF(YEAR(T1699)&gt;=2022,0,1))+1,2005)</f>
        <v>2005</v>
      </c>
      <c r="W1699" s="1174" t="s">
        <v>1734</v>
      </c>
      <c r="X1699" s="1175" t="str">
        <f>IF(I1699="","",INDEX(CNTR_SubInstCessationDate,MATCH($I1699,CNTR_SubInstListNames,0)))</f>
        <v/>
      </c>
      <c r="Y1699" s="1174" t="s">
        <v>1735</v>
      </c>
      <c r="Z1699" s="1176">
        <f>IF(SUM(X1699)=0,2050,YEAR($X1699))</f>
        <v>2050</v>
      </c>
      <c r="AA1699" s="1174" t="s">
        <v>2009</v>
      </c>
      <c r="AB1699" s="1176" t="b">
        <f>CNTR_ReportingYear&gt;V1699</f>
        <v>1</v>
      </c>
      <c r="AC1699" s="694"/>
      <c r="AD1699" s="694"/>
      <c r="AE1699" s="694"/>
      <c r="AF1699" s="694"/>
      <c r="AG1699" s="694"/>
      <c r="AH1699" s="694"/>
      <c r="AI1699" s="694"/>
      <c r="AJ1699" s="694"/>
      <c r="AK1699" s="694"/>
      <c r="AL1699" s="1177" t="b">
        <f>AND(CNTR_ExistSubInstEntries,I1699="")</f>
        <v>0</v>
      </c>
    </row>
    <row r="1700" spans="1:38" x14ac:dyDescent="0.25">
      <c r="A1700" s="694"/>
      <c r="B1700" s="298"/>
      <c r="C1700" s="298"/>
      <c r="D1700" s="302"/>
      <c r="E1700" s="2358" t="str">
        <f>Translations!$B$330</f>
        <v>Наименованието на подинсталацията с продуктов показател се показва автоматично въз основа на данните, въведени в лист „A_InstallationData“ („А_Данни за инсталацията“).</v>
      </c>
      <c r="F1700" s="2249"/>
      <c r="G1700" s="2249"/>
      <c r="H1700" s="2249"/>
      <c r="I1700" s="2249"/>
      <c r="J1700" s="2249"/>
      <c r="K1700" s="2249"/>
      <c r="L1700" s="2249"/>
      <c r="M1700" s="2249"/>
      <c r="N1700" s="2249"/>
      <c r="O1700" s="302"/>
      <c r="P1700" s="302"/>
      <c r="Q1700" s="729"/>
      <c r="R1700" s="694"/>
      <c r="S1700" s="729"/>
      <c r="T1700" s="729"/>
      <c r="U1700" s="694"/>
      <c r="V1700" s="694"/>
      <c r="W1700" s="694"/>
      <c r="X1700" s="694"/>
      <c r="Y1700" s="694"/>
      <c r="Z1700" s="694"/>
      <c r="AA1700" s="694"/>
      <c r="AB1700" s="694"/>
      <c r="AC1700" s="694"/>
      <c r="AD1700" s="694"/>
      <c r="AE1700" s="694"/>
      <c r="AF1700" s="694"/>
      <c r="AG1700" s="694"/>
      <c r="AH1700" s="694"/>
      <c r="AI1700" s="694"/>
      <c r="AJ1700" s="694"/>
      <c r="AK1700" s="694"/>
      <c r="AL1700" s="694"/>
    </row>
    <row r="1701" spans="1:38" ht="5.15" customHeight="1" x14ac:dyDescent="0.25">
      <c r="A1701" s="694"/>
      <c r="B1701" s="298"/>
      <c r="C1701" s="298"/>
      <c r="D1701" s="298"/>
      <c r="E1701" s="298"/>
      <c r="F1701" s="298"/>
      <c r="G1701" s="298"/>
      <c r="H1701" s="298"/>
      <c r="I1701" s="298"/>
      <c r="J1701" s="298"/>
      <c r="K1701" s="298"/>
      <c r="L1701" s="298"/>
      <c r="M1701" s="302"/>
      <c r="N1701" s="302"/>
      <c r="O1701" s="302"/>
      <c r="P1701" s="302"/>
      <c r="Q1701" s="729"/>
      <c r="R1701" s="694"/>
      <c r="S1701" s="729"/>
      <c r="T1701" s="729"/>
      <c r="U1701" s="694"/>
      <c r="V1701" s="694"/>
      <c r="W1701" s="694"/>
      <c r="X1701" s="694"/>
      <c r="Y1701" s="694"/>
      <c r="Z1701" s="694"/>
      <c r="AA1701" s="694"/>
      <c r="AB1701" s="694"/>
      <c r="AC1701" s="694"/>
      <c r="AD1701" s="694"/>
      <c r="AE1701" s="694"/>
      <c r="AF1701" s="694"/>
      <c r="AG1701" s="694"/>
      <c r="AH1701" s="694"/>
      <c r="AI1701" s="694"/>
      <c r="AJ1701" s="694"/>
      <c r="AK1701" s="694"/>
      <c r="AL1701" s="694"/>
    </row>
    <row r="1702" spans="1:38" ht="13" x14ac:dyDescent="0.25">
      <c r="A1702" s="694"/>
      <c r="B1702" s="298"/>
      <c r="C1702" s="298"/>
      <c r="D1702" s="300" t="s">
        <v>408</v>
      </c>
      <c r="E1702" s="2226" t="str">
        <f>Translations!$B$1315</f>
        <v>Равнища на дейност</v>
      </c>
      <c r="F1702" s="2249"/>
      <c r="G1702" s="2249"/>
      <c r="H1702" s="2249"/>
      <c r="I1702" s="2249"/>
      <c r="J1702" s="2249"/>
      <c r="K1702" s="2249"/>
      <c r="L1702" s="2249"/>
      <c r="M1702" s="2249"/>
      <c r="N1702" s="2249"/>
      <c r="O1702" s="302"/>
      <c r="P1702" s="302"/>
      <c r="Q1702" s="729"/>
      <c r="R1702" s="694"/>
      <c r="S1702" s="694"/>
      <c r="T1702" s="694"/>
      <c r="U1702" s="694"/>
      <c r="V1702" s="694"/>
      <c r="W1702" s="694"/>
      <c r="X1702" s="694"/>
      <c r="Y1702" s="694"/>
      <c r="Z1702" s="694"/>
      <c r="AA1702" s="694"/>
      <c r="AB1702" s="694"/>
      <c r="AC1702" s="694"/>
      <c r="AD1702" s="694"/>
      <c r="AE1702" s="694"/>
      <c r="AF1702" s="694"/>
      <c r="AG1702" s="694"/>
      <c r="AH1702" s="694"/>
      <c r="AI1702" s="694"/>
      <c r="AJ1702" s="694"/>
      <c r="AK1702" s="694"/>
      <c r="AL1702" s="694"/>
    </row>
    <row r="1703" spans="1:38" x14ac:dyDescent="0.25">
      <c r="A1703" s="694"/>
      <c r="B1703" s="298"/>
      <c r="C1703" s="298"/>
      <c r="D1703" s="302"/>
      <c r="E1703" s="2358" t="str">
        <f>Translations!$B$474</f>
        <v>По тази точка следва да се отчетат „основните равнища на дейност“, т.е. данните, които се прилагат пряко за изчисляване на разпределението.</v>
      </c>
      <c r="F1703" s="2249"/>
      <c r="G1703" s="2249"/>
      <c r="H1703" s="2249"/>
      <c r="I1703" s="2249"/>
      <c r="J1703" s="2249"/>
      <c r="K1703" s="2249"/>
      <c r="L1703" s="2249"/>
      <c r="M1703" s="2249"/>
      <c r="N1703" s="2249"/>
      <c r="O1703" s="302"/>
      <c r="P1703" s="302"/>
      <c r="Q1703" s="729"/>
      <c r="R1703" s="694"/>
      <c r="S1703" s="729"/>
      <c r="T1703" s="729"/>
      <c r="U1703" s="729"/>
      <c r="V1703" s="694"/>
      <c r="W1703" s="694"/>
      <c r="X1703" s="694"/>
      <c r="Y1703" s="694"/>
      <c r="Z1703" s="694"/>
      <c r="AA1703" s="694"/>
      <c r="AB1703" s="694"/>
      <c r="AC1703" s="694"/>
      <c r="AD1703" s="694"/>
      <c r="AE1703" s="694"/>
      <c r="AF1703" s="694"/>
      <c r="AG1703" s="694"/>
      <c r="AH1703" s="694"/>
      <c r="AI1703" s="694"/>
      <c r="AJ1703" s="694"/>
      <c r="AK1703" s="694"/>
      <c r="AL1703" s="694"/>
    </row>
    <row r="1704" spans="1:38" x14ac:dyDescent="0.25">
      <c r="A1704" s="694"/>
      <c r="B1704" s="298"/>
      <c r="C1704" s="298"/>
      <c r="D1704" s="302"/>
      <c r="E1704" s="2358" t="str">
        <f>Translations!$B$475</f>
        <v xml:space="preserve">Това обикновено са производствените данни за продукта, напр. тонове клинкер за сив цимент или тонове стъклени бутилки, както е определено в приложение I към ПБР. </v>
      </c>
      <c r="F1704" s="2249"/>
      <c r="G1704" s="2249"/>
      <c r="H1704" s="2249"/>
      <c r="I1704" s="2249"/>
      <c r="J1704" s="2249"/>
      <c r="K1704" s="2249"/>
      <c r="L1704" s="2249"/>
      <c r="M1704" s="2249"/>
      <c r="N1704" s="2249"/>
      <c r="O1704" s="302"/>
      <c r="P1704" s="302"/>
      <c r="Q1704" s="729"/>
      <c r="R1704" s="694"/>
      <c r="S1704" s="729"/>
      <c r="T1704" s="729"/>
      <c r="U1704" s="729"/>
      <c r="V1704" s="694"/>
      <c r="W1704" s="694"/>
      <c r="X1704" s="694"/>
      <c r="Y1704" s="694"/>
      <c r="Z1704" s="694"/>
      <c r="AA1704" s="694"/>
      <c r="AB1704" s="694"/>
      <c r="AC1704" s="694"/>
      <c r="AD1704" s="694"/>
      <c r="AE1704" s="694"/>
      <c r="AF1704" s="694"/>
      <c r="AG1704" s="694"/>
      <c r="AH1704" s="694"/>
      <c r="AI1704" s="694"/>
      <c r="AJ1704" s="694"/>
      <c r="AK1704" s="694"/>
      <c r="AL1704" s="694"/>
    </row>
    <row r="1705" spans="1:38" x14ac:dyDescent="0.25">
      <c r="A1705" s="694"/>
      <c r="B1705" s="298"/>
      <c r="C1705" s="298"/>
      <c r="D1705" s="302"/>
      <c r="E1705" s="2358" t="str">
        <f>Translations!$B$476</f>
        <v>Въпреки това, ако се покаже съобщение съгласно буква b), трябва да се използва съответният инструмент за изчисляване, а резултатите от него автоматично се копират в тази таблица в ii).</v>
      </c>
      <c r="F1705" s="2249"/>
      <c r="G1705" s="2249"/>
      <c r="H1705" s="2249"/>
      <c r="I1705" s="2249"/>
      <c r="J1705" s="2249"/>
      <c r="K1705" s="2249"/>
      <c r="L1705" s="2249"/>
      <c r="M1705" s="2249"/>
      <c r="N1705" s="2249"/>
      <c r="O1705" s="302"/>
      <c r="P1705" s="302"/>
      <c r="Q1705" s="729"/>
      <c r="R1705" s="694"/>
      <c r="S1705" s="729"/>
      <c r="T1705" s="694"/>
      <c r="U1705" s="694"/>
      <c r="V1705" s="694"/>
      <c r="W1705" s="694"/>
      <c r="X1705" s="694"/>
      <c r="Y1705" s="694"/>
      <c r="Z1705" s="729"/>
      <c r="AA1705" s="694"/>
      <c r="AB1705" s="694"/>
      <c r="AC1705" s="694"/>
      <c r="AD1705" s="694"/>
      <c r="AE1705" s="694"/>
      <c r="AF1705" s="694"/>
      <c r="AG1705" s="694"/>
      <c r="AH1705" s="694"/>
      <c r="AI1705" s="694"/>
      <c r="AJ1705" s="694"/>
      <c r="AK1705" s="694"/>
      <c r="AL1705" s="694"/>
    </row>
    <row r="1706" spans="1:38" ht="13.5" customHeight="1" thickBot="1" x14ac:dyDescent="0.3">
      <c r="A1706" s="694"/>
      <c r="B1706" s="698"/>
      <c r="C1706" s="698"/>
      <c r="D1706" s="300"/>
      <c r="E1706" s="2671" t="str">
        <f>Translations!$B$477</f>
        <v>Годишни равнища на дейност:</v>
      </c>
      <c r="F1706" s="2671"/>
      <c r="G1706" s="527" t="str">
        <f>EUconst_Unit</f>
        <v>Единица мярка</v>
      </c>
      <c r="H1706" s="391">
        <f>H$2831</f>
        <v>2024</v>
      </c>
      <c r="I1706" s="572">
        <f t="shared" ref="I1706:N1706" si="2343">I$2831</f>
        <v>2025</v>
      </c>
      <c r="J1706" s="757">
        <f>J$2831</f>
        <v>2026</v>
      </c>
      <c r="K1706" s="391">
        <f t="shared" si="2343"/>
        <v>2027</v>
      </c>
      <c r="L1706" s="391">
        <f t="shared" si="2343"/>
        <v>2028</v>
      </c>
      <c r="M1706" s="391">
        <f t="shared" si="2343"/>
        <v>2029</v>
      </c>
      <c r="N1706" s="387">
        <f t="shared" si="2343"/>
        <v>2030</v>
      </c>
      <c r="O1706" s="302"/>
      <c r="P1706" s="302"/>
      <c r="Q1706" s="729"/>
      <c r="R1706" s="694"/>
      <c r="S1706" s="694"/>
      <c r="T1706" s="1178">
        <f t="shared" ref="T1706" si="2344">H1706</f>
        <v>2024</v>
      </c>
      <c r="U1706" s="1178">
        <f t="shared" ref="U1706" si="2345">I1706</f>
        <v>2025</v>
      </c>
      <c r="V1706" s="1178">
        <f t="shared" ref="V1706" si="2346">J1706</f>
        <v>2026</v>
      </c>
      <c r="W1706" s="1178">
        <f t="shared" ref="W1706" si="2347">K1706</f>
        <v>2027</v>
      </c>
      <c r="X1706" s="1178">
        <f t="shared" ref="X1706" si="2348">L1706</f>
        <v>2028</v>
      </c>
      <c r="Y1706" s="1178">
        <f t="shared" ref="Y1706" si="2349">M1706</f>
        <v>2029</v>
      </c>
      <c r="Z1706" s="1178">
        <f t="shared" ref="Z1706" si="2350">N1706</f>
        <v>2030</v>
      </c>
      <c r="AA1706" s="694"/>
      <c r="AB1706" s="694"/>
      <c r="AC1706" s="1178">
        <f>H$20</f>
        <v>2024</v>
      </c>
      <c r="AD1706" s="1178">
        <f t="shared" ref="AD1706" si="2351">I$20</f>
        <v>2025</v>
      </c>
      <c r="AE1706" s="1178">
        <f t="shared" ref="AE1706" si="2352">J$20</f>
        <v>2026</v>
      </c>
      <c r="AF1706" s="1178">
        <f t="shared" ref="AF1706" si="2353">K$20</f>
        <v>2027</v>
      </c>
      <c r="AG1706" s="1178">
        <f t="shared" ref="AG1706" si="2354">L$20</f>
        <v>2028</v>
      </c>
      <c r="AH1706" s="1178">
        <f t="shared" ref="AH1706" si="2355">M$20</f>
        <v>2029</v>
      </c>
      <c r="AI1706" s="1178">
        <f t="shared" ref="AI1706" si="2356">N$20</f>
        <v>2030</v>
      </c>
      <c r="AJ1706" s="694"/>
      <c r="AK1706" s="694"/>
      <c r="AL1706" s="729"/>
    </row>
    <row r="1707" spans="1:38" ht="13" thickBot="1" x14ac:dyDescent="0.3">
      <c r="A1707" s="694"/>
      <c r="B1707" s="698"/>
      <c r="C1707" s="698"/>
      <c r="D1707" s="1084" t="s">
        <v>6</v>
      </c>
      <c r="E1707" s="2862" t="str">
        <f>I1699</f>
        <v/>
      </c>
      <c r="F1707" s="2862"/>
      <c r="G1707" s="1032" t="str">
        <f>IF(INDEX(CNTR_SubInstListIsProdBM,$C1699),INDEX(CNTR_SubInstListHALUnit,$C1699),EUconst_Tons)</f>
        <v>тона</v>
      </c>
      <c r="H1707" s="98"/>
      <c r="I1707" s="101"/>
      <c r="J1707" s="102"/>
      <c r="K1707" s="98"/>
      <c r="L1707" s="98"/>
      <c r="M1707" s="98"/>
      <c r="N1707" s="120"/>
      <c r="O1707" s="302"/>
      <c r="P1707" s="158"/>
      <c r="Q1707" s="694"/>
      <c r="R1707" s="694"/>
      <c r="S1707" s="729" t="s">
        <v>1732</v>
      </c>
      <c r="T1707" s="1179" t="b">
        <f t="shared" ref="T1707" si="2357">AND($I1699&lt;&gt;"",H1706&lt;CNTR_ReportingYear,H1706&gt;=$V1699-1)</f>
        <v>0</v>
      </c>
      <c r="U1707" s="1180" t="b">
        <f t="shared" ref="U1707" si="2358">AND($I1699&lt;&gt;"",I1706&lt;CNTR_ReportingYear,I1706&gt;=$V1699-1)</f>
        <v>0</v>
      </c>
      <c r="V1707" s="1180" t="b">
        <f t="shared" ref="V1707" si="2359">AND($I1699&lt;&gt;"",J1706&lt;CNTR_ReportingYear,J1706&gt;=$V1699-1)</f>
        <v>0</v>
      </c>
      <c r="W1707" s="1180" t="b">
        <f t="shared" ref="W1707" si="2360">AND($I1699&lt;&gt;"",K1706&lt;CNTR_ReportingYear,K1706&gt;=$V1699-1)</f>
        <v>0</v>
      </c>
      <c r="X1707" s="1180" t="b">
        <f t="shared" ref="X1707" si="2361">AND($I1699&lt;&gt;"",L1706&lt;CNTR_ReportingYear,L1706&gt;=$V1699-1)</f>
        <v>0</v>
      </c>
      <c r="Y1707" s="1180" t="b">
        <f t="shared" ref="Y1707" si="2362">AND($I1699&lt;&gt;"",M1706&lt;CNTR_ReportingYear,M1706&gt;=$V1699-1)</f>
        <v>0</v>
      </c>
      <c r="Z1707" s="1181" t="b">
        <f t="shared" ref="Z1707" si="2363">AND($I1699&lt;&gt;"",N1706&lt;CNTR_ReportingYear,N1706&gt;=$V1699-1)</f>
        <v>0</v>
      </c>
      <c r="AA1707" s="729"/>
      <c r="AB1707" s="1182" t="s">
        <v>737</v>
      </c>
      <c r="AC1707" s="1183" t="b">
        <f t="shared" ref="AC1707" si="2364">IF(CNTR_ExistSubInstEntries,OR($I1699="",$R1711,H1706&gt;=CNTR_ReportingYear,AC1706&lt;$V1699-1),FALSE)</f>
        <v>0</v>
      </c>
      <c r="AD1707" s="1184" t="b">
        <f t="shared" ref="AD1707" si="2365">IF(CNTR_ExistSubInstEntries,OR($I1699="",$R1711,I1706&gt;=CNTR_ReportingYear,AD1706&lt;$V1699-1),FALSE)</f>
        <v>0</v>
      </c>
      <c r="AE1707" s="1184" t="b">
        <f t="shared" ref="AE1707" si="2366">IF(CNTR_ExistSubInstEntries,OR($I1699="",$R1711,J1706&gt;=CNTR_ReportingYear,AE1706&lt;$V1699-1),FALSE)</f>
        <v>0</v>
      </c>
      <c r="AF1707" s="1184" t="b">
        <f t="shared" ref="AF1707" si="2367">IF(CNTR_ExistSubInstEntries,OR($I1699="",$R1711,K1706&gt;=CNTR_ReportingYear,AF1706&lt;$V1699-1),FALSE)</f>
        <v>0</v>
      </c>
      <c r="AG1707" s="1184" t="b">
        <f t="shared" ref="AG1707" si="2368">IF(CNTR_ExistSubInstEntries,OR($I1699="",$R1711,L1706&gt;=CNTR_ReportingYear,AG1706&lt;$V1699-1),FALSE)</f>
        <v>0</v>
      </c>
      <c r="AH1707" s="1184" t="b">
        <f t="shared" ref="AH1707" si="2369">IF(CNTR_ExistSubInstEntries,OR($I1699="",$R1711,M1706&gt;=CNTR_ReportingYear,AH1706&lt;$V1699-1),FALSE)</f>
        <v>0</v>
      </c>
      <c r="AI1707" s="1185" t="b">
        <f t="shared" ref="AI1707" si="2370">IF(CNTR_ExistSubInstEntries,OR($I1699="",$R1711,N1706&gt;=CNTR_ReportingYear,AI1706&lt;$V1699-1),FALSE)</f>
        <v>0</v>
      </c>
      <c r="AJ1707" s="1174" t="s">
        <v>2039</v>
      </c>
      <c r="AK1707" s="1176" t="str">
        <f>IF(AND(CNTR_ExistSubInstEntries,COUNTIFS(AC1707:AI1707,FALSE,H1707:N1707,"")&gt;0),EUconst_Error&amp;"BM"&amp;$Q1699,"")</f>
        <v/>
      </c>
      <c r="AL1707" s="694"/>
    </row>
    <row r="1708" spans="1:38" ht="13" customHeight="1" thickBot="1" x14ac:dyDescent="0.3">
      <c r="A1708" s="694"/>
      <c r="B1708" s="698"/>
      <c r="C1708" s="698"/>
      <c r="D1708" s="1084" t="s">
        <v>7</v>
      </c>
      <c r="E1708" s="2862" t="str">
        <f>Translations!$B$478</f>
        <v>От работен лист „H_SpecialBM“ („H_Специфичен показател“):</v>
      </c>
      <c r="F1708" s="2862"/>
      <c r="G1708" s="1032" t="str">
        <f>G1707</f>
        <v>тона</v>
      </c>
      <c r="H1708" s="1186" t="str">
        <f>IF(OR($I1699="",H1706&gt;=CNTR_ReportingYear),"",IF($R1711,SUMIF(H_SpecialBM!$Q$9:$Q$483,$Q1708,H_SpecialBM!H$9:H$483),""))</f>
        <v/>
      </c>
      <c r="I1708" s="1187" t="str">
        <f>IF(OR($I1699="",I1706&gt;=CNTR_ReportingYear),"",IF($R1711,SUMIF(H_SpecialBM!$Q$9:$Q$483,$Q1708,H_SpecialBM!I$9:I$483),""))</f>
        <v/>
      </c>
      <c r="J1708" s="1188" t="str">
        <f>IF(OR($I1699="",J1706&gt;=CNTR_ReportingYear),"",IF($R1711,SUMIF(H_SpecialBM!$Q$9:$Q$483,$Q1708,H_SpecialBM!J$9:J$483),""))</f>
        <v/>
      </c>
      <c r="K1708" s="1186" t="str">
        <f>IF(OR($I1699="",K1706&gt;=CNTR_ReportingYear),"",IF($R1711,SUMIF(H_SpecialBM!$Q$9:$Q$483,$Q1708,H_SpecialBM!K$9:K$483),""))</f>
        <v/>
      </c>
      <c r="L1708" s="1186" t="str">
        <f>IF(OR($I1699="",L1706&gt;=CNTR_ReportingYear),"",IF($R1711,SUMIF(H_SpecialBM!$Q$9:$Q$483,$Q1708,H_SpecialBM!L$9:L$483),""))</f>
        <v/>
      </c>
      <c r="M1708" s="1186" t="str">
        <f>IF(OR($I1699="",M1706&gt;=CNTR_ReportingYear),"",IF($R1711,SUMIF(H_SpecialBM!$Q$9:$Q$483,$Q1708,H_SpecialBM!M$9:M$483),""))</f>
        <v/>
      </c>
      <c r="N1708" s="1189" t="str">
        <f>IF(OR($I1699="",N1706&gt;=CNTR_ReportingYear),"",IF($R1711,SUMIF(H_SpecialBM!$Q$9:$Q$483,$Q1708,H_SpecialBM!N$9:N$483),""))</f>
        <v/>
      </c>
      <c r="O1708" s="302"/>
      <c r="P1708" s="302"/>
      <c r="Q1708" s="1190" t="str">
        <f>EUconst_CNTR_HALspecial&amp;I1699</f>
        <v>HALspecial_</v>
      </c>
      <c r="R1708" s="694"/>
      <c r="S1708" s="694"/>
      <c r="T1708" s="694"/>
      <c r="U1708" s="694"/>
      <c r="V1708" s="694"/>
      <c r="W1708" s="694"/>
      <c r="X1708" s="694"/>
      <c r="Y1708" s="694"/>
      <c r="Z1708" s="694"/>
      <c r="AA1708" s="694"/>
      <c r="AB1708" s="1182" t="s">
        <v>737</v>
      </c>
      <c r="AC1708" s="1183" t="b">
        <f t="shared" ref="AC1708" si="2371">AND(CNTR_HasEntries_A_I,OR($R1711=FALSE,H1706&gt;=CNTR_ReportingYear))</f>
        <v>0</v>
      </c>
      <c r="AD1708" s="1184" t="b">
        <f t="shared" ref="AD1708" si="2372">AND(CNTR_HasEntries_A_I,OR($R1711=FALSE,I1706&gt;=CNTR_ReportingYear))</f>
        <v>0</v>
      </c>
      <c r="AE1708" s="1184" t="b">
        <f t="shared" ref="AE1708" si="2373">AND(CNTR_HasEntries_A_I,OR($R1711=FALSE,J1706&gt;=CNTR_ReportingYear))</f>
        <v>0</v>
      </c>
      <c r="AF1708" s="1184" t="b">
        <f t="shared" ref="AF1708" si="2374">AND(CNTR_HasEntries_A_I,OR($R1711=FALSE,K1706&gt;=CNTR_ReportingYear))</f>
        <v>0</v>
      </c>
      <c r="AG1708" s="1184" t="b">
        <f t="shared" ref="AG1708" si="2375">AND(CNTR_HasEntries_A_I,OR($R1711=FALSE,L1706&gt;=CNTR_ReportingYear))</f>
        <v>0</v>
      </c>
      <c r="AH1708" s="1184" t="b">
        <f t="shared" ref="AH1708" si="2376">AND(CNTR_HasEntries_A_I,OR($R1711=FALSE,M1706&gt;=CNTR_ReportingYear))</f>
        <v>0</v>
      </c>
      <c r="AI1708" s="1185" t="b">
        <f t="shared" ref="AI1708" si="2377">AND(CNTR_HasEntries_A_I,OR($R1711=FALSE,N1706&gt;=CNTR_ReportingYear))</f>
        <v>0</v>
      </c>
      <c r="AJ1708" s="1165"/>
      <c r="AK1708" s="1165"/>
      <c r="AL1708" s="729"/>
    </row>
    <row r="1709" spans="1:38" ht="13" customHeight="1" x14ac:dyDescent="0.25">
      <c r="A1709" s="694"/>
      <c r="B1709" s="698"/>
      <c r="C1709" s="698"/>
      <c r="D1709" s="1084" t="s">
        <v>8</v>
      </c>
      <c r="E1709" s="2862" t="str">
        <f>Translations!$B$479</f>
        <v>Стойности, използвани за изчислението:</v>
      </c>
      <c r="F1709" s="2862"/>
      <c r="G1709" s="1032" t="str">
        <f>G1708</f>
        <v>тона</v>
      </c>
      <c r="H1709" s="1186" t="str">
        <f t="shared" ref="H1709:N1709" si="2378">IF(OR($I1699="",H1706&gt;=CNTR_ReportingYear),"",IF($R1711=TRUE,IF(ISNUMBER(H1708),H1708,0),IF(AND(H1706&gt;=$V1699-1,ISNUMBER(H1707)),H1707,0)))</f>
        <v/>
      </c>
      <c r="I1709" s="1187" t="str">
        <f t="shared" si="2378"/>
        <v/>
      </c>
      <c r="J1709" s="1188" t="str">
        <f t="shared" si="2378"/>
        <v/>
      </c>
      <c r="K1709" s="1186" t="str">
        <f t="shared" si="2378"/>
        <v/>
      </c>
      <c r="L1709" s="1186" t="str">
        <f t="shared" si="2378"/>
        <v/>
      </c>
      <c r="M1709" s="1186" t="str">
        <f t="shared" si="2378"/>
        <v/>
      </c>
      <c r="N1709" s="1189" t="str">
        <f t="shared" si="2378"/>
        <v/>
      </c>
      <c r="O1709" s="302"/>
      <c r="P1709" s="710"/>
      <c r="Q1709" s="1190" t="str">
        <f>EUconst_CNTR_HAL&amp;I1699</f>
        <v>HAL_</v>
      </c>
      <c r="R1709" s="694"/>
      <c r="S1709" s="694"/>
      <c r="T1709" s="694"/>
      <c r="U1709" s="694"/>
      <c r="V1709" s="694"/>
      <c r="W1709" s="694"/>
      <c r="X1709" s="694"/>
      <c r="Y1709" s="694"/>
      <c r="Z1709" s="694"/>
      <c r="AA1709" s="694"/>
      <c r="AB1709" s="694"/>
      <c r="AC1709" s="694"/>
      <c r="AD1709" s="694"/>
      <c r="AE1709" s="694"/>
      <c r="AF1709" s="694"/>
      <c r="AG1709" s="694"/>
      <c r="AH1709" s="694"/>
      <c r="AI1709" s="694"/>
      <c r="AJ1709" s="1174" t="s">
        <v>2033</v>
      </c>
      <c r="AK1709" s="982" t="str">
        <f>IF(COUNTIFS(H1706:N1706,"&lt;"&amp;YEAR(SUM(T1699)),H1709:N1709,"&gt;"&amp;0)&gt;0,EUconst_Error&amp;"BM"&amp;Q1699,"")</f>
        <v/>
      </c>
      <c r="AL1709" s="729"/>
    </row>
    <row r="1710" spans="1:38" ht="5.15" customHeight="1" x14ac:dyDescent="0.25">
      <c r="A1710" s="694"/>
      <c r="B1710" s="298"/>
      <c r="C1710" s="298"/>
      <c r="D1710" s="298"/>
      <c r="E1710" s="298"/>
      <c r="F1710" s="298"/>
      <c r="G1710" s="298"/>
      <c r="H1710" s="298"/>
      <c r="I1710" s="298"/>
      <c r="J1710" s="298"/>
      <c r="K1710" s="298"/>
      <c r="L1710" s="298"/>
      <c r="M1710" s="302"/>
      <c r="N1710" s="302"/>
      <c r="O1710" s="302"/>
      <c r="P1710" s="302"/>
      <c r="Q1710" s="729"/>
      <c r="R1710" s="694"/>
      <c r="S1710" s="729"/>
      <c r="T1710" s="729"/>
      <c r="U1710" s="694"/>
      <c r="V1710" s="694"/>
      <c r="W1710" s="694"/>
      <c r="X1710" s="694"/>
      <c r="Y1710" s="694"/>
      <c r="Z1710" s="694"/>
      <c r="AA1710" s="694"/>
      <c r="AB1710" s="694"/>
      <c r="AC1710" s="694"/>
      <c r="AD1710" s="694"/>
      <c r="AE1710" s="694"/>
      <c r="AF1710" s="694"/>
      <c r="AG1710" s="694"/>
      <c r="AH1710" s="694"/>
      <c r="AI1710" s="694"/>
      <c r="AJ1710" s="694"/>
      <c r="AK1710" s="694"/>
      <c r="AL1710" s="694"/>
    </row>
    <row r="1711" spans="1:38" ht="13" x14ac:dyDescent="0.25">
      <c r="A1711" s="694"/>
      <c r="B1711" s="298"/>
      <c r="C1711" s="298"/>
      <c r="D1711" s="360" t="s">
        <v>18</v>
      </c>
      <c r="E1711" s="2226" t="str">
        <f>Translations!$B$480</f>
        <v>Специални изисквания за докладване:</v>
      </c>
      <c r="F1711" s="2226"/>
      <c r="G1711" s="2317"/>
      <c r="H1711" s="2858" t="str">
        <f>IF(I1699="","",HYPERLINK(INDEX(EUconst_BMlistSpecialJumpTable,MATCH(I1699,EUconst_BMlistNames,0)),INDEX(EUconst_BMlistSpecialReporting,MATCH(I1699,EUconst_BMlistNames,0))))</f>
        <v/>
      </c>
      <c r="I1711" s="2863"/>
      <c r="J1711" s="2863"/>
      <c r="K1711" s="2863"/>
      <c r="L1711" s="2863"/>
      <c r="M1711" s="2863"/>
      <c r="N1711" s="2864"/>
      <c r="O1711" s="302"/>
      <c r="P1711" s="302"/>
      <c r="Q1711" s="1174" t="s">
        <v>119</v>
      </c>
      <c r="R1711" s="982" t="str">
        <f>IF(I1699="","",IF(AND(INDEX(EUconst_BMlistSpecialJumpTable,MATCH(I1699,EUconst_BMlistNames,0))&lt;&gt;"",INDEX(EUconst_BMlistMainNumberOfBM,MATCH(I1699,EUconst_BMlistNames,0))&lt;&gt;47),TRUE,FALSE))</f>
        <v/>
      </c>
      <c r="S1711" s="729"/>
      <c r="T1711" s="729"/>
      <c r="U1711" s="694"/>
      <c r="V1711" s="694"/>
      <c r="W1711" s="694"/>
      <c r="X1711" s="694"/>
      <c r="Y1711" s="694"/>
      <c r="Z1711" s="694"/>
      <c r="AA1711" s="694"/>
      <c r="AB1711" s="694"/>
      <c r="AC1711" s="694"/>
      <c r="AD1711" s="694"/>
      <c r="AE1711" s="694"/>
      <c r="AF1711" s="694"/>
      <c r="AG1711" s="694"/>
      <c r="AH1711" s="694"/>
      <c r="AI1711" s="694"/>
      <c r="AJ1711" s="694"/>
      <c r="AK1711" s="694"/>
      <c r="AL1711" s="694"/>
    </row>
    <row r="1712" spans="1:38" x14ac:dyDescent="0.25">
      <c r="A1712" s="694"/>
      <c r="B1712" s="298"/>
      <c r="C1712" s="298"/>
      <c r="D1712" s="302"/>
      <c r="E1712" s="2358" t="str">
        <f>Translations!$B$481</f>
        <v>При някои продуктови показатели се изисква да се отчита специфична информация (напр. стойности на приведени по CO2 тонове (CWT)). Ако е приложимо, тук ще се покаже автоматично съобщение.</v>
      </c>
      <c r="F1712" s="2249"/>
      <c r="G1712" s="2249"/>
      <c r="H1712" s="2249"/>
      <c r="I1712" s="2249"/>
      <c r="J1712" s="2249"/>
      <c r="K1712" s="2249"/>
      <c r="L1712" s="2249"/>
      <c r="M1712" s="2249"/>
      <c r="N1712" s="2249"/>
      <c r="O1712" s="302"/>
      <c r="P1712" s="302"/>
      <c r="Q1712" s="729"/>
      <c r="R1712" s="694"/>
      <c r="S1712" s="729"/>
      <c r="T1712" s="729"/>
      <c r="U1712" s="694"/>
      <c r="V1712" s="694"/>
      <c r="W1712" s="694"/>
      <c r="X1712" s="694"/>
      <c r="Y1712" s="694"/>
      <c r="Z1712" s="694"/>
      <c r="AA1712" s="694"/>
      <c r="AB1712" s="694"/>
      <c r="AC1712" s="694"/>
      <c r="AD1712" s="694"/>
      <c r="AE1712" s="694"/>
      <c r="AF1712" s="694"/>
      <c r="AG1712" s="694"/>
      <c r="AH1712" s="694"/>
      <c r="AI1712" s="694"/>
      <c r="AJ1712" s="694"/>
      <c r="AK1712" s="694"/>
      <c r="AL1712" s="694"/>
    </row>
    <row r="1713" spans="1:38" ht="5.15" customHeight="1" x14ac:dyDescent="0.25">
      <c r="A1713" s="694"/>
      <c r="B1713" s="298"/>
      <c r="C1713" s="298"/>
      <c r="D1713" s="302"/>
      <c r="E1713" s="302"/>
      <c r="F1713" s="302"/>
      <c r="G1713" s="302"/>
      <c r="H1713" s="302"/>
      <c r="I1713" s="302"/>
      <c r="J1713" s="302"/>
      <c r="K1713" s="302"/>
      <c r="L1713" s="302"/>
      <c r="M1713" s="302"/>
      <c r="N1713" s="302"/>
      <c r="O1713" s="302"/>
      <c r="P1713" s="302"/>
      <c r="Q1713" s="729"/>
      <c r="R1713" s="694"/>
      <c r="S1713" s="729"/>
      <c r="T1713" s="729"/>
      <c r="U1713" s="694"/>
      <c r="V1713" s="694"/>
      <c r="W1713" s="694"/>
      <c r="X1713" s="694"/>
      <c r="Y1713" s="694"/>
      <c r="Z1713" s="729"/>
      <c r="AA1713" s="694"/>
      <c r="AB1713" s="694"/>
      <c r="AC1713" s="694"/>
      <c r="AD1713" s="694"/>
      <c r="AE1713" s="694"/>
      <c r="AF1713" s="694"/>
      <c r="AG1713" s="694"/>
      <c r="AH1713" s="694"/>
      <c r="AI1713" s="694"/>
      <c r="AJ1713" s="694"/>
      <c r="AK1713" s="694"/>
      <c r="AL1713" s="729"/>
    </row>
    <row r="1714" spans="1:38" ht="12.75" customHeight="1" x14ac:dyDescent="0.25">
      <c r="A1714" s="694"/>
      <c r="B1714" s="298"/>
      <c r="C1714" s="298"/>
      <c r="D1714" s="300" t="s">
        <v>901</v>
      </c>
      <c r="E1714" s="2226" t="str">
        <f>Translations!$B$1316</f>
        <v>Определяне на корекции на равнището на дейност</v>
      </c>
      <c r="F1714" s="2249"/>
      <c r="G1714" s="2249"/>
      <c r="H1714" s="2249"/>
      <c r="I1714" s="2249"/>
      <c r="J1714" s="2249"/>
      <c r="K1714" s="2249"/>
      <c r="L1714" s="2249"/>
      <c r="M1714" s="2249"/>
      <c r="N1714" s="2249"/>
      <c r="O1714" s="302"/>
      <c r="P1714" s="302"/>
      <c r="Q1714" s="729"/>
      <c r="R1714" s="694"/>
      <c r="S1714" s="729"/>
      <c r="T1714" s="729"/>
      <c r="U1714" s="694"/>
      <c r="V1714" s="694"/>
      <c r="W1714" s="694"/>
      <c r="X1714" s="694"/>
      <c r="Y1714" s="694"/>
      <c r="Z1714" s="729"/>
      <c r="AA1714" s="694"/>
      <c r="AB1714" s="694"/>
      <c r="AC1714" s="694"/>
      <c r="AD1714" s="694"/>
      <c r="AE1714" s="694"/>
      <c r="AF1714" s="694"/>
      <c r="AG1714" s="694"/>
      <c r="AH1714" s="694"/>
      <c r="AI1714" s="694"/>
      <c r="AJ1714" s="694"/>
      <c r="AK1714" s="694"/>
      <c r="AL1714" s="729"/>
    </row>
    <row r="1715" spans="1:38" ht="12.75" customHeight="1" x14ac:dyDescent="0.25">
      <c r="A1715" s="694"/>
      <c r="B1715" s="298"/>
      <c r="C1715" s="298"/>
      <c r="D1715" s="302"/>
      <c r="E1715" s="2358" t="str">
        <f>Translations!$B$1317</f>
        <v>Историческото равнище на дейността (HAL) ще бъде определено автоматично за данните по буква а) по-горе и данните в лист „B+C_SubInstallations“ („B+C_Подинсталации“). За нови подинсталации HAL ще бъде показано в v. на базата на първата пълна година на експлоатация.</v>
      </c>
      <c r="F1715" s="2249"/>
      <c r="G1715" s="2249"/>
      <c r="H1715" s="2249"/>
      <c r="I1715" s="2249"/>
      <c r="J1715" s="2249"/>
      <c r="K1715" s="2249"/>
      <c r="L1715" s="2249"/>
      <c r="M1715" s="2249"/>
      <c r="N1715" s="2249"/>
      <c r="O1715" s="302"/>
      <c r="P1715" s="302"/>
      <c r="Q1715" s="729"/>
      <c r="R1715" s="694"/>
      <c r="S1715" s="729"/>
      <c r="T1715" s="729"/>
      <c r="U1715" s="729"/>
      <c r="V1715" s="694"/>
      <c r="W1715" s="694"/>
      <c r="X1715" s="694"/>
      <c r="Y1715" s="694"/>
      <c r="Z1715" s="694"/>
      <c r="AA1715" s="694"/>
      <c r="AB1715" s="694"/>
      <c r="AC1715" s="694"/>
      <c r="AD1715" s="694"/>
      <c r="AE1715" s="694"/>
      <c r="AF1715" s="694"/>
      <c r="AG1715" s="694"/>
      <c r="AH1715" s="694"/>
      <c r="AI1715" s="694"/>
      <c r="AJ1715" s="694"/>
      <c r="AK1715" s="694"/>
      <c r="AL1715" s="694"/>
    </row>
    <row r="1716" spans="1:38" ht="25.5" customHeight="1" x14ac:dyDescent="0.25">
      <c r="A1716" s="694"/>
      <c r="B1716" s="298"/>
      <c r="C1716" s="298"/>
      <c r="D1716" s="302"/>
      <c r="E1716" s="2358" t="str">
        <f>Translations!$B$1318</f>
        <v>На базата на стойностите на HAL и данните, въведени в буква а) по-горе, тук се определят средните равнища на дейност. Разпределението ще бъде променено само ако са надвишени всички долуизброени прагове по член 5 от Регламента за ALC:</v>
      </c>
      <c r="F1716" s="2249"/>
      <c r="G1716" s="2249"/>
      <c r="H1716" s="2249"/>
      <c r="I1716" s="2249"/>
      <c r="J1716" s="2249"/>
      <c r="K1716" s="2249"/>
      <c r="L1716" s="2249"/>
      <c r="M1716" s="2249"/>
      <c r="N1716" s="2249"/>
      <c r="O1716" s="302"/>
      <c r="P1716" s="302"/>
      <c r="Q1716" s="729"/>
      <c r="R1716" s="694"/>
      <c r="S1716" s="729"/>
      <c r="T1716" s="729"/>
      <c r="U1716" s="729"/>
      <c r="V1716" s="694"/>
      <c r="W1716" s="694"/>
      <c r="X1716" s="694"/>
      <c r="Y1716" s="694"/>
      <c r="Z1716" s="694"/>
      <c r="AA1716" s="694"/>
      <c r="AB1716" s="694"/>
      <c r="AC1716" s="694"/>
      <c r="AD1716" s="694"/>
      <c r="AE1716" s="694"/>
      <c r="AF1716" s="694"/>
      <c r="AG1716" s="694"/>
      <c r="AH1716" s="694"/>
      <c r="AI1716" s="694"/>
      <c r="AJ1716" s="694"/>
      <c r="AK1716" s="694"/>
      <c r="AL1716" s="694"/>
    </row>
    <row r="1717" spans="1:38" ht="12.75" customHeight="1" x14ac:dyDescent="0.25">
      <c r="A1717" s="694"/>
      <c r="B1717" s="298"/>
      <c r="C1717" s="298"/>
      <c r="D1717" s="302"/>
      <c r="E1717" s="1191" t="s">
        <v>1052</v>
      </c>
      <c r="F1717" s="2358" t="str">
        <f>Translations!$B$1319</f>
        <v>относителните прагове (15 % и 5 % за последващи промени) за средното равнище на дейност в сравнение с HAL</v>
      </c>
      <c r="G1717" s="2861"/>
      <c r="H1717" s="2861"/>
      <c r="I1717" s="2861"/>
      <c r="J1717" s="2861"/>
      <c r="K1717" s="2861"/>
      <c r="L1717" s="2861"/>
      <c r="M1717" s="2861"/>
      <c r="N1717" s="2861"/>
      <c r="O1717" s="302"/>
      <c r="P1717" s="302"/>
      <c r="Q1717" s="729"/>
      <c r="R1717" s="694"/>
      <c r="S1717" s="729"/>
      <c r="T1717" s="729"/>
      <c r="U1717" s="729"/>
      <c r="V1717" s="694"/>
      <c r="W1717" s="694"/>
      <c r="X1717" s="694"/>
      <c r="Y1717" s="694"/>
      <c r="Z1717" s="694"/>
      <c r="AA1717" s="694"/>
      <c r="AB1717" s="694"/>
      <c r="AC1717" s="694"/>
      <c r="AD1717" s="694"/>
      <c r="AE1717" s="694"/>
      <c r="AF1717" s="694"/>
      <c r="AG1717" s="694"/>
      <c r="AH1717" s="694"/>
      <c r="AI1717" s="694"/>
      <c r="AJ1717" s="694"/>
      <c r="AK1717" s="694"/>
      <c r="AL1717" s="694"/>
    </row>
    <row r="1718" spans="1:38" ht="12.75" customHeight="1" thickBot="1" x14ac:dyDescent="0.3">
      <c r="A1718" s="694"/>
      <c r="B1718" s="298"/>
      <c r="C1718" s="298"/>
      <c r="D1718" s="302"/>
      <c r="E1718" s="1191" t="s">
        <v>1052</v>
      </c>
      <c r="F1718" s="2358" t="str">
        <f>Translations!$B$1514</f>
        <v>абсолютния праг, т.е. промяната би довела до разлика в предварителното разпределение от най-малко 300 квоти</v>
      </c>
      <c r="G1718" s="2861"/>
      <c r="H1718" s="2861"/>
      <c r="I1718" s="2861"/>
      <c r="J1718" s="2861"/>
      <c r="K1718" s="2861"/>
      <c r="L1718" s="2861"/>
      <c r="M1718" s="2861"/>
      <c r="N1718" s="2861"/>
      <c r="O1718" s="302"/>
      <c r="P1718" s="302"/>
      <c r="Q1718" s="729"/>
      <c r="R1718" s="694"/>
      <c r="S1718" s="729"/>
      <c r="T1718" s="729"/>
      <c r="U1718" s="729"/>
      <c r="V1718" s="694"/>
      <c r="W1718" s="694"/>
      <c r="X1718" s="694"/>
      <c r="Y1718" s="694"/>
      <c r="Z1718" s="694"/>
      <c r="AA1718" s="694"/>
      <c r="AB1718" s="694"/>
      <c r="AC1718" s="694"/>
      <c r="AD1718" s="694"/>
      <c r="AE1718" s="694"/>
      <c r="AF1718" s="694"/>
      <c r="AG1718" s="694"/>
      <c r="AH1718" s="694"/>
      <c r="AI1718" s="694"/>
      <c r="AJ1718" s="694"/>
      <c r="AK1718" s="694"/>
      <c r="AL1718" s="694"/>
    </row>
    <row r="1719" spans="1:38" ht="5.15" customHeight="1" thickBot="1" x14ac:dyDescent="0.3">
      <c r="A1719" s="694"/>
      <c r="B1719" s="298"/>
      <c r="C1719" s="298"/>
      <c r="D1719" s="1192"/>
      <c r="E1719" s="1193"/>
      <c r="F1719" s="1194"/>
      <c r="G1719" s="1195"/>
      <c r="H1719" s="1195"/>
      <c r="I1719" s="1195"/>
      <c r="J1719" s="1195"/>
      <c r="K1719" s="1195"/>
      <c r="L1719" s="1195"/>
      <c r="M1719" s="1195"/>
      <c r="N1719" s="1196"/>
      <c r="O1719" s="302"/>
      <c r="P1719" s="302"/>
      <c r="Q1719" s="729"/>
      <c r="R1719" s="694"/>
      <c r="S1719" s="729"/>
      <c r="T1719" s="729"/>
      <c r="U1719" s="729"/>
      <c r="V1719" s="694"/>
      <c r="W1719" s="694"/>
      <c r="X1719" s="694"/>
      <c r="Y1719" s="694"/>
      <c r="Z1719" s="694"/>
      <c r="AA1719" s="694"/>
      <c r="AB1719" s="694"/>
      <c r="AC1719" s="694"/>
      <c r="AD1719" s="694"/>
      <c r="AE1719" s="694"/>
      <c r="AF1719" s="694"/>
      <c r="AG1719" s="694"/>
      <c r="AH1719" s="694"/>
      <c r="AI1719" s="694"/>
      <c r="AJ1719" s="694"/>
      <c r="AK1719" s="694"/>
      <c r="AL1719" s="694"/>
    </row>
    <row r="1720" spans="1:38" ht="12.75" customHeight="1" x14ac:dyDescent="0.25">
      <c r="A1720" s="694"/>
      <c r="B1720" s="298"/>
      <c r="C1720" s="298"/>
      <c r="D1720" s="1197"/>
      <c r="E1720" s="1198" t="str">
        <f>Translations!$B$1196</f>
        <v>Корекции</v>
      </c>
      <c r="F1720" s="1199"/>
      <c r="G1720" s="1199"/>
      <c r="H1720" s="1200" t="str">
        <f>EUconst_Unit</f>
        <v>Единица мярка</v>
      </c>
      <c r="I1720" s="1201" t="str">
        <f>Translations!$B$1320</f>
        <v>(НМИ) HAL</v>
      </c>
      <c r="J1720" s="1202">
        <f>J$2831</f>
        <v>2026</v>
      </c>
      <c r="K1720" s="1203">
        <f>K$2831</f>
        <v>2027</v>
      </c>
      <c r="L1720" s="1203">
        <f>L$2831</f>
        <v>2028</v>
      </c>
      <c r="M1720" s="1203">
        <f>M$2831</f>
        <v>2029</v>
      </c>
      <c r="N1720" s="1204">
        <f>N$2831</f>
        <v>2030</v>
      </c>
      <c r="O1720" s="302"/>
      <c r="P1720" s="302"/>
      <c r="Q1720" s="729"/>
      <c r="R1720" s="694"/>
      <c r="S1720" s="694"/>
      <c r="T1720" s="694"/>
      <c r="U1720" s="1205"/>
      <c r="V1720" s="1206">
        <f>J1720</f>
        <v>2026</v>
      </c>
      <c r="W1720" s="1206">
        <f>K1720</f>
        <v>2027</v>
      </c>
      <c r="X1720" s="1206">
        <f>L1720</f>
        <v>2028</v>
      </c>
      <c r="Y1720" s="1206">
        <f>M1720</f>
        <v>2029</v>
      </c>
      <c r="Z1720" s="1207">
        <f>N1720</f>
        <v>2030</v>
      </c>
      <c r="AA1720" s="694"/>
      <c r="AB1720" s="694"/>
      <c r="AC1720" s="694"/>
      <c r="AD1720" s="694"/>
      <c r="AE1720" s="694"/>
      <c r="AF1720" s="694"/>
      <c r="AG1720" s="694"/>
      <c r="AH1720" s="694"/>
      <c r="AI1720" s="694"/>
      <c r="AJ1720" s="694"/>
      <c r="AK1720" s="694"/>
      <c r="AL1720" s="694"/>
    </row>
    <row r="1721" spans="1:38" ht="12.75" customHeight="1" x14ac:dyDescent="0.25">
      <c r="A1721" s="694"/>
      <c r="B1721" s="298"/>
      <c r="C1721" s="298"/>
      <c r="D1721" s="1208" t="s">
        <v>6</v>
      </c>
      <c r="E1721" s="1209" t="str">
        <f>Translations!$B$1321</f>
        <v>Средно годишно равнище на дейност (стойност в НМИ)</v>
      </c>
      <c r="F1721" s="1209"/>
      <c r="G1721" s="1209"/>
      <c r="H1721" s="1210" t="str">
        <f>IF(INDEX(CNTR_SubInstListIsProdBM,$C1699),INDEX(CNTR_SubInstListHALUnit,$C1699),EUconst_Tons)</f>
        <v>тона</v>
      </c>
      <c r="I1721" s="1211" t="str">
        <f>IF(V1699&gt;($J$2831-3),EUconst_NA,INDEX('B+C_SubInstallations'!$I:$I,MATCH(Q1721,'B+C_SubInstallations'!$T:$T,0)))</f>
        <v/>
      </c>
      <c r="J1721" s="1212" t="str">
        <f>IF(AND(V1721&gt;=3,CNTR_ReportingYear&gt;J1720-1),AVERAGE(H1709:I1709),"")</f>
        <v/>
      </c>
      <c r="K1721" s="1213" t="str">
        <f>IF(AND(W1721&gt;=3,CNTR_ReportingYear&gt;K1720-1),AVERAGE(I1709:J1709),"")</f>
        <v/>
      </c>
      <c r="L1721" s="1213" t="str">
        <f>IF(AND(X1721&gt;=3,CNTR_ReportingYear&gt;L1720-1),AVERAGE(J1709:K1709),"")</f>
        <v/>
      </c>
      <c r="M1721" s="1213" t="str">
        <f>IF(AND(Y1721&gt;=3,CNTR_ReportingYear&gt;M1720-1),AVERAGE(K1709:L1709),"")</f>
        <v/>
      </c>
      <c r="N1721" s="1214" t="str">
        <f>IF(AND(Z1721&gt;=3,CNTR_ReportingYear&gt;N1720-1),AVERAGE(L1709:M1709),"")</f>
        <v/>
      </c>
      <c r="O1721" s="302"/>
      <c r="P1721" s="302"/>
      <c r="Q1721" s="1182" t="str">
        <f>EUconst_CNTR_HALinitial&amp;I1699</f>
        <v>HALini_</v>
      </c>
      <c r="R1721" s="694"/>
      <c r="S1721" s="694"/>
      <c r="T1721" s="694"/>
      <c r="U1721" s="1215" t="s">
        <v>1710</v>
      </c>
      <c r="V1721" s="1176">
        <f>IF($I1699="",0,V1720-$V1699+1)</f>
        <v>0</v>
      </c>
      <c r="W1721" s="1176">
        <f>IF($I1699="",0,W1720-$V1699+1)</f>
        <v>0</v>
      </c>
      <c r="X1721" s="1176">
        <f>IF($I1699="",0,X1720-$V1699+1)</f>
        <v>0</v>
      </c>
      <c r="Y1721" s="1176">
        <f>IF($I1699="",0,Y1720-$V1699+1)</f>
        <v>0</v>
      </c>
      <c r="Z1721" s="1216">
        <f>IF($I1699="",0,Z1720-$V1699+1)</f>
        <v>0</v>
      </c>
      <c r="AA1721" s="694"/>
      <c r="AB1721" s="694"/>
      <c r="AC1721" s="694"/>
      <c r="AD1721" s="694"/>
      <c r="AE1721" s="694"/>
      <c r="AF1721" s="694"/>
      <c r="AG1721" s="694"/>
      <c r="AH1721" s="694"/>
      <c r="AI1721" s="694"/>
      <c r="AJ1721" s="694"/>
      <c r="AK1721" s="694"/>
      <c r="AL1721" s="694"/>
    </row>
    <row r="1722" spans="1:38" ht="12.75" hidden="1" customHeight="1" x14ac:dyDescent="0.25">
      <c r="A1722" s="729" t="s">
        <v>312</v>
      </c>
      <c r="B1722" s="298"/>
      <c r="C1722" s="298"/>
      <c r="D1722" s="1217"/>
      <c r="E1722" s="1218" t="str">
        <f>Translations!$B$1376</f>
        <v>Промяна в сравнение с HAL</v>
      </c>
      <c r="F1722" s="1218"/>
      <c r="G1722" s="1218"/>
      <c r="H1722" s="1219"/>
      <c r="I1722" s="1220"/>
      <c r="J1722" s="103" t="str">
        <f>IF(J1721="","",IF($I1724=0,IF(J1721=0,0%,100%),J1721/$I1724-1))</f>
        <v/>
      </c>
      <c r="K1722" s="100" t="str">
        <f>IF(K1721="","",IF($I1724=0,IF(K1721=0,0%,100%),K1721/$I1724-1))</f>
        <v/>
      </c>
      <c r="L1722" s="100" t="str">
        <f>IF(L1721="","",IF($I1724=0,IF(L1721=0,0%,100%),L1721/$I1724-1))</f>
        <v/>
      </c>
      <c r="M1722" s="100" t="str">
        <f>IF(M1721="","",IF($I1724=0,IF(M1721=0,0%,100%),M1721/$I1724-1))</f>
        <v/>
      </c>
      <c r="N1722" s="122" t="str">
        <f>IF(N1721="","",IF($I1724=0,IF(N1721=0,0%,100%),N1721/$I1724-1))</f>
        <v/>
      </c>
      <c r="O1722" s="302"/>
      <c r="P1722" s="302"/>
      <c r="Q1722" s="1190" t="str">
        <f>EUconst_CNTR_RelThreshold &amp; Q1724</f>
        <v>RelThresh_HALprelim_</v>
      </c>
      <c r="R1722" s="694"/>
      <c r="S1722" s="694"/>
      <c r="T1722" s="694"/>
      <c r="U1722" s="1215" t="s">
        <v>1715</v>
      </c>
      <c r="V1722" s="727" t="str">
        <f>IF(J1721="","",ABS(J1722)&gt;15%)</f>
        <v/>
      </c>
      <c r="W1722" s="727" t="str">
        <f>IF(K1721="","",ABS(K1722)&gt;15%)</f>
        <v/>
      </c>
      <c r="X1722" s="727" t="str">
        <f>IF(L1721="","",ABS(L1722)&gt;15%)</f>
        <v/>
      </c>
      <c r="Y1722" s="727" t="str">
        <f>IF(M1721="","",ABS(M1722)&gt;15%)</f>
        <v/>
      </c>
      <c r="Z1722" s="1221" t="str">
        <f>IF(N1721="","",ABS(N1722)&gt;15%)</f>
        <v/>
      </c>
      <c r="AA1722" s="694"/>
      <c r="AB1722" s="694"/>
      <c r="AC1722" s="694"/>
      <c r="AD1722" s="694"/>
      <c r="AE1722" s="694"/>
      <c r="AF1722" s="694"/>
      <c r="AG1722" s="694"/>
      <c r="AH1722" s="694"/>
      <c r="AI1722" s="694"/>
      <c r="AJ1722" s="694"/>
      <c r="AK1722" s="694"/>
      <c r="AL1722" s="729"/>
    </row>
    <row r="1723" spans="1:38" ht="12.75" customHeight="1" x14ac:dyDescent="0.25">
      <c r="A1723" s="729"/>
      <c r="B1723" s="298"/>
      <c r="C1723" s="298"/>
      <c r="D1723" s="1208" t="s">
        <v>7</v>
      </c>
      <c r="E1723" s="1209" t="str">
        <f>Translations!$B$1322</f>
        <v>Предварителна корекция (ако са надвишени относителните прагове)</v>
      </c>
      <c r="F1723" s="1209"/>
      <c r="G1723" s="1209"/>
      <c r="H1723" s="1222"/>
      <c r="I1723" s="1223"/>
      <c r="J1723" s="1224" t="str">
        <f>IF(J1721="","",IF(V1722=FALSE,0%,IF(V1723,J1722,I1729)))</f>
        <v/>
      </c>
      <c r="K1723" s="1225" t="str">
        <f>IF(K1721="","",IF(W1722=FALSE,0%,IF(W1723,K1722,J1729)))</f>
        <v/>
      </c>
      <c r="L1723" s="1225" t="str">
        <f>IF(L1721="","",IF(X1722=FALSE,0%,IF(X1723,L1722,K1729)))</f>
        <v/>
      </c>
      <c r="M1723" s="1225" t="str">
        <f>IF(M1721="","",IF(Y1722=FALSE,0%,IF(Y1723,M1722,L1729)))</f>
        <v/>
      </c>
      <c r="N1723" s="1226" t="str">
        <f>IF(N1721="","",IF(Z1722=FALSE,0%,IF(Z1723,N1722,M1729)))</f>
        <v/>
      </c>
      <c r="O1723" s="302"/>
      <c r="P1723" s="302"/>
      <c r="Q1723" s="694"/>
      <c r="R1723" s="694"/>
      <c r="S1723" s="694"/>
      <c r="T1723" s="694"/>
      <c r="U1723" s="1215" t="s">
        <v>1716</v>
      </c>
      <c r="V1723" s="727" t="str">
        <f>IF(J1721="","",AND(V1722,IF(SUM(I1729)&lt;0,OR(SUM(J1722)&lt;SUM(I1729)-MOD(SUM(I1729),5%),J1722&gt;=SUM(I1729)+5%-MOD(SUM(I1729),5%)),OR(SUM(J1722)&lt;=SUM(I1729)-MOD(SUM(I1729),5%),SUM(J1722)&gt;SUM(I1729)+5%-MOD(SUM(I1729),5%)))))</f>
        <v/>
      </c>
      <c r="W1723" s="727" t="str">
        <f>IF(K1721="","",AND(W1722,IF(SUM(J1729)&lt;0,OR(SUM(K1722)&lt;SUM(J1729)-MOD(SUM(J1729),5%),K1722&gt;=SUM(J1729)+5%-MOD(SUM(J1729),5%)),OR(SUM(K1722)&lt;=SUM(J1729)-MOD(SUM(J1729),5%),SUM(K1722)&gt;SUM(J1729)+5%-MOD(SUM(J1729),5%)))))</f>
        <v/>
      </c>
      <c r="X1723" s="727" t="str">
        <f>IF(L1721="","",AND(X1722,IF(SUM(K1729)&lt;0,OR(SUM(L1722)&lt;SUM(K1729)-MOD(SUM(K1729),5%),L1722&gt;=SUM(K1729)+5%-MOD(SUM(K1729),5%)),OR(SUM(L1722)&lt;=SUM(K1729)-MOD(SUM(K1729),5%),SUM(L1722)&gt;SUM(K1729)+5%-MOD(SUM(K1729),5%)))))</f>
        <v/>
      </c>
      <c r="Y1723" s="727" t="str">
        <f>IF(M1721="","",AND(Y1722,IF(SUM(L1729)&lt;0,OR(SUM(M1722)&lt;SUM(L1729)-MOD(SUM(L1729),5%),M1722&gt;=SUM(L1729)+5%-MOD(SUM(L1729),5%)),OR(SUM(M1722)&lt;=SUM(L1729)-MOD(SUM(L1729),5%),SUM(M1722)&gt;SUM(L1729)+5%-MOD(SUM(L1729),5%)))))</f>
        <v/>
      </c>
      <c r="Z1723" s="1221" t="str">
        <f>IF(N1721="","",AND(Z1722,IF(SUM(M1729)&lt;0,OR(SUM(N1722)&lt;SUM(M1729)-MOD(SUM(M1729),5%),N1722&gt;=SUM(M1729)+5%-MOD(SUM(M1729),5%)),OR(SUM(N1722)&lt;=SUM(M1729)-MOD(SUM(M1729),5%),SUM(N1722)&gt;SUM(M1729)+5%-MOD(SUM(M1729),5%)))))</f>
        <v/>
      </c>
      <c r="AA1723" s="694"/>
      <c r="AB1723" s="694"/>
      <c r="AC1723" s="694"/>
      <c r="AD1723" s="694"/>
      <c r="AE1723" s="694"/>
      <c r="AF1723" s="694"/>
      <c r="AG1723" s="694"/>
      <c r="AH1723" s="694"/>
      <c r="AI1723" s="694"/>
      <c r="AJ1723" s="694"/>
      <c r="AK1723" s="694"/>
      <c r="AL1723" s="729"/>
    </row>
    <row r="1724" spans="1:38" ht="12.75" hidden="1" customHeight="1" x14ac:dyDescent="0.25">
      <c r="A1724" s="729" t="s">
        <v>312</v>
      </c>
      <c r="B1724" s="298"/>
      <c r="C1724" s="298"/>
      <c r="D1724" s="1217"/>
      <c r="E1724" s="1209" t="str">
        <f>Translations!$B$1377</f>
        <v>Предварителна стойност</v>
      </c>
      <c r="F1724" s="1209"/>
      <c r="G1724" s="1209"/>
      <c r="H1724" s="1210" t="str">
        <f>H1721</f>
        <v>тона</v>
      </c>
      <c r="I1724" s="1211" t="str">
        <f>IF(I1699="","",IF(AB1699=FALSE,EUconst_NA,IF(V1699&gt;($J$2831-3),INDEX(H1709:N1709,MATCH(V1699,H1706:N1706,0)),SUM(I1721))))</f>
        <v/>
      </c>
      <c r="J1724" s="1212" t="str">
        <f>IF($I1699="","",IF(V1721&lt;2,SUM(J1709),IF(V1721&lt;3,SUM(I1709),IF(V1724="",I1724,V1724))))</f>
        <v/>
      </c>
      <c r="K1724" s="1213" t="str">
        <f>IF($I1699="","",IF(W1721&lt;2,SUM(K1709),IF(W1721&lt;3,SUM(J1709),IF(W1724="",J1724,W1724))))</f>
        <v/>
      </c>
      <c r="L1724" s="1213" t="str">
        <f>IF($I1699="","",IF(X1721&lt;2,SUM(L1709),IF(X1721&lt;3,SUM(K1709),IF(X1724="",K1724,X1724))))</f>
        <v/>
      </c>
      <c r="M1724" s="1213" t="str">
        <f>IF($I1699="","",IF(Y1721&lt;2,SUM(M1709),IF(Y1721&lt;3,SUM(L1709),IF(Y1724="",L1724,Y1724))))</f>
        <v/>
      </c>
      <c r="N1724" s="1214" t="str">
        <f>IF($I1699="","",IF(Z1721&lt;2,SUM(N1709),IF(Z1721&lt;3,SUM(M1709),IF(Z1724="",M1724,Z1724))))</f>
        <v/>
      </c>
      <c r="O1724" s="302"/>
      <c r="P1724" s="302"/>
      <c r="Q1724" s="1182" t="str">
        <f>EUconst_CNTR_HALprelim&amp;I1699</f>
        <v>HALprelim_</v>
      </c>
      <c r="R1724" s="694"/>
      <c r="S1724" s="694"/>
      <c r="T1724" s="694"/>
      <c r="U1724" s="1215" t="s">
        <v>1756</v>
      </c>
      <c r="V1724" s="1227" t="str">
        <f>IF(J1721="","",IF(CNTR_ReportingYear&lt;J1720,I1723,IF($I1724=0,J1721,$I1724*(1+J1723))))</f>
        <v/>
      </c>
      <c r="W1724" s="1227" t="str">
        <f>IF(K1721="","",IF(CNTR_ReportingYear&lt;K1720,J1723,IF($I1724=0,K1721,$I1724*(1+K1723))))</f>
        <v/>
      </c>
      <c r="X1724" s="1227" t="str">
        <f>IF(L1721="","",IF(CNTR_ReportingYear&lt;L1720,K1723,IF($I1724=0,L1721,$I1724*(1+L1723))))</f>
        <v/>
      </c>
      <c r="Y1724" s="1227" t="str">
        <f>IF(M1721="","",IF(CNTR_ReportingYear&lt;M1720,L1723,IF($I1724=0,M1721,$I1724*(1+M1723))))</f>
        <v/>
      </c>
      <c r="Z1724" s="1228" t="str">
        <f>IF(N1721="","",IF(CNTR_ReportingYear&lt;N1720,M1723,IF($I1724=0,N1721,$I1724*(1+N1723))))</f>
        <v/>
      </c>
      <c r="AA1724" s="694"/>
      <c r="AB1724" s="694"/>
      <c r="AC1724" s="694"/>
      <c r="AD1724" s="694"/>
      <c r="AE1724" s="694"/>
      <c r="AF1724" s="694"/>
      <c r="AG1724" s="694"/>
      <c r="AH1724" s="694"/>
      <c r="AI1724" s="694"/>
      <c r="AJ1724" s="694"/>
      <c r="AK1724" s="694"/>
      <c r="AL1724" s="729"/>
    </row>
    <row r="1725" spans="1:38" ht="5.15" customHeight="1" x14ac:dyDescent="0.25">
      <c r="A1725" s="729"/>
      <c r="B1725" s="298"/>
      <c r="C1725" s="298"/>
      <c r="D1725" s="1217"/>
      <c r="E1725" s="1199"/>
      <c r="F1725" s="1199"/>
      <c r="G1725" s="1199"/>
      <c r="H1725" s="1199"/>
      <c r="I1725" s="1199"/>
      <c r="J1725" s="1229"/>
      <c r="K1725" s="1229"/>
      <c r="L1725" s="1229"/>
      <c r="M1725" s="1229"/>
      <c r="N1725" s="1230"/>
      <c r="O1725" s="302"/>
      <c r="P1725" s="302"/>
      <c r="Q1725" s="729"/>
      <c r="R1725" s="694"/>
      <c r="S1725" s="694"/>
      <c r="T1725" s="694"/>
      <c r="U1725" s="1231"/>
      <c r="V1725" s="729"/>
      <c r="W1725" s="694"/>
      <c r="X1725" s="694"/>
      <c r="Y1725" s="694"/>
      <c r="Z1725" s="1232"/>
      <c r="AA1725" s="694"/>
      <c r="AB1725" s="694"/>
      <c r="AC1725" s="694"/>
      <c r="AD1725" s="694"/>
      <c r="AE1725" s="694"/>
      <c r="AF1725" s="694"/>
      <c r="AG1725" s="694"/>
      <c r="AH1725" s="694"/>
      <c r="AI1725" s="694"/>
      <c r="AJ1725" s="694"/>
      <c r="AK1725" s="694"/>
      <c r="AL1725" s="729"/>
    </row>
    <row r="1726" spans="1:38" ht="12.75" customHeight="1" x14ac:dyDescent="0.25">
      <c r="A1726" s="729"/>
      <c r="B1726" s="298"/>
      <c r="C1726" s="298"/>
      <c r="D1726" s="1217"/>
      <c r="E1726" s="1233" t="str">
        <f>Translations!$B$1323</f>
        <v>Действителна корекция (база за следващи години)</v>
      </c>
      <c r="F1726" s="1233"/>
      <c r="G1726" s="1233"/>
      <c r="H1726" s="1233"/>
      <c r="I1726" s="1233"/>
      <c r="J1726" s="1202">
        <f>J$2831</f>
        <v>2026</v>
      </c>
      <c r="K1726" s="1203">
        <f>K$2831</f>
        <v>2027</v>
      </c>
      <c r="L1726" s="1203">
        <f>L$2831</f>
        <v>2028</v>
      </c>
      <c r="M1726" s="1203">
        <f>M$2831</f>
        <v>2029</v>
      </c>
      <c r="N1726" s="1204">
        <f>N$2831</f>
        <v>2030</v>
      </c>
      <c r="O1726" s="302"/>
      <c r="P1726" s="302"/>
      <c r="Q1726" s="729"/>
      <c r="R1726" s="694"/>
      <c r="S1726" s="694"/>
      <c r="T1726" s="694"/>
      <c r="U1726" s="1234"/>
      <c r="V1726" s="213"/>
      <c r="W1726" s="214" t="s">
        <v>2101</v>
      </c>
      <c r="X1726" s="215" t="str">
        <f>IF(OR($X1699=0,$X1699=""),"",MIN(1,1-(DATE($Z1699,12,31)-$X1699)/(DATE($Z1699,12,31)-DATE($Z1699,1,1)+1)))</f>
        <v/>
      </c>
      <c r="Y1726" s="1165"/>
      <c r="Z1726" s="1235"/>
      <c r="AA1726" s="694"/>
      <c r="AB1726" s="694"/>
      <c r="AC1726" s="694"/>
      <c r="AD1726" s="694"/>
      <c r="AE1726" s="694"/>
      <c r="AF1726" s="694"/>
      <c r="AG1726" s="694"/>
      <c r="AH1726" s="694"/>
      <c r="AI1726" s="694"/>
      <c r="AJ1726" s="694"/>
      <c r="AK1726" s="694"/>
      <c r="AL1726" s="729"/>
    </row>
    <row r="1727" spans="1:38" ht="12.75" customHeight="1" x14ac:dyDescent="0.25">
      <c r="A1727" s="729"/>
      <c r="B1727" s="298"/>
      <c r="C1727" s="298"/>
      <c r="D1727" s="1208" t="s">
        <v>8</v>
      </c>
      <c r="E1727" s="1209" t="str">
        <f>Translations!$B$1515</f>
        <v>изпълнен ли е критерият за &gt;=300 квоти за емисии?</v>
      </c>
      <c r="F1727" s="1209"/>
      <c r="G1727" s="1209"/>
      <c r="H1727" s="1209"/>
      <c r="I1727" s="1209"/>
      <c r="J1727" s="1236" t="str">
        <f>IF($I1699="","",INDEX(K_Summary!J:J,MATCH($Q1727,K_Summary!$P:$P,0)))</f>
        <v/>
      </c>
      <c r="K1727" s="385" t="str">
        <f>IF($I1699="","",INDEX(K_Summary!K:K,MATCH($Q1727,K_Summary!$P:$P,0)))</f>
        <v/>
      </c>
      <c r="L1727" s="385" t="str">
        <f>IF($I1699="","",INDEX(K_Summary!L:L,MATCH($Q1727,K_Summary!$P:$P,0)))</f>
        <v/>
      </c>
      <c r="M1727" s="385" t="str">
        <f>IF($I1699="","",INDEX(K_Summary!M:M,MATCH($Q1727,K_Summary!$P:$P,0)))</f>
        <v/>
      </c>
      <c r="N1727" s="1237" t="str">
        <f>IF($I1699="","",INDEX(K_Summary!N:N,MATCH($Q1727,K_Summary!$P:$P,0)))</f>
        <v/>
      </c>
      <c r="O1727" s="302"/>
      <c r="P1727" s="302"/>
      <c r="Q1727" s="1182" t="str">
        <f>EUconst_CNTR_300EUA&amp;I1699</f>
        <v>EUA300_</v>
      </c>
      <c r="R1727" s="694"/>
      <c r="S1727" s="694"/>
      <c r="T1727" s="694"/>
      <c r="U1727" s="1234"/>
      <c r="V1727" s="216">
        <f>IF(V1720=$Z1699,$X1726,1)</f>
        <v>1</v>
      </c>
      <c r="W1727" s="216">
        <f>IF(W1720=$Z1699,$X1726,1)</f>
        <v>1</v>
      </c>
      <c r="X1727" s="216">
        <f>IF(X1720=$Z1699,$X1726,1)</f>
        <v>1</v>
      </c>
      <c r="Y1727" s="216">
        <f>IF(Y1720=$Z1699,$X1726,1)</f>
        <v>1</v>
      </c>
      <c r="Z1727" s="217">
        <f>IF(Z1720=$Z1699,$X1726,1)</f>
        <v>1</v>
      </c>
      <c r="AA1727" s="694"/>
      <c r="AB1727" s="694"/>
      <c r="AC1727" s="694"/>
      <c r="AD1727" s="694"/>
      <c r="AE1727" s="694"/>
      <c r="AF1727" s="694"/>
      <c r="AG1727" s="694"/>
      <c r="AH1727" s="694"/>
      <c r="AI1727" s="694"/>
      <c r="AJ1727" s="694"/>
      <c r="AK1727" s="694"/>
      <c r="AL1727" s="729"/>
    </row>
    <row r="1728" spans="1:38" ht="5.15" customHeight="1" thickBot="1" x14ac:dyDescent="0.3">
      <c r="A1728" s="729"/>
      <c r="B1728" s="298"/>
      <c r="C1728" s="298"/>
      <c r="D1728" s="1217"/>
      <c r="E1728" s="1199"/>
      <c r="F1728" s="1199"/>
      <c r="G1728" s="1199"/>
      <c r="H1728" s="1199"/>
      <c r="I1728" s="1199"/>
      <c r="J1728" s="1199"/>
      <c r="K1728" s="1199"/>
      <c r="L1728" s="1199"/>
      <c r="M1728" s="1199"/>
      <c r="N1728" s="1238"/>
      <c r="O1728" s="302"/>
      <c r="P1728" s="302"/>
      <c r="Q1728" s="729"/>
      <c r="R1728" s="694"/>
      <c r="S1728" s="694"/>
      <c r="T1728" s="694"/>
      <c r="U1728" s="1231"/>
      <c r="V1728" s="729"/>
      <c r="W1728" s="694"/>
      <c r="X1728" s="694"/>
      <c r="Y1728" s="694"/>
      <c r="Z1728" s="1232"/>
      <c r="AA1728" s="694"/>
      <c r="AB1728" s="694"/>
      <c r="AC1728" s="694"/>
      <c r="AD1728" s="694"/>
      <c r="AE1728" s="694"/>
      <c r="AF1728" s="694"/>
      <c r="AG1728" s="694"/>
      <c r="AH1728" s="694"/>
      <c r="AI1728" s="694"/>
      <c r="AJ1728" s="694"/>
      <c r="AK1728" s="694"/>
      <c r="AL1728" s="729"/>
    </row>
    <row r="1729" spans="1:38" ht="12.75" customHeight="1" thickBot="1" x14ac:dyDescent="0.3">
      <c r="A1729" s="694"/>
      <c r="B1729" s="298"/>
      <c r="C1729" s="298"/>
      <c r="D1729" s="1208" t="s">
        <v>18</v>
      </c>
      <c r="E1729" s="1209" t="str">
        <f>Translations!$B$1324</f>
        <v>Действителна корекция (ако са надвишени всички прагове)</v>
      </c>
      <c r="F1729" s="1209"/>
      <c r="G1729" s="1209"/>
      <c r="H1729" s="1222"/>
      <c r="I1729" s="1239"/>
      <c r="J1729" s="1240" t="str">
        <f>IF(J1727="","",IF(J1720&gt;$Z1699,-100%,IF(OR(J1727,V1721&lt;1),J1723,I1729)))</f>
        <v/>
      </c>
      <c r="K1729" s="1241" t="str">
        <f>IF(K1727="","",IF(K1720&gt;$Z1699,-100%,IF(OR(K1727,W1721&lt;1),K1723,J1729)))</f>
        <v/>
      </c>
      <c r="L1729" s="1241" t="str">
        <f>IF(L1727="","",IF(L1720&gt;$Z1699,-100%,IF(OR(L1727,X1721&lt;1),L1723,K1729)))</f>
        <v/>
      </c>
      <c r="M1729" s="1241" t="str">
        <f>IF(M1727="","",IF(M1720&gt;$Z1699,-100%,IF(OR(M1727,Y1721&lt;1),M1723,L1729)))</f>
        <v/>
      </c>
      <c r="N1729" s="1242" t="str">
        <f>IF(N1727="","",IF(N1720&gt;$Z1699,-100%,IF(OR(N1727,Z1721&lt;1),N1723,M1729)))</f>
        <v/>
      </c>
      <c r="O1729" s="302"/>
      <c r="P1729" s="710"/>
      <c r="Q1729" s="1190" t="str">
        <f>EUconst_CNTR_HALAdjPct &amp; I1699</f>
        <v>HALAdjPct_</v>
      </c>
      <c r="R1729" s="694"/>
      <c r="S1729" s="694"/>
      <c r="T1729" s="694"/>
      <c r="U1729" s="1231" t="s">
        <v>1718</v>
      </c>
      <c r="V1729" s="1243">
        <f>J1726</f>
        <v>2026</v>
      </c>
      <c r="W1729" s="1243">
        <f>K1726</f>
        <v>2027</v>
      </c>
      <c r="X1729" s="1243">
        <f>L1726</f>
        <v>2028</v>
      </c>
      <c r="Y1729" s="1243">
        <f>M1726</f>
        <v>2029</v>
      </c>
      <c r="Z1729" s="1244">
        <f>N1726</f>
        <v>2030</v>
      </c>
      <c r="AA1729" s="694"/>
      <c r="AB1729" s="694"/>
      <c r="AC1729" s="694"/>
      <c r="AD1729" s="694"/>
      <c r="AE1729" s="694"/>
      <c r="AF1729" s="694"/>
      <c r="AG1729" s="694"/>
      <c r="AH1729" s="694"/>
      <c r="AI1729" s="694"/>
      <c r="AJ1729" s="694"/>
      <c r="AK1729" s="694"/>
      <c r="AL1729" s="729"/>
    </row>
    <row r="1730" spans="1:38" ht="12.75" customHeight="1" thickBot="1" x14ac:dyDescent="0.3">
      <c r="A1730" s="729"/>
      <c r="B1730" s="298"/>
      <c r="C1730" s="298"/>
      <c r="D1730" s="1208" t="s">
        <v>810</v>
      </c>
      <c r="E1730" s="1209" t="str">
        <f>Translations!$B$1325</f>
        <v>Действителна стойност</v>
      </c>
      <c r="F1730" s="1209"/>
      <c r="G1730" s="1209"/>
      <c r="H1730" s="1210" t="str">
        <f>H1721</f>
        <v>тона</v>
      </c>
      <c r="I1730" s="1211" t="str">
        <f>I1724</f>
        <v/>
      </c>
      <c r="J1730" s="632" t="str">
        <f>IF($I1699="","",IF(OR($I1730=0,J1729="",$I1730=EUconst_NA),IF(OR(J1727=TRUE,J1726&lt;=$V1699),J1724,SUM(I1730)),$I1730*(1+SUM(J1729))))</f>
        <v/>
      </c>
      <c r="K1730" s="633" t="str">
        <f>IF($I1699="","",IF(OR($I1730=0,K1729="",$I1730=EUconst_NA),IF(OR(K1727=TRUE,K1726&lt;=$V1699),K1724,SUM(J1730)),$I1730*(1+SUM(K1729))))</f>
        <v/>
      </c>
      <c r="L1730" s="633" t="str">
        <f>IF($I1699="","",IF(OR($I1730=0,L1729="",$I1730=EUconst_NA),IF(OR(L1727=TRUE,L1726&lt;=$V1699),L1724,SUM(K1730)),$I1730*(1+SUM(L1729))))</f>
        <v/>
      </c>
      <c r="M1730" s="633" t="str">
        <f>IF($I1699="","",IF(OR($I1730=0,M1729="",$I1730=EUconst_NA),IF(OR(M1727=TRUE,M1726&lt;=$V1699),M1724,SUM(L1730)),$I1730*(1+SUM(M1729))))</f>
        <v/>
      </c>
      <c r="N1730" s="634" t="str">
        <f>IF($I1699="","",IF(OR($I1730=0,N1729="",$I1730=EUconst_NA),IF(OR(N1727=TRUE,N1726&lt;=$V1699),N1724,SUM(M1730)),$I1730*(1+SUM(N1729))))</f>
        <v/>
      </c>
      <c r="O1730" s="302"/>
      <c r="P1730" s="302"/>
      <c r="Q1730" s="1182" t="str">
        <f>EUconst_CNTR_HALfinal&amp;I1699</f>
        <v>HALfinal_</v>
      </c>
      <c r="R1730" s="694"/>
      <c r="S1730" s="694"/>
      <c r="T1730" s="694"/>
      <c r="U1730" s="1245" t="b">
        <v>0</v>
      </c>
      <c r="V1730" s="1246" t="str">
        <f>IF(V1707,IF(J1727=TRUE,V1722,U1730),"")</f>
        <v/>
      </c>
      <c r="W1730" s="1246" t="str">
        <f>IF(W1707,IF(K1727=TRUE,W1722,V1730),"")</f>
        <v/>
      </c>
      <c r="X1730" s="1246" t="str">
        <f>IF(X1707,IF(L1727=TRUE,X1722,W1730),"")</f>
        <v/>
      </c>
      <c r="Y1730" s="1246" t="str">
        <f>IF(Y1707,IF(M1727=TRUE,Y1722,X1730),"")</f>
        <v/>
      </c>
      <c r="Z1730" s="1247" t="str">
        <f>IF(Z1707,IF(N1727=TRUE,Z1722,Y1730),"")</f>
        <v/>
      </c>
      <c r="AA1730" s="694"/>
      <c r="AB1730" s="694"/>
      <c r="AC1730" s="694"/>
      <c r="AD1730" s="694"/>
      <c r="AE1730" s="694"/>
      <c r="AF1730" s="694"/>
      <c r="AG1730" s="694"/>
      <c r="AH1730" s="694"/>
      <c r="AI1730" s="694"/>
      <c r="AJ1730" s="1174" t="s">
        <v>2033</v>
      </c>
      <c r="AK1730" s="982" t="str">
        <f>IF(OR(ISERROR(J1730),ISERROR(K1730),ISERROR(L1730),ISERROR(M1730),ISERROR(N1730)),EUconst_Error &amp; "BM" &amp; Q1699,"")</f>
        <v/>
      </c>
      <c r="AL1730" s="729"/>
    </row>
    <row r="1731" spans="1:38" ht="5.15" customHeight="1" thickBot="1" x14ac:dyDescent="0.3">
      <c r="A1731" s="694"/>
      <c r="B1731" s="298"/>
      <c r="C1731" s="298"/>
      <c r="D1731" s="1248"/>
      <c r="E1731" s="1249"/>
      <c r="F1731" s="1249"/>
      <c r="G1731" s="1249"/>
      <c r="H1731" s="1249"/>
      <c r="I1731" s="1249"/>
      <c r="J1731" s="1249"/>
      <c r="K1731" s="1249"/>
      <c r="L1731" s="1249"/>
      <c r="M1731" s="1249"/>
      <c r="N1731" s="1250"/>
      <c r="O1731" s="302"/>
      <c r="P1731" s="302"/>
      <c r="Q1731" s="729"/>
      <c r="R1731" s="694"/>
      <c r="S1731" s="694"/>
      <c r="T1731" s="694"/>
      <c r="U1731" s="729"/>
      <c r="V1731" s="729"/>
      <c r="W1731" s="694"/>
      <c r="X1731" s="694"/>
      <c r="Y1731" s="694"/>
      <c r="Z1731" s="694"/>
      <c r="AA1731" s="694"/>
      <c r="AB1731" s="694"/>
      <c r="AC1731" s="694"/>
      <c r="AD1731" s="694"/>
      <c r="AE1731" s="694"/>
      <c r="AF1731" s="694"/>
      <c r="AG1731" s="694"/>
      <c r="AH1731" s="694"/>
      <c r="AI1731" s="694"/>
      <c r="AJ1731" s="694"/>
      <c r="AK1731" s="694"/>
      <c r="AL1731" s="729"/>
    </row>
    <row r="1732" spans="1:38" ht="5.15" customHeight="1" x14ac:dyDescent="0.25">
      <c r="A1732" s="694"/>
      <c r="B1732" s="298"/>
      <c r="C1732" s="298"/>
      <c r="D1732" s="302"/>
      <c r="E1732" s="302"/>
      <c r="F1732" s="302"/>
      <c r="G1732" s="302"/>
      <c r="H1732" s="302"/>
      <c r="I1732" s="302"/>
      <c r="J1732" s="302"/>
      <c r="K1732" s="302"/>
      <c r="L1732" s="302"/>
      <c r="M1732" s="302"/>
      <c r="N1732" s="302"/>
      <c r="O1732" s="302"/>
      <c r="P1732" s="302"/>
      <c r="Q1732" s="729"/>
      <c r="R1732" s="694"/>
      <c r="S1732" s="694"/>
      <c r="T1732" s="694"/>
      <c r="U1732" s="729"/>
      <c r="V1732" s="729"/>
      <c r="W1732" s="694"/>
      <c r="X1732" s="694"/>
      <c r="Y1732" s="694"/>
      <c r="Z1732" s="694"/>
      <c r="AA1732" s="694"/>
      <c r="AB1732" s="694"/>
      <c r="AC1732" s="694"/>
      <c r="AD1732" s="694"/>
      <c r="AE1732" s="694"/>
      <c r="AF1732" s="694"/>
      <c r="AG1732" s="694"/>
      <c r="AH1732" s="694"/>
      <c r="AI1732" s="694"/>
      <c r="AJ1732" s="694"/>
      <c r="AK1732" s="694"/>
      <c r="AL1732" s="729"/>
    </row>
    <row r="1733" spans="1:38" ht="15" customHeight="1" x14ac:dyDescent="0.25">
      <c r="A1733" s="694"/>
      <c r="B1733" s="698"/>
      <c r="C1733" s="298"/>
      <c r="D1733" s="2323" t="str">
        <f>Translations!$B$482</f>
        <v>Други корекционни коефициенти</v>
      </c>
      <c r="E1733" s="2249"/>
      <c r="F1733" s="2249"/>
      <c r="G1733" s="2249"/>
      <c r="H1733" s="2249"/>
      <c r="I1733" s="2249"/>
      <c r="J1733" s="2249"/>
      <c r="K1733" s="2249"/>
      <c r="L1733" s="2249"/>
      <c r="M1733" s="2249"/>
      <c r="N1733" s="2249"/>
      <c r="O1733" s="302"/>
      <c r="P1733" s="302"/>
      <c r="Q1733" s="694"/>
      <c r="R1733" s="694"/>
      <c r="S1733" s="694"/>
      <c r="T1733" s="694"/>
      <c r="U1733" s="729"/>
      <c r="V1733" s="729"/>
      <c r="W1733" s="694"/>
      <c r="X1733" s="694"/>
      <c r="Y1733" s="694"/>
      <c r="Z1733" s="694"/>
      <c r="AA1733" s="694"/>
      <c r="AB1733" s="694"/>
      <c r="AC1733" s="694"/>
      <c r="AD1733" s="694"/>
      <c r="AE1733" s="694"/>
      <c r="AF1733" s="694"/>
      <c r="AG1733" s="694"/>
      <c r="AH1733" s="694"/>
      <c r="AI1733" s="694"/>
      <c r="AJ1733" s="694"/>
      <c r="AK1733" s="694"/>
      <c r="AL1733" s="694"/>
    </row>
    <row r="1734" spans="1:38" ht="5.15" customHeight="1" x14ac:dyDescent="0.25">
      <c r="A1734" s="694"/>
      <c r="B1734" s="298"/>
      <c r="C1734" s="298"/>
      <c r="D1734" s="298"/>
      <c r="E1734" s="298"/>
      <c r="F1734" s="298"/>
      <c r="G1734" s="298"/>
      <c r="H1734" s="298"/>
      <c r="I1734" s="298"/>
      <c r="J1734" s="298"/>
      <c r="K1734" s="298"/>
      <c r="L1734" s="298"/>
      <c r="M1734" s="298"/>
      <c r="N1734" s="298"/>
      <c r="O1734" s="302"/>
      <c r="P1734" s="302"/>
      <c r="Q1734" s="729"/>
      <c r="R1734" s="694"/>
      <c r="S1734" s="694"/>
      <c r="T1734" s="694"/>
      <c r="U1734" s="729"/>
      <c r="V1734" s="729"/>
      <c r="W1734" s="694"/>
      <c r="X1734" s="694"/>
      <c r="Y1734" s="694"/>
      <c r="Z1734" s="694"/>
      <c r="AA1734" s="694"/>
      <c r="AB1734" s="694"/>
      <c r="AC1734" s="694"/>
      <c r="AD1734" s="694"/>
      <c r="AE1734" s="694"/>
      <c r="AF1734" s="694"/>
      <c r="AG1734" s="694"/>
      <c r="AH1734" s="694"/>
      <c r="AI1734" s="694"/>
      <c r="AJ1734" s="694"/>
      <c r="AK1734" s="694"/>
      <c r="AL1734" s="694"/>
    </row>
    <row r="1735" spans="1:38" ht="13" x14ac:dyDescent="0.25">
      <c r="A1735" s="694"/>
      <c r="B1735" s="698"/>
      <c r="C1735" s="698"/>
      <c r="D1735" s="300" t="s">
        <v>46</v>
      </c>
      <c r="E1735" s="2463" t="str">
        <f>Translations!$B$1516</f>
        <v>Потребление на електроенергия</v>
      </c>
      <c r="F1735" s="2463"/>
      <c r="G1735" s="2463"/>
      <c r="H1735" s="2463"/>
      <c r="I1735" s="2463"/>
      <c r="J1735" s="2463"/>
      <c r="K1735" s="2463"/>
      <c r="L1735" s="2463"/>
      <c r="M1735" s="2463"/>
      <c r="N1735" s="2463"/>
      <c r="O1735" s="302"/>
      <c r="P1735" s="302"/>
      <c r="Q1735" s="694" t="s">
        <v>450</v>
      </c>
      <c r="R1735" s="1026" t="str">
        <f>"#"&amp;ADDRESS(ROW(D1740),COLUMN(D1740))</f>
        <v>#$D$1740</v>
      </c>
      <c r="S1735" s="1174" t="s">
        <v>1732</v>
      </c>
      <c r="T1735" s="1190" t="str">
        <f>IF(I1699="","",INDEX(EUconst_BMlistElExchangability,MATCH(I1699,EUconst_BMlistNames,0)))</f>
        <v/>
      </c>
      <c r="U1735" s="729"/>
      <c r="V1735" s="729"/>
      <c r="W1735" s="694"/>
      <c r="X1735" s="694"/>
      <c r="Y1735" s="694"/>
      <c r="Z1735" s="694"/>
      <c r="AA1735" s="694"/>
      <c r="AB1735" s="694"/>
      <c r="AC1735" s="694"/>
      <c r="AD1735" s="694"/>
      <c r="AE1735" s="694"/>
      <c r="AF1735" s="694"/>
      <c r="AG1735" s="694"/>
      <c r="AH1735" s="694"/>
      <c r="AI1735" s="694"/>
      <c r="AJ1735" s="694"/>
      <c r="AK1735" s="694"/>
      <c r="AL1735" s="694"/>
    </row>
    <row r="1736" spans="1:38" ht="25.5" customHeight="1" x14ac:dyDescent="0.25">
      <c r="A1736" s="694"/>
      <c r="B1736" s="298"/>
      <c r="C1736" s="298"/>
      <c r="D1736" s="302"/>
      <c r="E1736" s="2358" t="str">
        <f>Translations!$B$1517</f>
        <v>Въведете тук електроенергията, потребена в системните граници на тази подинсталация. За продуктовите показатели, изброени в раздел 2 от приложение I към ПБР, въвеждането тук на данни е задължително, като те трябва да съответстват на съответните системни граници, посочени в този раздел.</v>
      </c>
      <c r="F1736" s="2249"/>
      <c r="G1736" s="2249"/>
      <c r="H1736" s="2249"/>
      <c r="I1736" s="2249"/>
      <c r="J1736" s="2249"/>
      <c r="K1736" s="2249"/>
      <c r="L1736" s="2249"/>
      <c r="M1736" s="2249"/>
      <c r="N1736" s="2249"/>
      <c r="O1736" s="302"/>
      <c r="P1736" s="302"/>
      <c r="Q1736" s="694"/>
      <c r="R1736" s="694"/>
      <c r="S1736" s="694"/>
      <c r="T1736" s="694"/>
      <c r="U1736" s="729"/>
      <c r="V1736" s="729"/>
      <c r="W1736" s="694"/>
      <c r="X1736" s="694"/>
      <c r="Y1736" s="694"/>
      <c r="Z1736" s="694"/>
      <c r="AA1736" s="694"/>
      <c r="AB1736" s="694"/>
      <c r="AC1736" s="694"/>
      <c r="AD1736" s="694"/>
      <c r="AE1736" s="694"/>
      <c r="AF1736" s="694"/>
      <c r="AG1736" s="694"/>
      <c r="AH1736" s="694"/>
      <c r="AI1736" s="694"/>
      <c r="AJ1736" s="694"/>
      <c r="AK1736" s="694"/>
      <c r="AL1736" s="694"/>
    </row>
    <row r="1737" spans="1:38" s="364" customFormat="1" ht="13.5" thickBot="1" x14ac:dyDescent="0.3">
      <c r="A1737" s="729"/>
      <c r="B1737" s="302"/>
      <c r="C1737" s="302"/>
      <c r="D1737" s="300"/>
      <c r="E1737" s="1013" t="str">
        <f>Translations!$B$483</f>
        <v>Параметър</v>
      </c>
      <c r="F1737" s="1015"/>
      <c r="G1737" s="527" t="str">
        <f>EUconst_Unit</f>
        <v>Единица мярка</v>
      </c>
      <c r="H1737" s="391">
        <f>H$2831</f>
        <v>2024</v>
      </c>
      <c r="I1737" s="572">
        <f>I$2831</f>
        <v>2025</v>
      </c>
      <c r="J1737" s="757">
        <f>J$91</f>
        <v>2026</v>
      </c>
      <c r="K1737" s="758">
        <f>K$91</f>
        <v>2027</v>
      </c>
      <c r="L1737" s="391">
        <f>L$91</f>
        <v>2028</v>
      </c>
      <c r="M1737" s="391">
        <f>M$91</f>
        <v>2029</v>
      </c>
      <c r="N1737" s="391">
        <f>N$91</f>
        <v>2030</v>
      </c>
      <c r="O1737" s="302"/>
      <c r="P1737" s="302"/>
      <c r="Q1737" s="729"/>
      <c r="R1737" s="729"/>
      <c r="S1737" s="694"/>
      <c r="T1737" s="694"/>
      <c r="U1737" s="729"/>
      <c r="V1737" s="729"/>
      <c r="W1737" s="729"/>
      <c r="X1737" s="729"/>
      <c r="Y1737" s="729"/>
      <c r="Z1737" s="729"/>
      <c r="AA1737" s="729"/>
      <c r="AB1737" s="694"/>
      <c r="AC1737" s="1178">
        <f t="shared" ref="AC1737" si="2379">H$20</f>
        <v>2024</v>
      </c>
      <c r="AD1737" s="1178">
        <f t="shared" ref="AD1737" si="2380">I$20</f>
        <v>2025</v>
      </c>
      <c r="AE1737" s="1178">
        <f t="shared" ref="AE1737" si="2381">J$20</f>
        <v>2026</v>
      </c>
      <c r="AF1737" s="1178">
        <f t="shared" ref="AF1737" si="2382">K$20</f>
        <v>2027</v>
      </c>
      <c r="AG1737" s="1178">
        <f t="shared" ref="AG1737" si="2383">L$20</f>
        <v>2028</v>
      </c>
      <c r="AH1737" s="1178">
        <f t="shared" ref="AH1737" si="2384">M$20</f>
        <v>2029</v>
      </c>
      <c r="AI1737" s="1178">
        <f t="shared" ref="AI1737" si="2385">N$20</f>
        <v>2030</v>
      </c>
      <c r="AJ1737" s="694"/>
      <c r="AK1737" s="694"/>
      <c r="AL1737" s="694"/>
    </row>
    <row r="1738" spans="1:38" s="364" customFormat="1" ht="12.75" customHeight="1" thickBot="1" x14ac:dyDescent="0.3">
      <c r="A1738" s="729"/>
      <c r="B1738" s="302"/>
      <c r="C1738" s="302"/>
      <c r="D1738" s="360"/>
      <c r="E1738" s="1251" t="str">
        <f>Translations!$B$485</f>
        <v>Съответно потребление на електроенергия</v>
      </c>
      <c r="F1738" s="1252"/>
      <c r="G1738" s="1253" t="str">
        <f>EUconst_MWhpa</f>
        <v>MWh / година</v>
      </c>
      <c r="H1738" s="39"/>
      <c r="I1738" s="194"/>
      <c r="J1738" s="195"/>
      <c r="K1738" s="208"/>
      <c r="L1738" s="39"/>
      <c r="M1738" s="39"/>
      <c r="N1738" s="39"/>
      <c r="O1738" s="302"/>
      <c r="P1738" s="158"/>
      <c r="Q1738" s="982" t="str">
        <f>EUconst_CNTR_HAL&amp;EUconst_CNTR_ELEXCH &amp;I1699</f>
        <v>HAL_ELEXCH_</v>
      </c>
      <c r="R1738" s="729"/>
      <c r="S1738" s="729"/>
      <c r="T1738" s="729"/>
      <c r="U1738" s="729"/>
      <c r="V1738" s="729"/>
      <c r="W1738" s="729"/>
      <c r="X1738" s="729"/>
      <c r="Y1738" s="729"/>
      <c r="Z1738" s="729"/>
      <c r="AA1738" s="729"/>
      <c r="AB1738" s="1182" t="s">
        <v>737</v>
      </c>
      <c r="AC1738" s="1254" t="b">
        <f t="shared" ref="AC1738" si="2386">IF(CNTR_ExistSubInstEntries,IF($I1699="",TRUE,OR(H1737&gt;=CNTR_ReportingYear,AC1737&lt;$V1699-1,INDEX(EUconst_BMlistElExchangability,MATCH($I1699,EUconst_BMlistNames,0))=FALSE)),FALSE)</f>
        <v>0</v>
      </c>
      <c r="AD1738" s="1255" t="b">
        <f t="shared" ref="AD1738" si="2387">IF(CNTR_ExistSubInstEntries,IF($I1699="",TRUE,OR(I1737&gt;=CNTR_ReportingYear,AD1737&lt;$V1699-1,INDEX(EUconst_BMlistElExchangability,MATCH($I1699,EUconst_BMlistNames,0))=FALSE)),FALSE)</f>
        <v>0</v>
      </c>
      <c r="AE1738" s="1255" t="b">
        <f t="shared" ref="AE1738" si="2388">IF(CNTR_ExistSubInstEntries,IF($I1699="",TRUE,OR(J1737&gt;=CNTR_ReportingYear,AE1737&lt;$V1699-1,INDEX(EUconst_BMlistElExchangability,MATCH($I1699,EUconst_BMlistNames,0))=FALSE)),FALSE)</f>
        <v>0</v>
      </c>
      <c r="AF1738" s="1255" t="b">
        <f t="shared" ref="AF1738" si="2389">IF(CNTR_ExistSubInstEntries,IF($I1699="",TRUE,OR(K1737&gt;=CNTR_ReportingYear,AF1737&lt;$V1699-1,INDEX(EUconst_BMlistElExchangability,MATCH($I1699,EUconst_BMlistNames,0))=FALSE)),FALSE)</f>
        <v>0</v>
      </c>
      <c r="AG1738" s="1255" t="b">
        <f t="shared" ref="AG1738" si="2390">IF(CNTR_ExistSubInstEntries,IF($I1699="",TRUE,OR(L1737&gt;=CNTR_ReportingYear,AG1737&lt;$V1699-1,INDEX(EUconst_BMlistElExchangability,MATCH($I1699,EUconst_BMlistNames,0))=FALSE)),FALSE)</f>
        <v>0</v>
      </c>
      <c r="AH1738" s="1255" t="b">
        <f t="shared" ref="AH1738" si="2391">IF(CNTR_ExistSubInstEntries,IF($I1699="",TRUE,OR(M1737&gt;=CNTR_ReportingYear,AH1737&lt;$V1699-1,INDEX(EUconst_BMlistElExchangability,MATCH($I1699,EUconst_BMlistNames,0))=FALSE)),FALSE)</f>
        <v>0</v>
      </c>
      <c r="AI1738" s="1256" t="b">
        <f t="shared" ref="AI1738" si="2392">IF(CNTR_ExistSubInstEntries,IF($I1699="",TRUE,OR(N1737&gt;=CNTR_ReportingYear,AI1737&lt;$V1699-1,INDEX(EUconst_BMlistElExchangability,MATCH($I1699,EUconst_BMlistNames,0))=FALSE)),FALSE)</f>
        <v>0</v>
      </c>
      <c r="AJ1738" s="1174" t="s">
        <v>2039</v>
      </c>
      <c r="AK1738" s="1176" t="str">
        <f>IF(AND(CNTR_ExistSubInstEntries,COUNTIFS(AC1738:AI1738,FALSE,H1738:N1738,"")&gt;0),EUconst_Error&amp;"BM"&amp;$Q1699,"")</f>
        <v/>
      </c>
      <c r="AL1738" s="694"/>
    </row>
    <row r="1739" spans="1:38" ht="5.15" customHeight="1" x14ac:dyDescent="0.25">
      <c r="A1739" s="694"/>
      <c r="B1739" s="298"/>
      <c r="C1739" s="298"/>
      <c r="D1739" s="298"/>
      <c r="E1739" s="298"/>
      <c r="F1739" s="298"/>
      <c r="G1739" s="298"/>
      <c r="H1739" s="298"/>
      <c r="I1739" s="298"/>
      <c r="J1739" s="298"/>
      <c r="K1739" s="298"/>
      <c r="L1739" s="298"/>
      <c r="M1739" s="302"/>
      <c r="N1739" s="302"/>
      <c r="O1739" s="302"/>
      <c r="P1739" s="302"/>
      <c r="Q1739" s="729"/>
      <c r="R1739" s="694"/>
      <c r="S1739" s="694"/>
      <c r="T1739" s="694"/>
      <c r="U1739" s="694"/>
      <c r="V1739" s="694"/>
      <c r="W1739" s="694"/>
      <c r="X1739" s="694"/>
      <c r="Y1739" s="694"/>
      <c r="Z1739" s="694"/>
      <c r="AA1739" s="694"/>
      <c r="AB1739" s="694"/>
      <c r="AC1739" s="694"/>
      <c r="AD1739" s="694"/>
      <c r="AE1739" s="694"/>
      <c r="AF1739" s="694"/>
      <c r="AG1739" s="694"/>
      <c r="AH1739" s="694"/>
      <c r="AI1739" s="694"/>
      <c r="AJ1739" s="694"/>
      <c r="AK1739" s="694"/>
      <c r="AL1739" s="694"/>
    </row>
    <row r="1740" spans="1:38" ht="13" x14ac:dyDescent="0.25">
      <c r="A1740" s="694"/>
      <c r="B1740" s="298"/>
      <c r="C1740" s="298"/>
      <c r="D1740" s="300" t="s">
        <v>906</v>
      </c>
      <c r="E1740" s="2226" t="str">
        <f>Translations!$B$487</f>
        <v>Топлинна енергия, получена от инсталации или обекти извън СТЕ:</v>
      </c>
      <c r="F1740" s="2226"/>
      <c r="G1740" s="2226"/>
      <c r="H1740" s="2226"/>
      <c r="I1740" s="2317"/>
      <c r="J1740" s="2858" t="str">
        <f>IF(I1699="","",HYPERLINK(R1740,EUconst_MsgGoOnIfNotRelevant))</f>
        <v/>
      </c>
      <c r="K1740" s="2859"/>
      <c r="L1740" s="2859"/>
      <c r="M1740" s="2859"/>
      <c r="N1740" s="2860"/>
      <c r="O1740" s="302"/>
      <c r="P1740" s="302"/>
      <c r="Q1740" s="694" t="s">
        <v>450</v>
      </c>
      <c r="R1740" s="1026" t="str">
        <f>"#"&amp;ADDRESS(ROW(D1765),COLUMN(D1765))</f>
        <v>#$D$1765</v>
      </c>
      <c r="S1740" s="694"/>
      <c r="T1740" s="694"/>
      <c r="U1740" s="694"/>
      <c r="V1740" s="694"/>
      <c r="W1740" s="694"/>
      <c r="X1740" s="694"/>
      <c r="Y1740" s="694"/>
      <c r="Z1740" s="694"/>
      <c r="AA1740" s="694"/>
      <c r="AB1740" s="694"/>
      <c r="AC1740" s="694"/>
      <c r="AD1740" s="694"/>
      <c r="AE1740" s="694"/>
      <c r="AF1740" s="694"/>
      <c r="AG1740" s="694"/>
      <c r="AH1740" s="694"/>
      <c r="AI1740" s="694"/>
      <c r="AJ1740" s="694"/>
      <c r="AK1740" s="694"/>
      <c r="AL1740" s="694"/>
    </row>
    <row r="1741" spans="1:38" x14ac:dyDescent="0.25">
      <c r="A1741" s="694"/>
      <c r="B1741" s="298"/>
      <c r="C1741" s="298"/>
      <c r="D1741" s="302"/>
      <c r="E1741" s="2358" t="str">
        <f>Translations!$B$488</f>
        <v>Съгласно член 21 от ПБР определено количество емисии трябва да се приспадне от предварителното годишно разпределение за подинсталациите с продуктов показател.</v>
      </c>
      <c r="F1741" s="2249"/>
      <c r="G1741" s="2249"/>
      <c r="H1741" s="2249"/>
      <c r="I1741" s="2249"/>
      <c r="J1741" s="2249"/>
      <c r="K1741" s="2249"/>
      <c r="L1741" s="2249"/>
      <c r="M1741" s="2249"/>
      <c r="N1741" s="2249"/>
      <c r="O1741" s="302"/>
      <c r="P1741" s="302"/>
      <c r="Q1741" s="729"/>
      <c r="R1741" s="694"/>
      <c r="S1741" s="694"/>
      <c r="T1741" s="694"/>
      <c r="U1741" s="729"/>
      <c r="V1741" s="729"/>
      <c r="W1741" s="694"/>
      <c r="X1741" s="694"/>
      <c r="Y1741" s="694"/>
      <c r="Z1741" s="694"/>
      <c r="AA1741" s="694"/>
      <c r="AB1741" s="694"/>
      <c r="AC1741" s="694"/>
      <c r="AD1741" s="694"/>
      <c r="AE1741" s="694"/>
      <c r="AF1741" s="694"/>
      <c r="AG1741" s="694"/>
      <c r="AH1741" s="694"/>
      <c r="AI1741" s="694"/>
      <c r="AJ1741" s="694"/>
      <c r="AK1741" s="694"/>
      <c r="AL1741" s="694"/>
    </row>
    <row r="1742" spans="1:38" x14ac:dyDescent="0.25">
      <c r="A1742" s="694"/>
      <c r="B1742" s="298"/>
      <c r="C1742" s="298"/>
      <c r="D1742" s="302"/>
      <c r="E1742" s="2358" t="str">
        <f>Translations!$B$489</f>
        <v>Това количество е количеството измерима топлинна енергия, внесена от инсталации или обекти извън СТЕ (включително всяка топлинна енергия от подинсталации за производство на азотна киселина), умножено по топлинния показател.</v>
      </c>
      <c r="F1742" s="2249"/>
      <c r="G1742" s="2249"/>
      <c r="H1742" s="2249"/>
      <c r="I1742" s="2249"/>
      <c r="J1742" s="2249"/>
      <c r="K1742" s="2249"/>
      <c r="L1742" s="2249"/>
      <c r="M1742" s="2249"/>
      <c r="N1742" s="2249"/>
      <c r="O1742" s="302"/>
      <c r="P1742" s="302"/>
      <c r="Q1742" s="729"/>
      <c r="R1742" s="694"/>
      <c r="S1742" s="694"/>
      <c r="T1742" s="694"/>
      <c r="U1742" s="729"/>
      <c r="V1742" s="729"/>
      <c r="W1742" s="694"/>
      <c r="X1742" s="694"/>
      <c r="Y1742" s="694"/>
      <c r="Z1742" s="694"/>
      <c r="AA1742" s="694"/>
      <c r="AB1742" s="694"/>
      <c r="AC1742" s="694"/>
      <c r="AD1742" s="694"/>
      <c r="AE1742" s="694"/>
      <c r="AF1742" s="694"/>
      <c r="AG1742" s="694"/>
      <c r="AH1742" s="694"/>
      <c r="AI1742" s="694"/>
      <c r="AJ1742" s="694"/>
      <c r="AK1742" s="694"/>
      <c r="AL1742" s="694"/>
    </row>
    <row r="1743" spans="1:38" x14ac:dyDescent="0.25">
      <c r="A1743" s="694"/>
      <c r="B1743" s="298"/>
      <c r="C1743" s="298"/>
      <c r="D1743" s="302"/>
      <c r="E1743" s="2358" t="str">
        <f>Translations!$B$490</f>
        <v>Моля, въведете тук съответните стойности. Имайте предвид, че стойностите трябва да съответстват на сумите за енергията, получена от източници извън СТЕ, въведени в точка E.II.c в работен лист „E_Energy flows“ („E_Енергийни потоци“).</v>
      </c>
      <c r="F1743" s="2249"/>
      <c r="G1743" s="2249"/>
      <c r="H1743" s="2249"/>
      <c r="I1743" s="2249"/>
      <c r="J1743" s="2249"/>
      <c r="K1743" s="2249"/>
      <c r="L1743" s="2249"/>
      <c r="M1743" s="2249"/>
      <c r="N1743" s="2249"/>
      <c r="O1743" s="302"/>
      <c r="P1743" s="302"/>
      <c r="Q1743" s="729"/>
      <c r="R1743" s="694"/>
      <c r="S1743" s="694"/>
      <c r="T1743" s="694"/>
      <c r="U1743" s="729"/>
      <c r="V1743" s="729"/>
      <c r="W1743" s="694"/>
      <c r="X1743" s="694"/>
      <c r="Y1743" s="694"/>
      <c r="Z1743" s="694"/>
      <c r="AA1743" s="694"/>
      <c r="AB1743" s="694"/>
      <c r="AC1743" s="694"/>
      <c r="AD1743" s="694"/>
      <c r="AE1743" s="694"/>
      <c r="AF1743" s="694"/>
      <c r="AG1743" s="694"/>
      <c r="AH1743" s="694"/>
      <c r="AI1743" s="694"/>
      <c r="AJ1743" s="694"/>
      <c r="AK1743" s="694"/>
      <c r="AL1743" s="694"/>
    </row>
    <row r="1744" spans="1:38" x14ac:dyDescent="0.25">
      <c r="A1744" s="694"/>
      <c r="B1744" s="298"/>
      <c r="C1744" s="298"/>
      <c r="D1744" s="302"/>
      <c r="E1744" s="2358" t="str">
        <f>Translations!$B$491</f>
        <v>Освен това данните трябва да съответстват и на общото нетно количество получена измерима топлинна енергия, въведено в k). i по-долу.</v>
      </c>
      <c r="F1744" s="2249"/>
      <c r="G1744" s="2249"/>
      <c r="H1744" s="2249"/>
      <c r="I1744" s="2249"/>
      <c r="J1744" s="2249"/>
      <c r="K1744" s="2249"/>
      <c r="L1744" s="2249"/>
      <c r="M1744" s="2249"/>
      <c r="N1744" s="2249"/>
      <c r="O1744" s="302"/>
      <c r="P1744" s="302"/>
      <c r="Q1744" s="729"/>
      <c r="R1744" s="694"/>
      <c r="S1744" s="694"/>
      <c r="T1744" s="694"/>
      <c r="U1744" s="729"/>
      <c r="V1744" s="729"/>
      <c r="W1744" s="729"/>
      <c r="X1744" s="729"/>
      <c r="Y1744" s="729"/>
      <c r="Z1744" s="729"/>
      <c r="AA1744" s="694"/>
      <c r="AB1744" s="694"/>
      <c r="AC1744" s="694"/>
      <c r="AD1744" s="694"/>
      <c r="AE1744" s="694"/>
      <c r="AF1744" s="694"/>
      <c r="AG1744" s="694"/>
      <c r="AH1744" s="694"/>
      <c r="AI1744" s="694"/>
      <c r="AJ1744" s="694"/>
      <c r="AK1744" s="694"/>
      <c r="AL1744" s="694"/>
    </row>
    <row r="1745" spans="1:38" ht="13.5" thickBot="1" x14ac:dyDescent="0.3">
      <c r="A1745" s="694"/>
      <c r="B1745" s="698"/>
      <c r="C1745" s="698"/>
      <c r="D1745" s="300"/>
      <c r="E1745" s="1013" t="str">
        <f>Translations!$B$483</f>
        <v>Параметър</v>
      </c>
      <c r="F1745" s="1015"/>
      <c r="G1745" s="527" t="str">
        <f>EUconst_Unit</f>
        <v>Единица мярка</v>
      </c>
      <c r="H1745" s="391">
        <f>H$2831</f>
        <v>2024</v>
      </c>
      <c r="I1745" s="572">
        <f>I$2831</f>
        <v>2025</v>
      </c>
      <c r="J1745" s="757">
        <f>J$91</f>
        <v>2026</v>
      </c>
      <c r="K1745" s="391">
        <f>K$91</f>
        <v>2027</v>
      </c>
      <c r="L1745" s="391">
        <f>L$91</f>
        <v>2028</v>
      </c>
      <c r="M1745" s="391">
        <f>M$91</f>
        <v>2029</v>
      </c>
      <c r="N1745" s="391">
        <f>N$91</f>
        <v>2030</v>
      </c>
      <c r="O1745" s="302"/>
      <c r="P1745" s="302"/>
      <c r="Q1745" s="694"/>
      <c r="R1745" s="1031"/>
      <c r="S1745" s="1174" t="s">
        <v>1906</v>
      </c>
      <c r="T1745" s="1178">
        <f>H1745</f>
        <v>2024</v>
      </c>
      <c r="U1745" s="1178">
        <f t="shared" ref="U1745" si="2393">I1745</f>
        <v>2025</v>
      </c>
      <c r="V1745" s="1178">
        <f t="shared" ref="V1745" si="2394">J1745</f>
        <v>2026</v>
      </c>
      <c r="W1745" s="1178">
        <f t="shared" ref="W1745" si="2395">K1745</f>
        <v>2027</v>
      </c>
      <c r="X1745" s="1178">
        <f t="shared" ref="X1745" si="2396">L1745</f>
        <v>2028</v>
      </c>
      <c r="Y1745" s="1178">
        <f t="shared" ref="Y1745" si="2397">M1745</f>
        <v>2029</v>
      </c>
      <c r="Z1745" s="1178">
        <f t="shared" ref="Z1745" si="2398">N1745</f>
        <v>2030</v>
      </c>
      <c r="AA1745" s="1031"/>
      <c r="AB1745" s="694"/>
      <c r="AC1745" s="1178">
        <f t="shared" ref="AC1745" si="2399">H$20</f>
        <v>2024</v>
      </c>
      <c r="AD1745" s="1178">
        <f t="shared" ref="AD1745" si="2400">I$20</f>
        <v>2025</v>
      </c>
      <c r="AE1745" s="1178">
        <f t="shared" ref="AE1745" si="2401">J$20</f>
        <v>2026</v>
      </c>
      <c r="AF1745" s="1178">
        <f t="shared" ref="AF1745" si="2402">K$20</f>
        <v>2027</v>
      </c>
      <c r="AG1745" s="1178">
        <f t="shared" ref="AG1745" si="2403">L$20</f>
        <v>2028</v>
      </c>
      <c r="AH1745" s="1178">
        <f t="shared" ref="AH1745" si="2404">M$20</f>
        <v>2029</v>
      </c>
      <c r="AI1745" s="1178">
        <f t="shared" ref="AI1745" si="2405">N$20</f>
        <v>2030</v>
      </c>
      <c r="AJ1745" s="694"/>
      <c r="AK1745" s="694"/>
      <c r="AL1745" s="694"/>
    </row>
    <row r="1746" spans="1:38" ht="13" customHeight="1" thickBot="1" x14ac:dyDescent="0.3">
      <c r="A1746" s="694"/>
      <c r="B1746" s="698"/>
      <c r="C1746" s="698"/>
      <c r="D1746" s="1084" t="s">
        <v>6</v>
      </c>
      <c r="E1746" s="2667" t="str">
        <f>Translations!$B$492</f>
        <v>Измерима топлинна енергия, получена от източници извън СТЕ:</v>
      </c>
      <c r="F1746" s="2667"/>
      <c r="G1746" s="1016" t="str">
        <f>EUconst_TJpa</f>
        <v>TJ / година</v>
      </c>
      <c r="H1746" s="24"/>
      <c r="I1746" s="59"/>
      <c r="J1746" s="60"/>
      <c r="K1746" s="24"/>
      <c r="L1746" s="24"/>
      <c r="M1746" s="24"/>
      <c r="N1746" s="24"/>
      <c r="O1746" s="302"/>
      <c r="P1746" s="158"/>
      <c r="Q1746" s="982" t="str">
        <f>EUconst_CNTR_HAL&amp;EUconst_CNTR_nonETSMeasHeat</f>
        <v>HAL_измерима топлинна енергия извън СТЕ</v>
      </c>
      <c r="R1746" s="694"/>
      <c r="S1746" s="1174"/>
      <c r="T1746" s="1257" t="str">
        <f t="shared" ref="T1746" si="2406">IF(H1746="","",SUM(H1746)*EUconst_HeatBMvalue)</f>
        <v/>
      </c>
      <c r="U1746" s="1257" t="str">
        <f t="shared" ref="U1746" si="2407">IF(I1746="","",SUM(I1746)*EUconst_HeatBMvalue)</f>
        <v/>
      </c>
      <c r="V1746" s="1257" t="str">
        <f t="shared" ref="V1746" si="2408">IF(J1746="","",SUM(J1746)*EUconst_HeatBMvalue)</f>
        <v/>
      </c>
      <c r="W1746" s="1257" t="str">
        <f t="shared" ref="W1746" si="2409">IF(K1746="","",SUM(K1746)*EUconst_HeatBMvalue)</f>
        <v/>
      </c>
      <c r="X1746" s="1257" t="str">
        <f t="shared" ref="X1746" si="2410">IF(L1746="","",SUM(L1746)*EUconst_HeatBMvalue)</f>
        <v/>
      </c>
      <c r="Y1746" s="1257" t="str">
        <f t="shared" ref="Y1746" si="2411">IF(M1746="","",SUM(M1746)*EUconst_HeatBMvalue)</f>
        <v/>
      </c>
      <c r="Z1746" s="1257" t="str">
        <f t="shared" ref="Z1746" si="2412">IF(N1746="","",SUM(N1746)*EUconst_HeatBMvalue)</f>
        <v/>
      </c>
      <c r="AA1746" s="694"/>
      <c r="AB1746" s="1182" t="s">
        <v>737</v>
      </c>
      <c r="AC1746" s="1183" t="b">
        <f t="shared" ref="AC1746" si="2413">IF(CNTR_ExistSubInstEntries,OR($I1699="",H1706&gt;=CNTR_ReportingYear,AC1745&lt;$V1699-1),FALSE)</f>
        <v>0</v>
      </c>
      <c r="AD1746" s="1184" t="b">
        <f t="shared" ref="AD1746" si="2414">IF(CNTR_ExistSubInstEntries,OR($I1699="",I1706&gt;=CNTR_ReportingYear,AD1745&lt;$V1699-1),FALSE)</f>
        <v>0</v>
      </c>
      <c r="AE1746" s="1184" t="b">
        <f t="shared" ref="AE1746" si="2415">IF(CNTR_ExistSubInstEntries,OR($I1699="",J1706&gt;=CNTR_ReportingYear,AE1745&lt;$V1699-1),FALSE)</f>
        <v>0</v>
      </c>
      <c r="AF1746" s="1184" t="b">
        <f t="shared" ref="AF1746" si="2416">IF(CNTR_ExistSubInstEntries,OR($I1699="",K1706&gt;=CNTR_ReportingYear,AF1745&lt;$V1699-1),FALSE)</f>
        <v>0</v>
      </c>
      <c r="AG1746" s="1184" t="b">
        <f t="shared" ref="AG1746" si="2417">IF(CNTR_ExistSubInstEntries,OR($I1699="",L1706&gt;=CNTR_ReportingYear,AG1745&lt;$V1699-1),FALSE)</f>
        <v>0</v>
      </c>
      <c r="AH1746" s="1184" t="b">
        <f t="shared" ref="AH1746" si="2418">IF(CNTR_ExistSubInstEntries,OR($I1699="",M1706&gt;=CNTR_ReportingYear,AH1745&lt;$V1699-1),FALSE)</f>
        <v>0</v>
      </c>
      <c r="AI1746" s="1185" t="b">
        <f t="shared" ref="AI1746" si="2419">IF(CNTR_ExistSubInstEntries,OR($I1699="",N1706&gt;=CNTR_ReportingYear,AI1745&lt;$V1699-1),FALSE)</f>
        <v>0</v>
      </c>
      <c r="AJ1746" s="1174" t="s">
        <v>2039</v>
      </c>
      <c r="AK1746" s="1176" t="str">
        <f>IF(AND(CNTR_ExistSubInstEntries,COUNTIFS(AC1746:AI1746,FALSE,H1746:N1746,"")&gt;0),EUconst_Error&amp;"BM"&amp;$Q1699,"")</f>
        <v/>
      </c>
      <c r="AL1746" s="694"/>
    </row>
    <row r="1747" spans="1:38" ht="25.5" customHeight="1" x14ac:dyDescent="0.25">
      <c r="A1747" s="694"/>
      <c r="B1747" s="698"/>
      <c r="C1747" s="698"/>
      <c r="D1747" s="1084" t="s">
        <v>7</v>
      </c>
      <c r="E1747" s="1258" t="str">
        <f>Translations!$B$493</f>
        <v>Проверка на съответствието с работен лист „E_Energy flows“ („E_Енергийни потоци“):</v>
      </c>
      <c r="F1747" s="1258"/>
      <c r="G1747" s="1259" t="s">
        <v>1053</v>
      </c>
      <c r="H1747" s="16" t="str">
        <f>IF(AND(ISNUMBER(H1746),ISNUMBER(E_EnergyFlows!H$141)), H1746/E_EnergyFlows!H$141*100,"")</f>
        <v/>
      </c>
      <c r="I1747" s="105" t="str">
        <f>IF(AND(ISNUMBER(I1746),ISNUMBER(E_EnergyFlows!I$141)), I1746/E_EnergyFlows!I$141*100,"")</f>
        <v/>
      </c>
      <c r="J1747" s="107" t="str">
        <f>IF(AND(ISNUMBER(J1746),ISNUMBER(E_EnergyFlows!J$141)), J1746/E_EnergyFlows!J$141*100,"")</f>
        <v/>
      </c>
      <c r="K1747" s="16" t="str">
        <f>IF(AND(ISNUMBER(K1746),ISNUMBER(E_EnergyFlows!K$141)), K1746/E_EnergyFlows!K$141*100,"")</f>
        <v/>
      </c>
      <c r="L1747" s="16" t="str">
        <f>IF(AND(ISNUMBER(L1746),ISNUMBER(E_EnergyFlows!L$141)), L1746/E_EnergyFlows!L$141*100,"")</f>
        <v/>
      </c>
      <c r="M1747" s="16" t="str">
        <f>IF(AND(ISNUMBER(M1746),ISNUMBER(E_EnergyFlows!M$141)), M1746/E_EnergyFlows!M$141*100,"")</f>
        <v/>
      </c>
      <c r="N1747" s="16" t="str">
        <f>IF(AND(ISNUMBER(N1746),ISNUMBER(E_EnergyFlows!N$141)), N1746/E_EnergyFlows!N$141*100,"")</f>
        <v/>
      </c>
      <c r="O1747" s="302"/>
      <c r="P1747" s="302"/>
      <c r="Q1747" s="1033" t="str">
        <f>EUconst_CNTR_HEAT &amp; I1699</f>
        <v>HEAT_</v>
      </c>
      <c r="R1747" s="729"/>
      <c r="S1747" s="694"/>
      <c r="T1747" s="694"/>
      <c r="U1747" s="729"/>
      <c r="V1747" s="729"/>
      <c r="W1747" s="694"/>
      <c r="X1747" s="694"/>
      <c r="Y1747" s="694"/>
      <c r="Z1747" s="694"/>
      <c r="AA1747" s="694"/>
      <c r="AB1747" s="694"/>
      <c r="AC1747" s="694"/>
      <c r="AD1747" s="694"/>
      <c r="AE1747" s="694"/>
      <c r="AF1747" s="694"/>
      <c r="AG1747" s="694"/>
      <c r="AH1747" s="694"/>
      <c r="AI1747" s="694"/>
      <c r="AJ1747" s="694"/>
      <c r="AK1747" s="694"/>
      <c r="AL1747" s="694"/>
    </row>
    <row r="1748" spans="1:38" ht="12.65" customHeight="1" x14ac:dyDescent="0.25">
      <c r="A1748" s="694"/>
      <c r="B1748" s="698"/>
      <c r="C1748" s="698"/>
      <c r="D1748" s="1084" t="s">
        <v>8</v>
      </c>
      <c r="E1748" s="1260" t="str">
        <f>Translations!$B$494</f>
        <v>Проверка на съответствието с k).i):</v>
      </c>
      <c r="F1748" s="1261"/>
      <c r="G1748" s="1262" t="s">
        <v>1053</v>
      </c>
      <c r="H1748" s="15" t="str">
        <f t="shared" ref="H1748:N1748" si="2420">IF(AND(H1871&gt;0,ISNUMBER(H1746)), H1746/H1871*100,"")</f>
        <v/>
      </c>
      <c r="I1748" s="106" t="str">
        <f t="shared" si="2420"/>
        <v/>
      </c>
      <c r="J1748" s="108" t="str">
        <f t="shared" si="2420"/>
        <v/>
      </c>
      <c r="K1748" s="15" t="str">
        <f t="shared" si="2420"/>
        <v/>
      </c>
      <c r="L1748" s="15" t="str">
        <f t="shared" si="2420"/>
        <v/>
      </c>
      <c r="M1748" s="15" t="str">
        <f t="shared" si="2420"/>
        <v/>
      </c>
      <c r="N1748" s="15" t="str">
        <f t="shared" si="2420"/>
        <v/>
      </c>
      <c r="O1748" s="302"/>
      <c r="P1748" s="302"/>
      <c r="Q1748" s="694"/>
      <c r="R1748" s="694"/>
      <c r="S1748" s="694"/>
      <c r="T1748" s="694"/>
      <c r="U1748" s="729"/>
      <c r="V1748" s="729"/>
      <c r="W1748" s="694"/>
      <c r="X1748" s="694"/>
      <c r="Y1748" s="694"/>
      <c r="Z1748" s="694"/>
      <c r="AA1748" s="694"/>
      <c r="AB1748" s="694"/>
      <c r="AC1748" s="694"/>
      <c r="AD1748" s="694"/>
      <c r="AE1748" s="694"/>
      <c r="AF1748" s="694"/>
      <c r="AG1748" s="694"/>
      <c r="AH1748" s="694"/>
      <c r="AI1748" s="694"/>
      <c r="AJ1748" s="694"/>
      <c r="AK1748" s="694"/>
      <c r="AL1748" s="694"/>
    </row>
    <row r="1749" spans="1:38" ht="5.15" customHeight="1" x14ac:dyDescent="0.25">
      <c r="A1749" s="694"/>
      <c r="B1749" s="698"/>
      <c r="C1749" s="698"/>
      <c r="D1749" s="698"/>
      <c r="E1749" s="698"/>
      <c r="F1749" s="698"/>
      <c r="G1749" s="698"/>
      <c r="H1749" s="698"/>
      <c r="I1749" s="1025"/>
      <c r="J1749" s="698"/>
      <c r="K1749" s="698"/>
      <c r="L1749" s="698"/>
      <c r="M1749" s="698"/>
      <c r="N1749" s="698"/>
      <c r="O1749" s="302"/>
      <c r="P1749" s="302"/>
      <c r="Q1749" s="1263"/>
      <c r="R1749" s="694"/>
      <c r="S1749" s="694"/>
      <c r="T1749" s="694"/>
      <c r="U1749" s="729"/>
      <c r="V1749" s="729"/>
      <c r="W1749" s="694"/>
      <c r="X1749" s="694"/>
      <c r="Y1749" s="694"/>
      <c r="Z1749" s="694"/>
      <c r="AA1749" s="694"/>
      <c r="AB1749" s="694"/>
      <c r="AC1749" s="694"/>
      <c r="AD1749" s="694"/>
      <c r="AE1749" s="694"/>
      <c r="AF1749" s="694"/>
      <c r="AG1749" s="694"/>
      <c r="AH1749" s="694"/>
      <c r="AI1749" s="694"/>
      <c r="AJ1749" s="694"/>
      <c r="AK1749" s="694"/>
      <c r="AL1749" s="694"/>
    </row>
    <row r="1750" spans="1:38" ht="25.5" customHeight="1" thickBot="1" x14ac:dyDescent="0.3">
      <c r="A1750" s="694"/>
      <c r="B1750" s="298"/>
      <c r="C1750" s="298"/>
      <c r="D1750" s="302"/>
      <c r="E1750" s="2358" t="str">
        <f>Translations!$B$1326</f>
        <v>На базата на данните по-горе тук се определят средните годишни стойности на стойностите от i. Разпределението ще бъде променено само ако са надвишени относителният праг (15 % в сравнение със стойността в НМИ) и абсолютният праг (промяната води до корекция с повече от 100 квоти), определени в член 6, параграф 4 от Регламента за ALC.</v>
      </c>
      <c r="F1750" s="2249"/>
      <c r="G1750" s="2249"/>
      <c r="H1750" s="2249"/>
      <c r="I1750" s="2249"/>
      <c r="J1750" s="2249"/>
      <c r="K1750" s="2249"/>
      <c r="L1750" s="2249"/>
      <c r="M1750" s="2249"/>
      <c r="N1750" s="2249"/>
      <c r="O1750" s="302"/>
      <c r="P1750" s="302"/>
      <c r="Q1750" s="729"/>
      <c r="R1750" s="694"/>
      <c r="S1750" s="729"/>
      <c r="T1750" s="729"/>
      <c r="U1750" s="729"/>
      <c r="V1750" s="694"/>
      <c r="W1750" s="694"/>
      <c r="X1750" s="694"/>
      <c r="Y1750" s="694"/>
      <c r="Z1750" s="694"/>
      <c r="AA1750" s="694"/>
      <c r="AB1750" s="694"/>
      <c r="AC1750" s="694"/>
      <c r="AD1750" s="694"/>
      <c r="AE1750" s="694"/>
      <c r="AF1750" s="694"/>
      <c r="AG1750" s="694"/>
      <c r="AH1750" s="694"/>
      <c r="AI1750" s="694"/>
      <c r="AJ1750" s="694"/>
      <c r="AK1750" s="694"/>
      <c r="AL1750" s="694"/>
    </row>
    <row r="1751" spans="1:38" ht="5.15" customHeight="1" thickBot="1" x14ac:dyDescent="0.3">
      <c r="A1751" s="694"/>
      <c r="B1751" s="298"/>
      <c r="C1751" s="298"/>
      <c r="D1751" s="1192"/>
      <c r="E1751" s="1194"/>
      <c r="F1751" s="1264"/>
      <c r="G1751" s="1264"/>
      <c r="H1751" s="1264"/>
      <c r="I1751" s="1264"/>
      <c r="J1751" s="1264"/>
      <c r="K1751" s="1264"/>
      <c r="L1751" s="1264"/>
      <c r="M1751" s="1264"/>
      <c r="N1751" s="1265"/>
      <c r="O1751" s="302"/>
      <c r="P1751" s="302"/>
      <c r="Q1751" s="729"/>
      <c r="R1751" s="694"/>
      <c r="S1751" s="729"/>
      <c r="T1751" s="729"/>
      <c r="U1751" s="729"/>
      <c r="V1751" s="694"/>
      <c r="W1751" s="694"/>
      <c r="X1751" s="694"/>
      <c r="Y1751" s="694"/>
      <c r="Z1751" s="694"/>
      <c r="AA1751" s="694"/>
      <c r="AB1751" s="694"/>
      <c r="AC1751" s="694"/>
      <c r="AD1751" s="694"/>
      <c r="AE1751" s="694"/>
      <c r="AF1751" s="694"/>
      <c r="AG1751" s="694"/>
      <c r="AH1751" s="694"/>
      <c r="AI1751" s="694"/>
      <c r="AJ1751" s="694"/>
      <c r="AK1751" s="694"/>
      <c r="AL1751" s="694"/>
    </row>
    <row r="1752" spans="1:38" ht="12.75" customHeight="1" x14ac:dyDescent="0.25">
      <c r="A1752" s="694"/>
      <c r="B1752" s="298"/>
      <c r="C1752" s="298"/>
      <c r="D1752" s="1197" t="s">
        <v>2003</v>
      </c>
      <c r="E1752" s="1198" t="str">
        <f>Translations!$B$1329</f>
        <v>Корекции: Топлинна енергия извън СТЕ</v>
      </c>
      <c r="F1752" s="1199"/>
      <c r="G1752" s="1199"/>
      <c r="H1752" s="1200" t="str">
        <f>EUconst_Unit</f>
        <v>Единица мярка</v>
      </c>
      <c r="I1752" s="1201" t="str">
        <f>Translations!$B$1327</f>
        <v>(НМИ) стойност</v>
      </c>
      <c r="J1752" s="1202">
        <f>J$2831</f>
        <v>2026</v>
      </c>
      <c r="K1752" s="1203">
        <f>K$2831</f>
        <v>2027</v>
      </c>
      <c r="L1752" s="1203">
        <f>L$2831</f>
        <v>2028</v>
      </c>
      <c r="M1752" s="1203">
        <f>M$2831</f>
        <v>2029</v>
      </c>
      <c r="N1752" s="1204">
        <f>N$2831</f>
        <v>2030</v>
      </c>
      <c r="O1752" s="302"/>
      <c r="P1752" s="302"/>
      <c r="Q1752" s="729"/>
      <c r="R1752" s="694"/>
      <c r="S1752" s="694"/>
      <c r="T1752" s="694"/>
      <c r="U1752" s="1205"/>
      <c r="V1752" s="1206">
        <f>J1752</f>
        <v>2026</v>
      </c>
      <c r="W1752" s="1206">
        <f>K1752</f>
        <v>2027</v>
      </c>
      <c r="X1752" s="1206">
        <f>L1752</f>
        <v>2028</v>
      </c>
      <c r="Y1752" s="1206">
        <f>M1752</f>
        <v>2029</v>
      </c>
      <c r="Z1752" s="1207">
        <f>N1752</f>
        <v>2030</v>
      </c>
      <c r="AA1752" s="694"/>
      <c r="AB1752" s="694"/>
      <c r="AC1752" s="694"/>
      <c r="AD1752" s="694"/>
      <c r="AE1752" s="694"/>
      <c r="AF1752" s="694"/>
      <c r="AG1752" s="694"/>
      <c r="AH1752" s="694"/>
      <c r="AI1752" s="694"/>
      <c r="AJ1752" s="694"/>
      <c r="AK1752" s="694"/>
      <c r="AL1752" s="694"/>
    </row>
    <row r="1753" spans="1:38" ht="12.75" customHeight="1" x14ac:dyDescent="0.25">
      <c r="A1753" s="694"/>
      <c r="B1753" s="298"/>
      <c r="C1753" s="298"/>
      <c r="D1753" s="1208" t="s">
        <v>6</v>
      </c>
      <c r="E1753" s="1209" t="str">
        <f>Translations!$B$1328</f>
        <v>Средна годишна стойност</v>
      </c>
      <c r="F1753" s="1209"/>
      <c r="G1753" s="1209"/>
      <c r="H1753" s="1266" t="str">
        <f>EUconst_tCO2</f>
        <v>t CO2</v>
      </c>
      <c r="I1753" s="1211" t="str">
        <f>INDEX('B+C_SubInstallations'!$J:$J,MATCH(Q1753,'B+C_SubInstallations'!$U:$U,0))</f>
        <v/>
      </c>
      <c r="J1753" s="1267" t="str">
        <f>IF(AND(V1753&gt;=3,CNTR_ReportingYear&gt;J1752-1),AVERAGE(SUM(T1746),SUM(U1746)),"")</f>
        <v/>
      </c>
      <c r="K1753" s="1268" t="str">
        <f>IF(AND(W1753&gt;=3,CNTR_ReportingYear&gt;K1752-1),AVERAGE(SUM(U1746),SUM(V1746)),"")</f>
        <v/>
      </c>
      <c r="L1753" s="1268" t="str">
        <f>IF(AND(X1753&gt;=3,CNTR_ReportingYear&gt;L1752-1),AVERAGE(SUM(V1746),SUM(W1746)),"")</f>
        <v/>
      </c>
      <c r="M1753" s="1268" t="str">
        <f>IF(AND(Y1753&gt;=3,CNTR_ReportingYear&gt;M1752-1),AVERAGE(SUM(W1746),SUM(X1746)),"")</f>
        <v/>
      </c>
      <c r="N1753" s="1269" t="str">
        <f>IF(AND(Z1753&gt;=3,CNTR_ReportingYear&gt;N1752-1),AVERAGE(SUM(X1746),SUM(Y1746)),"")</f>
        <v/>
      </c>
      <c r="O1753" s="302"/>
      <c r="P1753" s="302"/>
      <c r="Q1753" s="1270" t="str">
        <f>EUconst_CNTR_HEATInitial &amp; I1699</f>
        <v>HEATIni_</v>
      </c>
      <c r="R1753" s="694"/>
      <c r="S1753" s="694"/>
      <c r="T1753" s="694"/>
      <c r="U1753" s="1231" t="s">
        <v>1710</v>
      </c>
      <c r="V1753" s="1176">
        <f>V1721</f>
        <v>0</v>
      </c>
      <c r="W1753" s="1176">
        <f>W1721</f>
        <v>0</v>
      </c>
      <c r="X1753" s="1176">
        <f>X1721</f>
        <v>0</v>
      </c>
      <c r="Y1753" s="1176">
        <f>Y1721</f>
        <v>0</v>
      </c>
      <c r="Z1753" s="1216">
        <f>Z1721</f>
        <v>0</v>
      </c>
      <c r="AA1753" s="694"/>
      <c r="AB1753" s="694"/>
      <c r="AC1753" s="694"/>
      <c r="AD1753" s="694"/>
      <c r="AE1753" s="694"/>
      <c r="AF1753" s="694"/>
      <c r="AG1753" s="694"/>
      <c r="AH1753" s="694"/>
      <c r="AI1753" s="694"/>
      <c r="AJ1753" s="694"/>
      <c r="AK1753" s="694"/>
      <c r="AL1753" s="694"/>
    </row>
    <row r="1754" spans="1:38" ht="12.75" hidden="1" customHeight="1" x14ac:dyDescent="0.25">
      <c r="A1754" s="729" t="s">
        <v>312</v>
      </c>
      <c r="B1754" s="298"/>
      <c r="C1754" s="298"/>
      <c r="D1754" s="1208"/>
      <c r="E1754" s="1209" t="str">
        <f>Translations!$B$1378</f>
        <v>Промяна в сравнение със стойността в НМИ</v>
      </c>
      <c r="F1754" s="1209"/>
      <c r="G1754" s="1209"/>
      <c r="H1754" s="1222"/>
      <c r="I1754" s="1223"/>
      <c r="J1754" s="104" t="str">
        <f>IF(J1753="","",IF($I1756=0,IF(J1753=0,0%,100%),J1753/$I1756-1))</f>
        <v/>
      </c>
      <c r="K1754" s="99" t="str">
        <f>IF(K1753="","",IF($I1756=0,IF(K1753=0,0%,100%),K1753/$I1756-1))</f>
        <v/>
      </c>
      <c r="L1754" s="99" t="str">
        <f>IF(L1753="","",IF($I1756=0,IF(L1753=0,0%,100%),L1753/$I1756-1))</f>
        <v/>
      </c>
      <c r="M1754" s="99" t="str">
        <f>IF(M1753="","",IF($I1756=0,IF(M1753=0,0%,100%),M1753/$I1756-1))</f>
        <v/>
      </c>
      <c r="N1754" s="123" t="str">
        <f>IF(N1753="","",IF($I1756=0,IF(N1753=0,0%,100%),N1753/$I1756-1))</f>
        <v/>
      </c>
      <c r="O1754" s="302"/>
      <c r="P1754" s="302"/>
      <c r="Q1754" s="1190" t="str">
        <f>EUconst_CNTR_RelThreshold &amp; Q1756</f>
        <v>RelThresh_HEATprelim_</v>
      </c>
      <c r="R1754" s="694"/>
      <c r="S1754" s="694"/>
      <c r="T1754" s="694"/>
      <c r="U1754" s="1231" t="s">
        <v>1715</v>
      </c>
      <c r="V1754" s="727" t="str">
        <f>IF(J1753="","",ABS(J1754)&gt;15%)</f>
        <v/>
      </c>
      <c r="W1754" s="727" t="str">
        <f>IF(K1753="","",ABS(K1754)&gt;15%)</f>
        <v/>
      </c>
      <c r="X1754" s="727" t="str">
        <f>IF(L1753="","",ABS(L1754)&gt;15%)</f>
        <v/>
      </c>
      <c r="Y1754" s="727" t="str">
        <f>IF(M1753="","",ABS(M1754)&gt;15%)</f>
        <v/>
      </c>
      <c r="Z1754" s="1221" t="str">
        <f>IF(N1753="","",ABS(N1754)&gt;15%)</f>
        <v/>
      </c>
      <c r="AA1754" s="694"/>
      <c r="AB1754" s="694"/>
      <c r="AC1754" s="694"/>
      <c r="AD1754" s="694"/>
      <c r="AE1754" s="694"/>
      <c r="AF1754" s="694"/>
      <c r="AG1754" s="694"/>
      <c r="AH1754" s="694"/>
      <c r="AI1754" s="694"/>
      <c r="AJ1754" s="694"/>
      <c r="AK1754" s="694"/>
      <c r="AL1754" s="694"/>
    </row>
    <row r="1755" spans="1:38" ht="12.75" customHeight="1" x14ac:dyDescent="0.25">
      <c r="A1755" s="729"/>
      <c r="B1755" s="298"/>
      <c r="C1755" s="298"/>
      <c r="D1755" s="1208" t="s">
        <v>7</v>
      </c>
      <c r="E1755" s="1209" t="str">
        <f>Translations!$B$1322</f>
        <v>Предварителна корекция (ако са надвишени относителните прагове)</v>
      </c>
      <c r="F1755" s="1209"/>
      <c r="G1755" s="1209"/>
      <c r="H1755" s="1222"/>
      <c r="I1755" s="1223"/>
      <c r="J1755" s="1224" t="str">
        <f>IF(J1753="","",IF(V1754=FALSE,0%,IF(V1755,J1754,I1761)))</f>
        <v/>
      </c>
      <c r="K1755" s="1225" t="str">
        <f>IF(K1753="","",IF(W1754=FALSE,0%,IF(W1755,K1754,J1761)))</f>
        <v/>
      </c>
      <c r="L1755" s="1225" t="str">
        <f>IF(L1753="","",IF(X1754=FALSE,0%,IF(X1755,L1754,K1761)))</f>
        <v/>
      </c>
      <c r="M1755" s="1225" t="str">
        <f>IF(M1753="","",IF(Y1754=FALSE,0%,IF(Y1755,M1754,L1761)))</f>
        <v/>
      </c>
      <c r="N1755" s="1226" t="str">
        <f>IF(N1753="","",IF(Z1754=FALSE,0%,IF(Z1755,N1754,M1761)))</f>
        <v/>
      </c>
      <c r="O1755" s="302"/>
      <c r="P1755" s="302"/>
      <c r="Q1755" s="729"/>
      <c r="R1755" s="694"/>
      <c r="S1755" s="694"/>
      <c r="T1755" s="694"/>
      <c r="U1755" s="1215" t="s">
        <v>1716</v>
      </c>
      <c r="V1755" s="727" t="str">
        <f>IF(J1753="","",AND(V1754,IF(SUM(I1761)&lt;0,OR(SUM(J1754)&lt;SUM(I1761)-MOD(SUM(I1761),5%),J1754&gt;=SUM(I1761)+5%-MOD(SUM(I1761),5%)),OR(SUM(J1754)&lt;=SUM(I1761)-MOD(SUM(I1761),5%),SUM(J1754)&gt;SUM(I1761)+5%-MOD(SUM(I1761),5%)))))</f>
        <v/>
      </c>
      <c r="W1755" s="727" t="str">
        <f>IF(K1753="","",AND(W1754,IF(SUM(J1761)&lt;0,OR(SUM(K1754)&lt;SUM(J1761)-MOD(SUM(J1761),5%),K1754&gt;=SUM(J1761)+5%-MOD(SUM(J1761),5%)),OR(SUM(K1754)&lt;=SUM(J1761)-MOD(SUM(J1761),5%),SUM(K1754)&gt;SUM(J1761)+5%-MOD(SUM(J1761),5%)))))</f>
        <v/>
      </c>
      <c r="X1755" s="727" t="str">
        <f>IF(L1753="","",AND(X1754,IF(SUM(K1761)&lt;0,OR(SUM(L1754)&lt;SUM(K1761)-MOD(SUM(K1761),5%),L1754&gt;=SUM(K1761)+5%-MOD(SUM(K1761),5%)),OR(SUM(L1754)&lt;=SUM(K1761)-MOD(SUM(K1761),5%),SUM(L1754)&gt;SUM(K1761)+5%-MOD(SUM(K1761),5%)))))</f>
        <v/>
      </c>
      <c r="Y1755" s="727" t="str">
        <f>IF(M1753="","",AND(Y1754,IF(SUM(L1761)&lt;0,OR(SUM(M1754)&lt;SUM(L1761)-MOD(SUM(L1761),5%),M1754&gt;=SUM(L1761)+5%-MOD(SUM(L1761),5%)),OR(SUM(M1754)&lt;=SUM(L1761)-MOD(SUM(L1761),5%),SUM(M1754)&gt;SUM(L1761)+5%-MOD(SUM(L1761),5%)))))</f>
        <v/>
      </c>
      <c r="Z1755" s="1221" t="str">
        <f>IF(N1753="","",AND(Z1754,IF(SUM(M1761)&lt;0,OR(SUM(N1754)&lt;SUM(M1761)-MOD(SUM(M1761),5%),N1754&gt;=SUM(M1761)+5%-MOD(SUM(M1761),5%)),OR(SUM(N1754)&lt;=SUM(M1761)-MOD(SUM(M1761),5%),SUM(N1754)&gt;SUM(M1761)+5%-MOD(SUM(M1761),5%)))))</f>
        <v/>
      </c>
      <c r="AA1755" s="694"/>
      <c r="AB1755" s="694"/>
      <c r="AC1755" s="694"/>
      <c r="AD1755" s="694"/>
      <c r="AE1755" s="694"/>
      <c r="AF1755" s="694"/>
      <c r="AG1755" s="694"/>
      <c r="AH1755" s="694"/>
      <c r="AI1755" s="694"/>
      <c r="AJ1755" s="694"/>
      <c r="AK1755" s="694"/>
      <c r="AL1755" s="729"/>
    </row>
    <row r="1756" spans="1:38" ht="12.75" hidden="1" customHeight="1" x14ac:dyDescent="0.25">
      <c r="A1756" s="729" t="s">
        <v>312</v>
      </c>
      <c r="B1756" s="298"/>
      <c r="C1756" s="298"/>
      <c r="D1756" s="1208"/>
      <c r="E1756" s="1209" t="str">
        <f>Translations!$B$1377</f>
        <v>Предварителна стойност</v>
      </c>
      <c r="F1756" s="1209"/>
      <c r="G1756" s="1209"/>
      <c r="H1756" s="1266" t="str">
        <f>H1753</f>
        <v>t CO2</v>
      </c>
      <c r="I1756" s="1211" t="str">
        <f>IF($I1699="","",IF(AB1699=FALSE,EUconst_NA,IF(V1699&gt;($J$2831-3),SUM(INDEX(H1746:N1746,MATCH(V1699,H1745:N1745,0))*EUconst_HeatBMvalue),SUM(I1753))))</f>
        <v/>
      </c>
      <c r="J1756" s="1212" t="str">
        <f>IF($I1699="","",IF(V1753&lt;2,SUM(V1746),IF(V1753&lt;3,SUM(U1746),IF(V1756="",I1756,V1756))))</f>
        <v/>
      </c>
      <c r="K1756" s="1213" t="str">
        <f>IF($I1699="","",IF(W1753&lt;2,SUM(W1746),IF(W1753&lt;3,SUM(V1746),IF(W1756="",J1756,W1756))))</f>
        <v/>
      </c>
      <c r="L1756" s="1213" t="str">
        <f>IF($I1699="","",IF(X1753&lt;2,SUM(X1746),IF(X1753&lt;3,SUM(W1746),IF(X1756="",K1756,X1756))))</f>
        <v/>
      </c>
      <c r="M1756" s="1213" t="str">
        <f>IF($I1699="","",IF(Y1753&lt;2,SUM(Y1746),IF(Y1753&lt;3,SUM(X1746),IF(Y1756="",L1756,Y1756))))</f>
        <v/>
      </c>
      <c r="N1756" s="1214" t="str">
        <f>IF($I1699="","",IF(Z1753&lt;2,SUM(Z1746),IF(Z1753&lt;3,SUM(Y1746),IF(Z1756="",M1756,Z1756))))</f>
        <v/>
      </c>
      <c r="O1756" s="302"/>
      <c r="P1756" s="302"/>
      <c r="Q1756" s="1190" t="str">
        <f>EUconst_CNTR_HEATprelim &amp; I1699</f>
        <v>HEATprelim_</v>
      </c>
      <c r="R1756" s="694"/>
      <c r="S1756" s="694"/>
      <c r="T1756" s="694"/>
      <c r="U1756" s="1231" t="s">
        <v>1756</v>
      </c>
      <c r="V1756" s="1271" t="str">
        <f>IF(J1753="","",IF(CNTR_ReportingYear&lt;J1752,I1755,IF($I1756=0,J1753,$I1756*(1+J1755))))</f>
        <v/>
      </c>
      <c r="W1756" s="1271" t="str">
        <f>IF(K1753="","",IF(CNTR_ReportingYear&lt;K1752,J1755,IF($I1756=0,K1753,$I1756*(1+K1755))))</f>
        <v/>
      </c>
      <c r="X1756" s="1271" t="str">
        <f>IF(L1753="","",IF(CNTR_ReportingYear&lt;L1752,K1755,IF($I1756=0,L1753,$I1756*(1+L1755))))</f>
        <v/>
      </c>
      <c r="Y1756" s="1271" t="str">
        <f>IF(M1753="","",IF(CNTR_ReportingYear&lt;M1752,L1755,IF($I1756=0,M1753,$I1756*(1+M1755))))</f>
        <v/>
      </c>
      <c r="Z1756" s="1272" t="str">
        <f>IF(N1753="","",IF(CNTR_ReportingYear&lt;N1752,M1755,IF($I1756=0,N1753,$I1756*(1+N1755))))</f>
        <v/>
      </c>
      <c r="AA1756" s="694"/>
      <c r="AB1756" s="694"/>
      <c r="AC1756" s="694"/>
      <c r="AD1756" s="694"/>
      <c r="AE1756" s="694"/>
      <c r="AF1756" s="694"/>
      <c r="AG1756" s="694"/>
      <c r="AH1756" s="694"/>
      <c r="AI1756" s="694"/>
      <c r="AJ1756" s="694"/>
      <c r="AK1756" s="694"/>
      <c r="AL1756" s="729"/>
    </row>
    <row r="1757" spans="1:38" ht="5.15" customHeight="1" x14ac:dyDescent="0.25">
      <c r="A1757" s="729"/>
      <c r="B1757" s="298"/>
      <c r="C1757" s="298"/>
      <c r="D1757" s="1208"/>
      <c r="E1757" s="1199"/>
      <c r="F1757" s="1199"/>
      <c r="G1757" s="1199"/>
      <c r="H1757" s="1199"/>
      <c r="I1757" s="1199"/>
      <c r="J1757" s="1229"/>
      <c r="K1757" s="1229"/>
      <c r="L1757" s="1229"/>
      <c r="M1757" s="1229"/>
      <c r="N1757" s="1230"/>
      <c r="O1757" s="302"/>
      <c r="P1757" s="302"/>
      <c r="Q1757" s="729"/>
      <c r="R1757" s="694"/>
      <c r="S1757" s="694"/>
      <c r="T1757" s="694"/>
      <c r="U1757" s="1231"/>
      <c r="V1757" s="729"/>
      <c r="W1757" s="694"/>
      <c r="X1757" s="694"/>
      <c r="Y1757" s="694"/>
      <c r="Z1757" s="1232"/>
      <c r="AA1757" s="694"/>
      <c r="AB1757" s="694"/>
      <c r="AC1757" s="694"/>
      <c r="AD1757" s="694"/>
      <c r="AE1757" s="694"/>
      <c r="AF1757" s="694"/>
      <c r="AG1757" s="694"/>
      <c r="AH1757" s="694"/>
      <c r="AI1757" s="694"/>
      <c r="AJ1757" s="694"/>
      <c r="AK1757" s="694"/>
      <c r="AL1757" s="729"/>
    </row>
    <row r="1758" spans="1:38" ht="12.75" customHeight="1" x14ac:dyDescent="0.25">
      <c r="A1758" s="729"/>
      <c r="B1758" s="298"/>
      <c r="C1758" s="298"/>
      <c r="D1758" s="1208"/>
      <c r="E1758" s="1233" t="str">
        <f>Translations!$B$1323</f>
        <v>Действителна корекция (база за следващи години)</v>
      </c>
      <c r="F1758" s="1233"/>
      <c r="G1758" s="1233"/>
      <c r="H1758" s="1233"/>
      <c r="I1758" s="1233"/>
      <c r="J1758" s="1202">
        <f>J$2831</f>
        <v>2026</v>
      </c>
      <c r="K1758" s="1203">
        <f>K$2831</f>
        <v>2027</v>
      </c>
      <c r="L1758" s="1203">
        <f>L$2831</f>
        <v>2028</v>
      </c>
      <c r="M1758" s="1203">
        <f>M$2831</f>
        <v>2029</v>
      </c>
      <c r="N1758" s="1204">
        <f>N$2831</f>
        <v>2030</v>
      </c>
      <c r="O1758" s="302"/>
      <c r="P1758" s="302"/>
      <c r="Q1758" s="729"/>
      <c r="R1758" s="694"/>
      <c r="S1758" s="694"/>
      <c r="T1758" s="694"/>
      <c r="U1758" s="1234"/>
      <c r="V1758" s="694"/>
      <c r="W1758" s="694"/>
      <c r="X1758" s="694"/>
      <c r="Y1758" s="694"/>
      <c r="Z1758" s="1232"/>
      <c r="AA1758" s="694"/>
      <c r="AB1758" s="694"/>
      <c r="AC1758" s="694"/>
      <c r="AD1758" s="694"/>
      <c r="AE1758" s="694"/>
      <c r="AF1758" s="694"/>
      <c r="AG1758" s="694"/>
      <c r="AH1758" s="694"/>
      <c r="AI1758" s="694"/>
      <c r="AJ1758" s="694"/>
      <c r="AK1758" s="694"/>
      <c r="AL1758" s="729"/>
    </row>
    <row r="1759" spans="1:38" ht="12.75" customHeight="1" x14ac:dyDescent="0.25">
      <c r="A1759" s="729"/>
      <c r="B1759" s="298"/>
      <c r="C1759" s="298"/>
      <c r="D1759" s="1208" t="s">
        <v>8</v>
      </c>
      <c r="E1759" s="1209" t="str">
        <f>Translations!$B$1515</f>
        <v>изпълнен ли е критерият за &gt;=300 квоти за емисии?</v>
      </c>
      <c r="F1759" s="1209"/>
      <c r="G1759" s="1209"/>
      <c r="H1759" s="1209"/>
      <c r="I1759" s="1209"/>
      <c r="J1759" s="1236" t="str">
        <f>IF($I1699="","",INDEX(K_Summary!J:J,MATCH($Q1759,K_Summary!$P:$P,0)))</f>
        <v/>
      </c>
      <c r="K1759" s="385" t="str">
        <f>IF($I1699="","",INDEX(K_Summary!K:K,MATCH($Q1759,K_Summary!$P:$P,0)))</f>
        <v/>
      </c>
      <c r="L1759" s="385" t="str">
        <f>IF($I1699="","",INDEX(K_Summary!L:L,MATCH($Q1759,K_Summary!$P:$P,0)))</f>
        <v/>
      </c>
      <c r="M1759" s="385" t="str">
        <f>IF($I1699="","",INDEX(K_Summary!M:M,MATCH($Q1759,K_Summary!$P:$P,0)))</f>
        <v/>
      </c>
      <c r="N1759" s="1237" t="str">
        <f>IF($I1699="","",INDEX(K_Summary!N:N,MATCH($Q1759,K_Summary!$P:$P,0)))</f>
        <v/>
      </c>
      <c r="O1759" s="302"/>
      <c r="P1759" s="302"/>
      <c r="Q1759" s="1182" t="str">
        <f>EUconst_CNTR_300EUA&amp;I1699</f>
        <v>EUA300_</v>
      </c>
      <c r="R1759" s="694"/>
      <c r="S1759" s="694"/>
      <c r="T1759" s="694"/>
      <c r="U1759" s="1234"/>
      <c r="V1759" s="694"/>
      <c r="W1759" s="694"/>
      <c r="X1759" s="694"/>
      <c r="Y1759" s="694"/>
      <c r="Z1759" s="1232"/>
      <c r="AA1759" s="694"/>
      <c r="AB1759" s="694"/>
      <c r="AC1759" s="694"/>
      <c r="AD1759" s="694"/>
      <c r="AE1759" s="694"/>
      <c r="AF1759" s="694"/>
      <c r="AG1759" s="694"/>
      <c r="AH1759" s="694"/>
      <c r="AI1759" s="694"/>
      <c r="AJ1759" s="694"/>
      <c r="AK1759" s="694"/>
      <c r="AL1759" s="729"/>
    </row>
    <row r="1760" spans="1:38" ht="5.15" customHeight="1" thickBot="1" x14ac:dyDescent="0.3">
      <c r="A1760" s="729"/>
      <c r="B1760" s="298"/>
      <c r="C1760" s="298"/>
      <c r="D1760" s="1208"/>
      <c r="E1760" s="1199"/>
      <c r="F1760" s="1199"/>
      <c r="G1760" s="1199"/>
      <c r="H1760" s="1199"/>
      <c r="I1760" s="1199"/>
      <c r="J1760" s="1199"/>
      <c r="K1760" s="1199"/>
      <c r="L1760" s="1199"/>
      <c r="M1760" s="1199"/>
      <c r="N1760" s="1238"/>
      <c r="O1760" s="302"/>
      <c r="P1760" s="302"/>
      <c r="Q1760" s="729"/>
      <c r="R1760" s="694"/>
      <c r="S1760" s="694"/>
      <c r="T1760" s="694"/>
      <c r="U1760" s="1231"/>
      <c r="V1760" s="729"/>
      <c r="W1760" s="694"/>
      <c r="X1760" s="694"/>
      <c r="Y1760" s="694"/>
      <c r="Z1760" s="1232"/>
      <c r="AA1760" s="694"/>
      <c r="AB1760" s="694"/>
      <c r="AC1760" s="694"/>
      <c r="AD1760" s="694"/>
      <c r="AE1760" s="694"/>
      <c r="AF1760" s="694"/>
      <c r="AG1760" s="694"/>
      <c r="AH1760" s="694"/>
      <c r="AI1760" s="694"/>
      <c r="AJ1760" s="694"/>
      <c r="AK1760" s="694"/>
      <c r="AL1760" s="729"/>
    </row>
    <row r="1761" spans="1:38" ht="12.75" customHeight="1" thickBot="1" x14ac:dyDescent="0.3">
      <c r="A1761" s="694"/>
      <c r="B1761" s="298"/>
      <c r="C1761" s="298"/>
      <c r="D1761" s="1208" t="s">
        <v>18</v>
      </c>
      <c r="E1761" s="1209" t="str">
        <f>Translations!$B$1324</f>
        <v>Действителна корекция (ако са надвишени всички прагове)</v>
      </c>
      <c r="F1761" s="1209"/>
      <c r="G1761" s="1209"/>
      <c r="H1761" s="1222"/>
      <c r="I1761" s="1239"/>
      <c r="J1761" s="1240" t="str">
        <f>IF(J1759="","",IF(OR(J1759,V1753&lt;1),J1755,I1761))</f>
        <v/>
      </c>
      <c r="K1761" s="1241" t="str">
        <f>IF(K1759="","",IF(OR(K1759,W1753&lt;1),K1755,J1761))</f>
        <v/>
      </c>
      <c r="L1761" s="1241" t="str">
        <f>IF(L1759="","",IF(OR(L1759,X1753&lt;1),L1755,K1761))</f>
        <v/>
      </c>
      <c r="M1761" s="1241" t="str">
        <f>IF(M1759="","",IF(OR(M1759,Y1753&lt;1),M1755,L1761))</f>
        <v/>
      </c>
      <c r="N1761" s="1242" t="str">
        <f>IF(N1759="","",IF(OR(N1759,Z1753&lt;1),N1755,M1761))</f>
        <v/>
      </c>
      <c r="O1761" s="302"/>
      <c r="P1761" s="302"/>
      <c r="Q1761" s="729"/>
      <c r="R1761" s="694"/>
      <c r="S1761" s="694"/>
      <c r="T1761" s="694"/>
      <c r="U1761" s="1231" t="s">
        <v>1718</v>
      </c>
      <c r="V1761" s="1243">
        <f>J1758</f>
        <v>2026</v>
      </c>
      <c r="W1761" s="1243">
        <f>K1758</f>
        <v>2027</v>
      </c>
      <c r="X1761" s="1243">
        <f>L1758</f>
        <v>2028</v>
      </c>
      <c r="Y1761" s="1243">
        <f>M1758</f>
        <v>2029</v>
      </c>
      <c r="Z1761" s="1244">
        <f>N1758</f>
        <v>2030</v>
      </c>
      <c r="AA1761" s="694"/>
      <c r="AB1761" s="694"/>
      <c r="AC1761" s="694"/>
      <c r="AD1761" s="694"/>
      <c r="AE1761" s="694"/>
      <c r="AF1761" s="694"/>
      <c r="AG1761" s="694"/>
      <c r="AH1761" s="694"/>
      <c r="AI1761" s="694"/>
      <c r="AJ1761" s="694"/>
      <c r="AK1761" s="694"/>
      <c r="AL1761" s="729"/>
    </row>
    <row r="1762" spans="1:38" ht="12.75" customHeight="1" thickBot="1" x14ac:dyDescent="0.3">
      <c r="A1762" s="729"/>
      <c r="B1762" s="298"/>
      <c r="C1762" s="298"/>
      <c r="D1762" s="1208" t="s">
        <v>810</v>
      </c>
      <c r="E1762" s="1209" t="str">
        <f>Translations!$B$1325</f>
        <v>Действителна стойност</v>
      </c>
      <c r="F1762" s="1209"/>
      <c r="G1762" s="1209"/>
      <c r="H1762" s="1266" t="str">
        <f>H1753</f>
        <v>t CO2</v>
      </c>
      <c r="I1762" s="1211" t="str">
        <f>I1756</f>
        <v/>
      </c>
      <c r="J1762" s="632" t="str">
        <f>IF($I1699="","",IF(OR($I1762=0,$I1762=EUconst_NA,J1761=""),IF(OR(J1759=TRUE,J1758&lt;=$V1699),J1756,SUM(I1762)),$I1762*(1+SUM(J1761))))</f>
        <v/>
      </c>
      <c r="K1762" s="633" t="str">
        <f>IF($I1699="","",IF(OR($I1762=0,$I1762=EUconst_NA,K1761=""),IF(OR(K1759=TRUE,K1758&lt;=$V1699),K1756,SUM(J1762)),$I1762*(1+SUM(K1761))))</f>
        <v/>
      </c>
      <c r="L1762" s="633" t="str">
        <f>IF($I1699="","",IF(OR($I1762=0,$I1762=EUconst_NA,L1761=""),IF(OR(L1759=TRUE,L1758&lt;=$V1699),L1756,SUM(K1762)),$I1762*(1+SUM(L1761))))</f>
        <v/>
      </c>
      <c r="M1762" s="633" t="str">
        <f>IF($I1699="","",IF(OR($I1762=0,$I1762=EUconst_NA,M1761=""),IF(OR(M1759=TRUE,M1758&lt;=$V1699),M1756,SUM(L1762)),$I1762*(1+SUM(M1761))))</f>
        <v/>
      </c>
      <c r="N1762" s="634" t="str">
        <f>IF($I1699="","",IF(OR($I1762=0,$I1762=EUconst_NA,N1761=""),IF(OR(N1759=TRUE,N1758&lt;=$V1699),N1756,SUM(M1762)),$I1762*(1+SUM(N1761))))</f>
        <v/>
      </c>
      <c r="O1762" s="302"/>
      <c r="P1762" s="302"/>
      <c r="Q1762" s="1190" t="str">
        <f>EUconst_CNTR_HEATfinal &amp; I1699</f>
        <v>HEATfinal_</v>
      </c>
      <c r="R1762" s="694"/>
      <c r="S1762" s="694"/>
      <c r="T1762" s="694"/>
      <c r="U1762" s="1245" t="b">
        <v>0</v>
      </c>
      <c r="V1762" s="1246" t="str">
        <f>IF(V1707,IF(J1759=TRUE,V1754,U1762),"")</f>
        <v/>
      </c>
      <c r="W1762" s="1246" t="str">
        <f>IF(W1707,IF(K1759=TRUE,W1754,V1762),"")</f>
        <v/>
      </c>
      <c r="X1762" s="1246" t="str">
        <f>IF(X1707,IF(L1759=TRUE,X1754,W1762),"")</f>
        <v/>
      </c>
      <c r="Y1762" s="1246" t="str">
        <f>IF(Y1707,IF(M1759=TRUE,Y1754,X1762),"")</f>
        <v/>
      </c>
      <c r="Z1762" s="1247" t="str">
        <f>IF(Z1707,IF(N1759=TRUE,Z1754,Y1762),"")</f>
        <v/>
      </c>
      <c r="AA1762" s="694"/>
      <c r="AB1762" s="694"/>
      <c r="AC1762" s="694"/>
      <c r="AD1762" s="694"/>
      <c r="AE1762" s="694"/>
      <c r="AF1762" s="694"/>
      <c r="AG1762" s="694"/>
      <c r="AH1762" s="694"/>
      <c r="AI1762" s="694"/>
      <c r="AJ1762" s="1174" t="s">
        <v>2033</v>
      </c>
      <c r="AK1762" s="982" t="str">
        <f>IF(OR(ISERROR(J1762),ISERROR(K1762),ISERROR(L1762),ISERROR(M1762),ISERROR(N1762)),EUconst_Error &amp; "BM" &amp; Q1699,"")</f>
        <v/>
      </c>
      <c r="AL1762" s="694"/>
    </row>
    <row r="1763" spans="1:38" ht="5.15" customHeight="1" thickBot="1" x14ac:dyDescent="0.3">
      <c r="A1763" s="694"/>
      <c r="B1763" s="698"/>
      <c r="C1763" s="698"/>
      <c r="D1763" s="1273"/>
      <c r="E1763" s="1274"/>
      <c r="F1763" s="1274"/>
      <c r="G1763" s="1274"/>
      <c r="H1763" s="1274"/>
      <c r="I1763" s="1275"/>
      <c r="J1763" s="1274"/>
      <c r="K1763" s="1274"/>
      <c r="L1763" s="1274"/>
      <c r="M1763" s="1274"/>
      <c r="N1763" s="1276"/>
      <c r="O1763" s="302"/>
      <c r="P1763" s="302"/>
      <c r="Q1763" s="1263"/>
      <c r="R1763" s="694"/>
      <c r="S1763" s="729"/>
      <c r="T1763" s="729"/>
      <c r="U1763" s="694"/>
      <c r="V1763" s="694"/>
      <c r="W1763" s="694"/>
      <c r="X1763" s="694"/>
      <c r="Y1763" s="694"/>
      <c r="Z1763" s="694"/>
      <c r="AA1763" s="694"/>
      <c r="AB1763" s="694"/>
      <c r="AC1763" s="694"/>
      <c r="AD1763" s="694"/>
      <c r="AE1763" s="694"/>
      <c r="AF1763" s="694"/>
      <c r="AG1763" s="694"/>
      <c r="AH1763" s="694"/>
      <c r="AI1763" s="694"/>
      <c r="AJ1763" s="694"/>
      <c r="AK1763" s="694"/>
      <c r="AL1763" s="694"/>
    </row>
    <row r="1764" spans="1:38" ht="5.15" customHeight="1" x14ac:dyDescent="0.25">
      <c r="A1764" s="694"/>
      <c r="B1764" s="698"/>
      <c r="C1764" s="698"/>
      <c r="D1764" s="698"/>
      <c r="E1764" s="698"/>
      <c r="F1764" s="698"/>
      <c r="G1764" s="698"/>
      <c r="H1764" s="698"/>
      <c r="I1764" s="1025"/>
      <c r="J1764" s="698"/>
      <c r="K1764" s="698"/>
      <c r="L1764" s="698"/>
      <c r="M1764" s="698"/>
      <c r="N1764" s="698"/>
      <c r="O1764" s="302"/>
      <c r="P1764" s="302"/>
      <c r="Q1764" s="1263"/>
      <c r="R1764" s="694"/>
      <c r="S1764" s="729"/>
      <c r="T1764" s="729"/>
      <c r="U1764" s="694"/>
      <c r="V1764" s="694"/>
      <c r="W1764" s="694"/>
      <c r="X1764" s="694"/>
      <c r="Y1764" s="694"/>
      <c r="Z1764" s="694"/>
      <c r="AA1764" s="694"/>
      <c r="AB1764" s="694"/>
      <c r="AC1764" s="694"/>
      <c r="AD1764" s="694"/>
      <c r="AE1764" s="694"/>
      <c r="AF1764" s="694"/>
      <c r="AG1764" s="694"/>
      <c r="AH1764" s="694"/>
      <c r="AI1764" s="694"/>
      <c r="AJ1764" s="694"/>
      <c r="AK1764" s="694"/>
      <c r="AL1764" s="694"/>
    </row>
    <row r="1765" spans="1:38" ht="14" x14ac:dyDescent="0.25">
      <c r="A1765" s="694"/>
      <c r="B1765" s="698"/>
      <c r="C1765" s="358"/>
      <c r="D1765" s="2323" t="str">
        <f>Translations!$B$495</f>
        <v>Данни за производството</v>
      </c>
      <c r="E1765" s="2249"/>
      <c r="F1765" s="2249"/>
      <c r="G1765" s="2249"/>
      <c r="H1765" s="2249"/>
      <c r="I1765" s="2249"/>
      <c r="J1765" s="2249"/>
      <c r="K1765" s="2249"/>
      <c r="L1765" s="2249"/>
      <c r="M1765" s="2249"/>
      <c r="N1765" s="2249"/>
      <c r="O1765" s="302"/>
      <c r="P1765" s="302"/>
      <c r="Q1765" s="694"/>
      <c r="R1765" s="694"/>
      <c r="S1765" s="729"/>
      <c r="T1765" s="729"/>
      <c r="U1765" s="694"/>
      <c r="V1765" s="694"/>
      <c r="W1765" s="694"/>
      <c r="X1765" s="694"/>
      <c r="Y1765" s="694"/>
      <c r="Z1765" s="694"/>
      <c r="AA1765" s="694"/>
      <c r="AB1765" s="694"/>
      <c r="AC1765" s="694"/>
      <c r="AD1765" s="694"/>
      <c r="AE1765" s="694"/>
      <c r="AF1765" s="694"/>
      <c r="AG1765" s="694"/>
      <c r="AH1765" s="694"/>
      <c r="AI1765" s="694"/>
      <c r="AJ1765" s="694"/>
      <c r="AK1765" s="694"/>
      <c r="AL1765" s="694"/>
    </row>
    <row r="1766" spans="1:38" ht="5.15" customHeight="1" x14ac:dyDescent="0.25">
      <c r="A1766" s="694"/>
      <c r="B1766" s="298"/>
      <c r="C1766" s="298"/>
      <c r="D1766" s="298"/>
      <c r="E1766" s="298"/>
      <c r="F1766" s="298"/>
      <c r="G1766" s="298"/>
      <c r="H1766" s="298"/>
      <c r="I1766" s="298"/>
      <c r="J1766" s="298"/>
      <c r="K1766" s="298"/>
      <c r="L1766" s="298"/>
      <c r="M1766" s="298"/>
      <c r="N1766" s="298"/>
      <c r="O1766" s="302"/>
      <c r="P1766" s="302"/>
      <c r="Q1766" s="729"/>
      <c r="R1766" s="729"/>
      <c r="S1766" s="729"/>
      <c r="T1766" s="729"/>
      <c r="U1766" s="694"/>
      <c r="V1766" s="694"/>
      <c r="W1766" s="694"/>
      <c r="X1766" s="694"/>
      <c r="Y1766" s="694"/>
      <c r="Z1766" s="694"/>
      <c r="AA1766" s="694"/>
      <c r="AB1766" s="694"/>
      <c r="AC1766" s="694"/>
      <c r="AD1766" s="694"/>
      <c r="AE1766" s="694"/>
      <c r="AF1766" s="694"/>
      <c r="AG1766" s="694"/>
      <c r="AH1766" s="694"/>
      <c r="AI1766" s="694"/>
      <c r="AJ1766" s="694"/>
      <c r="AK1766" s="694"/>
      <c r="AL1766" s="694"/>
    </row>
    <row r="1767" spans="1:38" ht="13" x14ac:dyDescent="0.25">
      <c r="A1767" s="694"/>
      <c r="B1767" s="298"/>
      <c r="C1767" s="300"/>
      <c r="D1767" s="300" t="s">
        <v>54</v>
      </c>
      <c r="E1767" s="2226" t="str">
        <f>Translations!$B$496</f>
        <v>Идентификация на продуктите, включени в тази подинсталация с продуктов показател</v>
      </c>
      <c r="F1767" s="2249"/>
      <c r="G1767" s="2249"/>
      <c r="H1767" s="2249"/>
      <c r="I1767" s="2249"/>
      <c r="J1767" s="2249"/>
      <c r="K1767" s="2249"/>
      <c r="L1767" s="2249"/>
      <c r="M1767" s="2249"/>
      <c r="N1767" s="2249"/>
      <c r="O1767" s="302"/>
      <c r="P1767" s="302"/>
      <c r="Q1767" s="729"/>
      <c r="R1767" s="694"/>
      <c r="S1767" s="729"/>
      <c r="T1767" s="729"/>
      <c r="U1767" s="694"/>
      <c r="V1767" s="694"/>
      <c r="W1767" s="694"/>
      <c r="X1767" s="694"/>
      <c r="Y1767" s="694"/>
      <c r="Z1767" s="694"/>
      <c r="AA1767" s="694"/>
      <c r="AB1767" s="694"/>
      <c r="AC1767" s="694"/>
      <c r="AD1767" s="694"/>
      <c r="AE1767" s="694"/>
      <c r="AF1767" s="694"/>
      <c r="AG1767" s="694"/>
      <c r="AH1767" s="694"/>
      <c r="AI1767" s="694"/>
      <c r="AJ1767" s="694"/>
      <c r="AK1767" s="694"/>
      <c r="AL1767" s="694"/>
    </row>
    <row r="1768" spans="1:38" ht="5.15" customHeight="1" x14ac:dyDescent="0.25">
      <c r="A1768" s="694"/>
      <c r="B1768" s="298"/>
      <c r="C1768" s="302"/>
      <c r="D1768" s="302"/>
      <c r="E1768" s="2358" t="str">
        <f>Translations!$B$1518</f>
        <v xml:space="preserve"> </v>
      </c>
      <c r="F1768" s="2249"/>
      <c r="G1768" s="2249"/>
      <c r="H1768" s="2249"/>
      <c r="I1768" s="2249"/>
      <c r="J1768" s="2249"/>
      <c r="K1768" s="2249"/>
      <c r="L1768" s="2249"/>
      <c r="M1768" s="2249"/>
      <c r="N1768" s="2249"/>
      <c r="O1768" s="302"/>
      <c r="P1768" s="302"/>
      <c r="Q1768" s="729"/>
      <c r="R1768" s="694"/>
      <c r="S1768" s="729"/>
      <c r="T1768" s="729"/>
      <c r="U1768" s="694"/>
      <c r="V1768" s="694"/>
      <c r="W1768" s="694"/>
      <c r="X1768" s="694"/>
      <c r="Y1768" s="694"/>
      <c r="Z1768" s="694"/>
      <c r="AA1768" s="694"/>
      <c r="AB1768" s="694"/>
      <c r="AC1768" s="694"/>
      <c r="AD1768" s="694"/>
      <c r="AE1768" s="694"/>
      <c r="AF1768" s="694"/>
      <c r="AG1768" s="694"/>
      <c r="AH1768" s="694"/>
      <c r="AI1768" s="694"/>
      <c r="AJ1768" s="694"/>
      <c r="AK1768" s="694"/>
      <c r="AL1768" s="694"/>
    </row>
    <row r="1769" spans="1:38" ht="25.5" customHeight="1" x14ac:dyDescent="0.25">
      <c r="A1769" s="694"/>
      <c r="B1769" s="298"/>
      <c r="C1769" s="302"/>
      <c r="D1769" s="302"/>
      <c r="E1769" s="2358" t="str">
        <f>Translations!$B$497</f>
        <v>Кодовете по Продком се въвеждат като низове във вида „nnnnnnnn“, т.е. без точки или други разделителни знаци между тях. Само когато липсва код по Продком, се посочва 4-цифрения код по статистическата класификация на икономическите дейности в Европейския съюз (NACE) във вида „nnnn“.</v>
      </c>
      <c r="F1769" s="2249"/>
      <c r="G1769" s="2249"/>
      <c r="H1769" s="2249"/>
      <c r="I1769" s="2249"/>
      <c r="J1769" s="2249"/>
      <c r="K1769" s="2249"/>
      <c r="L1769" s="2249"/>
      <c r="M1769" s="2249"/>
      <c r="N1769" s="2249"/>
      <c r="O1769" s="302"/>
      <c r="P1769" s="302"/>
      <c r="Q1769" s="729"/>
      <c r="R1769" s="694"/>
      <c r="S1769" s="729"/>
      <c r="T1769" s="729"/>
      <c r="U1769" s="694"/>
      <c r="V1769" s="694"/>
      <c r="W1769" s="694"/>
      <c r="X1769" s="694"/>
      <c r="Y1769" s="694"/>
      <c r="Z1769" s="694"/>
      <c r="AA1769" s="694"/>
      <c r="AB1769" s="694"/>
      <c r="AC1769" s="694"/>
      <c r="AD1769" s="694"/>
      <c r="AE1769" s="694"/>
      <c r="AF1769" s="694"/>
      <c r="AG1769" s="694"/>
      <c r="AH1769" s="694"/>
      <c r="AI1769" s="694"/>
      <c r="AJ1769" s="694"/>
      <c r="AK1769" s="694"/>
      <c r="AL1769" s="694"/>
    </row>
    <row r="1770" spans="1:38" x14ac:dyDescent="0.25">
      <c r="A1770" s="694"/>
      <c r="B1770" s="298"/>
      <c r="C1770" s="302"/>
      <c r="D1770" s="302"/>
      <c r="E1770" s="2358" t="str">
        <f>Translations!$B$498</f>
        <v>Продком списъкът за 2010 г. може да се намери на адрес: http://ec.europa.eu/eurostat/ramon/nomenclatures/index.cfm?TargetUrl=LST_CLS_DLD&amp;StrNom=PRD_2010&amp;StrLanguageCode=EN&amp;StrLayoutCode=HIERARCHIChttp://ec.europa.eu/eurostat/ramon/nomenclatures/index.cfm?TargetUrl=LST_CLS_DLD&amp;StrNom=PRD_2010&amp;StrLanguageCode=EN&amp;StrLayoutCode=HIERARCHIC</v>
      </c>
      <c r="F1770" s="2249"/>
      <c r="G1770" s="2249"/>
      <c r="H1770" s="2249"/>
      <c r="I1770" s="2249"/>
      <c r="J1770" s="2249"/>
      <c r="K1770" s="2249"/>
      <c r="L1770" s="2249"/>
      <c r="M1770" s="2249"/>
      <c r="N1770" s="2249"/>
      <c r="O1770" s="302"/>
      <c r="P1770" s="302"/>
      <c r="Q1770" s="729"/>
      <c r="R1770" s="694"/>
      <c r="S1770" s="729"/>
      <c r="T1770" s="729"/>
      <c r="U1770" s="694"/>
      <c r="V1770" s="694"/>
      <c r="W1770" s="694"/>
      <c r="X1770" s="694"/>
      <c r="Y1770" s="694"/>
      <c r="Z1770" s="694"/>
      <c r="AA1770" s="694"/>
      <c r="AB1770" s="694"/>
      <c r="AC1770" s="694"/>
      <c r="AD1770" s="694"/>
      <c r="AE1770" s="694"/>
      <c r="AF1770" s="694"/>
      <c r="AG1770" s="694"/>
      <c r="AH1770" s="694"/>
      <c r="AI1770" s="694"/>
      <c r="AJ1770" s="694"/>
      <c r="AK1770" s="694"/>
      <c r="AL1770" s="694"/>
    </row>
    <row r="1771" spans="1:38" x14ac:dyDescent="0.25">
      <c r="A1771" s="694"/>
      <c r="B1771" s="298"/>
      <c r="C1771" s="302"/>
      <c r="D1771" s="302"/>
      <c r="E1771" s="2855" t="str">
        <f>Translations!$B$1519</f>
        <v>https://eur-lex.europa.eu/eli/reg/2010/860/oj/bul</v>
      </c>
      <c r="F1771" s="2856"/>
      <c r="G1771" s="2856"/>
      <c r="H1771" s="2856"/>
      <c r="I1771" s="2856"/>
      <c r="J1771" s="2856"/>
      <c r="K1771" s="2856"/>
      <c r="L1771" s="2856"/>
      <c r="M1771" s="2856"/>
      <c r="N1771" s="2856"/>
      <c r="O1771" s="302"/>
      <c r="P1771" s="302"/>
      <c r="Q1771" s="729"/>
      <c r="R1771" s="694"/>
      <c r="S1771" s="729"/>
      <c r="T1771" s="729"/>
      <c r="U1771" s="694"/>
      <c r="V1771" s="694"/>
      <c r="W1771" s="694"/>
      <c r="X1771" s="694"/>
      <c r="Y1771" s="694"/>
      <c r="Z1771" s="694"/>
      <c r="AA1771" s="694"/>
      <c r="AB1771" s="694"/>
      <c r="AC1771" s="694"/>
      <c r="AD1771" s="694"/>
      <c r="AE1771" s="694"/>
      <c r="AF1771" s="694"/>
      <c r="AG1771" s="694"/>
      <c r="AH1771" s="694"/>
      <c r="AI1771" s="694"/>
      <c r="AJ1771" s="694"/>
      <c r="AK1771" s="694"/>
      <c r="AL1771" s="694"/>
    </row>
    <row r="1772" spans="1:38" x14ac:dyDescent="0.25">
      <c r="A1772" s="694"/>
      <c r="B1772" s="298"/>
      <c r="C1772" s="302"/>
      <c r="D1772" s="302"/>
      <c r="E1772" s="2358" t="str">
        <f>Translations!$B$1520</f>
        <v>Кодовете по КН са кодовете съгласно Регламент (ЕИО) № 2658/87, които са на разположение на следния адрес:</v>
      </c>
      <c r="F1772" s="2249"/>
      <c r="G1772" s="2249"/>
      <c r="H1772" s="2249"/>
      <c r="I1772" s="2249"/>
      <c r="J1772" s="2249"/>
      <c r="K1772" s="2249"/>
      <c r="L1772" s="2249"/>
      <c r="M1772" s="2249"/>
      <c r="N1772" s="2249"/>
      <c r="O1772" s="302"/>
      <c r="P1772" s="302"/>
      <c r="Q1772" s="729"/>
      <c r="R1772" s="694"/>
      <c r="S1772" s="729"/>
      <c r="T1772" s="729"/>
      <c r="U1772" s="694"/>
      <c r="V1772" s="694"/>
      <c r="W1772" s="694"/>
      <c r="X1772" s="694"/>
      <c r="Y1772" s="694"/>
      <c r="Z1772" s="694"/>
      <c r="AA1772" s="694"/>
      <c r="AB1772" s="694"/>
      <c r="AC1772" s="694"/>
      <c r="AD1772" s="694"/>
      <c r="AE1772" s="694"/>
      <c r="AF1772" s="694"/>
      <c r="AG1772" s="694"/>
      <c r="AH1772" s="694"/>
      <c r="AI1772" s="694"/>
      <c r="AJ1772" s="694"/>
      <c r="AK1772" s="694"/>
      <c r="AL1772" s="694"/>
    </row>
    <row r="1773" spans="1:38" x14ac:dyDescent="0.25">
      <c r="A1773" s="694"/>
      <c r="B1773" s="298"/>
      <c r="C1773" s="302"/>
      <c r="D1773" s="302"/>
      <c r="E1773" s="2855" t="str">
        <f>Translations!$B$1521</f>
        <v>https://eur-lex.europa.eu/eli/reg/1987/2658/2023-06-17</v>
      </c>
      <c r="F1773" s="2856"/>
      <c r="G1773" s="2856"/>
      <c r="H1773" s="2856"/>
      <c r="I1773" s="2856"/>
      <c r="J1773" s="2856"/>
      <c r="K1773" s="2856"/>
      <c r="L1773" s="2856"/>
      <c r="M1773" s="2856"/>
      <c r="N1773" s="2856"/>
      <c r="O1773" s="302"/>
      <c r="P1773" s="302"/>
      <c r="Q1773" s="729"/>
      <c r="R1773" s="694"/>
      <c r="S1773" s="729"/>
      <c r="T1773" s="729"/>
      <c r="U1773" s="694"/>
      <c r="V1773" s="694"/>
      <c r="W1773" s="694"/>
      <c r="X1773" s="694"/>
      <c r="Y1773" s="694"/>
      <c r="Z1773" s="694"/>
      <c r="AA1773" s="694"/>
      <c r="AB1773" s="694"/>
      <c r="AC1773" s="694"/>
      <c r="AD1773" s="694"/>
      <c r="AE1773" s="694"/>
      <c r="AF1773" s="694"/>
      <c r="AG1773" s="694"/>
      <c r="AH1773" s="694"/>
      <c r="AI1773" s="694"/>
      <c r="AJ1773" s="694"/>
      <c r="AK1773" s="694"/>
      <c r="AL1773" s="694"/>
    </row>
    <row r="1774" spans="1:38" ht="5.15" customHeight="1" x14ac:dyDescent="0.25">
      <c r="A1774" s="694"/>
      <c r="B1774" s="298"/>
      <c r="C1774" s="298"/>
      <c r="D1774" s="298"/>
      <c r="E1774" s="298"/>
      <c r="F1774" s="298"/>
      <c r="G1774" s="298"/>
      <c r="H1774" s="298"/>
      <c r="I1774" s="298"/>
      <c r="J1774" s="298"/>
      <c r="K1774" s="298"/>
      <c r="L1774" s="298"/>
      <c r="M1774" s="298"/>
      <c r="N1774" s="298"/>
      <c r="O1774" s="302"/>
      <c r="P1774" s="302"/>
      <c r="Q1774" s="729"/>
      <c r="R1774" s="729"/>
      <c r="S1774" s="729"/>
      <c r="T1774" s="729"/>
      <c r="U1774" s="694"/>
      <c r="V1774" s="694"/>
      <c r="W1774" s="694"/>
      <c r="X1774" s="694"/>
      <c r="Y1774" s="694"/>
      <c r="Z1774" s="694"/>
      <c r="AA1774" s="694"/>
      <c r="AB1774" s="694"/>
      <c r="AC1774" s="694"/>
      <c r="AD1774" s="694"/>
      <c r="AE1774" s="694"/>
      <c r="AF1774" s="694"/>
      <c r="AG1774" s="694"/>
      <c r="AH1774" s="694"/>
      <c r="AI1774" s="694"/>
      <c r="AJ1774" s="694"/>
      <c r="AK1774" s="694"/>
      <c r="AL1774" s="694"/>
    </row>
    <row r="1775" spans="1:38" ht="13" x14ac:dyDescent="0.25">
      <c r="A1775" s="694"/>
      <c r="B1775" s="298"/>
      <c r="C1775" s="300"/>
      <c r="D1775" s="300" t="s">
        <v>55</v>
      </c>
      <c r="E1775" s="2226" t="str">
        <f>Translations!$B$499</f>
        <v>Индивидуални равнища на производство за продуктите, включени в тази подинсталация с продуктов показател</v>
      </c>
      <c r="F1775" s="2249"/>
      <c r="G1775" s="2249"/>
      <c r="H1775" s="2249"/>
      <c r="I1775" s="2249"/>
      <c r="J1775" s="2249"/>
      <c r="K1775" s="2249"/>
      <c r="L1775" s="2249"/>
      <c r="M1775" s="2249"/>
      <c r="N1775" s="2249"/>
      <c r="O1775" s="302"/>
      <c r="P1775" s="302"/>
      <c r="Q1775" s="729"/>
      <c r="R1775" s="694"/>
      <c r="S1775" s="729"/>
      <c r="T1775" s="729"/>
      <c r="U1775" s="694"/>
      <c r="V1775" s="694"/>
      <c r="W1775" s="694"/>
      <c r="X1775" s="694"/>
      <c r="Y1775" s="694"/>
      <c r="Z1775" s="694"/>
      <c r="AA1775" s="694"/>
      <c r="AB1775" s="694"/>
      <c r="AC1775" s="694"/>
      <c r="AD1775" s="694"/>
      <c r="AE1775" s="694"/>
      <c r="AF1775" s="694"/>
      <c r="AG1775" s="694"/>
      <c r="AH1775" s="694"/>
      <c r="AI1775" s="694"/>
      <c r="AJ1775" s="694"/>
      <c r="AK1775" s="694"/>
      <c r="AL1775" s="694"/>
    </row>
    <row r="1776" spans="1:38" ht="5.15" customHeight="1" x14ac:dyDescent="0.25">
      <c r="A1776" s="694"/>
      <c r="B1776" s="298"/>
      <c r="C1776" s="298"/>
      <c r="D1776" s="302"/>
      <c r="E1776" s="460"/>
      <c r="F1776" s="460"/>
      <c r="G1776" s="460"/>
      <c r="H1776" s="460"/>
      <c r="I1776" s="460"/>
      <c r="J1776" s="329"/>
      <c r="K1776" s="329"/>
      <c r="L1776" s="329"/>
      <c r="M1776" s="302"/>
      <c r="N1776" s="302"/>
      <c r="O1776" s="302"/>
      <c r="P1776" s="302"/>
      <c r="Q1776" s="729"/>
      <c r="R1776" s="694"/>
      <c r="S1776" s="729"/>
      <c r="T1776" s="729"/>
      <c r="U1776" s="694"/>
      <c r="V1776" s="694"/>
      <c r="W1776" s="694"/>
      <c r="X1776" s="694"/>
      <c r="Y1776" s="694"/>
      <c r="Z1776" s="694"/>
      <c r="AA1776" s="694"/>
      <c r="AB1776" s="694"/>
      <c r="AC1776" s="694"/>
      <c r="AD1776" s="694"/>
      <c r="AE1776" s="694"/>
      <c r="AF1776" s="694"/>
      <c r="AG1776" s="694"/>
      <c r="AH1776" s="694"/>
      <c r="AI1776" s="694"/>
      <c r="AJ1776" s="694"/>
      <c r="AK1776" s="694"/>
      <c r="AL1776" s="694"/>
    </row>
    <row r="1777" spans="1:38" ht="25.5" customHeight="1" thickBot="1" x14ac:dyDescent="0.3">
      <c r="A1777" s="694"/>
      <c r="B1777" s="698"/>
      <c r="C1777" s="698"/>
      <c r="D1777" s="1014"/>
      <c r="E1777" s="1277" t="str">
        <f>Translations!$B$1522</f>
        <v>ПРОДКОМ за 2010 г.</v>
      </c>
      <c r="F1777" s="1278" t="str">
        <f>Translations!$B$500</f>
        <v>Име на продукта или групата продукти</v>
      </c>
      <c r="G1777" s="672" t="str">
        <f>EUconst_Unit</f>
        <v>Единица мярка</v>
      </c>
      <c r="H1777" s="391">
        <f t="shared" ref="H1777:N1777" si="2421">H$2831</f>
        <v>2024</v>
      </c>
      <c r="I1777" s="572">
        <f t="shared" si="2421"/>
        <v>2025</v>
      </c>
      <c r="J1777" s="757">
        <f t="shared" si="2421"/>
        <v>2026</v>
      </c>
      <c r="K1777" s="391">
        <f t="shared" si="2421"/>
        <v>2027</v>
      </c>
      <c r="L1777" s="391">
        <f t="shared" si="2421"/>
        <v>2028</v>
      </c>
      <c r="M1777" s="391">
        <f t="shared" si="2421"/>
        <v>2029</v>
      </c>
      <c r="N1777" s="391">
        <f t="shared" si="2421"/>
        <v>2030</v>
      </c>
      <c r="O1777" s="1277" t="str">
        <f>Translations!$B$1523</f>
        <v>Код по КН</v>
      </c>
      <c r="P1777" s="1278"/>
      <c r="Q1777" s="694"/>
      <c r="R1777" s="694"/>
      <c r="S1777" s="729"/>
      <c r="T1777" s="729"/>
      <c r="U1777" s="694"/>
      <c r="V1777" s="694"/>
      <c r="W1777" s="694"/>
      <c r="X1777" s="694"/>
      <c r="Y1777" s="694"/>
      <c r="Z1777" s="1279" t="s">
        <v>737</v>
      </c>
      <c r="AA1777" s="694"/>
      <c r="AB1777" s="694"/>
      <c r="AC1777" s="1178">
        <f t="shared" ref="AC1777" si="2422">H$20</f>
        <v>2024</v>
      </c>
      <c r="AD1777" s="1178">
        <f t="shared" ref="AD1777" si="2423">I$20</f>
        <v>2025</v>
      </c>
      <c r="AE1777" s="1178">
        <f t="shared" ref="AE1777" si="2424">J$20</f>
        <v>2026</v>
      </c>
      <c r="AF1777" s="1178">
        <f t="shared" ref="AF1777" si="2425">K$20</f>
        <v>2027</v>
      </c>
      <c r="AG1777" s="1178">
        <f t="shared" ref="AG1777" si="2426">L$20</f>
        <v>2028</v>
      </c>
      <c r="AH1777" s="1178">
        <f t="shared" ref="AH1777" si="2427">M$20</f>
        <v>2029</v>
      </c>
      <c r="AI1777" s="1178">
        <f t="shared" ref="AI1777" si="2428">N$20</f>
        <v>2030</v>
      </c>
      <c r="AJ1777" s="694"/>
      <c r="AK1777" s="694"/>
      <c r="AL1777" s="694"/>
    </row>
    <row r="1778" spans="1:38" x14ac:dyDescent="0.25">
      <c r="A1778" s="694"/>
      <c r="B1778" s="698"/>
      <c r="C1778" s="698"/>
      <c r="D1778" s="981">
        <v>1</v>
      </c>
      <c r="E1778" s="221"/>
      <c r="F1778" s="109"/>
      <c r="G1778" s="57"/>
      <c r="H1778" s="40"/>
      <c r="I1778" s="46"/>
      <c r="J1778" s="116"/>
      <c r="K1778" s="40"/>
      <c r="L1778" s="40"/>
      <c r="M1778" s="40"/>
      <c r="N1778" s="40"/>
      <c r="O1778" s="221"/>
      <c r="P1778" s="158"/>
      <c r="Q1778" s="694"/>
      <c r="R1778" s="694"/>
      <c r="S1778" s="729"/>
      <c r="T1778" s="729"/>
      <c r="U1778" s="694"/>
      <c r="V1778" s="694"/>
      <c r="W1778" s="694"/>
      <c r="X1778" s="694"/>
      <c r="Y1778" s="694"/>
      <c r="Z1778" s="1280" t="b">
        <f t="shared" ref="Z1778:Z1787" si="2429">AA1778</f>
        <v>0</v>
      </c>
      <c r="AA1778" s="1281" t="b">
        <f t="shared" ref="AA1778:AA1787" si="2430">AB1778</f>
        <v>0</v>
      </c>
      <c r="AB1778" s="1282" t="b">
        <f>AND(AC1778:AI1778)</f>
        <v>0</v>
      </c>
      <c r="AC1778" s="1283" t="b">
        <f t="shared" ref="AC1778:AD1778" si="2431">AC1746</f>
        <v>0</v>
      </c>
      <c r="AD1778" s="1284" t="b">
        <f t="shared" si="2431"/>
        <v>0</v>
      </c>
      <c r="AE1778" s="1284" t="b">
        <f>AE1746</f>
        <v>0</v>
      </c>
      <c r="AF1778" s="1284" t="b">
        <f t="shared" ref="AF1778" si="2432">AF1746</f>
        <v>0</v>
      </c>
      <c r="AG1778" s="1284" t="b">
        <f>AG1746</f>
        <v>0</v>
      </c>
      <c r="AH1778" s="1284" t="b">
        <f t="shared" ref="AH1778:AI1778" si="2433">AH1746</f>
        <v>0</v>
      </c>
      <c r="AI1778" s="1285" t="b">
        <f t="shared" si="2433"/>
        <v>0</v>
      </c>
      <c r="AJ1778" s="1174" t="s">
        <v>2039</v>
      </c>
      <c r="AK1778" s="1176" t="str">
        <f>IF(AND(CNTR_ExistSubInstEntries,COUNTIFS(AC1778:AI1778,FALSE,H1778:N1778,"")&gt;0),EUconst_Error&amp;"BM"&amp;$Q1699,"")</f>
        <v/>
      </c>
      <c r="AL1778" s="694"/>
    </row>
    <row r="1779" spans="1:38" x14ac:dyDescent="0.25">
      <c r="A1779" s="694"/>
      <c r="B1779" s="698"/>
      <c r="C1779" s="698"/>
      <c r="D1779" s="990">
        <f>D1778+1</f>
        <v>2</v>
      </c>
      <c r="E1779" s="222"/>
      <c r="F1779" s="110"/>
      <c r="G1779" s="44"/>
      <c r="H1779" s="43"/>
      <c r="I1779" s="47"/>
      <c r="J1779" s="119"/>
      <c r="K1779" s="43"/>
      <c r="L1779" s="43"/>
      <c r="M1779" s="43"/>
      <c r="N1779" s="43"/>
      <c r="O1779" s="222"/>
      <c r="P1779" s="158"/>
      <c r="Q1779" s="694"/>
      <c r="R1779" s="694"/>
      <c r="S1779" s="729"/>
      <c r="T1779" s="729"/>
      <c r="U1779" s="694"/>
      <c r="V1779" s="694"/>
      <c r="W1779" s="694"/>
      <c r="X1779" s="694"/>
      <c r="Y1779" s="694"/>
      <c r="Z1779" s="1286" t="b">
        <f t="shared" si="2429"/>
        <v>0</v>
      </c>
      <c r="AA1779" s="982" t="b">
        <f t="shared" si="2430"/>
        <v>0</v>
      </c>
      <c r="AB1779" s="1287" t="b">
        <f t="shared" ref="AB1779:AB1787" si="2434">AND(AC1779:AI1779)</f>
        <v>0</v>
      </c>
      <c r="AC1779" s="1288" t="b">
        <f>AC1778</f>
        <v>0</v>
      </c>
      <c r="AD1779" s="982" t="b">
        <f t="shared" ref="AD1779:AI1779" si="2435">AD1778</f>
        <v>0</v>
      </c>
      <c r="AE1779" s="982" t="b">
        <f t="shared" si="2435"/>
        <v>0</v>
      </c>
      <c r="AF1779" s="982" t="b">
        <f t="shared" si="2435"/>
        <v>0</v>
      </c>
      <c r="AG1779" s="982" t="b">
        <f t="shared" si="2435"/>
        <v>0</v>
      </c>
      <c r="AH1779" s="982" t="b">
        <f t="shared" si="2435"/>
        <v>0</v>
      </c>
      <c r="AI1779" s="1287" t="b">
        <f t="shared" si="2435"/>
        <v>0</v>
      </c>
      <c r="AJ1779" s="694"/>
      <c r="AK1779" s="694"/>
      <c r="AL1779" s="694"/>
    </row>
    <row r="1780" spans="1:38" x14ac:dyDescent="0.25">
      <c r="A1780" s="694"/>
      <c r="B1780" s="698"/>
      <c r="C1780" s="698"/>
      <c r="D1780" s="990">
        <f t="shared" ref="D1780:D1787" si="2436">D1779+1</f>
        <v>3</v>
      </c>
      <c r="E1780" s="222"/>
      <c r="F1780" s="111"/>
      <c r="G1780" s="44"/>
      <c r="H1780" s="43"/>
      <c r="I1780" s="47"/>
      <c r="J1780" s="119"/>
      <c r="K1780" s="43"/>
      <c r="L1780" s="43"/>
      <c r="M1780" s="43"/>
      <c r="N1780" s="43"/>
      <c r="O1780" s="222"/>
      <c r="P1780" s="158"/>
      <c r="Q1780" s="694"/>
      <c r="R1780" s="694"/>
      <c r="S1780" s="729"/>
      <c r="T1780" s="729"/>
      <c r="U1780" s="694"/>
      <c r="V1780" s="694"/>
      <c r="W1780" s="694"/>
      <c r="X1780" s="694"/>
      <c r="Y1780" s="694"/>
      <c r="Z1780" s="1286" t="b">
        <f t="shared" si="2429"/>
        <v>0</v>
      </c>
      <c r="AA1780" s="982" t="b">
        <f t="shared" si="2430"/>
        <v>0</v>
      </c>
      <c r="AB1780" s="1287" t="b">
        <f t="shared" si="2434"/>
        <v>0</v>
      </c>
      <c r="AC1780" s="1288" t="b">
        <f t="shared" ref="AC1780:AI1780" si="2437">AC1779</f>
        <v>0</v>
      </c>
      <c r="AD1780" s="982" t="b">
        <f t="shared" si="2437"/>
        <v>0</v>
      </c>
      <c r="AE1780" s="982" t="b">
        <f t="shared" si="2437"/>
        <v>0</v>
      </c>
      <c r="AF1780" s="982" t="b">
        <f t="shared" si="2437"/>
        <v>0</v>
      </c>
      <c r="AG1780" s="982" t="b">
        <f t="shared" si="2437"/>
        <v>0</v>
      </c>
      <c r="AH1780" s="982" t="b">
        <f t="shared" si="2437"/>
        <v>0</v>
      </c>
      <c r="AI1780" s="1287" t="b">
        <f t="shared" si="2437"/>
        <v>0</v>
      </c>
      <c r="AJ1780" s="694"/>
      <c r="AK1780" s="694"/>
      <c r="AL1780" s="694"/>
    </row>
    <row r="1781" spans="1:38" x14ac:dyDescent="0.25">
      <c r="A1781" s="694"/>
      <c r="B1781" s="698"/>
      <c r="C1781" s="698"/>
      <c r="D1781" s="990">
        <f t="shared" si="2436"/>
        <v>4</v>
      </c>
      <c r="E1781" s="222"/>
      <c r="F1781" s="111"/>
      <c r="G1781" s="44"/>
      <c r="H1781" s="43"/>
      <c r="I1781" s="47"/>
      <c r="J1781" s="119"/>
      <c r="K1781" s="43"/>
      <c r="L1781" s="43"/>
      <c r="M1781" s="43"/>
      <c r="N1781" s="43"/>
      <c r="O1781" s="222"/>
      <c r="P1781" s="158"/>
      <c r="Q1781" s="694"/>
      <c r="R1781" s="694"/>
      <c r="S1781" s="729"/>
      <c r="T1781" s="729"/>
      <c r="U1781" s="694"/>
      <c r="V1781" s="694"/>
      <c r="W1781" s="694"/>
      <c r="X1781" s="694"/>
      <c r="Y1781" s="694"/>
      <c r="Z1781" s="1286" t="b">
        <f t="shared" si="2429"/>
        <v>0</v>
      </c>
      <c r="AA1781" s="982" t="b">
        <f t="shared" si="2430"/>
        <v>0</v>
      </c>
      <c r="AB1781" s="1287" t="b">
        <f t="shared" si="2434"/>
        <v>0</v>
      </c>
      <c r="AC1781" s="1288" t="b">
        <f t="shared" ref="AC1781:AI1781" si="2438">AC1780</f>
        <v>0</v>
      </c>
      <c r="AD1781" s="982" t="b">
        <f t="shared" si="2438"/>
        <v>0</v>
      </c>
      <c r="AE1781" s="982" t="b">
        <f t="shared" si="2438"/>
        <v>0</v>
      </c>
      <c r="AF1781" s="982" t="b">
        <f t="shared" si="2438"/>
        <v>0</v>
      </c>
      <c r="AG1781" s="982" t="b">
        <f t="shared" si="2438"/>
        <v>0</v>
      </c>
      <c r="AH1781" s="982" t="b">
        <f t="shared" si="2438"/>
        <v>0</v>
      </c>
      <c r="AI1781" s="1287" t="b">
        <f t="shared" si="2438"/>
        <v>0</v>
      </c>
      <c r="AJ1781" s="694"/>
      <c r="AK1781" s="694"/>
      <c r="AL1781" s="694"/>
    </row>
    <row r="1782" spans="1:38" x14ac:dyDescent="0.25">
      <c r="A1782" s="694"/>
      <c r="B1782" s="698"/>
      <c r="C1782" s="698"/>
      <c r="D1782" s="990">
        <f t="shared" si="2436"/>
        <v>5</v>
      </c>
      <c r="E1782" s="222"/>
      <c r="F1782" s="111"/>
      <c r="G1782" s="44"/>
      <c r="H1782" s="43"/>
      <c r="I1782" s="47"/>
      <c r="J1782" s="119"/>
      <c r="K1782" s="43"/>
      <c r="L1782" s="43"/>
      <c r="M1782" s="43"/>
      <c r="N1782" s="43"/>
      <c r="O1782" s="222"/>
      <c r="P1782" s="158"/>
      <c r="Q1782" s="694"/>
      <c r="R1782" s="694"/>
      <c r="S1782" s="729"/>
      <c r="T1782" s="729"/>
      <c r="U1782" s="694"/>
      <c r="V1782" s="694"/>
      <c r="W1782" s="694"/>
      <c r="X1782" s="694"/>
      <c r="Y1782" s="694"/>
      <c r="Z1782" s="1286" t="b">
        <f t="shared" si="2429"/>
        <v>0</v>
      </c>
      <c r="AA1782" s="982" t="b">
        <f t="shared" si="2430"/>
        <v>0</v>
      </c>
      <c r="AB1782" s="1287" t="b">
        <f t="shared" si="2434"/>
        <v>0</v>
      </c>
      <c r="AC1782" s="1288" t="b">
        <f t="shared" ref="AC1782:AI1782" si="2439">AC1781</f>
        <v>0</v>
      </c>
      <c r="AD1782" s="982" t="b">
        <f t="shared" si="2439"/>
        <v>0</v>
      </c>
      <c r="AE1782" s="982" t="b">
        <f t="shared" si="2439"/>
        <v>0</v>
      </c>
      <c r="AF1782" s="982" t="b">
        <f t="shared" si="2439"/>
        <v>0</v>
      </c>
      <c r="AG1782" s="982" t="b">
        <f t="shared" si="2439"/>
        <v>0</v>
      </c>
      <c r="AH1782" s="982" t="b">
        <f t="shared" si="2439"/>
        <v>0</v>
      </c>
      <c r="AI1782" s="1287" t="b">
        <f t="shared" si="2439"/>
        <v>0</v>
      </c>
      <c r="AJ1782" s="694"/>
      <c r="AK1782" s="694"/>
      <c r="AL1782" s="694"/>
    </row>
    <row r="1783" spans="1:38" x14ac:dyDescent="0.25">
      <c r="A1783" s="694"/>
      <c r="B1783" s="698"/>
      <c r="C1783" s="698"/>
      <c r="D1783" s="990">
        <f t="shared" si="2436"/>
        <v>6</v>
      </c>
      <c r="E1783" s="222"/>
      <c r="F1783" s="111"/>
      <c r="G1783" s="44"/>
      <c r="H1783" s="43"/>
      <c r="I1783" s="47"/>
      <c r="J1783" s="119"/>
      <c r="K1783" s="43"/>
      <c r="L1783" s="43"/>
      <c r="M1783" s="43"/>
      <c r="N1783" s="43"/>
      <c r="O1783" s="222"/>
      <c r="P1783" s="158"/>
      <c r="Q1783" s="694"/>
      <c r="R1783" s="694"/>
      <c r="S1783" s="729"/>
      <c r="T1783" s="729"/>
      <c r="U1783" s="694"/>
      <c r="V1783" s="694"/>
      <c r="W1783" s="694"/>
      <c r="X1783" s="694"/>
      <c r="Y1783" s="694"/>
      <c r="Z1783" s="1286" t="b">
        <f t="shared" si="2429"/>
        <v>0</v>
      </c>
      <c r="AA1783" s="982" t="b">
        <f t="shared" si="2430"/>
        <v>0</v>
      </c>
      <c r="AB1783" s="1287" t="b">
        <f t="shared" si="2434"/>
        <v>0</v>
      </c>
      <c r="AC1783" s="1288" t="b">
        <f t="shared" ref="AC1783:AI1783" si="2440">AC1782</f>
        <v>0</v>
      </c>
      <c r="AD1783" s="982" t="b">
        <f t="shared" si="2440"/>
        <v>0</v>
      </c>
      <c r="AE1783" s="982" t="b">
        <f t="shared" si="2440"/>
        <v>0</v>
      </c>
      <c r="AF1783" s="982" t="b">
        <f t="shared" si="2440"/>
        <v>0</v>
      </c>
      <c r="AG1783" s="982" t="b">
        <f t="shared" si="2440"/>
        <v>0</v>
      </c>
      <c r="AH1783" s="982" t="b">
        <f t="shared" si="2440"/>
        <v>0</v>
      </c>
      <c r="AI1783" s="1287" t="b">
        <f t="shared" si="2440"/>
        <v>0</v>
      </c>
      <c r="AJ1783" s="694"/>
      <c r="AK1783" s="694"/>
      <c r="AL1783" s="694"/>
    </row>
    <row r="1784" spans="1:38" x14ac:dyDescent="0.25">
      <c r="A1784" s="694"/>
      <c r="B1784" s="698"/>
      <c r="C1784" s="698"/>
      <c r="D1784" s="990">
        <f t="shared" si="2436"/>
        <v>7</v>
      </c>
      <c r="E1784" s="222"/>
      <c r="F1784" s="111"/>
      <c r="G1784" s="44"/>
      <c r="H1784" s="43"/>
      <c r="I1784" s="47"/>
      <c r="J1784" s="119"/>
      <c r="K1784" s="43"/>
      <c r="L1784" s="43"/>
      <c r="M1784" s="43"/>
      <c r="N1784" s="43"/>
      <c r="O1784" s="222"/>
      <c r="P1784" s="158"/>
      <c r="Q1784" s="694"/>
      <c r="R1784" s="694"/>
      <c r="S1784" s="729"/>
      <c r="T1784" s="729"/>
      <c r="U1784" s="694"/>
      <c r="V1784" s="694"/>
      <c r="W1784" s="694"/>
      <c r="X1784" s="694"/>
      <c r="Y1784" s="694"/>
      <c r="Z1784" s="1286" t="b">
        <f t="shared" si="2429"/>
        <v>0</v>
      </c>
      <c r="AA1784" s="982" t="b">
        <f t="shared" si="2430"/>
        <v>0</v>
      </c>
      <c r="AB1784" s="1287" t="b">
        <f t="shared" si="2434"/>
        <v>0</v>
      </c>
      <c r="AC1784" s="1288" t="b">
        <f t="shared" ref="AC1784:AI1784" si="2441">AC1783</f>
        <v>0</v>
      </c>
      <c r="AD1784" s="982" t="b">
        <f t="shared" si="2441"/>
        <v>0</v>
      </c>
      <c r="AE1784" s="982" t="b">
        <f t="shared" si="2441"/>
        <v>0</v>
      </c>
      <c r="AF1784" s="982" t="b">
        <f t="shared" si="2441"/>
        <v>0</v>
      </c>
      <c r="AG1784" s="982" t="b">
        <f t="shared" si="2441"/>
        <v>0</v>
      </c>
      <c r="AH1784" s="982" t="b">
        <f t="shared" si="2441"/>
        <v>0</v>
      </c>
      <c r="AI1784" s="1287" t="b">
        <f t="shared" si="2441"/>
        <v>0</v>
      </c>
      <c r="AJ1784" s="694"/>
      <c r="AK1784" s="694"/>
      <c r="AL1784" s="694"/>
    </row>
    <row r="1785" spans="1:38" x14ac:dyDescent="0.25">
      <c r="A1785" s="694"/>
      <c r="B1785" s="698"/>
      <c r="C1785" s="698"/>
      <c r="D1785" s="990">
        <f t="shared" si="2436"/>
        <v>8</v>
      </c>
      <c r="E1785" s="222"/>
      <c r="F1785" s="111"/>
      <c r="G1785" s="44"/>
      <c r="H1785" s="43"/>
      <c r="I1785" s="47"/>
      <c r="J1785" s="119"/>
      <c r="K1785" s="43"/>
      <c r="L1785" s="43"/>
      <c r="M1785" s="43"/>
      <c r="N1785" s="43"/>
      <c r="O1785" s="222"/>
      <c r="P1785" s="158"/>
      <c r="Q1785" s="694"/>
      <c r="R1785" s="694"/>
      <c r="S1785" s="729"/>
      <c r="T1785" s="729"/>
      <c r="U1785" s="694"/>
      <c r="V1785" s="694"/>
      <c r="W1785" s="694"/>
      <c r="X1785" s="694"/>
      <c r="Y1785" s="694"/>
      <c r="Z1785" s="1286" t="b">
        <f t="shared" si="2429"/>
        <v>0</v>
      </c>
      <c r="AA1785" s="982" t="b">
        <f t="shared" si="2430"/>
        <v>0</v>
      </c>
      <c r="AB1785" s="1287" t="b">
        <f t="shared" si="2434"/>
        <v>0</v>
      </c>
      <c r="AC1785" s="1288" t="b">
        <f t="shared" ref="AC1785:AI1785" si="2442">AC1784</f>
        <v>0</v>
      </c>
      <c r="AD1785" s="982" t="b">
        <f t="shared" si="2442"/>
        <v>0</v>
      </c>
      <c r="AE1785" s="982" t="b">
        <f t="shared" si="2442"/>
        <v>0</v>
      </c>
      <c r="AF1785" s="982" t="b">
        <f t="shared" si="2442"/>
        <v>0</v>
      </c>
      <c r="AG1785" s="982" t="b">
        <f t="shared" si="2442"/>
        <v>0</v>
      </c>
      <c r="AH1785" s="982" t="b">
        <f t="shared" si="2442"/>
        <v>0</v>
      </c>
      <c r="AI1785" s="1287" t="b">
        <f t="shared" si="2442"/>
        <v>0</v>
      </c>
      <c r="AJ1785" s="694"/>
      <c r="AK1785" s="694"/>
      <c r="AL1785" s="694"/>
    </row>
    <row r="1786" spans="1:38" x14ac:dyDescent="0.25">
      <c r="A1786" s="694"/>
      <c r="B1786" s="698"/>
      <c r="C1786" s="698"/>
      <c r="D1786" s="990">
        <f t="shared" si="2436"/>
        <v>9</v>
      </c>
      <c r="E1786" s="222"/>
      <c r="F1786" s="111"/>
      <c r="G1786" s="44"/>
      <c r="H1786" s="43"/>
      <c r="I1786" s="47"/>
      <c r="J1786" s="119"/>
      <c r="K1786" s="43"/>
      <c r="L1786" s="43"/>
      <c r="M1786" s="43"/>
      <c r="N1786" s="43"/>
      <c r="O1786" s="222"/>
      <c r="P1786" s="158"/>
      <c r="Q1786" s="694"/>
      <c r="R1786" s="694"/>
      <c r="S1786" s="729"/>
      <c r="T1786" s="729"/>
      <c r="U1786" s="694"/>
      <c r="V1786" s="694"/>
      <c r="W1786" s="694"/>
      <c r="X1786" s="694"/>
      <c r="Y1786" s="694"/>
      <c r="Z1786" s="1286" t="b">
        <f t="shared" si="2429"/>
        <v>0</v>
      </c>
      <c r="AA1786" s="982" t="b">
        <f t="shared" si="2430"/>
        <v>0</v>
      </c>
      <c r="AB1786" s="1287" t="b">
        <f t="shared" si="2434"/>
        <v>0</v>
      </c>
      <c r="AC1786" s="1288" t="b">
        <f t="shared" ref="AC1786:AI1786" si="2443">AC1785</f>
        <v>0</v>
      </c>
      <c r="AD1786" s="982" t="b">
        <f t="shared" si="2443"/>
        <v>0</v>
      </c>
      <c r="AE1786" s="982" t="b">
        <f t="shared" si="2443"/>
        <v>0</v>
      </c>
      <c r="AF1786" s="982" t="b">
        <f t="shared" si="2443"/>
        <v>0</v>
      </c>
      <c r="AG1786" s="982" t="b">
        <f t="shared" si="2443"/>
        <v>0</v>
      </c>
      <c r="AH1786" s="982" t="b">
        <f t="shared" si="2443"/>
        <v>0</v>
      </c>
      <c r="AI1786" s="1287" t="b">
        <f t="shared" si="2443"/>
        <v>0</v>
      </c>
      <c r="AJ1786" s="694"/>
      <c r="AK1786" s="694"/>
      <c r="AL1786" s="694"/>
    </row>
    <row r="1787" spans="1:38" ht="13" thickBot="1" x14ac:dyDescent="0.3">
      <c r="A1787" s="694"/>
      <c r="B1787" s="698"/>
      <c r="C1787" s="698"/>
      <c r="D1787" s="994">
        <f t="shared" si="2436"/>
        <v>10</v>
      </c>
      <c r="E1787" s="223"/>
      <c r="F1787" s="112"/>
      <c r="G1787" s="45"/>
      <c r="H1787" s="38"/>
      <c r="I1787" s="48"/>
      <c r="J1787" s="117"/>
      <c r="K1787" s="38"/>
      <c r="L1787" s="38"/>
      <c r="M1787" s="38"/>
      <c r="N1787" s="38"/>
      <c r="O1787" s="223"/>
      <c r="P1787" s="158"/>
      <c r="Q1787" s="694"/>
      <c r="R1787" s="694"/>
      <c r="S1787" s="729"/>
      <c r="T1787" s="729"/>
      <c r="U1787" s="694"/>
      <c r="V1787" s="694"/>
      <c r="W1787" s="694"/>
      <c r="X1787" s="694"/>
      <c r="Y1787" s="694"/>
      <c r="Z1787" s="1289" t="b">
        <f t="shared" si="2429"/>
        <v>0</v>
      </c>
      <c r="AA1787" s="1290" t="b">
        <f t="shared" si="2430"/>
        <v>0</v>
      </c>
      <c r="AB1787" s="1291" t="b">
        <f t="shared" si="2434"/>
        <v>0</v>
      </c>
      <c r="AC1787" s="1292" t="b">
        <f t="shared" ref="AC1787:AI1787" si="2444">AC1786</f>
        <v>0</v>
      </c>
      <c r="AD1787" s="1290" t="b">
        <f t="shared" si="2444"/>
        <v>0</v>
      </c>
      <c r="AE1787" s="1290" t="b">
        <f t="shared" si="2444"/>
        <v>0</v>
      </c>
      <c r="AF1787" s="1290" t="b">
        <f t="shared" si="2444"/>
        <v>0</v>
      </c>
      <c r="AG1787" s="1290" t="b">
        <f t="shared" si="2444"/>
        <v>0</v>
      </c>
      <c r="AH1787" s="1290" t="b">
        <f t="shared" si="2444"/>
        <v>0</v>
      </c>
      <c r="AI1787" s="1291" t="b">
        <f t="shared" si="2444"/>
        <v>0</v>
      </c>
      <c r="AJ1787" s="694"/>
      <c r="AK1787" s="694"/>
      <c r="AL1787" s="694"/>
    </row>
    <row r="1788" spans="1:38" ht="12.75" customHeight="1" thickBot="1" x14ac:dyDescent="0.3">
      <c r="A1788" s="694"/>
      <c r="B1788" s="698"/>
      <c r="C1788" s="698"/>
      <c r="D1788" s="1293"/>
      <c r="E1788" s="1294" t="str">
        <f>Translations!$B$501</f>
        <v>Сума на равнищата на производство</v>
      </c>
      <c r="F1788" s="1295"/>
      <c r="G1788" s="49"/>
      <c r="H1788" s="1104" t="str">
        <f t="shared" ref="H1788:N1788" si="2445">IF(COUNT(H1778:H1787)&gt;0,SUM(H1778:H1787),"")</f>
        <v/>
      </c>
      <c r="I1788" s="1296" t="str">
        <f t="shared" si="2445"/>
        <v/>
      </c>
      <c r="J1788" s="1297" t="str">
        <f t="shared" si="2445"/>
        <v/>
      </c>
      <c r="K1788" s="1104" t="str">
        <f t="shared" si="2445"/>
        <v/>
      </c>
      <c r="L1788" s="1104" t="str">
        <f t="shared" si="2445"/>
        <v/>
      </c>
      <c r="M1788" s="1104" t="str">
        <f t="shared" si="2445"/>
        <v/>
      </c>
      <c r="N1788" s="1104" t="str">
        <f t="shared" si="2445"/>
        <v/>
      </c>
      <c r="O1788" s="302"/>
      <c r="P1788" s="302"/>
      <c r="Q1788" s="694"/>
      <c r="R1788" s="694"/>
      <c r="S1788" s="729"/>
      <c r="T1788" s="729"/>
      <c r="U1788" s="694"/>
      <c r="V1788" s="694"/>
      <c r="W1788" s="694"/>
      <c r="X1788" s="694"/>
      <c r="Y1788" s="694"/>
      <c r="Z1788" s="694"/>
      <c r="AA1788" s="694"/>
      <c r="AB1788" s="1177" t="b">
        <f>AND(AB1778:AB1787)</f>
        <v>0</v>
      </c>
      <c r="AC1788" s="694"/>
      <c r="AD1788" s="694"/>
      <c r="AE1788" s="694"/>
      <c r="AF1788" s="694"/>
      <c r="AG1788" s="694"/>
      <c r="AH1788" s="694"/>
      <c r="AI1788" s="694"/>
      <c r="AJ1788" s="694"/>
      <c r="AK1788" s="694"/>
      <c r="AL1788" s="694"/>
    </row>
    <row r="1789" spans="1:38" ht="12.75" customHeight="1" thickBot="1" x14ac:dyDescent="0.3">
      <c r="A1789" s="694"/>
      <c r="B1789" s="298"/>
      <c r="C1789" s="298"/>
      <c r="D1789" s="298"/>
      <c r="E1789" s="298"/>
      <c r="F1789" s="298"/>
      <c r="G1789" s="298"/>
      <c r="H1789" s="298"/>
      <c r="I1789" s="298"/>
      <c r="J1789" s="298"/>
      <c r="K1789" s="298"/>
      <c r="L1789" s="298"/>
      <c r="M1789" s="302"/>
      <c r="N1789" s="302"/>
      <c r="O1789" s="302"/>
      <c r="P1789" s="302"/>
      <c r="Q1789" s="729"/>
      <c r="R1789" s="694"/>
      <c r="S1789" s="729"/>
      <c r="T1789" s="729"/>
      <c r="U1789" s="694"/>
      <c r="V1789" s="694"/>
      <c r="W1789" s="694"/>
      <c r="X1789" s="694"/>
      <c r="Y1789" s="694"/>
      <c r="Z1789" s="694"/>
      <c r="AA1789" s="694"/>
      <c r="AB1789" s="694"/>
      <c r="AC1789" s="694"/>
      <c r="AD1789" s="694"/>
      <c r="AE1789" s="694"/>
      <c r="AF1789" s="694"/>
      <c r="AG1789" s="694"/>
      <c r="AH1789" s="694"/>
      <c r="AI1789" s="694"/>
      <c r="AJ1789" s="694"/>
      <c r="AK1789" s="694"/>
      <c r="AL1789" s="694"/>
    </row>
    <row r="1790" spans="1:38" ht="5.15" customHeight="1" x14ac:dyDescent="0.25">
      <c r="A1790" s="694"/>
      <c r="B1790" s="298"/>
      <c r="C1790" s="1298"/>
      <c r="D1790" s="1299"/>
      <c r="E1790" s="1299"/>
      <c r="F1790" s="1299"/>
      <c r="G1790" s="1299"/>
      <c r="H1790" s="1299"/>
      <c r="I1790" s="1299"/>
      <c r="J1790" s="1299"/>
      <c r="K1790" s="1299"/>
      <c r="L1790" s="1299"/>
      <c r="M1790" s="1300"/>
      <c r="N1790" s="1301"/>
      <c r="O1790" s="302"/>
      <c r="P1790" s="302"/>
      <c r="Q1790" s="729"/>
      <c r="R1790" s="694"/>
      <c r="S1790" s="729"/>
      <c r="T1790" s="729"/>
      <c r="U1790" s="694"/>
      <c r="V1790" s="694"/>
      <c r="W1790" s="694"/>
      <c r="X1790" s="694"/>
      <c r="Y1790" s="694"/>
      <c r="Z1790" s="694"/>
      <c r="AA1790" s="694"/>
      <c r="AB1790" s="694"/>
      <c r="AC1790" s="694"/>
      <c r="AD1790" s="694"/>
      <c r="AE1790" s="694"/>
      <c r="AF1790" s="694"/>
      <c r="AG1790" s="694"/>
      <c r="AH1790" s="694"/>
      <c r="AI1790" s="694"/>
      <c r="AJ1790" s="694"/>
      <c r="AK1790" s="694"/>
      <c r="AL1790" s="694"/>
    </row>
    <row r="1791" spans="1:38" ht="15" customHeight="1" x14ac:dyDescent="0.25">
      <c r="A1791" s="694"/>
      <c r="B1791" s="698"/>
      <c r="C1791" s="1302"/>
      <c r="D1791" s="2857" t="str">
        <f>Translations!$B$502</f>
        <v>Данни, необходими за определяне на нивото на подобрение на продуктовите показатели съгласно 10а, параграф 2 от Директивата за СТЕ на ЕС</v>
      </c>
      <c r="E1791" s="2851"/>
      <c r="F1791" s="2851"/>
      <c r="G1791" s="2851"/>
      <c r="H1791" s="2851"/>
      <c r="I1791" s="2851"/>
      <c r="J1791" s="2851"/>
      <c r="K1791" s="2851"/>
      <c r="L1791" s="2851"/>
      <c r="M1791" s="2851"/>
      <c r="N1791" s="2852"/>
      <c r="O1791" s="302"/>
      <c r="P1791" s="302"/>
      <c r="Q1791" s="694"/>
      <c r="R1791" s="694"/>
      <c r="S1791" s="729"/>
      <c r="T1791" s="729"/>
      <c r="U1791" s="694"/>
      <c r="V1791" s="694"/>
      <c r="W1791" s="694"/>
      <c r="X1791" s="694"/>
      <c r="Y1791" s="694"/>
      <c r="Z1791" s="694"/>
      <c r="AA1791" s="694"/>
      <c r="AB1791" s="694"/>
      <c r="AC1791" s="694"/>
      <c r="AD1791" s="694"/>
      <c r="AE1791" s="694"/>
      <c r="AF1791" s="694"/>
      <c r="AG1791" s="694"/>
      <c r="AH1791" s="694"/>
      <c r="AI1791" s="694"/>
      <c r="AJ1791" s="694"/>
      <c r="AK1791" s="694"/>
      <c r="AL1791" s="694"/>
    </row>
    <row r="1792" spans="1:38" ht="5.15" customHeight="1" x14ac:dyDescent="0.25">
      <c r="A1792" s="694"/>
      <c r="B1792" s="698"/>
      <c r="C1792" s="1303"/>
      <c r="D1792" s="1304"/>
      <c r="E1792" s="1304"/>
      <c r="F1792" s="1304"/>
      <c r="G1792" s="1304"/>
      <c r="H1792" s="1304"/>
      <c r="I1792" s="1304"/>
      <c r="J1792" s="1304"/>
      <c r="K1792" s="1304"/>
      <c r="L1792" s="1304"/>
      <c r="M1792" s="1304"/>
      <c r="N1792" s="1305"/>
      <c r="O1792" s="302"/>
      <c r="P1792" s="302"/>
      <c r="Q1792" s="694"/>
      <c r="R1792" s="694"/>
      <c r="S1792" s="729"/>
      <c r="T1792" s="729"/>
      <c r="U1792" s="694"/>
      <c r="V1792" s="694"/>
      <c r="W1792" s="694"/>
      <c r="X1792" s="694"/>
      <c r="Y1792" s="694"/>
      <c r="Z1792" s="694"/>
      <c r="AA1792" s="694"/>
      <c r="AB1792" s="694"/>
      <c r="AC1792" s="694"/>
      <c r="AD1792" s="694"/>
      <c r="AE1792" s="694"/>
      <c r="AF1792" s="694"/>
      <c r="AG1792" s="694"/>
      <c r="AH1792" s="694"/>
      <c r="AI1792" s="694"/>
      <c r="AJ1792" s="694"/>
      <c r="AK1792" s="694"/>
      <c r="AL1792" s="694"/>
    </row>
    <row r="1793" spans="1:38" ht="15" customHeight="1" x14ac:dyDescent="0.25">
      <c r="A1793" s="694"/>
      <c r="B1793" s="698"/>
      <c r="C1793" s="1303"/>
      <c r="D1793" s="2841" t="str">
        <f>EUconst_BMSubinst &amp; ":"</f>
        <v>Подинсталация с продуктов показател:</v>
      </c>
      <c r="E1793" s="2839"/>
      <c r="F1793" s="2839"/>
      <c r="G1793" s="2839"/>
      <c r="H1793" s="2842"/>
      <c r="I1793" s="2843" t="str">
        <f>I1699</f>
        <v/>
      </c>
      <c r="J1793" s="2844"/>
      <c r="K1793" s="2844"/>
      <c r="L1793" s="2844"/>
      <c r="M1793" s="2844"/>
      <c r="N1793" s="2845"/>
      <c r="O1793" s="302"/>
      <c r="P1793" s="302"/>
      <c r="Q1793" s="694"/>
      <c r="R1793" s="694"/>
      <c r="S1793" s="729"/>
      <c r="T1793" s="729"/>
      <c r="U1793" s="694"/>
      <c r="V1793" s="694"/>
      <c r="W1793" s="694"/>
      <c r="X1793" s="694"/>
      <c r="Y1793" s="694"/>
      <c r="Z1793" s="694"/>
      <c r="AA1793" s="694"/>
      <c r="AB1793" s="694"/>
      <c r="AC1793" s="694"/>
      <c r="AD1793" s="694"/>
      <c r="AE1793" s="694"/>
      <c r="AF1793" s="694"/>
      <c r="AG1793" s="694"/>
      <c r="AH1793" s="694"/>
      <c r="AI1793" s="694"/>
      <c r="AJ1793" s="694"/>
      <c r="AK1793" s="694"/>
      <c r="AL1793" s="694"/>
    </row>
    <row r="1794" spans="1:38" ht="5.15" customHeight="1" x14ac:dyDescent="0.25">
      <c r="A1794" s="694"/>
      <c r="B1794" s="698"/>
      <c r="C1794" s="1303"/>
      <c r="D1794" s="1304"/>
      <c r="E1794" s="1304"/>
      <c r="F1794" s="1304"/>
      <c r="G1794" s="1304"/>
      <c r="H1794" s="1304"/>
      <c r="I1794" s="1304"/>
      <c r="J1794" s="1304"/>
      <c r="K1794" s="1304"/>
      <c r="L1794" s="1304"/>
      <c r="M1794" s="1304"/>
      <c r="N1794" s="1305"/>
      <c r="O1794" s="302"/>
      <c r="P1794" s="302"/>
      <c r="Q1794" s="694"/>
      <c r="R1794" s="694"/>
      <c r="S1794" s="729"/>
      <c r="T1794" s="729"/>
      <c r="U1794" s="694"/>
      <c r="V1794" s="694"/>
      <c r="W1794" s="694"/>
      <c r="X1794" s="694"/>
      <c r="Y1794" s="694"/>
      <c r="Z1794" s="694"/>
      <c r="AA1794" s="694"/>
      <c r="AB1794" s="694"/>
      <c r="AC1794" s="694"/>
      <c r="AD1794" s="694"/>
      <c r="AE1794" s="694"/>
      <c r="AF1794" s="694"/>
      <c r="AG1794" s="694"/>
      <c r="AH1794" s="694"/>
      <c r="AI1794" s="694"/>
      <c r="AJ1794" s="694"/>
      <c r="AK1794" s="694"/>
      <c r="AL1794" s="694"/>
    </row>
    <row r="1795" spans="1:38" ht="30" customHeight="1" x14ac:dyDescent="0.25">
      <c r="A1795" s="694"/>
      <c r="B1795" s="298"/>
      <c r="C1795" s="1302"/>
      <c r="D1795" s="1306"/>
      <c r="E1795" s="2846" t="str">
        <f>Translations!$B$503</f>
        <v>В този подраздел се обхваща разпределението на емисии по пораждащи емисии потоци, източници на емисии, получена или подадена измерима топлинна енергия и отпадни газове, включително загубите на топлинна енергия съгласно раздел 10 от приложение VII към ПБР.</v>
      </c>
      <c r="F1795" s="2846"/>
      <c r="G1795" s="2846"/>
      <c r="H1795" s="2846"/>
      <c r="I1795" s="2846"/>
      <c r="J1795" s="2846"/>
      <c r="K1795" s="2846"/>
      <c r="L1795" s="2846"/>
      <c r="M1795" s="2846"/>
      <c r="N1795" s="2847"/>
      <c r="O1795" s="302"/>
      <c r="P1795" s="302"/>
      <c r="Q1795" s="729"/>
      <c r="R1795" s="694"/>
      <c r="S1795" s="694"/>
      <c r="T1795" s="694"/>
      <c r="U1795" s="694"/>
      <c r="V1795" s="694"/>
      <c r="W1795" s="694"/>
      <c r="X1795" s="694"/>
      <c r="Y1795" s="694"/>
      <c r="Z1795" s="694"/>
      <c r="AA1795" s="694"/>
      <c r="AB1795" s="694"/>
      <c r="AC1795" s="694"/>
      <c r="AD1795" s="694"/>
      <c r="AE1795" s="694"/>
      <c r="AF1795" s="694"/>
      <c r="AG1795" s="694"/>
      <c r="AH1795" s="694"/>
      <c r="AI1795" s="694"/>
      <c r="AJ1795" s="694"/>
      <c r="AK1795" s="694"/>
      <c r="AL1795" s="694"/>
    </row>
    <row r="1796" spans="1:38" ht="30" customHeight="1" x14ac:dyDescent="0.25">
      <c r="A1796" s="694"/>
      <c r="B1796" s="298"/>
      <c r="C1796" s="1302"/>
      <c r="D1796" s="1306"/>
      <c r="E1796" s="2846" t="str">
        <f>Translations!$B$504</f>
        <v xml:space="preserve">Моля, имайте предвид, че въпреки дадените известни насоки по всяка от точките по-долу трябва да потърсите допълнителна информация в обяснителна бележка № 5 („Мониторинг и докладване във връзка с ПБР“), която съдържа и примери. </v>
      </c>
      <c r="F1796" s="2846"/>
      <c r="G1796" s="2846"/>
      <c r="H1796" s="2846"/>
      <c r="I1796" s="2846"/>
      <c r="J1796" s="2846"/>
      <c r="K1796" s="2846"/>
      <c r="L1796" s="2846"/>
      <c r="M1796" s="2846"/>
      <c r="N1796" s="2811"/>
      <c r="O1796" s="302"/>
      <c r="P1796" s="302"/>
      <c r="Q1796" s="729"/>
      <c r="R1796" s="694"/>
      <c r="S1796" s="694"/>
      <c r="T1796" s="694"/>
      <c r="U1796" s="694"/>
      <c r="V1796" s="694"/>
      <c r="W1796" s="694"/>
      <c r="X1796" s="694"/>
      <c r="Y1796" s="694"/>
      <c r="Z1796" s="694"/>
      <c r="AA1796" s="694"/>
      <c r="AB1796" s="694"/>
      <c r="AC1796" s="694"/>
      <c r="AD1796" s="694"/>
      <c r="AE1796" s="694"/>
      <c r="AF1796" s="694"/>
      <c r="AG1796" s="694"/>
      <c r="AH1796" s="694"/>
      <c r="AI1796" s="694"/>
      <c r="AJ1796" s="694"/>
      <c r="AK1796" s="694"/>
      <c r="AL1796" s="694"/>
    </row>
    <row r="1797" spans="1:38" ht="12.75" customHeight="1" x14ac:dyDescent="0.25">
      <c r="A1797" s="694"/>
      <c r="B1797" s="298"/>
      <c r="C1797" s="1302"/>
      <c r="D1797" s="1306"/>
      <c r="E1797" s="2846" t="str">
        <f>Translations!$B$505</f>
        <v>Можете да изтеглите насоките на адрес: https://ec.europa.eu/clima/policies/ets/allowances_en#tab-0-1</v>
      </c>
      <c r="F1797" s="2240"/>
      <c r="G1797" s="2240"/>
      <c r="H1797" s="2240"/>
      <c r="I1797" s="2240"/>
      <c r="J1797" s="2240"/>
      <c r="K1797" s="2240"/>
      <c r="L1797" s="2240"/>
      <c r="M1797" s="2240"/>
      <c r="N1797" s="2811"/>
      <c r="O1797" s="302"/>
      <c r="P1797" s="302"/>
      <c r="Q1797" s="729"/>
      <c r="R1797" s="694"/>
      <c r="S1797" s="694"/>
      <c r="T1797" s="694"/>
      <c r="U1797" s="694"/>
      <c r="V1797" s="694"/>
      <c r="W1797" s="694"/>
      <c r="X1797" s="694"/>
      <c r="Y1797" s="694"/>
      <c r="Z1797" s="694"/>
      <c r="AA1797" s="694"/>
      <c r="AB1797" s="694"/>
      <c r="AC1797" s="694"/>
      <c r="AD1797" s="694"/>
      <c r="AE1797" s="694"/>
      <c r="AF1797" s="694"/>
      <c r="AG1797" s="694"/>
      <c r="AH1797" s="694"/>
      <c r="AI1797" s="694"/>
      <c r="AJ1797" s="694"/>
      <c r="AK1797" s="694"/>
      <c r="AL1797" s="694"/>
    </row>
    <row r="1798" spans="1:38" ht="15" customHeight="1" x14ac:dyDescent="0.25">
      <c r="A1798" s="694"/>
      <c r="B1798" s="298"/>
      <c r="C1798" s="1302"/>
      <c r="D1798" s="1306"/>
      <c r="E1798" s="2848" t="str">
        <f t="shared" ref="E1798" si="2446">$E$674</f>
        <v>https://climate.ec.europa.eu/eu-action/carbon-markets/eu-emissions-trading-system-eu-ets/free-allocation/about-free-allocation_en</v>
      </c>
      <c r="F1798" s="2848"/>
      <c r="G1798" s="2848"/>
      <c r="H1798" s="2848"/>
      <c r="I1798" s="2848"/>
      <c r="J1798" s="2848"/>
      <c r="K1798" s="2848"/>
      <c r="L1798" s="2848"/>
      <c r="M1798" s="2848"/>
      <c r="N1798" s="2827"/>
      <c r="O1798" s="302"/>
      <c r="P1798" s="302"/>
      <c r="Q1798" s="729"/>
      <c r="R1798" s="694"/>
      <c r="S1798" s="694"/>
      <c r="T1798" s="694"/>
      <c r="U1798" s="694"/>
      <c r="V1798" s="694"/>
      <c r="W1798" s="694"/>
      <c r="X1798" s="694"/>
      <c r="Y1798" s="694"/>
      <c r="Z1798" s="694"/>
      <c r="AA1798" s="694"/>
      <c r="AB1798" s="694"/>
      <c r="AC1798" s="694"/>
      <c r="AD1798" s="694"/>
      <c r="AE1798" s="694"/>
      <c r="AF1798" s="694"/>
      <c r="AG1798" s="694"/>
      <c r="AH1798" s="694"/>
      <c r="AI1798" s="694"/>
      <c r="AJ1798" s="694"/>
      <c r="AK1798" s="694"/>
      <c r="AL1798" s="694"/>
    </row>
    <row r="1799" spans="1:38" ht="5.15" customHeight="1" x14ac:dyDescent="0.25">
      <c r="A1799" s="694"/>
      <c r="B1799" s="698"/>
      <c r="C1799" s="1303"/>
      <c r="D1799" s="1304"/>
      <c r="E1799" s="1304"/>
      <c r="F1799" s="1304"/>
      <c r="G1799" s="1304"/>
      <c r="H1799" s="1304"/>
      <c r="I1799" s="1304"/>
      <c r="J1799" s="1304"/>
      <c r="K1799" s="1304"/>
      <c r="L1799" s="1304"/>
      <c r="M1799" s="1304"/>
      <c r="N1799" s="1305"/>
      <c r="O1799" s="302"/>
      <c r="P1799" s="302"/>
      <c r="Q1799" s="694"/>
      <c r="R1799" s="694"/>
      <c r="S1799" s="729"/>
      <c r="T1799" s="729"/>
      <c r="U1799" s="694"/>
      <c r="V1799" s="694"/>
      <c r="W1799" s="694"/>
      <c r="X1799" s="694"/>
      <c r="Y1799" s="694"/>
      <c r="Z1799" s="694"/>
      <c r="AA1799" s="694"/>
      <c r="AB1799" s="694"/>
      <c r="AC1799" s="694"/>
      <c r="AD1799" s="694"/>
      <c r="AE1799" s="694"/>
      <c r="AF1799" s="694"/>
      <c r="AG1799" s="694"/>
      <c r="AH1799" s="694"/>
      <c r="AI1799" s="694"/>
      <c r="AJ1799" s="694"/>
      <c r="AK1799" s="694"/>
      <c r="AL1799" s="694"/>
    </row>
    <row r="1800" spans="1:38" ht="15" customHeight="1" x14ac:dyDescent="0.25">
      <c r="A1800" s="694"/>
      <c r="B1800" s="298"/>
      <c r="C1800" s="1302"/>
      <c r="D1800" s="1306"/>
      <c r="E1800" s="2849" t="str">
        <f>Translations!$B$506</f>
        <v>При въвеждане на данните по-долу емисиите, които могат да бъдат зададени, са изчислени в раздел K.III.2 в листа за обобщение.</v>
      </c>
      <c r="F1800" s="2849"/>
      <c r="G1800" s="2849"/>
      <c r="H1800" s="2849"/>
      <c r="I1800" s="2849"/>
      <c r="J1800" s="2849"/>
      <c r="K1800" s="2849"/>
      <c r="L1800" s="2849"/>
      <c r="M1800" s="2849"/>
      <c r="N1800" s="2827"/>
      <c r="O1800" s="302"/>
      <c r="P1800" s="302"/>
      <c r="Q1800" s="729"/>
      <c r="R1800" s="694"/>
      <c r="S1800" s="694"/>
      <c r="T1800" s="694"/>
      <c r="U1800" s="694"/>
      <c r="V1800" s="694"/>
      <c r="W1800" s="694"/>
      <c r="X1800" s="694"/>
      <c r="Y1800" s="694"/>
      <c r="Z1800" s="694"/>
      <c r="AA1800" s="694"/>
      <c r="AB1800" s="694"/>
      <c r="AC1800" s="694"/>
      <c r="AD1800" s="694"/>
      <c r="AE1800" s="694"/>
      <c r="AF1800" s="694"/>
      <c r="AG1800" s="694"/>
      <c r="AH1800" s="694"/>
      <c r="AI1800" s="694"/>
      <c r="AJ1800" s="694"/>
      <c r="AK1800" s="694"/>
      <c r="AL1800" s="694"/>
    </row>
    <row r="1801" spans="1:38" ht="5.15" customHeight="1" x14ac:dyDescent="0.25">
      <c r="A1801" s="694"/>
      <c r="B1801" s="698"/>
      <c r="C1801" s="1303"/>
      <c r="D1801" s="1304"/>
      <c r="E1801" s="1304"/>
      <c r="F1801" s="1304"/>
      <c r="G1801" s="1304"/>
      <c r="H1801" s="1304"/>
      <c r="I1801" s="1304"/>
      <c r="J1801" s="1304"/>
      <c r="K1801" s="1304"/>
      <c r="L1801" s="1304"/>
      <c r="M1801" s="1304"/>
      <c r="N1801" s="1305"/>
      <c r="O1801" s="302"/>
      <c r="P1801" s="302"/>
      <c r="Q1801" s="694"/>
      <c r="R1801" s="694"/>
      <c r="S1801" s="729"/>
      <c r="T1801" s="729"/>
      <c r="U1801" s="694"/>
      <c r="V1801" s="694"/>
      <c r="W1801" s="694"/>
      <c r="X1801" s="694"/>
      <c r="Y1801" s="694"/>
      <c r="Z1801" s="694"/>
      <c r="AA1801" s="694"/>
      <c r="AB1801" s="694"/>
      <c r="AC1801" s="694"/>
      <c r="AD1801" s="694"/>
      <c r="AE1801" s="694"/>
      <c r="AF1801" s="694"/>
      <c r="AG1801" s="694"/>
      <c r="AH1801" s="694"/>
      <c r="AI1801" s="694"/>
      <c r="AJ1801" s="694"/>
      <c r="AK1801" s="694"/>
      <c r="AL1801" s="694"/>
    </row>
    <row r="1802" spans="1:38" ht="12.75" customHeight="1" x14ac:dyDescent="0.25">
      <c r="A1802" s="694"/>
      <c r="B1802" s="298"/>
      <c r="C1802" s="1302"/>
      <c r="D1802" s="1307" t="s">
        <v>273</v>
      </c>
      <c r="E1802" s="2850" t="str">
        <f>Translations!$B$507</f>
        <v>Емисии, които могат се зададат пряко (DirEm* (пораждащи емисии потоци от плана за мониторинг)) на тази подинсталация</v>
      </c>
      <c r="F1802" s="2851"/>
      <c r="G1802" s="2851"/>
      <c r="H1802" s="2851"/>
      <c r="I1802" s="2851"/>
      <c r="J1802" s="2851"/>
      <c r="K1802" s="2851"/>
      <c r="L1802" s="2851"/>
      <c r="M1802" s="2851"/>
      <c r="N1802" s="2852"/>
      <c r="O1802" s="302"/>
      <c r="P1802" s="302"/>
      <c r="Q1802" s="729"/>
      <c r="R1802" s="694"/>
      <c r="S1802" s="729"/>
      <c r="T1802" s="729"/>
      <c r="U1802" s="694"/>
      <c r="V1802" s="694"/>
      <c r="W1802" s="694"/>
      <c r="X1802" s="694"/>
      <c r="Y1802" s="694"/>
      <c r="Z1802" s="694"/>
      <c r="AA1802" s="694"/>
      <c r="AB1802" s="694"/>
      <c r="AC1802" s="694"/>
      <c r="AD1802" s="694"/>
      <c r="AE1802" s="694"/>
      <c r="AF1802" s="694"/>
      <c r="AG1802" s="694"/>
      <c r="AH1802" s="694"/>
      <c r="AI1802" s="694"/>
      <c r="AJ1802" s="694"/>
      <c r="AK1802" s="694"/>
      <c r="AL1802" s="694"/>
    </row>
    <row r="1803" spans="1:38" ht="12.75" customHeight="1" x14ac:dyDescent="0.25">
      <c r="A1803" s="694"/>
      <c r="B1803" s="298"/>
      <c r="C1803" s="1302"/>
      <c r="D1803" s="625"/>
      <c r="E1803" s="2853" t="str">
        <f>Translations!$B$508</f>
        <v>Посочените тук данни ще се отразят на емисиите, които могат да бъдат зададени съгласно раздел 10.1.1 от приложение VII към ПБР.</v>
      </c>
      <c r="F1803" s="2850"/>
      <c r="G1803" s="2850"/>
      <c r="H1803" s="2850"/>
      <c r="I1803" s="2850"/>
      <c r="J1803" s="2850"/>
      <c r="K1803" s="2850"/>
      <c r="L1803" s="2850"/>
      <c r="M1803" s="2850"/>
      <c r="N1803" s="2854"/>
      <c r="O1803" s="302"/>
      <c r="P1803" s="302"/>
      <c r="Q1803" s="729"/>
      <c r="R1803" s="694"/>
      <c r="S1803" s="729"/>
      <c r="T1803" s="729"/>
      <c r="U1803" s="694"/>
      <c r="V1803" s="694"/>
      <c r="W1803" s="694"/>
      <c r="X1803" s="694"/>
      <c r="Y1803" s="694"/>
      <c r="Z1803" s="694"/>
      <c r="AA1803" s="694"/>
      <c r="AB1803" s="694"/>
      <c r="AC1803" s="694"/>
      <c r="AD1803" s="694"/>
      <c r="AE1803" s="694"/>
      <c r="AF1803" s="694"/>
      <c r="AG1803" s="694"/>
      <c r="AH1803" s="694"/>
      <c r="AI1803" s="694"/>
      <c r="AJ1803" s="694"/>
      <c r="AK1803" s="694"/>
      <c r="AL1803" s="694"/>
    </row>
    <row r="1804" spans="1:38" ht="12.75" customHeight="1" x14ac:dyDescent="0.25">
      <c r="A1804" s="694"/>
      <c r="B1804" s="298"/>
      <c r="C1804" s="1302"/>
      <c r="D1804" s="1306"/>
      <c r="E1804" s="2836" t="str">
        <f>Translations!$B$509</f>
        <v>Моля, въведете тук емисиите, които могат да се зададат пряко (DirEm* (пораждащи емисии потоци от плана за мониторинг)) на тази подинсталация, като се имат предвид следните уговорки:</v>
      </c>
      <c r="F1804" s="2836"/>
      <c r="G1804" s="2836"/>
      <c r="H1804" s="2836"/>
      <c r="I1804" s="2836"/>
      <c r="J1804" s="2836"/>
      <c r="K1804" s="2836"/>
      <c r="L1804" s="2836"/>
      <c r="M1804" s="2836"/>
      <c r="N1804" s="2837"/>
      <c r="O1804" s="302"/>
      <c r="P1804" s="302"/>
      <c r="Q1804" s="729"/>
      <c r="R1804" s="694"/>
      <c r="S1804" s="729"/>
      <c r="T1804" s="694"/>
      <c r="U1804" s="694"/>
      <c r="V1804" s="694"/>
      <c r="W1804" s="694"/>
      <c r="X1804" s="694"/>
      <c r="Y1804" s="694"/>
      <c r="Z1804" s="694"/>
      <c r="AA1804" s="694"/>
      <c r="AB1804" s="694"/>
      <c r="AC1804" s="694"/>
      <c r="AD1804" s="694"/>
      <c r="AE1804" s="694"/>
      <c r="AF1804" s="694"/>
      <c r="AG1804" s="694"/>
      <c r="AH1804" s="694"/>
      <c r="AI1804" s="694"/>
      <c r="AJ1804" s="694"/>
      <c r="AK1804" s="694"/>
      <c r="AL1804" s="694"/>
    </row>
    <row r="1805" spans="1:38" ht="25.5" customHeight="1" x14ac:dyDescent="0.25">
      <c r="A1805" s="694"/>
      <c r="B1805" s="298"/>
      <c r="C1805" s="1302"/>
      <c r="D1805" s="1306"/>
      <c r="E1805" s="1308" t="s">
        <v>1052</v>
      </c>
      <c r="F1805" s="2838" t="str">
        <f>Translations!$B$510</f>
        <v>„емисиите, които могат да се зададат пряко“, се следят в съответствие с плана за мониторинг, одобрен съгласно Регламента относно мониторинга и докладването (РМД), т.е. като се отчитат емисиите, получени по методики, основани на изчисления (като се използват пораждащите емисии потоци), по базиращи се на измервания методики (БИМ), както и по подходи без подреждане („fall-backs“).</v>
      </c>
      <c r="G1805" s="2839"/>
      <c r="H1805" s="2839"/>
      <c r="I1805" s="2839"/>
      <c r="J1805" s="2839"/>
      <c r="K1805" s="2839"/>
      <c r="L1805" s="2839"/>
      <c r="M1805" s="2839"/>
      <c r="N1805" s="2840"/>
      <c r="O1805" s="302"/>
      <c r="P1805" s="302"/>
      <c r="Q1805" s="729"/>
      <c r="R1805" s="694"/>
      <c r="S1805" s="729"/>
      <c r="T1805" s="694"/>
      <c r="U1805" s="694"/>
      <c r="V1805" s="694"/>
      <c r="W1805" s="694"/>
      <c r="X1805" s="694"/>
      <c r="Y1805" s="694"/>
      <c r="Z1805" s="694"/>
      <c r="AA1805" s="694"/>
      <c r="AB1805" s="694"/>
      <c r="AC1805" s="694"/>
      <c r="AD1805" s="694"/>
      <c r="AE1805" s="694"/>
      <c r="AF1805" s="694"/>
      <c r="AG1805" s="694"/>
      <c r="AH1805" s="694"/>
      <c r="AI1805" s="694"/>
      <c r="AJ1805" s="694"/>
      <c r="AK1805" s="694"/>
      <c r="AL1805" s="694"/>
    </row>
    <row r="1806" spans="1:38" ht="38.25" customHeight="1" x14ac:dyDescent="0.25">
      <c r="A1806" s="694"/>
      <c r="B1806" s="298"/>
      <c r="C1806" s="1302"/>
      <c r="D1806" s="1306"/>
      <c r="E1806" s="1308"/>
      <c r="F1806" s="2810" t="str">
        <f>Translations!$B$511</f>
        <v>В някои случая обаче в този раздел „емисиите, които могат да се зададат пряко“, не са същите като отчетените съгласно РМД. Такива случаи са например пораждащи емисии потоци, използвани за производство на измерима топлинна енергия, отпадни газове и др. С други думи, трябва да попълните разделите по-долу много внимателно и да спазите строго инструкциите, за да се избегнат двойно отчитане или пропуски.</v>
      </c>
      <c r="G1806" s="2240"/>
      <c r="H1806" s="2240"/>
      <c r="I1806" s="2240"/>
      <c r="J1806" s="2240"/>
      <c r="K1806" s="2240"/>
      <c r="L1806" s="2240"/>
      <c r="M1806" s="2240"/>
      <c r="N1806" s="2811"/>
      <c r="O1806" s="302"/>
      <c r="P1806" s="302"/>
      <c r="Q1806" s="729"/>
      <c r="R1806" s="694"/>
      <c r="S1806" s="729"/>
      <c r="T1806" s="694"/>
      <c r="U1806" s="694"/>
      <c r="V1806" s="694"/>
      <c r="W1806" s="694"/>
      <c r="X1806" s="694"/>
      <c r="Y1806" s="694"/>
      <c r="Z1806" s="694"/>
      <c r="AA1806" s="694"/>
      <c r="AB1806" s="694"/>
      <c r="AC1806" s="694"/>
      <c r="AD1806" s="694"/>
      <c r="AE1806" s="694"/>
      <c r="AF1806" s="694"/>
      <c r="AG1806" s="694"/>
      <c r="AH1806" s="694"/>
      <c r="AI1806" s="694"/>
      <c r="AJ1806" s="694"/>
      <c r="AK1806" s="694"/>
      <c r="AL1806" s="694"/>
    </row>
    <row r="1807" spans="1:38" ht="12.75" customHeight="1" x14ac:dyDescent="0.25">
      <c r="A1807" s="694"/>
      <c r="B1807" s="298"/>
      <c r="C1807" s="1302"/>
      <c r="D1807" s="1306"/>
      <c r="E1807" s="1308" t="s">
        <v>1052</v>
      </c>
      <c r="F1807" s="2838" t="str">
        <f>Translations!$B$512</f>
        <v xml:space="preserve">Измерима топлинна енергия: в случай че топлинната енергия е произведена изключително за една подинсталация, емисиите могат да се зададат пряко тук чрез емисиите за горивата. </v>
      </c>
      <c r="G1807" s="2839"/>
      <c r="H1807" s="2839"/>
      <c r="I1807" s="2839"/>
      <c r="J1807" s="2839"/>
      <c r="K1807" s="2839"/>
      <c r="L1807" s="2839"/>
      <c r="M1807" s="2839"/>
      <c r="N1807" s="2840"/>
      <c r="O1807" s="302"/>
      <c r="P1807" s="302"/>
      <c r="Q1807" s="729"/>
      <c r="R1807" s="694"/>
      <c r="S1807" s="729"/>
      <c r="T1807" s="694"/>
      <c r="U1807" s="694"/>
      <c r="V1807" s="694"/>
      <c r="W1807" s="694"/>
      <c r="X1807" s="694"/>
      <c r="Y1807" s="694"/>
      <c r="Z1807" s="694"/>
      <c r="AA1807" s="694"/>
      <c r="AB1807" s="694"/>
      <c r="AC1807" s="694"/>
      <c r="AD1807" s="694"/>
      <c r="AE1807" s="694"/>
      <c r="AF1807" s="694"/>
      <c r="AG1807" s="694"/>
      <c r="AH1807" s="694"/>
      <c r="AI1807" s="694"/>
      <c r="AJ1807" s="694"/>
      <c r="AK1807" s="694"/>
      <c r="AL1807" s="694"/>
    </row>
    <row r="1808" spans="1:38" ht="38.9" customHeight="1" x14ac:dyDescent="0.25">
      <c r="A1808" s="694"/>
      <c r="B1808" s="298"/>
      <c r="C1808" s="1302"/>
      <c r="D1808" s="1306"/>
      <c r="E1808" s="1308"/>
      <c r="F1808" s="2838" t="str">
        <f>Translations!$B$513</f>
        <v>Когато за производството на измерима топлинна енергия са използвани горива като „входящи потоци“ към повече от една подинсталация, в която се консумира топлинната енергия (което включва случаи с входящи и изходящи потоци от и към други инсталации), горивата не трябва да се включват в „емисиите, които могат да се зададат пряко“ на подинсталацията, а в буква k) по-долу.</v>
      </c>
      <c r="G1808" s="2839"/>
      <c r="H1808" s="2839"/>
      <c r="I1808" s="2839"/>
      <c r="J1808" s="2839"/>
      <c r="K1808" s="2839"/>
      <c r="L1808" s="2839"/>
      <c r="M1808" s="2839"/>
      <c r="N1808" s="2840"/>
      <c r="O1808" s="302"/>
      <c r="P1808" s="302"/>
      <c r="Q1808" s="729"/>
      <c r="R1808" s="694"/>
      <c r="S1808" s="729"/>
      <c r="T1808" s="694"/>
      <c r="U1808" s="694"/>
      <c r="V1808" s="694"/>
      <c r="W1808" s="694"/>
      <c r="X1808" s="694"/>
      <c r="Y1808" s="694"/>
      <c r="Z1808" s="694"/>
      <c r="AA1808" s="694"/>
      <c r="AB1808" s="694"/>
      <c r="AC1808" s="694"/>
      <c r="AD1808" s="694"/>
      <c r="AE1808" s="694"/>
      <c r="AF1808" s="694"/>
      <c r="AG1808" s="694"/>
      <c r="AH1808" s="694"/>
      <c r="AI1808" s="694"/>
      <c r="AJ1808" s="694"/>
      <c r="AK1808" s="694"/>
      <c r="AL1808" s="694"/>
    </row>
    <row r="1809" spans="1:38" ht="25.5" customHeight="1" x14ac:dyDescent="0.25">
      <c r="A1809" s="694"/>
      <c r="B1809" s="298"/>
      <c r="C1809" s="1302"/>
      <c r="D1809" s="1306"/>
      <c r="E1809" s="1308"/>
      <c r="F1809" s="2838" t="str">
        <f>Translations!$B$514</f>
        <v>„Входящите потоци“ включват измеримата топлинна енергия от съоръжения в рамките на обекта (напр. централна електростанция в инсталацията или по-сложна мрежа за генериране на пара с няколко съоръжения за производство на топлинна енергия), които доставят топлинна енергия до повече от една подинсталация. В такъв случай емисиите също не трябва да се задават тук, а в точка k).i. по-долу.</v>
      </c>
      <c r="G1809" s="2839"/>
      <c r="H1809" s="2839"/>
      <c r="I1809" s="2839"/>
      <c r="J1809" s="2839"/>
      <c r="K1809" s="2839"/>
      <c r="L1809" s="2839"/>
      <c r="M1809" s="2839"/>
      <c r="N1809" s="2840"/>
      <c r="O1809" s="302"/>
      <c r="P1809" s="302"/>
      <c r="Q1809" s="729"/>
      <c r="R1809" s="694"/>
      <c r="S1809" s="729"/>
      <c r="T1809" s="694"/>
      <c r="U1809" s="694"/>
      <c r="V1809" s="694"/>
      <c r="W1809" s="694"/>
      <c r="X1809" s="694"/>
      <c r="Y1809" s="694"/>
      <c r="Z1809" s="694"/>
      <c r="AA1809" s="694"/>
      <c r="AB1809" s="694"/>
      <c r="AC1809" s="694"/>
      <c r="AD1809" s="694"/>
      <c r="AE1809" s="694"/>
      <c r="AF1809" s="694"/>
      <c r="AG1809" s="694"/>
      <c r="AH1809" s="694"/>
      <c r="AI1809" s="694"/>
      <c r="AJ1809" s="694"/>
      <c r="AK1809" s="694"/>
      <c r="AL1809" s="694"/>
    </row>
    <row r="1810" spans="1:38" ht="25.5" customHeight="1" x14ac:dyDescent="0.25">
      <c r="A1810" s="694"/>
      <c r="B1810" s="298"/>
      <c r="C1810" s="1302"/>
      <c r="D1810" s="1306"/>
      <c r="E1810" s="1308" t="s">
        <v>1052</v>
      </c>
      <c r="F1810" s="2838" t="str">
        <f>Translations!$B$515</f>
        <v>Подавана навън измерима топлинна енергия: Когато тази топлинна енергия се извлича от процеси или се подава навън, тук не се правят корекции. Приспадането на свързаните емисиите се извършва съгласно данните, въведени в точка k).v. по-долу.</v>
      </c>
      <c r="G1810" s="2839"/>
      <c r="H1810" s="2839"/>
      <c r="I1810" s="2839"/>
      <c r="J1810" s="2839"/>
      <c r="K1810" s="2839"/>
      <c r="L1810" s="2839"/>
      <c r="M1810" s="2839"/>
      <c r="N1810" s="2840"/>
      <c r="O1810" s="302"/>
      <c r="P1810" s="302"/>
      <c r="Q1810" s="729"/>
      <c r="R1810" s="694"/>
      <c r="S1810" s="729"/>
      <c r="T1810" s="694"/>
      <c r="U1810" s="694"/>
      <c r="V1810" s="694"/>
      <c r="W1810" s="694"/>
      <c r="X1810" s="694"/>
      <c r="Y1810" s="694"/>
      <c r="Z1810" s="694"/>
      <c r="AA1810" s="694"/>
      <c r="AB1810" s="694"/>
      <c r="AC1810" s="694"/>
      <c r="AD1810" s="694"/>
      <c r="AE1810" s="694"/>
      <c r="AF1810" s="694"/>
      <c r="AG1810" s="694"/>
      <c r="AH1810" s="694"/>
      <c r="AI1810" s="694"/>
      <c r="AJ1810" s="694"/>
      <c r="AK1810" s="694"/>
      <c r="AL1810" s="694"/>
    </row>
    <row r="1811" spans="1:38" ht="25.5" customHeight="1" thickBot="1" x14ac:dyDescent="0.3">
      <c r="A1811" s="694"/>
      <c r="B1811" s="298"/>
      <c r="C1811" s="1302"/>
      <c r="D1811" s="1306"/>
      <c r="E1811" s="1308" t="s">
        <v>1052</v>
      </c>
      <c r="F1811" s="2838" t="str">
        <f>Translations!$B$516</f>
        <v>Отпадни газове: емисиите от отпадните газове, които са ПОЛУЧЕНИ от други инсталации или подинсталации и са консумирани в подинсталацията, не се включват тук, а се въвеждат в буква l) по-долу.</v>
      </c>
      <c r="G1811" s="2839"/>
      <c r="H1811" s="2839"/>
      <c r="I1811" s="2839"/>
      <c r="J1811" s="2839"/>
      <c r="K1811" s="2839"/>
      <c r="L1811" s="2839"/>
      <c r="M1811" s="2839"/>
      <c r="N1811" s="2840"/>
      <c r="O1811" s="302"/>
      <c r="P1811" s="302"/>
      <c r="Q1811" s="729"/>
      <c r="R1811" s="694"/>
      <c r="S1811" s="729"/>
      <c r="T1811" s="694"/>
      <c r="U1811" s="694"/>
      <c r="V1811" s="694"/>
      <c r="W1811" s="694"/>
      <c r="X1811" s="694"/>
      <c r="Y1811" s="694"/>
      <c r="Z1811" s="694"/>
      <c r="AA1811" s="694"/>
      <c r="AB1811" s="694"/>
      <c r="AC1811" s="694"/>
      <c r="AD1811" s="694"/>
      <c r="AE1811" s="694"/>
      <c r="AF1811" s="694"/>
      <c r="AG1811" s="694"/>
      <c r="AH1811" s="694"/>
      <c r="AI1811" s="694"/>
      <c r="AJ1811" s="694"/>
      <c r="AK1811" s="694"/>
      <c r="AL1811" s="694"/>
    </row>
    <row r="1812" spans="1:38" ht="12.75" customHeight="1" thickBot="1" x14ac:dyDescent="0.3">
      <c r="A1812" s="694"/>
      <c r="B1812" s="298"/>
      <c r="C1812" s="1302"/>
      <c r="D1812" s="1307"/>
      <c r="E1812" s="2803" t="str">
        <f>Translations!$B$517</f>
        <v>Емисии, които могат да се зададат пряко (DirEm*)</v>
      </c>
      <c r="F1812" s="2803"/>
      <c r="G1812" s="1309" t="str">
        <f>EUconst_Unit</f>
        <v>Единица мярка</v>
      </c>
      <c r="H1812" s="629">
        <f t="shared" ref="H1812:N1812" si="2447">H$2831</f>
        <v>2024</v>
      </c>
      <c r="I1812" s="1310">
        <f t="shared" si="2447"/>
        <v>2025</v>
      </c>
      <c r="J1812" s="1311">
        <f t="shared" si="2447"/>
        <v>2026</v>
      </c>
      <c r="K1812" s="629">
        <f t="shared" si="2447"/>
        <v>2027</v>
      </c>
      <c r="L1812" s="629">
        <f t="shared" si="2447"/>
        <v>2028</v>
      </c>
      <c r="M1812" s="629">
        <f t="shared" si="2447"/>
        <v>2029</v>
      </c>
      <c r="N1812" s="1312">
        <f t="shared" si="2447"/>
        <v>2030</v>
      </c>
      <c r="O1812" s="302"/>
      <c r="P1812" s="302"/>
      <c r="Q1812" s="729"/>
      <c r="R1812" s="694"/>
      <c r="S1812" s="1205"/>
      <c r="T1812" s="1313">
        <f t="shared" ref="T1812" si="2448">H1812</f>
        <v>2024</v>
      </c>
      <c r="U1812" s="1313">
        <f t="shared" ref="U1812" si="2449">I1812</f>
        <v>2025</v>
      </c>
      <c r="V1812" s="1313">
        <f t="shared" ref="V1812" si="2450">J1812</f>
        <v>2026</v>
      </c>
      <c r="W1812" s="1313">
        <f t="shared" ref="W1812" si="2451">K1812</f>
        <v>2027</v>
      </c>
      <c r="X1812" s="1313">
        <f t="shared" ref="X1812" si="2452">L1812</f>
        <v>2028</v>
      </c>
      <c r="Y1812" s="1313">
        <f t="shared" ref="Y1812" si="2453">M1812</f>
        <v>2029</v>
      </c>
      <c r="Z1812" s="1314">
        <f t="shared" ref="Z1812" si="2454">N1812</f>
        <v>2030</v>
      </c>
      <c r="AA1812" s="694"/>
      <c r="AB1812" s="694"/>
      <c r="AC1812" s="1178">
        <f t="shared" ref="AC1812" si="2455">H$20</f>
        <v>2024</v>
      </c>
      <c r="AD1812" s="1178">
        <f t="shared" ref="AD1812" si="2456">I$20</f>
        <v>2025</v>
      </c>
      <c r="AE1812" s="1178">
        <f t="shared" ref="AE1812" si="2457">J$20</f>
        <v>2026</v>
      </c>
      <c r="AF1812" s="1178">
        <f t="shared" ref="AF1812" si="2458">K$20</f>
        <v>2027</v>
      </c>
      <c r="AG1812" s="1178">
        <f t="shared" ref="AG1812" si="2459">L$20</f>
        <v>2028</v>
      </c>
      <c r="AH1812" s="1178">
        <f t="shared" ref="AH1812" si="2460">M$20</f>
        <v>2029</v>
      </c>
      <c r="AI1812" s="1178">
        <f t="shared" ref="AI1812" si="2461">N$20</f>
        <v>2030</v>
      </c>
      <c r="AJ1812" s="694"/>
      <c r="AK1812" s="694"/>
      <c r="AL1812" s="694"/>
    </row>
    <row r="1813" spans="1:38" ht="12.75" customHeight="1" thickBot="1" x14ac:dyDescent="0.3">
      <c r="A1813" s="694"/>
      <c r="B1813" s="298"/>
      <c r="C1813" s="1302"/>
      <c r="D1813" s="1306"/>
      <c r="E1813" s="2814" t="str">
        <f>I1699</f>
        <v/>
      </c>
      <c r="F1813" s="2258"/>
      <c r="G1813" s="642" t="str">
        <f>EUconst_tCO2epa</f>
        <v>t CO2e/година</v>
      </c>
      <c r="H1813" s="56"/>
      <c r="I1813" s="115"/>
      <c r="J1813" s="118"/>
      <c r="K1813" s="56"/>
      <c r="L1813" s="56"/>
      <c r="M1813" s="56"/>
      <c r="N1813" s="121"/>
      <c r="O1813" s="302"/>
      <c r="P1813" s="158"/>
      <c r="Q1813" s="1190" t="str">
        <f>EUconst_CNTR_Emissions &amp; I1699</f>
        <v>DirEmissions_</v>
      </c>
      <c r="R1813" s="694"/>
      <c r="S1813" s="1315" t="str">
        <f>EUconst_CNTR_AttributedEmissions &amp; I1699</f>
        <v>AttrEmissions_</v>
      </c>
      <c r="T1813" s="1290" t="str">
        <f t="shared" ref="T1813" si="2462">IF(T1707,SUM(H1813),"")</f>
        <v/>
      </c>
      <c r="U1813" s="1290" t="str">
        <f t="shared" ref="U1813" si="2463">IF(U1707,SUM(I1813),"")</f>
        <v/>
      </c>
      <c r="V1813" s="1290" t="str">
        <f t="shared" ref="V1813" si="2464">IF(V1707,SUM(J1813),"")</f>
        <v/>
      </c>
      <c r="W1813" s="1290" t="str">
        <f t="shared" ref="W1813" si="2465">IF(W1707,SUM(K1813),"")</f>
        <v/>
      </c>
      <c r="X1813" s="1290" t="str">
        <f t="shared" ref="X1813" si="2466">IF(X1707,SUM(L1813),"")</f>
        <v/>
      </c>
      <c r="Y1813" s="1290" t="str">
        <f t="shared" ref="Y1813" si="2467">IF(Y1707,SUM(M1813),"")</f>
        <v/>
      </c>
      <c r="Z1813" s="1291" t="str">
        <f t="shared" ref="Z1813" si="2468">IF(Z1707,SUM(N1813),"")</f>
        <v/>
      </c>
      <c r="AA1813" s="694"/>
      <c r="AB1813" s="1182" t="s">
        <v>737</v>
      </c>
      <c r="AC1813" s="982" t="b">
        <f>AC1746</f>
        <v>0</v>
      </c>
      <c r="AD1813" s="982" t="b">
        <f t="shared" ref="AD1813:AI1813" si="2469">AD1746</f>
        <v>0</v>
      </c>
      <c r="AE1813" s="982" t="b">
        <f t="shared" si="2469"/>
        <v>0</v>
      </c>
      <c r="AF1813" s="982" t="b">
        <f t="shared" si="2469"/>
        <v>0</v>
      </c>
      <c r="AG1813" s="982" t="b">
        <f t="shared" si="2469"/>
        <v>0</v>
      </c>
      <c r="AH1813" s="982" t="b">
        <f t="shared" si="2469"/>
        <v>0</v>
      </c>
      <c r="AI1813" s="982" t="b">
        <f t="shared" si="2469"/>
        <v>0</v>
      </c>
      <c r="AJ1813" s="1174" t="s">
        <v>2039</v>
      </c>
      <c r="AK1813" s="1176" t="str">
        <f>IF(AND(CNTR_ExistSubInstEntries,MSconst_RequireSubAttrEmissions,COUNTIFS(AC1813:AI1813,FALSE,H1813:N1813,"")&gt;0),EUconst_Error&amp;"BM"&amp;$Q1699,"")</f>
        <v/>
      </c>
      <c r="AL1813" s="694"/>
    </row>
    <row r="1814" spans="1:38" ht="12.75" customHeight="1" x14ac:dyDescent="0.25">
      <c r="A1814" s="694"/>
      <c r="B1814" s="298"/>
      <c r="C1814" s="1302"/>
      <c r="D1814" s="1306"/>
      <c r="E1814" s="1306"/>
      <c r="F1814" s="1306"/>
      <c r="G1814" s="1306"/>
      <c r="H1814" s="1306"/>
      <c r="I1814" s="1306"/>
      <c r="J1814" s="1306"/>
      <c r="K1814" s="1306"/>
      <c r="L1814" s="1306"/>
      <c r="M1814" s="626"/>
      <c r="N1814" s="1316"/>
      <c r="O1814" s="302"/>
      <c r="P1814" s="302"/>
      <c r="Q1814" s="729"/>
      <c r="R1814" s="694"/>
      <c r="S1814" s="729"/>
      <c r="T1814" s="694"/>
      <c r="U1814" s="694"/>
      <c r="V1814" s="694"/>
      <c r="W1814" s="694"/>
      <c r="X1814" s="694"/>
      <c r="Y1814" s="694"/>
      <c r="Z1814" s="694"/>
      <c r="AA1814" s="694"/>
      <c r="AB1814" s="694"/>
      <c r="AC1814" s="694"/>
      <c r="AD1814" s="694"/>
      <c r="AE1814" s="694"/>
      <c r="AF1814" s="694"/>
      <c r="AG1814" s="694"/>
      <c r="AH1814" s="694"/>
      <c r="AI1814" s="694"/>
      <c r="AJ1814" s="694"/>
      <c r="AK1814" s="694"/>
      <c r="AL1814" s="694"/>
    </row>
    <row r="1815" spans="1:38" ht="12.75" customHeight="1" x14ac:dyDescent="0.25">
      <c r="A1815" s="694"/>
      <c r="B1815" s="298"/>
      <c r="C1815" s="1302"/>
      <c r="D1815" s="1307" t="s">
        <v>277</v>
      </c>
      <c r="E1815" s="2815" t="str">
        <f>Translations!$B$1524</f>
        <v>Вложена енергия в тази подинсталация и съответен емисионен фактор</v>
      </c>
      <c r="F1815" s="2240"/>
      <c r="G1815" s="2240"/>
      <c r="H1815" s="2240"/>
      <c r="I1815" s="2240"/>
      <c r="J1815" s="2240"/>
      <c r="K1815" s="2240"/>
      <c r="L1815" s="2240"/>
      <c r="M1815" s="2240"/>
      <c r="N1815" s="2811"/>
      <c r="O1815" s="302"/>
      <c r="P1815" s="302"/>
      <c r="Q1815" s="729"/>
      <c r="R1815" s="729"/>
      <c r="S1815" s="729"/>
      <c r="T1815" s="694"/>
      <c r="U1815" s="694"/>
      <c r="V1815" s="694"/>
      <c r="W1815" s="694"/>
      <c r="X1815" s="694"/>
      <c r="Y1815" s="694"/>
      <c r="Z1815" s="694"/>
      <c r="AA1815" s="694"/>
      <c r="AB1815" s="694"/>
      <c r="AC1815" s="694"/>
      <c r="AD1815" s="694"/>
      <c r="AE1815" s="694"/>
      <c r="AF1815" s="694"/>
      <c r="AG1815" s="694"/>
      <c r="AH1815" s="694"/>
      <c r="AI1815" s="694"/>
      <c r="AJ1815" s="694"/>
      <c r="AK1815" s="694"/>
      <c r="AL1815" s="694"/>
    </row>
    <row r="1816" spans="1:38" ht="25.5" customHeight="1" x14ac:dyDescent="0.25">
      <c r="A1816" s="694"/>
      <c r="B1816" s="298"/>
      <c r="C1816" s="1302"/>
      <c r="D1816" s="1306"/>
      <c r="E1816" s="2836" t="str">
        <f>Translations!$B$1525</f>
        <v>Съгласно изискванията в приложение IV, раздел 2.4, буква а) към ПБР посочете общото количество вложена енергия от горива, материали и електроенергия за генериране на топлинна енергия от подинсталацията и съответния претеглен емисионен фактор, като вземете предвид съответното енергийно съдържание на всяко гориво, включено в числовата стойност, посочена в буква ж), и приложите същите системни граници от буква ж).</v>
      </c>
      <c r="F1816" s="2836"/>
      <c r="G1816" s="2836"/>
      <c r="H1816" s="2836"/>
      <c r="I1816" s="2836"/>
      <c r="J1816" s="2836"/>
      <c r="K1816" s="2836"/>
      <c r="L1816" s="2836"/>
      <c r="M1816" s="2836"/>
      <c r="N1816" s="2837"/>
      <c r="O1816" s="302"/>
      <c r="P1816" s="302"/>
      <c r="Q1816" s="729"/>
      <c r="R1816" s="729"/>
      <c r="S1816" s="729"/>
      <c r="T1816" s="694"/>
      <c r="U1816" s="694"/>
      <c r="V1816" s="694"/>
      <c r="W1816" s="694"/>
      <c r="X1816" s="694"/>
      <c r="Y1816" s="694"/>
      <c r="Z1816" s="694"/>
      <c r="AA1816" s="694"/>
      <c r="AB1816" s="694"/>
      <c r="AC1816" s="694"/>
      <c r="AD1816" s="694"/>
      <c r="AE1816" s="694"/>
      <c r="AF1816" s="694"/>
      <c r="AG1816" s="694"/>
      <c r="AH1816" s="694"/>
      <c r="AI1816" s="694"/>
      <c r="AJ1816" s="694"/>
      <c r="AK1816" s="694"/>
      <c r="AL1816" s="694"/>
    </row>
    <row r="1817" spans="1:38" ht="25.5" customHeight="1" x14ac:dyDescent="0.25">
      <c r="A1817" s="694"/>
      <c r="B1817" s="298"/>
      <c r="C1817" s="1302"/>
      <c r="D1817" s="1306"/>
      <c r="E1817" s="2836" t="str">
        <f>Translations!$B$1526</f>
        <v>Терминът „гориво“ следва да се тълкува като всеки запалим пораждащ емисии поток съгласно РМД, за който може да се установи долната топлина на изгаряне. Претегленият емисионен фактор съответства на натрупаните емисии от горива, разделени на общото енергийно съдържание.</v>
      </c>
      <c r="F1817" s="2836"/>
      <c r="G1817" s="2836"/>
      <c r="H1817" s="2836"/>
      <c r="I1817" s="2836"/>
      <c r="J1817" s="2836"/>
      <c r="K1817" s="2836"/>
      <c r="L1817" s="2836"/>
      <c r="M1817" s="2836"/>
      <c r="N1817" s="2837"/>
      <c r="O1817" s="302"/>
      <c r="P1817" s="302"/>
      <c r="Q1817" s="729"/>
      <c r="R1817" s="694"/>
      <c r="S1817" s="729"/>
      <c r="T1817" s="694"/>
      <c r="U1817" s="694"/>
      <c r="V1817" s="694"/>
      <c r="W1817" s="694"/>
      <c r="X1817" s="694"/>
      <c r="Y1817" s="694"/>
      <c r="Z1817" s="694"/>
      <c r="AA1817" s="694"/>
      <c r="AB1817" s="694"/>
      <c r="AC1817" s="694"/>
      <c r="AD1817" s="694"/>
      <c r="AE1817" s="694"/>
      <c r="AF1817" s="694"/>
      <c r="AG1817" s="694"/>
      <c r="AH1817" s="694"/>
      <c r="AI1817" s="694"/>
      <c r="AJ1817" s="694"/>
      <c r="AK1817" s="694"/>
      <c r="AL1817" s="694"/>
    </row>
    <row r="1818" spans="1:38" ht="12.75" customHeight="1" x14ac:dyDescent="0.25">
      <c r="A1818" s="694"/>
      <c r="B1818" s="298"/>
      <c r="C1818" s="1302"/>
      <c r="D1818" s="1306"/>
      <c r="E1818" s="2836" t="str">
        <f>Translations!$B$519</f>
        <v>Претегленият емисионен фактор следва също така да включва и емисии от съответното очистване на димни газове, ако е приложимо.</v>
      </c>
      <c r="F1818" s="2836"/>
      <c r="G1818" s="2836"/>
      <c r="H1818" s="2836"/>
      <c r="I1818" s="2836"/>
      <c r="J1818" s="2836"/>
      <c r="K1818" s="2836"/>
      <c r="L1818" s="2836"/>
      <c r="M1818" s="2836"/>
      <c r="N1818" s="2837"/>
      <c r="O1818" s="302"/>
      <c r="P1818" s="302"/>
      <c r="Q1818" s="729"/>
      <c r="R1818" s="694"/>
      <c r="S1818" s="729"/>
      <c r="T1818" s="694"/>
      <c r="U1818" s="694"/>
      <c r="V1818" s="694"/>
      <c r="W1818" s="694"/>
      <c r="X1818" s="694"/>
      <c r="Y1818" s="694"/>
      <c r="Z1818" s="694"/>
      <c r="AA1818" s="694"/>
      <c r="AB1818" s="694"/>
      <c r="AC1818" s="694"/>
      <c r="AD1818" s="694"/>
      <c r="AE1818" s="694"/>
      <c r="AF1818" s="694"/>
      <c r="AG1818" s="694"/>
      <c r="AH1818" s="694"/>
      <c r="AI1818" s="694"/>
      <c r="AJ1818" s="694"/>
      <c r="AK1818" s="694"/>
      <c r="AL1818" s="694"/>
    </row>
    <row r="1819" spans="1:38" ht="12.75" customHeight="1" x14ac:dyDescent="0.25">
      <c r="A1819" s="694"/>
      <c r="B1819" s="298"/>
      <c r="C1819" s="1302"/>
      <c r="D1819" s="1306"/>
      <c r="E1819" s="2816" t="str">
        <f>Translations!$B$520</f>
        <v>Посочените тук данни се използват само с цел проверка на съответствието и нямат пряко отражение върху емисиите, които могат да бъдат зададени, или на разпределението на квотите.</v>
      </c>
      <c r="F1819" s="2240"/>
      <c r="G1819" s="2240"/>
      <c r="H1819" s="2240"/>
      <c r="I1819" s="2240"/>
      <c r="J1819" s="2240"/>
      <c r="K1819" s="2240"/>
      <c r="L1819" s="2240"/>
      <c r="M1819" s="2240"/>
      <c r="N1819" s="2811"/>
      <c r="O1819" s="302"/>
      <c r="P1819" s="302"/>
      <c r="Q1819" s="729"/>
      <c r="R1819" s="694"/>
      <c r="S1819" s="729"/>
      <c r="T1819" s="694"/>
      <c r="U1819" s="694"/>
      <c r="V1819" s="694"/>
      <c r="W1819" s="694"/>
      <c r="X1819" s="694"/>
      <c r="Y1819" s="694"/>
      <c r="Z1819" s="694"/>
      <c r="AA1819" s="694"/>
      <c r="AB1819" s="694"/>
      <c r="AC1819" s="694"/>
      <c r="AD1819" s="694"/>
      <c r="AE1819" s="694"/>
      <c r="AF1819" s="694"/>
      <c r="AG1819" s="694"/>
      <c r="AH1819" s="694"/>
      <c r="AI1819" s="694"/>
      <c r="AJ1819" s="694"/>
      <c r="AK1819" s="694"/>
      <c r="AL1819" s="694"/>
    </row>
    <row r="1820" spans="1:38" ht="12.75" customHeight="1" thickBot="1" x14ac:dyDescent="0.3">
      <c r="A1820" s="694"/>
      <c r="B1820" s="298"/>
      <c r="C1820" s="1302"/>
      <c r="D1820" s="1307"/>
      <c r="E1820" s="1317"/>
      <c r="F1820" s="1318"/>
      <c r="G1820" s="1309" t="str">
        <f>EUconst_Unit</f>
        <v>Единица мярка</v>
      </c>
      <c r="H1820" s="629">
        <f t="shared" ref="H1820:N1820" si="2470">H$2831</f>
        <v>2024</v>
      </c>
      <c r="I1820" s="1310">
        <f t="shared" si="2470"/>
        <v>2025</v>
      </c>
      <c r="J1820" s="1311">
        <f t="shared" si="2470"/>
        <v>2026</v>
      </c>
      <c r="K1820" s="629">
        <f t="shared" si="2470"/>
        <v>2027</v>
      </c>
      <c r="L1820" s="629">
        <f t="shared" si="2470"/>
        <v>2028</v>
      </c>
      <c r="M1820" s="629">
        <f t="shared" si="2470"/>
        <v>2029</v>
      </c>
      <c r="N1820" s="1312">
        <f t="shared" si="2470"/>
        <v>2030</v>
      </c>
      <c r="O1820" s="302"/>
      <c r="P1820" s="302"/>
      <c r="Q1820" s="729"/>
      <c r="R1820" s="694"/>
      <c r="S1820" s="729"/>
      <c r="T1820" s="694"/>
      <c r="U1820" s="694"/>
      <c r="V1820" s="694"/>
      <c r="W1820" s="694"/>
      <c r="X1820" s="694"/>
      <c r="Y1820" s="694"/>
      <c r="Z1820" s="694"/>
      <c r="AA1820" s="694"/>
      <c r="AB1820" s="694"/>
      <c r="AC1820" s="1178">
        <f t="shared" ref="AC1820" si="2471">H$20</f>
        <v>2024</v>
      </c>
      <c r="AD1820" s="1178">
        <f t="shared" ref="AD1820" si="2472">I$20</f>
        <v>2025</v>
      </c>
      <c r="AE1820" s="1178">
        <f t="shared" ref="AE1820" si="2473">J$20</f>
        <v>2026</v>
      </c>
      <c r="AF1820" s="1178">
        <f t="shared" ref="AF1820" si="2474">K$20</f>
        <v>2027</v>
      </c>
      <c r="AG1820" s="1178">
        <f t="shared" ref="AG1820" si="2475">L$20</f>
        <v>2028</v>
      </c>
      <c r="AH1820" s="1178">
        <f t="shared" ref="AH1820" si="2476">M$20</f>
        <v>2029</v>
      </c>
      <c r="AI1820" s="1178">
        <f t="shared" ref="AI1820" si="2477">N$20</f>
        <v>2030</v>
      </c>
      <c r="AJ1820" s="694"/>
      <c r="AK1820" s="694"/>
      <c r="AL1820" s="694"/>
    </row>
    <row r="1821" spans="1:38" ht="12.75" customHeight="1" x14ac:dyDescent="0.25">
      <c r="A1821" s="694"/>
      <c r="B1821" s="298"/>
      <c r="C1821" s="1302"/>
      <c r="D1821" s="625" t="s">
        <v>6</v>
      </c>
      <c r="E1821" s="2820" t="str">
        <f>Translations!$B$1527</f>
        <v>Вложена енергия</v>
      </c>
      <c r="F1821" s="2258"/>
      <c r="G1821" s="1319" t="str">
        <f>EUconst_TJpa</f>
        <v>TJ / година</v>
      </c>
      <c r="H1821" s="56"/>
      <c r="I1821" s="115"/>
      <c r="J1821" s="118"/>
      <c r="K1821" s="56"/>
      <c r="L1821" s="56"/>
      <c r="M1821" s="56"/>
      <c r="N1821" s="121"/>
      <c r="O1821" s="302"/>
      <c r="P1821" s="158"/>
      <c r="Q1821" s="1190" t="str">
        <f>EUconst_CNTR_FuelInput &amp; I1699</f>
        <v>FuelInput_</v>
      </c>
      <c r="R1821" s="694"/>
      <c r="S1821" s="729"/>
      <c r="T1821" s="694"/>
      <c r="U1821" s="694"/>
      <c r="V1821" s="694"/>
      <c r="W1821" s="694"/>
      <c r="X1821" s="694"/>
      <c r="Y1821" s="694"/>
      <c r="Z1821" s="694"/>
      <c r="AA1821" s="694"/>
      <c r="AB1821" s="1182" t="s">
        <v>737</v>
      </c>
      <c r="AC1821" s="982" t="b">
        <f>AC1746</f>
        <v>0</v>
      </c>
      <c r="AD1821" s="982" t="b">
        <f t="shared" ref="AD1821:AI1821" si="2478">AD1746</f>
        <v>0</v>
      </c>
      <c r="AE1821" s="982" t="b">
        <f t="shared" si="2478"/>
        <v>0</v>
      </c>
      <c r="AF1821" s="982" t="b">
        <f t="shared" si="2478"/>
        <v>0</v>
      </c>
      <c r="AG1821" s="982" t="b">
        <f t="shared" si="2478"/>
        <v>0</v>
      </c>
      <c r="AH1821" s="982" t="b">
        <f t="shared" si="2478"/>
        <v>0</v>
      </c>
      <c r="AI1821" s="982" t="b">
        <f t="shared" si="2478"/>
        <v>0</v>
      </c>
      <c r="AJ1821" s="1174" t="s">
        <v>2039</v>
      </c>
      <c r="AK1821" s="1176" t="str">
        <f>IF(AND(CNTR_ExistSubInstEntries,MSconst_RequireSubAttrEmissions,COUNTIFS(AC1821:AI1821,FALSE,H1821:N1821,"")&gt;0),EUconst_Error&amp;"BM"&amp;$Q1699,"")</f>
        <v/>
      </c>
      <c r="AL1821" s="694"/>
    </row>
    <row r="1822" spans="1:38" ht="12.75" customHeight="1" x14ac:dyDescent="0.25">
      <c r="A1822" s="694"/>
      <c r="B1822" s="298"/>
      <c r="C1822" s="1302"/>
      <c r="D1822" s="625" t="s">
        <v>7</v>
      </c>
      <c r="E1822" s="2820" t="str">
        <f>Translations!$B$522</f>
        <v>Претеглен емисионен фактор</v>
      </c>
      <c r="F1822" s="2258"/>
      <c r="G1822" s="1320" t="str">
        <f>EUconst_tCO2pTJ</f>
        <v>t CO2 / TJ</v>
      </c>
      <c r="H1822" s="82"/>
      <c r="I1822" s="126"/>
      <c r="J1822" s="127"/>
      <c r="K1822" s="82"/>
      <c r="L1822" s="82"/>
      <c r="M1822" s="82"/>
      <c r="N1822" s="128"/>
      <c r="O1822" s="302"/>
      <c r="P1822" s="158"/>
      <c r="Q1822" s="1190" t="str">
        <f>EUconst_CNTR_FuelEF &amp; I1699</f>
        <v>FuelEF_</v>
      </c>
      <c r="R1822" s="694"/>
      <c r="S1822" s="729"/>
      <c r="T1822" s="694"/>
      <c r="U1822" s="694"/>
      <c r="V1822" s="694"/>
      <c r="W1822" s="694"/>
      <c r="X1822" s="694"/>
      <c r="Y1822" s="694"/>
      <c r="Z1822" s="694"/>
      <c r="AA1822" s="694"/>
      <c r="AB1822" s="694"/>
      <c r="AC1822" s="982" t="b">
        <f>AC1821</f>
        <v>0</v>
      </c>
      <c r="AD1822" s="982" t="b">
        <f t="shared" ref="AD1822:AI1822" si="2479">AD1821</f>
        <v>0</v>
      </c>
      <c r="AE1822" s="982" t="b">
        <f t="shared" si="2479"/>
        <v>0</v>
      </c>
      <c r="AF1822" s="982" t="b">
        <f t="shared" si="2479"/>
        <v>0</v>
      </c>
      <c r="AG1822" s="982" t="b">
        <f t="shared" si="2479"/>
        <v>0</v>
      </c>
      <c r="AH1822" s="982" t="b">
        <f t="shared" si="2479"/>
        <v>0</v>
      </c>
      <c r="AI1822" s="982" t="b">
        <f t="shared" si="2479"/>
        <v>0</v>
      </c>
      <c r="AJ1822" s="1174" t="s">
        <v>2039</v>
      </c>
      <c r="AK1822" s="1176" t="str">
        <f>IF(AND(CNTR_ExistSubInstEntries,MSconst_RequireSubAttrEmissions,COUNTIFS(AC1822:AI1822,FALSE,H1822:N1822,"")&gt;0),EUconst_Error&amp;"BM"&amp;$Q1699,"")</f>
        <v/>
      </c>
      <c r="AL1822" s="694"/>
    </row>
    <row r="1823" spans="1:38" ht="12.75" customHeight="1" x14ac:dyDescent="0.25">
      <c r="A1823" s="694"/>
      <c r="B1823" s="298"/>
      <c r="C1823" s="1302"/>
      <c r="D1823" s="1306"/>
      <c r="E1823" s="1306"/>
      <c r="F1823" s="1306"/>
      <c r="G1823" s="1306"/>
      <c r="H1823" s="1306"/>
      <c r="I1823" s="1306"/>
      <c r="J1823" s="1306"/>
      <c r="K1823" s="1306"/>
      <c r="L1823" s="1306"/>
      <c r="M1823" s="626"/>
      <c r="N1823" s="1316"/>
      <c r="O1823" s="302"/>
      <c r="P1823" s="302"/>
      <c r="Q1823" s="729"/>
      <c r="R1823" s="694"/>
      <c r="S1823" s="729"/>
      <c r="T1823" s="694"/>
      <c r="U1823" s="694"/>
      <c r="V1823" s="694"/>
      <c r="W1823" s="694"/>
      <c r="X1823" s="694"/>
      <c r="Y1823" s="694"/>
      <c r="Z1823" s="694"/>
      <c r="AA1823" s="694"/>
      <c r="AB1823" s="694"/>
      <c r="AC1823" s="694"/>
      <c r="AD1823" s="694"/>
      <c r="AE1823" s="694"/>
      <c r="AF1823" s="694"/>
      <c r="AG1823" s="694"/>
      <c r="AH1823" s="694"/>
      <c r="AI1823" s="694"/>
      <c r="AJ1823" s="694"/>
      <c r="AK1823" s="694"/>
      <c r="AL1823" s="694"/>
    </row>
    <row r="1824" spans="1:38" ht="12.75" customHeight="1" x14ac:dyDescent="0.25">
      <c r="A1824" s="694"/>
      <c r="B1824" s="298"/>
      <c r="C1824" s="1302"/>
      <c r="D1824" s="1307" t="s">
        <v>279</v>
      </c>
      <c r="E1824" s="2815" t="str">
        <f>Translations!$B$523</f>
        <v>Други вътрешни пораждащи емисии потоци, получени или подадени от тази подинсталация</v>
      </c>
      <c r="F1824" s="2240"/>
      <c r="G1824" s="2240"/>
      <c r="H1824" s="2240"/>
      <c r="I1824" s="2240"/>
      <c r="J1824" s="2240"/>
      <c r="K1824" s="2240"/>
      <c r="L1824" s="2240"/>
      <c r="M1824" s="2240"/>
      <c r="N1824" s="2811"/>
      <c r="O1824" s="302"/>
      <c r="P1824" s="302"/>
      <c r="Q1824" s="729"/>
      <c r="R1824" s="729"/>
      <c r="S1824" s="729"/>
      <c r="T1824" s="694"/>
      <c r="U1824" s="694"/>
      <c r="V1824" s="694"/>
      <c r="W1824" s="694"/>
      <c r="X1824" s="694"/>
      <c r="Y1824" s="694"/>
      <c r="Z1824" s="694"/>
      <c r="AA1824" s="694"/>
      <c r="AB1824" s="694"/>
      <c r="AC1824" s="694"/>
      <c r="AD1824" s="694"/>
      <c r="AE1824" s="694"/>
      <c r="AF1824" s="694"/>
      <c r="AG1824" s="694"/>
      <c r="AH1824" s="694"/>
      <c r="AI1824" s="694"/>
      <c r="AJ1824" s="694"/>
      <c r="AK1824" s="694"/>
      <c r="AL1824" s="694"/>
    </row>
    <row r="1825" spans="1:38" ht="12.75" customHeight="1" x14ac:dyDescent="0.25">
      <c r="A1825" s="694"/>
      <c r="B1825" s="298"/>
      <c r="C1825" s="1302"/>
      <c r="D1825" s="625"/>
      <c r="E1825" s="2816" t="str">
        <f>Translations!$B$508</f>
        <v>Посочените тук данни ще се отразят на емисиите, които могат да бъдат зададени съгласно раздел 10.1.1 от приложение VII към ПБР.</v>
      </c>
      <c r="F1825" s="2240"/>
      <c r="G1825" s="2240"/>
      <c r="H1825" s="2240"/>
      <c r="I1825" s="2240"/>
      <c r="J1825" s="2240"/>
      <c r="K1825" s="2240"/>
      <c r="L1825" s="2240"/>
      <c r="M1825" s="2240"/>
      <c r="N1825" s="2811"/>
      <c r="O1825" s="302"/>
      <c r="P1825" s="302"/>
      <c r="Q1825" s="729"/>
      <c r="R1825" s="694"/>
      <c r="S1825" s="729"/>
      <c r="T1825" s="729"/>
      <c r="U1825" s="729"/>
      <c r="V1825" s="729"/>
      <c r="W1825" s="694"/>
      <c r="X1825" s="694"/>
      <c r="Y1825" s="694"/>
      <c r="Z1825" s="694"/>
      <c r="AA1825" s="694"/>
      <c r="AB1825" s="694"/>
      <c r="AC1825" s="694"/>
      <c r="AD1825" s="694"/>
      <c r="AE1825" s="694"/>
      <c r="AF1825" s="694"/>
      <c r="AG1825" s="694"/>
      <c r="AH1825" s="694"/>
      <c r="AI1825" s="694"/>
      <c r="AJ1825" s="694"/>
      <c r="AK1825" s="694"/>
      <c r="AL1825" s="694"/>
    </row>
    <row r="1826" spans="1:38" ht="25.5" customHeight="1" x14ac:dyDescent="0.25">
      <c r="A1826" s="694"/>
      <c r="B1826" s="298"/>
      <c r="C1826" s="1302"/>
      <c r="D1826" s="1306"/>
      <c r="E1826" s="2816" t="str">
        <f>Translations!$B$524</f>
        <v>Имайте предвид, че всички пораждащи емисии потоци трябва да се изброят тук само ако не са обхванати от преките емисии в буква g) по-горе, за да се избегнат пропуски в данните или двойно отчитане. Емисиите, свързани с отпадните газове, НЕ могат да се изброяват тук, а трябва да се посочват в буква l) по-долу.</v>
      </c>
      <c r="F1826" s="2240"/>
      <c r="G1826" s="2240"/>
      <c r="H1826" s="2240"/>
      <c r="I1826" s="2240"/>
      <c r="J1826" s="2240"/>
      <c r="K1826" s="2240"/>
      <c r="L1826" s="2240"/>
      <c r="M1826" s="2240"/>
      <c r="N1826" s="2811"/>
      <c r="O1826" s="302"/>
      <c r="P1826" s="302"/>
      <c r="Q1826" s="729"/>
      <c r="R1826" s="729"/>
      <c r="S1826" s="729"/>
      <c r="T1826" s="694"/>
      <c r="U1826" s="694"/>
      <c r="V1826" s="694"/>
      <c r="W1826" s="694"/>
      <c r="X1826" s="694"/>
      <c r="Y1826" s="694"/>
      <c r="Z1826" s="694"/>
      <c r="AA1826" s="694"/>
      <c r="AB1826" s="694"/>
      <c r="AC1826" s="694"/>
      <c r="AD1826" s="694"/>
      <c r="AE1826" s="694"/>
      <c r="AF1826" s="694"/>
      <c r="AG1826" s="694"/>
      <c r="AH1826" s="694"/>
      <c r="AI1826" s="694"/>
      <c r="AJ1826" s="694"/>
      <c r="AK1826" s="694"/>
      <c r="AL1826" s="694"/>
    </row>
    <row r="1827" spans="1:38" ht="12.75" customHeight="1" x14ac:dyDescent="0.25">
      <c r="A1827" s="694"/>
      <c r="B1827" s="298"/>
      <c r="C1827" s="1302"/>
      <c r="D1827" s="1306"/>
      <c r="E1827" s="2810" t="str">
        <f>Translations!$B$525</f>
        <v>Тук въведете информация за т.нар. вътрешни пораждащи емисии потоци, които се пренасят между подинсталациите, т.е. са получени или подадени от тази подинсталация.</v>
      </c>
      <c r="F1827" s="2240"/>
      <c r="G1827" s="2240"/>
      <c r="H1827" s="2240"/>
      <c r="I1827" s="2240"/>
      <c r="J1827" s="2240"/>
      <c r="K1827" s="2240"/>
      <c r="L1827" s="2240"/>
      <c r="M1827" s="2240"/>
      <c r="N1827" s="2811"/>
      <c r="O1827" s="302"/>
      <c r="P1827" s="302"/>
      <c r="Q1827" s="729"/>
      <c r="R1827" s="729"/>
      <c r="S1827" s="729"/>
      <c r="T1827" s="694"/>
      <c r="U1827" s="694"/>
      <c r="V1827" s="694"/>
      <c r="W1827" s="694"/>
      <c r="X1827" s="694"/>
      <c r="Y1827" s="694"/>
      <c r="Z1827" s="694"/>
      <c r="AA1827" s="694"/>
      <c r="AB1827" s="694"/>
      <c r="AC1827" s="694"/>
      <c r="AD1827" s="694"/>
      <c r="AE1827" s="694"/>
      <c r="AF1827" s="694"/>
      <c r="AG1827" s="694"/>
      <c r="AH1827" s="694"/>
      <c r="AI1827" s="694"/>
      <c r="AJ1827" s="694"/>
      <c r="AK1827" s="694"/>
      <c r="AL1827" s="694"/>
    </row>
    <row r="1828" spans="1:38" ht="38.9" customHeight="1" x14ac:dyDescent="0.25">
      <c r="A1828" s="694"/>
      <c r="B1828" s="298"/>
      <c r="C1828" s="1302"/>
      <c r="D1828" s="1306"/>
      <c r="E1828" s="2810" t="str">
        <f>Translations!$B$526</f>
        <v>Така например, ако това е подинсталацията за „кокс“ на комбинирана инсталация за чугун и стомана, емисиите, свързани с консумацията на кокс, възникват в доменната пещ и не трябва да се задават на тази подинсталация (т.е. подинсталацията за „кокс“). Въпреки това част от емисиите се включват в буква g) по-горе, защото въглищата, които се вкарват в коксовата пещ, ще са един от зададените на първата стъпка пораждащи емисии потоци.</v>
      </c>
      <c r="F1828" s="2240"/>
      <c r="G1828" s="2240"/>
      <c r="H1828" s="2240"/>
      <c r="I1828" s="2240"/>
      <c r="J1828" s="2240"/>
      <c r="K1828" s="2240"/>
      <c r="L1828" s="2240"/>
      <c r="M1828" s="2240"/>
      <c r="N1828" s="2811"/>
      <c r="O1828" s="302"/>
      <c r="P1828" s="302"/>
      <c r="Q1828" s="729"/>
      <c r="R1828" s="694"/>
      <c r="S1828" s="729"/>
      <c r="T1828" s="694"/>
      <c r="U1828" s="694"/>
      <c r="V1828" s="694"/>
      <c r="W1828" s="694"/>
      <c r="X1828" s="694"/>
      <c r="Y1828" s="694"/>
      <c r="Z1828" s="694"/>
      <c r="AA1828" s="694"/>
      <c r="AB1828" s="694"/>
      <c r="AC1828" s="694"/>
      <c r="AD1828" s="694"/>
      <c r="AE1828" s="694"/>
      <c r="AF1828" s="694"/>
      <c r="AG1828" s="694"/>
      <c r="AH1828" s="694"/>
      <c r="AI1828" s="694"/>
      <c r="AJ1828" s="694"/>
      <c r="AK1828" s="694"/>
      <c r="AL1828" s="694"/>
    </row>
    <row r="1829" spans="1:38" ht="51" customHeight="1" x14ac:dyDescent="0.25">
      <c r="A1829" s="694"/>
      <c r="B1829" s="298"/>
      <c r="C1829" s="1302"/>
      <c r="D1829" s="1306"/>
      <c r="E1829" s="2810" t="str">
        <f>Translations!$B$527</f>
        <v>За да се избегне двойно отчитане, коксът, който излиза от коксовата подинсталация, трябва да се коригира като изходящ „вътрешен пораждащ емисии поток“. Това става чрез отрицателна стойност за количеството кокс в случай на „подаване“. За да се получи пълен баланс на емисиите от въглищата, вкарани в коксовата подинсталация, емисиите, свързани с използването на коксов газ (= отпаден газ), са отразени в буква g) по-горе (както е включено в емисиите от въглища), до степента на използване на газа в рамките на подинсталацията. Тук не трябва да се внасят корекции, за да се отчетат подадените количества отпаден газ; това се прави в l).xx. по-долу.</v>
      </c>
      <c r="F1829" s="2240"/>
      <c r="G1829" s="2240"/>
      <c r="H1829" s="2240"/>
      <c r="I1829" s="2240"/>
      <c r="J1829" s="2240"/>
      <c r="K1829" s="2240"/>
      <c r="L1829" s="2240"/>
      <c r="M1829" s="2240"/>
      <c r="N1829" s="2811"/>
      <c r="O1829" s="302"/>
      <c r="P1829" s="302"/>
      <c r="Q1829" s="729"/>
      <c r="R1829" s="694"/>
      <c r="S1829" s="729"/>
      <c r="T1829" s="694"/>
      <c r="U1829" s="694"/>
      <c r="V1829" s="694"/>
      <c r="W1829" s="694"/>
      <c r="X1829" s="694"/>
      <c r="Y1829" s="694"/>
      <c r="Z1829" s="694"/>
      <c r="AA1829" s="694"/>
      <c r="AB1829" s="694"/>
      <c r="AC1829" s="694"/>
      <c r="AD1829" s="694"/>
      <c r="AE1829" s="694"/>
      <c r="AF1829" s="694"/>
      <c r="AG1829" s="694"/>
      <c r="AH1829" s="694"/>
      <c r="AI1829" s="694"/>
      <c r="AJ1829" s="694"/>
      <c r="AK1829" s="694"/>
      <c r="AL1829" s="694"/>
    </row>
    <row r="1830" spans="1:38" ht="25.5" customHeight="1" x14ac:dyDescent="0.25">
      <c r="A1830" s="694"/>
      <c r="B1830" s="298"/>
      <c r="C1830" s="1302"/>
      <c r="D1830" s="1306"/>
      <c r="E1830" s="2810" t="str">
        <f>Translations!$B$528</f>
        <v>И обратно, ако това е подинсталация с показател за течни черни метали в комбинирана инсталация за чугун и стомана, коксът трябва да се посочи тук като входящ/получен „вътрешен“ пораждащ емисии поток с положително количество.</v>
      </c>
      <c r="F1830" s="2240"/>
      <c r="G1830" s="2240"/>
      <c r="H1830" s="2240"/>
      <c r="I1830" s="2240"/>
      <c r="J1830" s="2240"/>
      <c r="K1830" s="2240"/>
      <c r="L1830" s="2240"/>
      <c r="M1830" s="2240"/>
      <c r="N1830" s="2811"/>
      <c r="O1830" s="302"/>
      <c r="P1830" s="302"/>
      <c r="Q1830" s="729"/>
      <c r="R1830" s="694"/>
      <c r="S1830" s="729"/>
      <c r="T1830" s="694"/>
      <c r="U1830" s="694"/>
      <c r="V1830" s="694"/>
      <c r="W1830" s="694"/>
      <c r="X1830" s="694"/>
      <c r="Y1830" s="694"/>
      <c r="Z1830" s="694"/>
      <c r="AA1830" s="694"/>
      <c r="AB1830" s="694"/>
      <c r="AC1830" s="694"/>
      <c r="AD1830" s="694"/>
      <c r="AE1830" s="694"/>
      <c r="AF1830" s="694"/>
      <c r="AG1830" s="694"/>
      <c r="AH1830" s="694"/>
      <c r="AI1830" s="694"/>
      <c r="AJ1830" s="694"/>
      <c r="AK1830" s="694"/>
      <c r="AL1830" s="694"/>
    </row>
    <row r="1831" spans="1:38" ht="12.75" customHeight="1" x14ac:dyDescent="0.25">
      <c r="A1831" s="694"/>
      <c r="B1831" s="298"/>
      <c r="C1831" s="1302"/>
      <c r="D1831" s="625" t="s">
        <v>6</v>
      </c>
      <c r="E1831" s="2817" t="str">
        <f>Translations!$B$529</f>
        <v>За тази подинсталация отнасят ли се други получени или подадени вътрешни пораждащи емисии потоци?</v>
      </c>
      <c r="F1831" s="2240"/>
      <c r="G1831" s="2240"/>
      <c r="H1831" s="2240"/>
      <c r="I1831" s="2240"/>
      <c r="J1831" s="2240"/>
      <c r="K1831" s="2684"/>
      <c r="L1831" s="83"/>
      <c r="M1831" s="1322"/>
      <c r="N1831" s="1323"/>
      <c r="O1831" s="302"/>
      <c r="P1831" s="158"/>
      <c r="Q1831" s="729"/>
      <c r="R1831" s="694"/>
      <c r="S1831" s="729"/>
      <c r="T1831" s="694"/>
      <c r="U1831" s="694"/>
      <c r="V1831" s="694"/>
      <c r="W1831" s="694"/>
      <c r="X1831" s="694"/>
      <c r="Y1831" s="694"/>
      <c r="Z1831" s="694"/>
      <c r="AA1831" s="694"/>
      <c r="AB1831" s="694"/>
      <c r="AC1831" s="694"/>
      <c r="AD1831" s="694"/>
      <c r="AE1831" s="694"/>
      <c r="AF1831" s="1182" t="s">
        <v>737</v>
      </c>
      <c r="AG1831" s="901" t="b">
        <f>AND(CNTR_ExistSubInstEntries,I1699="")</f>
        <v>0</v>
      </c>
      <c r="AH1831" s="694"/>
      <c r="AI1831" s="694"/>
      <c r="AJ1831" s="694"/>
      <c r="AK1831" s="694"/>
      <c r="AL1831" s="694"/>
    </row>
    <row r="1832" spans="1:38" ht="12.75" customHeight="1" x14ac:dyDescent="0.25">
      <c r="A1832" s="694"/>
      <c r="B1832" s="298"/>
      <c r="C1832" s="1302"/>
      <c r="D1832" s="1306"/>
      <c r="E1832" s="2810" t="str">
        <f>Translations!$B$530</f>
        <v>Ако има над два получени или подадени пораждащи емисии потока, тези няколко пораждащи емисии потока следва да се групират заедно и да се посочат имената им.</v>
      </c>
      <c r="F1832" s="2240"/>
      <c r="G1832" s="2240"/>
      <c r="H1832" s="2240"/>
      <c r="I1832" s="2240"/>
      <c r="J1832" s="2240"/>
      <c r="K1832" s="2240"/>
      <c r="L1832" s="2240"/>
      <c r="M1832" s="2240"/>
      <c r="N1832" s="2811"/>
      <c r="O1832" s="302"/>
      <c r="P1832" s="302"/>
      <c r="Q1832" s="729"/>
      <c r="R1832" s="694"/>
      <c r="S1832" s="729"/>
      <c r="T1832" s="694"/>
      <c r="U1832" s="694"/>
      <c r="V1832" s="694"/>
      <c r="W1832" s="694"/>
      <c r="X1832" s="694"/>
      <c r="Y1832" s="694"/>
      <c r="Z1832" s="694"/>
      <c r="AA1832" s="694"/>
      <c r="AB1832" s="694"/>
      <c r="AC1832" s="694"/>
      <c r="AD1832" s="694"/>
      <c r="AE1832" s="694"/>
      <c r="AF1832" s="694"/>
      <c r="AG1832" s="694"/>
      <c r="AH1832" s="694"/>
      <c r="AI1832" s="694"/>
      <c r="AJ1832" s="694"/>
      <c r="AK1832" s="694"/>
      <c r="AL1832" s="694"/>
    </row>
    <row r="1833" spans="1:38" ht="12.75" customHeight="1" x14ac:dyDescent="0.25">
      <c r="A1833" s="694"/>
      <c r="B1833" s="298"/>
      <c r="C1833" s="1302"/>
      <c r="D1833" s="625" t="s">
        <v>7</v>
      </c>
      <c r="E1833" s="2815" t="str">
        <f>Translations!$B$531</f>
        <v>Име на други пораждащи емисии потоци — 1:</v>
      </c>
      <c r="F1833" s="2240"/>
      <c r="G1833" s="2240"/>
      <c r="H1833" s="2684"/>
      <c r="I1833" s="2821"/>
      <c r="J1833" s="2834"/>
      <c r="K1833" s="2834"/>
      <c r="L1833" s="2834"/>
      <c r="M1833" s="2835"/>
      <c r="N1833" s="1324"/>
      <c r="O1833" s="302"/>
      <c r="P1833" s="158"/>
      <c r="Q1833" s="729"/>
      <c r="R1833" s="694"/>
      <c r="S1833" s="729"/>
      <c r="T1833" s="694"/>
      <c r="U1833" s="694"/>
      <c r="V1833" s="694"/>
      <c r="W1833" s="694"/>
      <c r="X1833" s="694"/>
      <c r="Y1833" s="694"/>
      <c r="Z1833" s="694"/>
      <c r="AA1833" s="694"/>
      <c r="AB1833" s="694"/>
      <c r="AC1833" s="1182" t="s">
        <v>737</v>
      </c>
      <c r="AD1833" s="901" t="b">
        <f>OR(AG1831,AND($L1831&lt;&gt;"",$L1831=FALSE))</f>
        <v>0</v>
      </c>
      <c r="AE1833" s="694"/>
      <c r="AF1833" s="694"/>
      <c r="AG1833" s="694"/>
      <c r="AH1833" s="694"/>
      <c r="AI1833" s="694"/>
      <c r="AJ1833" s="694"/>
      <c r="AK1833" s="694"/>
      <c r="AL1833" s="694"/>
    </row>
    <row r="1834" spans="1:38" ht="5.15" customHeight="1" x14ac:dyDescent="0.25">
      <c r="A1834" s="694"/>
      <c r="B1834" s="298"/>
      <c r="C1834" s="1302"/>
      <c r="D1834" s="1306"/>
      <c r="E1834" s="1325"/>
      <c r="F1834" s="1322"/>
      <c r="G1834" s="1322"/>
      <c r="H1834" s="1322"/>
      <c r="I1834" s="1322"/>
      <c r="J1834" s="1322"/>
      <c r="K1834" s="1322"/>
      <c r="L1834" s="1322"/>
      <c r="M1834" s="1322"/>
      <c r="N1834" s="1323"/>
      <c r="O1834" s="302"/>
      <c r="P1834" s="302"/>
      <c r="Q1834" s="729"/>
      <c r="R1834" s="694"/>
      <c r="S1834" s="729"/>
      <c r="T1834" s="694"/>
      <c r="U1834" s="694"/>
      <c r="V1834" s="694"/>
      <c r="W1834" s="694"/>
      <c r="X1834" s="694"/>
      <c r="Y1834" s="694"/>
      <c r="Z1834" s="694"/>
      <c r="AA1834" s="694"/>
      <c r="AB1834" s="694"/>
      <c r="AC1834" s="694"/>
      <c r="AD1834" s="694"/>
      <c r="AE1834" s="694"/>
      <c r="AF1834" s="694"/>
      <c r="AG1834" s="694"/>
      <c r="AH1834" s="694"/>
      <c r="AI1834" s="694"/>
      <c r="AJ1834" s="694"/>
      <c r="AK1834" s="694"/>
      <c r="AL1834" s="694"/>
    </row>
    <row r="1835" spans="1:38" ht="12.75" customHeight="1" thickBot="1" x14ac:dyDescent="0.3">
      <c r="A1835" s="694"/>
      <c r="B1835" s="298"/>
      <c r="C1835" s="1302"/>
      <c r="D1835" s="1306"/>
      <c r="E1835" s="2803" t="str">
        <f>Translations!$B$532</f>
        <v>Други пораждащи емисии потоци — 1</v>
      </c>
      <c r="F1835" s="2672"/>
      <c r="G1835" s="1309" t="str">
        <f>EUconst_Unit</f>
        <v>Единица мярка</v>
      </c>
      <c r="H1835" s="629">
        <f t="shared" ref="H1835:N1835" si="2480">H$2831</f>
        <v>2024</v>
      </c>
      <c r="I1835" s="1310">
        <f t="shared" si="2480"/>
        <v>2025</v>
      </c>
      <c r="J1835" s="1311">
        <f t="shared" si="2480"/>
        <v>2026</v>
      </c>
      <c r="K1835" s="629">
        <f t="shared" si="2480"/>
        <v>2027</v>
      </c>
      <c r="L1835" s="629">
        <f t="shared" si="2480"/>
        <v>2028</v>
      </c>
      <c r="M1835" s="629">
        <f t="shared" si="2480"/>
        <v>2029</v>
      </c>
      <c r="N1835" s="1312">
        <f t="shared" si="2480"/>
        <v>2030</v>
      </c>
      <c r="O1835" s="302"/>
      <c r="P1835" s="302"/>
      <c r="Q1835" s="729"/>
      <c r="R1835" s="694"/>
      <c r="S1835" s="729"/>
      <c r="T1835" s="694"/>
      <c r="U1835" s="694"/>
      <c r="V1835" s="694"/>
      <c r="W1835" s="694"/>
      <c r="X1835" s="694"/>
      <c r="Y1835" s="694"/>
      <c r="Z1835" s="694"/>
      <c r="AA1835" s="694"/>
      <c r="AB1835" s="694"/>
      <c r="AC1835" s="1178">
        <f t="shared" ref="AC1835" si="2481">H$20</f>
        <v>2024</v>
      </c>
      <c r="AD1835" s="1178">
        <f t="shared" ref="AD1835" si="2482">I$20</f>
        <v>2025</v>
      </c>
      <c r="AE1835" s="1178">
        <f t="shared" ref="AE1835" si="2483">J$20</f>
        <v>2026</v>
      </c>
      <c r="AF1835" s="1178">
        <f t="shared" ref="AF1835" si="2484">K$20</f>
        <v>2027</v>
      </c>
      <c r="AG1835" s="1178">
        <f t="shared" ref="AG1835" si="2485">L$20</f>
        <v>2028</v>
      </c>
      <c r="AH1835" s="1178">
        <f t="shared" ref="AH1835" si="2486">M$20</f>
        <v>2029</v>
      </c>
      <c r="AI1835" s="1178">
        <f t="shared" ref="AI1835" si="2487">N$20</f>
        <v>2030</v>
      </c>
      <c r="AJ1835" s="694"/>
      <c r="AK1835" s="694"/>
      <c r="AL1835" s="694"/>
    </row>
    <row r="1836" spans="1:38" ht="12.75" customHeight="1" x14ac:dyDescent="0.25">
      <c r="A1836" s="694"/>
      <c r="B1836" s="298"/>
      <c r="C1836" s="1302"/>
      <c r="D1836" s="625" t="s">
        <v>8</v>
      </c>
      <c r="E1836" s="2818" t="str">
        <f>Translations!$B$533</f>
        <v>Получено или подадено количество</v>
      </c>
      <c r="F1836" s="2701"/>
      <c r="G1836" s="1326" t="str">
        <f>EUconst_tpa</f>
        <v>t / година</v>
      </c>
      <c r="H1836" s="129"/>
      <c r="I1836" s="130"/>
      <c r="J1836" s="131"/>
      <c r="K1836" s="129"/>
      <c r="L1836" s="129"/>
      <c r="M1836" s="129"/>
      <c r="N1836" s="132"/>
      <c r="O1836" s="302"/>
      <c r="P1836" s="158"/>
      <c r="Q1836" s="729"/>
      <c r="R1836" s="694"/>
      <c r="S1836" s="729"/>
      <c r="T1836" s="694"/>
      <c r="U1836" s="694"/>
      <c r="V1836" s="694"/>
      <c r="W1836" s="694"/>
      <c r="X1836" s="694"/>
      <c r="Y1836" s="694"/>
      <c r="Z1836" s="694"/>
      <c r="AA1836" s="694"/>
      <c r="AB1836" s="1182" t="s">
        <v>737</v>
      </c>
      <c r="AC1836" s="901" t="b">
        <f>OR(AND($L1831&lt;&gt;"",$L1831=FALSE),AC1746)</f>
        <v>0</v>
      </c>
      <c r="AD1836" s="982" t="b">
        <f t="shared" ref="AD1836:AI1836" si="2488">OR(AND($L1831&lt;&gt;"",$L1831=FALSE),AD1746)</f>
        <v>0</v>
      </c>
      <c r="AE1836" s="982" t="b">
        <f t="shared" si="2488"/>
        <v>0</v>
      </c>
      <c r="AF1836" s="982" t="b">
        <f t="shared" si="2488"/>
        <v>0</v>
      </c>
      <c r="AG1836" s="982" t="b">
        <f t="shared" si="2488"/>
        <v>0</v>
      </c>
      <c r="AH1836" s="982" t="b">
        <f t="shared" si="2488"/>
        <v>0</v>
      </c>
      <c r="AI1836" s="982" t="b">
        <f t="shared" si="2488"/>
        <v>0</v>
      </c>
      <c r="AJ1836" s="1174" t="s">
        <v>2039</v>
      </c>
      <c r="AK1836" s="1176" t="str">
        <f>IF(AND(CNTR_ExistSubInstEntries,MSconst_RequireSubAttrEmissions,COUNTIFS(AC1836:AI1836,FALSE,H1836:N1836,"")&gt;0),EUconst_Error&amp;"BM"&amp;$Q1699,"")</f>
        <v/>
      </c>
      <c r="AL1836" s="694"/>
    </row>
    <row r="1837" spans="1:38" ht="12.75" customHeight="1" x14ac:dyDescent="0.25">
      <c r="A1837" s="694"/>
      <c r="B1837" s="298"/>
      <c r="C1837" s="1302"/>
      <c r="D1837" s="625" t="s">
        <v>18</v>
      </c>
      <c r="E1837" s="2831" t="str">
        <f>Translations!$B$534</f>
        <v>Долна топлина на изгаряне (NCV), ако е приложимо</v>
      </c>
      <c r="F1837" s="2703"/>
      <c r="G1837" s="1327" t="str">
        <f>EUconst_GJpt</f>
        <v>GJ / t</v>
      </c>
      <c r="H1837" s="133"/>
      <c r="I1837" s="134"/>
      <c r="J1837" s="135"/>
      <c r="K1837" s="133"/>
      <c r="L1837" s="133"/>
      <c r="M1837" s="133"/>
      <c r="N1837" s="136"/>
      <c r="O1837" s="302"/>
      <c r="P1837" s="158"/>
      <c r="Q1837" s="729"/>
      <c r="R1837" s="694"/>
      <c r="S1837" s="729"/>
      <c r="T1837" s="694"/>
      <c r="U1837" s="694"/>
      <c r="V1837" s="694"/>
      <c r="W1837" s="694"/>
      <c r="X1837" s="694"/>
      <c r="Y1837" s="694"/>
      <c r="Z1837" s="694"/>
      <c r="AA1837" s="694"/>
      <c r="AB1837" s="694"/>
      <c r="AC1837" s="982" t="b">
        <f t="shared" ref="AC1837:AI1837" si="2489">AC1836</f>
        <v>0</v>
      </c>
      <c r="AD1837" s="982" t="b">
        <f t="shared" si="2489"/>
        <v>0</v>
      </c>
      <c r="AE1837" s="982" t="b">
        <f t="shared" si="2489"/>
        <v>0</v>
      </c>
      <c r="AF1837" s="982" t="b">
        <f t="shared" si="2489"/>
        <v>0</v>
      </c>
      <c r="AG1837" s="982" t="b">
        <f t="shared" si="2489"/>
        <v>0</v>
      </c>
      <c r="AH1837" s="982" t="b">
        <f t="shared" si="2489"/>
        <v>0</v>
      </c>
      <c r="AI1837" s="982" t="b">
        <f t="shared" si="2489"/>
        <v>0</v>
      </c>
      <c r="AJ1837" s="1174" t="s">
        <v>2039</v>
      </c>
      <c r="AK1837" s="1176" t="str">
        <f>IF(AND(CNTR_ExistSubInstEntries,MSconst_RequireSubAttrEmissions,COUNTIFS(AC1837:AI1837,FALSE,H1837:N1837,"")&gt;0),EUconst_Error&amp;"BM"&amp;$Q1699,"")</f>
        <v/>
      </c>
      <c r="AL1837" s="694"/>
    </row>
    <row r="1838" spans="1:38" ht="12.75" customHeight="1" thickBot="1" x14ac:dyDescent="0.3">
      <c r="A1838" s="694"/>
      <c r="B1838" s="298"/>
      <c r="C1838" s="1302"/>
      <c r="D1838" s="625" t="s">
        <v>810</v>
      </c>
      <c r="E1838" s="2831" t="str">
        <f>Translations!$B$535</f>
        <v>Въглеродно съдържание (тегловни %)</v>
      </c>
      <c r="F1838" s="2703"/>
      <c r="G1838" s="1328" t="s">
        <v>903</v>
      </c>
      <c r="H1838" s="133"/>
      <c r="I1838" s="134"/>
      <c r="J1838" s="135"/>
      <c r="K1838" s="133"/>
      <c r="L1838" s="133"/>
      <c r="M1838" s="133"/>
      <c r="N1838" s="136"/>
      <c r="O1838" s="302"/>
      <c r="P1838" s="158"/>
      <c r="Q1838" s="729"/>
      <c r="R1838" s="694"/>
      <c r="S1838" s="729"/>
      <c r="T1838" s="694"/>
      <c r="U1838" s="694"/>
      <c r="V1838" s="694"/>
      <c r="W1838" s="694"/>
      <c r="X1838" s="694"/>
      <c r="Y1838" s="694"/>
      <c r="Z1838" s="694"/>
      <c r="AA1838" s="694"/>
      <c r="AB1838" s="694"/>
      <c r="AC1838" s="982" t="b">
        <f t="shared" ref="AC1838:AI1838" si="2490">AC1837</f>
        <v>0</v>
      </c>
      <c r="AD1838" s="982" t="b">
        <f t="shared" si="2490"/>
        <v>0</v>
      </c>
      <c r="AE1838" s="982" t="b">
        <f t="shared" si="2490"/>
        <v>0</v>
      </c>
      <c r="AF1838" s="982" t="b">
        <f t="shared" si="2490"/>
        <v>0</v>
      </c>
      <c r="AG1838" s="982" t="b">
        <f t="shared" si="2490"/>
        <v>0</v>
      </c>
      <c r="AH1838" s="982" t="b">
        <f t="shared" si="2490"/>
        <v>0</v>
      </c>
      <c r="AI1838" s="982" t="b">
        <f t="shared" si="2490"/>
        <v>0</v>
      </c>
      <c r="AJ1838" s="1174" t="s">
        <v>2039</v>
      </c>
      <c r="AK1838" s="1176" t="str">
        <f>IF(AND(CNTR_ExistSubInstEntries,MSconst_RequireSubAttrEmissions,COUNTIFS(AC1838:AI1838,FALSE,H1838:N1838,"")&gt;0),EUconst_Error&amp;"BM"&amp;$Q1699,"")</f>
        <v/>
      </c>
      <c r="AL1838" s="694"/>
    </row>
    <row r="1839" spans="1:38" ht="12.75" customHeight="1" x14ac:dyDescent="0.25">
      <c r="A1839" s="694"/>
      <c r="B1839" s="298"/>
      <c r="C1839" s="1302"/>
      <c r="D1839" s="625" t="s">
        <v>811</v>
      </c>
      <c r="E1839" s="2828" t="str">
        <f>Translations!$B$536</f>
        <v>Съдържание на биомаса (като дял от въглеродното съдържание)</v>
      </c>
      <c r="F1839" s="2705"/>
      <c r="G1839" s="1329" t="s">
        <v>903</v>
      </c>
      <c r="H1839" s="137"/>
      <c r="I1839" s="138"/>
      <c r="J1839" s="139"/>
      <c r="K1839" s="137"/>
      <c r="L1839" s="137"/>
      <c r="M1839" s="137"/>
      <c r="N1839" s="140"/>
      <c r="O1839" s="302"/>
      <c r="P1839" s="158"/>
      <c r="Q1839" s="729"/>
      <c r="R1839" s="694"/>
      <c r="S1839" s="1205"/>
      <c r="T1839" s="1313">
        <f t="shared" ref="T1839" si="2491">H1835</f>
        <v>2024</v>
      </c>
      <c r="U1839" s="1313">
        <f t="shared" ref="U1839" si="2492">I1835</f>
        <v>2025</v>
      </c>
      <c r="V1839" s="1313">
        <f t="shared" ref="V1839" si="2493">J1835</f>
        <v>2026</v>
      </c>
      <c r="W1839" s="1313">
        <f t="shared" ref="W1839" si="2494">K1835</f>
        <v>2027</v>
      </c>
      <c r="X1839" s="1313">
        <f t="shared" ref="X1839" si="2495">L1835</f>
        <v>2028</v>
      </c>
      <c r="Y1839" s="1313">
        <f t="shared" ref="Y1839" si="2496">M1835</f>
        <v>2029</v>
      </c>
      <c r="Z1839" s="1314">
        <f t="shared" ref="Z1839" si="2497">N1835</f>
        <v>2030</v>
      </c>
      <c r="AA1839" s="694"/>
      <c r="AB1839" s="694"/>
      <c r="AC1839" s="982" t="b">
        <f t="shared" ref="AC1839:AI1839" si="2498">AC1838</f>
        <v>0</v>
      </c>
      <c r="AD1839" s="982" t="b">
        <f t="shared" si="2498"/>
        <v>0</v>
      </c>
      <c r="AE1839" s="982" t="b">
        <f t="shared" si="2498"/>
        <v>0</v>
      </c>
      <c r="AF1839" s="982" t="b">
        <f t="shared" si="2498"/>
        <v>0</v>
      </c>
      <c r="AG1839" s="982" t="b">
        <f t="shared" si="2498"/>
        <v>0</v>
      </c>
      <c r="AH1839" s="982" t="b">
        <f t="shared" si="2498"/>
        <v>0</v>
      </c>
      <c r="AI1839" s="982" t="b">
        <f t="shared" si="2498"/>
        <v>0</v>
      </c>
      <c r="AJ1839" s="1174" t="s">
        <v>2039</v>
      </c>
      <c r="AK1839" s="1176" t="str">
        <f>IF(AND(CNTR_ExistSubInstEntries,MSconst_RequireSubAttrEmissions,COUNTIFS(AC1839:AI1839,FALSE,H1839:N1839,"")&gt;0),EUconst_Error&amp;"BM"&amp;$Q1699,"")</f>
        <v/>
      </c>
      <c r="AL1839" s="694"/>
    </row>
    <row r="1840" spans="1:38" ht="12.75" customHeight="1" thickBot="1" x14ac:dyDescent="0.3">
      <c r="A1840" s="694"/>
      <c r="B1840" s="298"/>
      <c r="C1840" s="1302"/>
      <c r="D1840" s="625" t="s">
        <v>812</v>
      </c>
      <c r="E1840" s="2832" t="str">
        <f>Translations!$B$537</f>
        <v>Емисии (от горива, изчислени)</v>
      </c>
      <c r="F1840" s="2701"/>
      <c r="G1840" s="1330" t="str">
        <f>EUconst_tCO2pa</f>
        <v>t CO2 / година</v>
      </c>
      <c r="H1840" s="1331" t="str">
        <f t="shared" ref="H1840:N1840" si="2499">IF(AND(COUNT(H1836:H1839)&gt;0,H1843=""),3.664*H1836*(H1838/100)*(1-H1839/100),"")</f>
        <v/>
      </c>
      <c r="I1840" s="1332" t="str">
        <f t="shared" si="2499"/>
        <v/>
      </c>
      <c r="J1840" s="1333" t="str">
        <f t="shared" si="2499"/>
        <v/>
      </c>
      <c r="K1840" s="1331" t="str">
        <f t="shared" si="2499"/>
        <v/>
      </c>
      <c r="L1840" s="1331" t="str">
        <f t="shared" si="2499"/>
        <v/>
      </c>
      <c r="M1840" s="1331" t="str">
        <f t="shared" si="2499"/>
        <v/>
      </c>
      <c r="N1840" s="1334" t="str">
        <f t="shared" si="2499"/>
        <v/>
      </c>
      <c r="O1840" s="302"/>
      <c r="P1840" s="302"/>
      <c r="Q1840" s="1190" t="str">
        <f>EUconst_CNTR_EmissionsIntSource1 &amp; I1699</f>
        <v>EmInternalSource1_</v>
      </c>
      <c r="R1840" s="694"/>
      <c r="S1840" s="1315" t="str">
        <f>EUconst_CNTR_AttributedEmissions &amp; I1699</f>
        <v>AttrEmissions_</v>
      </c>
      <c r="T1840" s="1290" t="str">
        <f t="shared" ref="T1840" si="2500">IF(T1707,SUM(H1840),"")</f>
        <v/>
      </c>
      <c r="U1840" s="1290" t="str">
        <f t="shared" ref="U1840" si="2501">IF(U1707,SUM(I1840),"")</f>
        <v/>
      </c>
      <c r="V1840" s="1290" t="str">
        <f t="shared" ref="V1840" si="2502">IF(V1707,SUM(J1840),"")</f>
        <v/>
      </c>
      <c r="W1840" s="1290" t="str">
        <f t="shared" ref="W1840" si="2503">IF(W1707,SUM(K1840),"")</f>
        <v/>
      </c>
      <c r="X1840" s="1290" t="str">
        <f t="shared" ref="X1840" si="2504">IF(X1707,SUM(L1840),"")</f>
        <v/>
      </c>
      <c r="Y1840" s="1290" t="str">
        <f t="shared" ref="Y1840" si="2505">IF(Y1707,SUM(M1840),"")</f>
        <v/>
      </c>
      <c r="Z1840" s="1291" t="str">
        <f t="shared" ref="Z1840" si="2506">IF(Z1707,SUM(N1840),"")</f>
        <v/>
      </c>
      <c r="AA1840" s="694"/>
      <c r="AB1840" s="694"/>
      <c r="AC1840" s="694"/>
      <c r="AD1840" s="694"/>
      <c r="AE1840" s="694"/>
      <c r="AF1840" s="694"/>
      <c r="AG1840" s="694"/>
      <c r="AH1840" s="694"/>
      <c r="AI1840" s="694"/>
      <c r="AJ1840" s="694"/>
      <c r="AK1840" s="694"/>
      <c r="AL1840" s="694"/>
    </row>
    <row r="1841" spans="1:38" ht="12.75" customHeight="1" x14ac:dyDescent="0.25">
      <c r="A1841" s="694"/>
      <c r="B1841" s="298"/>
      <c r="C1841" s="1302"/>
      <c r="D1841" s="625" t="s">
        <v>813</v>
      </c>
      <c r="E1841" s="2833" t="str">
        <f>Translations!$B$538</f>
        <v>Допълнителна информация за справка: Емисии от биомаса</v>
      </c>
      <c r="F1841" s="2703"/>
      <c r="G1841" s="1335" t="str">
        <f>EUconst_tCO2pa</f>
        <v>t CO2 / година</v>
      </c>
      <c r="H1841" s="1336" t="str">
        <f t="shared" ref="H1841:N1841" si="2507">IF(ISNUMBER(H1840),3.664*H1836*(H1838/100)*(H1839/100),"")</f>
        <v/>
      </c>
      <c r="I1841" s="1337" t="str">
        <f t="shared" si="2507"/>
        <v/>
      </c>
      <c r="J1841" s="1338" t="str">
        <f t="shared" si="2507"/>
        <v/>
      </c>
      <c r="K1841" s="1336" t="str">
        <f t="shared" si="2507"/>
        <v/>
      </c>
      <c r="L1841" s="1336" t="str">
        <f t="shared" si="2507"/>
        <v/>
      </c>
      <c r="M1841" s="1336" t="str">
        <f t="shared" si="2507"/>
        <v/>
      </c>
      <c r="N1841" s="1339" t="str">
        <f t="shared" si="2507"/>
        <v/>
      </c>
      <c r="O1841" s="302"/>
      <c r="P1841" s="302"/>
      <c r="Q1841" s="729"/>
      <c r="R1841" s="694"/>
      <c r="S1841" s="729"/>
      <c r="T1841" s="694"/>
      <c r="U1841" s="694"/>
      <c r="V1841" s="694"/>
      <c r="W1841" s="694"/>
      <c r="X1841" s="694"/>
      <c r="Y1841" s="694"/>
      <c r="Z1841" s="694"/>
      <c r="AA1841" s="694"/>
      <c r="AB1841" s="694"/>
      <c r="AC1841" s="694"/>
      <c r="AD1841" s="694"/>
      <c r="AE1841" s="694"/>
      <c r="AF1841" s="694"/>
      <c r="AG1841" s="694"/>
      <c r="AH1841" s="694"/>
      <c r="AI1841" s="694"/>
      <c r="AJ1841" s="694"/>
      <c r="AK1841" s="694"/>
      <c r="AL1841" s="694"/>
    </row>
    <row r="1842" spans="1:38" ht="12.75" customHeight="1" x14ac:dyDescent="0.25">
      <c r="A1842" s="694"/>
      <c r="B1842" s="298"/>
      <c r="C1842" s="1302"/>
      <c r="D1842" s="625" t="s">
        <v>814</v>
      </c>
      <c r="E1842" s="2828" t="str">
        <f>Translations!$B$539</f>
        <v>Енергийно съдържание (изчислено)</v>
      </c>
      <c r="F1842" s="2705"/>
      <c r="G1842" s="1340" t="str">
        <f>EUconst_TJpa</f>
        <v>TJ / година</v>
      </c>
      <c r="H1842" s="1104" t="str">
        <f t="shared" ref="H1842:N1842" si="2508">IF(COUNT(H1836:H1837)=2,H1836*H1837/1000,"")</f>
        <v/>
      </c>
      <c r="I1842" s="1296" t="str">
        <f t="shared" si="2508"/>
        <v/>
      </c>
      <c r="J1842" s="1297" t="str">
        <f t="shared" si="2508"/>
        <v/>
      </c>
      <c r="K1842" s="1104" t="str">
        <f t="shared" si="2508"/>
        <v/>
      </c>
      <c r="L1842" s="1104" t="str">
        <f t="shared" si="2508"/>
        <v/>
      </c>
      <c r="M1842" s="1104" t="str">
        <f t="shared" si="2508"/>
        <v/>
      </c>
      <c r="N1842" s="1341" t="str">
        <f t="shared" si="2508"/>
        <v/>
      </c>
      <c r="O1842" s="302"/>
      <c r="P1842" s="302"/>
      <c r="Q1842" s="729"/>
      <c r="R1842" s="694"/>
      <c r="S1842" s="729"/>
      <c r="T1842" s="694"/>
      <c r="U1842" s="694"/>
      <c r="V1842" s="694"/>
      <c r="W1842" s="694"/>
      <c r="X1842" s="694"/>
      <c r="Y1842" s="694"/>
      <c r="Z1842" s="694"/>
      <c r="AA1842" s="694"/>
      <c r="AB1842" s="694"/>
      <c r="AC1842" s="694"/>
      <c r="AD1842" s="694"/>
      <c r="AE1842" s="694"/>
      <c r="AF1842" s="694"/>
      <c r="AG1842" s="694"/>
      <c r="AH1842" s="694"/>
      <c r="AI1842" s="694"/>
      <c r="AJ1842" s="694"/>
      <c r="AK1842" s="694"/>
      <c r="AL1842" s="694"/>
    </row>
    <row r="1843" spans="1:38" ht="12.75" customHeight="1" x14ac:dyDescent="0.25">
      <c r="A1843" s="694"/>
      <c r="B1843" s="298"/>
      <c r="C1843" s="1302"/>
      <c r="D1843" s="625" t="s">
        <v>61</v>
      </c>
      <c r="E1843" s="2829" t="str">
        <f>Translations!$B$540</f>
        <v>Съобщения за грешка (емисии)</v>
      </c>
      <c r="F1843" s="2830"/>
      <c r="G1843" s="1342"/>
      <c r="H1843" s="1343" t="str">
        <f t="shared" ref="H1843:N1843" si="2509">IF(COUNT(H1836,H1838:H1839)&gt;0,IF(COUNTIF(H1837:H1839,"&lt;0")&gt;0,EUconst_Negative,IF(COUNT(H1836,H1838:H1839)&lt;3,EUconst_Incomplete,"")),"")</f>
        <v/>
      </c>
      <c r="I1843" s="1344" t="str">
        <f t="shared" si="2509"/>
        <v/>
      </c>
      <c r="J1843" s="1345" t="str">
        <f t="shared" si="2509"/>
        <v/>
      </c>
      <c r="K1843" s="1343" t="str">
        <f t="shared" si="2509"/>
        <v/>
      </c>
      <c r="L1843" s="1343" t="str">
        <f t="shared" si="2509"/>
        <v/>
      </c>
      <c r="M1843" s="1343" t="str">
        <f t="shared" si="2509"/>
        <v/>
      </c>
      <c r="N1843" s="1346" t="str">
        <f t="shared" si="2509"/>
        <v/>
      </c>
      <c r="O1843" s="302"/>
      <c r="P1843" s="302"/>
      <c r="Q1843" s="729"/>
      <c r="R1843" s="694"/>
      <c r="S1843" s="729"/>
      <c r="T1843" s="694"/>
      <c r="U1843" s="694"/>
      <c r="V1843" s="694"/>
      <c r="W1843" s="694"/>
      <c r="X1843" s="694"/>
      <c r="Y1843" s="694"/>
      <c r="Z1843" s="694"/>
      <c r="AA1843" s="694"/>
      <c r="AB1843" s="694"/>
      <c r="AC1843" s="694"/>
      <c r="AD1843" s="694"/>
      <c r="AE1843" s="694"/>
      <c r="AF1843" s="694"/>
      <c r="AG1843" s="694"/>
      <c r="AH1843" s="694"/>
      <c r="AI1843" s="694"/>
      <c r="AJ1843" s="694"/>
      <c r="AK1843" s="694"/>
      <c r="AL1843" s="694"/>
    </row>
    <row r="1844" spans="1:38" ht="12.75" customHeight="1" x14ac:dyDescent="0.25">
      <c r="A1844" s="694"/>
      <c r="B1844" s="298"/>
      <c r="C1844" s="1302"/>
      <c r="D1844" s="625"/>
      <c r="E1844" s="1306"/>
      <c r="F1844" s="1306"/>
      <c r="G1844" s="1306"/>
      <c r="H1844" s="1306"/>
      <c r="I1844" s="1306"/>
      <c r="J1844" s="1306"/>
      <c r="K1844" s="1306"/>
      <c r="L1844" s="1306"/>
      <c r="M1844" s="626"/>
      <c r="N1844" s="1316"/>
      <c r="O1844" s="302"/>
      <c r="P1844" s="302"/>
      <c r="Q1844" s="729"/>
      <c r="R1844" s="694"/>
      <c r="S1844" s="729"/>
      <c r="T1844" s="694"/>
      <c r="U1844" s="694"/>
      <c r="V1844" s="694"/>
      <c r="W1844" s="694"/>
      <c r="X1844" s="694"/>
      <c r="Y1844" s="694"/>
      <c r="Z1844" s="694"/>
      <c r="AA1844" s="694"/>
      <c r="AB1844" s="694"/>
      <c r="AC1844" s="694"/>
      <c r="AD1844" s="694"/>
      <c r="AE1844" s="694"/>
      <c r="AF1844" s="694"/>
      <c r="AG1844" s="694"/>
      <c r="AH1844" s="694"/>
      <c r="AI1844" s="694"/>
      <c r="AJ1844" s="694"/>
      <c r="AK1844" s="694"/>
      <c r="AL1844" s="694"/>
    </row>
    <row r="1845" spans="1:38" ht="12.75" customHeight="1" x14ac:dyDescent="0.25">
      <c r="A1845" s="694"/>
      <c r="B1845" s="298"/>
      <c r="C1845" s="1302"/>
      <c r="D1845" s="625" t="s">
        <v>62</v>
      </c>
      <c r="E1845" s="2815" t="str">
        <f>Translations!$B$541</f>
        <v>Име на други пораждащи емисии потоци — 2:</v>
      </c>
      <c r="F1845" s="2240"/>
      <c r="G1845" s="2240"/>
      <c r="H1845" s="2684"/>
      <c r="I1845" s="2821"/>
      <c r="J1845" s="2674"/>
      <c r="K1845" s="2674"/>
      <c r="L1845" s="2674"/>
      <c r="M1845" s="2675"/>
      <c r="N1845" s="1323"/>
      <c r="O1845" s="302"/>
      <c r="P1845" s="158"/>
      <c r="Q1845" s="729"/>
      <c r="R1845" s="694"/>
      <c r="S1845" s="729"/>
      <c r="T1845" s="694"/>
      <c r="U1845" s="694"/>
      <c r="V1845" s="694"/>
      <c r="W1845" s="694"/>
      <c r="X1845" s="694"/>
      <c r="Y1845" s="694"/>
      <c r="Z1845" s="694"/>
      <c r="AA1845" s="694"/>
      <c r="AB1845" s="694"/>
      <c r="AC1845" s="1182" t="s">
        <v>737</v>
      </c>
      <c r="AD1845" s="982" t="b">
        <f>AD1833</f>
        <v>0</v>
      </c>
      <c r="AE1845" s="694"/>
      <c r="AF1845" s="694"/>
      <c r="AG1845" s="694"/>
      <c r="AH1845" s="694"/>
      <c r="AI1845" s="694"/>
      <c r="AJ1845" s="694"/>
      <c r="AK1845" s="694"/>
      <c r="AL1845" s="694"/>
    </row>
    <row r="1846" spans="1:38" ht="5.15" customHeight="1" x14ac:dyDescent="0.25">
      <c r="A1846" s="694"/>
      <c r="B1846" s="298"/>
      <c r="C1846" s="1302"/>
      <c r="D1846" s="1306"/>
      <c r="E1846" s="1325"/>
      <c r="F1846" s="1322"/>
      <c r="G1846" s="1306"/>
      <c r="H1846" s="1306"/>
      <c r="I1846" s="1322"/>
      <c r="J1846" s="1322"/>
      <c r="K1846" s="1322"/>
      <c r="L1846" s="1322"/>
      <c r="M1846" s="1322"/>
      <c r="N1846" s="1323"/>
      <c r="O1846" s="302"/>
      <c r="P1846" s="302"/>
      <c r="Q1846" s="729"/>
      <c r="R1846" s="694"/>
      <c r="S1846" s="729"/>
      <c r="T1846" s="694"/>
      <c r="U1846" s="694"/>
      <c r="V1846" s="694"/>
      <c r="W1846" s="694"/>
      <c r="X1846" s="694"/>
      <c r="Y1846" s="694"/>
      <c r="Z1846" s="694"/>
      <c r="AA1846" s="694"/>
      <c r="AB1846" s="694"/>
      <c r="AC1846" s="694"/>
      <c r="AD1846" s="694"/>
      <c r="AE1846" s="694"/>
      <c r="AF1846" s="694"/>
      <c r="AG1846" s="694"/>
      <c r="AH1846" s="694"/>
      <c r="AI1846" s="694"/>
      <c r="AJ1846" s="694"/>
      <c r="AK1846" s="694"/>
      <c r="AL1846" s="694"/>
    </row>
    <row r="1847" spans="1:38" ht="12.75" customHeight="1" thickBot="1" x14ac:dyDescent="0.3">
      <c r="A1847" s="694"/>
      <c r="B1847" s="298"/>
      <c r="C1847" s="1302"/>
      <c r="D1847" s="625"/>
      <c r="E1847" s="2803" t="str">
        <f>Translations!$B$542</f>
        <v>Други пораждащи емисии потоци — 2</v>
      </c>
      <c r="F1847" s="2672"/>
      <c r="G1847" s="1309" t="str">
        <f>EUconst_Unit</f>
        <v>Единица мярка</v>
      </c>
      <c r="H1847" s="629">
        <f t="shared" ref="H1847:N1847" si="2510">H$2831</f>
        <v>2024</v>
      </c>
      <c r="I1847" s="1310">
        <f t="shared" si="2510"/>
        <v>2025</v>
      </c>
      <c r="J1847" s="1311">
        <f t="shared" si="2510"/>
        <v>2026</v>
      </c>
      <c r="K1847" s="629">
        <f t="shared" si="2510"/>
        <v>2027</v>
      </c>
      <c r="L1847" s="629">
        <f t="shared" si="2510"/>
        <v>2028</v>
      </c>
      <c r="M1847" s="629">
        <f t="shared" si="2510"/>
        <v>2029</v>
      </c>
      <c r="N1847" s="1312">
        <f t="shared" si="2510"/>
        <v>2030</v>
      </c>
      <c r="O1847" s="302"/>
      <c r="P1847" s="302"/>
      <c r="Q1847" s="729"/>
      <c r="R1847" s="694"/>
      <c r="S1847" s="729"/>
      <c r="T1847" s="694"/>
      <c r="U1847" s="694"/>
      <c r="V1847" s="694"/>
      <c r="W1847" s="694"/>
      <c r="X1847" s="694"/>
      <c r="Y1847" s="694"/>
      <c r="Z1847" s="694"/>
      <c r="AA1847" s="694"/>
      <c r="AB1847" s="694"/>
      <c r="AC1847" s="1178">
        <f t="shared" ref="AC1847" si="2511">H$20</f>
        <v>2024</v>
      </c>
      <c r="AD1847" s="1178">
        <f t="shared" ref="AD1847" si="2512">I$20</f>
        <v>2025</v>
      </c>
      <c r="AE1847" s="1178">
        <f t="shared" ref="AE1847" si="2513">J$20</f>
        <v>2026</v>
      </c>
      <c r="AF1847" s="1178">
        <f t="shared" ref="AF1847" si="2514">K$20</f>
        <v>2027</v>
      </c>
      <c r="AG1847" s="1178">
        <f t="shared" ref="AG1847" si="2515">L$20</f>
        <v>2028</v>
      </c>
      <c r="AH1847" s="1178">
        <f t="shared" ref="AH1847" si="2516">M$20</f>
        <v>2029</v>
      </c>
      <c r="AI1847" s="1178">
        <f t="shared" ref="AI1847" si="2517">N$20</f>
        <v>2030</v>
      </c>
      <c r="AJ1847" s="694"/>
      <c r="AK1847" s="694"/>
      <c r="AL1847" s="694"/>
    </row>
    <row r="1848" spans="1:38" ht="12.75" customHeight="1" x14ac:dyDescent="0.25">
      <c r="A1848" s="694"/>
      <c r="B1848" s="298"/>
      <c r="C1848" s="1302"/>
      <c r="D1848" s="625" t="s">
        <v>63</v>
      </c>
      <c r="E1848" s="2818" t="str">
        <f>Translations!$B$533</f>
        <v>Получено или подадено количество</v>
      </c>
      <c r="F1848" s="2701"/>
      <c r="G1848" s="1326" t="str">
        <f>EUconst_tpa</f>
        <v>t / година</v>
      </c>
      <c r="H1848" s="129"/>
      <c r="I1848" s="130"/>
      <c r="J1848" s="131"/>
      <c r="K1848" s="129"/>
      <c r="L1848" s="129"/>
      <c r="M1848" s="129"/>
      <c r="N1848" s="132"/>
      <c r="O1848" s="302"/>
      <c r="P1848" s="158"/>
      <c r="Q1848" s="729"/>
      <c r="R1848" s="694"/>
      <c r="S1848" s="729"/>
      <c r="T1848" s="694"/>
      <c r="U1848" s="694"/>
      <c r="V1848" s="694"/>
      <c r="W1848" s="694"/>
      <c r="X1848" s="694"/>
      <c r="Y1848" s="694"/>
      <c r="Z1848" s="694"/>
      <c r="AA1848" s="694"/>
      <c r="AB1848" s="1182" t="s">
        <v>737</v>
      </c>
      <c r="AC1848" s="982" t="b">
        <f>AC1836</f>
        <v>0</v>
      </c>
      <c r="AD1848" s="982" t="b">
        <f t="shared" ref="AD1848:AI1848" si="2518">AD1836</f>
        <v>0</v>
      </c>
      <c r="AE1848" s="982" t="b">
        <f t="shared" si="2518"/>
        <v>0</v>
      </c>
      <c r="AF1848" s="982" t="b">
        <f t="shared" si="2518"/>
        <v>0</v>
      </c>
      <c r="AG1848" s="982" t="b">
        <f t="shared" si="2518"/>
        <v>0</v>
      </c>
      <c r="AH1848" s="982" t="b">
        <f t="shared" si="2518"/>
        <v>0</v>
      </c>
      <c r="AI1848" s="982" t="b">
        <f t="shared" si="2518"/>
        <v>0</v>
      </c>
      <c r="AJ1848" s="1174" t="s">
        <v>2039</v>
      </c>
      <c r="AK1848" s="1176" t="str">
        <f>IF(AND(CNTR_ExistSubInstEntries,MSconst_RequireSubAttrEmissions,COUNTIFS(AC1848:AI1848,FALSE,H1848:N1848,"")&gt;0),EUconst_Error&amp;"BM"&amp;$Q1699,"")</f>
        <v/>
      </c>
      <c r="AL1848" s="694"/>
    </row>
    <row r="1849" spans="1:38" ht="12.75" customHeight="1" x14ac:dyDescent="0.25">
      <c r="A1849" s="694"/>
      <c r="B1849" s="298"/>
      <c r="C1849" s="1302"/>
      <c r="D1849" s="625" t="s">
        <v>1136</v>
      </c>
      <c r="E1849" s="2831" t="str">
        <f>Translations!$B$534</f>
        <v>Долна топлина на изгаряне (NCV), ако е приложимо</v>
      </c>
      <c r="F1849" s="2703"/>
      <c r="G1849" s="1327" t="str">
        <f>EUconst_GJpt</f>
        <v>GJ / t</v>
      </c>
      <c r="H1849" s="133"/>
      <c r="I1849" s="134"/>
      <c r="J1849" s="135"/>
      <c r="K1849" s="133"/>
      <c r="L1849" s="133"/>
      <c r="M1849" s="133"/>
      <c r="N1849" s="136"/>
      <c r="O1849" s="302"/>
      <c r="P1849" s="158"/>
      <c r="Q1849" s="729"/>
      <c r="R1849" s="694"/>
      <c r="S1849" s="729"/>
      <c r="T1849" s="694"/>
      <c r="U1849" s="694"/>
      <c r="V1849" s="694"/>
      <c r="W1849" s="694"/>
      <c r="X1849" s="694"/>
      <c r="Y1849" s="694"/>
      <c r="Z1849" s="694"/>
      <c r="AA1849" s="694"/>
      <c r="AB1849" s="694"/>
      <c r="AC1849" s="982" t="b">
        <f t="shared" ref="AC1849:AI1849" si="2519">AC1837</f>
        <v>0</v>
      </c>
      <c r="AD1849" s="982" t="b">
        <f t="shared" si="2519"/>
        <v>0</v>
      </c>
      <c r="AE1849" s="982" t="b">
        <f t="shared" si="2519"/>
        <v>0</v>
      </c>
      <c r="AF1849" s="982" t="b">
        <f t="shared" si="2519"/>
        <v>0</v>
      </c>
      <c r="AG1849" s="982" t="b">
        <f t="shared" si="2519"/>
        <v>0</v>
      </c>
      <c r="AH1849" s="982" t="b">
        <f t="shared" si="2519"/>
        <v>0</v>
      </c>
      <c r="AI1849" s="982" t="b">
        <f t="shared" si="2519"/>
        <v>0</v>
      </c>
      <c r="AJ1849" s="1174" t="s">
        <v>2039</v>
      </c>
      <c r="AK1849" s="1176" t="str">
        <f>IF(AND(CNTR_ExistSubInstEntries,MSconst_RequireSubAttrEmissions,COUNTIFS(AC1849:AI1849,FALSE,H1849:N1849,"")&gt;0),EUconst_Error&amp;"BM"&amp;$Q1699,"")</f>
        <v/>
      </c>
      <c r="AL1849" s="694"/>
    </row>
    <row r="1850" spans="1:38" ht="12.75" customHeight="1" thickBot="1" x14ac:dyDescent="0.3">
      <c r="A1850" s="694"/>
      <c r="B1850" s="298"/>
      <c r="C1850" s="1302"/>
      <c r="D1850" s="625" t="s">
        <v>1137</v>
      </c>
      <c r="E1850" s="2831" t="str">
        <f>Translations!$B$535</f>
        <v>Въглеродно съдържание (тегловни %)</v>
      </c>
      <c r="F1850" s="2703"/>
      <c r="G1850" s="1328" t="s">
        <v>903</v>
      </c>
      <c r="H1850" s="133"/>
      <c r="I1850" s="134"/>
      <c r="J1850" s="135"/>
      <c r="K1850" s="133"/>
      <c r="L1850" s="133"/>
      <c r="M1850" s="133"/>
      <c r="N1850" s="136"/>
      <c r="O1850" s="302"/>
      <c r="P1850" s="158"/>
      <c r="Q1850" s="729"/>
      <c r="R1850" s="694"/>
      <c r="S1850" s="729"/>
      <c r="T1850" s="694"/>
      <c r="U1850" s="694"/>
      <c r="V1850" s="694"/>
      <c r="W1850" s="694"/>
      <c r="X1850" s="694"/>
      <c r="Y1850" s="694"/>
      <c r="Z1850" s="694"/>
      <c r="AA1850" s="694"/>
      <c r="AB1850" s="694"/>
      <c r="AC1850" s="982" t="b">
        <f t="shared" ref="AC1850:AI1850" si="2520">AC1838</f>
        <v>0</v>
      </c>
      <c r="AD1850" s="982" t="b">
        <f t="shared" si="2520"/>
        <v>0</v>
      </c>
      <c r="AE1850" s="982" t="b">
        <f t="shared" si="2520"/>
        <v>0</v>
      </c>
      <c r="AF1850" s="982" t="b">
        <f t="shared" si="2520"/>
        <v>0</v>
      </c>
      <c r="AG1850" s="982" t="b">
        <f t="shared" si="2520"/>
        <v>0</v>
      </c>
      <c r="AH1850" s="982" t="b">
        <f t="shared" si="2520"/>
        <v>0</v>
      </c>
      <c r="AI1850" s="982" t="b">
        <f t="shared" si="2520"/>
        <v>0</v>
      </c>
      <c r="AJ1850" s="1174" t="s">
        <v>2039</v>
      </c>
      <c r="AK1850" s="1176" t="str">
        <f>IF(AND(CNTR_ExistSubInstEntries,MSconst_RequireSubAttrEmissions,COUNTIFS(AC1850:AI1850,FALSE,H1850:N1850,"")&gt;0),EUconst_Error&amp;"BM"&amp;$Q1699,"")</f>
        <v/>
      </c>
      <c r="AL1850" s="694"/>
    </row>
    <row r="1851" spans="1:38" ht="12.75" customHeight="1" x14ac:dyDescent="0.25">
      <c r="A1851" s="694"/>
      <c r="B1851" s="298"/>
      <c r="C1851" s="1302"/>
      <c r="D1851" s="625" t="s">
        <v>1138</v>
      </c>
      <c r="E1851" s="2828" t="str">
        <f>Translations!$B$536</f>
        <v>Съдържание на биомаса (като дял от въглеродното съдържание)</v>
      </c>
      <c r="F1851" s="2705"/>
      <c r="G1851" s="1329" t="s">
        <v>903</v>
      </c>
      <c r="H1851" s="137"/>
      <c r="I1851" s="138"/>
      <c r="J1851" s="139"/>
      <c r="K1851" s="137"/>
      <c r="L1851" s="137"/>
      <c r="M1851" s="137"/>
      <c r="N1851" s="140"/>
      <c r="O1851" s="302"/>
      <c r="P1851" s="158"/>
      <c r="Q1851" s="729"/>
      <c r="R1851" s="694"/>
      <c r="S1851" s="1205"/>
      <c r="T1851" s="1313">
        <f t="shared" ref="T1851" si="2521">H1847</f>
        <v>2024</v>
      </c>
      <c r="U1851" s="1313">
        <f t="shared" ref="U1851" si="2522">I1847</f>
        <v>2025</v>
      </c>
      <c r="V1851" s="1313">
        <f t="shared" ref="V1851" si="2523">J1847</f>
        <v>2026</v>
      </c>
      <c r="W1851" s="1313">
        <f t="shared" ref="W1851" si="2524">K1847</f>
        <v>2027</v>
      </c>
      <c r="X1851" s="1313">
        <f t="shared" ref="X1851" si="2525">L1847</f>
        <v>2028</v>
      </c>
      <c r="Y1851" s="1313">
        <f t="shared" ref="Y1851" si="2526">M1847</f>
        <v>2029</v>
      </c>
      <c r="Z1851" s="1314">
        <f t="shared" ref="Z1851" si="2527">N1847</f>
        <v>2030</v>
      </c>
      <c r="AA1851" s="694"/>
      <c r="AB1851" s="694"/>
      <c r="AC1851" s="982" t="b">
        <f t="shared" ref="AC1851:AI1851" si="2528">AC1839</f>
        <v>0</v>
      </c>
      <c r="AD1851" s="982" t="b">
        <f t="shared" si="2528"/>
        <v>0</v>
      </c>
      <c r="AE1851" s="982" t="b">
        <f t="shared" si="2528"/>
        <v>0</v>
      </c>
      <c r="AF1851" s="982" t="b">
        <f t="shared" si="2528"/>
        <v>0</v>
      </c>
      <c r="AG1851" s="982" t="b">
        <f t="shared" si="2528"/>
        <v>0</v>
      </c>
      <c r="AH1851" s="982" t="b">
        <f t="shared" si="2528"/>
        <v>0</v>
      </c>
      <c r="AI1851" s="982" t="b">
        <f t="shared" si="2528"/>
        <v>0</v>
      </c>
      <c r="AJ1851" s="1174" t="s">
        <v>2039</v>
      </c>
      <c r="AK1851" s="1176" t="str">
        <f>IF(AND(CNTR_ExistSubInstEntries,MSconst_RequireSubAttrEmissions,COUNTIFS(AC1851:AI1851,FALSE,H1851:N1851,"")&gt;0),EUconst_Error&amp;"BM"&amp;$Q1699,"")</f>
        <v/>
      </c>
      <c r="AL1851" s="694"/>
    </row>
    <row r="1852" spans="1:38" ht="12.75" customHeight="1" thickBot="1" x14ac:dyDescent="0.3">
      <c r="A1852" s="694"/>
      <c r="B1852" s="298"/>
      <c r="C1852" s="1302"/>
      <c r="D1852" s="625" t="s">
        <v>1139</v>
      </c>
      <c r="E1852" s="2832" t="str">
        <f>Translations!$B$537</f>
        <v>Емисии (от горива, изчислени)</v>
      </c>
      <c r="F1852" s="2701"/>
      <c r="G1852" s="1330" t="str">
        <f>EUconst_tCO2pa</f>
        <v>t CO2 / година</v>
      </c>
      <c r="H1852" s="1331" t="str">
        <f t="shared" ref="H1852:N1852" si="2529">IF(AND(COUNT(H1848:H1851)&gt;0,H1855=""),3.664*H1848*(H1850/100)*(1-H1851/100),"")</f>
        <v/>
      </c>
      <c r="I1852" s="1332" t="str">
        <f t="shared" si="2529"/>
        <v/>
      </c>
      <c r="J1852" s="1333" t="str">
        <f t="shared" si="2529"/>
        <v/>
      </c>
      <c r="K1852" s="1331" t="str">
        <f t="shared" si="2529"/>
        <v/>
      </c>
      <c r="L1852" s="1331" t="str">
        <f t="shared" si="2529"/>
        <v/>
      </c>
      <c r="M1852" s="1331" t="str">
        <f t="shared" si="2529"/>
        <v/>
      </c>
      <c r="N1852" s="1334" t="str">
        <f t="shared" si="2529"/>
        <v/>
      </c>
      <c r="O1852" s="302"/>
      <c r="P1852" s="302"/>
      <c r="Q1852" s="1190" t="str">
        <f>EUconst_CNTR_EmissionsIntSource2 &amp; I1699</f>
        <v>EmInternalSource2_</v>
      </c>
      <c r="R1852" s="694"/>
      <c r="S1852" s="1315" t="str">
        <f>EUconst_CNTR_AttributedEmissions &amp; I1699</f>
        <v>AttrEmissions_</v>
      </c>
      <c r="T1852" s="1290" t="str">
        <f t="shared" ref="T1852" si="2530">IF(T1707,SUM(H1852),"")</f>
        <v/>
      </c>
      <c r="U1852" s="1290" t="str">
        <f t="shared" ref="U1852" si="2531">IF(U1707,SUM(I1852),"")</f>
        <v/>
      </c>
      <c r="V1852" s="1290" t="str">
        <f t="shared" ref="V1852" si="2532">IF(V1707,SUM(J1852),"")</f>
        <v/>
      </c>
      <c r="W1852" s="1290" t="str">
        <f t="shared" ref="W1852" si="2533">IF(W1707,SUM(K1852),"")</f>
        <v/>
      </c>
      <c r="X1852" s="1290" t="str">
        <f t="shared" ref="X1852" si="2534">IF(X1707,SUM(L1852),"")</f>
        <v/>
      </c>
      <c r="Y1852" s="1290" t="str">
        <f t="shared" ref="Y1852" si="2535">IF(Y1707,SUM(M1852),"")</f>
        <v/>
      </c>
      <c r="Z1852" s="1291" t="str">
        <f t="shared" ref="Z1852" si="2536">IF(Z1707,SUM(N1852),"")</f>
        <v/>
      </c>
      <c r="AA1852" s="694"/>
      <c r="AB1852" s="694"/>
      <c r="AC1852" s="694"/>
      <c r="AD1852" s="694"/>
      <c r="AE1852" s="694"/>
      <c r="AF1852" s="694"/>
      <c r="AG1852" s="694"/>
      <c r="AH1852" s="694"/>
      <c r="AI1852" s="694"/>
      <c r="AJ1852" s="694"/>
      <c r="AK1852" s="694"/>
      <c r="AL1852" s="694"/>
    </row>
    <row r="1853" spans="1:38" ht="12.75" customHeight="1" x14ac:dyDescent="0.25">
      <c r="A1853" s="694"/>
      <c r="B1853" s="298"/>
      <c r="C1853" s="1302"/>
      <c r="D1853" s="625" t="s">
        <v>1140</v>
      </c>
      <c r="E1853" s="2833" t="str">
        <f>Translations!$B$538</f>
        <v>Допълнителна информация за справка: Емисии от биомаса</v>
      </c>
      <c r="F1853" s="2703"/>
      <c r="G1853" s="1335" t="str">
        <f>EUconst_tCO2pa</f>
        <v>t CO2 / година</v>
      </c>
      <c r="H1853" s="1336" t="str">
        <f t="shared" ref="H1853:N1853" si="2537">IF(ISNUMBER(H1852),3.664*H1848*(H1850/100)*(H1851/100),"")</f>
        <v/>
      </c>
      <c r="I1853" s="1337" t="str">
        <f t="shared" si="2537"/>
        <v/>
      </c>
      <c r="J1853" s="1338" t="str">
        <f t="shared" si="2537"/>
        <v/>
      </c>
      <c r="K1853" s="1336" t="str">
        <f t="shared" si="2537"/>
        <v/>
      </c>
      <c r="L1853" s="1336" t="str">
        <f t="shared" si="2537"/>
        <v/>
      </c>
      <c r="M1853" s="1336" t="str">
        <f t="shared" si="2537"/>
        <v/>
      </c>
      <c r="N1853" s="1339" t="str">
        <f t="shared" si="2537"/>
        <v/>
      </c>
      <c r="O1853" s="302"/>
      <c r="P1853" s="302"/>
      <c r="Q1853" s="729"/>
      <c r="R1853" s="694"/>
      <c r="S1853" s="729"/>
      <c r="T1853" s="694"/>
      <c r="U1853" s="694"/>
      <c r="V1853" s="694"/>
      <c r="W1853" s="694"/>
      <c r="X1853" s="694"/>
      <c r="Y1853" s="694"/>
      <c r="Z1853" s="694"/>
      <c r="AA1853" s="694"/>
      <c r="AB1853" s="694"/>
      <c r="AC1853" s="694"/>
      <c r="AD1853" s="694"/>
      <c r="AE1853" s="694"/>
      <c r="AF1853" s="694"/>
      <c r="AG1853" s="694"/>
      <c r="AH1853" s="694"/>
      <c r="AI1853" s="694"/>
      <c r="AJ1853" s="694"/>
      <c r="AK1853" s="694"/>
      <c r="AL1853" s="694"/>
    </row>
    <row r="1854" spans="1:38" ht="12.75" customHeight="1" x14ac:dyDescent="0.25">
      <c r="A1854" s="694"/>
      <c r="B1854" s="298"/>
      <c r="C1854" s="1302"/>
      <c r="D1854" s="625" t="s">
        <v>1141</v>
      </c>
      <c r="E1854" s="2828" t="str">
        <f>Translations!$B$539</f>
        <v>Енергийно съдържание (изчислено)</v>
      </c>
      <c r="F1854" s="2705"/>
      <c r="G1854" s="1340" t="str">
        <f>EUconst_TJpa</f>
        <v>TJ / година</v>
      </c>
      <c r="H1854" s="1104" t="str">
        <f t="shared" ref="H1854:N1854" si="2538">IF(COUNT(H1848:H1849)=2,H1848*H1849/1000,"")</f>
        <v/>
      </c>
      <c r="I1854" s="1296" t="str">
        <f t="shared" si="2538"/>
        <v/>
      </c>
      <c r="J1854" s="1297" t="str">
        <f t="shared" si="2538"/>
        <v/>
      </c>
      <c r="K1854" s="1104" t="str">
        <f t="shared" si="2538"/>
        <v/>
      </c>
      <c r="L1854" s="1104" t="str">
        <f t="shared" si="2538"/>
        <v/>
      </c>
      <c r="M1854" s="1104" t="str">
        <f t="shared" si="2538"/>
        <v/>
      </c>
      <c r="N1854" s="1341" t="str">
        <f t="shared" si="2538"/>
        <v/>
      </c>
      <c r="O1854" s="302"/>
      <c r="P1854" s="302"/>
      <c r="Q1854" s="729"/>
      <c r="R1854" s="694"/>
      <c r="S1854" s="729"/>
      <c r="T1854" s="694"/>
      <c r="U1854" s="694"/>
      <c r="V1854" s="694"/>
      <c r="W1854" s="694"/>
      <c r="X1854" s="694"/>
      <c r="Y1854" s="694"/>
      <c r="Z1854" s="694"/>
      <c r="AA1854" s="694"/>
      <c r="AB1854" s="694"/>
      <c r="AC1854" s="694"/>
      <c r="AD1854" s="694"/>
      <c r="AE1854" s="694"/>
      <c r="AF1854" s="694"/>
      <c r="AG1854" s="694"/>
      <c r="AH1854" s="694"/>
      <c r="AI1854" s="694"/>
      <c r="AJ1854" s="694"/>
      <c r="AK1854" s="694"/>
      <c r="AL1854" s="694"/>
    </row>
    <row r="1855" spans="1:38" ht="12.75" customHeight="1" x14ac:dyDescent="0.25">
      <c r="A1855" s="694"/>
      <c r="B1855" s="298"/>
      <c r="C1855" s="1302"/>
      <c r="D1855" s="625" t="s">
        <v>1137</v>
      </c>
      <c r="E1855" s="2829" t="str">
        <f>Translations!$B$540</f>
        <v>Съобщения за грешка (емисии)</v>
      </c>
      <c r="F1855" s="2830"/>
      <c r="G1855" s="1342"/>
      <c r="H1855" s="1343" t="str">
        <f t="shared" ref="H1855:N1855" si="2539">IF(COUNT(H1848,H1850:H1851)&gt;0,IF(COUNTIF(H1849:H1851,"&lt;0")&gt;0,EUconst_Negative,IF(COUNT(H1848,H1850:H1851)&lt;3,EUconst_Incomplete,"")),"")</f>
        <v/>
      </c>
      <c r="I1855" s="1344" t="str">
        <f t="shared" si="2539"/>
        <v/>
      </c>
      <c r="J1855" s="1345" t="str">
        <f t="shared" si="2539"/>
        <v/>
      </c>
      <c r="K1855" s="1343" t="str">
        <f t="shared" si="2539"/>
        <v/>
      </c>
      <c r="L1855" s="1343" t="str">
        <f t="shared" si="2539"/>
        <v/>
      </c>
      <c r="M1855" s="1343" t="str">
        <f t="shared" si="2539"/>
        <v/>
      </c>
      <c r="N1855" s="1346" t="str">
        <f t="shared" si="2539"/>
        <v/>
      </c>
      <c r="O1855" s="302"/>
      <c r="P1855" s="302"/>
      <c r="Q1855" s="729"/>
      <c r="R1855" s="694"/>
      <c r="S1855" s="729"/>
      <c r="T1855" s="694"/>
      <c r="U1855" s="694"/>
      <c r="V1855" s="694"/>
      <c r="W1855" s="694"/>
      <c r="X1855" s="694"/>
      <c r="Y1855" s="694"/>
      <c r="Z1855" s="694"/>
      <c r="AA1855" s="694"/>
      <c r="AB1855" s="694"/>
      <c r="AC1855" s="694"/>
      <c r="AD1855" s="694"/>
      <c r="AE1855" s="694"/>
      <c r="AF1855" s="694"/>
      <c r="AG1855" s="694"/>
      <c r="AH1855" s="694"/>
      <c r="AI1855" s="694"/>
      <c r="AJ1855" s="694"/>
      <c r="AK1855" s="694"/>
      <c r="AL1855" s="694"/>
    </row>
    <row r="1856" spans="1:38" ht="12.75" customHeight="1" x14ac:dyDescent="0.25">
      <c r="A1856" s="694"/>
      <c r="B1856" s="298"/>
      <c r="C1856" s="1302"/>
      <c r="D1856" s="1306"/>
      <c r="E1856" s="1306"/>
      <c r="F1856" s="1306"/>
      <c r="G1856" s="1306"/>
      <c r="H1856" s="1306"/>
      <c r="I1856" s="1306"/>
      <c r="J1856" s="1306"/>
      <c r="K1856" s="1306"/>
      <c r="L1856" s="1306"/>
      <c r="M1856" s="626"/>
      <c r="N1856" s="1316"/>
      <c r="O1856" s="302"/>
      <c r="P1856" s="302"/>
      <c r="Q1856" s="729"/>
      <c r="R1856" s="694"/>
      <c r="S1856" s="729"/>
      <c r="T1856" s="694"/>
      <c r="U1856" s="694"/>
      <c r="V1856" s="694"/>
      <c r="W1856" s="694"/>
      <c r="X1856" s="694"/>
      <c r="Y1856" s="694"/>
      <c r="Z1856" s="694"/>
      <c r="AA1856" s="694"/>
      <c r="AB1856" s="694"/>
      <c r="AC1856" s="694"/>
      <c r="AD1856" s="694"/>
      <c r="AE1856" s="694"/>
      <c r="AF1856" s="694"/>
      <c r="AG1856" s="694"/>
      <c r="AH1856" s="694"/>
      <c r="AI1856" s="694"/>
      <c r="AJ1856" s="694"/>
      <c r="AK1856" s="694"/>
      <c r="AL1856" s="694"/>
    </row>
    <row r="1857" spans="1:38" ht="12.75" customHeight="1" x14ac:dyDescent="0.25">
      <c r="A1857" s="694"/>
      <c r="B1857" s="298"/>
      <c r="C1857" s="1302"/>
      <c r="D1857" s="1307" t="s">
        <v>489</v>
      </c>
      <c r="E1857" s="2815" t="str">
        <f>Translations!$B$543</f>
        <v>Количество на парникови газове, които са получени или подадени като суровини</v>
      </c>
      <c r="F1857" s="2240"/>
      <c r="G1857" s="2240"/>
      <c r="H1857" s="2240"/>
      <c r="I1857" s="2240"/>
      <c r="J1857" s="2240"/>
      <c r="K1857" s="2240"/>
      <c r="L1857" s="2240"/>
      <c r="M1857" s="2240"/>
      <c r="N1857" s="2811"/>
      <c r="O1857" s="302"/>
      <c r="P1857" s="302"/>
      <c r="Q1857" s="729"/>
      <c r="R1857" s="694"/>
      <c r="S1857" s="729"/>
      <c r="T1857" s="694"/>
      <c r="U1857" s="694"/>
      <c r="V1857" s="694"/>
      <c r="W1857" s="694"/>
      <c r="X1857" s="694"/>
      <c r="Y1857" s="694"/>
      <c r="Z1857" s="694"/>
      <c r="AA1857" s="694"/>
      <c r="AB1857" s="694"/>
      <c r="AC1857" s="694"/>
      <c r="AD1857" s="694"/>
      <c r="AE1857" s="694"/>
      <c r="AF1857" s="694"/>
      <c r="AG1857" s="694"/>
      <c r="AH1857" s="694"/>
      <c r="AI1857" s="694"/>
      <c r="AJ1857" s="694"/>
      <c r="AK1857" s="694"/>
      <c r="AL1857" s="694"/>
    </row>
    <row r="1858" spans="1:38" ht="12.75" customHeight="1" x14ac:dyDescent="0.25">
      <c r="A1858" s="694"/>
      <c r="B1858" s="298"/>
      <c r="C1858" s="1302"/>
      <c r="D1858" s="625"/>
      <c r="E1858" s="2816" t="str">
        <f>Translations!$B$508</f>
        <v>Посочените тук данни ще се отразят на емисиите, които могат да бъдат зададени съгласно раздел 10.1.1 от приложение VII към ПБР.</v>
      </c>
      <c r="F1858" s="2240"/>
      <c r="G1858" s="2240"/>
      <c r="H1858" s="2240"/>
      <c r="I1858" s="2240"/>
      <c r="J1858" s="2240"/>
      <c r="K1858" s="2240"/>
      <c r="L1858" s="2240"/>
      <c r="M1858" s="2240"/>
      <c r="N1858" s="2811"/>
      <c r="O1858" s="302"/>
      <c r="P1858" s="302"/>
      <c r="Q1858" s="729"/>
      <c r="R1858" s="694"/>
      <c r="S1858" s="729"/>
      <c r="T1858" s="729"/>
      <c r="U1858" s="729"/>
      <c r="V1858" s="729"/>
      <c r="W1858" s="694"/>
      <c r="X1858" s="694"/>
      <c r="Y1858" s="694"/>
      <c r="Z1858" s="694"/>
      <c r="AA1858" s="694"/>
      <c r="AB1858" s="694"/>
      <c r="AC1858" s="694"/>
      <c r="AD1858" s="694"/>
      <c r="AE1858" s="694"/>
      <c r="AF1858" s="694"/>
      <c r="AG1858" s="694"/>
      <c r="AH1858" s="694"/>
      <c r="AI1858" s="694"/>
      <c r="AJ1858" s="694"/>
      <c r="AK1858" s="694"/>
      <c r="AL1858" s="694"/>
    </row>
    <row r="1859" spans="1:38" ht="25.5" customHeight="1" x14ac:dyDescent="0.25">
      <c r="A1859" s="694"/>
      <c r="B1859" s="298"/>
      <c r="C1859" s="1302"/>
      <c r="D1859" s="1306"/>
      <c r="E1859" s="2810" t="str">
        <f>Translations!$B$544</f>
        <v>Съгласно раздел 3.1, букви к) и л) от приложение IV към ПБР, моля, посочете тук количеството на прехвърления CO2, получен от или подаден към други подинсталации, инсталации или други обекти, съгласно правилата, определени в Регламента относно мониторинга и докладването.</v>
      </c>
      <c r="F1859" s="2240"/>
      <c r="G1859" s="2240"/>
      <c r="H1859" s="2240"/>
      <c r="I1859" s="2240"/>
      <c r="J1859" s="2240"/>
      <c r="K1859" s="2240"/>
      <c r="L1859" s="2240"/>
      <c r="M1859" s="2240"/>
      <c r="N1859" s="2811"/>
      <c r="O1859" s="302"/>
      <c r="P1859" s="302"/>
      <c r="Q1859" s="729"/>
      <c r="R1859" s="694"/>
      <c r="S1859" s="729"/>
      <c r="T1859" s="694"/>
      <c r="U1859" s="694"/>
      <c r="V1859" s="694"/>
      <c r="W1859" s="694"/>
      <c r="X1859" s="694"/>
      <c r="Y1859" s="694"/>
      <c r="Z1859" s="694"/>
      <c r="AA1859" s="694"/>
      <c r="AB1859" s="694"/>
      <c r="AC1859" s="694"/>
      <c r="AD1859" s="694"/>
      <c r="AE1859" s="694"/>
      <c r="AF1859" s="694"/>
      <c r="AG1859" s="694"/>
      <c r="AH1859" s="694"/>
      <c r="AI1859" s="694"/>
      <c r="AJ1859" s="694"/>
      <c r="AK1859" s="694"/>
      <c r="AL1859" s="694"/>
    </row>
    <row r="1860" spans="1:38" ht="12.75" customHeight="1" thickBot="1" x14ac:dyDescent="0.3">
      <c r="A1860" s="694"/>
      <c r="B1860" s="298"/>
      <c r="C1860" s="1302"/>
      <c r="D1860" s="1306"/>
      <c r="E1860" s="2810" t="str">
        <f>Translations!$B$545</f>
        <v>Подадените количества трябва да се въведат като отрицателни стойности и да съответстват на подадения CO2, който не е изпуснат в атмосферата от тази подинсталация.</v>
      </c>
      <c r="F1860" s="2240"/>
      <c r="G1860" s="2240"/>
      <c r="H1860" s="2240"/>
      <c r="I1860" s="2240"/>
      <c r="J1860" s="2240"/>
      <c r="K1860" s="2240"/>
      <c r="L1860" s="2240"/>
      <c r="M1860" s="2240"/>
      <c r="N1860" s="2811"/>
      <c r="O1860" s="302"/>
      <c r="P1860" s="302"/>
      <c r="Q1860" s="729"/>
      <c r="R1860" s="694"/>
      <c r="S1860" s="729"/>
      <c r="T1860" s="694"/>
      <c r="U1860" s="694"/>
      <c r="V1860" s="694"/>
      <c r="W1860" s="694"/>
      <c r="X1860" s="694"/>
      <c r="Y1860" s="694"/>
      <c r="Z1860" s="694"/>
      <c r="AA1860" s="694"/>
      <c r="AB1860" s="694"/>
      <c r="AC1860" s="694"/>
      <c r="AD1860" s="694"/>
      <c r="AE1860" s="694"/>
      <c r="AF1860" s="694"/>
      <c r="AG1860" s="694"/>
      <c r="AH1860" s="694"/>
      <c r="AI1860" s="694"/>
      <c r="AJ1860" s="694"/>
      <c r="AK1860" s="694"/>
      <c r="AL1860" s="694"/>
    </row>
    <row r="1861" spans="1:38" ht="12.75" customHeight="1" thickBot="1" x14ac:dyDescent="0.3">
      <c r="A1861" s="694"/>
      <c r="B1861" s="298"/>
      <c r="C1861" s="1302"/>
      <c r="D1861" s="1307"/>
      <c r="E1861" s="1317"/>
      <c r="F1861" s="1318"/>
      <c r="G1861" s="1309" t="str">
        <f>EUconst_Unit</f>
        <v>Единица мярка</v>
      </c>
      <c r="H1861" s="629">
        <f t="shared" ref="H1861:N1861" si="2540">H$2831</f>
        <v>2024</v>
      </c>
      <c r="I1861" s="1310">
        <f t="shared" si="2540"/>
        <v>2025</v>
      </c>
      <c r="J1861" s="1311">
        <f t="shared" si="2540"/>
        <v>2026</v>
      </c>
      <c r="K1861" s="629">
        <f t="shared" si="2540"/>
        <v>2027</v>
      </c>
      <c r="L1861" s="629">
        <f t="shared" si="2540"/>
        <v>2028</v>
      </c>
      <c r="M1861" s="629">
        <f t="shared" si="2540"/>
        <v>2029</v>
      </c>
      <c r="N1861" s="1312">
        <f t="shared" si="2540"/>
        <v>2030</v>
      </c>
      <c r="O1861" s="302"/>
      <c r="P1861" s="302"/>
      <c r="Q1861" s="729"/>
      <c r="R1861" s="694"/>
      <c r="S1861" s="1205"/>
      <c r="T1861" s="1313">
        <f t="shared" ref="T1861" si="2541">H1861</f>
        <v>2024</v>
      </c>
      <c r="U1861" s="1313">
        <f t="shared" ref="U1861" si="2542">I1861</f>
        <v>2025</v>
      </c>
      <c r="V1861" s="1313">
        <f t="shared" ref="V1861" si="2543">J1861</f>
        <v>2026</v>
      </c>
      <c r="W1861" s="1313">
        <f t="shared" ref="W1861" si="2544">K1861</f>
        <v>2027</v>
      </c>
      <c r="X1861" s="1313">
        <f t="shared" ref="X1861" si="2545">L1861</f>
        <v>2028</v>
      </c>
      <c r="Y1861" s="1313">
        <f t="shared" ref="Y1861" si="2546">M1861</f>
        <v>2029</v>
      </c>
      <c r="Z1861" s="1314">
        <f t="shared" ref="Z1861" si="2547">N1861</f>
        <v>2030</v>
      </c>
      <c r="AA1861" s="694"/>
      <c r="AB1861" s="694"/>
      <c r="AC1861" s="1178">
        <f t="shared" ref="AC1861" si="2548">H$20</f>
        <v>2024</v>
      </c>
      <c r="AD1861" s="1178">
        <f t="shared" ref="AD1861" si="2549">I$20</f>
        <v>2025</v>
      </c>
      <c r="AE1861" s="1178">
        <f t="shared" ref="AE1861" si="2550">J$20</f>
        <v>2026</v>
      </c>
      <c r="AF1861" s="1178">
        <f t="shared" ref="AF1861" si="2551">K$20</f>
        <v>2027</v>
      </c>
      <c r="AG1861" s="1178">
        <f t="shared" ref="AG1861" si="2552">L$20</f>
        <v>2028</v>
      </c>
      <c r="AH1861" s="1178">
        <f t="shared" ref="AH1861" si="2553">M$20</f>
        <v>2029</v>
      </c>
      <c r="AI1861" s="1178">
        <f t="shared" ref="AI1861" si="2554">N$20</f>
        <v>2030</v>
      </c>
      <c r="AJ1861" s="694"/>
      <c r="AK1861" s="694"/>
      <c r="AL1861" s="694"/>
    </row>
    <row r="1862" spans="1:38" ht="12.75" customHeight="1" thickBot="1" x14ac:dyDescent="0.3">
      <c r="A1862" s="694"/>
      <c r="B1862" s="298"/>
      <c r="C1862" s="1302"/>
      <c r="D1862" s="625"/>
      <c r="E1862" s="2820" t="str">
        <f>Translations!$B$546</f>
        <v>Получени или подадени парникови газове</v>
      </c>
      <c r="F1862" s="2258"/>
      <c r="G1862" s="1319" t="str">
        <f>EUconst_tCO2epa</f>
        <v>t CO2e/година</v>
      </c>
      <c r="H1862" s="56"/>
      <c r="I1862" s="115"/>
      <c r="J1862" s="118"/>
      <c r="K1862" s="56"/>
      <c r="L1862" s="56"/>
      <c r="M1862" s="56"/>
      <c r="N1862" s="121"/>
      <c r="O1862" s="302"/>
      <c r="P1862" s="158"/>
      <c r="Q1862" s="1190" t="str">
        <f>EUconst_CNTR_CO2Feedstock &amp; I1699</f>
        <v>EmCO2Feedstock_</v>
      </c>
      <c r="R1862" s="694"/>
      <c r="S1862" s="1315" t="str">
        <f>EUconst_CNTR_AttributedEmissions &amp; I1699</f>
        <v>AttrEmissions_</v>
      </c>
      <c r="T1862" s="1290" t="str">
        <f t="shared" ref="T1862" si="2555">IF(T1707,SUM(H1862),"")</f>
        <v/>
      </c>
      <c r="U1862" s="1290" t="str">
        <f t="shared" ref="U1862" si="2556">IF(U1707,SUM(I1862),"")</f>
        <v/>
      </c>
      <c r="V1862" s="1290" t="str">
        <f t="shared" ref="V1862" si="2557">IF(V1707,SUM(J1862),"")</f>
        <v/>
      </c>
      <c r="W1862" s="1290" t="str">
        <f t="shared" ref="W1862" si="2558">IF(W1707,SUM(K1862),"")</f>
        <v/>
      </c>
      <c r="X1862" s="1290" t="str">
        <f t="shared" ref="X1862" si="2559">IF(X1707,SUM(L1862),"")</f>
        <v/>
      </c>
      <c r="Y1862" s="1290" t="str">
        <f t="shared" ref="Y1862" si="2560">IF(Y1707,SUM(M1862),"")</f>
        <v/>
      </c>
      <c r="Z1862" s="1291" t="str">
        <f t="shared" ref="Z1862" si="2561">IF(Z1707,SUM(N1862),"")</f>
        <v/>
      </c>
      <c r="AA1862" s="694"/>
      <c r="AB1862" s="1182" t="s">
        <v>737</v>
      </c>
      <c r="AC1862" s="982" t="b">
        <f>AC1746</f>
        <v>0</v>
      </c>
      <c r="AD1862" s="982" t="b">
        <f t="shared" ref="AD1862:AI1862" si="2562">AD1746</f>
        <v>0</v>
      </c>
      <c r="AE1862" s="982" t="b">
        <f t="shared" si="2562"/>
        <v>0</v>
      </c>
      <c r="AF1862" s="982" t="b">
        <f t="shared" si="2562"/>
        <v>0</v>
      </c>
      <c r="AG1862" s="982" t="b">
        <f t="shared" si="2562"/>
        <v>0</v>
      </c>
      <c r="AH1862" s="982" t="b">
        <f t="shared" si="2562"/>
        <v>0</v>
      </c>
      <c r="AI1862" s="982" t="b">
        <f t="shared" si="2562"/>
        <v>0</v>
      </c>
      <c r="AJ1862" s="1174" t="s">
        <v>2039</v>
      </c>
      <c r="AK1862" s="1176" t="str">
        <f>IF(AND(CNTR_ExistSubInstEntries,MSconst_RequireSubAttrEmissions,COUNTIFS(AC1862:AI1862,FALSE,H1862:N1862,"")&gt;0),EUconst_Error&amp;"BM"&amp;$Q1699,"")</f>
        <v/>
      </c>
      <c r="AL1862" s="694"/>
    </row>
    <row r="1863" spans="1:38" ht="12.75" customHeight="1" x14ac:dyDescent="0.25">
      <c r="A1863" s="694"/>
      <c r="B1863" s="298"/>
      <c r="C1863" s="1302"/>
      <c r="D1863" s="1306"/>
      <c r="E1863" s="1306"/>
      <c r="F1863" s="1306"/>
      <c r="G1863" s="1306"/>
      <c r="H1863" s="1306"/>
      <c r="I1863" s="1306"/>
      <c r="J1863" s="1306"/>
      <c r="K1863" s="1306"/>
      <c r="L1863" s="1306"/>
      <c r="M1863" s="626"/>
      <c r="N1863" s="1316"/>
      <c r="O1863" s="302"/>
      <c r="P1863" s="302"/>
      <c r="Q1863" s="729"/>
      <c r="R1863" s="694"/>
      <c r="S1863" s="729"/>
      <c r="T1863" s="694"/>
      <c r="U1863" s="694"/>
      <c r="V1863" s="694"/>
      <c r="W1863" s="694"/>
      <c r="X1863" s="694"/>
      <c r="Y1863" s="694"/>
      <c r="Z1863" s="694"/>
      <c r="AA1863" s="694"/>
      <c r="AB1863" s="694"/>
      <c r="AC1863" s="694"/>
      <c r="AD1863" s="694"/>
      <c r="AE1863" s="694"/>
      <c r="AF1863" s="694"/>
      <c r="AG1863" s="694"/>
      <c r="AH1863" s="694"/>
      <c r="AI1863" s="694"/>
      <c r="AJ1863" s="694"/>
      <c r="AK1863" s="694"/>
      <c r="AL1863" s="694"/>
    </row>
    <row r="1864" spans="1:38" ht="12.75" customHeight="1" x14ac:dyDescent="0.25">
      <c r="A1864" s="694"/>
      <c r="B1864" s="298"/>
      <c r="C1864" s="1302"/>
      <c r="D1864" s="1307" t="s">
        <v>490</v>
      </c>
      <c r="E1864" s="2815" t="str">
        <f>Translations!$B$547</f>
        <v>Получаване и подаване на измерима топлинна енергия от тази подинсталация</v>
      </c>
      <c r="F1864" s="2240"/>
      <c r="G1864" s="2240"/>
      <c r="H1864" s="2240"/>
      <c r="I1864" s="2240"/>
      <c r="J1864" s="2240"/>
      <c r="K1864" s="2240"/>
      <c r="L1864" s="2240"/>
      <c r="M1864" s="2240"/>
      <c r="N1864" s="2811"/>
      <c r="O1864" s="302"/>
      <c r="P1864" s="302"/>
      <c r="Q1864" s="729"/>
      <c r="R1864" s="694"/>
      <c r="S1864" s="729"/>
      <c r="T1864" s="694"/>
      <c r="U1864" s="694"/>
      <c r="V1864" s="694"/>
      <c r="W1864" s="694"/>
      <c r="X1864" s="694"/>
      <c r="Y1864" s="694"/>
      <c r="Z1864" s="694"/>
      <c r="AA1864" s="694"/>
      <c r="AB1864" s="694"/>
      <c r="AC1864" s="694"/>
      <c r="AD1864" s="694"/>
      <c r="AE1864" s="694"/>
      <c r="AF1864" s="694"/>
      <c r="AG1864" s="694"/>
      <c r="AH1864" s="694"/>
      <c r="AI1864" s="694"/>
      <c r="AJ1864" s="694"/>
      <c r="AK1864" s="694"/>
      <c r="AL1864" s="694"/>
    </row>
    <row r="1865" spans="1:38" ht="12.75" customHeight="1" x14ac:dyDescent="0.25">
      <c r="A1865" s="694"/>
      <c r="B1865" s="298"/>
      <c r="C1865" s="1302"/>
      <c r="D1865" s="625"/>
      <c r="E1865" s="2816" t="str">
        <f>Translations!$B$548</f>
        <v>Посочените тук данни ще се отразят на емисиите, които могат да бъдат зададени съгласно раздел 10.1.2 и 10.1.3 от приложение VII към ПБР.</v>
      </c>
      <c r="F1865" s="2240"/>
      <c r="G1865" s="2240"/>
      <c r="H1865" s="2240"/>
      <c r="I1865" s="2240"/>
      <c r="J1865" s="2240"/>
      <c r="K1865" s="2240"/>
      <c r="L1865" s="2240"/>
      <c r="M1865" s="2240"/>
      <c r="N1865" s="2811"/>
      <c r="O1865" s="302"/>
      <c r="P1865" s="302"/>
      <c r="Q1865" s="729"/>
      <c r="R1865" s="694"/>
      <c r="S1865" s="729"/>
      <c r="T1865" s="729"/>
      <c r="U1865" s="729"/>
      <c r="V1865" s="729"/>
      <c r="W1865" s="694"/>
      <c r="X1865" s="694"/>
      <c r="Y1865" s="694"/>
      <c r="Z1865" s="694"/>
      <c r="AA1865" s="694"/>
      <c r="AB1865" s="694"/>
      <c r="AC1865" s="694"/>
      <c r="AD1865" s="694"/>
      <c r="AE1865" s="694"/>
      <c r="AF1865" s="694"/>
      <c r="AG1865" s="694"/>
      <c r="AH1865" s="694"/>
      <c r="AI1865" s="694"/>
      <c r="AJ1865" s="694"/>
      <c r="AK1865" s="694"/>
      <c r="AL1865" s="694"/>
    </row>
    <row r="1866" spans="1:38" ht="38.9" customHeight="1" x14ac:dyDescent="0.25">
      <c r="A1866" s="694"/>
      <c r="B1866" s="298"/>
      <c r="C1866" s="1302"/>
      <c r="D1866" s="1306"/>
      <c r="E1866" s="2810" t="str">
        <f>Translations!$B$549</f>
        <v>Това включва общото количество топлинна енергия, произведено във, получено от или подадено към (под)инсталации, обхванати от СТЕ на ЕС, или инсталации или обекти извън СТЕ на ЕС. При специфичните емисионни фактори (EF), свързани с топлинната енергия, трябва да се отчитат разпоредбите на раздели 8 и 10 от приложение VII към ПБР, и по-специално раздели 10.1.2 и 10.1.3.</v>
      </c>
      <c r="F1866" s="2240"/>
      <c r="G1866" s="2240"/>
      <c r="H1866" s="2240"/>
      <c r="I1866" s="2240"/>
      <c r="J1866" s="2240"/>
      <c r="K1866" s="2240"/>
      <c r="L1866" s="2240"/>
      <c r="M1866" s="2240"/>
      <c r="N1866" s="2811"/>
      <c r="O1866" s="302"/>
      <c r="P1866" s="302"/>
      <c r="Q1866" s="729"/>
      <c r="R1866" s="694"/>
      <c r="S1866" s="729"/>
      <c r="T1866" s="694"/>
      <c r="U1866" s="694"/>
      <c r="V1866" s="694"/>
      <c r="W1866" s="694"/>
      <c r="X1866" s="694"/>
      <c r="Y1866" s="694"/>
      <c r="Z1866" s="694"/>
      <c r="AA1866" s="694"/>
      <c r="AB1866" s="694"/>
      <c r="AC1866" s="694"/>
      <c r="AD1866" s="694"/>
      <c r="AE1866" s="694"/>
      <c r="AF1866" s="694"/>
      <c r="AG1866" s="694"/>
      <c r="AH1866" s="694"/>
      <c r="AI1866" s="694"/>
      <c r="AJ1866" s="694"/>
      <c r="AK1866" s="694"/>
      <c r="AL1866" s="694"/>
    </row>
    <row r="1867" spans="1:38" ht="25.5" customHeight="1" x14ac:dyDescent="0.25">
      <c r="A1867" s="694"/>
      <c r="B1867" s="298"/>
      <c r="C1867" s="1302"/>
      <c r="D1867" s="1306"/>
      <c r="E1867" s="2810" t="str">
        <f>Translations!$B$550</f>
        <v>Емисиите, свързани с измерима топлинна енергия, произведена в рамките на обекта от съоръжения, които обслужват повече от една подинсталация, също трябва да се въведат тук под „получени емисии“, вместо да се зададат директно чрез емисионния фактор за горивата от буква g) по-горе. Същото важи и за всяка топлинна енергия, „получена“ от други подинсталации.</v>
      </c>
      <c r="F1867" s="2240"/>
      <c r="G1867" s="2240"/>
      <c r="H1867" s="2240"/>
      <c r="I1867" s="2240"/>
      <c r="J1867" s="2240"/>
      <c r="K1867" s="2240"/>
      <c r="L1867" s="2240"/>
      <c r="M1867" s="2240"/>
      <c r="N1867" s="2811"/>
      <c r="O1867" s="302"/>
      <c r="P1867" s="302"/>
      <c r="Q1867" s="729"/>
      <c r="R1867" s="694"/>
      <c r="S1867" s="729"/>
      <c r="T1867" s="694"/>
      <c r="U1867" s="694"/>
      <c r="V1867" s="694"/>
      <c r="W1867" s="694"/>
      <c r="X1867" s="694"/>
      <c r="Y1867" s="694"/>
      <c r="Z1867" s="694"/>
      <c r="AA1867" s="694"/>
      <c r="AB1867" s="694"/>
      <c r="AC1867" s="694"/>
      <c r="AD1867" s="694"/>
      <c r="AE1867" s="694"/>
      <c r="AF1867" s="694"/>
      <c r="AG1867" s="694"/>
      <c r="AH1867" s="694"/>
      <c r="AI1867" s="694"/>
      <c r="AJ1867" s="694"/>
      <c r="AK1867" s="694"/>
      <c r="AL1867" s="694"/>
    </row>
    <row r="1868" spans="1:38" ht="25.5" customHeight="1" x14ac:dyDescent="0.25">
      <c r="A1868" s="694"/>
      <c r="B1868" s="298"/>
      <c r="C1868" s="1302"/>
      <c r="D1868" s="1306"/>
      <c r="E1868" s="2810" t="str">
        <f>Translations!$B$551</f>
        <v xml:space="preserve">Когато топлинната енергия е произведена изключително за една подинсталация и поради това съответните емисии са вписани в буква g) по-горе, съответните количества не трябва да се докладват тук като „получени“, за да се избегне двойно отчитане. </v>
      </c>
      <c r="F1868" s="2240"/>
      <c r="G1868" s="2240"/>
      <c r="H1868" s="2240"/>
      <c r="I1868" s="2240"/>
      <c r="J1868" s="2240"/>
      <c r="K1868" s="2240"/>
      <c r="L1868" s="2240"/>
      <c r="M1868" s="2240"/>
      <c r="N1868" s="2811"/>
      <c r="O1868" s="302"/>
      <c r="P1868" s="302"/>
      <c r="Q1868" s="729"/>
      <c r="R1868" s="694"/>
      <c r="S1868" s="729"/>
      <c r="T1868" s="694"/>
      <c r="U1868" s="694"/>
      <c r="V1868" s="694"/>
      <c r="W1868" s="694"/>
      <c r="X1868" s="694"/>
      <c r="Y1868" s="694"/>
      <c r="Z1868" s="694"/>
      <c r="AA1868" s="694"/>
      <c r="AB1868" s="694"/>
      <c r="AC1868" s="694"/>
      <c r="AD1868" s="694"/>
      <c r="AE1868" s="694"/>
      <c r="AF1868" s="694"/>
      <c r="AG1868" s="694"/>
      <c r="AH1868" s="694"/>
      <c r="AI1868" s="694"/>
      <c r="AJ1868" s="694"/>
      <c r="AK1868" s="694"/>
      <c r="AL1868" s="694"/>
    </row>
    <row r="1869" spans="1:38" ht="12.75" customHeight="1" thickBot="1" x14ac:dyDescent="0.3">
      <c r="A1869" s="694"/>
      <c r="B1869" s="298"/>
      <c r="C1869" s="1302"/>
      <c r="D1869" s="1306"/>
      <c r="E1869" s="2825" t="str">
        <f>Translations!$B$552</f>
        <v>За задаването на емисии от комбинираното производство на енергия (КПТЕ) при производството на топлинна енергия трябва да използвате „Инструмента за КПТЕ“ от раздел D.III от настоящия образец.</v>
      </c>
      <c r="F1869" s="2826"/>
      <c r="G1869" s="2826"/>
      <c r="H1869" s="2826"/>
      <c r="I1869" s="2826"/>
      <c r="J1869" s="2826"/>
      <c r="K1869" s="2826"/>
      <c r="L1869" s="2826"/>
      <c r="M1869" s="2826"/>
      <c r="N1869" s="2827"/>
      <c r="O1869" s="302"/>
      <c r="P1869" s="302"/>
      <c r="Q1869" s="729"/>
      <c r="R1869" s="694"/>
      <c r="S1869" s="694"/>
      <c r="T1869" s="694"/>
      <c r="U1869" s="694"/>
      <c r="V1869" s="694"/>
      <c r="W1869" s="694"/>
      <c r="X1869" s="694"/>
      <c r="Y1869" s="694"/>
      <c r="Z1869" s="694"/>
      <c r="AA1869" s="694"/>
      <c r="AB1869" s="694"/>
      <c r="AC1869" s="694"/>
      <c r="AD1869" s="694"/>
      <c r="AE1869" s="694"/>
      <c r="AF1869" s="694"/>
      <c r="AG1869" s="694"/>
      <c r="AH1869" s="694"/>
      <c r="AI1869" s="694"/>
      <c r="AJ1869" s="694"/>
      <c r="AK1869" s="694"/>
      <c r="AL1869" s="694"/>
    </row>
    <row r="1870" spans="1:38" ht="12.75" customHeight="1" thickBot="1" x14ac:dyDescent="0.3">
      <c r="A1870" s="694"/>
      <c r="B1870" s="298"/>
      <c r="C1870" s="1302"/>
      <c r="D1870" s="1306"/>
      <c r="E1870" s="2803" t="str">
        <f>Translations!$B$553</f>
        <v>Общо получена топлинна енергия</v>
      </c>
      <c r="F1870" s="2672"/>
      <c r="G1870" s="1309" t="str">
        <f>EUconst_Unit</f>
        <v>Единица мярка</v>
      </c>
      <c r="H1870" s="629">
        <f t="shared" ref="H1870:N1870" si="2563">H$2831</f>
        <v>2024</v>
      </c>
      <c r="I1870" s="1310">
        <f t="shared" si="2563"/>
        <v>2025</v>
      </c>
      <c r="J1870" s="1311">
        <f t="shared" si="2563"/>
        <v>2026</v>
      </c>
      <c r="K1870" s="629">
        <f t="shared" si="2563"/>
        <v>2027</v>
      </c>
      <c r="L1870" s="629">
        <f t="shared" si="2563"/>
        <v>2028</v>
      </c>
      <c r="M1870" s="629">
        <f t="shared" si="2563"/>
        <v>2029</v>
      </c>
      <c r="N1870" s="1312">
        <f t="shared" si="2563"/>
        <v>2030</v>
      </c>
      <c r="O1870" s="302"/>
      <c r="P1870" s="302"/>
      <c r="Q1870" s="729"/>
      <c r="R1870" s="694"/>
      <c r="S1870" s="1205"/>
      <c r="T1870" s="1313">
        <f t="shared" ref="T1870" si="2564">H1870</f>
        <v>2024</v>
      </c>
      <c r="U1870" s="1313">
        <f t="shared" ref="U1870" si="2565">I1870</f>
        <v>2025</v>
      </c>
      <c r="V1870" s="1313">
        <f t="shared" ref="V1870" si="2566">J1870</f>
        <v>2026</v>
      </c>
      <c r="W1870" s="1313">
        <f t="shared" ref="W1870" si="2567">K1870</f>
        <v>2027</v>
      </c>
      <c r="X1870" s="1313">
        <f t="shared" ref="X1870" si="2568">L1870</f>
        <v>2028</v>
      </c>
      <c r="Y1870" s="1313">
        <f t="shared" ref="Y1870" si="2569">M1870</f>
        <v>2029</v>
      </c>
      <c r="Z1870" s="1314">
        <f t="shared" ref="Z1870" si="2570">N1870</f>
        <v>2030</v>
      </c>
      <c r="AA1870" s="694"/>
      <c r="AB1870" s="694"/>
      <c r="AC1870" s="1178">
        <f t="shared" ref="AC1870" si="2571">H$20</f>
        <v>2024</v>
      </c>
      <c r="AD1870" s="1178">
        <f t="shared" ref="AD1870" si="2572">I$20</f>
        <v>2025</v>
      </c>
      <c r="AE1870" s="1178">
        <f t="shared" ref="AE1870" si="2573">J$20</f>
        <v>2026</v>
      </c>
      <c r="AF1870" s="1178">
        <f t="shared" ref="AF1870" si="2574">K$20</f>
        <v>2027</v>
      </c>
      <c r="AG1870" s="1178">
        <f t="shared" ref="AG1870" si="2575">L$20</f>
        <v>2028</v>
      </c>
      <c r="AH1870" s="1178">
        <f t="shared" ref="AH1870" si="2576">M$20</f>
        <v>2029</v>
      </c>
      <c r="AI1870" s="1178">
        <f t="shared" ref="AI1870" si="2577">N$20</f>
        <v>2030</v>
      </c>
      <c r="AJ1870" s="694"/>
      <c r="AK1870" s="694"/>
      <c r="AL1870" s="694"/>
    </row>
    <row r="1871" spans="1:38" ht="12.75" customHeight="1" x14ac:dyDescent="0.25">
      <c r="A1871" s="694"/>
      <c r="B1871" s="298"/>
      <c r="C1871" s="1302"/>
      <c r="D1871" s="625" t="s">
        <v>6</v>
      </c>
      <c r="E1871" s="2820" t="str">
        <f>Translations!$B$554</f>
        <v>Нетно количество получена топлинна енергия</v>
      </c>
      <c r="F1871" s="2258"/>
      <c r="G1871" s="1319" t="str">
        <f>EUconst_TJpa</f>
        <v>TJ / година</v>
      </c>
      <c r="H1871" s="56"/>
      <c r="I1871" s="115"/>
      <c r="J1871" s="118"/>
      <c r="K1871" s="56"/>
      <c r="L1871" s="56"/>
      <c r="M1871" s="56"/>
      <c r="N1871" s="121"/>
      <c r="O1871" s="302"/>
      <c r="P1871" s="158"/>
      <c r="Q1871" s="1190" t="str">
        <f>EUconst_CNTR_HeatImport &amp; I1699</f>
        <v>HeatIm_</v>
      </c>
      <c r="R1871" s="694"/>
      <c r="S1871" s="1347" t="str">
        <f>EUconst_ERR_AttrEmBMapplied &amp; I1699</f>
        <v>ERR_AttrEmBM_</v>
      </c>
      <c r="T1871" s="982">
        <f t="shared" ref="T1871" si="2578">IF(AND(H1871&lt;&gt;0,H1872="",EUconst_StatusOfDataCollection=FALSE),1,0)</f>
        <v>0</v>
      </c>
      <c r="U1871" s="982">
        <f t="shared" ref="U1871" si="2579">IF(AND(I1871&lt;&gt;0,I1872="",EUconst_StatusOfDataCollection=FALSE),1,0)</f>
        <v>0</v>
      </c>
      <c r="V1871" s="982">
        <f t="shared" ref="V1871" si="2580">IF(AND(J1871&lt;&gt;0,J1872="",EUconst_StatusOfDataCollection=FALSE),1,0)</f>
        <v>0</v>
      </c>
      <c r="W1871" s="982">
        <f t="shared" ref="W1871" si="2581">IF(AND(K1871&lt;&gt;0,K1872="",EUconst_StatusOfDataCollection=FALSE),1,0)</f>
        <v>0</v>
      </c>
      <c r="X1871" s="982">
        <f t="shared" ref="X1871" si="2582">IF(AND(L1871&lt;&gt;0,L1872="",EUconst_StatusOfDataCollection=FALSE),1,0)</f>
        <v>0</v>
      </c>
      <c r="Y1871" s="982">
        <f t="shared" ref="Y1871" si="2583">IF(AND(M1871&lt;&gt;0,M1872="",EUconst_StatusOfDataCollection=FALSE),1,0)</f>
        <v>0</v>
      </c>
      <c r="Z1871" s="1287">
        <f t="shared" ref="Z1871" si="2584">IF(AND(N1871&lt;&gt;0,N1872="",EUconst_StatusOfDataCollection=FALSE),1,0)</f>
        <v>0</v>
      </c>
      <c r="AA1871" s="1031"/>
      <c r="AB1871" s="1182" t="s">
        <v>737</v>
      </c>
      <c r="AC1871" s="982" t="b">
        <f t="shared" ref="AC1871:AI1871" si="2585">AC1746</f>
        <v>0</v>
      </c>
      <c r="AD1871" s="982" t="b">
        <f t="shared" si="2585"/>
        <v>0</v>
      </c>
      <c r="AE1871" s="982" t="b">
        <f t="shared" si="2585"/>
        <v>0</v>
      </c>
      <c r="AF1871" s="982" t="b">
        <f t="shared" si="2585"/>
        <v>0</v>
      </c>
      <c r="AG1871" s="982" t="b">
        <f t="shared" si="2585"/>
        <v>0</v>
      </c>
      <c r="AH1871" s="982" t="b">
        <f t="shared" si="2585"/>
        <v>0</v>
      </c>
      <c r="AI1871" s="982" t="b">
        <f t="shared" si="2585"/>
        <v>0</v>
      </c>
      <c r="AJ1871" s="1174" t="s">
        <v>2039</v>
      </c>
      <c r="AK1871" s="1176" t="str">
        <f>IF(AND(CNTR_ExistSubInstEntries,MSconst_RequireSubAttrEmissions,COUNTIFS(AC1871:AI1871,FALSE,H1871:N1871,"")&gt;0),EUconst_Error&amp;"BM"&amp;$Q1699,"")</f>
        <v/>
      </c>
      <c r="AL1871" s="694"/>
    </row>
    <row r="1872" spans="1:38" ht="12.75" customHeight="1" thickBot="1" x14ac:dyDescent="0.3">
      <c r="A1872" s="694"/>
      <c r="B1872" s="298"/>
      <c r="C1872" s="1302"/>
      <c r="D1872" s="625" t="s">
        <v>7</v>
      </c>
      <c r="E1872" s="2820" t="str">
        <f>Translations!$B$555</f>
        <v>Специфичен EF (получена топлинна енергия)</v>
      </c>
      <c r="F1872" s="2258"/>
      <c r="G1872" s="1319" t="str">
        <f>EUconst_tCO2pTJ</f>
        <v>t CO2 / TJ</v>
      </c>
      <c r="H1872" s="56"/>
      <c r="I1872" s="115"/>
      <c r="J1872" s="118"/>
      <c r="K1872" s="56"/>
      <c r="L1872" s="56"/>
      <c r="M1872" s="56"/>
      <c r="N1872" s="121"/>
      <c r="O1872" s="302"/>
      <c r="P1872" s="158"/>
      <c r="Q1872" s="1190" t="str">
        <f>EUconst_CNTR_HeatImportEF &amp; I1699</f>
        <v>HeatImEF_</v>
      </c>
      <c r="R1872" s="694"/>
      <c r="S1872" s="1315" t="str">
        <f>EUconst_CNTR_AttributedEmissions &amp; I1699</f>
        <v>AttrEmissions_</v>
      </c>
      <c r="T1872" s="1290" t="str">
        <f t="shared" ref="T1872" si="2586">IF(T1707,SUM(H1871)*IF(ISNUMBER(H1872),H1872,EUconst_HeatBMvalue),"")</f>
        <v/>
      </c>
      <c r="U1872" s="1290" t="str">
        <f t="shared" ref="U1872" si="2587">IF(U1707,SUM(I1871)*IF(ISNUMBER(I1872),I1872,EUconst_HeatBMvalue),"")</f>
        <v/>
      </c>
      <c r="V1872" s="1290" t="str">
        <f t="shared" ref="V1872" si="2588">IF(V1707,SUM(J1871)*IF(ISNUMBER(J1872),J1872,EUconst_HeatBMvalue),"")</f>
        <v/>
      </c>
      <c r="W1872" s="1290" t="str">
        <f t="shared" ref="W1872" si="2589">IF(W1707,SUM(K1871)*IF(ISNUMBER(K1872),K1872,EUconst_HeatBMvalue),"")</f>
        <v/>
      </c>
      <c r="X1872" s="1290" t="str">
        <f t="shared" ref="X1872" si="2590">IF(X1707,SUM(L1871)*IF(ISNUMBER(L1872),L1872,EUconst_HeatBMvalue),"")</f>
        <v/>
      </c>
      <c r="Y1872" s="1290" t="str">
        <f t="shared" ref="Y1872" si="2591">IF(Y1707,SUM(M1871)*IF(ISNUMBER(M1872),M1872,EUconst_HeatBMvalue),"")</f>
        <v/>
      </c>
      <c r="Z1872" s="1291" t="str">
        <f t="shared" ref="Z1872" si="2592">IF(Z1707,SUM(N1871)*IF(ISNUMBER(N1872),N1872,EUconst_HeatBMvalue),"")</f>
        <v/>
      </c>
      <c r="AA1872" s="694"/>
      <c r="AB1872" s="694"/>
      <c r="AC1872" s="982" t="b">
        <f>AC1871</f>
        <v>0</v>
      </c>
      <c r="AD1872" s="982" t="b">
        <f t="shared" ref="AD1872:AI1872" si="2593">AD1871</f>
        <v>0</v>
      </c>
      <c r="AE1872" s="982" t="b">
        <f t="shared" si="2593"/>
        <v>0</v>
      </c>
      <c r="AF1872" s="982" t="b">
        <f t="shared" si="2593"/>
        <v>0</v>
      </c>
      <c r="AG1872" s="982" t="b">
        <f t="shared" si="2593"/>
        <v>0</v>
      </c>
      <c r="AH1872" s="982" t="b">
        <f t="shared" si="2593"/>
        <v>0</v>
      </c>
      <c r="AI1872" s="982" t="b">
        <f t="shared" si="2593"/>
        <v>0</v>
      </c>
      <c r="AJ1872" s="694"/>
      <c r="AK1872" s="694"/>
      <c r="AL1872" s="694"/>
    </row>
    <row r="1873" spans="1:38" ht="5.15" customHeight="1" x14ac:dyDescent="0.25">
      <c r="A1873" s="694"/>
      <c r="B1873" s="298"/>
      <c r="C1873" s="1302"/>
      <c r="D1873" s="1306"/>
      <c r="E1873" s="1306"/>
      <c r="F1873" s="1306"/>
      <c r="G1873" s="1306"/>
      <c r="H1873" s="1306"/>
      <c r="I1873" s="1306"/>
      <c r="J1873" s="1306"/>
      <c r="K1873" s="1306"/>
      <c r="L1873" s="1306"/>
      <c r="M1873" s="1306"/>
      <c r="N1873" s="1316"/>
      <c r="O1873" s="302"/>
      <c r="P1873" s="302"/>
      <c r="Q1873" s="729"/>
      <c r="R1873" s="694"/>
      <c r="S1873" s="729"/>
      <c r="T1873" s="729"/>
      <c r="U1873" s="729"/>
      <c r="V1873" s="729"/>
      <c r="W1873" s="694"/>
      <c r="X1873" s="694"/>
      <c r="Y1873" s="694"/>
      <c r="Z1873" s="694"/>
      <c r="AA1873" s="694"/>
      <c r="AB1873" s="694"/>
      <c r="AC1873" s="694"/>
      <c r="AD1873" s="694"/>
      <c r="AE1873" s="694"/>
      <c r="AF1873" s="694"/>
      <c r="AG1873" s="694"/>
      <c r="AH1873" s="694"/>
      <c r="AI1873" s="694"/>
      <c r="AJ1873" s="694"/>
      <c r="AK1873" s="694"/>
      <c r="AL1873" s="694"/>
    </row>
    <row r="1874" spans="1:38" ht="12.75" customHeight="1" thickBot="1" x14ac:dyDescent="0.3">
      <c r="A1874" s="694"/>
      <c r="B1874" s="298"/>
      <c r="C1874" s="1302"/>
      <c r="D1874" s="1306"/>
      <c r="E1874" s="2803" t="str">
        <f>Translations!$B$556</f>
        <v>Специфична получена топлинна енергия</v>
      </c>
      <c r="F1874" s="2672"/>
      <c r="G1874" s="1309" t="str">
        <f>EUconst_Unit</f>
        <v>Единица мярка</v>
      </c>
      <c r="H1874" s="629">
        <f t="shared" ref="H1874:N1874" si="2594">H$2831</f>
        <v>2024</v>
      </c>
      <c r="I1874" s="1310">
        <f t="shared" si="2594"/>
        <v>2025</v>
      </c>
      <c r="J1874" s="1311">
        <f t="shared" si="2594"/>
        <v>2026</v>
      </c>
      <c r="K1874" s="629">
        <f t="shared" si="2594"/>
        <v>2027</v>
      </c>
      <c r="L1874" s="629">
        <f t="shared" si="2594"/>
        <v>2028</v>
      </c>
      <c r="M1874" s="629">
        <f t="shared" si="2594"/>
        <v>2029</v>
      </c>
      <c r="N1874" s="1312">
        <f t="shared" si="2594"/>
        <v>2030</v>
      </c>
      <c r="O1874" s="302"/>
      <c r="P1874" s="302"/>
      <c r="Q1874" s="729"/>
      <c r="R1874" s="694"/>
      <c r="S1874" s="729"/>
      <c r="T1874" s="729"/>
      <c r="U1874" s="729"/>
      <c r="V1874" s="729"/>
      <c r="W1874" s="694"/>
      <c r="X1874" s="694"/>
      <c r="Y1874" s="694"/>
      <c r="Z1874" s="694"/>
      <c r="AA1874" s="694"/>
      <c r="AB1874" s="694"/>
      <c r="AC1874" s="1178">
        <f t="shared" ref="AC1874" si="2595">H$20</f>
        <v>2024</v>
      </c>
      <c r="AD1874" s="1178">
        <f t="shared" ref="AD1874" si="2596">I$20</f>
        <v>2025</v>
      </c>
      <c r="AE1874" s="1178">
        <f t="shared" ref="AE1874" si="2597">J$20</f>
        <v>2026</v>
      </c>
      <c r="AF1874" s="1178">
        <f t="shared" ref="AF1874" si="2598">K$20</f>
        <v>2027</v>
      </c>
      <c r="AG1874" s="1178">
        <f t="shared" ref="AG1874" si="2599">L$20</f>
        <v>2028</v>
      </c>
      <c r="AH1874" s="1178">
        <f t="shared" ref="AH1874" si="2600">M$20</f>
        <v>2029</v>
      </c>
      <c r="AI1874" s="1178">
        <f t="shared" ref="AI1874" si="2601">N$20</f>
        <v>2030</v>
      </c>
      <c r="AJ1874" s="694"/>
      <c r="AK1874" s="694"/>
      <c r="AL1874" s="694"/>
    </row>
    <row r="1875" spans="1:38" ht="12.75" customHeight="1" x14ac:dyDescent="0.25">
      <c r="A1875" s="694"/>
      <c r="B1875" s="298"/>
      <c r="C1875" s="1302"/>
      <c r="D1875" s="625" t="s">
        <v>8</v>
      </c>
      <c r="E1875" s="2820" t="str">
        <f>Translations!$B$557</f>
        <v>Нетно количество топлинна енергия, получена от подинсталации за пулп</v>
      </c>
      <c r="F1875" s="2258"/>
      <c r="G1875" s="1319" t="str">
        <f>EUconst_TJpa</f>
        <v>TJ / година</v>
      </c>
      <c r="H1875" s="141"/>
      <c r="I1875" s="142"/>
      <c r="J1875" s="143"/>
      <c r="K1875" s="141"/>
      <c r="L1875" s="141"/>
      <c r="M1875" s="141"/>
      <c r="N1875" s="144"/>
      <c r="O1875" s="302"/>
      <c r="P1875" s="158"/>
      <c r="Q1875" s="1190" t="str">
        <f>EUconst_CNTR_HeatImportPulp &amp; I1699</f>
        <v>HeatImPulp_</v>
      </c>
      <c r="R1875" s="694"/>
      <c r="S1875" s="729"/>
      <c r="T1875" s="729"/>
      <c r="U1875" s="729"/>
      <c r="V1875" s="729"/>
      <c r="W1875" s="694"/>
      <c r="X1875" s="694"/>
      <c r="Y1875" s="694"/>
      <c r="Z1875" s="694"/>
      <c r="AA1875" s="694"/>
      <c r="AB1875" s="1182" t="s">
        <v>737</v>
      </c>
      <c r="AC1875" s="982" t="b">
        <f>AC1746</f>
        <v>0</v>
      </c>
      <c r="AD1875" s="982" t="b">
        <f t="shared" ref="AD1875:AI1875" si="2602">AD1746</f>
        <v>0</v>
      </c>
      <c r="AE1875" s="982" t="b">
        <f t="shared" si="2602"/>
        <v>0</v>
      </c>
      <c r="AF1875" s="982" t="b">
        <f t="shared" si="2602"/>
        <v>0</v>
      </c>
      <c r="AG1875" s="982" t="b">
        <f t="shared" si="2602"/>
        <v>0</v>
      </c>
      <c r="AH1875" s="982" t="b">
        <f t="shared" si="2602"/>
        <v>0</v>
      </c>
      <c r="AI1875" s="982" t="b">
        <f t="shared" si="2602"/>
        <v>0</v>
      </c>
      <c r="AJ1875" s="1174" t="s">
        <v>2039</v>
      </c>
      <c r="AK1875" s="1176" t="str">
        <f>IF(AND(CNTR_ExistSubInstEntries,MSconst_RequireSubAttrEmissions,COUNTIFS(AC1875:AI1875,FALSE,H1875:N1875,"")&gt;0),EUconst_Error&amp;"BM"&amp;$Q1699,"")</f>
        <v/>
      </c>
      <c r="AL1875" s="694"/>
    </row>
    <row r="1876" spans="1:38" ht="25.5" customHeight="1" x14ac:dyDescent="0.25">
      <c r="A1876" s="694"/>
      <c r="B1876" s="298"/>
      <c r="C1876" s="1302"/>
      <c r="D1876" s="625" t="s">
        <v>18</v>
      </c>
      <c r="E1876" s="2820" t="str">
        <f>Translations!$B$558</f>
        <v>Нетно количество топлинна енергия, получена от подинсталации за азотна киселина</v>
      </c>
      <c r="F1876" s="2258"/>
      <c r="G1876" s="1319" t="str">
        <f>EUconst_TJpa</f>
        <v>TJ / година</v>
      </c>
      <c r="H1876" s="56"/>
      <c r="I1876" s="115"/>
      <c r="J1876" s="118"/>
      <c r="K1876" s="56"/>
      <c r="L1876" s="56"/>
      <c r="M1876" s="56"/>
      <c r="N1876" s="121"/>
      <c r="O1876" s="302"/>
      <c r="P1876" s="158"/>
      <c r="Q1876" s="1190" t="str">
        <f>EUconst_CNTR_HeatImportNitric &amp; I1699</f>
        <v>HeatImNitric_</v>
      </c>
      <c r="R1876" s="694"/>
      <c r="S1876" s="729"/>
      <c r="T1876" s="729"/>
      <c r="U1876" s="729"/>
      <c r="V1876" s="729"/>
      <c r="W1876" s="694"/>
      <c r="X1876" s="694"/>
      <c r="Y1876" s="694"/>
      <c r="Z1876" s="694"/>
      <c r="AA1876" s="694"/>
      <c r="AB1876" s="694"/>
      <c r="AC1876" s="982" t="b">
        <f>AC1875</f>
        <v>0</v>
      </c>
      <c r="AD1876" s="982" t="b">
        <f t="shared" ref="AD1876:AI1876" si="2603">AD1875</f>
        <v>0</v>
      </c>
      <c r="AE1876" s="982" t="b">
        <f t="shared" si="2603"/>
        <v>0</v>
      </c>
      <c r="AF1876" s="982" t="b">
        <f t="shared" si="2603"/>
        <v>0</v>
      </c>
      <c r="AG1876" s="982" t="b">
        <f t="shared" si="2603"/>
        <v>0</v>
      </c>
      <c r="AH1876" s="982" t="b">
        <f t="shared" si="2603"/>
        <v>0</v>
      </c>
      <c r="AI1876" s="982" t="b">
        <f t="shared" si="2603"/>
        <v>0</v>
      </c>
      <c r="AJ1876" s="1174" t="s">
        <v>2039</v>
      </c>
      <c r="AK1876" s="1176" t="str">
        <f>IF(AND(CNTR_ExistSubInstEntries,MSconst_RequireSubAttrEmissions,COUNTIFS(AC1876:AI1876,FALSE,H1876:N1876,"")&gt;0),EUconst_Error&amp;"BM"&amp;$Q1699,"")</f>
        <v/>
      </c>
      <c r="AL1876" s="694"/>
    </row>
    <row r="1877" spans="1:38" ht="5.15" customHeight="1" thickBot="1" x14ac:dyDescent="0.3">
      <c r="A1877" s="694"/>
      <c r="B1877" s="298"/>
      <c r="C1877" s="1302"/>
      <c r="D1877" s="1306"/>
      <c r="E1877" s="1306"/>
      <c r="F1877" s="1306"/>
      <c r="G1877" s="1306"/>
      <c r="H1877" s="1306"/>
      <c r="I1877" s="1306"/>
      <c r="J1877" s="1306"/>
      <c r="K1877" s="1306"/>
      <c r="L1877" s="1306"/>
      <c r="M1877" s="1306"/>
      <c r="N1877" s="1316"/>
      <c r="O1877" s="302"/>
      <c r="P1877" s="302"/>
      <c r="Q1877" s="729"/>
      <c r="R1877" s="694"/>
      <c r="S1877" s="729"/>
      <c r="T1877" s="729"/>
      <c r="U1877" s="729"/>
      <c r="V1877" s="729"/>
      <c r="W1877" s="694"/>
      <c r="X1877" s="694"/>
      <c r="Y1877" s="694"/>
      <c r="Z1877" s="694"/>
      <c r="AA1877" s="694"/>
      <c r="AB1877" s="694"/>
      <c r="AC1877" s="694"/>
      <c r="AD1877" s="694"/>
      <c r="AE1877" s="694"/>
      <c r="AF1877" s="694"/>
      <c r="AG1877" s="694"/>
      <c r="AH1877" s="694"/>
      <c r="AI1877" s="694"/>
      <c r="AJ1877" s="694"/>
      <c r="AK1877" s="694"/>
      <c r="AL1877" s="694"/>
    </row>
    <row r="1878" spans="1:38" ht="12.75" customHeight="1" thickBot="1" x14ac:dyDescent="0.3">
      <c r="A1878" s="694"/>
      <c r="B1878" s="298"/>
      <c r="C1878" s="1302"/>
      <c r="D1878" s="1306"/>
      <c r="E1878" s="2803" t="str">
        <f>Translations!$B$559</f>
        <v>Общо подадена топлинна енергия</v>
      </c>
      <c r="F1878" s="2672"/>
      <c r="G1878" s="1309" t="str">
        <f>EUconst_Unit</f>
        <v>Единица мярка</v>
      </c>
      <c r="H1878" s="629">
        <f t="shared" ref="H1878:N1878" si="2604">H$2831</f>
        <v>2024</v>
      </c>
      <c r="I1878" s="1310">
        <f t="shared" si="2604"/>
        <v>2025</v>
      </c>
      <c r="J1878" s="1311">
        <f t="shared" si="2604"/>
        <v>2026</v>
      </c>
      <c r="K1878" s="629">
        <f t="shared" si="2604"/>
        <v>2027</v>
      </c>
      <c r="L1878" s="629">
        <f t="shared" si="2604"/>
        <v>2028</v>
      </c>
      <c r="M1878" s="629">
        <f t="shared" si="2604"/>
        <v>2029</v>
      </c>
      <c r="N1878" s="1312">
        <f t="shared" si="2604"/>
        <v>2030</v>
      </c>
      <c r="O1878" s="302"/>
      <c r="P1878" s="302"/>
      <c r="Q1878" s="729"/>
      <c r="R1878" s="694"/>
      <c r="S1878" s="1205"/>
      <c r="T1878" s="1313">
        <f t="shared" ref="T1878" si="2605">H1878</f>
        <v>2024</v>
      </c>
      <c r="U1878" s="1313">
        <f t="shared" ref="U1878" si="2606">I1878</f>
        <v>2025</v>
      </c>
      <c r="V1878" s="1313">
        <f t="shared" ref="V1878" si="2607">J1878</f>
        <v>2026</v>
      </c>
      <c r="W1878" s="1313">
        <f t="shared" ref="W1878" si="2608">K1878</f>
        <v>2027</v>
      </c>
      <c r="X1878" s="1313">
        <f t="shared" ref="X1878" si="2609">L1878</f>
        <v>2028</v>
      </c>
      <c r="Y1878" s="1313">
        <f t="shared" ref="Y1878" si="2610">M1878</f>
        <v>2029</v>
      </c>
      <c r="Z1878" s="1314">
        <f t="shared" ref="Z1878" si="2611">N1878</f>
        <v>2030</v>
      </c>
      <c r="AA1878" s="694"/>
      <c r="AB1878" s="694"/>
      <c r="AC1878" s="1178">
        <f t="shared" ref="AC1878" si="2612">H$20</f>
        <v>2024</v>
      </c>
      <c r="AD1878" s="1178">
        <f t="shared" ref="AD1878" si="2613">I$20</f>
        <v>2025</v>
      </c>
      <c r="AE1878" s="1178">
        <f t="shared" ref="AE1878" si="2614">J$20</f>
        <v>2026</v>
      </c>
      <c r="AF1878" s="1178">
        <f t="shared" ref="AF1878" si="2615">K$20</f>
        <v>2027</v>
      </c>
      <c r="AG1878" s="1178">
        <f t="shared" ref="AG1878" si="2616">L$20</f>
        <v>2028</v>
      </c>
      <c r="AH1878" s="1178">
        <f t="shared" ref="AH1878" si="2617">M$20</f>
        <v>2029</v>
      </c>
      <c r="AI1878" s="1178">
        <f t="shared" ref="AI1878" si="2618">N$20</f>
        <v>2030</v>
      </c>
      <c r="AJ1878" s="694"/>
      <c r="AK1878" s="694"/>
      <c r="AL1878" s="694"/>
    </row>
    <row r="1879" spans="1:38" ht="12.75" customHeight="1" x14ac:dyDescent="0.25">
      <c r="A1879" s="694"/>
      <c r="B1879" s="298"/>
      <c r="C1879" s="1302"/>
      <c r="D1879" s="625" t="s">
        <v>810</v>
      </c>
      <c r="E1879" s="2820" t="str">
        <f>Translations!$B$560</f>
        <v>Нетно количество подадена топлинна енергия</v>
      </c>
      <c r="F1879" s="2258"/>
      <c r="G1879" s="1319" t="str">
        <f>EUconst_TJpa</f>
        <v>TJ / година</v>
      </c>
      <c r="H1879" s="56"/>
      <c r="I1879" s="115"/>
      <c r="J1879" s="118"/>
      <c r="K1879" s="56"/>
      <c r="L1879" s="56"/>
      <c r="M1879" s="56"/>
      <c r="N1879" s="121"/>
      <c r="O1879" s="302"/>
      <c r="P1879" s="158"/>
      <c r="Q1879" s="1190" t="str">
        <f>EUconst_CNTR_HeatExport &amp; I1699</f>
        <v>HeatEx_</v>
      </c>
      <c r="R1879" s="694"/>
      <c r="S1879" s="1347" t="str">
        <f>EUconst_ERR_AttrEmBMapplied &amp; I1699</f>
        <v>ERR_AttrEmBM_</v>
      </c>
      <c r="T1879" s="982">
        <f t="shared" ref="T1879" si="2619">IF(AND(H1879&lt;&gt;0,H1880="",EUconst_StatusOfDataCollection=FALSE),1,0)</f>
        <v>0</v>
      </c>
      <c r="U1879" s="982">
        <f t="shared" ref="U1879" si="2620">IF(AND(I1879&lt;&gt;0,I1880="",EUconst_StatusOfDataCollection=FALSE),1,0)</f>
        <v>0</v>
      </c>
      <c r="V1879" s="982">
        <f t="shared" ref="V1879" si="2621">IF(AND(J1879&lt;&gt;0,J1880="",EUconst_StatusOfDataCollection=FALSE),1,0)</f>
        <v>0</v>
      </c>
      <c r="W1879" s="982">
        <f t="shared" ref="W1879" si="2622">IF(AND(K1879&lt;&gt;0,K1880="",EUconst_StatusOfDataCollection=FALSE),1,0)</f>
        <v>0</v>
      </c>
      <c r="X1879" s="982">
        <f t="shared" ref="X1879" si="2623">IF(AND(L1879&lt;&gt;0,L1880="",EUconst_StatusOfDataCollection=FALSE),1,0)</f>
        <v>0</v>
      </c>
      <c r="Y1879" s="982">
        <f t="shared" ref="Y1879" si="2624">IF(AND(M1879&lt;&gt;0,M1880="",EUconst_StatusOfDataCollection=FALSE),1,0)</f>
        <v>0</v>
      </c>
      <c r="Z1879" s="1287">
        <f t="shared" ref="Z1879" si="2625">IF(AND(N1879&lt;&gt;0,N1880="",EUconst_StatusOfDataCollection=FALSE),1,0)</f>
        <v>0</v>
      </c>
      <c r="AA1879" s="694"/>
      <c r="AB1879" s="1182" t="s">
        <v>737</v>
      </c>
      <c r="AC1879" s="982" t="b">
        <f>AC1875</f>
        <v>0</v>
      </c>
      <c r="AD1879" s="982" t="b">
        <f t="shared" ref="AD1879:AI1879" si="2626">AD1875</f>
        <v>0</v>
      </c>
      <c r="AE1879" s="982" t="b">
        <f t="shared" si="2626"/>
        <v>0</v>
      </c>
      <c r="AF1879" s="982" t="b">
        <f t="shared" si="2626"/>
        <v>0</v>
      </c>
      <c r="AG1879" s="982" t="b">
        <f t="shared" si="2626"/>
        <v>0</v>
      </c>
      <c r="AH1879" s="982" t="b">
        <f t="shared" si="2626"/>
        <v>0</v>
      </c>
      <c r="AI1879" s="982" t="b">
        <f t="shared" si="2626"/>
        <v>0</v>
      </c>
      <c r="AJ1879" s="1174" t="s">
        <v>2039</v>
      </c>
      <c r="AK1879" s="1176" t="str">
        <f>IF(AND(CNTR_ExistSubInstEntries,MSconst_RequireSubAttrEmissions,COUNTIFS(AC1879:AI1879,FALSE,H1879:N1879,"")&gt;0),EUconst_Error&amp;"BM"&amp;$Q1699,"")</f>
        <v/>
      </c>
      <c r="AL1879" s="694"/>
    </row>
    <row r="1880" spans="1:38" ht="12.75" customHeight="1" thickBot="1" x14ac:dyDescent="0.3">
      <c r="A1880" s="694"/>
      <c r="B1880" s="298"/>
      <c r="C1880" s="1302"/>
      <c r="D1880" s="625" t="s">
        <v>811</v>
      </c>
      <c r="E1880" s="2820" t="str">
        <f>Translations!$B$561</f>
        <v>Специфичен EF (подадена топлинна енергия)</v>
      </c>
      <c r="F1880" s="2258"/>
      <c r="G1880" s="1319" t="str">
        <f>EUconst_tCO2pTJ</f>
        <v>t CO2 / TJ</v>
      </c>
      <c r="H1880" s="56"/>
      <c r="I1880" s="115"/>
      <c r="J1880" s="118"/>
      <c r="K1880" s="56"/>
      <c r="L1880" s="56"/>
      <c r="M1880" s="56"/>
      <c r="N1880" s="121"/>
      <c r="O1880" s="302"/>
      <c r="P1880" s="158"/>
      <c r="Q1880" s="1190" t="str">
        <f>EUconst_CNTR_HeatExportEF &amp; I1699</f>
        <v>HeatExEF_</v>
      </c>
      <c r="R1880" s="694"/>
      <c r="S1880" s="1315" t="str">
        <f>EUconst_CNTR_AttributedEmissions &amp; I1699</f>
        <v>AttrEmissions_</v>
      </c>
      <c r="T1880" s="1290" t="str">
        <f t="shared" ref="T1880" si="2627">IF(T1707,-SUM(H1879)*IF(INDEX(EUconst_BMlistMainNumberOfBM,MATCH($I1699,EUconst_BMlistNames,0))=39,0,IF(ISNUMBER(H1880),H1880,EUconst_HeatBMvalue)),"")</f>
        <v/>
      </c>
      <c r="U1880" s="1290" t="str">
        <f t="shared" ref="U1880" si="2628">IF(U1707,-SUM(I1879)*IF(INDEX(EUconst_BMlistMainNumberOfBM,MATCH($I1699,EUconst_BMlistNames,0))=39,0,IF(ISNUMBER(I1880),I1880,EUconst_HeatBMvalue)),"")</f>
        <v/>
      </c>
      <c r="V1880" s="1290" t="str">
        <f t="shared" ref="V1880" si="2629">IF(V1707,-SUM(J1879)*IF(INDEX(EUconst_BMlistMainNumberOfBM,MATCH($I1699,EUconst_BMlistNames,0))=39,0,IF(ISNUMBER(J1880),J1880,EUconst_HeatBMvalue)),"")</f>
        <v/>
      </c>
      <c r="W1880" s="1290" t="str">
        <f t="shared" ref="W1880" si="2630">IF(W1707,-SUM(K1879)*IF(INDEX(EUconst_BMlistMainNumberOfBM,MATCH($I1699,EUconst_BMlistNames,0))=39,0,IF(ISNUMBER(K1880),K1880,EUconst_HeatBMvalue)),"")</f>
        <v/>
      </c>
      <c r="X1880" s="1290" t="str">
        <f t="shared" ref="X1880" si="2631">IF(X1707,-SUM(L1879)*IF(INDEX(EUconst_BMlistMainNumberOfBM,MATCH($I1699,EUconst_BMlistNames,0))=39,0,IF(ISNUMBER(L1880),L1880,EUconst_HeatBMvalue)),"")</f>
        <v/>
      </c>
      <c r="Y1880" s="1290" t="str">
        <f t="shared" ref="Y1880" si="2632">IF(Y1707,-SUM(M1879)*IF(INDEX(EUconst_BMlistMainNumberOfBM,MATCH($I1699,EUconst_BMlistNames,0))=39,0,IF(ISNUMBER(M1880),M1880,EUconst_HeatBMvalue)),"")</f>
        <v/>
      </c>
      <c r="Z1880" s="1291" t="str">
        <f t="shared" ref="Z1880" si="2633">IF(Z1707,-SUM(N1879)*IF(INDEX(EUconst_BMlistMainNumberOfBM,MATCH($I1699,EUconst_BMlistNames,0))=39,0,IF(ISNUMBER(N1880),N1880,EUconst_HeatBMvalue)),"")</f>
        <v/>
      </c>
      <c r="AA1880" s="694"/>
      <c r="AB1880" s="694"/>
      <c r="AC1880" s="982" t="b">
        <f>AC1879</f>
        <v>0</v>
      </c>
      <c r="AD1880" s="982" t="b">
        <f t="shared" ref="AD1880:AI1880" si="2634">AD1879</f>
        <v>0</v>
      </c>
      <c r="AE1880" s="982" t="b">
        <f t="shared" si="2634"/>
        <v>0</v>
      </c>
      <c r="AF1880" s="982" t="b">
        <f t="shared" si="2634"/>
        <v>0</v>
      </c>
      <c r="AG1880" s="982" t="b">
        <f t="shared" si="2634"/>
        <v>0</v>
      </c>
      <c r="AH1880" s="982" t="b">
        <f t="shared" si="2634"/>
        <v>0</v>
      </c>
      <c r="AI1880" s="982" t="b">
        <f t="shared" si="2634"/>
        <v>0</v>
      </c>
      <c r="AJ1880" s="694"/>
      <c r="AK1880" s="694"/>
      <c r="AL1880" s="694"/>
    </row>
    <row r="1881" spans="1:38" ht="12.75" customHeight="1" x14ac:dyDescent="0.25">
      <c r="A1881" s="694"/>
      <c r="B1881" s="298"/>
      <c r="C1881" s="1302"/>
      <c r="D1881" s="1306"/>
      <c r="E1881" s="1306"/>
      <c r="F1881" s="1306"/>
      <c r="G1881" s="1306"/>
      <c r="H1881" s="1306"/>
      <c r="I1881" s="1306"/>
      <c r="J1881" s="1306"/>
      <c r="K1881" s="1306"/>
      <c r="L1881" s="1306"/>
      <c r="M1881" s="626"/>
      <c r="N1881" s="1316"/>
      <c r="O1881" s="302"/>
      <c r="P1881" s="302"/>
      <c r="Q1881" s="729"/>
      <c r="R1881" s="694"/>
      <c r="S1881" s="729"/>
      <c r="T1881" s="729"/>
      <c r="U1881" s="729"/>
      <c r="V1881" s="729"/>
      <c r="W1881" s="694"/>
      <c r="X1881" s="694"/>
      <c r="Y1881" s="694"/>
      <c r="Z1881" s="694"/>
      <c r="AA1881" s="694"/>
      <c r="AB1881" s="694"/>
      <c r="AC1881" s="694"/>
      <c r="AD1881" s="694"/>
      <c r="AE1881" s="694"/>
      <c r="AF1881" s="694"/>
      <c r="AG1881" s="694"/>
      <c r="AH1881" s="694"/>
      <c r="AI1881" s="694"/>
      <c r="AJ1881" s="694"/>
      <c r="AK1881" s="694"/>
      <c r="AL1881" s="694"/>
    </row>
    <row r="1882" spans="1:38" ht="12.75" customHeight="1" x14ac:dyDescent="0.25">
      <c r="A1882" s="694"/>
      <c r="B1882" s="298"/>
      <c r="C1882" s="1302"/>
      <c r="D1882" s="1307" t="s">
        <v>492</v>
      </c>
      <c r="E1882" s="2815" t="str">
        <f>Translations!$B$562</f>
        <v>Баланс на отпадните газове за тази инсталация</v>
      </c>
      <c r="F1882" s="2240"/>
      <c r="G1882" s="2240"/>
      <c r="H1882" s="2240"/>
      <c r="I1882" s="2240"/>
      <c r="J1882" s="2240"/>
      <c r="K1882" s="2240"/>
      <c r="L1882" s="2240"/>
      <c r="M1882" s="2240"/>
      <c r="N1882" s="2811"/>
      <c r="O1882" s="302"/>
      <c r="P1882" s="302"/>
      <c r="Q1882" s="729"/>
      <c r="R1882" s="694"/>
      <c r="S1882" s="729"/>
      <c r="T1882" s="729"/>
      <c r="U1882" s="729"/>
      <c r="V1882" s="729"/>
      <c r="W1882" s="694"/>
      <c r="X1882" s="694"/>
      <c r="Y1882" s="694"/>
      <c r="Z1882" s="694"/>
      <c r="AA1882" s="694"/>
      <c r="AB1882" s="694"/>
      <c r="AC1882" s="694"/>
      <c r="AD1882" s="694"/>
      <c r="AE1882" s="694"/>
      <c r="AF1882" s="694"/>
      <c r="AG1882" s="694"/>
      <c r="AH1882" s="694"/>
      <c r="AI1882" s="694"/>
      <c r="AJ1882" s="694"/>
      <c r="AK1882" s="694"/>
      <c r="AL1882" s="694"/>
    </row>
    <row r="1883" spans="1:38" ht="5.15" customHeight="1" x14ac:dyDescent="0.25">
      <c r="A1883" s="694"/>
      <c r="B1883" s="298"/>
      <c r="C1883" s="1302"/>
      <c r="D1883" s="1306"/>
      <c r="E1883" s="1325"/>
      <c r="F1883" s="1325"/>
      <c r="G1883" s="1325"/>
      <c r="H1883" s="1325"/>
      <c r="I1883" s="1325"/>
      <c r="J1883" s="1325"/>
      <c r="K1883" s="1325"/>
      <c r="L1883" s="1325"/>
      <c r="M1883" s="1325"/>
      <c r="N1883" s="1348"/>
      <c r="O1883" s="302"/>
      <c r="P1883" s="302"/>
      <c r="Q1883" s="729"/>
      <c r="R1883" s="694"/>
      <c r="S1883" s="729"/>
      <c r="T1883" s="729"/>
      <c r="U1883" s="729"/>
      <c r="V1883" s="729"/>
      <c r="W1883" s="694"/>
      <c r="X1883" s="694"/>
      <c r="Y1883" s="694"/>
      <c r="Z1883" s="694"/>
      <c r="AA1883" s="694"/>
      <c r="AB1883" s="694"/>
      <c r="AC1883" s="694"/>
      <c r="AD1883" s="694"/>
      <c r="AE1883" s="694"/>
      <c r="AF1883" s="694"/>
      <c r="AG1883" s="694"/>
      <c r="AH1883" s="694"/>
      <c r="AI1883" s="694"/>
      <c r="AJ1883" s="694"/>
      <c r="AK1883" s="694"/>
      <c r="AL1883" s="694"/>
    </row>
    <row r="1884" spans="1:38" ht="12.75" customHeight="1" x14ac:dyDescent="0.25">
      <c r="A1884" s="694"/>
      <c r="B1884" s="298"/>
      <c r="C1884" s="1302"/>
      <c r="D1884" s="625" t="s">
        <v>6</v>
      </c>
      <c r="E1884" s="2815" t="str">
        <f>Translations!$B$563</f>
        <v>От значение ли са отпадните газове за тази подинсталация?</v>
      </c>
      <c r="F1884" s="2240"/>
      <c r="G1884" s="2240"/>
      <c r="H1884" s="2240"/>
      <c r="I1884" s="2240"/>
      <c r="J1884" s="2240"/>
      <c r="K1884" s="2684"/>
      <c r="L1884" s="83"/>
      <c r="M1884" s="1322"/>
      <c r="N1884" s="1323"/>
      <c r="O1884" s="302"/>
      <c r="P1884" s="158"/>
      <c r="Q1884" s="729"/>
      <c r="R1884" s="694"/>
      <c r="S1884" s="729"/>
      <c r="T1884" s="694"/>
      <c r="U1884" s="694"/>
      <c r="V1884" s="694"/>
      <c r="W1884" s="694"/>
      <c r="X1884" s="694"/>
      <c r="Y1884" s="694"/>
      <c r="Z1884" s="694"/>
      <c r="AA1884" s="694"/>
      <c r="AB1884" s="694"/>
      <c r="AC1884" s="694"/>
      <c r="AD1884" s="694"/>
      <c r="AE1884" s="694"/>
      <c r="AF1884" s="1182" t="s">
        <v>737</v>
      </c>
      <c r="AG1884" s="901" t="b">
        <f>AND(CNTR_ExistSubInstEntries,I1699="")</f>
        <v>0</v>
      </c>
      <c r="AH1884" s="694"/>
      <c r="AI1884" s="694"/>
      <c r="AJ1884" s="694"/>
      <c r="AK1884" s="694"/>
      <c r="AL1884" s="694"/>
    </row>
    <row r="1885" spans="1:38" ht="12.75" customHeight="1" x14ac:dyDescent="0.25">
      <c r="A1885" s="694"/>
      <c r="B1885" s="298"/>
      <c r="C1885" s="1302"/>
      <c r="D1885" s="1306"/>
      <c r="E1885" s="2810" t="str">
        <f>Translations!$B$564</f>
        <v>Ако отговорът е „невярно“, целият раздел ще бъде защрихован в сиво и можете да продължите към следващите точки по-долу.</v>
      </c>
      <c r="F1885" s="2240"/>
      <c r="G1885" s="2240"/>
      <c r="H1885" s="2240"/>
      <c r="I1885" s="2240"/>
      <c r="J1885" s="2240"/>
      <c r="K1885" s="2240"/>
      <c r="L1885" s="2240"/>
      <c r="M1885" s="2240"/>
      <c r="N1885" s="2811"/>
      <c r="O1885" s="302"/>
      <c r="P1885" s="302"/>
      <c r="Q1885" s="729"/>
      <c r="R1885" s="694"/>
      <c r="S1885" s="729"/>
      <c r="T1885" s="694"/>
      <c r="U1885" s="694"/>
      <c r="V1885" s="694"/>
      <c r="W1885" s="694"/>
      <c r="X1885" s="694"/>
      <c r="Y1885" s="694"/>
      <c r="Z1885" s="694"/>
      <c r="AA1885" s="694"/>
      <c r="AB1885" s="694"/>
      <c r="AC1885" s="694"/>
      <c r="AD1885" s="694"/>
      <c r="AE1885" s="694"/>
      <c r="AF1885" s="694"/>
      <c r="AG1885" s="694"/>
      <c r="AH1885" s="694"/>
      <c r="AI1885" s="694"/>
      <c r="AJ1885" s="694"/>
      <c r="AK1885" s="694"/>
      <c r="AL1885" s="694"/>
    </row>
    <row r="1886" spans="1:38" ht="12.75" customHeight="1" x14ac:dyDescent="0.25">
      <c r="A1886" s="694"/>
      <c r="B1886" s="298"/>
      <c r="C1886" s="1302"/>
      <c r="D1886" s="625" t="s">
        <v>7</v>
      </c>
      <c r="E1886" s="2815" t="str">
        <f>Translations!$B$565</f>
        <v>Видове произведени отпадни газове:</v>
      </c>
      <c r="F1886" s="2240"/>
      <c r="G1886" s="2240"/>
      <c r="H1886" s="2684"/>
      <c r="I1886" s="2821"/>
      <c r="J1886" s="2674"/>
      <c r="K1886" s="2674"/>
      <c r="L1886" s="2674"/>
      <c r="M1886" s="2675"/>
      <c r="N1886" s="1323"/>
      <c r="O1886" s="302"/>
      <c r="P1886" s="158"/>
      <c r="Q1886" s="729"/>
      <c r="R1886" s="694"/>
      <c r="S1886" s="729"/>
      <c r="T1886" s="694"/>
      <c r="U1886" s="694"/>
      <c r="V1886" s="694"/>
      <c r="W1886" s="694"/>
      <c r="X1886" s="694"/>
      <c r="Y1886" s="694"/>
      <c r="Z1886" s="694"/>
      <c r="AA1886" s="694"/>
      <c r="AB1886" s="694"/>
      <c r="AC1886" s="1182" t="s">
        <v>737</v>
      </c>
      <c r="AD1886" s="901" t="b">
        <f>OR(AG1884,AND($L1884&lt;&gt;"",$L1884=FALSE))</f>
        <v>0</v>
      </c>
      <c r="AE1886" s="694"/>
      <c r="AF1886" s="694"/>
      <c r="AG1886" s="694"/>
      <c r="AH1886" s="694"/>
      <c r="AI1886" s="694"/>
      <c r="AJ1886" s="694"/>
      <c r="AK1886" s="694"/>
      <c r="AL1886" s="694"/>
    </row>
    <row r="1887" spans="1:38" ht="12.75" customHeight="1" x14ac:dyDescent="0.25">
      <c r="A1887" s="694"/>
      <c r="B1887" s="298"/>
      <c r="C1887" s="1302"/>
      <c r="D1887" s="1306"/>
      <c r="E1887" s="2810" t="str">
        <f>Translations!$B$566</f>
        <v>Можете да изберете да подадете данните в тонове или 1000 Nm3. Мерните единици трябва да съответстват на използваните за долна топлина на изгаряне (NCV) и емисионния фактор по-долу.</v>
      </c>
      <c r="F1887" s="2240"/>
      <c r="G1887" s="2240"/>
      <c r="H1887" s="2240"/>
      <c r="I1887" s="2240"/>
      <c r="J1887" s="2240"/>
      <c r="K1887" s="2240"/>
      <c r="L1887" s="2240"/>
      <c r="M1887" s="2240"/>
      <c r="N1887" s="2811"/>
      <c r="O1887" s="302"/>
      <c r="P1887" s="302"/>
      <c r="Q1887" s="729"/>
      <c r="R1887" s="694"/>
      <c r="S1887" s="729"/>
      <c r="T1887" s="729"/>
      <c r="U1887" s="729"/>
      <c r="V1887" s="729"/>
      <c r="W1887" s="694"/>
      <c r="X1887" s="694"/>
      <c r="Y1887" s="694"/>
      <c r="Z1887" s="694"/>
      <c r="AA1887" s="694"/>
      <c r="AB1887" s="694"/>
      <c r="AC1887" s="694"/>
      <c r="AD1887" s="694"/>
      <c r="AE1887" s="694"/>
      <c r="AF1887" s="694"/>
      <c r="AG1887" s="694"/>
      <c r="AH1887" s="694"/>
      <c r="AI1887" s="694"/>
      <c r="AJ1887" s="694"/>
      <c r="AK1887" s="694"/>
      <c r="AL1887" s="694"/>
    </row>
    <row r="1888" spans="1:38" ht="12.75" customHeight="1" x14ac:dyDescent="0.25">
      <c r="A1888" s="694"/>
      <c r="B1888" s="298"/>
      <c r="C1888" s="1302"/>
      <c r="D1888" s="1306"/>
      <c r="E1888" s="2816" t="str">
        <f>Translations!$B$520</f>
        <v>Посочените тук данни се използват само с цел проверка на съответствието и нямат пряко отражение върху емисиите, които могат да бъдат зададени, или на разпределението на квотите.</v>
      </c>
      <c r="F1888" s="2240"/>
      <c r="G1888" s="2240"/>
      <c r="H1888" s="2240"/>
      <c r="I1888" s="2240"/>
      <c r="J1888" s="2240"/>
      <c r="K1888" s="2240"/>
      <c r="L1888" s="2240"/>
      <c r="M1888" s="2240"/>
      <c r="N1888" s="2811"/>
      <c r="O1888" s="302"/>
      <c r="P1888" s="302"/>
      <c r="Q1888" s="729"/>
      <c r="R1888" s="694"/>
      <c r="S1888" s="729"/>
      <c r="T1888" s="729"/>
      <c r="U1888" s="729"/>
      <c r="V1888" s="729"/>
      <c r="W1888" s="694"/>
      <c r="X1888" s="694"/>
      <c r="Y1888" s="694"/>
      <c r="Z1888" s="694"/>
      <c r="AA1888" s="694"/>
      <c r="AB1888" s="694"/>
      <c r="AC1888" s="694"/>
      <c r="AD1888" s="694"/>
      <c r="AE1888" s="694"/>
      <c r="AF1888" s="694"/>
      <c r="AG1888" s="694"/>
      <c r="AH1888" s="694"/>
      <c r="AI1888" s="694"/>
      <c r="AJ1888" s="694"/>
      <c r="AK1888" s="694"/>
      <c r="AL1888" s="694"/>
    </row>
    <row r="1889" spans="1:38" ht="12.75" customHeight="1" thickBot="1" x14ac:dyDescent="0.3">
      <c r="A1889" s="694"/>
      <c r="B1889" s="298"/>
      <c r="C1889" s="1302"/>
      <c r="D1889" s="1306"/>
      <c r="E1889" s="1317"/>
      <c r="F1889" s="1318"/>
      <c r="G1889" s="1309" t="str">
        <f>EUconst_Unit</f>
        <v>Единица мярка</v>
      </c>
      <c r="H1889" s="629">
        <f t="shared" ref="H1889:N1889" si="2635">H$2831</f>
        <v>2024</v>
      </c>
      <c r="I1889" s="1310">
        <f t="shared" si="2635"/>
        <v>2025</v>
      </c>
      <c r="J1889" s="1311">
        <f t="shared" si="2635"/>
        <v>2026</v>
      </c>
      <c r="K1889" s="629">
        <f t="shared" si="2635"/>
        <v>2027</v>
      </c>
      <c r="L1889" s="629">
        <f t="shared" si="2635"/>
        <v>2028</v>
      </c>
      <c r="M1889" s="629">
        <f t="shared" si="2635"/>
        <v>2029</v>
      </c>
      <c r="N1889" s="1312">
        <f t="shared" si="2635"/>
        <v>2030</v>
      </c>
      <c r="O1889" s="302"/>
      <c r="P1889" s="302"/>
      <c r="Q1889" s="729"/>
      <c r="R1889" s="694"/>
      <c r="S1889" s="729"/>
      <c r="T1889" s="729"/>
      <c r="U1889" s="729"/>
      <c r="V1889" s="729"/>
      <c r="W1889" s="694"/>
      <c r="X1889" s="694"/>
      <c r="Y1889" s="694"/>
      <c r="Z1889" s="694"/>
      <c r="AA1889" s="694"/>
      <c r="AB1889" s="694"/>
      <c r="AC1889" s="1178">
        <f t="shared" ref="AC1889" si="2636">H$20</f>
        <v>2024</v>
      </c>
      <c r="AD1889" s="1178">
        <f t="shared" ref="AD1889" si="2637">I$20</f>
        <v>2025</v>
      </c>
      <c r="AE1889" s="1178">
        <f t="shared" ref="AE1889" si="2638">J$20</f>
        <v>2026</v>
      </c>
      <c r="AF1889" s="1178">
        <f t="shared" ref="AF1889" si="2639">K$20</f>
        <v>2027</v>
      </c>
      <c r="AG1889" s="1178">
        <f t="shared" ref="AG1889" si="2640">L$20</f>
        <v>2028</v>
      </c>
      <c r="AH1889" s="1178">
        <f t="shared" ref="AH1889" si="2641">M$20</f>
        <v>2029</v>
      </c>
      <c r="AI1889" s="1178">
        <f t="shared" ref="AI1889" si="2642">N$20</f>
        <v>2030</v>
      </c>
      <c r="AJ1889" s="694"/>
      <c r="AK1889" s="694"/>
      <c r="AL1889" s="694"/>
    </row>
    <row r="1890" spans="1:38" ht="12.75" customHeight="1" x14ac:dyDescent="0.25">
      <c r="A1890" s="694"/>
      <c r="B1890" s="298"/>
      <c r="C1890" s="1302"/>
      <c r="D1890" s="625" t="s">
        <v>8</v>
      </c>
      <c r="E1890" s="2818" t="str">
        <f>Translations!$B$567</f>
        <v>Произведени количества</v>
      </c>
      <c r="F1890" s="2701"/>
      <c r="G1890" s="145"/>
      <c r="H1890" s="129"/>
      <c r="I1890" s="130"/>
      <c r="J1890" s="131"/>
      <c r="K1890" s="129"/>
      <c r="L1890" s="129"/>
      <c r="M1890" s="129"/>
      <c r="N1890" s="132"/>
      <c r="O1890" s="302"/>
      <c r="P1890" s="158"/>
      <c r="Q1890" s="729"/>
      <c r="R1890" s="694"/>
      <c r="S1890" s="729"/>
      <c r="T1890" s="729"/>
      <c r="U1890" s="729"/>
      <c r="V1890" s="729"/>
      <c r="W1890" s="694"/>
      <c r="X1890" s="694"/>
      <c r="Y1890" s="694"/>
      <c r="Z1890" s="694"/>
      <c r="AA1890" s="694"/>
      <c r="AB1890" s="1182" t="s">
        <v>737</v>
      </c>
      <c r="AC1890" s="901" t="b">
        <f>OR(AND($L1884&lt;&gt;"",$L1884=FALSE),AC1746)</f>
        <v>0</v>
      </c>
      <c r="AD1890" s="982" t="b">
        <f t="shared" ref="AD1890:AI1890" si="2643">OR(AND($L1884&lt;&gt;"",$L1884=FALSE),AD1746)</f>
        <v>0</v>
      </c>
      <c r="AE1890" s="982" t="b">
        <f t="shared" si="2643"/>
        <v>0</v>
      </c>
      <c r="AF1890" s="982" t="b">
        <f t="shared" si="2643"/>
        <v>0</v>
      </c>
      <c r="AG1890" s="982" t="b">
        <f t="shared" si="2643"/>
        <v>0</v>
      </c>
      <c r="AH1890" s="982" t="b">
        <f t="shared" si="2643"/>
        <v>0</v>
      </c>
      <c r="AI1890" s="982" t="b">
        <f t="shared" si="2643"/>
        <v>0</v>
      </c>
      <c r="AJ1890" s="1174" t="s">
        <v>2039</v>
      </c>
      <c r="AK1890" s="1176" t="str">
        <f>IF(AND(CNTR_ExistSubInstEntries,MSconst_RequireSubAttrEmissions,COUNTIFS(AC1890:AI1890,FALSE,H1890:N1890,"")&gt;0),EUconst_Error&amp;"BM"&amp;$Q1699,"")</f>
        <v/>
      </c>
      <c r="AL1890" s="694"/>
    </row>
    <row r="1891" spans="1:38" ht="12.75" customHeight="1" x14ac:dyDescent="0.25">
      <c r="A1891" s="694"/>
      <c r="B1891" s="298"/>
      <c r="C1891" s="1302"/>
      <c r="D1891" s="625" t="s">
        <v>18</v>
      </c>
      <c r="E1891" s="2819" t="str">
        <f>Translations!$B$296</f>
        <v>Долна топлина на изгаряне</v>
      </c>
      <c r="F1891" s="2705"/>
      <c r="G1891" s="1349" t="str">
        <f>IF(ISBLANK(G1890),EUconst_GJperUnit,INDEX(EUconst_GJperTorKNm3,MATCH(G1890,EUconst_TonnesOrkNm3pa,0)))</f>
        <v>GJ / Единица мярка</v>
      </c>
      <c r="H1891" s="137"/>
      <c r="I1891" s="138"/>
      <c r="J1891" s="139"/>
      <c r="K1891" s="137"/>
      <c r="L1891" s="137"/>
      <c r="M1891" s="137"/>
      <c r="N1891" s="140"/>
      <c r="O1891" s="302"/>
      <c r="P1891" s="158"/>
      <c r="Q1891" s="694"/>
      <c r="R1891" s="694"/>
      <c r="S1891" s="729"/>
      <c r="T1891" s="729"/>
      <c r="U1891" s="729"/>
      <c r="V1891" s="729"/>
      <c r="W1891" s="729"/>
      <c r="X1891" s="729"/>
      <c r="Y1891" s="729"/>
      <c r="Z1891" s="729"/>
      <c r="AA1891" s="694"/>
      <c r="AB1891" s="694"/>
      <c r="AC1891" s="982" t="b">
        <f>AC1890</f>
        <v>0</v>
      </c>
      <c r="AD1891" s="982" t="b">
        <f t="shared" ref="AD1891:AI1891" si="2644">AD1890</f>
        <v>0</v>
      </c>
      <c r="AE1891" s="982" t="b">
        <f t="shared" si="2644"/>
        <v>0</v>
      </c>
      <c r="AF1891" s="982" t="b">
        <f t="shared" si="2644"/>
        <v>0</v>
      </c>
      <c r="AG1891" s="982" t="b">
        <f t="shared" si="2644"/>
        <v>0</v>
      </c>
      <c r="AH1891" s="982" t="b">
        <f t="shared" si="2644"/>
        <v>0</v>
      </c>
      <c r="AI1891" s="982" t="b">
        <f t="shared" si="2644"/>
        <v>0</v>
      </c>
      <c r="AJ1891" s="1174" t="s">
        <v>2039</v>
      </c>
      <c r="AK1891" s="1176" t="str">
        <f>IF(AND(CNTR_ExistSubInstEntries,MSconst_RequireSubAttrEmissions,COUNTIFS(AC1891:AI1891,FALSE,H1891:N1891,"")&gt;0),EUconst_Error&amp;"BM"&amp;$Q1699,"")</f>
        <v/>
      </c>
      <c r="AL1891" s="694"/>
    </row>
    <row r="1892" spans="1:38" ht="12.75" customHeight="1" x14ac:dyDescent="0.25">
      <c r="A1892" s="694"/>
      <c r="B1892" s="298"/>
      <c r="C1892" s="1302"/>
      <c r="D1892" s="625" t="s">
        <v>810</v>
      </c>
      <c r="E1892" s="2820" t="str">
        <f>Translations!$B$568</f>
        <v>Произведен отпаден газ</v>
      </c>
      <c r="F1892" s="2258"/>
      <c r="G1892" s="1319" t="str">
        <f>EUconst_TJpa</f>
        <v>TJ / година</v>
      </c>
      <c r="H1892" s="1350" t="str">
        <f t="shared" ref="H1892:N1892" si="2645">IF(COUNT(H1890:H1891)=2,H1890*H1891/1000,"")</f>
        <v/>
      </c>
      <c r="I1892" s="1351" t="str">
        <f t="shared" si="2645"/>
        <v/>
      </c>
      <c r="J1892" s="1352" t="str">
        <f t="shared" si="2645"/>
        <v/>
      </c>
      <c r="K1892" s="1350" t="str">
        <f t="shared" si="2645"/>
        <v/>
      </c>
      <c r="L1892" s="1350" t="str">
        <f t="shared" si="2645"/>
        <v/>
      </c>
      <c r="M1892" s="1350" t="str">
        <f t="shared" si="2645"/>
        <v/>
      </c>
      <c r="N1892" s="1353" t="str">
        <f t="shared" si="2645"/>
        <v/>
      </c>
      <c r="O1892" s="302"/>
      <c r="P1892" s="302"/>
      <c r="Q1892" s="1190" t="str">
        <f>EUconst_CNTR_WGProduced &amp; I1699</f>
        <v>WasteGasProd_</v>
      </c>
      <c r="R1892" s="694"/>
      <c r="S1892" s="729"/>
      <c r="T1892" s="729"/>
      <c r="U1892" s="729"/>
      <c r="V1892" s="729"/>
      <c r="W1892" s="729"/>
      <c r="X1892" s="729"/>
      <c r="Y1892" s="729"/>
      <c r="Z1892" s="729"/>
      <c r="AA1892" s="694"/>
      <c r="AB1892" s="694"/>
      <c r="AC1892" s="694"/>
      <c r="AD1892" s="694"/>
      <c r="AE1892" s="694"/>
      <c r="AF1892" s="694"/>
      <c r="AG1892" s="694"/>
      <c r="AH1892" s="694"/>
      <c r="AI1892" s="694"/>
      <c r="AJ1892" s="694"/>
      <c r="AK1892" s="694"/>
      <c r="AL1892" s="694"/>
    </row>
    <row r="1893" spans="1:38" ht="12.75" customHeight="1" x14ac:dyDescent="0.25">
      <c r="A1893" s="694"/>
      <c r="B1893" s="298"/>
      <c r="C1893" s="1302"/>
      <c r="D1893" s="625" t="s">
        <v>811</v>
      </c>
      <c r="E1893" s="2820" t="str">
        <f>Translations!$B$569</f>
        <v>Специфичен EF (произведен отпаден газ)</v>
      </c>
      <c r="F1893" s="2258"/>
      <c r="G1893" s="1319" t="str">
        <f>EUconst_tCO2pTJ</f>
        <v>t CO2 / TJ</v>
      </c>
      <c r="H1893" s="56"/>
      <c r="I1893" s="115"/>
      <c r="J1893" s="118"/>
      <c r="K1893" s="56"/>
      <c r="L1893" s="56"/>
      <c r="M1893" s="56"/>
      <c r="N1893" s="121"/>
      <c r="O1893" s="302"/>
      <c r="P1893" s="158"/>
      <c r="Q1893" s="1190" t="str">
        <f>EUconst_CNTR_WGProducedEF &amp; I1699</f>
        <v>WasteGasProdEF_</v>
      </c>
      <c r="R1893" s="694"/>
      <c r="S1893" s="729"/>
      <c r="T1893" s="729"/>
      <c r="U1893" s="729"/>
      <c r="V1893" s="729"/>
      <c r="W1893" s="729"/>
      <c r="X1893" s="729"/>
      <c r="Y1893" s="729"/>
      <c r="Z1893" s="729"/>
      <c r="AA1893" s="694"/>
      <c r="AB1893" s="1182" t="s">
        <v>737</v>
      </c>
      <c r="AC1893" s="982" t="b">
        <f>AC1891</f>
        <v>0</v>
      </c>
      <c r="AD1893" s="982" t="b">
        <f t="shared" ref="AD1893:AI1893" si="2646">AD1891</f>
        <v>0</v>
      </c>
      <c r="AE1893" s="982" t="b">
        <f t="shared" si="2646"/>
        <v>0</v>
      </c>
      <c r="AF1893" s="982" t="b">
        <f t="shared" si="2646"/>
        <v>0</v>
      </c>
      <c r="AG1893" s="982" t="b">
        <f t="shared" si="2646"/>
        <v>0</v>
      </c>
      <c r="AH1893" s="982" t="b">
        <f t="shared" si="2646"/>
        <v>0</v>
      </c>
      <c r="AI1893" s="982" t="b">
        <f t="shared" si="2646"/>
        <v>0</v>
      </c>
      <c r="AJ1893" s="1174" t="s">
        <v>2039</v>
      </c>
      <c r="AK1893" s="1176" t="str">
        <f>IF(AND(CNTR_ExistSubInstEntries,MSconst_RequireSubAttrEmissions,COUNTIFS(AC1893:AI1893,FALSE,H1893:N1893,"")&gt;0),EUconst_Error&amp;"BM"&amp;$Q1699,"")</f>
        <v/>
      </c>
      <c r="AL1893" s="694"/>
    </row>
    <row r="1894" spans="1:38" ht="12.75" customHeight="1" x14ac:dyDescent="0.25">
      <c r="A1894" s="694"/>
      <c r="B1894" s="298"/>
      <c r="C1894" s="1302"/>
      <c r="D1894" s="1306"/>
      <c r="E1894" s="1306"/>
      <c r="F1894" s="1306"/>
      <c r="G1894" s="1306"/>
      <c r="H1894" s="1354"/>
      <c r="I1894" s="1306"/>
      <c r="J1894" s="1306"/>
      <c r="K1894" s="1306"/>
      <c r="L1894" s="1306"/>
      <c r="M1894" s="626"/>
      <c r="N1894" s="1316"/>
      <c r="O1894" s="302"/>
      <c r="P1894" s="302"/>
      <c r="Q1894" s="729"/>
      <c r="R1894" s="694"/>
      <c r="S1894" s="729"/>
      <c r="T1894" s="729"/>
      <c r="U1894" s="729"/>
      <c r="V1894" s="729"/>
      <c r="W1894" s="729"/>
      <c r="X1894" s="729"/>
      <c r="Y1894" s="729"/>
      <c r="Z1894" s="729"/>
      <c r="AA1894" s="694"/>
      <c r="AB1894" s="694"/>
      <c r="AC1894" s="694"/>
      <c r="AD1894" s="694"/>
      <c r="AE1894" s="694"/>
      <c r="AF1894" s="694"/>
      <c r="AG1894" s="694"/>
      <c r="AH1894" s="694"/>
      <c r="AI1894" s="694"/>
      <c r="AJ1894" s="694"/>
      <c r="AK1894" s="694"/>
      <c r="AL1894" s="694"/>
    </row>
    <row r="1895" spans="1:38" ht="12.75" customHeight="1" x14ac:dyDescent="0.25">
      <c r="A1895" s="694"/>
      <c r="B1895" s="298"/>
      <c r="C1895" s="1302"/>
      <c r="D1895" s="625" t="s">
        <v>812</v>
      </c>
      <c r="E1895" s="2815" t="str">
        <f>Translations!$B$570</f>
        <v>Видове консумирани отпадни газове:</v>
      </c>
      <c r="F1895" s="2240"/>
      <c r="G1895" s="2240"/>
      <c r="H1895" s="2684"/>
      <c r="I1895" s="2821"/>
      <c r="J1895" s="2674"/>
      <c r="K1895" s="2674"/>
      <c r="L1895" s="2674"/>
      <c r="M1895" s="2675"/>
      <c r="N1895" s="1323"/>
      <c r="O1895" s="302"/>
      <c r="P1895" s="158"/>
      <c r="Q1895" s="729"/>
      <c r="R1895" s="694"/>
      <c r="S1895" s="729"/>
      <c r="T1895" s="729"/>
      <c r="U1895" s="729"/>
      <c r="V1895" s="729"/>
      <c r="W1895" s="729"/>
      <c r="X1895" s="729"/>
      <c r="Y1895" s="729"/>
      <c r="Z1895" s="729"/>
      <c r="AA1895" s="694"/>
      <c r="AB1895" s="694"/>
      <c r="AC1895" s="1182" t="s">
        <v>737</v>
      </c>
      <c r="AD1895" s="982" t="b">
        <f>AD1886</f>
        <v>0</v>
      </c>
      <c r="AE1895" s="694"/>
      <c r="AF1895" s="694"/>
      <c r="AG1895" s="694"/>
      <c r="AH1895" s="694"/>
      <c r="AI1895" s="694"/>
      <c r="AJ1895" s="694"/>
      <c r="AK1895" s="694"/>
      <c r="AL1895" s="694"/>
    </row>
    <row r="1896" spans="1:38" ht="25.5" customHeight="1" x14ac:dyDescent="0.25">
      <c r="A1896" s="694"/>
      <c r="B1896" s="298"/>
      <c r="C1896" s="1302"/>
      <c r="D1896" s="625"/>
      <c r="E1896" s="2810" t="str">
        <f>Translations!$B$571</f>
        <v>Това включва всички видове отпадни газове, които се консумират от тази подинсталация при производството на измерима топлинна енергия, неизмерима топлинна енергия (включително необходимото за безопасността изгаряне във факел) или механична енергия (различна от тази за електропроизводство). Количествата, резултат от изгаряне във факел, различни от необходимото за безопасността изгаряне във факел, се отчитат в следващата точка по-долу.</v>
      </c>
      <c r="F1896" s="2240"/>
      <c r="G1896" s="2240"/>
      <c r="H1896" s="2240"/>
      <c r="I1896" s="2240"/>
      <c r="J1896" s="2240"/>
      <c r="K1896" s="2240"/>
      <c r="L1896" s="2240"/>
      <c r="M1896" s="2240"/>
      <c r="N1896" s="2811"/>
      <c r="O1896" s="302"/>
      <c r="P1896" s="302"/>
      <c r="Q1896" s="729"/>
      <c r="R1896" s="694"/>
      <c r="S1896" s="729"/>
      <c r="T1896" s="729"/>
      <c r="U1896" s="729"/>
      <c r="V1896" s="729"/>
      <c r="W1896" s="729"/>
      <c r="X1896" s="729"/>
      <c r="Y1896" s="729"/>
      <c r="Z1896" s="729"/>
      <c r="AA1896" s="694"/>
      <c r="AB1896" s="694"/>
      <c r="AC1896" s="694"/>
      <c r="AD1896" s="694"/>
      <c r="AE1896" s="694"/>
      <c r="AF1896" s="694"/>
      <c r="AG1896" s="694"/>
      <c r="AH1896" s="694"/>
      <c r="AI1896" s="694"/>
      <c r="AJ1896" s="694"/>
      <c r="AK1896" s="694"/>
      <c r="AL1896" s="694"/>
    </row>
    <row r="1897" spans="1:38" ht="12.75" customHeight="1" x14ac:dyDescent="0.25">
      <c r="A1897" s="694"/>
      <c r="B1897" s="298"/>
      <c r="C1897" s="1302"/>
      <c r="D1897" s="1306"/>
      <c r="E1897" s="2816" t="str">
        <f>Translations!$B$520</f>
        <v>Посочените тук данни се използват само с цел проверка на съответствието и нямат пряко отражение върху емисиите, които могат да бъдат зададени, или на разпределението на квотите.</v>
      </c>
      <c r="F1897" s="2240"/>
      <c r="G1897" s="2240"/>
      <c r="H1897" s="2240"/>
      <c r="I1897" s="2240"/>
      <c r="J1897" s="2240"/>
      <c r="K1897" s="2240"/>
      <c r="L1897" s="2240"/>
      <c r="M1897" s="2240"/>
      <c r="N1897" s="2811"/>
      <c r="O1897" s="302"/>
      <c r="P1897" s="302"/>
      <c r="Q1897" s="729"/>
      <c r="R1897" s="694"/>
      <c r="S1897" s="729"/>
      <c r="T1897" s="729"/>
      <c r="U1897" s="729"/>
      <c r="V1897" s="729"/>
      <c r="W1897" s="729"/>
      <c r="X1897" s="729"/>
      <c r="Y1897" s="729"/>
      <c r="Z1897" s="729"/>
      <c r="AA1897" s="694"/>
      <c r="AB1897" s="694"/>
      <c r="AC1897" s="694"/>
      <c r="AD1897" s="694"/>
      <c r="AE1897" s="694"/>
      <c r="AF1897" s="694"/>
      <c r="AG1897" s="694"/>
      <c r="AH1897" s="694"/>
      <c r="AI1897" s="694"/>
      <c r="AJ1897" s="694"/>
      <c r="AK1897" s="694"/>
      <c r="AL1897" s="694"/>
    </row>
    <row r="1898" spans="1:38" ht="12.75" customHeight="1" thickBot="1" x14ac:dyDescent="0.3">
      <c r="A1898" s="694"/>
      <c r="B1898" s="298"/>
      <c r="C1898" s="1302"/>
      <c r="D1898" s="1306"/>
      <c r="E1898" s="1317"/>
      <c r="F1898" s="1318"/>
      <c r="G1898" s="1309" t="str">
        <f>EUconst_Unit</f>
        <v>Единица мярка</v>
      </c>
      <c r="H1898" s="629">
        <f t="shared" ref="H1898:N1898" si="2647">H$2831</f>
        <v>2024</v>
      </c>
      <c r="I1898" s="1310">
        <f t="shared" si="2647"/>
        <v>2025</v>
      </c>
      <c r="J1898" s="1311">
        <f t="shared" si="2647"/>
        <v>2026</v>
      </c>
      <c r="K1898" s="629">
        <f t="shared" si="2647"/>
        <v>2027</v>
      </c>
      <c r="L1898" s="629">
        <f t="shared" si="2647"/>
        <v>2028</v>
      </c>
      <c r="M1898" s="629">
        <f t="shared" si="2647"/>
        <v>2029</v>
      </c>
      <c r="N1898" s="1312">
        <f t="shared" si="2647"/>
        <v>2030</v>
      </c>
      <c r="O1898" s="302"/>
      <c r="P1898" s="302"/>
      <c r="Q1898" s="729"/>
      <c r="R1898" s="694"/>
      <c r="S1898" s="729"/>
      <c r="T1898" s="729"/>
      <c r="U1898" s="729"/>
      <c r="V1898" s="729"/>
      <c r="W1898" s="729"/>
      <c r="X1898" s="729"/>
      <c r="Y1898" s="729"/>
      <c r="Z1898" s="729"/>
      <c r="AA1898" s="694"/>
      <c r="AB1898" s="694"/>
      <c r="AC1898" s="1178">
        <f t="shared" ref="AC1898" si="2648">H$20</f>
        <v>2024</v>
      </c>
      <c r="AD1898" s="1178">
        <f t="shared" ref="AD1898" si="2649">I$20</f>
        <v>2025</v>
      </c>
      <c r="AE1898" s="1178">
        <f t="shared" ref="AE1898" si="2650">J$20</f>
        <v>2026</v>
      </c>
      <c r="AF1898" s="1178">
        <f t="shared" ref="AF1898" si="2651">K$20</f>
        <v>2027</v>
      </c>
      <c r="AG1898" s="1178">
        <f t="shared" ref="AG1898" si="2652">L$20</f>
        <v>2028</v>
      </c>
      <c r="AH1898" s="1178">
        <f t="shared" ref="AH1898" si="2653">M$20</f>
        <v>2029</v>
      </c>
      <c r="AI1898" s="1178">
        <f t="shared" ref="AI1898" si="2654">N$20</f>
        <v>2030</v>
      </c>
      <c r="AJ1898" s="694"/>
      <c r="AK1898" s="694"/>
      <c r="AL1898" s="694"/>
    </row>
    <row r="1899" spans="1:38" ht="12.75" customHeight="1" x14ac:dyDescent="0.25">
      <c r="A1899" s="694"/>
      <c r="B1899" s="298"/>
      <c r="C1899" s="1302"/>
      <c r="D1899" s="625" t="s">
        <v>813</v>
      </c>
      <c r="E1899" s="2818" t="str">
        <f>Translations!$B$572</f>
        <v>Консумирани количества</v>
      </c>
      <c r="F1899" s="2701"/>
      <c r="G1899" s="145"/>
      <c r="H1899" s="129"/>
      <c r="I1899" s="130"/>
      <c r="J1899" s="131"/>
      <c r="K1899" s="129"/>
      <c r="L1899" s="129"/>
      <c r="M1899" s="129"/>
      <c r="N1899" s="132"/>
      <c r="O1899" s="302"/>
      <c r="P1899" s="158"/>
      <c r="Q1899" s="729"/>
      <c r="R1899" s="694"/>
      <c r="S1899" s="729"/>
      <c r="T1899" s="729"/>
      <c r="U1899" s="729"/>
      <c r="V1899" s="729"/>
      <c r="W1899" s="729"/>
      <c r="X1899" s="729"/>
      <c r="Y1899" s="729"/>
      <c r="Z1899" s="729"/>
      <c r="AA1899" s="694"/>
      <c r="AB1899" s="1182" t="s">
        <v>737</v>
      </c>
      <c r="AC1899" s="982" t="b">
        <f>AC1890</f>
        <v>0</v>
      </c>
      <c r="AD1899" s="982" t="b">
        <f t="shared" ref="AD1899:AI1899" si="2655">AD1890</f>
        <v>0</v>
      </c>
      <c r="AE1899" s="982" t="b">
        <f t="shared" si="2655"/>
        <v>0</v>
      </c>
      <c r="AF1899" s="982" t="b">
        <f t="shared" si="2655"/>
        <v>0</v>
      </c>
      <c r="AG1899" s="982" t="b">
        <f t="shared" si="2655"/>
        <v>0</v>
      </c>
      <c r="AH1899" s="982" t="b">
        <f t="shared" si="2655"/>
        <v>0</v>
      </c>
      <c r="AI1899" s="982" t="b">
        <f t="shared" si="2655"/>
        <v>0</v>
      </c>
      <c r="AJ1899" s="1174" t="s">
        <v>2039</v>
      </c>
      <c r="AK1899" s="1176" t="str">
        <f>IF(AND(CNTR_ExistSubInstEntries,MSconst_RequireSubAttrEmissions,COUNTIFS(AC1899:AI1899,FALSE,H1899:N1899,"")&gt;0),EUconst_Error&amp;"BM"&amp;$Q1699,"")</f>
        <v/>
      </c>
      <c r="AL1899" s="694"/>
    </row>
    <row r="1900" spans="1:38" ht="12.75" customHeight="1" x14ac:dyDescent="0.25">
      <c r="A1900" s="694"/>
      <c r="B1900" s="298"/>
      <c r="C1900" s="1302"/>
      <c r="D1900" s="625" t="s">
        <v>814</v>
      </c>
      <c r="E1900" s="2819" t="str">
        <f>Translations!$B$296</f>
        <v>Долна топлина на изгаряне</v>
      </c>
      <c r="F1900" s="2705"/>
      <c r="G1900" s="1349" t="str">
        <f>IF(ISBLANK(G1899),EUconst_GJperUnit,INDEX(EUconst_GJperTorKNm3,MATCH(G1899,EUconst_TonnesOrkNm3pa,0)))</f>
        <v>GJ / Единица мярка</v>
      </c>
      <c r="H1900" s="137"/>
      <c r="I1900" s="138"/>
      <c r="J1900" s="139"/>
      <c r="K1900" s="137"/>
      <c r="L1900" s="137"/>
      <c r="M1900" s="137"/>
      <c r="N1900" s="140"/>
      <c r="O1900" s="302"/>
      <c r="P1900" s="158"/>
      <c r="Q1900" s="694"/>
      <c r="R1900" s="694"/>
      <c r="S1900" s="729"/>
      <c r="T1900" s="729"/>
      <c r="U1900" s="729"/>
      <c r="V1900" s="729"/>
      <c r="W1900" s="729"/>
      <c r="X1900" s="729"/>
      <c r="Y1900" s="729"/>
      <c r="Z1900" s="729"/>
      <c r="AA1900" s="694"/>
      <c r="AB1900" s="694"/>
      <c r="AC1900" s="982" t="b">
        <f>AC1899</f>
        <v>0</v>
      </c>
      <c r="AD1900" s="982" t="b">
        <f t="shared" ref="AD1900:AI1900" si="2656">AD1899</f>
        <v>0</v>
      </c>
      <c r="AE1900" s="982" t="b">
        <f t="shared" si="2656"/>
        <v>0</v>
      </c>
      <c r="AF1900" s="982" t="b">
        <f t="shared" si="2656"/>
        <v>0</v>
      </c>
      <c r="AG1900" s="982" t="b">
        <f t="shared" si="2656"/>
        <v>0</v>
      </c>
      <c r="AH1900" s="982" t="b">
        <f t="shared" si="2656"/>
        <v>0</v>
      </c>
      <c r="AI1900" s="982" t="b">
        <f t="shared" si="2656"/>
        <v>0</v>
      </c>
      <c r="AJ1900" s="1174" t="s">
        <v>2039</v>
      </c>
      <c r="AK1900" s="1176" t="str">
        <f>IF(AND(CNTR_ExistSubInstEntries,MSconst_RequireSubAttrEmissions,COUNTIFS(AC1900:AI1900,FALSE,H1900:N1900,"")&gt;0),EUconst_Error&amp;"BM"&amp;$Q1699,"")</f>
        <v/>
      </c>
      <c r="AL1900" s="694"/>
    </row>
    <row r="1901" spans="1:38" ht="12.75" customHeight="1" x14ac:dyDescent="0.25">
      <c r="A1901" s="694"/>
      <c r="B1901" s="298"/>
      <c r="C1901" s="1302"/>
      <c r="D1901" s="625" t="s">
        <v>61</v>
      </c>
      <c r="E1901" s="2820" t="str">
        <f>Translations!$B$573</f>
        <v>Консумиран отпаден газ</v>
      </c>
      <c r="F1901" s="2258"/>
      <c r="G1901" s="1319" t="str">
        <f>EUconst_TJpa</f>
        <v>TJ / година</v>
      </c>
      <c r="H1901" s="1350" t="str">
        <f t="shared" ref="H1901:N1901" si="2657">IF(COUNT(H1899:H1900)=2,H1899*H1900/1000,"")</f>
        <v/>
      </c>
      <c r="I1901" s="1351" t="str">
        <f t="shared" si="2657"/>
        <v/>
      </c>
      <c r="J1901" s="1352" t="str">
        <f t="shared" si="2657"/>
        <v/>
      </c>
      <c r="K1901" s="1350" t="str">
        <f t="shared" si="2657"/>
        <v/>
      </c>
      <c r="L1901" s="1350" t="str">
        <f t="shared" si="2657"/>
        <v/>
      </c>
      <c r="M1901" s="1350" t="str">
        <f t="shared" si="2657"/>
        <v/>
      </c>
      <c r="N1901" s="1353" t="str">
        <f t="shared" si="2657"/>
        <v/>
      </c>
      <c r="O1901" s="302"/>
      <c r="P1901" s="302"/>
      <c r="Q1901" s="1190" t="str">
        <f>EUconst_CNTR_WGConsumed &amp; I1699</f>
        <v>WasteGasCons_</v>
      </c>
      <c r="R1901" s="694"/>
      <c r="S1901" s="729"/>
      <c r="T1901" s="729"/>
      <c r="U1901" s="729"/>
      <c r="V1901" s="729"/>
      <c r="W1901" s="729"/>
      <c r="X1901" s="729"/>
      <c r="Y1901" s="729"/>
      <c r="Z1901" s="729"/>
      <c r="AA1901" s="694"/>
      <c r="AB1901" s="694"/>
      <c r="AC1901" s="694"/>
      <c r="AD1901" s="694"/>
      <c r="AE1901" s="694"/>
      <c r="AF1901" s="694"/>
      <c r="AG1901" s="694"/>
      <c r="AH1901" s="694"/>
      <c r="AI1901" s="694"/>
      <c r="AJ1901" s="694"/>
      <c r="AK1901" s="694"/>
      <c r="AL1901" s="694"/>
    </row>
    <row r="1902" spans="1:38" ht="12.75" customHeight="1" x14ac:dyDescent="0.25">
      <c r="A1902" s="694"/>
      <c r="B1902" s="298"/>
      <c r="C1902" s="1302"/>
      <c r="D1902" s="625" t="s">
        <v>62</v>
      </c>
      <c r="E1902" s="2820" t="str">
        <f>Translations!$B$574</f>
        <v>Специфичен EF (консумиран отпаден газ)</v>
      </c>
      <c r="F1902" s="2258"/>
      <c r="G1902" s="1319" t="str">
        <f>EUconst_tCO2pTJ</f>
        <v>t CO2 / TJ</v>
      </c>
      <c r="H1902" s="56"/>
      <c r="I1902" s="115"/>
      <c r="J1902" s="118"/>
      <c r="K1902" s="56"/>
      <c r="L1902" s="56"/>
      <c r="M1902" s="56"/>
      <c r="N1902" s="121"/>
      <c r="O1902" s="302"/>
      <c r="P1902" s="158"/>
      <c r="Q1902" s="1190" t="str">
        <f>EUconst_CNTR_WGConsumedEF &amp; I1699</f>
        <v>WasteGasConsEF_</v>
      </c>
      <c r="R1902" s="694"/>
      <c r="S1902" s="729"/>
      <c r="T1902" s="729"/>
      <c r="U1902" s="729"/>
      <c r="V1902" s="729"/>
      <c r="W1902" s="729"/>
      <c r="X1902" s="729"/>
      <c r="Y1902" s="729"/>
      <c r="Z1902" s="729"/>
      <c r="AA1902" s="694"/>
      <c r="AB1902" s="1182" t="s">
        <v>737</v>
      </c>
      <c r="AC1902" s="982" t="b">
        <f>AC1900</f>
        <v>0</v>
      </c>
      <c r="AD1902" s="982" t="b">
        <f t="shared" ref="AD1902:AI1902" si="2658">AD1900</f>
        <v>0</v>
      </c>
      <c r="AE1902" s="982" t="b">
        <f t="shared" si="2658"/>
        <v>0</v>
      </c>
      <c r="AF1902" s="982" t="b">
        <f t="shared" si="2658"/>
        <v>0</v>
      </c>
      <c r="AG1902" s="982" t="b">
        <f t="shared" si="2658"/>
        <v>0</v>
      </c>
      <c r="AH1902" s="982" t="b">
        <f t="shared" si="2658"/>
        <v>0</v>
      </c>
      <c r="AI1902" s="982" t="b">
        <f t="shared" si="2658"/>
        <v>0</v>
      </c>
      <c r="AJ1902" s="1174" t="s">
        <v>2039</v>
      </c>
      <c r="AK1902" s="1176" t="str">
        <f>IF(AND(CNTR_ExistSubInstEntries,MSconst_RequireSubAttrEmissions,COUNTIFS(AC1902:AI1902,FALSE,H1902:N1902,"")&gt;0),EUconst_Error&amp;"BM"&amp;$Q1699,"")</f>
        <v/>
      </c>
      <c r="AL1902" s="694"/>
    </row>
    <row r="1903" spans="1:38" ht="12.75" customHeight="1" x14ac:dyDescent="0.25">
      <c r="A1903" s="694"/>
      <c r="B1903" s="298"/>
      <c r="C1903" s="1302"/>
      <c r="D1903" s="1306"/>
      <c r="E1903" s="1306"/>
      <c r="F1903" s="1306"/>
      <c r="G1903" s="1306"/>
      <c r="H1903" s="1354"/>
      <c r="I1903" s="1306"/>
      <c r="J1903" s="1306"/>
      <c r="K1903" s="1306"/>
      <c r="L1903" s="1306"/>
      <c r="M1903" s="626"/>
      <c r="N1903" s="1316"/>
      <c r="O1903" s="302"/>
      <c r="P1903" s="302"/>
      <c r="Q1903" s="729"/>
      <c r="R1903" s="694"/>
      <c r="S1903" s="729"/>
      <c r="T1903" s="729"/>
      <c r="U1903" s="729"/>
      <c r="V1903" s="729"/>
      <c r="W1903" s="694"/>
      <c r="X1903" s="694"/>
      <c r="Y1903" s="694"/>
      <c r="Z1903" s="694"/>
      <c r="AA1903" s="694"/>
      <c r="AB1903" s="694"/>
      <c r="AC1903" s="694"/>
      <c r="AD1903" s="694"/>
      <c r="AE1903" s="694"/>
      <c r="AF1903" s="694"/>
      <c r="AG1903" s="694"/>
      <c r="AH1903" s="694"/>
      <c r="AI1903" s="694"/>
      <c r="AJ1903" s="694"/>
      <c r="AK1903" s="694"/>
      <c r="AL1903" s="694"/>
    </row>
    <row r="1904" spans="1:38" ht="12.75" customHeight="1" x14ac:dyDescent="0.25">
      <c r="A1904" s="694"/>
      <c r="B1904" s="298"/>
      <c r="C1904" s="1302"/>
      <c r="D1904" s="625" t="s">
        <v>63</v>
      </c>
      <c r="E1904" s="2815" t="str">
        <f>Translations!$B$575</f>
        <v>Видове отпадни газове резултат от изгаряне във факел:</v>
      </c>
      <c r="F1904" s="2240"/>
      <c r="G1904" s="2240"/>
      <c r="H1904" s="2684"/>
      <c r="I1904" s="2821"/>
      <c r="J1904" s="2674"/>
      <c r="K1904" s="2674"/>
      <c r="L1904" s="2674"/>
      <c r="M1904" s="2675"/>
      <c r="N1904" s="1323"/>
      <c r="O1904" s="302"/>
      <c r="P1904" s="158"/>
      <c r="Q1904" s="729"/>
      <c r="R1904" s="694"/>
      <c r="S1904" s="729"/>
      <c r="T1904" s="694"/>
      <c r="U1904" s="694"/>
      <c r="V1904" s="694"/>
      <c r="W1904" s="694"/>
      <c r="X1904" s="694"/>
      <c r="Y1904" s="694"/>
      <c r="Z1904" s="694"/>
      <c r="AA1904" s="694"/>
      <c r="AB1904" s="694"/>
      <c r="AC1904" s="1182" t="s">
        <v>737</v>
      </c>
      <c r="AD1904" s="982" t="b">
        <f>AD1895</f>
        <v>0</v>
      </c>
      <c r="AE1904" s="694"/>
      <c r="AF1904" s="694"/>
      <c r="AG1904" s="694"/>
      <c r="AH1904" s="694"/>
      <c r="AI1904" s="694"/>
      <c r="AJ1904" s="694"/>
      <c r="AK1904" s="694"/>
      <c r="AL1904" s="694"/>
    </row>
    <row r="1905" spans="1:38" ht="12.75" customHeight="1" x14ac:dyDescent="0.25">
      <c r="A1905" s="694"/>
      <c r="B1905" s="298"/>
      <c r="C1905" s="1302"/>
      <c r="D1905" s="625"/>
      <c r="E1905" s="2810" t="str">
        <f>Translations!$B$576</f>
        <v>Това включва всички видове отпадни газове, които в крайна сметка са изгорени във факел, различни от необходимото за безопасността изгаряне във факел, в подинсталацията или извън нея.</v>
      </c>
      <c r="F1905" s="2240"/>
      <c r="G1905" s="2240"/>
      <c r="H1905" s="2240"/>
      <c r="I1905" s="2240"/>
      <c r="J1905" s="2240"/>
      <c r="K1905" s="2240"/>
      <c r="L1905" s="2240"/>
      <c r="M1905" s="2240"/>
      <c r="N1905" s="2811"/>
      <c r="O1905" s="302"/>
      <c r="P1905" s="302"/>
      <c r="Q1905" s="729"/>
      <c r="R1905" s="694"/>
      <c r="S1905" s="694"/>
      <c r="T1905" s="729"/>
      <c r="U1905" s="729"/>
      <c r="V1905" s="729"/>
      <c r="W1905" s="694"/>
      <c r="X1905" s="694"/>
      <c r="Y1905" s="694"/>
      <c r="Z1905" s="694"/>
      <c r="AA1905" s="694"/>
      <c r="AB1905" s="694"/>
      <c r="AC1905" s="694"/>
      <c r="AD1905" s="694"/>
      <c r="AE1905" s="694"/>
      <c r="AF1905" s="694"/>
      <c r="AG1905" s="694"/>
      <c r="AH1905" s="694"/>
      <c r="AI1905" s="694"/>
      <c r="AJ1905" s="694"/>
      <c r="AK1905" s="694"/>
      <c r="AL1905" s="694"/>
    </row>
    <row r="1906" spans="1:38" ht="12.75" customHeight="1" x14ac:dyDescent="0.25">
      <c r="A1906" s="694"/>
      <c r="B1906" s="298"/>
      <c r="C1906" s="1302"/>
      <c r="D1906" s="1306"/>
      <c r="E1906" s="2810" t="str">
        <f>Translations!$B$577</f>
        <v>Посочените тук данни се използват само с цел проверка на съответствието и нямат пряко отражение върху емисиите, които могат да бъдат зададени.</v>
      </c>
      <c r="F1906" s="2240"/>
      <c r="G1906" s="2240"/>
      <c r="H1906" s="2240"/>
      <c r="I1906" s="2240"/>
      <c r="J1906" s="2240"/>
      <c r="K1906" s="2240"/>
      <c r="L1906" s="2240"/>
      <c r="M1906" s="2240"/>
      <c r="N1906" s="2811"/>
      <c r="O1906" s="302"/>
      <c r="P1906" s="302"/>
      <c r="Q1906" s="729"/>
      <c r="R1906" s="694"/>
      <c r="S1906" s="729"/>
      <c r="T1906" s="729"/>
      <c r="U1906" s="729"/>
      <c r="V1906" s="729"/>
      <c r="W1906" s="694"/>
      <c r="X1906" s="694"/>
      <c r="Y1906" s="694"/>
      <c r="Z1906" s="694"/>
      <c r="AA1906" s="694"/>
      <c r="AB1906" s="694"/>
      <c r="AC1906" s="694"/>
      <c r="AD1906" s="694"/>
      <c r="AE1906" s="694"/>
      <c r="AF1906" s="694"/>
      <c r="AG1906" s="694"/>
      <c r="AH1906" s="694"/>
      <c r="AI1906" s="694"/>
      <c r="AJ1906" s="694"/>
      <c r="AK1906" s="694"/>
      <c r="AL1906" s="694"/>
    </row>
    <row r="1907" spans="1:38" ht="12.75" customHeight="1" x14ac:dyDescent="0.25">
      <c r="A1907" s="694"/>
      <c r="B1907" s="298"/>
      <c r="C1907" s="1302"/>
      <c r="D1907" s="1306"/>
      <c r="E1907" s="2816" t="str">
        <f>Translations!$B$578</f>
        <v>Въпреки това от 2026 г. квотите ще бъдат намалени по отношение на факелното изгаряне на отпадни газове, различно от необходимото за безопасността изгаряне във факел.</v>
      </c>
      <c r="F1907" s="2240"/>
      <c r="G1907" s="2240"/>
      <c r="H1907" s="2240"/>
      <c r="I1907" s="2240"/>
      <c r="J1907" s="2240"/>
      <c r="K1907" s="2240"/>
      <c r="L1907" s="2240"/>
      <c r="M1907" s="2240"/>
      <c r="N1907" s="2811"/>
      <c r="O1907" s="302"/>
      <c r="P1907" s="302"/>
      <c r="Q1907" s="729"/>
      <c r="R1907" s="694"/>
      <c r="S1907" s="729"/>
      <c r="T1907" s="729"/>
      <c r="U1907" s="729"/>
      <c r="V1907" s="729"/>
      <c r="W1907" s="729"/>
      <c r="X1907" s="729"/>
      <c r="Y1907" s="729"/>
      <c r="Z1907" s="729"/>
      <c r="AA1907" s="694"/>
      <c r="AB1907" s="694"/>
      <c r="AC1907" s="694"/>
      <c r="AD1907" s="694"/>
      <c r="AE1907" s="694"/>
      <c r="AF1907" s="694"/>
      <c r="AG1907" s="694"/>
      <c r="AH1907" s="694"/>
      <c r="AI1907" s="694"/>
      <c r="AJ1907" s="694"/>
      <c r="AK1907" s="694"/>
      <c r="AL1907" s="694"/>
    </row>
    <row r="1908" spans="1:38" ht="12.75" customHeight="1" thickBot="1" x14ac:dyDescent="0.3">
      <c r="A1908" s="694"/>
      <c r="B1908" s="298"/>
      <c r="C1908" s="1302"/>
      <c r="D1908" s="1306"/>
      <c r="E1908" s="1317"/>
      <c r="F1908" s="1318"/>
      <c r="G1908" s="1309" t="str">
        <f>EUconst_Unit</f>
        <v>Единица мярка</v>
      </c>
      <c r="H1908" s="629">
        <f t="shared" ref="H1908:N1908" si="2659">H$2831</f>
        <v>2024</v>
      </c>
      <c r="I1908" s="1310">
        <f t="shared" si="2659"/>
        <v>2025</v>
      </c>
      <c r="J1908" s="1311">
        <f t="shared" si="2659"/>
        <v>2026</v>
      </c>
      <c r="K1908" s="629">
        <f t="shared" si="2659"/>
        <v>2027</v>
      </c>
      <c r="L1908" s="629">
        <f t="shared" si="2659"/>
        <v>2028</v>
      </c>
      <c r="M1908" s="629">
        <f t="shared" si="2659"/>
        <v>2029</v>
      </c>
      <c r="N1908" s="1312">
        <f t="shared" si="2659"/>
        <v>2030</v>
      </c>
      <c r="O1908" s="302"/>
      <c r="P1908" s="302"/>
      <c r="Q1908" s="729"/>
      <c r="R1908" s="694"/>
      <c r="S1908" s="729"/>
      <c r="T1908" s="729"/>
      <c r="U1908" s="729"/>
      <c r="V1908" s="729"/>
      <c r="W1908" s="729"/>
      <c r="X1908" s="729"/>
      <c r="Y1908" s="729"/>
      <c r="Z1908" s="729"/>
      <c r="AA1908" s="694"/>
      <c r="AB1908" s="694"/>
      <c r="AC1908" s="1178">
        <f t="shared" ref="AC1908" si="2660">H$20</f>
        <v>2024</v>
      </c>
      <c r="AD1908" s="1178">
        <f t="shared" ref="AD1908" si="2661">I$20</f>
        <v>2025</v>
      </c>
      <c r="AE1908" s="1178">
        <f t="shared" ref="AE1908" si="2662">J$20</f>
        <v>2026</v>
      </c>
      <c r="AF1908" s="1178">
        <f t="shared" ref="AF1908" si="2663">K$20</f>
        <v>2027</v>
      </c>
      <c r="AG1908" s="1178">
        <f t="shared" ref="AG1908" si="2664">L$20</f>
        <v>2028</v>
      </c>
      <c r="AH1908" s="1178">
        <f t="shared" ref="AH1908" si="2665">M$20</f>
        <v>2029</v>
      </c>
      <c r="AI1908" s="1178">
        <f t="shared" ref="AI1908" si="2666">N$20</f>
        <v>2030</v>
      </c>
      <c r="AJ1908" s="694"/>
      <c r="AK1908" s="694"/>
      <c r="AL1908" s="694"/>
    </row>
    <row r="1909" spans="1:38" ht="12.75" customHeight="1" x14ac:dyDescent="0.25">
      <c r="A1909" s="694"/>
      <c r="B1909" s="298"/>
      <c r="C1909" s="1302"/>
      <c r="D1909" s="625" t="s">
        <v>1136</v>
      </c>
      <c r="E1909" s="2818" t="str">
        <f>Translations!$B$579</f>
        <v>Количества, изгорени във факел</v>
      </c>
      <c r="F1909" s="2701"/>
      <c r="G1909" s="145"/>
      <c r="H1909" s="129"/>
      <c r="I1909" s="130"/>
      <c r="J1909" s="131"/>
      <c r="K1909" s="129"/>
      <c r="L1909" s="129"/>
      <c r="M1909" s="129"/>
      <c r="N1909" s="132"/>
      <c r="O1909" s="302"/>
      <c r="P1909" s="158"/>
      <c r="Q1909" s="729"/>
      <c r="R1909" s="694"/>
      <c r="S1909" s="729"/>
      <c r="T1909" s="729"/>
      <c r="U1909" s="729"/>
      <c r="V1909" s="729"/>
      <c r="W1909" s="729"/>
      <c r="X1909" s="729"/>
      <c r="Y1909" s="729"/>
      <c r="Z1909" s="729"/>
      <c r="AA1909" s="694"/>
      <c r="AB1909" s="1182" t="s">
        <v>737</v>
      </c>
      <c r="AC1909" s="982" t="b">
        <f>AC1899</f>
        <v>0</v>
      </c>
      <c r="AD1909" s="982" t="b">
        <f t="shared" ref="AD1909:AI1909" si="2667">AD1899</f>
        <v>0</v>
      </c>
      <c r="AE1909" s="982" t="b">
        <f t="shared" si="2667"/>
        <v>0</v>
      </c>
      <c r="AF1909" s="982" t="b">
        <f t="shared" si="2667"/>
        <v>0</v>
      </c>
      <c r="AG1909" s="982" t="b">
        <f t="shared" si="2667"/>
        <v>0</v>
      </c>
      <c r="AH1909" s="982" t="b">
        <f t="shared" si="2667"/>
        <v>0</v>
      </c>
      <c r="AI1909" s="982" t="b">
        <f t="shared" si="2667"/>
        <v>0</v>
      </c>
      <c r="AJ1909" s="1174" t="s">
        <v>2039</v>
      </c>
      <c r="AK1909" s="1176" t="str">
        <f>IF(AND(CNTR_ExistSubInstEntries,MSconst_RequireSubAttrEmissions,COUNTIFS(AC1909:AI1909,FALSE,H1909:N1909,"")&gt;0),EUconst_Error&amp;"BM"&amp;$Q1699,"")</f>
        <v/>
      </c>
      <c r="AL1909" s="694"/>
    </row>
    <row r="1910" spans="1:38" ht="12.75" customHeight="1" x14ac:dyDescent="0.25">
      <c r="A1910" s="694"/>
      <c r="B1910" s="298"/>
      <c r="C1910" s="1302"/>
      <c r="D1910" s="625" t="s">
        <v>1137</v>
      </c>
      <c r="E1910" s="2819" t="str">
        <f>Translations!$B$296</f>
        <v>Долна топлина на изгаряне</v>
      </c>
      <c r="F1910" s="2705"/>
      <c r="G1910" s="1349" t="str">
        <f>IF(ISBLANK(G1909),EUconst_GJperUnit,INDEX(EUconst_GJperTorKNm3,MATCH(G1909,EUconst_TonnesOrkNm3pa,0)))</f>
        <v>GJ / Единица мярка</v>
      </c>
      <c r="H1910" s="137"/>
      <c r="I1910" s="138"/>
      <c r="J1910" s="139"/>
      <c r="K1910" s="137"/>
      <c r="L1910" s="137"/>
      <c r="M1910" s="137"/>
      <c r="N1910" s="140"/>
      <c r="O1910" s="302"/>
      <c r="P1910" s="158"/>
      <c r="Q1910" s="694"/>
      <c r="R1910" s="694"/>
      <c r="S1910" s="729"/>
      <c r="T1910" s="729"/>
      <c r="U1910" s="729"/>
      <c r="V1910" s="729"/>
      <c r="W1910" s="729"/>
      <c r="X1910" s="729"/>
      <c r="Y1910" s="729"/>
      <c r="Z1910" s="729"/>
      <c r="AA1910" s="694"/>
      <c r="AB1910" s="694"/>
      <c r="AC1910" s="982" t="b">
        <f>AC1909</f>
        <v>0</v>
      </c>
      <c r="AD1910" s="982" t="b">
        <f t="shared" ref="AD1910:AI1910" si="2668">AD1909</f>
        <v>0</v>
      </c>
      <c r="AE1910" s="982" t="b">
        <f t="shared" si="2668"/>
        <v>0</v>
      </c>
      <c r="AF1910" s="982" t="b">
        <f t="shared" si="2668"/>
        <v>0</v>
      </c>
      <c r="AG1910" s="982" t="b">
        <f t="shared" si="2668"/>
        <v>0</v>
      </c>
      <c r="AH1910" s="982" t="b">
        <f t="shared" si="2668"/>
        <v>0</v>
      </c>
      <c r="AI1910" s="982" t="b">
        <f t="shared" si="2668"/>
        <v>0</v>
      </c>
      <c r="AJ1910" s="1174" t="s">
        <v>2039</v>
      </c>
      <c r="AK1910" s="1176" t="str">
        <f>IF(AND(CNTR_ExistSubInstEntries,MSconst_RequireSubAttrEmissions,COUNTIFS(AC1910:AI1910,FALSE,H1910:N1910,"")&gt;0),EUconst_Error&amp;"BM"&amp;$Q1699,"")</f>
        <v/>
      </c>
      <c r="AL1910" s="694"/>
    </row>
    <row r="1911" spans="1:38" ht="12.75" customHeight="1" x14ac:dyDescent="0.25">
      <c r="A1911" s="694"/>
      <c r="B1911" s="298"/>
      <c r="C1911" s="1302"/>
      <c r="D1911" s="625" t="s">
        <v>1138</v>
      </c>
      <c r="E1911" s="2820" t="str">
        <f>Translations!$B$580</f>
        <v>Изгорен във факел отпаден газ</v>
      </c>
      <c r="F1911" s="2258"/>
      <c r="G1911" s="1319" t="str">
        <f>EUconst_TJpa</f>
        <v>TJ / година</v>
      </c>
      <c r="H1911" s="1350" t="str">
        <f t="shared" ref="H1911:N1911" si="2669">IF(COUNT(H1909:H1910)=2,H1909*H1910/1000,"")</f>
        <v/>
      </c>
      <c r="I1911" s="1351" t="str">
        <f t="shared" si="2669"/>
        <v/>
      </c>
      <c r="J1911" s="1352" t="str">
        <f t="shared" si="2669"/>
        <v/>
      </c>
      <c r="K1911" s="1350" t="str">
        <f t="shared" si="2669"/>
        <v/>
      </c>
      <c r="L1911" s="1350" t="str">
        <f t="shared" si="2669"/>
        <v/>
      </c>
      <c r="M1911" s="1350" t="str">
        <f t="shared" si="2669"/>
        <v/>
      </c>
      <c r="N1911" s="1353" t="str">
        <f t="shared" si="2669"/>
        <v/>
      </c>
      <c r="O1911" s="302"/>
      <c r="P1911" s="302"/>
      <c r="Q1911" s="1190" t="str">
        <f>EUconst_CNTR_WGFlared &amp; I1699</f>
        <v>WasteGasFlare_</v>
      </c>
      <c r="R1911" s="694"/>
      <c r="S1911" s="729"/>
      <c r="T1911" s="729"/>
      <c r="U1911" s="729"/>
      <c r="V1911" s="729"/>
      <c r="W1911" s="729"/>
      <c r="X1911" s="729"/>
      <c r="Y1911" s="729"/>
      <c r="Z1911" s="729"/>
      <c r="AA1911" s="694"/>
      <c r="AB1911" s="694"/>
      <c r="AC1911" s="694"/>
      <c r="AD1911" s="694"/>
      <c r="AE1911" s="694"/>
      <c r="AF1911" s="694"/>
      <c r="AG1911" s="694"/>
      <c r="AH1911" s="694"/>
      <c r="AI1911" s="694"/>
      <c r="AJ1911" s="694"/>
      <c r="AK1911" s="694"/>
      <c r="AL1911" s="694"/>
    </row>
    <row r="1912" spans="1:38" ht="12.75" customHeight="1" x14ac:dyDescent="0.25">
      <c r="A1912" s="694"/>
      <c r="B1912" s="298"/>
      <c r="C1912" s="1302"/>
      <c r="D1912" s="625" t="s">
        <v>1139</v>
      </c>
      <c r="E1912" s="2820" t="str">
        <f>Translations!$B$581</f>
        <v>Специфичен EF (изгорен във факел отпаден газ)</v>
      </c>
      <c r="F1912" s="2258"/>
      <c r="G1912" s="1319" t="str">
        <f>EUconst_tCO2pTJ</f>
        <v>t CO2 / TJ</v>
      </c>
      <c r="H1912" s="56"/>
      <c r="I1912" s="115"/>
      <c r="J1912" s="118"/>
      <c r="K1912" s="56"/>
      <c r="L1912" s="56"/>
      <c r="M1912" s="56"/>
      <c r="N1912" s="121"/>
      <c r="O1912" s="302"/>
      <c r="P1912" s="158"/>
      <c r="Q1912" s="1190" t="str">
        <f>EUconst_CNTR_WGFlaredEF &amp; I1699</f>
        <v>WasteGasFlareEF_</v>
      </c>
      <c r="R1912" s="694"/>
      <c r="S1912" s="729"/>
      <c r="T1912" s="729"/>
      <c r="U1912" s="729"/>
      <c r="V1912" s="729"/>
      <c r="W1912" s="729"/>
      <c r="X1912" s="729"/>
      <c r="Y1912" s="729"/>
      <c r="Z1912" s="729"/>
      <c r="AA1912" s="694"/>
      <c r="AB1912" s="1182" t="s">
        <v>737</v>
      </c>
      <c r="AC1912" s="982" t="b">
        <f>AC1910</f>
        <v>0</v>
      </c>
      <c r="AD1912" s="982" t="b">
        <f t="shared" ref="AD1912:AI1912" si="2670">AD1910</f>
        <v>0</v>
      </c>
      <c r="AE1912" s="982" t="b">
        <f t="shared" si="2670"/>
        <v>0</v>
      </c>
      <c r="AF1912" s="982" t="b">
        <f t="shared" si="2670"/>
        <v>0</v>
      </c>
      <c r="AG1912" s="982" t="b">
        <f t="shared" si="2670"/>
        <v>0</v>
      </c>
      <c r="AH1912" s="982" t="b">
        <f t="shared" si="2670"/>
        <v>0</v>
      </c>
      <c r="AI1912" s="982" t="b">
        <f t="shared" si="2670"/>
        <v>0</v>
      </c>
      <c r="AJ1912" s="1174" t="s">
        <v>2039</v>
      </c>
      <c r="AK1912" s="1176" t="str">
        <f>IF(AND(CNTR_ExistSubInstEntries,MSconst_RequireSubAttrEmissions,COUNTIFS(AC1912:AI1912,FALSE,H1912:N1912,"")&gt;0),EUconst_Error&amp;"BM"&amp;$Q1699,"")</f>
        <v/>
      </c>
      <c r="AL1912" s="694"/>
    </row>
    <row r="1913" spans="1:38" ht="5.15" customHeight="1" thickBot="1" x14ac:dyDescent="0.3">
      <c r="A1913" s="694"/>
      <c r="B1913" s="298"/>
      <c r="C1913" s="1302"/>
      <c r="D1913" s="1306"/>
      <c r="E1913" s="1306"/>
      <c r="F1913" s="1306"/>
      <c r="G1913" s="1306"/>
      <c r="H1913" s="1354"/>
      <c r="I1913" s="1306"/>
      <c r="J1913" s="1306"/>
      <c r="K1913" s="1306"/>
      <c r="L1913" s="1306"/>
      <c r="M1913" s="626"/>
      <c r="N1913" s="1316"/>
      <c r="O1913" s="302"/>
      <c r="P1913" s="302"/>
      <c r="Q1913" s="729"/>
      <c r="R1913" s="694"/>
      <c r="S1913" s="729"/>
      <c r="T1913" s="729"/>
      <c r="U1913" s="729"/>
      <c r="V1913" s="729"/>
      <c r="W1913" s="694"/>
      <c r="X1913" s="694"/>
      <c r="Y1913" s="694"/>
      <c r="Z1913" s="694"/>
      <c r="AA1913" s="694"/>
      <c r="AB1913" s="694"/>
      <c r="AC1913" s="694"/>
      <c r="AD1913" s="694"/>
      <c r="AE1913" s="694"/>
      <c r="AF1913" s="694"/>
      <c r="AG1913" s="694"/>
      <c r="AH1913" s="694"/>
      <c r="AI1913" s="694"/>
      <c r="AJ1913" s="694"/>
      <c r="AK1913" s="694"/>
      <c r="AL1913" s="694"/>
    </row>
    <row r="1914" spans="1:38" ht="12.75" customHeight="1" thickBot="1" x14ac:dyDescent="0.3">
      <c r="A1914" s="694"/>
      <c r="B1914" s="298"/>
      <c r="C1914" s="1302"/>
      <c r="D1914" s="1306"/>
      <c r="E1914" s="2820" t="str">
        <f>Translations!$B$1330</f>
        <v>Количество изгорен във факел отпаден газ</v>
      </c>
      <c r="F1914" s="2820"/>
      <c r="G1914" s="1355" t="str">
        <f>EUconst_tCO2</f>
        <v>t CO2</v>
      </c>
      <c r="H1914" s="1356" t="str">
        <f t="shared" ref="H1914" si="2671">IF(T1707,SUM(H1911)*SUM(H1912),"")</f>
        <v/>
      </c>
      <c r="I1914" s="1357" t="str">
        <f t="shared" ref="I1914" si="2672">IF(U1707,SUM(I1911)*SUM(I1912),"")</f>
        <v/>
      </c>
      <c r="J1914" s="1358" t="str">
        <f t="shared" ref="J1914" si="2673">IF(V1707,SUM(J1911)*SUM(J1912),"")</f>
        <v/>
      </c>
      <c r="K1914" s="1356" t="str">
        <f t="shared" ref="K1914" si="2674">IF(W1707,SUM(K1911)*SUM(K1912),"")</f>
        <v/>
      </c>
      <c r="L1914" s="1356" t="str">
        <f t="shared" ref="L1914" si="2675">IF(X1707,SUM(L1911)*SUM(L1912),"")</f>
        <v/>
      </c>
      <c r="M1914" s="1356" t="str">
        <f t="shared" ref="M1914" si="2676">IF(Y1707,SUM(M1911)*SUM(M1912),"")</f>
        <v/>
      </c>
      <c r="N1914" s="1356" t="str">
        <f t="shared" ref="N1914" si="2677">IF(Z1707,SUM(N1911)*SUM(N1912),"")</f>
        <v/>
      </c>
      <c r="O1914" s="302"/>
      <c r="P1914" s="302"/>
      <c r="Q1914" s="1190" t="str">
        <f>EUconst_CNTR_HAL &amp; EUconst_CNTR_WGFlared &amp; I1699</f>
        <v>HAL_WasteGasFlare_</v>
      </c>
      <c r="R1914" s="694"/>
      <c r="S1914" s="1174" t="s">
        <v>1811</v>
      </c>
      <c r="T1914" s="1169" t="b">
        <f>CNTR_SubPeriod=2</f>
        <v>1</v>
      </c>
      <c r="U1914" s="729"/>
      <c r="V1914" s="729"/>
      <c r="W1914" s="694"/>
      <c r="X1914" s="694"/>
      <c r="Y1914" s="694"/>
      <c r="Z1914" s="694"/>
      <c r="AA1914" s="694"/>
      <c r="AB1914" s="694"/>
      <c r="AC1914" s="694"/>
      <c r="AD1914" s="694"/>
      <c r="AE1914" s="694"/>
      <c r="AF1914" s="694"/>
      <c r="AG1914" s="694"/>
      <c r="AH1914" s="694"/>
      <c r="AI1914" s="694"/>
      <c r="AJ1914" s="694"/>
      <c r="AK1914" s="694"/>
      <c r="AL1914" s="694"/>
    </row>
    <row r="1915" spans="1:38" ht="5.15" customHeight="1" thickBot="1" x14ac:dyDescent="0.3">
      <c r="A1915" s="694"/>
      <c r="B1915" s="298"/>
      <c r="C1915" s="1302"/>
      <c r="D1915" s="1306"/>
      <c r="E1915" s="1306"/>
      <c r="F1915" s="1306"/>
      <c r="G1915" s="1306"/>
      <c r="H1915" s="1354"/>
      <c r="I1915" s="1306"/>
      <c r="J1915" s="1306"/>
      <c r="K1915" s="1306"/>
      <c r="L1915" s="1306"/>
      <c r="M1915" s="626"/>
      <c r="N1915" s="1316"/>
      <c r="O1915" s="302"/>
      <c r="P1915" s="302"/>
      <c r="Q1915" s="729"/>
      <c r="R1915" s="694"/>
      <c r="S1915" s="729"/>
      <c r="T1915" s="729"/>
      <c r="U1915" s="729"/>
      <c r="V1915" s="729"/>
      <c r="W1915" s="694"/>
      <c r="X1915" s="694"/>
      <c r="Y1915" s="694"/>
      <c r="Z1915" s="694"/>
      <c r="AA1915" s="694"/>
      <c r="AB1915" s="694"/>
      <c r="AC1915" s="694"/>
      <c r="AD1915" s="694"/>
      <c r="AE1915" s="694"/>
      <c r="AF1915" s="694"/>
      <c r="AG1915" s="694"/>
      <c r="AH1915" s="694"/>
      <c r="AI1915" s="694"/>
      <c r="AJ1915" s="694"/>
      <c r="AK1915" s="694"/>
      <c r="AL1915" s="694"/>
    </row>
    <row r="1916" spans="1:38" ht="5.15" customHeight="1" thickBot="1" x14ac:dyDescent="0.3">
      <c r="A1916" s="694"/>
      <c r="B1916" s="298"/>
      <c r="C1916" s="1302"/>
      <c r="D1916" s="1359"/>
      <c r="E1916" s="1360"/>
      <c r="F1916" s="1360"/>
      <c r="G1916" s="1360"/>
      <c r="H1916" s="1361"/>
      <c r="I1916" s="1360"/>
      <c r="J1916" s="1360"/>
      <c r="K1916" s="1360"/>
      <c r="L1916" s="1360"/>
      <c r="M1916" s="1362"/>
      <c r="N1916" s="1363"/>
      <c r="O1916" s="302"/>
      <c r="P1916" s="302"/>
      <c r="Q1916" s="729"/>
      <c r="R1916" s="694"/>
      <c r="S1916" s="729"/>
      <c r="T1916" s="729"/>
      <c r="U1916" s="729"/>
      <c r="V1916" s="729"/>
      <c r="W1916" s="694"/>
      <c r="X1916" s="694"/>
      <c r="Y1916" s="694"/>
      <c r="Z1916" s="694"/>
      <c r="AA1916" s="694"/>
      <c r="AB1916" s="694"/>
      <c r="AC1916" s="694"/>
      <c r="AD1916" s="694"/>
      <c r="AE1916" s="694"/>
      <c r="AF1916" s="694"/>
      <c r="AG1916" s="694"/>
      <c r="AH1916" s="694"/>
      <c r="AI1916" s="694"/>
      <c r="AJ1916" s="694"/>
      <c r="AK1916" s="694"/>
      <c r="AL1916" s="694"/>
    </row>
    <row r="1917" spans="1:38" ht="12.75" customHeight="1" x14ac:dyDescent="0.25">
      <c r="A1917" s="694"/>
      <c r="B1917" s="298"/>
      <c r="C1917" s="1302"/>
      <c r="D1917" s="1197" t="s">
        <v>2004</v>
      </c>
      <c r="E1917" s="2823" t="str">
        <f>Translations!$B$1331</f>
        <v>Корекции: изгорени във факел отпадни газове</v>
      </c>
      <c r="F1917" s="2672"/>
      <c r="G1917" s="2672"/>
      <c r="H1917" s="1200" t="str">
        <f>EUconst_Unit</f>
        <v>Единица мярка</v>
      </c>
      <c r="I1917" s="1201" t="str">
        <f>Translations!$B$1327</f>
        <v>(НМИ) стойност</v>
      </c>
      <c r="J1917" s="1202">
        <f>J$2831</f>
        <v>2026</v>
      </c>
      <c r="K1917" s="1203">
        <f>K$2831</f>
        <v>2027</v>
      </c>
      <c r="L1917" s="1203">
        <f>L$2831</f>
        <v>2028</v>
      </c>
      <c r="M1917" s="1203">
        <f>M$2831</f>
        <v>2029</v>
      </c>
      <c r="N1917" s="1204">
        <f>N$2831</f>
        <v>2030</v>
      </c>
      <c r="O1917" s="302"/>
      <c r="P1917" s="302"/>
      <c r="Q1917" s="729"/>
      <c r="R1917" s="694"/>
      <c r="S1917" s="694"/>
      <c r="T1917" s="694"/>
      <c r="U1917" s="1205"/>
      <c r="V1917" s="1206">
        <f>J1917</f>
        <v>2026</v>
      </c>
      <c r="W1917" s="1206">
        <f>K1917</f>
        <v>2027</v>
      </c>
      <c r="X1917" s="1206">
        <f>L1917</f>
        <v>2028</v>
      </c>
      <c r="Y1917" s="1206">
        <f>M1917</f>
        <v>2029</v>
      </c>
      <c r="Z1917" s="1207">
        <f>N1917</f>
        <v>2030</v>
      </c>
      <c r="AA1917" s="694"/>
      <c r="AB1917" s="694"/>
      <c r="AC1917" s="694"/>
      <c r="AD1917" s="694"/>
      <c r="AE1917" s="694"/>
      <c r="AF1917" s="694"/>
      <c r="AG1917" s="694"/>
      <c r="AH1917" s="694"/>
      <c r="AI1917" s="694"/>
      <c r="AJ1917" s="694"/>
      <c r="AK1917" s="694"/>
      <c r="AL1917" s="694"/>
    </row>
    <row r="1918" spans="1:38" ht="12.75" customHeight="1" x14ac:dyDescent="0.25">
      <c r="A1918" s="694"/>
      <c r="B1918" s="298"/>
      <c r="C1918" s="1302"/>
      <c r="D1918" s="1208" t="s">
        <v>6</v>
      </c>
      <c r="E1918" s="2822" t="str">
        <f>Translations!$B$1328</f>
        <v>Средна годишна стойност</v>
      </c>
      <c r="F1918" s="2258"/>
      <c r="G1918" s="2258"/>
      <c r="H1918" s="1266" t="str">
        <f>G1914</f>
        <v>t CO2</v>
      </c>
      <c r="I1918" s="1211" t="str">
        <f>INDEX('B+C_SubInstallations'!$K:$K,MATCH(Q1918,'B+C_SubInstallations'!$V:$V,0))</f>
        <v/>
      </c>
      <c r="J1918" s="1267" t="str">
        <f>IF($T1914&lt;&gt;TRUE,"",IF(AND(V1918&gt;=3,CNTR_ReportingYear&gt;J1917-1),AVERAGE(SUM(H1914),SUM(I1914)),""))</f>
        <v/>
      </c>
      <c r="K1918" s="1268" t="str">
        <f>IF($T1914&lt;&gt;TRUE,"",IF(AND(W1918&gt;=3,CNTR_ReportingYear&gt;K1917-1),AVERAGE(SUM(I1914),SUM(J1914)),""))</f>
        <v/>
      </c>
      <c r="L1918" s="1268" t="str">
        <f>IF($T1914&lt;&gt;TRUE,"",IF(AND(X1918&gt;=3,CNTR_ReportingYear&gt;L1917-1),AVERAGE(SUM(J1914),SUM(K1914)),""))</f>
        <v/>
      </c>
      <c r="M1918" s="1268" t="str">
        <f>IF($T1914&lt;&gt;TRUE,"",IF(AND(Y1918&gt;=3,CNTR_ReportingYear&gt;M1917-1),AVERAGE(SUM(K1914),SUM(L1914)),""))</f>
        <v/>
      </c>
      <c r="N1918" s="1269" t="str">
        <f>IF($T1914&lt;&gt;TRUE,"",IF(AND(Z1918&gt;=3,CNTR_ReportingYear&gt;N1917-1),AVERAGE(SUM(L1914),SUM(M1914)),""))</f>
        <v/>
      </c>
      <c r="O1918" s="302"/>
      <c r="P1918" s="302"/>
      <c r="Q1918" s="1190" t="str">
        <f>EUconst_CNTR_HALinitial &amp; EUconst_CNTR_WGFlared &amp; I1699</f>
        <v>HALini_WasteGasFlare_</v>
      </c>
      <c r="R1918" s="694"/>
      <c r="S1918" s="694"/>
      <c r="T1918" s="694"/>
      <c r="U1918" s="1365" t="s">
        <v>1710</v>
      </c>
      <c r="V1918" s="1176">
        <f>V1721</f>
        <v>0</v>
      </c>
      <c r="W1918" s="1176">
        <f>W1721</f>
        <v>0</v>
      </c>
      <c r="X1918" s="1176">
        <f>X1721</f>
        <v>0</v>
      </c>
      <c r="Y1918" s="1176">
        <f>Y1721</f>
        <v>0</v>
      </c>
      <c r="Z1918" s="1216">
        <f>Z1721</f>
        <v>0</v>
      </c>
      <c r="AA1918" s="694"/>
      <c r="AB1918" s="694"/>
      <c r="AC1918" s="694"/>
      <c r="AD1918" s="694"/>
      <c r="AE1918" s="694"/>
      <c r="AF1918" s="694"/>
      <c r="AG1918" s="694"/>
      <c r="AH1918" s="694"/>
      <c r="AI1918" s="694"/>
      <c r="AJ1918" s="694"/>
      <c r="AK1918" s="694"/>
      <c r="AL1918" s="694"/>
    </row>
    <row r="1919" spans="1:38" ht="12.75" hidden="1" customHeight="1" x14ac:dyDescent="0.25">
      <c r="A1919" s="729" t="s">
        <v>312</v>
      </c>
      <c r="B1919" s="298"/>
      <c r="C1919" s="1302"/>
      <c r="D1919" s="1208"/>
      <c r="E1919" s="2822" t="str">
        <f>Translations!$B$1378</f>
        <v>Промяна в сравнение със стойността в НМИ</v>
      </c>
      <c r="F1919" s="2258"/>
      <c r="G1919" s="2258"/>
      <c r="H1919" s="1222"/>
      <c r="I1919" s="1223"/>
      <c r="J1919" s="104" t="str">
        <f>IF(J1918="","",IF($I1921=0,IF(J1918=0,0%,100%),J1918/$I1921-1))</f>
        <v/>
      </c>
      <c r="K1919" s="99" t="str">
        <f>IF(K1918="","",IF($I1921=0,IF(K1918=0,0%,100%),K1918/$I1921-1))</f>
        <v/>
      </c>
      <c r="L1919" s="99" t="str">
        <f>IF(L1918="","",IF($I1921=0,IF(L1918=0,0%,100%),L1918/$I1921-1))</f>
        <v/>
      </c>
      <c r="M1919" s="99" t="str">
        <f>IF(M1918="","",IF($I1921=0,IF(M1918=0,0%,100%),M1918/$I1921-1))</f>
        <v/>
      </c>
      <c r="N1919" s="123" t="str">
        <f>IF(N1918="","",IF($I1921=0,IF(N1918=0,0%,100%),N1918/$I1921-1))</f>
        <v/>
      </c>
      <c r="O1919" s="302"/>
      <c r="P1919" s="302"/>
      <c r="Q1919" s="1190" t="str">
        <f>EUconst_CNTR_RelThreshold &amp; Q1921</f>
        <v>RelThresh_HALprelim_WasteGasFlare_</v>
      </c>
      <c r="R1919" s="694"/>
      <c r="S1919" s="694"/>
      <c r="T1919" s="694"/>
      <c r="U1919" s="1365" t="s">
        <v>1715</v>
      </c>
      <c r="V1919" s="727" t="str">
        <f>IF(J1918="","",ABS(J1919)&gt;15%)</f>
        <v/>
      </c>
      <c r="W1919" s="727" t="str">
        <f>IF(K1918="","",ABS(K1919)&gt;15%)</f>
        <v/>
      </c>
      <c r="X1919" s="727" t="str">
        <f>IF(L1918="","",ABS(L1919)&gt;15%)</f>
        <v/>
      </c>
      <c r="Y1919" s="727" t="str">
        <f>IF(M1918="","",ABS(M1919)&gt;15%)</f>
        <v/>
      </c>
      <c r="Z1919" s="1221" t="str">
        <f>IF(N1918="","",ABS(N1919)&gt;15%)</f>
        <v/>
      </c>
      <c r="AA1919" s="694"/>
      <c r="AB1919" s="694"/>
      <c r="AC1919" s="694"/>
      <c r="AD1919" s="694"/>
      <c r="AE1919" s="694"/>
      <c r="AF1919" s="694"/>
      <c r="AG1919" s="694"/>
      <c r="AH1919" s="694"/>
      <c r="AI1919" s="694"/>
      <c r="AJ1919" s="694"/>
      <c r="AK1919" s="694"/>
      <c r="AL1919" s="694"/>
    </row>
    <row r="1920" spans="1:38" ht="12.75" customHeight="1" x14ac:dyDescent="0.25">
      <c r="A1920" s="729"/>
      <c r="B1920" s="298"/>
      <c r="C1920" s="1302"/>
      <c r="D1920" s="1208" t="s">
        <v>7</v>
      </c>
      <c r="E1920" s="2822" t="str">
        <f>Translations!$B$1322</f>
        <v>Предварителна корекция (ако са надвишени относителните прагове)</v>
      </c>
      <c r="F1920" s="2258"/>
      <c r="G1920" s="2258"/>
      <c r="H1920" s="1222"/>
      <c r="I1920" s="1223"/>
      <c r="J1920" s="1224" t="str">
        <f>IF(J1918="","",IF(V1919=FALSE,0%,IF(V1920,J1919,I1926)))</f>
        <v/>
      </c>
      <c r="K1920" s="1225" t="str">
        <f>IF(K1918="","",IF(W1919=FALSE,0%,IF(W1920,K1919,J1926)))</f>
        <v/>
      </c>
      <c r="L1920" s="1225" t="str">
        <f>IF(L1918="","",IF(X1919=FALSE,0%,IF(X1920,L1919,K1926)))</f>
        <v/>
      </c>
      <c r="M1920" s="1225" t="str">
        <f>IF(M1918="","",IF(Y1919=FALSE,0%,IF(Y1920,M1919,L1926)))</f>
        <v/>
      </c>
      <c r="N1920" s="1226" t="str">
        <f>IF(N1918="","",IF(Z1919=FALSE,0%,IF(Z1920,N1919,M1926)))</f>
        <v/>
      </c>
      <c r="O1920" s="302"/>
      <c r="P1920" s="302"/>
      <c r="Q1920" s="729"/>
      <c r="R1920" s="694"/>
      <c r="S1920" s="694"/>
      <c r="T1920" s="694"/>
      <c r="U1920" s="1215" t="s">
        <v>1716</v>
      </c>
      <c r="V1920" s="727" t="str">
        <f>IF(J1918="","",AND(V1919,IF(SUM(I1926)&lt;0,OR(SUM(J1919)&lt;SUM(I1926)-MOD(SUM(I1926),5%),J1919&gt;=SUM(I1926)+5%-MOD(SUM(I1926),5%)),OR(SUM(J1919)&lt;=SUM(I1926)-MOD(SUM(I1926),5%),SUM(J1919)&gt;SUM(I1926)+5%-MOD(SUM(I1926),5%)))))</f>
        <v/>
      </c>
      <c r="W1920" s="727" t="str">
        <f>IF(K1918="","",AND(W1919,IF(SUM(J1926)&lt;0,OR(SUM(K1919)&lt;SUM(J1926)-MOD(SUM(J1926),5%),K1919&gt;=SUM(J1926)+5%-MOD(SUM(J1926),5%)),OR(SUM(K1919)&lt;=SUM(J1926)-MOD(SUM(J1926),5%),SUM(K1919)&gt;SUM(J1926)+5%-MOD(SUM(J1926),5%)))))</f>
        <v/>
      </c>
      <c r="X1920" s="727" t="str">
        <f>IF(L1918="","",AND(X1919,IF(SUM(K1926)&lt;0,OR(SUM(L1919)&lt;SUM(K1926)-MOD(SUM(K1926),5%),L1919&gt;=SUM(K1926)+5%-MOD(SUM(K1926),5%)),OR(SUM(L1919)&lt;=SUM(K1926)-MOD(SUM(K1926),5%),SUM(L1919)&gt;SUM(K1926)+5%-MOD(SUM(K1926),5%)))))</f>
        <v/>
      </c>
      <c r="Y1920" s="727" t="str">
        <f>IF(M1918="","",AND(Y1919,IF(SUM(L1926)&lt;0,OR(SUM(M1919)&lt;SUM(L1926)-MOD(SUM(L1926),5%),M1919&gt;=SUM(L1926)+5%-MOD(SUM(L1926),5%)),OR(SUM(M1919)&lt;=SUM(L1926)-MOD(SUM(L1926),5%),SUM(M1919)&gt;SUM(L1926)+5%-MOD(SUM(L1926),5%)))))</f>
        <v/>
      </c>
      <c r="Z1920" s="1221" t="str">
        <f>IF(N1918="","",AND(Z1919,IF(SUM(M1926)&lt;0,OR(SUM(N1919)&lt;SUM(M1926)-MOD(SUM(M1926),5%),N1919&gt;=SUM(M1926)+5%-MOD(SUM(M1926),5%)),OR(SUM(N1919)&lt;=SUM(M1926)-MOD(SUM(M1926),5%),SUM(N1919)&gt;SUM(M1926)+5%-MOD(SUM(M1926),5%)))))</f>
        <v/>
      </c>
      <c r="AA1920" s="694"/>
      <c r="AB1920" s="694"/>
      <c r="AC1920" s="694"/>
      <c r="AD1920" s="694"/>
      <c r="AE1920" s="694"/>
      <c r="AF1920" s="694"/>
      <c r="AG1920" s="694"/>
      <c r="AH1920" s="694"/>
      <c r="AI1920" s="694"/>
      <c r="AJ1920" s="694"/>
      <c r="AK1920" s="694"/>
      <c r="AL1920" s="694"/>
    </row>
    <row r="1921" spans="1:38" ht="12.75" hidden="1" customHeight="1" x14ac:dyDescent="0.25">
      <c r="A1921" s="729" t="s">
        <v>312</v>
      </c>
      <c r="B1921" s="298"/>
      <c r="C1921" s="1302"/>
      <c r="D1921" s="1208"/>
      <c r="E1921" s="2822" t="str">
        <f>Translations!$B$1377</f>
        <v>Предварителна стойност</v>
      </c>
      <c r="F1921" s="2258"/>
      <c r="G1921" s="2258"/>
      <c r="H1921" s="1266" t="str">
        <f>H1918</f>
        <v>t CO2</v>
      </c>
      <c r="I1921" s="1211" t="str">
        <f>IF($I1699="","",IF(AB1699=FALSE,EUconst_NA,IF(V1699&gt;($J$2831-3),INDEX(H1914:N1914,MATCH(V1699,H1908:N1908,0)),SUM(I1918))))</f>
        <v/>
      </c>
      <c r="J1921" s="1212" t="str">
        <f>IF($I1699="","",IF(V1918&lt;2,SUM(J1914),IF(V1918&lt;3,SUM(I1914),IF(V1921="",I1921,V1921))))</f>
        <v/>
      </c>
      <c r="K1921" s="1213" t="str">
        <f>IF($I1699="","",IF(W1918&lt;2,SUM(K1914),IF(W1918&lt;3,SUM(J1914),IF(W1921="",J1921,W1921))))</f>
        <v/>
      </c>
      <c r="L1921" s="1213" t="str">
        <f>IF($I1699="","",IF(X1918&lt;2,SUM(L1914),IF(X1918&lt;3,SUM(K1914),IF(X1921="",K1921,X1921))))</f>
        <v/>
      </c>
      <c r="M1921" s="1213" t="str">
        <f>IF($I1699="","",IF(Y1918&lt;2,SUM(M1914),IF(Y1918&lt;3,SUM(L1914),IF(Y1921="",L1921,Y1921))))</f>
        <v/>
      </c>
      <c r="N1921" s="1214" t="str">
        <f>IF($I1699="","",IF(Z1918&lt;2,SUM(N1914),IF(Z1918&lt;3,SUM(M1914),IF(Z1921="",M1921,Z1921))))</f>
        <v/>
      </c>
      <c r="O1921" s="302"/>
      <c r="P1921" s="302"/>
      <c r="Q1921" s="1190" t="str">
        <f>EUconst_CNTR_HALprelim&amp;EUconst_CNTR_WGFlared &amp; I1699</f>
        <v>HALprelim_WasteGasFlare_</v>
      </c>
      <c r="R1921" s="694"/>
      <c r="S1921" s="694"/>
      <c r="T1921" s="694"/>
      <c r="U1921" s="1365" t="s">
        <v>1756</v>
      </c>
      <c r="V1921" s="1227" t="str">
        <f>IF(J1918="","",IF(CNTR_ReportingYear&lt;J1917,I1920,IF($I1921=0,J1918,$I1921*(1+J1920))))</f>
        <v/>
      </c>
      <c r="W1921" s="1227" t="str">
        <f>IF(K1918="","",IF(CNTR_ReportingYear&lt;K1917,J1920,IF($I1921=0,K1918,$I1921*(1+K1920))))</f>
        <v/>
      </c>
      <c r="X1921" s="1227" t="str">
        <f>IF(L1918="","",IF(CNTR_ReportingYear&lt;L1917,K1920,IF($I1921=0,L1918,$I1921*(1+L1920))))</f>
        <v/>
      </c>
      <c r="Y1921" s="1227" t="str">
        <f>IF(M1918="","",IF(CNTR_ReportingYear&lt;M1917,L1920,IF($I1921=0,M1918,$I1921*(1+M1920))))</f>
        <v/>
      </c>
      <c r="Z1921" s="1228" t="str">
        <f>IF(N1918="","",IF(CNTR_ReportingYear&lt;N1917,M1920,IF($I1921=0,N1918,$I1921*(1+N1920))))</f>
        <v/>
      </c>
      <c r="AA1921" s="694"/>
      <c r="AB1921" s="694"/>
      <c r="AC1921" s="694"/>
      <c r="AD1921" s="694"/>
      <c r="AE1921" s="694"/>
      <c r="AF1921" s="694"/>
      <c r="AG1921" s="694"/>
      <c r="AH1921" s="694"/>
      <c r="AI1921" s="694"/>
      <c r="AJ1921" s="694"/>
      <c r="AK1921" s="694"/>
      <c r="AL1921" s="694"/>
    </row>
    <row r="1922" spans="1:38" ht="5.15" customHeight="1" x14ac:dyDescent="0.25">
      <c r="A1922" s="729"/>
      <c r="B1922" s="298"/>
      <c r="C1922" s="1302"/>
      <c r="D1922" s="1208"/>
      <c r="E1922" s="1199"/>
      <c r="F1922" s="1199"/>
      <c r="G1922" s="1199"/>
      <c r="H1922" s="1199"/>
      <c r="I1922" s="1199"/>
      <c r="J1922" s="1229"/>
      <c r="K1922" s="1229"/>
      <c r="L1922" s="1229"/>
      <c r="M1922" s="1229"/>
      <c r="N1922" s="1230"/>
      <c r="O1922" s="302"/>
      <c r="P1922" s="302"/>
      <c r="Q1922" s="729"/>
      <c r="R1922" s="694"/>
      <c r="S1922" s="694"/>
      <c r="T1922" s="694"/>
      <c r="U1922" s="1231"/>
      <c r="V1922" s="729"/>
      <c r="W1922" s="694"/>
      <c r="X1922" s="694"/>
      <c r="Y1922" s="694"/>
      <c r="Z1922" s="1232"/>
      <c r="AA1922" s="694"/>
      <c r="AB1922" s="694"/>
      <c r="AC1922" s="694"/>
      <c r="AD1922" s="694"/>
      <c r="AE1922" s="694"/>
      <c r="AF1922" s="694"/>
      <c r="AG1922" s="694"/>
      <c r="AH1922" s="694"/>
      <c r="AI1922" s="694"/>
      <c r="AJ1922" s="694"/>
      <c r="AK1922" s="694"/>
      <c r="AL1922" s="694"/>
    </row>
    <row r="1923" spans="1:38" ht="12.75" customHeight="1" x14ac:dyDescent="0.25">
      <c r="A1923" s="729"/>
      <c r="B1923" s="298"/>
      <c r="C1923" s="1302"/>
      <c r="D1923" s="1208"/>
      <c r="E1923" s="2823" t="str">
        <f>Translations!$B$1323</f>
        <v>Действителна корекция (база за следващи години)</v>
      </c>
      <c r="F1923" s="2672"/>
      <c r="G1923" s="2672"/>
      <c r="H1923" s="2672"/>
      <c r="I1923" s="2813"/>
      <c r="J1923" s="1202">
        <f>J$2831</f>
        <v>2026</v>
      </c>
      <c r="K1923" s="1203">
        <f>K$2831</f>
        <v>2027</v>
      </c>
      <c r="L1923" s="1203">
        <f>L$2831</f>
        <v>2028</v>
      </c>
      <c r="M1923" s="1203">
        <f>M$2831</f>
        <v>2029</v>
      </c>
      <c r="N1923" s="1204">
        <f>N$2831</f>
        <v>2030</v>
      </c>
      <c r="O1923" s="302"/>
      <c r="P1923" s="302"/>
      <c r="Q1923" s="729"/>
      <c r="R1923" s="694"/>
      <c r="S1923" s="694"/>
      <c r="T1923" s="694"/>
      <c r="U1923" s="1234"/>
      <c r="V1923" s="694"/>
      <c r="W1923" s="694"/>
      <c r="X1923" s="694"/>
      <c r="Y1923" s="694"/>
      <c r="Z1923" s="1232"/>
      <c r="AA1923" s="694"/>
      <c r="AB1923" s="694"/>
      <c r="AC1923" s="694"/>
      <c r="AD1923" s="694"/>
      <c r="AE1923" s="694"/>
      <c r="AF1923" s="694"/>
      <c r="AG1923" s="694"/>
      <c r="AH1923" s="694"/>
      <c r="AI1923" s="694"/>
      <c r="AJ1923" s="694"/>
      <c r="AK1923" s="694"/>
      <c r="AL1923" s="694"/>
    </row>
    <row r="1924" spans="1:38" ht="12.75" customHeight="1" x14ac:dyDescent="0.25">
      <c r="A1924" s="729"/>
      <c r="B1924" s="298"/>
      <c r="C1924" s="1302"/>
      <c r="D1924" s="1208" t="s">
        <v>8</v>
      </c>
      <c r="E1924" s="2822" t="str">
        <f>Translations!$B$1515</f>
        <v>изпълнен ли е критерият за &gt;=300 квоти за емисии?</v>
      </c>
      <c r="F1924" s="2258"/>
      <c r="G1924" s="2258"/>
      <c r="H1924" s="2258"/>
      <c r="I1924" s="2824"/>
      <c r="J1924" s="1236" t="str">
        <f>IF($I1699="","",INDEX(K_Summary!J:J,MATCH($Q1924,K_Summary!$P:$P,0)))</f>
        <v/>
      </c>
      <c r="K1924" s="385" t="str">
        <f>IF($I1699="","",INDEX(K_Summary!K:K,MATCH($Q1924,K_Summary!$P:$P,0)))</f>
        <v/>
      </c>
      <c r="L1924" s="385" t="str">
        <f>IF($I1699="","",INDEX(K_Summary!L:L,MATCH($Q1924,K_Summary!$P:$P,0)))</f>
        <v/>
      </c>
      <c r="M1924" s="385" t="str">
        <f>IF($I1699="","",INDEX(K_Summary!M:M,MATCH($Q1924,K_Summary!$P:$P,0)))</f>
        <v/>
      </c>
      <c r="N1924" s="1237" t="str">
        <f>IF($I1699="","",INDEX(K_Summary!N:N,MATCH($Q1924,K_Summary!$P:$P,0)))</f>
        <v/>
      </c>
      <c r="O1924" s="302"/>
      <c r="P1924" s="302"/>
      <c r="Q1924" s="1182" t="str">
        <f>EUconst_CNTR_300EUA&amp;I1699</f>
        <v>EUA300_</v>
      </c>
      <c r="R1924" s="694"/>
      <c r="S1924" s="694"/>
      <c r="T1924" s="694"/>
      <c r="U1924" s="1234"/>
      <c r="V1924" s="694"/>
      <c r="W1924" s="694"/>
      <c r="X1924" s="694"/>
      <c r="Y1924" s="694"/>
      <c r="Z1924" s="1232"/>
      <c r="AA1924" s="694"/>
      <c r="AB1924" s="694"/>
      <c r="AC1924" s="694"/>
      <c r="AD1924" s="694"/>
      <c r="AE1924" s="694"/>
      <c r="AF1924" s="694"/>
      <c r="AG1924" s="694"/>
      <c r="AH1924" s="694"/>
      <c r="AI1924" s="694"/>
      <c r="AJ1924" s="694"/>
      <c r="AK1924" s="694"/>
      <c r="AL1924" s="694"/>
    </row>
    <row r="1925" spans="1:38" ht="5.15" customHeight="1" thickBot="1" x14ac:dyDescent="0.3">
      <c r="A1925" s="729"/>
      <c r="B1925" s="298"/>
      <c r="C1925" s="1302"/>
      <c r="D1925" s="1208"/>
      <c r="E1925" s="1199"/>
      <c r="F1925" s="1199"/>
      <c r="G1925" s="1199"/>
      <c r="H1925" s="1199"/>
      <c r="I1925" s="1199"/>
      <c r="J1925" s="1199"/>
      <c r="K1925" s="1199"/>
      <c r="L1925" s="1199"/>
      <c r="M1925" s="1199"/>
      <c r="N1925" s="1238"/>
      <c r="O1925" s="302"/>
      <c r="P1925" s="302"/>
      <c r="Q1925" s="729"/>
      <c r="R1925" s="694"/>
      <c r="S1925" s="694"/>
      <c r="T1925" s="694"/>
      <c r="U1925" s="1231"/>
      <c r="V1925" s="729"/>
      <c r="W1925" s="694"/>
      <c r="X1925" s="694"/>
      <c r="Y1925" s="694"/>
      <c r="Z1925" s="1232"/>
      <c r="AA1925" s="694"/>
      <c r="AB1925" s="694"/>
      <c r="AC1925" s="694"/>
      <c r="AD1925" s="694"/>
      <c r="AE1925" s="694"/>
      <c r="AF1925" s="694"/>
      <c r="AG1925" s="694"/>
      <c r="AH1925" s="694"/>
      <c r="AI1925" s="694"/>
      <c r="AJ1925" s="694"/>
      <c r="AK1925" s="694"/>
      <c r="AL1925" s="694"/>
    </row>
    <row r="1926" spans="1:38" ht="12.75" customHeight="1" thickBot="1" x14ac:dyDescent="0.3">
      <c r="A1926" s="694"/>
      <c r="B1926" s="298"/>
      <c r="C1926" s="1302"/>
      <c r="D1926" s="1208" t="s">
        <v>18</v>
      </c>
      <c r="E1926" s="2822" t="str">
        <f>Translations!$B$1324</f>
        <v>Действителна корекция (ако са надвишени всички прагове)</v>
      </c>
      <c r="F1926" s="2258"/>
      <c r="G1926" s="2258"/>
      <c r="H1926" s="2258"/>
      <c r="I1926" s="2824"/>
      <c r="J1926" s="1240" t="str">
        <f>IF(J1924="","",IF(OR(J1924,V1918&lt;1),J1920,I1926))</f>
        <v/>
      </c>
      <c r="K1926" s="1241" t="str">
        <f>IF(K1924="","",IF(OR(K1924,W1918&lt;1),K1920,J1926))</f>
        <v/>
      </c>
      <c r="L1926" s="1241" t="str">
        <f>IF(L1924="","",IF(OR(L1924,X1918&lt;1),L1920,K1926))</f>
        <v/>
      </c>
      <c r="M1926" s="1241" t="str">
        <f>IF(M1924="","",IF(OR(M1924,Y1918&lt;1),M1920,L1926))</f>
        <v/>
      </c>
      <c r="N1926" s="1242" t="str">
        <f>IF(N1924="","",IF(OR(N1924,Z1918&lt;1),N1920,M1926))</f>
        <v/>
      </c>
      <c r="O1926" s="302"/>
      <c r="P1926" s="302"/>
      <c r="Q1926" s="729"/>
      <c r="R1926" s="694"/>
      <c r="S1926" s="694"/>
      <c r="T1926" s="694"/>
      <c r="U1926" s="1231" t="s">
        <v>1718</v>
      </c>
      <c r="V1926" s="1243">
        <f>J1923</f>
        <v>2026</v>
      </c>
      <c r="W1926" s="1243">
        <f>K1923</f>
        <v>2027</v>
      </c>
      <c r="X1926" s="1243">
        <f>L1923</f>
        <v>2028</v>
      </c>
      <c r="Y1926" s="1243">
        <f>M1923</f>
        <v>2029</v>
      </c>
      <c r="Z1926" s="1244">
        <f>N1923</f>
        <v>2030</v>
      </c>
      <c r="AA1926" s="694"/>
      <c r="AB1926" s="694"/>
      <c r="AC1926" s="694"/>
      <c r="AD1926" s="694"/>
      <c r="AE1926" s="694"/>
      <c r="AF1926" s="694"/>
      <c r="AG1926" s="694"/>
      <c r="AH1926" s="694"/>
      <c r="AI1926" s="694"/>
      <c r="AJ1926" s="694"/>
      <c r="AK1926" s="694"/>
      <c r="AL1926" s="694"/>
    </row>
    <row r="1927" spans="1:38" ht="12.75" customHeight="1" thickBot="1" x14ac:dyDescent="0.3">
      <c r="A1927" s="729"/>
      <c r="B1927" s="298"/>
      <c r="C1927" s="1302"/>
      <c r="D1927" s="1208" t="s">
        <v>810</v>
      </c>
      <c r="E1927" s="2822" t="str">
        <f>Translations!$B$1325</f>
        <v>Действителна стойност</v>
      </c>
      <c r="F1927" s="2258"/>
      <c r="G1927" s="2258"/>
      <c r="H1927" s="1266" t="str">
        <f>H1918</f>
        <v>t CO2</v>
      </c>
      <c r="I1927" s="1211" t="str">
        <f>I1921</f>
        <v/>
      </c>
      <c r="J1927" s="632" t="str">
        <f>IF($I1699="","",IF(OR($I1927=0,$I1927=EUconst_NA),IF(OR(J1924=TRUE,J1923=$V1699),J1921,SUM(I1927)),IF(J1926="",J1921,$I1927*(1+SUM(J1926)))))</f>
        <v/>
      </c>
      <c r="K1927" s="633" t="str">
        <f>IF($I1699="","",IF(OR($I1927=0,$I1927=EUconst_NA),IF(OR(K1924=TRUE,K1923=$V1699),K1921,SUM(J1927)),IF(K1926="",K1921,$I1927*(1+SUM(K1926)))))</f>
        <v/>
      </c>
      <c r="L1927" s="633" t="str">
        <f>IF($I1699="","",IF(OR($I1927=0,$I1927=EUconst_NA),IF(OR(L1924=TRUE,L1923=$V1699),L1921,SUM(K1927)),IF(L1926="",L1921,$I1927*(1+SUM(L1926)))))</f>
        <v/>
      </c>
      <c r="M1927" s="633" t="str">
        <f>IF($I1699="","",IF(OR($I1927=0,$I1927=EUconst_NA),IF(OR(M1924=TRUE,M1923=$V1699),M1921,SUM(L1927)),IF(M1926="",M1921,$I1927*(1+SUM(M1926)))))</f>
        <v/>
      </c>
      <c r="N1927" s="634" t="str">
        <f>IF($I1699="","",IF(OR($I1927=0,$I1927=EUconst_NA),IF(OR(N1924=TRUE,N1923=$V1699),N1921,SUM(M1927)),IF(N1926="",N1921,$I1927*(1+SUM(N1926)))))</f>
        <v/>
      </c>
      <c r="O1927" s="302"/>
      <c r="P1927" s="302"/>
      <c r="Q1927" s="1190" t="str">
        <f>EUconst_CNTR_HALfinal&amp;EUconst_CNTR_WGFlared &amp; I1699</f>
        <v>HALfinal_WasteGasFlare_</v>
      </c>
      <c r="R1927" s="694"/>
      <c r="S1927" s="694"/>
      <c r="T1927" s="694"/>
      <c r="U1927" s="1245" t="b">
        <v>0</v>
      </c>
      <c r="V1927" s="1246" t="str">
        <f>IF(V1877,IF(J1924=TRUE,V1707,U1927),"")</f>
        <v/>
      </c>
      <c r="W1927" s="1246" t="str">
        <f>IF(W1877,IF(K1924=TRUE,W1707,V1927),"")</f>
        <v/>
      </c>
      <c r="X1927" s="1246" t="str">
        <f>IF(X1877,IF(L1924=TRUE,X1707,W1927),"")</f>
        <v/>
      </c>
      <c r="Y1927" s="1246" t="str">
        <f>IF(Y1877,IF(M1924=TRUE,Y1707,X1927),"")</f>
        <v/>
      </c>
      <c r="Z1927" s="1247" t="str">
        <f>IF(Z1877,IF(N1924=TRUE,Z1707,Y1927),"")</f>
        <v/>
      </c>
      <c r="AA1927" s="694"/>
      <c r="AB1927" s="694"/>
      <c r="AC1927" s="694"/>
      <c r="AD1927" s="694"/>
      <c r="AE1927" s="694"/>
      <c r="AF1927" s="694"/>
      <c r="AG1927" s="694"/>
      <c r="AH1927" s="694"/>
      <c r="AI1927" s="694"/>
      <c r="AJ1927" s="1174" t="s">
        <v>2033</v>
      </c>
      <c r="AK1927" s="982" t="str">
        <f>IF(OR(ISERROR(J1927),ISERROR(K1927),ISERROR(L1927),ISERROR(M1927),ISERROR(N1927)),EUconst_Error &amp; "BM" &amp; Q1699,"")</f>
        <v/>
      </c>
      <c r="AL1927" s="694"/>
    </row>
    <row r="1928" spans="1:38" ht="5.15" customHeight="1" thickBot="1" x14ac:dyDescent="0.3">
      <c r="A1928" s="694"/>
      <c r="B1928" s="298"/>
      <c r="C1928" s="1302"/>
      <c r="D1928" s="1366"/>
      <c r="E1928" s="1367"/>
      <c r="F1928" s="1367"/>
      <c r="G1928" s="1367"/>
      <c r="H1928" s="1368"/>
      <c r="I1928" s="1367"/>
      <c r="J1928" s="1367"/>
      <c r="K1928" s="1367"/>
      <c r="L1928" s="1367"/>
      <c r="M1928" s="1249"/>
      <c r="N1928" s="1250"/>
      <c r="O1928" s="302"/>
      <c r="P1928" s="302"/>
      <c r="Q1928" s="729"/>
      <c r="R1928" s="694"/>
      <c r="S1928" s="729"/>
      <c r="T1928" s="729"/>
      <c r="U1928" s="729"/>
      <c r="V1928" s="729"/>
      <c r="W1928" s="694"/>
      <c r="X1928" s="694"/>
      <c r="Y1928" s="694"/>
      <c r="Z1928" s="694"/>
      <c r="AA1928" s="694"/>
      <c r="AB1928" s="694"/>
      <c r="AC1928" s="694"/>
      <c r="AD1928" s="694"/>
      <c r="AE1928" s="694"/>
      <c r="AF1928" s="694"/>
      <c r="AG1928" s="694"/>
      <c r="AH1928" s="694"/>
      <c r="AI1928" s="694"/>
      <c r="AJ1928" s="694"/>
      <c r="AK1928" s="694"/>
      <c r="AL1928" s="694"/>
    </row>
    <row r="1929" spans="1:38" ht="5.15" customHeight="1" x14ac:dyDescent="0.25">
      <c r="A1929" s="694"/>
      <c r="B1929" s="298"/>
      <c r="C1929" s="1302"/>
      <c r="D1929" s="1306"/>
      <c r="E1929" s="1306"/>
      <c r="F1929" s="1306"/>
      <c r="G1929" s="1306"/>
      <c r="H1929" s="1354"/>
      <c r="I1929" s="1306"/>
      <c r="J1929" s="1306"/>
      <c r="K1929" s="1306"/>
      <c r="L1929" s="1306"/>
      <c r="M1929" s="626"/>
      <c r="N1929" s="1316"/>
      <c r="O1929" s="302"/>
      <c r="P1929" s="302"/>
      <c r="Q1929" s="729"/>
      <c r="R1929" s="694"/>
      <c r="S1929" s="729"/>
      <c r="T1929" s="729"/>
      <c r="U1929" s="729"/>
      <c r="V1929" s="729"/>
      <c r="W1929" s="694"/>
      <c r="X1929" s="694"/>
      <c r="Y1929" s="694"/>
      <c r="Z1929" s="694"/>
      <c r="AA1929" s="694"/>
      <c r="AB1929" s="694"/>
      <c r="AC1929" s="694"/>
      <c r="AD1929" s="694"/>
      <c r="AE1929" s="694"/>
      <c r="AF1929" s="694"/>
      <c r="AG1929" s="694"/>
      <c r="AH1929" s="694"/>
      <c r="AI1929" s="694"/>
      <c r="AJ1929" s="694"/>
      <c r="AK1929" s="694"/>
      <c r="AL1929" s="694"/>
    </row>
    <row r="1930" spans="1:38" ht="12.75" customHeight="1" x14ac:dyDescent="0.25">
      <c r="A1930" s="694"/>
      <c r="B1930" s="298"/>
      <c r="C1930" s="1302"/>
      <c r="D1930" s="625" t="s">
        <v>1140</v>
      </c>
      <c r="E1930" s="2815" t="str">
        <f>Translations!$B$582</f>
        <v>Видове получени отпадни газове:</v>
      </c>
      <c r="F1930" s="2240"/>
      <c r="G1930" s="2240"/>
      <c r="H1930" s="2684"/>
      <c r="I1930" s="2821"/>
      <c r="J1930" s="2674"/>
      <c r="K1930" s="2674"/>
      <c r="L1930" s="2674"/>
      <c r="M1930" s="2675"/>
      <c r="N1930" s="1316"/>
      <c r="O1930" s="302"/>
      <c r="P1930" s="158"/>
      <c r="Q1930" s="729"/>
      <c r="R1930" s="694"/>
      <c r="S1930" s="729"/>
      <c r="T1930" s="694"/>
      <c r="U1930" s="694"/>
      <c r="V1930" s="694"/>
      <c r="W1930" s="694"/>
      <c r="X1930" s="694"/>
      <c r="Y1930" s="694"/>
      <c r="Z1930" s="694"/>
      <c r="AA1930" s="694"/>
      <c r="AB1930" s="694"/>
      <c r="AC1930" s="1182" t="s">
        <v>737</v>
      </c>
      <c r="AD1930" s="982" t="b">
        <f>AD1904</f>
        <v>0</v>
      </c>
      <c r="AE1930" s="694"/>
      <c r="AF1930" s="694"/>
      <c r="AG1930" s="694"/>
      <c r="AH1930" s="694"/>
      <c r="AI1930" s="694"/>
      <c r="AJ1930" s="694"/>
      <c r="AK1930" s="694"/>
      <c r="AL1930" s="694"/>
    </row>
    <row r="1931" spans="1:38" ht="12.75" customHeight="1" x14ac:dyDescent="0.25">
      <c r="A1931" s="694"/>
      <c r="B1931" s="298"/>
      <c r="C1931" s="1302"/>
      <c r="D1931" s="625"/>
      <c r="E1931" s="2816" t="str">
        <f>Translations!$B$583</f>
        <v>Посочените тук данни ще се отразят на емисиите, които могат да бъдат зададени съгласно раздел 10.1.5 от приложение VII към ПБР.</v>
      </c>
      <c r="F1931" s="2240"/>
      <c r="G1931" s="2240"/>
      <c r="H1931" s="2240"/>
      <c r="I1931" s="2240"/>
      <c r="J1931" s="2240"/>
      <c r="K1931" s="2240"/>
      <c r="L1931" s="2240"/>
      <c r="M1931" s="2240"/>
      <c r="N1931" s="2811"/>
      <c r="O1931" s="302"/>
      <c r="P1931" s="302"/>
      <c r="Q1931" s="729"/>
      <c r="R1931" s="694"/>
      <c r="S1931" s="729"/>
      <c r="T1931" s="729"/>
      <c r="U1931" s="729"/>
      <c r="V1931" s="729"/>
      <c r="W1931" s="694"/>
      <c r="X1931" s="694"/>
      <c r="Y1931" s="694"/>
      <c r="Z1931" s="694"/>
      <c r="AA1931" s="694"/>
      <c r="AB1931" s="694"/>
      <c r="AC1931" s="694"/>
      <c r="AD1931" s="694"/>
      <c r="AE1931" s="694"/>
      <c r="AF1931" s="694"/>
      <c r="AG1931" s="694"/>
      <c r="AH1931" s="694"/>
      <c r="AI1931" s="694"/>
      <c r="AJ1931" s="694"/>
      <c r="AK1931" s="694"/>
      <c r="AL1931" s="694"/>
    </row>
    <row r="1932" spans="1:38" ht="25.5" customHeight="1" x14ac:dyDescent="0.25">
      <c r="A1932" s="694"/>
      <c r="B1932" s="298"/>
      <c r="C1932" s="1302"/>
      <c r="D1932" s="625"/>
      <c r="E1932" s="2810" t="str">
        <f>Translations!$B$584</f>
        <v>Това включва всички видове отпадни газове, произведени извън системните граници на тази подинсталация, но получени от нея и използвани за производството на измерима топлинна енергия, неизмерима топлинна енергия (включително необходимото за безопасността изгаряне във факел) или механична енергия (различна от тази за електропроизводство).</v>
      </c>
      <c r="F1932" s="2240"/>
      <c r="G1932" s="2240"/>
      <c r="H1932" s="2240"/>
      <c r="I1932" s="2240"/>
      <c r="J1932" s="2240"/>
      <c r="K1932" s="2240"/>
      <c r="L1932" s="2240"/>
      <c r="M1932" s="2240"/>
      <c r="N1932" s="2811"/>
      <c r="O1932" s="302"/>
      <c r="P1932" s="302"/>
      <c r="Q1932" s="729"/>
      <c r="R1932" s="694"/>
      <c r="S1932" s="729"/>
      <c r="T1932" s="729"/>
      <c r="U1932" s="729"/>
      <c r="V1932" s="729"/>
      <c r="W1932" s="694"/>
      <c r="X1932" s="694"/>
      <c r="Y1932" s="694"/>
      <c r="Z1932" s="694"/>
      <c r="AA1932" s="694"/>
      <c r="AB1932" s="694"/>
      <c r="AC1932" s="694"/>
      <c r="AD1932" s="694"/>
      <c r="AE1932" s="694"/>
      <c r="AF1932" s="694"/>
      <c r="AG1932" s="694"/>
      <c r="AH1932" s="694"/>
      <c r="AI1932" s="694"/>
      <c r="AJ1932" s="694"/>
      <c r="AK1932" s="694"/>
      <c r="AL1932" s="694"/>
    </row>
    <row r="1933" spans="1:38" ht="12.75" customHeight="1" thickBot="1" x14ac:dyDescent="0.3">
      <c r="A1933" s="694"/>
      <c r="B1933" s="298"/>
      <c r="C1933" s="1302"/>
      <c r="D1933" s="1306"/>
      <c r="E1933" s="1317"/>
      <c r="F1933" s="1318"/>
      <c r="G1933" s="1309" t="str">
        <f>EUconst_Unit</f>
        <v>Единица мярка</v>
      </c>
      <c r="H1933" s="629">
        <f t="shared" ref="H1933:N1933" si="2678">H$2831</f>
        <v>2024</v>
      </c>
      <c r="I1933" s="1310">
        <f t="shared" si="2678"/>
        <v>2025</v>
      </c>
      <c r="J1933" s="1311">
        <f t="shared" si="2678"/>
        <v>2026</v>
      </c>
      <c r="K1933" s="629">
        <f t="shared" si="2678"/>
        <v>2027</v>
      </c>
      <c r="L1933" s="629">
        <f t="shared" si="2678"/>
        <v>2028</v>
      </c>
      <c r="M1933" s="629">
        <f t="shared" si="2678"/>
        <v>2029</v>
      </c>
      <c r="N1933" s="1312">
        <f t="shared" si="2678"/>
        <v>2030</v>
      </c>
      <c r="O1933" s="302"/>
      <c r="P1933" s="302"/>
      <c r="Q1933" s="729"/>
      <c r="R1933" s="694"/>
      <c r="S1933" s="729"/>
      <c r="T1933" s="729"/>
      <c r="U1933" s="729"/>
      <c r="V1933" s="729"/>
      <c r="W1933" s="694"/>
      <c r="X1933" s="694"/>
      <c r="Y1933" s="694"/>
      <c r="Z1933" s="694"/>
      <c r="AA1933" s="694"/>
      <c r="AB1933" s="694"/>
      <c r="AC1933" s="1178">
        <f t="shared" ref="AC1933" si="2679">H$20</f>
        <v>2024</v>
      </c>
      <c r="AD1933" s="1178">
        <f t="shared" ref="AD1933" si="2680">I$20</f>
        <v>2025</v>
      </c>
      <c r="AE1933" s="1178">
        <f t="shared" ref="AE1933" si="2681">J$20</f>
        <v>2026</v>
      </c>
      <c r="AF1933" s="1178">
        <f t="shared" ref="AF1933" si="2682">K$20</f>
        <v>2027</v>
      </c>
      <c r="AG1933" s="1178">
        <f t="shared" ref="AG1933" si="2683">L$20</f>
        <v>2028</v>
      </c>
      <c r="AH1933" s="1178">
        <f t="shared" ref="AH1933" si="2684">M$20</f>
        <v>2029</v>
      </c>
      <c r="AI1933" s="1178">
        <f t="shared" ref="AI1933" si="2685">N$20</f>
        <v>2030</v>
      </c>
      <c r="AJ1933" s="694"/>
      <c r="AK1933" s="694"/>
      <c r="AL1933" s="694"/>
    </row>
    <row r="1934" spans="1:38" ht="12.75" customHeight="1" thickBot="1" x14ac:dyDescent="0.3">
      <c r="A1934" s="694"/>
      <c r="B1934" s="298"/>
      <c r="C1934" s="1302"/>
      <c r="D1934" s="625" t="s">
        <v>1141</v>
      </c>
      <c r="E1934" s="2818" t="str">
        <f>Translations!$B$585</f>
        <v>Получени количества</v>
      </c>
      <c r="F1934" s="2701"/>
      <c r="G1934" s="145"/>
      <c r="H1934" s="129"/>
      <c r="I1934" s="130"/>
      <c r="J1934" s="131"/>
      <c r="K1934" s="129"/>
      <c r="L1934" s="129"/>
      <c r="M1934" s="129"/>
      <c r="N1934" s="132"/>
      <c r="O1934" s="302"/>
      <c r="P1934" s="158"/>
      <c r="Q1934" s="729"/>
      <c r="R1934" s="694"/>
      <c r="S1934" s="729"/>
      <c r="T1934" s="729"/>
      <c r="U1934" s="729"/>
      <c r="V1934" s="729"/>
      <c r="W1934" s="694"/>
      <c r="X1934" s="694"/>
      <c r="Y1934" s="694"/>
      <c r="Z1934" s="694"/>
      <c r="AA1934" s="694"/>
      <c r="AB1934" s="1182" t="s">
        <v>737</v>
      </c>
      <c r="AC1934" s="982" t="b">
        <f t="shared" ref="AC1934:AI1934" si="2686">AC1890</f>
        <v>0</v>
      </c>
      <c r="AD1934" s="982" t="b">
        <f t="shared" si="2686"/>
        <v>0</v>
      </c>
      <c r="AE1934" s="982" t="b">
        <f t="shared" si="2686"/>
        <v>0</v>
      </c>
      <c r="AF1934" s="982" t="b">
        <f t="shared" si="2686"/>
        <v>0</v>
      </c>
      <c r="AG1934" s="982" t="b">
        <f t="shared" si="2686"/>
        <v>0</v>
      </c>
      <c r="AH1934" s="982" t="b">
        <f t="shared" si="2686"/>
        <v>0</v>
      </c>
      <c r="AI1934" s="982" t="b">
        <f t="shared" si="2686"/>
        <v>0</v>
      </c>
      <c r="AJ1934" s="1174" t="s">
        <v>2039</v>
      </c>
      <c r="AK1934" s="1176" t="str">
        <f>IF(AND(CNTR_ExistSubInstEntries,MSconst_RequireSubAttrEmissions,COUNTIFS(AC1934:AI1934,FALSE,H1934:N1934,"")&gt;0),EUconst_Error&amp;"BM"&amp;$Q1699,"")</f>
        <v/>
      </c>
      <c r="AL1934" s="694"/>
    </row>
    <row r="1935" spans="1:38" ht="12.75" customHeight="1" x14ac:dyDescent="0.25">
      <c r="A1935" s="694"/>
      <c r="B1935" s="298"/>
      <c r="C1935" s="1302"/>
      <c r="D1935" s="625" t="s">
        <v>1142</v>
      </c>
      <c r="E1935" s="2819" t="str">
        <f>Translations!$B$296</f>
        <v>Долна топлина на изгаряне</v>
      </c>
      <c r="F1935" s="2705"/>
      <c r="G1935" s="1349" t="str">
        <f>IF(ISBLANK(G1934),EUconst_GJperUnit,INDEX(EUconst_GJperTorKNm3,MATCH(G1934,EUconst_TonnesOrkNm3pa,0)))</f>
        <v>GJ / Единица мярка</v>
      </c>
      <c r="H1935" s="137"/>
      <c r="I1935" s="138"/>
      <c r="J1935" s="139"/>
      <c r="K1935" s="137"/>
      <c r="L1935" s="137"/>
      <c r="M1935" s="137"/>
      <c r="N1935" s="140"/>
      <c r="O1935" s="302"/>
      <c r="P1935" s="158"/>
      <c r="Q1935" s="729"/>
      <c r="R1935" s="694"/>
      <c r="S1935" s="1205"/>
      <c r="T1935" s="1313">
        <f t="shared" ref="T1935" si="2687">H1933</f>
        <v>2024</v>
      </c>
      <c r="U1935" s="1313">
        <f t="shared" ref="U1935" si="2688">I1933</f>
        <v>2025</v>
      </c>
      <c r="V1935" s="1313">
        <f t="shared" ref="V1935" si="2689">J1933</f>
        <v>2026</v>
      </c>
      <c r="W1935" s="1313">
        <f t="shared" ref="W1935" si="2690">K1933</f>
        <v>2027</v>
      </c>
      <c r="X1935" s="1313">
        <f t="shared" ref="X1935" si="2691">L1933</f>
        <v>2028</v>
      </c>
      <c r="Y1935" s="1313">
        <f t="shared" ref="Y1935" si="2692">M1933</f>
        <v>2029</v>
      </c>
      <c r="Z1935" s="1314">
        <f t="shared" ref="Z1935" si="2693">N1933</f>
        <v>2030</v>
      </c>
      <c r="AA1935" s="694"/>
      <c r="AB1935" s="694"/>
      <c r="AC1935" s="982" t="b">
        <f>AC1934</f>
        <v>0</v>
      </c>
      <c r="AD1935" s="982" t="b">
        <f t="shared" ref="AD1935:AI1935" si="2694">AD1934</f>
        <v>0</v>
      </c>
      <c r="AE1935" s="982" t="b">
        <f t="shared" si="2694"/>
        <v>0</v>
      </c>
      <c r="AF1935" s="982" t="b">
        <f t="shared" si="2694"/>
        <v>0</v>
      </c>
      <c r="AG1935" s="982" t="b">
        <f t="shared" si="2694"/>
        <v>0</v>
      </c>
      <c r="AH1935" s="982" t="b">
        <f t="shared" si="2694"/>
        <v>0</v>
      </c>
      <c r="AI1935" s="982" t="b">
        <f t="shared" si="2694"/>
        <v>0</v>
      </c>
      <c r="AJ1935" s="1174" t="s">
        <v>2039</v>
      </c>
      <c r="AK1935" s="1176" t="str">
        <f>IF(AND(CNTR_ExistSubInstEntries,MSconst_RequireSubAttrEmissions,COUNTIFS(AC1935:AI1935,FALSE,H1935:N1935,"")&gt;0),EUconst_Error&amp;"BM"&amp;$Q1699,"")</f>
        <v/>
      </c>
      <c r="AL1935" s="694"/>
    </row>
    <row r="1936" spans="1:38" ht="12.75" customHeight="1" x14ac:dyDescent="0.25">
      <c r="A1936" s="694"/>
      <c r="B1936" s="298"/>
      <c r="C1936" s="1302"/>
      <c r="D1936" s="625" t="s">
        <v>1143</v>
      </c>
      <c r="E1936" s="2820" t="str">
        <f>Translations!$B$586</f>
        <v>Получен отпаден газ</v>
      </c>
      <c r="F1936" s="2258"/>
      <c r="G1936" s="1319" t="str">
        <f>EUconst_TJpa</f>
        <v>TJ / година</v>
      </c>
      <c r="H1936" s="1020" t="str">
        <f t="shared" ref="H1936:N1936" si="2695">IF(COUNT(H1934:H1935)=2,H1934*H1935/1000,"")</f>
        <v/>
      </c>
      <c r="I1936" s="1369" t="str">
        <f t="shared" si="2695"/>
        <v/>
      </c>
      <c r="J1936" s="1370" t="str">
        <f t="shared" si="2695"/>
        <v/>
      </c>
      <c r="K1936" s="1020" t="str">
        <f t="shared" si="2695"/>
        <v/>
      </c>
      <c r="L1936" s="1020" t="str">
        <f t="shared" si="2695"/>
        <v/>
      </c>
      <c r="M1936" s="1020" t="str">
        <f t="shared" si="2695"/>
        <v/>
      </c>
      <c r="N1936" s="1371" t="str">
        <f t="shared" si="2695"/>
        <v/>
      </c>
      <c r="O1936" s="302"/>
      <c r="P1936" s="302"/>
      <c r="Q1936" s="1190" t="str">
        <f>EUconst_CNTR_WGImport &amp; I1699</f>
        <v>WasteGasIm_</v>
      </c>
      <c r="R1936" s="694"/>
      <c r="S1936" s="1347" t="str">
        <f>EUconst_ERR_AttrEmBMapplied &amp; I1699</f>
        <v>ERR_AttrEmBM_</v>
      </c>
      <c r="T1936" s="982">
        <f t="shared" ref="T1936" si="2696">IF(AND(H1936&lt;&gt;"",EUconst_StatusOfDataCollection=FALSE),1,0)</f>
        <v>0</v>
      </c>
      <c r="U1936" s="982">
        <f t="shared" ref="U1936" si="2697">IF(AND(I1936&lt;&gt;"",EUconst_StatusOfDataCollection=FALSE),1,0)</f>
        <v>0</v>
      </c>
      <c r="V1936" s="982">
        <f t="shared" ref="V1936" si="2698">IF(AND(J1936&lt;&gt;"",EUconst_StatusOfDataCollection=FALSE),1,0)</f>
        <v>0</v>
      </c>
      <c r="W1936" s="982">
        <f t="shared" ref="W1936" si="2699">IF(AND(K1936&lt;&gt;"",EUconst_StatusOfDataCollection=FALSE),1,0)</f>
        <v>0</v>
      </c>
      <c r="X1936" s="982">
        <f t="shared" ref="X1936" si="2700">IF(AND(L1936&lt;&gt;"",EUconst_StatusOfDataCollection=FALSE),1,0)</f>
        <v>0</v>
      </c>
      <c r="Y1936" s="982">
        <f t="shared" ref="Y1936" si="2701">IF(AND(M1936&lt;&gt;"",EUconst_StatusOfDataCollection=FALSE),1,0)</f>
        <v>0</v>
      </c>
      <c r="Z1936" s="1287">
        <f t="shared" ref="Z1936" si="2702">IF(AND(N1936&lt;&gt;"",EUconst_StatusOfDataCollection=FALSE),1,0)</f>
        <v>0</v>
      </c>
      <c r="AA1936" s="694"/>
      <c r="AB1936" s="694"/>
      <c r="AC1936" s="694"/>
      <c r="AD1936" s="694"/>
      <c r="AE1936" s="694"/>
      <c r="AF1936" s="694"/>
      <c r="AG1936" s="694"/>
      <c r="AH1936" s="694"/>
      <c r="AI1936" s="694"/>
      <c r="AJ1936" s="694"/>
      <c r="AK1936" s="694"/>
      <c r="AL1936" s="694"/>
    </row>
    <row r="1937" spans="1:38" s="364" customFormat="1" ht="12.75" customHeight="1" thickBot="1" x14ac:dyDescent="0.3">
      <c r="A1937" s="729"/>
      <c r="B1937" s="298"/>
      <c r="C1937" s="1302"/>
      <c r="D1937" s="625" t="s">
        <v>1144</v>
      </c>
      <c r="E1937" s="2820" t="str">
        <f>Translations!$B$587</f>
        <v>Специфичен EF (получен отпаден газ)</v>
      </c>
      <c r="F1937" s="2258"/>
      <c r="G1937" s="642" t="str">
        <f>EUconst_tCO2pTJ</f>
        <v>t CO2 / TJ</v>
      </c>
      <c r="H1937" s="146"/>
      <c r="I1937" s="147"/>
      <c r="J1937" s="148"/>
      <c r="K1937" s="146"/>
      <c r="L1937" s="146"/>
      <c r="M1937" s="146"/>
      <c r="N1937" s="149"/>
      <c r="O1937" s="302"/>
      <c r="P1937" s="158"/>
      <c r="Q1937" s="1190" t="str">
        <f>EUconst_CNTR_WGImportEF &amp; I1699</f>
        <v>WasteGasImEF_</v>
      </c>
      <c r="R1937" s="729"/>
      <c r="S1937" s="1315" t="str">
        <f>EUconst_CNTR_AttributedEmissions &amp; I1699</f>
        <v>AttrEmissions_</v>
      </c>
      <c r="T1937" s="1290" t="str">
        <f t="shared" ref="T1937" si="2703">IF(T1707,SUM(H1936)*EUconst_FuelBMvalue,"")</f>
        <v/>
      </c>
      <c r="U1937" s="1290" t="str">
        <f t="shared" ref="U1937" si="2704">IF(U1707,SUM(I1936)*EUconst_FuelBMvalue,"")</f>
        <v/>
      </c>
      <c r="V1937" s="1290" t="str">
        <f t="shared" ref="V1937" si="2705">IF(V1707,SUM(J1936)*EUconst_FuelBMvalue,"")</f>
        <v/>
      </c>
      <c r="W1937" s="1290" t="str">
        <f t="shared" ref="W1937" si="2706">IF(W1707,SUM(K1936)*EUconst_FuelBMvalue,"")</f>
        <v/>
      </c>
      <c r="X1937" s="1290" t="str">
        <f t="shared" ref="X1937" si="2707">IF(X1707,SUM(L1936)*EUconst_FuelBMvalue,"")</f>
        <v/>
      </c>
      <c r="Y1937" s="1290" t="str">
        <f t="shared" ref="Y1937" si="2708">IF(Y1707,SUM(M1936)*EUconst_FuelBMvalue,"")</f>
        <v/>
      </c>
      <c r="Z1937" s="1291" t="str">
        <f t="shared" ref="Z1937" si="2709">IF(Z1707,SUM(N1936)*EUconst_FuelBMvalue,"")</f>
        <v/>
      </c>
      <c r="AA1937" s="729"/>
      <c r="AB1937" s="1182" t="s">
        <v>737</v>
      </c>
      <c r="AC1937" s="982" t="b">
        <f>AC1935</f>
        <v>0</v>
      </c>
      <c r="AD1937" s="982" t="b">
        <f t="shared" ref="AD1937:AI1937" si="2710">AD1935</f>
        <v>0</v>
      </c>
      <c r="AE1937" s="982" t="b">
        <f t="shared" si="2710"/>
        <v>0</v>
      </c>
      <c r="AF1937" s="982" t="b">
        <f t="shared" si="2710"/>
        <v>0</v>
      </c>
      <c r="AG1937" s="982" t="b">
        <f t="shared" si="2710"/>
        <v>0</v>
      </c>
      <c r="AH1937" s="982" t="b">
        <f t="shared" si="2710"/>
        <v>0</v>
      </c>
      <c r="AI1937" s="982" t="b">
        <f t="shared" si="2710"/>
        <v>0</v>
      </c>
      <c r="AJ1937" s="1174" t="s">
        <v>2039</v>
      </c>
      <c r="AK1937" s="1176" t="str">
        <f>IF(AND(CNTR_ExistSubInstEntries,MSconst_RequireSubAttrEmissions,COUNTIFS(AC1937:AI1937,FALSE,H1937:N1937,"")&gt;0),EUconst_Error&amp;"BM"&amp;$Q1699,"")</f>
        <v/>
      </c>
      <c r="AL1937" s="694"/>
    </row>
    <row r="1938" spans="1:38" ht="12.75" customHeight="1" x14ac:dyDescent="0.25">
      <c r="A1938" s="694"/>
      <c r="B1938" s="298"/>
      <c r="C1938" s="1302"/>
      <c r="D1938" s="1306"/>
      <c r="E1938" s="1306"/>
      <c r="F1938" s="1306"/>
      <c r="G1938" s="1306"/>
      <c r="H1938" s="1354"/>
      <c r="I1938" s="1306"/>
      <c r="J1938" s="1306"/>
      <c r="K1938" s="1306"/>
      <c r="L1938" s="1306"/>
      <c r="M1938" s="626"/>
      <c r="N1938" s="1316"/>
      <c r="O1938" s="302"/>
      <c r="P1938" s="302"/>
      <c r="Q1938" s="729"/>
      <c r="R1938" s="694"/>
      <c r="S1938" s="729"/>
      <c r="T1938" s="729"/>
      <c r="U1938" s="729"/>
      <c r="V1938" s="729"/>
      <c r="W1938" s="694"/>
      <c r="X1938" s="694"/>
      <c r="Y1938" s="694"/>
      <c r="Z1938" s="694"/>
      <c r="AA1938" s="694"/>
      <c r="AB1938" s="694"/>
      <c r="AC1938" s="694"/>
      <c r="AD1938" s="694"/>
      <c r="AE1938" s="694"/>
      <c r="AF1938" s="694"/>
      <c r="AG1938" s="694"/>
      <c r="AH1938" s="694"/>
      <c r="AI1938" s="694"/>
      <c r="AJ1938" s="694"/>
      <c r="AK1938" s="694"/>
      <c r="AL1938" s="694"/>
    </row>
    <row r="1939" spans="1:38" ht="12.75" customHeight="1" x14ac:dyDescent="0.25">
      <c r="A1939" s="694"/>
      <c r="B1939" s="298"/>
      <c r="C1939" s="1302"/>
      <c r="D1939" s="625" t="s">
        <v>1145</v>
      </c>
      <c r="E1939" s="2815" t="str">
        <f>Translations!$B$588</f>
        <v>Видове подадени отпадни газове:</v>
      </c>
      <c r="F1939" s="2240"/>
      <c r="G1939" s="2240"/>
      <c r="H1939" s="2684"/>
      <c r="I1939" s="2821"/>
      <c r="J1939" s="2674"/>
      <c r="K1939" s="2674"/>
      <c r="L1939" s="2674"/>
      <c r="M1939" s="2675"/>
      <c r="N1939" s="1323"/>
      <c r="O1939" s="302"/>
      <c r="P1939" s="158"/>
      <c r="Q1939" s="729"/>
      <c r="R1939" s="694"/>
      <c r="S1939" s="729"/>
      <c r="T1939" s="694"/>
      <c r="U1939" s="694"/>
      <c r="V1939" s="694"/>
      <c r="W1939" s="694"/>
      <c r="X1939" s="694"/>
      <c r="Y1939" s="694"/>
      <c r="Z1939" s="694"/>
      <c r="AA1939" s="694"/>
      <c r="AB1939" s="694"/>
      <c r="AC1939" s="1182" t="s">
        <v>737</v>
      </c>
      <c r="AD1939" s="982" t="b">
        <f>AD1930</f>
        <v>0</v>
      </c>
      <c r="AE1939" s="694"/>
      <c r="AF1939" s="694"/>
      <c r="AG1939" s="694"/>
      <c r="AH1939" s="694"/>
      <c r="AI1939" s="694"/>
      <c r="AJ1939" s="694"/>
      <c r="AK1939" s="694"/>
      <c r="AL1939" s="694"/>
    </row>
    <row r="1940" spans="1:38" ht="12.75" customHeight="1" x14ac:dyDescent="0.25">
      <c r="A1940" s="694"/>
      <c r="B1940" s="298"/>
      <c r="C1940" s="1302"/>
      <c r="D1940" s="625"/>
      <c r="E1940" s="2816" t="str">
        <f>Translations!$B$583</f>
        <v>Посочените тук данни ще се отразят на емисиите, които могат да бъдат зададени съгласно раздел 10.1.5 от приложение VII към ПБР.</v>
      </c>
      <c r="F1940" s="2240"/>
      <c r="G1940" s="2240"/>
      <c r="H1940" s="2240"/>
      <c r="I1940" s="2240"/>
      <c r="J1940" s="2240"/>
      <c r="K1940" s="2240"/>
      <c r="L1940" s="2240"/>
      <c r="M1940" s="2240"/>
      <c r="N1940" s="2811"/>
      <c r="O1940" s="302"/>
      <c r="P1940" s="302"/>
      <c r="Q1940" s="729"/>
      <c r="R1940" s="694"/>
      <c r="S1940" s="729"/>
      <c r="T1940" s="729"/>
      <c r="U1940" s="729"/>
      <c r="V1940" s="729"/>
      <c r="W1940" s="694"/>
      <c r="X1940" s="694"/>
      <c r="Y1940" s="694"/>
      <c r="Z1940" s="694"/>
      <c r="AA1940" s="694"/>
      <c r="AB1940" s="694"/>
      <c r="AC1940" s="694"/>
      <c r="AD1940" s="694"/>
      <c r="AE1940" s="694"/>
      <c r="AF1940" s="694"/>
      <c r="AG1940" s="694"/>
      <c r="AH1940" s="694"/>
      <c r="AI1940" s="694"/>
      <c r="AJ1940" s="694"/>
      <c r="AK1940" s="694"/>
      <c r="AL1940" s="694"/>
    </row>
    <row r="1941" spans="1:38" ht="25.5" customHeight="1" x14ac:dyDescent="0.25">
      <c r="A1941" s="694"/>
      <c r="B1941" s="298"/>
      <c r="C1941" s="1302"/>
      <c r="D1941" s="625"/>
      <c r="E1941" s="2810" t="str">
        <f>Translations!$B$589</f>
        <v>Това включва всички видове отпадни газове, произведени в системните граници на тази подинсталация и подадени от тази инсталация към други подинсталации, както и към всички други инсталации или обекти.</v>
      </c>
      <c r="F1941" s="2240"/>
      <c r="G1941" s="2240"/>
      <c r="H1941" s="2240"/>
      <c r="I1941" s="2240"/>
      <c r="J1941" s="2240"/>
      <c r="K1941" s="2240"/>
      <c r="L1941" s="2240"/>
      <c r="M1941" s="2240"/>
      <c r="N1941" s="2811"/>
      <c r="O1941" s="302"/>
      <c r="P1941" s="302"/>
      <c r="Q1941" s="729"/>
      <c r="R1941" s="694"/>
      <c r="S1941" s="729"/>
      <c r="T1941" s="729"/>
      <c r="U1941" s="729"/>
      <c r="V1941" s="729"/>
      <c r="W1941" s="694"/>
      <c r="X1941" s="694"/>
      <c r="Y1941" s="694"/>
      <c r="Z1941" s="694"/>
      <c r="AA1941" s="694"/>
      <c r="AB1941" s="694"/>
      <c r="AC1941" s="694"/>
      <c r="AD1941" s="694"/>
      <c r="AE1941" s="694"/>
      <c r="AF1941" s="694"/>
      <c r="AG1941" s="694"/>
      <c r="AH1941" s="694"/>
      <c r="AI1941" s="694"/>
      <c r="AJ1941" s="694"/>
      <c r="AK1941" s="694"/>
      <c r="AL1941" s="694"/>
    </row>
    <row r="1942" spans="1:38" ht="12.75" customHeight="1" thickBot="1" x14ac:dyDescent="0.3">
      <c r="A1942" s="694"/>
      <c r="B1942" s="298"/>
      <c r="C1942" s="1302"/>
      <c r="D1942" s="1306"/>
      <c r="E1942" s="1317"/>
      <c r="F1942" s="1318"/>
      <c r="G1942" s="1309" t="str">
        <f>EUconst_Unit</f>
        <v>Единица мярка</v>
      </c>
      <c r="H1942" s="629">
        <f t="shared" ref="H1942:N1942" si="2711">H$2831</f>
        <v>2024</v>
      </c>
      <c r="I1942" s="1310">
        <f t="shared" si="2711"/>
        <v>2025</v>
      </c>
      <c r="J1942" s="1311">
        <f t="shared" si="2711"/>
        <v>2026</v>
      </c>
      <c r="K1942" s="629">
        <f t="shared" si="2711"/>
        <v>2027</v>
      </c>
      <c r="L1942" s="629">
        <f t="shared" si="2711"/>
        <v>2028</v>
      </c>
      <c r="M1942" s="629">
        <f t="shared" si="2711"/>
        <v>2029</v>
      </c>
      <c r="N1942" s="1312">
        <f t="shared" si="2711"/>
        <v>2030</v>
      </c>
      <c r="O1942" s="302"/>
      <c r="P1942" s="302"/>
      <c r="Q1942" s="729"/>
      <c r="R1942" s="694"/>
      <c r="S1942" s="729"/>
      <c r="T1942" s="729"/>
      <c r="U1942" s="729"/>
      <c r="V1942" s="729"/>
      <c r="W1942" s="694"/>
      <c r="X1942" s="694"/>
      <c r="Y1942" s="694"/>
      <c r="Z1942" s="694"/>
      <c r="AA1942" s="694"/>
      <c r="AB1942" s="694"/>
      <c r="AC1942" s="1178">
        <f t="shared" ref="AC1942" si="2712">H$20</f>
        <v>2024</v>
      </c>
      <c r="AD1942" s="1178">
        <f t="shared" ref="AD1942" si="2713">I$20</f>
        <v>2025</v>
      </c>
      <c r="AE1942" s="1178">
        <f t="shared" ref="AE1942" si="2714">J$20</f>
        <v>2026</v>
      </c>
      <c r="AF1942" s="1178">
        <f t="shared" ref="AF1942" si="2715">K$20</f>
        <v>2027</v>
      </c>
      <c r="AG1942" s="1178">
        <f t="shared" ref="AG1942" si="2716">L$20</f>
        <v>2028</v>
      </c>
      <c r="AH1942" s="1178">
        <f t="shared" ref="AH1942" si="2717">M$20</f>
        <v>2029</v>
      </c>
      <c r="AI1942" s="1178">
        <f t="shared" ref="AI1942" si="2718">N$20</f>
        <v>2030</v>
      </c>
      <c r="AJ1942" s="694"/>
      <c r="AK1942" s="694"/>
      <c r="AL1942" s="694"/>
    </row>
    <row r="1943" spans="1:38" ht="12.75" customHeight="1" x14ac:dyDescent="0.25">
      <c r="A1943" s="694"/>
      <c r="B1943" s="298"/>
      <c r="C1943" s="1302"/>
      <c r="D1943" s="625" t="s">
        <v>1146</v>
      </c>
      <c r="E1943" s="2818" t="str">
        <f>Translations!$B$590</f>
        <v>Подадени количества</v>
      </c>
      <c r="F1943" s="2701"/>
      <c r="G1943" s="145"/>
      <c r="H1943" s="129"/>
      <c r="I1943" s="130"/>
      <c r="J1943" s="131"/>
      <c r="K1943" s="129"/>
      <c r="L1943" s="129"/>
      <c r="M1943" s="129"/>
      <c r="N1943" s="132"/>
      <c r="O1943" s="302"/>
      <c r="P1943" s="158"/>
      <c r="Q1943" s="729"/>
      <c r="R1943" s="694"/>
      <c r="S1943" s="729"/>
      <c r="T1943" s="729"/>
      <c r="U1943" s="729"/>
      <c r="V1943" s="729"/>
      <c r="W1943" s="694"/>
      <c r="X1943" s="694"/>
      <c r="Y1943" s="694"/>
      <c r="Z1943" s="694"/>
      <c r="AA1943" s="694"/>
      <c r="AB1943" s="1182" t="s">
        <v>737</v>
      </c>
      <c r="AC1943" s="982" t="b">
        <f>AC1890</f>
        <v>0</v>
      </c>
      <c r="AD1943" s="982" t="b">
        <f t="shared" ref="AD1943:AI1943" si="2719">AD1890</f>
        <v>0</v>
      </c>
      <c r="AE1943" s="982" t="b">
        <f t="shared" si="2719"/>
        <v>0</v>
      </c>
      <c r="AF1943" s="982" t="b">
        <f t="shared" si="2719"/>
        <v>0</v>
      </c>
      <c r="AG1943" s="982" t="b">
        <f t="shared" si="2719"/>
        <v>0</v>
      </c>
      <c r="AH1943" s="982" t="b">
        <f t="shared" si="2719"/>
        <v>0</v>
      </c>
      <c r="AI1943" s="982" t="b">
        <f t="shared" si="2719"/>
        <v>0</v>
      </c>
      <c r="AJ1943" s="1174" t="s">
        <v>2039</v>
      </c>
      <c r="AK1943" s="1176" t="str">
        <f>IF(AND(CNTR_ExistSubInstEntries,MSconst_RequireSubAttrEmissions,COUNTIFS(AC1943:AI1943,FALSE,H1943:N1943,"")&gt;0),EUconst_Error&amp;"BM"&amp;$Q1699,"")</f>
        <v/>
      </c>
      <c r="AL1943" s="694"/>
    </row>
    <row r="1944" spans="1:38" ht="12.75" customHeight="1" thickBot="1" x14ac:dyDescent="0.3">
      <c r="A1944" s="694"/>
      <c r="B1944" s="298"/>
      <c r="C1944" s="1302"/>
      <c r="D1944" s="625" t="s">
        <v>1619</v>
      </c>
      <c r="E1944" s="2819" t="str">
        <f>Translations!$B$296</f>
        <v>Долна топлина на изгаряне</v>
      </c>
      <c r="F1944" s="2705"/>
      <c r="G1944" s="1349" t="str">
        <f>IF(ISBLANK(G1943),EUconst_GJperUnit,INDEX(EUconst_GJperTorKNm3,MATCH(G1943,EUconst_TonnesOrkNm3pa,0)))</f>
        <v>GJ / Единица мярка</v>
      </c>
      <c r="H1944" s="137"/>
      <c r="I1944" s="138"/>
      <c r="J1944" s="139"/>
      <c r="K1944" s="137"/>
      <c r="L1944" s="137"/>
      <c r="M1944" s="137"/>
      <c r="N1944" s="140"/>
      <c r="O1944" s="302"/>
      <c r="P1944" s="158"/>
      <c r="Q1944" s="729"/>
      <c r="R1944" s="694"/>
      <c r="S1944" s="729"/>
      <c r="T1944" s="729"/>
      <c r="U1944" s="729"/>
      <c r="V1944" s="729"/>
      <c r="W1944" s="694"/>
      <c r="X1944" s="694"/>
      <c r="Y1944" s="694"/>
      <c r="Z1944" s="694"/>
      <c r="AA1944" s="694"/>
      <c r="AB1944" s="694"/>
      <c r="AC1944" s="982" t="b">
        <f>AC1943</f>
        <v>0</v>
      </c>
      <c r="AD1944" s="982" t="b">
        <f t="shared" ref="AD1944:AI1944" si="2720">AD1943</f>
        <v>0</v>
      </c>
      <c r="AE1944" s="982" t="b">
        <f t="shared" si="2720"/>
        <v>0</v>
      </c>
      <c r="AF1944" s="982" t="b">
        <f t="shared" si="2720"/>
        <v>0</v>
      </c>
      <c r="AG1944" s="982" t="b">
        <f t="shared" si="2720"/>
        <v>0</v>
      </c>
      <c r="AH1944" s="982" t="b">
        <f t="shared" si="2720"/>
        <v>0</v>
      </c>
      <c r="AI1944" s="982" t="b">
        <f t="shared" si="2720"/>
        <v>0</v>
      </c>
      <c r="AJ1944" s="1174" t="s">
        <v>2039</v>
      </c>
      <c r="AK1944" s="1176" t="str">
        <f>IF(AND(CNTR_ExistSubInstEntries,MSconst_RequireSubAttrEmissions,COUNTIFS(AC1944:AI1944,FALSE,H1944:N1944,"")&gt;0),EUconst_Error&amp;"BM"&amp;$Q1699,"")</f>
        <v/>
      </c>
      <c r="AL1944" s="694"/>
    </row>
    <row r="1945" spans="1:38" ht="12.75" customHeight="1" x14ac:dyDescent="0.25">
      <c r="A1945" s="694"/>
      <c r="B1945" s="298"/>
      <c r="C1945" s="1302"/>
      <c r="D1945" s="625" t="s">
        <v>1659</v>
      </c>
      <c r="E1945" s="2820" t="str">
        <f>Translations!$B$591</f>
        <v>Подаден отпаден газ</v>
      </c>
      <c r="F1945" s="2258"/>
      <c r="G1945" s="1319" t="str">
        <f>EUconst_TJpa</f>
        <v>TJ / година</v>
      </c>
      <c r="H1945" s="1020" t="str">
        <f t="shared" ref="H1945:N1945" si="2721">IF(COUNT(H1943:H1944)=2,H1943*H1944/1000,"")</f>
        <v/>
      </c>
      <c r="I1945" s="1369" t="str">
        <f t="shared" si="2721"/>
        <v/>
      </c>
      <c r="J1945" s="1370" t="str">
        <f t="shared" si="2721"/>
        <v/>
      </c>
      <c r="K1945" s="1020" t="str">
        <f t="shared" si="2721"/>
        <v/>
      </c>
      <c r="L1945" s="1020" t="str">
        <f t="shared" si="2721"/>
        <v/>
      </c>
      <c r="M1945" s="1020" t="str">
        <f t="shared" si="2721"/>
        <v/>
      </c>
      <c r="N1945" s="1371" t="str">
        <f t="shared" si="2721"/>
        <v/>
      </c>
      <c r="O1945" s="302"/>
      <c r="P1945" s="302"/>
      <c r="Q1945" s="1190" t="str">
        <f>EUconst_CNTR_WGExport &amp; I1699</f>
        <v>WasteGasEx_</v>
      </c>
      <c r="R1945" s="694"/>
      <c r="S1945" s="1205"/>
      <c r="T1945" s="1313">
        <f t="shared" ref="T1945" si="2722">H1942</f>
        <v>2024</v>
      </c>
      <c r="U1945" s="1313">
        <f t="shared" ref="U1945" si="2723">I1942</f>
        <v>2025</v>
      </c>
      <c r="V1945" s="1313">
        <f t="shared" ref="V1945" si="2724">J1942</f>
        <v>2026</v>
      </c>
      <c r="W1945" s="1313">
        <f t="shared" ref="W1945" si="2725">K1942</f>
        <v>2027</v>
      </c>
      <c r="X1945" s="1313">
        <f t="shared" ref="X1945" si="2726">L1942</f>
        <v>2028</v>
      </c>
      <c r="Y1945" s="1313">
        <f t="shared" ref="Y1945" si="2727">M1942</f>
        <v>2029</v>
      </c>
      <c r="Z1945" s="1314">
        <f t="shared" ref="Z1945" si="2728">N1942</f>
        <v>2030</v>
      </c>
      <c r="AA1945" s="694"/>
      <c r="AB1945" s="694"/>
      <c r="AC1945" s="694"/>
      <c r="AD1945" s="694"/>
      <c r="AE1945" s="694"/>
      <c r="AF1945" s="694"/>
      <c r="AG1945" s="694"/>
      <c r="AH1945" s="694"/>
      <c r="AI1945" s="694"/>
      <c r="AJ1945" s="694"/>
      <c r="AK1945" s="694"/>
      <c r="AL1945" s="694"/>
    </row>
    <row r="1946" spans="1:38" s="364" customFormat="1" ht="12.75" customHeight="1" thickBot="1" x14ac:dyDescent="0.3">
      <c r="A1946" s="694"/>
      <c r="B1946" s="298"/>
      <c r="C1946" s="1302"/>
      <c r="D1946" s="625" t="s">
        <v>1660</v>
      </c>
      <c r="E1946" s="2820" t="str">
        <f>Translations!$B$592</f>
        <v>Специфичен EF (подаден отпаден газ)</v>
      </c>
      <c r="F1946" s="2258"/>
      <c r="G1946" s="642" t="str">
        <f>EUconst_tCO2pTJ</f>
        <v>t CO2 / TJ</v>
      </c>
      <c r="H1946" s="146"/>
      <c r="I1946" s="147"/>
      <c r="J1946" s="148"/>
      <c r="K1946" s="146"/>
      <c r="L1946" s="146"/>
      <c r="M1946" s="146"/>
      <c r="N1946" s="149"/>
      <c r="O1946" s="302"/>
      <c r="P1946" s="158"/>
      <c r="Q1946" s="1190" t="str">
        <f>EUconst_CNTR_WGExportEF &amp; I1699</f>
        <v>WasteGasExEF_</v>
      </c>
      <c r="R1946" s="729"/>
      <c r="S1946" s="1315" t="str">
        <f>EUconst_CNTR_AttributedEmissions &amp; I1699</f>
        <v>AttrEmissions_</v>
      </c>
      <c r="T1946" s="1290" t="str">
        <f t="shared" ref="T1946" si="2729">IF(T1707,-SUM(H1945)*EUconst_NGEFvalue*EUconst_WasteGasCorrFactor,"")</f>
        <v/>
      </c>
      <c r="U1946" s="1290" t="str">
        <f t="shared" ref="U1946" si="2730">IF(U1707,-SUM(I1945)*EUconst_NGEFvalue*EUconst_WasteGasCorrFactor,"")</f>
        <v/>
      </c>
      <c r="V1946" s="1290" t="str">
        <f t="shared" ref="V1946" si="2731">IF(V1707,-SUM(J1945)*EUconst_NGEFvalue*EUconst_WasteGasCorrFactor,"")</f>
        <v/>
      </c>
      <c r="W1946" s="1290" t="str">
        <f t="shared" ref="W1946" si="2732">IF(W1707,-SUM(K1945)*EUconst_NGEFvalue*EUconst_WasteGasCorrFactor,"")</f>
        <v/>
      </c>
      <c r="X1946" s="1290" t="str">
        <f t="shared" ref="X1946" si="2733">IF(X1707,-SUM(L1945)*EUconst_NGEFvalue*EUconst_WasteGasCorrFactor,"")</f>
        <v/>
      </c>
      <c r="Y1946" s="1290" t="str">
        <f t="shared" ref="Y1946" si="2734">IF(Y1707,-SUM(M1945)*EUconst_NGEFvalue*EUconst_WasteGasCorrFactor,"")</f>
        <v/>
      </c>
      <c r="Z1946" s="1291" t="str">
        <f t="shared" ref="Z1946" si="2735">IF(Z1707,-SUM(N1945)*EUconst_NGEFvalue*EUconst_WasteGasCorrFactor,"")</f>
        <v/>
      </c>
      <c r="AA1946" s="729"/>
      <c r="AB1946" s="1182" t="s">
        <v>737</v>
      </c>
      <c r="AC1946" s="982" t="b">
        <f t="shared" ref="AC1946:AI1946" si="2736">AC1893</f>
        <v>0</v>
      </c>
      <c r="AD1946" s="982" t="b">
        <f t="shared" si="2736"/>
        <v>0</v>
      </c>
      <c r="AE1946" s="982" t="b">
        <f t="shared" si="2736"/>
        <v>0</v>
      </c>
      <c r="AF1946" s="982" t="b">
        <f t="shared" si="2736"/>
        <v>0</v>
      </c>
      <c r="AG1946" s="982" t="b">
        <f t="shared" si="2736"/>
        <v>0</v>
      </c>
      <c r="AH1946" s="982" t="b">
        <f t="shared" si="2736"/>
        <v>0</v>
      </c>
      <c r="AI1946" s="982" t="b">
        <f t="shared" si="2736"/>
        <v>0</v>
      </c>
      <c r="AJ1946" s="1174" t="s">
        <v>2039</v>
      </c>
      <c r="AK1946" s="1176" t="str">
        <f>IF(AND(CNTR_ExistSubInstEntries,MSconst_RequireSubAttrEmissions,COUNTIFS(AC1946:AI1946,FALSE,H1946:N1946,"")&gt;0),EUconst_Error&amp;"BM"&amp;$Q1699,"")</f>
        <v/>
      </c>
      <c r="AL1946" s="694"/>
    </row>
    <row r="1947" spans="1:38" ht="12.75" customHeight="1" x14ac:dyDescent="0.25">
      <c r="A1947" s="694"/>
      <c r="B1947" s="298"/>
      <c r="C1947" s="1302"/>
      <c r="D1947" s="1306"/>
      <c r="E1947" s="1306"/>
      <c r="F1947" s="1306"/>
      <c r="G1947" s="1306"/>
      <c r="H1947" s="1306"/>
      <c r="I1947" s="1354"/>
      <c r="J1947" s="1306"/>
      <c r="K1947" s="1306"/>
      <c r="L1947" s="1306"/>
      <c r="M1947" s="1306"/>
      <c r="N1947" s="1316"/>
      <c r="O1947" s="302"/>
      <c r="P1947" s="302"/>
      <c r="Q1947" s="729"/>
      <c r="R1947" s="694"/>
      <c r="S1947" s="729"/>
      <c r="T1947" s="694"/>
      <c r="U1947" s="694"/>
      <c r="V1947" s="694"/>
      <c r="W1947" s="694"/>
      <c r="X1947" s="694"/>
      <c r="Y1947" s="694"/>
      <c r="Z1947" s="694"/>
      <c r="AA1947" s="694"/>
      <c r="AB1947" s="694"/>
      <c r="AC1947" s="694"/>
      <c r="AD1947" s="694"/>
      <c r="AE1947" s="694"/>
      <c r="AF1947" s="694"/>
      <c r="AG1947" s="694"/>
      <c r="AH1947" s="694"/>
      <c r="AI1947" s="694"/>
      <c r="AJ1947" s="694"/>
      <c r="AK1947" s="694"/>
      <c r="AL1947" s="694"/>
    </row>
    <row r="1948" spans="1:38" ht="12.75" customHeight="1" x14ac:dyDescent="0.25">
      <c r="A1948" s="694"/>
      <c r="B1948" s="298"/>
      <c r="C1948" s="1302"/>
      <c r="D1948" s="1307" t="s">
        <v>493</v>
      </c>
      <c r="E1948" s="2815" t="str">
        <f>Translations!$B$246</f>
        <v>Производство на електроенергия</v>
      </c>
      <c r="F1948" s="2240"/>
      <c r="G1948" s="2240"/>
      <c r="H1948" s="2240"/>
      <c r="I1948" s="2240"/>
      <c r="J1948" s="2240"/>
      <c r="K1948" s="2240"/>
      <c r="L1948" s="2240"/>
      <c r="M1948" s="2240"/>
      <c r="N1948" s="2811"/>
      <c r="O1948" s="302"/>
      <c r="P1948" s="302"/>
      <c r="Q1948" s="729"/>
      <c r="R1948" s="694"/>
      <c r="S1948" s="729"/>
      <c r="T1948" s="694"/>
      <c r="U1948" s="694"/>
      <c r="V1948" s="694"/>
      <c r="W1948" s="694"/>
      <c r="X1948" s="694"/>
      <c r="Y1948" s="694"/>
      <c r="Z1948" s="694"/>
      <c r="AA1948" s="694"/>
      <c r="AB1948" s="694"/>
      <c r="AC1948" s="694"/>
      <c r="AD1948" s="694"/>
      <c r="AE1948" s="694"/>
      <c r="AF1948" s="694"/>
      <c r="AG1948" s="694"/>
      <c r="AH1948" s="694"/>
      <c r="AI1948" s="694"/>
      <c r="AJ1948" s="694"/>
      <c r="AK1948" s="694"/>
      <c r="AL1948" s="694"/>
    </row>
    <row r="1949" spans="1:38" ht="12.75" customHeight="1" x14ac:dyDescent="0.25">
      <c r="A1949" s="694"/>
      <c r="B1949" s="298"/>
      <c r="C1949" s="1302"/>
      <c r="D1949" s="625"/>
      <c r="E1949" s="2816" t="str">
        <f>Translations!$B$593</f>
        <v>Посочените тук данни ще се отразят на емисиите, които могат да бъдат зададени съгласно раздел 10 от приложение VII към ПБР.</v>
      </c>
      <c r="F1949" s="2240"/>
      <c r="G1949" s="2240"/>
      <c r="H1949" s="2240"/>
      <c r="I1949" s="2240"/>
      <c r="J1949" s="2240"/>
      <c r="K1949" s="2240"/>
      <c r="L1949" s="2240"/>
      <c r="M1949" s="2240"/>
      <c r="N1949" s="2811"/>
      <c r="O1949" s="302"/>
      <c r="P1949" s="302"/>
      <c r="Q1949" s="729"/>
      <c r="R1949" s="694"/>
      <c r="S1949" s="729"/>
      <c r="T1949" s="729"/>
      <c r="U1949" s="729"/>
      <c r="V1949" s="729"/>
      <c r="W1949" s="694"/>
      <c r="X1949" s="694"/>
      <c r="Y1949" s="694"/>
      <c r="Z1949" s="694"/>
      <c r="AA1949" s="694"/>
      <c r="AB1949" s="694"/>
      <c r="AC1949" s="694"/>
      <c r="AD1949" s="694"/>
      <c r="AE1949" s="694"/>
      <c r="AF1949" s="694"/>
      <c r="AG1949" s="694"/>
      <c r="AH1949" s="694"/>
      <c r="AI1949" s="694"/>
      <c r="AJ1949" s="694"/>
      <c r="AK1949" s="694"/>
      <c r="AL1949" s="694"/>
    </row>
    <row r="1950" spans="1:38" ht="25.5" customHeight="1" thickBot="1" x14ac:dyDescent="0.3">
      <c r="A1950" s="694"/>
      <c r="B1950" s="298"/>
      <c r="C1950" s="1302"/>
      <c r="D1950" s="1306"/>
      <c r="E1950" s="2810" t="str">
        <f>Translations!$B$594</f>
        <v>Това включва електроенергията, произведена директно от тази подинсталация, съгласно раздел 3.1, буква и) от приложение IV към ПБР. Електроенергията, произведена чрез междинна измерима топлинна енергия, не се посочват тук, а като подадена измерима топлинна енергия в k).v по-горе.</v>
      </c>
      <c r="F1950" s="2240"/>
      <c r="G1950" s="2240"/>
      <c r="H1950" s="2240"/>
      <c r="I1950" s="2240"/>
      <c r="J1950" s="2240"/>
      <c r="K1950" s="2240"/>
      <c r="L1950" s="2240"/>
      <c r="M1950" s="2240"/>
      <c r="N1950" s="2811"/>
      <c r="O1950" s="302"/>
      <c r="P1950" s="302"/>
      <c r="Q1950" s="729"/>
      <c r="R1950" s="694"/>
      <c r="S1950" s="729"/>
      <c r="T1950" s="694"/>
      <c r="U1950" s="694"/>
      <c r="V1950" s="694"/>
      <c r="W1950" s="694"/>
      <c r="X1950" s="694"/>
      <c r="Y1950" s="694"/>
      <c r="Z1950" s="694"/>
      <c r="AA1950" s="694"/>
      <c r="AB1950" s="694"/>
      <c r="AC1950" s="694"/>
      <c r="AD1950" s="694"/>
      <c r="AE1950" s="694"/>
      <c r="AF1950" s="694"/>
      <c r="AG1950" s="694"/>
      <c r="AH1950" s="694"/>
      <c r="AI1950" s="694"/>
      <c r="AJ1950" s="694"/>
      <c r="AK1950" s="694"/>
      <c r="AL1950" s="694"/>
    </row>
    <row r="1951" spans="1:38" ht="12.75" customHeight="1" thickBot="1" x14ac:dyDescent="0.3">
      <c r="A1951" s="694"/>
      <c r="B1951" s="298"/>
      <c r="C1951" s="1302"/>
      <c r="D1951" s="1307"/>
      <c r="E1951" s="1317"/>
      <c r="F1951" s="1318"/>
      <c r="G1951" s="1309" t="str">
        <f>EUconst_Unit</f>
        <v>Единица мярка</v>
      </c>
      <c r="H1951" s="629">
        <f t="shared" ref="H1951:N1951" si="2737">H$2831</f>
        <v>2024</v>
      </c>
      <c r="I1951" s="1310">
        <f t="shared" si="2737"/>
        <v>2025</v>
      </c>
      <c r="J1951" s="1311">
        <f t="shared" si="2737"/>
        <v>2026</v>
      </c>
      <c r="K1951" s="629">
        <f t="shared" si="2737"/>
        <v>2027</v>
      </c>
      <c r="L1951" s="629">
        <f t="shared" si="2737"/>
        <v>2028</v>
      </c>
      <c r="M1951" s="629">
        <f t="shared" si="2737"/>
        <v>2029</v>
      </c>
      <c r="N1951" s="1312">
        <f t="shared" si="2737"/>
        <v>2030</v>
      </c>
      <c r="O1951" s="302"/>
      <c r="P1951" s="302"/>
      <c r="Q1951" s="729"/>
      <c r="R1951" s="694"/>
      <c r="S1951" s="1205"/>
      <c r="T1951" s="1313">
        <f t="shared" ref="T1951" si="2738">H1951</f>
        <v>2024</v>
      </c>
      <c r="U1951" s="1313">
        <f t="shared" ref="U1951" si="2739">I1951</f>
        <v>2025</v>
      </c>
      <c r="V1951" s="1313">
        <f t="shared" ref="V1951" si="2740">J1951</f>
        <v>2026</v>
      </c>
      <c r="W1951" s="1313">
        <f t="shared" ref="W1951" si="2741">K1951</f>
        <v>2027</v>
      </c>
      <c r="X1951" s="1313">
        <f t="shared" ref="X1951" si="2742">L1951</f>
        <v>2028</v>
      </c>
      <c r="Y1951" s="1313">
        <f t="shared" ref="Y1951" si="2743">M1951</f>
        <v>2029</v>
      </c>
      <c r="Z1951" s="1314">
        <f t="shared" ref="Z1951" si="2744">N1951</f>
        <v>2030</v>
      </c>
      <c r="AA1951" s="694"/>
      <c r="AB1951" s="694"/>
      <c r="AC1951" s="1178">
        <f t="shared" ref="AC1951" si="2745">H$20</f>
        <v>2024</v>
      </c>
      <c r="AD1951" s="1178">
        <f t="shared" ref="AD1951" si="2746">I$20</f>
        <v>2025</v>
      </c>
      <c r="AE1951" s="1178">
        <f t="shared" ref="AE1951" si="2747">J$20</f>
        <v>2026</v>
      </c>
      <c r="AF1951" s="1178">
        <f t="shared" ref="AF1951" si="2748">K$20</f>
        <v>2027</v>
      </c>
      <c r="AG1951" s="1178">
        <f t="shared" ref="AG1951" si="2749">L$20</f>
        <v>2028</v>
      </c>
      <c r="AH1951" s="1178">
        <f t="shared" ref="AH1951" si="2750">M$20</f>
        <v>2029</v>
      </c>
      <c r="AI1951" s="1178">
        <f t="shared" ref="AI1951" si="2751">N$20</f>
        <v>2030</v>
      </c>
      <c r="AJ1951" s="694"/>
      <c r="AK1951" s="694"/>
      <c r="AL1951" s="694"/>
    </row>
    <row r="1952" spans="1:38" ht="12.75" customHeight="1" thickBot="1" x14ac:dyDescent="0.3">
      <c r="A1952" s="694"/>
      <c r="B1952" s="298"/>
      <c r="C1952" s="1302"/>
      <c r="D1952" s="625"/>
      <c r="E1952" s="2820" t="str">
        <f>Translations!$B$595</f>
        <v>Произведена електроенергия</v>
      </c>
      <c r="F1952" s="2258"/>
      <c r="G1952" s="1319" t="str">
        <f>EUconst_MWhpa</f>
        <v>MWh / година</v>
      </c>
      <c r="H1952" s="56"/>
      <c r="I1952" s="115"/>
      <c r="J1952" s="118"/>
      <c r="K1952" s="56"/>
      <c r="L1952" s="56"/>
      <c r="M1952" s="56"/>
      <c r="N1952" s="121"/>
      <c r="O1952" s="302"/>
      <c r="P1952" s="158"/>
      <c r="Q1952" s="1190" t="str">
        <f>EUconst_CNTR_ElectricityExported &amp; I1699</f>
        <v>ElecEx_</v>
      </c>
      <c r="R1952" s="694"/>
      <c r="S1952" s="1315" t="str">
        <f>EUconst_CNTR_AttributedEmissions &amp; I1699</f>
        <v>AttrEmissions_</v>
      </c>
      <c r="T1952" s="1290" t="str">
        <f t="shared" ref="T1952" si="2752">IF(T1707,-SUM(H1952)*EUconst_ElBM,"")</f>
        <v/>
      </c>
      <c r="U1952" s="1290" t="str">
        <f t="shared" ref="U1952" si="2753">IF(U1707,-SUM(I1952)*EUconst_ElBM,"")</f>
        <v/>
      </c>
      <c r="V1952" s="1290" t="str">
        <f t="shared" ref="V1952" si="2754">IF(V1707,-SUM(J1952)*EUconst_ElBM,"")</f>
        <v/>
      </c>
      <c r="W1952" s="1290" t="str">
        <f t="shared" ref="W1952" si="2755">IF(W1707,-SUM(K1952)*EUconst_ElBM,"")</f>
        <v/>
      </c>
      <c r="X1952" s="1290" t="str">
        <f t="shared" ref="X1952" si="2756">IF(X1707,-SUM(L1952)*EUconst_ElBM,"")</f>
        <v/>
      </c>
      <c r="Y1952" s="1290" t="str">
        <f t="shared" ref="Y1952" si="2757">IF(Y1707,-SUM(M1952)*EUconst_ElBM,"")</f>
        <v/>
      </c>
      <c r="Z1952" s="1291" t="str">
        <f t="shared" ref="Z1952" si="2758">IF(Z1707,-SUM(N1952)*EUconst_ElBM,"")</f>
        <v/>
      </c>
      <c r="AA1952" s="694"/>
      <c r="AB1952" s="1182" t="s">
        <v>737</v>
      </c>
      <c r="AC1952" s="982" t="b">
        <f>AC1746</f>
        <v>0</v>
      </c>
      <c r="AD1952" s="982" t="b">
        <f t="shared" ref="AD1952:AI1952" si="2759">AD1746</f>
        <v>0</v>
      </c>
      <c r="AE1952" s="982" t="b">
        <f t="shared" si="2759"/>
        <v>0</v>
      </c>
      <c r="AF1952" s="982" t="b">
        <f t="shared" si="2759"/>
        <v>0</v>
      </c>
      <c r="AG1952" s="982" t="b">
        <f t="shared" si="2759"/>
        <v>0</v>
      </c>
      <c r="AH1952" s="982" t="b">
        <f t="shared" si="2759"/>
        <v>0</v>
      </c>
      <c r="AI1952" s="982" t="b">
        <f t="shared" si="2759"/>
        <v>0</v>
      </c>
      <c r="AJ1952" s="1174" t="s">
        <v>2039</v>
      </c>
      <c r="AK1952" s="1176" t="str">
        <f>IF(AND(CNTR_ExistSubInstEntries,MSconst_RequireSubAttrEmissions,COUNTIFS(AC1952:AI1952,FALSE,H1952:N1952,"")&gt;0),EUconst_Error&amp;"BM"&amp;$Q1699,"")</f>
        <v/>
      </c>
      <c r="AL1952" s="694"/>
    </row>
    <row r="1953" spans="1:38" ht="12.75" customHeight="1" x14ac:dyDescent="0.25">
      <c r="A1953" s="694"/>
      <c r="B1953" s="298"/>
      <c r="C1953" s="1302"/>
      <c r="D1953" s="1306"/>
      <c r="E1953" s="1306"/>
      <c r="F1953" s="1306"/>
      <c r="G1953" s="1306"/>
      <c r="H1953" s="1306"/>
      <c r="I1953" s="1354"/>
      <c r="J1953" s="1306"/>
      <c r="K1953" s="1306"/>
      <c r="L1953" s="1306"/>
      <c r="M1953" s="1306"/>
      <c r="N1953" s="1316"/>
      <c r="O1953" s="302"/>
      <c r="P1953" s="302"/>
      <c r="Q1953" s="729"/>
      <c r="R1953" s="694"/>
      <c r="S1953" s="729"/>
      <c r="T1953" s="694"/>
      <c r="U1953" s="694"/>
      <c r="V1953" s="729"/>
      <c r="W1953" s="694"/>
      <c r="X1953" s="694"/>
      <c r="Y1953" s="694"/>
      <c r="Z1953" s="694"/>
      <c r="AA1953" s="694"/>
      <c r="AB1953" s="694"/>
      <c r="AC1953" s="694"/>
      <c r="AD1953" s="694"/>
      <c r="AE1953" s="694"/>
      <c r="AF1953" s="694"/>
      <c r="AG1953" s="694"/>
      <c r="AH1953" s="694"/>
      <c r="AI1953" s="694"/>
      <c r="AJ1953" s="694"/>
      <c r="AK1953" s="694"/>
      <c r="AL1953" s="694"/>
    </row>
    <row r="1954" spans="1:38" ht="12.75" customHeight="1" x14ac:dyDescent="0.25">
      <c r="A1954" s="694"/>
      <c r="B1954" s="298"/>
      <c r="C1954" s="1302"/>
      <c r="D1954" s="1307" t="s">
        <v>249</v>
      </c>
      <c r="E1954" s="2815" t="str">
        <f>Translations!$B$596</f>
        <v>Общо количество произведен пулп</v>
      </c>
      <c r="F1954" s="2240"/>
      <c r="G1954" s="2240"/>
      <c r="H1954" s="2240"/>
      <c r="I1954" s="2240"/>
      <c r="J1954" s="2240"/>
      <c r="K1954" s="2240"/>
      <c r="L1954" s="2240"/>
      <c r="M1954" s="2240"/>
      <c r="N1954" s="2811"/>
      <c r="O1954" s="302"/>
      <c r="P1954" s="302"/>
      <c r="Q1954" s="694"/>
      <c r="R1954" s="694"/>
      <c r="S1954" s="694"/>
      <c r="T1954" s="694"/>
      <c r="U1954" s="694"/>
      <c r="V1954" s="729"/>
      <c r="W1954" s="694"/>
      <c r="X1954" s="694"/>
      <c r="Y1954" s="694"/>
      <c r="Z1954" s="694"/>
      <c r="AA1954" s="694"/>
      <c r="AB1954" s="694"/>
      <c r="AC1954" s="694"/>
      <c r="AD1954" s="694"/>
      <c r="AE1954" s="694"/>
      <c r="AF1954" s="694"/>
      <c r="AG1954" s="694"/>
      <c r="AH1954" s="694"/>
      <c r="AI1954" s="694"/>
      <c r="AJ1954" s="694"/>
      <c r="AK1954" s="694"/>
      <c r="AL1954" s="694"/>
    </row>
    <row r="1955" spans="1:38" ht="25.5" customHeight="1" x14ac:dyDescent="0.25">
      <c r="A1955" s="694"/>
      <c r="B1955" s="298"/>
      <c r="C1955" s="1302"/>
      <c r="D1955" s="1306"/>
      <c r="E1955" s="2810" t="str">
        <f>Translations!$B$597</f>
        <v>Съгласно раздел 2.7, буква к) от приложение IV към ПБР се отчита общото количество пулп, произведен за подинсталации с продуктов показател за късовлакнест крафт-пулп, дълговлакнест крафт-пулп, термомеханичен пулп и механичен пулп или сулфитен пулп.</v>
      </c>
      <c r="F1955" s="2240"/>
      <c r="G1955" s="2240"/>
      <c r="H1955" s="2240"/>
      <c r="I1955" s="2240"/>
      <c r="J1955" s="2240"/>
      <c r="K1955" s="2240"/>
      <c r="L1955" s="2240"/>
      <c r="M1955" s="2240"/>
      <c r="N1955" s="2811"/>
      <c r="O1955" s="302"/>
      <c r="P1955" s="302"/>
      <c r="Q1955" s="729"/>
      <c r="R1955" s="694"/>
      <c r="S1955" s="729"/>
      <c r="T1955" s="694"/>
      <c r="U1955" s="694"/>
      <c r="V1955" s="729"/>
      <c r="W1955" s="694"/>
      <c r="X1955" s="694"/>
      <c r="Y1955" s="694"/>
      <c r="Z1955" s="694"/>
      <c r="AA1955" s="694"/>
      <c r="AB1955" s="694"/>
      <c r="AC1955" s="694"/>
      <c r="AD1955" s="694"/>
      <c r="AE1955" s="694"/>
      <c r="AF1955" s="694"/>
      <c r="AG1955" s="694"/>
      <c r="AH1955" s="694"/>
      <c r="AI1955" s="694"/>
      <c r="AJ1955" s="694"/>
      <c r="AK1955" s="694"/>
      <c r="AL1955" s="694"/>
    </row>
    <row r="1956" spans="1:38" ht="12.75" customHeight="1" x14ac:dyDescent="0.25">
      <c r="A1956" s="694"/>
      <c r="B1956" s="298"/>
      <c r="C1956" s="1302"/>
      <c r="D1956" s="1306"/>
      <c r="E1956" s="2810" t="str">
        <f>Translations!$B$598</f>
        <v>Този раздел ще бъде защрихован в сиво, ако тази подинсталация не е една от тези видове подинсталации за производство на пулп. В такъв случай, моля, продължете с точките по-долу.</v>
      </c>
      <c r="F1956" s="2240"/>
      <c r="G1956" s="2240"/>
      <c r="H1956" s="2240"/>
      <c r="I1956" s="2240"/>
      <c r="J1956" s="2240"/>
      <c r="K1956" s="2240"/>
      <c r="L1956" s="2240"/>
      <c r="M1956" s="2240"/>
      <c r="N1956" s="2811"/>
      <c r="O1956" s="302"/>
      <c r="P1956" s="302"/>
      <c r="Q1956" s="729"/>
      <c r="R1956" s="694"/>
      <c r="S1956" s="729"/>
      <c r="T1956" s="694"/>
      <c r="U1956" s="694"/>
      <c r="V1956" s="729"/>
      <c r="W1956" s="694"/>
      <c r="X1956" s="694"/>
      <c r="Y1956" s="694"/>
      <c r="Z1956" s="694"/>
      <c r="AA1956" s="694"/>
      <c r="AB1956" s="694"/>
      <c r="AC1956" s="694"/>
      <c r="AD1956" s="694"/>
      <c r="AE1956" s="694"/>
      <c r="AF1956" s="694"/>
      <c r="AG1956" s="694"/>
      <c r="AH1956" s="694"/>
      <c r="AI1956" s="694"/>
      <c r="AJ1956" s="694"/>
      <c r="AK1956" s="694"/>
      <c r="AL1956" s="694"/>
    </row>
    <row r="1957" spans="1:38" ht="12.75" customHeight="1" thickBot="1" x14ac:dyDescent="0.3">
      <c r="A1957" s="694"/>
      <c r="B1957" s="298"/>
      <c r="C1957" s="1302"/>
      <c r="D1957" s="625"/>
      <c r="E1957" s="2812" t="str">
        <f>Translations!$B$599</f>
        <v>Посочените тук данни ще са необходими при актуализацията на конкретния показател за пулп.</v>
      </c>
      <c r="F1957" s="2672"/>
      <c r="G1957" s="2672"/>
      <c r="H1957" s="2672"/>
      <c r="I1957" s="2672"/>
      <c r="J1957" s="2672"/>
      <c r="K1957" s="2672"/>
      <c r="L1957" s="2672"/>
      <c r="M1957" s="2672"/>
      <c r="N1957" s="2813"/>
      <c r="O1957" s="302"/>
      <c r="P1957" s="302"/>
      <c r="Q1957" s="729"/>
      <c r="R1957" s="694"/>
      <c r="S1957" s="729"/>
      <c r="T1957" s="694"/>
      <c r="U1957" s="694"/>
      <c r="V1957" s="729"/>
      <c r="W1957" s="694"/>
      <c r="X1957" s="694"/>
      <c r="Y1957" s="694"/>
      <c r="Z1957" s="694"/>
      <c r="AA1957" s="694"/>
      <c r="AB1957" s="694"/>
      <c r="AC1957" s="1178">
        <f t="shared" ref="AC1957" si="2760">H$20</f>
        <v>2024</v>
      </c>
      <c r="AD1957" s="1178">
        <f t="shared" ref="AD1957" si="2761">I$20</f>
        <v>2025</v>
      </c>
      <c r="AE1957" s="1178">
        <f t="shared" ref="AE1957" si="2762">J$20</f>
        <v>2026</v>
      </c>
      <c r="AF1957" s="1178">
        <f t="shared" ref="AF1957" si="2763">K$20</f>
        <v>2027</v>
      </c>
      <c r="AG1957" s="1178">
        <f t="shared" ref="AG1957" si="2764">L$20</f>
        <v>2028</v>
      </c>
      <c r="AH1957" s="1178">
        <f t="shared" ref="AH1957" si="2765">M$20</f>
        <v>2029</v>
      </c>
      <c r="AI1957" s="1178">
        <f t="shared" ref="AI1957" si="2766">N$20</f>
        <v>2030</v>
      </c>
      <c r="AJ1957" s="694"/>
      <c r="AK1957" s="694"/>
      <c r="AL1957" s="694"/>
    </row>
    <row r="1958" spans="1:38" ht="12.75" customHeight="1" x14ac:dyDescent="0.25">
      <c r="A1958" s="694"/>
      <c r="B1958" s="298"/>
      <c r="C1958" s="1302"/>
      <c r="D1958" s="625"/>
      <c r="E1958" s="2814" t="str">
        <f>IF(I1699="","",IF(INDEX(EUconst_BMlistPulp,MATCH(I1699,EUconst_BMlistNames,0)),I1699,""))</f>
        <v/>
      </c>
      <c r="F1958" s="2258"/>
      <c r="G1958" s="1319" t="str">
        <f>EUconst_Tons</f>
        <v>тона</v>
      </c>
      <c r="H1958" s="56"/>
      <c r="I1958" s="115"/>
      <c r="J1958" s="118"/>
      <c r="K1958" s="56"/>
      <c r="L1958" s="56"/>
      <c r="M1958" s="56"/>
      <c r="N1958" s="121"/>
      <c r="O1958" s="302"/>
      <c r="P1958" s="158"/>
      <c r="Q1958" s="1190" t="str">
        <f>EUconst_CNTR_HALPulpTotal &amp; I1699</f>
        <v>HALPulpTotal_</v>
      </c>
      <c r="R1958" s="694"/>
      <c r="S1958" s="729"/>
      <c r="T1958" s="694"/>
      <c r="U1958" s="694"/>
      <c r="V1958" s="694"/>
      <c r="W1958" s="694"/>
      <c r="X1958" s="694"/>
      <c r="Y1958" s="694"/>
      <c r="Z1958" s="694"/>
      <c r="AA1958" s="694"/>
      <c r="AB1958" s="1182" t="s">
        <v>737</v>
      </c>
      <c r="AC1958" s="901" t="b">
        <f t="shared" ref="AC1958:AI1958" si="2767">IF($I1699&lt;&gt;"",IF(INDEX(EUconst_BMlistPulp,MATCH($I1699,EUconst_BMlistNames,0))=TRUE,FALSE,TRUE),AC1746)</f>
        <v>0</v>
      </c>
      <c r="AD1958" s="982" t="b">
        <f t="shared" si="2767"/>
        <v>0</v>
      </c>
      <c r="AE1958" s="982" t="b">
        <f t="shared" si="2767"/>
        <v>0</v>
      </c>
      <c r="AF1958" s="982" t="b">
        <f t="shared" si="2767"/>
        <v>0</v>
      </c>
      <c r="AG1958" s="982" t="b">
        <f t="shared" si="2767"/>
        <v>0</v>
      </c>
      <c r="AH1958" s="982" t="b">
        <f t="shared" si="2767"/>
        <v>0</v>
      </c>
      <c r="AI1958" s="982" t="b">
        <f t="shared" si="2767"/>
        <v>0</v>
      </c>
      <c r="AJ1958" s="1174" t="s">
        <v>2039</v>
      </c>
      <c r="AK1958" s="1176" t="str">
        <f>IF(AND(CNTR_ExistSubInstEntries,MSconst_RequireSubAttrEmissions,COUNTIFS(AC1958:AI1958,FALSE,H1958:N1958,"")&gt;0),EUconst_Error&amp;"BM"&amp;$Q1699,"")</f>
        <v/>
      </c>
      <c r="AL1958" s="694"/>
    </row>
    <row r="1959" spans="1:38" ht="12.75" customHeight="1" x14ac:dyDescent="0.25">
      <c r="A1959" s="694"/>
      <c r="B1959" s="298"/>
      <c r="C1959" s="1302"/>
      <c r="D1959" s="625"/>
      <c r="E1959" s="625"/>
      <c r="F1959" s="625"/>
      <c r="G1959" s="625"/>
      <c r="H1959" s="1354"/>
      <c r="I1959" s="625"/>
      <c r="J1959" s="625"/>
      <c r="K1959" s="625"/>
      <c r="L1959" s="625"/>
      <c r="M1959" s="625"/>
      <c r="N1959" s="1348"/>
      <c r="O1959" s="302"/>
      <c r="P1959" s="302"/>
      <c r="Q1959" s="729"/>
      <c r="R1959" s="694"/>
      <c r="S1959" s="729"/>
      <c r="T1959" s="694"/>
      <c r="U1959" s="694"/>
      <c r="V1959" s="729"/>
      <c r="W1959" s="694"/>
      <c r="X1959" s="694"/>
      <c r="Y1959" s="694"/>
      <c r="Z1959" s="694"/>
      <c r="AA1959" s="694"/>
      <c r="AB1959" s="694"/>
      <c r="AC1959" s="694"/>
      <c r="AD1959" s="694"/>
      <c r="AE1959" s="694"/>
      <c r="AF1959" s="694"/>
      <c r="AG1959" s="694"/>
      <c r="AH1959" s="694"/>
      <c r="AI1959" s="694"/>
      <c r="AJ1959" s="694"/>
      <c r="AK1959" s="694"/>
      <c r="AL1959" s="694"/>
    </row>
    <row r="1960" spans="1:38" ht="12.75" customHeight="1" x14ac:dyDescent="0.25">
      <c r="A1960" s="694"/>
      <c r="B1960" s="298"/>
      <c r="C1960" s="1302"/>
      <c r="D1960" s="1307" t="s">
        <v>852</v>
      </c>
      <c r="E1960" s="2815" t="str">
        <f>Translations!$B$600</f>
        <v>Получаване или подаване на междинни продукти, обхванати от продуктови показатели</v>
      </c>
      <c r="F1960" s="2240"/>
      <c r="G1960" s="2240"/>
      <c r="H1960" s="2240"/>
      <c r="I1960" s="2240"/>
      <c r="J1960" s="2240"/>
      <c r="K1960" s="2240"/>
      <c r="L1960" s="2240"/>
      <c r="M1960" s="2240"/>
      <c r="N1960" s="2811"/>
      <c r="O1960" s="302"/>
      <c r="P1960" s="302"/>
      <c r="Q1960" s="729"/>
      <c r="R1960" s="694"/>
      <c r="S1960" s="729"/>
      <c r="T1960" s="694"/>
      <c r="U1960" s="694"/>
      <c r="V1960" s="729"/>
      <c r="W1960" s="694"/>
      <c r="X1960" s="694"/>
      <c r="Y1960" s="694"/>
      <c r="Z1960" s="694"/>
      <c r="AA1960" s="694"/>
      <c r="AB1960" s="694"/>
      <c r="AC1960" s="694"/>
      <c r="AD1960" s="694"/>
      <c r="AE1960" s="694"/>
      <c r="AF1960" s="694"/>
      <c r="AG1960" s="694"/>
      <c r="AH1960" s="694"/>
      <c r="AI1960" s="694"/>
      <c r="AJ1960" s="694"/>
      <c r="AK1960" s="694"/>
      <c r="AL1960" s="694"/>
    </row>
    <row r="1961" spans="1:38" ht="25.5" customHeight="1" x14ac:dyDescent="0.25">
      <c r="A1961" s="694"/>
      <c r="B1961" s="298"/>
      <c r="C1961" s="1302"/>
      <c r="D1961" s="1306"/>
      <c r="E1961" s="2810" t="str">
        <f>Translations!$B$601</f>
        <v>За да се избегне двойно отчитане или пропуски в зададените емисии при определянето на актуализираните показатели, съгласно изискванията на раздел 2.7, буква г) от приложение IV към ПБР е необходимо да подадете данни за получените или подадените междинни продукти, обхванати от който и да било от продуктовите показатели, изброени в приложение I към ПБР.</v>
      </c>
      <c r="F1961" s="2240"/>
      <c r="G1961" s="2240"/>
      <c r="H1961" s="2240"/>
      <c r="I1961" s="2240"/>
      <c r="J1961" s="2240"/>
      <c r="K1961" s="2240"/>
      <c r="L1961" s="2240"/>
      <c r="M1961" s="2240"/>
      <c r="N1961" s="2811"/>
      <c r="O1961" s="302"/>
      <c r="P1961" s="302"/>
      <c r="Q1961" s="729"/>
      <c r="R1961" s="694"/>
      <c r="S1961" s="729"/>
      <c r="T1961" s="694"/>
      <c r="U1961" s="694"/>
      <c r="V1961" s="729"/>
      <c r="W1961" s="694"/>
      <c r="X1961" s="694"/>
      <c r="Y1961" s="694"/>
      <c r="Z1961" s="694"/>
      <c r="AA1961" s="694"/>
      <c r="AB1961" s="694"/>
      <c r="AC1961" s="694"/>
      <c r="AD1961" s="694"/>
      <c r="AE1961" s="694"/>
      <c r="AF1961" s="694"/>
      <c r="AG1961" s="694"/>
      <c r="AH1961" s="694"/>
      <c r="AI1961" s="694"/>
      <c r="AJ1961" s="694"/>
      <c r="AK1961" s="694"/>
      <c r="AL1961" s="694"/>
    </row>
    <row r="1962" spans="1:38" ht="12.75" customHeight="1" x14ac:dyDescent="0.25">
      <c r="A1962" s="694"/>
      <c r="B1962" s="298"/>
      <c r="C1962" s="1302"/>
      <c r="D1962" s="1306"/>
      <c r="E1962" s="2816" t="str">
        <f>Translations!$B$602</f>
        <v>Посочените тук данни могат да се отразят на актуализацията на конкретния показател.</v>
      </c>
      <c r="F1962" s="2240"/>
      <c r="G1962" s="2240"/>
      <c r="H1962" s="2240"/>
      <c r="I1962" s="2240"/>
      <c r="J1962" s="2240"/>
      <c r="K1962" s="2240"/>
      <c r="L1962" s="2240"/>
      <c r="M1962" s="2240"/>
      <c r="N1962" s="2811"/>
      <c r="O1962" s="302"/>
      <c r="P1962" s="302"/>
      <c r="Q1962" s="729"/>
      <c r="R1962" s="694"/>
      <c r="S1962" s="729"/>
      <c r="T1962" s="694"/>
      <c r="U1962" s="694"/>
      <c r="V1962" s="729"/>
      <c r="W1962" s="694"/>
      <c r="X1962" s="694"/>
      <c r="Y1962" s="694"/>
      <c r="Z1962" s="694"/>
      <c r="AA1962" s="694"/>
      <c r="AB1962" s="694"/>
      <c r="AC1962" s="694"/>
      <c r="AD1962" s="694"/>
      <c r="AE1962" s="694"/>
      <c r="AF1962" s="694"/>
      <c r="AG1962" s="694"/>
      <c r="AH1962" s="694"/>
      <c r="AI1962" s="694"/>
      <c r="AJ1962" s="694"/>
      <c r="AK1962" s="694"/>
      <c r="AL1962" s="694"/>
    </row>
    <row r="1963" spans="1:38" ht="12.75" customHeight="1" x14ac:dyDescent="0.25">
      <c r="A1963" s="694"/>
      <c r="B1963" s="698"/>
      <c r="C1963" s="1302"/>
      <c r="D1963" s="625" t="s">
        <v>6</v>
      </c>
      <c r="E1963" s="2817" t="str">
        <f>Translations!$B$603</f>
        <v>Има ли получени или подадени междинни продукти, които са обхванати от продуктови показатели?</v>
      </c>
      <c r="F1963" s="2240"/>
      <c r="G1963" s="2240"/>
      <c r="H1963" s="2240"/>
      <c r="I1963" s="2240"/>
      <c r="J1963" s="2240"/>
      <c r="K1963" s="2684"/>
      <c r="L1963" s="83"/>
      <c r="M1963" s="1304"/>
      <c r="N1963" s="1372"/>
      <c r="O1963" s="302"/>
      <c r="P1963" s="158"/>
      <c r="Q1963" s="694"/>
      <c r="R1963" s="694"/>
      <c r="S1963" s="694"/>
      <c r="T1963" s="694"/>
      <c r="U1963" s="694"/>
      <c r="V1963" s="694"/>
      <c r="W1963" s="694"/>
      <c r="X1963" s="694"/>
      <c r="Y1963" s="694"/>
      <c r="Z1963" s="694"/>
      <c r="AA1963" s="694"/>
      <c r="AB1963" s="694"/>
      <c r="AC1963" s="694"/>
      <c r="AD1963" s="694"/>
      <c r="AE1963" s="694"/>
      <c r="AF1963" s="1182" t="s">
        <v>737</v>
      </c>
      <c r="AG1963" s="901" t="b">
        <f>AND(CNTR_ExistSubInstEntries,I1699="")</f>
        <v>0</v>
      </c>
      <c r="AH1963" s="694"/>
      <c r="AI1963" s="694"/>
      <c r="AJ1963" s="694"/>
      <c r="AK1963" s="694"/>
      <c r="AL1963" s="694"/>
    </row>
    <row r="1964" spans="1:38" ht="5.15" customHeight="1" x14ac:dyDescent="0.25">
      <c r="A1964" s="694"/>
      <c r="B1964" s="298"/>
      <c r="C1964" s="1302"/>
      <c r="D1964" s="625"/>
      <c r="E1964" s="625"/>
      <c r="F1964" s="625"/>
      <c r="G1964" s="625"/>
      <c r="H1964" s="1354"/>
      <c r="I1964" s="625"/>
      <c r="J1964" s="625"/>
      <c r="K1964" s="625"/>
      <c r="L1964" s="625"/>
      <c r="M1964" s="625"/>
      <c r="N1964" s="1348"/>
      <c r="O1964" s="302"/>
      <c r="P1964" s="302"/>
      <c r="Q1964" s="729"/>
      <c r="R1964" s="694"/>
      <c r="S1964" s="729"/>
      <c r="T1964" s="694"/>
      <c r="U1964" s="694"/>
      <c r="V1964" s="729"/>
      <c r="W1964" s="694"/>
      <c r="X1964" s="694"/>
      <c r="Y1964" s="694"/>
      <c r="Z1964" s="694"/>
      <c r="AA1964" s="694"/>
      <c r="AB1964" s="694"/>
      <c r="AC1964" s="694"/>
      <c r="AD1964" s="694"/>
      <c r="AE1964" s="694"/>
      <c r="AF1964" s="694"/>
      <c r="AG1964" s="694"/>
      <c r="AH1964" s="694"/>
      <c r="AI1964" s="694"/>
      <c r="AJ1964" s="694"/>
      <c r="AK1964" s="694"/>
      <c r="AL1964" s="694"/>
    </row>
    <row r="1965" spans="1:38" ht="12.75" customHeight="1" thickBot="1" x14ac:dyDescent="0.3">
      <c r="A1965" s="694"/>
      <c r="B1965" s="298"/>
      <c r="C1965" s="1302"/>
      <c r="D1965" s="1307"/>
      <c r="E1965" s="2803" t="str">
        <f>Translations!$B$604</f>
        <v>Получени количества:</v>
      </c>
      <c r="F1965" s="2672"/>
      <c r="G1965" s="627" t="str">
        <f>EUconst_Unit</f>
        <v>Единица мярка</v>
      </c>
      <c r="H1965" s="629">
        <f t="shared" ref="H1965:N1965" si="2768">H$2831</f>
        <v>2024</v>
      </c>
      <c r="I1965" s="1310">
        <f t="shared" si="2768"/>
        <v>2025</v>
      </c>
      <c r="J1965" s="1311">
        <f t="shared" si="2768"/>
        <v>2026</v>
      </c>
      <c r="K1965" s="629">
        <f t="shared" si="2768"/>
        <v>2027</v>
      </c>
      <c r="L1965" s="629">
        <f t="shared" si="2768"/>
        <v>2028</v>
      </c>
      <c r="M1965" s="629">
        <f t="shared" si="2768"/>
        <v>2029</v>
      </c>
      <c r="N1965" s="1312">
        <f t="shared" si="2768"/>
        <v>2030</v>
      </c>
      <c r="O1965" s="302"/>
      <c r="P1965" s="302"/>
      <c r="Q1965" s="729"/>
      <c r="R1965" s="694"/>
      <c r="S1965" s="729"/>
      <c r="T1965" s="694"/>
      <c r="U1965" s="694"/>
      <c r="V1965" s="729"/>
      <c r="W1965" s="694"/>
      <c r="X1965" s="694"/>
      <c r="Y1965" s="694"/>
      <c r="Z1965" s="694"/>
      <c r="AA1965" s="694"/>
      <c r="AB1965" s="694"/>
      <c r="AC1965" s="1178">
        <f t="shared" ref="AC1965" si="2769">H$20</f>
        <v>2024</v>
      </c>
      <c r="AD1965" s="1178">
        <f t="shared" ref="AD1965" si="2770">I$20</f>
        <v>2025</v>
      </c>
      <c r="AE1965" s="1178">
        <f t="shared" ref="AE1965" si="2771">J$20</f>
        <v>2026</v>
      </c>
      <c r="AF1965" s="1178">
        <f t="shared" ref="AF1965" si="2772">K$20</f>
        <v>2027</v>
      </c>
      <c r="AG1965" s="1178">
        <f t="shared" ref="AG1965" si="2773">L$20</f>
        <v>2028</v>
      </c>
      <c r="AH1965" s="1178">
        <f t="shared" ref="AH1965" si="2774">M$20</f>
        <v>2029</v>
      </c>
      <c r="AI1965" s="1178">
        <f t="shared" ref="AI1965" si="2775">N$20</f>
        <v>2030</v>
      </c>
      <c r="AJ1965" s="694"/>
      <c r="AK1965" s="694"/>
      <c r="AL1965" s="694"/>
    </row>
    <row r="1966" spans="1:38" ht="12.75" customHeight="1" x14ac:dyDescent="0.25">
      <c r="A1966" s="694"/>
      <c r="B1966" s="298"/>
      <c r="C1966" s="1302"/>
      <c r="D1966" s="625" t="s">
        <v>7</v>
      </c>
      <c r="E1966" s="2799"/>
      <c r="F1966" s="2800"/>
      <c r="G1966" s="1116" t="str">
        <f>IF(E1966&lt;&gt;"",INDEX(EUconst_BMlistUnits,MATCH(E1966,EUconst_BMlistNames,0)),EUconst_Tons)</f>
        <v>тона</v>
      </c>
      <c r="H1966" s="150"/>
      <c r="I1966" s="151"/>
      <c r="J1966" s="152"/>
      <c r="K1966" s="150"/>
      <c r="L1966" s="150"/>
      <c r="M1966" s="150"/>
      <c r="N1966" s="153"/>
      <c r="O1966" s="302"/>
      <c r="P1966" s="158"/>
      <c r="Q1966" s="1190" t="str">
        <f>EUconst_CNTR_IntermediateImport &amp; S1966 &amp; "_" &amp; I1699</f>
        <v>IntImp_1_</v>
      </c>
      <c r="R1966" s="694"/>
      <c r="S1966" s="1190">
        <v>1</v>
      </c>
      <c r="T1966" s="694"/>
      <c r="U1966" s="694"/>
      <c r="V1966" s="729"/>
      <c r="W1966" s="694"/>
      <c r="X1966" s="694"/>
      <c r="Y1966" s="694"/>
      <c r="Z1966" s="694"/>
      <c r="AA1966" s="694"/>
      <c r="AB1966" s="1182" t="s">
        <v>737</v>
      </c>
      <c r="AC1966" s="901" t="b">
        <f>OR(AND($L1963&lt;&gt;"",$L1963=FALSE),AC1746)</f>
        <v>0</v>
      </c>
      <c r="AD1966" s="982" t="b">
        <f t="shared" ref="AD1966:AI1966" si="2776">OR(AND($L1963&lt;&gt;"",$L1963=FALSE),AD1746)</f>
        <v>0</v>
      </c>
      <c r="AE1966" s="982" t="b">
        <f t="shared" si="2776"/>
        <v>0</v>
      </c>
      <c r="AF1966" s="982" t="b">
        <f t="shared" si="2776"/>
        <v>0</v>
      </c>
      <c r="AG1966" s="982" t="b">
        <f t="shared" si="2776"/>
        <v>0</v>
      </c>
      <c r="AH1966" s="982" t="b">
        <f t="shared" si="2776"/>
        <v>0</v>
      </c>
      <c r="AI1966" s="982" t="b">
        <f t="shared" si="2776"/>
        <v>0</v>
      </c>
      <c r="AJ1966" s="1174" t="s">
        <v>2039</v>
      </c>
      <c r="AK1966" s="1176" t="str">
        <f>IF(AND(CNTR_ExistSubInstEntries,MSconst_RequireSubAttrEmissions,COUNTIFS(AC1966:AI1966,FALSE,H1966:N1966,"")&gt;0),EUconst_Error&amp;"BM"&amp;$Q1699,"")</f>
        <v/>
      </c>
      <c r="AL1966" s="694"/>
    </row>
    <row r="1967" spans="1:38" ht="12.75" customHeight="1" x14ac:dyDescent="0.25">
      <c r="A1967" s="694"/>
      <c r="B1967" s="298"/>
      <c r="C1967" s="1302"/>
      <c r="D1967" s="625" t="s">
        <v>8</v>
      </c>
      <c r="E1967" s="2801"/>
      <c r="F1967" s="2802"/>
      <c r="G1967" s="1349" t="str">
        <f>IF(E1967&lt;&gt;"",INDEX(EUconst_BMlistUnits,MATCH(E1967,EUconst_BMlistNames,0)),EUconst_Tons)</f>
        <v>тона</v>
      </c>
      <c r="H1967" s="154"/>
      <c r="I1967" s="155"/>
      <c r="J1967" s="156"/>
      <c r="K1967" s="154"/>
      <c r="L1967" s="154"/>
      <c r="M1967" s="154"/>
      <c r="N1967" s="157"/>
      <c r="O1967" s="302"/>
      <c r="P1967" s="158"/>
      <c r="Q1967" s="1190" t="str">
        <f>EUconst_CNTR_IntermediateImport &amp; S1967 &amp; "_" &amp; I1699</f>
        <v>IntImp_2_</v>
      </c>
      <c r="R1967" s="694"/>
      <c r="S1967" s="1190">
        <v>2</v>
      </c>
      <c r="T1967" s="694"/>
      <c r="U1967" s="694"/>
      <c r="V1967" s="729"/>
      <c r="W1967" s="694"/>
      <c r="X1967" s="694"/>
      <c r="Y1967" s="694"/>
      <c r="Z1967" s="694"/>
      <c r="AA1967" s="694"/>
      <c r="AB1967" s="694"/>
      <c r="AC1967" s="982" t="b">
        <f>AC1966</f>
        <v>0</v>
      </c>
      <c r="AD1967" s="982" t="b">
        <f t="shared" ref="AD1967:AI1967" si="2777">AD1966</f>
        <v>0</v>
      </c>
      <c r="AE1967" s="982" t="b">
        <f t="shared" si="2777"/>
        <v>0</v>
      </c>
      <c r="AF1967" s="982" t="b">
        <f t="shared" si="2777"/>
        <v>0</v>
      </c>
      <c r="AG1967" s="982" t="b">
        <f t="shared" si="2777"/>
        <v>0</v>
      </c>
      <c r="AH1967" s="982" t="b">
        <f t="shared" si="2777"/>
        <v>0</v>
      </c>
      <c r="AI1967" s="982" t="b">
        <f t="shared" si="2777"/>
        <v>0</v>
      </c>
      <c r="AJ1967" s="694"/>
      <c r="AK1967" s="694"/>
      <c r="AL1967" s="694"/>
    </row>
    <row r="1968" spans="1:38" ht="5.15" customHeight="1" x14ac:dyDescent="0.25">
      <c r="A1968" s="694"/>
      <c r="B1968" s="298"/>
      <c r="C1968" s="1302"/>
      <c r="D1968" s="625"/>
      <c r="E1968" s="625"/>
      <c r="F1968" s="625"/>
      <c r="G1968" s="625"/>
      <c r="H1968" s="625"/>
      <c r="I1968" s="625"/>
      <c r="J1968" s="625"/>
      <c r="K1968" s="625"/>
      <c r="L1968" s="625"/>
      <c r="M1968" s="625"/>
      <c r="N1968" s="1373"/>
      <c r="O1968" s="302"/>
      <c r="P1968" s="302"/>
      <c r="Q1968" s="729"/>
      <c r="R1968" s="694"/>
      <c r="S1968" s="729"/>
      <c r="T1968" s="694"/>
      <c r="U1968" s="694"/>
      <c r="V1968" s="729"/>
      <c r="W1968" s="694"/>
      <c r="X1968" s="694"/>
      <c r="Y1968" s="694"/>
      <c r="Z1968" s="694"/>
      <c r="AA1968" s="694"/>
      <c r="AB1968" s="694"/>
      <c r="AC1968" s="694"/>
      <c r="AD1968" s="694"/>
      <c r="AE1968" s="694"/>
      <c r="AF1968" s="694"/>
      <c r="AG1968" s="694"/>
      <c r="AH1968" s="694"/>
      <c r="AI1968" s="694"/>
      <c r="AJ1968" s="694"/>
      <c r="AK1968" s="694"/>
      <c r="AL1968" s="694"/>
    </row>
    <row r="1969" spans="1:38" ht="12.75" customHeight="1" thickBot="1" x14ac:dyDescent="0.3">
      <c r="A1969" s="694"/>
      <c r="B1969" s="298"/>
      <c r="C1969" s="1302"/>
      <c r="D1969" s="1307"/>
      <c r="E1969" s="2803" t="str">
        <f>Translations!$B$605</f>
        <v>Подадени количества:</v>
      </c>
      <c r="F1969" s="2672"/>
      <c r="G1969" s="627" t="str">
        <f>EUconst_Unit</f>
        <v>Единица мярка</v>
      </c>
      <c r="H1969" s="629">
        <f t="shared" ref="H1969:N1969" si="2778">H$2831</f>
        <v>2024</v>
      </c>
      <c r="I1969" s="1310">
        <f t="shared" si="2778"/>
        <v>2025</v>
      </c>
      <c r="J1969" s="1311">
        <f t="shared" si="2778"/>
        <v>2026</v>
      </c>
      <c r="K1969" s="629">
        <f t="shared" si="2778"/>
        <v>2027</v>
      </c>
      <c r="L1969" s="629">
        <f t="shared" si="2778"/>
        <v>2028</v>
      </c>
      <c r="M1969" s="629">
        <f t="shared" si="2778"/>
        <v>2029</v>
      </c>
      <c r="N1969" s="1312">
        <f t="shared" si="2778"/>
        <v>2030</v>
      </c>
      <c r="O1969" s="302"/>
      <c r="P1969" s="302"/>
      <c r="Q1969" s="729"/>
      <c r="R1969" s="694"/>
      <c r="S1969" s="729"/>
      <c r="T1969" s="694"/>
      <c r="U1969" s="694"/>
      <c r="V1969" s="729"/>
      <c r="W1969" s="694"/>
      <c r="X1969" s="694"/>
      <c r="Y1969" s="694"/>
      <c r="Z1969" s="694"/>
      <c r="AA1969" s="694"/>
      <c r="AB1969" s="694"/>
      <c r="AC1969" s="1178">
        <f t="shared" ref="AC1969" si="2779">H$20</f>
        <v>2024</v>
      </c>
      <c r="AD1969" s="1178">
        <f t="shared" ref="AD1969" si="2780">I$20</f>
        <v>2025</v>
      </c>
      <c r="AE1969" s="1178">
        <f t="shared" ref="AE1969" si="2781">J$20</f>
        <v>2026</v>
      </c>
      <c r="AF1969" s="1178">
        <f t="shared" ref="AF1969" si="2782">K$20</f>
        <v>2027</v>
      </c>
      <c r="AG1969" s="1178">
        <f t="shared" ref="AG1969" si="2783">L$20</f>
        <v>2028</v>
      </c>
      <c r="AH1969" s="1178">
        <f t="shared" ref="AH1969" si="2784">M$20</f>
        <v>2029</v>
      </c>
      <c r="AI1969" s="1178">
        <f t="shared" ref="AI1969" si="2785">N$20</f>
        <v>2030</v>
      </c>
      <c r="AJ1969" s="694"/>
      <c r="AK1969" s="694"/>
      <c r="AL1969" s="694"/>
    </row>
    <row r="1970" spans="1:38" ht="12.75" customHeight="1" x14ac:dyDescent="0.25">
      <c r="A1970" s="694"/>
      <c r="B1970" s="298"/>
      <c r="C1970" s="1302"/>
      <c r="D1970" s="625" t="s">
        <v>18</v>
      </c>
      <c r="E1970" s="2799"/>
      <c r="F1970" s="2800"/>
      <c r="G1970" s="1116" t="str">
        <f>IF(E1970&lt;&gt;"",INDEX(EUconst_BMlistUnits,MATCH(E1970,EUconst_BMlistNames,0)),EUconst_Tons)</f>
        <v>тона</v>
      </c>
      <c r="H1970" s="150"/>
      <c r="I1970" s="151"/>
      <c r="J1970" s="152"/>
      <c r="K1970" s="150"/>
      <c r="L1970" s="150"/>
      <c r="M1970" s="150"/>
      <c r="N1970" s="153"/>
      <c r="O1970" s="302"/>
      <c r="P1970" s="158"/>
      <c r="Q1970" s="1190" t="str">
        <f>EUconst_CNTR_IntermediateExport &amp; S1966 &amp; "_" &amp; I1699</f>
        <v>IntExp_1_</v>
      </c>
      <c r="R1970" s="694"/>
      <c r="S1970" s="1190">
        <v>1</v>
      </c>
      <c r="T1970" s="694"/>
      <c r="U1970" s="694"/>
      <c r="V1970" s="729"/>
      <c r="W1970" s="694"/>
      <c r="X1970" s="1374"/>
      <c r="Y1970" s="1374"/>
      <c r="Z1970" s="694"/>
      <c r="AA1970" s="694"/>
      <c r="AB1970" s="1182" t="s">
        <v>737</v>
      </c>
      <c r="AC1970" s="982" t="b">
        <f>AC1966</f>
        <v>0</v>
      </c>
      <c r="AD1970" s="982" t="b">
        <f t="shared" ref="AD1970:AI1970" si="2786">AD1966</f>
        <v>0</v>
      </c>
      <c r="AE1970" s="982" t="b">
        <f t="shared" si="2786"/>
        <v>0</v>
      </c>
      <c r="AF1970" s="982" t="b">
        <f t="shared" si="2786"/>
        <v>0</v>
      </c>
      <c r="AG1970" s="982" t="b">
        <f t="shared" si="2786"/>
        <v>0</v>
      </c>
      <c r="AH1970" s="982" t="b">
        <f t="shared" si="2786"/>
        <v>0</v>
      </c>
      <c r="AI1970" s="982" t="b">
        <f t="shared" si="2786"/>
        <v>0</v>
      </c>
      <c r="AJ1970" s="1174" t="s">
        <v>2039</v>
      </c>
      <c r="AK1970" s="1176" t="str">
        <f>IF(AND(CNTR_ExistSubInstEntries,MSconst_RequireSubAttrEmissions,COUNTIFS(AC1970:AI1970,FALSE,H1970:N1970,"")&gt;0),EUconst_Error&amp;"BM"&amp;$Q1699,"")</f>
        <v/>
      </c>
      <c r="AL1970" s="694"/>
    </row>
    <row r="1971" spans="1:38" ht="12.75" customHeight="1" x14ac:dyDescent="0.25">
      <c r="A1971" s="694"/>
      <c r="B1971" s="298"/>
      <c r="C1971" s="1302"/>
      <c r="D1971" s="625" t="s">
        <v>810</v>
      </c>
      <c r="E1971" s="2801"/>
      <c r="F1971" s="2802"/>
      <c r="G1971" s="1349" t="str">
        <f>IF(E1971&lt;&gt;"",INDEX(EUconst_BMlistUnits,MATCH(E1971,EUconst_BMlistNames,0)),EUconst_Tons)</f>
        <v>тона</v>
      </c>
      <c r="H1971" s="154"/>
      <c r="I1971" s="155"/>
      <c r="J1971" s="156"/>
      <c r="K1971" s="154"/>
      <c r="L1971" s="154"/>
      <c r="M1971" s="154"/>
      <c r="N1971" s="157"/>
      <c r="O1971" s="302"/>
      <c r="P1971" s="158"/>
      <c r="Q1971" s="1190" t="str">
        <f>EUconst_CNTR_IntermediateExport &amp; S1971 &amp; "_" &amp; I1699</f>
        <v>IntExp_2_</v>
      </c>
      <c r="R1971" s="694"/>
      <c r="S1971" s="1190">
        <v>2</v>
      </c>
      <c r="T1971" s="694"/>
      <c r="U1971" s="694"/>
      <c r="V1971" s="729"/>
      <c r="W1971" s="694"/>
      <c r="X1971" s="1374"/>
      <c r="Y1971" s="1374"/>
      <c r="Z1971" s="694"/>
      <c r="AA1971" s="694"/>
      <c r="AB1971" s="694"/>
      <c r="AC1971" s="982" t="b">
        <f t="shared" ref="AC1971:AI1971" si="2787">AC1967</f>
        <v>0</v>
      </c>
      <c r="AD1971" s="982" t="b">
        <f t="shared" si="2787"/>
        <v>0</v>
      </c>
      <c r="AE1971" s="982" t="b">
        <f t="shared" si="2787"/>
        <v>0</v>
      </c>
      <c r="AF1971" s="982" t="b">
        <f t="shared" si="2787"/>
        <v>0</v>
      </c>
      <c r="AG1971" s="982" t="b">
        <f t="shared" si="2787"/>
        <v>0</v>
      </c>
      <c r="AH1971" s="982" t="b">
        <f t="shared" si="2787"/>
        <v>0</v>
      </c>
      <c r="AI1971" s="982" t="b">
        <f t="shared" si="2787"/>
        <v>0</v>
      </c>
      <c r="AJ1971" s="694"/>
      <c r="AK1971" s="694"/>
      <c r="AL1971" s="694"/>
    </row>
    <row r="1972" spans="1:38" ht="5.15" customHeight="1" x14ac:dyDescent="0.25">
      <c r="A1972" s="694"/>
      <c r="B1972" s="298"/>
      <c r="C1972" s="1302"/>
      <c r="D1972" s="625"/>
      <c r="E1972" s="625"/>
      <c r="F1972" s="625"/>
      <c r="G1972" s="625"/>
      <c r="H1972" s="625"/>
      <c r="I1972" s="625"/>
      <c r="J1972" s="625"/>
      <c r="K1972" s="625"/>
      <c r="L1972" s="625"/>
      <c r="M1972" s="625"/>
      <c r="N1972" s="1348"/>
      <c r="O1972" s="302"/>
      <c r="P1972" s="302"/>
      <c r="Q1972" s="729"/>
      <c r="R1972" s="694"/>
      <c r="S1972" s="729"/>
      <c r="T1972" s="694"/>
      <c r="U1972" s="694"/>
      <c r="V1972" s="729"/>
      <c r="W1972" s="694"/>
      <c r="X1972" s="1374"/>
      <c r="Y1972" s="1374"/>
      <c r="Z1972" s="694"/>
      <c r="AA1972" s="694"/>
      <c r="AB1972" s="694"/>
      <c r="AC1972" s="694"/>
      <c r="AD1972" s="694"/>
      <c r="AE1972" s="694"/>
      <c r="AF1972" s="694"/>
      <c r="AG1972" s="694"/>
      <c r="AH1972" s="694"/>
      <c r="AI1972" s="694"/>
      <c r="AJ1972" s="694"/>
      <c r="AK1972" s="694"/>
      <c r="AL1972" s="694"/>
    </row>
    <row r="1973" spans="1:38" ht="12.75" customHeight="1" x14ac:dyDescent="0.25">
      <c r="A1973" s="694"/>
      <c r="B1973" s="298"/>
      <c r="C1973" s="1302"/>
      <c r="D1973" s="625" t="s">
        <v>811</v>
      </c>
      <c r="E1973" s="626" t="str">
        <f>Translations!$B$606</f>
        <v>Описание на получените или подадените междинни продукти</v>
      </c>
      <c r="F1973" s="626"/>
      <c r="G1973" s="626"/>
      <c r="H1973" s="626"/>
      <c r="I1973" s="626"/>
      <c r="J1973" s="626"/>
      <c r="K1973" s="626"/>
      <c r="L1973" s="626"/>
      <c r="M1973" s="626"/>
      <c r="N1973" s="1348"/>
      <c r="O1973" s="302"/>
      <c r="P1973" s="302"/>
      <c r="Q1973" s="729"/>
      <c r="R1973" s="694"/>
      <c r="S1973" s="729"/>
      <c r="T1973" s="694"/>
      <c r="U1973" s="694"/>
      <c r="V1973" s="729"/>
      <c r="W1973" s="694"/>
      <c r="X1973" s="1374"/>
      <c r="Y1973" s="1374"/>
      <c r="Z1973" s="694"/>
      <c r="AA1973" s="694"/>
      <c r="AB1973" s="694"/>
      <c r="AC1973" s="694"/>
      <c r="AD1973" s="694"/>
      <c r="AE1973" s="694"/>
      <c r="AF1973" s="694"/>
      <c r="AG1973" s="694"/>
      <c r="AH1973" s="694"/>
      <c r="AI1973" s="694"/>
      <c r="AJ1973" s="694"/>
      <c r="AK1973" s="694"/>
      <c r="AL1973" s="694"/>
    </row>
    <row r="1974" spans="1:38" ht="12.75" customHeight="1" x14ac:dyDescent="0.25">
      <c r="A1974" s="694"/>
      <c r="B1974" s="298"/>
      <c r="C1974" s="1302"/>
      <c r="D1974" s="625"/>
      <c r="E1974" s="1375" t="str">
        <f>Translations!$B$607</f>
        <v>Моля, опишете накратко производствения процес във връзка с получени или подадени междинни продукти.</v>
      </c>
      <c r="F1974" s="1322"/>
      <c r="G1974" s="1322"/>
      <c r="H1974" s="1322"/>
      <c r="I1974" s="1322"/>
      <c r="J1974" s="1322"/>
      <c r="K1974" s="1322"/>
      <c r="L1974" s="1322"/>
      <c r="M1974" s="1322"/>
      <c r="N1974" s="1323"/>
      <c r="O1974" s="302"/>
      <c r="P1974" s="302"/>
      <c r="Q1974" s="729"/>
      <c r="R1974" s="694"/>
      <c r="S1974" s="729"/>
      <c r="T1974" s="694"/>
      <c r="U1974" s="694"/>
      <c r="V1974" s="729"/>
      <c r="W1974" s="694"/>
      <c r="X1974" s="1374"/>
      <c r="Y1974" s="1374"/>
      <c r="Z1974" s="694"/>
      <c r="AA1974" s="694"/>
      <c r="AB1974" s="694"/>
      <c r="AC1974" s="694"/>
      <c r="AD1974" s="694"/>
      <c r="AE1974" s="694"/>
      <c r="AF1974" s="694"/>
      <c r="AG1974" s="694"/>
      <c r="AH1974" s="694"/>
      <c r="AI1974" s="694"/>
      <c r="AJ1974" s="694"/>
      <c r="AK1974" s="694"/>
      <c r="AL1974" s="694"/>
    </row>
    <row r="1975" spans="1:38" ht="12.75" customHeight="1" x14ac:dyDescent="0.25">
      <c r="A1975" s="694"/>
      <c r="B1975" s="298"/>
      <c r="C1975" s="1302"/>
      <c r="D1975" s="625"/>
      <c r="E1975" s="2804"/>
      <c r="F1975" s="2805"/>
      <c r="G1975" s="2805"/>
      <c r="H1975" s="2805"/>
      <c r="I1975" s="2805"/>
      <c r="J1975" s="2805"/>
      <c r="K1975" s="2805"/>
      <c r="L1975" s="2805"/>
      <c r="M1975" s="2806"/>
      <c r="N1975" s="1348"/>
      <c r="O1975" s="302"/>
      <c r="P1975" s="158"/>
      <c r="Q1975" s="729"/>
      <c r="R1975" s="694"/>
      <c r="S1975" s="729"/>
      <c r="T1975" s="694"/>
      <c r="U1975" s="694"/>
      <c r="V1975" s="729"/>
      <c r="W1975" s="694"/>
      <c r="X1975" s="1374"/>
      <c r="Y1975" s="1374"/>
      <c r="Z1975" s="694"/>
      <c r="AA1975" s="694"/>
      <c r="AB1975" s="1182" t="s">
        <v>737</v>
      </c>
      <c r="AC1975" s="982" t="b">
        <f>AND(AC1970:AI1970)</f>
        <v>0</v>
      </c>
      <c r="AD1975" s="694"/>
      <c r="AE1975" s="694"/>
      <c r="AF1975" s="694"/>
      <c r="AG1975" s="694"/>
      <c r="AH1975" s="694"/>
      <c r="AI1975" s="694"/>
      <c r="AJ1975" s="694"/>
      <c r="AK1975" s="694"/>
      <c r="AL1975" s="694"/>
    </row>
    <row r="1976" spans="1:38" ht="12.75" customHeight="1" x14ac:dyDescent="0.25">
      <c r="A1976" s="694"/>
      <c r="B1976" s="298"/>
      <c r="C1976" s="1302"/>
      <c r="D1976" s="625"/>
      <c r="E1976" s="2807"/>
      <c r="F1976" s="2808"/>
      <c r="G1976" s="2808"/>
      <c r="H1976" s="2808"/>
      <c r="I1976" s="2808"/>
      <c r="J1976" s="2808"/>
      <c r="K1976" s="2808"/>
      <c r="L1976" s="2808"/>
      <c r="M1976" s="2809"/>
      <c r="N1976" s="1348"/>
      <c r="O1976" s="302"/>
      <c r="P1976" s="302"/>
      <c r="Q1976" s="729"/>
      <c r="R1976" s="694"/>
      <c r="S1976" s="729"/>
      <c r="T1976" s="694"/>
      <c r="U1976" s="694"/>
      <c r="V1976" s="729"/>
      <c r="W1976" s="694"/>
      <c r="X1976" s="1374"/>
      <c r="Y1976" s="1374"/>
      <c r="Z1976" s="694"/>
      <c r="AA1976" s="694"/>
      <c r="AB1976" s="694"/>
      <c r="AC1976" s="982" t="b">
        <f>AC1975</f>
        <v>0</v>
      </c>
      <c r="AD1976" s="694"/>
      <c r="AE1976" s="694"/>
      <c r="AF1976" s="694"/>
      <c r="AG1976" s="694"/>
      <c r="AH1976" s="694"/>
      <c r="AI1976" s="694"/>
      <c r="AJ1976" s="694"/>
      <c r="AK1976" s="694"/>
      <c r="AL1976" s="694"/>
    </row>
    <row r="1977" spans="1:38" ht="12.75" customHeight="1" thickBot="1" x14ac:dyDescent="0.3">
      <c r="A1977" s="694"/>
      <c r="B1977" s="298"/>
      <c r="C1977" s="1376"/>
      <c r="D1977" s="1377"/>
      <c r="E1977" s="1377"/>
      <c r="F1977" s="1377"/>
      <c r="G1977" s="1377"/>
      <c r="H1977" s="1377"/>
      <c r="I1977" s="1377"/>
      <c r="J1977" s="1377"/>
      <c r="K1977" s="1377"/>
      <c r="L1977" s="1377"/>
      <c r="M1977" s="1378"/>
      <c r="N1977" s="1379"/>
      <c r="O1977" s="302"/>
      <c r="P1977" s="302"/>
      <c r="Q1977" s="729"/>
      <c r="R1977" s="694"/>
      <c r="S1977" s="729"/>
      <c r="T1977" s="694"/>
      <c r="U1977" s="694"/>
      <c r="V1977" s="729"/>
      <c r="W1977" s="694"/>
      <c r="X1977" s="694"/>
      <c r="Y1977" s="694"/>
      <c r="Z1977" s="694"/>
      <c r="AA1977" s="694"/>
      <c r="AB1977" s="694"/>
      <c r="AC1977" s="694"/>
      <c r="AD1977" s="694"/>
      <c r="AE1977" s="694"/>
      <c r="AF1977" s="694"/>
      <c r="AG1977" s="694"/>
      <c r="AH1977" s="694"/>
      <c r="AI1977" s="694"/>
      <c r="AJ1977" s="694"/>
      <c r="AK1977" s="694"/>
      <c r="AL1977" s="694"/>
    </row>
    <row r="1978" spans="1:38" ht="12.75" customHeight="1" thickBot="1" x14ac:dyDescent="0.3">
      <c r="A1978" s="729"/>
      <c r="B1978" s="284"/>
      <c r="C1978" s="284"/>
      <c r="D1978" s="284"/>
      <c r="E1978" s="284"/>
      <c r="F1978" s="284"/>
      <c r="G1978" s="284"/>
      <c r="H1978" s="284"/>
      <c r="I1978" s="284"/>
      <c r="J1978" s="284"/>
      <c r="K1978" s="284"/>
      <c r="L1978" s="284"/>
      <c r="M1978" s="336"/>
      <c r="N1978" s="336"/>
      <c r="O1978" s="336"/>
      <c r="P1978" s="336"/>
      <c r="Q1978" s="1026" t="str">
        <f>IF(OR(AND(CNTR_ExistProductSubEntries=FALSE,Q1699=1),AND(I1699&lt;&gt;"",COUNTIF(Q1979:Q$2825,"PRINT")=0)),"PRINT","")</f>
        <v/>
      </c>
      <c r="R1978" s="770"/>
      <c r="S1978" s="770"/>
      <c r="T1978" s="770"/>
      <c r="U1978" s="770"/>
      <c r="V1978" s="770"/>
      <c r="W1978" s="770"/>
      <c r="X1978" s="770"/>
      <c r="Y1978" s="770"/>
      <c r="Z1978" s="694"/>
      <c r="AA1978" s="694"/>
      <c r="AB1978" s="694"/>
      <c r="AC1978" s="694"/>
      <c r="AD1978" s="694"/>
      <c r="AE1978" s="343"/>
      <c r="AF1978" s="343"/>
      <c r="AG1978" s="343"/>
      <c r="AH1978" s="343"/>
      <c r="AI1978" s="343"/>
      <c r="AJ1978" s="343"/>
      <c r="AK1978" s="343"/>
      <c r="AL1978" s="343"/>
    </row>
    <row r="1979" spans="1:38" ht="5.15" customHeight="1" thickBot="1" x14ac:dyDescent="0.3">
      <c r="A1979" s="694"/>
      <c r="B1979" s="298"/>
      <c r="C1979" s="1380"/>
      <c r="D1979" s="1380"/>
      <c r="E1979" s="1380"/>
      <c r="F1979" s="1380"/>
      <c r="G1979" s="1380"/>
      <c r="H1979" s="1380"/>
      <c r="I1979" s="1380"/>
      <c r="J1979" s="1380"/>
      <c r="K1979" s="1380"/>
      <c r="L1979" s="1380"/>
      <c r="M1979" s="1380"/>
      <c r="N1979" s="1380"/>
      <c r="O1979" s="302"/>
      <c r="P1979" s="302"/>
      <c r="Q1979" s="1381"/>
      <c r="R1979" s="1381"/>
      <c r="S1979" s="1381"/>
      <c r="T1979" s="1381"/>
      <c r="U1979" s="1381"/>
      <c r="V1979" s="1381"/>
      <c r="W1979" s="1381"/>
      <c r="X1979" s="1381"/>
      <c r="Y1979" s="1381"/>
      <c r="Z1979" s="1381"/>
      <c r="AA1979" s="1381"/>
      <c r="AB1979" s="1381"/>
      <c r="AC1979" s="1381"/>
      <c r="AD1979" s="1381"/>
      <c r="AE1979" s="1381"/>
      <c r="AF1979" s="1381"/>
      <c r="AG1979" s="1381"/>
      <c r="AH1979" s="1381"/>
      <c r="AI1979" s="1381"/>
      <c r="AJ1979" s="1381"/>
      <c r="AK1979" s="1381"/>
      <c r="AL1979" s="1381"/>
    </row>
    <row r="1980" spans="1:38" ht="14.5" thickBot="1" x14ac:dyDescent="0.3">
      <c r="A1980" s="694"/>
      <c r="B1980" s="298"/>
      <c r="C1980" s="1173">
        <f>C1699+1</f>
        <v>8</v>
      </c>
      <c r="D1980" s="2323" t="str">
        <f>EUconst_BMSubinst &amp; ":"</f>
        <v>Подинсталация с продуктов показател:</v>
      </c>
      <c r="E1980" s="2249"/>
      <c r="F1980" s="2249"/>
      <c r="G1980" s="2249"/>
      <c r="H1980" s="2295"/>
      <c r="I1980" s="2843" t="str">
        <f>IF(INDEX(CNTR_SubInstListIsProdBM,$C1980),INDEX(CNTR_SubInstListNames,$C1980),"")</f>
        <v/>
      </c>
      <c r="J1980" s="2844"/>
      <c r="K1980" s="2844"/>
      <c r="L1980" s="2844"/>
      <c r="M1980" s="2844"/>
      <c r="N1980" s="2865"/>
      <c r="O1980" s="302"/>
      <c r="P1980" s="302"/>
      <c r="Q1980" s="1026">
        <f>C1980</f>
        <v>8</v>
      </c>
      <c r="R1980" s="694"/>
      <c r="S1980" s="1174" t="str">
        <f>Translations!$B$898</f>
        <v>Дата на въвеждане в експлоатация:</v>
      </c>
      <c r="T1980" s="1175" t="str">
        <f>IF(I1980="","",MAX(INDEX(CNTR_SubInstStartDate,MATCH($I1980,CNTR_SubInstListNames,0)),DATE(2005,1,1)))</f>
        <v/>
      </c>
      <c r="U1980" s="729" t="s">
        <v>1731</v>
      </c>
      <c r="V1980" s="1176">
        <f>IF(ISNUMBER(T1980),YEAR($T1980-IF(YEAR(T1980)&gt;=2022,0,1))+1,2005)</f>
        <v>2005</v>
      </c>
      <c r="W1980" s="1174" t="s">
        <v>1734</v>
      </c>
      <c r="X1980" s="1175" t="str">
        <f>IF(I1980="","",INDEX(CNTR_SubInstCessationDate,MATCH($I1980,CNTR_SubInstListNames,0)))</f>
        <v/>
      </c>
      <c r="Y1980" s="1174" t="s">
        <v>1735</v>
      </c>
      <c r="Z1980" s="1176">
        <f>IF(SUM(X1980)=0,2050,YEAR($X1980))</f>
        <v>2050</v>
      </c>
      <c r="AA1980" s="1174" t="s">
        <v>2009</v>
      </c>
      <c r="AB1980" s="1176" t="b">
        <f>CNTR_ReportingYear&gt;V1980</f>
        <v>1</v>
      </c>
      <c r="AC1980" s="694"/>
      <c r="AD1980" s="694"/>
      <c r="AE1980" s="694"/>
      <c r="AF1980" s="694"/>
      <c r="AG1980" s="694"/>
      <c r="AH1980" s="694"/>
      <c r="AI1980" s="694"/>
      <c r="AJ1980" s="694"/>
      <c r="AK1980" s="694"/>
      <c r="AL1980" s="1177" t="b">
        <f>AND(CNTR_ExistSubInstEntries,I1980="")</f>
        <v>0</v>
      </c>
    </row>
    <row r="1981" spans="1:38" x14ac:dyDescent="0.25">
      <c r="A1981" s="694"/>
      <c r="B1981" s="298"/>
      <c r="C1981" s="298"/>
      <c r="D1981" s="302"/>
      <c r="E1981" s="2358" t="str">
        <f>Translations!$B$330</f>
        <v>Наименованието на подинсталацията с продуктов показател се показва автоматично въз основа на данните, въведени в лист „A_InstallationData“ („А_Данни за инсталацията“).</v>
      </c>
      <c r="F1981" s="2249"/>
      <c r="G1981" s="2249"/>
      <c r="H1981" s="2249"/>
      <c r="I1981" s="2249"/>
      <c r="J1981" s="2249"/>
      <c r="K1981" s="2249"/>
      <c r="L1981" s="2249"/>
      <c r="M1981" s="2249"/>
      <c r="N1981" s="2249"/>
      <c r="O1981" s="302"/>
      <c r="P1981" s="302"/>
      <c r="Q1981" s="729"/>
      <c r="R1981" s="694"/>
      <c r="S1981" s="729"/>
      <c r="T1981" s="729"/>
      <c r="U1981" s="694"/>
      <c r="V1981" s="694"/>
      <c r="W1981" s="694"/>
      <c r="X1981" s="694"/>
      <c r="Y1981" s="694"/>
      <c r="Z1981" s="694"/>
      <c r="AA1981" s="694"/>
      <c r="AB1981" s="694"/>
      <c r="AC1981" s="694"/>
      <c r="AD1981" s="694"/>
      <c r="AE1981" s="694"/>
      <c r="AF1981" s="694"/>
      <c r="AG1981" s="694"/>
      <c r="AH1981" s="694"/>
      <c r="AI1981" s="694"/>
      <c r="AJ1981" s="694"/>
      <c r="AK1981" s="694"/>
      <c r="AL1981" s="694"/>
    </row>
    <row r="1982" spans="1:38" ht="5.15" customHeight="1" x14ac:dyDescent="0.25">
      <c r="A1982" s="694"/>
      <c r="B1982" s="298"/>
      <c r="C1982" s="298"/>
      <c r="D1982" s="298"/>
      <c r="E1982" s="298"/>
      <c r="F1982" s="298"/>
      <c r="G1982" s="298"/>
      <c r="H1982" s="298"/>
      <c r="I1982" s="298"/>
      <c r="J1982" s="298"/>
      <c r="K1982" s="298"/>
      <c r="L1982" s="298"/>
      <c r="M1982" s="302"/>
      <c r="N1982" s="302"/>
      <c r="O1982" s="302"/>
      <c r="P1982" s="302"/>
      <c r="Q1982" s="729"/>
      <c r="R1982" s="694"/>
      <c r="S1982" s="729"/>
      <c r="T1982" s="729"/>
      <c r="U1982" s="694"/>
      <c r="V1982" s="694"/>
      <c r="W1982" s="694"/>
      <c r="X1982" s="694"/>
      <c r="Y1982" s="694"/>
      <c r="Z1982" s="694"/>
      <c r="AA1982" s="694"/>
      <c r="AB1982" s="694"/>
      <c r="AC1982" s="694"/>
      <c r="AD1982" s="694"/>
      <c r="AE1982" s="694"/>
      <c r="AF1982" s="694"/>
      <c r="AG1982" s="694"/>
      <c r="AH1982" s="694"/>
      <c r="AI1982" s="694"/>
      <c r="AJ1982" s="694"/>
      <c r="AK1982" s="694"/>
      <c r="AL1982" s="694"/>
    </row>
    <row r="1983" spans="1:38" ht="13" x14ac:dyDescent="0.25">
      <c r="A1983" s="694"/>
      <c r="B1983" s="298"/>
      <c r="C1983" s="298"/>
      <c r="D1983" s="300" t="s">
        <v>408</v>
      </c>
      <c r="E1983" s="2226" t="str">
        <f>Translations!$B$1315</f>
        <v>Равнища на дейност</v>
      </c>
      <c r="F1983" s="2249"/>
      <c r="G1983" s="2249"/>
      <c r="H1983" s="2249"/>
      <c r="I1983" s="2249"/>
      <c r="J1983" s="2249"/>
      <c r="K1983" s="2249"/>
      <c r="L1983" s="2249"/>
      <c r="M1983" s="2249"/>
      <c r="N1983" s="2249"/>
      <c r="O1983" s="302"/>
      <c r="P1983" s="302"/>
      <c r="Q1983" s="729"/>
      <c r="R1983" s="694"/>
      <c r="S1983" s="694"/>
      <c r="T1983" s="694"/>
      <c r="U1983" s="694"/>
      <c r="V1983" s="694"/>
      <c r="W1983" s="694"/>
      <c r="X1983" s="694"/>
      <c r="Y1983" s="694"/>
      <c r="Z1983" s="694"/>
      <c r="AA1983" s="694"/>
      <c r="AB1983" s="694"/>
      <c r="AC1983" s="694"/>
      <c r="AD1983" s="694"/>
      <c r="AE1983" s="694"/>
      <c r="AF1983" s="694"/>
      <c r="AG1983" s="694"/>
      <c r="AH1983" s="694"/>
      <c r="AI1983" s="694"/>
      <c r="AJ1983" s="694"/>
      <c r="AK1983" s="694"/>
      <c r="AL1983" s="694"/>
    </row>
    <row r="1984" spans="1:38" x14ac:dyDescent="0.25">
      <c r="A1984" s="694"/>
      <c r="B1984" s="298"/>
      <c r="C1984" s="298"/>
      <c r="D1984" s="302"/>
      <c r="E1984" s="2358" t="str">
        <f>Translations!$B$474</f>
        <v>По тази точка следва да се отчетат „основните равнища на дейност“, т.е. данните, които се прилагат пряко за изчисляване на разпределението.</v>
      </c>
      <c r="F1984" s="2249"/>
      <c r="G1984" s="2249"/>
      <c r="H1984" s="2249"/>
      <c r="I1984" s="2249"/>
      <c r="J1984" s="2249"/>
      <c r="K1984" s="2249"/>
      <c r="L1984" s="2249"/>
      <c r="M1984" s="2249"/>
      <c r="N1984" s="2249"/>
      <c r="O1984" s="302"/>
      <c r="P1984" s="302"/>
      <c r="Q1984" s="729"/>
      <c r="R1984" s="694"/>
      <c r="S1984" s="729"/>
      <c r="T1984" s="729"/>
      <c r="U1984" s="729"/>
      <c r="V1984" s="694"/>
      <c r="W1984" s="694"/>
      <c r="X1984" s="694"/>
      <c r="Y1984" s="694"/>
      <c r="Z1984" s="694"/>
      <c r="AA1984" s="694"/>
      <c r="AB1984" s="694"/>
      <c r="AC1984" s="694"/>
      <c r="AD1984" s="694"/>
      <c r="AE1984" s="694"/>
      <c r="AF1984" s="694"/>
      <c r="AG1984" s="694"/>
      <c r="AH1984" s="694"/>
      <c r="AI1984" s="694"/>
      <c r="AJ1984" s="694"/>
      <c r="AK1984" s="694"/>
      <c r="AL1984" s="694"/>
    </row>
    <row r="1985" spans="1:38" x14ac:dyDescent="0.25">
      <c r="A1985" s="694"/>
      <c r="B1985" s="298"/>
      <c r="C1985" s="298"/>
      <c r="D1985" s="302"/>
      <c r="E1985" s="2358" t="str">
        <f>Translations!$B$475</f>
        <v xml:space="preserve">Това обикновено са производствените данни за продукта, напр. тонове клинкер за сив цимент или тонове стъклени бутилки, както е определено в приложение I към ПБР. </v>
      </c>
      <c r="F1985" s="2249"/>
      <c r="G1985" s="2249"/>
      <c r="H1985" s="2249"/>
      <c r="I1985" s="2249"/>
      <c r="J1985" s="2249"/>
      <c r="K1985" s="2249"/>
      <c r="L1985" s="2249"/>
      <c r="M1985" s="2249"/>
      <c r="N1985" s="2249"/>
      <c r="O1985" s="302"/>
      <c r="P1985" s="302"/>
      <c r="Q1985" s="729"/>
      <c r="R1985" s="694"/>
      <c r="S1985" s="729"/>
      <c r="T1985" s="729"/>
      <c r="U1985" s="729"/>
      <c r="V1985" s="694"/>
      <c r="W1985" s="694"/>
      <c r="X1985" s="694"/>
      <c r="Y1985" s="694"/>
      <c r="Z1985" s="694"/>
      <c r="AA1985" s="694"/>
      <c r="AB1985" s="694"/>
      <c r="AC1985" s="694"/>
      <c r="AD1985" s="694"/>
      <c r="AE1985" s="694"/>
      <c r="AF1985" s="694"/>
      <c r="AG1985" s="694"/>
      <c r="AH1985" s="694"/>
      <c r="AI1985" s="694"/>
      <c r="AJ1985" s="694"/>
      <c r="AK1985" s="694"/>
      <c r="AL1985" s="694"/>
    </row>
    <row r="1986" spans="1:38" x14ac:dyDescent="0.25">
      <c r="A1986" s="694"/>
      <c r="B1986" s="298"/>
      <c r="C1986" s="298"/>
      <c r="D1986" s="302"/>
      <c r="E1986" s="2358" t="str">
        <f>Translations!$B$476</f>
        <v>Въпреки това, ако се покаже съобщение съгласно буква b), трябва да се използва съответният инструмент за изчисляване, а резултатите от него автоматично се копират в тази таблица в ii).</v>
      </c>
      <c r="F1986" s="2249"/>
      <c r="G1986" s="2249"/>
      <c r="H1986" s="2249"/>
      <c r="I1986" s="2249"/>
      <c r="J1986" s="2249"/>
      <c r="K1986" s="2249"/>
      <c r="L1986" s="2249"/>
      <c r="M1986" s="2249"/>
      <c r="N1986" s="2249"/>
      <c r="O1986" s="302"/>
      <c r="P1986" s="302"/>
      <c r="Q1986" s="729"/>
      <c r="R1986" s="694"/>
      <c r="S1986" s="729"/>
      <c r="T1986" s="694"/>
      <c r="U1986" s="694"/>
      <c r="V1986" s="694"/>
      <c r="W1986" s="694"/>
      <c r="X1986" s="694"/>
      <c r="Y1986" s="694"/>
      <c r="Z1986" s="729"/>
      <c r="AA1986" s="694"/>
      <c r="AB1986" s="694"/>
      <c r="AC1986" s="694"/>
      <c r="AD1986" s="694"/>
      <c r="AE1986" s="694"/>
      <c r="AF1986" s="694"/>
      <c r="AG1986" s="694"/>
      <c r="AH1986" s="694"/>
      <c r="AI1986" s="694"/>
      <c r="AJ1986" s="694"/>
      <c r="AK1986" s="694"/>
      <c r="AL1986" s="694"/>
    </row>
    <row r="1987" spans="1:38" ht="13.5" customHeight="1" thickBot="1" x14ac:dyDescent="0.3">
      <c r="A1987" s="694"/>
      <c r="B1987" s="698"/>
      <c r="C1987" s="698"/>
      <c r="D1987" s="300"/>
      <c r="E1987" s="2671" t="str">
        <f>Translations!$B$477</f>
        <v>Годишни равнища на дейност:</v>
      </c>
      <c r="F1987" s="2671"/>
      <c r="G1987" s="527" t="str">
        <f>EUconst_Unit</f>
        <v>Единица мярка</v>
      </c>
      <c r="H1987" s="391">
        <f>H$2831</f>
        <v>2024</v>
      </c>
      <c r="I1987" s="572">
        <f t="shared" ref="I1987:N1987" si="2788">I$2831</f>
        <v>2025</v>
      </c>
      <c r="J1987" s="757">
        <f>J$2831</f>
        <v>2026</v>
      </c>
      <c r="K1987" s="391">
        <f t="shared" si="2788"/>
        <v>2027</v>
      </c>
      <c r="L1987" s="391">
        <f t="shared" si="2788"/>
        <v>2028</v>
      </c>
      <c r="M1987" s="391">
        <f t="shared" si="2788"/>
        <v>2029</v>
      </c>
      <c r="N1987" s="387">
        <f t="shared" si="2788"/>
        <v>2030</v>
      </c>
      <c r="O1987" s="302"/>
      <c r="P1987" s="302"/>
      <c r="Q1987" s="729"/>
      <c r="R1987" s="694"/>
      <c r="S1987" s="694"/>
      <c r="T1987" s="1178">
        <f t="shared" ref="T1987" si="2789">H1987</f>
        <v>2024</v>
      </c>
      <c r="U1987" s="1178">
        <f t="shared" ref="U1987" si="2790">I1987</f>
        <v>2025</v>
      </c>
      <c r="V1987" s="1178">
        <f t="shared" ref="V1987" si="2791">J1987</f>
        <v>2026</v>
      </c>
      <c r="W1987" s="1178">
        <f t="shared" ref="W1987" si="2792">K1987</f>
        <v>2027</v>
      </c>
      <c r="X1987" s="1178">
        <f t="shared" ref="X1987" si="2793">L1987</f>
        <v>2028</v>
      </c>
      <c r="Y1987" s="1178">
        <f t="shared" ref="Y1987" si="2794">M1987</f>
        <v>2029</v>
      </c>
      <c r="Z1987" s="1178">
        <f t="shared" ref="Z1987" si="2795">N1987</f>
        <v>2030</v>
      </c>
      <c r="AA1987" s="694"/>
      <c r="AB1987" s="694"/>
      <c r="AC1987" s="1178">
        <f>H$20</f>
        <v>2024</v>
      </c>
      <c r="AD1987" s="1178">
        <f t="shared" ref="AD1987" si="2796">I$20</f>
        <v>2025</v>
      </c>
      <c r="AE1987" s="1178">
        <f t="shared" ref="AE1987" si="2797">J$20</f>
        <v>2026</v>
      </c>
      <c r="AF1987" s="1178">
        <f t="shared" ref="AF1987" si="2798">K$20</f>
        <v>2027</v>
      </c>
      <c r="AG1987" s="1178">
        <f t="shared" ref="AG1987" si="2799">L$20</f>
        <v>2028</v>
      </c>
      <c r="AH1987" s="1178">
        <f t="shared" ref="AH1987" si="2800">M$20</f>
        <v>2029</v>
      </c>
      <c r="AI1987" s="1178">
        <f t="shared" ref="AI1987" si="2801">N$20</f>
        <v>2030</v>
      </c>
      <c r="AJ1987" s="694"/>
      <c r="AK1987" s="694"/>
      <c r="AL1987" s="729"/>
    </row>
    <row r="1988" spans="1:38" ht="13" thickBot="1" x14ac:dyDescent="0.3">
      <c r="A1988" s="694"/>
      <c r="B1988" s="698"/>
      <c r="C1988" s="698"/>
      <c r="D1988" s="1084" t="s">
        <v>6</v>
      </c>
      <c r="E1988" s="2862" t="str">
        <f>I1980</f>
        <v/>
      </c>
      <c r="F1988" s="2862"/>
      <c r="G1988" s="1032" t="str">
        <f>IF(INDEX(CNTR_SubInstListIsProdBM,$C1980),INDEX(CNTR_SubInstListHALUnit,$C1980),EUconst_Tons)</f>
        <v>тона</v>
      </c>
      <c r="H1988" s="98"/>
      <c r="I1988" s="101"/>
      <c r="J1988" s="102"/>
      <c r="K1988" s="98"/>
      <c r="L1988" s="98"/>
      <c r="M1988" s="98"/>
      <c r="N1988" s="120"/>
      <c r="O1988" s="302"/>
      <c r="P1988" s="158"/>
      <c r="Q1988" s="694"/>
      <c r="R1988" s="694"/>
      <c r="S1988" s="729" t="s">
        <v>1732</v>
      </c>
      <c r="T1988" s="1179" t="b">
        <f t="shared" ref="T1988" si="2802">AND($I1980&lt;&gt;"",H1987&lt;CNTR_ReportingYear,H1987&gt;=$V1980-1)</f>
        <v>0</v>
      </c>
      <c r="U1988" s="1180" t="b">
        <f t="shared" ref="U1988" si="2803">AND($I1980&lt;&gt;"",I1987&lt;CNTR_ReportingYear,I1987&gt;=$V1980-1)</f>
        <v>0</v>
      </c>
      <c r="V1988" s="1180" t="b">
        <f t="shared" ref="V1988" si="2804">AND($I1980&lt;&gt;"",J1987&lt;CNTR_ReportingYear,J1987&gt;=$V1980-1)</f>
        <v>0</v>
      </c>
      <c r="W1988" s="1180" t="b">
        <f t="shared" ref="W1988" si="2805">AND($I1980&lt;&gt;"",K1987&lt;CNTR_ReportingYear,K1987&gt;=$V1980-1)</f>
        <v>0</v>
      </c>
      <c r="X1988" s="1180" t="b">
        <f t="shared" ref="X1988" si="2806">AND($I1980&lt;&gt;"",L1987&lt;CNTR_ReportingYear,L1987&gt;=$V1980-1)</f>
        <v>0</v>
      </c>
      <c r="Y1988" s="1180" t="b">
        <f t="shared" ref="Y1988" si="2807">AND($I1980&lt;&gt;"",M1987&lt;CNTR_ReportingYear,M1987&gt;=$V1980-1)</f>
        <v>0</v>
      </c>
      <c r="Z1988" s="1181" t="b">
        <f t="shared" ref="Z1988" si="2808">AND($I1980&lt;&gt;"",N1987&lt;CNTR_ReportingYear,N1987&gt;=$V1980-1)</f>
        <v>0</v>
      </c>
      <c r="AA1988" s="729"/>
      <c r="AB1988" s="1182" t="s">
        <v>737</v>
      </c>
      <c r="AC1988" s="1183" t="b">
        <f t="shared" ref="AC1988" si="2809">IF(CNTR_ExistSubInstEntries,OR($I1980="",$R1992,H1987&gt;=CNTR_ReportingYear,AC1987&lt;$V1980-1),FALSE)</f>
        <v>0</v>
      </c>
      <c r="AD1988" s="1184" t="b">
        <f t="shared" ref="AD1988" si="2810">IF(CNTR_ExistSubInstEntries,OR($I1980="",$R1992,I1987&gt;=CNTR_ReportingYear,AD1987&lt;$V1980-1),FALSE)</f>
        <v>0</v>
      </c>
      <c r="AE1988" s="1184" t="b">
        <f t="shared" ref="AE1988" si="2811">IF(CNTR_ExistSubInstEntries,OR($I1980="",$R1992,J1987&gt;=CNTR_ReportingYear,AE1987&lt;$V1980-1),FALSE)</f>
        <v>0</v>
      </c>
      <c r="AF1988" s="1184" t="b">
        <f t="shared" ref="AF1988" si="2812">IF(CNTR_ExistSubInstEntries,OR($I1980="",$R1992,K1987&gt;=CNTR_ReportingYear,AF1987&lt;$V1980-1),FALSE)</f>
        <v>0</v>
      </c>
      <c r="AG1988" s="1184" t="b">
        <f t="shared" ref="AG1988" si="2813">IF(CNTR_ExistSubInstEntries,OR($I1980="",$R1992,L1987&gt;=CNTR_ReportingYear,AG1987&lt;$V1980-1),FALSE)</f>
        <v>0</v>
      </c>
      <c r="AH1988" s="1184" t="b">
        <f t="shared" ref="AH1988" si="2814">IF(CNTR_ExistSubInstEntries,OR($I1980="",$R1992,M1987&gt;=CNTR_ReportingYear,AH1987&lt;$V1980-1),FALSE)</f>
        <v>0</v>
      </c>
      <c r="AI1988" s="1185" t="b">
        <f t="shared" ref="AI1988" si="2815">IF(CNTR_ExistSubInstEntries,OR($I1980="",$R1992,N1987&gt;=CNTR_ReportingYear,AI1987&lt;$V1980-1),FALSE)</f>
        <v>0</v>
      </c>
      <c r="AJ1988" s="1174" t="s">
        <v>2039</v>
      </c>
      <c r="AK1988" s="1176" t="str">
        <f>IF(AND(CNTR_ExistSubInstEntries,COUNTIFS(AC1988:AI1988,FALSE,H1988:N1988,"")&gt;0),EUconst_Error&amp;"BM"&amp;$Q1980,"")</f>
        <v/>
      </c>
      <c r="AL1988" s="694"/>
    </row>
    <row r="1989" spans="1:38" ht="13" customHeight="1" thickBot="1" x14ac:dyDescent="0.3">
      <c r="A1989" s="694"/>
      <c r="B1989" s="698"/>
      <c r="C1989" s="698"/>
      <c r="D1989" s="1084" t="s">
        <v>7</v>
      </c>
      <c r="E1989" s="2862" t="str">
        <f>Translations!$B$478</f>
        <v>От работен лист „H_SpecialBM“ („H_Специфичен показател“):</v>
      </c>
      <c r="F1989" s="2862"/>
      <c r="G1989" s="1032" t="str">
        <f>G1988</f>
        <v>тона</v>
      </c>
      <c r="H1989" s="1186" t="str">
        <f>IF(OR($I1980="",H1987&gt;=CNTR_ReportingYear),"",IF($R1992,SUMIF(H_SpecialBM!$Q$9:$Q$483,$Q1989,H_SpecialBM!H$9:H$483),""))</f>
        <v/>
      </c>
      <c r="I1989" s="1187" t="str">
        <f>IF(OR($I1980="",I1987&gt;=CNTR_ReportingYear),"",IF($R1992,SUMIF(H_SpecialBM!$Q$9:$Q$483,$Q1989,H_SpecialBM!I$9:I$483),""))</f>
        <v/>
      </c>
      <c r="J1989" s="1188" t="str">
        <f>IF(OR($I1980="",J1987&gt;=CNTR_ReportingYear),"",IF($R1992,SUMIF(H_SpecialBM!$Q$9:$Q$483,$Q1989,H_SpecialBM!J$9:J$483),""))</f>
        <v/>
      </c>
      <c r="K1989" s="1186" t="str">
        <f>IF(OR($I1980="",K1987&gt;=CNTR_ReportingYear),"",IF($R1992,SUMIF(H_SpecialBM!$Q$9:$Q$483,$Q1989,H_SpecialBM!K$9:K$483),""))</f>
        <v/>
      </c>
      <c r="L1989" s="1186" t="str">
        <f>IF(OR($I1980="",L1987&gt;=CNTR_ReportingYear),"",IF($R1992,SUMIF(H_SpecialBM!$Q$9:$Q$483,$Q1989,H_SpecialBM!L$9:L$483),""))</f>
        <v/>
      </c>
      <c r="M1989" s="1186" t="str">
        <f>IF(OR($I1980="",M1987&gt;=CNTR_ReportingYear),"",IF($R1992,SUMIF(H_SpecialBM!$Q$9:$Q$483,$Q1989,H_SpecialBM!M$9:M$483),""))</f>
        <v/>
      </c>
      <c r="N1989" s="1189" t="str">
        <f>IF(OR($I1980="",N1987&gt;=CNTR_ReportingYear),"",IF($R1992,SUMIF(H_SpecialBM!$Q$9:$Q$483,$Q1989,H_SpecialBM!N$9:N$483),""))</f>
        <v/>
      </c>
      <c r="O1989" s="302"/>
      <c r="P1989" s="302"/>
      <c r="Q1989" s="1190" t="str">
        <f>EUconst_CNTR_HALspecial&amp;I1980</f>
        <v>HALspecial_</v>
      </c>
      <c r="R1989" s="694"/>
      <c r="S1989" s="694"/>
      <c r="T1989" s="694"/>
      <c r="U1989" s="694"/>
      <c r="V1989" s="694"/>
      <c r="W1989" s="694"/>
      <c r="X1989" s="694"/>
      <c r="Y1989" s="694"/>
      <c r="Z1989" s="694"/>
      <c r="AA1989" s="694"/>
      <c r="AB1989" s="1182" t="s">
        <v>737</v>
      </c>
      <c r="AC1989" s="1183" t="b">
        <f t="shared" ref="AC1989" si="2816">AND(CNTR_HasEntries_A_I,OR($R1992=FALSE,H1987&gt;=CNTR_ReportingYear))</f>
        <v>0</v>
      </c>
      <c r="AD1989" s="1184" t="b">
        <f t="shared" ref="AD1989" si="2817">AND(CNTR_HasEntries_A_I,OR($R1992=FALSE,I1987&gt;=CNTR_ReportingYear))</f>
        <v>0</v>
      </c>
      <c r="AE1989" s="1184" t="b">
        <f t="shared" ref="AE1989" si="2818">AND(CNTR_HasEntries_A_I,OR($R1992=FALSE,J1987&gt;=CNTR_ReportingYear))</f>
        <v>0</v>
      </c>
      <c r="AF1989" s="1184" t="b">
        <f t="shared" ref="AF1989" si="2819">AND(CNTR_HasEntries_A_I,OR($R1992=FALSE,K1987&gt;=CNTR_ReportingYear))</f>
        <v>0</v>
      </c>
      <c r="AG1989" s="1184" t="b">
        <f t="shared" ref="AG1989" si="2820">AND(CNTR_HasEntries_A_I,OR($R1992=FALSE,L1987&gt;=CNTR_ReportingYear))</f>
        <v>0</v>
      </c>
      <c r="AH1989" s="1184" t="b">
        <f t="shared" ref="AH1989" si="2821">AND(CNTR_HasEntries_A_I,OR($R1992=FALSE,M1987&gt;=CNTR_ReportingYear))</f>
        <v>0</v>
      </c>
      <c r="AI1989" s="1185" t="b">
        <f t="shared" ref="AI1989" si="2822">AND(CNTR_HasEntries_A_I,OR($R1992=FALSE,N1987&gt;=CNTR_ReportingYear))</f>
        <v>0</v>
      </c>
      <c r="AJ1989" s="1165"/>
      <c r="AK1989" s="1165"/>
      <c r="AL1989" s="729"/>
    </row>
    <row r="1990" spans="1:38" ht="13" customHeight="1" x14ac:dyDescent="0.25">
      <c r="A1990" s="694"/>
      <c r="B1990" s="698"/>
      <c r="C1990" s="698"/>
      <c r="D1990" s="1084" t="s">
        <v>8</v>
      </c>
      <c r="E1990" s="2862" t="str">
        <f>Translations!$B$479</f>
        <v>Стойности, използвани за изчислението:</v>
      </c>
      <c r="F1990" s="2862"/>
      <c r="G1990" s="1032" t="str">
        <f>G1989</f>
        <v>тона</v>
      </c>
      <c r="H1990" s="1186" t="str">
        <f t="shared" ref="H1990:N1990" si="2823">IF(OR($I1980="",H1987&gt;=CNTR_ReportingYear),"",IF($R1992=TRUE,IF(ISNUMBER(H1989),H1989,0),IF(AND(H1987&gt;=$V1980-1,ISNUMBER(H1988)),H1988,0)))</f>
        <v/>
      </c>
      <c r="I1990" s="1187" t="str">
        <f t="shared" si="2823"/>
        <v/>
      </c>
      <c r="J1990" s="1188" t="str">
        <f t="shared" si="2823"/>
        <v/>
      </c>
      <c r="K1990" s="1186" t="str">
        <f t="shared" si="2823"/>
        <v/>
      </c>
      <c r="L1990" s="1186" t="str">
        <f t="shared" si="2823"/>
        <v/>
      </c>
      <c r="M1990" s="1186" t="str">
        <f t="shared" si="2823"/>
        <v/>
      </c>
      <c r="N1990" s="1189" t="str">
        <f t="shared" si="2823"/>
        <v/>
      </c>
      <c r="O1990" s="302"/>
      <c r="P1990" s="710"/>
      <c r="Q1990" s="1190" t="str">
        <f>EUconst_CNTR_HAL&amp;I1980</f>
        <v>HAL_</v>
      </c>
      <c r="R1990" s="694"/>
      <c r="S1990" s="694"/>
      <c r="T1990" s="694"/>
      <c r="U1990" s="694"/>
      <c r="V1990" s="694"/>
      <c r="W1990" s="694"/>
      <c r="X1990" s="694"/>
      <c r="Y1990" s="694"/>
      <c r="Z1990" s="694"/>
      <c r="AA1990" s="694"/>
      <c r="AB1990" s="694"/>
      <c r="AC1990" s="694"/>
      <c r="AD1990" s="694"/>
      <c r="AE1990" s="694"/>
      <c r="AF1990" s="694"/>
      <c r="AG1990" s="694"/>
      <c r="AH1990" s="694"/>
      <c r="AI1990" s="694"/>
      <c r="AJ1990" s="1174" t="s">
        <v>2033</v>
      </c>
      <c r="AK1990" s="982" t="str">
        <f>IF(COUNTIFS(H1987:N1987,"&lt;"&amp;YEAR(SUM(T1980)),H1990:N1990,"&gt;"&amp;0)&gt;0,EUconst_Error&amp;"BM"&amp;Q1980,"")</f>
        <v/>
      </c>
      <c r="AL1990" s="729"/>
    </row>
    <row r="1991" spans="1:38" ht="5.15" customHeight="1" x14ac:dyDescent="0.25">
      <c r="A1991" s="694"/>
      <c r="B1991" s="298"/>
      <c r="C1991" s="298"/>
      <c r="D1991" s="298"/>
      <c r="E1991" s="298"/>
      <c r="F1991" s="298"/>
      <c r="G1991" s="298"/>
      <c r="H1991" s="298"/>
      <c r="I1991" s="298"/>
      <c r="J1991" s="298"/>
      <c r="K1991" s="298"/>
      <c r="L1991" s="298"/>
      <c r="M1991" s="302"/>
      <c r="N1991" s="302"/>
      <c r="O1991" s="302"/>
      <c r="P1991" s="302"/>
      <c r="Q1991" s="729"/>
      <c r="R1991" s="694"/>
      <c r="S1991" s="729"/>
      <c r="T1991" s="729"/>
      <c r="U1991" s="694"/>
      <c r="V1991" s="694"/>
      <c r="W1991" s="694"/>
      <c r="X1991" s="694"/>
      <c r="Y1991" s="694"/>
      <c r="Z1991" s="694"/>
      <c r="AA1991" s="694"/>
      <c r="AB1991" s="694"/>
      <c r="AC1991" s="694"/>
      <c r="AD1991" s="694"/>
      <c r="AE1991" s="694"/>
      <c r="AF1991" s="694"/>
      <c r="AG1991" s="694"/>
      <c r="AH1991" s="694"/>
      <c r="AI1991" s="694"/>
      <c r="AJ1991" s="694"/>
      <c r="AK1991" s="694"/>
      <c r="AL1991" s="694"/>
    </row>
    <row r="1992" spans="1:38" ht="13" x14ac:dyDescent="0.25">
      <c r="A1992" s="694"/>
      <c r="B1992" s="298"/>
      <c r="C1992" s="298"/>
      <c r="D1992" s="360" t="s">
        <v>18</v>
      </c>
      <c r="E1992" s="2226" t="str">
        <f>Translations!$B$480</f>
        <v>Специални изисквания за докладване:</v>
      </c>
      <c r="F1992" s="2226"/>
      <c r="G1992" s="2317"/>
      <c r="H1992" s="2858" t="str">
        <f>IF(I1980="","",HYPERLINK(INDEX(EUconst_BMlistSpecialJumpTable,MATCH(I1980,EUconst_BMlistNames,0)),INDEX(EUconst_BMlistSpecialReporting,MATCH(I1980,EUconst_BMlistNames,0))))</f>
        <v/>
      </c>
      <c r="I1992" s="2863"/>
      <c r="J1992" s="2863"/>
      <c r="K1992" s="2863"/>
      <c r="L1992" s="2863"/>
      <c r="M1992" s="2863"/>
      <c r="N1992" s="2864"/>
      <c r="O1992" s="302"/>
      <c r="P1992" s="302"/>
      <c r="Q1992" s="1174" t="s">
        <v>119</v>
      </c>
      <c r="R1992" s="982" t="str">
        <f>IF(I1980="","",IF(AND(INDEX(EUconst_BMlistSpecialJumpTable,MATCH(I1980,EUconst_BMlistNames,0))&lt;&gt;"",INDEX(EUconst_BMlistMainNumberOfBM,MATCH(I1980,EUconst_BMlistNames,0))&lt;&gt;47),TRUE,FALSE))</f>
        <v/>
      </c>
      <c r="S1992" s="729"/>
      <c r="T1992" s="729"/>
      <c r="U1992" s="694"/>
      <c r="V1992" s="694"/>
      <c r="W1992" s="694"/>
      <c r="X1992" s="694"/>
      <c r="Y1992" s="694"/>
      <c r="Z1992" s="694"/>
      <c r="AA1992" s="694"/>
      <c r="AB1992" s="694"/>
      <c r="AC1992" s="694"/>
      <c r="AD1992" s="694"/>
      <c r="AE1992" s="694"/>
      <c r="AF1992" s="694"/>
      <c r="AG1992" s="694"/>
      <c r="AH1992" s="694"/>
      <c r="AI1992" s="694"/>
      <c r="AJ1992" s="694"/>
      <c r="AK1992" s="694"/>
      <c r="AL1992" s="694"/>
    </row>
    <row r="1993" spans="1:38" x14ac:dyDescent="0.25">
      <c r="A1993" s="694"/>
      <c r="B1993" s="298"/>
      <c r="C1993" s="298"/>
      <c r="D1993" s="302"/>
      <c r="E1993" s="2358" t="str">
        <f>Translations!$B$481</f>
        <v>При някои продуктови показатели се изисква да се отчита специфична информация (напр. стойности на приведени по CO2 тонове (CWT)). Ако е приложимо, тук ще се покаже автоматично съобщение.</v>
      </c>
      <c r="F1993" s="2249"/>
      <c r="G1993" s="2249"/>
      <c r="H1993" s="2249"/>
      <c r="I1993" s="2249"/>
      <c r="J1993" s="2249"/>
      <c r="K1993" s="2249"/>
      <c r="L1993" s="2249"/>
      <c r="M1993" s="2249"/>
      <c r="N1993" s="2249"/>
      <c r="O1993" s="302"/>
      <c r="P1993" s="302"/>
      <c r="Q1993" s="729"/>
      <c r="R1993" s="694"/>
      <c r="S1993" s="729"/>
      <c r="T1993" s="729"/>
      <c r="U1993" s="694"/>
      <c r="V1993" s="694"/>
      <c r="W1993" s="694"/>
      <c r="X1993" s="694"/>
      <c r="Y1993" s="694"/>
      <c r="Z1993" s="694"/>
      <c r="AA1993" s="694"/>
      <c r="AB1993" s="694"/>
      <c r="AC1993" s="694"/>
      <c r="AD1993" s="694"/>
      <c r="AE1993" s="694"/>
      <c r="AF1993" s="694"/>
      <c r="AG1993" s="694"/>
      <c r="AH1993" s="694"/>
      <c r="AI1993" s="694"/>
      <c r="AJ1993" s="694"/>
      <c r="AK1993" s="694"/>
      <c r="AL1993" s="694"/>
    </row>
    <row r="1994" spans="1:38" ht="5.15" customHeight="1" x14ac:dyDescent="0.25">
      <c r="A1994" s="694"/>
      <c r="B1994" s="298"/>
      <c r="C1994" s="298"/>
      <c r="D1994" s="302"/>
      <c r="E1994" s="302"/>
      <c r="F1994" s="302"/>
      <c r="G1994" s="302"/>
      <c r="H1994" s="302"/>
      <c r="I1994" s="302"/>
      <c r="J1994" s="302"/>
      <c r="K1994" s="302"/>
      <c r="L1994" s="302"/>
      <c r="M1994" s="302"/>
      <c r="N1994" s="302"/>
      <c r="O1994" s="302"/>
      <c r="P1994" s="302"/>
      <c r="Q1994" s="729"/>
      <c r="R1994" s="694"/>
      <c r="S1994" s="729"/>
      <c r="T1994" s="729"/>
      <c r="U1994" s="694"/>
      <c r="V1994" s="694"/>
      <c r="W1994" s="694"/>
      <c r="X1994" s="694"/>
      <c r="Y1994" s="694"/>
      <c r="Z1994" s="729"/>
      <c r="AA1994" s="694"/>
      <c r="AB1994" s="694"/>
      <c r="AC1994" s="694"/>
      <c r="AD1994" s="694"/>
      <c r="AE1994" s="694"/>
      <c r="AF1994" s="694"/>
      <c r="AG1994" s="694"/>
      <c r="AH1994" s="694"/>
      <c r="AI1994" s="694"/>
      <c r="AJ1994" s="694"/>
      <c r="AK1994" s="694"/>
      <c r="AL1994" s="729"/>
    </row>
    <row r="1995" spans="1:38" ht="12.75" customHeight="1" x14ac:dyDescent="0.25">
      <c r="A1995" s="694"/>
      <c r="B1995" s="298"/>
      <c r="C1995" s="298"/>
      <c r="D1995" s="300" t="s">
        <v>901</v>
      </c>
      <c r="E1995" s="2226" t="str">
        <f>Translations!$B$1316</f>
        <v>Определяне на корекции на равнището на дейност</v>
      </c>
      <c r="F1995" s="2249"/>
      <c r="G1995" s="2249"/>
      <c r="H1995" s="2249"/>
      <c r="I1995" s="2249"/>
      <c r="J1995" s="2249"/>
      <c r="K1995" s="2249"/>
      <c r="L1995" s="2249"/>
      <c r="M1995" s="2249"/>
      <c r="N1995" s="2249"/>
      <c r="O1995" s="302"/>
      <c r="P1995" s="302"/>
      <c r="Q1995" s="729"/>
      <c r="R1995" s="694"/>
      <c r="S1995" s="729"/>
      <c r="T1995" s="729"/>
      <c r="U1995" s="694"/>
      <c r="V1995" s="694"/>
      <c r="W1995" s="694"/>
      <c r="X1995" s="694"/>
      <c r="Y1995" s="694"/>
      <c r="Z1995" s="729"/>
      <c r="AA1995" s="694"/>
      <c r="AB1995" s="694"/>
      <c r="AC1995" s="694"/>
      <c r="AD1995" s="694"/>
      <c r="AE1995" s="694"/>
      <c r="AF1995" s="694"/>
      <c r="AG1995" s="694"/>
      <c r="AH1995" s="694"/>
      <c r="AI1995" s="694"/>
      <c r="AJ1995" s="694"/>
      <c r="AK1995" s="694"/>
      <c r="AL1995" s="729"/>
    </row>
    <row r="1996" spans="1:38" ht="12.75" customHeight="1" x14ac:dyDescent="0.25">
      <c r="A1996" s="694"/>
      <c r="B1996" s="298"/>
      <c r="C1996" s="298"/>
      <c r="D1996" s="302"/>
      <c r="E1996" s="2358" t="str">
        <f>Translations!$B$1317</f>
        <v>Историческото равнище на дейността (HAL) ще бъде определено автоматично за данните по буква а) по-горе и данните в лист „B+C_SubInstallations“ („B+C_Подинсталации“). За нови подинсталации HAL ще бъде показано в v. на базата на първата пълна година на експлоатация.</v>
      </c>
      <c r="F1996" s="2249"/>
      <c r="G1996" s="2249"/>
      <c r="H1996" s="2249"/>
      <c r="I1996" s="2249"/>
      <c r="J1996" s="2249"/>
      <c r="K1996" s="2249"/>
      <c r="L1996" s="2249"/>
      <c r="M1996" s="2249"/>
      <c r="N1996" s="2249"/>
      <c r="O1996" s="302"/>
      <c r="P1996" s="302"/>
      <c r="Q1996" s="729"/>
      <c r="R1996" s="694"/>
      <c r="S1996" s="729"/>
      <c r="T1996" s="729"/>
      <c r="U1996" s="729"/>
      <c r="V1996" s="694"/>
      <c r="W1996" s="694"/>
      <c r="X1996" s="694"/>
      <c r="Y1996" s="694"/>
      <c r="Z1996" s="694"/>
      <c r="AA1996" s="694"/>
      <c r="AB1996" s="694"/>
      <c r="AC1996" s="694"/>
      <c r="AD1996" s="694"/>
      <c r="AE1996" s="694"/>
      <c r="AF1996" s="694"/>
      <c r="AG1996" s="694"/>
      <c r="AH1996" s="694"/>
      <c r="AI1996" s="694"/>
      <c r="AJ1996" s="694"/>
      <c r="AK1996" s="694"/>
      <c r="AL1996" s="694"/>
    </row>
    <row r="1997" spans="1:38" ht="25.5" customHeight="1" x14ac:dyDescent="0.25">
      <c r="A1997" s="694"/>
      <c r="B1997" s="298"/>
      <c r="C1997" s="298"/>
      <c r="D1997" s="302"/>
      <c r="E1997" s="2358" t="str">
        <f>Translations!$B$1318</f>
        <v>На базата на стойностите на HAL и данните, въведени в буква а) по-горе, тук се определят средните равнища на дейност. Разпределението ще бъде променено само ако са надвишени всички долуизброени прагове по член 5 от Регламента за ALC:</v>
      </c>
      <c r="F1997" s="2249"/>
      <c r="G1997" s="2249"/>
      <c r="H1997" s="2249"/>
      <c r="I1997" s="2249"/>
      <c r="J1997" s="2249"/>
      <c r="K1997" s="2249"/>
      <c r="L1997" s="2249"/>
      <c r="M1997" s="2249"/>
      <c r="N1997" s="2249"/>
      <c r="O1997" s="302"/>
      <c r="P1997" s="302"/>
      <c r="Q1997" s="729"/>
      <c r="R1997" s="694"/>
      <c r="S1997" s="729"/>
      <c r="T1997" s="729"/>
      <c r="U1997" s="729"/>
      <c r="V1997" s="694"/>
      <c r="W1997" s="694"/>
      <c r="X1997" s="694"/>
      <c r="Y1997" s="694"/>
      <c r="Z1997" s="694"/>
      <c r="AA1997" s="694"/>
      <c r="AB1997" s="694"/>
      <c r="AC1997" s="694"/>
      <c r="AD1997" s="694"/>
      <c r="AE1997" s="694"/>
      <c r="AF1997" s="694"/>
      <c r="AG1997" s="694"/>
      <c r="AH1997" s="694"/>
      <c r="AI1997" s="694"/>
      <c r="AJ1997" s="694"/>
      <c r="AK1997" s="694"/>
      <c r="AL1997" s="694"/>
    </row>
    <row r="1998" spans="1:38" ht="12.75" customHeight="1" x14ac:dyDescent="0.25">
      <c r="A1998" s="694"/>
      <c r="B1998" s="298"/>
      <c r="C1998" s="298"/>
      <c r="D1998" s="302"/>
      <c r="E1998" s="1191" t="s">
        <v>1052</v>
      </c>
      <c r="F1998" s="2358" t="str">
        <f>Translations!$B$1319</f>
        <v>относителните прагове (15 % и 5 % за последващи промени) за средното равнище на дейност в сравнение с HAL</v>
      </c>
      <c r="G1998" s="2861"/>
      <c r="H1998" s="2861"/>
      <c r="I1998" s="2861"/>
      <c r="J1998" s="2861"/>
      <c r="K1998" s="2861"/>
      <c r="L1998" s="2861"/>
      <c r="M1998" s="2861"/>
      <c r="N1998" s="2861"/>
      <c r="O1998" s="302"/>
      <c r="P1998" s="302"/>
      <c r="Q1998" s="729"/>
      <c r="R1998" s="694"/>
      <c r="S1998" s="729"/>
      <c r="T1998" s="729"/>
      <c r="U1998" s="729"/>
      <c r="V1998" s="694"/>
      <c r="W1998" s="694"/>
      <c r="X1998" s="694"/>
      <c r="Y1998" s="694"/>
      <c r="Z1998" s="694"/>
      <c r="AA1998" s="694"/>
      <c r="AB1998" s="694"/>
      <c r="AC1998" s="694"/>
      <c r="AD1998" s="694"/>
      <c r="AE1998" s="694"/>
      <c r="AF1998" s="694"/>
      <c r="AG1998" s="694"/>
      <c r="AH1998" s="694"/>
      <c r="AI1998" s="694"/>
      <c r="AJ1998" s="694"/>
      <c r="AK1998" s="694"/>
      <c r="AL1998" s="694"/>
    </row>
    <row r="1999" spans="1:38" ht="12.75" customHeight="1" thickBot="1" x14ac:dyDescent="0.3">
      <c r="A1999" s="694"/>
      <c r="B1999" s="298"/>
      <c r="C1999" s="298"/>
      <c r="D1999" s="302"/>
      <c r="E1999" s="1191" t="s">
        <v>1052</v>
      </c>
      <c r="F1999" s="2358" t="str">
        <f>Translations!$B$1514</f>
        <v>абсолютния праг, т.е. промяната би довела до разлика в предварителното разпределение от най-малко 300 квоти</v>
      </c>
      <c r="G1999" s="2861"/>
      <c r="H1999" s="2861"/>
      <c r="I1999" s="2861"/>
      <c r="J1999" s="2861"/>
      <c r="K1999" s="2861"/>
      <c r="L1999" s="2861"/>
      <c r="M1999" s="2861"/>
      <c r="N1999" s="2861"/>
      <c r="O1999" s="302"/>
      <c r="P1999" s="302"/>
      <c r="Q1999" s="729"/>
      <c r="R1999" s="694"/>
      <c r="S1999" s="729"/>
      <c r="T1999" s="729"/>
      <c r="U1999" s="729"/>
      <c r="V1999" s="694"/>
      <c r="W1999" s="694"/>
      <c r="X1999" s="694"/>
      <c r="Y1999" s="694"/>
      <c r="Z1999" s="694"/>
      <c r="AA1999" s="694"/>
      <c r="AB1999" s="694"/>
      <c r="AC1999" s="694"/>
      <c r="AD1999" s="694"/>
      <c r="AE1999" s="694"/>
      <c r="AF1999" s="694"/>
      <c r="AG1999" s="694"/>
      <c r="AH1999" s="694"/>
      <c r="AI1999" s="694"/>
      <c r="AJ1999" s="694"/>
      <c r="AK1999" s="694"/>
      <c r="AL1999" s="694"/>
    </row>
    <row r="2000" spans="1:38" ht="5.15" customHeight="1" thickBot="1" x14ac:dyDescent="0.3">
      <c r="A2000" s="694"/>
      <c r="B2000" s="298"/>
      <c r="C2000" s="298"/>
      <c r="D2000" s="1192"/>
      <c r="E2000" s="1193"/>
      <c r="F2000" s="1194"/>
      <c r="G2000" s="1195"/>
      <c r="H2000" s="1195"/>
      <c r="I2000" s="1195"/>
      <c r="J2000" s="1195"/>
      <c r="K2000" s="1195"/>
      <c r="L2000" s="1195"/>
      <c r="M2000" s="1195"/>
      <c r="N2000" s="1196"/>
      <c r="O2000" s="302"/>
      <c r="P2000" s="302"/>
      <c r="Q2000" s="729"/>
      <c r="R2000" s="694"/>
      <c r="S2000" s="729"/>
      <c r="T2000" s="729"/>
      <c r="U2000" s="729"/>
      <c r="V2000" s="694"/>
      <c r="W2000" s="694"/>
      <c r="X2000" s="694"/>
      <c r="Y2000" s="694"/>
      <c r="Z2000" s="694"/>
      <c r="AA2000" s="694"/>
      <c r="AB2000" s="694"/>
      <c r="AC2000" s="694"/>
      <c r="AD2000" s="694"/>
      <c r="AE2000" s="694"/>
      <c r="AF2000" s="694"/>
      <c r="AG2000" s="694"/>
      <c r="AH2000" s="694"/>
      <c r="AI2000" s="694"/>
      <c r="AJ2000" s="694"/>
      <c r="AK2000" s="694"/>
      <c r="AL2000" s="694"/>
    </row>
    <row r="2001" spans="1:38" ht="12.75" customHeight="1" x14ac:dyDescent="0.25">
      <c r="A2001" s="694"/>
      <c r="B2001" s="298"/>
      <c r="C2001" s="298"/>
      <c r="D2001" s="1197"/>
      <c r="E2001" s="1198" t="str">
        <f>Translations!$B$1196</f>
        <v>Корекции</v>
      </c>
      <c r="F2001" s="1199"/>
      <c r="G2001" s="1199"/>
      <c r="H2001" s="1200" t="str">
        <f>EUconst_Unit</f>
        <v>Единица мярка</v>
      </c>
      <c r="I2001" s="1201" t="str">
        <f>Translations!$B$1320</f>
        <v>(НМИ) HAL</v>
      </c>
      <c r="J2001" s="1202">
        <f>J$2831</f>
        <v>2026</v>
      </c>
      <c r="K2001" s="1203">
        <f>K$2831</f>
        <v>2027</v>
      </c>
      <c r="L2001" s="1203">
        <f>L$2831</f>
        <v>2028</v>
      </c>
      <c r="M2001" s="1203">
        <f>M$2831</f>
        <v>2029</v>
      </c>
      <c r="N2001" s="1204">
        <f>N$2831</f>
        <v>2030</v>
      </c>
      <c r="O2001" s="302"/>
      <c r="P2001" s="302"/>
      <c r="Q2001" s="729"/>
      <c r="R2001" s="694"/>
      <c r="S2001" s="694"/>
      <c r="T2001" s="694"/>
      <c r="U2001" s="1205"/>
      <c r="V2001" s="1206">
        <f>J2001</f>
        <v>2026</v>
      </c>
      <c r="W2001" s="1206">
        <f>K2001</f>
        <v>2027</v>
      </c>
      <c r="X2001" s="1206">
        <f>L2001</f>
        <v>2028</v>
      </c>
      <c r="Y2001" s="1206">
        <f>M2001</f>
        <v>2029</v>
      </c>
      <c r="Z2001" s="1207">
        <f>N2001</f>
        <v>2030</v>
      </c>
      <c r="AA2001" s="694"/>
      <c r="AB2001" s="694"/>
      <c r="AC2001" s="694"/>
      <c r="AD2001" s="694"/>
      <c r="AE2001" s="694"/>
      <c r="AF2001" s="694"/>
      <c r="AG2001" s="694"/>
      <c r="AH2001" s="694"/>
      <c r="AI2001" s="694"/>
      <c r="AJ2001" s="694"/>
      <c r="AK2001" s="694"/>
      <c r="AL2001" s="694"/>
    </row>
    <row r="2002" spans="1:38" ht="12.75" customHeight="1" x14ac:dyDescent="0.25">
      <c r="A2002" s="694"/>
      <c r="B2002" s="298"/>
      <c r="C2002" s="298"/>
      <c r="D2002" s="1208" t="s">
        <v>6</v>
      </c>
      <c r="E2002" s="1209" t="str">
        <f>Translations!$B$1321</f>
        <v>Средно годишно равнище на дейност (стойност в НМИ)</v>
      </c>
      <c r="F2002" s="1209"/>
      <c r="G2002" s="1209"/>
      <c r="H2002" s="1210" t="str">
        <f>IF(INDEX(CNTR_SubInstListIsProdBM,$C1980),INDEX(CNTR_SubInstListHALUnit,$C1980),EUconst_Tons)</f>
        <v>тона</v>
      </c>
      <c r="I2002" s="1211" t="str">
        <f>IF(V1980&gt;($J$2831-3),EUconst_NA,INDEX('B+C_SubInstallations'!$I:$I,MATCH(Q2002,'B+C_SubInstallations'!$T:$T,0)))</f>
        <v/>
      </c>
      <c r="J2002" s="1212" t="str">
        <f>IF(AND(V2002&gt;=3,CNTR_ReportingYear&gt;J2001-1),AVERAGE(H1990:I1990),"")</f>
        <v/>
      </c>
      <c r="K2002" s="1213" t="str">
        <f>IF(AND(W2002&gt;=3,CNTR_ReportingYear&gt;K2001-1),AVERAGE(I1990:J1990),"")</f>
        <v/>
      </c>
      <c r="L2002" s="1213" t="str">
        <f>IF(AND(X2002&gt;=3,CNTR_ReportingYear&gt;L2001-1),AVERAGE(J1990:K1990),"")</f>
        <v/>
      </c>
      <c r="M2002" s="1213" t="str">
        <f>IF(AND(Y2002&gt;=3,CNTR_ReportingYear&gt;M2001-1),AVERAGE(K1990:L1990),"")</f>
        <v/>
      </c>
      <c r="N2002" s="1214" t="str">
        <f>IF(AND(Z2002&gt;=3,CNTR_ReportingYear&gt;N2001-1),AVERAGE(L1990:M1990),"")</f>
        <v/>
      </c>
      <c r="O2002" s="302"/>
      <c r="P2002" s="302"/>
      <c r="Q2002" s="1182" t="str">
        <f>EUconst_CNTR_HALinitial&amp;I1980</f>
        <v>HALini_</v>
      </c>
      <c r="R2002" s="694"/>
      <c r="S2002" s="694"/>
      <c r="T2002" s="694"/>
      <c r="U2002" s="1215" t="s">
        <v>1710</v>
      </c>
      <c r="V2002" s="1176">
        <f>IF($I1980="",0,V2001-$V1980+1)</f>
        <v>0</v>
      </c>
      <c r="W2002" s="1176">
        <f>IF($I1980="",0,W2001-$V1980+1)</f>
        <v>0</v>
      </c>
      <c r="X2002" s="1176">
        <f>IF($I1980="",0,X2001-$V1980+1)</f>
        <v>0</v>
      </c>
      <c r="Y2002" s="1176">
        <f>IF($I1980="",0,Y2001-$V1980+1)</f>
        <v>0</v>
      </c>
      <c r="Z2002" s="1216">
        <f>IF($I1980="",0,Z2001-$V1980+1)</f>
        <v>0</v>
      </c>
      <c r="AA2002" s="694"/>
      <c r="AB2002" s="694"/>
      <c r="AC2002" s="694"/>
      <c r="AD2002" s="694"/>
      <c r="AE2002" s="694"/>
      <c r="AF2002" s="694"/>
      <c r="AG2002" s="694"/>
      <c r="AH2002" s="694"/>
      <c r="AI2002" s="694"/>
      <c r="AJ2002" s="694"/>
      <c r="AK2002" s="694"/>
      <c r="AL2002" s="694"/>
    </row>
    <row r="2003" spans="1:38" ht="12.75" hidden="1" customHeight="1" x14ac:dyDescent="0.25">
      <c r="A2003" s="729" t="s">
        <v>312</v>
      </c>
      <c r="B2003" s="298"/>
      <c r="C2003" s="298"/>
      <c r="D2003" s="1217"/>
      <c r="E2003" s="1218" t="str">
        <f>Translations!$B$1376</f>
        <v>Промяна в сравнение с HAL</v>
      </c>
      <c r="F2003" s="1218"/>
      <c r="G2003" s="1218"/>
      <c r="H2003" s="1219"/>
      <c r="I2003" s="1220"/>
      <c r="J2003" s="103" t="str">
        <f>IF(J2002="","",IF($I2005=0,IF(J2002=0,0%,100%),J2002/$I2005-1))</f>
        <v/>
      </c>
      <c r="K2003" s="100" t="str">
        <f>IF(K2002="","",IF($I2005=0,IF(K2002=0,0%,100%),K2002/$I2005-1))</f>
        <v/>
      </c>
      <c r="L2003" s="100" t="str">
        <f>IF(L2002="","",IF($I2005=0,IF(L2002=0,0%,100%),L2002/$I2005-1))</f>
        <v/>
      </c>
      <c r="M2003" s="100" t="str">
        <f>IF(M2002="","",IF($I2005=0,IF(M2002=0,0%,100%),M2002/$I2005-1))</f>
        <v/>
      </c>
      <c r="N2003" s="122" t="str">
        <f>IF(N2002="","",IF($I2005=0,IF(N2002=0,0%,100%),N2002/$I2005-1))</f>
        <v/>
      </c>
      <c r="O2003" s="302"/>
      <c r="P2003" s="302"/>
      <c r="Q2003" s="1190" t="str">
        <f>EUconst_CNTR_RelThreshold &amp; Q2005</f>
        <v>RelThresh_HALprelim_</v>
      </c>
      <c r="R2003" s="694"/>
      <c r="S2003" s="694"/>
      <c r="T2003" s="694"/>
      <c r="U2003" s="1215" t="s">
        <v>1715</v>
      </c>
      <c r="V2003" s="727" t="str">
        <f>IF(J2002="","",ABS(J2003)&gt;15%)</f>
        <v/>
      </c>
      <c r="W2003" s="727" t="str">
        <f>IF(K2002="","",ABS(K2003)&gt;15%)</f>
        <v/>
      </c>
      <c r="X2003" s="727" t="str">
        <f>IF(L2002="","",ABS(L2003)&gt;15%)</f>
        <v/>
      </c>
      <c r="Y2003" s="727" t="str">
        <f>IF(M2002="","",ABS(M2003)&gt;15%)</f>
        <v/>
      </c>
      <c r="Z2003" s="1221" t="str">
        <f>IF(N2002="","",ABS(N2003)&gt;15%)</f>
        <v/>
      </c>
      <c r="AA2003" s="694"/>
      <c r="AB2003" s="694"/>
      <c r="AC2003" s="694"/>
      <c r="AD2003" s="694"/>
      <c r="AE2003" s="694"/>
      <c r="AF2003" s="694"/>
      <c r="AG2003" s="694"/>
      <c r="AH2003" s="694"/>
      <c r="AI2003" s="694"/>
      <c r="AJ2003" s="694"/>
      <c r="AK2003" s="694"/>
      <c r="AL2003" s="729"/>
    </row>
    <row r="2004" spans="1:38" ht="12.75" customHeight="1" x14ac:dyDescent="0.25">
      <c r="A2004" s="729"/>
      <c r="B2004" s="298"/>
      <c r="C2004" s="298"/>
      <c r="D2004" s="1208" t="s">
        <v>7</v>
      </c>
      <c r="E2004" s="1209" t="str">
        <f>Translations!$B$1322</f>
        <v>Предварителна корекция (ако са надвишени относителните прагове)</v>
      </c>
      <c r="F2004" s="1209"/>
      <c r="G2004" s="1209"/>
      <c r="H2004" s="1222"/>
      <c r="I2004" s="1223"/>
      <c r="J2004" s="1224" t="str">
        <f>IF(J2002="","",IF(V2003=FALSE,0%,IF(V2004,J2003,I2010)))</f>
        <v/>
      </c>
      <c r="K2004" s="1225" t="str">
        <f>IF(K2002="","",IF(W2003=FALSE,0%,IF(W2004,K2003,J2010)))</f>
        <v/>
      </c>
      <c r="L2004" s="1225" t="str">
        <f>IF(L2002="","",IF(X2003=FALSE,0%,IF(X2004,L2003,K2010)))</f>
        <v/>
      </c>
      <c r="M2004" s="1225" t="str">
        <f>IF(M2002="","",IF(Y2003=FALSE,0%,IF(Y2004,M2003,L2010)))</f>
        <v/>
      </c>
      <c r="N2004" s="1226" t="str">
        <f>IF(N2002="","",IF(Z2003=FALSE,0%,IF(Z2004,N2003,M2010)))</f>
        <v/>
      </c>
      <c r="O2004" s="302"/>
      <c r="P2004" s="302"/>
      <c r="Q2004" s="694"/>
      <c r="R2004" s="694"/>
      <c r="S2004" s="694"/>
      <c r="T2004" s="694"/>
      <c r="U2004" s="1215" t="s">
        <v>1716</v>
      </c>
      <c r="V2004" s="727" t="str">
        <f>IF(J2002="","",AND(V2003,IF(SUM(I2010)&lt;0,OR(SUM(J2003)&lt;SUM(I2010)-MOD(SUM(I2010),5%),J2003&gt;=SUM(I2010)+5%-MOD(SUM(I2010),5%)),OR(SUM(J2003)&lt;=SUM(I2010)-MOD(SUM(I2010),5%),SUM(J2003)&gt;SUM(I2010)+5%-MOD(SUM(I2010),5%)))))</f>
        <v/>
      </c>
      <c r="W2004" s="727" t="str">
        <f>IF(K2002="","",AND(W2003,IF(SUM(J2010)&lt;0,OR(SUM(K2003)&lt;SUM(J2010)-MOD(SUM(J2010),5%),K2003&gt;=SUM(J2010)+5%-MOD(SUM(J2010),5%)),OR(SUM(K2003)&lt;=SUM(J2010)-MOD(SUM(J2010),5%),SUM(K2003)&gt;SUM(J2010)+5%-MOD(SUM(J2010),5%)))))</f>
        <v/>
      </c>
      <c r="X2004" s="727" t="str">
        <f>IF(L2002="","",AND(X2003,IF(SUM(K2010)&lt;0,OR(SUM(L2003)&lt;SUM(K2010)-MOD(SUM(K2010),5%),L2003&gt;=SUM(K2010)+5%-MOD(SUM(K2010),5%)),OR(SUM(L2003)&lt;=SUM(K2010)-MOD(SUM(K2010),5%),SUM(L2003)&gt;SUM(K2010)+5%-MOD(SUM(K2010),5%)))))</f>
        <v/>
      </c>
      <c r="Y2004" s="727" t="str">
        <f>IF(M2002="","",AND(Y2003,IF(SUM(L2010)&lt;0,OR(SUM(M2003)&lt;SUM(L2010)-MOD(SUM(L2010),5%),M2003&gt;=SUM(L2010)+5%-MOD(SUM(L2010),5%)),OR(SUM(M2003)&lt;=SUM(L2010)-MOD(SUM(L2010),5%),SUM(M2003)&gt;SUM(L2010)+5%-MOD(SUM(L2010),5%)))))</f>
        <v/>
      </c>
      <c r="Z2004" s="1221" t="str">
        <f>IF(N2002="","",AND(Z2003,IF(SUM(M2010)&lt;0,OR(SUM(N2003)&lt;SUM(M2010)-MOD(SUM(M2010),5%),N2003&gt;=SUM(M2010)+5%-MOD(SUM(M2010),5%)),OR(SUM(N2003)&lt;=SUM(M2010)-MOD(SUM(M2010),5%),SUM(N2003)&gt;SUM(M2010)+5%-MOD(SUM(M2010),5%)))))</f>
        <v/>
      </c>
      <c r="AA2004" s="694"/>
      <c r="AB2004" s="694"/>
      <c r="AC2004" s="694"/>
      <c r="AD2004" s="694"/>
      <c r="AE2004" s="694"/>
      <c r="AF2004" s="694"/>
      <c r="AG2004" s="694"/>
      <c r="AH2004" s="694"/>
      <c r="AI2004" s="694"/>
      <c r="AJ2004" s="694"/>
      <c r="AK2004" s="694"/>
      <c r="AL2004" s="729"/>
    </row>
    <row r="2005" spans="1:38" ht="12.75" hidden="1" customHeight="1" x14ac:dyDescent="0.25">
      <c r="A2005" s="729" t="s">
        <v>312</v>
      </c>
      <c r="B2005" s="298"/>
      <c r="C2005" s="298"/>
      <c r="D2005" s="1217"/>
      <c r="E2005" s="1209" t="str">
        <f>Translations!$B$1377</f>
        <v>Предварителна стойност</v>
      </c>
      <c r="F2005" s="1209"/>
      <c r="G2005" s="1209"/>
      <c r="H2005" s="1210" t="str">
        <f>H2002</f>
        <v>тона</v>
      </c>
      <c r="I2005" s="1211" t="str">
        <f>IF(I1980="","",IF(AB1980=FALSE,EUconst_NA,IF(V1980&gt;($J$2831-3),INDEX(H1990:N1990,MATCH(V1980,H1987:N1987,0)),SUM(I2002))))</f>
        <v/>
      </c>
      <c r="J2005" s="1212" t="str">
        <f>IF($I1980="","",IF(V2002&lt;2,SUM(J1990),IF(V2002&lt;3,SUM(I1990),IF(V2005="",I2005,V2005))))</f>
        <v/>
      </c>
      <c r="K2005" s="1213" t="str">
        <f>IF($I1980="","",IF(W2002&lt;2,SUM(K1990),IF(W2002&lt;3,SUM(J1990),IF(W2005="",J2005,W2005))))</f>
        <v/>
      </c>
      <c r="L2005" s="1213" t="str">
        <f>IF($I1980="","",IF(X2002&lt;2,SUM(L1990),IF(X2002&lt;3,SUM(K1990),IF(X2005="",K2005,X2005))))</f>
        <v/>
      </c>
      <c r="M2005" s="1213" t="str">
        <f>IF($I1980="","",IF(Y2002&lt;2,SUM(M1990),IF(Y2002&lt;3,SUM(L1990),IF(Y2005="",L2005,Y2005))))</f>
        <v/>
      </c>
      <c r="N2005" s="1214" t="str">
        <f>IF($I1980="","",IF(Z2002&lt;2,SUM(N1990),IF(Z2002&lt;3,SUM(M1990),IF(Z2005="",M2005,Z2005))))</f>
        <v/>
      </c>
      <c r="O2005" s="302"/>
      <c r="P2005" s="302"/>
      <c r="Q2005" s="1182" t="str">
        <f>EUconst_CNTR_HALprelim&amp;I1980</f>
        <v>HALprelim_</v>
      </c>
      <c r="R2005" s="694"/>
      <c r="S2005" s="694"/>
      <c r="T2005" s="694"/>
      <c r="U2005" s="1215" t="s">
        <v>1756</v>
      </c>
      <c r="V2005" s="1227" t="str">
        <f>IF(J2002="","",IF(CNTR_ReportingYear&lt;J2001,I2004,IF($I2005=0,J2002,$I2005*(1+J2004))))</f>
        <v/>
      </c>
      <c r="W2005" s="1227" t="str">
        <f>IF(K2002="","",IF(CNTR_ReportingYear&lt;K2001,J2004,IF($I2005=0,K2002,$I2005*(1+K2004))))</f>
        <v/>
      </c>
      <c r="X2005" s="1227" t="str">
        <f>IF(L2002="","",IF(CNTR_ReportingYear&lt;L2001,K2004,IF($I2005=0,L2002,$I2005*(1+L2004))))</f>
        <v/>
      </c>
      <c r="Y2005" s="1227" t="str">
        <f>IF(M2002="","",IF(CNTR_ReportingYear&lt;M2001,L2004,IF($I2005=0,M2002,$I2005*(1+M2004))))</f>
        <v/>
      </c>
      <c r="Z2005" s="1228" t="str">
        <f>IF(N2002="","",IF(CNTR_ReportingYear&lt;N2001,M2004,IF($I2005=0,N2002,$I2005*(1+N2004))))</f>
        <v/>
      </c>
      <c r="AA2005" s="694"/>
      <c r="AB2005" s="694"/>
      <c r="AC2005" s="694"/>
      <c r="AD2005" s="694"/>
      <c r="AE2005" s="694"/>
      <c r="AF2005" s="694"/>
      <c r="AG2005" s="694"/>
      <c r="AH2005" s="694"/>
      <c r="AI2005" s="694"/>
      <c r="AJ2005" s="694"/>
      <c r="AK2005" s="694"/>
      <c r="AL2005" s="729"/>
    </row>
    <row r="2006" spans="1:38" ht="5.15" customHeight="1" x14ac:dyDescent="0.25">
      <c r="A2006" s="729"/>
      <c r="B2006" s="298"/>
      <c r="C2006" s="298"/>
      <c r="D2006" s="1217"/>
      <c r="E2006" s="1199"/>
      <c r="F2006" s="1199"/>
      <c r="G2006" s="1199"/>
      <c r="H2006" s="1199"/>
      <c r="I2006" s="1199"/>
      <c r="J2006" s="1229"/>
      <c r="K2006" s="1229"/>
      <c r="L2006" s="1229"/>
      <c r="M2006" s="1229"/>
      <c r="N2006" s="1230"/>
      <c r="O2006" s="302"/>
      <c r="P2006" s="302"/>
      <c r="Q2006" s="729"/>
      <c r="R2006" s="694"/>
      <c r="S2006" s="694"/>
      <c r="T2006" s="694"/>
      <c r="U2006" s="1231"/>
      <c r="V2006" s="729"/>
      <c r="W2006" s="694"/>
      <c r="X2006" s="694"/>
      <c r="Y2006" s="694"/>
      <c r="Z2006" s="1232"/>
      <c r="AA2006" s="694"/>
      <c r="AB2006" s="694"/>
      <c r="AC2006" s="694"/>
      <c r="AD2006" s="694"/>
      <c r="AE2006" s="694"/>
      <c r="AF2006" s="694"/>
      <c r="AG2006" s="694"/>
      <c r="AH2006" s="694"/>
      <c r="AI2006" s="694"/>
      <c r="AJ2006" s="694"/>
      <c r="AK2006" s="694"/>
      <c r="AL2006" s="729"/>
    </row>
    <row r="2007" spans="1:38" ht="12.75" customHeight="1" x14ac:dyDescent="0.25">
      <c r="A2007" s="729"/>
      <c r="B2007" s="298"/>
      <c r="C2007" s="298"/>
      <c r="D2007" s="1217"/>
      <c r="E2007" s="1233" t="str">
        <f>Translations!$B$1323</f>
        <v>Действителна корекция (база за следващи години)</v>
      </c>
      <c r="F2007" s="1233"/>
      <c r="G2007" s="1233"/>
      <c r="H2007" s="1233"/>
      <c r="I2007" s="1233"/>
      <c r="J2007" s="1202">
        <f>J$2831</f>
        <v>2026</v>
      </c>
      <c r="K2007" s="1203">
        <f>K$2831</f>
        <v>2027</v>
      </c>
      <c r="L2007" s="1203">
        <f>L$2831</f>
        <v>2028</v>
      </c>
      <c r="M2007" s="1203">
        <f>M$2831</f>
        <v>2029</v>
      </c>
      <c r="N2007" s="1204">
        <f>N$2831</f>
        <v>2030</v>
      </c>
      <c r="O2007" s="302"/>
      <c r="P2007" s="302"/>
      <c r="Q2007" s="729"/>
      <c r="R2007" s="694"/>
      <c r="S2007" s="694"/>
      <c r="T2007" s="694"/>
      <c r="U2007" s="1234"/>
      <c r="V2007" s="213"/>
      <c r="W2007" s="214" t="s">
        <v>2101</v>
      </c>
      <c r="X2007" s="215" t="str">
        <f>IF(OR($X1980=0,$X1980=""),"",MIN(1,1-(DATE($Z1980,12,31)-$X1980)/(DATE($Z1980,12,31)-DATE($Z1980,1,1)+1)))</f>
        <v/>
      </c>
      <c r="Y2007" s="1165"/>
      <c r="Z2007" s="1235"/>
      <c r="AA2007" s="694"/>
      <c r="AB2007" s="694"/>
      <c r="AC2007" s="694"/>
      <c r="AD2007" s="694"/>
      <c r="AE2007" s="694"/>
      <c r="AF2007" s="694"/>
      <c r="AG2007" s="694"/>
      <c r="AH2007" s="694"/>
      <c r="AI2007" s="694"/>
      <c r="AJ2007" s="694"/>
      <c r="AK2007" s="694"/>
      <c r="AL2007" s="729"/>
    </row>
    <row r="2008" spans="1:38" ht="12.75" customHeight="1" x14ac:dyDescent="0.25">
      <c r="A2008" s="729"/>
      <c r="B2008" s="298"/>
      <c r="C2008" s="298"/>
      <c r="D2008" s="1208" t="s">
        <v>8</v>
      </c>
      <c r="E2008" s="1209" t="str">
        <f>Translations!$B$1515</f>
        <v>изпълнен ли е критерият за &gt;=300 квоти за емисии?</v>
      </c>
      <c r="F2008" s="1209"/>
      <c r="G2008" s="1209"/>
      <c r="H2008" s="1209"/>
      <c r="I2008" s="1209"/>
      <c r="J2008" s="1236" t="str">
        <f>IF($I1980="","",INDEX(K_Summary!J:J,MATCH($Q2008,K_Summary!$P:$P,0)))</f>
        <v/>
      </c>
      <c r="K2008" s="385" t="str">
        <f>IF($I1980="","",INDEX(K_Summary!K:K,MATCH($Q2008,K_Summary!$P:$P,0)))</f>
        <v/>
      </c>
      <c r="L2008" s="385" t="str">
        <f>IF($I1980="","",INDEX(K_Summary!L:L,MATCH($Q2008,K_Summary!$P:$P,0)))</f>
        <v/>
      </c>
      <c r="M2008" s="385" t="str">
        <f>IF($I1980="","",INDEX(K_Summary!M:M,MATCH($Q2008,K_Summary!$P:$P,0)))</f>
        <v/>
      </c>
      <c r="N2008" s="1237" t="str">
        <f>IF($I1980="","",INDEX(K_Summary!N:N,MATCH($Q2008,K_Summary!$P:$P,0)))</f>
        <v/>
      </c>
      <c r="O2008" s="302"/>
      <c r="P2008" s="302"/>
      <c r="Q2008" s="1182" t="str">
        <f>EUconst_CNTR_300EUA&amp;I1980</f>
        <v>EUA300_</v>
      </c>
      <c r="R2008" s="694"/>
      <c r="S2008" s="694"/>
      <c r="T2008" s="694"/>
      <c r="U2008" s="1234"/>
      <c r="V2008" s="216">
        <f>IF(V2001=$Z1980,$X2007,1)</f>
        <v>1</v>
      </c>
      <c r="W2008" s="216">
        <f>IF(W2001=$Z1980,$X2007,1)</f>
        <v>1</v>
      </c>
      <c r="X2008" s="216">
        <f>IF(X2001=$Z1980,$X2007,1)</f>
        <v>1</v>
      </c>
      <c r="Y2008" s="216">
        <f>IF(Y2001=$Z1980,$X2007,1)</f>
        <v>1</v>
      </c>
      <c r="Z2008" s="217">
        <f>IF(Z2001=$Z1980,$X2007,1)</f>
        <v>1</v>
      </c>
      <c r="AA2008" s="694"/>
      <c r="AB2008" s="694"/>
      <c r="AC2008" s="694"/>
      <c r="AD2008" s="694"/>
      <c r="AE2008" s="694"/>
      <c r="AF2008" s="694"/>
      <c r="AG2008" s="694"/>
      <c r="AH2008" s="694"/>
      <c r="AI2008" s="694"/>
      <c r="AJ2008" s="694"/>
      <c r="AK2008" s="694"/>
      <c r="AL2008" s="729"/>
    </row>
    <row r="2009" spans="1:38" ht="5.15" customHeight="1" thickBot="1" x14ac:dyDescent="0.3">
      <c r="A2009" s="729"/>
      <c r="B2009" s="298"/>
      <c r="C2009" s="298"/>
      <c r="D2009" s="1217"/>
      <c r="E2009" s="1199"/>
      <c r="F2009" s="1199"/>
      <c r="G2009" s="1199"/>
      <c r="H2009" s="1199"/>
      <c r="I2009" s="1199"/>
      <c r="J2009" s="1199"/>
      <c r="K2009" s="1199"/>
      <c r="L2009" s="1199"/>
      <c r="M2009" s="1199"/>
      <c r="N2009" s="1238"/>
      <c r="O2009" s="302"/>
      <c r="P2009" s="302"/>
      <c r="Q2009" s="729"/>
      <c r="R2009" s="694"/>
      <c r="S2009" s="694"/>
      <c r="T2009" s="694"/>
      <c r="U2009" s="1231"/>
      <c r="V2009" s="729"/>
      <c r="W2009" s="694"/>
      <c r="X2009" s="694"/>
      <c r="Y2009" s="694"/>
      <c r="Z2009" s="1232"/>
      <c r="AA2009" s="694"/>
      <c r="AB2009" s="694"/>
      <c r="AC2009" s="694"/>
      <c r="AD2009" s="694"/>
      <c r="AE2009" s="694"/>
      <c r="AF2009" s="694"/>
      <c r="AG2009" s="694"/>
      <c r="AH2009" s="694"/>
      <c r="AI2009" s="694"/>
      <c r="AJ2009" s="694"/>
      <c r="AK2009" s="694"/>
      <c r="AL2009" s="729"/>
    </row>
    <row r="2010" spans="1:38" ht="12.75" customHeight="1" thickBot="1" x14ac:dyDescent="0.3">
      <c r="A2010" s="694"/>
      <c r="B2010" s="298"/>
      <c r="C2010" s="298"/>
      <c r="D2010" s="1208" t="s">
        <v>18</v>
      </c>
      <c r="E2010" s="1209" t="str">
        <f>Translations!$B$1324</f>
        <v>Действителна корекция (ако са надвишени всички прагове)</v>
      </c>
      <c r="F2010" s="1209"/>
      <c r="G2010" s="1209"/>
      <c r="H2010" s="1222"/>
      <c r="I2010" s="1239"/>
      <c r="J2010" s="1240" t="str">
        <f>IF(J2008="","",IF(J2001&gt;$Z1980,-100%,IF(OR(J2008,V2002&lt;1),J2004,I2010)))</f>
        <v/>
      </c>
      <c r="K2010" s="1241" t="str">
        <f>IF(K2008="","",IF(K2001&gt;$Z1980,-100%,IF(OR(K2008,W2002&lt;1),K2004,J2010)))</f>
        <v/>
      </c>
      <c r="L2010" s="1241" t="str">
        <f>IF(L2008="","",IF(L2001&gt;$Z1980,-100%,IF(OR(L2008,X2002&lt;1),L2004,K2010)))</f>
        <v/>
      </c>
      <c r="M2010" s="1241" t="str">
        <f>IF(M2008="","",IF(M2001&gt;$Z1980,-100%,IF(OR(M2008,Y2002&lt;1),M2004,L2010)))</f>
        <v/>
      </c>
      <c r="N2010" s="1242" t="str">
        <f>IF(N2008="","",IF(N2001&gt;$Z1980,-100%,IF(OR(N2008,Z2002&lt;1),N2004,M2010)))</f>
        <v/>
      </c>
      <c r="O2010" s="302"/>
      <c r="P2010" s="710"/>
      <c r="Q2010" s="1190" t="str">
        <f>EUconst_CNTR_HALAdjPct &amp; I1980</f>
        <v>HALAdjPct_</v>
      </c>
      <c r="R2010" s="694"/>
      <c r="S2010" s="694"/>
      <c r="T2010" s="694"/>
      <c r="U2010" s="1231" t="s">
        <v>1718</v>
      </c>
      <c r="V2010" s="1243">
        <f>J2007</f>
        <v>2026</v>
      </c>
      <c r="W2010" s="1243">
        <f>K2007</f>
        <v>2027</v>
      </c>
      <c r="X2010" s="1243">
        <f>L2007</f>
        <v>2028</v>
      </c>
      <c r="Y2010" s="1243">
        <f>M2007</f>
        <v>2029</v>
      </c>
      <c r="Z2010" s="1244">
        <f>N2007</f>
        <v>2030</v>
      </c>
      <c r="AA2010" s="694"/>
      <c r="AB2010" s="694"/>
      <c r="AC2010" s="694"/>
      <c r="AD2010" s="694"/>
      <c r="AE2010" s="694"/>
      <c r="AF2010" s="694"/>
      <c r="AG2010" s="694"/>
      <c r="AH2010" s="694"/>
      <c r="AI2010" s="694"/>
      <c r="AJ2010" s="694"/>
      <c r="AK2010" s="694"/>
      <c r="AL2010" s="729"/>
    </row>
    <row r="2011" spans="1:38" ht="12.75" customHeight="1" thickBot="1" x14ac:dyDescent="0.3">
      <c r="A2011" s="729"/>
      <c r="B2011" s="298"/>
      <c r="C2011" s="298"/>
      <c r="D2011" s="1208" t="s">
        <v>810</v>
      </c>
      <c r="E2011" s="1209" t="str">
        <f>Translations!$B$1325</f>
        <v>Действителна стойност</v>
      </c>
      <c r="F2011" s="1209"/>
      <c r="G2011" s="1209"/>
      <c r="H2011" s="1210" t="str">
        <f>H2002</f>
        <v>тона</v>
      </c>
      <c r="I2011" s="1211" t="str">
        <f>I2005</f>
        <v/>
      </c>
      <c r="J2011" s="632" t="str">
        <f>IF($I1980="","",IF(OR($I2011=0,J2010="",$I2011=EUconst_NA),IF(OR(J2008=TRUE,J2007&lt;=$V1980),J2005,SUM(I2011)),$I2011*(1+SUM(J2010))))</f>
        <v/>
      </c>
      <c r="K2011" s="633" t="str">
        <f>IF($I1980="","",IF(OR($I2011=0,K2010="",$I2011=EUconst_NA),IF(OR(K2008=TRUE,K2007&lt;=$V1980),K2005,SUM(J2011)),$I2011*(1+SUM(K2010))))</f>
        <v/>
      </c>
      <c r="L2011" s="633" t="str">
        <f>IF($I1980="","",IF(OR($I2011=0,L2010="",$I2011=EUconst_NA),IF(OR(L2008=TRUE,L2007&lt;=$V1980),L2005,SUM(K2011)),$I2011*(1+SUM(L2010))))</f>
        <v/>
      </c>
      <c r="M2011" s="633" t="str">
        <f>IF($I1980="","",IF(OR($I2011=0,M2010="",$I2011=EUconst_NA),IF(OR(M2008=TRUE,M2007&lt;=$V1980),M2005,SUM(L2011)),$I2011*(1+SUM(M2010))))</f>
        <v/>
      </c>
      <c r="N2011" s="634" t="str">
        <f>IF($I1980="","",IF(OR($I2011=0,N2010="",$I2011=EUconst_NA),IF(OR(N2008=TRUE,N2007&lt;=$V1980),N2005,SUM(M2011)),$I2011*(1+SUM(N2010))))</f>
        <v/>
      </c>
      <c r="O2011" s="302"/>
      <c r="P2011" s="302"/>
      <c r="Q2011" s="1182" t="str">
        <f>EUconst_CNTR_HALfinal&amp;I1980</f>
        <v>HALfinal_</v>
      </c>
      <c r="R2011" s="694"/>
      <c r="S2011" s="694"/>
      <c r="T2011" s="694"/>
      <c r="U2011" s="1245" t="b">
        <v>0</v>
      </c>
      <c r="V2011" s="1246" t="str">
        <f>IF(V1988,IF(J2008=TRUE,V2003,U2011),"")</f>
        <v/>
      </c>
      <c r="W2011" s="1246" t="str">
        <f>IF(W1988,IF(K2008=TRUE,W2003,V2011),"")</f>
        <v/>
      </c>
      <c r="X2011" s="1246" t="str">
        <f>IF(X1988,IF(L2008=TRUE,X2003,W2011),"")</f>
        <v/>
      </c>
      <c r="Y2011" s="1246" t="str">
        <f>IF(Y1988,IF(M2008=TRUE,Y2003,X2011),"")</f>
        <v/>
      </c>
      <c r="Z2011" s="1247" t="str">
        <f>IF(Z1988,IF(N2008=TRUE,Z2003,Y2011),"")</f>
        <v/>
      </c>
      <c r="AA2011" s="694"/>
      <c r="AB2011" s="694"/>
      <c r="AC2011" s="694"/>
      <c r="AD2011" s="694"/>
      <c r="AE2011" s="694"/>
      <c r="AF2011" s="694"/>
      <c r="AG2011" s="694"/>
      <c r="AH2011" s="694"/>
      <c r="AI2011" s="694"/>
      <c r="AJ2011" s="1174" t="s">
        <v>2033</v>
      </c>
      <c r="AK2011" s="982" t="str">
        <f>IF(OR(ISERROR(J2011),ISERROR(K2011),ISERROR(L2011),ISERROR(M2011),ISERROR(N2011)),EUconst_Error &amp; "BM" &amp; Q1980,"")</f>
        <v/>
      </c>
      <c r="AL2011" s="729"/>
    </row>
    <row r="2012" spans="1:38" ht="5.15" customHeight="1" thickBot="1" x14ac:dyDescent="0.3">
      <c r="A2012" s="694"/>
      <c r="B2012" s="298"/>
      <c r="C2012" s="298"/>
      <c r="D2012" s="1248"/>
      <c r="E2012" s="1249"/>
      <c r="F2012" s="1249"/>
      <c r="G2012" s="1249"/>
      <c r="H2012" s="1249"/>
      <c r="I2012" s="1249"/>
      <c r="J2012" s="1249"/>
      <c r="K2012" s="1249"/>
      <c r="L2012" s="1249"/>
      <c r="M2012" s="1249"/>
      <c r="N2012" s="1250"/>
      <c r="O2012" s="302"/>
      <c r="P2012" s="302"/>
      <c r="Q2012" s="729"/>
      <c r="R2012" s="694"/>
      <c r="S2012" s="694"/>
      <c r="T2012" s="694"/>
      <c r="U2012" s="729"/>
      <c r="V2012" s="729"/>
      <c r="W2012" s="694"/>
      <c r="X2012" s="694"/>
      <c r="Y2012" s="694"/>
      <c r="Z2012" s="694"/>
      <c r="AA2012" s="694"/>
      <c r="AB2012" s="694"/>
      <c r="AC2012" s="694"/>
      <c r="AD2012" s="694"/>
      <c r="AE2012" s="694"/>
      <c r="AF2012" s="694"/>
      <c r="AG2012" s="694"/>
      <c r="AH2012" s="694"/>
      <c r="AI2012" s="694"/>
      <c r="AJ2012" s="694"/>
      <c r="AK2012" s="694"/>
      <c r="AL2012" s="729"/>
    </row>
    <row r="2013" spans="1:38" ht="5.15" customHeight="1" x14ac:dyDescent="0.25">
      <c r="A2013" s="694"/>
      <c r="B2013" s="298"/>
      <c r="C2013" s="298"/>
      <c r="D2013" s="302"/>
      <c r="E2013" s="302"/>
      <c r="F2013" s="302"/>
      <c r="G2013" s="302"/>
      <c r="H2013" s="302"/>
      <c r="I2013" s="302"/>
      <c r="J2013" s="302"/>
      <c r="K2013" s="302"/>
      <c r="L2013" s="302"/>
      <c r="M2013" s="302"/>
      <c r="N2013" s="302"/>
      <c r="O2013" s="302"/>
      <c r="P2013" s="302"/>
      <c r="Q2013" s="729"/>
      <c r="R2013" s="694"/>
      <c r="S2013" s="694"/>
      <c r="T2013" s="694"/>
      <c r="U2013" s="729"/>
      <c r="V2013" s="729"/>
      <c r="W2013" s="694"/>
      <c r="X2013" s="694"/>
      <c r="Y2013" s="694"/>
      <c r="Z2013" s="694"/>
      <c r="AA2013" s="694"/>
      <c r="AB2013" s="694"/>
      <c r="AC2013" s="694"/>
      <c r="AD2013" s="694"/>
      <c r="AE2013" s="694"/>
      <c r="AF2013" s="694"/>
      <c r="AG2013" s="694"/>
      <c r="AH2013" s="694"/>
      <c r="AI2013" s="694"/>
      <c r="AJ2013" s="694"/>
      <c r="AK2013" s="694"/>
      <c r="AL2013" s="729"/>
    </row>
    <row r="2014" spans="1:38" ht="15" customHeight="1" x14ac:dyDescent="0.25">
      <c r="A2014" s="694"/>
      <c r="B2014" s="698"/>
      <c r="C2014" s="298"/>
      <c r="D2014" s="2323" t="str">
        <f>Translations!$B$482</f>
        <v>Други корекционни коефициенти</v>
      </c>
      <c r="E2014" s="2249"/>
      <c r="F2014" s="2249"/>
      <c r="G2014" s="2249"/>
      <c r="H2014" s="2249"/>
      <c r="I2014" s="2249"/>
      <c r="J2014" s="2249"/>
      <c r="K2014" s="2249"/>
      <c r="L2014" s="2249"/>
      <c r="M2014" s="2249"/>
      <c r="N2014" s="2249"/>
      <c r="O2014" s="302"/>
      <c r="P2014" s="302"/>
      <c r="Q2014" s="694"/>
      <c r="R2014" s="694"/>
      <c r="S2014" s="694"/>
      <c r="T2014" s="694"/>
      <c r="U2014" s="729"/>
      <c r="V2014" s="729"/>
      <c r="W2014" s="694"/>
      <c r="X2014" s="694"/>
      <c r="Y2014" s="694"/>
      <c r="Z2014" s="694"/>
      <c r="AA2014" s="694"/>
      <c r="AB2014" s="694"/>
      <c r="AC2014" s="694"/>
      <c r="AD2014" s="694"/>
      <c r="AE2014" s="694"/>
      <c r="AF2014" s="694"/>
      <c r="AG2014" s="694"/>
      <c r="AH2014" s="694"/>
      <c r="AI2014" s="694"/>
      <c r="AJ2014" s="694"/>
      <c r="AK2014" s="694"/>
      <c r="AL2014" s="694"/>
    </row>
    <row r="2015" spans="1:38" ht="5.15" customHeight="1" x14ac:dyDescent="0.25">
      <c r="A2015" s="694"/>
      <c r="B2015" s="298"/>
      <c r="C2015" s="298"/>
      <c r="D2015" s="298"/>
      <c r="E2015" s="298"/>
      <c r="F2015" s="298"/>
      <c r="G2015" s="298"/>
      <c r="H2015" s="298"/>
      <c r="I2015" s="298"/>
      <c r="J2015" s="298"/>
      <c r="K2015" s="298"/>
      <c r="L2015" s="298"/>
      <c r="M2015" s="298"/>
      <c r="N2015" s="298"/>
      <c r="O2015" s="302"/>
      <c r="P2015" s="302"/>
      <c r="Q2015" s="729"/>
      <c r="R2015" s="694"/>
      <c r="S2015" s="694"/>
      <c r="T2015" s="694"/>
      <c r="U2015" s="729"/>
      <c r="V2015" s="729"/>
      <c r="W2015" s="694"/>
      <c r="X2015" s="694"/>
      <c r="Y2015" s="694"/>
      <c r="Z2015" s="694"/>
      <c r="AA2015" s="694"/>
      <c r="AB2015" s="694"/>
      <c r="AC2015" s="694"/>
      <c r="AD2015" s="694"/>
      <c r="AE2015" s="694"/>
      <c r="AF2015" s="694"/>
      <c r="AG2015" s="694"/>
      <c r="AH2015" s="694"/>
      <c r="AI2015" s="694"/>
      <c r="AJ2015" s="694"/>
      <c r="AK2015" s="694"/>
      <c r="AL2015" s="694"/>
    </row>
    <row r="2016" spans="1:38" ht="13" x14ac:dyDescent="0.25">
      <c r="A2016" s="694"/>
      <c r="B2016" s="698"/>
      <c r="C2016" s="698"/>
      <c r="D2016" s="300" t="s">
        <v>46</v>
      </c>
      <c r="E2016" s="2463" t="str">
        <f>Translations!$B$1516</f>
        <v>Потребление на електроенергия</v>
      </c>
      <c r="F2016" s="2463"/>
      <c r="G2016" s="2463"/>
      <c r="H2016" s="2463"/>
      <c r="I2016" s="2463"/>
      <c r="J2016" s="2463"/>
      <c r="K2016" s="2463"/>
      <c r="L2016" s="2463"/>
      <c r="M2016" s="2463"/>
      <c r="N2016" s="2463"/>
      <c r="O2016" s="302"/>
      <c r="P2016" s="302"/>
      <c r="Q2016" s="694" t="s">
        <v>450</v>
      </c>
      <c r="R2016" s="1026" t="str">
        <f>"#"&amp;ADDRESS(ROW(D2021),COLUMN(D2021))</f>
        <v>#$D$2021</v>
      </c>
      <c r="S2016" s="1174" t="s">
        <v>1732</v>
      </c>
      <c r="T2016" s="1190" t="str">
        <f>IF(I1980="","",INDEX(EUconst_BMlistElExchangability,MATCH(I1980,EUconst_BMlistNames,0)))</f>
        <v/>
      </c>
      <c r="U2016" s="729"/>
      <c r="V2016" s="729"/>
      <c r="W2016" s="694"/>
      <c r="X2016" s="694"/>
      <c r="Y2016" s="694"/>
      <c r="Z2016" s="694"/>
      <c r="AA2016" s="694"/>
      <c r="AB2016" s="694"/>
      <c r="AC2016" s="694"/>
      <c r="AD2016" s="694"/>
      <c r="AE2016" s="694"/>
      <c r="AF2016" s="694"/>
      <c r="AG2016" s="694"/>
      <c r="AH2016" s="694"/>
      <c r="AI2016" s="694"/>
      <c r="AJ2016" s="694"/>
      <c r="AK2016" s="694"/>
      <c r="AL2016" s="694"/>
    </row>
    <row r="2017" spans="1:38" ht="25.5" customHeight="1" x14ac:dyDescent="0.25">
      <c r="A2017" s="694"/>
      <c r="B2017" s="298"/>
      <c r="C2017" s="298"/>
      <c r="D2017" s="302"/>
      <c r="E2017" s="2358" t="str">
        <f>Translations!$B$1517</f>
        <v>Въведете тук електроенергията, потребена в системните граници на тази подинсталация. За продуктовите показатели, изброени в раздел 2 от приложение I към ПБР, въвеждането тук на данни е задължително, като те трябва да съответстват на съответните системни граници, посочени в този раздел.</v>
      </c>
      <c r="F2017" s="2249"/>
      <c r="G2017" s="2249"/>
      <c r="H2017" s="2249"/>
      <c r="I2017" s="2249"/>
      <c r="J2017" s="2249"/>
      <c r="K2017" s="2249"/>
      <c r="L2017" s="2249"/>
      <c r="M2017" s="2249"/>
      <c r="N2017" s="2249"/>
      <c r="O2017" s="302"/>
      <c r="P2017" s="302"/>
      <c r="Q2017" s="694"/>
      <c r="R2017" s="694"/>
      <c r="S2017" s="694"/>
      <c r="T2017" s="694"/>
      <c r="U2017" s="729"/>
      <c r="V2017" s="729"/>
      <c r="W2017" s="694"/>
      <c r="X2017" s="694"/>
      <c r="Y2017" s="694"/>
      <c r="Z2017" s="694"/>
      <c r="AA2017" s="694"/>
      <c r="AB2017" s="694"/>
      <c r="AC2017" s="694"/>
      <c r="AD2017" s="694"/>
      <c r="AE2017" s="694"/>
      <c r="AF2017" s="694"/>
      <c r="AG2017" s="694"/>
      <c r="AH2017" s="694"/>
      <c r="AI2017" s="694"/>
      <c r="AJ2017" s="694"/>
      <c r="AK2017" s="694"/>
      <c r="AL2017" s="694"/>
    </row>
    <row r="2018" spans="1:38" s="364" customFormat="1" ht="13.5" thickBot="1" x14ac:dyDescent="0.3">
      <c r="A2018" s="729"/>
      <c r="B2018" s="302"/>
      <c r="C2018" s="302"/>
      <c r="D2018" s="300"/>
      <c r="E2018" s="1013" t="str">
        <f>Translations!$B$483</f>
        <v>Параметър</v>
      </c>
      <c r="F2018" s="1015"/>
      <c r="G2018" s="527" t="str">
        <f>EUconst_Unit</f>
        <v>Единица мярка</v>
      </c>
      <c r="H2018" s="391">
        <f>H$2831</f>
        <v>2024</v>
      </c>
      <c r="I2018" s="572">
        <f>I$2831</f>
        <v>2025</v>
      </c>
      <c r="J2018" s="757">
        <f>J$91</f>
        <v>2026</v>
      </c>
      <c r="K2018" s="758">
        <f>K$91</f>
        <v>2027</v>
      </c>
      <c r="L2018" s="391">
        <f>L$91</f>
        <v>2028</v>
      </c>
      <c r="M2018" s="391">
        <f>M$91</f>
        <v>2029</v>
      </c>
      <c r="N2018" s="391">
        <f>N$91</f>
        <v>2030</v>
      </c>
      <c r="O2018" s="302"/>
      <c r="P2018" s="302"/>
      <c r="Q2018" s="729"/>
      <c r="R2018" s="729"/>
      <c r="S2018" s="694"/>
      <c r="T2018" s="694"/>
      <c r="U2018" s="729"/>
      <c r="V2018" s="729"/>
      <c r="W2018" s="729"/>
      <c r="X2018" s="729"/>
      <c r="Y2018" s="729"/>
      <c r="Z2018" s="729"/>
      <c r="AA2018" s="729"/>
      <c r="AB2018" s="694"/>
      <c r="AC2018" s="1178">
        <f t="shared" ref="AC2018" si="2824">H$20</f>
        <v>2024</v>
      </c>
      <c r="AD2018" s="1178">
        <f t="shared" ref="AD2018" si="2825">I$20</f>
        <v>2025</v>
      </c>
      <c r="AE2018" s="1178">
        <f t="shared" ref="AE2018" si="2826">J$20</f>
        <v>2026</v>
      </c>
      <c r="AF2018" s="1178">
        <f t="shared" ref="AF2018" si="2827">K$20</f>
        <v>2027</v>
      </c>
      <c r="AG2018" s="1178">
        <f t="shared" ref="AG2018" si="2828">L$20</f>
        <v>2028</v>
      </c>
      <c r="AH2018" s="1178">
        <f t="shared" ref="AH2018" si="2829">M$20</f>
        <v>2029</v>
      </c>
      <c r="AI2018" s="1178">
        <f t="shared" ref="AI2018" si="2830">N$20</f>
        <v>2030</v>
      </c>
      <c r="AJ2018" s="694"/>
      <c r="AK2018" s="694"/>
      <c r="AL2018" s="694"/>
    </row>
    <row r="2019" spans="1:38" s="364" customFormat="1" ht="12.75" customHeight="1" thickBot="1" x14ac:dyDescent="0.3">
      <c r="A2019" s="729"/>
      <c r="B2019" s="302"/>
      <c r="C2019" s="302"/>
      <c r="D2019" s="360"/>
      <c r="E2019" s="1251" t="str">
        <f>Translations!$B$485</f>
        <v>Съответно потребление на електроенергия</v>
      </c>
      <c r="F2019" s="1252"/>
      <c r="G2019" s="1253" t="str">
        <f>EUconst_MWhpa</f>
        <v>MWh / година</v>
      </c>
      <c r="H2019" s="39"/>
      <c r="I2019" s="194"/>
      <c r="J2019" s="195"/>
      <c r="K2019" s="208"/>
      <c r="L2019" s="39"/>
      <c r="M2019" s="39"/>
      <c r="N2019" s="39"/>
      <c r="O2019" s="302"/>
      <c r="P2019" s="158"/>
      <c r="Q2019" s="982" t="str">
        <f>EUconst_CNTR_HAL&amp;EUconst_CNTR_ELEXCH &amp;I1980</f>
        <v>HAL_ELEXCH_</v>
      </c>
      <c r="R2019" s="729"/>
      <c r="S2019" s="729"/>
      <c r="T2019" s="729"/>
      <c r="U2019" s="729"/>
      <c r="V2019" s="729"/>
      <c r="W2019" s="729"/>
      <c r="X2019" s="729"/>
      <c r="Y2019" s="729"/>
      <c r="Z2019" s="729"/>
      <c r="AA2019" s="729"/>
      <c r="AB2019" s="1182" t="s">
        <v>737</v>
      </c>
      <c r="AC2019" s="1254" t="b">
        <f t="shared" ref="AC2019" si="2831">IF(CNTR_ExistSubInstEntries,IF($I1980="",TRUE,OR(H2018&gt;=CNTR_ReportingYear,AC2018&lt;$V1980-1,INDEX(EUconst_BMlistElExchangability,MATCH($I1980,EUconst_BMlistNames,0))=FALSE)),FALSE)</f>
        <v>0</v>
      </c>
      <c r="AD2019" s="1255" t="b">
        <f t="shared" ref="AD2019" si="2832">IF(CNTR_ExistSubInstEntries,IF($I1980="",TRUE,OR(I2018&gt;=CNTR_ReportingYear,AD2018&lt;$V1980-1,INDEX(EUconst_BMlistElExchangability,MATCH($I1980,EUconst_BMlistNames,0))=FALSE)),FALSE)</f>
        <v>0</v>
      </c>
      <c r="AE2019" s="1255" t="b">
        <f t="shared" ref="AE2019" si="2833">IF(CNTR_ExistSubInstEntries,IF($I1980="",TRUE,OR(J2018&gt;=CNTR_ReportingYear,AE2018&lt;$V1980-1,INDEX(EUconst_BMlistElExchangability,MATCH($I1980,EUconst_BMlistNames,0))=FALSE)),FALSE)</f>
        <v>0</v>
      </c>
      <c r="AF2019" s="1255" t="b">
        <f t="shared" ref="AF2019" si="2834">IF(CNTR_ExistSubInstEntries,IF($I1980="",TRUE,OR(K2018&gt;=CNTR_ReportingYear,AF2018&lt;$V1980-1,INDEX(EUconst_BMlistElExchangability,MATCH($I1980,EUconst_BMlistNames,0))=FALSE)),FALSE)</f>
        <v>0</v>
      </c>
      <c r="AG2019" s="1255" t="b">
        <f t="shared" ref="AG2019" si="2835">IF(CNTR_ExistSubInstEntries,IF($I1980="",TRUE,OR(L2018&gt;=CNTR_ReportingYear,AG2018&lt;$V1980-1,INDEX(EUconst_BMlistElExchangability,MATCH($I1980,EUconst_BMlistNames,0))=FALSE)),FALSE)</f>
        <v>0</v>
      </c>
      <c r="AH2019" s="1255" t="b">
        <f t="shared" ref="AH2019" si="2836">IF(CNTR_ExistSubInstEntries,IF($I1980="",TRUE,OR(M2018&gt;=CNTR_ReportingYear,AH2018&lt;$V1980-1,INDEX(EUconst_BMlistElExchangability,MATCH($I1980,EUconst_BMlistNames,0))=FALSE)),FALSE)</f>
        <v>0</v>
      </c>
      <c r="AI2019" s="1256" t="b">
        <f t="shared" ref="AI2019" si="2837">IF(CNTR_ExistSubInstEntries,IF($I1980="",TRUE,OR(N2018&gt;=CNTR_ReportingYear,AI2018&lt;$V1980-1,INDEX(EUconst_BMlistElExchangability,MATCH($I1980,EUconst_BMlistNames,0))=FALSE)),FALSE)</f>
        <v>0</v>
      </c>
      <c r="AJ2019" s="1174" t="s">
        <v>2039</v>
      </c>
      <c r="AK2019" s="1176" t="str">
        <f>IF(AND(CNTR_ExistSubInstEntries,COUNTIFS(AC2019:AI2019,FALSE,H2019:N2019,"")&gt;0),EUconst_Error&amp;"BM"&amp;$Q1980,"")</f>
        <v/>
      </c>
      <c r="AL2019" s="694"/>
    </row>
    <row r="2020" spans="1:38" ht="5.15" customHeight="1" x14ac:dyDescent="0.25">
      <c r="A2020" s="694"/>
      <c r="B2020" s="298"/>
      <c r="C2020" s="298"/>
      <c r="D2020" s="298"/>
      <c r="E2020" s="298"/>
      <c r="F2020" s="298"/>
      <c r="G2020" s="298"/>
      <c r="H2020" s="298"/>
      <c r="I2020" s="298"/>
      <c r="J2020" s="298"/>
      <c r="K2020" s="298"/>
      <c r="L2020" s="298"/>
      <c r="M2020" s="302"/>
      <c r="N2020" s="302"/>
      <c r="O2020" s="302"/>
      <c r="P2020" s="302"/>
      <c r="Q2020" s="729"/>
      <c r="R2020" s="694"/>
      <c r="S2020" s="694"/>
      <c r="T2020" s="694"/>
      <c r="U2020" s="694"/>
      <c r="V2020" s="694"/>
      <c r="W2020" s="694"/>
      <c r="X2020" s="694"/>
      <c r="Y2020" s="694"/>
      <c r="Z2020" s="694"/>
      <c r="AA2020" s="694"/>
      <c r="AB2020" s="694"/>
      <c r="AC2020" s="694"/>
      <c r="AD2020" s="694"/>
      <c r="AE2020" s="694"/>
      <c r="AF2020" s="694"/>
      <c r="AG2020" s="694"/>
      <c r="AH2020" s="694"/>
      <c r="AI2020" s="694"/>
      <c r="AJ2020" s="694"/>
      <c r="AK2020" s="694"/>
      <c r="AL2020" s="694"/>
    </row>
    <row r="2021" spans="1:38" ht="13" x14ac:dyDescent="0.25">
      <c r="A2021" s="694"/>
      <c r="B2021" s="298"/>
      <c r="C2021" s="298"/>
      <c r="D2021" s="300" t="s">
        <v>906</v>
      </c>
      <c r="E2021" s="2226" t="str">
        <f>Translations!$B$487</f>
        <v>Топлинна енергия, получена от инсталации или обекти извън СТЕ:</v>
      </c>
      <c r="F2021" s="2226"/>
      <c r="G2021" s="2226"/>
      <c r="H2021" s="2226"/>
      <c r="I2021" s="2317"/>
      <c r="J2021" s="2858" t="str">
        <f>IF(I1980="","",HYPERLINK(R2021,EUconst_MsgGoOnIfNotRelevant))</f>
        <v/>
      </c>
      <c r="K2021" s="2859"/>
      <c r="L2021" s="2859"/>
      <c r="M2021" s="2859"/>
      <c r="N2021" s="2860"/>
      <c r="O2021" s="302"/>
      <c r="P2021" s="302"/>
      <c r="Q2021" s="694" t="s">
        <v>450</v>
      </c>
      <c r="R2021" s="1026" t="str">
        <f>"#"&amp;ADDRESS(ROW(D2046),COLUMN(D2046))</f>
        <v>#$D$2046</v>
      </c>
      <c r="S2021" s="694"/>
      <c r="T2021" s="694"/>
      <c r="U2021" s="694"/>
      <c r="V2021" s="694"/>
      <c r="W2021" s="694"/>
      <c r="X2021" s="694"/>
      <c r="Y2021" s="694"/>
      <c r="Z2021" s="694"/>
      <c r="AA2021" s="694"/>
      <c r="AB2021" s="694"/>
      <c r="AC2021" s="694"/>
      <c r="AD2021" s="694"/>
      <c r="AE2021" s="694"/>
      <c r="AF2021" s="694"/>
      <c r="AG2021" s="694"/>
      <c r="AH2021" s="694"/>
      <c r="AI2021" s="694"/>
      <c r="AJ2021" s="694"/>
      <c r="AK2021" s="694"/>
      <c r="AL2021" s="694"/>
    </row>
    <row r="2022" spans="1:38" x14ac:dyDescent="0.25">
      <c r="A2022" s="694"/>
      <c r="B2022" s="298"/>
      <c r="C2022" s="298"/>
      <c r="D2022" s="302"/>
      <c r="E2022" s="2358" t="str">
        <f>Translations!$B$488</f>
        <v>Съгласно член 21 от ПБР определено количество емисии трябва да се приспадне от предварителното годишно разпределение за подинсталациите с продуктов показател.</v>
      </c>
      <c r="F2022" s="2249"/>
      <c r="G2022" s="2249"/>
      <c r="H2022" s="2249"/>
      <c r="I2022" s="2249"/>
      <c r="J2022" s="2249"/>
      <c r="K2022" s="2249"/>
      <c r="L2022" s="2249"/>
      <c r="M2022" s="2249"/>
      <c r="N2022" s="2249"/>
      <c r="O2022" s="302"/>
      <c r="P2022" s="302"/>
      <c r="Q2022" s="729"/>
      <c r="R2022" s="694"/>
      <c r="S2022" s="694"/>
      <c r="T2022" s="694"/>
      <c r="U2022" s="729"/>
      <c r="V2022" s="729"/>
      <c r="W2022" s="694"/>
      <c r="X2022" s="694"/>
      <c r="Y2022" s="694"/>
      <c r="Z2022" s="694"/>
      <c r="AA2022" s="694"/>
      <c r="AB2022" s="694"/>
      <c r="AC2022" s="694"/>
      <c r="AD2022" s="694"/>
      <c r="AE2022" s="694"/>
      <c r="AF2022" s="694"/>
      <c r="AG2022" s="694"/>
      <c r="AH2022" s="694"/>
      <c r="AI2022" s="694"/>
      <c r="AJ2022" s="694"/>
      <c r="AK2022" s="694"/>
      <c r="AL2022" s="694"/>
    </row>
    <row r="2023" spans="1:38" x14ac:dyDescent="0.25">
      <c r="A2023" s="694"/>
      <c r="B2023" s="298"/>
      <c r="C2023" s="298"/>
      <c r="D2023" s="302"/>
      <c r="E2023" s="2358" t="str">
        <f>Translations!$B$489</f>
        <v>Това количество е количеството измерима топлинна енергия, внесена от инсталации или обекти извън СТЕ (включително всяка топлинна енергия от подинсталации за производство на азотна киселина), умножено по топлинния показател.</v>
      </c>
      <c r="F2023" s="2249"/>
      <c r="G2023" s="2249"/>
      <c r="H2023" s="2249"/>
      <c r="I2023" s="2249"/>
      <c r="J2023" s="2249"/>
      <c r="K2023" s="2249"/>
      <c r="L2023" s="2249"/>
      <c r="M2023" s="2249"/>
      <c r="N2023" s="2249"/>
      <c r="O2023" s="302"/>
      <c r="P2023" s="302"/>
      <c r="Q2023" s="729"/>
      <c r="R2023" s="694"/>
      <c r="S2023" s="694"/>
      <c r="T2023" s="694"/>
      <c r="U2023" s="729"/>
      <c r="V2023" s="729"/>
      <c r="W2023" s="694"/>
      <c r="X2023" s="694"/>
      <c r="Y2023" s="694"/>
      <c r="Z2023" s="694"/>
      <c r="AA2023" s="694"/>
      <c r="AB2023" s="694"/>
      <c r="AC2023" s="694"/>
      <c r="AD2023" s="694"/>
      <c r="AE2023" s="694"/>
      <c r="AF2023" s="694"/>
      <c r="AG2023" s="694"/>
      <c r="AH2023" s="694"/>
      <c r="AI2023" s="694"/>
      <c r="AJ2023" s="694"/>
      <c r="AK2023" s="694"/>
      <c r="AL2023" s="694"/>
    </row>
    <row r="2024" spans="1:38" x14ac:dyDescent="0.25">
      <c r="A2024" s="694"/>
      <c r="B2024" s="298"/>
      <c r="C2024" s="298"/>
      <c r="D2024" s="302"/>
      <c r="E2024" s="2358" t="str">
        <f>Translations!$B$490</f>
        <v>Моля, въведете тук съответните стойности. Имайте предвид, че стойностите трябва да съответстват на сумите за енергията, получена от източници извън СТЕ, въведени в точка E.II.c в работен лист „E_Energy flows“ („E_Енергийни потоци“).</v>
      </c>
      <c r="F2024" s="2249"/>
      <c r="G2024" s="2249"/>
      <c r="H2024" s="2249"/>
      <c r="I2024" s="2249"/>
      <c r="J2024" s="2249"/>
      <c r="K2024" s="2249"/>
      <c r="L2024" s="2249"/>
      <c r="M2024" s="2249"/>
      <c r="N2024" s="2249"/>
      <c r="O2024" s="302"/>
      <c r="P2024" s="302"/>
      <c r="Q2024" s="729"/>
      <c r="R2024" s="694"/>
      <c r="S2024" s="694"/>
      <c r="T2024" s="694"/>
      <c r="U2024" s="729"/>
      <c r="V2024" s="729"/>
      <c r="W2024" s="694"/>
      <c r="X2024" s="694"/>
      <c r="Y2024" s="694"/>
      <c r="Z2024" s="694"/>
      <c r="AA2024" s="694"/>
      <c r="AB2024" s="694"/>
      <c r="AC2024" s="694"/>
      <c r="AD2024" s="694"/>
      <c r="AE2024" s="694"/>
      <c r="AF2024" s="694"/>
      <c r="AG2024" s="694"/>
      <c r="AH2024" s="694"/>
      <c r="AI2024" s="694"/>
      <c r="AJ2024" s="694"/>
      <c r="AK2024" s="694"/>
      <c r="AL2024" s="694"/>
    </row>
    <row r="2025" spans="1:38" x14ac:dyDescent="0.25">
      <c r="A2025" s="694"/>
      <c r="B2025" s="298"/>
      <c r="C2025" s="298"/>
      <c r="D2025" s="302"/>
      <c r="E2025" s="2358" t="str">
        <f>Translations!$B$491</f>
        <v>Освен това данните трябва да съответстват и на общото нетно количество получена измерима топлинна енергия, въведено в k). i по-долу.</v>
      </c>
      <c r="F2025" s="2249"/>
      <c r="G2025" s="2249"/>
      <c r="H2025" s="2249"/>
      <c r="I2025" s="2249"/>
      <c r="J2025" s="2249"/>
      <c r="K2025" s="2249"/>
      <c r="L2025" s="2249"/>
      <c r="M2025" s="2249"/>
      <c r="N2025" s="2249"/>
      <c r="O2025" s="302"/>
      <c r="P2025" s="302"/>
      <c r="Q2025" s="729"/>
      <c r="R2025" s="694"/>
      <c r="S2025" s="694"/>
      <c r="T2025" s="694"/>
      <c r="U2025" s="729"/>
      <c r="V2025" s="729"/>
      <c r="W2025" s="729"/>
      <c r="X2025" s="729"/>
      <c r="Y2025" s="729"/>
      <c r="Z2025" s="729"/>
      <c r="AA2025" s="694"/>
      <c r="AB2025" s="694"/>
      <c r="AC2025" s="694"/>
      <c r="AD2025" s="694"/>
      <c r="AE2025" s="694"/>
      <c r="AF2025" s="694"/>
      <c r="AG2025" s="694"/>
      <c r="AH2025" s="694"/>
      <c r="AI2025" s="694"/>
      <c r="AJ2025" s="694"/>
      <c r="AK2025" s="694"/>
      <c r="AL2025" s="694"/>
    </row>
    <row r="2026" spans="1:38" ht="13.5" thickBot="1" x14ac:dyDescent="0.3">
      <c r="A2026" s="694"/>
      <c r="B2026" s="698"/>
      <c r="C2026" s="698"/>
      <c r="D2026" s="300"/>
      <c r="E2026" s="1013" t="str">
        <f>Translations!$B$483</f>
        <v>Параметър</v>
      </c>
      <c r="F2026" s="1015"/>
      <c r="G2026" s="527" t="str">
        <f>EUconst_Unit</f>
        <v>Единица мярка</v>
      </c>
      <c r="H2026" s="391">
        <f>H$2831</f>
        <v>2024</v>
      </c>
      <c r="I2026" s="572">
        <f>I$2831</f>
        <v>2025</v>
      </c>
      <c r="J2026" s="757">
        <f>J$91</f>
        <v>2026</v>
      </c>
      <c r="K2026" s="391">
        <f>K$91</f>
        <v>2027</v>
      </c>
      <c r="L2026" s="391">
        <f>L$91</f>
        <v>2028</v>
      </c>
      <c r="M2026" s="391">
        <f>M$91</f>
        <v>2029</v>
      </c>
      <c r="N2026" s="391">
        <f>N$91</f>
        <v>2030</v>
      </c>
      <c r="O2026" s="302"/>
      <c r="P2026" s="302"/>
      <c r="Q2026" s="694"/>
      <c r="R2026" s="1031"/>
      <c r="S2026" s="1174" t="s">
        <v>1906</v>
      </c>
      <c r="T2026" s="1178">
        <f>H2026</f>
        <v>2024</v>
      </c>
      <c r="U2026" s="1178">
        <f t="shared" ref="U2026" si="2838">I2026</f>
        <v>2025</v>
      </c>
      <c r="V2026" s="1178">
        <f t="shared" ref="V2026" si="2839">J2026</f>
        <v>2026</v>
      </c>
      <c r="W2026" s="1178">
        <f t="shared" ref="W2026" si="2840">K2026</f>
        <v>2027</v>
      </c>
      <c r="X2026" s="1178">
        <f t="shared" ref="X2026" si="2841">L2026</f>
        <v>2028</v>
      </c>
      <c r="Y2026" s="1178">
        <f t="shared" ref="Y2026" si="2842">M2026</f>
        <v>2029</v>
      </c>
      <c r="Z2026" s="1178">
        <f t="shared" ref="Z2026" si="2843">N2026</f>
        <v>2030</v>
      </c>
      <c r="AA2026" s="1031"/>
      <c r="AB2026" s="694"/>
      <c r="AC2026" s="1178">
        <f t="shared" ref="AC2026" si="2844">H$20</f>
        <v>2024</v>
      </c>
      <c r="AD2026" s="1178">
        <f t="shared" ref="AD2026" si="2845">I$20</f>
        <v>2025</v>
      </c>
      <c r="AE2026" s="1178">
        <f t="shared" ref="AE2026" si="2846">J$20</f>
        <v>2026</v>
      </c>
      <c r="AF2026" s="1178">
        <f t="shared" ref="AF2026" si="2847">K$20</f>
        <v>2027</v>
      </c>
      <c r="AG2026" s="1178">
        <f t="shared" ref="AG2026" si="2848">L$20</f>
        <v>2028</v>
      </c>
      <c r="AH2026" s="1178">
        <f t="shared" ref="AH2026" si="2849">M$20</f>
        <v>2029</v>
      </c>
      <c r="AI2026" s="1178">
        <f t="shared" ref="AI2026" si="2850">N$20</f>
        <v>2030</v>
      </c>
      <c r="AJ2026" s="694"/>
      <c r="AK2026" s="694"/>
      <c r="AL2026" s="694"/>
    </row>
    <row r="2027" spans="1:38" ht="13" customHeight="1" thickBot="1" x14ac:dyDescent="0.3">
      <c r="A2027" s="694"/>
      <c r="B2027" s="698"/>
      <c r="C2027" s="698"/>
      <c r="D2027" s="1084" t="s">
        <v>6</v>
      </c>
      <c r="E2027" s="2667" t="str">
        <f>Translations!$B$492</f>
        <v>Измерима топлинна енергия, получена от източници извън СТЕ:</v>
      </c>
      <c r="F2027" s="2667"/>
      <c r="G2027" s="1016" t="str">
        <f>EUconst_TJpa</f>
        <v>TJ / година</v>
      </c>
      <c r="H2027" s="24"/>
      <c r="I2027" s="59"/>
      <c r="J2027" s="60"/>
      <c r="K2027" s="24"/>
      <c r="L2027" s="24"/>
      <c r="M2027" s="24"/>
      <c r="N2027" s="24"/>
      <c r="O2027" s="302"/>
      <c r="P2027" s="158"/>
      <c r="Q2027" s="982" t="str">
        <f>EUconst_CNTR_HAL&amp;EUconst_CNTR_nonETSMeasHeat</f>
        <v>HAL_измерима топлинна енергия извън СТЕ</v>
      </c>
      <c r="R2027" s="694"/>
      <c r="S2027" s="1174"/>
      <c r="T2027" s="1257" t="str">
        <f t="shared" ref="T2027" si="2851">IF(H2027="","",SUM(H2027)*EUconst_HeatBMvalue)</f>
        <v/>
      </c>
      <c r="U2027" s="1257" t="str">
        <f t="shared" ref="U2027" si="2852">IF(I2027="","",SUM(I2027)*EUconst_HeatBMvalue)</f>
        <v/>
      </c>
      <c r="V2027" s="1257" t="str">
        <f t="shared" ref="V2027" si="2853">IF(J2027="","",SUM(J2027)*EUconst_HeatBMvalue)</f>
        <v/>
      </c>
      <c r="W2027" s="1257" t="str">
        <f t="shared" ref="W2027" si="2854">IF(K2027="","",SUM(K2027)*EUconst_HeatBMvalue)</f>
        <v/>
      </c>
      <c r="X2027" s="1257" t="str">
        <f t="shared" ref="X2027" si="2855">IF(L2027="","",SUM(L2027)*EUconst_HeatBMvalue)</f>
        <v/>
      </c>
      <c r="Y2027" s="1257" t="str">
        <f t="shared" ref="Y2027" si="2856">IF(M2027="","",SUM(M2027)*EUconst_HeatBMvalue)</f>
        <v/>
      </c>
      <c r="Z2027" s="1257" t="str">
        <f t="shared" ref="Z2027" si="2857">IF(N2027="","",SUM(N2027)*EUconst_HeatBMvalue)</f>
        <v/>
      </c>
      <c r="AA2027" s="694"/>
      <c r="AB2027" s="1182" t="s">
        <v>737</v>
      </c>
      <c r="AC2027" s="1183" t="b">
        <f t="shared" ref="AC2027" si="2858">IF(CNTR_ExistSubInstEntries,OR($I1980="",H1987&gt;=CNTR_ReportingYear,AC2026&lt;$V1980-1),FALSE)</f>
        <v>0</v>
      </c>
      <c r="AD2027" s="1184" t="b">
        <f t="shared" ref="AD2027" si="2859">IF(CNTR_ExistSubInstEntries,OR($I1980="",I1987&gt;=CNTR_ReportingYear,AD2026&lt;$V1980-1),FALSE)</f>
        <v>0</v>
      </c>
      <c r="AE2027" s="1184" t="b">
        <f t="shared" ref="AE2027" si="2860">IF(CNTR_ExistSubInstEntries,OR($I1980="",J1987&gt;=CNTR_ReportingYear,AE2026&lt;$V1980-1),FALSE)</f>
        <v>0</v>
      </c>
      <c r="AF2027" s="1184" t="b">
        <f t="shared" ref="AF2027" si="2861">IF(CNTR_ExistSubInstEntries,OR($I1980="",K1987&gt;=CNTR_ReportingYear,AF2026&lt;$V1980-1),FALSE)</f>
        <v>0</v>
      </c>
      <c r="AG2027" s="1184" t="b">
        <f t="shared" ref="AG2027" si="2862">IF(CNTR_ExistSubInstEntries,OR($I1980="",L1987&gt;=CNTR_ReportingYear,AG2026&lt;$V1980-1),FALSE)</f>
        <v>0</v>
      </c>
      <c r="AH2027" s="1184" t="b">
        <f t="shared" ref="AH2027" si="2863">IF(CNTR_ExistSubInstEntries,OR($I1980="",M1987&gt;=CNTR_ReportingYear,AH2026&lt;$V1980-1),FALSE)</f>
        <v>0</v>
      </c>
      <c r="AI2027" s="1185" t="b">
        <f t="shared" ref="AI2027" si="2864">IF(CNTR_ExistSubInstEntries,OR($I1980="",N1987&gt;=CNTR_ReportingYear,AI2026&lt;$V1980-1),FALSE)</f>
        <v>0</v>
      </c>
      <c r="AJ2027" s="1174" t="s">
        <v>2039</v>
      </c>
      <c r="AK2027" s="1176" t="str">
        <f>IF(AND(CNTR_ExistSubInstEntries,COUNTIFS(AC2027:AI2027,FALSE,H2027:N2027,"")&gt;0),EUconst_Error&amp;"BM"&amp;$Q1980,"")</f>
        <v/>
      </c>
      <c r="AL2027" s="694"/>
    </row>
    <row r="2028" spans="1:38" ht="25.5" customHeight="1" x14ac:dyDescent="0.25">
      <c r="A2028" s="694"/>
      <c r="B2028" s="698"/>
      <c r="C2028" s="698"/>
      <c r="D2028" s="1084" t="s">
        <v>7</v>
      </c>
      <c r="E2028" s="1258" t="str">
        <f>Translations!$B$493</f>
        <v>Проверка на съответствието с работен лист „E_Energy flows“ („E_Енергийни потоци“):</v>
      </c>
      <c r="F2028" s="1258"/>
      <c r="G2028" s="1259" t="s">
        <v>1053</v>
      </c>
      <c r="H2028" s="16" t="str">
        <f>IF(AND(ISNUMBER(H2027),ISNUMBER(E_EnergyFlows!H$141)), H2027/E_EnergyFlows!H$141*100,"")</f>
        <v/>
      </c>
      <c r="I2028" s="105" t="str">
        <f>IF(AND(ISNUMBER(I2027),ISNUMBER(E_EnergyFlows!I$141)), I2027/E_EnergyFlows!I$141*100,"")</f>
        <v/>
      </c>
      <c r="J2028" s="107" t="str">
        <f>IF(AND(ISNUMBER(J2027),ISNUMBER(E_EnergyFlows!J$141)), J2027/E_EnergyFlows!J$141*100,"")</f>
        <v/>
      </c>
      <c r="K2028" s="16" t="str">
        <f>IF(AND(ISNUMBER(K2027),ISNUMBER(E_EnergyFlows!K$141)), K2027/E_EnergyFlows!K$141*100,"")</f>
        <v/>
      </c>
      <c r="L2028" s="16" t="str">
        <f>IF(AND(ISNUMBER(L2027),ISNUMBER(E_EnergyFlows!L$141)), L2027/E_EnergyFlows!L$141*100,"")</f>
        <v/>
      </c>
      <c r="M2028" s="16" t="str">
        <f>IF(AND(ISNUMBER(M2027),ISNUMBER(E_EnergyFlows!M$141)), M2027/E_EnergyFlows!M$141*100,"")</f>
        <v/>
      </c>
      <c r="N2028" s="16" t="str">
        <f>IF(AND(ISNUMBER(N2027),ISNUMBER(E_EnergyFlows!N$141)), N2027/E_EnergyFlows!N$141*100,"")</f>
        <v/>
      </c>
      <c r="O2028" s="302"/>
      <c r="P2028" s="302"/>
      <c r="Q2028" s="1033" t="str">
        <f>EUconst_CNTR_HEAT &amp; I1980</f>
        <v>HEAT_</v>
      </c>
      <c r="R2028" s="729"/>
      <c r="S2028" s="694"/>
      <c r="T2028" s="694"/>
      <c r="U2028" s="729"/>
      <c r="V2028" s="729"/>
      <c r="W2028" s="694"/>
      <c r="X2028" s="694"/>
      <c r="Y2028" s="694"/>
      <c r="Z2028" s="694"/>
      <c r="AA2028" s="694"/>
      <c r="AB2028" s="694"/>
      <c r="AC2028" s="694"/>
      <c r="AD2028" s="694"/>
      <c r="AE2028" s="694"/>
      <c r="AF2028" s="694"/>
      <c r="AG2028" s="694"/>
      <c r="AH2028" s="694"/>
      <c r="AI2028" s="694"/>
      <c r="AJ2028" s="694"/>
      <c r="AK2028" s="694"/>
      <c r="AL2028" s="694"/>
    </row>
    <row r="2029" spans="1:38" ht="12.65" customHeight="1" x14ac:dyDescent="0.25">
      <c r="A2029" s="694"/>
      <c r="B2029" s="698"/>
      <c r="C2029" s="698"/>
      <c r="D2029" s="1084" t="s">
        <v>8</v>
      </c>
      <c r="E2029" s="1260" t="str">
        <f>Translations!$B$494</f>
        <v>Проверка на съответствието с k).i):</v>
      </c>
      <c r="F2029" s="1261"/>
      <c r="G2029" s="1262" t="s">
        <v>1053</v>
      </c>
      <c r="H2029" s="15" t="str">
        <f t="shared" ref="H2029:N2029" si="2865">IF(AND(H2152&gt;0,ISNUMBER(H2027)), H2027/H2152*100,"")</f>
        <v/>
      </c>
      <c r="I2029" s="106" t="str">
        <f t="shared" si="2865"/>
        <v/>
      </c>
      <c r="J2029" s="108" t="str">
        <f t="shared" si="2865"/>
        <v/>
      </c>
      <c r="K2029" s="15" t="str">
        <f t="shared" si="2865"/>
        <v/>
      </c>
      <c r="L2029" s="15" t="str">
        <f t="shared" si="2865"/>
        <v/>
      </c>
      <c r="M2029" s="15" t="str">
        <f t="shared" si="2865"/>
        <v/>
      </c>
      <c r="N2029" s="15" t="str">
        <f t="shared" si="2865"/>
        <v/>
      </c>
      <c r="O2029" s="302"/>
      <c r="P2029" s="302"/>
      <c r="Q2029" s="694"/>
      <c r="R2029" s="694"/>
      <c r="S2029" s="694"/>
      <c r="T2029" s="694"/>
      <c r="U2029" s="729"/>
      <c r="V2029" s="729"/>
      <c r="W2029" s="694"/>
      <c r="X2029" s="694"/>
      <c r="Y2029" s="694"/>
      <c r="Z2029" s="694"/>
      <c r="AA2029" s="694"/>
      <c r="AB2029" s="694"/>
      <c r="AC2029" s="694"/>
      <c r="AD2029" s="694"/>
      <c r="AE2029" s="694"/>
      <c r="AF2029" s="694"/>
      <c r="AG2029" s="694"/>
      <c r="AH2029" s="694"/>
      <c r="AI2029" s="694"/>
      <c r="AJ2029" s="694"/>
      <c r="AK2029" s="694"/>
      <c r="AL2029" s="694"/>
    </row>
    <row r="2030" spans="1:38" ht="5.15" customHeight="1" x14ac:dyDescent="0.25">
      <c r="A2030" s="694"/>
      <c r="B2030" s="698"/>
      <c r="C2030" s="698"/>
      <c r="D2030" s="698"/>
      <c r="E2030" s="698"/>
      <c r="F2030" s="698"/>
      <c r="G2030" s="698"/>
      <c r="H2030" s="698"/>
      <c r="I2030" s="1025"/>
      <c r="J2030" s="698"/>
      <c r="K2030" s="698"/>
      <c r="L2030" s="698"/>
      <c r="M2030" s="698"/>
      <c r="N2030" s="698"/>
      <c r="O2030" s="302"/>
      <c r="P2030" s="302"/>
      <c r="Q2030" s="1263"/>
      <c r="R2030" s="694"/>
      <c r="S2030" s="694"/>
      <c r="T2030" s="694"/>
      <c r="U2030" s="729"/>
      <c r="V2030" s="729"/>
      <c r="W2030" s="694"/>
      <c r="X2030" s="694"/>
      <c r="Y2030" s="694"/>
      <c r="Z2030" s="694"/>
      <c r="AA2030" s="694"/>
      <c r="AB2030" s="694"/>
      <c r="AC2030" s="694"/>
      <c r="AD2030" s="694"/>
      <c r="AE2030" s="694"/>
      <c r="AF2030" s="694"/>
      <c r="AG2030" s="694"/>
      <c r="AH2030" s="694"/>
      <c r="AI2030" s="694"/>
      <c r="AJ2030" s="694"/>
      <c r="AK2030" s="694"/>
      <c r="AL2030" s="694"/>
    </row>
    <row r="2031" spans="1:38" ht="25.5" customHeight="1" thickBot="1" x14ac:dyDescent="0.3">
      <c r="A2031" s="694"/>
      <c r="B2031" s="298"/>
      <c r="C2031" s="298"/>
      <c r="D2031" s="302"/>
      <c r="E2031" s="2358" t="str">
        <f>Translations!$B$1326</f>
        <v>На базата на данните по-горе тук се определят средните годишни стойности на стойностите от i. Разпределението ще бъде променено само ако са надвишени относителният праг (15 % в сравнение със стойността в НМИ) и абсолютният праг (промяната води до корекция с повече от 100 квоти), определени в член 6, параграф 4 от Регламента за ALC.</v>
      </c>
      <c r="F2031" s="2249"/>
      <c r="G2031" s="2249"/>
      <c r="H2031" s="2249"/>
      <c r="I2031" s="2249"/>
      <c r="J2031" s="2249"/>
      <c r="K2031" s="2249"/>
      <c r="L2031" s="2249"/>
      <c r="M2031" s="2249"/>
      <c r="N2031" s="2249"/>
      <c r="O2031" s="302"/>
      <c r="P2031" s="302"/>
      <c r="Q2031" s="729"/>
      <c r="R2031" s="694"/>
      <c r="S2031" s="729"/>
      <c r="T2031" s="729"/>
      <c r="U2031" s="729"/>
      <c r="V2031" s="694"/>
      <c r="W2031" s="694"/>
      <c r="X2031" s="694"/>
      <c r="Y2031" s="694"/>
      <c r="Z2031" s="694"/>
      <c r="AA2031" s="694"/>
      <c r="AB2031" s="694"/>
      <c r="AC2031" s="694"/>
      <c r="AD2031" s="694"/>
      <c r="AE2031" s="694"/>
      <c r="AF2031" s="694"/>
      <c r="AG2031" s="694"/>
      <c r="AH2031" s="694"/>
      <c r="AI2031" s="694"/>
      <c r="AJ2031" s="694"/>
      <c r="AK2031" s="694"/>
      <c r="AL2031" s="694"/>
    </row>
    <row r="2032" spans="1:38" ht="5.15" customHeight="1" thickBot="1" x14ac:dyDescent="0.3">
      <c r="A2032" s="694"/>
      <c r="B2032" s="298"/>
      <c r="C2032" s="298"/>
      <c r="D2032" s="1192"/>
      <c r="E2032" s="1194"/>
      <c r="F2032" s="1264"/>
      <c r="G2032" s="1264"/>
      <c r="H2032" s="1264"/>
      <c r="I2032" s="1264"/>
      <c r="J2032" s="1264"/>
      <c r="K2032" s="1264"/>
      <c r="L2032" s="1264"/>
      <c r="M2032" s="1264"/>
      <c r="N2032" s="1265"/>
      <c r="O2032" s="302"/>
      <c r="P2032" s="302"/>
      <c r="Q2032" s="729"/>
      <c r="R2032" s="694"/>
      <c r="S2032" s="729"/>
      <c r="T2032" s="729"/>
      <c r="U2032" s="729"/>
      <c r="V2032" s="694"/>
      <c r="W2032" s="694"/>
      <c r="X2032" s="694"/>
      <c r="Y2032" s="694"/>
      <c r="Z2032" s="694"/>
      <c r="AA2032" s="694"/>
      <c r="AB2032" s="694"/>
      <c r="AC2032" s="694"/>
      <c r="AD2032" s="694"/>
      <c r="AE2032" s="694"/>
      <c r="AF2032" s="694"/>
      <c r="AG2032" s="694"/>
      <c r="AH2032" s="694"/>
      <c r="AI2032" s="694"/>
      <c r="AJ2032" s="694"/>
      <c r="AK2032" s="694"/>
      <c r="AL2032" s="694"/>
    </row>
    <row r="2033" spans="1:38" ht="12.75" customHeight="1" x14ac:dyDescent="0.25">
      <c r="A2033" s="694"/>
      <c r="B2033" s="298"/>
      <c r="C2033" s="298"/>
      <c r="D2033" s="1197" t="s">
        <v>2003</v>
      </c>
      <c r="E2033" s="1198" t="str">
        <f>Translations!$B$1329</f>
        <v>Корекции: Топлинна енергия извън СТЕ</v>
      </c>
      <c r="F2033" s="1199"/>
      <c r="G2033" s="1199"/>
      <c r="H2033" s="1200" t="str">
        <f>EUconst_Unit</f>
        <v>Единица мярка</v>
      </c>
      <c r="I2033" s="1201" t="str">
        <f>Translations!$B$1327</f>
        <v>(НМИ) стойност</v>
      </c>
      <c r="J2033" s="1202">
        <f>J$2831</f>
        <v>2026</v>
      </c>
      <c r="K2033" s="1203">
        <f>K$2831</f>
        <v>2027</v>
      </c>
      <c r="L2033" s="1203">
        <f>L$2831</f>
        <v>2028</v>
      </c>
      <c r="M2033" s="1203">
        <f>M$2831</f>
        <v>2029</v>
      </c>
      <c r="N2033" s="1204">
        <f>N$2831</f>
        <v>2030</v>
      </c>
      <c r="O2033" s="302"/>
      <c r="P2033" s="302"/>
      <c r="Q2033" s="729"/>
      <c r="R2033" s="694"/>
      <c r="S2033" s="694"/>
      <c r="T2033" s="694"/>
      <c r="U2033" s="1205"/>
      <c r="V2033" s="1206">
        <f>J2033</f>
        <v>2026</v>
      </c>
      <c r="W2033" s="1206">
        <f>K2033</f>
        <v>2027</v>
      </c>
      <c r="X2033" s="1206">
        <f>L2033</f>
        <v>2028</v>
      </c>
      <c r="Y2033" s="1206">
        <f>M2033</f>
        <v>2029</v>
      </c>
      <c r="Z2033" s="1207">
        <f>N2033</f>
        <v>2030</v>
      </c>
      <c r="AA2033" s="694"/>
      <c r="AB2033" s="694"/>
      <c r="AC2033" s="694"/>
      <c r="AD2033" s="694"/>
      <c r="AE2033" s="694"/>
      <c r="AF2033" s="694"/>
      <c r="AG2033" s="694"/>
      <c r="AH2033" s="694"/>
      <c r="AI2033" s="694"/>
      <c r="AJ2033" s="694"/>
      <c r="AK2033" s="694"/>
      <c r="AL2033" s="694"/>
    </row>
    <row r="2034" spans="1:38" ht="12.75" customHeight="1" x14ac:dyDescent="0.25">
      <c r="A2034" s="694"/>
      <c r="B2034" s="298"/>
      <c r="C2034" s="298"/>
      <c r="D2034" s="1208" t="s">
        <v>6</v>
      </c>
      <c r="E2034" s="1209" t="str">
        <f>Translations!$B$1328</f>
        <v>Средна годишна стойност</v>
      </c>
      <c r="F2034" s="1209"/>
      <c r="G2034" s="1209"/>
      <c r="H2034" s="1266" t="str">
        <f>EUconst_tCO2</f>
        <v>t CO2</v>
      </c>
      <c r="I2034" s="1211" t="str">
        <f>INDEX('B+C_SubInstallations'!$J:$J,MATCH(Q2034,'B+C_SubInstallations'!$U:$U,0))</f>
        <v/>
      </c>
      <c r="J2034" s="1267" t="str">
        <f>IF(AND(V2034&gt;=3,CNTR_ReportingYear&gt;J2033-1),AVERAGE(SUM(T2027),SUM(U2027)),"")</f>
        <v/>
      </c>
      <c r="K2034" s="1268" t="str">
        <f>IF(AND(W2034&gt;=3,CNTR_ReportingYear&gt;K2033-1),AVERAGE(SUM(U2027),SUM(V2027)),"")</f>
        <v/>
      </c>
      <c r="L2034" s="1268" t="str">
        <f>IF(AND(X2034&gt;=3,CNTR_ReportingYear&gt;L2033-1),AVERAGE(SUM(V2027),SUM(W2027)),"")</f>
        <v/>
      </c>
      <c r="M2034" s="1268" t="str">
        <f>IF(AND(Y2034&gt;=3,CNTR_ReportingYear&gt;M2033-1),AVERAGE(SUM(W2027),SUM(X2027)),"")</f>
        <v/>
      </c>
      <c r="N2034" s="1269" t="str">
        <f>IF(AND(Z2034&gt;=3,CNTR_ReportingYear&gt;N2033-1),AVERAGE(SUM(X2027),SUM(Y2027)),"")</f>
        <v/>
      </c>
      <c r="O2034" s="302"/>
      <c r="P2034" s="302"/>
      <c r="Q2034" s="1270" t="str">
        <f>EUconst_CNTR_HEATInitial &amp; I1980</f>
        <v>HEATIni_</v>
      </c>
      <c r="R2034" s="694"/>
      <c r="S2034" s="694"/>
      <c r="T2034" s="694"/>
      <c r="U2034" s="1231" t="s">
        <v>1710</v>
      </c>
      <c r="V2034" s="1176">
        <f>V2002</f>
        <v>0</v>
      </c>
      <c r="W2034" s="1176">
        <f>W2002</f>
        <v>0</v>
      </c>
      <c r="X2034" s="1176">
        <f>X2002</f>
        <v>0</v>
      </c>
      <c r="Y2034" s="1176">
        <f>Y2002</f>
        <v>0</v>
      </c>
      <c r="Z2034" s="1216">
        <f>Z2002</f>
        <v>0</v>
      </c>
      <c r="AA2034" s="694"/>
      <c r="AB2034" s="694"/>
      <c r="AC2034" s="694"/>
      <c r="AD2034" s="694"/>
      <c r="AE2034" s="694"/>
      <c r="AF2034" s="694"/>
      <c r="AG2034" s="694"/>
      <c r="AH2034" s="694"/>
      <c r="AI2034" s="694"/>
      <c r="AJ2034" s="694"/>
      <c r="AK2034" s="694"/>
      <c r="AL2034" s="694"/>
    </row>
    <row r="2035" spans="1:38" ht="12.75" hidden="1" customHeight="1" x14ac:dyDescent="0.25">
      <c r="A2035" s="729" t="s">
        <v>312</v>
      </c>
      <c r="B2035" s="298"/>
      <c r="C2035" s="298"/>
      <c r="D2035" s="1208"/>
      <c r="E2035" s="1209" t="str">
        <f>Translations!$B$1378</f>
        <v>Промяна в сравнение със стойността в НМИ</v>
      </c>
      <c r="F2035" s="1209"/>
      <c r="G2035" s="1209"/>
      <c r="H2035" s="1222"/>
      <c r="I2035" s="1223"/>
      <c r="J2035" s="104" t="str">
        <f>IF(J2034="","",IF($I2037=0,IF(J2034=0,0%,100%),J2034/$I2037-1))</f>
        <v/>
      </c>
      <c r="K2035" s="99" t="str">
        <f>IF(K2034="","",IF($I2037=0,IF(K2034=0,0%,100%),K2034/$I2037-1))</f>
        <v/>
      </c>
      <c r="L2035" s="99" t="str">
        <f>IF(L2034="","",IF($I2037=0,IF(L2034=0,0%,100%),L2034/$I2037-1))</f>
        <v/>
      </c>
      <c r="M2035" s="99" t="str">
        <f>IF(M2034="","",IF($I2037=0,IF(M2034=0,0%,100%),M2034/$I2037-1))</f>
        <v/>
      </c>
      <c r="N2035" s="123" t="str">
        <f>IF(N2034="","",IF($I2037=0,IF(N2034=0,0%,100%),N2034/$I2037-1))</f>
        <v/>
      </c>
      <c r="O2035" s="302"/>
      <c r="P2035" s="302"/>
      <c r="Q2035" s="1190" t="str">
        <f>EUconst_CNTR_RelThreshold &amp; Q2037</f>
        <v>RelThresh_HEATprelim_</v>
      </c>
      <c r="R2035" s="694"/>
      <c r="S2035" s="694"/>
      <c r="T2035" s="694"/>
      <c r="U2035" s="1231" t="s">
        <v>1715</v>
      </c>
      <c r="V2035" s="727" t="str">
        <f>IF(J2034="","",ABS(J2035)&gt;15%)</f>
        <v/>
      </c>
      <c r="W2035" s="727" t="str">
        <f>IF(K2034="","",ABS(K2035)&gt;15%)</f>
        <v/>
      </c>
      <c r="X2035" s="727" t="str">
        <f>IF(L2034="","",ABS(L2035)&gt;15%)</f>
        <v/>
      </c>
      <c r="Y2035" s="727" t="str">
        <f>IF(M2034="","",ABS(M2035)&gt;15%)</f>
        <v/>
      </c>
      <c r="Z2035" s="1221" t="str">
        <f>IF(N2034="","",ABS(N2035)&gt;15%)</f>
        <v/>
      </c>
      <c r="AA2035" s="694"/>
      <c r="AB2035" s="694"/>
      <c r="AC2035" s="694"/>
      <c r="AD2035" s="694"/>
      <c r="AE2035" s="694"/>
      <c r="AF2035" s="694"/>
      <c r="AG2035" s="694"/>
      <c r="AH2035" s="694"/>
      <c r="AI2035" s="694"/>
      <c r="AJ2035" s="694"/>
      <c r="AK2035" s="694"/>
      <c r="AL2035" s="694"/>
    </row>
    <row r="2036" spans="1:38" ht="12.75" customHeight="1" x14ac:dyDescent="0.25">
      <c r="A2036" s="729"/>
      <c r="B2036" s="298"/>
      <c r="C2036" s="298"/>
      <c r="D2036" s="1208" t="s">
        <v>7</v>
      </c>
      <c r="E2036" s="1209" t="str">
        <f>Translations!$B$1322</f>
        <v>Предварителна корекция (ако са надвишени относителните прагове)</v>
      </c>
      <c r="F2036" s="1209"/>
      <c r="G2036" s="1209"/>
      <c r="H2036" s="1222"/>
      <c r="I2036" s="1223"/>
      <c r="J2036" s="1224" t="str">
        <f>IF(J2034="","",IF(V2035=FALSE,0%,IF(V2036,J2035,I2042)))</f>
        <v/>
      </c>
      <c r="K2036" s="1225" t="str">
        <f>IF(K2034="","",IF(W2035=FALSE,0%,IF(W2036,K2035,J2042)))</f>
        <v/>
      </c>
      <c r="L2036" s="1225" t="str">
        <f>IF(L2034="","",IF(X2035=FALSE,0%,IF(X2036,L2035,K2042)))</f>
        <v/>
      </c>
      <c r="M2036" s="1225" t="str">
        <f>IF(M2034="","",IF(Y2035=FALSE,0%,IF(Y2036,M2035,L2042)))</f>
        <v/>
      </c>
      <c r="N2036" s="1226" t="str">
        <f>IF(N2034="","",IF(Z2035=FALSE,0%,IF(Z2036,N2035,M2042)))</f>
        <v/>
      </c>
      <c r="O2036" s="302"/>
      <c r="P2036" s="302"/>
      <c r="Q2036" s="729"/>
      <c r="R2036" s="694"/>
      <c r="S2036" s="694"/>
      <c r="T2036" s="694"/>
      <c r="U2036" s="1215" t="s">
        <v>1716</v>
      </c>
      <c r="V2036" s="727" t="str">
        <f>IF(J2034="","",AND(V2035,IF(SUM(I2042)&lt;0,OR(SUM(J2035)&lt;SUM(I2042)-MOD(SUM(I2042),5%),J2035&gt;=SUM(I2042)+5%-MOD(SUM(I2042),5%)),OR(SUM(J2035)&lt;=SUM(I2042)-MOD(SUM(I2042),5%),SUM(J2035)&gt;SUM(I2042)+5%-MOD(SUM(I2042),5%)))))</f>
        <v/>
      </c>
      <c r="W2036" s="727" t="str">
        <f>IF(K2034="","",AND(W2035,IF(SUM(J2042)&lt;0,OR(SUM(K2035)&lt;SUM(J2042)-MOD(SUM(J2042),5%),K2035&gt;=SUM(J2042)+5%-MOD(SUM(J2042),5%)),OR(SUM(K2035)&lt;=SUM(J2042)-MOD(SUM(J2042),5%),SUM(K2035)&gt;SUM(J2042)+5%-MOD(SUM(J2042),5%)))))</f>
        <v/>
      </c>
      <c r="X2036" s="727" t="str">
        <f>IF(L2034="","",AND(X2035,IF(SUM(K2042)&lt;0,OR(SUM(L2035)&lt;SUM(K2042)-MOD(SUM(K2042),5%),L2035&gt;=SUM(K2042)+5%-MOD(SUM(K2042),5%)),OR(SUM(L2035)&lt;=SUM(K2042)-MOD(SUM(K2042),5%),SUM(L2035)&gt;SUM(K2042)+5%-MOD(SUM(K2042),5%)))))</f>
        <v/>
      </c>
      <c r="Y2036" s="727" t="str">
        <f>IF(M2034="","",AND(Y2035,IF(SUM(L2042)&lt;0,OR(SUM(M2035)&lt;SUM(L2042)-MOD(SUM(L2042),5%),M2035&gt;=SUM(L2042)+5%-MOD(SUM(L2042),5%)),OR(SUM(M2035)&lt;=SUM(L2042)-MOD(SUM(L2042),5%),SUM(M2035)&gt;SUM(L2042)+5%-MOD(SUM(L2042),5%)))))</f>
        <v/>
      </c>
      <c r="Z2036" s="1221" t="str">
        <f>IF(N2034="","",AND(Z2035,IF(SUM(M2042)&lt;0,OR(SUM(N2035)&lt;SUM(M2042)-MOD(SUM(M2042),5%),N2035&gt;=SUM(M2042)+5%-MOD(SUM(M2042),5%)),OR(SUM(N2035)&lt;=SUM(M2042)-MOD(SUM(M2042),5%),SUM(N2035)&gt;SUM(M2042)+5%-MOD(SUM(M2042),5%)))))</f>
        <v/>
      </c>
      <c r="AA2036" s="694"/>
      <c r="AB2036" s="694"/>
      <c r="AC2036" s="694"/>
      <c r="AD2036" s="694"/>
      <c r="AE2036" s="694"/>
      <c r="AF2036" s="694"/>
      <c r="AG2036" s="694"/>
      <c r="AH2036" s="694"/>
      <c r="AI2036" s="694"/>
      <c r="AJ2036" s="694"/>
      <c r="AK2036" s="694"/>
      <c r="AL2036" s="729"/>
    </row>
    <row r="2037" spans="1:38" ht="12.75" hidden="1" customHeight="1" x14ac:dyDescent="0.25">
      <c r="A2037" s="729" t="s">
        <v>312</v>
      </c>
      <c r="B2037" s="298"/>
      <c r="C2037" s="298"/>
      <c r="D2037" s="1208"/>
      <c r="E2037" s="1209" t="str">
        <f>Translations!$B$1377</f>
        <v>Предварителна стойност</v>
      </c>
      <c r="F2037" s="1209"/>
      <c r="G2037" s="1209"/>
      <c r="H2037" s="1266" t="str">
        <f>H2034</f>
        <v>t CO2</v>
      </c>
      <c r="I2037" s="1211" t="str">
        <f>IF($I1980="","",IF(AB1980=FALSE,EUconst_NA,IF(V1980&gt;($J$2831-3),SUM(INDEX(H2027:N2027,MATCH(V1980,H2026:N2026,0))*EUconst_HeatBMvalue),SUM(I2034))))</f>
        <v/>
      </c>
      <c r="J2037" s="1212" t="str">
        <f>IF($I1980="","",IF(V2034&lt;2,SUM(V2027),IF(V2034&lt;3,SUM(U2027),IF(V2037="",I2037,V2037))))</f>
        <v/>
      </c>
      <c r="K2037" s="1213" t="str">
        <f>IF($I1980="","",IF(W2034&lt;2,SUM(W2027),IF(W2034&lt;3,SUM(V2027),IF(W2037="",J2037,W2037))))</f>
        <v/>
      </c>
      <c r="L2037" s="1213" t="str">
        <f>IF($I1980="","",IF(X2034&lt;2,SUM(X2027),IF(X2034&lt;3,SUM(W2027),IF(X2037="",K2037,X2037))))</f>
        <v/>
      </c>
      <c r="M2037" s="1213" t="str">
        <f>IF($I1980="","",IF(Y2034&lt;2,SUM(Y2027),IF(Y2034&lt;3,SUM(X2027),IF(Y2037="",L2037,Y2037))))</f>
        <v/>
      </c>
      <c r="N2037" s="1214" t="str">
        <f>IF($I1980="","",IF(Z2034&lt;2,SUM(Z2027),IF(Z2034&lt;3,SUM(Y2027),IF(Z2037="",M2037,Z2037))))</f>
        <v/>
      </c>
      <c r="O2037" s="302"/>
      <c r="P2037" s="302"/>
      <c r="Q2037" s="1190" t="str">
        <f>EUconst_CNTR_HEATprelim &amp; I1980</f>
        <v>HEATprelim_</v>
      </c>
      <c r="R2037" s="694"/>
      <c r="S2037" s="694"/>
      <c r="T2037" s="694"/>
      <c r="U2037" s="1231" t="s">
        <v>1756</v>
      </c>
      <c r="V2037" s="1271" t="str">
        <f>IF(J2034="","",IF(CNTR_ReportingYear&lt;J2033,I2036,IF($I2037=0,J2034,$I2037*(1+J2036))))</f>
        <v/>
      </c>
      <c r="W2037" s="1271" t="str">
        <f>IF(K2034="","",IF(CNTR_ReportingYear&lt;K2033,J2036,IF($I2037=0,K2034,$I2037*(1+K2036))))</f>
        <v/>
      </c>
      <c r="X2037" s="1271" t="str">
        <f>IF(L2034="","",IF(CNTR_ReportingYear&lt;L2033,K2036,IF($I2037=0,L2034,$I2037*(1+L2036))))</f>
        <v/>
      </c>
      <c r="Y2037" s="1271" t="str">
        <f>IF(M2034="","",IF(CNTR_ReportingYear&lt;M2033,L2036,IF($I2037=0,M2034,$I2037*(1+M2036))))</f>
        <v/>
      </c>
      <c r="Z2037" s="1272" t="str">
        <f>IF(N2034="","",IF(CNTR_ReportingYear&lt;N2033,M2036,IF($I2037=0,N2034,$I2037*(1+N2036))))</f>
        <v/>
      </c>
      <c r="AA2037" s="694"/>
      <c r="AB2037" s="694"/>
      <c r="AC2037" s="694"/>
      <c r="AD2037" s="694"/>
      <c r="AE2037" s="694"/>
      <c r="AF2037" s="694"/>
      <c r="AG2037" s="694"/>
      <c r="AH2037" s="694"/>
      <c r="AI2037" s="694"/>
      <c r="AJ2037" s="694"/>
      <c r="AK2037" s="694"/>
      <c r="AL2037" s="729"/>
    </row>
    <row r="2038" spans="1:38" ht="5.15" customHeight="1" x14ac:dyDescent="0.25">
      <c r="A2038" s="729"/>
      <c r="B2038" s="298"/>
      <c r="C2038" s="298"/>
      <c r="D2038" s="1208"/>
      <c r="E2038" s="1199"/>
      <c r="F2038" s="1199"/>
      <c r="G2038" s="1199"/>
      <c r="H2038" s="1199"/>
      <c r="I2038" s="1199"/>
      <c r="J2038" s="1229"/>
      <c r="K2038" s="1229"/>
      <c r="L2038" s="1229"/>
      <c r="M2038" s="1229"/>
      <c r="N2038" s="1230"/>
      <c r="O2038" s="302"/>
      <c r="P2038" s="302"/>
      <c r="Q2038" s="729"/>
      <c r="R2038" s="694"/>
      <c r="S2038" s="694"/>
      <c r="T2038" s="694"/>
      <c r="U2038" s="1231"/>
      <c r="V2038" s="729"/>
      <c r="W2038" s="694"/>
      <c r="X2038" s="694"/>
      <c r="Y2038" s="694"/>
      <c r="Z2038" s="1232"/>
      <c r="AA2038" s="694"/>
      <c r="AB2038" s="694"/>
      <c r="AC2038" s="694"/>
      <c r="AD2038" s="694"/>
      <c r="AE2038" s="694"/>
      <c r="AF2038" s="694"/>
      <c r="AG2038" s="694"/>
      <c r="AH2038" s="694"/>
      <c r="AI2038" s="694"/>
      <c r="AJ2038" s="694"/>
      <c r="AK2038" s="694"/>
      <c r="AL2038" s="729"/>
    </row>
    <row r="2039" spans="1:38" ht="12.75" customHeight="1" x14ac:dyDescent="0.25">
      <c r="A2039" s="729"/>
      <c r="B2039" s="298"/>
      <c r="C2039" s="298"/>
      <c r="D2039" s="1208"/>
      <c r="E2039" s="1233" t="str">
        <f>Translations!$B$1323</f>
        <v>Действителна корекция (база за следващи години)</v>
      </c>
      <c r="F2039" s="1233"/>
      <c r="G2039" s="1233"/>
      <c r="H2039" s="1233"/>
      <c r="I2039" s="1233"/>
      <c r="J2039" s="1202">
        <f>J$2831</f>
        <v>2026</v>
      </c>
      <c r="K2039" s="1203">
        <f>K$2831</f>
        <v>2027</v>
      </c>
      <c r="L2039" s="1203">
        <f>L$2831</f>
        <v>2028</v>
      </c>
      <c r="M2039" s="1203">
        <f>M$2831</f>
        <v>2029</v>
      </c>
      <c r="N2039" s="1204">
        <f>N$2831</f>
        <v>2030</v>
      </c>
      <c r="O2039" s="302"/>
      <c r="P2039" s="302"/>
      <c r="Q2039" s="729"/>
      <c r="R2039" s="694"/>
      <c r="S2039" s="694"/>
      <c r="T2039" s="694"/>
      <c r="U2039" s="1234"/>
      <c r="V2039" s="694"/>
      <c r="W2039" s="694"/>
      <c r="X2039" s="694"/>
      <c r="Y2039" s="694"/>
      <c r="Z2039" s="1232"/>
      <c r="AA2039" s="694"/>
      <c r="AB2039" s="694"/>
      <c r="AC2039" s="694"/>
      <c r="AD2039" s="694"/>
      <c r="AE2039" s="694"/>
      <c r="AF2039" s="694"/>
      <c r="AG2039" s="694"/>
      <c r="AH2039" s="694"/>
      <c r="AI2039" s="694"/>
      <c r="AJ2039" s="694"/>
      <c r="AK2039" s="694"/>
      <c r="AL2039" s="729"/>
    </row>
    <row r="2040" spans="1:38" ht="12.75" customHeight="1" x14ac:dyDescent="0.25">
      <c r="A2040" s="729"/>
      <c r="B2040" s="298"/>
      <c r="C2040" s="298"/>
      <c r="D2040" s="1208" t="s">
        <v>8</v>
      </c>
      <c r="E2040" s="1209" t="str">
        <f>Translations!$B$1515</f>
        <v>изпълнен ли е критерият за &gt;=300 квоти за емисии?</v>
      </c>
      <c r="F2040" s="1209"/>
      <c r="G2040" s="1209"/>
      <c r="H2040" s="1209"/>
      <c r="I2040" s="1209"/>
      <c r="J2040" s="1236" t="str">
        <f>IF($I1980="","",INDEX(K_Summary!J:J,MATCH($Q2040,K_Summary!$P:$P,0)))</f>
        <v/>
      </c>
      <c r="K2040" s="385" t="str">
        <f>IF($I1980="","",INDEX(K_Summary!K:K,MATCH($Q2040,K_Summary!$P:$P,0)))</f>
        <v/>
      </c>
      <c r="L2040" s="385" t="str">
        <f>IF($I1980="","",INDEX(K_Summary!L:L,MATCH($Q2040,K_Summary!$P:$P,0)))</f>
        <v/>
      </c>
      <c r="M2040" s="385" t="str">
        <f>IF($I1980="","",INDEX(K_Summary!M:M,MATCH($Q2040,K_Summary!$P:$P,0)))</f>
        <v/>
      </c>
      <c r="N2040" s="1237" t="str">
        <f>IF($I1980="","",INDEX(K_Summary!N:N,MATCH($Q2040,K_Summary!$P:$P,0)))</f>
        <v/>
      </c>
      <c r="O2040" s="302"/>
      <c r="P2040" s="302"/>
      <c r="Q2040" s="1182" t="str">
        <f>EUconst_CNTR_300EUA&amp;I1980</f>
        <v>EUA300_</v>
      </c>
      <c r="R2040" s="694"/>
      <c r="S2040" s="694"/>
      <c r="T2040" s="694"/>
      <c r="U2040" s="1234"/>
      <c r="V2040" s="694"/>
      <c r="W2040" s="694"/>
      <c r="X2040" s="694"/>
      <c r="Y2040" s="694"/>
      <c r="Z2040" s="1232"/>
      <c r="AA2040" s="694"/>
      <c r="AB2040" s="694"/>
      <c r="AC2040" s="694"/>
      <c r="AD2040" s="694"/>
      <c r="AE2040" s="694"/>
      <c r="AF2040" s="694"/>
      <c r="AG2040" s="694"/>
      <c r="AH2040" s="694"/>
      <c r="AI2040" s="694"/>
      <c r="AJ2040" s="694"/>
      <c r="AK2040" s="694"/>
      <c r="AL2040" s="729"/>
    </row>
    <row r="2041" spans="1:38" ht="5.15" customHeight="1" thickBot="1" x14ac:dyDescent="0.3">
      <c r="A2041" s="729"/>
      <c r="B2041" s="298"/>
      <c r="C2041" s="298"/>
      <c r="D2041" s="1208"/>
      <c r="E2041" s="1199"/>
      <c r="F2041" s="1199"/>
      <c r="G2041" s="1199"/>
      <c r="H2041" s="1199"/>
      <c r="I2041" s="1199"/>
      <c r="J2041" s="1199"/>
      <c r="K2041" s="1199"/>
      <c r="L2041" s="1199"/>
      <c r="M2041" s="1199"/>
      <c r="N2041" s="1238"/>
      <c r="O2041" s="302"/>
      <c r="P2041" s="302"/>
      <c r="Q2041" s="729"/>
      <c r="R2041" s="694"/>
      <c r="S2041" s="694"/>
      <c r="T2041" s="694"/>
      <c r="U2041" s="1231"/>
      <c r="V2041" s="729"/>
      <c r="W2041" s="694"/>
      <c r="X2041" s="694"/>
      <c r="Y2041" s="694"/>
      <c r="Z2041" s="1232"/>
      <c r="AA2041" s="694"/>
      <c r="AB2041" s="694"/>
      <c r="AC2041" s="694"/>
      <c r="AD2041" s="694"/>
      <c r="AE2041" s="694"/>
      <c r="AF2041" s="694"/>
      <c r="AG2041" s="694"/>
      <c r="AH2041" s="694"/>
      <c r="AI2041" s="694"/>
      <c r="AJ2041" s="694"/>
      <c r="AK2041" s="694"/>
      <c r="AL2041" s="729"/>
    </row>
    <row r="2042" spans="1:38" ht="12.75" customHeight="1" thickBot="1" x14ac:dyDescent="0.3">
      <c r="A2042" s="694"/>
      <c r="B2042" s="298"/>
      <c r="C2042" s="298"/>
      <c r="D2042" s="1208" t="s">
        <v>18</v>
      </c>
      <c r="E2042" s="1209" t="str">
        <f>Translations!$B$1324</f>
        <v>Действителна корекция (ако са надвишени всички прагове)</v>
      </c>
      <c r="F2042" s="1209"/>
      <c r="G2042" s="1209"/>
      <c r="H2042" s="1222"/>
      <c r="I2042" s="1239"/>
      <c r="J2042" s="1240" t="str">
        <f>IF(J2040="","",IF(OR(J2040,V2034&lt;1),J2036,I2042))</f>
        <v/>
      </c>
      <c r="K2042" s="1241" t="str">
        <f>IF(K2040="","",IF(OR(K2040,W2034&lt;1),K2036,J2042))</f>
        <v/>
      </c>
      <c r="L2042" s="1241" t="str">
        <f>IF(L2040="","",IF(OR(L2040,X2034&lt;1),L2036,K2042))</f>
        <v/>
      </c>
      <c r="M2042" s="1241" t="str">
        <f>IF(M2040="","",IF(OR(M2040,Y2034&lt;1),M2036,L2042))</f>
        <v/>
      </c>
      <c r="N2042" s="1242" t="str">
        <f>IF(N2040="","",IF(OR(N2040,Z2034&lt;1),N2036,M2042))</f>
        <v/>
      </c>
      <c r="O2042" s="302"/>
      <c r="P2042" s="302"/>
      <c r="Q2042" s="729"/>
      <c r="R2042" s="694"/>
      <c r="S2042" s="694"/>
      <c r="T2042" s="694"/>
      <c r="U2042" s="1231" t="s">
        <v>1718</v>
      </c>
      <c r="V2042" s="1243">
        <f>J2039</f>
        <v>2026</v>
      </c>
      <c r="W2042" s="1243">
        <f>K2039</f>
        <v>2027</v>
      </c>
      <c r="X2042" s="1243">
        <f>L2039</f>
        <v>2028</v>
      </c>
      <c r="Y2042" s="1243">
        <f>M2039</f>
        <v>2029</v>
      </c>
      <c r="Z2042" s="1244">
        <f>N2039</f>
        <v>2030</v>
      </c>
      <c r="AA2042" s="694"/>
      <c r="AB2042" s="694"/>
      <c r="AC2042" s="694"/>
      <c r="AD2042" s="694"/>
      <c r="AE2042" s="694"/>
      <c r="AF2042" s="694"/>
      <c r="AG2042" s="694"/>
      <c r="AH2042" s="694"/>
      <c r="AI2042" s="694"/>
      <c r="AJ2042" s="694"/>
      <c r="AK2042" s="694"/>
      <c r="AL2042" s="729"/>
    </row>
    <row r="2043" spans="1:38" ht="12.75" customHeight="1" thickBot="1" x14ac:dyDescent="0.3">
      <c r="A2043" s="729"/>
      <c r="B2043" s="298"/>
      <c r="C2043" s="298"/>
      <c r="D2043" s="1208" t="s">
        <v>810</v>
      </c>
      <c r="E2043" s="1209" t="str">
        <f>Translations!$B$1325</f>
        <v>Действителна стойност</v>
      </c>
      <c r="F2043" s="1209"/>
      <c r="G2043" s="1209"/>
      <c r="H2043" s="1266" t="str">
        <f>H2034</f>
        <v>t CO2</v>
      </c>
      <c r="I2043" s="1211" t="str">
        <f>I2037</f>
        <v/>
      </c>
      <c r="J2043" s="632" t="str">
        <f>IF($I1980="","",IF(OR($I2043=0,$I2043=EUconst_NA,J2042=""),IF(OR(J2040=TRUE,J2039&lt;=$V1980),J2037,SUM(I2043)),$I2043*(1+SUM(J2042))))</f>
        <v/>
      </c>
      <c r="K2043" s="633" t="str">
        <f>IF($I1980="","",IF(OR($I2043=0,$I2043=EUconst_NA,K2042=""),IF(OR(K2040=TRUE,K2039&lt;=$V1980),K2037,SUM(J2043)),$I2043*(1+SUM(K2042))))</f>
        <v/>
      </c>
      <c r="L2043" s="633" t="str">
        <f>IF($I1980="","",IF(OR($I2043=0,$I2043=EUconst_NA,L2042=""),IF(OR(L2040=TRUE,L2039&lt;=$V1980),L2037,SUM(K2043)),$I2043*(1+SUM(L2042))))</f>
        <v/>
      </c>
      <c r="M2043" s="633" t="str">
        <f>IF($I1980="","",IF(OR($I2043=0,$I2043=EUconst_NA,M2042=""),IF(OR(M2040=TRUE,M2039&lt;=$V1980),M2037,SUM(L2043)),$I2043*(1+SUM(M2042))))</f>
        <v/>
      </c>
      <c r="N2043" s="634" t="str">
        <f>IF($I1980="","",IF(OR($I2043=0,$I2043=EUconst_NA,N2042=""),IF(OR(N2040=TRUE,N2039&lt;=$V1980),N2037,SUM(M2043)),$I2043*(1+SUM(N2042))))</f>
        <v/>
      </c>
      <c r="O2043" s="302"/>
      <c r="P2043" s="302"/>
      <c r="Q2043" s="1190" t="str">
        <f>EUconst_CNTR_HEATfinal &amp; I1980</f>
        <v>HEATfinal_</v>
      </c>
      <c r="R2043" s="694"/>
      <c r="S2043" s="694"/>
      <c r="T2043" s="694"/>
      <c r="U2043" s="1245" t="b">
        <v>0</v>
      </c>
      <c r="V2043" s="1246" t="str">
        <f>IF(V1988,IF(J2040=TRUE,V2035,U2043),"")</f>
        <v/>
      </c>
      <c r="W2043" s="1246" t="str">
        <f>IF(W1988,IF(K2040=TRUE,W2035,V2043),"")</f>
        <v/>
      </c>
      <c r="X2043" s="1246" t="str">
        <f>IF(X1988,IF(L2040=TRUE,X2035,W2043),"")</f>
        <v/>
      </c>
      <c r="Y2043" s="1246" t="str">
        <f>IF(Y1988,IF(M2040=TRUE,Y2035,X2043),"")</f>
        <v/>
      </c>
      <c r="Z2043" s="1247" t="str">
        <f>IF(Z1988,IF(N2040=TRUE,Z2035,Y2043),"")</f>
        <v/>
      </c>
      <c r="AA2043" s="694"/>
      <c r="AB2043" s="694"/>
      <c r="AC2043" s="694"/>
      <c r="AD2043" s="694"/>
      <c r="AE2043" s="694"/>
      <c r="AF2043" s="694"/>
      <c r="AG2043" s="694"/>
      <c r="AH2043" s="694"/>
      <c r="AI2043" s="694"/>
      <c r="AJ2043" s="1174" t="s">
        <v>2033</v>
      </c>
      <c r="AK2043" s="982" t="str">
        <f>IF(OR(ISERROR(J2043),ISERROR(K2043),ISERROR(L2043),ISERROR(M2043),ISERROR(N2043)),EUconst_Error &amp; "BM" &amp; Q1980,"")</f>
        <v/>
      </c>
      <c r="AL2043" s="694"/>
    </row>
    <row r="2044" spans="1:38" ht="5.15" customHeight="1" thickBot="1" x14ac:dyDescent="0.3">
      <c r="A2044" s="694"/>
      <c r="B2044" s="698"/>
      <c r="C2044" s="698"/>
      <c r="D2044" s="1273"/>
      <c r="E2044" s="1274"/>
      <c r="F2044" s="1274"/>
      <c r="G2044" s="1274"/>
      <c r="H2044" s="1274"/>
      <c r="I2044" s="1275"/>
      <c r="J2044" s="1274"/>
      <c r="K2044" s="1274"/>
      <c r="L2044" s="1274"/>
      <c r="M2044" s="1274"/>
      <c r="N2044" s="1276"/>
      <c r="O2044" s="302"/>
      <c r="P2044" s="302"/>
      <c r="Q2044" s="1263"/>
      <c r="R2044" s="694"/>
      <c r="S2044" s="729"/>
      <c r="T2044" s="729"/>
      <c r="U2044" s="694"/>
      <c r="V2044" s="694"/>
      <c r="W2044" s="694"/>
      <c r="X2044" s="694"/>
      <c r="Y2044" s="694"/>
      <c r="Z2044" s="694"/>
      <c r="AA2044" s="694"/>
      <c r="AB2044" s="694"/>
      <c r="AC2044" s="694"/>
      <c r="AD2044" s="694"/>
      <c r="AE2044" s="694"/>
      <c r="AF2044" s="694"/>
      <c r="AG2044" s="694"/>
      <c r="AH2044" s="694"/>
      <c r="AI2044" s="694"/>
      <c r="AJ2044" s="694"/>
      <c r="AK2044" s="694"/>
      <c r="AL2044" s="694"/>
    </row>
    <row r="2045" spans="1:38" ht="5.15" customHeight="1" x14ac:dyDescent="0.25">
      <c r="A2045" s="694"/>
      <c r="B2045" s="698"/>
      <c r="C2045" s="698"/>
      <c r="D2045" s="698"/>
      <c r="E2045" s="698"/>
      <c r="F2045" s="698"/>
      <c r="G2045" s="698"/>
      <c r="H2045" s="698"/>
      <c r="I2045" s="1025"/>
      <c r="J2045" s="698"/>
      <c r="K2045" s="698"/>
      <c r="L2045" s="698"/>
      <c r="M2045" s="698"/>
      <c r="N2045" s="698"/>
      <c r="O2045" s="302"/>
      <c r="P2045" s="302"/>
      <c r="Q2045" s="1263"/>
      <c r="R2045" s="694"/>
      <c r="S2045" s="729"/>
      <c r="T2045" s="729"/>
      <c r="U2045" s="694"/>
      <c r="V2045" s="694"/>
      <c r="W2045" s="694"/>
      <c r="X2045" s="694"/>
      <c r="Y2045" s="694"/>
      <c r="Z2045" s="694"/>
      <c r="AA2045" s="694"/>
      <c r="AB2045" s="694"/>
      <c r="AC2045" s="694"/>
      <c r="AD2045" s="694"/>
      <c r="AE2045" s="694"/>
      <c r="AF2045" s="694"/>
      <c r="AG2045" s="694"/>
      <c r="AH2045" s="694"/>
      <c r="AI2045" s="694"/>
      <c r="AJ2045" s="694"/>
      <c r="AK2045" s="694"/>
      <c r="AL2045" s="694"/>
    </row>
    <row r="2046" spans="1:38" ht="14" x14ac:dyDescent="0.25">
      <c r="A2046" s="694"/>
      <c r="B2046" s="698"/>
      <c r="C2046" s="358"/>
      <c r="D2046" s="2323" t="str">
        <f>Translations!$B$495</f>
        <v>Данни за производството</v>
      </c>
      <c r="E2046" s="2249"/>
      <c r="F2046" s="2249"/>
      <c r="G2046" s="2249"/>
      <c r="H2046" s="2249"/>
      <c r="I2046" s="2249"/>
      <c r="J2046" s="2249"/>
      <c r="K2046" s="2249"/>
      <c r="L2046" s="2249"/>
      <c r="M2046" s="2249"/>
      <c r="N2046" s="2249"/>
      <c r="O2046" s="302"/>
      <c r="P2046" s="302"/>
      <c r="Q2046" s="694"/>
      <c r="R2046" s="694"/>
      <c r="S2046" s="729"/>
      <c r="T2046" s="729"/>
      <c r="U2046" s="694"/>
      <c r="V2046" s="694"/>
      <c r="W2046" s="694"/>
      <c r="X2046" s="694"/>
      <c r="Y2046" s="694"/>
      <c r="Z2046" s="694"/>
      <c r="AA2046" s="694"/>
      <c r="AB2046" s="694"/>
      <c r="AC2046" s="694"/>
      <c r="AD2046" s="694"/>
      <c r="AE2046" s="694"/>
      <c r="AF2046" s="694"/>
      <c r="AG2046" s="694"/>
      <c r="AH2046" s="694"/>
      <c r="AI2046" s="694"/>
      <c r="AJ2046" s="694"/>
      <c r="AK2046" s="694"/>
      <c r="AL2046" s="694"/>
    </row>
    <row r="2047" spans="1:38" ht="5.15" customHeight="1" x14ac:dyDescent="0.25">
      <c r="A2047" s="694"/>
      <c r="B2047" s="298"/>
      <c r="C2047" s="298"/>
      <c r="D2047" s="298"/>
      <c r="E2047" s="298"/>
      <c r="F2047" s="298"/>
      <c r="G2047" s="298"/>
      <c r="H2047" s="298"/>
      <c r="I2047" s="298"/>
      <c r="J2047" s="298"/>
      <c r="K2047" s="298"/>
      <c r="L2047" s="298"/>
      <c r="M2047" s="298"/>
      <c r="N2047" s="298"/>
      <c r="O2047" s="302"/>
      <c r="P2047" s="302"/>
      <c r="Q2047" s="729"/>
      <c r="R2047" s="729"/>
      <c r="S2047" s="729"/>
      <c r="T2047" s="729"/>
      <c r="U2047" s="694"/>
      <c r="V2047" s="694"/>
      <c r="W2047" s="694"/>
      <c r="X2047" s="694"/>
      <c r="Y2047" s="694"/>
      <c r="Z2047" s="694"/>
      <c r="AA2047" s="694"/>
      <c r="AB2047" s="694"/>
      <c r="AC2047" s="694"/>
      <c r="AD2047" s="694"/>
      <c r="AE2047" s="694"/>
      <c r="AF2047" s="694"/>
      <c r="AG2047" s="694"/>
      <c r="AH2047" s="694"/>
      <c r="AI2047" s="694"/>
      <c r="AJ2047" s="694"/>
      <c r="AK2047" s="694"/>
      <c r="AL2047" s="694"/>
    </row>
    <row r="2048" spans="1:38" ht="13" x14ac:dyDescent="0.25">
      <c r="A2048" s="694"/>
      <c r="B2048" s="298"/>
      <c r="C2048" s="300"/>
      <c r="D2048" s="300" t="s">
        <v>54</v>
      </c>
      <c r="E2048" s="2226" t="str">
        <f>Translations!$B$496</f>
        <v>Идентификация на продуктите, включени в тази подинсталация с продуктов показател</v>
      </c>
      <c r="F2048" s="2249"/>
      <c r="G2048" s="2249"/>
      <c r="H2048" s="2249"/>
      <c r="I2048" s="2249"/>
      <c r="J2048" s="2249"/>
      <c r="K2048" s="2249"/>
      <c r="L2048" s="2249"/>
      <c r="M2048" s="2249"/>
      <c r="N2048" s="2249"/>
      <c r="O2048" s="302"/>
      <c r="P2048" s="302"/>
      <c r="Q2048" s="729"/>
      <c r="R2048" s="694"/>
      <c r="S2048" s="729"/>
      <c r="T2048" s="729"/>
      <c r="U2048" s="694"/>
      <c r="V2048" s="694"/>
      <c r="W2048" s="694"/>
      <c r="X2048" s="694"/>
      <c r="Y2048" s="694"/>
      <c r="Z2048" s="694"/>
      <c r="AA2048" s="694"/>
      <c r="AB2048" s="694"/>
      <c r="AC2048" s="694"/>
      <c r="AD2048" s="694"/>
      <c r="AE2048" s="694"/>
      <c r="AF2048" s="694"/>
      <c r="AG2048" s="694"/>
      <c r="AH2048" s="694"/>
      <c r="AI2048" s="694"/>
      <c r="AJ2048" s="694"/>
      <c r="AK2048" s="694"/>
      <c r="AL2048" s="694"/>
    </row>
    <row r="2049" spans="1:38" ht="5.15" customHeight="1" x14ac:dyDescent="0.25">
      <c r="A2049" s="694"/>
      <c r="B2049" s="298"/>
      <c r="C2049" s="302"/>
      <c r="D2049" s="302"/>
      <c r="E2049" s="2358" t="str">
        <f>Translations!$B$1518</f>
        <v xml:space="preserve"> </v>
      </c>
      <c r="F2049" s="2249"/>
      <c r="G2049" s="2249"/>
      <c r="H2049" s="2249"/>
      <c r="I2049" s="2249"/>
      <c r="J2049" s="2249"/>
      <c r="K2049" s="2249"/>
      <c r="L2049" s="2249"/>
      <c r="M2049" s="2249"/>
      <c r="N2049" s="2249"/>
      <c r="O2049" s="302"/>
      <c r="P2049" s="302"/>
      <c r="Q2049" s="729"/>
      <c r="R2049" s="694"/>
      <c r="S2049" s="729"/>
      <c r="T2049" s="729"/>
      <c r="U2049" s="694"/>
      <c r="V2049" s="694"/>
      <c r="W2049" s="694"/>
      <c r="X2049" s="694"/>
      <c r="Y2049" s="694"/>
      <c r="Z2049" s="694"/>
      <c r="AA2049" s="694"/>
      <c r="AB2049" s="694"/>
      <c r="AC2049" s="694"/>
      <c r="AD2049" s="694"/>
      <c r="AE2049" s="694"/>
      <c r="AF2049" s="694"/>
      <c r="AG2049" s="694"/>
      <c r="AH2049" s="694"/>
      <c r="AI2049" s="694"/>
      <c r="AJ2049" s="694"/>
      <c r="AK2049" s="694"/>
      <c r="AL2049" s="694"/>
    </row>
    <row r="2050" spans="1:38" ht="25.5" customHeight="1" x14ac:dyDescent="0.25">
      <c r="A2050" s="694"/>
      <c r="B2050" s="298"/>
      <c r="C2050" s="302"/>
      <c r="D2050" s="302"/>
      <c r="E2050" s="2358" t="str">
        <f>Translations!$B$497</f>
        <v>Кодовете по Продком се въвеждат като низове във вида „nnnnnnnn“, т.е. без точки или други разделителни знаци между тях. Само когато липсва код по Продком, се посочва 4-цифрения код по статистическата класификация на икономическите дейности в Европейския съюз (NACE) във вида „nnnn“.</v>
      </c>
      <c r="F2050" s="2249"/>
      <c r="G2050" s="2249"/>
      <c r="H2050" s="2249"/>
      <c r="I2050" s="2249"/>
      <c r="J2050" s="2249"/>
      <c r="K2050" s="2249"/>
      <c r="L2050" s="2249"/>
      <c r="M2050" s="2249"/>
      <c r="N2050" s="2249"/>
      <c r="O2050" s="302"/>
      <c r="P2050" s="302"/>
      <c r="Q2050" s="729"/>
      <c r="R2050" s="694"/>
      <c r="S2050" s="729"/>
      <c r="T2050" s="729"/>
      <c r="U2050" s="694"/>
      <c r="V2050" s="694"/>
      <c r="W2050" s="694"/>
      <c r="X2050" s="694"/>
      <c r="Y2050" s="694"/>
      <c r="Z2050" s="694"/>
      <c r="AA2050" s="694"/>
      <c r="AB2050" s="694"/>
      <c r="AC2050" s="694"/>
      <c r="AD2050" s="694"/>
      <c r="AE2050" s="694"/>
      <c r="AF2050" s="694"/>
      <c r="AG2050" s="694"/>
      <c r="AH2050" s="694"/>
      <c r="AI2050" s="694"/>
      <c r="AJ2050" s="694"/>
      <c r="AK2050" s="694"/>
      <c r="AL2050" s="694"/>
    </row>
    <row r="2051" spans="1:38" x14ac:dyDescent="0.25">
      <c r="A2051" s="694"/>
      <c r="B2051" s="298"/>
      <c r="C2051" s="302"/>
      <c r="D2051" s="302"/>
      <c r="E2051" s="2358" t="str">
        <f>Translations!$B$498</f>
        <v>Продком списъкът за 2010 г. може да се намери на адрес: http://ec.europa.eu/eurostat/ramon/nomenclatures/index.cfm?TargetUrl=LST_CLS_DLD&amp;StrNom=PRD_2010&amp;StrLanguageCode=EN&amp;StrLayoutCode=HIERARCHIChttp://ec.europa.eu/eurostat/ramon/nomenclatures/index.cfm?TargetUrl=LST_CLS_DLD&amp;StrNom=PRD_2010&amp;StrLanguageCode=EN&amp;StrLayoutCode=HIERARCHIC</v>
      </c>
      <c r="F2051" s="2249"/>
      <c r="G2051" s="2249"/>
      <c r="H2051" s="2249"/>
      <c r="I2051" s="2249"/>
      <c r="J2051" s="2249"/>
      <c r="K2051" s="2249"/>
      <c r="L2051" s="2249"/>
      <c r="M2051" s="2249"/>
      <c r="N2051" s="2249"/>
      <c r="O2051" s="302"/>
      <c r="P2051" s="302"/>
      <c r="Q2051" s="729"/>
      <c r="R2051" s="694"/>
      <c r="S2051" s="729"/>
      <c r="T2051" s="729"/>
      <c r="U2051" s="694"/>
      <c r="V2051" s="694"/>
      <c r="W2051" s="694"/>
      <c r="X2051" s="694"/>
      <c r="Y2051" s="694"/>
      <c r="Z2051" s="694"/>
      <c r="AA2051" s="694"/>
      <c r="AB2051" s="694"/>
      <c r="AC2051" s="694"/>
      <c r="AD2051" s="694"/>
      <c r="AE2051" s="694"/>
      <c r="AF2051" s="694"/>
      <c r="AG2051" s="694"/>
      <c r="AH2051" s="694"/>
      <c r="AI2051" s="694"/>
      <c r="AJ2051" s="694"/>
      <c r="AK2051" s="694"/>
      <c r="AL2051" s="694"/>
    </row>
    <row r="2052" spans="1:38" x14ac:dyDescent="0.25">
      <c r="A2052" s="694"/>
      <c r="B2052" s="298"/>
      <c r="C2052" s="302"/>
      <c r="D2052" s="302"/>
      <c r="E2052" s="2855" t="str">
        <f>Translations!$B$1519</f>
        <v>https://eur-lex.europa.eu/eli/reg/2010/860/oj/bul</v>
      </c>
      <c r="F2052" s="2856"/>
      <c r="G2052" s="2856"/>
      <c r="H2052" s="2856"/>
      <c r="I2052" s="2856"/>
      <c r="J2052" s="2856"/>
      <c r="K2052" s="2856"/>
      <c r="L2052" s="2856"/>
      <c r="M2052" s="2856"/>
      <c r="N2052" s="2856"/>
      <c r="O2052" s="302"/>
      <c r="P2052" s="302"/>
      <c r="Q2052" s="729"/>
      <c r="R2052" s="694"/>
      <c r="S2052" s="729"/>
      <c r="T2052" s="729"/>
      <c r="U2052" s="694"/>
      <c r="V2052" s="694"/>
      <c r="W2052" s="694"/>
      <c r="X2052" s="694"/>
      <c r="Y2052" s="694"/>
      <c r="Z2052" s="694"/>
      <c r="AA2052" s="694"/>
      <c r="AB2052" s="694"/>
      <c r="AC2052" s="694"/>
      <c r="AD2052" s="694"/>
      <c r="AE2052" s="694"/>
      <c r="AF2052" s="694"/>
      <c r="AG2052" s="694"/>
      <c r="AH2052" s="694"/>
      <c r="AI2052" s="694"/>
      <c r="AJ2052" s="694"/>
      <c r="AK2052" s="694"/>
      <c r="AL2052" s="694"/>
    </row>
    <row r="2053" spans="1:38" x14ac:dyDescent="0.25">
      <c r="A2053" s="694"/>
      <c r="B2053" s="298"/>
      <c r="C2053" s="302"/>
      <c r="D2053" s="302"/>
      <c r="E2053" s="2358" t="str">
        <f>Translations!$B$1520</f>
        <v>Кодовете по КН са кодовете съгласно Регламент (ЕИО) № 2658/87, които са на разположение на следния адрес:</v>
      </c>
      <c r="F2053" s="2249"/>
      <c r="G2053" s="2249"/>
      <c r="H2053" s="2249"/>
      <c r="I2053" s="2249"/>
      <c r="J2053" s="2249"/>
      <c r="K2053" s="2249"/>
      <c r="L2053" s="2249"/>
      <c r="M2053" s="2249"/>
      <c r="N2053" s="2249"/>
      <c r="O2053" s="302"/>
      <c r="P2053" s="302"/>
      <c r="Q2053" s="729"/>
      <c r="R2053" s="694"/>
      <c r="S2053" s="729"/>
      <c r="T2053" s="729"/>
      <c r="U2053" s="694"/>
      <c r="V2053" s="694"/>
      <c r="W2053" s="694"/>
      <c r="X2053" s="694"/>
      <c r="Y2053" s="694"/>
      <c r="Z2053" s="694"/>
      <c r="AA2053" s="694"/>
      <c r="AB2053" s="694"/>
      <c r="AC2053" s="694"/>
      <c r="AD2053" s="694"/>
      <c r="AE2053" s="694"/>
      <c r="AF2053" s="694"/>
      <c r="AG2053" s="694"/>
      <c r="AH2053" s="694"/>
      <c r="AI2053" s="694"/>
      <c r="AJ2053" s="694"/>
      <c r="AK2053" s="694"/>
      <c r="AL2053" s="694"/>
    </row>
    <row r="2054" spans="1:38" x14ac:dyDescent="0.25">
      <c r="A2054" s="694"/>
      <c r="B2054" s="298"/>
      <c r="C2054" s="302"/>
      <c r="D2054" s="302"/>
      <c r="E2054" s="2855" t="str">
        <f>Translations!$B$1521</f>
        <v>https://eur-lex.europa.eu/eli/reg/1987/2658/2023-06-17</v>
      </c>
      <c r="F2054" s="2856"/>
      <c r="G2054" s="2856"/>
      <c r="H2054" s="2856"/>
      <c r="I2054" s="2856"/>
      <c r="J2054" s="2856"/>
      <c r="K2054" s="2856"/>
      <c r="L2054" s="2856"/>
      <c r="M2054" s="2856"/>
      <c r="N2054" s="2856"/>
      <c r="O2054" s="302"/>
      <c r="P2054" s="302"/>
      <c r="Q2054" s="729"/>
      <c r="R2054" s="694"/>
      <c r="S2054" s="729"/>
      <c r="T2054" s="729"/>
      <c r="U2054" s="694"/>
      <c r="V2054" s="694"/>
      <c r="W2054" s="694"/>
      <c r="X2054" s="694"/>
      <c r="Y2054" s="694"/>
      <c r="Z2054" s="694"/>
      <c r="AA2054" s="694"/>
      <c r="AB2054" s="694"/>
      <c r="AC2054" s="694"/>
      <c r="AD2054" s="694"/>
      <c r="AE2054" s="694"/>
      <c r="AF2054" s="694"/>
      <c r="AG2054" s="694"/>
      <c r="AH2054" s="694"/>
      <c r="AI2054" s="694"/>
      <c r="AJ2054" s="694"/>
      <c r="AK2054" s="694"/>
      <c r="AL2054" s="694"/>
    </row>
    <row r="2055" spans="1:38" ht="5.15" customHeight="1" x14ac:dyDescent="0.25">
      <c r="A2055" s="694"/>
      <c r="B2055" s="298"/>
      <c r="C2055" s="298"/>
      <c r="D2055" s="298"/>
      <c r="E2055" s="298"/>
      <c r="F2055" s="298"/>
      <c r="G2055" s="298"/>
      <c r="H2055" s="298"/>
      <c r="I2055" s="298"/>
      <c r="J2055" s="298"/>
      <c r="K2055" s="298"/>
      <c r="L2055" s="298"/>
      <c r="M2055" s="298"/>
      <c r="N2055" s="298"/>
      <c r="O2055" s="302"/>
      <c r="P2055" s="302"/>
      <c r="Q2055" s="729"/>
      <c r="R2055" s="729"/>
      <c r="S2055" s="729"/>
      <c r="T2055" s="729"/>
      <c r="U2055" s="694"/>
      <c r="V2055" s="694"/>
      <c r="W2055" s="694"/>
      <c r="X2055" s="694"/>
      <c r="Y2055" s="694"/>
      <c r="Z2055" s="694"/>
      <c r="AA2055" s="694"/>
      <c r="AB2055" s="694"/>
      <c r="AC2055" s="694"/>
      <c r="AD2055" s="694"/>
      <c r="AE2055" s="694"/>
      <c r="AF2055" s="694"/>
      <c r="AG2055" s="694"/>
      <c r="AH2055" s="694"/>
      <c r="AI2055" s="694"/>
      <c r="AJ2055" s="694"/>
      <c r="AK2055" s="694"/>
      <c r="AL2055" s="694"/>
    </row>
    <row r="2056" spans="1:38" ht="13" x14ac:dyDescent="0.25">
      <c r="A2056" s="694"/>
      <c r="B2056" s="298"/>
      <c r="C2056" s="300"/>
      <c r="D2056" s="300" t="s">
        <v>55</v>
      </c>
      <c r="E2056" s="2226" t="str">
        <f>Translations!$B$499</f>
        <v>Индивидуални равнища на производство за продуктите, включени в тази подинсталация с продуктов показател</v>
      </c>
      <c r="F2056" s="2249"/>
      <c r="G2056" s="2249"/>
      <c r="H2056" s="2249"/>
      <c r="I2056" s="2249"/>
      <c r="J2056" s="2249"/>
      <c r="K2056" s="2249"/>
      <c r="L2056" s="2249"/>
      <c r="M2056" s="2249"/>
      <c r="N2056" s="2249"/>
      <c r="O2056" s="302"/>
      <c r="P2056" s="302"/>
      <c r="Q2056" s="729"/>
      <c r="R2056" s="694"/>
      <c r="S2056" s="729"/>
      <c r="T2056" s="729"/>
      <c r="U2056" s="694"/>
      <c r="V2056" s="694"/>
      <c r="W2056" s="694"/>
      <c r="X2056" s="694"/>
      <c r="Y2056" s="694"/>
      <c r="Z2056" s="694"/>
      <c r="AA2056" s="694"/>
      <c r="AB2056" s="694"/>
      <c r="AC2056" s="694"/>
      <c r="AD2056" s="694"/>
      <c r="AE2056" s="694"/>
      <c r="AF2056" s="694"/>
      <c r="AG2056" s="694"/>
      <c r="AH2056" s="694"/>
      <c r="AI2056" s="694"/>
      <c r="AJ2056" s="694"/>
      <c r="AK2056" s="694"/>
      <c r="AL2056" s="694"/>
    </row>
    <row r="2057" spans="1:38" ht="5.15" customHeight="1" x14ac:dyDescent="0.25">
      <c r="A2057" s="694"/>
      <c r="B2057" s="298"/>
      <c r="C2057" s="298"/>
      <c r="D2057" s="302"/>
      <c r="E2057" s="460"/>
      <c r="F2057" s="460"/>
      <c r="G2057" s="460"/>
      <c r="H2057" s="460"/>
      <c r="I2057" s="460"/>
      <c r="J2057" s="329"/>
      <c r="K2057" s="329"/>
      <c r="L2057" s="329"/>
      <c r="M2057" s="302"/>
      <c r="N2057" s="302"/>
      <c r="O2057" s="302"/>
      <c r="P2057" s="302"/>
      <c r="Q2057" s="729"/>
      <c r="R2057" s="694"/>
      <c r="S2057" s="729"/>
      <c r="T2057" s="729"/>
      <c r="U2057" s="694"/>
      <c r="V2057" s="694"/>
      <c r="W2057" s="694"/>
      <c r="X2057" s="694"/>
      <c r="Y2057" s="694"/>
      <c r="Z2057" s="694"/>
      <c r="AA2057" s="694"/>
      <c r="AB2057" s="694"/>
      <c r="AC2057" s="694"/>
      <c r="AD2057" s="694"/>
      <c r="AE2057" s="694"/>
      <c r="AF2057" s="694"/>
      <c r="AG2057" s="694"/>
      <c r="AH2057" s="694"/>
      <c r="AI2057" s="694"/>
      <c r="AJ2057" s="694"/>
      <c r="AK2057" s="694"/>
      <c r="AL2057" s="694"/>
    </row>
    <row r="2058" spans="1:38" ht="25.5" customHeight="1" thickBot="1" x14ac:dyDescent="0.3">
      <c r="A2058" s="694"/>
      <c r="B2058" s="698"/>
      <c r="C2058" s="698"/>
      <c r="D2058" s="1014"/>
      <c r="E2058" s="1277" t="str">
        <f>Translations!$B$1522</f>
        <v>ПРОДКОМ за 2010 г.</v>
      </c>
      <c r="F2058" s="1278" t="str">
        <f>Translations!$B$500</f>
        <v>Име на продукта или групата продукти</v>
      </c>
      <c r="G2058" s="672" t="str">
        <f>EUconst_Unit</f>
        <v>Единица мярка</v>
      </c>
      <c r="H2058" s="391">
        <f t="shared" ref="H2058:N2058" si="2866">H$2831</f>
        <v>2024</v>
      </c>
      <c r="I2058" s="572">
        <f t="shared" si="2866"/>
        <v>2025</v>
      </c>
      <c r="J2058" s="757">
        <f t="shared" si="2866"/>
        <v>2026</v>
      </c>
      <c r="K2058" s="391">
        <f t="shared" si="2866"/>
        <v>2027</v>
      </c>
      <c r="L2058" s="391">
        <f t="shared" si="2866"/>
        <v>2028</v>
      </c>
      <c r="M2058" s="391">
        <f t="shared" si="2866"/>
        <v>2029</v>
      </c>
      <c r="N2058" s="391">
        <f t="shared" si="2866"/>
        <v>2030</v>
      </c>
      <c r="O2058" s="1277" t="str">
        <f>Translations!$B$1523</f>
        <v>Код по КН</v>
      </c>
      <c r="P2058" s="1278"/>
      <c r="Q2058" s="694"/>
      <c r="R2058" s="694"/>
      <c r="S2058" s="729"/>
      <c r="T2058" s="729"/>
      <c r="U2058" s="694"/>
      <c r="V2058" s="694"/>
      <c r="W2058" s="694"/>
      <c r="X2058" s="694"/>
      <c r="Y2058" s="694"/>
      <c r="Z2058" s="1279" t="s">
        <v>737</v>
      </c>
      <c r="AA2058" s="694"/>
      <c r="AB2058" s="694"/>
      <c r="AC2058" s="1178">
        <f t="shared" ref="AC2058" si="2867">H$20</f>
        <v>2024</v>
      </c>
      <c r="AD2058" s="1178">
        <f t="shared" ref="AD2058" si="2868">I$20</f>
        <v>2025</v>
      </c>
      <c r="AE2058" s="1178">
        <f t="shared" ref="AE2058" si="2869">J$20</f>
        <v>2026</v>
      </c>
      <c r="AF2058" s="1178">
        <f t="shared" ref="AF2058" si="2870">K$20</f>
        <v>2027</v>
      </c>
      <c r="AG2058" s="1178">
        <f t="shared" ref="AG2058" si="2871">L$20</f>
        <v>2028</v>
      </c>
      <c r="AH2058" s="1178">
        <f t="shared" ref="AH2058" si="2872">M$20</f>
        <v>2029</v>
      </c>
      <c r="AI2058" s="1178">
        <f t="shared" ref="AI2058" si="2873">N$20</f>
        <v>2030</v>
      </c>
      <c r="AJ2058" s="694"/>
      <c r="AK2058" s="694"/>
      <c r="AL2058" s="694"/>
    </row>
    <row r="2059" spans="1:38" x14ac:dyDescent="0.25">
      <c r="A2059" s="694"/>
      <c r="B2059" s="698"/>
      <c r="C2059" s="698"/>
      <c r="D2059" s="981">
        <v>1</v>
      </c>
      <c r="E2059" s="221"/>
      <c r="F2059" s="109"/>
      <c r="G2059" s="57"/>
      <c r="H2059" s="40"/>
      <c r="I2059" s="46"/>
      <c r="J2059" s="116"/>
      <c r="K2059" s="40"/>
      <c r="L2059" s="40"/>
      <c r="M2059" s="40"/>
      <c r="N2059" s="40"/>
      <c r="O2059" s="221"/>
      <c r="P2059" s="158"/>
      <c r="Q2059" s="694"/>
      <c r="R2059" s="694"/>
      <c r="S2059" s="729"/>
      <c r="T2059" s="729"/>
      <c r="U2059" s="694"/>
      <c r="V2059" s="694"/>
      <c r="W2059" s="694"/>
      <c r="X2059" s="694"/>
      <c r="Y2059" s="694"/>
      <c r="Z2059" s="1280" t="b">
        <f t="shared" ref="Z2059:Z2068" si="2874">AA2059</f>
        <v>0</v>
      </c>
      <c r="AA2059" s="1281" t="b">
        <f t="shared" ref="AA2059:AA2068" si="2875">AB2059</f>
        <v>0</v>
      </c>
      <c r="AB2059" s="1282" t="b">
        <f>AND(AC2059:AI2059)</f>
        <v>0</v>
      </c>
      <c r="AC2059" s="1283" t="b">
        <f t="shared" ref="AC2059:AD2059" si="2876">AC2027</f>
        <v>0</v>
      </c>
      <c r="AD2059" s="1284" t="b">
        <f t="shared" si="2876"/>
        <v>0</v>
      </c>
      <c r="AE2059" s="1284" t="b">
        <f>AE2027</f>
        <v>0</v>
      </c>
      <c r="AF2059" s="1284" t="b">
        <f t="shared" ref="AF2059" si="2877">AF2027</f>
        <v>0</v>
      </c>
      <c r="AG2059" s="1284" t="b">
        <f>AG2027</f>
        <v>0</v>
      </c>
      <c r="AH2059" s="1284" t="b">
        <f t="shared" ref="AH2059:AI2059" si="2878">AH2027</f>
        <v>0</v>
      </c>
      <c r="AI2059" s="1285" t="b">
        <f t="shared" si="2878"/>
        <v>0</v>
      </c>
      <c r="AJ2059" s="1174" t="s">
        <v>2039</v>
      </c>
      <c r="AK2059" s="1176" t="str">
        <f>IF(AND(CNTR_ExistSubInstEntries,COUNTIFS(AC2059:AI2059,FALSE,H2059:N2059,"")&gt;0),EUconst_Error&amp;"BM"&amp;$Q1980,"")</f>
        <v/>
      </c>
      <c r="AL2059" s="694"/>
    </row>
    <row r="2060" spans="1:38" x14ac:dyDescent="0.25">
      <c r="A2060" s="694"/>
      <c r="B2060" s="698"/>
      <c r="C2060" s="698"/>
      <c r="D2060" s="990">
        <f>D2059+1</f>
        <v>2</v>
      </c>
      <c r="E2060" s="222"/>
      <c r="F2060" s="110"/>
      <c r="G2060" s="44"/>
      <c r="H2060" s="43"/>
      <c r="I2060" s="47"/>
      <c r="J2060" s="119"/>
      <c r="K2060" s="43"/>
      <c r="L2060" s="43"/>
      <c r="M2060" s="43"/>
      <c r="N2060" s="43"/>
      <c r="O2060" s="222"/>
      <c r="P2060" s="158"/>
      <c r="Q2060" s="694"/>
      <c r="R2060" s="694"/>
      <c r="S2060" s="729"/>
      <c r="T2060" s="729"/>
      <c r="U2060" s="694"/>
      <c r="V2060" s="694"/>
      <c r="W2060" s="694"/>
      <c r="X2060" s="694"/>
      <c r="Y2060" s="694"/>
      <c r="Z2060" s="1286" t="b">
        <f t="shared" si="2874"/>
        <v>0</v>
      </c>
      <c r="AA2060" s="982" t="b">
        <f t="shared" si="2875"/>
        <v>0</v>
      </c>
      <c r="AB2060" s="1287" t="b">
        <f t="shared" ref="AB2060:AB2068" si="2879">AND(AC2060:AI2060)</f>
        <v>0</v>
      </c>
      <c r="AC2060" s="1288" t="b">
        <f>AC2059</f>
        <v>0</v>
      </c>
      <c r="AD2060" s="982" t="b">
        <f t="shared" ref="AD2060:AI2060" si="2880">AD2059</f>
        <v>0</v>
      </c>
      <c r="AE2060" s="982" t="b">
        <f t="shared" si="2880"/>
        <v>0</v>
      </c>
      <c r="AF2060" s="982" t="b">
        <f t="shared" si="2880"/>
        <v>0</v>
      </c>
      <c r="AG2060" s="982" t="b">
        <f t="shared" si="2880"/>
        <v>0</v>
      </c>
      <c r="AH2060" s="982" t="b">
        <f t="shared" si="2880"/>
        <v>0</v>
      </c>
      <c r="AI2060" s="1287" t="b">
        <f t="shared" si="2880"/>
        <v>0</v>
      </c>
      <c r="AJ2060" s="694"/>
      <c r="AK2060" s="694"/>
      <c r="AL2060" s="694"/>
    </row>
    <row r="2061" spans="1:38" x14ac:dyDescent="0.25">
      <c r="A2061" s="694"/>
      <c r="B2061" s="698"/>
      <c r="C2061" s="698"/>
      <c r="D2061" s="990">
        <f t="shared" ref="D2061:D2068" si="2881">D2060+1</f>
        <v>3</v>
      </c>
      <c r="E2061" s="222"/>
      <c r="F2061" s="111"/>
      <c r="G2061" s="44"/>
      <c r="H2061" s="43"/>
      <c r="I2061" s="47"/>
      <c r="J2061" s="119"/>
      <c r="K2061" s="43"/>
      <c r="L2061" s="43"/>
      <c r="M2061" s="43"/>
      <c r="N2061" s="43"/>
      <c r="O2061" s="222"/>
      <c r="P2061" s="158"/>
      <c r="Q2061" s="694"/>
      <c r="R2061" s="694"/>
      <c r="S2061" s="729"/>
      <c r="T2061" s="729"/>
      <c r="U2061" s="694"/>
      <c r="V2061" s="694"/>
      <c r="W2061" s="694"/>
      <c r="X2061" s="694"/>
      <c r="Y2061" s="694"/>
      <c r="Z2061" s="1286" t="b">
        <f t="shared" si="2874"/>
        <v>0</v>
      </c>
      <c r="AA2061" s="982" t="b">
        <f t="shared" si="2875"/>
        <v>0</v>
      </c>
      <c r="AB2061" s="1287" t="b">
        <f t="shared" si="2879"/>
        <v>0</v>
      </c>
      <c r="AC2061" s="1288" t="b">
        <f t="shared" ref="AC2061:AI2061" si="2882">AC2060</f>
        <v>0</v>
      </c>
      <c r="AD2061" s="982" t="b">
        <f t="shared" si="2882"/>
        <v>0</v>
      </c>
      <c r="AE2061" s="982" t="b">
        <f t="shared" si="2882"/>
        <v>0</v>
      </c>
      <c r="AF2061" s="982" t="b">
        <f t="shared" si="2882"/>
        <v>0</v>
      </c>
      <c r="AG2061" s="982" t="b">
        <f t="shared" si="2882"/>
        <v>0</v>
      </c>
      <c r="AH2061" s="982" t="b">
        <f t="shared" si="2882"/>
        <v>0</v>
      </c>
      <c r="AI2061" s="1287" t="b">
        <f t="shared" si="2882"/>
        <v>0</v>
      </c>
      <c r="AJ2061" s="694"/>
      <c r="AK2061" s="694"/>
      <c r="AL2061" s="694"/>
    </row>
    <row r="2062" spans="1:38" x14ac:dyDescent="0.25">
      <c r="A2062" s="694"/>
      <c r="B2062" s="698"/>
      <c r="C2062" s="698"/>
      <c r="D2062" s="990">
        <f t="shared" si="2881"/>
        <v>4</v>
      </c>
      <c r="E2062" s="222"/>
      <c r="F2062" s="111"/>
      <c r="G2062" s="44"/>
      <c r="H2062" s="43"/>
      <c r="I2062" s="47"/>
      <c r="J2062" s="119"/>
      <c r="K2062" s="43"/>
      <c r="L2062" s="43"/>
      <c r="M2062" s="43"/>
      <c r="N2062" s="43"/>
      <c r="O2062" s="222"/>
      <c r="P2062" s="158"/>
      <c r="Q2062" s="694"/>
      <c r="R2062" s="694"/>
      <c r="S2062" s="729"/>
      <c r="T2062" s="729"/>
      <c r="U2062" s="694"/>
      <c r="V2062" s="694"/>
      <c r="W2062" s="694"/>
      <c r="X2062" s="694"/>
      <c r="Y2062" s="694"/>
      <c r="Z2062" s="1286" t="b">
        <f t="shared" si="2874"/>
        <v>0</v>
      </c>
      <c r="AA2062" s="982" t="b">
        <f t="shared" si="2875"/>
        <v>0</v>
      </c>
      <c r="AB2062" s="1287" t="b">
        <f t="shared" si="2879"/>
        <v>0</v>
      </c>
      <c r="AC2062" s="1288" t="b">
        <f t="shared" ref="AC2062:AI2062" si="2883">AC2061</f>
        <v>0</v>
      </c>
      <c r="AD2062" s="982" t="b">
        <f t="shared" si="2883"/>
        <v>0</v>
      </c>
      <c r="AE2062" s="982" t="b">
        <f t="shared" si="2883"/>
        <v>0</v>
      </c>
      <c r="AF2062" s="982" t="b">
        <f t="shared" si="2883"/>
        <v>0</v>
      </c>
      <c r="AG2062" s="982" t="b">
        <f t="shared" si="2883"/>
        <v>0</v>
      </c>
      <c r="AH2062" s="982" t="b">
        <f t="shared" si="2883"/>
        <v>0</v>
      </c>
      <c r="AI2062" s="1287" t="b">
        <f t="shared" si="2883"/>
        <v>0</v>
      </c>
      <c r="AJ2062" s="694"/>
      <c r="AK2062" s="694"/>
      <c r="AL2062" s="694"/>
    </row>
    <row r="2063" spans="1:38" x14ac:dyDescent="0.25">
      <c r="A2063" s="694"/>
      <c r="B2063" s="698"/>
      <c r="C2063" s="698"/>
      <c r="D2063" s="990">
        <f t="shared" si="2881"/>
        <v>5</v>
      </c>
      <c r="E2063" s="222"/>
      <c r="F2063" s="111"/>
      <c r="G2063" s="44"/>
      <c r="H2063" s="43"/>
      <c r="I2063" s="47"/>
      <c r="J2063" s="119"/>
      <c r="K2063" s="43"/>
      <c r="L2063" s="43"/>
      <c r="M2063" s="43"/>
      <c r="N2063" s="43"/>
      <c r="O2063" s="222"/>
      <c r="P2063" s="158"/>
      <c r="Q2063" s="694"/>
      <c r="R2063" s="694"/>
      <c r="S2063" s="729"/>
      <c r="T2063" s="729"/>
      <c r="U2063" s="694"/>
      <c r="V2063" s="694"/>
      <c r="W2063" s="694"/>
      <c r="X2063" s="694"/>
      <c r="Y2063" s="694"/>
      <c r="Z2063" s="1286" t="b">
        <f t="shared" si="2874"/>
        <v>0</v>
      </c>
      <c r="AA2063" s="982" t="b">
        <f t="shared" si="2875"/>
        <v>0</v>
      </c>
      <c r="AB2063" s="1287" t="b">
        <f t="shared" si="2879"/>
        <v>0</v>
      </c>
      <c r="AC2063" s="1288" t="b">
        <f t="shared" ref="AC2063:AI2063" si="2884">AC2062</f>
        <v>0</v>
      </c>
      <c r="AD2063" s="982" t="b">
        <f t="shared" si="2884"/>
        <v>0</v>
      </c>
      <c r="AE2063" s="982" t="b">
        <f t="shared" si="2884"/>
        <v>0</v>
      </c>
      <c r="AF2063" s="982" t="b">
        <f t="shared" si="2884"/>
        <v>0</v>
      </c>
      <c r="AG2063" s="982" t="b">
        <f t="shared" si="2884"/>
        <v>0</v>
      </c>
      <c r="AH2063" s="982" t="b">
        <f t="shared" si="2884"/>
        <v>0</v>
      </c>
      <c r="AI2063" s="1287" t="b">
        <f t="shared" si="2884"/>
        <v>0</v>
      </c>
      <c r="AJ2063" s="694"/>
      <c r="AK2063" s="694"/>
      <c r="AL2063" s="694"/>
    </row>
    <row r="2064" spans="1:38" x14ac:dyDescent="0.25">
      <c r="A2064" s="694"/>
      <c r="B2064" s="698"/>
      <c r="C2064" s="698"/>
      <c r="D2064" s="990">
        <f t="shared" si="2881"/>
        <v>6</v>
      </c>
      <c r="E2064" s="222"/>
      <c r="F2064" s="111"/>
      <c r="G2064" s="44"/>
      <c r="H2064" s="43"/>
      <c r="I2064" s="47"/>
      <c r="J2064" s="119"/>
      <c r="K2064" s="43"/>
      <c r="L2064" s="43"/>
      <c r="M2064" s="43"/>
      <c r="N2064" s="43"/>
      <c r="O2064" s="222"/>
      <c r="P2064" s="158"/>
      <c r="Q2064" s="694"/>
      <c r="R2064" s="694"/>
      <c r="S2064" s="729"/>
      <c r="T2064" s="729"/>
      <c r="U2064" s="694"/>
      <c r="V2064" s="694"/>
      <c r="W2064" s="694"/>
      <c r="X2064" s="694"/>
      <c r="Y2064" s="694"/>
      <c r="Z2064" s="1286" t="b">
        <f t="shared" si="2874"/>
        <v>0</v>
      </c>
      <c r="AA2064" s="982" t="b">
        <f t="shared" si="2875"/>
        <v>0</v>
      </c>
      <c r="AB2064" s="1287" t="b">
        <f t="shared" si="2879"/>
        <v>0</v>
      </c>
      <c r="AC2064" s="1288" t="b">
        <f t="shared" ref="AC2064:AI2064" si="2885">AC2063</f>
        <v>0</v>
      </c>
      <c r="AD2064" s="982" t="b">
        <f t="shared" si="2885"/>
        <v>0</v>
      </c>
      <c r="AE2064" s="982" t="b">
        <f t="shared" si="2885"/>
        <v>0</v>
      </c>
      <c r="AF2064" s="982" t="b">
        <f t="shared" si="2885"/>
        <v>0</v>
      </c>
      <c r="AG2064" s="982" t="b">
        <f t="shared" si="2885"/>
        <v>0</v>
      </c>
      <c r="AH2064" s="982" t="b">
        <f t="shared" si="2885"/>
        <v>0</v>
      </c>
      <c r="AI2064" s="1287" t="b">
        <f t="shared" si="2885"/>
        <v>0</v>
      </c>
      <c r="AJ2064" s="694"/>
      <c r="AK2064" s="694"/>
      <c r="AL2064" s="694"/>
    </row>
    <row r="2065" spans="1:38" x14ac:dyDescent="0.25">
      <c r="A2065" s="694"/>
      <c r="B2065" s="698"/>
      <c r="C2065" s="698"/>
      <c r="D2065" s="990">
        <f t="shared" si="2881"/>
        <v>7</v>
      </c>
      <c r="E2065" s="222"/>
      <c r="F2065" s="111"/>
      <c r="G2065" s="44"/>
      <c r="H2065" s="43"/>
      <c r="I2065" s="47"/>
      <c r="J2065" s="119"/>
      <c r="K2065" s="43"/>
      <c r="L2065" s="43"/>
      <c r="M2065" s="43"/>
      <c r="N2065" s="43"/>
      <c r="O2065" s="222"/>
      <c r="P2065" s="158"/>
      <c r="Q2065" s="694"/>
      <c r="R2065" s="694"/>
      <c r="S2065" s="729"/>
      <c r="T2065" s="729"/>
      <c r="U2065" s="694"/>
      <c r="V2065" s="694"/>
      <c r="W2065" s="694"/>
      <c r="X2065" s="694"/>
      <c r="Y2065" s="694"/>
      <c r="Z2065" s="1286" t="b">
        <f t="shared" si="2874"/>
        <v>0</v>
      </c>
      <c r="AA2065" s="982" t="b">
        <f t="shared" si="2875"/>
        <v>0</v>
      </c>
      <c r="AB2065" s="1287" t="b">
        <f t="shared" si="2879"/>
        <v>0</v>
      </c>
      <c r="AC2065" s="1288" t="b">
        <f t="shared" ref="AC2065:AI2065" si="2886">AC2064</f>
        <v>0</v>
      </c>
      <c r="AD2065" s="982" t="b">
        <f t="shared" si="2886"/>
        <v>0</v>
      </c>
      <c r="AE2065" s="982" t="b">
        <f t="shared" si="2886"/>
        <v>0</v>
      </c>
      <c r="AF2065" s="982" t="b">
        <f t="shared" si="2886"/>
        <v>0</v>
      </c>
      <c r="AG2065" s="982" t="b">
        <f t="shared" si="2886"/>
        <v>0</v>
      </c>
      <c r="AH2065" s="982" t="b">
        <f t="shared" si="2886"/>
        <v>0</v>
      </c>
      <c r="AI2065" s="1287" t="b">
        <f t="shared" si="2886"/>
        <v>0</v>
      </c>
      <c r="AJ2065" s="694"/>
      <c r="AK2065" s="694"/>
      <c r="AL2065" s="694"/>
    </row>
    <row r="2066" spans="1:38" x14ac:dyDescent="0.25">
      <c r="A2066" s="694"/>
      <c r="B2066" s="698"/>
      <c r="C2066" s="698"/>
      <c r="D2066" s="990">
        <f t="shared" si="2881"/>
        <v>8</v>
      </c>
      <c r="E2066" s="222"/>
      <c r="F2066" s="111"/>
      <c r="G2066" s="44"/>
      <c r="H2066" s="43"/>
      <c r="I2066" s="47"/>
      <c r="J2066" s="119"/>
      <c r="K2066" s="43"/>
      <c r="L2066" s="43"/>
      <c r="M2066" s="43"/>
      <c r="N2066" s="43"/>
      <c r="O2066" s="222"/>
      <c r="P2066" s="158"/>
      <c r="Q2066" s="694"/>
      <c r="R2066" s="694"/>
      <c r="S2066" s="729"/>
      <c r="T2066" s="729"/>
      <c r="U2066" s="694"/>
      <c r="V2066" s="694"/>
      <c r="W2066" s="694"/>
      <c r="X2066" s="694"/>
      <c r="Y2066" s="694"/>
      <c r="Z2066" s="1286" t="b">
        <f t="shared" si="2874"/>
        <v>0</v>
      </c>
      <c r="AA2066" s="982" t="b">
        <f t="shared" si="2875"/>
        <v>0</v>
      </c>
      <c r="AB2066" s="1287" t="b">
        <f t="shared" si="2879"/>
        <v>0</v>
      </c>
      <c r="AC2066" s="1288" t="b">
        <f t="shared" ref="AC2066:AI2066" si="2887">AC2065</f>
        <v>0</v>
      </c>
      <c r="AD2066" s="982" t="b">
        <f t="shared" si="2887"/>
        <v>0</v>
      </c>
      <c r="AE2066" s="982" t="b">
        <f t="shared" si="2887"/>
        <v>0</v>
      </c>
      <c r="AF2066" s="982" t="b">
        <f t="shared" si="2887"/>
        <v>0</v>
      </c>
      <c r="AG2066" s="982" t="b">
        <f t="shared" si="2887"/>
        <v>0</v>
      </c>
      <c r="AH2066" s="982" t="b">
        <f t="shared" si="2887"/>
        <v>0</v>
      </c>
      <c r="AI2066" s="1287" t="b">
        <f t="shared" si="2887"/>
        <v>0</v>
      </c>
      <c r="AJ2066" s="694"/>
      <c r="AK2066" s="694"/>
      <c r="AL2066" s="694"/>
    </row>
    <row r="2067" spans="1:38" x14ac:dyDescent="0.25">
      <c r="A2067" s="694"/>
      <c r="B2067" s="698"/>
      <c r="C2067" s="698"/>
      <c r="D2067" s="990">
        <f t="shared" si="2881"/>
        <v>9</v>
      </c>
      <c r="E2067" s="222"/>
      <c r="F2067" s="111"/>
      <c r="G2067" s="44"/>
      <c r="H2067" s="43"/>
      <c r="I2067" s="47"/>
      <c r="J2067" s="119"/>
      <c r="K2067" s="43"/>
      <c r="L2067" s="43"/>
      <c r="M2067" s="43"/>
      <c r="N2067" s="43"/>
      <c r="O2067" s="222"/>
      <c r="P2067" s="158"/>
      <c r="Q2067" s="694"/>
      <c r="R2067" s="694"/>
      <c r="S2067" s="729"/>
      <c r="T2067" s="729"/>
      <c r="U2067" s="694"/>
      <c r="V2067" s="694"/>
      <c r="W2067" s="694"/>
      <c r="X2067" s="694"/>
      <c r="Y2067" s="694"/>
      <c r="Z2067" s="1286" t="b">
        <f t="shared" si="2874"/>
        <v>0</v>
      </c>
      <c r="AA2067" s="982" t="b">
        <f t="shared" si="2875"/>
        <v>0</v>
      </c>
      <c r="AB2067" s="1287" t="b">
        <f t="shared" si="2879"/>
        <v>0</v>
      </c>
      <c r="AC2067" s="1288" t="b">
        <f t="shared" ref="AC2067:AI2067" si="2888">AC2066</f>
        <v>0</v>
      </c>
      <c r="AD2067" s="982" t="b">
        <f t="shared" si="2888"/>
        <v>0</v>
      </c>
      <c r="AE2067" s="982" t="b">
        <f t="shared" si="2888"/>
        <v>0</v>
      </c>
      <c r="AF2067" s="982" t="b">
        <f t="shared" si="2888"/>
        <v>0</v>
      </c>
      <c r="AG2067" s="982" t="b">
        <f t="shared" si="2888"/>
        <v>0</v>
      </c>
      <c r="AH2067" s="982" t="b">
        <f t="shared" si="2888"/>
        <v>0</v>
      </c>
      <c r="AI2067" s="1287" t="b">
        <f t="shared" si="2888"/>
        <v>0</v>
      </c>
      <c r="AJ2067" s="694"/>
      <c r="AK2067" s="694"/>
      <c r="AL2067" s="694"/>
    </row>
    <row r="2068" spans="1:38" ht="13" thickBot="1" x14ac:dyDescent="0.3">
      <c r="A2068" s="694"/>
      <c r="B2068" s="698"/>
      <c r="C2068" s="698"/>
      <c r="D2068" s="994">
        <f t="shared" si="2881"/>
        <v>10</v>
      </c>
      <c r="E2068" s="223"/>
      <c r="F2068" s="112"/>
      <c r="G2068" s="45"/>
      <c r="H2068" s="38"/>
      <c r="I2068" s="48"/>
      <c r="J2068" s="117"/>
      <c r="K2068" s="38"/>
      <c r="L2068" s="38"/>
      <c r="M2068" s="38"/>
      <c r="N2068" s="38"/>
      <c r="O2068" s="223"/>
      <c r="P2068" s="158"/>
      <c r="Q2068" s="694"/>
      <c r="R2068" s="694"/>
      <c r="S2068" s="729"/>
      <c r="T2068" s="729"/>
      <c r="U2068" s="694"/>
      <c r="V2068" s="694"/>
      <c r="W2068" s="694"/>
      <c r="X2068" s="694"/>
      <c r="Y2068" s="694"/>
      <c r="Z2068" s="1289" t="b">
        <f t="shared" si="2874"/>
        <v>0</v>
      </c>
      <c r="AA2068" s="1290" t="b">
        <f t="shared" si="2875"/>
        <v>0</v>
      </c>
      <c r="AB2068" s="1291" t="b">
        <f t="shared" si="2879"/>
        <v>0</v>
      </c>
      <c r="AC2068" s="1292" t="b">
        <f t="shared" ref="AC2068:AI2068" si="2889">AC2067</f>
        <v>0</v>
      </c>
      <c r="AD2068" s="1290" t="b">
        <f t="shared" si="2889"/>
        <v>0</v>
      </c>
      <c r="AE2068" s="1290" t="b">
        <f t="shared" si="2889"/>
        <v>0</v>
      </c>
      <c r="AF2068" s="1290" t="b">
        <f t="shared" si="2889"/>
        <v>0</v>
      </c>
      <c r="AG2068" s="1290" t="b">
        <f t="shared" si="2889"/>
        <v>0</v>
      </c>
      <c r="AH2068" s="1290" t="b">
        <f t="shared" si="2889"/>
        <v>0</v>
      </c>
      <c r="AI2068" s="1291" t="b">
        <f t="shared" si="2889"/>
        <v>0</v>
      </c>
      <c r="AJ2068" s="694"/>
      <c r="AK2068" s="694"/>
      <c r="AL2068" s="694"/>
    </row>
    <row r="2069" spans="1:38" ht="12.75" customHeight="1" thickBot="1" x14ac:dyDescent="0.3">
      <c r="A2069" s="694"/>
      <c r="B2069" s="698"/>
      <c r="C2069" s="698"/>
      <c r="D2069" s="1293"/>
      <c r="E2069" s="1294" t="str">
        <f>Translations!$B$501</f>
        <v>Сума на равнищата на производство</v>
      </c>
      <c r="F2069" s="1295"/>
      <c r="G2069" s="49"/>
      <c r="H2069" s="1104" t="str">
        <f t="shared" ref="H2069:N2069" si="2890">IF(COUNT(H2059:H2068)&gt;0,SUM(H2059:H2068),"")</f>
        <v/>
      </c>
      <c r="I2069" s="1296" t="str">
        <f t="shared" si="2890"/>
        <v/>
      </c>
      <c r="J2069" s="1297" t="str">
        <f t="shared" si="2890"/>
        <v/>
      </c>
      <c r="K2069" s="1104" t="str">
        <f t="shared" si="2890"/>
        <v/>
      </c>
      <c r="L2069" s="1104" t="str">
        <f t="shared" si="2890"/>
        <v/>
      </c>
      <c r="M2069" s="1104" t="str">
        <f t="shared" si="2890"/>
        <v/>
      </c>
      <c r="N2069" s="1104" t="str">
        <f t="shared" si="2890"/>
        <v/>
      </c>
      <c r="O2069" s="302"/>
      <c r="P2069" s="302"/>
      <c r="Q2069" s="694"/>
      <c r="R2069" s="694"/>
      <c r="S2069" s="729"/>
      <c r="T2069" s="729"/>
      <c r="U2069" s="694"/>
      <c r="V2069" s="694"/>
      <c r="W2069" s="694"/>
      <c r="X2069" s="694"/>
      <c r="Y2069" s="694"/>
      <c r="Z2069" s="694"/>
      <c r="AA2069" s="694"/>
      <c r="AB2069" s="1177" t="b">
        <f>AND(AB2059:AB2068)</f>
        <v>0</v>
      </c>
      <c r="AC2069" s="694"/>
      <c r="AD2069" s="694"/>
      <c r="AE2069" s="694"/>
      <c r="AF2069" s="694"/>
      <c r="AG2069" s="694"/>
      <c r="AH2069" s="694"/>
      <c r="AI2069" s="694"/>
      <c r="AJ2069" s="694"/>
      <c r="AK2069" s="694"/>
      <c r="AL2069" s="694"/>
    </row>
    <row r="2070" spans="1:38" ht="12.75" customHeight="1" thickBot="1" x14ac:dyDescent="0.3">
      <c r="A2070" s="694"/>
      <c r="B2070" s="298"/>
      <c r="C2070" s="298"/>
      <c r="D2070" s="298"/>
      <c r="E2070" s="298"/>
      <c r="F2070" s="298"/>
      <c r="G2070" s="298"/>
      <c r="H2070" s="298"/>
      <c r="I2070" s="298"/>
      <c r="J2070" s="298"/>
      <c r="K2070" s="298"/>
      <c r="L2070" s="298"/>
      <c r="M2070" s="302"/>
      <c r="N2070" s="302"/>
      <c r="O2070" s="302"/>
      <c r="P2070" s="302"/>
      <c r="Q2070" s="729"/>
      <c r="R2070" s="694"/>
      <c r="S2070" s="729"/>
      <c r="T2070" s="729"/>
      <c r="U2070" s="694"/>
      <c r="V2070" s="694"/>
      <c r="W2070" s="694"/>
      <c r="X2070" s="694"/>
      <c r="Y2070" s="694"/>
      <c r="Z2070" s="694"/>
      <c r="AA2070" s="694"/>
      <c r="AB2070" s="694"/>
      <c r="AC2070" s="694"/>
      <c r="AD2070" s="694"/>
      <c r="AE2070" s="694"/>
      <c r="AF2070" s="694"/>
      <c r="AG2070" s="694"/>
      <c r="AH2070" s="694"/>
      <c r="AI2070" s="694"/>
      <c r="AJ2070" s="694"/>
      <c r="AK2070" s="694"/>
      <c r="AL2070" s="694"/>
    </row>
    <row r="2071" spans="1:38" ht="5.15" customHeight="1" x14ac:dyDescent="0.25">
      <c r="A2071" s="694"/>
      <c r="B2071" s="298"/>
      <c r="C2071" s="1298"/>
      <c r="D2071" s="1299"/>
      <c r="E2071" s="1299"/>
      <c r="F2071" s="1299"/>
      <c r="G2071" s="1299"/>
      <c r="H2071" s="1299"/>
      <c r="I2071" s="1299"/>
      <c r="J2071" s="1299"/>
      <c r="K2071" s="1299"/>
      <c r="L2071" s="1299"/>
      <c r="M2071" s="1300"/>
      <c r="N2071" s="1301"/>
      <c r="O2071" s="302"/>
      <c r="P2071" s="302"/>
      <c r="Q2071" s="729"/>
      <c r="R2071" s="694"/>
      <c r="S2071" s="729"/>
      <c r="T2071" s="729"/>
      <c r="U2071" s="694"/>
      <c r="V2071" s="694"/>
      <c r="W2071" s="694"/>
      <c r="X2071" s="694"/>
      <c r="Y2071" s="694"/>
      <c r="Z2071" s="694"/>
      <c r="AA2071" s="694"/>
      <c r="AB2071" s="694"/>
      <c r="AC2071" s="694"/>
      <c r="AD2071" s="694"/>
      <c r="AE2071" s="694"/>
      <c r="AF2071" s="694"/>
      <c r="AG2071" s="694"/>
      <c r="AH2071" s="694"/>
      <c r="AI2071" s="694"/>
      <c r="AJ2071" s="694"/>
      <c r="AK2071" s="694"/>
      <c r="AL2071" s="694"/>
    </row>
    <row r="2072" spans="1:38" ht="15" customHeight="1" x14ac:dyDescent="0.25">
      <c r="A2072" s="694"/>
      <c r="B2072" s="698"/>
      <c r="C2072" s="1302"/>
      <c r="D2072" s="2857" t="str">
        <f>Translations!$B$502</f>
        <v>Данни, необходими за определяне на нивото на подобрение на продуктовите показатели съгласно 10а, параграф 2 от Директивата за СТЕ на ЕС</v>
      </c>
      <c r="E2072" s="2851"/>
      <c r="F2072" s="2851"/>
      <c r="G2072" s="2851"/>
      <c r="H2072" s="2851"/>
      <c r="I2072" s="2851"/>
      <c r="J2072" s="2851"/>
      <c r="K2072" s="2851"/>
      <c r="L2072" s="2851"/>
      <c r="M2072" s="2851"/>
      <c r="N2072" s="2852"/>
      <c r="O2072" s="302"/>
      <c r="P2072" s="302"/>
      <c r="Q2072" s="694"/>
      <c r="R2072" s="694"/>
      <c r="S2072" s="729"/>
      <c r="T2072" s="729"/>
      <c r="U2072" s="694"/>
      <c r="V2072" s="694"/>
      <c r="W2072" s="694"/>
      <c r="X2072" s="694"/>
      <c r="Y2072" s="694"/>
      <c r="Z2072" s="694"/>
      <c r="AA2072" s="694"/>
      <c r="AB2072" s="694"/>
      <c r="AC2072" s="694"/>
      <c r="AD2072" s="694"/>
      <c r="AE2072" s="694"/>
      <c r="AF2072" s="694"/>
      <c r="AG2072" s="694"/>
      <c r="AH2072" s="694"/>
      <c r="AI2072" s="694"/>
      <c r="AJ2072" s="694"/>
      <c r="AK2072" s="694"/>
      <c r="AL2072" s="694"/>
    </row>
    <row r="2073" spans="1:38" ht="5.15" customHeight="1" x14ac:dyDescent="0.25">
      <c r="A2073" s="694"/>
      <c r="B2073" s="698"/>
      <c r="C2073" s="1303"/>
      <c r="D2073" s="1304"/>
      <c r="E2073" s="1304"/>
      <c r="F2073" s="1304"/>
      <c r="G2073" s="1304"/>
      <c r="H2073" s="1304"/>
      <c r="I2073" s="1304"/>
      <c r="J2073" s="1304"/>
      <c r="K2073" s="1304"/>
      <c r="L2073" s="1304"/>
      <c r="M2073" s="1304"/>
      <c r="N2073" s="1305"/>
      <c r="O2073" s="302"/>
      <c r="P2073" s="302"/>
      <c r="Q2073" s="694"/>
      <c r="R2073" s="694"/>
      <c r="S2073" s="729"/>
      <c r="T2073" s="729"/>
      <c r="U2073" s="694"/>
      <c r="V2073" s="694"/>
      <c r="W2073" s="694"/>
      <c r="X2073" s="694"/>
      <c r="Y2073" s="694"/>
      <c r="Z2073" s="694"/>
      <c r="AA2073" s="694"/>
      <c r="AB2073" s="694"/>
      <c r="AC2073" s="694"/>
      <c r="AD2073" s="694"/>
      <c r="AE2073" s="694"/>
      <c r="AF2073" s="694"/>
      <c r="AG2073" s="694"/>
      <c r="AH2073" s="694"/>
      <c r="AI2073" s="694"/>
      <c r="AJ2073" s="694"/>
      <c r="AK2073" s="694"/>
      <c r="AL2073" s="694"/>
    </row>
    <row r="2074" spans="1:38" ht="15" customHeight="1" x14ac:dyDescent="0.25">
      <c r="A2074" s="694"/>
      <c r="B2074" s="698"/>
      <c r="C2074" s="1303"/>
      <c r="D2074" s="2841" t="str">
        <f>EUconst_BMSubinst &amp; ":"</f>
        <v>Подинсталация с продуктов показател:</v>
      </c>
      <c r="E2074" s="2839"/>
      <c r="F2074" s="2839"/>
      <c r="G2074" s="2839"/>
      <c r="H2074" s="2842"/>
      <c r="I2074" s="2843" t="str">
        <f>I1980</f>
        <v/>
      </c>
      <c r="J2074" s="2844"/>
      <c r="K2074" s="2844"/>
      <c r="L2074" s="2844"/>
      <c r="M2074" s="2844"/>
      <c r="N2074" s="2845"/>
      <c r="O2074" s="302"/>
      <c r="P2074" s="302"/>
      <c r="Q2074" s="694"/>
      <c r="R2074" s="694"/>
      <c r="S2074" s="729"/>
      <c r="T2074" s="729"/>
      <c r="U2074" s="694"/>
      <c r="V2074" s="694"/>
      <c r="W2074" s="694"/>
      <c r="X2074" s="694"/>
      <c r="Y2074" s="694"/>
      <c r="Z2074" s="694"/>
      <c r="AA2074" s="694"/>
      <c r="AB2074" s="694"/>
      <c r="AC2074" s="694"/>
      <c r="AD2074" s="694"/>
      <c r="AE2074" s="694"/>
      <c r="AF2074" s="694"/>
      <c r="AG2074" s="694"/>
      <c r="AH2074" s="694"/>
      <c r="AI2074" s="694"/>
      <c r="AJ2074" s="694"/>
      <c r="AK2074" s="694"/>
      <c r="AL2074" s="694"/>
    </row>
    <row r="2075" spans="1:38" ht="5.15" customHeight="1" x14ac:dyDescent="0.25">
      <c r="A2075" s="694"/>
      <c r="B2075" s="698"/>
      <c r="C2075" s="1303"/>
      <c r="D2075" s="1304"/>
      <c r="E2075" s="1304"/>
      <c r="F2075" s="1304"/>
      <c r="G2075" s="1304"/>
      <c r="H2075" s="1304"/>
      <c r="I2075" s="1304"/>
      <c r="J2075" s="1304"/>
      <c r="K2075" s="1304"/>
      <c r="L2075" s="1304"/>
      <c r="M2075" s="1304"/>
      <c r="N2075" s="1305"/>
      <c r="O2075" s="302"/>
      <c r="P2075" s="302"/>
      <c r="Q2075" s="694"/>
      <c r="R2075" s="694"/>
      <c r="S2075" s="729"/>
      <c r="T2075" s="729"/>
      <c r="U2075" s="694"/>
      <c r="V2075" s="694"/>
      <c r="W2075" s="694"/>
      <c r="X2075" s="694"/>
      <c r="Y2075" s="694"/>
      <c r="Z2075" s="694"/>
      <c r="AA2075" s="694"/>
      <c r="AB2075" s="694"/>
      <c r="AC2075" s="694"/>
      <c r="AD2075" s="694"/>
      <c r="AE2075" s="694"/>
      <c r="AF2075" s="694"/>
      <c r="AG2075" s="694"/>
      <c r="AH2075" s="694"/>
      <c r="AI2075" s="694"/>
      <c r="AJ2075" s="694"/>
      <c r="AK2075" s="694"/>
      <c r="AL2075" s="694"/>
    </row>
    <row r="2076" spans="1:38" ht="30" customHeight="1" x14ac:dyDescent="0.25">
      <c r="A2076" s="694"/>
      <c r="B2076" s="298"/>
      <c r="C2076" s="1302"/>
      <c r="D2076" s="1306"/>
      <c r="E2076" s="2846" t="str">
        <f>Translations!$B$503</f>
        <v>В този подраздел се обхваща разпределението на емисии по пораждащи емисии потоци, източници на емисии, получена или подадена измерима топлинна енергия и отпадни газове, включително загубите на топлинна енергия съгласно раздел 10 от приложение VII към ПБР.</v>
      </c>
      <c r="F2076" s="2846"/>
      <c r="G2076" s="2846"/>
      <c r="H2076" s="2846"/>
      <c r="I2076" s="2846"/>
      <c r="J2076" s="2846"/>
      <c r="K2076" s="2846"/>
      <c r="L2076" s="2846"/>
      <c r="M2076" s="2846"/>
      <c r="N2076" s="2847"/>
      <c r="O2076" s="302"/>
      <c r="P2076" s="302"/>
      <c r="Q2076" s="729"/>
      <c r="R2076" s="694"/>
      <c r="S2076" s="694"/>
      <c r="T2076" s="694"/>
      <c r="U2076" s="694"/>
      <c r="V2076" s="694"/>
      <c r="W2076" s="694"/>
      <c r="X2076" s="694"/>
      <c r="Y2076" s="694"/>
      <c r="Z2076" s="694"/>
      <c r="AA2076" s="694"/>
      <c r="AB2076" s="694"/>
      <c r="AC2076" s="694"/>
      <c r="AD2076" s="694"/>
      <c r="AE2076" s="694"/>
      <c r="AF2076" s="694"/>
      <c r="AG2076" s="694"/>
      <c r="AH2076" s="694"/>
      <c r="AI2076" s="694"/>
      <c r="AJ2076" s="694"/>
      <c r="AK2076" s="694"/>
      <c r="AL2076" s="694"/>
    </row>
    <row r="2077" spans="1:38" ht="30" customHeight="1" x14ac:dyDescent="0.25">
      <c r="A2077" s="694"/>
      <c r="B2077" s="298"/>
      <c r="C2077" s="1302"/>
      <c r="D2077" s="1306"/>
      <c r="E2077" s="2846" t="str">
        <f>Translations!$B$504</f>
        <v xml:space="preserve">Моля, имайте предвид, че въпреки дадените известни насоки по всяка от точките по-долу трябва да потърсите допълнителна информация в обяснителна бележка № 5 („Мониторинг и докладване във връзка с ПБР“), която съдържа и примери. </v>
      </c>
      <c r="F2077" s="2846"/>
      <c r="G2077" s="2846"/>
      <c r="H2077" s="2846"/>
      <c r="I2077" s="2846"/>
      <c r="J2077" s="2846"/>
      <c r="K2077" s="2846"/>
      <c r="L2077" s="2846"/>
      <c r="M2077" s="2846"/>
      <c r="N2077" s="2811"/>
      <c r="O2077" s="302"/>
      <c r="P2077" s="302"/>
      <c r="Q2077" s="729"/>
      <c r="R2077" s="694"/>
      <c r="S2077" s="694"/>
      <c r="T2077" s="694"/>
      <c r="U2077" s="694"/>
      <c r="V2077" s="694"/>
      <c r="W2077" s="694"/>
      <c r="X2077" s="694"/>
      <c r="Y2077" s="694"/>
      <c r="Z2077" s="694"/>
      <c r="AA2077" s="694"/>
      <c r="AB2077" s="694"/>
      <c r="AC2077" s="694"/>
      <c r="AD2077" s="694"/>
      <c r="AE2077" s="694"/>
      <c r="AF2077" s="694"/>
      <c r="AG2077" s="694"/>
      <c r="AH2077" s="694"/>
      <c r="AI2077" s="694"/>
      <c r="AJ2077" s="694"/>
      <c r="AK2077" s="694"/>
      <c r="AL2077" s="694"/>
    </row>
    <row r="2078" spans="1:38" ht="12.75" customHeight="1" x14ac:dyDescent="0.25">
      <c r="A2078" s="694"/>
      <c r="B2078" s="298"/>
      <c r="C2078" s="1302"/>
      <c r="D2078" s="1306"/>
      <c r="E2078" s="2846" t="str">
        <f>Translations!$B$505</f>
        <v>Можете да изтеглите насоките на адрес: https://ec.europa.eu/clima/policies/ets/allowances_en#tab-0-1</v>
      </c>
      <c r="F2078" s="2240"/>
      <c r="G2078" s="2240"/>
      <c r="H2078" s="2240"/>
      <c r="I2078" s="2240"/>
      <c r="J2078" s="2240"/>
      <c r="K2078" s="2240"/>
      <c r="L2078" s="2240"/>
      <c r="M2078" s="2240"/>
      <c r="N2078" s="2811"/>
      <c r="O2078" s="302"/>
      <c r="P2078" s="302"/>
      <c r="Q2078" s="729"/>
      <c r="R2078" s="694"/>
      <c r="S2078" s="694"/>
      <c r="T2078" s="694"/>
      <c r="U2078" s="694"/>
      <c r="V2078" s="694"/>
      <c r="W2078" s="694"/>
      <c r="X2078" s="694"/>
      <c r="Y2078" s="694"/>
      <c r="Z2078" s="694"/>
      <c r="AA2078" s="694"/>
      <c r="AB2078" s="694"/>
      <c r="AC2078" s="694"/>
      <c r="AD2078" s="694"/>
      <c r="AE2078" s="694"/>
      <c r="AF2078" s="694"/>
      <c r="AG2078" s="694"/>
      <c r="AH2078" s="694"/>
      <c r="AI2078" s="694"/>
      <c r="AJ2078" s="694"/>
      <c r="AK2078" s="694"/>
      <c r="AL2078" s="694"/>
    </row>
    <row r="2079" spans="1:38" ht="15" customHeight="1" x14ac:dyDescent="0.25">
      <c r="A2079" s="694"/>
      <c r="B2079" s="298"/>
      <c r="C2079" s="1302"/>
      <c r="D2079" s="1306"/>
      <c r="E2079" s="2848" t="str">
        <f t="shared" ref="E2079" si="2891">$E$674</f>
        <v>https://climate.ec.europa.eu/eu-action/carbon-markets/eu-emissions-trading-system-eu-ets/free-allocation/about-free-allocation_en</v>
      </c>
      <c r="F2079" s="2848"/>
      <c r="G2079" s="2848"/>
      <c r="H2079" s="2848"/>
      <c r="I2079" s="2848"/>
      <c r="J2079" s="2848"/>
      <c r="K2079" s="2848"/>
      <c r="L2079" s="2848"/>
      <c r="M2079" s="2848"/>
      <c r="N2079" s="2827"/>
      <c r="O2079" s="302"/>
      <c r="P2079" s="302"/>
      <c r="Q2079" s="729"/>
      <c r="R2079" s="694"/>
      <c r="S2079" s="694"/>
      <c r="T2079" s="694"/>
      <c r="U2079" s="694"/>
      <c r="V2079" s="694"/>
      <c r="W2079" s="694"/>
      <c r="X2079" s="694"/>
      <c r="Y2079" s="694"/>
      <c r="Z2079" s="694"/>
      <c r="AA2079" s="694"/>
      <c r="AB2079" s="694"/>
      <c r="AC2079" s="694"/>
      <c r="AD2079" s="694"/>
      <c r="AE2079" s="694"/>
      <c r="AF2079" s="694"/>
      <c r="AG2079" s="694"/>
      <c r="AH2079" s="694"/>
      <c r="AI2079" s="694"/>
      <c r="AJ2079" s="694"/>
      <c r="AK2079" s="694"/>
      <c r="AL2079" s="694"/>
    </row>
    <row r="2080" spans="1:38" ht="5.15" customHeight="1" x14ac:dyDescent="0.25">
      <c r="A2080" s="694"/>
      <c r="B2080" s="698"/>
      <c r="C2080" s="1303"/>
      <c r="D2080" s="1304"/>
      <c r="E2080" s="1304"/>
      <c r="F2080" s="1304"/>
      <c r="G2080" s="1304"/>
      <c r="H2080" s="1304"/>
      <c r="I2080" s="1304"/>
      <c r="J2080" s="1304"/>
      <c r="K2080" s="1304"/>
      <c r="L2080" s="1304"/>
      <c r="M2080" s="1304"/>
      <c r="N2080" s="1305"/>
      <c r="O2080" s="302"/>
      <c r="P2080" s="302"/>
      <c r="Q2080" s="694"/>
      <c r="R2080" s="694"/>
      <c r="S2080" s="729"/>
      <c r="T2080" s="729"/>
      <c r="U2080" s="694"/>
      <c r="V2080" s="694"/>
      <c r="W2080" s="694"/>
      <c r="X2080" s="694"/>
      <c r="Y2080" s="694"/>
      <c r="Z2080" s="694"/>
      <c r="AA2080" s="694"/>
      <c r="AB2080" s="694"/>
      <c r="AC2080" s="694"/>
      <c r="AD2080" s="694"/>
      <c r="AE2080" s="694"/>
      <c r="AF2080" s="694"/>
      <c r="AG2080" s="694"/>
      <c r="AH2080" s="694"/>
      <c r="AI2080" s="694"/>
      <c r="AJ2080" s="694"/>
      <c r="AK2080" s="694"/>
      <c r="AL2080" s="694"/>
    </row>
    <row r="2081" spans="1:38" ht="15" customHeight="1" x14ac:dyDescent="0.25">
      <c r="A2081" s="694"/>
      <c r="B2081" s="298"/>
      <c r="C2081" s="1302"/>
      <c r="D2081" s="1306"/>
      <c r="E2081" s="2849" t="str">
        <f>Translations!$B$506</f>
        <v>При въвеждане на данните по-долу емисиите, които могат да бъдат зададени, са изчислени в раздел K.III.2 в листа за обобщение.</v>
      </c>
      <c r="F2081" s="2849"/>
      <c r="G2081" s="2849"/>
      <c r="H2081" s="2849"/>
      <c r="I2081" s="2849"/>
      <c r="J2081" s="2849"/>
      <c r="K2081" s="2849"/>
      <c r="L2081" s="2849"/>
      <c r="M2081" s="2849"/>
      <c r="N2081" s="2827"/>
      <c r="O2081" s="302"/>
      <c r="P2081" s="302"/>
      <c r="Q2081" s="729"/>
      <c r="R2081" s="694"/>
      <c r="S2081" s="694"/>
      <c r="T2081" s="694"/>
      <c r="U2081" s="694"/>
      <c r="V2081" s="694"/>
      <c r="W2081" s="694"/>
      <c r="X2081" s="694"/>
      <c r="Y2081" s="694"/>
      <c r="Z2081" s="694"/>
      <c r="AA2081" s="694"/>
      <c r="AB2081" s="694"/>
      <c r="AC2081" s="694"/>
      <c r="AD2081" s="694"/>
      <c r="AE2081" s="694"/>
      <c r="AF2081" s="694"/>
      <c r="AG2081" s="694"/>
      <c r="AH2081" s="694"/>
      <c r="AI2081" s="694"/>
      <c r="AJ2081" s="694"/>
      <c r="AK2081" s="694"/>
      <c r="AL2081" s="694"/>
    </row>
    <row r="2082" spans="1:38" ht="5.15" customHeight="1" x14ac:dyDescent="0.25">
      <c r="A2082" s="694"/>
      <c r="B2082" s="698"/>
      <c r="C2082" s="1303"/>
      <c r="D2082" s="1304"/>
      <c r="E2082" s="1304"/>
      <c r="F2082" s="1304"/>
      <c r="G2082" s="1304"/>
      <c r="H2082" s="1304"/>
      <c r="I2082" s="1304"/>
      <c r="J2082" s="1304"/>
      <c r="K2082" s="1304"/>
      <c r="L2082" s="1304"/>
      <c r="M2082" s="1304"/>
      <c r="N2082" s="1305"/>
      <c r="O2082" s="302"/>
      <c r="P2082" s="302"/>
      <c r="Q2082" s="694"/>
      <c r="R2082" s="694"/>
      <c r="S2082" s="729"/>
      <c r="T2082" s="729"/>
      <c r="U2082" s="694"/>
      <c r="V2082" s="694"/>
      <c r="W2082" s="694"/>
      <c r="X2082" s="694"/>
      <c r="Y2082" s="694"/>
      <c r="Z2082" s="694"/>
      <c r="AA2082" s="694"/>
      <c r="AB2082" s="694"/>
      <c r="AC2082" s="694"/>
      <c r="AD2082" s="694"/>
      <c r="AE2082" s="694"/>
      <c r="AF2082" s="694"/>
      <c r="AG2082" s="694"/>
      <c r="AH2082" s="694"/>
      <c r="AI2082" s="694"/>
      <c r="AJ2082" s="694"/>
      <c r="AK2082" s="694"/>
      <c r="AL2082" s="694"/>
    </row>
    <row r="2083" spans="1:38" ht="12.75" customHeight="1" x14ac:dyDescent="0.25">
      <c r="A2083" s="694"/>
      <c r="B2083" s="298"/>
      <c r="C2083" s="1302"/>
      <c r="D2083" s="1307" t="s">
        <v>273</v>
      </c>
      <c r="E2083" s="2850" t="str">
        <f>Translations!$B$507</f>
        <v>Емисии, които могат се зададат пряко (DirEm* (пораждащи емисии потоци от плана за мониторинг)) на тази подинсталация</v>
      </c>
      <c r="F2083" s="2851"/>
      <c r="G2083" s="2851"/>
      <c r="H2083" s="2851"/>
      <c r="I2083" s="2851"/>
      <c r="J2083" s="2851"/>
      <c r="K2083" s="2851"/>
      <c r="L2083" s="2851"/>
      <c r="M2083" s="2851"/>
      <c r="N2083" s="2852"/>
      <c r="O2083" s="302"/>
      <c r="P2083" s="302"/>
      <c r="Q2083" s="729"/>
      <c r="R2083" s="694"/>
      <c r="S2083" s="729"/>
      <c r="T2083" s="729"/>
      <c r="U2083" s="694"/>
      <c r="V2083" s="694"/>
      <c r="W2083" s="694"/>
      <c r="X2083" s="694"/>
      <c r="Y2083" s="694"/>
      <c r="Z2083" s="694"/>
      <c r="AA2083" s="694"/>
      <c r="AB2083" s="694"/>
      <c r="AC2083" s="694"/>
      <c r="AD2083" s="694"/>
      <c r="AE2083" s="694"/>
      <c r="AF2083" s="694"/>
      <c r="AG2083" s="694"/>
      <c r="AH2083" s="694"/>
      <c r="AI2083" s="694"/>
      <c r="AJ2083" s="694"/>
      <c r="AK2083" s="694"/>
      <c r="AL2083" s="694"/>
    </row>
    <row r="2084" spans="1:38" ht="12.75" customHeight="1" x14ac:dyDescent="0.25">
      <c r="A2084" s="694"/>
      <c r="B2084" s="298"/>
      <c r="C2084" s="1302"/>
      <c r="D2084" s="625"/>
      <c r="E2084" s="2853" t="str">
        <f>Translations!$B$508</f>
        <v>Посочените тук данни ще се отразят на емисиите, които могат да бъдат зададени съгласно раздел 10.1.1 от приложение VII към ПБР.</v>
      </c>
      <c r="F2084" s="2850"/>
      <c r="G2084" s="2850"/>
      <c r="H2084" s="2850"/>
      <c r="I2084" s="2850"/>
      <c r="J2084" s="2850"/>
      <c r="K2084" s="2850"/>
      <c r="L2084" s="2850"/>
      <c r="M2084" s="2850"/>
      <c r="N2084" s="2854"/>
      <c r="O2084" s="302"/>
      <c r="P2084" s="302"/>
      <c r="Q2084" s="729"/>
      <c r="R2084" s="694"/>
      <c r="S2084" s="729"/>
      <c r="T2084" s="729"/>
      <c r="U2084" s="694"/>
      <c r="V2084" s="694"/>
      <c r="W2084" s="694"/>
      <c r="X2084" s="694"/>
      <c r="Y2084" s="694"/>
      <c r="Z2084" s="694"/>
      <c r="AA2084" s="694"/>
      <c r="AB2084" s="694"/>
      <c r="AC2084" s="694"/>
      <c r="AD2084" s="694"/>
      <c r="AE2084" s="694"/>
      <c r="AF2084" s="694"/>
      <c r="AG2084" s="694"/>
      <c r="AH2084" s="694"/>
      <c r="AI2084" s="694"/>
      <c r="AJ2084" s="694"/>
      <c r="AK2084" s="694"/>
      <c r="AL2084" s="694"/>
    </row>
    <row r="2085" spans="1:38" ht="12.75" customHeight="1" x14ac:dyDescent="0.25">
      <c r="A2085" s="694"/>
      <c r="B2085" s="298"/>
      <c r="C2085" s="1302"/>
      <c r="D2085" s="1306"/>
      <c r="E2085" s="2836" t="str">
        <f>Translations!$B$509</f>
        <v>Моля, въведете тук емисиите, които могат да се зададат пряко (DirEm* (пораждащи емисии потоци от плана за мониторинг)) на тази подинсталация, като се имат предвид следните уговорки:</v>
      </c>
      <c r="F2085" s="2836"/>
      <c r="G2085" s="2836"/>
      <c r="H2085" s="2836"/>
      <c r="I2085" s="2836"/>
      <c r="J2085" s="2836"/>
      <c r="K2085" s="2836"/>
      <c r="L2085" s="2836"/>
      <c r="M2085" s="2836"/>
      <c r="N2085" s="2837"/>
      <c r="O2085" s="302"/>
      <c r="P2085" s="302"/>
      <c r="Q2085" s="729"/>
      <c r="R2085" s="694"/>
      <c r="S2085" s="729"/>
      <c r="T2085" s="694"/>
      <c r="U2085" s="694"/>
      <c r="V2085" s="694"/>
      <c r="W2085" s="694"/>
      <c r="X2085" s="694"/>
      <c r="Y2085" s="694"/>
      <c r="Z2085" s="694"/>
      <c r="AA2085" s="694"/>
      <c r="AB2085" s="694"/>
      <c r="AC2085" s="694"/>
      <c r="AD2085" s="694"/>
      <c r="AE2085" s="694"/>
      <c r="AF2085" s="694"/>
      <c r="AG2085" s="694"/>
      <c r="AH2085" s="694"/>
      <c r="AI2085" s="694"/>
      <c r="AJ2085" s="694"/>
      <c r="AK2085" s="694"/>
      <c r="AL2085" s="694"/>
    </row>
    <row r="2086" spans="1:38" ht="25.5" customHeight="1" x14ac:dyDescent="0.25">
      <c r="A2086" s="694"/>
      <c r="B2086" s="298"/>
      <c r="C2086" s="1302"/>
      <c r="D2086" s="1306"/>
      <c r="E2086" s="1308" t="s">
        <v>1052</v>
      </c>
      <c r="F2086" s="2838" t="str">
        <f>Translations!$B$510</f>
        <v>„емисиите, които могат да се зададат пряко“, се следят в съответствие с плана за мониторинг, одобрен съгласно Регламента относно мониторинга и докладването (РМД), т.е. като се отчитат емисиите, получени по методики, основани на изчисления (като се използват пораждащите емисии потоци), по базиращи се на измервания методики (БИМ), както и по подходи без подреждане („fall-backs“).</v>
      </c>
      <c r="G2086" s="2839"/>
      <c r="H2086" s="2839"/>
      <c r="I2086" s="2839"/>
      <c r="J2086" s="2839"/>
      <c r="K2086" s="2839"/>
      <c r="L2086" s="2839"/>
      <c r="M2086" s="2839"/>
      <c r="N2086" s="2840"/>
      <c r="O2086" s="302"/>
      <c r="P2086" s="302"/>
      <c r="Q2086" s="729"/>
      <c r="R2086" s="694"/>
      <c r="S2086" s="729"/>
      <c r="T2086" s="694"/>
      <c r="U2086" s="694"/>
      <c r="V2086" s="694"/>
      <c r="W2086" s="694"/>
      <c r="X2086" s="694"/>
      <c r="Y2086" s="694"/>
      <c r="Z2086" s="694"/>
      <c r="AA2086" s="694"/>
      <c r="AB2086" s="694"/>
      <c r="AC2086" s="694"/>
      <c r="AD2086" s="694"/>
      <c r="AE2086" s="694"/>
      <c r="AF2086" s="694"/>
      <c r="AG2086" s="694"/>
      <c r="AH2086" s="694"/>
      <c r="AI2086" s="694"/>
      <c r="AJ2086" s="694"/>
      <c r="AK2086" s="694"/>
      <c r="AL2086" s="694"/>
    </row>
    <row r="2087" spans="1:38" ht="38.25" customHeight="1" x14ac:dyDescent="0.25">
      <c r="A2087" s="694"/>
      <c r="B2087" s="298"/>
      <c r="C2087" s="1302"/>
      <c r="D2087" s="1306"/>
      <c r="E2087" s="1308"/>
      <c r="F2087" s="2810" t="str">
        <f>Translations!$B$511</f>
        <v>В някои случая обаче в този раздел „емисиите, които могат да се зададат пряко“, не са същите като отчетените съгласно РМД. Такива случаи са например пораждащи емисии потоци, използвани за производство на измерима топлинна енергия, отпадни газове и др. С други думи, трябва да попълните разделите по-долу много внимателно и да спазите строго инструкциите, за да се избегнат двойно отчитане или пропуски.</v>
      </c>
      <c r="G2087" s="2240"/>
      <c r="H2087" s="2240"/>
      <c r="I2087" s="2240"/>
      <c r="J2087" s="2240"/>
      <c r="K2087" s="2240"/>
      <c r="L2087" s="2240"/>
      <c r="M2087" s="2240"/>
      <c r="N2087" s="2811"/>
      <c r="O2087" s="302"/>
      <c r="P2087" s="302"/>
      <c r="Q2087" s="729"/>
      <c r="R2087" s="694"/>
      <c r="S2087" s="729"/>
      <c r="T2087" s="694"/>
      <c r="U2087" s="694"/>
      <c r="V2087" s="694"/>
      <c r="W2087" s="694"/>
      <c r="X2087" s="694"/>
      <c r="Y2087" s="694"/>
      <c r="Z2087" s="694"/>
      <c r="AA2087" s="694"/>
      <c r="AB2087" s="694"/>
      <c r="AC2087" s="694"/>
      <c r="AD2087" s="694"/>
      <c r="AE2087" s="694"/>
      <c r="AF2087" s="694"/>
      <c r="AG2087" s="694"/>
      <c r="AH2087" s="694"/>
      <c r="AI2087" s="694"/>
      <c r="AJ2087" s="694"/>
      <c r="AK2087" s="694"/>
      <c r="AL2087" s="694"/>
    </row>
    <row r="2088" spans="1:38" ht="12.75" customHeight="1" x14ac:dyDescent="0.25">
      <c r="A2088" s="694"/>
      <c r="B2088" s="298"/>
      <c r="C2088" s="1302"/>
      <c r="D2088" s="1306"/>
      <c r="E2088" s="1308" t="s">
        <v>1052</v>
      </c>
      <c r="F2088" s="2838" t="str">
        <f>Translations!$B$512</f>
        <v xml:space="preserve">Измерима топлинна енергия: в случай че топлинната енергия е произведена изключително за една подинсталация, емисиите могат да се зададат пряко тук чрез емисиите за горивата. </v>
      </c>
      <c r="G2088" s="2839"/>
      <c r="H2088" s="2839"/>
      <c r="I2088" s="2839"/>
      <c r="J2088" s="2839"/>
      <c r="K2088" s="2839"/>
      <c r="L2088" s="2839"/>
      <c r="M2088" s="2839"/>
      <c r="N2088" s="2840"/>
      <c r="O2088" s="302"/>
      <c r="P2088" s="302"/>
      <c r="Q2088" s="729"/>
      <c r="R2088" s="694"/>
      <c r="S2088" s="729"/>
      <c r="T2088" s="694"/>
      <c r="U2088" s="694"/>
      <c r="V2088" s="694"/>
      <c r="W2088" s="694"/>
      <c r="X2088" s="694"/>
      <c r="Y2088" s="694"/>
      <c r="Z2088" s="694"/>
      <c r="AA2088" s="694"/>
      <c r="AB2088" s="694"/>
      <c r="AC2088" s="694"/>
      <c r="AD2088" s="694"/>
      <c r="AE2088" s="694"/>
      <c r="AF2088" s="694"/>
      <c r="AG2088" s="694"/>
      <c r="AH2088" s="694"/>
      <c r="AI2088" s="694"/>
      <c r="AJ2088" s="694"/>
      <c r="AK2088" s="694"/>
      <c r="AL2088" s="694"/>
    </row>
    <row r="2089" spans="1:38" ht="38.9" customHeight="1" x14ac:dyDescent="0.25">
      <c r="A2089" s="694"/>
      <c r="B2089" s="298"/>
      <c r="C2089" s="1302"/>
      <c r="D2089" s="1306"/>
      <c r="E2089" s="1308"/>
      <c r="F2089" s="2838" t="str">
        <f>Translations!$B$513</f>
        <v>Когато за производството на измерима топлинна енергия са използвани горива като „входящи потоци“ към повече от една подинсталация, в която се консумира топлинната енергия (което включва случаи с входящи и изходящи потоци от и към други инсталации), горивата не трябва да се включват в „емисиите, които могат да се зададат пряко“ на подинсталацията, а в буква k) по-долу.</v>
      </c>
      <c r="G2089" s="2839"/>
      <c r="H2089" s="2839"/>
      <c r="I2089" s="2839"/>
      <c r="J2089" s="2839"/>
      <c r="K2089" s="2839"/>
      <c r="L2089" s="2839"/>
      <c r="M2089" s="2839"/>
      <c r="N2089" s="2840"/>
      <c r="O2089" s="302"/>
      <c r="P2089" s="302"/>
      <c r="Q2089" s="729"/>
      <c r="R2089" s="694"/>
      <c r="S2089" s="729"/>
      <c r="T2089" s="694"/>
      <c r="U2089" s="694"/>
      <c r="V2089" s="694"/>
      <c r="W2089" s="694"/>
      <c r="X2089" s="694"/>
      <c r="Y2089" s="694"/>
      <c r="Z2089" s="694"/>
      <c r="AA2089" s="694"/>
      <c r="AB2089" s="694"/>
      <c r="AC2089" s="694"/>
      <c r="AD2089" s="694"/>
      <c r="AE2089" s="694"/>
      <c r="AF2089" s="694"/>
      <c r="AG2089" s="694"/>
      <c r="AH2089" s="694"/>
      <c r="AI2089" s="694"/>
      <c r="AJ2089" s="694"/>
      <c r="AK2089" s="694"/>
      <c r="AL2089" s="694"/>
    </row>
    <row r="2090" spans="1:38" ht="25.5" customHeight="1" x14ac:dyDescent="0.25">
      <c r="A2090" s="694"/>
      <c r="B2090" s="298"/>
      <c r="C2090" s="1302"/>
      <c r="D2090" s="1306"/>
      <c r="E2090" s="1308"/>
      <c r="F2090" s="2838" t="str">
        <f>Translations!$B$514</f>
        <v>„Входящите потоци“ включват измеримата топлинна енергия от съоръжения в рамките на обекта (напр. централна електростанция в инсталацията или по-сложна мрежа за генериране на пара с няколко съоръжения за производство на топлинна енергия), които доставят топлинна енергия до повече от една подинсталация. В такъв случай емисиите също не трябва да се задават тук, а в точка k).i. по-долу.</v>
      </c>
      <c r="G2090" s="2839"/>
      <c r="H2090" s="2839"/>
      <c r="I2090" s="2839"/>
      <c r="J2090" s="2839"/>
      <c r="K2090" s="2839"/>
      <c r="L2090" s="2839"/>
      <c r="M2090" s="2839"/>
      <c r="N2090" s="2840"/>
      <c r="O2090" s="302"/>
      <c r="P2090" s="302"/>
      <c r="Q2090" s="729"/>
      <c r="R2090" s="694"/>
      <c r="S2090" s="729"/>
      <c r="T2090" s="694"/>
      <c r="U2090" s="694"/>
      <c r="V2090" s="694"/>
      <c r="W2090" s="694"/>
      <c r="X2090" s="694"/>
      <c r="Y2090" s="694"/>
      <c r="Z2090" s="694"/>
      <c r="AA2090" s="694"/>
      <c r="AB2090" s="694"/>
      <c r="AC2090" s="694"/>
      <c r="AD2090" s="694"/>
      <c r="AE2090" s="694"/>
      <c r="AF2090" s="694"/>
      <c r="AG2090" s="694"/>
      <c r="AH2090" s="694"/>
      <c r="AI2090" s="694"/>
      <c r="AJ2090" s="694"/>
      <c r="AK2090" s="694"/>
      <c r="AL2090" s="694"/>
    </row>
    <row r="2091" spans="1:38" ht="25.5" customHeight="1" x14ac:dyDescent="0.25">
      <c r="A2091" s="694"/>
      <c r="B2091" s="298"/>
      <c r="C2091" s="1302"/>
      <c r="D2091" s="1306"/>
      <c r="E2091" s="1308" t="s">
        <v>1052</v>
      </c>
      <c r="F2091" s="2838" t="str">
        <f>Translations!$B$515</f>
        <v>Подавана навън измерима топлинна енергия: Когато тази топлинна енергия се извлича от процеси или се подава навън, тук не се правят корекции. Приспадането на свързаните емисиите се извършва съгласно данните, въведени в точка k).v. по-долу.</v>
      </c>
      <c r="G2091" s="2839"/>
      <c r="H2091" s="2839"/>
      <c r="I2091" s="2839"/>
      <c r="J2091" s="2839"/>
      <c r="K2091" s="2839"/>
      <c r="L2091" s="2839"/>
      <c r="M2091" s="2839"/>
      <c r="N2091" s="2840"/>
      <c r="O2091" s="302"/>
      <c r="P2091" s="302"/>
      <c r="Q2091" s="729"/>
      <c r="R2091" s="694"/>
      <c r="S2091" s="729"/>
      <c r="T2091" s="694"/>
      <c r="U2091" s="694"/>
      <c r="V2091" s="694"/>
      <c r="W2091" s="694"/>
      <c r="X2091" s="694"/>
      <c r="Y2091" s="694"/>
      <c r="Z2091" s="694"/>
      <c r="AA2091" s="694"/>
      <c r="AB2091" s="694"/>
      <c r="AC2091" s="694"/>
      <c r="AD2091" s="694"/>
      <c r="AE2091" s="694"/>
      <c r="AF2091" s="694"/>
      <c r="AG2091" s="694"/>
      <c r="AH2091" s="694"/>
      <c r="AI2091" s="694"/>
      <c r="AJ2091" s="694"/>
      <c r="AK2091" s="694"/>
      <c r="AL2091" s="694"/>
    </row>
    <row r="2092" spans="1:38" ht="25.5" customHeight="1" thickBot="1" x14ac:dyDescent="0.3">
      <c r="A2092" s="694"/>
      <c r="B2092" s="298"/>
      <c r="C2092" s="1302"/>
      <c r="D2092" s="1306"/>
      <c r="E2092" s="1308" t="s">
        <v>1052</v>
      </c>
      <c r="F2092" s="2838" t="str">
        <f>Translations!$B$516</f>
        <v>Отпадни газове: емисиите от отпадните газове, които са ПОЛУЧЕНИ от други инсталации или подинсталации и са консумирани в подинсталацията, не се включват тук, а се въвеждат в буква l) по-долу.</v>
      </c>
      <c r="G2092" s="2839"/>
      <c r="H2092" s="2839"/>
      <c r="I2092" s="2839"/>
      <c r="J2092" s="2839"/>
      <c r="K2092" s="2839"/>
      <c r="L2092" s="2839"/>
      <c r="M2092" s="2839"/>
      <c r="N2092" s="2840"/>
      <c r="O2092" s="302"/>
      <c r="P2092" s="302"/>
      <c r="Q2092" s="729"/>
      <c r="R2092" s="694"/>
      <c r="S2092" s="729"/>
      <c r="T2092" s="694"/>
      <c r="U2092" s="694"/>
      <c r="V2092" s="694"/>
      <c r="W2092" s="694"/>
      <c r="X2092" s="694"/>
      <c r="Y2092" s="694"/>
      <c r="Z2092" s="694"/>
      <c r="AA2092" s="694"/>
      <c r="AB2092" s="694"/>
      <c r="AC2092" s="694"/>
      <c r="AD2092" s="694"/>
      <c r="AE2092" s="694"/>
      <c r="AF2092" s="694"/>
      <c r="AG2092" s="694"/>
      <c r="AH2092" s="694"/>
      <c r="AI2092" s="694"/>
      <c r="AJ2092" s="694"/>
      <c r="AK2092" s="694"/>
      <c r="AL2092" s="694"/>
    </row>
    <row r="2093" spans="1:38" ht="12.75" customHeight="1" thickBot="1" x14ac:dyDescent="0.3">
      <c r="A2093" s="694"/>
      <c r="B2093" s="298"/>
      <c r="C2093" s="1302"/>
      <c r="D2093" s="1307"/>
      <c r="E2093" s="2803" t="str">
        <f>Translations!$B$517</f>
        <v>Емисии, които могат да се зададат пряко (DirEm*)</v>
      </c>
      <c r="F2093" s="2803"/>
      <c r="G2093" s="1309" t="str">
        <f>EUconst_Unit</f>
        <v>Единица мярка</v>
      </c>
      <c r="H2093" s="629">
        <f t="shared" ref="H2093:N2093" si="2892">H$2831</f>
        <v>2024</v>
      </c>
      <c r="I2093" s="1310">
        <f t="shared" si="2892"/>
        <v>2025</v>
      </c>
      <c r="J2093" s="1311">
        <f t="shared" si="2892"/>
        <v>2026</v>
      </c>
      <c r="K2093" s="629">
        <f t="shared" si="2892"/>
        <v>2027</v>
      </c>
      <c r="L2093" s="629">
        <f t="shared" si="2892"/>
        <v>2028</v>
      </c>
      <c r="M2093" s="629">
        <f t="shared" si="2892"/>
        <v>2029</v>
      </c>
      <c r="N2093" s="1312">
        <f t="shared" si="2892"/>
        <v>2030</v>
      </c>
      <c r="O2093" s="302"/>
      <c r="P2093" s="302"/>
      <c r="Q2093" s="729"/>
      <c r="R2093" s="694"/>
      <c r="S2093" s="1205"/>
      <c r="T2093" s="1313">
        <f t="shared" ref="T2093" si="2893">H2093</f>
        <v>2024</v>
      </c>
      <c r="U2093" s="1313">
        <f t="shared" ref="U2093" si="2894">I2093</f>
        <v>2025</v>
      </c>
      <c r="V2093" s="1313">
        <f t="shared" ref="V2093" si="2895">J2093</f>
        <v>2026</v>
      </c>
      <c r="W2093" s="1313">
        <f t="shared" ref="W2093" si="2896">K2093</f>
        <v>2027</v>
      </c>
      <c r="X2093" s="1313">
        <f t="shared" ref="X2093" si="2897">L2093</f>
        <v>2028</v>
      </c>
      <c r="Y2093" s="1313">
        <f t="shared" ref="Y2093" si="2898">M2093</f>
        <v>2029</v>
      </c>
      <c r="Z2093" s="1314">
        <f t="shared" ref="Z2093" si="2899">N2093</f>
        <v>2030</v>
      </c>
      <c r="AA2093" s="694"/>
      <c r="AB2093" s="694"/>
      <c r="AC2093" s="1178">
        <f t="shared" ref="AC2093" si="2900">H$20</f>
        <v>2024</v>
      </c>
      <c r="AD2093" s="1178">
        <f t="shared" ref="AD2093" si="2901">I$20</f>
        <v>2025</v>
      </c>
      <c r="AE2093" s="1178">
        <f t="shared" ref="AE2093" si="2902">J$20</f>
        <v>2026</v>
      </c>
      <c r="AF2093" s="1178">
        <f t="shared" ref="AF2093" si="2903">K$20</f>
        <v>2027</v>
      </c>
      <c r="AG2093" s="1178">
        <f t="shared" ref="AG2093" si="2904">L$20</f>
        <v>2028</v>
      </c>
      <c r="AH2093" s="1178">
        <f t="shared" ref="AH2093" si="2905">M$20</f>
        <v>2029</v>
      </c>
      <c r="AI2093" s="1178">
        <f t="shared" ref="AI2093" si="2906">N$20</f>
        <v>2030</v>
      </c>
      <c r="AJ2093" s="694"/>
      <c r="AK2093" s="694"/>
      <c r="AL2093" s="694"/>
    </row>
    <row r="2094" spans="1:38" ht="12.75" customHeight="1" thickBot="1" x14ac:dyDescent="0.3">
      <c r="A2094" s="694"/>
      <c r="B2094" s="298"/>
      <c r="C2094" s="1302"/>
      <c r="D2094" s="1306"/>
      <c r="E2094" s="2814" t="str">
        <f>I1980</f>
        <v/>
      </c>
      <c r="F2094" s="2258"/>
      <c r="G2094" s="642" t="str">
        <f>EUconst_tCO2epa</f>
        <v>t CO2e/година</v>
      </c>
      <c r="H2094" s="56"/>
      <c r="I2094" s="115"/>
      <c r="J2094" s="118"/>
      <c r="K2094" s="56"/>
      <c r="L2094" s="56"/>
      <c r="M2094" s="56"/>
      <c r="N2094" s="121"/>
      <c r="O2094" s="302"/>
      <c r="P2094" s="158"/>
      <c r="Q2094" s="1190" t="str">
        <f>EUconst_CNTR_Emissions &amp; I1980</f>
        <v>DirEmissions_</v>
      </c>
      <c r="R2094" s="694"/>
      <c r="S2094" s="1315" t="str">
        <f>EUconst_CNTR_AttributedEmissions &amp; I1980</f>
        <v>AttrEmissions_</v>
      </c>
      <c r="T2094" s="1290" t="str">
        <f t="shared" ref="T2094" si="2907">IF(T1988,SUM(H2094),"")</f>
        <v/>
      </c>
      <c r="U2094" s="1290" t="str">
        <f t="shared" ref="U2094" si="2908">IF(U1988,SUM(I2094),"")</f>
        <v/>
      </c>
      <c r="V2094" s="1290" t="str">
        <f t="shared" ref="V2094" si="2909">IF(V1988,SUM(J2094),"")</f>
        <v/>
      </c>
      <c r="W2094" s="1290" t="str">
        <f t="shared" ref="W2094" si="2910">IF(W1988,SUM(K2094),"")</f>
        <v/>
      </c>
      <c r="X2094" s="1290" t="str">
        <f t="shared" ref="X2094" si="2911">IF(X1988,SUM(L2094),"")</f>
        <v/>
      </c>
      <c r="Y2094" s="1290" t="str">
        <f t="shared" ref="Y2094" si="2912">IF(Y1988,SUM(M2094),"")</f>
        <v/>
      </c>
      <c r="Z2094" s="1291" t="str">
        <f t="shared" ref="Z2094" si="2913">IF(Z1988,SUM(N2094),"")</f>
        <v/>
      </c>
      <c r="AA2094" s="694"/>
      <c r="AB2094" s="1182" t="s">
        <v>737</v>
      </c>
      <c r="AC2094" s="982" t="b">
        <f>AC2027</f>
        <v>0</v>
      </c>
      <c r="AD2094" s="982" t="b">
        <f t="shared" ref="AD2094:AI2094" si="2914">AD2027</f>
        <v>0</v>
      </c>
      <c r="AE2094" s="982" t="b">
        <f t="shared" si="2914"/>
        <v>0</v>
      </c>
      <c r="AF2094" s="982" t="b">
        <f t="shared" si="2914"/>
        <v>0</v>
      </c>
      <c r="AG2094" s="982" t="b">
        <f t="shared" si="2914"/>
        <v>0</v>
      </c>
      <c r="AH2094" s="982" t="b">
        <f t="shared" si="2914"/>
        <v>0</v>
      </c>
      <c r="AI2094" s="982" t="b">
        <f t="shared" si="2914"/>
        <v>0</v>
      </c>
      <c r="AJ2094" s="1174" t="s">
        <v>2039</v>
      </c>
      <c r="AK2094" s="1176" t="str">
        <f>IF(AND(CNTR_ExistSubInstEntries,MSconst_RequireSubAttrEmissions,COUNTIFS(AC2094:AI2094,FALSE,H2094:N2094,"")&gt;0),EUconst_Error&amp;"BM"&amp;$Q1980,"")</f>
        <v/>
      </c>
      <c r="AL2094" s="694"/>
    </row>
    <row r="2095" spans="1:38" ht="12.75" customHeight="1" x14ac:dyDescent="0.25">
      <c r="A2095" s="694"/>
      <c r="B2095" s="298"/>
      <c r="C2095" s="1302"/>
      <c r="D2095" s="1306"/>
      <c r="E2095" s="1306"/>
      <c r="F2095" s="1306"/>
      <c r="G2095" s="1306"/>
      <c r="H2095" s="1306"/>
      <c r="I2095" s="1306"/>
      <c r="J2095" s="1306"/>
      <c r="K2095" s="1306"/>
      <c r="L2095" s="1306"/>
      <c r="M2095" s="626"/>
      <c r="N2095" s="1316"/>
      <c r="O2095" s="302"/>
      <c r="P2095" s="302"/>
      <c r="Q2095" s="729"/>
      <c r="R2095" s="694"/>
      <c r="S2095" s="729"/>
      <c r="T2095" s="694"/>
      <c r="U2095" s="694"/>
      <c r="V2095" s="694"/>
      <c r="W2095" s="694"/>
      <c r="X2095" s="694"/>
      <c r="Y2095" s="694"/>
      <c r="Z2095" s="694"/>
      <c r="AA2095" s="694"/>
      <c r="AB2095" s="694"/>
      <c r="AC2095" s="694"/>
      <c r="AD2095" s="694"/>
      <c r="AE2095" s="694"/>
      <c r="AF2095" s="694"/>
      <c r="AG2095" s="694"/>
      <c r="AH2095" s="694"/>
      <c r="AI2095" s="694"/>
      <c r="AJ2095" s="694"/>
      <c r="AK2095" s="694"/>
      <c r="AL2095" s="694"/>
    </row>
    <row r="2096" spans="1:38" ht="12.75" customHeight="1" x14ac:dyDescent="0.25">
      <c r="A2096" s="694"/>
      <c r="B2096" s="298"/>
      <c r="C2096" s="1302"/>
      <c r="D2096" s="1307" t="s">
        <v>277</v>
      </c>
      <c r="E2096" s="2815" t="str">
        <f>Translations!$B$1524</f>
        <v>Вложена енергия в тази подинсталация и съответен емисионен фактор</v>
      </c>
      <c r="F2096" s="2240"/>
      <c r="G2096" s="2240"/>
      <c r="H2096" s="2240"/>
      <c r="I2096" s="2240"/>
      <c r="J2096" s="2240"/>
      <c r="K2096" s="2240"/>
      <c r="L2096" s="2240"/>
      <c r="M2096" s="2240"/>
      <c r="N2096" s="2811"/>
      <c r="O2096" s="302"/>
      <c r="P2096" s="302"/>
      <c r="Q2096" s="729"/>
      <c r="R2096" s="729"/>
      <c r="S2096" s="729"/>
      <c r="T2096" s="694"/>
      <c r="U2096" s="694"/>
      <c r="V2096" s="694"/>
      <c r="W2096" s="694"/>
      <c r="X2096" s="694"/>
      <c r="Y2096" s="694"/>
      <c r="Z2096" s="694"/>
      <c r="AA2096" s="694"/>
      <c r="AB2096" s="694"/>
      <c r="AC2096" s="694"/>
      <c r="AD2096" s="694"/>
      <c r="AE2096" s="694"/>
      <c r="AF2096" s="694"/>
      <c r="AG2096" s="694"/>
      <c r="AH2096" s="694"/>
      <c r="AI2096" s="694"/>
      <c r="AJ2096" s="694"/>
      <c r="AK2096" s="694"/>
      <c r="AL2096" s="694"/>
    </row>
    <row r="2097" spans="1:38" ht="25.5" customHeight="1" x14ac:dyDescent="0.25">
      <c r="A2097" s="694"/>
      <c r="B2097" s="298"/>
      <c r="C2097" s="1302"/>
      <c r="D2097" s="1306"/>
      <c r="E2097" s="2836" t="str">
        <f>Translations!$B$1525</f>
        <v>Съгласно изискванията в приложение IV, раздел 2.4, буква а) към ПБР посочете общото количество вложена енергия от горива, материали и електроенергия за генериране на топлинна енергия от подинсталацията и съответния претеглен емисионен фактор, като вземете предвид съответното енергийно съдържание на всяко гориво, включено в числовата стойност, посочена в буква ж), и приложите същите системни граници от буква ж).</v>
      </c>
      <c r="F2097" s="2836"/>
      <c r="G2097" s="2836"/>
      <c r="H2097" s="2836"/>
      <c r="I2097" s="2836"/>
      <c r="J2097" s="2836"/>
      <c r="K2097" s="2836"/>
      <c r="L2097" s="2836"/>
      <c r="M2097" s="2836"/>
      <c r="N2097" s="2837"/>
      <c r="O2097" s="302"/>
      <c r="P2097" s="302"/>
      <c r="Q2097" s="729"/>
      <c r="R2097" s="729"/>
      <c r="S2097" s="729"/>
      <c r="T2097" s="694"/>
      <c r="U2097" s="694"/>
      <c r="V2097" s="694"/>
      <c r="W2097" s="694"/>
      <c r="X2097" s="694"/>
      <c r="Y2097" s="694"/>
      <c r="Z2097" s="694"/>
      <c r="AA2097" s="694"/>
      <c r="AB2097" s="694"/>
      <c r="AC2097" s="694"/>
      <c r="AD2097" s="694"/>
      <c r="AE2097" s="694"/>
      <c r="AF2097" s="694"/>
      <c r="AG2097" s="694"/>
      <c r="AH2097" s="694"/>
      <c r="AI2097" s="694"/>
      <c r="AJ2097" s="694"/>
      <c r="AK2097" s="694"/>
      <c r="AL2097" s="694"/>
    </row>
    <row r="2098" spans="1:38" ht="25.5" customHeight="1" x14ac:dyDescent="0.25">
      <c r="A2098" s="694"/>
      <c r="B2098" s="298"/>
      <c r="C2098" s="1302"/>
      <c r="D2098" s="1306"/>
      <c r="E2098" s="2836" t="str">
        <f>Translations!$B$1526</f>
        <v>Терминът „гориво“ следва да се тълкува като всеки запалим пораждащ емисии поток съгласно РМД, за който може да се установи долната топлина на изгаряне. Претегленият емисионен фактор съответства на натрупаните емисии от горива, разделени на общото енергийно съдържание.</v>
      </c>
      <c r="F2098" s="2836"/>
      <c r="G2098" s="2836"/>
      <c r="H2098" s="2836"/>
      <c r="I2098" s="2836"/>
      <c r="J2098" s="2836"/>
      <c r="K2098" s="2836"/>
      <c r="L2098" s="2836"/>
      <c r="M2098" s="2836"/>
      <c r="N2098" s="2837"/>
      <c r="O2098" s="302"/>
      <c r="P2098" s="302"/>
      <c r="Q2098" s="729"/>
      <c r="R2098" s="694"/>
      <c r="S2098" s="729"/>
      <c r="T2098" s="694"/>
      <c r="U2098" s="694"/>
      <c r="V2098" s="694"/>
      <c r="W2098" s="694"/>
      <c r="X2098" s="694"/>
      <c r="Y2098" s="694"/>
      <c r="Z2098" s="694"/>
      <c r="AA2098" s="694"/>
      <c r="AB2098" s="694"/>
      <c r="AC2098" s="694"/>
      <c r="AD2098" s="694"/>
      <c r="AE2098" s="694"/>
      <c r="AF2098" s="694"/>
      <c r="AG2098" s="694"/>
      <c r="AH2098" s="694"/>
      <c r="AI2098" s="694"/>
      <c r="AJ2098" s="694"/>
      <c r="AK2098" s="694"/>
      <c r="AL2098" s="694"/>
    </row>
    <row r="2099" spans="1:38" ht="12.75" customHeight="1" x14ac:dyDescent="0.25">
      <c r="A2099" s="694"/>
      <c r="B2099" s="298"/>
      <c r="C2099" s="1302"/>
      <c r="D2099" s="1306"/>
      <c r="E2099" s="2836" t="str">
        <f>Translations!$B$519</f>
        <v>Претегленият емисионен фактор следва също така да включва и емисии от съответното очистване на димни газове, ако е приложимо.</v>
      </c>
      <c r="F2099" s="2836"/>
      <c r="G2099" s="2836"/>
      <c r="H2099" s="2836"/>
      <c r="I2099" s="2836"/>
      <c r="J2099" s="2836"/>
      <c r="K2099" s="2836"/>
      <c r="L2099" s="2836"/>
      <c r="M2099" s="2836"/>
      <c r="N2099" s="2837"/>
      <c r="O2099" s="302"/>
      <c r="P2099" s="302"/>
      <c r="Q2099" s="729"/>
      <c r="R2099" s="694"/>
      <c r="S2099" s="729"/>
      <c r="T2099" s="694"/>
      <c r="U2099" s="694"/>
      <c r="V2099" s="694"/>
      <c r="W2099" s="694"/>
      <c r="X2099" s="694"/>
      <c r="Y2099" s="694"/>
      <c r="Z2099" s="694"/>
      <c r="AA2099" s="694"/>
      <c r="AB2099" s="694"/>
      <c r="AC2099" s="694"/>
      <c r="AD2099" s="694"/>
      <c r="AE2099" s="694"/>
      <c r="AF2099" s="694"/>
      <c r="AG2099" s="694"/>
      <c r="AH2099" s="694"/>
      <c r="AI2099" s="694"/>
      <c r="AJ2099" s="694"/>
      <c r="AK2099" s="694"/>
      <c r="AL2099" s="694"/>
    </row>
    <row r="2100" spans="1:38" ht="12.75" customHeight="1" x14ac:dyDescent="0.25">
      <c r="A2100" s="694"/>
      <c r="B2100" s="298"/>
      <c r="C2100" s="1302"/>
      <c r="D2100" s="1306"/>
      <c r="E2100" s="2816" t="str">
        <f>Translations!$B$520</f>
        <v>Посочените тук данни се използват само с цел проверка на съответствието и нямат пряко отражение върху емисиите, които могат да бъдат зададени, или на разпределението на квотите.</v>
      </c>
      <c r="F2100" s="2240"/>
      <c r="G2100" s="2240"/>
      <c r="H2100" s="2240"/>
      <c r="I2100" s="2240"/>
      <c r="J2100" s="2240"/>
      <c r="K2100" s="2240"/>
      <c r="L2100" s="2240"/>
      <c r="M2100" s="2240"/>
      <c r="N2100" s="2811"/>
      <c r="O2100" s="302"/>
      <c r="P2100" s="302"/>
      <c r="Q2100" s="729"/>
      <c r="R2100" s="694"/>
      <c r="S2100" s="729"/>
      <c r="T2100" s="694"/>
      <c r="U2100" s="694"/>
      <c r="V2100" s="694"/>
      <c r="W2100" s="694"/>
      <c r="X2100" s="694"/>
      <c r="Y2100" s="694"/>
      <c r="Z2100" s="694"/>
      <c r="AA2100" s="694"/>
      <c r="AB2100" s="694"/>
      <c r="AC2100" s="694"/>
      <c r="AD2100" s="694"/>
      <c r="AE2100" s="694"/>
      <c r="AF2100" s="694"/>
      <c r="AG2100" s="694"/>
      <c r="AH2100" s="694"/>
      <c r="AI2100" s="694"/>
      <c r="AJ2100" s="694"/>
      <c r="AK2100" s="694"/>
      <c r="AL2100" s="694"/>
    </row>
    <row r="2101" spans="1:38" ht="12.75" customHeight="1" thickBot="1" x14ac:dyDescent="0.3">
      <c r="A2101" s="694"/>
      <c r="B2101" s="298"/>
      <c r="C2101" s="1302"/>
      <c r="D2101" s="1307"/>
      <c r="E2101" s="1317"/>
      <c r="F2101" s="1318"/>
      <c r="G2101" s="1309" t="str">
        <f>EUconst_Unit</f>
        <v>Единица мярка</v>
      </c>
      <c r="H2101" s="629">
        <f t="shared" ref="H2101:N2101" si="2915">H$2831</f>
        <v>2024</v>
      </c>
      <c r="I2101" s="1310">
        <f t="shared" si="2915"/>
        <v>2025</v>
      </c>
      <c r="J2101" s="1311">
        <f t="shared" si="2915"/>
        <v>2026</v>
      </c>
      <c r="K2101" s="629">
        <f t="shared" si="2915"/>
        <v>2027</v>
      </c>
      <c r="L2101" s="629">
        <f t="shared" si="2915"/>
        <v>2028</v>
      </c>
      <c r="M2101" s="629">
        <f t="shared" si="2915"/>
        <v>2029</v>
      </c>
      <c r="N2101" s="1312">
        <f t="shared" si="2915"/>
        <v>2030</v>
      </c>
      <c r="O2101" s="302"/>
      <c r="P2101" s="302"/>
      <c r="Q2101" s="729"/>
      <c r="R2101" s="694"/>
      <c r="S2101" s="729"/>
      <c r="T2101" s="694"/>
      <c r="U2101" s="694"/>
      <c r="V2101" s="694"/>
      <c r="W2101" s="694"/>
      <c r="X2101" s="694"/>
      <c r="Y2101" s="694"/>
      <c r="Z2101" s="694"/>
      <c r="AA2101" s="694"/>
      <c r="AB2101" s="694"/>
      <c r="AC2101" s="1178">
        <f t="shared" ref="AC2101" si="2916">H$20</f>
        <v>2024</v>
      </c>
      <c r="AD2101" s="1178">
        <f t="shared" ref="AD2101" si="2917">I$20</f>
        <v>2025</v>
      </c>
      <c r="AE2101" s="1178">
        <f t="shared" ref="AE2101" si="2918">J$20</f>
        <v>2026</v>
      </c>
      <c r="AF2101" s="1178">
        <f t="shared" ref="AF2101" si="2919">K$20</f>
        <v>2027</v>
      </c>
      <c r="AG2101" s="1178">
        <f t="shared" ref="AG2101" si="2920">L$20</f>
        <v>2028</v>
      </c>
      <c r="AH2101" s="1178">
        <f t="shared" ref="AH2101" si="2921">M$20</f>
        <v>2029</v>
      </c>
      <c r="AI2101" s="1178">
        <f t="shared" ref="AI2101" si="2922">N$20</f>
        <v>2030</v>
      </c>
      <c r="AJ2101" s="694"/>
      <c r="AK2101" s="694"/>
      <c r="AL2101" s="694"/>
    </row>
    <row r="2102" spans="1:38" ht="12.75" customHeight="1" x14ac:dyDescent="0.25">
      <c r="A2102" s="694"/>
      <c r="B2102" s="298"/>
      <c r="C2102" s="1302"/>
      <c r="D2102" s="625" t="s">
        <v>6</v>
      </c>
      <c r="E2102" s="2820" t="str">
        <f>Translations!$B$1527</f>
        <v>Вложена енергия</v>
      </c>
      <c r="F2102" s="2258"/>
      <c r="G2102" s="1319" t="str">
        <f>EUconst_TJpa</f>
        <v>TJ / година</v>
      </c>
      <c r="H2102" s="56"/>
      <c r="I2102" s="115"/>
      <c r="J2102" s="118"/>
      <c r="K2102" s="56"/>
      <c r="L2102" s="56"/>
      <c r="M2102" s="56"/>
      <c r="N2102" s="121"/>
      <c r="O2102" s="302"/>
      <c r="P2102" s="158"/>
      <c r="Q2102" s="1190" t="str">
        <f>EUconst_CNTR_FuelInput &amp; I1980</f>
        <v>FuelInput_</v>
      </c>
      <c r="R2102" s="694"/>
      <c r="S2102" s="729"/>
      <c r="T2102" s="694"/>
      <c r="U2102" s="694"/>
      <c r="V2102" s="694"/>
      <c r="W2102" s="694"/>
      <c r="X2102" s="694"/>
      <c r="Y2102" s="694"/>
      <c r="Z2102" s="694"/>
      <c r="AA2102" s="694"/>
      <c r="AB2102" s="1182" t="s">
        <v>737</v>
      </c>
      <c r="AC2102" s="982" t="b">
        <f>AC2027</f>
        <v>0</v>
      </c>
      <c r="AD2102" s="982" t="b">
        <f t="shared" ref="AD2102:AI2102" si="2923">AD2027</f>
        <v>0</v>
      </c>
      <c r="AE2102" s="982" t="b">
        <f t="shared" si="2923"/>
        <v>0</v>
      </c>
      <c r="AF2102" s="982" t="b">
        <f t="shared" si="2923"/>
        <v>0</v>
      </c>
      <c r="AG2102" s="982" t="b">
        <f t="shared" si="2923"/>
        <v>0</v>
      </c>
      <c r="AH2102" s="982" t="b">
        <f t="shared" si="2923"/>
        <v>0</v>
      </c>
      <c r="AI2102" s="982" t="b">
        <f t="shared" si="2923"/>
        <v>0</v>
      </c>
      <c r="AJ2102" s="1174" t="s">
        <v>2039</v>
      </c>
      <c r="AK2102" s="1176" t="str">
        <f>IF(AND(CNTR_ExistSubInstEntries,MSconst_RequireSubAttrEmissions,COUNTIFS(AC2102:AI2102,FALSE,H2102:N2102,"")&gt;0),EUconst_Error&amp;"BM"&amp;$Q1980,"")</f>
        <v/>
      </c>
      <c r="AL2102" s="694"/>
    </row>
    <row r="2103" spans="1:38" ht="12.75" customHeight="1" x14ac:dyDescent="0.25">
      <c r="A2103" s="694"/>
      <c r="B2103" s="298"/>
      <c r="C2103" s="1302"/>
      <c r="D2103" s="625" t="s">
        <v>7</v>
      </c>
      <c r="E2103" s="2820" t="str">
        <f>Translations!$B$522</f>
        <v>Претеглен емисионен фактор</v>
      </c>
      <c r="F2103" s="2258"/>
      <c r="G2103" s="1320" t="str">
        <f>EUconst_tCO2pTJ</f>
        <v>t CO2 / TJ</v>
      </c>
      <c r="H2103" s="82"/>
      <c r="I2103" s="126"/>
      <c r="J2103" s="127"/>
      <c r="K2103" s="82"/>
      <c r="L2103" s="82"/>
      <c r="M2103" s="82"/>
      <c r="N2103" s="128"/>
      <c r="O2103" s="302"/>
      <c r="P2103" s="158"/>
      <c r="Q2103" s="1190" t="str">
        <f>EUconst_CNTR_FuelEF &amp; I1980</f>
        <v>FuelEF_</v>
      </c>
      <c r="R2103" s="694"/>
      <c r="S2103" s="729"/>
      <c r="T2103" s="694"/>
      <c r="U2103" s="694"/>
      <c r="V2103" s="694"/>
      <c r="W2103" s="694"/>
      <c r="X2103" s="694"/>
      <c r="Y2103" s="694"/>
      <c r="Z2103" s="694"/>
      <c r="AA2103" s="694"/>
      <c r="AB2103" s="694"/>
      <c r="AC2103" s="982" t="b">
        <f>AC2102</f>
        <v>0</v>
      </c>
      <c r="AD2103" s="982" t="b">
        <f t="shared" ref="AD2103:AI2103" si="2924">AD2102</f>
        <v>0</v>
      </c>
      <c r="AE2103" s="982" t="b">
        <f t="shared" si="2924"/>
        <v>0</v>
      </c>
      <c r="AF2103" s="982" t="b">
        <f t="shared" si="2924"/>
        <v>0</v>
      </c>
      <c r="AG2103" s="982" t="b">
        <f t="shared" si="2924"/>
        <v>0</v>
      </c>
      <c r="AH2103" s="982" t="b">
        <f t="shared" si="2924"/>
        <v>0</v>
      </c>
      <c r="AI2103" s="982" t="b">
        <f t="shared" si="2924"/>
        <v>0</v>
      </c>
      <c r="AJ2103" s="1174" t="s">
        <v>2039</v>
      </c>
      <c r="AK2103" s="1176" t="str">
        <f>IF(AND(CNTR_ExistSubInstEntries,MSconst_RequireSubAttrEmissions,COUNTIFS(AC2103:AI2103,FALSE,H2103:N2103,"")&gt;0),EUconst_Error&amp;"BM"&amp;$Q1980,"")</f>
        <v/>
      </c>
      <c r="AL2103" s="694"/>
    </row>
    <row r="2104" spans="1:38" ht="12.75" customHeight="1" x14ac:dyDescent="0.25">
      <c r="A2104" s="694"/>
      <c r="B2104" s="298"/>
      <c r="C2104" s="1302"/>
      <c r="D2104" s="1306"/>
      <c r="E2104" s="1306"/>
      <c r="F2104" s="1306"/>
      <c r="G2104" s="1306"/>
      <c r="H2104" s="1306"/>
      <c r="I2104" s="1306"/>
      <c r="J2104" s="1306"/>
      <c r="K2104" s="1306"/>
      <c r="L2104" s="1306"/>
      <c r="M2104" s="626"/>
      <c r="N2104" s="1316"/>
      <c r="O2104" s="302"/>
      <c r="P2104" s="302"/>
      <c r="Q2104" s="729"/>
      <c r="R2104" s="694"/>
      <c r="S2104" s="729"/>
      <c r="T2104" s="694"/>
      <c r="U2104" s="694"/>
      <c r="V2104" s="694"/>
      <c r="W2104" s="694"/>
      <c r="X2104" s="694"/>
      <c r="Y2104" s="694"/>
      <c r="Z2104" s="694"/>
      <c r="AA2104" s="694"/>
      <c r="AB2104" s="694"/>
      <c r="AC2104" s="694"/>
      <c r="AD2104" s="694"/>
      <c r="AE2104" s="694"/>
      <c r="AF2104" s="694"/>
      <c r="AG2104" s="694"/>
      <c r="AH2104" s="694"/>
      <c r="AI2104" s="694"/>
      <c r="AJ2104" s="694"/>
      <c r="AK2104" s="694"/>
      <c r="AL2104" s="694"/>
    </row>
    <row r="2105" spans="1:38" ht="12.75" customHeight="1" x14ac:dyDescent="0.25">
      <c r="A2105" s="694"/>
      <c r="B2105" s="298"/>
      <c r="C2105" s="1302"/>
      <c r="D2105" s="1307" t="s">
        <v>279</v>
      </c>
      <c r="E2105" s="2815" t="str">
        <f>Translations!$B$523</f>
        <v>Други вътрешни пораждащи емисии потоци, получени или подадени от тази подинсталация</v>
      </c>
      <c r="F2105" s="2240"/>
      <c r="G2105" s="2240"/>
      <c r="H2105" s="2240"/>
      <c r="I2105" s="2240"/>
      <c r="J2105" s="2240"/>
      <c r="K2105" s="2240"/>
      <c r="L2105" s="2240"/>
      <c r="M2105" s="2240"/>
      <c r="N2105" s="2811"/>
      <c r="O2105" s="302"/>
      <c r="P2105" s="302"/>
      <c r="Q2105" s="729"/>
      <c r="R2105" s="729"/>
      <c r="S2105" s="729"/>
      <c r="T2105" s="694"/>
      <c r="U2105" s="694"/>
      <c r="V2105" s="694"/>
      <c r="W2105" s="694"/>
      <c r="X2105" s="694"/>
      <c r="Y2105" s="694"/>
      <c r="Z2105" s="694"/>
      <c r="AA2105" s="694"/>
      <c r="AB2105" s="694"/>
      <c r="AC2105" s="694"/>
      <c r="AD2105" s="694"/>
      <c r="AE2105" s="694"/>
      <c r="AF2105" s="694"/>
      <c r="AG2105" s="694"/>
      <c r="AH2105" s="694"/>
      <c r="AI2105" s="694"/>
      <c r="AJ2105" s="694"/>
      <c r="AK2105" s="694"/>
      <c r="AL2105" s="694"/>
    </row>
    <row r="2106" spans="1:38" ht="12.75" customHeight="1" x14ac:dyDescent="0.25">
      <c r="A2106" s="694"/>
      <c r="B2106" s="298"/>
      <c r="C2106" s="1302"/>
      <c r="D2106" s="625"/>
      <c r="E2106" s="2816" t="str">
        <f>Translations!$B$508</f>
        <v>Посочените тук данни ще се отразят на емисиите, които могат да бъдат зададени съгласно раздел 10.1.1 от приложение VII към ПБР.</v>
      </c>
      <c r="F2106" s="2240"/>
      <c r="G2106" s="2240"/>
      <c r="H2106" s="2240"/>
      <c r="I2106" s="2240"/>
      <c r="J2106" s="2240"/>
      <c r="K2106" s="2240"/>
      <c r="L2106" s="2240"/>
      <c r="M2106" s="2240"/>
      <c r="N2106" s="2811"/>
      <c r="O2106" s="302"/>
      <c r="P2106" s="302"/>
      <c r="Q2106" s="729"/>
      <c r="R2106" s="694"/>
      <c r="S2106" s="729"/>
      <c r="T2106" s="729"/>
      <c r="U2106" s="729"/>
      <c r="V2106" s="729"/>
      <c r="W2106" s="694"/>
      <c r="X2106" s="694"/>
      <c r="Y2106" s="694"/>
      <c r="Z2106" s="694"/>
      <c r="AA2106" s="694"/>
      <c r="AB2106" s="694"/>
      <c r="AC2106" s="694"/>
      <c r="AD2106" s="694"/>
      <c r="AE2106" s="694"/>
      <c r="AF2106" s="694"/>
      <c r="AG2106" s="694"/>
      <c r="AH2106" s="694"/>
      <c r="AI2106" s="694"/>
      <c r="AJ2106" s="694"/>
      <c r="AK2106" s="694"/>
      <c r="AL2106" s="694"/>
    </row>
    <row r="2107" spans="1:38" ht="25.5" customHeight="1" x14ac:dyDescent="0.25">
      <c r="A2107" s="694"/>
      <c r="B2107" s="298"/>
      <c r="C2107" s="1302"/>
      <c r="D2107" s="1306"/>
      <c r="E2107" s="2816" t="str">
        <f>Translations!$B$524</f>
        <v>Имайте предвид, че всички пораждащи емисии потоци трябва да се изброят тук само ако не са обхванати от преките емисии в буква g) по-горе, за да се избегнат пропуски в данните или двойно отчитане. Емисиите, свързани с отпадните газове, НЕ могат да се изброяват тук, а трябва да се посочват в буква l) по-долу.</v>
      </c>
      <c r="F2107" s="2240"/>
      <c r="G2107" s="2240"/>
      <c r="H2107" s="2240"/>
      <c r="I2107" s="2240"/>
      <c r="J2107" s="2240"/>
      <c r="K2107" s="2240"/>
      <c r="L2107" s="2240"/>
      <c r="M2107" s="2240"/>
      <c r="N2107" s="2811"/>
      <c r="O2107" s="302"/>
      <c r="P2107" s="302"/>
      <c r="Q2107" s="729"/>
      <c r="R2107" s="729"/>
      <c r="S2107" s="729"/>
      <c r="T2107" s="694"/>
      <c r="U2107" s="694"/>
      <c r="V2107" s="694"/>
      <c r="W2107" s="694"/>
      <c r="X2107" s="694"/>
      <c r="Y2107" s="694"/>
      <c r="Z2107" s="694"/>
      <c r="AA2107" s="694"/>
      <c r="AB2107" s="694"/>
      <c r="AC2107" s="694"/>
      <c r="AD2107" s="694"/>
      <c r="AE2107" s="694"/>
      <c r="AF2107" s="694"/>
      <c r="AG2107" s="694"/>
      <c r="AH2107" s="694"/>
      <c r="AI2107" s="694"/>
      <c r="AJ2107" s="694"/>
      <c r="AK2107" s="694"/>
      <c r="AL2107" s="694"/>
    </row>
    <row r="2108" spans="1:38" ht="12.75" customHeight="1" x14ac:dyDescent="0.25">
      <c r="A2108" s="694"/>
      <c r="B2108" s="298"/>
      <c r="C2108" s="1302"/>
      <c r="D2108" s="1306"/>
      <c r="E2108" s="2810" t="str">
        <f>Translations!$B$525</f>
        <v>Тук въведете информация за т.нар. вътрешни пораждащи емисии потоци, които се пренасят между подинсталациите, т.е. са получени или подадени от тази подинсталация.</v>
      </c>
      <c r="F2108" s="2240"/>
      <c r="G2108" s="2240"/>
      <c r="H2108" s="2240"/>
      <c r="I2108" s="2240"/>
      <c r="J2108" s="2240"/>
      <c r="K2108" s="2240"/>
      <c r="L2108" s="2240"/>
      <c r="M2108" s="2240"/>
      <c r="N2108" s="2811"/>
      <c r="O2108" s="302"/>
      <c r="P2108" s="302"/>
      <c r="Q2108" s="729"/>
      <c r="R2108" s="729"/>
      <c r="S2108" s="729"/>
      <c r="T2108" s="694"/>
      <c r="U2108" s="694"/>
      <c r="V2108" s="694"/>
      <c r="W2108" s="694"/>
      <c r="X2108" s="694"/>
      <c r="Y2108" s="694"/>
      <c r="Z2108" s="694"/>
      <c r="AA2108" s="694"/>
      <c r="AB2108" s="694"/>
      <c r="AC2108" s="694"/>
      <c r="AD2108" s="694"/>
      <c r="AE2108" s="694"/>
      <c r="AF2108" s="694"/>
      <c r="AG2108" s="694"/>
      <c r="AH2108" s="694"/>
      <c r="AI2108" s="694"/>
      <c r="AJ2108" s="694"/>
      <c r="AK2108" s="694"/>
      <c r="AL2108" s="694"/>
    </row>
    <row r="2109" spans="1:38" ht="38.9" customHeight="1" x14ac:dyDescent="0.25">
      <c r="A2109" s="694"/>
      <c r="B2109" s="298"/>
      <c r="C2109" s="1302"/>
      <c r="D2109" s="1306"/>
      <c r="E2109" s="2810" t="str">
        <f>Translations!$B$526</f>
        <v>Така например, ако това е подинсталацията за „кокс“ на комбинирана инсталация за чугун и стомана, емисиите, свързани с консумацията на кокс, възникват в доменната пещ и не трябва да се задават на тази подинсталация (т.е. подинсталацията за „кокс“). Въпреки това част от емисиите се включват в буква g) по-горе, защото въглищата, които се вкарват в коксовата пещ, ще са един от зададените на първата стъпка пораждащи емисии потоци.</v>
      </c>
      <c r="F2109" s="2240"/>
      <c r="G2109" s="2240"/>
      <c r="H2109" s="2240"/>
      <c r="I2109" s="2240"/>
      <c r="J2109" s="2240"/>
      <c r="K2109" s="2240"/>
      <c r="L2109" s="2240"/>
      <c r="M2109" s="2240"/>
      <c r="N2109" s="2811"/>
      <c r="O2109" s="302"/>
      <c r="P2109" s="302"/>
      <c r="Q2109" s="729"/>
      <c r="R2109" s="694"/>
      <c r="S2109" s="729"/>
      <c r="T2109" s="694"/>
      <c r="U2109" s="694"/>
      <c r="V2109" s="694"/>
      <c r="W2109" s="694"/>
      <c r="X2109" s="694"/>
      <c r="Y2109" s="694"/>
      <c r="Z2109" s="694"/>
      <c r="AA2109" s="694"/>
      <c r="AB2109" s="694"/>
      <c r="AC2109" s="694"/>
      <c r="AD2109" s="694"/>
      <c r="AE2109" s="694"/>
      <c r="AF2109" s="694"/>
      <c r="AG2109" s="694"/>
      <c r="AH2109" s="694"/>
      <c r="AI2109" s="694"/>
      <c r="AJ2109" s="694"/>
      <c r="AK2109" s="694"/>
      <c r="AL2109" s="694"/>
    </row>
    <row r="2110" spans="1:38" ht="51" customHeight="1" x14ac:dyDescent="0.25">
      <c r="A2110" s="694"/>
      <c r="B2110" s="298"/>
      <c r="C2110" s="1302"/>
      <c r="D2110" s="1306"/>
      <c r="E2110" s="2810" t="str">
        <f>Translations!$B$527</f>
        <v>За да се избегне двойно отчитане, коксът, който излиза от коксовата подинсталация, трябва да се коригира като изходящ „вътрешен пораждащ емисии поток“. Това става чрез отрицателна стойност за количеството кокс в случай на „подаване“. За да се получи пълен баланс на емисиите от въглищата, вкарани в коксовата подинсталация, емисиите, свързани с използването на коксов газ (= отпаден газ), са отразени в буква g) по-горе (както е включено в емисиите от въглища), до степента на използване на газа в рамките на подинсталацията. Тук не трябва да се внасят корекции, за да се отчетат подадените количества отпаден газ; това се прави в l).xx. по-долу.</v>
      </c>
      <c r="F2110" s="2240"/>
      <c r="G2110" s="2240"/>
      <c r="H2110" s="2240"/>
      <c r="I2110" s="2240"/>
      <c r="J2110" s="2240"/>
      <c r="K2110" s="2240"/>
      <c r="L2110" s="2240"/>
      <c r="M2110" s="2240"/>
      <c r="N2110" s="2811"/>
      <c r="O2110" s="302"/>
      <c r="P2110" s="302"/>
      <c r="Q2110" s="729"/>
      <c r="R2110" s="694"/>
      <c r="S2110" s="729"/>
      <c r="T2110" s="694"/>
      <c r="U2110" s="694"/>
      <c r="V2110" s="694"/>
      <c r="W2110" s="694"/>
      <c r="X2110" s="694"/>
      <c r="Y2110" s="694"/>
      <c r="Z2110" s="694"/>
      <c r="AA2110" s="694"/>
      <c r="AB2110" s="694"/>
      <c r="AC2110" s="694"/>
      <c r="AD2110" s="694"/>
      <c r="AE2110" s="694"/>
      <c r="AF2110" s="694"/>
      <c r="AG2110" s="694"/>
      <c r="AH2110" s="694"/>
      <c r="AI2110" s="694"/>
      <c r="AJ2110" s="694"/>
      <c r="AK2110" s="694"/>
      <c r="AL2110" s="694"/>
    </row>
    <row r="2111" spans="1:38" ht="25.5" customHeight="1" x14ac:dyDescent="0.25">
      <c r="A2111" s="694"/>
      <c r="B2111" s="298"/>
      <c r="C2111" s="1302"/>
      <c r="D2111" s="1306"/>
      <c r="E2111" s="2810" t="str">
        <f>Translations!$B$528</f>
        <v>И обратно, ако това е подинсталация с показател за течни черни метали в комбинирана инсталация за чугун и стомана, коксът трябва да се посочи тук като входящ/получен „вътрешен“ пораждащ емисии поток с положително количество.</v>
      </c>
      <c r="F2111" s="2240"/>
      <c r="G2111" s="2240"/>
      <c r="H2111" s="2240"/>
      <c r="I2111" s="2240"/>
      <c r="J2111" s="2240"/>
      <c r="K2111" s="2240"/>
      <c r="L2111" s="2240"/>
      <c r="M2111" s="2240"/>
      <c r="N2111" s="2811"/>
      <c r="O2111" s="302"/>
      <c r="P2111" s="302"/>
      <c r="Q2111" s="729"/>
      <c r="R2111" s="694"/>
      <c r="S2111" s="729"/>
      <c r="T2111" s="694"/>
      <c r="U2111" s="694"/>
      <c r="V2111" s="694"/>
      <c r="W2111" s="694"/>
      <c r="X2111" s="694"/>
      <c r="Y2111" s="694"/>
      <c r="Z2111" s="694"/>
      <c r="AA2111" s="694"/>
      <c r="AB2111" s="694"/>
      <c r="AC2111" s="694"/>
      <c r="AD2111" s="694"/>
      <c r="AE2111" s="694"/>
      <c r="AF2111" s="694"/>
      <c r="AG2111" s="694"/>
      <c r="AH2111" s="694"/>
      <c r="AI2111" s="694"/>
      <c r="AJ2111" s="694"/>
      <c r="AK2111" s="694"/>
      <c r="AL2111" s="694"/>
    </row>
    <row r="2112" spans="1:38" ht="12.75" customHeight="1" x14ac:dyDescent="0.25">
      <c r="A2112" s="694"/>
      <c r="B2112" s="298"/>
      <c r="C2112" s="1302"/>
      <c r="D2112" s="625" t="s">
        <v>6</v>
      </c>
      <c r="E2112" s="2817" t="str">
        <f>Translations!$B$529</f>
        <v>За тази подинсталация отнасят ли се други получени или подадени вътрешни пораждащи емисии потоци?</v>
      </c>
      <c r="F2112" s="2240"/>
      <c r="G2112" s="2240"/>
      <c r="H2112" s="2240"/>
      <c r="I2112" s="2240"/>
      <c r="J2112" s="2240"/>
      <c r="K2112" s="2684"/>
      <c r="L2112" s="83"/>
      <c r="M2112" s="1322"/>
      <c r="N2112" s="1323"/>
      <c r="O2112" s="302"/>
      <c r="P2112" s="158"/>
      <c r="Q2112" s="729"/>
      <c r="R2112" s="694"/>
      <c r="S2112" s="729"/>
      <c r="T2112" s="694"/>
      <c r="U2112" s="694"/>
      <c r="V2112" s="694"/>
      <c r="W2112" s="694"/>
      <c r="X2112" s="694"/>
      <c r="Y2112" s="694"/>
      <c r="Z2112" s="694"/>
      <c r="AA2112" s="694"/>
      <c r="AB2112" s="694"/>
      <c r="AC2112" s="694"/>
      <c r="AD2112" s="694"/>
      <c r="AE2112" s="694"/>
      <c r="AF2112" s="1182" t="s">
        <v>737</v>
      </c>
      <c r="AG2112" s="901" t="b">
        <f>AND(CNTR_ExistSubInstEntries,I1980="")</f>
        <v>0</v>
      </c>
      <c r="AH2112" s="694"/>
      <c r="AI2112" s="694"/>
      <c r="AJ2112" s="694"/>
      <c r="AK2112" s="694"/>
      <c r="AL2112" s="694"/>
    </row>
    <row r="2113" spans="1:38" ht="12.75" customHeight="1" x14ac:dyDescent="0.25">
      <c r="A2113" s="694"/>
      <c r="B2113" s="298"/>
      <c r="C2113" s="1302"/>
      <c r="D2113" s="1306"/>
      <c r="E2113" s="2810" t="str">
        <f>Translations!$B$530</f>
        <v>Ако има над два получени или подадени пораждащи емисии потока, тези няколко пораждащи емисии потока следва да се групират заедно и да се посочат имената им.</v>
      </c>
      <c r="F2113" s="2240"/>
      <c r="G2113" s="2240"/>
      <c r="H2113" s="2240"/>
      <c r="I2113" s="2240"/>
      <c r="J2113" s="2240"/>
      <c r="K2113" s="2240"/>
      <c r="L2113" s="2240"/>
      <c r="M2113" s="2240"/>
      <c r="N2113" s="2811"/>
      <c r="O2113" s="302"/>
      <c r="P2113" s="302"/>
      <c r="Q2113" s="729"/>
      <c r="R2113" s="694"/>
      <c r="S2113" s="729"/>
      <c r="T2113" s="694"/>
      <c r="U2113" s="694"/>
      <c r="V2113" s="694"/>
      <c r="W2113" s="694"/>
      <c r="X2113" s="694"/>
      <c r="Y2113" s="694"/>
      <c r="Z2113" s="694"/>
      <c r="AA2113" s="694"/>
      <c r="AB2113" s="694"/>
      <c r="AC2113" s="694"/>
      <c r="AD2113" s="694"/>
      <c r="AE2113" s="694"/>
      <c r="AF2113" s="694"/>
      <c r="AG2113" s="694"/>
      <c r="AH2113" s="694"/>
      <c r="AI2113" s="694"/>
      <c r="AJ2113" s="694"/>
      <c r="AK2113" s="694"/>
      <c r="AL2113" s="694"/>
    </row>
    <row r="2114" spans="1:38" ht="12.75" customHeight="1" x14ac:dyDescent="0.25">
      <c r="A2114" s="694"/>
      <c r="B2114" s="298"/>
      <c r="C2114" s="1302"/>
      <c r="D2114" s="625" t="s">
        <v>7</v>
      </c>
      <c r="E2114" s="2815" t="str">
        <f>Translations!$B$531</f>
        <v>Име на други пораждащи емисии потоци — 1:</v>
      </c>
      <c r="F2114" s="2240"/>
      <c r="G2114" s="2240"/>
      <c r="H2114" s="2684"/>
      <c r="I2114" s="2821"/>
      <c r="J2114" s="2834"/>
      <c r="K2114" s="2834"/>
      <c r="L2114" s="2834"/>
      <c r="M2114" s="2835"/>
      <c r="N2114" s="1324"/>
      <c r="O2114" s="302"/>
      <c r="P2114" s="158"/>
      <c r="Q2114" s="729"/>
      <c r="R2114" s="694"/>
      <c r="S2114" s="729"/>
      <c r="T2114" s="694"/>
      <c r="U2114" s="694"/>
      <c r="V2114" s="694"/>
      <c r="W2114" s="694"/>
      <c r="X2114" s="694"/>
      <c r="Y2114" s="694"/>
      <c r="Z2114" s="694"/>
      <c r="AA2114" s="694"/>
      <c r="AB2114" s="694"/>
      <c r="AC2114" s="1182" t="s">
        <v>737</v>
      </c>
      <c r="AD2114" s="901" t="b">
        <f>OR(AG2112,AND($L2112&lt;&gt;"",$L2112=FALSE))</f>
        <v>0</v>
      </c>
      <c r="AE2114" s="694"/>
      <c r="AF2114" s="694"/>
      <c r="AG2114" s="694"/>
      <c r="AH2114" s="694"/>
      <c r="AI2114" s="694"/>
      <c r="AJ2114" s="694"/>
      <c r="AK2114" s="694"/>
      <c r="AL2114" s="694"/>
    </row>
    <row r="2115" spans="1:38" ht="5.15" customHeight="1" x14ac:dyDescent="0.25">
      <c r="A2115" s="694"/>
      <c r="B2115" s="298"/>
      <c r="C2115" s="1302"/>
      <c r="D2115" s="1306"/>
      <c r="E2115" s="1325"/>
      <c r="F2115" s="1322"/>
      <c r="G2115" s="1322"/>
      <c r="H2115" s="1322"/>
      <c r="I2115" s="1322"/>
      <c r="J2115" s="1322"/>
      <c r="K2115" s="1322"/>
      <c r="L2115" s="1322"/>
      <c r="M2115" s="1322"/>
      <c r="N2115" s="1323"/>
      <c r="O2115" s="302"/>
      <c r="P2115" s="302"/>
      <c r="Q2115" s="729"/>
      <c r="R2115" s="694"/>
      <c r="S2115" s="729"/>
      <c r="T2115" s="694"/>
      <c r="U2115" s="694"/>
      <c r="V2115" s="694"/>
      <c r="W2115" s="694"/>
      <c r="X2115" s="694"/>
      <c r="Y2115" s="694"/>
      <c r="Z2115" s="694"/>
      <c r="AA2115" s="694"/>
      <c r="AB2115" s="694"/>
      <c r="AC2115" s="694"/>
      <c r="AD2115" s="694"/>
      <c r="AE2115" s="694"/>
      <c r="AF2115" s="694"/>
      <c r="AG2115" s="694"/>
      <c r="AH2115" s="694"/>
      <c r="AI2115" s="694"/>
      <c r="AJ2115" s="694"/>
      <c r="AK2115" s="694"/>
      <c r="AL2115" s="694"/>
    </row>
    <row r="2116" spans="1:38" ht="12.75" customHeight="1" thickBot="1" x14ac:dyDescent="0.3">
      <c r="A2116" s="694"/>
      <c r="B2116" s="298"/>
      <c r="C2116" s="1302"/>
      <c r="D2116" s="1306"/>
      <c r="E2116" s="2803" t="str">
        <f>Translations!$B$532</f>
        <v>Други пораждащи емисии потоци — 1</v>
      </c>
      <c r="F2116" s="2672"/>
      <c r="G2116" s="1309" t="str">
        <f>EUconst_Unit</f>
        <v>Единица мярка</v>
      </c>
      <c r="H2116" s="629">
        <f t="shared" ref="H2116:N2116" si="2925">H$2831</f>
        <v>2024</v>
      </c>
      <c r="I2116" s="1310">
        <f t="shared" si="2925"/>
        <v>2025</v>
      </c>
      <c r="J2116" s="1311">
        <f t="shared" si="2925"/>
        <v>2026</v>
      </c>
      <c r="K2116" s="629">
        <f t="shared" si="2925"/>
        <v>2027</v>
      </c>
      <c r="L2116" s="629">
        <f t="shared" si="2925"/>
        <v>2028</v>
      </c>
      <c r="M2116" s="629">
        <f t="shared" si="2925"/>
        <v>2029</v>
      </c>
      <c r="N2116" s="1312">
        <f t="shared" si="2925"/>
        <v>2030</v>
      </c>
      <c r="O2116" s="302"/>
      <c r="P2116" s="302"/>
      <c r="Q2116" s="729"/>
      <c r="R2116" s="694"/>
      <c r="S2116" s="729"/>
      <c r="T2116" s="694"/>
      <c r="U2116" s="694"/>
      <c r="V2116" s="694"/>
      <c r="W2116" s="694"/>
      <c r="X2116" s="694"/>
      <c r="Y2116" s="694"/>
      <c r="Z2116" s="694"/>
      <c r="AA2116" s="694"/>
      <c r="AB2116" s="694"/>
      <c r="AC2116" s="1178">
        <f t="shared" ref="AC2116" si="2926">H$20</f>
        <v>2024</v>
      </c>
      <c r="AD2116" s="1178">
        <f t="shared" ref="AD2116" si="2927">I$20</f>
        <v>2025</v>
      </c>
      <c r="AE2116" s="1178">
        <f t="shared" ref="AE2116" si="2928">J$20</f>
        <v>2026</v>
      </c>
      <c r="AF2116" s="1178">
        <f t="shared" ref="AF2116" si="2929">K$20</f>
        <v>2027</v>
      </c>
      <c r="AG2116" s="1178">
        <f t="shared" ref="AG2116" si="2930">L$20</f>
        <v>2028</v>
      </c>
      <c r="AH2116" s="1178">
        <f t="shared" ref="AH2116" si="2931">M$20</f>
        <v>2029</v>
      </c>
      <c r="AI2116" s="1178">
        <f t="shared" ref="AI2116" si="2932">N$20</f>
        <v>2030</v>
      </c>
      <c r="AJ2116" s="694"/>
      <c r="AK2116" s="694"/>
      <c r="AL2116" s="694"/>
    </row>
    <row r="2117" spans="1:38" ht="12.75" customHeight="1" x14ac:dyDescent="0.25">
      <c r="A2117" s="694"/>
      <c r="B2117" s="298"/>
      <c r="C2117" s="1302"/>
      <c r="D2117" s="625" t="s">
        <v>8</v>
      </c>
      <c r="E2117" s="2818" t="str">
        <f>Translations!$B$533</f>
        <v>Получено или подадено количество</v>
      </c>
      <c r="F2117" s="2701"/>
      <c r="G2117" s="1326" t="str">
        <f>EUconst_tpa</f>
        <v>t / година</v>
      </c>
      <c r="H2117" s="129"/>
      <c r="I2117" s="130"/>
      <c r="J2117" s="131"/>
      <c r="K2117" s="129"/>
      <c r="L2117" s="129"/>
      <c r="M2117" s="129"/>
      <c r="N2117" s="132"/>
      <c r="O2117" s="302"/>
      <c r="P2117" s="158"/>
      <c r="Q2117" s="729"/>
      <c r="R2117" s="694"/>
      <c r="S2117" s="729"/>
      <c r="T2117" s="694"/>
      <c r="U2117" s="694"/>
      <c r="V2117" s="694"/>
      <c r="W2117" s="694"/>
      <c r="X2117" s="694"/>
      <c r="Y2117" s="694"/>
      <c r="Z2117" s="694"/>
      <c r="AA2117" s="694"/>
      <c r="AB2117" s="1182" t="s">
        <v>737</v>
      </c>
      <c r="AC2117" s="901" t="b">
        <f>OR(AND($L2112&lt;&gt;"",$L2112=FALSE),AC2027)</f>
        <v>0</v>
      </c>
      <c r="AD2117" s="982" t="b">
        <f t="shared" ref="AD2117:AI2117" si="2933">OR(AND($L2112&lt;&gt;"",$L2112=FALSE),AD2027)</f>
        <v>0</v>
      </c>
      <c r="AE2117" s="982" t="b">
        <f t="shared" si="2933"/>
        <v>0</v>
      </c>
      <c r="AF2117" s="982" t="b">
        <f t="shared" si="2933"/>
        <v>0</v>
      </c>
      <c r="AG2117" s="982" t="b">
        <f t="shared" si="2933"/>
        <v>0</v>
      </c>
      <c r="AH2117" s="982" t="b">
        <f t="shared" si="2933"/>
        <v>0</v>
      </c>
      <c r="AI2117" s="982" t="b">
        <f t="shared" si="2933"/>
        <v>0</v>
      </c>
      <c r="AJ2117" s="1174" t="s">
        <v>2039</v>
      </c>
      <c r="AK2117" s="1176" t="str">
        <f>IF(AND(CNTR_ExistSubInstEntries,MSconst_RequireSubAttrEmissions,COUNTIFS(AC2117:AI2117,FALSE,H2117:N2117,"")&gt;0),EUconst_Error&amp;"BM"&amp;$Q1980,"")</f>
        <v/>
      </c>
      <c r="AL2117" s="694"/>
    </row>
    <row r="2118" spans="1:38" ht="12.75" customHeight="1" x14ac:dyDescent="0.25">
      <c r="A2118" s="694"/>
      <c r="B2118" s="298"/>
      <c r="C2118" s="1302"/>
      <c r="D2118" s="625" t="s">
        <v>18</v>
      </c>
      <c r="E2118" s="2831" t="str">
        <f>Translations!$B$534</f>
        <v>Долна топлина на изгаряне (NCV), ако е приложимо</v>
      </c>
      <c r="F2118" s="2703"/>
      <c r="G2118" s="1327" t="str">
        <f>EUconst_GJpt</f>
        <v>GJ / t</v>
      </c>
      <c r="H2118" s="133"/>
      <c r="I2118" s="134"/>
      <c r="J2118" s="135"/>
      <c r="K2118" s="133"/>
      <c r="L2118" s="133"/>
      <c r="M2118" s="133"/>
      <c r="N2118" s="136"/>
      <c r="O2118" s="302"/>
      <c r="P2118" s="158"/>
      <c r="Q2118" s="729"/>
      <c r="R2118" s="694"/>
      <c r="S2118" s="729"/>
      <c r="T2118" s="694"/>
      <c r="U2118" s="694"/>
      <c r="V2118" s="694"/>
      <c r="W2118" s="694"/>
      <c r="X2118" s="694"/>
      <c r="Y2118" s="694"/>
      <c r="Z2118" s="694"/>
      <c r="AA2118" s="694"/>
      <c r="AB2118" s="694"/>
      <c r="AC2118" s="982" t="b">
        <f t="shared" ref="AC2118:AI2118" si="2934">AC2117</f>
        <v>0</v>
      </c>
      <c r="AD2118" s="982" t="b">
        <f t="shared" si="2934"/>
        <v>0</v>
      </c>
      <c r="AE2118" s="982" t="b">
        <f t="shared" si="2934"/>
        <v>0</v>
      </c>
      <c r="AF2118" s="982" t="b">
        <f t="shared" si="2934"/>
        <v>0</v>
      </c>
      <c r="AG2118" s="982" t="b">
        <f t="shared" si="2934"/>
        <v>0</v>
      </c>
      <c r="AH2118" s="982" t="b">
        <f t="shared" si="2934"/>
        <v>0</v>
      </c>
      <c r="AI2118" s="982" t="b">
        <f t="shared" si="2934"/>
        <v>0</v>
      </c>
      <c r="AJ2118" s="1174" t="s">
        <v>2039</v>
      </c>
      <c r="AK2118" s="1176" t="str">
        <f>IF(AND(CNTR_ExistSubInstEntries,MSconst_RequireSubAttrEmissions,COUNTIFS(AC2118:AI2118,FALSE,H2118:N2118,"")&gt;0),EUconst_Error&amp;"BM"&amp;$Q1980,"")</f>
        <v/>
      </c>
      <c r="AL2118" s="694"/>
    </row>
    <row r="2119" spans="1:38" ht="12.75" customHeight="1" thickBot="1" x14ac:dyDescent="0.3">
      <c r="A2119" s="694"/>
      <c r="B2119" s="298"/>
      <c r="C2119" s="1302"/>
      <c r="D2119" s="625" t="s">
        <v>810</v>
      </c>
      <c r="E2119" s="2831" t="str">
        <f>Translations!$B$535</f>
        <v>Въглеродно съдържание (тегловни %)</v>
      </c>
      <c r="F2119" s="2703"/>
      <c r="G2119" s="1328" t="s">
        <v>903</v>
      </c>
      <c r="H2119" s="133"/>
      <c r="I2119" s="134"/>
      <c r="J2119" s="135"/>
      <c r="K2119" s="133"/>
      <c r="L2119" s="133"/>
      <c r="M2119" s="133"/>
      <c r="N2119" s="136"/>
      <c r="O2119" s="302"/>
      <c r="P2119" s="158"/>
      <c r="Q2119" s="729"/>
      <c r="R2119" s="694"/>
      <c r="S2119" s="729"/>
      <c r="T2119" s="694"/>
      <c r="U2119" s="694"/>
      <c r="V2119" s="694"/>
      <c r="W2119" s="694"/>
      <c r="X2119" s="694"/>
      <c r="Y2119" s="694"/>
      <c r="Z2119" s="694"/>
      <c r="AA2119" s="694"/>
      <c r="AB2119" s="694"/>
      <c r="AC2119" s="982" t="b">
        <f t="shared" ref="AC2119:AI2119" si="2935">AC2118</f>
        <v>0</v>
      </c>
      <c r="AD2119" s="982" t="b">
        <f t="shared" si="2935"/>
        <v>0</v>
      </c>
      <c r="AE2119" s="982" t="b">
        <f t="shared" si="2935"/>
        <v>0</v>
      </c>
      <c r="AF2119" s="982" t="b">
        <f t="shared" si="2935"/>
        <v>0</v>
      </c>
      <c r="AG2119" s="982" t="b">
        <f t="shared" si="2935"/>
        <v>0</v>
      </c>
      <c r="AH2119" s="982" t="b">
        <f t="shared" si="2935"/>
        <v>0</v>
      </c>
      <c r="AI2119" s="982" t="b">
        <f t="shared" si="2935"/>
        <v>0</v>
      </c>
      <c r="AJ2119" s="1174" t="s">
        <v>2039</v>
      </c>
      <c r="AK2119" s="1176" t="str">
        <f>IF(AND(CNTR_ExistSubInstEntries,MSconst_RequireSubAttrEmissions,COUNTIFS(AC2119:AI2119,FALSE,H2119:N2119,"")&gt;0),EUconst_Error&amp;"BM"&amp;$Q1980,"")</f>
        <v/>
      </c>
      <c r="AL2119" s="694"/>
    </row>
    <row r="2120" spans="1:38" ht="12.75" customHeight="1" x14ac:dyDescent="0.25">
      <c r="A2120" s="694"/>
      <c r="B2120" s="298"/>
      <c r="C2120" s="1302"/>
      <c r="D2120" s="625" t="s">
        <v>811</v>
      </c>
      <c r="E2120" s="2828" t="str">
        <f>Translations!$B$536</f>
        <v>Съдържание на биомаса (като дял от въглеродното съдържание)</v>
      </c>
      <c r="F2120" s="2705"/>
      <c r="G2120" s="1329" t="s">
        <v>903</v>
      </c>
      <c r="H2120" s="137"/>
      <c r="I2120" s="138"/>
      <c r="J2120" s="139"/>
      <c r="K2120" s="137"/>
      <c r="L2120" s="137"/>
      <c r="M2120" s="137"/>
      <c r="N2120" s="140"/>
      <c r="O2120" s="302"/>
      <c r="P2120" s="158"/>
      <c r="Q2120" s="729"/>
      <c r="R2120" s="694"/>
      <c r="S2120" s="1205"/>
      <c r="T2120" s="1313">
        <f t="shared" ref="T2120" si="2936">H2116</f>
        <v>2024</v>
      </c>
      <c r="U2120" s="1313">
        <f t="shared" ref="U2120" si="2937">I2116</f>
        <v>2025</v>
      </c>
      <c r="V2120" s="1313">
        <f t="shared" ref="V2120" si="2938">J2116</f>
        <v>2026</v>
      </c>
      <c r="W2120" s="1313">
        <f t="shared" ref="W2120" si="2939">K2116</f>
        <v>2027</v>
      </c>
      <c r="X2120" s="1313">
        <f t="shared" ref="X2120" si="2940">L2116</f>
        <v>2028</v>
      </c>
      <c r="Y2120" s="1313">
        <f t="shared" ref="Y2120" si="2941">M2116</f>
        <v>2029</v>
      </c>
      <c r="Z2120" s="1314">
        <f t="shared" ref="Z2120" si="2942">N2116</f>
        <v>2030</v>
      </c>
      <c r="AA2120" s="694"/>
      <c r="AB2120" s="694"/>
      <c r="AC2120" s="982" t="b">
        <f t="shared" ref="AC2120:AI2120" si="2943">AC2119</f>
        <v>0</v>
      </c>
      <c r="AD2120" s="982" t="b">
        <f t="shared" si="2943"/>
        <v>0</v>
      </c>
      <c r="AE2120" s="982" t="b">
        <f t="shared" si="2943"/>
        <v>0</v>
      </c>
      <c r="AF2120" s="982" t="b">
        <f t="shared" si="2943"/>
        <v>0</v>
      </c>
      <c r="AG2120" s="982" t="b">
        <f t="shared" si="2943"/>
        <v>0</v>
      </c>
      <c r="AH2120" s="982" t="b">
        <f t="shared" si="2943"/>
        <v>0</v>
      </c>
      <c r="AI2120" s="982" t="b">
        <f t="shared" si="2943"/>
        <v>0</v>
      </c>
      <c r="AJ2120" s="1174" t="s">
        <v>2039</v>
      </c>
      <c r="AK2120" s="1176" t="str">
        <f>IF(AND(CNTR_ExistSubInstEntries,MSconst_RequireSubAttrEmissions,COUNTIFS(AC2120:AI2120,FALSE,H2120:N2120,"")&gt;0),EUconst_Error&amp;"BM"&amp;$Q1980,"")</f>
        <v/>
      </c>
      <c r="AL2120" s="694"/>
    </row>
    <row r="2121" spans="1:38" ht="12.75" customHeight="1" thickBot="1" x14ac:dyDescent="0.3">
      <c r="A2121" s="694"/>
      <c r="B2121" s="298"/>
      <c r="C2121" s="1302"/>
      <c r="D2121" s="625" t="s">
        <v>812</v>
      </c>
      <c r="E2121" s="2832" t="str">
        <f>Translations!$B$537</f>
        <v>Емисии (от горива, изчислени)</v>
      </c>
      <c r="F2121" s="2701"/>
      <c r="G2121" s="1330" t="str">
        <f>EUconst_tCO2pa</f>
        <v>t CO2 / година</v>
      </c>
      <c r="H2121" s="1331" t="str">
        <f t="shared" ref="H2121:N2121" si="2944">IF(AND(COUNT(H2117:H2120)&gt;0,H2124=""),3.664*H2117*(H2119/100)*(1-H2120/100),"")</f>
        <v/>
      </c>
      <c r="I2121" s="1332" t="str">
        <f t="shared" si="2944"/>
        <v/>
      </c>
      <c r="J2121" s="1333" t="str">
        <f t="shared" si="2944"/>
        <v/>
      </c>
      <c r="K2121" s="1331" t="str">
        <f t="shared" si="2944"/>
        <v/>
      </c>
      <c r="L2121" s="1331" t="str">
        <f t="shared" si="2944"/>
        <v/>
      </c>
      <c r="M2121" s="1331" t="str">
        <f t="shared" si="2944"/>
        <v/>
      </c>
      <c r="N2121" s="1334" t="str">
        <f t="shared" si="2944"/>
        <v/>
      </c>
      <c r="O2121" s="302"/>
      <c r="P2121" s="302"/>
      <c r="Q2121" s="1190" t="str">
        <f>EUconst_CNTR_EmissionsIntSource1 &amp; I1980</f>
        <v>EmInternalSource1_</v>
      </c>
      <c r="R2121" s="694"/>
      <c r="S2121" s="1315" t="str">
        <f>EUconst_CNTR_AttributedEmissions &amp; I1980</f>
        <v>AttrEmissions_</v>
      </c>
      <c r="T2121" s="1290" t="str">
        <f t="shared" ref="T2121" si="2945">IF(T1988,SUM(H2121),"")</f>
        <v/>
      </c>
      <c r="U2121" s="1290" t="str">
        <f t="shared" ref="U2121" si="2946">IF(U1988,SUM(I2121),"")</f>
        <v/>
      </c>
      <c r="V2121" s="1290" t="str">
        <f t="shared" ref="V2121" si="2947">IF(V1988,SUM(J2121),"")</f>
        <v/>
      </c>
      <c r="W2121" s="1290" t="str">
        <f t="shared" ref="W2121" si="2948">IF(W1988,SUM(K2121),"")</f>
        <v/>
      </c>
      <c r="X2121" s="1290" t="str">
        <f t="shared" ref="X2121" si="2949">IF(X1988,SUM(L2121),"")</f>
        <v/>
      </c>
      <c r="Y2121" s="1290" t="str">
        <f t="shared" ref="Y2121" si="2950">IF(Y1988,SUM(M2121),"")</f>
        <v/>
      </c>
      <c r="Z2121" s="1291" t="str">
        <f t="shared" ref="Z2121" si="2951">IF(Z1988,SUM(N2121),"")</f>
        <v/>
      </c>
      <c r="AA2121" s="694"/>
      <c r="AB2121" s="694"/>
      <c r="AC2121" s="694"/>
      <c r="AD2121" s="694"/>
      <c r="AE2121" s="694"/>
      <c r="AF2121" s="694"/>
      <c r="AG2121" s="694"/>
      <c r="AH2121" s="694"/>
      <c r="AI2121" s="694"/>
      <c r="AJ2121" s="694"/>
      <c r="AK2121" s="694"/>
      <c r="AL2121" s="694"/>
    </row>
    <row r="2122" spans="1:38" ht="12.75" customHeight="1" x14ac:dyDescent="0.25">
      <c r="A2122" s="694"/>
      <c r="B2122" s="298"/>
      <c r="C2122" s="1302"/>
      <c r="D2122" s="625" t="s">
        <v>813</v>
      </c>
      <c r="E2122" s="2833" t="str">
        <f>Translations!$B$538</f>
        <v>Допълнителна информация за справка: Емисии от биомаса</v>
      </c>
      <c r="F2122" s="2703"/>
      <c r="G2122" s="1335" t="str">
        <f>EUconst_tCO2pa</f>
        <v>t CO2 / година</v>
      </c>
      <c r="H2122" s="1336" t="str">
        <f t="shared" ref="H2122:N2122" si="2952">IF(ISNUMBER(H2121),3.664*H2117*(H2119/100)*(H2120/100),"")</f>
        <v/>
      </c>
      <c r="I2122" s="1337" t="str">
        <f t="shared" si="2952"/>
        <v/>
      </c>
      <c r="J2122" s="1338" t="str">
        <f t="shared" si="2952"/>
        <v/>
      </c>
      <c r="K2122" s="1336" t="str">
        <f t="shared" si="2952"/>
        <v/>
      </c>
      <c r="L2122" s="1336" t="str">
        <f t="shared" si="2952"/>
        <v/>
      </c>
      <c r="M2122" s="1336" t="str">
        <f t="shared" si="2952"/>
        <v/>
      </c>
      <c r="N2122" s="1339" t="str">
        <f t="shared" si="2952"/>
        <v/>
      </c>
      <c r="O2122" s="302"/>
      <c r="P2122" s="302"/>
      <c r="Q2122" s="729"/>
      <c r="R2122" s="694"/>
      <c r="S2122" s="729"/>
      <c r="T2122" s="694"/>
      <c r="U2122" s="694"/>
      <c r="V2122" s="694"/>
      <c r="W2122" s="694"/>
      <c r="X2122" s="694"/>
      <c r="Y2122" s="694"/>
      <c r="Z2122" s="694"/>
      <c r="AA2122" s="694"/>
      <c r="AB2122" s="694"/>
      <c r="AC2122" s="694"/>
      <c r="AD2122" s="694"/>
      <c r="AE2122" s="694"/>
      <c r="AF2122" s="694"/>
      <c r="AG2122" s="694"/>
      <c r="AH2122" s="694"/>
      <c r="AI2122" s="694"/>
      <c r="AJ2122" s="694"/>
      <c r="AK2122" s="694"/>
      <c r="AL2122" s="694"/>
    </row>
    <row r="2123" spans="1:38" ht="12.75" customHeight="1" x14ac:dyDescent="0.25">
      <c r="A2123" s="694"/>
      <c r="B2123" s="298"/>
      <c r="C2123" s="1302"/>
      <c r="D2123" s="625" t="s">
        <v>814</v>
      </c>
      <c r="E2123" s="2828" t="str">
        <f>Translations!$B$539</f>
        <v>Енергийно съдържание (изчислено)</v>
      </c>
      <c r="F2123" s="2705"/>
      <c r="G2123" s="1340" t="str">
        <f>EUconst_TJpa</f>
        <v>TJ / година</v>
      </c>
      <c r="H2123" s="1104" t="str">
        <f t="shared" ref="H2123:N2123" si="2953">IF(COUNT(H2117:H2118)=2,H2117*H2118/1000,"")</f>
        <v/>
      </c>
      <c r="I2123" s="1296" t="str">
        <f t="shared" si="2953"/>
        <v/>
      </c>
      <c r="J2123" s="1297" t="str">
        <f t="shared" si="2953"/>
        <v/>
      </c>
      <c r="K2123" s="1104" t="str">
        <f t="shared" si="2953"/>
        <v/>
      </c>
      <c r="L2123" s="1104" t="str">
        <f t="shared" si="2953"/>
        <v/>
      </c>
      <c r="M2123" s="1104" t="str">
        <f t="shared" si="2953"/>
        <v/>
      </c>
      <c r="N2123" s="1341" t="str">
        <f t="shared" si="2953"/>
        <v/>
      </c>
      <c r="O2123" s="302"/>
      <c r="P2123" s="302"/>
      <c r="Q2123" s="729"/>
      <c r="R2123" s="694"/>
      <c r="S2123" s="729"/>
      <c r="T2123" s="694"/>
      <c r="U2123" s="694"/>
      <c r="V2123" s="694"/>
      <c r="W2123" s="694"/>
      <c r="X2123" s="694"/>
      <c r="Y2123" s="694"/>
      <c r="Z2123" s="694"/>
      <c r="AA2123" s="694"/>
      <c r="AB2123" s="694"/>
      <c r="AC2123" s="694"/>
      <c r="AD2123" s="694"/>
      <c r="AE2123" s="694"/>
      <c r="AF2123" s="694"/>
      <c r="AG2123" s="694"/>
      <c r="AH2123" s="694"/>
      <c r="AI2123" s="694"/>
      <c r="AJ2123" s="694"/>
      <c r="AK2123" s="694"/>
      <c r="AL2123" s="694"/>
    </row>
    <row r="2124" spans="1:38" ht="12.75" customHeight="1" x14ac:dyDescent="0.25">
      <c r="A2124" s="694"/>
      <c r="B2124" s="298"/>
      <c r="C2124" s="1302"/>
      <c r="D2124" s="625" t="s">
        <v>61</v>
      </c>
      <c r="E2124" s="2829" t="str">
        <f>Translations!$B$540</f>
        <v>Съобщения за грешка (емисии)</v>
      </c>
      <c r="F2124" s="2830"/>
      <c r="G2124" s="1342"/>
      <c r="H2124" s="1343" t="str">
        <f t="shared" ref="H2124:N2124" si="2954">IF(COUNT(H2117,H2119:H2120)&gt;0,IF(COUNTIF(H2118:H2120,"&lt;0")&gt;0,EUconst_Negative,IF(COUNT(H2117,H2119:H2120)&lt;3,EUconst_Incomplete,"")),"")</f>
        <v/>
      </c>
      <c r="I2124" s="1344" t="str">
        <f t="shared" si="2954"/>
        <v/>
      </c>
      <c r="J2124" s="1345" t="str">
        <f t="shared" si="2954"/>
        <v/>
      </c>
      <c r="K2124" s="1343" t="str">
        <f t="shared" si="2954"/>
        <v/>
      </c>
      <c r="L2124" s="1343" t="str">
        <f t="shared" si="2954"/>
        <v/>
      </c>
      <c r="M2124" s="1343" t="str">
        <f t="shared" si="2954"/>
        <v/>
      </c>
      <c r="N2124" s="1346" t="str">
        <f t="shared" si="2954"/>
        <v/>
      </c>
      <c r="O2124" s="302"/>
      <c r="P2124" s="302"/>
      <c r="Q2124" s="729"/>
      <c r="R2124" s="694"/>
      <c r="S2124" s="729"/>
      <c r="T2124" s="694"/>
      <c r="U2124" s="694"/>
      <c r="V2124" s="694"/>
      <c r="W2124" s="694"/>
      <c r="X2124" s="694"/>
      <c r="Y2124" s="694"/>
      <c r="Z2124" s="694"/>
      <c r="AA2124" s="694"/>
      <c r="AB2124" s="694"/>
      <c r="AC2124" s="694"/>
      <c r="AD2124" s="694"/>
      <c r="AE2124" s="694"/>
      <c r="AF2124" s="694"/>
      <c r="AG2124" s="694"/>
      <c r="AH2124" s="694"/>
      <c r="AI2124" s="694"/>
      <c r="AJ2124" s="694"/>
      <c r="AK2124" s="694"/>
      <c r="AL2124" s="694"/>
    </row>
    <row r="2125" spans="1:38" ht="12.75" customHeight="1" x14ac:dyDescent="0.25">
      <c r="A2125" s="694"/>
      <c r="B2125" s="298"/>
      <c r="C2125" s="1302"/>
      <c r="D2125" s="625"/>
      <c r="E2125" s="1306"/>
      <c r="F2125" s="1306"/>
      <c r="G2125" s="1306"/>
      <c r="H2125" s="1306"/>
      <c r="I2125" s="1306"/>
      <c r="J2125" s="1306"/>
      <c r="K2125" s="1306"/>
      <c r="L2125" s="1306"/>
      <c r="M2125" s="626"/>
      <c r="N2125" s="1316"/>
      <c r="O2125" s="302"/>
      <c r="P2125" s="302"/>
      <c r="Q2125" s="729"/>
      <c r="R2125" s="694"/>
      <c r="S2125" s="729"/>
      <c r="T2125" s="694"/>
      <c r="U2125" s="694"/>
      <c r="V2125" s="694"/>
      <c r="W2125" s="694"/>
      <c r="X2125" s="694"/>
      <c r="Y2125" s="694"/>
      <c r="Z2125" s="694"/>
      <c r="AA2125" s="694"/>
      <c r="AB2125" s="694"/>
      <c r="AC2125" s="694"/>
      <c r="AD2125" s="694"/>
      <c r="AE2125" s="694"/>
      <c r="AF2125" s="694"/>
      <c r="AG2125" s="694"/>
      <c r="AH2125" s="694"/>
      <c r="AI2125" s="694"/>
      <c r="AJ2125" s="694"/>
      <c r="AK2125" s="694"/>
      <c r="AL2125" s="694"/>
    </row>
    <row r="2126" spans="1:38" ht="12.75" customHeight="1" x14ac:dyDescent="0.25">
      <c r="A2126" s="694"/>
      <c r="B2126" s="298"/>
      <c r="C2126" s="1302"/>
      <c r="D2126" s="625" t="s">
        <v>62</v>
      </c>
      <c r="E2126" s="2815" t="str">
        <f>Translations!$B$541</f>
        <v>Име на други пораждащи емисии потоци — 2:</v>
      </c>
      <c r="F2126" s="2240"/>
      <c r="G2126" s="2240"/>
      <c r="H2126" s="2684"/>
      <c r="I2126" s="2821"/>
      <c r="J2126" s="2674"/>
      <c r="K2126" s="2674"/>
      <c r="L2126" s="2674"/>
      <c r="M2126" s="2675"/>
      <c r="N2126" s="1323"/>
      <c r="O2126" s="302"/>
      <c r="P2126" s="158"/>
      <c r="Q2126" s="729"/>
      <c r="R2126" s="694"/>
      <c r="S2126" s="729"/>
      <c r="T2126" s="694"/>
      <c r="U2126" s="694"/>
      <c r="V2126" s="694"/>
      <c r="W2126" s="694"/>
      <c r="X2126" s="694"/>
      <c r="Y2126" s="694"/>
      <c r="Z2126" s="694"/>
      <c r="AA2126" s="694"/>
      <c r="AB2126" s="694"/>
      <c r="AC2126" s="1182" t="s">
        <v>737</v>
      </c>
      <c r="AD2126" s="982" t="b">
        <f>AD2114</f>
        <v>0</v>
      </c>
      <c r="AE2126" s="694"/>
      <c r="AF2126" s="694"/>
      <c r="AG2126" s="694"/>
      <c r="AH2126" s="694"/>
      <c r="AI2126" s="694"/>
      <c r="AJ2126" s="694"/>
      <c r="AK2126" s="694"/>
      <c r="AL2126" s="694"/>
    </row>
    <row r="2127" spans="1:38" ht="5.15" customHeight="1" x14ac:dyDescent="0.25">
      <c r="A2127" s="694"/>
      <c r="B2127" s="298"/>
      <c r="C2127" s="1302"/>
      <c r="D2127" s="1306"/>
      <c r="E2127" s="1325"/>
      <c r="F2127" s="1322"/>
      <c r="G2127" s="1306"/>
      <c r="H2127" s="1306"/>
      <c r="I2127" s="1322"/>
      <c r="J2127" s="1322"/>
      <c r="K2127" s="1322"/>
      <c r="L2127" s="1322"/>
      <c r="M2127" s="1322"/>
      <c r="N2127" s="1323"/>
      <c r="O2127" s="302"/>
      <c r="P2127" s="302"/>
      <c r="Q2127" s="729"/>
      <c r="R2127" s="694"/>
      <c r="S2127" s="729"/>
      <c r="T2127" s="694"/>
      <c r="U2127" s="694"/>
      <c r="V2127" s="694"/>
      <c r="W2127" s="694"/>
      <c r="X2127" s="694"/>
      <c r="Y2127" s="694"/>
      <c r="Z2127" s="694"/>
      <c r="AA2127" s="694"/>
      <c r="AB2127" s="694"/>
      <c r="AC2127" s="694"/>
      <c r="AD2127" s="694"/>
      <c r="AE2127" s="694"/>
      <c r="AF2127" s="694"/>
      <c r="AG2127" s="694"/>
      <c r="AH2127" s="694"/>
      <c r="AI2127" s="694"/>
      <c r="AJ2127" s="694"/>
      <c r="AK2127" s="694"/>
      <c r="AL2127" s="694"/>
    </row>
    <row r="2128" spans="1:38" ht="12.75" customHeight="1" thickBot="1" x14ac:dyDescent="0.3">
      <c r="A2128" s="694"/>
      <c r="B2128" s="298"/>
      <c r="C2128" s="1302"/>
      <c r="D2128" s="625"/>
      <c r="E2128" s="2803" t="str">
        <f>Translations!$B$542</f>
        <v>Други пораждащи емисии потоци — 2</v>
      </c>
      <c r="F2128" s="2672"/>
      <c r="G2128" s="1309" t="str">
        <f>EUconst_Unit</f>
        <v>Единица мярка</v>
      </c>
      <c r="H2128" s="629">
        <f t="shared" ref="H2128:N2128" si="2955">H$2831</f>
        <v>2024</v>
      </c>
      <c r="I2128" s="1310">
        <f t="shared" si="2955"/>
        <v>2025</v>
      </c>
      <c r="J2128" s="1311">
        <f t="shared" si="2955"/>
        <v>2026</v>
      </c>
      <c r="K2128" s="629">
        <f t="shared" si="2955"/>
        <v>2027</v>
      </c>
      <c r="L2128" s="629">
        <f t="shared" si="2955"/>
        <v>2028</v>
      </c>
      <c r="M2128" s="629">
        <f t="shared" si="2955"/>
        <v>2029</v>
      </c>
      <c r="N2128" s="1312">
        <f t="shared" si="2955"/>
        <v>2030</v>
      </c>
      <c r="O2128" s="302"/>
      <c r="P2128" s="302"/>
      <c r="Q2128" s="729"/>
      <c r="R2128" s="694"/>
      <c r="S2128" s="729"/>
      <c r="T2128" s="694"/>
      <c r="U2128" s="694"/>
      <c r="V2128" s="694"/>
      <c r="W2128" s="694"/>
      <c r="X2128" s="694"/>
      <c r="Y2128" s="694"/>
      <c r="Z2128" s="694"/>
      <c r="AA2128" s="694"/>
      <c r="AB2128" s="694"/>
      <c r="AC2128" s="1178">
        <f t="shared" ref="AC2128" si="2956">H$20</f>
        <v>2024</v>
      </c>
      <c r="AD2128" s="1178">
        <f t="shared" ref="AD2128" si="2957">I$20</f>
        <v>2025</v>
      </c>
      <c r="AE2128" s="1178">
        <f t="shared" ref="AE2128" si="2958">J$20</f>
        <v>2026</v>
      </c>
      <c r="AF2128" s="1178">
        <f t="shared" ref="AF2128" si="2959">K$20</f>
        <v>2027</v>
      </c>
      <c r="AG2128" s="1178">
        <f t="shared" ref="AG2128" si="2960">L$20</f>
        <v>2028</v>
      </c>
      <c r="AH2128" s="1178">
        <f t="shared" ref="AH2128" si="2961">M$20</f>
        <v>2029</v>
      </c>
      <c r="AI2128" s="1178">
        <f t="shared" ref="AI2128" si="2962">N$20</f>
        <v>2030</v>
      </c>
      <c r="AJ2128" s="694"/>
      <c r="AK2128" s="694"/>
      <c r="AL2128" s="694"/>
    </row>
    <row r="2129" spans="1:38" ht="12.75" customHeight="1" x14ac:dyDescent="0.25">
      <c r="A2129" s="694"/>
      <c r="B2129" s="298"/>
      <c r="C2129" s="1302"/>
      <c r="D2129" s="625" t="s">
        <v>63</v>
      </c>
      <c r="E2129" s="2818" t="str">
        <f>Translations!$B$533</f>
        <v>Получено или подадено количество</v>
      </c>
      <c r="F2129" s="2701"/>
      <c r="G2129" s="1326" t="str">
        <f>EUconst_tpa</f>
        <v>t / година</v>
      </c>
      <c r="H2129" s="129"/>
      <c r="I2129" s="130"/>
      <c r="J2129" s="131"/>
      <c r="K2129" s="129"/>
      <c r="L2129" s="129"/>
      <c r="M2129" s="129"/>
      <c r="N2129" s="132"/>
      <c r="O2129" s="302"/>
      <c r="P2129" s="158"/>
      <c r="Q2129" s="729"/>
      <c r="R2129" s="694"/>
      <c r="S2129" s="729"/>
      <c r="T2129" s="694"/>
      <c r="U2129" s="694"/>
      <c r="V2129" s="694"/>
      <c r="W2129" s="694"/>
      <c r="X2129" s="694"/>
      <c r="Y2129" s="694"/>
      <c r="Z2129" s="694"/>
      <c r="AA2129" s="694"/>
      <c r="AB2129" s="1182" t="s">
        <v>737</v>
      </c>
      <c r="AC2129" s="982" t="b">
        <f>AC2117</f>
        <v>0</v>
      </c>
      <c r="AD2129" s="982" t="b">
        <f t="shared" ref="AD2129:AI2129" si="2963">AD2117</f>
        <v>0</v>
      </c>
      <c r="AE2129" s="982" t="b">
        <f t="shared" si="2963"/>
        <v>0</v>
      </c>
      <c r="AF2129" s="982" t="b">
        <f t="shared" si="2963"/>
        <v>0</v>
      </c>
      <c r="AG2129" s="982" t="b">
        <f t="shared" si="2963"/>
        <v>0</v>
      </c>
      <c r="AH2129" s="982" t="b">
        <f t="shared" si="2963"/>
        <v>0</v>
      </c>
      <c r="AI2129" s="982" t="b">
        <f t="shared" si="2963"/>
        <v>0</v>
      </c>
      <c r="AJ2129" s="1174" t="s">
        <v>2039</v>
      </c>
      <c r="AK2129" s="1176" t="str">
        <f>IF(AND(CNTR_ExistSubInstEntries,MSconst_RequireSubAttrEmissions,COUNTIFS(AC2129:AI2129,FALSE,H2129:N2129,"")&gt;0),EUconst_Error&amp;"BM"&amp;$Q1980,"")</f>
        <v/>
      </c>
      <c r="AL2129" s="694"/>
    </row>
    <row r="2130" spans="1:38" ht="12.75" customHeight="1" x14ac:dyDescent="0.25">
      <c r="A2130" s="694"/>
      <c r="B2130" s="298"/>
      <c r="C2130" s="1302"/>
      <c r="D2130" s="625" t="s">
        <v>1136</v>
      </c>
      <c r="E2130" s="2831" t="str">
        <f>Translations!$B$534</f>
        <v>Долна топлина на изгаряне (NCV), ако е приложимо</v>
      </c>
      <c r="F2130" s="2703"/>
      <c r="G2130" s="1327" t="str">
        <f>EUconst_GJpt</f>
        <v>GJ / t</v>
      </c>
      <c r="H2130" s="133"/>
      <c r="I2130" s="134"/>
      <c r="J2130" s="135"/>
      <c r="K2130" s="133"/>
      <c r="L2130" s="133"/>
      <c r="M2130" s="133"/>
      <c r="N2130" s="136"/>
      <c r="O2130" s="302"/>
      <c r="P2130" s="158"/>
      <c r="Q2130" s="729"/>
      <c r="R2130" s="694"/>
      <c r="S2130" s="729"/>
      <c r="T2130" s="694"/>
      <c r="U2130" s="694"/>
      <c r="V2130" s="694"/>
      <c r="W2130" s="694"/>
      <c r="X2130" s="694"/>
      <c r="Y2130" s="694"/>
      <c r="Z2130" s="694"/>
      <c r="AA2130" s="694"/>
      <c r="AB2130" s="694"/>
      <c r="AC2130" s="982" t="b">
        <f t="shared" ref="AC2130:AI2130" si="2964">AC2118</f>
        <v>0</v>
      </c>
      <c r="AD2130" s="982" t="b">
        <f t="shared" si="2964"/>
        <v>0</v>
      </c>
      <c r="AE2130" s="982" t="b">
        <f t="shared" si="2964"/>
        <v>0</v>
      </c>
      <c r="AF2130" s="982" t="b">
        <f t="shared" si="2964"/>
        <v>0</v>
      </c>
      <c r="AG2130" s="982" t="b">
        <f t="shared" si="2964"/>
        <v>0</v>
      </c>
      <c r="AH2130" s="982" t="b">
        <f t="shared" si="2964"/>
        <v>0</v>
      </c>
      <c r="AI2130" s="982" t="b">
        <f t="shared" si="2964"/>
        <v>0</v>
      </c>
      <c r="AJ2130" s="1174" t="s">
        <v>2039</v>
      </c>
      <c r="AK2130" s="1176" t="str">
        <f>IF(AND(CNTR_ExistSubInstEntries,MSconst_RequireSubAttrEmissions,COUNTIFS(AC2130:AI2130,FALSE,H2130:N2130,"")&gt;0),EUconst_Error&amp;"BM"&amp;$Q1980,"")</f>
        <v/>
      </c>
      <c r="AL2130" s="694"/>
    </row>
    <row r="2131" spans="1:38" ht="12.75" customHeight="1" thickBot="1" x14ac:dyDescent="0.3">
      <c r="A2131" s="694"/>
      <c r="B2131" s="298"/>
      <c r="C2131" s="1302"/>
      <c r="D2131" s="625" t="s">
        <v>1137</v>
      </c>
      <c r="E2131" s="2831" t="str">
        <f>Translations!$B$535</f>
        <v>Въглеродно съдържание (тегловни %)</v>
      </c>
      <c r="F2131" s="2703"/>
      <c r="G2131" s="1328" t="s">
        <v>903</v>
      </c>
      <c r="H2131" s="133"/>
      <c r="I2131" s="134"/>
      <c r="J2131" s="135"/>
      <c r="K2131" s="133"/>
      <c r="L2131" s="133"/>
      <c r="M2131" s="133"/>
      <c r="N2131" s="136"/>
      <c r="O2131" s="302"/>
      <c r="P2131" s="158"/>
      <c r="Q2131" s="729"/>
      <c r="R2131" s="694"/>
      <c r="S2131" s="729"/>
      <c r="T2131" s="694"/>
      <c r="U2131" s="694"/>
      <c r="V2131" s="694"/>
      <c r="W2131" s="694"/>
      <c r="X2131" s="694"/>
      <c r="Y2131" s="694"/>
      <c r="Z2131" s="694"/>
      <c r="AA2131" s="694"/>
      <c r="AB2131" s="694"/>
      <c r="AC2131" s="982" t="b">
        <f t="shared" ref="AC2131:AI2131" si="2965">AC2119</f>
        <v>0</v>
      </c>
      <c r="AD2131" s="982" t="b">
        <f t="shared" si="2965"/>
        <v>0</v>
      </c>
      <c r="AE2131" s="982" t="b">
        <f t="shared" si="2965"/>
        <v>0</v>
      </c>
      <c r="AF2131" s="982" t="b">
        <f t="shared" si="2965"/>
        <v>0</v>
      </c>
      <c r="AG2131" s="982" t="b">
        <f t="shared" si="2965"/>
        <v>0</v>
      </c>
      <c r="AH2131" s="982" t="b">
        <f t="shared" si="2965"/>
        <v>0</v>
      </c>
      <c r="AI2131" s="982" t="b">
        <f t="shared" si="2965"/>
        <v>0</v>
      </c>
      <c r="AJ2131" s="1174" t="s">
        <v>2039</v>
      </c>
      <c r="AK2131" s="1176" t="str">
        <f>IF(AND(CNTR_ExistSubInstEntries,MSconst_RequireSubAttrEmissions,COUNTIFS(AC2131:AI2131,FALSE,H2131:N2131,"")&gt;0),EUconst_Error&amp;"BM"&amp;$Q1980,"")</f>
        <v/>
      </c>
      <c r="AL2131" s="694"/>
    </row>
    <row r="2132" spans="1:38" ht="12.75" customHeight="1" x14ac:dyDescent="0.25">
      <c r="A2132" s="694"/>
      <c r="B2132" s="298"/>
      <c r="C2132" s="1302"/>
      <c r="D2132" s="625" t="s">
        <v>1138</v>
      </c>
      <c r="E2132" s="2828" t="str">
        <f>Translations!$B$536</f>
        <v>Съдържание на биомаса (като дял от въглеродното съдържание)</v>
      </c>
      <c r="F2132" s="2705"/>
      <c r="G2132" s="1329" t="s">
        <v>903</v>
      </c>
      <c r="H2132" s="137"/>
      <c r="I2132" s="138"/>
      <c r="J2132" s="139"/>
      <c r="K2132" s="137"/>
      <c r="L2132" s="137"/>
      <c r="M2132" s="137"/>
      <c r="N2132" s="140"/>
      <c r="O2132" s="302"/>
      <c r="P2132" s="158"/>
      <c r="Q2132" s="729"/>
      <c r="R2132" s="694"/>
      <c r="S2132" s="1205"/>
      <c r="T2132" s="1313">
        <f t="shared" ref="T2132" si="2966">H2128</f>
        <v>2024</v>
      </c>
      <c r="U2132" s="1313">
        <f t="shared" ref="U2132" si="2967">I2128</f>
        <v>2025</v>
      </c>
      <c r="V2132" s="1313">
        <f t="shared" ref="V2132" si="2968">J2128</f>
        <v>2026</v>
      </c>
      <c r="W2132" s="1313">
        <f t="shared" ref="W2132" si="2969">K2128</f>
        <v>2027</v>
      </c>
      <c r="X2132" s="1313">
        <f t="shared" ref="X2132" si="2970">L2128</f>
        <v>2028</v>
      </c>
      <c r="Y2132" s="1313">
        <f t="shared" ref="Y2132" si="2971">M2128</f>
        <v>2029</v>
      </c>
      <c r="Z2132" s="1314">
        <f t="shared" ref="Z2132" si="2972">N2128</f>
        <v>2030</v>
      </c>
      <c r="AA2132" s="694"/>
      <c r="AB2132" s="694"/>
      <c r="AC2132" s="982" t="b">
        <f t="shared" ref="AC2132:AI2132" si="2973">AC2120</f>
        <v>0</v>
      </c>
      <c r="AD2132" s="982" t="b">
        <f t="shared" si="2973"/>
        <v>0</v>
      </c>
      <c r="AE2132" s="982" t="b">
        <f t="shared" si="2973"/>
        <v>0</v>
      </c>
      <c r="AF2132" s="982" t="b">
        <f t="shared" si="2973"/>
        <v>0</v>
      </c>
      <c r="AG2132" s="982" t="b">
        <f t="shared" si="2973"/>
        <v>0</v>
      </c>
      <c r="AH2132" s="982" t="b">
        <f t="shared" si="2973"/>
        <v>0</v>
      </c>
      <c r="AI2132" s="982" t="b">
        <f t="shared" si="2973"/>
        <v>0</v>
      </c>
      <c r="AJ2132" s="1174" t="s">
        <v>2039</v>
      </c>
      <c r="AK2132" s="1176" t="str">
        <f>IF(AND(CNTR_ExistSubInstEntries,MSconst_RequireSubAttrEmissions,COUNTIFS(AC2132:AI2132,FALSE,H2132:N2132,"")&gt;0),EUconst_Error&amp;"BM"&amp;$Q1980,"")</f>
        <v/>
      </c>
      <c r="AL2132" s="694"/>
    </row>
    <row r="2133" spans="1:38" ht="12.75" customHeight="1" thickBot="1" x14ac:dyDescent="0.3">
      <c r="A2133" s="694"/>
      <c r="B2133" s="298"/>
      <c r="C2133" s="1302"/>
      <c r="D2133" s="625" t="s">
        <v>1139</v>
      </c>
      <c r="E2133" s="2832" t="str">
        <f>Translations!$B$537</f>
        <v>Емисии (от горива, изчислени)</v>
      </c>
      <c r="F2133" s="2701"/>
      <c r="G2133" s="1330" t="str">
        <f>EUconst_tCO2pa</f>
        <v>t CO2 / година</v>
      </c>
      <c r="H2133" s="1331" t="str">
        <f t="shared" ref="H2133:N2133" si="2974">IF(AND(COUNT(H2129:H2132)&gt;0,H2136=""),3.664*H2129*(H2131/100)*(1-H2132/100),"")</f>
        <v/>
      </c>
      <c r="I2133" s="1332" t="str">
        <f t="shared" si="2974"/>
        <v/>
      </c>
      <c r="J2133" s="1333" t="str">
        <f t="shared" si="2974"/>
        <v/>
      </c>
      <c r="K2133" s="1331" t="str">
        <f t="shared" si="2974"/>
        <v/>
      </c>
      <c r="L2133" s="1331" t="str">
        <f t="shared" si="2974"/>
        <v/>
      </c>
      <c r="M2133" s="1331" t="str">
        <f t="shared" si="2974"/>
        <v/>
      </c>
      <c r="N2133" s="1334" t="str">
        <f t="shared" si="2974"/>
        <v/>
      </c>
      <c r="O2133" s="302"/>
      <c r="P2133" s="302"/>
      <c r="Q2133" s="1190" t="str">
        <f>EUconst_CNTR_EmissionsIntSource2 &amp; I1980</f>
        <v>EmInternalSource2_</v>
      </c>
      <c r="R2133" s="694"/>
      <c r="S2133" s="1315" t="str">
        <f>EUconst_CNTR_AttributedEmissions &amp; I1980</f>
        <v>AttrEmissions_</v>
      </c>
      <c r="T2133" s="1290" t="str">
        <f t="shared" ref="T2133" si="2975">IF(T1988,SUM(H2133),"")</f>
        <v/>
      </c>
      <c r="U2133" s="1290" t="str">
        <f t="shared" ref="U2133" si="2976">IF(U1988,SUM(I2133),"")</f>
        <v/>
      </c>
      <c r="V2133" s="1290" t="str">
        <f t="shared" ref="V2133" si="2977">IF(V1988,SUM(J2133),"")</f>
        <v/>
      </c>
      <c r="W2133" s="1290" t="str">
        <f t="shared" ref="W2133" si="2978">IF(W1988,SUM(K2133),"")</f>
        <v/>
      </c>
      <c r="X2133" s="1290" t="str">
        <f t="shared" ref="X2133" si="2979">IF(X1988,SUM(L2133),"")</f>
        <v/>
      </c>
      <c r="Y2133" s="1290" t="str">
        <f t="shared" ref="Y2133" si="2980">IF(Y1988,SUM(M2133),"")</f>
        <v/>
      </c>
      <c r="Z2133" s="1291" t="str">
        <f t="shared" ref="Z2133" si="2981">IF(Z1988,SUM(N2133),"")</f>
        <v/>
      </c>
      <c r="AA2133" s="694"/>
      <c r="AB2133" s="694"/>
      <c r="AC2133" s="694"/>
      <c r="AD2133" s="694"/>
      <c r="AE2133" s="694"/>
      <c r="AF2133" s="694"/>
      <c r="AG2133" s="694"/>
      <c r="AH2133" s="694"/>
      <c r="AI2133" s="694"/>
      <c r="AJ2133" s="694"/>
      <c r="AK2133" s="694"/>
      <c r="AL2133" s="694"/>
    </row>
    <row r="2134" spans="1:38" ht="12.75" customHeight="1" x14ac:dyDescent="0.25">
      <c r="A2134" s="694"/>
      <c r="B2134" s="298"/>
      <c r="C2134" s="1302"/>
      <c r="D2134" s="625" t="s">
        <v>1140</v>
      </c>
      <c r="E2134" s="2833" t="str">
        <f>Translations!$B$538</f>
        <v>Допълнителна информация за справка: Емисии от биомаса</v>
      </c>
      <c r="F2134" s="2703"/>
      <c r="G2134" s="1335" t="str">
        <f>EUconst_tCO2pa</f>
        <v>t CO2 / година</v>
      </c>
      <c r="H2134" s="1336" t="str">
        <f t="shared" ref="H2134:N2134" si="2982">IF(ISNUMBER(H2133),3.664*H2129*(H2131/100)*(H2132/100),"")</f>
        <v/>
      </c>
      <c r="I2134" s="1337" t="str">
        <f t="shared" si="2982"/>
        <v/>
      </c>
      <c r="J2134" s="1338" t="str">
        <f t="shared" si="2982"/>
        <v/>
      </c>
      <c r="K2134" s="1336" t="str">
        <f t="shared" si="2982"/>
        <v/>
      </c>
      <c r="L2134" s="1336" t="str">
        <f t="shared" si="2982"/>
        <v/>
      </c>
      <c r="M2134" s="1336" t="str">
        <f t="shared" si="2982"/>
        <v/>
      </c>
      <c r="N2134" s="1339" t="str">
        <f t="shared" si="2982"/>
        <v/>
      </c>
      <c r="O2134" s="302"/>
      <c r="P2134" s="302"/>
      <c r="Q2134" s="729"/>
      <c r="R2134" s="694"/>
      <c r="S2134" s="729"/>
      <c r="T2134" s="694"/>
      <c r="U2134" s="694"/>
      <c r="V2134" s="694"/>
      <c r="W2134" s="694"/>
      <c r="X2134" s="694"/>
      <c r="Y2134" s="694"/>
      <c r="Z2134" s="694"/>
      <c r="AA2134" s="694"/>
      <c r="AB2134" s="694"/>
      <c r="AC2134" s="694"/>
      <c r="AD2134" s="694"/>
      <c r="AE2134" s="694"/>
      <c r="AF2134" s="694"/>
      <c r="AG2134" s="694"/>
      <c r="AH2134" s="694"/>
      <c r="AI2134" s="694"/>
      <c r="AJ2134" s="694"/>
      <c r="AK2134" s="694"/>
      <c r="AL2134" s="694"/>
    </row>
    <row r="2135" spans="1:38" ht="12.75" customHeight="1" x14ac:dyDescent="0.25">
      <c r="A2135" s="694"/>
      <c r="B2135" s="298"/>
      <c r="C2135" s="1302"/>
      <c r="D2135" s="625" t="s">
        <v>1141</v>
      </c>
      <c r="E2135" s="2828" t="str">
        <f>Translations!$B$539</f>
        <v>Енергийно съдържание (изчислено)</v>
      </c>
      <c r="F2135" s="2705"/>
      <c r="G2135" s="1340" t="str">
        <f>EUconst_TJpa</f>
        <v>TJ / година</v>
      </c>
      <c r="H2135" s="1104" t="str">
        <f t="shared" ref="H2135:N2135" si="2983">IF(COUNT(H2129:H2130)=2,H2129*H2130/1000,"")</f>
        <v/>
      </c>
      <c r="I2135" s="1296" t="str">
        <f t="shared" si="2983"/>
        <v/>
      </c>
      <c r="J2135" s="1297" t="str">
        <f t="shared" si="2983"/>
        <v/>
      </c>
      <c r="K2135" s="1104" t="str">
        <f t="shared" si="2983"/>
        <v/>
      </c>
      <c r="L2135" s="1104" t="str">
        <f t="shared" si="2983"/>
        <v/>
      </c>
      <c r="M2135" s="1104" t="str">
        <f t="shared" si="2983"/>
        <v/>
      </c>
      <c r="N2135" s="1341" t="str">
        <f t="shared" si="2983"/>
        <v/>
      </c>
      <c r="O2135" s="302"/>
      <c r="P2135" s="302"/>
      <c r="Q2135" s="729"/>
      <c r="R2135" s="694"/>
      <c r="S2135" s="729"/>
      <c r="T2135" s="694"/>
      <c r="U2135" s="694"/>
      <c r="V2135" s="694"/>
      <c r="W2135" s="694"/>
      <c r="X2135" s="694"/>
      <c r="Y2135" s="694"/>
      <c r="Z2135" s="694"/>
      <c r="AA2135" s="694"/>
      <c r="AB2135" s="694"/>
      <c r="AC2135" s="694"/>
      <c r="AD2135" s="694"/>
      <c r="AE2135" s="694"/>
      <c r="AF2135" s="694"/>
      <c r="AG2135" s="694"/>
      <c r="AH2135" s="694"/>
      <c r="AI2135" s="694"/>
      <c r="AJ2135" s="694"/>
      <c r="AK2135" s="694"/>
      <c r="AL2135" s="694"/>
    </row>
    <row r="2136" spans="1:38" ht="12.75" customHeight="1" x14ac:dyDescent="0.25">
      <c r="A2136" s="694"/>
      <c r="B2136" s="298"/>
      <c r="C2136" s="1302"/>
      <c r="D2136" s="625" t="s">
        <v>1137</v>
      </c>
      <c r="E2136" s="2829" t="str">
        <f>Translations!$B$540</f>
        <v>Съобщения за грешка (емисии)</v>
      </c>
      <c r="F2136" s="2830"/>
      <c r="G2136" s="1342"/>
      <c r="H2136" s="1343" t="str">
        <f t="shared" ref="H2136:N2136" si="2984">IF(COUNT(H2129,H2131:H2132)&gt;0,IF(COUNTIF(H2130:H2132,"&lt;0")&gt;0,EUconst_Negative,IF(COUNT(H2129,H2131:H2132)&lt;3,EUconst_Incomplete,"")),"")</f>
        <v/>
      </c>
      <c r="I2136" s="1344" t="str">
        <f t="shared" si="2984"/>
        <v/>
      </c>
      <c r="J2136" s="1345" t="str">
        <f t="shared" si="2984"/>
        <v/>
      </c>
      <c r="K2136" s="1343" t="str">
        <f t="shared" si="2984"/>
        <v/>
      </c>
      <c r="L2136" s="1343" t="str">
        <f t="shared" si="2984"/>
        <v/>
      </c>
      <c r="M2136" s="1343" t="str">
        <f t="shared" si="2984"/>
        <v/>
      </c>
      <c r="N2136" s="1346" t="str">
        <f t="shared" si="2984"/>
        <v/>
      </c>
      <c r="O2136" s="302"/>
      <c r="P2136" s="302"/>
      <c r="Q2136" s="729"/>
      <c r="R2136" s="694"/>
      <c r="S2136" s="729"/>
      <c r="T2136" s="694"/>
      <c r="U2136" s="694"/>
      <c r="V2136" s="694"/>
      <c r="W2136" s="694"/>
      <c r="X2136" s="694"/>
      <c r="Y2136" s="694"/>
      <c r="Z2136" s="694"/>
      <c r="AA2136" s="694"/>
      <c r="AB2136" s="694"/>
      <c r="AC2136" s="694"/>
      <c r="AD2136" s="694"/>
      <c r="AE2136" s="694"/>
      <c r="AF2136" s="694"/>
      <c r="AG2136" s="694"/>
      <c r="AH2136" s="694"/>
      <c r="AI2136" s="694"/>
      <c r="AJ2136" s="694"/>
      <c r="AK2136" s="694"/>
      <c r="AL2136" s="694"/>
    </row>
    <row r="2137" spans="1:38" ht="12.75" customHeight="1" x14ac:dyDescent="0.25">
      <c r="A2137" s="694"/>
      <c r="B2137" s="298"/>
      <c r="C2137" s="1302"/>
      <c r="D2137" s="1306"/>
      <c r="E2137" s="1306"/>
      <c r="F2137" s="1306"/>
      <c r="G2137" s="1306"/>
      <c r="H2137" s="1306"/>
      <c r="I2137" s="1306"/>
      <c r="J2137" s="1306"/>
      <c r="K2137" s="1306"/>
      <c r="L2137" s="1306"/>
      <c r="M2137" s="626"/>
      <c r="N2137" s="1316"/>
      <c r="O2137" s="302"/>
      <c r="P2137" s="302"/>
      <c r="Q2137" s="729"/>
      <c r="R2137" s="694"/>
      <c r="S2137" s="729"/>
      <c r="T2137" s="694"/>
      <c r="U2137" s="694"/>
      <c r="V2137" s="694"/>
      <c r="W2137" s="694"/>
      <c r="X2137" s="694"/>
      <c r="Y2137" s="694"/>
      <c r="Z2137" s="694"/>
      <c r="AA2137" s="694"/>
      <c r="AB2137" s="694"/>
      <c r="AC2137" s="694"/>
      <c r="AD2137" s="694"/>
      <c r="AE2137" s="694"/>
      <c r="AF2137" s="694"/>
      <c r="AG2137" s="694"/>
      <c r="AH2137" s="694"/>
      <c r="AI2137" s="694"/>
      <c r="AJ2137" s="694"/>
      <c r="AK2137" s="694"/>
      <c r="AL2137" s="694"/>
    </row>
    <row r="2138" spans="1:38" ht="12.75" customHeight="1" x14ac:dyDescent="0.25">
      <c r="A2138" s="694"/>
      <c r="B2138" s="298"/>
      <c r="C2138" s="1302"/>
      <c r="D2138" s="1307" t="s">
        <v>489</v>
      </c>
      <c r="E2138" s="2815" t="str">
        <f>Translations!$B$543</f>
        <v>Количество на парникови газове, които са получени или подадени като суровини</v>
      </c>
      <c r="F2138" s="2240"/>
      <c r="G2138" s="2240"/>
      <c r="H2138" s="2240"/>
      <c r="I2138" s="2240"/>
      <c r="J2138" s="2240"/>
      <c r="K2138" s="2240"/>
      <c r="L2138" s="2240"/>
      <c r="M2138" s="2240"/>
      <c r="N2138" s="2811"/>
      <c r="O2138" s="302"/>
      <c r="P2138" s="302"/>
      <c r="Q2138" s="729"/>
      <c r="R2138" s="694"/>
      <c r="S2138" s="729"/>
      <c r="T2138" s="694"/>
      <c r="U2138" s="694"/>
      <c r="V2138" s="694"/>
      <c r="W2138" s="694"/>
      <c r="X2138" s="694"/>
      <c r="Y2138" s="694"/>
      <c r="Z2138" s="694"/>
      <c r="AA2138" s="694"/>
      <c r="AB2138" s="694"/>
      <c r="AC2138" s="694"/>
      <c r="AD2138" s="694"/>
      <c r="AE2138" s="694"/>
      <c r="AF2138" s="694"/>
      <c r="AG2138" s="694"/>
      <c r="AH2138" s="694"/>
      <c r="AI2138" s="694"/>
      <c r="AJ2138" s="694"/>
      <c r="AK2138" s="694"/>
      <c r="AL2138" s="694"/>
    </row>
    <row r="2139" spans="1:38" ht="12.75" customHeight="1" x14ac:dyDescent="0.25">
      <c r="A2139" s="694"/>
      <c r="B2139" s="298"/>
      <c r="C2139" s="1302"/>
      <c r="D2139" s="625"/>
      <c r="E2139" s="2816" t="str">
        <f>Translations!$B$508</f>
        <v>Посочените тук данни ще се отразят на емисиите, които могат да бъдат зададени съгласно раздел 10.1.1 от приложение VII към ПБР.</v>
      </c>
      <c r="F2139" s="2240"/>
      <c r="G2139" s="2240"/>
      <c r="H2139" s="2240"/>
      <c r="I2139" s="2240"/>
      <c r="J2139" s="2240"/>
      <c r="K2139" s="2240"/>
      <c r="L2139" s="2240"/>
      <c r="M2139" s="2240"/>
      <c r="N2139" s="2811"/>
      <c r="O2139" s="302"/>
      <c r="P2139" s="302"/>
      <c r="Q2139" s="729"/>
      <c r="R2139" s="694"/>
      <c r="S2139" s="729"/>
      <c r="T2139" s="729"/>
      <c r="U2139" s="729"/>
      <c r="V2139" s="729"/>
      <c r="W2139" s="694"/>
      <c r="X2139" s="694"/>
      <c r="Y2139" s="694"/>
      <c r="Z2139" s="694"/>
      <c r="AA2139" s="694"/>
      <c r="AB2139" s="694"/>
      <c r="AC2139" s="694"/>
      <c r="AD2139" s="694"/>
      <c r="AE2139" s="694"/>
      <c r="AF2139" s="694"/>
      <c r="AG2139" s="694"/>
      <c r="AH2139" s="694"/>
      <c r="AI2139" s="694"/>
      <c r="AJ2139" s="694"/>
      <c r="AK2139" s="694"/>
      <c r="AL2139" s="694"/>
    </row>
    <row r="2140" spans="1:38" ht="25.5" customHeight="1" x14ac:dyDescent="0.25">
      <c r="A2140" s="694"/>
      <c r="B2140" s="298"/>
      <c r="C2140" s="1302"/>
      <c r="D2140" s="1306"/>
      <c r="E2140" s="2810" t="str">
        <f>Translations!$B$544</f>
        <v>Съгласно раздел 3.1, букви к) и л) от приложение IV към ПБР, моля, посочете тук количеството на прехвърления CO2, получен от или подаден към други подинсталации, инсталации или други обекти, съгласно правилата, определени в Регламента относно мониторинга и докладването.</v>
      </c>
      <c r="F2140" s="2240"/>
      <c r="G2140" s="2240"/>
      <c r="H2140" s="2240"/>
      <c r="I2140" s="2240"/>
      <c r="J2140" s="2240"/>
      <c r="K2140" s="2240"/>
      <c r="L2140" s="2240"/>
      <c r="M2140" s="2240"/>
      <c r="N2140" s="2811"/>
      <c r="O2140" s="302"/>
      <c r="P2140" s="302"/>
      <c r="Q2140" s="729"/>
      <c r="R2140" s="694"/>
      <c r="S2140" s="729"/>
      <c r="T2140" s="694"/>
      <c r="U2140" s="694"/>
      <c r="V2140" s="694"/>
      <c r="W2140" s="694"/>
      <c r="X2140" s="694"/>
      <c r="Y2140" s="694"/>
      <c r="Z2140" s="694"/>
      <c r="AA2140" s="694"/>
      <c r="AB2140" s="694"/>
      <c r="AC2140" s="694"/>
      <c r="AD2140" s="694"/>
      <c r="AE2140" s="694"/>
      <c r="AF2140" s="694"/>
      <c r="AG2140" s="694"/>
      <c r="AH2140" s="694"/>
      <c r="AI2140" s="694"/>
      <c r="AJ2140" s="694"/>
      <c r="AK2140" s="694"/>
      <c r="AL2140" s="694"/>
    </row>
    <row r="2141" spans="1:38" ht="12.75" customHeight="1" thickBot="1" x14ac:dyDescent="0.3">
      <c r="A2141" s="694"/>
      <c r="B2141" s="298"/>
      <c r="C2141" s="1302"/>
      <c r="D2141" s="1306"/>
      <c r="E2141" s="2810" t="str">
        <f>Translations!$B$545</f>
        <v>Подадените количества трябва да се въведат като отрицателни стойности и да съответстват на подадения CO2, който не е изпуснат в атмосферата от тази подинсталация.</v>
      </c>
      <c r="F2141" s="2240"/>
      <c r="G2141" s="2240"/>
      <c r="H2141" s="2240"/>
      <c r="I2141" s="2240"/>
      <c r="J2141" s="2240"/>
      <c r="K2141" s="2240"/>
      <c r="L2141" s="2240"/>
      <c r="M2141" s="2240"/>
      <c r="N2141" s="2811"/>
      <c r="O2141" s="302"/>
      <c r="P2141" s="302"/>
      <c r="Q2141" s="729"/>
      <c r="R2141" s="694"/>
      <c r="S2141" s="729"/>
      <c r="T2141" s="694"/>
      <c r="U2141" s="694"/>
      <c r="V2141" s="694"/>
      <c r="W2141" s="694"/>
      <c r="X2141" s="694"/>
      <c r="Y2141" s="694"/>
      <c r="Z2141" s="694"/>
      <c r="AA2141" s="694"/>
      <c r="AB2141" s="694"/>
      <c r="AC2141" s="694"/>
      <c r="AD2141" s="694"/>
      <c r="AE2141" s="694"/>
      <c r="AF2141" s="694"/>
      <c r="AG2141" s="694"/>
      <c r="AH2141" s="694"/>
      <c r="AI2141" s="694"/>
      <c r="AJ2141" s="694"/>
      <c r="AK2141" s="694"/>
      <c r="AL2141" s="694"/>
    </row>
    <row r="2142" spans="1:38" ht="12.75" customHeight="1" thickBot="1" x14ac:dyDescent="0.3">
      <c r="A2142" s="694"/>
      <c r="B2142" s="298"/>
      <c r="C2142" s="1302"/>
      <c r="D2142" s="1307"/>
      <c r="E2142" s="1317"/>
      <c r="F2142" s="1318"/>
      <c r="G2142" s="1309" t="str">
        <f>EUconst_Unit</f>
        <v>Единица мярка</v>
      </c>
      <c r="H2142" s="629">
        <f t="shared" ref="H2142:N2142" si="2985">H$2831</f>
        <v>2024</v>
      </c>
      <c r="I2142" s="1310">
        <f t="shared" si="2985"/>
        <v>2025</v>
      </c>
      <c r="J2142" s="1311">
        <f t="shared" si="2985"/>
        <v>2026</v>
      </c>
      <c r="K2142" s="629">
        <f t="shared" si="2985"/>
        <v>2027</v>
      </c>
      <c r="L2142" s="629">
        <f t="shared" si="2985"/>
        <v>2028</v>
      </c>
      <c r="M2142" s="629">
        <f t="shared" si="2985"/>
        <v>2029</v>
      </c>
      <c r="N2142" s="1312">
        <f t="shared" si="2985"/>
        <v>2030</v>
      </c>
      <c r="O2142" s="302"/>
      <c r="P2142" s="302"/>
      <c r="Q2142" s="729"/>
      <c r="R2142" s="694"/>
      <c r="S2142" s="1205"/>
      <c r="T2142" s="1313">
        <f t="shared" ref="T2142" si="2986">H2142</f>
        <v>2024</v>
      </c>
      <c r="U2142" s="1313">
        <f t="shared" ref="U2142" si="2987">I2142</f>
        <v>2025</v>
      </c>
      <c r="V2142" s="1313">
        <f t="shared" ref="V2142" si="2988">J2142</f>
        <v>2026</v>
      </c>
      <c r="W2142" s="1313">
        <f t="shared" ref="W2142" si="2989">K2142</f>
        <v>2027</v>
      </c>
      <c r="X2142" s="1313">
        <f t="shared" ref="X2142" si="2990">L2142</f>
        <v>2028</v>
      </c>
      <c r="Y2142" s="1313">
        <f t="shared" ref="Y2142" si="2991">M2142</f>
        <v>2029</v>
      </c>
      <c r="Z2142" s="1314">
        <f t="shared" ref="Z2142" si="2992">N2142</f>
        <v>2030</v>
      </c>
      <c r="AA2142" s="694"/>
      <c r="AB2142" s="694"/>
      <c r="AC2142" s="1178">
        <f t="shared" ref="AC2142" si="2993">H$20</f>
        <v>2024</v>
      </c>
      <c r="AD2142" s="1178">
        <f t="shared" ref="AD2142" si="2994">I$20</f>
        <v>2025</v>
      </c>
      <c r="AE2142" s="1178">
        <f t="shared" ref="AE2142" si="2995">J$20</f>
        <v>2026</v>
      </c>
      <c r="AF2142" s="1178">
        <f t="shared" ref="AF2142" si="2996">K$20</f>
        <v>2027</v>
      </c>
      <c r="AG2142" s="1178">
        <f t="shared" ref="AG2142" si="2997">L$20</f>
        <v>2028</v>
      </c>
      <c r="AH2142" s="1178">
        <f t="shared" ref="AH2142" si="2998">M$20</f>
        <v>2029</v>
      </c>
      <c r="AI2142" s="1178">
        <f t="shared" ref="AI2142" si="2999">N$20</f>
        <v>2030</v>
      </c>
      <c r="AJ2142" s="694"/>
      <c r="AK2142" s="694"/>
      <c r="AL2142" s="694"/>
    </row>
    <row r="2143" spans="1:38" ht="12.75" customHeight="1" thickBot="1" x14ac:dyDescent="0.3">
      <c r="A2143" s="694"/>
      <c r="B2143" s="298"/>
      <c r="C2143" s="1302"/>
      <c r="D2143" s="625"/>
      <c r="E2143" s="2820" t="str">
        <f>Translations!$B$546</f>
        <v>Получени или подадени парникови газове</v>
      </c>
      <c r="F2143" s="2258"/>
      <c r="G2143" s="1319" t="str">
        <f>EUconst_tCO2epa</f>
        <v>t CO2e/година</v>
      </c>
      <c r="H2143" s="56"/>
      <c r="I2143" s="115"/>
      <c r="J2143" s="118"/>
      <c r="K2143" s="56"/>
      <c r="L2143" s="56"/>
      <c r="M2143" s="56"/>
      <c r="N2143" s="121"/>
      <c r="O2143" s="302"/>
      <c r="P2143" s="158"/>
      <c r="Q2143" s="1190" t="str">
        <f>EUconst_CNTR_CO2Feedstock &amp; I1980</f>
        <v>EmCO2Feedstock_</v>
      </c>
      <c r="R2143" s="694"/>
      <c r="S2143" s="1315" t="str">
        <f>EUconst_CNTR_AttributedEmissions &amp; I1980</f>
        <v>AttrEmissions_</v>
      </c>
      <c r="T2143" s="1290" t="str">
        <f t="shared" ref="T2143" si="3000">IF(T1988,SUM(H2143),"")</f>
        <v/>
      </c>
      <c r="U2143" s="1290" t="str">
        <f t="shared" ref="U2143" si="3001">IF(U1988,SUM(I2143),"")</f>
        <v/>
      </c>
      <c r="V2143" s="1290" t="str">
        <f t="shared" ref="V2143" si="3002">IF(V1988,SUM(J2143),"")</f>
        <v/>
      </c>
      <c r="W2143" s="1290" t="str">
        <f t="shared" ref="W2143" si="3003">IF(W1988,SUM(K2143),"")</f>
        <v/>
      </c>
      <c r="X2143" s="1290" t="str">
        <f t="shared" ref="X2143" si="3004">IF(X1988,SUM(L2143),"")</f>
        <v/>
      </c>
      <c r="Y2143" s="1290" t="str">
        <f t="shared" ref="Y2143" si="3005">IF(Y1988,SUM(M2143),"")</f>
        <v/>
      </c>
      <c r="Z2143" s="1291" t="str">
        <f t="shared" ref="Z2143" si="3006">IF(Z1988,SUM(N2143),"")</f>
        <v/>
      </c>
      <c r="AA2143" s="694"/>
      <c r="AB2143" s="1182" t="s">
        <v>737</v>
      </c>
      <c r="AC2143" s="982" t="b">
        <f>AC2027</f>
        <v>0</v>
      </c>
      <c r="AD2143" s="982" t="b">
        <f t="shared" ref="AD2143:AI2143" si="3007">AD2027</f>
        <v>0</v>
      </c>
      <c r="AE2143" s="982" t="b">
        <f t="shared" si="3007"/>
        <v>0</v>
      </c>
      <c r="AF2143" s="982" t="b">
        <f t="shared" si="3007"/>
        <v>0</v>
      </c>
      <c r="AG2143" s="982" t="b">
        <f t="shared" si="3007"/>
        <v>0</v>
      </c>
      <c r="AH2143" s="982" t="b">
        <f t="shared" si="3007"/>
        <v>0</v>
      </c>
      <c r="AI2143" s="982" t="b">
        <f t="shared" si="3007"/>
        <v>0</v>
      </c>
      <c r="AJ2143" s="1174" t="s">
        <v>2039</v>
      </c>
      <c r="AK2143" s="1176" t="str">
        <f>IF(AND(CNTR_ExistSubInstEntries,MSconst_RequireSubAttrEmissions,COUNTIFS(AC2143:AI2143,FALSE,H2143:N2143,"")&gt;0),EUconst_Error&amp;"BM"&amp;$Q1980,"")</f>
        <v/>
      </c>
      <c r="AL2143" s="694"/>
    </row>
    <row r="2144" spans="1:38" ht="12.75" customHeight="1" x14ac:dyDescent="0.25">
      <c r="A2144" s="694"/>
      <c r="B2144" s="298"/>
      <c r="C2144" s="1302"/>
      <c r="D2144" s="1306"/>
      <c r="E2144" s="1306"/>
      <c r="F2144" s="1306"/>
      <c r="G2144" s="1306"/>
      <c r="H2144" s="1306"/>
      <c r="I2144" s="1306"/>
      <c r="J2144" s="1306"/>
      <c r="K2144" s="1306"/>
      <c r="L2144" s="1306"/>
      <c r="M2144" s="626"/>
      <c r="N2144" s="1316"/>
      <c r="O2144" s="302"/>
      <c r="P2144" s="302"/>
      <c r="Q2144" s="729"/>
      <c r="R2144" s="694"/>
      <c r="S2144" s="729"/>
      <c r="T2144" s="694"/>
      <c r="U2144" s="694"/>
      <c r="V2144" s="694"/>
      <c r="W2144" s="694"/>
      <c r="X2144" s="694"/>
      <c r="Y2144" s="694"/>
      <c r="Z2144" s="694"/>
      <c r="AA2144" s="694"/>
      <c r="AB2144" s="694"/>
      <c r="AC2144" s="694"/>
      <c r="AD2144" s="694"/>
      <c r="AE2144" s="694"/>
      <c r="AF2144" s="694"/>
      <c r="AG2144" s="694"/>
      <c r="AH2144" s="694"/>
      <c r="AI2144" s="694"/>
      <c r="AJ2144" s="694"/>
      <c r="AK2144" s="694"/>
      <c r="AL2144" s="694"/>
    </row>
    <row r="2145" spans="1:38" ht="12.75" customHeight="1" x14ac:dyDescent="0.25">
      <c r="A2145" s="694"/>
      <c r="B2145" s="298"/>
      <c r="C2145" s="1302"/>
      <c r="D2145" s="1307" t="s">
        <v>490</v>
      </c>
      <c r="E2145" s="2815" t="str">
        <f>Translations!$B$547</f>
        <v>Получаване и подаване на измерима топлинна енергия от тази подинсталация</v>
      </c>
      <c r="F2145" s="2240"/>
      <c r="G2145" s="2240"/>
      <c r="H2145" s="2240"/>
      <c r="I2145" s="2240"/>
      <c r="J2145" s="2240"/>
      <c r="K2145" s="2240"/>
      <c r="L2145" s="2240"/>
      <c r="M2145" s="2240"/>
      <c r="N2145" s="2811"/>
      <c r="O2145" s="302"/>
      <c r="P2145" s="302"/>
      <c r="Q2145" s="729"/>
      <c r="R2145" s="694"/>
      <c r="S2145" s="729"/>
      <c r="T2145" s="694"/>
      <c r="U2145" s="694"/>
      <c r="V2145" s="694"/>
      <c r="W2145" s="694"/>
      <c r="X2145" s="694"/>
      <c r="Y2145" s="694"/>
      <c r="Z2145" s="694"/>
      <c r="AA2145" s="694"/>
      <c r="AB2145" s="694"/>
      <c r="AC2145" s="694"/>
      <c r="AD2145" s="694"/>
      <c r="AE2145" s="694"/>
      <c r="AF2145" s="694"/>
      <c r="AG2145" s="694"/>
      <c r="AH2145" s="694"/>
      <c r="AI2145" s="694"/>
      <c r="AJ2145" s="694"/>
      <c r="AK2145" s="694"/>
      <c r="AL2145" s="694"/>
    </row>
    <row r="2146" spans="1:38" ht="12.75" customHeight="1" x14ac:dyDescent="0.25">
      <c r="A2146" s="694"/>
      <c r="B2146" s="298"/>
      <c r="C2146" s="1302"/>
      <c r="D2146" s="625"/>
      <c r="E2146" s="2816" t="str">
        <f>Translations!$B$548</f>
        <v>Посочените тук данни ще се отразят на емисиите, които могат да бъдат зададени съгласно раздел 10.1.2 и 10.1.3 от приложение VII към ПБР.</v>
      </c>
      <c r="F2146" s="2240"/>
      <c r="G2146" s="2240"/>
      <c r="H2146" s="2240"/>
      <c r="I2146" s="2240"/>
      <c r="J2146" s="2240"/>
      <c r="K2146" s="2240"/>
      <c r="L2146" s="2240"/>
      <c r="M2146" s="2240"/>
      <c r="N2146" s="2811"/>
      <c r="O2146" s="302"/>
      <c r="P2146" s="302"/>
      <c r="Q2146" s="729"/>
      <c r="R2146" s="694"/>
      <c r="S2146" s="729"/>
      <c r="T2146" s="729"/>
      <c r="U2146" s="729"/>
      <c r="V2146" s="729"/>
      <c r="W2146" s="694"/>
      <c r="X2146" s="694"/>
      <c r="Y2146" s="694"/>
      <c r="Z2146" s="694"/>
      <c r="AA2146" s="694"/>
      <c r="AB2146" s="694"/>
      <c r="AC2146" s="694"/>
      <c r="AD2146" s="694"/>
      <c r="AE2146" s="694"/>
      <c r="AF2146" s="694"/>
      <c r="AG2146" s="694"/>
      <c r="AH2146" s="694"/>
      <c r="AI2146" s="694"/>
      <c r="AJ2146" s="694"/>
      <c r="AK2146" s="694"/>
      <c r="AL2146" s="694"/>
    </row>
    <row r="2147" spans="1:38" ht="38.9" customHeight="1" x14ac:dyDescent="0.25">
      <c r="A2147" s="694"/>
      <c r="B2147" s="298"/>
      <c r="C2147" s="1302"/>
      <c r="D2147" s="1306"/>
      <c r="E2147" s="2810" t="str">
        <f>Translations!$B$549</f>
        <v>Това включва общото количество топлинна енергия, произведено във, получено от или подадено към (под)инсталации, обхванати от СТЕ на ЕС, или инсталации или обекти извън СТЕ на ЕС. При специфичните емисионни фактори (EF), свързани с топлинната енергия, трябва да се отчитат разпоредбите на раздели 8 и 10 от приложение VII към ПБР, и по-специално раздели 10.1.2 и 10.1.3.</v>
      </c>
      <c r="F2147" s="2240"/>
      <c r="G2147" s="2240"/>
      <c r="H2147" s="2240"/>
      <c r="I2147" s="2240"/>
      <c r="J2147" s="2240"/>
      <c r="K2147" s="2240"/>
      <c r="L2147" s="2240"/>
      <c r="M2147" s="2240"/>
      <c r="N2147" s="2811"/>
      <c r="O2147" s="302"/>
      <c r="P2147" s="302"/>
      <c r="Q2147" s="729"/>
      <c r="R2147" s="694"/>
      <c r="S2147" s="729"/>
      <c r="T2147" s="694"/>
      <c r="U2147" s="694"/>
      <c r="V2147" s="694"/>
      <c r="W2147" s="694"/>
      <c r="X2147" s="694"/>
      <c r="Y2147" s="694"/>
      <c r="Z2147" s="694"/>
      <c r="AA2147" s="694"/>
      <c r="AB2147" s="694"/>
      <c r="AC2147" s="694"/>
      <c r="AD2147" s="694"/>
      <c r="AE2147" s="694"/>
      <c r="AF2147" s="694"/>
      <c r="AG2147" s="694"/>
      <c r="AH2147" s="694"/>
      <c r="AI2147" s="694"/>
      <c r="AJ2147" s="694"/>
      <c r="AK2147" s="694"/>
      <c r="AL2147" s="694"/>
    </row>
    <row r="2148" spans="1:38" ht="25.5" customHeight="1" x14ac:dyDescent="0.25">
      <c r="A2148" s="694"/>
      <c r="B2148" s="298"/>
      <c r="C2148" s="1302"/>
      <c r="D2148" s="1306"/>
      <c r="E2148" s="2810" t="str">
        <f>Translations!$B$550</f>
        <v>Емисиите, свързани с измерима топлинна енергия, произведена в рамките на обекта от съоръжения, които обслужват повече от една подинсталация, също трябва да се въведат тук под „получени емисии“, вместо да се зададат директно чрез емисионния фактор за горивата от буква g) по-горе. Същото важи и за всяка топлинна енергия, „получена“ от други подинсталации.</v>
      </c>
      <c r="F2148" s="2240"/>
      <c r="G2148" s="2240"/>
      <c r="H2148" s="2240"/>
      <c r="I2148" s="2240"/>
      <c r="J2148" s="2240"/>
      <c r="K2148" s="2240"/>
      <c r="L2148" s="2240"/>
      <c r="M2148" s="2240"/>
      <c r="N2148" s="2811"/>
      <c r="O2148" s="302"/>
      <c r="P2148" s="302"/>
      <c r="Q2148" s="729"/>
      <c r="R2148" s="694"/>
      <c r="S2148" s="729"/>
      <c r="T2148" s="694"/>
      <c r="U2148" s="694"/>
      <c r="V2148" s="694"/>
      <c r="W2148" s="694"/>
      <c r="X2148" s="694"/>
      <c r="Y2148" s="694"/>
      <c r="Z2148" s="694"/>
      <c r="AA2148" s="694"/>
      <c r="AB2148" s="694"/>
      <c r="AC2148" s="694"/>
      <c r="AD2148" s="694"/>
      <c r="AE2148" s="694"/>
      <c r="AF2148" s="694"/>
      <c r="AG2148" s="694"/>
      <c r="AH2148" s="694"/>
      <c r="AI2148" s="694"/>
      <c r="AJ2148" s="694"/>
      <c r="AK2148" s="694"/>
      <c r="AL2148" s="694"/>
    </row>
    <row r="2149" spans="1:38" ht="25.5" customHeight="1" x14ac:dyDescent="0.25">
      <c r="A2149" s="694"/>
      <c r="B2149" s="298"/>
      <c r="C2149" s="1302"/>
      <c r="D2149" s="1306"/>
      <c r="E2149" s="2810" t="str">
        <f>Translations!$B$551</f>
        <v xml:space="preserve">Когато топлинната енергия е произведена изключително за една подинсталация и поради това съответните емисии са вписани в буква g) по-горе, съответните количества не трябва да се докладват тук като „получени“, за да се избегне двойно отчитане. </v>
      </c>
      <c r="F2149" s="2240"/>
      <c r="G2149" s="2240"/>
      <c r="H2149" s="2240"/>
      <c r="I2149" s="2240"/>
      <c r="J2149" s="2240"/>
      <c r="K2149" s="2240"/>
      <c r="L2149" s="2240"/>
      <c r="M2149" s="2240"/>
      <c r="N2149" s="2811"/>
      <c r="O2149" s="302"/>
      <c r="P2149" s="302"/>
      <c r="Q2149" s="729"/>
      <c r="R2149" s="694"/>
      <c r="S2149" s="729"/>
      <c r="T2149" s="694"/>
      <c r="U2149" s="694"/>
      <c r="V2149" s="694"/>
      <c r="W2149" s="694"/>
      <c r="X2149" s="694"/>
      <c r="Y2149" s="694"/>
      <c r="Z2149" s="694"/>
      <c r="AA2149" s="694"/>
      <c r="AB2149" s="694"/>
      <c r="AC2149" s="694"/>
      <c r="AD2149" s="694"/>
      <c r="AE2149" s="694"/>
      <c r="AF2149" s="694"/>
      <c r="AG2149" s="694"/>
      <c r="AH2149" s="694"/>
      <c r="AI2149" s="694"/>
      <c r="AJ2149" s="694"/>
      <c r="AK2149" s="694"/>
      <c r="AL2149" s="694"/>
    </row>
    <row r="2150" spans="1:38" ht="12.75" customHeight="1" thickBot="1" x14ac:dyDescent="0.3">
      <c r="A2150" s="694"/>
      <c r="B2150" s="298"/>
      <c r="C2150" s="1302"/>
      <c r="D2150" s="1306"/>
      <c r="E2150" s="2825" t="str">
        <f>Translations!$B$552</f>
        <v>За задаването на емисии от комбинираното производство на енергия (КПТЕ) при производството на топлинна енергия трябва да използвате „Инструмента за КПТЕ“ от раздел D.III от настоящия образец.</v>
      </c>
      <c r="F2150" s="2826"/>
      <c r="G2150" s="2826"/>
      <c r="H2150" s="2826"/>
      <c r="I2150" s="2826"/>
      <c r="J2150" s="2826"/>
      <c r="K2150" s="2826"/>
      <c r="L2150" s="2826"/>
      <c r="M2150" s="2826"/>
      <c r="N2150" s="2827"/>
      <c r="O2150" s="302"/>
      <c r="P2150" s="302"/>
      <c r="Q2150" s="729"/>
      <c r="R2150" s="694"/>
      <c r="S2150" s="694"/>
      <c r="T2150" s="694"/>
      <c r="U2150" s="694"/>
      <c r="V2150" s="694"/>
      <c r="W2150" s="694"/>
      <c r="X2150" s="694"/>
      <c r="Y2150" s="694"/>
      <c r="Z2150" s="694"/>
      <c r="AA2150" s="694"/>
      <c r="AB2150" s="694"/>
      <c r="AC2150" s="694"/>
      <c r="AD2150" s="694"/>
      <c r="AE2150" s="694"/>
      <c r="AF2150" s="694"/>
      <c r="AG2150" s="694"/>
      <c r="AH2150" s="694"/>
      <c r="AI2150" s="694"/>
      <c r="AJ2150" s="694"/>
      <c r="AK2150" s="694"/>
      <c r="AL2150" s="694"/>
    </row>
    <row r="2151" spans="1:38" ht="12.75" customHeight="1" thickBot="1" x14ac:dyDescent="0.3">
      <c r="A2151" s="694"/>
      <c r="B2151" s="298"/>
      <c r="C2151" s="1302"/>
      <c r="D2151" s="1306"/>
      <c r="E2151" s="2803" t="str">
        <f>Translations!$B$553</f>
        <v>Общо получена топлинна енергия</v>
      </c>
      <c r="F2151" s="2672"/>
      <c r="G2151" s="1309" t="str">
        <f>EUconst_Unit</f>
        <v>Единица мярка</v>
      </c>
      <c r="H2151" s="629">
        <f t="shared" ref="H2151:N2151" si="3008">H$2831</f>
        <v>2024</v>
      </c>
      <c r="I2151" s="1310">
        <f t="shared" si="3008"/>
        <v>2025</v>
      </c>
      <c r="J2151" s="1311">
        <f t="shared" si="3008"/>
        <v>2026</v>
      </c>
      <c r="K2151" s="629">
        <f t="shared" si="3008"/>
        <v>2027</v>
      </c>
      <c r="L2151" s="629">
        <f t="shared" si="3008"/>
        <v>2028</v>
      </c>
      <c r="M2151" s="629">
        <f t="shared" si="3008"/>
        <v>2029</v>
      </c>
      <c r="N2151" s="1312">
        <f t="shared" si="3008"/>
        <v>2030</v>
      </c>
      <c r="O2151" s="302"/>
      <c r="P2151" s="302"/>
      <c r="Q2151" s="729"/>
      <c r="R2151" s="694"/>
      <c r="S2151" s="1205"/>
      <c r="T2151" s="1313">
        <f t="shared" ref="T2151" si="3009">H2151</f>
        <v>2024</v>
      </c>
      <c r="U2151" s="1313">
        <f t="shared" ref="U2151" si="3010">I2151</f>
        <v>2025</v>
      </c>
      <c r="V2151" s="1313">
        <f t="shared" ref="V2151" si="3011">J2151</f>
        <v>2026</v>
      </c>
      <c r="W2151" s="1313">
        <f t="shared" ref="W2151" si="3012">K2151</f>
        <v>2027</v>
      </c>
      <c r="X2151" s="1313">
        <f t="shared" ref="X2151" si="3013">L2151</f>
        <v>2028</v>
      </c>
      <c r="Y2151" s="1313">
        <f t="shared" ref="Y2151" si="3014">M2151</f>
        <v>2029</v>
      </c>
      <c r="Z2151" s="1314">
        <f t="shared" ref="Z2151" si="3015">N2151</f>
        <v>2030</v>
      </c>
      <c r="AA2151" s="694"/>
      <c r="AB2151" s="694"/>
      <c r="AC2151" s="1178">
        <f t="shared" ref="AC2151" si="3016">H$20</f>
        <v>2024</v>
      </c>
      <c r="AD2151" s="1178">
        <f t="shared" ref="AD2151" si="3017">I$20</f>
        <v>2025</v>
      </c>
      <c r="AE2151" s="1178">
        <f t="shared" ref="AE2151" si="3018">J$20</f>
        <v>2026</v>
      </c>
      <c r="AF2151" s="1178">
        <f t="shared" ref="AF2151" si="3019">K$20</f>
        <v>2027</v>
      </c>
      <c r="AG2151" s="1178">
        <f t="shared" ref="AG2151" si="3020">L$20</f>
        <v>2028</v>
      </c>
      <c r="AH2151" s="1178">
        <f t="shared" ref="AH2151" si="3021">M$20</f>
        <v>2029</v>
      </c>
      <c r="AI2151" s="1178">
        <f t="shared" ref="AI2151" si="3022">N$20</f>
        <v>2030</v>
      </c>
      <c r="AJ2151" s="694"/>
      <c r="AK2151" s="694"/>
      <c r="AL2151" s="694"/>
    </row>
    <row r="2152" spans="1:38" ht="12.75" customHeight="1" x14ac:dyDescent="0.25">
      <c r="A2152" s="694"/>
      <c r="B2152" s="298"/>
      <c r="C2152" s="1302"/>
      <c r="D2152" s="625" t="s">
        <v>6</v>
      </c>
      <c r="E2152" s="2820" t="str">
        <f>Translations!$B$554</f>
        <v>Нетно количество получена топлинна енергия</v>
      </c>
      <c r="F2152" s="2258"/>
      <c r="G2152" s="1319" t="str">
        <f>EUconst_TJpa</f>
        <v>TJ / година</v>
      </c>
      <c r="H2152" s="56"/>
      <c r="I2152" s="115"/>
      <c r="J2152" s="118"/>
      <c r="K2152" s="56"/>
      <c r="L2152" s="56"/>
      <c r="M2152" s="56"/>
      <c r="N2152" s="121"/>
      <c r="O2152" s="302"/>
      <c r="P2152" s="158"/>
      <c r="Q2152" s="1190" t="str">
        <f>EUconst_CNTR_HeatImport &amp; I1980</f>
        <v>HeatIm_</v>
      </c>
      <c r="R2152" s="694"/>
      <c r="S2152" s="1347" t="str">
        <f>EUconst_ERR_AttrEmBMapplied &amp; I1980</f>
        <v>ERR_AttrEmBM_</v>
      </c>
      <c r="T2152" s="982">
        <f t="shared" ref="T2152" si="3023">IF(AND(H2152&lt;&gt;0,H2153="",EUconst_StatusOfDataCollection=FALSE),1,0)</f>
        <v>0</v>
      </c>
      <c r="U2152" s="982">
        <f t="shared" ref="U2152" si="3024">IF(AND(I2152&lt;&gt;0,I2153="",EUconst_StatusOfDataCollection=FALSE),1,0)</f>
        <v>0</v>
      </c>
      <c r="V2152" s="982">
        <f t="shared" ref="V2152" si="3025">IF(AND(J2152&lt;&gt;0,J2153="",EUconst_StatusOfDataCollection=FALSE),1,0)</f>
        <v>0</v>
      </c>
      <c r="W2152" s="982">
        <f t="shared" ref="W2152" si="3026">IF(AND(K2152&lt;&gt;0,K2153="",EUconst_StatusOfDataCollection=FALSE),1,0)</f>
        <v>0</v>
      </c>
      <c r="X2152" s="982">
        <f t="shared" ref="X2152" si="3027">IF(AND(L2152&lt;&gt;0,L2153="",EUconst_StatusOfDataCollection=FALSE),1,0)</f>
        <v>0</v>
      </c>
      <c r="Y2152" s="982">
        <f t="shared" ref="Y2152" si="3028">IF(AND(M2152&lt;&gt;0,M2153="",EUconst_StatusOfDataCollection=FALSE),1,0)</f>
        <v>0</v>
      </c>
      <c r="Z2152" s="1287">
        <f t="shared" ref="Z2152" si="3029">IF(AND(N2152&lt;&gt;0,N2153="",EUconst_StatusOfDataCollection=FALSE),1,0)</f>
        <v>0</v>
      </c>
      <c r="AA2152" s="1031"/>
      <c r="AB2152" s="1182" t="s">
        <v>737</v>
      </c>
      <c r="AC2152" s="982" t="b">
        <f t="shared" ref="AC2152:AI2152" si="3030">AC2027</f>
        <v>0</v>
      </c>
      <c r="AD2152" s="982" t="b">
        <f t="shared" si="3030"/>
        <v>0</v>
      </c>
      <c r="AE2152" s="982" t="b">
        <f t="shared" si="3030"/>
        <v>0</v>
      </c>
      <c r="AF2152" s="982" t="b">
        <f t="shared" si="3030"/>
        <v>0</v>
      </c>
      <c r="AG2152" s="982" t="b">
        <f t="shared" si="3030"/>
        <v>0</v>
      </c>
      <c r="AH2152" s="982" t="b">
        <f t="shared" si="3030"/>
        <v>0</v>
      </c>
      <c r="AI2152" s="982" t="b">
        <f t="shared" si="3030"/>
        <v>0</v>
      </c>
      <c r="AJ2152" s="1174" t="s">
        <v>2039</v>
      </c>
      <c r="AK2152" s="1176" t="str">
        <f>IF(AND(CNTR_ExistSubInstEntries,MSconst_RequireSubAttrEmissions,COUNTIFS(AC2152:AI2152,FALSE,H2152:N2152,"")&gt;0),EUconst_Error&amp;"BM"&amp;$Q1980,"")</f>
        <v/>
      </c>
      <c r="AL2152" s="694"/>
    </row>
    <row r="2153" spans="1:38" ht="12.75" customHeight="1" thickBot="1" x14ac:dyDescent="0.3">
      <c r="A2153" s="694"/>
      <c r="B2153" s="298"/>
      <c r="C2153" s="1302"/>
      <c r="D2153" s="625" t="s">
        <v>7</v>
      </c>
      <c r="E2153" s="2820" t="str">
        <f>Translations!$B$555</f>
        <v>Специфичен EF (получена топлинна енергия)</v>
      </c>
      <c r="F2153" s="2258"/>
      <c r="G2153" s="1319" t="str">
        <f>EUconst_tCO2pTJ</f>
        <v>t CO2 / TJ</v>
      </c>
      <c r="H2153" s="56"/>
      <c r="I2153" s="115"/>
      <c r="J2153" s="118"/>
      <c r="K2153" s="56"/>
      <c r="L2153" s="56"/>
      <c r="M2153" s="56"/>
      <c r="N2153" s="121"/>
      <c r="O2153" s="302"/>
      <c r="P2153" s="158"/>
      <c r="Q2153" s="1190" t="str">
        <f>EUconst_CNTR_HeatImportEF &amp; I1980</f>
        <v>HeatImEF_</v>
      </c>
      <c r="R2153" s="694"/>
      <c r="S2153" s="1315" t="str">
        <f>EUconst_CNTR_AttributedEmissions &amp; I1980</f>
        <v>AttrEmissions_</v>
      </c>
      <c r="T2153" s="1290" t="str">
        <f t="shared" ref="T2153" si="3031">IF(T1988,SUM(H2152)*IF(ISNUMBER(H2153),H2153,EUconst_HeatBMvalue),"")</f>
        <v/>
      </c>
      <c r="U2153" s="1290" t="str">
        <f t="shared" ref="U2153" si="3032">IF(U1988,SUM(I2152)*IF(ISNUMBER(I2153),I2153,EUconst_HeatBMvalue),"")</f>
        <v/>
      </c>
      <c r="V2153" s="1290" t="str">
        <f t="shared" ref="V2153" si="3033">IF(V1988,SUM(J2152)*IF(ISNUMBER(J2153),J2153,EUconst_HeatBMvalue),"")</f>
        <v/>
      </c>
      <c r="W2153" s="1290" t="str">
        <f t="shared" ref="W2153" si="3034">IF(W1988,SUM(K2152)*IF(ISNUMBER(K2153),K2153,EUconst_HeatBMvalue),"")</f>
        <v/>
      </c>
      <c r="X2153" s="1290" t="str">
        <f t="shared" ref="X2153" si="3035">IF(X1988,SUM(L2152)*IF(ISNUMBER(L2153),L2153,EUconst_HeatBMvalue),"")</f>
        <v/>
      </c>
      <c r="Y2153" s="1290" t="str">
        <f t="shared" ref="Y2153" si="3036">IF(Y1988,SUM(M2152)*IF(ISNUMBER(M2153),M2153,EUconst_HeatBMvalue),"")</f>
        <v/>
      </c>
      <c r="Z2153" s="1291" t="str">
        <f t="shared" ref="Z2153" si="3037">IF(Z1988,SUM(N2152)*IF(ISNUMBER(N2153),N2153,EUconst_HeatBMvalue),"")</f>
        <v/>
      </c>
      <c r="AA2153" s="694"/>
      <c r="AB2153" s="694"/>
      <c r="AC2153" s="982" t="b">
        <f>AC2152</f>
        <v>0</v>
      </c>
      <c r="AD2153" s="982" t="b">
        <f t="shared" ref="AD2153:AI2153" si="3038">AD2152</f>
        <v>0</v>
      </c>
      <c r="AE2153" s="982" t="b">
        <f t="shared" si="3038"/>
        <v>0</v>
      </c>
      <c r="AF2153" s="982" t="b">
        <f t="shared" si="3038"/>
        <v>0</v>
      </c>
      <c r="AG2153" s="982" t="b">
        <f t="shared" si="3038"/>
        <v>0</v>
      </c>
      <c r="AH2153" s="982" t="b">
        <f t="shared" si="3038"/>
        <v>0</v>
      </c>
      <c r="AI2153" s="982" t="b">
        <f t="shared" si="3038"/>
        <v>0</v>
      </c>
      <c r="AJ2153" s="694"/>
      <c r="AK2153" s="694"/>
      <c r="AL2153" s="694"/>
    </row>
    <row r="2154" spans="1:38" ht="5.15" customHeight="1" x14ac:dyDescent="0.25">
      <c r="A2154" s="694"/>
      <c r="B2154" s="298"/>
      <c r="C2154" s="1302"/>
      <c r="D2154" s="1306"/>
      <c r="E2154" s="1306"/>
      <c r="F2154" s="1306"/>
      <c r="G2154" s="1306"/>
      <c r="H2154" s="1306"/>
      <c r="I2154" s="1306"/>
      <c r="J2154" s="1306"/>
      <c r="K2154" s="1306"/>
      <c r="L2154" s="1306"/>
      <c r="M2154" s="1306"/>
      <c r="N2154" s="1316"/>
      <c r="O2154" s="302"/>
      <c r="P2154" s="302"/>
      <c r="Q2154" s="729"/>
      <c r="R2154" s="694"/>
      <c r="S2154" s="729"/>
      <c r="T2154" s="729"/>
      <c r="U2154" s="729"/>
      <c r="V2154" s="729"/>
      <c r="W2154" s="694"/>
      <c r="X2154" s="694"/>
      <c r="Y2154" s="694"/>
      <c r="Z2154" s="694"/>
      <c r="AA2154" s="694"/>
      <c r="AB2154" s="694"/>
      <c r="AC2154" s="694"/>
      <c r="AD2154" s="694"/>
      <c r="AE2154" s="694"/>
      <c r="AF2154" s="694"/>
      <c r="AG2154" s="694"/>
      <c r="AH2154" s="694"/>
      <c r="AI2154" s="694"/>
      <c r="AJ2154" s="694"/>
      <c r="AK2154" s="694"/>
      <c r="AL2154" s="694"/>
    </row>
    <row r="2155" spans="1:38" ht="12.75" customHeight="1" thickBot="1" x14ac:dyDescent="0.3">
      <c r="A2155" s="694"/>
      <c r="B2155" s="298"/>
      <c r="C2155" s="1302"/>
      <c r="D2155" s="1306"/>
      <c r="E2155" s="2803" t="str">
        <f>Translations!$B$556</f>
        <v>Специфична получена топлинна енергия</v>
      </c>
      <c r="F2155" s="2672"/>
      <c r="G2155" s="1309" t="str">
        <f>EUconst_Unit</f>
        <v>Единица мярка</v>
      </c>
      <c r="H2155" s="629">
        <f t="shared" ref="H2155:N2155" si="3039">H$2831</f>
        <v>2024</v>
      </c>
      <c r="I2155" s="1310">
        <f t="shared" si="3039"/>
        <v>2025</v>
      </c>
      <c r="J2155" s="1311">
        <f t="shared" si="3039"/>
        <v>2026</v>
      </c>
      <c r="K2155" s="629">
        <f t="shared" si="3039"/>
        <v>2027</v>
      </c>
      <c r="L2155" s="629">
        <f t="shared" si="3039"/>
        <v>2028</v>
      </c>
      <c r="M2155" s="629">
        <f t="shared" si="3039"/>
        <v>2029</v>
      </c>
      <c r="N2155" s="1312">
        <f t="shared" si="3039"/>
        <v>2030</v>
      </c>
      <c r="O2155" s="302"/>
      <c r="P2155" s="302"/>
      <c r="Q2155" s="729"/>
      <c r="R2155" s="694"/>
      <c r="S2155" s="729"/>
      <c r="T2155" s="729"/>
      <c r="U2155" s="729"/>
      <c r="V2155" s="729"/>
      <c r="W2155" s="694"/>
      <c r="X2155" s="694"/>
      <c r="Y2155" s="694"/>
      <c r="Z2155" s="694"/>
      <c r="AA2155" s="694"/>
      <c r="AB2155" s="694"/>
      <c r="AC2155" s="1178">
        <f t="shared" ref="AC2155" si="3040">H$20</f>
        <v>2024</v>
      </c>
      <c r="AD2155" s="1178">
        <f t="shared" ref="AD2155" si="3041">I$20</f>
        <v>2025</v>
      </c>
      <c r="AE2155" s="1178">
        <f t="shared" ref="AE2155" si="3042">J$20</f>
        <v>2026</v>
      </c>
      <c r="AF2155" s="1178">
        <f t="shared" ref="AF2155" si="3043">K$20</f>
        <v>2027</v>
      </c>
      <c r="AG2155" s="1178">
        <f t="shared" ref="AG2155" si="3044">L$20</f>
        <v>2028</v>
      </c>
      <c r="AH2155" s="1178">
        <f t="shared" ref="AH2155" si="3045">M$20</f>
        <v>2029</v>
      </c>
      <c r="AI2155" s="1178">
        <f t="shared" ref="AI2155" si="3046">N$20</f>
        <v>2030</v>
      </c>
      <c r="AJ2155" s="694"/>
      <c r="AK2155" s="694"/>
      <c r="AL2155" s="694"/>
    </row>
    <row r="2156" spans="1:38" ht="12.75" customHeight="1" x14ac:dyDescent="0.25">
      <c r="A2156" s="694"/>
      <c r="B2156" s="298"/>
      <c r="C2156" s="1302"/>
      <c r="D2156" s="625" t="s">
        <v>8</v>
      </c>
      <c r="E2156" s="2820" t="str">
        <f>Translations!$B$557</f>
        <v>Нетно количество топлинна енергия, получена от подинсталации за пулп</v>
      </c>
      <c r="F2156" s="2258"/>
      <c r="G2156" s="1319" t="str">
        <f>EUconst_TJpa</f>
        <v>TJ / година</v>
      </c>
      <c r="H2156" s="141"/>
      <c r="I2156" s="142"/>
      <c r="J2156" s="143"/>
      <c r="K2156" s="141"/>
      <c r="L2156" s="141"/>
      <c r="M2156" s="141"/>
      <c r="N2156" s="144"/>
      <c r="O2156" s="302"/>
      <c r="P2156" s="158"/>
      <c r="Q2156" s="1190" t="str">
        <f>EUconst_CNTR_HeatImportPulp &amp; I1980</f>
        <v>HeatImPulp_</v>
      </c>
      <c r="R2156" s="694"/>
      <c r="S2156" s="729"/>
      <c r="T2156" s="729"/>
      <c r="U2156" s="729"/>
      <c r="V2156" s="729"/>
      <c r="W2156" s="694"/>
      <c r="X2156" s="694"/>
      <c r="Y2156" s="694"/>
      <c r="Z2156" s="694"/>
      <c r="AA2156" s="694"/>
      <c r="AB2156" s="1182" t="s">
        <v>737</v>
      </c>
      <c r="AC2156" s="982" t="b">
        <f>AC2027</f>
        <v>0</v>
      </c>
      <c r="AD2156" s="982" t="b">
        <f t="shared" ref="AD2156:AI2156" si="3047">AD2027</f>
        <v>0</v>
      </c>
      <c r="AE2156" s="982" t="b">
        <f t="shared" si="3047"/>
        <v>0</v>
      </c>
      <c r="AF2156" s="982" t="b">
        <f t="shared" si="3047"/>
        <v>0</v>
      </c>
      <c r="AG2156" s="982" t="b">
        <f t="shared" si="3047"/>
        <v>0</v>
      </c>
      <c r="AH2156" s="982" t="b">
        <f t="shared" si="3047"/>
        <v>0</v>
      </c>
      <c r="AI2156" s="982" t="b">
        <f t="shared" si="3047"/>
        <v>0</v>
      </c>
      <c r="AJ2156" s="1174" t="s">
        <v>2039</v>
      </c>
      <c r="AK2156" s="1176" t="str">
        <f>IF(AND(CNTR_ExistSubInstEntries,MSconst_RequireSubAttrEmissions,COUNTIFS(AC2156:AI2156,FALSE,H2156:N2156,"")&gt;0),EUconst_Error&amp;"BM"&amp;$Q1980,"")</f>
        <v/>
      </c>
      <c r="AL2156" s="694"/>
    </row>
    <row r="2157" spans="1:38" ht="25.5" customHeight="1" x14ac:dyDescent="0.25">
      <c r="A2157" s="694"/>
      <c r="B2157" s="298"/>
      <c r="C2157" s="1302"/>
      <c r="D2157" s="625" t="s">
        <v>18</v>
      </c>
      <c r="E2157" s="2820" t="str">
        <f>Translations!$B$558</f>
        <v>Нетно количество топлинна енергия, получена от подинсталации за азотна киселина</v>
      </c>
      <c r="F2157" s="2258"/>
      <c r="G2157" s="1319" t="str">
        <f>EUconst_TJpa</f>
        <v>TJ / година</v>
      </c>
      <c r="H2157" s="56"/>
      <c r="I2157" s="115"/>
      <c r="J2157" s="118"/>
      <c r="K2157" s="56"/>
      <c r="L2157" s="56"/>
      <c r="M2157" s="56"/>
      <c r="N2157" s="121"/>
      <c r="O2157" s="302"/>
      <c r="P2157" s="158"/>
      <c r="Q2157" s="1190" t="str">
        <f>EUconst_CNTR_HeatImportNitric &amp; I1980</f>
        <v>HeatImNitric_</v>
      </c>
      <c r="R2157" s="694"/>
      <c r="S2157" s="729"/>
      <c r="T2157" s="729"/>
      <c r="U2157" s="729"/>
      <c r="V2157" s="729"/>
      <c r="W2157" s="694"/>
      <c r="X2157" s="694"/>
      <c r="Y2157" s="694"/>
      <c r="Z2157" s="694"/>
      <c r="AA2157" s="694"/>
      <c r="AB2157" s="694"/>
      <c r="AC2157" s="982" t="b">
        <f>AC2156</f>
        <v>0</v>
      </c>
      <c r="AD2157" s="982" t="b">
        <f t="shared" ref="AD2157:AI2157" si="3048">AD2156</f>
        <v>0</v>
      </c>
      <c r="AE2157" s="982" t="b">
        <f t="shared" si="3048"/>
        <v>0</v>
      </c>
      <c r="AF2157" s="982" t="b">
        <f t="shared" si="3048"/>
        <v>0</v>
      </c>
      <c r="AG2157" s="982" t="b">
        <f t="shared" si="3048"/>
        <v>0</v>
      </c>
      <c r="AH2157" s="982" t="b">
        <f t="shared" si="3048"/>
        <v>0</v>
      </c>
      <c r="AI2157" s="982" t="b">
        <f t="shared" si="3048"/>
        <v>0</v>
      </c>
      <c r="AJ2157" s="1174" t="s">
        <v>2039</v>
      </c>
      <c r="AK2157" s="1176" t="str">
        <f>IF(AND(CNTR_ExistSubInstEntries,MSconst_RequireSubAttrEmissions,COUNTIFS(AC2157:AI2157,FALSE,H2157:N2157,"")&gt;0),EUconst_Error&amp;"BM"&amp;$Q1980,"")</f>
        <v/>
      </c>
      <c r="AL2157" s="694"/>
    </row>
    <row r="2158" spans="1:38" ht="5.15" customHeight="1" thickBot="1" x14ac:dyDescent="0.3">
      <c r="A2158" s="694"/>
      <c r="B2158" s="298"/>
      <c r="C2158" s="1302"/>
      <c r="D2158" s="1306"/>
      <c r="E2158" s="1306"/>
      <c r="F2158" s="1306"/>
      <c r="G2158" s="1306"/>
      <c r="H2158" s="1306"/>
      <c r="I2158" s="1306"/>
      <c r="J2158" s="1306"/>
      <c r="K2158" s="1306"/>
      <c r="L2158" s="1306"/>
      <c r="M2158" s="1306"/>
      <c r="N2158" s="1316"/>
      <c r="O2158" s="302"/>
      <c r="P2158" s="302"/>
      <c r="Q2158" s="729"/>
      <c r="R2158" s="694"/>
      <c r="S2158" s="729"/>
      <c r="T2158" s="729"/>
      <c r="U2158" s="729"/>
      <c r="V2158" s="729"/>
      <c r="W2158" s="694"/>
      <c r="X2158" s="694"/>
      <c r="Y2158" s="694"/>
      <c r="Z2158" s="694"/>
      <c r="AA2158" s="694"/>
      <c r="AB2158" s="694"/>
      <c r="AC2158" s="694"/>
      <c r="AD2158" s="694"/>
      <c r="AE2158" s="694"/>
      <c r="AF2158" s="694"/>
      <c r="AG2158" s="694"/>
      <c r="AH2158" s="694"/>
      <c r="AI2158" s="694"/>
      <c r="AJ2158" s="694"/>
      <c r="AK2158" s="694"/>
      <c r="AL2158" s="694"/>
    </row>
    <row r="2159" spans="1:38" ht="12.75" customHeight="1" thickBot="1" x14ac:dyDescent="0.3">
      <c r="A2159" s="694"/>
      <c r="B2159" s="298"/>
      <c r="C2159" s="1302"/>
      <c r="D2159" s="1306"/>
      <c r="E2159" s="2803" t="str">
        <f>Translations!$B$559</f>
        <v>Общо подадена топлинна енергия</v>
      </c>
      <c r="F2159" s="2672"/>
      <c r="G2159" s="1309" t="str">
        <f>EUconst_Unit</f>
        <v>Единица мярка</v>
      </c>
      <c r="H2159" s="629">
        <f t="shared" ref="H2159:N2159" si="3049">H$2831</f>
        <v>2024</v>
      </c>
      <c r="I2159" s="1310">
        <f t="shared" si="3049"/>
        <v>2025</v>
      </c>
      <c r="J2159" s="1311">
        <f t="shared" si="3049"/>
        <v>2026</v>
      </c>
      <c r="K2159" s="629">
        <f t="shared" si="3049"/>
        <v>2027</v>
      </c>
      <c r="L2159" s="629">
        <f t="shared" si="3049"/>
        <v>2028</v>
      </c>
      <c r="M2159" s="629">
        <f t="shared" si="3049"/>
        <v>2029</v>
      </c>
      <c r="N2159" s="1312">
        <f t="shared" si="3049"/>
        <v>2030</v>
      </c>
      <c r="O2159" s="302"/>
      <c r="P2159" s="302"/>
      <c r="Q2159" s="729"/>
      <c r="R2159" s="694"/>
      <c r="S2159" s="1205"/>
      <c r="T2159" s="1313">
        <f t="shared" ref="T2159" si="3050">H2159</f>
        <v>2024</v>
      </c>
      <c r="U2159" s="1313">
        <f t="shared" ref="U2159" si="3051">I2159</f>
        <v>2025</v>
      </c>
      <c r="V2159" s="1313">
        <f t="shared" ref="V2159" si="3052">J2159</f>
        <v>2026</v>
      </c>
      <c r="W2159" s="1313">
        <f t="shared" ref="W2159" si="3053">K2159</f>
        <v>2027</v>
      </c>
      <c r="X2159" s="1313">
        <f t="shared" ref="X2159" si="3054">L2159</f>
        <v>2028</v>
      </c>
      <c r="Y2159" s="1313">
        <f t="shared" ref="Y2159" si="3055">M2159</f>
        <v>2029</v>
      </c>
      <c r="Z2159" s="1314">
        <f t="shared" ref="Z2159" si="3056">N2159</f>
        <v>2030</v>
      </c>
      <c r="AA2159" s="694"/>
      <c r="AB2159" s="694"/>
      <c r="AC2159" s="1178">
        <f t="shared" ref="AC2159" si="3057">H$20</f>
        <v>2024</v>
      </c>
      <c r="AD2159" s="1178">
        <f t="shared" ref="AD2159" si="3058">I$20</f>
        <v>2025</v>
      </c>
      <c r="AE2159" s="1178">
        <f t="shared" ref="AE2159" si="3059">J$20</f>
        <v>2026</v>
      </c>
      <c r="AF2159" s="1178">
        <f t="shared" ref="AF2159" si="3060">K$20</f>
        <v>2027</v>
      </c>
      <c r="AG2159" s="1178">
        <f t="shared" ref="AG2159" si="3061">L$20</f>
        <v>2028</v>
      </c>
      <c r="AH2159" s="1178">
        <f t="shared" ref="AH2159" si="3062">M$20</f>
        <v>2029</v>
      </c>
      <c r="AI2159" s="1178">
        <f t="shared" ref="AI2159" si="3063">N$20</f>
        <v>2030</v>
      </c>
      <c r="AJ2159" s="694"/>
      <c r="AK2159" s="694"/>
      <c r="AL2159" s="694"/>
    </row>
    <row r="2160" spans="1:38" ht="12.75" customHeight="1" x14ac:dyDescent="0.25">
      <c r="A2160" s="694"/>
      <c r="B2160" s="298"/>
      <c r="C2160" s="1302"/>
      <c r="D2160" s="625" t="s">
        <v>810</v>
      </c>
      <c r="E2160" s="2820" t="str">
        <f>Translations!$B$560</f>
        <v>Нетно количество подадена топлинна енергия</v>
      </c>
      <c r="F2160" s="2258"/>
      <c r="G2160" s="1319" t="str">
        <f>EUconst_TJpa</f>
        <v>TJ / година</v>
      </c>
      <c r="H2160" s="56"/>
      <c r="I2160" s="115"/>
      <c r="J2160" s="118"/>
      <c r="K2160" s="56"/>
      <c r="L2160" s="56"/>
      <c r="M2160" s="56"/>
      <c r="N2160" s="121"/>
      <c r="O2160" s="302"/>
      <c r="P2160" s="158"/>
      <c r="Q2160" s="1190" t="str">
        <f>EUconst_CNTR_HeatExport &amp; I1980</f>
        <v>HeatEx_</v>
      </c>
      <c r="R2160" s="694"/>
      <c r="S2160" s="1347" t="str">
        <f>EUconst_ERR_AttrEmBMapplied &amp; I1980</f>
        <v>ERR_AttrEmBM_</v>
      </c>
      <c r="T2160" s="982">
        <f t="shared" ref="T2160" si="3064">IF(AND(H2160&lt;&gt;0,H2161="",EUconst_StatusOfDataCollection=FALSE),1,0)</f>
        <v>0</v>
      </c>
      <c r="U2160" s="982">
        <f t="shared" ref="U2160" si="3065">IF(AND(I2160&lt;&gt;0,I2161="",EUconst_StatusOfDataCollection=FALSE),1,0)</f>
        <v>0</v>
      </c>
      <c r="V2160" s="982">
        <f t="shared" ref="V2160" si="3066">IF(AND(J2160&lt;&gt;0,J2161="",EUconst_StatusOfDataCollection=FALSE),1,0)</f>
        <v>0</v>
      </c>
      <c r="W2160" s="982">
        <f t="shared" ref="W2160" si="3067">IF(AND(K2160&lt;&gt;0,K2161="",EUconst_StatusOfDataCollection=FALSE),1,0)</f>
        <v>0</v>
      </c>
      <c r="X2160" s="982">
        <f t="shared" ref="X2160" si="3068">IF(AND(L2160&lt;&gt;0,L2161="",EUconst_StatusOfDataCollection=FALSE),1,0)</f>
        <v>0</v>
      </c>
      <c r="Y2160" s="982">
        <f t="shared" ref="Y2160" si="3069">IF(AND(M2160&lt;&gt;0,M2161="",EUconst_StatusOfDataCollection=FALSE),1,0)</f>
        <v>0</v>
      </c>
      <c r="Z2160" s="1287">
        <f t="shared" ref="Z2160" si="3070">IF(AND(N2160&lt;&gt;0,N2161="",EUconst_StatusOfDataCollection=FALSE),1,0)</f>
        <v>0</v>
      </c>
      <c r="AA2160" s="694"/>
      <c r="AB2160" s="1182" t="s">
        <v>737</v>
      </c>
      <c r="AC2160" s="982" t="b">
        <f>AC2156</f>
        <v>0</v>
      </c>
      <c r="AD2160" s="982" t="b">
        <f t="shared" ref="AD2160:AI2160" si="3071">AD2156</f>
        <v>0</v>
      </c>
      <c r="AE2160" s="982" t="b">
        <f t="shared" si="3071"/>
        <v>0</v>
      </c>
      <c r="AF2160" s="982" t="b">
        <f t="shared" si="3071"/>
        <v>0</v>
      </c>
      <c r="AG2160" s="982" t="b">
        <f t="shared" si="3071"/>
        <v>0</v>
      </c>
      <c r="AH2160" s="982" t="b">
        <f t="shared" si="3071"/>
        <v>0</v>
      </c>
      <c r="AI2160" s="982" t="b">
        <f t="shared" si="3071"/>
        <v>0</v>
      </c>
      <c r="AJ2160" s="1174" t="s">
        <v>2039</v>
      </c>
      <c r="AK2160" s="1176" t="str">
        <f>IF(AND(CNTR_ExistSubInstEntries,MSconst_RequireSubAttrEmissions,COUNTIFS(AC2160:AI2160,FALSE,H2160:N2160,"")&gt;0),EUconst_Error&amp;"BM"&amp;$Q1980,"")</f>
        <v/>
      </c>
      <c r="AL2160" s="694"/>
    </row>
    <row r="2161" spans="1:38" ht="12.75" customHeight="1" thickBot="1" x14ac:dyDescent="0.3">
      <c r="A2161" s="694"/>
      <c r="B2161" s="298"/>
      <c r="C2161" s="1302"/>
      <c r="D2161" s="625" t="s">
        <v>811</v>
      </c>
      <c r="E2161" s="2820" t="str">
        <f>Translations!$B$561</f>
        <v>Специфичен EF (подадена топлинна енергия)</v>
      </c>
      <c r="F2161" s="2258"/>
      <c r="G2161" s="1319" t="str">
        <f>EUconst_tCO2pTJ</f>
        <v>t CO2 / TJ</v>
      </c>
      <c r="H2161" s="56"/>
      <c r="I2161" s="115"/>
      <c r="J2161" s="118"/>
      <c r="K2161" s="56"/>
      <c r="L2161" s="56"/>
      <c r="M2161" s="56"/>
      <c r="N2161" s="121"/>
      <c r="O2161" s="302"/>
      <c r="P2161" s="158"/>
      <c r="Q2161" s="1190" t="str">
        <f>EUconst_CNTR_HeatExportEF &amp; I1980</f>
        <v>HeatExEF_</v>
      </c>
      <c r="R2161" s="694"/>
      <c r="S2161" s="1315" t="str">
        <f>EUconst_CNTR_AttributedEmissions &amp; I1980</f>
        <v>AttrEmissions_</v>
      </c>
      <c r="T2161" s="1290" t="str">
        <f t="shared" ref="T2161" si="3072">IF(T1988,-SUM(H2160)*IF(INDEX(EUconst_BMlistMainNumberOfBM,MATCH($I1980,EUconst_BMlistNames,0))=39,0,IF(ISNUMBER(H2161),H2161,EUconst_HeatBMvalue)),"")</f>
        <v/>
      </c>
      <c r="U2161" s="1290" t="str">
        <f t="shared" ref="U2161" si="3073">IF(U1988,-SUM(I2160)*IF(INDEX(EUconst_BMlistMainNumberOfBM,MATCH($I1980,EUconst_BMlistNames,0))=39,0,IF(ISNUMBER(I2161),I2161,EUconst_HeatBMvalue)),"")</f>
        <v/>
      </c>
      <c r="V2161" s="1290" t="str">
        <f t="shared" ref="V2161" si="3074">IF(V1988,-SUM(J2160)*IF(INDEX(EUconst_BMlistMainNumberOfBM,MATCH($I1980,EUconst_BMlistNames,0))=39,0,IF(ISNUMBER(J2161),J2161,EUconst_HeatBMvalue)),"")</f>
        <v/>
      </c>
      <c r="W2161" s="1290" t="str">
        <f t="shared" ref="W2161" si="3075">IF(W1988,-SUM(K2160)*IF(INDEX(EUconst_BMlistMainNumberOfBM,MATCH($I1980,EUconst_BMlistNames,0))=39,0,IF(ISNUMBER(K2161),K2161,EUconst_HeatBMvalue)),"")</f>
        <v/>
      </c>
      <c r="X2161" s="1290" t="str">
        <f t="shared" ref="X2161" si="3076">IF(X1988,-SUM(L2160)*IF(INDEX(EUconst_BMlistMainNumberOfBM,MATCH($I1980,EUconst_BMlistNames,0))=39,0,IF(ISNUMBER(L2161),L2161,EUconst_HeatBMvalue)),"")</f>
        <v/>
      </c>
      <c r="Y2161" s="1290" t="str">
        <f t="shared" ref="Y2161" si="3077">IF(Y1988,-SUM(M2160)*IF(INDEX(EUconst_BMlistMainNumberOfBM,MATCH($I1980,EUconst_BMlistNames,0))=39,0,IF(ISNUMBER(M2161),M2161,EUconst_HeatBMvalue)),"")</f>
        <v/>
      </c>
      <c r="Z2161" s="1291" t="str">
        <f t="shared" ref="Z2161" si="3078">IF(Z1988,-SUM(N2160)*IF(INDEX(EUconst_BMlistMainNumberOfBM,MATCH($I1980,EUconst_BMlistNames,0))=39,0,IF(ISNUMBER(N2161),N2161,EUconst_HeatBMvalue)),"")</f>
        <v/>
      </c>
      <c r="AA2161" s="694"/>
      <c r="AB2161" s="694"/>
      <c r="AC2161" s="982" t="b">
        <f>AC2160</f>
        <v>0</v>
      </c>
      <c r="AD2161" s="982" t="b">
        <f t="shared" ref="AD2161:AI2161" si="3079">AD2160</f>
        <v>0</v>
      </c>
      <c r="AE2161" s="982" t="b">
        <f t="shared" si="3079"/>
        <v>0</v>
      </c>
      <c r="AF2161" s="982" t="b">
        <f t="shared" si="3079"/>
        <v>0</v>
      </c>
      <c r="AG2161" s="982" t="b">
        <f t="shared" si="3079"/>
        <v>0</v>
      </c>
      <c r="AH2161" s="982" t="b">
        <f t="shared" si="3079"/>
        <v>0</v>
      </c>
      <c r="AI2161" s="982" t="b">
        <f t="shared" si="3079"/>
        <v>0</v>
      </c>
      <c r="AJ2161" s="694"/>
      <c r="AK2161" s="694"/>
      <c r="AL2161" s="694"/>
    </row>
    <row r="2162" spans="1:38" ht="12.75" customHeight="1" x14ac:dyDescent="0.25">
      <c r="A2162" s="694"/>
      <c r="B2162" s="298"/>
      <c r="C2162" s="1302"/>
      <c r="D2162" s="1306"/>
      <c r="E2162" s="1306"/>
      <c r="F2162" s="1306"/>
      <c r="G2162" s="1306"/>
      <c r="H2162" s="1306"/>
      <c r="I2162" s="1306"/>
      <c r="J2162" s="1306"/>
      <c r="K2162" s="1306"/>
      <c r="L2162" s="1306"/>
      <c r="M2162" s="626"/>
      <c r="N2162" s="1316"/>
      <c r="O2162" s="302"/>
      <c r="P2162" s="302"/>
      <c r="Q2162" s="729"/>
      <c r="R2162" s="694"/>
      <c r="S2162" s="729"/>
      <c r="T2162" s="729"/>
      <c r="U2162" s="729"/>
      <c r="V2162" s="729"/>
      <c r="W2162" s="694"/>
      <c r="X2162" s="694"/>
      <c r="Y2162" s="694"/>
      <c r="Z2162" s="694"/>
      <c r="AA2162" s="694"/>
      <c r="AB2162" s="694"/>
      <c r="AC2162" s="694"/>
      <c r="AD2162" s="694"/>
      <c r="AE2162" s="694"/>
      <c r="AF2162" s="694"/>
      <c r="AG2162" s="694"/>
      <c r="AH2162" s="694"/>
      <c r="AI2162" s="694"/>
      <c r="AJ2162" s="694"/>
      <c r="AK2162" s="694"/>
      <c r="AL2162" s="694"/>
    </row>
    <row r="2163" spans="1:38" ht="12.75" customHeight="1" x14ac:dyDescent="0.25">
      <c r="A2163" s="694"/>
      <c r="B2163" s="298"/>
      <c r="C2163" s="1302"/>
      <c r="D2163" s="1307" t="s">
        <v>492</v>
      </c>
      <c r="E2163" s="2815" t="str">
        <f>Translations!$B$562</f>
        <v>Баланс на отпадните газове за тази инсталация</v>
      </c>
      <c r="F2163" s="2240"/>
      <c r="G2163" s="2240"/>
      <c r="H2163" s="2240"/>
      <c r="I2163" s="2240"/>
      <c r="J2163" s="2240"/>
      <c r="K2163" s="2240"/>
      <c r="L2163" s="2240"/>
      <c r="M2163" s="2240"/>
      <c r="N2163" s="2811"/>
      <c r="O2163" s="302"/>
      <c r="P2163" s="302"/>
      <c r="Q2163" s="729"/>
      <c r="R2163" s="694"/>
      <c r="S2163" s="729"/>
      <c r="T2163" s="729"/>
      <c r="U2163" s="729"/>
      <c r="V2163" s="729"/>
      <c r="W2163" s="694"/>
      <c r="X2163" s="694"/>
      <c r="Y2163" s="694"/>
      <c r="Z2163" s="694"/>
      <c r="AA2163" s="694"/>
      <c r="AB2163" s="694"/>
      <c r="AC2163" s="694"/>
      <c r="AD2163" s="694"/>
      <c r="AE2163" s="694"/>
      <c r="AF2163" s="694"/>
      <c r="AG2163" s="694"/>
      <c r="AH2163" s="694"/>
      <c r="AI2163" s="694"/>
      <c r="AJ2163" s="694"/>
      <c r="AK2163" s="694"/>
      <c r="AL2163" s="694"/>
    </row>
    <row r="2164" spans="1:38" ht="5.15" customHeight="1" x14ac:dyDescent="0.25">
      <c r="A2164" s="694"/>
      <c r="B2164" s="298"/>
      <c r="C2164" s="1302"/>
      <c r="D2164" s="1306"/>
      <c r="E2164" s="1325"/>
      <c r="F2164" s="1325"/>
      <c r="G2164" s="1325"/>
      <c r="H2164" s="1325"/>
      <c r="I2164" s="1325"/>
      <c r="J2164" s="1325"/>
      <c r="K2164" s="1325"/>
      <c r="L2164" s="1325"/>
      <c r="M2164" s="1325"/>
      <c r="N2164" s="1348"/>
      <c r="O2164" s="302"/>
      <c r="P2164" s="302"/>
      <c r="Q2164" s="729"/>
      <c r="R2164" s="694"/>
      <c r="S2164" s="729"/>
      <c r="T2164" s="729"/>
      <c r="U2164" s="729"/>
      <c r="V2164" s="729"/>
      <c r="W2164" s="694"/>
      <c r="X2164" s="694"/>
      <c r="Y2164" s="694"/>
      <c r="Z2164" s="694"/>
      <c r="AA2164" s="694"/>
      <c r="AB2164" s="694"/>
      <c r="AC2164" s="694"/>
      <c r="AD2164" s="694"/>
      <c r="AE2164" s="694"/>
      <c r="AF2164" s="694"/>
      <c r="AG2164" s="694"/>
      <c r="AH2164" s="694"/>
      <c r="AI2164" s="694"/>
      <c r="AJ2164" s="694"/>
      <c r="AK2164" s="694"/>
      <c r="AL2164" s="694"/>
    </row>
    <row r="2165" spans="1:38" ht="12.75" customHeight="1" x14ac:dyDescent="0.25">
      <c r="A2165" s="694"/>
      <c r="B2165" s="298"/>
      <c r="C2165" s="1302"/>
      <c r="D2165" s="625" t="s">
        <v>6</v>
      </c>
      <c r="E2165" s="2815" t="str">
        <f>Translations!$B$563</f>
        <v>От значение ли са отпадните газове за тази подинсталация?</v>
      </c>
      <c r="F2165" s="2240"/>
      <c r="G2165" s="2240"/>
      <c r="H2165" s="2240"/>
      <c r="I2165" s="2240"/>
      <c r="J2165" s="2240"/>
      <c r="K2165" s="2684"/>
      <c r="L2165" s="83"/>
      <c r="M2165" s="1322"/>
      <c r="N2165" s="1323"/>
      <c r="O2165" s="302"/>
      <c r="P2165" s="158"/>
      <c r="Q2165" s="729"/>
      <c r="R2165" s="694"/>
      <c r="S2165" s="729"/>
      <c r="T2165" s="694"/>
      <c r="U2165" s="694"/>
      <c r="V2165" s="694"/>
      <c r="W2165" s="694"/>
      <c r="X2165" s="694"/>
      <c r="Y2165" s="694"/>
      <c r="Z2165" s="694"/>
      <c r="AA2165" s="694"/>
      <c r="AB2165" s="694"/>
      <c r="AC2165" s="694"/>
      <c r="AD2165" s="694"/>
      <c r="AE2165" s="694"/>
      <c r="AF2165" s="1182" t="s">
        <v>737</v>
      </c>
      <c r="AG2165" s="901" t="b">
        <f>AND(CNTR_ExistSubInstEntries,I1980="")</f>
        <v>0</v>
      </c>
      <c r="AH2165" s="694"/>
      <c r="AI2165" s="694"/>
      <c r="AJ2165" s="694"/>
      <c r="AK2165" s="694"/>
      <c r="AL2165" s="694"/>
    </row>
    <row r="2166" spans="1:38" ht="12.75" customHeight="1" x14ac:dyDescent="0.25">
      <c r="A2166" s="694"/>
      <c r="B2166" s="298"/>
      <c r="C2166" s="1302"/>
      <c r="D2166" s="1306"/>
      <c r="E2166" s="2810" t="str">
        <f>Translations!$B$564</f>
        <v>Ако отговорът е „невярно“, целият раздел ще бъде защрихован в сиво и можете да продължите към следващите точки по-долу.</v>
      </c>
      <c r="F2166" s="2240"/>
      <c r="G2166" s="2240"/>
      <c r="H2166" s="2240"/>
      <c r="I2166" s="2240"/>
      <c r="J2166" s="2240"/>
      <c r="K2166" s="2240"/>
      <c r="L2166" s="2240"/>
      <c r="M2166" s="2240"/>
      <c r="N2166" s="2811"/>
      <c r="O2166" s="302"/>
      <c r="P2166" s="302"/>
      <c r="Q2166" s="729"/>
      <c r="R2166" s="694"/>
      <c r="S2166" s="729"/>
      <c r="T2166" s="694"/>
      <c r="U2166" s="694"/>
      <c r="V2166" s="694"/>
      <c r="W2166" s="694"/>
      <c r="X2166" s="694"/>
      <c r="Y2166" s="694"/>
      <c r="Z2166" s="694"/>
      <c r="AA2166" s="694"/>
      <c r="AB2166" s="694"/>
      <c r="AC2166" s="694"/>
      <c r="AD2166" s="694"/>
      <c r="AE2166" s="694"/>
      <c r="AF2166" s="694"/>
      <c r="AG2166" s="694"/>
      <c r="AH2166" s="694"/>
      <c r="AI2166" s="694"/>
      <c r="AJ2166" s="694"/>
      <c r="AK2166" s="694"/>
      <c r="AL2166" s="694"/>
    </row>
    <row r="2167" spans="1:38" ht="12.75" customHeight="1" x14ac:dyDescent="0.25">
      <c r="A2167" s="694"/>
      <c r="B2167" s="298"/>
      <c r="C2167" s="1302"/>
      <c r="D2167" s="625" t="s">
        <v>7</v>
      </c>
      <c r="E2167" s="2815" t="str">
        <f>Translations!$B$565</f>
        <v>Видове произведени отпадни газове:</v>
      </c>
      <c r="F2167" s="2240"/>
      <c r="G2167" s="2240"/>
      <c r="H2167" s="2684"/>
      <c r="I2167" s="2821"/>
      <c r="J2167" s="2674"/>
      <c r="K2167" s="2674"/>
      <c r="L2167" s="2674"/>
      <c r="M2167" s="2675"/>
      <c r="N2167" s="1323"/>
      <c r="O2167" s="302"/>
      <c r="P2167" s="158"/>
      <c r="Q2167" s="729"/>
      <c r="R2167" s="694"/>
      <c r="S2167" s="729"/>
      <c r="T2167" s="694"/>
      <c r="U2167" s="694"/>
      <c r="V2167" s="694"/>
      <c r="W2167" s="694"/>
      <c r="X2167" s="694"/>
      <c r="Y2167" s="694"/>
      <c r="Z2167" s="694"/>
      <c r="AA2167" s="694"/>
      <c r="AB2167" s="694"/>
      <c r="AC2167" s="1182" t="s">
        <v>737</v>
      </c>
      <c r="AD2167" s="901" t="b">
        <f>OR(AG2165,AND($L2165&lt;&gt;"",$L2165=FALSE))</f>
        <v>0</v>
      </c>
      <c r="AE2167" s="694"/>
      <c r="AF2167" s="694"/>
      <c r="AG2167" s="694"/>
      <c r="AH2167" s="694"/>
      <c r="AI2167" s="694"/>
      <c r="AJ2167" s="694"/>
      <c r="AK2167" s="694"/>
      <c r="AL2167" s="694"/>
    </row>
    <row r="2168" spans="1:38" ht="12.75" customHeight="1" x14ac:dyDescent="0.25">
      <c r="A2168" s="694"/>
      <c r="B2168" s="298"/>
      <c r="C2168" s="1302"/>
      <c r="D2168" s="1306"/>
      <c r="E2168" s="2810" t="str">
        <f>Translations!$B$566</f>
        <v>Можете да изберете да подадете данните в тонове или 1000 Nm3. Мерните единици трябва да съответстват на използваните за долна топлина на изгаряне (NCV) и емисионния фактор по-долу.</v>
      </c>
      <c r="F2168" s="2240"/>
      <c r="G2168" s="2240"/>
      <c r="H2168" s="2240"/>
      <c r="I2168" s="2240"/>
      <c r="J2168" s="2240"/>
      <c r="K2168" s="2240"/>
      <c r="L2168" s="2240"/>
      <c r="M2168" s="2240"/>
      <c r="N2168" s="2811"/>
      <c r="O2168" s="302"/>
      <c r="P2168" s="302"/>
      <c r="Q2168" s="729"/>
      <c r="R2168" s="694"/>
      <c r="S2168" s="729"/>
      <c r="T2168" s="729"/>
      <c r="U2168" s="729"/>
      <c r="V2168" s="729"/>
      <c r="W2168" s="694"/>
      <c r="X2168" s="694"/>
      <c r="Y2168" s="694"/>
      <c r="Z2168" s="694"/>
      <c r="AA2168" s="694"/>
      <c r="AB2168" s="694"/>
      <c r="AC2168" s="694"/>
      <c r="AD2168" s="694"/>
      <c r="AE2168" s="694"/>
      <c r="AF2168" s="694"/>
      <c r="AG2168" s="694"/>
      <c r="AH2168" s="694"/>
      <c r="AI2168" s="694"/>
      <c r="AJ2168" s="694"/>
      <c r="AK2168" s="694"/>
      <c r="AL2168" s="694"/>
    </row>
    <row r="2169" spans="1:38" ht="12.75" customHeight="1" x14ac:dyDescent="0.25">
      <c r="A2169" s="694"/>
      <c r="B2169" s="298"/>
      <c r="C2169" s="1302"/>
      <c r="D2169" s="1306"/>
      <c r="E2169" s="2816" t="str">
        <f>Translations!$B$520</f>
        <v>Посочените тук данни се използват само с цел проверка на съответствието и нямат пряко отражение върху емисиите, които могат да бъдат зададени, или на разпределението на квотите.</v>
      </c>
      <c r="F2169" s="2240"/>
      <c r="G2169" s="2240"/>
      <c r="H2169" s="2240"/>
      <c r="I2169" s="2240"/>
      <c r="J2169" s="2240"/>
      <c r="K2169" s="2240"/>
      <c r="L2169" s="2240"/>
      <c r="M2169" s="2240"/>
      <c r="N2169" s="2811"/>
      <c r="O2169" s="302"/>
      <c r="P2169" s="302"/>
      <c r="Q2169" s="729"/>
      <c r="R2169" s="694"/>
      <c r="S2169" s="729"/>
      <c r="T2169" s="729"/>
      <c r="U2169" s="729"/>
      <c r="V2169" s="729"/>
      <c r="W2169" s="694"/>
      <c r="X2169" s="694"/>
      <c r="Y2169" s="694"/>
      <c r="Z2169" s="694"/>
      <c r="AA2169" s="694"/>
      <c r="AB2169" s="694"/>
      <c r="AC2169" s="694"/>
      <c r="AD2169" s="694"/>
      <c r="AE2169" s="694"/>
      <c r="AF2169" s="694"/>
      <c r="AG2169" s="694"/>
      <c r="AH2169" s="694"/>
      <c r="AI2169" s="694"/>
      <c r="AJ2169" s="694"/>
      <c r="AK2169" s="694"/>
      <c r="AL2169" s="694"/>
    </row>
    <row r="2170" spans="1:38" ht="12.75" customHeight="1" thickBot="1" x14ac:dyDescent="0.3">
      <c r="A2170" s="694"/>
      <c r="B2170" s="298"/>
      <c r="C2170" s="1302"/>
      <c r="D2170" s="1306"/>
      <c r="E2170" s="1317"/>
      <c r="F2170" s="1318"/>
      <c r="G2170" s="1309" t="str">
        <f>EUconst_Unit</f>
        <v>Единица мярка</v>
      </c>
      <c r="H2170" s="629">
        <f t="shared" ref="H2170:N2170" si="3080">H$2831</f>
        <v>2024</v>
      </c>
      <c r="I2170" s="1310">
        <f t="shared" si="3080"/>
        <v>2025</v>
      </c>
      <c r="J2170" s="1311">
        <f t="shared" si="3080"/>
        <v>2026</v>
      </c>
      <c r="K2170" s="629">
        <f t="shared" si="3080"/>
        <v>2027</v>
      </c>
      <c r="L2170" s="629">
        <f t="shared" si="3080"/>
        <v>2028</v>
      </c>
      <c r="M2170" s="629">
        <f t="shared" si="3080"/>
        <v>2029</v>
      </c>
      <c r="N2170" s="1312">
        <f t="shared" si="3080"/>
        <v>2030</v>
      </c>
      <c r="O2170" s="302"/>
      <c r="P2170" s="302"/>
      <c r="Q2170" s="729"/>
      <c r="R2170" s="694"/>
      <c r="S2170" s="729"/>
      <c r="T2170" s="729"/>
      <c r="U2170" s="729"/>
      <c r="V2170" s="729"/>
      <c r="W2170" s="694"/>
      <c r="X2170" s="694"/>
      <c r="Y2170" s="694"/>
      <c r="Z2170" s="694"/>
      <c r="AA2170" s="694"/>
      <c r="AB2170" s="694"/>
      <c r="AC2170" s="1178">
        <f t="shared" ref="AC2170" si="3081">H$20</f>
        <v>2024</v>
      </c>
      <c r="AD2170" s="1178">
        <f t="shared" ref="AD2170" si="3082">I$20</f>
        <v>2025</v>
      </c>
      <c r="AE2170" s="1178">
        <f t="shared" ref="AE2170" si="3083">J$20</f>
        <v>2026</v>
      </c>
      <c r="AF2170" s="1178">
        <f t="shared" ref="AF2170" si="3084">K$20</f>
        <v>2027</v>
      </c>
      <c r="AG2170" s="1178">
        <f t="shared" ref="AG2170" si="3085">L$20</f>
        <v>2028</v>
      </c>
      <c r="AH2170" s="1178">
        <f t="shared" ref="AH2170" si="3086">M$20</f>
        <v>2029</v>
      </c>
      <c r="AI2170" s="1178">
        <f t="shared" ref="AI2170" si="3087">N$20</f>
        <v>2030</v>
      </c>
      <c r="AJ2170" s="694"/>
      <c r="AK2170" s="694"/>
      <c r="AL2170" s="694"/>
    </row>
    <row r="2171" spans="1:38" ht="12.75" customHeight="1" x14ac:dyDescent="0.25">
      <c r="A2171" s="694"/>
      <c r="B2171" s="298"/>
      <c r="C2171" s="1302"/>
      <c r="D2171" s="625" t="s">
        <v>8</v>
      </c>
      <c r="E2171" s="2818" t="str">
        <f>Translations!$B$567</f>
        <v>Произведени количества</v>
      </c>
      <c r="F2171" s="2701"/>
      <c r="G2171" s="145"/>
      <c r="H2171" s="129"/>
      <c r="I2171" s="130"/>
      <c r="J2171" s="131"/>
      <c r="K2171" s="129"/>
      <c r="L2171" s="129"/>
      <c r="M2171" s="129"/>
      <c r="N2171" s="132"/>
      <c r="O2171" s="302"/>
      <c r="P2171" s="158"/>
      <c r="Q2171" s="729"/>
      <c r="R2171" s="694"/>
      <c r="S2171" s="729"/>
      <c r="T2171" s="729"/>
      <c r="U2171" s="729"/>
      <c r="V2171" s="729"/>
      <c r="W2171" s="694"/>
      <c r="X2171" s="694"/>
      <c r="Y2171" s="694"/>
      <c r="Z2171" s="694"/>
      <c r="AA2171" s="694"/>
      <c r="AB2171" s="1182" t="s">
        <v>737</v>
      </c>
      <c r="AC2171" s="901" t="b">
        <f>OR(AND($L2165&lt;&gt;"",$L2165=FALSE),AC2027)</f>
        <v>0</v>
      </c>
      <c r="AD2171" s="982" t="b">
        <f t="shared" ref="AD2171:AI2171" si="3088">OR(AND($L2165&lt;&gt;"",$L2165=FALSE),AD2027)</f>
        <v>0</v>
      </c>
      <c r="AE2171" s="982" t="b">
        <f t="shared" si="3088"/>
        <v>0</v>
      </c>
      <c r="AF2171" s="982" t="b">
        <f t="shared" si="3088"/>
        <v>0</v>
      </c>
      <c r="AG2171" s="982" t="b">
        <f t="shared" si="3088"/>
        <v>0</v>
      </c>
      <c r="AH2171" s="982" t="b">
        <f t="shared" si="3088"/>
        <v>0</v>
      </c>
      <c r="AI2171" s="982" t="b">
        <f t="shared" si="3088"/>
        <v>0</v>
      </c>
      <c r="AJ2171" s="1174" t="s">
        <v>2039</v>
      </c>
      <c r="AK2171" s="1176" t="str">
        <f>IF(AND(CNTR_ExistSubInstEntries,MSconst_RequireSubAttrEmissions,COUNTIFS(AC2171:AI2171,FALSE,H2171:N2171,"")&gt;0),EUconst_Error&amp;"BM"&amp;$Q1980,"")</f>
        <v/>
      </c>
      <c r="AL2171" s="694"/>
    </row>
    <row r="2172" spans="1:38" ht="12.75" customHeight="1" x14ac:dyDescent="0.25">
      <c r="A2172" s="694"/>
      <c r="B2172" s="298"/>
      <c r="C2172" s="1302"/>
      <c r="D2172" s="625" t="s">
        <v>18</v>
      </c>
      <c r="E2172" s="2819" t="str">
        <f>Translations!$B$296</f>
        <v>Долна топлина на изгаряне</v>
      </c>
      <c r="F2172" s="2705"/>
      <c r="G2172" s="1349" t="str">
        <f>IF(ISBLANK(G2171),EUconst_GJperUnit,INDEX(EUconst_GJperTorKNm3,MATCH(G2171,EUconst_TonnesOrkNm3pa,0)))</f>
        <v>GJ / Единица мярка</v>
      </c>
      <c r="H2172" s="137"/>
      <c r="I2172" s="138"/>
      <c r="J2172" s="139"/>
      <c r="K2172" s="137"/>
      <c r="L2172" s="137"/>
      <c r="M2172" s="137"/>
      <c r="N2172" s="140"/>
      <c r="O2172" s="302"/>
      <c r="P2172" s="158"/>
      <c r="Q2172" s="694"/>
      <c r="R2172" s="694"/>
      <c r="S2172" s="729"/>
      <c r="T2172" s="729"/>
      <c r="U2172" s="729"/>
      <c r="V2172" s="729"/>
      <c r="W2172" s="729"/>
      <c r="X2172" s="729"/>
      <c r="Y2172" s="729"/>
      <c r="Z2172" s="729"/>
      <c r="AA2172" s="694"/>
      <c r="AB2172" s="694"/>
      <c r="AC2172" s="982" t="b">
        <f>AC2171</f>
        <v>0</v>
      </c>
      <c r="AD2172" s="982" t="b">
        <f t="shared" ref="AD2172:AI2172" si="3089">AD2171</f>
        <v>0</v>
      </c>
      <c r="AE2172" s="982" t="b">
        <f t="shared" si="3089"/>
        <v>0</v>
      </c>
      <c r="AF2172" s="982" t="b">
        <f t="shared" si="3089"/>
        <v>0</v>
      </c>
      <c r="AG2172" s="982" t="b">
        <f t="shared" si="3089"/>
        <v>0</v>
      </c>
      <c r="AH2172" s="982" t="b">
        <f t="shared" si="3089"/>
        <v>0</v>
      </c>
      <c r="AI2172" s="982" t="b">
        <f t="shared" si="3089"/>
        <v>0</v>
      </c>
      <c r="AJ2172" s="1174" t="s">
        <v>2039</v>
      </c>
      <c r="AK2172" s="1176" t="str">
        <f>IF(AND(CNTR_ExistSubInstEntries,MSconst_RequireSubAttrEmissions,COUNTIFS(AC2172:AI2172,FALSE,H2172:N2172,"")&gt;0),EUconst_Error&amp;"BM"&amp;$Q1980,"")</f>
        <v/>
      </c>
      <c r="AL2172" s="694"/>
    </row>
    <row r="2173" spans="1:38" ht="12.75" customHeight="1" x14ac:dyDescent="0.25">
      <c r="A2173" s="694"/>
      <c r="B2173" s="298"/>
      <c r="C2173" s="1302"/>
      <c r="D2173" s="625" t="s">
        <v>810</v>
      </c>
      <c r="E2173" s="2820" t="str">
        <f>Translations!$B$568</f>
        <v>Произведен отпаден газ</v>
      </c>
      <c r="F2173" s="2258"/>
      <c r="G2173" s="1319" t="str">
        <f>EUconst_TJpa</f>
        <v>TJ / година</v>
      </c>
      <c r="H2173" s="1350" t="str">
        <f t="shared" ref="H2173:N2173" si="3090">IF(COUNT(H2171:H2172)=2,H2171*H2172/1000,"")</f>
        <v/>
      </c>
      <c r="I2173" s="1351" t="str">
        <f t="shared" si="3090"/>
        <v/>
      </c>
      <c r="J2173" s="1352" t="str">
        <f t="shared" si="3090"/>
        <v/>
      </c>
      <c r="K2173" s="1350" t="str">
        <f t="shared" si="3090"/>
        <v/>
      </c>
      <c r="L2173" s="1350" t="str">
        <f t="shared" si="3090"/>
        <v/>
      </c>
      <c r="M2173" s="1350" t="str">
        <f t="shared" si="3090"/>
        <v/>
      </c>
      <c r="N2173" s="1353" t="str">
        <f t="shared" si="3090"/>
        <v/>
      </c>
      <c r="O2173" s="302"/>
      <c r="P2173" s="302"/>
      <c r="Q2173" s="1190" t="str">
        <f>EUconst_CNTR_WGProduced &amp; I1980</f>
        <v>WasteGasProd_</v>
      </c>
      <c r="R2173" s="694"/>
      <c r="S2173" s="729"/>
      <c r="T2173" s="729"/>
      <c r="U2173" s="729"/>
      <c r="V2173" s="729"/>
      <c r="W2173" s="729"/>
      <c r="X2173" s="729"/>
      <c r="Y2173" s="729"/>
      <c r="Z2173" s="729"/>
      <c r="AA2173" s="694"/>
      <c r="AB2173" s="694"/>
      <c r="AC2173" s="694"/>
      <c r="AD2173" s="694"/>
      <c r="AE2173" s="694"/>
      <c r="AF2173" s="694"/>
      <c r="AG2173" s="694"/>
      <c r="AH2173" s="694"/>
      <c r="AI2173" s="694"/>
      <c r="AJ2173" s="694"/>
      <c r="AK2173" s="694"/>
      <c r="AL2173" s="694"/>
    </row>
    <row r="2174" spans="1:38" ht="12.75" customHeight="1" x14ac:dyDescent="0.25">
      <c r="A2174" s="694"/>
      <c r="B2174" s="298"/>
      <c r="C2174" s="1302"/>
      <c r="D2174" s="625" t="s">
        <v>811</v>
      </c>
      <c r="E2174" s="2820" t="str">
        <f>Translations!$B$569</f>
        <v>Специфичен EF (произведен отпаден газ)</v>
      </c>
      <c r="F2174" s="2258"/>
      <c r="G2174" s="1319" t="str">
        <f>EUconst_tCO2pTJ</f>
        <v>t CO2 / TJ</v>
      </c>
      <c r="H2174" s="56"/>
      <c r="I2174" s="115"/>
      <c r="J2174" s="118"/>
      <c r="K2174" s="56"/>
      <c r="L2174" s="56"/>
      <c r="M2174" s="56"/>
      <c r="N2174" s="121"/>
      <c r="O2174" s="302"/>
      <c r="P2174" s="158"/>
      <c r="Q2174" s="1190" t="str">
        <f>EUconst_CNTR_WGProducedEF &amp; I1980</f>
        <v>WasteGasProdEF_</v>
      </c>
      <c r="R2174" s="694"/>
      <c r="S2174" s="729"/>
      <c r="T2174" s="729"/>
      <c r="U2174" s="729"/>
      <c r="V2174" s="729"/>
      <c r="W2174" s="729"/>
      <c r="X2174" s="729"/>
      <c r="Y2174" s="729"/>
      <c r="Z2174" s="729"/>
      <c r="AA2174" s="694"/>
      <c r="AB2174" s="1182" t="s">
        <v>737</v>
      </c>
      <c r="AC2174" s="982" t="b">
        <f>AC2172</f>
        <v>0</v>
      </c>
      <c r="AD2174" s="982" t="b">
        <f t="shared" ref="AD2174:AI2174" si="3091">AD2172</f>
        <v>0</v>
      </c>
      <c r="AE2174" s="982" t="b">
        <f t="shared" si="3091"/>
        <v>0</v>
      </c>
      <c r="AF2174" s="982" t="b">
        <f t="shared" si="3091"/>
        <v>0</v>
      </c>
      <c r="AG2174" s="982" t="b">
        <f t="shared" si="3091"/>
        <v>0</v>
      </c>
      <c r="AH2174" s="982" t="b">
        <f t="shared" si="3091"/>
        <v>0</v>
      </c>
      <c r="AI2174" s="982" t="b">
        <f t="shared" si="3091"/>
        <v>0</v>
      </c>
      <c r="AJ2174" s="1174" t="s">
        <v>2039</v>
      </c>
      <c r="AK2174" s="1176" t="str">
        <f>IF(AND(CNTR_ExistSubInstEntries,MSconst_RequireSubAttrEmissions,COUNTIFS(AC2174:AI2174,FALSE,H2174:N2174,"")&gt;0),EUconst_Error&amp;"BM"&amp;$Q1980,"")</f>
        <v/>
      </c>
      <c r="AL2174" s="694"/>
    </row>
    <row r="2175" spans="1:38" ht="12.75" customHeight="1" x14ac:dyDescent="0.25">
      <c r="A2175" s="694"/>
      <c r="B2175" s="298"/>
      <c r="C2175" s="1302"/>
      <c r="D2175" s="1306"/>
      <c r="E2175" s="1306"/>
      <c r="F2175" s="1306"/>
      <c r="G2175" s="1306"/>
      <c r="H2175" s="1354"/>
      <c r="I2175" s="1306"/>
      <c r="J2175" s="1306"/>
      <c r="K2175" s="1306"/>
      <c r="L2175" s="1306"/>
      <c r="M2175" s="626"/>
      <c r="N2175" s="1316"/>
      <c r="O2175" s="302"/>
      <c r="P2175" s="302"/>
      <c r="Q2175" s="729"/>
      <c r="R2175" s="694"/>
      <c r="S2175" s="729"/>
      <c r="T2175" s="729"/>
      <c r="U2175" s="729"/>
      <c r="V2175" s="729"/>
      <c r="W2175" s="729"/>
      <c r="X2175" s="729"/>
      <c r="Y2175" s="729"/>
      <c r="Z2175" s="729"/>
      <c r="AA2175" s="694"/>
      <c r="AB2175" s="694"/>
      <c r="AC2175" s="694"/>
      <c r="AD2175" s="694"/>
      <c r="AE2175" s="694"/>
      <c r="AF2175" s="694"/>
      <c r="AG2175" s="694"/>
      <c r="AH2175" s="694"/>
      <c r="AI2175" s="694"/>
      <c r="AJ2175" s="694"/>
      <c r="AK2175" s="694"/>
      <c r="AL2175" s="694"/>
    </row>
    <row r="2176" spans="1:38" ht="12.75" customHeight="1" x14ac:dyDescent="0.25">
      <c r="A2176" s="694"/>
      <c r="B2176" s="298"/>
      <c r="C2176" s="1302"/>
      <c r="D2176" s="625" t="s">
        <v>812</v>
      </c>
      <c r="E2176" s="2815" t="str">
        <f>Translations!$B$570</f>
        <v>Видове консумирани отпадни газове:</v>
      </c>
      <c r="F2176" s="2240"/>
      <c r="G2176" s="2240"/>
      <c r="H2176" s="2684"/>
      <c r="I2176" s="2821"/>
      <c r="J2176" s="2674"/>
      <c r="K2176" s="2674"/>
      <c r="L2176" s="2674"/>
      <c r="M2176" s="2675"/>
      <c r="N2176" s="1323"/>
      <c r="O2176" s="302"/>
      <c r="P2176" s="158"/>
      <c r="Q2176" s="729"/>
      <c r="R2176" s="694"/>
      <c r="S2176" s="729"/>
      <c r="T2176" s="729"/>
      <c r="U2176" s="729"/>
      <c r="V2176" s="729"/>
      <c r="W2176" s="729"/>
      <c r="X2176" s="729"/>
      <c r="Y2176" s="729"/>
      <c r="Z2176" s="729"/>
      <c r="AA2176" s="694"/>
      <c r="AB2176" s="694"/>
      <c r="AC2176" s="1182" t="s">
        <v>737</v>
      </c>
      <c r="AD2176" s="982" t="b">
        <f>AD2167</f>
        <v>0</v>
      </c>
      <c r="AE2176" s="694"/>
      <c r="AF2176" s="694"/>
      <c r="AG2176" s="694"/>
      <c r="AH2176" s="694"/>
      <c r="AI2176" s="694"/>
      <c r="AJ2176" s="694"/>
      <c r="AK2176" s="694"/>
      <c r="AL2176" s="694"/>
    </row>
    <row r="2177" spans="1:38" ht="25.5" customHeight="1" x14ac:dyDescent="0.25">
      <c r="A2177" s="694"/>
      <c r="B2177" s="298"/>
      <c r="C2177" s="1302"/>
      <c r="D2177" s="625"/>
      <c r="E2177" s="2810" t="str">
        <f>Translations!$B$571</f>
        <v>Това включва всички видове отпадни газове, които се консумират от тази подинсталация при производството на измерима топлинна енергия, неизмерима топлинна енергия (включително необходимото за безопасността изгаряне във факел) или механична енергия (различна от тази за електропроизводство). Количествата, резултат от изгаряне във факел, различни от необходимото за безопасността изгаряне във факел, се отчитат в следващата точка по-долу.</v>
      </c>
      <c r="F2177" s="2240"/>
      <c r="G2177" s="2240"/>
      <c r="H2177" s="2240"/>
      <c r="I2177" s="2240"/>
      <c r="J2177" s="2240"/>
      <c r="K2177" s="2240"/>
      <c r="L2177" s="2240"/>
      <c r="M2177" s="2240"/>
      <c r="N2177" s="2811"/>
      <c r="O2177" s="302"/>
      <c r="P2177" s="302"/>
      <c r="Q2177" s="729"/>
      <c r="R2177" s="694"/>
      <c r="S2177" s="729"/>
      <c r="T2177" s="729"/>
      <c r="U2177" s="729"/>
      <c r="V2177" s="729"/>
      <c r="W2177" s="729"/>
      <c r="X2177" s="729"/>
      <c r="Y2177" s="729"/>
      <c r="Z2177" s="729"/>
      <c r="AA2177" s="694"/>
      <c r="AB2177" s="694"/>
      <c r="AC2177" s="694"/>
      <c r="AD2177" s="694"/>
      <c r="AE2177" s="694"/>
      <c r="AF2177" s="694"/>
      <c r="AG2177" s="694"/>
      <c r="AH2177" s="694"/>
      <c r="AI2177" s="694"/>
      <c r="AJ2177" s="694"/>
      <c r="AK2177" s="694"/>
      <c r="AL2177" s="694"/>
    </row>
    <row r="2178" spans="1:38" ht="12.75" customHeight="1" x14ac:dyDescent="0.25">
      <c r="A2178" s="694"/>
      <c r="B2178" s="298"/>
      <c r="C2178" s="1302"/>
      <c r="D2178" s="1306"/>
      <c r="E2178" s="2816" t="str">
        <f>Translations!$B$520</f>
        <v>Посочените тук данни се използват само с цел проверка на съответствието и нямат пряко отражение върху емисиите, които могат да бъдат зададени, или на разпределението на квотите.</v>
      </c>
      <c r="F2178" s="2240"/>
      <c r="G2178" s="2240"/>
      <c r="H2178" s="2240"/>
      <c r="I2178" s="2240"/>
      <c r="J2178" s="2240"/>
      <c r="K2178" s="2240"/>
      <c r="L2178" s="2240"/>
      <c r="M2178" s="2240"/>
      <c r="N2178" s="2811"/>
      <c r="O2178" s="302"/>
      <c r="P2178" s="302"/>
      <c r="Q2178" s="729"/>
      <c r="R2178" s="694"/>
      <c r="S2178" s="729"/>
      <c r="T2178" s="729"/>
      <c r="U2178" s="729"/>
      <c r="V2178" s="729"/>
      <c r="W2178" s="729"/>
      <c r="X2178" s="729"/>
      <c r="Y2178" s="729"/>
      <c r="Z2178" s="729"/>
      <c r="AA2178" s="694"/>
      <c r="AB2178" s="694"/>
      <c r="AC2178" s="694"/>
      <c r="AD2178" s="694"/>
      <c r="AE2178" s="694"/>
      <c r="AF2178" s="694"/>
      <c r="AG2178" s="694"/>
      <c r="AH2178" s="694"/>
      <c r="AI2178" s="694"/>
      <c r="AJ2178" s="694"/>
      <c r="AK2178" s="694"/>
      <c r="AL2178" s="694"/>
    </row>
    <row r="2179" spans="1:38" ht="12.75" customHeight="1" thickBot="1" x14ac:dyDescent="0.3">
      <c r="A2179" s="694"/>
      <c r="B2179" s="298"/>
      <c r="C2179" s="1302"/>
      <c r="D2179" s="1306"/>
      <c r="E2179" s="1317"/>
      <c r="F2179" s="1318"/>
      <c r="G2179" s="1309" t="str">
        <f>EUconst_Unit</f>
        <v>Единица мярка</v>
      </c>
      <c r="H2179" s="629">
        <f t="shared" ref="H2179:N2179" si="3092">H$2831</f>
        <v>2024</v>
      </c>
      <c r="I2179" s="1310">
        <f t="shared" si="3092"/>
        <v>2025</v>
      </c>
      <c r="J2179" s="1311">
        <f t="shared" si="3092"/>
        <v>2026</v>
      </c>
      <c r="K2179" s="629">
        <f t="shared" si="3092"/>
        <v>2027</v>
      </c>
      <c r="L2179" s="629">
        <f t="shared" si="3092"/>
        <v>2028</v>
      </c>
      <c r="M2179" s="629">
        <f t="shared" si="3092"/>
        <v>2029</v>
      </c>
      <c r="N2179" s="1312">
        <f t="shared" si="3092"/>
        <v>2030</v>
      </c>
      <c r="O2179" s="302"/>
      <c r="P2179" s="302"/>
      <c r="Q2179" s="729"/>
      <c r="R2179" s="694"/>
      <c r="S2179" s="729"/>
      <c r="T2179" s="729"/>
      <c r="U2179" s="729"/>
      <c r="V2179" s="729"/>
      <c r="W2179" s="729"/>
      <c r="X2179" s="729"/>
      <c r="Y2179" s="729"/>
      <c r="Z2179" s="729"/>
      <c r="AA2179" s="694"/>
      <c r="AB2179" s="694"/>
      <c r="AC2179" s="1178">
        <f t="shared" ref="AC2179" si="3093">H$20</f>
        <v>2024</v>
      </c>
      <c r="AD2179" s="1178">
        <f t="shared" ref="AD2179" si="3094">I$20</f>
        <v>2025</v>
      </c>
      <c r="AE2179" s="1178">
        <f t="shared" ref="AE2179" si="3095">J$20</f>
        <v>2026</v>
      </c>
      <c r="AF2179" s="1178">
        <f t="shared" ref="AF2179" si="3096">K$20</f>
        <v>2027</v>
      </c>
      <c r="AG2179" s="1178">
        <f t="shared" ref="AG2179" si="3097">L$20</f>
        <v>2028</v>
      </c>
      <c r="AH2179" s="1178">
        <f t="shared" ref="AH2179" si="3098">M$20</f>
        <v>2029</v>
      </c>
      <c r="AI2179" s="1178">
        <f t="shared" ref="AI2179" si="3099">N$20</f>
        <v>2030</v>
      </c>
      <c r="AJ2179" s="694"/>
      <c r="AK2179" s="694"/>
      <c r="AL2179" s="694"/>
    </row>
    <row r="2180" spans="1:38" ht="12.75" customHeight="1" x14ac:dyDescent="0.25">
      <c r="A2180" s="694"/>
      <c r="B2180" s="298"/>
      <c r="C2180" s="1302"/>
      <c r="D2180" s="625" t="s">
        <v>813</v>
      </c>
      <c r="E2180" s="2818" t="str">
        <f>Translations!$B$572</f>
        <v>Консумирани количества</v>
      </c>
      <c r="F2180" s="2701"/>
      <c r="G2180" s="145"/>
      <c r="H2180" s="129"/>
      <c r="I2180" s="130"/>
      <c r="J2180" s="131"/>
      <c r="K2180" s="129"/>
      <c r="L2180" s="129"/>
      <c r="M2180" s="129"/>
      <c r="N2180" s="132"/>
      <c r="O2180" s="302"/>
      <c r="P2180" s="158"/>
      <c r="Q2180" s="729"/>
      <c r="R2180" s="694"/>
      <c r="S2180" s="729"/>
      <c r="T2180" s="729"/>
      <c r="U2180" s="729"/>
      <c r="V2180" s="729"/>
      <c r="W2180" s="729"/>
      <c r="X2180" s="729"/>
      <c r="Y2180" s="729"/>
      <c r="Z2180" s="729"/>
      <c r="AA2180" s="694"/>
      <c r="AB2180" s="1182" t="s">
        <v>737</v>
      </c>
      <c r="AC2180" s="982" t="b">
        <f>AC2171</f>
        <v>0</v>
      </c>
      <c r="AD2180" s="982" t="b">
        <f t="shared" ref="AD2180:AI2180" si="3100">AD2171</f>
        <v>0</v>
      </c>
      <c r="AE2180" s="982" t="b">
        <f t="shared" si="3100"/>
        <v>0</v>
      </c>
      <c r="AF2180" s="982" t="b">
        <f t="shared" si="3100"/>
        <v>0</v>
      </c>
      <c r="AG2180" s="982" t="b">
        <f t="shared" si="3100"/>
        <v>0</v>
      </c>
      <c r="AH2180" s="982" t="b">
        <f t="shared" si="3100"/>
        <v>0</v>
      </c>
      <c r="AI2180" s="982" t="b">
        <f t="shared" si="3100"/>
        <v>0</v>
      </c>
      <c r="AJ2180" s="1174" t="s">
        <v>2039</v>
      </c>
      <c r="AK2180" s="1176" t="str">
        <f>IF(AND(CNTR_ExistSubInstEntries,MSconst_RequireSubAttrEmissions,COUNTIFS(AC2180:AI2180,FALSE,H2180:N2180,"")&gt;0),EUconst_Error&amp;"BM"&amp;$Q1980,"")</f>
        <v/>
      </c>
      <c r="AL2180" s="694"/>
    </row>
    <row r="2181" spans="1:38" ht="12.75" customHeight="1" x14ac:dyDescent="0.25">
      <c r="A2181" s="694"/>
      <c r="B2181" s="298"/>
      <c r="C2181" s="1302"/>
      <c r="D2181" s="625" t="s">
        <v>814</v>
      </c>
      <c r="E2181" s="2819" t="str">
        <f>Translations!$B$296</f>
        <v>Долна топлина на изгаряне</v>
      </c>
      <c r="F2181" s="2705"/>
      <c r="G2181" s="1349" t="str">
        <f>IF(ISBLANK(G2180),EUconst_GJperUnit,INDEX(EUconst_GJperTorKNm3,MATCH(G2180,EUconst_TonnesOrkNm3pa,0)))</f>
        <v>GJ / Единица мярка</v>
      </c>
      <c r="H2181" s="137"/>
      <c r="I2181" s="138"/>
      <c r="J2181" s="139"/>
      <c r="K2181" s="137"/>
      <c r="L2181" s="137"/>
      <c r="M2181" s="137"/>
      <c r="N2181" s="140"/>
      <c r="O2181" s="302"/>
      <c r="P2181" s="158"/>
      <c r="Q2181" s="694"/>
      <c r="R2181" s="694"/>
      <c r="S2181" s="729"/>
      <c r="T2181" s="729"/>
      <c r="U2181" s="729"/>
      <c r="V2181" s="729"/>
      <c r="W2181" s="729"/>
      <c r="X2181" s="729"/>
      <c r="Y2181" s="729"/>
      <c r="Z2181" s="729"/>
      <c r="AA2181" s="694"/>
      <c r="AB2181" s="694"/>
      <c r="AC2181" s="982" t="b">
        <f>AC2180</f>
        <v>0</v>
      </c>
      <c r="AD2181" s="982" t="b">
        <f t="shared" ref="AD2181:AI2181" si="3101">AD2180</f>
        <v>0</v>
      </c>
      <c r="AE2181" s="982" t="b">
        <f t="shared" si="3101"/>
        <v>0</v>
      </c>
      <c r="AF2181" s="982" t="b">
        <f t="shared" si="3101"/>
        <v>0</v>
      </c>
      <c r="AG2181" s="982" t="b">
        <f t="shared" si="3101"/>
        <v>0</v>
      </c>
      <c r="AH2181" s="982" t="b">
        <f t="shared" si="3101"/>
        <v>0</v>
      </c>
      <c r="AI2181" s="982" t="b">
        <f t="shared" si="3101"/>
        <v>0</v>
      </c>
      <c r="AJ2181" s="1174" t="s">
        <v>2039</v>
      </c>
      <c r="AK2181" s="1176" t="str">
        <f>IF(AND(CNTR_ExistSubInstEntries,MSconst_RequireSubAttrEmissions,COUNTIFS(AC2181:AI2181,FALSE,H2181:N2181,"")&gt;0),EUconst_Error&amp;"BM"&amp;$Q1980,"")</f>
        <v/>
      </c>
      <c r="AL2181" s="694"/>
    </row>
    <row r="2182" spans="1:38" ht="12.75" customHeight="1" x14ac:dyDescent="0.25">
      <c r="A2182" s="694"/>
      <c r="B2182" s="298"/>
      <c r="C2182" s="1302"/>
      <c r="D2182" s="625" t="s">
        <v>61</v>
      </c>
      <c r="E2182" s="2820" t="str">
        <f>Translations!$B$573</f>
        <v>Консумиран отпаден газ</v>
      </c>
      <c r="F2182" s="2258"/>
      <c r="G2182" s="1319" t="str">
        <f>EUconst_TJpa</f>
        <v>TJ / година</v>
      </c>
      <c r="H2182" s="1350" t="str">
        <f t="shared" ref="H2182:N2182" si="3102">IF(COUNT(H2180:H2181)=2,H2180*H2181/1000,"")</f>
        <v/>
      </c>
      <c r="I2182" s="1351" t="str">
        <f t="shared" si="3102"/>
        <v/>
      </c>
      <c r="J2182" s="1352" t="str">
        <f t="shared" si="3102"/>
        <v/>
      </c>
      <c r="K2182" s="1350" t="str">
        <f t="shared" si="3102"/>
        <v/>
      </c>
      <c r="L2182" s="1350" t="str">
        <f t="shared" si="3102"/>
        <v/>
      </c>
      <c r="M2182" s="1350" t="str">
        <f t="shared" si="3102"/>
        <v/>
      </c>
      <c r="N2182" s="1353" t="str">
        <f t="shared" si="3102"/>
        <v/>
      </c>
      <c r="O2182" s="302"/>
      <c r="P2182" s="302"/>
      <c r="Q2182" s="1190" t="str">
        <f>EUconst_CNTR_WGConsumed &amp; I1980</f>
        <v>WasteGasCons_</v>
      </c>
      <c r="R2182" s="694"/>
      <c r="S2182" s="729"/>
      <c r="T2182" s="729"/>
      <c r="U2182" s="729"/>
      <c r="V2182" s="729"/>
      <c r="W2182" s="729"/>
      <c r="X2182" s="729"/>
      <c r="Y2182" s="729"/>
      <c r="Z2182" s="729"/>
      <c r="AA2182" s="694"/>
      <c r="AB2182" s="694"/>
      <c r="AC2182" s="694"/>
      <c r="AD2182" s="694"/>
      <c r="AE2182" s="694"/>
      <c r="AF2182" s="694"/>
      <c r="AG2182" s="694"/>
      <c r="AH2182" s="694"/>
      <c r="AI2182" s="694"/>
      <c r="AJ2182" s="694"/>
      <c r="AK2182" s="694"/>
      <c r="AL2182" s="694"/>
    </row>
    <row r="2183" spans="1:38" ht="12.75" customHeight="1" x14ac:dyDescent="0.25">
      <c r="A2183" s="694"/>
      <c r="B2183" s="298"/>
      <c r="C2183" s="1302"/>
      <c r="D2183" s="625" t="s">
        <v>62</v>
      </c>
      <c r="E2183" s="2820" t="str">
        <f>Translations!$B$574</f>
        <v>Специфичен EF (консумиран отпаден газ)</v>
      </c>
      <c r="F2183" s="2258"/>
      <c r="G2183" s="1319" t="str">
        <f>EUconst_tCO2pTJ</f>
        <v>t CO2 / TJ</v>
      </c>
      <c r="H2183" s="56"/>
      <c r="I2183" s="115"/>
      <c r="J2183" s="118"/>
      <c r="K2183" s="56"/>
      <c r="L2183" s="56"/>
      <c r="M2183" s="56"/>
      <c r="N2183" s="121"/>
      <c r="O2183" s="302"/>
      <c r="P2183" s="158"/>
      <c r="Q2183" s="1190" t="str">
        <f>EUconst_CNTR_WGConsumedEF &amp; I1980</f>
        <v>WasteGasConsEF_</v>
      </c>
      <c r="R2183" s="694"/>
      <c r="S2183" s="729"/>
      <c r="T2183" s="729"/>
      <c r="U2183" s="729"/>
      <c r="V2183" s="729"/>
      <c r="W2183" s="729"/>
      <c r="X2183" s="729"/>
      <c r="Y2183" s="729"/>
      <c r="Z2183" s="729"/>
      <c r="AA2183" s="694"/>
      <c r="AB2183" s="1182" t="s">
        <v>737</v>
      </c>
      <c r="AC2183" s="982" t="b">
        <f>AC2181</f>
        <v>0</v>
      </c>
      <c r="AD2183" s="982" t="b">
        <f t="shared" ref="AD2183:AI2183" si="3103">AD2181</f>
        <v>0</v>
      </c>
      <c r="AE2183" s="982" t="b">
        <f t="shared" si="3103"/>
        <v>0</v>
      </c>
      <c r="AF2183" s="982" t="b">
        <f t="shared" si="3103"/>
        <v>0</v>
      </c>
      <c r="AG2183" s="982" t="b">
        <f t="shared" si="3103"/>
        <v>0</v>
      </c>
      <c r="AH2183" s="982" t="b">
        <f t="shared" si="3103"/>
        <v>0</v>
      </c>
      <c r="AI2183" s="982" t="b">
        <f t="shared" si="3103"/>
        <v>0</v>
      </c>
      <c r="AJ2183" s="1174" t="s">
        <v>2039</v>
      </c>
      <c r="AK2183" s="1176" t="str">
        <f>IF(AND(CNTR_ExistSubInstEntries,MSconst_RequireSubAttrEmissions,COUNTIFS(AC2183:AI2183,FALSE,H2183:N2183,"")&gt;0),EUconst_Error&amp;"BM"&amp;$Q1980,"")</f>
        <v/>
      </c>
      <c r="AL2183" s="694"/>
    </row>
    <row r="2184" spans="1:38" ht="12.75" customHeight="1" x14ac:dyDescent="0.25">
      <c r="A2184" s="694"/>
      <c r="B2184" s="298"/>
      <c r="C2184" s="1302"/>
      <c r="D2184" s="1306"/>
      <c r="E2184" s="1306"/>
      <c r="F2184" s="1306"/>
      <c r="G2184" s="1306"/>
      <c r="H2184" s="1354"/>
      <c r="I2184" s="1306"/>
      <c r="J2184" s="1306"/>
      <c r="K2184" s="1306"/>
      <c r="L2184" s="1306"/>
      <c r="M2184" s="626"/>
      <c r="N2184" s="1316"/>
      <c r="O2184" s="302"/>
      <c r="P2184" s="302"/>
      <c r="Q2184" s="729"/>
      <c r="R2184" s="694"/>
      <c r="S2184" s="729"/>
      <c r="T2184" s="729"/>
      <c r="U2184" s="729"/>
      <c r="V2184" s="729"/>
      <c r="W2184" s="694"/>
      <c r="X2184" s="694"/>
      <c r="Y2184" s="694"/>
      <c r="Z2184" s="694"/>
      <c r="AA2184" s="694"/>
      <c r="AB2184" s="694"/>
      <c r="AC2184" s="694"/>
      <c r="AD2184" s="694"/>
      <c r="AE2184" s="694"/>
      <c r="AF2184" s="694"/>
      <c r="AG2184" s="694"/>
      <c r="AH2184" s="694"/>
      <c r="AI2184" s="694"/>
      <c r="AJ2184" s="694"/>
      <c r="AK2184" s="694"/>
      <c r="AL2184" s="694"/>
    </row>
    <row r="2185" spans="1:38" ht="12.75" customHeight="1" x14ac:dyDescent="0.25">
      <c r="A2185" s="694"/>
      <c r="B2185" s="298"/>
      <c r="C2185" s="1302"/>
      <c r="D2185" s="625" t="s">
        <v>63</v>
      </c>
      <c r="E2185" s="2815" t="str">
        <f>Translations!$B$575</f>
        <v>Видове отпадни газове резултат от изгаряне във факел:</v>
      </c>
      <c r="F2185" s="2240"/>
      <c r="G2185" s="2240"/>
      <c r="H2185" s="2684"/>
      <c r="I2185" s="2821"/>
      <c r="J2185" s="2674"/>
      <c r="K2185" s="2674"/>
      <c r="L2185" s="2674"/>
      <c r="M2185" s="2675"/>
      <c r="N2185" s="1323"/>
      <c r="O2185" s="302"/>
      <c r="P2185" s="158"/>
      <c r="Q2185" s="729"/>
      <c r="R2185" s="694"/>
      <c r="S2185" s="729"/>
      <c r="T2185" s="694"/>
      <c r="U2185" s="694"/>
      <c r="V2185" s="694"/>
      <c r="W2185" s="694"/>
      <c r="X2185" s="694"/>
      <c r="Y2185" s="694"/>
      <c r="Z2185" s="694"/>
      <c r="AA2185" s="694"/>
      <c r="AB2185" s="694"/>
      <c r="AC2185" s="1182" t="s">
        <v>737</v>
      </c>
      <c r="AD2185" s="982" t="b">
        <f>AD2176</f>
        <v>0</v>
      </c>
      <c r="AE2185" s="694"/>
      <c r="AF2185" s="694"/>
      <c r="AG2185" s="694"/>
      <c r="AH2185" s="694"/>
      <c r="AI2185" s="694"/>
      <c r="AJ2185" s="694"/>
      <c r="AK2185" s="694"/>
      <c r="AL2185" s="694"/>
    </row>
    <row r="2186" spans="1:38" ht="12.75" customHeight="1" x14ac:dyDescent="0.25">
      <c r="A2186" s="694"/>
      <c r="B2186" s="298"/>
      <c r="C2186" s="1302"/>
      <c r="D2186" s="625"/>
      <c r="E2186" s="2810" t="str">
        <f>Translations!$B$576</f>
        <v>Това включва всички видове отпадни газове, които в крайна сметка са изгорени във факел, различни от необходимото за безопасността изгаряне във факел, в подинсталацията или извън нея.</v>
      </c>
      <c r="F2186" s="2240"/>
      <c r="G2186" s="2240"/>
      <c r="H2186" s="2240"/>
      <c r="I2186" s="2240"/>
      <c r="J2186" s="2240"/>
      <c r="K2186" s="2240"/>
      <c r="L2186" s="2240"/>
      <c r="M2186" s="2240"/>
      <c r="N2186" s="2811"/>
      <c r="O2186" s="302"/>
      <c r="P2186" s="302"/>
      <c r="Q2186" s="729"/>
      <c r="R2186" s="694"/>
      <c r="S2186" s="694"/>
      <c r="T2186" s="729"/>
      <c r="U2186" s="729"/>
      <c r="V2186" s="729"/>
      <c r="W2186" s="694"/>
      <c r="X2186" s="694"/>
      <c r="Y2186" s="694"/>
      <c r="Z2186" s="694"/>
      <c r="AA2186" s="694"/>
      <c r="AB2186" s="694"/>
      <c r="AC2186" s="694"/>
      <c r="AD2186" s="694"/>
      <c r="AE2186" s="694"/>
      <c r="AF2186" s="694"/>
      <c r="AG2186" s="694"/>
      <c r="AH2186" s="694"/>
      <c r="AI2186" s="694"/>
      <c r="AJ2186" s="694"/>
      <c r="AK2186" s="694"/>
      <c r="AL2186" s="694"/>
    </row>
    <row r="2187" spans="1:38" ht="12.75" customHeight="1" x14ac:dyDescent="0.25">
      <c r="A2187" s="694"/>
      <c r="B2187" s="298"/>
      <c r="C2187" s="1302"/>
      <c r="D2187" s="1306"/>
      <c r="E2187" s="2810" t="str">
        <f>Translations!$B$577</f>
        <v>Посочените тук данни се използват само с цел проверка на съответствието и нямат пряко отражение върху емисиите, които могат да бъдат зададени.</v>
      </c>
      <c r="F2187" s="2240"/>
      <c r="G2187" s="2240"/>
      <c r="H2187" s="2240"/>
      <c r="I2187" s="2240"/>
      <c r="J2187" s="2240"/>
      <c r="K2187" s="2240"/>
      <c r="L2187" s="2240"/>
      <c r="M2187" s="2240"/>
      <c r="N2187" s="2811"/>
      <c r="O2187" s="302"/>
      <c r="P2187" s="302"/>
      <c r="Q2187" s="729"/>
      <c r="R2187" s="694"/>
      <c r="S2187" s="729"/>
      <c r="T2187" s="729"/>
      <c r="U2187" s="729"/>
      <c r="V2187" s="729"/>
      <c r="W2187" s="694"/>
      <c r="X2187" s="694"/>
      <c r="Y2187" s="694"/>
      <c r="Z2187" s="694"/>
      <c r="AA2187" s="694"/>
      <c r="AB2187" s="694"/>
      <c r="AC2187" s="694"/>
      <c r="AD2187" s="694"/>
      <c r="AE2187" s="694"/>
      <c r="AF2187" s="694"/>
      <c r="AG2187" s="694"/>
      <c r="AH2187" s="694"/>
      <c r="AI2187" s="694"/>
      <c r="AJ2187" s="694"/>
      <c r="AK2187" s="694"/>
      <c r="AL2187" s="694"/>
    </row>
    <row r="2188" spans="1:38" ht="12.75" customHeight="1" x14ac:dyDescent="0.25">
      <c r="A2188" s="694"/>
      <c r="B2188" s="298"/>
      <c r="C2188" s="1302"/>
      <c r="D2188" s="1306"/>
      <c r="E2188" s="2816" t="str">
        <f>Translations!$B$578</f>
        <v>Въпреки това от 2026 г. квотите ще бъдат намалени по отношение на факелното изгаряне на отпадни газове, различно от необходимото за безопасността изгаряне във факел.</v>
      </c>
      <c r="F2188" s="2240"/>
      <c r="G2188" s="2240"/>
      <c r="H2188" s="2240"/>
      <c r="I2188" s="2240"/>
      <c r="J2188" s="2240"/>
      <c r="K2188" s="2240"/>
      <c r="L2188" s="2240"/>
      <c r="M2188" s="2240"/>
      <c r="N2188" s="2811"/>
      <c r="O2188" s="302"/>
      <c r="P2188" s="302"/>
      <c r="Q2188" s="729"/>
      <c r="R2188" s="694"/>
      <c r="S2188" s="729"/>
      <c r="T2188" s="729"/>
      <c r="U2188" s="729"/>
      <c r="V2188" s="729"/>
      <c r="W2188" s="729"/>
      <c r="X2188" s="729"/>
      <c r="Y2188" s="729"/>
      <c r="Z2188" s="729"/>
      <c r="AA2188" s="694"/>
      <c r="AB2188" s="694"/>
      <c r="AC2188" s="694"/>
      <c r="AD2188" s="694"/>
      <c r="AE2188" s="694"/>
      <c r="AF2188" s="694"/>
      <c r="AG2188" s="694"/>
      <c r="AH2188" s="694"/>
      <c r="AI2188" s="694"/>
      <c r="AJ2188" s="694"/>
      <c r="AK2188" s="694"/>
      <c r="AL2188" s="694"/>
    </row>
    <row r="2189" spans="1:38" ht="12.75" customHeight="1" thickBot="1" x14ac:dyDescent="0.3">
      <c r="A2189" s="694"/>
      <c r="B2189" s="298"/>
      <c r="C2189" s="1302"/>
      <c r="D2189" s="1306"/>
      <c r="E2189" s="1317"/>
      <c r="F2189" s="1318"/>
      <c r="G2189" s="1309" t="str">
        <f>EUconst_Unit</f>
        <v>Единица мярка</v>
      </c>
      <c r="H2189" s="629">
        <f t="shared" ref="H2189:N2189" si="3104">H$2831</f>
        <v>2024</v>
      </c>
      <c r="I2189" s="1310">
        <f t="shared" si="3104"/>
        <v>2025</v>
      </c>
      <c r="J2189" s="1311">
        <f t="shared" si="3104"/>
        <v>2026</v>
      </c>
      <c r="K2189" s="629">
        <f t="shared" si="3104"/>
        <v>2027</v>
      </c>
      <c r="L2189" s="629">
        <f t="shared" si="3104"/>
        <v>2028</v>
      </c>
      <c r="M2189" s="629">
        <f t="shared" si="3104"/>
        <v>2029</v>
      </c>
      <c r="N2189" s="1312">
        <f t="shared" si="3104"/>
        <v>2030</v>
      </c>
      <c r="O2189" s="302"/>
      <c r="P2189" s="302"/>
      <c r="Q2189" s="729"/>
      <c r="R2189" s="694"/>
      <c r="S2189" s="729"/>
      <c r="T2189" s="729"/>
      <c r="U2189" s="729"/>
      <c r="V2189" s="729"/>
      <c r="W2189" s="729"/>
      <c r="X2189" s="729"/>
      <c r="Y2189" s="729"/>
      <c r="Z2189" s="729"/>
      <c r="AA2189" s="694"/>
      <c r="AB2189" s="694"/>
      <c r="AC2189" s="1178">
        <f t="shared" ref="AC2189" si="3105">H$20</f>
        <v>2024</v>
      </c>
      <c r="AD2189" s="1178">
        <f t="shared" ref="AD2189" si="3106">I$20</f>
        <v>2025</v>
      </c>
      <c r="AE2189" s="1178">
        <f t="shared" ref="AE2189" si="3107">J$20</f>
        <v>2026</v>
      </c>
      <c r="AF2189" s="1178">
        <f t="shared" ref="AF2189" si="3108">K$20</f>
        <v>2027</v>
      </c>
      <c r="AG2189" s="1178">
        <f t="shared" ref="AG2189" si="3109">L$20</f>
        <v>2028</v>
      </c>
      <c r="AH2189" s="1178">
        <f t="shared" ref="AH2189" si="3110">M$20</f>
        <v>2029</v>
      </c>
      <c r="AI2189" s="1178">
        <f t="shared" ref="AI2189" si="3111">N$20</f>
        <v>2030</v>
      </c>
      <c r="AJ2189" s="694"/>
      <c r="AK2189" s="694"/>
      <c r="AL2189" s="694"/>
    </row>
    <row r="2190" spans="1:38" ht="12.75" customHeight="1" x14ac:dyDescent="0.25">
      <c r="A2190" s="694"/>
      <c r="B2190" s="298"/>
      <c r="C2190" s="1302"/>
      <c r="D2190" s="625" t="s">
        <v>1136</v>
      </c>
      <c r="E2190" s="2818" t="str">
        <f>Translations!$B$579</f>
        <v>Количества, изгорени във факел</v>
      </c>
      <c r="F2190" s="2701"/>
      <c r="G2190" s="145"/>
      <c r="H2190" s="129"/>
      <c r="I2190" s="130"/>
      <c r="J2190" s="131"/>
      <c r="K2190" s="129"/>
      <c r="L2190" s="129"/>
      <c r="M2190" s="129"/>
      <c r="N2190" s="132"/>
      <c r="O2190" s="302"/>
      <c r="P2190" s="158"/>
      <c r="Q2190" s="729"/>
      <c r="R2190" s="694"/>
      <c r="S2190" s="729"/>
      <c r="T2190" s="729"/>
      <c r="U2190" s="729"/>
      <c r="V2190" s="729"/>
      <c r="W2190" s="729"/>
      <c r="X2190" s="729"/>
      <c r="Y2190" s="729"/>
      <c r="Z2190" s="729"/>
      <c r="AA2190" s="694"/>
      <c r="AB2190" s="1182" t="s">
        <v>737</v>
      </c>
      <c r="AC2190" s="982" t="b">
        <f>AC2180</f>
        <v>0</v>
      </c>
      <c r="AD2190" s="982" t="b">
        <f t="shared" ref="AD2190:AI2190" si="3112">AD2180</f>
        <v>0</v>
      </c>
      <c r="AE2190" s="982" t="b">
        <f t="shared" si="3112"/>
        <v>0</v>
      </c>
      <c r="AF2190" s="982" t="b">
        <f t="shared" si="3112"/>
        <v>0</v>
      </c>
      <c r="AG2190" s="982" t="b">
        <f t="shared" si="3112"/>
        <v>0</v>
      </c>
      <c r="AH2190" s="982" t="b">
        <f t="shared" si="3112"/>
        <v>0</v>
      </c>
      <c r="AI2190" s="982" t="b">
        <f t="shared" si="3112"/>
        <v>0</v>
      </c>
      <c r="AJ2190" s="1174" t="s">
        <v>2039</v>
      </c>
      <c r="AK2190" s="1176" t="str">
        <f>IF(AND(CNTR_ExistSubInstEntries,MSconst_RequireSubAttrEmissions,COUNTIFS(AC2190:AI2190,FALSE,H2190:N2190,"")&gt;0),EUconst_Error&amp;"BM"&amp;$Q1980,"")</f>
        <v/>
      </c>
      <c r="AL2190" s="694"/>
    </row>
    <row r="2191" spans="1:38" ht="12.75" customHeight="1" x14ac:dyDescent="0.25">
      <c r="A2191" s="694"/>
      <c r="B2191" s="298"/>
      <c r="C2191" s="1302"/>
      <c r="D2191" s="625" t="s">
        <v>1137</v>
      </c>
      <c r="E2191" s="2819" t="str">
        <f>Translations!$B$296</f>
        <v>Долна топлина на изгаряне</v>
      </c>
      <c r="F2191" s="2705"/>
      <c r="G2191" s="1349" t="str">
        <f>IF(ISBLANK(G2190),EUconst_GJperUnit,INDEX(EUconst_GJperTorKNm3,MATCH(G2190,EUconst_TonnesOrkNm3pa,0)))</f>
        <v>GJ / Единица мярка</v>
      </c>
      <c r="H2191" s="137"/>
      <c r="I2191" s="138"/>
      <c r="J2191" s="139"/>
      <c r="K2191" s="137"/>
      <c r="L2191" s="137"/>
      <c r="M2191" s="137"/>
      <c r="N2191" s="140"/>
      <c r="O2191" s="302"/>
      <c r="P2191" s="158"/>
      <c r="Q2191" s="694"/>
      <c r="R2191" s="694"/>
      <c r="S2191" s="729"/>
      <c r="T2191" s="729"/>
      <c r="U2191" s="729"/>
      <c r="V2191" s="729"/>
      <c r="W2191" s="729"/>
      <c r="X2191" s="729"/>
      <c r="Y2191" s="729"/>
      <c r="Z2191" s="729"/>
      <c r="AA2191" s="694"/>
      <c r="AB2191" s="694"/>
      <c r="AC2191" s="982" t="b">
        <f>AC2190</f>
        <v>0</v>
      </c>
      <c r="AD2191" s="982" t="b">
        <f t="shared" ref="AD2191:AI2191" si="3113">AD2190</f>
        <v>0</v>
      </c>
      <c r="AE2191" s="982" t="b">
        <f t="shared" si="3113"/>
        <v>0</v>
      </c>
      <c r="AF2191" s="982" t="b">
        <f t="shared" si="3113"/>
        <v>0</v>
      </c>
      <c r="AG2191" s="982" t="b">
        <f t="shared" si="3113"/>
        <v>0</v>
      </c>
      <c r="AH2191" s="982" t="b">
        <f t="shared" si="3113"/>
        <v>0</v>
      </c>
      <c r="AI2191" s="982" t="b">
        <f t="shared" si="3113"/>
        <v>0</v>
      </c>
      <c r="AJ2191" s="1174" t="s">
        <v>2039</v>
      </c>
      <c r="AK2191" s="1176" t="str">
        <f>IF(AND(CNTR_ExistSubInstEntries,MSconst_RequireSubAttrEmissions,COUNTIFS(AC2191:AI2191,FALSE,H2191:N2191,"")&gt;0),EUconst_Error&amp;"BM"&amp;$Q1980,"")</f>
        <v/>
      </c>
      <c r="AL2191" s="694"/>
    </row>
    <row r="2192" spans="1:38" ht="12.75" customHeight="1" x14ac:dyDescent="0.25">
      <c r="A2192" s="694"/>
      <c r="B2192" s="298"/>
      <c r="C2192" s="1302"/>
      <c r="D2192" s="625" t="s">
        <v>1138</v>
      </c>
      <c r="E2192" s="2820" t="str">
        <f>Translations!$B$580</f>
        <v>Изгорен във факел отпаден газ</v>
      </c>
      <c r="F2192" s="2258"/>
      <c r="G2192" s="1319" t="str">
        <f>EUconst_TJpa</f>
        <v>TJ / година</v>
      </c>
      <c r="H2192" s="1350" t="str">
        <f t="shared" ref="H2192:N2192" si="3114">IF(COUNT(H2190:H2191)=2,H2190*H2191/1000,"")</f>
        <v/>
      </c>
      <c r="I2192" s="1351" t="str">
        <f t="shared" si="3114"/>
        <v/>
      </c>
      <c r="J2192" s="1352" t="str">
        <f t="shared" si="3114"/>
        <v/>
      </c>
      <c r="K2192" s="1350" t="str">
        <f t="shared" si="3114"/>
        <v/>
      </c>
      <c r="L2192" s="1350" t="str">
        <f t="shared" si="3114"/>
        <v/>
      </c>
      <c r="M2192" s="1350" t="str">
        <f t="shared" si="3114"/>
        <v/>
      </c>
      <c r="N2192" s="1353" t="str">
        <f t="shared" si="3114"/>
        <v/>
      </c>
      <c r="O2192" s="302"/>
      <c r="P2192" s="302"/>
      <c r="Q2192" s="1190" t="str">
        <f>EUconst_CNTR_WGFlared &amp; I1980</f>
        <v>WasteGasFlare_</v>
      </c>
      <c r="R2192" s="694"/>
      <c r="S2192" s="729"/>
      <c r="T2192" s="729"/>
      <c r="U2192" s="729"/>
      <c r="V2192" s="729"/>
      <c r="W2192" s="729"/>
      <c r="X2192" s="729"/>
      <c r="Y2192" s="729"/>
      <c r="Z2192" s="729"/>
      <c r="AA2192" s="694"/>
      <c r="AB2192" s="694"/>
      <c r="AC2192" s="694"/>
      <c r="AD2192" s="694"/>
      <c r="AE2192" s="694"/>
      <c r="AF2192" s="694"/>
      <c r="AG2192" s="694"/>
      <c r="AH2192" s="694"/>
      <c r="AI2192" s="694"/>
      <c r="AJ2192" s="694"/>
      <c r="AK2192" s="694"/>
      <c r="AL2192" s="694"/>
    </row>
    <row r="2193" spans="1:38" ht="12.75" customHeight="1" x14ac:dyDescent="0.25">
      <c r="A2193" s="694"/>
      <c r="B2193" s="298"/>
      <c r="C2193" s="1302"/>
      <c r="D2193" s="625" t="s">
        <v>1139</v>
      </c>
      <c r="E2193" s="2820" t="str">
        <f>Translations!$B$581</f>
        <v>Специфичен EF (изгорен във факел отпаден газ)</v>
      </c>
      <c r="F2193" s="2258"/>
      <c r="G2193" s="1319" t="str">
        <f>EUconst_tCO2pTJ</f>
        <v>t CO2 / TJ</v>
      </c>
      <c r="H2193" s="56"/>
      <c r="I2193" s="115"/>
      <c r="J2193" s="118"/>
      <c r="K2193" s="56"/>
      <c r="L2193" s="56"/>
      <c r="M2193" s="56"/>
      <c r="N2193" s="121"/>
      <c r="O2193" s="302"/>
      <c r="P2193" s="158"/>
      <c r="Q2193" s="1190" t="str">
        <f>EUconst_CNTR_WGFlaredEF &amp; I1980</f>
        <v>WasteGasFlareEF_</v>
      </c>
      <c r="R2193" s="694"/>
      <c r="S2193" s="729"/>
      <c r="T2193" s="729"/>
      <c r="U2193" s="729"/>
      <c r="V2193" s="729"/>
      <c r="W2193" s="729"/>
      <c r="X2193" s="729"/>
      <c r="Y2193" s="729"/>
      <c r="Z2193" s="729"/>
      <c r="AA2193" s="694"/>
      <c r="AB2193" s="1182" t="s">
        <v>737</v>
      </c>
      <c r="AC2193" s="982" t="b">
        <f>AC2191</f>
        <v>0</v>
      </c>
      <c r="AD2193" s="982" t="b">
        <f t="shared" ref="AD2193:AI2193" si="3115">AD2191</f>
        <v>0</v>
      </c>
      <c r="AE2193" s="982" t="b">
        <f t="shared" si="3115"/>
        <v>0</v>
      </c>
      <c r="AF2193" s="982" t="b">
        <f t="shared" si="3115"/>
        <v>0</v>
      </c>
      <c r="AG2193" s="982" t="b">
        <f t="shared" si="3115"/>
        <v>0</v>
      </c>
      <c r="AH2193" s="982" t="b">
        <f t="shared" si="3115"/>
        <v>0</v>
      </c>
      <c r="AI2193" s="982" t="b">
        <f t="shared" si="3115"/>
        <v>0</v>
      </c>
      <c r="AJ2193" s="1174" t="s">
        <v>2039</v>
      </c>
      <c r="AK2193" s="1176" t="str">
        <f>IF(AND(CNTR_ExistSubInstEntries,MSconst_RequireSubAttrEmissions,COUNTIFS(AC2193:AI2193,FALSE,H2193:N2193,"")&gt;0),EUconst_Error&amp;"BM"&amp;$Q1980,"")</f>
        <v/>
      </c>
      <c r="AL2193" s="694"/>
    </row>
    <row r="2194" spans="1:38" ht="5.15" customHeight="1" thickBot="1" x14ac:dyDescent="0.3">
      <c r="A2194" s="694"/>
      <c r="B2194" s="298"/>
      <c r="C2194" s="1302"/>
      <c r="D2194" s="1306"/>
      <c r="E2194" s="1306"/>
      <c r="F2194" s="1306"/>
      <c r="G2194" s="1306"/>
      <c r="H2194" s="1354"/>
      <c r="I2194" s="1306"/>
      <c r="J2194" s="1306"/>
      <c r="K2194" s="1306"/>
      <c r="L2194" s="1306"/>
      <c r="M2194" s="626"/>
      <c r="N2194" s="1316"/>
      <c r="O2194" s="302"/>
      <c r="P2194" s="302"/>
      <c r="Q2194" s="729"/>
      <c r="R2194" s="694"/>
      <c r="S2194" s="729"/>
      <c r="T2194" s="729"/>
      <c r="U2194" s="729"/>
      <c r="V2194" s="729"/>
      <c r="W2194" s="694"/>
      <c r="X2194" s="694"/>
      <c r="Y2194" s="694"/>
      <c r="Z2194" s="694"/>
      <c r="AA2194" s="694"/>
      <c r="AB2194" s="694"/>
      <c r="AC2194" s="694"/>
      <c r="AD2194" s="694"/>
      <c r="AE2194" s="694"/>
      <c r="AF2194" s="694"/>
      <c r="AG2194" s="694"/>
      <c r="AH2194" s="694"/>
      <c r="AI2194" s="694"/>
      <c r="AJ2194" s="694"/>
      <c r="AK2194" s="694"/>
      <c r="AL2194" s="694"/>
    </row>
    <row r="2195" spans="1:38" ht="12.75" customHeight="1" thickBot="1" x14ac:dyDescent="0.3">
      <c r="A2195" s="694"/>
      <c r="B2195" s="298"/>
      <c r="C2195" s="1302"/>
      <c r="D2195" s="1306"/>
      <c r="E2195" s="2820" t="str">
        <f>Translations!$B$1330</f>
        <v>Количество изгорен във факел отпаден газ</v>
      </c>
      <c r="F2195" s="2820"/>
      <c r="G2195" s="1355" t="str">
        <f>EUconst_tCO2</f>
        <v>t CO2</v>
      </c>
      <c r="H2195" s="1356" t="str">
        <f t="shared" ref="H2195" si="3116">IF(T1988,SUM(H2192)*SUM(H2193),"")</f>
        <v/>
      </c>
      <c r="I2195" s="1357" t="str">
        <f t="shared" ref="I2195" si="3117">IF(U1988,SUM(I2192)*SUM(I2193),"")</f>
        <v/>
      </c>
      <c r="J2195" s="1358" t="str">
        <f t="shared" ref="J2195" si="3118">IF(V1988,SUM(J2192)*SUM(J2193),"")</f>
        <v/>
      </c>
      <c r="K2195" s="1356" t="str">
        <f t="shared" ref="K2195" si="3119">IF(W1988,SUM(K2192)*SUM(K2193),"")</f>
        <v/>
      </c>
      <c r="L2195" s="1356" t="str">
        <f t="shared" ref="L2195" si="3120">IF(X1988,SUM(L2192)*SUM(L2193),"")</f>
        <v/>
      </c>
      <c r="M2195" s="1356" t="str">
        <f t="shared" ref="M2195" si="3121">IF(Y1988,SUM(M2192)*SUM(M2193),"")</f>
        <v/>
      </c>
      <c r="N2195" s="1356" t="str">
        <f t="shared" ref="N2195" si="3122">IF(Z1988,SUM(N2192)*SUM(N2193),"")</f>
        <v/>
      </c>
      <c r="O2195" s="302"/>
      <c r="P2195" s="302"/>
      <c r="Q2195" s="1190" t="str">
        <f>EUconst_CNTR_HAL &amp; EUconst_CNTR_WGFlared &amp; I1980</f>
        <v>HAL_WasteGasFlare_</v>
      </c>
      <c r="R2195" s="694"/>
      <c r="S2195" s="1174" t="s">
        <v>1811</v>
      </c>
      <c r="T2195" s="1169" t="b">
        <f>CNTR_SubPeriod=2</f>
        <v>1</v>
      </c>
      <c r="U2195" s="729"/>
      <c r="V2195" s="729"/>
      <c r="W2195" s="694"/>
      <c r="X2195" s="694"/>
      <c r="Y2195" s="694"/>
      <c r="Z2195" s="694"/>
      <c r="AA2195" s="694"/>
      <c r="AB2195" s="694"/>
      <c r="AC2195" s="694"/>
      <c r="AD2195" s="694"/>
      <c r="AE2195" s="694"/>
      <c r="AF2195" s="694"/>
      <c r="AG2195" s="694"/>
      <c r="AH2195" s="694"/>
      <c r="AI2195" s="694"/>
      <c r="AJ2195" s="694"/>
      <c r="AK2195" s="694"/>
      <c r="AL2195" s="694"/>
    </row>
    <row r="2196" spans="1:38" ht="5.15" customHeight="1" thickBot="1" x14ac:dyDescent="0.3">
      <c r="A2196" s="694"/>
      <c r="B2196" s="298"/>
      <c r="C2196" s="1302"/>
      <c r="D2196" s="1306"/>
      <c r="E2196" s="1306"/>
      <c r="F2196" s="1306"/>
      <c r="G2196" s="1306"/>
      <c r="H2196" s="1354"/>
      <c r="I2196" s="1306"/>
      <c r="J2196" s="1306"/>
      <c r="K2196" s="1306"/>
      <c r="L2196" s="1306"/>
      <c r="M2196" s="626"/>
      <c r="N2196" s="1316"/>
      <c r="O2196" s="302"/>
      <c r="P2196" s="302"/>
      <c r="Q2196" s="729"/>
      <c r="R2196" s="694"/>
      <c r="S2196" s="729"/>
      <c r="T2196" s="729"/>
      <c r="U2196" s="729"/>
      <c r="V2196" s="729"/>
      <c r="W2196" s="694"/>
      <c r="X2196" s="694"/>
      <c r="Y2196" s="694"/>
      <c r="Z2196" s="694"/>
      <c r="AA2196" s="694"/>
      <c r="AB2196" s="694"/>
      <c r="AC2196" s="694"/>
      <c r="AD2196" s="694"/>
      <c r="AE2196" s="694"/>
      <c r="AF2196" s="694"/>
      <c r="AG2196" s="694"/>
      <c r="AH2196" s="694"/>
      <c r="AI2196" s="694"/>
      <c r="AJ2196" s="694"/>
      <c r="AK2196" s="694"/>
      <c r="AL2196" s="694"/>
    </row>
    <row r="2197" spans="1:38" ht="5.15" customHeight="1" thickBot="1" x14ac:dyDescent="0.3">
      <c r="A2197" s="694"/>
      <c r="B2197" s="298"/>
      <c r="C2197" s="1302"/>
      <c r="D2197" s="1359"/>
      <c r="E2197" s="1360"/>
      <c r="F2197" s="1360"/>
      <c r="G2197" s="1360"/>
      <c r="H2197" s="1361"/>
      <c r="I2197" s="1360"/>
      <c r="J2197" s="1360"/>
      <c r="K2197" s="1360"/>
      <c r="L2197" s="1360"/>
      <c r="M2197" s="1362"/>
      <c r="N2197" s="1363"/>
      <c r="O2197" s="302"/>
      <c r="P2197" s="302"/>
      <c r="Q2197" s="729"/>
      <c r="R2197" s="694"/>
      <c r="S2197" s="729"/>
      <c r="T2197" s="729"/>
      <c r="U2197" s="729"/>
      <c r="V2197" s="729"/>
      <c r="W2197" s="694"/>
      <c r="X2197" s="694"/>
      <c r="Y2197" s="694"/>
      <c r="Z2197" s="694"/>
      <c r="AA2197" s="694"/>
      <c r="AB2197" s="694"/>
      <c r="AC2197" s="694"/>
      <c r="AD2197" s="694"/>
      <c r="AE2197" s="694"/>
      <c r="AF2197" s="694"/>
      <c r="AG2197" s="694"/>
      <c r="AH2197" s="694"/>
      <c r="AI2197" s="694"/>
      <c r="AJ2197" s="694"/>
      <c r="AK2197" s="694"/>
      <c r="AL2197" s="694"/>
    </row>
    <row r="2198" spans="1:38" ht="12.75" customHeight="1" x14ac:dyDescent="0.25">
      <c r="A2198" s="694"/>
      <c r="B2198" s="298"/>
      <c r="C2198" s="1302"/>
      <c r="D2198" s="1197" t="s">
        <v>2004</v>
      </c>
      <c r="E2198" s="2823" t="str">
        <f>Translations!$B$1331</f>
        <v>Корекции: изгорени във факел отпадни газове</v>
      </c>
      <c r="F2198" s="2672"/>
      <c r="G2198" s="2672"/>
      <c r="H2198" s="1200" t="str">
        <f>EUconst_Unit</f>
        <v>Единица мярка</v>
      </c>
      <c r="I2198" s="1201" t="str">
        <f>Translations!$B$1327</f>
        <v>(НМИ) стойност</v>
      </c>
      <c r="J2198" s="1202">
        <f>J$2831</f>
        <v>2026</v>
      </c>
      <c r="K2198" s="1203">
        <f>K$2831</f>
        <v>2027</v>
      </c>
      <c r="L2198" s="1203">
        <f>L$2831</f>
        <v>2028</v>
      </c>
      <c r="M2198" s="1203">
        <f>M$2831</f>
        <v>2029</v>
      </c>
      <c r="N2198" s="1204">
        <f>N$2831</f>
        <v>2030</v>
      </c>
      <c r="O2198" s="302"/>
      <c r="P2198" s="302"/>
      <c r="Q2198" s="729"/>
      <c r="R2198" s="694"/>
      <c r="S2198" s="694"/>
      <c r="T2198" s="694"/>
      <c r="U2198" s="1205"/>
      <c r="V2198" s="1206">
        <f>J2198</f>
        <v>2026</v>
      </c>
      <c r="W2198" s="1206">
        <f>K2198</f>
        <v>2027</v>
      </c>
      <c r="X2198" s="1206">
        <f>L2198</f>
        <v>2028</v>
      </c>
      <c r="Y2198" s="1206">
        <f>M2198</f>
        <v>2029</v>
      </c>
      <c r="Z2198" s="1207">
        <f>N2198</f>
        <v>2030</v>
      </c>
      <c r="AA2198" s="694"/>
      <c r="AB2198" s="694"/>
      <c r="AC2198" s="694"/>
      <c r="AD2198" s="694"/>
      <c r="AE2198" s="694"/>
      <c r="AF2198" s="694"/>
      <c r="AG2198" s="694"/>
      <c r="AH2198" s="694"/>
      <c r="AI2198" s="694"/>
      <c r="AJ2198" s="694"/>
      <c r="AK2198" s="694"/>
      <c r="AL2198" s="694"/>
    </row>
    <row r="2199" spans="1:38" ht="12.75" customHeight="1" x14ac:dyDescent="0.25">
      <c r="A2199" s="694"/>
      <c r="B2199" s="298"/>
      <c r="C2199" s="1302"/>
      <c r="D2199" s="1208" t="s">
        <v>6</v>
      </c>
      <c r="E2199" s="2822" t="str">
        <f>Translations!$B$1328</f>
        <v>Средна годишна стойност</v>
      </c>
      <c r="F2199" s="2258"/>
      <c r="G2199" s="2258"/>
      <c r="H2199" s="1266" t="str">
        <f>G2195</f>
        <v>t CO2</v>
      </c>
      <c r="I2199" s="1211" t="str">
        <f>INDEX('B+C_SubInstallations'!$K:$K,MATCH(Q2199,'B+C_SubInstallations'!$V:$V,0))</f>
        <v/>
      </c>
      <c r="J2199" s="1267" t="str">
        <f>IF($T2195&lt;&gt;TRUE,"",IF(AND(V2199&gt;=3,CNTR_ReportingYear&gt;J2198-1),AVERAGE(SUM(H2195),SUM(I2195)),""))</f>
        <v/>
      </c>
      <c r="K2199" s="1268" t="str">
        <f>IF($T2195&lt;&gt;TRUE,"",IF(AND(W2199&gt;=3,CNTR_ReportingYear&gt;K2198-1),AVERAGE(SUM(I2195),SUM(J2195)),""))</f>
        <v/>
      </c>
      <c r="L2199" s="1268" t="str">
        <f>IF($T2195&lt;&gt;TRUE,"",IF(AND(X2199&gt;=3,CNTR_ReportingYear&gt;L2198-1),AVERAGE(SUM(J2195),SUM(K2195)),""))</f>
        <v/>
      </c>
      <c r="M2199" s="1268" t="str">
        <f>IF($T2195&lt;&gt;TRUE,"",IF(AND(Y2199&gt;=3,CNTR_ReportingYear&gt;M2198-1),AVERAGE(SUM(K2195),SUM(L2195)),""))</f>
        <v/>
      </c>
      <c r="N2199" s="1269" t="str">
        <f>IF($T2195&lt;&gt;TRUE,"",IF(AND(Z2199&gt;=3,CNTR_ReportingYear&gt;N2198-1),AVERAGE(SUM(L2195),SUM(M2195)),""))</f>
        <v/>
      </c>
      <c r="O2199" s="302"/>
      <c r="P2199" s="302"/>
      <c r="Q2199" s="1190" t="str">
        <f>EUconst_CNTR_HALinitial &amp; EUconst_CNTR_WGFlared &amp; I1980</f>
        <v>HALini_WasteGasFlare_</v>
      </c>
      <c r="R2199" s="694"/>
      <c r="S2199" s="694"/>
      <c r="T2199" s="694"/>
      <c r="U2199" s="1365" t="s">
        <v>1710</v>
      </c>
      <c r="V2199" s="1176">
        <f>V2002</f>
        <v>0</v>
      </c>
      <c r="W2199" s="1176">
        <f>W2002</f>
        <v>0</v>
      </c>
      <c r="X2199" s="1176">
        <f>X2002</f>
        <v>0</v>
      </c>
      <c r="Y2199" s="1176">
        <f>Y2002</f>
        <v>0</v>
      </c>
      <c r="Z2199" s="1216">
        <f>Z2002</f>
        <v>0</v>
      </c>
      <c r="AA2199" s="694"/>
      <c r="AB2199" s="694"/>
      <c r="AC2199" s="694"/>
      <c r="AD2199" s="694"/>
      <c r="AE2199" s="694"/>
      <c r="AF2199" s="694"/>
      <c r="AG2199" s="694"/>
      <c r="AH2199" s="694"/>
      <c r="AI2199" s="694"/>
      <c r="AJ2199" s="694"/>
      <c r="AK2199" s="694"/>
      <c r="AL2199" s="694"/>
    </row>
    <row r="2200" spans="1:38" ht="12.75" hidden="1" customHeight="1" x14ac:dyDescent="0.25">
      <c r="A2200" s="729" t="s">
        <v>312</v>
      </c>
      <c r="B2200" s="298"/>
      <c r="C2200" s="1302"/>
      <c r="D2200" s="1208"/>
      <c r="E2200" s="2822" t="str">
        <f>Translations!$B$1378</f>
        <v>Промяна в сравнение със стойността в НМИ</v>
      </c>
      <c r="F2200" s="2258"/>
      <c r="G2200" s="2258"/>
      <c r="H2200" s="1222"/>
      <c r="I2200" s="1223"/>
      <c r="J2200" s="104" t="str">
        <f>IF(J2199="","",IF($I2202=0,IF(J2199=0,0%,100%),J2199/$I2202-1))</f>
        <v/>
      </c>
      <c r="K2200" s="99" t="str">
        <f>IF(K2199="","",IF($I2202=0,IF(K2199=0,0%,100%),K2199/$I2202-1))</f>
        <v/>
      </c>
      <c r="L2200" s="99" t="str">
        <f>IF(L2199="","",IF($I2202=0,IF(L2199=0,0%,100%),L2199/$I2202-1))</f>
        <v/>
      </c>
      <c r="M2200" s="99" t="str">
        <f>IF(M2199="","",IF($I2202=0,IF(M2199=0,0%,100%),M2199/$I2202-1))</f>
        <v/>
      </c>
      <c r="N2200" s="123" t="str">
        <f>IF(N2199="","",IF($I2202=0,IF(N2199=0,0%,100%),N2199/$I2202-1))</f>
        <v/>
      </c>
      <c r="O2200" s="302"/>
      <c r="P2200" s="302"/>
      <c r="Q2200" s="1190" t="str">
        <f>EUconst_CNTR_RelThreshold &amp; Q2202</f>
        <v>RelThresh_HALprelim_WasteGasFlare_</v>
      </c>
      <c r="R2200" s="694"/>
      <c r="S2200" s="694"/>
      <c r="T2200" s="694"/>
      <c r="U2200" s="1365" t="s">
        <v>1715</v>
      </c>
      <c r="V2200" s="727" t="str">
        <f>IF(J2199="","",ABS(J2200)&gt;15%)</f>
        <v/>
      </c>
      <c r="W2200" s="727" t="str">
        <f>IF(K2199="","",ABS(K2200)&gt;15%)</f>
        <v/>
      </c>
      <c r="X2200" s="727" t="str">
        <f>IF(L2199="","",ABS(L2200)&gt;15%)</f>
        <v/>
      </c>
      <c r="Y2200" s="727" t="str">
        <f>IF(M2199="","",ABS(M2200)&gt;15%)</f>
        <v/>
      </c>
      <c r="Z2200" s="1221" t="str">
        <f>IF(N2199="","",ABS(N2200)&gt;15%)</f>
        <v/>
      </c>
      <c r="AA2200" s="694"/>
      <c r="AB2200" s="694"/>
      <c r="AC2200" s="694"/>
      <c r="AD2200" s="694"/>
      <c r="AE2200" s="694"/>
      <c r="AF2200" s="694"/>
      <c r="AG2200" s="694"/>
      <c r="AH2200" s="694"/>
      <c r="AI2200" s="694"/>
      <c r="AJ2200" s="694"/>
      <c r="AK2200" s="694"/>
      <c r="AL2200" s="694"/>
    </row>
    <row r="2201" spans="1:38" ht="12.75" customHeight="1" x14ac:dyDescent="0.25">
      <c r="A2201" s="729"/>
      <c r="B2201" s="298"/>
      <c r="C2201" s="1302"/>
      <c r="D2201" s="1208" t="s">
        <v>7</v>
      </c>
      <c r="E2201" s="2822" t="str">
        <f>Translations!$B$1322</f>
        <v>Предварителна корекция (ако са надвишени относителните прагове)</v>
      </c>
      <c r="F2201" s="2258"/>
      <c r="G2201" s="2258"/>
      <c r="H2201" s="1222"/>
      <c r="I2201" s="1223"/>
      <c r="J2201" s="1224" t="str">
        <f>IF(J2199="","",IF(V2200=FALSE,0%,IF(V2201,J2200,I2207)))</f>
        <v/>
      </c>
      <c r="K2201" s="1225" t="str">
        <f>IF(K2199="","",IF(W2200=FALSE,0%,IF(W2201,K2200,J2207)))</f>
        <v/>
      </c>
      <c r="L2201" s="1225" t="str">
        <f>IF(L2199="","",IF(X2200=FALSE,0%,IF(X2201,L2200,K2207)))</f>
        <v/>
      </c>
      <c r="M2201" s="1225" t="str">
        <f>IF(M2199="","",IF(Y2200=FALSE,0%,IF(Y2201,M2200,L2207)))</f>
        <v/>
      </c>
      <c r="N2201" s="1226" t="str">
        <f>IF(N2199="","",IF(Z2200=FALSE,0%,IF(Z2201,N2200,M2207)))</f>
        <v/>
      </c>
      <c r="O2201" s="302"/>
      <c r="P2201" s="302"/>
      <c r="Q2201" s="729"/>
      <c r="R2201" s="694"/>
      <c r="S2201" s="694"/>
      <c r="T2201" s="694"/>
      <c r="U2201" s="1215" t="s">
        <v>1716</v>
      </c>
      <c r="V2201" s="727" t="str">
        <f>IF(J2199="","",AND(V2200,IF(SUM(I2207)&lt;0,OR(SUM(J2200)&lt;SUM(I2207)-MOD(SUM(I2207),5%),J2200&gt;=SUM(I2207)+5%-MOD(SUM(I2207),5%)),OR(SUM(J2200)&lt;=SUM(I2207)-MOD(SUM(I2207),5%),SUM(J2200)&gt;SUM(I2207)+5%-MOD(SUM(I2207),5%)))))</f>
        <v/>
      </c>
      <c r="W2201" s="727" t="str">
        <f>IF(K2199="","",AND(W2200,IF(SUM(J2207)&lt;0,OR(SUM(K2200)&lt;SUM(J2207)-MOD(SUM(J2207),5%),K2200&gt;=SUM(J2207)+5%-MOD(SUM(J2207),5%)),OR(SUM(K2200)&lt;=SUM(J2207)-MOD(SUM(J2207),5%),SUM(K2200)&gt;SUM(J2207)+5%-MOD(SUM(J2207),5%)))))</f>
        <v/>
      </c>
      <c r="X2201" s="727" t="str">
        <f>IF(L2199="","",AND(X2200,IF(SUM(K2207)&lt;0,OR(SUM(L2200)&lt;SUM(K2207)-MOD(SUM(K2207),5%),L2200&gt;=SUM(K2207)+5%-MOD(SUM(K2207),5%)),OR(SUM(L2200)&lt;=SUM(K2207)-MOD(SUM(K2207),5%),SUM(L2200)&gt;SUM(K2207)+5%-MOD(SUM(K2207),5%)))))</f>
        <v/>
      </c>
      <c r="Y2201" s="727" t="str">
        <f>IF(M2199="","",AND(Y2200,IF(SUM(L2207)&lt;0,OR(SUM(M2200)&lt;SUM(L2207)-MOD(SUM(L2207),5%),M2200&gt;=SUM(L2207)+5%-MOD(SUM(L2207),5%)),OR(SUM(M2200)&lt;=SUM(L2207)-MOD(SUM(L2207),5%),SUM(M2200)&gt;SUM(L2207)+5%-MOD(SUM(L2207),5%)))))</f>
        <v/>
      </c>
      <c r="Z2201" s="1221" t="str">
        <f>IF(N2199="","",AND(Z2200,IF(SUM(M2207)&lt;0,OR(SUM(N2200)&lt;SUM(M2207)-MOD(SUM(M2207),5%),N2200&gt;=SUM(M2207)+5%-MOD(SUM(M2207),5%)),OR(SUM(N2200)&lt;=SUM(M2207)-MOD(SUM(M2207),5%),SUM(N2200)&gt;SUM(M2207)+5%-MOD(SUM(M2207),5%)))))</f>
        <v/>
      </c>
      <c r="AA2201" s="694"/>
      <c r="AB2201" s="694"/>
      <c r="AC2201" s="694"/>
      <c r="AD2201" s="694"/>
      <c r="AE2201" s="694"/>
      <c r="AF2201" s="694"/>
      <c r="AG2201" s="694"/>
      <c r="AH2201" s="694"/>
      <c r="AI2201" s="694"/>
      <c r="AJ2201" s="694"/>
      <c r="AK2201" s="694"/>
      <c r="AL2201" s="694"/>
    </row>
    <row r="2202" spans="1:38" ht="12.75" hidden="1" customHeight="1" x14ac:dyDescent="0.25">
      <c r="A2202" s="729" t="s">
        <v>312</v>
      </c>
      <c r="B2202" s="298"/>
      <c r="C2202" s="1302"/>
      <c r="D2202" s="1208"/>
      <c r="E2202" s="2822" t="str">
        <f>Translations!$B$1377</f>
        <v>Предварителна стойност</v>
      </c>
      <c r="F2202" s="2258"/>
      <c r="G2202" s="2258"/>
      <c r="H2202" s="1266" t="str">
        <f>H2199</f>
        <v>t CO2</v>
      </c>
      <c r="I2202" s="1211" t="str">
        <f>IF($I1980="","",IF(AB1980=FALSE,EUconst_NA,IF(V1980&gt;($J$2831-3),INDEX(H2195:N2195,MATCH(V1980,H2189:N2189,0)),SUM(I2199))))</f>
        <v/>
      </c>
      <c r="J2202" s="1212" t="str">
        <f>IF($I1980="","",IF(V2199&lt;2,SUM(J2195),IF(V2199&lt;3,SUM(I2195),IF(V2202="",I2202,V2202))))</f>
        <v/>
      </c>
      <c r="K2202" s="1213" t="str">
        <f>IF($I1980="","",IF(W2199&lt;2,SUM(K2195),IF(W2199&lt;3,SUM(J2195),IF(W2202="",J2202,W2202))))</f>
        <v/>
      </c>
      <c r="L2202" s="1213" t="str">
        <f>IF($I1980="","",IF(X2199&lt;2,SUM(L2195),IF(X2199&lt;3,SUM(K2195),IF(X2202="",K2202,X2202))))</f>
        <v/>
      </c>
      <c r="M2202" s="1213" t="str">
        <f>IF($I1980="","",IF(Y2199&lt;2,SUM(M2195),IF(Y2199&lt;3,SUM(L2195),IF(Y2202="",L2202,Y2202))))</f>
        <v/>
      </c>
      <c r="N2202" s="1214" t="str">
        <f>IF($I1980="","",IF(Z2199&lt;2,SUM(N2195),IF(Z2199&lt;3,SUM(M2195),IF(Z2202="",M2202,Z2202))))</f>
        <v/>
      </c>
      <c r="O2202" s="302"/>
      <c r="P2202" s="302"/>
      <c r="Q2202" s="1190" t="str">
        <f>EUconst_CNTR_HALprelim&amp;EUconst_CNTR_WGFlared &amp; I1980</f>
        <v>HALprelim_WasteGasFlare_</v>
      </c>
      <c r="R2202" s="694"/>
      <c r="S2202" s="694"/>
      <c r="T2202" s="694"/>
      <c r="U2202" s="1365" t="s">
        <v>1756</v>
      </c>
      <c r="V2202" s="1227" t="str">
        <f>IF(J2199="","",IF(CNTR_ReportingYear&lt;J2198,I2201,IF($I2202=0,J2199,$I2202*(1+J2201))))</f>
        <v/>
      </c>
      <c r="W2202" s="1227" t="str">
        <f>IF(K2199="","",IF(CNTR_ReportingYear&lt;K2198,J2201,IF($I2202=0,K2199,$I2202*(1+K2201))))</f>
        <v/>
      </c>
      <c r="X2202" s="1227" t="str">
        <f>IF(L2199="","",IF(CNTR_ReportingYear&lt;L2198,K2201,IF($I2202=0,L2199,$I2202*(1+L2201))))</f>
        <v/>
      </c>
      <c r="Y2202" s="1227" t="str">
        <f>IF(M2199="","",IF(CNTR_ReportingYear&lt;M2198,L2201,IF($I2202=0,M2199,$I2202*(1+M2201))))</f>
        <v/>
      </c>
      <c r="Z2202" s="1228" t="str">
        <f>IF(N2199="","",IF(CNTR_ReportingYear&lt;N2198,M2201,IF($I2202=0,N2199,$I2202*(1+N2201))))</f>
        <v/>
      </c>
      <c r="AA2202" s="694"/>
      <c r="AB2202" s="694"/>
      <c r="AC2202" s="694"/>
      <c r="AD2202" s="694"/>
      <c r="AE2202" s="694"/>
      <c r="AF2202" s="694"/>
      <c r="AG2202" s="694"/>
      <c r="AH2202" s="694"/>
      <c r="AI2202" s="694"/>
      <c r="AJ2202" s="694"/>
      <c r="AK2202" s="694"/>
      <c r="AL2202" s="694"/>
    </row>
    <row r="2203" spans="1:38" ht="5.15" customHeight="1" x14ac:dyDescent="0.25">
      <c r="A2203" s="729"/>
      <c r="B2203" s="298"/>
      <c r="C2203" s="1302"/>
      <c r="D2203" s="1208"/>
      <c r="E2203" s="1199"/>
      <c r="F2203" s="1199"/>
      <c r="G2203" s="1199"/>
      <c r="H2203" s="1199"/>
      <c r="I2203" s="1199"/>
      <c r="J2203" s="1229"/>
      <c r="K2203" s="1229"/>
      <c r="L2203" s="1229"/>
      <c r="M2203" s="1229"/>
      <c r="N2203" s="1230"/>
      <c r="O2203" s="302"/>
      <c r="P2203" s="302"/>
      <c r="Q2203" s="729"/>
      <c r="R2203" s="694"/>
      <c r="S2203" s="694"/>
      <c r="T2203" s="694"/>
      <c r="U2203" s="1231"/>
      <c r="V2203" s="729"/>
      <c r="W2203" s="694"/>
      <c r="X2203" s="694"/>
      <c r="Y2203" s="694"/>
      <c r="Z2203" s="1232"/>
      <c r="AA2203" s="694"/>
      <c r="AB2203" s="694"/>
      <c r="AC2203" s="694"/>
      <c r="AD2203" s="694"/>
      <c r="AE2203" s="694"/>
      <c r="AF2203" s="694"/>
      <c r="AG2203" s="694"/>
      <c r="AH2203" s="694"/>
      <c r="AI2203" s="694"/>
      <c r="AJ2203" s="694"/>
      <c r="AK2203" s="694"/>
      <c r="AL2203" s="694"/>
    </row>
    <row r="2204" spans="1:38" ht="12.75" customHeight="1" x14ac:dyDescent="0.25">
      <c r="A2204" s="729"/>
      <c r="B2204" s="298"/>
      <c r="C2204" s="1302"/>
      <c r="D2204" s="1208"/>
      <c r="E2204" s="2823" t="str">
        <f>Translations!$B$1323</f>
        <v>Действителна корекция (база за следващи години)</v>
      </c>
      <c r="F2204" s="2672"/>
      <c r="G2204" s="2672"/>
      <c r="H2204" s="2672"/>
      <c r="I2204" s="2813"/>
      <c r="J2204" s="1202">
        <f>J$2831</f>
        <v>2026</v>
      </c>
      <c r="K2204" s="1203">
        <f>K$2831</f>
        <v>2027</v>
      </c>
      <c r="L2204" s="1203">
        <f>L$2831</f>
        <v>2028</v>
      </c>
      <c r="M2204" s="1203">
        <f>M$2831</f>
        <v>2029</v>
      </c>
      <c r="N2204" s="1204">
        <f>N$2831</f>
        <v>2030</v>
      </c>
      <c r="O2204" s="302"/>
      <c r="P2204" s="302"/>
      <c r="Q2204" s="729"/>
      <c r="R2204" s="694"/>
      <c r="S2204" s="694"/>
      <c r="T2204" s="694"/>
      <c r="U2204" s="1234"/>
      <c r="V2204" s="694"/>
      <c r="W2204" s="694"/>
      <c r="X2204" s="694"/>
      <c r="Y2204" s="694"/>
      <c r="Z2204" s="1232"/>
      <c r="AA2204" s="694"/>
      <c r="AB2204" s="694"/>
      <c r="AC2204" s="694"/>
      <c r="AD2204" s="694"/>
      <c r="AE2204" s="694"/>
      <c r="AF2204" s="694"/>
      <c r="AG2204" s="694"/>
      <c r="AH2204" s="694"/>
      <c r="AI2204" s="694"/>
      <c r="AJ2204" s="694"/>
      <c r="AK2204" s="694"/>
      <c r="AL2204" s="694"/>
    </row>
    <row r="2205" spans="1:38" ht="12.75" customHeight="1" x14ac:dyDescent="0.25">
      <c r="A2205" s="729"/>
      <c r="B2205" s="298"/>
      <c r="C2205" s="1302"/>
      <c r="D2205" s="1208" t="s">
        <v>8</v>
      </c>
      <c r="E2205" s="2822" t="str">
        <f>Translations!$B$1515</f>
        <v>изпълнен ли е критерият за &gt;=300 квоти за емисии?</v>
      </c>
      <c r="F2205" s="2258"/>
      <c r="G2205" s="2258"/>
      <c r="H2205" s="2258"/>
      <c r="I2205" s="2824"/>
      <c r="J2205" s="1236" t="str">
        <f>IF($I1980="","",INDEX(K_Summary!J:J,MATCH($Q2205,K_Summary!$P:$P,0)))</f>
        <v/>
      </c>
      <c r="K2205" s="385" t="str">
        <f>IF($I1980="","",INDEX(K_Summary!K:K,MATCH($Q2205,K_Summary!$P:$P,0)))</f>
        <v/>
      </c>
      <c r="L2205" s="385" t="str">
        <f>IF($I1980="","",INDEX(K_Summary!L:L,MATCH($Q2205,K_Summary!$P:$P,0)))</f>
        <v/>
      </c>
      <c r="M2205" s="385" t="str">
        <f>IF($I1980="","",INDEX(K_Summary!M:M,MATCH($Q2205,K_Summary!$P:$P,0)))</f>
        <v/>
      </c>
      <c r="N2205" s="1237" t="str">
        <f>IF($I1980="","",INDEX(K_Summary!N:N,MATCH($Q2205,K_Summary!$P:$P,0)))</f>
        <v/>
      </c>
      <c r="O2205" s="302"/>
      <c r="P2205" s="302"/>
      <c r="Q2205" s="1182" t="str">
        <f>EUconst_CNTR_300EUA&amp;I1980</f>
        <v>EUA300_</v>
      </c>
      <c r="R2205" s="694"/>
      <c r="S2205" s="694"/>
      <c r="T2205" s="694"/>
      <c r="U2205" s="1234"/>
      <c r="V2205" s="694"/>
      <c r="W2205" s="694"/>
      <c r="X2205" s="694"/>
      <c r="Y2205" s="694"/>
      <c r="Z2205" s="1232"/>
      <c r="AA2205" s="694"/>
      <c r="AB2205" s="694"/>
      <c r="AC2205" s="694"/>
      <c r="AD2205" s="694"/>
      <c r="AE2205" s="694"/>
      <c r="AF2205" s="694"/>
      <c r="AG2205" s="694"/>
      <c r="AH2205" s="694"/>
      <c r="AI2205" s="694"/>
      <c r="AJ2205" s="694"/>
      <c r="AK2205" s="694"/>
      <c r="AL2205" s="694"/>
    </row>
    <row r="2206" spans="1:38" ht="5.15" customHeight="1" thickBot="1" x14ac:dyDescent="0.3">
      <c r="A2206" s="729"/>
      <c r="B2206" s="298"/>
      <c r="C2206" s="1302"/>
      <c r="D2206" s="1208"/>
      <c r="E2206" s="1199"/>
      <c r="F2206" s="1199"/>
      <c r="G2206" s="1199"/>
      <c r="H2206" s="1199"/>
      <c r="I2206" s="1199"/>
      <c r="J2206" s="1199"/>
      <c r="K2206" s="1199"/>
      <c r="L2206" s="1199"/>
      <c r="M2206" s="1199"/>
      <c r="N2206" s="1238"/>
      <c r="O2206" s="302"/>
      <c r="P2206" s="302"/>
      <c r="Q2206" s="729"/>
      <c r="R2206" s="694"/>
      <c r="S2206" s="694"/>
      <c r="T2206" s="694"/>
      <c r="U2206" s="1231"/>
      <c r="V2206" s="729"/>
      <c r="W2206" s="694"/>
      <c r="X2206" s="694"/>
      <c r="Y2206" s="694"/>
      <c r="Z2206" s="1232"/>
      <c r="AA2206" s="694"/>
      <c r="AB2206" s="694"/>
      <c r="AC2206" s="694"/>
      <c r="AD2206" s="694"/>
      <c r="AE2206" s="694"/>
      <c r="AF2206" s="694"/>
      <c r="AG2206" s="694"/>
      <c r="AH2206" s="694"/>
      <c r="AI2206" s="694"/>
      <c r="AJ2206" s="694"/>
      <c r="AK2206" s="694"/>
      <c r="AL2206" s="694"/>
    </row>
    <row r="2207" spans="1:38" ht="12.75" customHeight="1" thickBot="1" x14ac:dyDescent="0.3">
      <c r="A2207" s="694"/>
      <c r="B2207" s="298"/>
      <c r="C2207" s="1302"/>
      <c r="D2207" s="1208" t="s">
        <v>18</v>
      </c>
      <c r="E2207" s="2822" t="str">
        <f>Translations!$B$1324</f>
        <v>Действителна корекция (ако са надвишени всички прагове)</v>
      </c>
      <c r="F2207" s="2258"/>
      <c r="G2207" s="2258"/>
      <c r="H2207" s="2258"/>
      <c r="I2207" s="2824"/>
      <c r="J2207" s="1240" t="str">
        <f>IF(J2205="","",IF(OR(J2205,V2199&lt;1),J2201,I2207))</f>
        <v/>
      </c>
      <c r="K2207" s="1241" t="str">
        <f>IF(K2205="","",IF(OR(K2205,W2199&lt;1),K2201,J2207))</f>
        <v/>
      </c>
      <c r="L2207" s="1241" t="str">
        <f>IF(L2205="","",IF(OR(L2205,X2199&lt;1),L2201,K2207))</f>
        <v/>
      </c>
      <c r="M2207" s="1241" t="str">
        <f>IF(M2205="","",IF(OR(M2205,Y2199&lt;1),M2201,L2207))</f>
        <v/>
      </c>
      <c r="N2207" s="1242" t="str">
        <f>IF(N2205="","",IF(OR(N2205,Z2199&lt;1),N2201,M2207))</f>
        <v/>
      </c>
      <c r="O2207" s="302"/>
      <c r="P2207" s="302"/>
      <c r="Q2207" s="729"/>
      <c r="R2207" s="694"/>
      <c r="S2207" s="694"/>
      <c r="T2207" s="694"/>
      <c r="U2207" s="1231" t="s">
        <v>1718</v>
      </c>
      <c r="V2207" s="1243">
        <f>J2204</f>
        <v>2026</v>
      </c>
      <c r="W2207" s="1243">
        <f>K2204</f>
        <v>2027</v>
      </c>
      <c r="X2207" s="1243">
        <f>L2204</f>
        <v>2028</v>
      </c>
      <c r="Y2207" s="1243">
        <f>M2204</f>
        <v>2029</v>
      </c>
      <c r="Z2207" s="1244">
        <f>N2204</f>
        <v>2030</v>
      </c>
      <c r="AA2207" s="694"/>
      <c r="AB2207" s="694"/>
      <c r="AC2207" s="694"/>
      <c r="AD2207" s="694"/>
      <c r="AE2207" s="694"/>
      <c r="AF2207" s="694"/>
      <c r="AG2207" s="694"/>
      <c r="AH2207" s="694"/>
      <c r="AI2207" s="694"/>
      <c r="AJ2207" s="694"/>
      <c r="AK2207" s="694"/>
      <c r="AL2207" s="694"/>
    </row>
    <row r="2208" spans="1:38" ht="12.75" customHeight="1" thickBot="1" x14ac:dyDescent="0.3">
      <c r="A2208" s="729"/>
      <c r="B2208" s="298"/>
      <c r="C2208" s="1302"/>
      <c r="D2208" s="1208" t="s">
        <v>810</v>
      </c>
      <c r="E2208" s="2822" t="str">
        <f>Translations!$B$1325</f>
        <v>Действителна стойност</v>
      </c>
      <c r="F2208" s="2258"/>
      <c r="G2208" s="2258"/>
      <c r="H2208" s="1266" t="str">
        <f>H2199</f>
        <v>t CO2</v>
      </c>
      <c r="I2208" s="1211" t="str">
        <f>I2202</f>
        <v/>
      </c>
      <c r="J2208" s="632" t="str">
        <f>IF($I1980="","",IF(OR($I2208=0,$I2208=EUconst_NA),IF(OR(J2205=TRUE,J2204=$V1980),J2202,SUM(I2208)),IF(J2207="",J2202,$I2208*(1+SUM(J2207)))))</f>
        <v/>
      </c>
      <c r="K2208" s="633" t="str">
        <f>IF($I1980="","",IF(OR($I2208=0,$I2208=EUconst_NA),IF(OR(K2205=TRUE,K2204=$V1980),K2202,SUM(J2208)),IF(K2207="",K2202,$I2208*(1+SUM(K2207)))))</f>
        <v/>
      </c>
      <c r="L2208" s="633" t="str">
        <f>IF($I1980="","",IF(OR($I2208=0,$I2208=EUconst_NA),IF(OR(L2205=TRUE,L2204=$V1980),L2202,SUM(K2208)),IF(L2207="",L2202,$I2208*(1+SUM(L2207)))))</f>
        <v/>
      </c>
      <c r="M2208" s="633" t="str">
        <f>IF($I1980="","",IF(OR($I2208=0,$I2208=EUconst_NA),IF(OR(M2205=TRUE,M2204=$V1980),M2202,SUM(L2208)),IF(M2207="",M2202,$I2208*(1+SUM(M2207)))))</f>
        <v/>
      </c>
      <c r="N2208" s="634" t="str">
        <f>IF($I1980="","",IF(OR($I2208=0,$I2208=EUconst_NA),IF(OR(N2205=TRUE,N2204=$V1980),N2202,SUM(M2208)),IF(N2207="",N2202,$I2208*(1+SUM(N2207)))))</f>
        <v/>
      </c>
      <c r="O2208" s="302"/>
      <c r="P2208" s="302"/>
      <c r="Q2208" s="1190" t="str">
        <f>EUconst_CNTR_HALfinal&amp;EUconst_CNTR_WGFlared &amp; I1980</f>
        <v>HALfinal_WasteGasFlare_</v>
      </c>
      <c r="R2208" s="694"/>
      <c r="S2208" s="694"/>
      <c r="T2208" s="694"/>
      <c r="U2208" s="1245" t="b">
        <v>0</v>
      </c>
      <c r="V2208" s="1246" t="str">
        <f>IF(V2158,IF(J2205=TRUE,V1988,U2208),"")</f>
        <v/>
      </c>
      <c r="W2208" s="1246" t="str">
        <f>IF(W2158,IF(K2205=TRUE,W1988,V2208),"")</f>
        <v/>
      </c>
      <c r="X2208" s="1246" t="str">
        <f>IF(X2158,IF(L2205=TRUE,X1988,W2208),"")</f>
        <v/>
      </c>
      <c r="Y2208" s="1246" t="str">
        <f>IF(Y2158,IF(M2205=TRUE,Y1988,X2208),"")</f>
        <v/>
      </c>
      <c r="Z2208" s="1247" t="str">
        <f>IF(Z2158,IF(N2205=TRUE,Z1988,Y2208),"")</f>
        <v/>
      </c>
      <c r="AA2208" s="694"/>
      <c r="AB2208" s="694"/>
      <c r="AC2208" s="694"/>
      <c r="AD2208" s="694"/>
      <c r="AE2208" s="694"/>
      <c r="AF2208" s="694"/>
      <c r="AG2208" s="694"/>
      <c r="AH2208" s="694"/>
      <c r="AI2208" s="694"/>
      <c r="AJ2208" s="1174" t="s">
        <v>2033</v>
      </c>
      <c r="AK2208" s="982" t="str">
        <f>IF(OR(ISERROR(J2208),ISERROR(K2208),ISERROR(L2208),ISERROR(M2208),ISERROR(N2208)),EUconst_Error &amp; "BM" &amp; Q1980,"")</f>
        <v/>
      </c>
      <c r="AL2208" s="694"/>
    </row>
    <row r="2209" spans="1:38" ht="5.15" customHeight="1" thickBot="1" x14ac:dyDescent="0.3">
      <c r="A2209" s="694"/>
      <c r="B2209" s="298"/>
      <c r="C2209" s="1302"/>
      <c r="D2209" s="1366"/>
      <c r="E2209" s="1367"/>
      <c r="F2209" s="1367"/>
      <c r="G2209" s="1367"/>
      <c r="H2209" s="1368"/>
      <c r="I2209" s="1367"/>
      <c r="J2209" s="1367"/>
      <c r="K2209" s="1367"/>
      <c r="L2209" s="1367"/>
      <c r="M2209" s="1249"/>
      <c r="N2209" s="1250"/>
      <c r="O2209" s="302"/>
      <c r="P2209" s="302"/>
      <c r="Q2209" s="729"/>
      <c r="R2209" s="694"/>
      <c r="S2209" s="729"/>
      <c r="T2209" s="729"/>
      <c r="U2209" s="729"/>
      <c r="V2209" s="729"/>
      <c r="W2209" s="694"/>
      <c r="X2209" s="694"/>
      <c r="Y2209" s="694"/>
      <c r="Z2209" s="694"/>
      <c r="AA2209" s="694"/>
      <c r="AB2209" s="694"/>
      <c r="AC2209" s="694"/>
      <c r="AD2209" s="694"/>
      <c r="AE2209" s="694"/>
      <c r="AF2209" s="694"/>
      <c r="AG2209" s="694"/>
      <c r="AH2209" s="694"/>
      <c r="AI2209" s="694"/>
      <c r="AJ2209" s="694"/>
      <c r="AK2209" s="694"/>
      <c r="AL2209" s="694"/>
    </row>
    <row r="2210" spans="1:38" ht="5.15" customHeight="1" x14ac:dyDescent="0.25">
      <c r="A2210" s="694"/>
      <c r="B2210" s="298"/>
      <c r="C2210" s="1302"/>
      <c r="D2210" s="1306"/>
      <c r="E2210" s="1306"/>
      <c r="F2210" s="1306"/>
      <c r="G2210" s="1306"/>
      <c r="H2210" s="1354"/>
      <c r="I2210" s="1306"/>
      <c r="J2210" s="1306"/>
      <c r="K2210" s="1306"/>
      <c r="L2210" s="1306"/>
      <c r="M2210" s="626"/>
      <c r="N2210" s="1316"/>
      <c r="O2210" s="302"/>
      <c r="P2210" s="302"/>
      <c r="Q2210" s="729"/>
      <c r="R2210" s="694"/>
      <c r="S2210" s="729"/>
      <c r="T2210" s="729"/>
      <c r="U2210" s="729"/>
      <c r="V2210" s="729"/>
      <c r="W2210" s="694"/>
      <c r="X2210" s="694"/>
      <c r="Y2210" s="694"/>
      <c r="Z2210" s="694"/>
      <c r="AA2210" s="694"/>
      <c r="AB2210" s="694"/>
      <c r="AC2210" s="694"/>
      <c r="AD2210" s="694"/>
      <c r="AE2210" s="694"/>
      <c r="AF2210" s="694"/>
      <c r="AG2210" s="694"/>
      <c r="AH2210" s="694"/>
      <c r="AI2210" s="694"/>
      <c r="AJ2210" s="694"/>
      <c r="AK2210" s="694"/>
      <c r="AL2210" s="694"/>
    </row>
    <row r="2211" spans="1:38" ht="12.75" customHeight="1" x14ac:dyDescent="0.25">
      <c r="A2211" s="694"/>
      <c r="B2211" s="298"/>
      <c r="C2211" s="1302"/>
      <c r="D2211" s="625" t="s">
        <v>1140</v>
      </c>
      <c r="E2211" s="2815" t="str">
        <f>Translations!$B$582</f>
        <v>Видове получени отпадни газове:</v>
      </c>
      <c r="F2211" s="2240"/>
      <c r="G2211" s="2240"/>
      <c r="H2211" s="2684"/>
      <c r="I2211" s="2821"/>
      <c r="J2211" s="2674"/>
      <c r="K2211" s="2674"/>
      <c r="L2211" s="2674"/>
      <c r="M2211" s="2675"/>
      <c r="N2211" s="1316"/>
      <c r="O2211" s="302"/>
      <c r="P2211" s="158"/>
      <c r="Q2211" s="729"/>
      <c r="R2211" s="694"/>
      <c r="S2211" s="729"/>
      <c r="T2211" s="694"/>
      <c r="U2211" s="694"/>
      <c r="V2211" s="694"/>
      <c r="W2211" s="694"/>
      <c r="X2211" s="694"/>
      <c r="Y2211" s="694"/>
      <c r="Z2211" s="694"/>
      <c r="AA2211" s="694"/>
      <c r="AB2211" s="694"/>
      <c r="AC2211" s="1182" t="s">
        <v>737</v>
      </c>
      <c r="AD2211" s="982" t="b">
        <f>AD2185</f>
        <v>0</v>
      </c>
      <c r="AE2211" s="694"/>
      <c r="AF2211" s="694"/>
      <c r="AG2211" s="694"/>
      <c r="AH2211" s="694"/>
      <c r="AI2211" s="694"/>
      <c r="AJ2211" s="694"/>
      <c r="AK2211" s="694"/>
      <c r="AL2211" s="694"/>
    </row>
    <row r="2212" spans="1:38" ht="12.75" customHeight="1" x14ac:dyDescent="0.25">
      <c r="A2212" s="694"/>
      <c r="B2212" s="298"/>
      <c r="C2212" s="1302"/>
      <c r="D2212" s="625"/>
      <c r="E2212" s="2816" t="str">
        <f>Translations!$B$583</f>
        <v>Посочените тук данни ще се отразят на емисиите, които могат да бъдат зададени съгласно раздел 10.1.5 от приложение VII към ПБР.</v>
      </c>
      <c r="F2212" s="2240"/>
      <c r="G2212" s="2240"/>
      <c r="H2212" s="2240"/>
      <c r="I2212" s="2240"/>
      <c r="J2212" s="2240"/>
      <c r="K2212" s="2240"/>
      <c r="L2212" s="2240"/>
      <c r="M2212" s="2240"/>
      <c r="N2212" s="2811"/>
      <c r="O2212" s="302"/>
      <c r="P2212" s="302"/>
      <c r="Q2212" s="729"/>
      <c r="R2212" s="694"/>
      <c r="S2212" s="729"/>
      <c r="T2212" s="729"/>
      <c r="U2212" s="729"/>
      <c r="V2212" s="729"/>
      <c r="W2212" s="694"/>
      <c r="X2212" s="694"/>
      <c r="Y2212" s="694"/>
      <c r="Z2212" s="694"/>
      <c r="AA2212" s="694"/>
      <c r="AB2212" s="694"/>
      <c r="AC2212" s="694"/>
      <c r="AD2212" s="694"/>
      <c r="AE2212" s="694"/>
      <c r="AF2212" s="694"/>
      <c r="AG2212" s="694"/>
      <c r="AH2212" s="694"/>
      <c r="AI2212" s="694"/>
      <c r="AJ2212" s="694"/>
      <c r="AK2212" s="694"/>
      <c r="AL2212" s="694"/>
    </row>
    <row r="2213" spans="1:38" ht="25.5" customHeight="1" x14ac:dyDescent="0.25">
      <c r="A2213" s="694"/>
      <c r="B2213" s="298"/>
      <c r="C2213" s="1302"/>
      <c r="D2213" s="625"/>
      <c r="E2213" s="2810" t="str">
        <f>Translations!$B$584</f>
        <v>Това включва всички видове отпадни газове, произведени извън системните граници на тази подинсталация, но получени от нея и използвани за производството на измерима топлинна енергия, неизмерима топлинна енергия (включително необходимото за безопасността изгаряне във факел) или механична енергия (различна от тази за електропроизводство).</v>
      </c>
      <c r="F2213" s="2240"/>
      <c r="G2213" s="2240"/>
      <c r="H2213" s="2240"/>
      <c r="I2213" s="2240"/>
      <c r="J2213" s="2240"/>
      <c r="K2213" s="2240"/>
      <c r="L2213" s="2240"/>
      <c r="M2213" s="2240"/>
      <c r="N2213" s="2811"/>
      <c r="O2213" s="302"/>
      <c r="P2213" s="302"/>
      <c r="Q2213" s="729"/>
      <c r="R2213" s="694"/>
      <c r="S2213" s="729"/>
      <c r="T2213" s="729"/>
      <c r="U2213" s="729"/>
      <c r="V2213" s="729"/>
      <c r="W2213" s="694"/>
      <c r="X2213" s="694"/>
      <c r="Y2213" s="694"/>
      <c r="Z2213" s="694"/>
      <c r="AA2213" s="694"/>
      <c r="AB2213" s="694"/>
      <c r="AC2213" s="694"/>
      <c r="AD2213" s="694"/>
      <c r="AE2213" s="694"/>
      <c r="AF2213" s="694"/>
      <c r="AG2213" s="694"/>
      <c r="AH2213" s="694"/>
      <c r="AI2213" s="694"/>
      <c r="AJ2213" s="694"/>
      <c r="AK2213" s="694"/>
      <c r="AL2213" s="694"/>
    </row>
    <row r="2214" spans="1:38" ht="12.75" customHeight="1" thickBot="1" x14ac:dyDescent="0.3">
      <c r="A2214" s="694"/>
      <c r="B2214" s="298"/>
      <c r="C2214" s="1302"/>
      <c r="D2214" s="1306"/>
      <c r="E2214" s="1317"/>
      <c r="F2214" s="1318"/>
      <c r="G2214" s="1309" t="str">
        <f>EUconst_Unit</f>
        <v>Единица мярка</v>
      </c>
      <c r="H2214" s="629">
        <f t="shared" ref="H2214:N2214" si="3123">H$2831</f>
        <v>2024</v>
      </c>
      <c r="I2214" s="1310">
        <f t="shared" si="3123"/>
        <v>2025</v>
      </c>
      <c r="J2214" s="1311">
        <f t="shared" si="3123"/>
        <v>2026</v>
      </c>
      <c r="K2214" s="629">
        <f t="shared" si="3123"/>
        <v>2027</v>
      </c>
      <c r="L2214" s="629">
        <f t="shared" si="3123"/>
        <v>2028</v>
      </c>
      <c r="M2214" s="629">
        <f t="shared" si="3123"/>
        <v>2029</v>
      </c>
      <c r="N2214" s="1312">
        <f t="shared" si="3123"/>
        <v>2030</v>
      </c>
      <c r="O2214" s="302"/>
      <c r="P2214" s="302"/>
      <c r="Q2214" s="729"/>
      <c r="R2214" s="694"/>
      <c r="S2214" s="729"/>
      <c r="T2214" s="729"/>
      <c r="U2214" s="729"/>
      <c r="V2214" s="729"/>
      <c r="W2214" s="694"/>
      <c r="X2214" s="694"/>
      <c r="Y2214" s="694"/>
      <c r="Z2214" s="694"/>
      <c r="AA2214" s="694"/>
      <c r="AB2214" s="694"/>
      <c r="AC2214" s="1178">
        <f t="shared" ref="AC2214" si="3124">H$20</f>
        <v>2024</v>
      </c>
      <c r="AD2214" s="1178">
        <f t="shared" ref="AD2214" si="3125">I$20</f>
        <v>2025</v>
      </c>
      <c r="AE2214" s="1178">
        <f t="shared" ref="AE2214" si="3126">J$20</f>
        <v>2026</v>
      </c>
      <c r="AF2214" s="1178">
        <f t="shared" ref="AF2214" si="3127">K$20</f>
        <v>2027</v>
      </c>
      <c r="AG2214" s="1178">
        <f t="shared" ref="AG2214" si="3128">L$20</f>
        <v>2028</v>
      </c>
      <c r="AH2214" s="1178">
        <f t="shared" ref="AH2214" si="3129">M$20</f>
        <v>2029</v>
      </c>
      <c r="AI2214" s="1178">
        <f t="shared" ref="AI2214" si="3130">N$20</f>
        <v>2030</v>
      </c>
      <c r="AJ2214" s="694"/>
      <c r="AK2214" s="694"/>
      <c r="AL2214" s="694"/>
    </row>
    <row r="2215" spans="1:38" ht="12.75" customHeight="1" thickBot="1" x14ac:dyDescent="0.3">
      <c r="A2215" s="694"/>
      <c r="B2215" s="298"/>
      <c r="C2215" s="1302"/>
      <c r="D2215" s="625" t="s">
        <v>1141</v>
      </c>
      <c r="E2215" s="2818" t="str">
        <f>Translations!$B$585</f>
        <v>Получени количества</v>
      </c>
      <c r="F2215" s="2701"/>
      <c r="G2215" s="145"/>
      <c r="H2215" s="129"/>
      <c r="I2215" s="130"/>
      <c r="J2215" s="131"/>
      <c r="K2215" s="129"/>
      <c r="L2215" s="129"/>
      <c r="M2215" s="129"/>
      <c r="N2215" s="132"/>
      <c r="O2215" s="302"/>
      <c r="P2215" s="158"/>
      <c r="Q2215" s="729"/>
      <c r="R2215" s="694"/>
      <c r="S2215" s="729"/>
      <c r="T2215" s="729"/>
      <c r="U2215" s="729"/>
      <c r="V2215" s="729"/>
      <c r="W2215" s="694"/>
      <c r="X2215" s="694"/>
      <c r="Y2215" s="694"/>
      <c r="Z2215" s="694"/>
      <c r="AA2215" s="694"/>
      <c r="AB2215" s="1182" t="s">
        <v>737</v>
      </c>
      <c r="AC2215" s="982" t="b">
        <f t="shared" ref="AC2215:AI2215" si="3131">AC2171</f>
        <v>0</v>
      </c>
      <c r="AD2215" s="982" t="b">
        <f t="shared" si="3131"/>
        <v>0</v>
      </c>
      <c r="AE2215" s="982" t="b">
        <f t="shared" si="3131"/>
        <v>0</v>
      </c>
      <c r="AF2215" s="982" t="b">
        <f t="shared" si="3131"/>
        <v>0</v>
      </c>
      <c r="AG2215" s="982" t="b">
        <f t="shared" si="3131"/>
        <v>0</v>
      </c>
      <c r="AH2215" s="982" t="b">
        <f t="shared" si="3131"/>
        <v>0</v>
      </c>
      <c r="AI2215" s="982" t="b">
        <f t="shared" si="3131"/>
        <v>0</v>
      </c>
      <c r="AJ2215" s="1174" t="s">
        <v>2039</v>
      </c>
      <c r="AK2215" s="1176" t="str">
        <f>IF(AND(CNTR_ExistSubInstEntries,MSconst_RequireSubAttrEmissions,COUNTIFS(AC2215:AI2215,FALSE,H2215:N2215,"")&gt;0),EUconst_Error&amp;"BM"&amp;$Q1980,"")</f>
        <v/>
      </c>
      <c r="AL2215" s="694"/>
    </row>
    <row r="2216" spans="1:38" ht="12.75" customHeight="1" x14ac:dyDescent="0.25">
      <c r="A2216" s="694"/>
      <c r="B2216" s="298"/>
      <c r="C2216" s="1302"/>
      <c r="D2216" s="625" t="s">
        <v>1142</v>
      </c>
      <c r="E2216" s="2819" t="str">
        <f>Translations!$B$296</f>
        <v>Долна топлина на изгаряне</v>
      </c>
      <c r="F2216" s="2705"/>
      <c r="G2216" s="1349" t="str">
        <f>IF(ISBLANK(G2215),EUconst_GJperUnit,INDEX(EUconst_GJperTorKNm3,MATCH(G2215,EUconst_TonnesOrkNm3pa,0)))</f>
        <v>GJ / Единица мярка</v>
      </c>
      <c r="H2216" s="137"/>
      <c r="I2216" s="138"/>
      <c r="J2216" s="139"/>
      <c r="K2216" s="137"/>
      <c r="L2216" s="137"/>
      <c r="M2216" s="137"/>
      <c r="N2216" s="140"/>
      <c r="O2216" s="302"/>
      <c r="P2216" s="158"/>
      <c r="Q2216" s="729"/>
      <c r="R2216" s="694"/>
      <c r="S2216" s="1205"/>
      <c r="T2216" s="1313">
        <f t="shared" ref="T2216" si="3132">H2214</f>
        <v>2024</v>
      </c>
      <c r="U2216" s="1313">
        <f t="shared" ref="U2216" si="3133">I2214</f>
        <v>2025</v>
      </c>
      <c r="V2216" s="1313">
        <f t="shared" ref="V2216" si="3134">J2214</f>
        <v>2026</v>
      </c>
      <c r="W2216" s="1313">
        <f t="shared" ref="W2216" si="3135">K2214</f>
        <v>2027</v>
      </c>
      <c r="X2216" s="1313">
        <f t="shared" ref="X2216" si="3136">L2214</f>
        <v>2028</v>
      </c>
      <c r="Y2216" s="1313">
        <f t="shared" ref="Y2216" si="3137">M2214</f>
        <v>2029</v>
      </c>
      <c r="Z2216" s="1314">
        <f t="shared" ref="Z2216" si="3138">N2214</f>
        <v>2030</v>
      </c>
      <c r="AA2216" s="694"/>
      <c r="AB2216" s="694"/>
      <c r="AC2216" s="982" t="b">
        <f>AC2215</f>
        <v>0</v>
      </c>
      <c r="AD2216" s="982" t="b">
        <f t="shared" ref="AD2216:AI2216" si="3139">AD2215</f>
        <v>0</v>
      </c>
      <c r="AE2216" s="982" t="b">
        <f t="shared" si="3139"/>
        <v>0</v>
      </c>
      <c r="AF2216" s="982" t="b">
        <f t="shared" si="3139"/>
        <v>0</v>
      </c>
      <c r="AG2216" s="982" t="b">
        <f t="shared" si="3139"/>
        <v>0</v>
      </c>
      <c r="AH2216" s="982" t="b">
        <f t="shared" si="3139"/>
        <v>0</v>
      </c>
      <c r="AI2216" s="982" t="b">
        <f t="shared" si="3139"/>
        <v>0</v>
      </c>
      <c r="AJ2216" s="1174" t="s">
        <v>2039</v>
      </c>
      <c r="AK2216" s="1176" t="str">
        <f>IF(AND(CNTR_ExistSubInstEntries,MSconst_RequireSubAttrEmissions,COUNTIFS(AC2216:AI2216,FALSE,H2216:N2216,"")&gt;0),EUconst_Error&amp;"BM"&amp;$Q1980,"")</f>
        <v/>
      </c>
      <c r="AL2216" s="694"/>
    </row>
    <row r="2217" spans="1:38" ht="12.75" customHeight="1" x14ac:dyDescent="0.25">
      <c r="A2217" s="694"/>
      <c r="B2217" s="298"/>
      <c r="C2217" s="1302"/>
      <c r="D2217" s="625" t="s">
        <v>1143</v>
      </c>
      <c r="E2217" s="2820" t="str">
        <f>Translations!$B$586</f>
        <v>Получен отпаден газ</v>
      </c>
      <c r="F2217" s="2258"/>
      <c r="G2217" s="1319" t="str">
        <f>EUconst_TJpa</f>
        <v>TJ / година</v>
      </c>
      <c r="H2217" s="1020" t="str">
        <f t="shared" ref="H2217:N2217" si="3140">IF(COUNT(H2215:H2216)=2,H2215*H2216/1000,"")</f>
        <v/>
      </c>
      <c r="I2217" s="1369" t="str">
        <f t="shared" si="3140"/>
        <v/>
      </c>
      <c r="J2217" s="1370" t="str">
        <f t="shared" si="3140"/>
        <v/>
      </c>
      <c r="K2217" s="1020" t="str">
        <f t="shared" si="3140"/>
        <v/>
      </c>
      <c r="L2217" s="1020" t="str">
        <f t="shared" si="3140"/>
        <v/>
      </c>
      <c r="M2217" s="1020" t="str">
        <f t="shared" si="3140"/>
        <v/>
      </c>
      <c r="N2217" s="1371" t="str">
        <f t="shared" si="3140"/>
        <v/>
      </c>
      <c r="O2217" s="302"/>
      <c r="P2217" s="302"/>
      <c r="Q2217" s="1190" t="str">
        <f>EUconst_CNTR_WGImport &amp; I1980</f>
        <v>WasteGasIm_</v>
      </c>
      <c r="R2217" s="694"/>
      <c r="S2217" s="1347" t="str">
        <f>EUconst_ERR_AttrEmBMapplied &amp; I1980</f>
        <v>ERR_AttrEmBM_</v>
      </c>
      <c r="T2217" s="982">
        <f t="shared" ref="T2217" si="3141">IF(AND(H2217&lt;&gt;"",EUconst_StatusOfDataCollection=FALSE),1,0)</f>
        <v>0</v>
      </c>
      <c r="U2217" s="982">
        <f t="shared" ref="U2217" si="3142">IF(AND(I2217&lt;&gt;"",EUconst_StatusOfDataCollection=FALSE),1,0)</f>
        <v>0</v>
      </c>
      <c r="V2217" s="982">
        <f t="shared" ref="V2217" si="3143">IF(AND(J2217&lt;&gt;"",EUconst_StatusOfDataCollection=FALSE),1,0)</f>
        <v>0</v>
      </c>
      <c r="W2217" s="982">
        <f t="shared" ref="W2217" si="3144">IF(AND(K2217&lt;&gt;"",EUconst_StatusOfDataCollection=FALSE),1,0)</f>
        <v>0</v>
      </c>
      <c r="X2217" s="982">
        <f t="shared" ref="X2217" si="3145">IF(AND(L2217&lt;&gt;"",EUconst_StatusOfDataCollection=FALSE),1,0)</f>
        <v>0</v>
      </c>
      <c r="Y2217" s="982">
        <f t="shared" ref="Y2217" si="3146">IF(AND(M2217&lt;&gt;"",EUconst_StatusOfDataCollection=FALSE),1,0)</f>
        <v>0</v>
      </c>
      <c r="Z2217" s="1287">
        <f t="shared" ref="Z2217" si="3147">IF(AND(N2217&lt;&gt;"",EUconst_StatusOfDataCollection=FALSE),1,0)</f>
        <v>0</v>
      </c>
      <c r="AA2217" s="694"/>
      <c r="AB2217" s="694"/>
      <c r="AC2217" s="694"/>
      <c r="AD2217" s="694"/>
      <c r="AE2217" s="694"/>
      <c r="AF2217" s="694"/>
      <c r="AG2217" s="694"/>
      <c r="AH2217" s="694"/>
      <c r="AI2217" s="694"/>
      <c r="AJ2217" s="694"/>
      <c r="AK2217" s="694"/>
      <c r="AL2217" s="694"/>
    </row>
    <row r="2218" spans="1:38" s="364" customFormat="1" ht="12.75" customHeight="1" thickBot="1" x14ac:dyDescent="0.3">
      <c r="A2218" s="729"/>
      <c r="B2218" s="298"/>
      <c r="C2218" s="1302"/>
      <c r="D2218" s="625" t="s">
        <v>1144</v>
      </c>
      <c r="E2218" s="2820" t="str">
        <f>Translations!$B$587</f>
        <v>Специфичен EF (получен отпаден газ)</v>
      </c>
      <c r="F2218" s="2258"/>
      <c r="G2218" s="642" t="str">
        <f>EUconst_tCO2pTJ</f>
        <v>t CO2 / TJ</v>
      </c>
      <c r="H2218" s="146"/>
      <c r="I2218" s="147"/>
      <c r="J2218" s="148"/>
      <c r="K2218" s="146"/>
      <c r="L2218" s="146"/>
      <c r="M2218" s="146"/>
      <c r="N2218" s="149"/>
      <c r="O2218" s="302"/>
      <c r="P2218" s="158"/>
      <c r="Q2218" s="1190" t="str">
        <f>EUconst_CNTR_WGImportEF &amp; I1980</f>
        <v>WasteGasImEF_</v>
      </c>
      <c r="R2218" s="729"/>
      <c r="S2218" s="1315" t="str">
        <f>EUconst_CNTR_AttributedEmissions &amp; I1980</f>
        <v>AttrEmissions_</v>
      </c>
      <c r="T2218" s="1290" t="str">
        <f t="shared" ref="T2218" si="3148">IF(T1988,SUM(H2217)*EUconst_FuelBMvalue,"")</f>
        <v/>
      </c>
      <c r="U2218" s="1290" t="str">
        <f t="shared" ref="U2218" si="3149">IF(U1988,SUM(I2217)*EUconst_FuelBMvalue,"")</f>
        <v/>
      </c>
      <c r="V2218" s="1290" t="str">
        <f t="shared" ref="V2218" si="3150">IF(V1988,SUM(J2217)*EUconst_FuelBMvalue,"")</f>
        <v/>
      </c>
      <c r="W2218" s="1290" t="str">
        <f t="shared" ref="W2218" si="3151">IF(W1988,SUM(K2217)*EUconst_FuelBMvalue,"")</f>
        <v/>
      </c>
      <c r="X2218" s="1290" t="str">
        <f t="shared" ref="X2218" si="3152">IF(X1988,SUM(L2217)*EUconst_FuelBMvalue,"")</f>
        <v/>
      </c>
      <c r="Y2218" s="1290" t="str">
        <f t="shared" ref="Y2218" si="3153">IF(Y1988,SUM(M2217)*EUconst_FuelBMvalue,"")</f>
        <v/>
      </c>
      <c r="Z2218" s="1291" t="str">
        <f t="shared" ref="Z2218" si="3154">IF(Z1988,SUM(N2217)*EUconst_FuelBMvalue,"")</f>
        <v/>
      </c>
      <c r="AA2218" s="729"/>
      <c r="AB2218" s="1182" t="s">
        <v>737</v>
      </c>
      <c r="AC2218" s="982" t="b">
        <f>AC2216</f>
        <v>0</v>
      </c>
      <c r="AD2218" s="982" t="b">
        <f t="shared" ref="AD2218:AI2218" si="3155">AD2216</f>
        <v>0</v>
      </c>
      <c r="AE2218" s="982" t="b">
        <f t="shared" si="3155"/>
        <v>0</v>
      </c>
      <c r="AF2218" s="982" t="b">
        <f t="shared" si="3155"/>
        <v>0</v>
      </c>
      <c r="AG2218" s="982" t="b">
        <f t="shared" si="3155"/>
        <v>0</v>
      </c>
      <c r="AH2218" s="982" t="b">
        <f t="shared" si="3155"/>
        <v>0</v>
      </c>
      <c r="AI2218" s="982" t="b">
        <f t="shared" si="3155"/>
        <v>0</v>
      </c>
      <c r="AJ2218" s="1174" t="s">
        <v>2039</v>
      </c>
      <c r="AK2218" s="1176" t="str">
        <f>IF(AND(CNTR_ExistSubInstEntries,MSconst_RequireSubAttrEmissions,COUNTIFS(AC2218:AI2218,FALSE,H2218:N2218,"")&gt;0),EUconst_Error&amp;"BM"&amp;$Q1980,"")</f>
        <v/>
      </c>
      <c r="AL2218" s="694"/>
    </row>
    <row r="2219" spans="1:38" ht="12.75" customHeight="1" x14ac:dyDescent="0.25">
      <c r="A2219" s="694"/>
      <c r="B2219" s="298"/>
      <c r="C2219" s="1302"/>
      <c r="D2219" s="1306"/>
      <c r="E2219" s="1306"/>
      <c r="F2219" s="1306"/>
      <c r="G2219" s="1306"/>
      <c r="H2219" s="1354"/>
      <c r="I2219" s="1306"/>
      <c r="J2219" s="1306"/>
      <c r="K2219" s="1306"/>
      <c r="L2219" s="1306"/>
      <c r="M2219" s="626"/>
      <c r="N2219" s="1316"/>
      <c r="O2219" s="302"/>
      <c r="P2219" s="302"/>
      <c r="Q2219" s="729"/>
      <c r="R2219" s="694"/>
      <c r="S2219" s="729"/>
      <c r="T2219" s="729"/>
      <c r="U2219" s="729"/>
      <c r="V2219" s="729"/>
      <c r="W2219" s="694"/>
      <c r="X2219" s="694"/>
      <c r="Y2219" s="694"/>
      <c r="Z2219" s="694"/>
      <c r="AA2219" s="694"/>
      <c r="AB2219" s="694"/>
      <c r="AC2219" s="694"/>
      <c r="AD2219" s="694"/>
      <c r="AE2219" s="694"/>
      <c r="AF2219" s="694"/>
      <c r="AG2219" s="694"/>
      <c r="AH2219" s="694"/>
      <c r="AI2219" s="694"/>
      <c r="AJ2219" s="694"/>
      <c r="AK2219" s="694"/>
      <c r="AL2219" s="694"/>
    </row>
    <row r="2220" spans="1:38" ht="12.75" customHeight="1" x14ac:dyDescent="0.25">
      <c r="A2220" s="694"/>
      <c r="B2220" s="298"/>
      <c r="C2220" s="1302"/>
      <c r="D2220" s="625" t="s">
        <v>1145</v>
      </c>
      <c r="E2220" s="2815" t="str">
        <f>Translations!$B$588</f>
        <v>Видове подадени отпадни газове:</v>
      </c>
      <c r="F2220" s="2240"/>
      <c r="G2220" s="2240"/>
      <c r="H2220" s="2684"/>
      <c r="I2220" s="2821"/>
      <c r="J2220" s="2674"/>
      <c r="K2220" s="2674"/>
      <c r="L2220" s="2674"/>
      <c r="M2220" s="2675"/>
      <c r="N2220" s="1323"/>
      <c r="O2220" s="302"/>
      <c r="P2220" s="158"/>
      <c r="Q2220" s="729"/>
      <c r="R2220" s="694"/>
      <c r="S2220" s="729"/>
      <c r="T2220" s="694"/>
      <c r="U2220" s="694"/>
      <c r="V2220" s="694"/>
      <c r="W2220" s="694"/>
      <c r="X2220" s="694"/>
      <c r="Y2220" s="694"/>
      <c r="Z2220" s="694"/>
      <c r="AA2220" s="694"/>
      <c r="AB2220" s="694"/>
      <c r="AC2220" s="1182" t="s">
        <v>737</v>
      </c>
      <c r="AD2220" s="982" t="b">
        <f>AD2211</f>
        <v>0</v>
      </c>
      <c r="AE2220" s="694"/>
      <c r="AF2220" s="694"/>
      <c r="AG2220" s="694"/>
      <c r="AH2220" s="694"/>
      <c r="AI2220" s="694"/>
      <c r="AJ2220" s="694"/>
      <c r="AK2220" s="694"/>
      <c r="AL2220" s="694"/>
    </row>
    <row r="2221" spans="1:38" ht="12.75" customHeight="1" x14ac:dyDescent="0.25">
      <c r="A2221" s="694"/>
      <c r="B2221" s="298"/>
      <c r="C2221" s="1302"/>
      <c r="D2221" s="625"/>
      <c r="E2221" s="2816" t="str">
        <f>Translations!$B$583</f>
        <v>Посочените тук данни ще се отразят на емисиите, които могат да бъдат зададени съгласно раздел 10.1.5 от приложение VII към ПБР.</v>
      </c>
      <c r="F2221" s="2240"/>
      <c r="G2221" s="2240"/>
      <c r="H2221" s="2240"/>
      <c r="I2221" s="2240"/>
      <c r="J2221" s="2240"/>
      <c r="K2221" s="2240"/>
      <c r="L2221" s="2240"/>
      <c r="M2221" s="2240"/>
      <c r="N2221" s="2811"/>
      <c r="O2221" s="302"/>
      <c r="P2221" s="302"/>
      <c r="Q2221" s="729"/>
      <c r="R2221" s="694"/>
      <c r="S2221" s="729"/>
      <c r="T2221" s="729"/>
      <c r="U2221" s="729"/>
      <c r="V2221" s="729"/>
      <c r="W2221" s="694"/>
      <c r="X2221" s="694"/>
      <c r="Y2221" s="694"/>
      <c r="Z2221" s="694"/>
      <c r="AA2221" s="694"/>
      <c r="AB2221" s="694"/>
      <c r="AC2221" s="694"/>
      <c r="AD2221" s="694"/>
      <c r="AE2221" s="694"/>
      <c r="AF2221" s="694"/>
      <c r="AG2221" s="694"/>
      <c r="AH2221" s="694"/>
      <c r="AI2221" s="694"/>
      <c r="AJ2221" s="694"/>
      <c r="AK2221" s="694"/>
      <c r="AL2221" s="694"/>
    </row>
    <row r="2222" spans="1:38" ht="25.5" customHeight="1" x14ac:dyDescent="0.25">
      <c r="A2222" s="694"/>
      <c r="B2222" s="298"/>
      <c r="C2222" s="1302"/>
      <c r="D2222" s="625"/>
      <c r="E2222" s="2810" t="str">
        <f>Translations!$B$589</f>
        <v>Това включва всички видове отпадни газове, произведени в системните граници на тази подинсталация и подадени от тази инсталация към други подинсталации, както и към всички други инсталации или обекти.</v>
      </c>
      <c r="F2222" s="2240"/>
      <c r="G2222" s="2240"/>
      <c r="H2222" s="2240"/>
      <c r="I2222" s="2240"/>
      <c r="J2222" s="2240"/>
      <c r="K2222" s="2240"/>
      <c r="L2222" s="2240"/>
      <c r="M2222" s="2240"/>
      <c r="N2222" s="2811"/>
      <c r="O2222" s="302"/>
      <c r="P2222" s="302"/>
      <c r="Q2222" s="729"/>
      <c r="R2222" s="694"/>
      <c r="S2222" s="729"/>
      <c r="T2222" s="729"/>
      <c r="U2222" s="729"/>
      <c r="V2222" s="729"/>
      <c r="W2222" s="694"/>
      <c r="X2222" s="694"/>
      <c r="Y2222" s="694"/>
      <c r="Z2222" s="694"/>
      <c r="AA2222" s="694"/>
      <c r="AB2222" s="694"/>
      <c r="AC2222" s="694"/>
      <c r="AD2222" s="694"/>
      <c r="AE2222" s="694"/>
      <c r="AF2222" s="694"/>
      <c r="AG2222" s="694"/>
      <c r="AH2222" s="694"/>
      <c r="AI2222" s="694"/>
      <c r="AJ2222" s="694"/>
      <c r="AK2222" s="694"/>
      <c r="AL2222" s="694"/>
    </row>
    <row r="2223" spans="1:38" ht="12.75" customHeight="1" thickBot="1" x14ac:dyDescent="0.3">
      <c r="A2223" s="694"/>
      <c r="B2223" s="298"/>
      <c r="C2223" s="1302"/>
      <c r="D2223" s="1306"/>
      <c r="E2223" s="1317"/>
      <c r="F2223" s="1318"/>
      <c r="G2223" s="1309" t="str">
        <f>EUconst_Unit</f>
        <v>Единица мярка</v>
      </c>
      <c r="H2223" s="629">
        <f t="shared" ref="H2223:N2223" si="3156">H$2831</f>
        <v>2024</v>
      </c>
      <c r="I2223" s="1310">
        <f t="shared" si="3156"/>
        <v>2025</v>
      </c>
      <c r="J2223" s="1311">
        <f t="shared" si="3156"/>
        <v>2026</v>
      </c>
      <c r="K2223" s="629">
        <f t="shared" si="3156"/>
        <v>2027</v>
      </c>
      <c r="L2223" s="629">
        <f t="shared" si="3156"/>
        <v>2028</v>
      </c>
      <c r="M2223" s="629">
        <f t="shared" si="3156"/>
        <v>2029</v>
      </c>
      <c r="N2223" s="1312">
        <f t="shared" si="3156"/>
        <v>2030</v>
      </c>
      <c r="O2223" s="302"/>
      <c r="P2223" s="302"/>
      <c r="Q2223" s="729"/>
      <c r="R2223" s="694"/>
      <c r="S2223" s="729"/>
      <c r="T2223" s="729"/>
      <c r="U2223" s="729"/>
      <c r="V2223" s="729"/>
      <c r="W2223" s="694"/>
      <c r="X2223" s="694"/>
      <c r="Y2223" s="694"/>
      <c r="Z2223" s="694"/>
      <c r="AA2223" s="694"/>
      <c r="AB2223" s="694"/>
      <c r="AC2223" s="1178">
        <f t="shared" ref="AC2223" si="3157">H$20</f>
        <v>2024</v>
      </c>
      <c r="AD2223" s="1178">
        <f t="shared" ref="AD2223" si="3158">I$20</f>
        <v>2025</v>
      </c>
      <c r="AE2223" s="1178">
        <f t="shared" ref="AE2223" si="3159">J$20</f>
        <v>2026</v>
      </c>
      <c r="AF2223" s="1178">
        <f t="shared" ref="AF2223" si="3160">K$20</f>
        <v>2027</v>
      </c>
      <c r="AG2223" s="1178">
        <f t="shared" ref="AG2223" si="3161">L$20</f>
        <v>2028</v>
      </c>
      <c r="AH2223" s="1178">
        <f t="shared" ref="AH2223" si="3162">M$20</f>
        <v>2029</v>
      </c>
      <c r="AI2223" s="1178">
        <f t="shared" ref="AI2223" si="3163">N$20</f>
        <v>2030</v>
      </c>
      <c r="AJ2223" s="694"/>
      <c r="AK2223" s="694"/>
      <c r="AL2223" s="694"/>
    </row>
    <row r="2224" spans="1:38" ht="12.75" customHeight="1" x14ac:dyDescent="0.25">
      <c r="A2224" s="694"/>
      <c r="B2224" s="298"/>
      <c r="C2224" s="1302"/>
      <c r="D2224" s="625" t="s">
        <v>1146</v>
      </c>
      <c r="E2224" s="2818" t="str">
        <f>Translations!$B$590</f>
        <v>Подадени количества</v>
      </c>
      <c r="F2224" s="2701"/>
      <c r="G2224" s="145"/>
      <c r="H2224" s="129"/>
      <c r="I2224" s="130"/>
      <c r="J2224" s="131"/>
      <c r="K2224" s="129"/>
      <c r="L2224" s="129"/>
      <c r="M2224" s="129"/>
      <c r="N2224" s="132"/>
      <c r="O2224" s="302"/>
      <c r="P2224" s="158"/>
      <c r="Q2224" s="729"/>
      <c r="R2224" s="694"/>
      <c r="S2224" s="729"/>
      <c r="T2224" s="729"/>
      <c r="U2224" s="729"/>
      <c r="V2224" s="729"/>
      <c r="W2224" s="694"/>
      <c r="X2224" s="694"/>
      <c r="Y2224" s="694"/>
      <c r="Z2224" s="694"/>
      <c r="AA2224" s="694"/>
      <c r="AB2224" s="1182" t="s">
        <v>737</v>
      </c>
      <c r="AC2224" s="982" t="b">
        <f>AC2171</f>
        <v>0</v>
      </c>
      <c r="AD2224" s="982" t="b">
        <f t="shared" ref="AD2224:AI2224" si="3164">AD2171</f>
        <v>0</v>
      </c>
      <c r="AE2224" s="982" t="b">
        <f t="shared" si="3164"/>
        <v>0</v>
      </c>
      <c r="AF2224" s="982" t="b">
        <f t="shared" si="3164"/>
        <v>0</v>
      </c>
      <c r="AG2224" s="982" t="b">
        <f t="shared" si="3164"/>
        <v>0</v>
      </c>
      <c r="AH2224" s="982" t="b">
        <f t="shared" si="3164"/>
        <v>0</v>
      </c>
      <c r="AI2224" s="982" t="b">
        <f t="shared" si="3164"/>
        <v>0</v>
      </c>
      <c r="AJ2224" s="1174" t="s">
        <v>2039</v>
      </c>
      <c r="AK2224" s="1176" t="str">
        <f>IF(AND(CNTR_ExistSubInstEntries,MSconst_RequireSubAttrEmissions,COUNTIFS(AC2224:AI2224,FALSE,H2224:N2224,"")&gt;0),EUconst_Error&amp;"BM"&amp;$Q1980,"")</f>
        <v/>
      </c>
      <c r="AL2224" s="694"/>
    </row>
    <row r="2225" spans="1:38" ht="12.75" customHeight="1" thickBot="1" x14ac:dyDescent="0.3">
      <c r="A2225" s="694"/>
      <c r="B2225" s="298"/>
      <c r="C2225" s="1302"/>
      <c r="D2225" s="625" t="s">
        <v>1619</v>
      </c>
      <c r="E2225" s="2819" t="str">
        <f>Translations!$B$296</f>
        <v>Долна топлина на изгаряне</v>
      </c>
      <c r="F2225" s="2705"/>
      <c r="G2225" s="1349" t="str">
        <f>IF(ISBLANK(G2224),EUconst_GJperUnit,INDEX(EUconst_GJperTorKNm3,MATCH(G2224,EUconst_TonnesOrkNm3pa,0)))</f>
        <v>GJ / Единица мярка</v>
      </c>
      <c r="H2225" s="137"/>
      <c r="I2225" s="138"/>
      <c r="J2225" s="139"/>
      <c r="K2225" s="137"/>
      <c r="L2225" s="137"/>
      <c r="M2225" s="137"/>
      <c r="N2225" s="140"/>
      <c r="O2225" s="302"/>
      <c r="P2225" s="158"/>
      <c r="Q2225" s="729"/>
      <c r="R2225" s="694"/>
      <c r="S2225" s="729"/>
      <c r="T2225" s="729"/>
      <c r="U2225" s="729"/>
      <c r="V2225" s="729"/>
      <c r="W2225" s="694"/>
      <c r="X2225" s="694"/>
      <c r="Y2225" s="694"/>
      <c r="Z2225" s="694"/>
      <c r="AA2225" s="694"/>
      <c r="AB2225" s="694"/>
      <c r="AC2225" s="982" t="b">
        <f>AC2224</f>
        <v>0</v>
      </c>
      <c r="AD2225" s="982" t="b">
        <f t="shared" ref="AD2225:AI2225" si="3165">AD2224</f>
        <v>0</v>
      </c>
      <c r="AE2225" s="982" t="b">
        <f t="shared" si="3165"/>
        <v>0</v>
      </c>
      <c r="AF2225" s="982" t="b">
        <f t="shared" si="3165"/>
        <v>0</v>
      </c>
      <c r="AG2225" s="982" t="b">
        <f t="shared" si="3165"/>
        <v>0</v>
      </c>
      <c r="AH2225" s="982" t="b">
        <f t="shared" si="3165"/>
        <v>0</v>
      </c>
      <c r="AI2225" s="982" t="b">
        <f t="shared" si="3165"/>
        <v>0</v>
      </c>
      <c r="AJ2225" s="1174" t="s">
        <v>2039</v>
      </c>
      <c r="AK2225" s="1176" t="str">
        <f>IF(AND(CNTR_ExistSubInstEntries,MSconst_RequireSubAttrEmissions,COUNTIFS(AC2225:AI2225,FALSE,H2225:N2225,"")&gt;0),EUconst_Error&amp;"BM"&amp;$Q1980,"")</f>
        <v/>
      </c>
      <c r="AL2225" s="694"/>
    </row>
    <row r="2226" spans="1:38" ht="12.75" customHeight="1" x14ac:dyDescent="0.25">
      <c r="A2226" s="694"/>
      <c r="B2226" s="298"/>
      <c r="C2226" s="1302"/>
      <c r="D2226" s="625" t="s">
        <v>1659</v>
      </c>
      <c r="E2226" s="2820" t="str">
        <f>Translations!$B$591</f>
        <v>Подаден отпаден газ</v>
      </c>
      <c r="F2226" s="2258"/>
      <c r="G2226" s="1319" t="str">
        <f>EUconst_TJpa</f>
        <v>TJ / година</v>
      </c>
      <c r="H2226" s="1020" t="str">
        <f t="shared" ref="H2226:N2226" si="3166">IF(COUNT(H2224:H2225)=2,H2224*H2225/1000,"")</f>
        <v/>
      </c>
      <c r="I2226" s="1369" t="str">
        <f t="shared" si="3166"/>
        <v/>
      </c>
      <c r="J2226" s="1370" t="str">
        <f t="shared" si="3166"/>
        <v/>
      </c>
      <c r="K2226" s="1020" t="str">
        <f t="shared" si="3166"/>
        <v/>
      </c>
      <c r="L2226" s="1020" t="str">
        <f t="shared" si="3166"/>
        <v/>
      </c>
      <c r="M2226" s="1020" t="str">
        <f t="shared" si="3166"/>
        <v/>
      </c>
      <c r="N2226" s="1371" t="str">
        <f t="shared" si="3166"/>
        <v/>
      </c>
      <c r="O2226" s="302"/>
      <c r="P2226" s="302"/>
      <c r="Q2226" s="1190" t="str">
        <f>EUconst_CNTR_WGExport &amp; I1980</f>
        <v>WasteGasEx_</v>
      </c>
      <c r="R2226" s="694"/>
      <c r="S2226" s="1205"/>
      <c r="T2226" s="1313">
        <f t="shared" ref="T2226" si="3167">H2223</f>
        <v>2024</v>
      </c>
      <c r="U2226" s="1313">
        <f t="shared" ref="U2226" si="3168">I2223</f>
        <v>2025</v>
      </c>
      <c r="V2226" s="1313">
        <f t="shared" ref="V2226" si="3169">J2223</f>
        <v>2026</v>
      </c>
      <c r="W2226" s="1313">
        <f t="shared" ref="W2226" si="3170">K2223</f>
        <v>2027</v>
      </c>
      <c r="X2226" s="1313">
        <f t="shared" ref="X2226" si="3171">L2223</f>
        <v>2028</v>
      </c>
      <c r="Y2226" s="1313">
        <f t="shared" ref="Y2226" si="3172">M2223</f>
        <v>2029</v>
      </c>
      <c r="Z2226" s="1314">
        <f t="shared" ref="Z2226" si="3173">N2223</f>
        <v>2030</v>
      </c>
      <c r="AA2226" s="694"/>
      <c r="AB2226" s="694"/>
      <c r="AC2226" s="694"/>
      <c r="AD2226" s="694"/>
      <c r="AE2226" s="694"/>
      <c r="AF2226" s="694"/>
      <c r="AG2226" s="694"/>
      <c r="AH2226" s="694"/>
      <c r="AI2226" s="694"/>
      <c r="AJ2226" s="694"/>
      <c r="AK2226" s="694"/>
      <c r="AL2226" s="694"/>
    </row>
    <row r="2227" spans="1:38" s="364" customFormat="1" ht="12.75" customHeight="1" thickBot="1" x14ac:dyDescent="0.3">
      <c r="A2227" s="694"/>
      <c r="B2227" s="298"/>
      <c r="C2227" s="1302"/>
      <c r="D2227" s="625" t="s">
        <v>1660</v>
      </c>
      <c r="E2227" s="2820" t="str">
        <f>Translations!$B$592</f>
        <v>Специфичен EF (подаден отпаден газ)</v>
      </c>
      <c r="F2227" s="2258"/>
      <c r="G2227" s="642" t="str">
        <f>EUconst_tCO2pTJ</f>
        <v>t CO2 / TJ</v>
      </c>
      <c r="H2227" s="146"/>
      <c r="I2227" s="147"/>
      <c r="J2227" s="148"/>
      <c r="K2227" s="146"/>
      <c r="L2227" s="146"/>
      <c r="M2227" s="146"/>
      <c r="N2227" s="149"/>
      <c r="O2227" s="302"/>
      <c r="P2227" s="158"/>
      <c r="Q2227" s="1190" t="str">
        <f>EUconst_CNTR_WGExportEF &amp; I1980</f>
        <v>WasteGasExEF_</v>
      </c>
      <c r="R2227" s="729"/>
      <c r="S2227" s="1315" t="str">
        <f>EUconst_CNTR_AttributedEmissions &amp; I1980</f>
        <v>AttrEmissions_</v>
      </c>
      <c r="T2227" s="1290" t="str">
        <f t="shared" ref="T2227" si="3174">IF(T1988,-SUM(H2226)*EUconst_NGEFvalue*EUconst_WasteGasCorrFactor,"")</f>
        <v/>
      </c>
      <c r="U2227" s="1290" t="str">
        <f t="shared" ref="U2227" si="3175">IF(U1988,-SUM(I2226)*EUconst_NGEFvalue*EUconst_WasteGasCorrFactor,"")</f>
        <v/>
      </c>
      <c r="V2227" s="1290" t="str">
        <f t="shared" ref="V2227" si="3176">IF(V1988,-SUM(J2226)*EUconst_NGEFvalue*EUconst_WasteGasCorrFactor,"")</f>
        <v/>
      </c>
      <c r="W2227" s="1290" t="str">
        <f t="shared" ref="W2227" si="3177">IF(W1988,-SUM(K2226)*EUconst_NGEFvalue*EUconst_WasteGasCorrFactor,"")</f>
        <v/>
      </c>
      <c r="X2227" s="1290" t="str">
        <f t="shared" ref="X2227" si="3178">IF(X1988,-SUM(L2226)*EUconst_NGEFvalue*EUconst_WasteGasCorrFactor,"")</f>
        <v/>
      </c>
      <c r="Y2227" s="1290" t="str">
        <f t="shared" ref="Y2227" si="3179">IF(Y1988,-SUM(M2226)*EUconst_NGEFvalue*EUconst_WasteGasCorrFactor,"")</f>
        <v/>
      </c>
      <c r="Z2227" s="1291" t="str">
        <f t="shared" ref="Z2227" si="3180">IF(Z1988,-SUM(N2226)*EUconst_NGEFvalue*EUconst_WasteGasCorrFactor,"")</f>
        <v/>
      </c>
      <c r="AA2227" s="729"/>
      <c r="AB2227" s="1182" t="s">
        <v>737</v>
      </c>
      <c r="AC2227" s="982" t="b">
        <f t="shared" ref="AC2227:AI2227" si="3181">AC2174</f>
        <v>0</v>
      </c>
      <c r="AD2227" s="982" t="b">
        <f t="shared" si="3181"/>
        <v>0</v>
      </c>
      <c r="AE2227" s="982" t="b">
        <f t="shared" si="3181"/>
        <v>0</v>
      </c>
      <c r="AF2227" s="982" t="b">
        <f t="shared" si="3181"/>
        <v>0</v>
      </c>
      <c r="AG2227" s="982" t="b">
        <f t="shared" si="3181"/>
        <v>0</v>
      </c>
      <c r="AH2227" s="982" t="b">
        <f t="shared" si="3181"/>
        <v>0</v>
      </c>
      <c r="AI2227" s="982" t="b">
        <f t="shared" si="3181"/>
        <v>0</v>
      </c>
      <c r="AJ2227" s="1174" t="s">
        <v>2039</v>
      </c>
      <c r="AK2227" s="1176" t="str">
        <f>IF(AND(CNTR_ExistSubInstEntries,MSconst_RequireSubAttrEmissions,COUNTIFS(AC2227:AI2227,FALSE,H2227:N2227,"")&gt;0),EUconst_Error&amp;"BM"&amp;$Q1980,"")</f>
        <v/>
      </c>
      <c r="AL2227" s="694"/>
    </row>
    <row r="2228" spans="1:38" ht="12.75" customHeight="1" x14ac:dyDescent="0.25">
      <c r="A2228" s="694"/>
      <c r="B2228" s="298"/>
      <c r="C2228" s="1302"/>
      <c r="D2228" s="1306"/>
      <c r="E2228" s="1306"/>
      <c r="F2228" s="1306"/>
      <c r="G2228" s="1306"/>
      <c r="H2228" s="1306"/>
      <c r="I2228" s="1354"/>
      <c r="J2228" s="1306"/>
      <c r="K2228" s="1306"/>
      <c r="L2228" s="1306"/>
      <c r="M2228" s="1306"/>
      <c r="N2228" s="1316"/>
      <c r="O2228" s="302"/>
      <c r="P2228" s="302"/>
      <c r="Q2228" s="729"/>
      <c r="R2228" s="694"/>
      <c r="S2228" s="729"/>
      <c r="T2228" s="694"/>
      <c r="U2228" s="694"/>
      <c r="V2228" s="694"/>
      <c r="W2228" s="694"/>
      <c r="X2228" s="694"/>
      <c r="Y2228" s="694"/>
      <c r="Z2228" s="694"/>
      <c r="AA2228" s="694"/>
      <c r="AB2228" s="694"/>
      <c r="AC2228" s="694"/>
      <c r="AD2228" s="694"/>
      <c r="AE2228" s="694"/>
      <c r="AF2228" s="694"/>
      <c r="AG2228" s="694"/>
      <c r="AH2228" s="694"/>
      <c r="AI2228" s="694"/>
      <c r="AJ2228" s="694"/>
      <c r="AK2228" s="694"/>
      <c r="AL2228" s="694"/>
    </row>
    <row r="2229" spans="1:38" ht="12.75" customHeight="1" x14ac:dyDescent="0.25">
      <c r="A2229" s="694"/>
      <c r="B2229" s="298"/>
      <c r="C2229" s="1302"/>
      <c r="D2229" s="1307" t="s">
        <v>493</v>
      </c>
      <c r="E2229" s="2815" t="str">
        <f>Translations!$B$246</f>
        <v>Производство на електроенергия</v>
      </c>
      <c r="F2229" s="2240"/>
      <c r="G2229" s="2240"/>
      <c r="H2229" s="2240"/>
      <c r="I2229" s="2240"/>
      <c r="J2229" s="2240"/>
      <c r="K2229" s="2240"/>
      <c r="L2229" s="2240"/>
      <c r="M2229" s="2240"/>
      <c r="N2229" s="2811"/>
      <c r="O2229" s="302"/>
      <c r="P2229" s="302"/>
      <c r="Q2229" s="729"/>
      <c r="R2229" s="694"/>
      <c r="S2229" s="729"/>
      <c r="T2229" s="694"/>
      <c r="U2229" s="694"/>
      <c r="V2229" s="694"/>
      <c r="W2229" s="694"/>
      <c r="X2229" s="694"/>
      <c r="Y2229" s="694"/>
      <c r="Z2229" s="694"/>
      <c r="AA2229" s="694"/>
      <c r="AB2229" s="694"/>
      <c r="AC2229" s="694"/>
      <c r="AD2229" s="694"/>
      <c r="AE2229" s="694"/>
      <c r="AF2229" s="694"/>
      <c r="AG2229" s="694"/>
      <c r="AH2229" s="694"/>
      <c r="AI2229" s="694"/>
      <c r="AJ2229" s="694"/>
      <c r="AK2229" s="694"/>
      <c r="AL2229" s="694"/>
    </row>
    <row r="2230" spans="1:38" ht="12.75" customHeight="1" x14ac:dyDescent="0.25">
      <c r="A2230" s="694"/>
      <c r="B2230" s="298"/>
      <c r="C2230" s="1302"/>
      <c r="D2230" s="625"/>
      <c r="E2230" s="2816" t="str">
        <f>Translations!$B$593</f>
        <v>Посочените тук данни ще се отразят на емисиите, които могат да бъдат зададени съгласно раздел 10 от приложение VII към ПБР.</v>
      </c>
      <c r="F2230" s="2240"/>
      <c r="G2230" s="2240"/>
      <c r="H2230" s="2240"/>
      <c r="I2230" s="2240"/>
      <c r="J2230" s="2240"/>
      <c r="K2230" s="2240"/>
      <c r="L2230" s="2240"/>
      <c r="M2230" s="2240"/>
      <c r="N2230" s="2811"/>
      <c r="O2230" s="302"/>
      <c r="P2230" s="302"/>
      <c r="Q2230" s="729"/>
      <c r="R2230" s="694"/>
      <c r="S2230" s="729"/>
      <c r="T2230" s="729"/>
      <c r="U2230" s="729"/>
      <c r="V2230" s="729"/>
      <c r="W2230" s="694"/>
      <c r="X2230" s="694"/>
      <c r="Y2230" s="694"/>
      <c r="Z2230" s="694"/>
      <c r="AA2230" s="694"/>
      <c r="AB2230" s="694"/>
      <c r="AC2230" s="694"/>
      <c r="AD2230" s="694"/>
      <c r="AE2230" s="694"/>
      <c r="AF2230" s="694"/>
      <c r="AG2230" s="694"/>
      <c r="AH2230" s="694"/>
      <c r="AI2230" s="694"/>
      <c r="AJ2230" s="694"/>
      <c r="AK2230" s="694"/>
      <c r="AL2230" s="694"/>
    </row>
    <row r="2231" spans="1:38" ht="25.5" customHeight="1" thickBot="1" x14ac:dyDescent="0.3">
      <c r="A2231" s="694"/>
      <c r="B2231" s="298"/>
      <c r="C2231" s="1302"/>
      <c r="D2231" s="1306"/>
      <c r="E2231" s="2810" t="str">
        <f>Translations!$B$594</f>
        <v>Това включва електроенергията, произведена директно от тази подинсталация, съгласно раздел 3.1, буква и) от приложение IV към ПБР. Електроенергията, произведена чрез междинна измерима топлинна енергия, не се посочват тук, а като подадена измерима топлинна енергия в k).v по-горе.</v>
      </c>
      <c r="F2231" s="2240"/>
      <c r="G2231" s="2240"/>
      <c r="H2231" s="2240"/>
      <c r="I2231" s="2240"/>
      <c r="J2231" s="2240"/>
      <c r="K2231" s="2240"/>
      <c r="L2231" s="2240"/>
      <c r="M2231" s="2240"/>
      <c r="N2231" s="2811"/>
      <c r="O2231" s="302"/>
      <c r="P2231" s="302"/>
      <c r="Q2231" s="729"/>
      <c r="R2231" s="694"/>
      <c r="S2231" s="729"/>
      <c r="T2231" s="694"/>
      <c r="U2231" s="694"/>
      <c r="V2231" s="694"/>
      <c r="W2231" s="694"/>
      <c r="X2231" s="694"/>
      <c r="Y2231" s="694"/>
      <c r="Z2231" s="694"/>
      <c r="AA2231" s="694"/>
      <c r="AB2231" s="694"/>
      <c r="AC2231" s="694"/>
      <c r="AD2231" s="694"/>
      <c r="AE2231" s="694"/>
      <c r="AF2231" s="694"/>
      <c r="AG2231" s="694"/>
      <c r="AH2231" s="694"/>
      <c r="AI2231" s="694"/>
      <c r="AJ2231" s="694"/>
      <c r="AK2231" s="694"/>
      <c r="AL2231" s="694"/>
    </row>
    <row r="2232" spans="1:38" ht="12.75" customHeight="1" thickBot="1" x14ac:dyDescent="0.3">
      <c r="A2232" s="694"/>
      <c r="B2232" s="298"/>
      <c r="C2232" s="1302"/>
      <c r="D2232" s="1307"/>
      <c r="E2232" s="1317"/>
      <c r="F2232" s="1318"/>
      <c r="G2232" s="1309" t="str">
        <f>EUconst_Unit</f>
        <v>Единица мярка</v>
      </c>
      <c r="H2232" s="629">
        <f t="shared" ref="H2232:N2232" si="3182">H$2831</f>
        <v>2024</v>
      </c>
      <c r="I2232" s="1310">
        <f t="shared" si="3182"/>
        <v>2025</v>
      </c>
      <c r="J2232" s="1311">
        <f t="shared" si="3182"/>
        <v>2026</v>
      </c>
      <c r="K2232" s="629">
        <f t="shared" si="3182"/>
        <v>2027</v>
      </c>
      <c r="L2232" s="629">
        <f t="shared" si="3182"/>
        <v>2028</v>
      </c>
      <c r="M2232" s="629">
        <f t="shared" si="3182"/>
        <v>2029</v>
      </c>
      <c r="N2232" s="1312">
        <f t="shared" si="3182"/>
        <v>2030</v>
      </c>
      <c r="O2232" s="302"/>
      <c r="P2232" s="302"/>
      <c r="Q2232" s="729"/>
      <c r="R2232" s="694"/>
      <c r="S2232" s="1205"/>
      <c r="T2232" s="1313">
        <f t="shared" ref="T2232" si="3183">H2232</f>
        <v>2024</v>
      </c>
      <c r="U2232" s="1313">
        <f t="shared" ref="U2232" si="3184">I2232</f>
        <v>2025</v>
      </c>
      <c r="V2232" s="1313">
        <f t="shared" ref="V2232" si="3185">J2232</f>
        <v>2026</v>
      </c>
      <c r="W2232" s="1313">
        <f t="shared" ref="W2232" si="3186">K2232</f>
        <v>2027</v>
      </c>
      <c r="X2232" s="1313">
        <f t="shared" ref="X2232" si="3187">L2232</f>
        <v>2028</v>
      </c>
      <c r="Y2232" s="1313">
        <f t="shared" ref="Y2232" si="3188">M2232</f>
        <v>2029</v>
      </c>
      <c r="Z2232" s="1314">
        <f t="shared" ref="Z2232" si="3189">N2232</f>
        <v>2030</v>
      </c>
      <c r="AA2232" s="694"/>
      <c r="AB2232" s="694"/>
      <c r="AC2232" s="1178">
        <f t="shared" ref="AC2232" si="3190">H$20</f>
        <v>2024</v>
      </c>
      <c r="AD2232" s="1178">
        <f t="shared" ref="AD2232" si="3191">I$20</f>
        <v>2025</v>
      </c>
      <c r="AE2232" s="1178">
        <f t="shared" ref="AE2232" si="3192">J$20</f>
        <v>2026</v>
      </c>
      <c r="AF2232" s="1178">
        <f t="shared" ref="AF2232" si="3193">K$20</f>
        <v>2027</v>
      </c>
      <c r="AG2232" s="1178">
        <f t="shared" ref="AG2232" si="3194">L$20</f>
        <v>2028</v>
      </c>
      <c r="AH2232" s="1178">
        <f t="shared" ref="AH2232" si="3195">M$20</f>
        <v>2029</v>
      </c>
      <c r="AI2232" s="1178">
        <f t="shared" ref="AI2232" si="3196">N$20</f>
        <v>2030</v>
      </c>
      <c r="AJ2232" s="694"/>
      <c r="AK2232" s="694"/>
      <c r="AL2232" s="694"/>
    </row>
    <row r="2233" spans="1:38" ht="12.75" customHeight="1" thickBot="1" x14ac:dyDescent="0.3">
      <c r="A2233" s="694"/>
      <c r="B2233" s="298"/>
      <c r="C2233" s="1302"/>
      <c r="D2233" s="625"/>
      <c r="E2233" s="2820" t="str">
        <f>Translations!$B$595</f>
        <v>Произведена електроенергия</v>
      </c>
      <c r="F2233" s="2258"/>
      <c r="G2233" s="1319" t="str">
        <f>EUconst_MWhpa</f>
        <v>MWh / година</v>
      </c>
      <c r="H2233" s="56"/>
      <c r="I2233" s="115"/>
      <c r="J2233" s="118"/>
      <c r="K2233" s="56"/>
      <c r="L2233" s="56"/>
      <c r="M2233" s="56"/>
      <c r="N2233" s="121"/>
      <c r="O2233" s="302"/>
      <c r="P2233" s="158"/>
      <c r="Q2233" s="1190" t="str">
        <f>EUconst_CNTR_ElectricityExported &amp; I1980</f>
        <v>ElecEx_</v>
      </c>
      <c r="R2233" s="694"/>
      <c r="S2233" s="1315" t="str">
        <f>EUconst_CNTR_AttributedEmissions &amp; I1980</f>
        <v>AttrEmissions_</v>
      </c>
      <c r="T2233" s="1290" t="str">
        <f t="shared" ref="T2233" si="3197">IF(T1988,-SUM(H2233)*EUconst_ElBM,"")</f>
        <v/>
      </c>
      <c r="U2233" s="1290" t="str">
        <f t="shared" ref="U2233" si="3198">IF(U1988,-SUM(I2233)*EUconst_ElBM,"")</f>
        <v/>
      </c>
      <c r="V2233" s="1290" t="str">
        <f t="shared" ref="V2233" si="3199">IF(V1988,-SUM(J2233)*EUconst_ElBM,"")</f>
        <v/>
      </c>
      <c r="W2233" s="1290" t="str">
        <f t="shared" ref="W2233" si="3200">IF(W1988,-SUM(K2233)*EUconst_ElBM,"")</f>
        <v/>
      </c>
      <c r="X2233" s="1290" t="str">
        <f t="shared" ref="X2233" si="3201">IF(X1988,-SUM(L2233)*EUconst_ElBM,"")</f>
        <v/>
      </c>
      <c r="Y2233" s="1290" t="str">
        <f t="shared" ref="Y2233" si="3202">IF(Y1988,-SUM(M2233)*EUconst_ElBM,"")</f>
        <v/>
      </c>
      <c r="Z2233" s="1291" t="str">
        <f t="shared" ref="Z2233" si="3203">IF(Z1988,-SUM(N2233)*EUconst_ElBM,"")</f>
        <v/>
      </c>
      <c r="AA2233" s="694"/>
      <c r="AB2233" s="1182" t="s">
        <v>737</v>
      </c>
      <c r="AC2233" s="982" t="b">
        <f>AC2027</f>
        <v>0</v>
      </c>
      <c r="AD2233" s="982" t="b">
        <f t="shared" ref="AD2233:AI2233" si="3204">AD2027</f>
        <v>0</v>
      </c>
      <c r="AE2233" s="982" t="b">
        <f t="shared" si="3204"/>
        <v>0</v>
      </c>
      <c r="AF2233" s="982" t="b">
        <f t="shared" si="3204"/>
        <v>0</v>
      </c>
      <c r="AG2233" s="982" t="b">
        <f t="shared" si="3204"/>
        <v>0</v>
      </c>
      <c r="AH2233" s="982" t="b">
        <f t="shared" si="3204"/>
        <v>0</v>
      </c>
      <c r="AI2233" s="982" t="b">
        <f t="shared" si="3204"/>
        <v>0</v>
      </c>
      <c r="AJ2233" s="1174" t="s">
        <v>2039</v>
      </c>
      <c r="AK2233" s="1176" t="str">
        <f>IF(AND(CNTR_ExistSubInstEntries,MSconst_RequireSubAttrEmissions,COUNTIFS(AC2233:AI2233,FALSE,H2233:N2233,"")&gt;0),EUconst_Error&amp;"BM"&amp;$Q1980,"")</f>
        <v/>
      </c>
      <c r="AL2233" s="694"/>
    </row>
    <row r="2234" spans="1:38" ht="12.75" customHeight="1" x14ac:dyDescent="0.25">
      <c r="A2234" s="694"/>
      <c r="B2234" s="298"/>
      <c r="C2234" s="1302"/>
      <c r="D2234" s="1306"/>
      <c r="E2234" s="1306"/>
      <c r="F2234" s="1306"/>
      <c r="G2234" s="1306"/>
      <c r="H2234" s="1306"/>
      <c r="I2234" s="1354"/>
      <c r="J2234" s="1306"/>
      <c r="K2234" s="1306"/>
      <c r="L2234" s="1306"/>
      <c r="M2234" s="1306"/>
      <c r="N2234" s="1316"/>
      <c r="O2234" s="302"/>
      <c r="P2234" s="302"/>
      <c r="Q2234" s="729"/>
      <c r="R2234" s="694"/>
      <c r="S2234" s="729"/>
      <c r="T2234" s="694"/>
      <c r="U2234" s="694"/>
      <c r="V2234" s="729"/>
      <c r="W2234" s="694"/>
      <c r="X2234" s="694"/>
      <c r="Y2234" s="694"/>
      <c r="Z2234" s="694"/>
      <c r="AA2234" s="694"/>
      <c r="AB2234" s="694"/>
      <c r="AC2234" s="694"/>
      <c r="AD2234" s="694"/>
      <c r="AE2234" s="694"/>
      <c r="AF2234" s="694"/>
      <c r="AG2234" s="694"/>
      <c r="AH2234" s="694"/>
      <c r="AI2234" s="694"/>
      <c r="AJ2234" s="694"/>
      <c r="AK2234" s="694"/>
      <c r="AL2234" s="694"/>
    </row>
    <row r="2235" spans="1:38" ht="12.75" customHeight="1" x14ac:dyDescent="0.25">
      <c r="A2235" s="694"/>
      <c r="B2235" s="298"/>
      <c r="C2235" s="1302"/>
      <c r="D2235" s="1307" t="s">
        <v>249</v>
      </c>
      <c r="E2235" s="2815" t="str">
        <f>Translations!$B$596</f>
        <v>Общо количество произведен пулп</v>
      </c>
      <c r="F2235" s="2240"/>
      <c r="G2235" s="2240"/>
      <c r="H2235" s="2240"/>
      <c r="I2235" s="2240"/>
      <c r="J2235" s="2240"/>
      <c r="K2235" s="2240"/>
      <c r="L2235" s="2240"/>
      <c r="M2235" s="2240"/>
      <c r="N2235" s="2811"/>
      <c r="O2235" s="302"/>
      <c r="P2235" s="302"/>
      <c r="Q2235" s="694"/>
      <c r="R2235" s="694"/>
      <c r="S2235" s="694"/>
      <c r="T2235" s="694"/>
      <c r="U2235" s="694"/>
      <c r="V2235" s="729"/>
      <c r="W2235" s="694"/>
      <c r="X2235" s="694"/>
      <c r="Y2235" s="694"/>
      <c r="Z2235" s="694"/>
      <c r="AA2235" s="694"/>
      <c r="AB2235" s="694"/>
      <c r="AC2235" s="694"/>
      <c r="AD2235" s="694"/>
      <c r="AE2235" s="694"/>
      <c r="AF2235" s="694"/>
      <c r="AG2235" s="694"/>
      <c r="AH2235" s="694"/>
      <c r="AI2235" s="694"/>
      <c r="AJ2235" s="694"/>
      <c r="AK2235" s="694"/>
      <c r="AL2235" s="694"/>
    </row>
    <row r="2236" spans="1:38" ht="25.5" customHeight="1" x14ac:dyDescent="0.25">
      <c r="A2236" s="694"/>
      <c r="B2236" s="298"/>
      <c r="C2236" s="1302"/>
      <c r="D2236" s="1306"/>
      <c r="E2236" s="2810" t="str">
        <f>Translations!$B$597</f>
        <v>Съгласно раздел 2.7, буква к) от приложение IV към ПБР се отчита общото количество пулп, произведен за подинсталации с продуктов показател за късовлакнест крафт-пулп, дълговлакнест крафт-пулп, термомеханичен пулп и механичен пулп или сулфитен пулп.</v>
      </c>
      <c r="F2236" s="2240"/>
      <c r="G2236" s="2240"/>
      <c r="H2236" s="2240"/>
      <c r="I2236" s="2240"/>
      <c r="J2236" s="2240"/>
      <c r="K2236" s="2240"/>
      <c r="L2236" s="2240"/>
      <c r="M2236" s="2240"/>
      <c r="N2236" s="2811"/>
      <c r="O2236" s="302"/>
      <c r="P2236" s="302"/>
      <c r="Q2236" s="729"/>
      <c r="R2236" s="694"/>
      <c r="S2236" s="729"/>
      <c r="T2236" s="694"/>
      <c r="U2236" s="694"/>
      <c r="V2236" s="729"/>
      <c r="W2236" s="694"/>
      <c r="X2236" s="694"/>
      <c r="Y2236" s="694"/>
      <c r="Z2236" s="694"/>
      <c r="AA2236" s="694"/>
      <c r="AB2236" s="694"/>
      <c r="AC2236" s="694"/>
      <c r="AD2236" s="694"/>
      <c r="AE2236" s="694"/>
      <c r="AF2236" s="694"/>
      <c r="AG2236" s="694"/>
      <c r="AH2236" s="694"/>
      <c r="AI2236" s="694"/>
      <c r="AJ2236" s="694"/>
      <c r="AK2236" s="694"/>
      <c r="AL2236" s="694"/>
    </row>
    <row r="2237" spans="1:38" ht="12.75" customHeight="1" x14ac:dyDescent="0.25">
      <c r="A2237" s="694"/>
      <c r="B2237" s="298"/>
      <c r="C2237" s="1302"/>
      <c r="D2237" s="1306"/>
      <c r="E2237" s="2810" t="str">
        <f>Translations!$B$598</f>
        <v>Този раздел ще бъде защрихован в сиво, ако тази подинсталация не е една от тези видове подинсталации за производство на пулп. В такъв случай, моля, продължете с точките по-долу.</v>
      </c>
      <c r="F2237" s="2240"/>
      <c r="G2237" s="2240"/>
      <c r="H2237" s="2240"/>
      <c r="I2237" s="2240"/>
      <c r="J2237" s="2240"/>
      <c r="K2237" s="2240"/>
      <c r="L2237" s="2240"/>
      <c r="M2237" s="2240"/>
      <c r="N2237" s="2811"/>
      <c r="O2237" s="302"/>
      <c r="P2237" s="302"/>
      <c r="Q2237" s="729"/>
      <c r="R2237" s="694"/>
      <c r="S2237" s="729"/>
      <c r="T2237" s="694"/>
      <c r="U2237" s="694"/>
      <c r="V2237" s="729"/>
      <c r="W2237" s="694"/>
      <c r="X2237" s="694"/>
      <c r="Y2237" s="694"/>
      <c r="Z2237" s="694"/>
      <c r="AA2237" s="694"/>
      <c r="AB2237" s="694"/>
      <c r="AC2237" s="694"/>
      <c r="AD2237" s="694"/>
      <c r="AE2237" s="694"/>
      <c r="AF2237" s="694"/>
      <c r="AG2237" s="694"/>
      <c r="AH2237" s="694"/>
      <c r="AI2237" s="694"/>
      <c r="AJ2237" s="694"/>
      <c r="AK2237" s="694"/>
      <c r="AL2237" s="694"/>
    </row>
    <row r="2238" spans="1:38" ht="12.75" customHeight="1" thickBot="1" x14ac:dyDescent="0.3">
      <c r="A2238" s="694"/>
      <c r="B2238" s="298"/>
      <c r="C2238" s="1302"/>
      <c r="D2238" s="625"/>
      <c r="E2238" s="2812" t="str">
        <f>Translations!$B$599</f>
        <v>Посочените тук данни ще са необходими при актуализацията на конкретния показател за пулп.</v>
      </c>
      <c r="F2238" s="2672"/>
      <c r="G2238" s="2672"/>
      <c r="H2238" s="2672"/>
      <c r="I2238" s="2672"/>
      <c r="J2238" s="2672"/>
      <c r="K2238" s="2672"/>
      <c r="L2238" s="2672"/>
      <c r="M2238" s="2672"/>
      <c r="N2238" s="2813"/>
      <c r="O2238" s="302"/>
      <c r="P2238" s="302"/>
      <c r="Q2238" s="729"/>
      <c r="R2238" s="694"/>
      <c r="S2238" s="729"/>
      <c r="T2238" s="694"/>
      <c r="U2238" s="694"/>
      <c r="V2238" s="729"/>
      <c r="W2238" s="694"/>
      <c r="X2238" s="694"/>
      <c r="Y2238" s="694"/>
      <c r="Z2238" s="694"/>
      <c r="AA2238" s="694"/>
      <c r="AB2238" s="694"/>
      <c r="AC2238" s="1178">
        <f t="shared" ref="AC2238" si="3205">H$20</f>
        <v>2024</v>
      </c>
      <c r="AD2238" s="1178">
        <f t="shared" ref="AD2238" si="3206">I$20</f>
        <v>2025</v>
      </c>
      <c r="AE2238" s="1178">
        <f t="shared" ref="AE2238" si="3207">J$20</f>
        <v>2026</v>
      </c>
      <c r="AF2238" s="1178">
        <f t="shared" ref="AF2238" si="3208">K$20</f>
        <v>2027</v>
      </c>
      <c r="AG2238" s="1178">
        <f t="shared" ref="AG2238" si="3209">L$20</f>
        <v>2028</v>
      </c>
      <c r="AH2238" s="1178">
        <f t="shared" ref="AH2238" si="3210">M$20</f>
        <v>2029</v>
      </c>
      <c r="AI2238" s="1178">
        <f t="shared" ref="AI2238" si="3211">N$20</f>
        <v>2030</v>
      </c>
      <c r="AJ2238" s="694"/>
      <c r="AK2238" s="694"/>
      <c r="AL2238" s="694"/>
    </row>
    <row r="2239" spans="1:38" ht="12.75" customHeight="1" x14ac:dyDescent="0.25">
      <c r="A2239" s="694"/>
      <c r="B2239" s="298"/>
      <c r="C2239" s="1302"/>
      <c r="D2239" s="625"/>
      <c r="E2239" s="2814" t="str">
        <f>IF(I1980="","",IF(INDEX(EUconst_BMlistPulp,MATCH(I1980,EUconst_BMlistNames,0)),I1980,""))</f>
        <v/>
      </c>
      <c r="F2239" s="2258"/>
      <c r="G2239" s="1319" t="str">
        <f>EUconst_Tons</f>
        <v>тона</v>
      </c>
      <c r="H2239" s="56"/>
      <c r="I2239" s="115"/>
      <c r="J2239" s="118"/>
      <c r="K2239" s="56"/>
      <c r="L2239" s="56"/>
      <c r="M2239" s="56"/>
      <c r="N2239" s="121"/>
      <c r="O2239" s="302"/>
      <c r="P2239" s="158"/>
      <c r="Q2239" s="1190" t="str">
        <f>EUconst_CNTR_HALPulpTotal &amp; I1980</f>
        <v>HALPulpTotal_</v>
      </c>
      <c r="R2239" s="694"/>
      <c r="S2239" s="729"/>
      <c r="T2239" s="694"/>
      <c r="U2239" s="694"/>
      <c r="V2239" s="694"/>
      <c r="W2239" s="694"/>
      <c r="X2239" s="694"/>
      <c r="Y2239" s="694"/>
      <c r="Z2239" s="694"/>
      <c r="AA2239" s="694"/>
      <c r="AB2239" s="1182" t="s">
        <v>737</v>
      </c>
      <c r="AC2239" s="901" t="b">
        <f t="shared" ref="AC2239:AI2239" si="3212">IF($I1980&lt;&gt;"",IF(INDEX(EUconst_BMlistPulp,MATCH($I1980,EUconst_BMlistNames,0))=TRUE,FALSE,TRUE),AC2027)</f>
        <v>0</v>
      </c>
      <c r="AD2239" s="982" t="b">
        <f t="shared" si="3212"/>
        <v>0</v>
      </c>
      <c r="AE2239" s="982" t="b">
        <f t="shared" si="3212"/>
        <v>0</v>
      </c>
      <c r="AF2239" s="982" t="b">
        <f t="shared" si="3212"/>
        <v>0</v>
      </c>
      <c r="AG2239" s="982" t="b">
        <f t="shared" si="3212"/>
        <v>0</v>
      </c>
      <c r="AH2239" s="982" t="b">
        <f t="shared" si="3212"/>
        <v>0</v>
      </c>
      <c r="AI2239" s="982" t="b">
        <f t="shared" si="3212"/>
        <v>0</v>
      </c>
      <c r="AJ2239" s="1174" t="s">
        <v>2039</v>
      </c>
      <c r="AK2239" s="1176" t="str">
        <f>IF(AND(CNTR_ExistSubInstEntries,MSconst_RequireSubAttrEmissions,COUNTIFS(AC2239:AI2239,FALSE,H2239:N2239,"")&gt;0),EUconst_Error&amp;"BM"&amp;$Q1980,"")</f>
        <v/>
      </c>
      <c r="AL2239" s="694"/>
    </row>
    <row r="2240" spans="1:38" ht="12.75" customHeight="1" x14ac:dyDescent="0.25">
      <c r="A2240" s="694"/>
      <c r="B2240" s="298"/>
      <c r="C2240" s="1302"/>
      <c r="D2240" s="625"/>
      <c r="E2240" s="625"/>
      <c r="F2240" s="625"/>
      <c r="G2240" s="625"/>
      <c r="H2240" s="1354"/>
      <c r="I2240" s="625"/>
      <c r="J2240" s="625"/>
      <c r="K2240" s="625"/>
      <c r="L2240" s="625"/>
      <c r="M2240" s="625"/>
      <c r="N2240" s="1348"/>
      <c r="O2240" s="302"/>
      <c r="P2240" s="302"/>
      <c r="Q2240" s="729"/>
      <c r="R2240" s="694"/>
      <c r="S2240" s="729"/>
      <c r="T2240" s="694"/>
      <c r="U2240" s="694"/>
      <c r="V2240" s="729"/>
      <c r="W2240" s="694"/>
      <c r="X2240" s="694"/>
      <c r="Y2240" s="694"/>
      <c r="Z2240" s="694"/>
      <c r="AA2240" s="694"/>
      <c r="AB2240" s="694"/>
      <c r="AC2240" s="694"/>
      <c r="AD2240" s="694"/>
      <c r="AE2240" s="694"/>
      <c r="AF2240" s="694"/>
      <c r="AG2240" s="694"/>
      <c r="AH2240" s="694"/>
      <c r="AI2240" s="694"/>
      <c r="AJ2240" s="694"/>
      <c r="AK2240" s="694"/>
      <c r="AL2240" s="694"/>
    </row>
    <row r="2241" spans="1:38" ht="12.75" customHeight="1" x14ac:dyDescent="0.25">
      <c r="A2241" s="694"/>
      <c r="B2241" s="298"/>
      <c r="C2241" s="1302"/>
      <c r="D2241" s="1307" t="s">
        <v>852</v>
      </c>
      <c r="E2241" s="2815" t="str">
        <f>Translations!$B$600</f>
        <v>Получаване или подаване на междинни продукти, обхванати от продуктови показатели</v>
      </c>
      <c r="F2241" s="2240"/>
      <c r="G2241" s="2240"/>
      <c r="H2241" s="2240"/>
      <c r="I2241" s="2240"/>
      <c r="J2241" s="2240"/>
      <c r="K2241" s="2240"/>
      <c r="L2241" s="2240"/>
      <c r="M2241" s="2240"/>
      <c r="N2241" s="2811"/>
      <c r="O2241" s="302"/>
      <c r="P2241" s="302"/>
      <c r="Q2241" s="729"/>
      <c r="R2241" s="694"/>
      <c r="S2241" s="729"/>
      <c r="T2241" s="694"/>
      <c r="U2241" s="694"/>
      <c r="V2241" s="729"/>
      <c r="W2241" s="694"/>
      <c r="X2241" s="694"/>
      <c r="Y2241" s="694"/>
      <c r="Z2241" s="694"/>
      <c r="AA2241" s="694"/>
      <c r="AB2241" s="694"/>
      <c r="AC2241" s="694"/>
      <c r="AD2241" s="694"/>
      <c r="AE2241" s="694"/>
      <c r="AF2241" s="694"/>
      <c r="AG2241" s="694"/>
      <c r="AH2241" s="694"/>
      <c r="AI2241" s="694"/>
      <c r="AJ2241" s="694"/>
      <c r="AK2241" s="694"/>
      <c r="AL2241" s="694"/>
    </row>
    <row r="2242" spans="1:38" ht="25.5" customHeight="1" x14ac:dyDescent="0.25">
      <c r="A2242" s="694"/>
      <c r="B2242" s="298"/>
      <c r="C2242" s="1302"/>
      <c r="D2242" s="1306"/>
      <c r="E2242" s="2810" t="str">
        <f>Translations!$B$601</f>
        <v>За да се избегне двойно отчитане или пропуски в зададените емисии при определянето на актуализираните показатели, съгласно изискванията на раздел 2.7, буква г) от приложение IV към ПБР е необходимо да подадете данни за получените или подадените междинни продукти, обхванати от който и да било от продуктовите показатели, изброени в приложение I към ПБР.</v>
      </c>
      <c r="F2242" s="2240"/>
      <c r="G2242" s="2240"/>
      <c r="H2242" s="2240"/>
      <c r="I2242" s="2240"/>
      <c r="J2242" s="2240"/>
      <c r="K2242" s="2240"/>
      <c r="L2242" s="2240"/>
      <c r="M2242" s="2240"/>
      <c r="N2242" s="2811"/>
      <c r="O2242" s="302"/>
      <c r="P2242" s="302"/>
      <c r="Q2242" s="729"/>
      <c r="R2242" s="694"/>
      <c r="S2242" s="729"/>
      <c r="T2242" s="694"/>
      <c r="U2242" s="694"/>
      <c r="V2242" s="729"/>
      <c r="W2242" s="694"/>
      <c r="X2242" s="694"/>
      <c r="Y2242" s="694"/>
      <c r="Z2242" s="694"/>
      <c r="AA2242" s="694"/>
      <c r="AB2242" s="694"/>
      <c r="AC2242" s="694"/>
      <c r="AD2242" s="694"/>
      <c r="AE2242" s="694"/>
      <c r="AF2242" s="694"/>
      <c r="AG2242" s="694"/>
      <c r="AH2242" s="694"/>
      <c r="AI2242" s="694"/>
      <c r="AJ2242" s="694"/>
      <c r="AK2242" s="694"/>
      <c r="AL2242" s="694"/>
    </row>
    <row r="2243" spans="1:38" ht="12.75" customHeight="1" x14ac:dyDescent="0.25">
      <c r="A2243" s="694"/>
      <c r="B2243" s="298"/>
      <c r="C2243" s="1302"/>
      <c r="D2243" s="1306"/>
      <c r="E2243" s="2816" t="str">
        <f>Translations!$B$602</f>
        <v>Посочените тук данни могат да се отразят на актуализацията на конкретния показател.</v>
      </c>
      <c r="F2243" s="2240"/>
      <c r="G2243" s="2240"/>
      <c r="H2243" s="2240"/>
      <c r="I2243" s="2240"/>
      <c r="J2243" s="2240"/>
      <c r="K2243" s="2240"/>
      <c r="L2243" s="2240"/>
      <c r="M2243" s="2240"/>
      <c r="N2243" s="2811"/>
      <c r="O2243" s="302"/>
      <c r="P2243" s="302"/>
      <c r="Q2243" s="729"/>
      <c r="R2243" s="694"/>
      <c r="S2243" s="729"/>
      <c r="T2243" s="694"/>
      <c r="U2243" s="694"/>
      <c r="V2243" s="729"/>
      <c r="W2243" s="694"/>
      <c r="X2243" s="694"/>
      <c r="Y2243" s="694"/>
      <c r="Z2243" s="694"/>
      <c r="AA2243" s="694"/>
      <c r="AB2243" s="694"/>
      <c r="AC2243" s="694"/>
      <c r="AD2243" s="694"/>
      <c r="AE2243" s="694"/>
      <c r="AF2243" s="694"/>
      <c r="AG2243" s="694"/>
      <c r="AH2243" s="694"/>
      <c r="AI2243" s="694"/>
      <c r="AJ2243" s="694"/>
      <c r="AK2243" s="694"/>
      <c r="AL2243" s="694"/>
    </row>
    <row r="2244" spans="1:38" ht="12.75" customHeight="1" x14ac:dyDescent="0.25">
      <c r="A2244" s="694"/>
      <c r="B2244" s="698"/>
      <c r="C2244" s="1302"/>
      <c r="D2244" s="625" t="s">
        <v>6</v>
      </c>
      <c r="E2244" s="2817" t="str">
        <f>Translations!$B$603</f>
        <v>Има ли получени или подадени междинни продукти, които са обхванати от продуктови показатели?</v>
      </c>
      <c r="F2244" s="2240"/>
      <c r="G2244" s="2240"/>
      <c r="H2244" s="2240"/>
      <c r="I2244" s="2240"/>
      <c r="J2244" s="2240"/>
      <c r="K2244" s="2684"/>
      <c r="L2244" s="83"/>
      <c r="M2244" s="1304"/>
      <c r="N2244" s="1372"/>
      <c r="O2244" s="302"/>
      <c r="P2244" s="158"/>
      <c r="Q2244" s="694"/>
      <c r="R2244" s="694"/>
      <c r="S2244" s="694"/>
      <c r="T2244" s="694"/>
      <c r="U2244" s="694"/>
      <c r="V2244" s="694"/>
      <c r="W2244" s="694"/>
      <c r="X2244" s="694"/>
      <c r="Y2244" s="694"/>
      <c r="Z2244" s="694"/>
      <c r="AA2244" s="694"/>
      <c r="AB2244" s="694"/>
      <c r="AC2244" s="694"/>
      <c r="AD2244" s="694"/>
      <c r="AE2244" s="694"/>
      <c r="AF2244" s="1182" t="s">
        <v>737</v>
      </c>
      <c r="AG2244" s="901" t="b">
        <f>AND(CNTR_ExistSubInstEntries,I1980="")</f>
        <v>0</v>
      </c>
      <c r="AH2244" s="694"/>
      <c r="AI2244" s="694"/>
      <c r="AJ2244" s="694"/>
      <c r="AK2244" s="694"/>
      <c r="AL2244" s="694"/>
    </row>
    <row r="2245" spans="1:38" ht="5.15" customHeight="1" x14ac:dyDescent="0.25">
      <c r="A2245" s="694"/>
      <c r="B2245" s="298"/>
      <c r="C2245" s="1302"/>
      <c r="D2245" s="625"/>
      <c r="E2245" s="625"/>
      <c r="F2245" s="625"/>
      <c r="G2245" s="625"/>
      <c r="H2245" s="1354"/>
      <c r="I2245" s="625"/>
      <c r="J2245" s="625"/>
      <c r="K2245" s="625"/>
      <c r="L2245" s="625"/>
      <c r="M2245" s="625"/>
      <c r="N2245" s="1348"/>
      <c r="O2245" s="302"/>
      <c r="P2245" s="302"/>
      <c r="Q2245" s="729"/>
      <c r="R2245" s="694"/>
      <c r="S2245" s="729"/>
      <c r="T2245" s="694"/>
      <c r="U2245" s="694"/>
      <c r="V2245" s="729"/>
      <c r="W2245" s="694"/>
      <c r="X2245" s="694"/>
      <c r="Y2245" s="694"/>
      <c r="Z2245" s="694"/>
      <c r="AA2245" s="694"/>
      <c r="AB2245" s="694"/>
      <c r="AC2245" s="694"/>
      <c r="AD2245" s="694"/>
      <c r="AE2245" s="694"/>
      <c r="AF2245" s="694"/>
      <c r="AG2245" s="694"/>
      <c r="AH2245" s="694"/>
      <c r="AI2245" s="694"/>
      <c r="AJ2245" s="694"/>
      <c r="AK2245" s="694"/>
      <c r="AL2245" s="694"/>
    </row>
    <row r="2246" spans="1:38" ht="12.75" customHeight="1" thickBot="1" x14ac:dyDescent="0.3">
      <c r="A2246" s="694"/>
      <c r="B2246" s="298"/>
      <c r="C2246" s="1302"/>
      <c r="D2246" s="1307"/>
      <c r="E2246" s="2803" t="str">
        <f>Translations!$B$604</f>
        <v>Получени количества:</v>
      </c>
      <c r="F2246" s="2672"/>
      <c r="G2246" s="627" t="str">
        <f>EUconst_Unit</f>
        <v>Единица мярка</v>
      </c>
      <c r="H2246" s="629">
        <f t="shared" ref="H2246:N2246" si="3213">H$2831</f>
        <v>2024</v>
      </c>
      <c r="I2246" s="1310">
        <f t="shared" si="3213"/>
        <v>2025</v>
      </c>
      <c r="J2246" s="1311">
        <f t="shared" si="3213"/>
        <v>2026</v>
      </c>
      <c r="K2246" s="629">
        <f t="shared" si="3213"/>
        <v>2027</v>
      </c>
      <c r="L2246" s="629">
        <f t="shared" si="3213"/>
        <v>2028</v>
      </c>
      <c r="M2246" s="629">
        <f t="shared" si="3213"/>
        <v>2029</v>
      </c>
      <c r="N2246" s="1312">
        <f t="shared" si="3213"/>
        <v>2030</v>
      </c>
      <c r="O2246" s="302"/>
      <c r="P2246" s="302"/>
      <c r="Q2246" s="729"/>
      <c r="R2246" s="694"/>
      <c r="S2246" s="729"/>
      <c r="T2246" s="694"/>
      <c r="U2246" s="694"/>
      <c r="V2246" s="729"/>
      <c r="W2246" s="694"/>
      <c r="X2246" s="694"/>
      <c r="Y2246" s="694"/>
      <c r="Z2246" s="694"/>
      <c r="AA2246" s="694"/>
      <c r="AB2246" s="694"/>
      <c r="AC2246" s="1178">
        <f t="shared" ref="AC2246" si="3214">H$20</f>
        <v>2024</v>
      </c>
      <c r="AD2246" s="1178">
        <f t="shared" ref="AD2246" si="3215">I$20</f>
        <v>2025</v>
      </c>
      <c r="AE2246" s="1178">
        <f t="shared" ref="AE2246" si="3216">J$20</f>
        <v>2026</v>
      </c>
      <c r="AF2246" s="1178">
        <f t="shared" ref="AF2246" si="3217">K$20</f>
        <v>2027</v>
      </c>
      <c r="AG2246" s="1178">
        <f t="shared" ref="AG2246" si="3218">L$20</f>
        <v>2028</v>
      </c>
      <c r="AH2246" s="1178">
        <f t="shared" ref="AH2246" si="3219">M$20</f>
        <v>2029</v>
      </c>
      <c r="AI2246" s="1178">
        <f t="shared" ref="AI2246" si="3220">N$20</f>
        <v>2030</v>
      </c>
      <c r="AJ2246" s="694"/>
      <c r="AK2246" s="694"/>
      <c r="AL2246" s="694"/>
    </row>
    <row r="2247" spans="1:38" ht="12.75" customHeight="1" x14ac:dyDescent="0.25">
      <c r="A2247" s="694"/>
      <c r="B2247" s="298"/>
      <c r="C2247" s="1302"/>
      <c r="D2247" s="625" t="s">
        <v>7</v>
      </c>
      <c r="E2247" s="2799"/>
      <c r="F2247" s="2800"/>
      <c r="G2247" s="1116" t="str">
        <f>IF(E2247&lt;&gt;"",INDEX(EUconst_BMlistUnits,MATCH(E2247,EUconst_BMlistNames,0)),EUconst_Tons)</f>
        <v>тона</v>
      </c>
      <c r="H2247" s="150"/>
      <c r="I2247" s="151"/>
      <c r="J2247" s="152"/>
      <c r="K2247" s="150"/>
      <c r="L2247" s="150"/>
      <c r="M2247" s="150"/>
      <c r="N2247" s="153"/>
      <c r="O2247" s="302"/>
      <c r="P2247" s="158"/>
      <c r="Q2247" s="1190" t="str">
        <f>EUconst_CNTR_IntermediateImport &amp; S2247 &amp; "_" &amp; I1980</f>
        <v>IntImp_1_</v>
      </c>
      <c r="R2247" s="694"/>
      <c r="S2247" s="1190">
        <v>1</v>
      </c>
      <c r="T2247" s="694"/>
      <c r="U2247" s="694"/>
      <c r="V2247" s="729"/>
      <c r="W2247" s="694"/>
      <c r="X2247" s="694"/>
      <c r="Y2247" s="694"/>
      <c r="Z2247" s="694"/>
      <c r="AA2247" s="694"/>
      <c r="AB2247" s="1182" t="s">
        <v>737</v>
      </c>
      <c r="AC2247" s="901" t="b">
        <f>OR(AND($L2244&lt;&gt;"",$L2244=FALSE),AC2027)</f>
        <v>0</v>
      </c>
      <c r="AD2247" s="982" t="b">
        <f t="shared" ref="AD2247:AI2247" si="3221">OR(AND($L2244&lt;&gt;"",$L2244=FALSE),AD2027)</f>
        <v>0</v>
      </c>
      <c r="AE2247" s="982" t="b">
        <f t="shared" si="3221"/>
        <v>0</v>
      </c>
      <c r="AF2247" s="982" t="b">
        <f t="shared" si="3221"/>
        <v>0</v>
      </c>
      <c r="AG2247" s="982" t="b">
        <f t="shared" si="3221"/>
        <v>0</v>
      </c>
      <c r="AH2247" s="982" t="b">
        <f t="shared" si="3221"/>
        <v>0</v>
      </c>
      <c r="AI2247" s="982" t="b">
        <f t="shared" si="3221"/>
        <v>0</v>
      </c>
      <c r="AJ2247" s="1174" t="s">
        <v>2039</v>
      </c>
      <c r="AK2247" s="1176" t="str">
        <f>IF(AND(CNTR_ExistSubInstEntries,MSconst_RequireSubAttrEmissions,COUNTIFS(AC2247:AI2247,FALSE,H2247:N2247,"")&gt;0),EUconst_Error&amp;"BM"&amp;$Q1980,"")</f>
        <v/>
      </c>
      <c r="AL2247" s="694"/>
    </row>
    <row r="2248" spans="1:38" ht="12.75" customHeight="1" x14ac:dyDescent="0.25">
      <c r="A2248" s="694"/>
      <c r="B2248" s="298"/>
      <c r="C2248" s="1302"/>
      <c r="D2248" s="625" t="s">
        <v>8</v>
      </c>
      <c r="E2248" s="2801"/>
      <c r="F2248" s="2802"/>
      <c r="G2248" s="1349" t="str">
        <f>IF(E2248&lt;&gt;"",INDEX(EUconst_BMlistUnits,MATCH(E2248,EUconst_BMlistNames,0)),EUconst_Tons)</f>
        <v>тона</v>
      </c>
      <c r="H2248" s="154"/>
      <c r="I2248" s="155"/>
      <c r="J2248" s="156"/>
      <c r="K2248" s="154"/>
      <c r="L2248" s="154"/>
      <c r="M2248" s="154"/>
      <c r="N2248" s="157"/>
      <c r="O2248" s="302"/>
      <c r="P2248" s="158"/>
      <c r="Q2248" s="1190" t="str">
        <f>EUconst_CNTR_IntermediateImport &amp; S2248 &amp; "_" &amp; I1980</f>
        <v>IntImp_2_</v>
      </c>
      <c r="R2248" s="694"/>
      <c r="S2248" s="1190">
        <v>2</v>
      </c>
      <c r="T2248" s="694"/>
      <c r="U2248" s="694"/>
      <c r="V2248" s="729"/>
      <c r="W2248" s="694"/>
      <c r="X2248" s="694"/>
      <c r="Y2248" s="694"/>
      <c r="Z2248" s="694"/>
      <c r="AA2248" s="694"/>
      <c r="AB2248" s="694"/>
      <c r="AC2248" s="982" t="b">
        <f>AC2247</f>
        <v>0</v>
      </c>
      <c r="AD2248" s="982" t="b">
        <f t="shared" ref="AD2248:AI2248" si="3222">AD2247</f>
        <v>0</v>
      </c>
      <c r="AE2248" s="982" t="b">
        <f t="shared" si="3222"/>
        <v>0</v>
      </c>
      <c r="AF2248" s="982" t="b">
        <f t="shared" si="3222"/>
        <v>0</v>
      </c>
      <c r="AG2248" s="982" t="b">
        <f t="shared" si="3222"/>
        <v>0</v>
      </c>
      <c r="AH2248" s="982" t="b">
        <f t="shared" si="3222"/>
        <v>0</v>
      </c>
      <c r="AI2248" s="982" t="b">
        <f t="shared" si="3222"/>
        <v>0</v>
      </c>
      <c r="AJ2248" s="694"/>
      <c r="AK2248" s="694"/>
      <c r="AL2248" s="694"/>
    </row>
    <row r="2249" spans="1:38" ht="5.15" customHeight="1" x14ac:dyDescent="0.25">
      <c r="A2249" s="694"/>
      <c r="B2249" s="298"/>
      <c r="C2249" s="1302"/>
      <c r="D2249" s="625"/>
      <c r="E2249" s="625"/>
      <c r="F2249" s="625"/>
      <c r="G2249" s="625"/>
      <c r="H2249" s="625"/>
      <c r="I2249" s="625"/>
      <c r="J2249" s="625"/>
      <c r="K2249" s="625"/>
      <c r="L2249" s="625"/>
      <c r="M2249" s="625"/>
      <c r="N2249" s="1373"/>
      <c r="O2249" s="302"/>
      <c r="P2249" s="302"/>
      <c r="Q2249" s="729"/>
      <c r="R2249" s="694"/>
      <c r="S2249" s="729"/>
      <c r="T2249" s="694"/>
      <c r="U2249" s="694"/>
      <c r="V2249" s="729"/>
      <c r="W2249" s="694"/>
      <c r="X2249" s="694"/>
      <c r="Y2249" s="694"/>
      <c r="Z2249" s="694"/>
      <c r="AA2249" s="694"/>
      <c r="AB2249" s="694"/>
      <c r="AC2249" s="694"/>
      <c r="AD2249" s="694"/>
      <c r="AE2249" s="694"/>
      <c r="AF2249" s="694"/>
      <c r="AG2249" s="694"/>
      <c r="AH2249" s="694"/>
      <c r="AI2249" s="694"/>
      <c r="AJ2249" s="694"/>
      <c r="AK2249" s="694"/>
      <c r="AL2249" s="694"/>
    </row>
    <row r="2250" spans="1:38" ht="12.75" customHeight="1" thickBot="1" x14ac:dyDescent="0.3">
      <c r="A2250" s="694"/>
      <c r="B2250" s="298"/>
      <c r="C2250" s="1302"/>
      <c r="D2250" s="1307"/>
      <c r="E2250" s="2803" t="str">
        <f>Translations!$B$605</f>
        <v>Подадени количества:</v>
      </c>
      <c r="F2250" s="2672"/>
      <c r="G2250" s="627" t="str">
        <f>EUconst_Unit</f>
        <v>Единица мярка</v>
      </c>
      <c r="H2250" s="629">
        <f t="shared" ref="H2250:N2250" si="3223">H$2831</f>
        <v>2024</v>
      </c>
      <c r="I2250" s="1310">
        <f t="shared" si="3223"/>
        <v>2025</v>
      </c>
      <c r="J2250" s="1311">
        <f t="shared" si="3223"/>
        <v>2026</v>
      </c>
      <c r="K2250" s="629">
        <f t="shared" si="3223"/>
        <v>2027</v>
      </c>
      <c r="L2250" s="629">
        <f t="shared" si="3223"/>
        <v>2028</v>
      </c>
      <c r="M2250" s="629">
        <f t="shared" si="3223"/>
        <v>2029</v>
      </c>
      <c r="N2250" s="1312">
        <f t="shared" si="3223"/>
        <v>2030</v>
      </c>
      <c r="O2250" s="302"/>
      <c r="P2250" s="302"/>
      <c r="Q2250" s="729"/>
      <c r="R2250" s="694"/>
      <c r="S2250" s="729"/>
      <c r="T2250" s="694"/>
      <c r="U2250" s="694"/>
      <c r="V2250" s="729"/>
      <c r="W2250" s="694"/>
      <c r="X2250" s="694"/>
      <c r="Y2250" s="694"/>
      <c r="Z2250" s="694"/>
      <c r="AA2250" s="694"/>
      <c r="AB2250" s="694"/>
      <c r="AC2250" s="1178">
        <f t="shared" ref="AC2250" si="3224">H$20</f>
        <v>2024</v>
      </c>
      <c r="AD2250" s="1178">
        <f t="shared" ref="AD2250" si="3225">I$20</f>
        <v>2025</v>
      </c>
      <c r="AE2250" s="1178">
        <f t="shared" ref="AE2250" si="3226">J$20</f>
        <v>2026</v>
      </c>
      <c r="AF2250" s="1178">
        <f t="shared" ref="AF2250" si="3227">K$20</f>
        <v>2027</v>
      </c>
      <c r="AG2250" s="1178">
        <f t="shared" ref="AG2250" si="3228">L$20</f>
        <v>2028</v>
      </c>
      <c r="AH2250" s="1178">
        <f t="shared" ref="AH2250" si="3229">M$20</f>
        <v>2029</v>
      </c>
      <c r="AI2250" s="1178">
        <f t="shared" ref="AI2250" si="3230">N$20</f>
        <v>2030</v>
      </c>
      <c r="AJ2250" s="694"/>
      <c r="AK2250" s="694"/>
      <c r="AL2250" s="694"/>
    </row>
    <row r="2251" spans="1:38" ht="12.75" customHeight="1" x14ac:dyDescent="0.25">
      <c r="A2251" s="694"/>
      <c r="B2251" s="298"/>
      <c r="C2251" s="1302"/>
      <c r="D2251" s="625" t="s">
        <v>18</v>
      </c>
      <c r="E2251" s="2799"/>
      <c r="F2251" s="2800"/>
      <c r="G2251" s="1116" t="str">
        <f>IF(E2251&lt;&gt;"",INDEX(EUconst_BMlistUnits,MATCH(E2251,EUconst_BMlistNames,0)),EUconst_Tons)</f>
        <v>тона</v>
      </c>
      <c r="H2251" s="150"/>
      <c r="I2251" s="151"/>
      <c r="J2251" s="152"/>
      <c r="K2251" s="150"/>
      <c r="L2251" s="150"/>
      <c r="M2251" s="150"/>
      <c r="N2251" s="153"/>
      <c r="O2251" s="302"/>
      <c r="P2251" s="158"/>
      <c r="Q2251" s="1190" t="str">
        <f>EUconst_CNTR_IntermediateExport &amp; S2247 &amp; "_" &amp; I1980</f>
        <v>IntExp_1_</v>
      </c>
      <c r="R2251" s="694"/>
      <c r="S2251" s="1190">
        <v>1</v>
      </c>
      <c r="T2251" s="694"/>
      <c r="U2251" s="694"/>
      <c r="V2251" s="729"/>
      <c r="W2251" s="694"/>
      <c r="X2251" s="1374"/>
      <c r="Y2251" s="1374"/>
      <c r="Z2251" s="694"/>
      <c r="AA2251" s="694"/>
      <c r="AB2251" s="1182" t="s">
        <v>737</v>
      </c>
      <c r="AC2251" s="982" t="b">
        <f>AC2247</f>
        <v>0</v>
      </c>
      <c r="AD2251" s="982" t="b">
        <f t="shared" ref="AD2251:AI2251" si="3231">AD2247</f>
        <v>0</v>
      </c>
      <c r="AE2251" s="982" t="b">
        <f t="shared" si="3231"/>
        <v>0</v>
      </c>
      <c r="AF2251" s="982" t="b">
        <f t="shared" si="3231"/>
        <v>0</v>
      </c>
      <c r="AG2251" s="982" t="b">
        <f t="shared" si="3231"/>
        <v>0</v>
      </c>
      <c r="AH2251" s="982" t="b">
        <f t="shared" si="3231"/>
        <v>0</v>
      </c>
      <c r="AI2251" s="982" t="b">
        <f t="shared" si="3231"/>
        <v>0</v>
      </c>
      <c r="AJ2251" s="1174" t="s">
        <v>2039</v>
      </c>
      <c r="AK2251" s="1176" t="str">
        <f>IF(AND(CNTR_ExistSubInstEntries,MSconst_RequireSubAttrEmissions,COUNTIFS(AC2251:AI2251,FALSE,H2251:N2251,"")&gt;0),EUconst_Error&amp;"BM"&amp;$Q1980,"")</f>
        <v/>
      </c>
      <c r="AL2251" s="694"/>
    </row>
    <row r="2252" spans="1:38" ht="12.75" customHeight="1" x14ac:dyDescent="0.25">
      <c r="A2252" s="694"/>
      <c r="B2252" s="298"/>
      <c r="C2252" s="1302"/>
      <c r="D2252" s="625" t="s">
        <v>810</v>
      </c>
      <c r="E2252" s="2801"/>
      <c r="F2252" s="2802"/>
      <c r="G2252" s="1349" t="str">
        <f>IF(E2252&lt;&gt;"",INDEX(EUconst_BMlistUnits,MATCH(E2252,EUconst_BMlistNames,0)),EUconst_Tons)</f>
        <v>тона</v>
      </c>
      <c r="H2252" s="154"/>
      <c r="I2252" s="155"/>
      <c r="J2252" s="156"/>
      <c r="K2252" s="154"/>
      <c r="L2252" s="154"/>
      <c r="M2252" s="154"/>
      <c r="N2252" s="157"/>
      <c r="O2252" s="302"/>
      <c r="P2252" s="158"/>
      <c r="Q2252" s="1190" t="str">
        <f>EUconst_CNTR_IntermediateExport &amp; S2252 &amp; "_" &amp; I1980</f>
        <v>IntExp_2_</v>
      </c>
      <c r="R2252" s="694"/>
      <c r="S2252" s="1190">
        <v>2</v>
      </c>
      <c r="T2252" s="694"/>
      <c r="U2252" s="694"/>
      <c r="V2252" s="729"/>
      <c r="W2252" s="694"/>
      <c r="X2252" s="1374"/>
      <c r="Y2252" s="1374"/>
      <c r="Z2252" s="694"/>
      <c r="AA2252" s="694"/>
      <c r="AB2252" s="694"/>
      <c r="AC2252" s="982" t="b">
        <f t="shared" ref="AC2252:AI2252" si="3232">AC2248</f>
        <v>0</v>
      </c>
      <c r="AD2252" s="982" t="b">
        <f t="shared" si="3232"/>
        <v>0</v>
      </c>
      <c r="AE2252" s="982" t="b">
        <f t="shared" si="3232"/>
        <v>0</v>
      </c>
      <c r="AF2252" s="982" t="b">
        <f t="shared" si="3232"/>
        <v>0</v>
      </c>
      <c r="AG2252" s="982" t="b">
        <f t="shared" si="3232"/>
        <v>0</v>
      </c>
      <c r="AH2252" s="982" t="b">
        <f t="shared" si="3232"/>
        <v>0</v>
      </c>
      <c r="AI2252" s="982" t="b">
        <f t="shared" si="3232"/>
        <v>0</v>
      </c>
      <c r="AJ2252" s="694"/>
      <c r="AK2252" s="694"/>
      <c r="AL2252" s="694"/>
    </row>
    <row r="2253" spans="1:38" ht="5.15" customHeight="1" x14ac:dyDescent="0.25">
      <c r="A2253" s="694"/>
      <c r="B2253" s="298"/>
      <c r="C2253" s="1302"/>
      <c r="D2253" s="625"/>
      <c r="E2253" s="625"/>
      <c r="F2253" s="625"/>
      <c r="G2253" s="625"/>
      <c r="H2253" s="625"/>
      <c r="I2253" s="625"/>
      <c r="J2253" s="625"/>
      <c r="K2253" s="625"/>
      <c r="L2253" s="625"/>
      <c r="M2253" s="625"/>
      <c r="N2253" s="1348"/>
      <c r="O2253" s="302"/>
      <c r="P2253" s="302"/>
      <c r="Q2253" s="729"/>
      <c r="R2253" s="694"/>
      <c r="S2253" s="729"/>
      <c r="T2253" s="694"/>
      <c r="U2253" s="694"/>
      <c r="V2253" s="729"/>
      <c r="W2253" s="694"/>
      <c r="X2253" s="1374"/>
      <c r="Y2253" s="1374"/>
      <c r="Z2253" s="694"/>
      <c r="AA2253" s="694"/>
      <c r="AB2253" s="694"/>
      <c r="AC2253" s="694"/>
      <c r="AD2253" s="694"/>
      <c r="AE2253" s="694"/>
      <c r="AF2253" s="694"/>
      <c r="AG2253" s="694"/>
      <c r="AH2253" s="694"/>
      <c r="AI2253" s="694"/>
      <c r="AJ2253" s="694"/>
      <c r="AK2253" s="694"/>
      <c r="AL2253" s="694"/>
    </row>
    <row r="2254" spans="1:38" ht="12.75" customHeight="1" x14ac:dyDescent="0.25">
      <c r="A2254" s="694"/>
      <c r="B2254" s="298"/>
      <c r="C2254" s="1302"/>
      <c r="D2254" s="625" t="s">
        <v>811</v>
      </c>
      <c r="E2254" s="626" t="str">
        <f>Translations!$B$606</f>
        <v>Описание на получените или подадените междинни продукти</v>
      </c>
      <c r="F2254" s="626"/>
      <c r="G2254" s="626"/>
      <c r="H2254" s="626"/>
      <c r="I2254" s="626"/>
      <c r="J2254" s="626"/>
      <c r="K2254" s="626"/>
      <c r="L2254" s="626"/>
      <c r="M2254" s="626"/>
      <c r="N2254" s="1348"/>
      <c r="O2254" s="302"/>
      <c r="P2254" s="302"/>
      <c r="Q2254" s="729"/>
      <c r="R2254" s="694"/>
      <c r="S2254" s="729"/>
      <c r="T2254" s="694"/>
      <c r="U2254" s="694"/>
      <c r="V2254" s="729"/>
      <c r="W2254" s="694"/>
      <c r="X2254" s="1374"/>
      <c r="Y2254" s="1374"/>
      <c r="Z2254" s="694"/>
      <c r="AA2254" s="694"/>
      <c r="AB2254" s="694"/>
      <c r="AC2254" s="694"/>
      <c r="AD2254" s="694"/>
      <c r="AE2254" s="694"/>
      <c r="AF2254" s="694"/>
      <c r="AG2254" s="694"/>
      <c r="AH2254" s="694"/>
      <c r="AI2254" s="694"/>
      <c r="AJ2254" s="694"/>
      <c r="AK2254" s="694"/>
      <c r="AL2254" s="694"/>
    </row>
    <row r="2255" spans="1:38" ht="12.75" customHeight="1" x14ac:dyDescent="0.25">
      <c r="A2255" s="694"/>
      <c r="B2255" s="298"/>
      <c r="C2255" s="1302"/>
      <c r="D2255" s="625"/>
      <c r="E2255" s="1375" t="str">
        <f>Translations!$B$607</f>
        <v>Моля, опишете накратко производствения процес във връзка с получени или подадени междинни продукти.</v>
      </c>
      <c r="F2255" s="1322"/>
      <c r="G2255" s="1322"/>
      <c r="H2255" s="1322"/>
      <c r="I2255" s="1322"/>
      <c r="J2255" s="1322"/>
      <c r="K2255" s="1322"/>
      <c r="L2255" s="1322"/>
      <c r="M2255" s="1322"/>
      <c r="N2255" s="1323"/>
      <c r="O2255" s="302"/>
      <c r="P2255" s="302"/>
      <c r="Q2255" s="729"/>
      <c r="R2255" s="694"/>
      <c r="S2255" s="729"/>
      <c r="T2255" s="694"/>
      <c r="U2255" s="694"/>
      <c r="V2255" s="729"/>
      <c r="W2255" s="694"/>
      <c r="X2255" s="1374"/>
      <c r="Y2255" s="1374"/>
      <c r="Z2255" s="694"/>
      <c r="AA2255" s="694"/>
      <c r="AB2255" s="694"/>
      <c r="AC2255" s="694"/>
      <c r="AD2255" s="694"/>
      <c r="AE2255" s="694"/>
      <c r="AF2255" s="694"/>
      <c r="AG2255" s="694"/>
      <c r="AH2255" s="694"/>
      <c r="AI2255" s="694"/>
      <c r="AJ2255" s="694"/>
      <c r="AK2255" s="694"/>
      <c r="AL2255" s="694"/>
    </row>
    <row r="2256" spans="1:38" ht="12.75" customHeight="1" x14ac:dyDescent="0.25">
      <c r="A2256" s="694"/>
      <c r="B2256" s="298"/>
      <c r="C2256" s="1302"/>
      <c r="D2256" s="625"/>
      <c r="E2256" s="2804"/>
      <c r="F2256" s="2805"/>
      <c r="G2256" s="2805"/>
      <c r="H2256" s="2805"/>
      <c r="I2256" s="2805"/>
      <c r="J2256" s="2805"/>
      <c r="K2256" s="2805"/>
      <c r="L2256" s="2805"/>
      <c r="M2256" s="2806"/>
      <c r="N2256" s="1348"/>
      <c r="O2256" s="302"/>
      <c r="P2256" s="158"/>
      <c r="Q2256" s="729"/>
      <c r="R2256" s="694"/>
      <c r="S2256" s="729"/>
      <c r="T2256" s="694"/>
      <c r="U2256" s="694"/>
      <c r="V2256" s="729"/>
      <c r="W2256" s="694"/>
      <c r="X2256" s="1374"/>
      <c r="Y2256" s="1374"/>
      <c r="Z2256" s="694"/>
      <c r="AA2256" s="694"/>
      <c r="AB2256" s="1182" t="s">
        <v>737</v>
      </c>
      <c r="AC2256" s="982" t="b">
        <f>AND(AC2251:AI2251)</f>
        <v>0</v>
      </c>
      <c r="AD2256" s="694"/>
      <c r="AE2256" s="694"/>
      <c r="AF2256" s="694"/>
      <c r="AG2256" s="694"/>
      <c r="AH2256" s="694"/>
      <c r="AI2256" s="694"/>
      <c r="AJ2256" s="694"/>
      <c r="AK2256" s="694"/>
      <c r="AL2256" s="694"/>
    </row>
    <row r="2257" spans="1:38" ht="12.75" customHeight="1" x14ac:dyDescent="0.25">
      <c r="A2257" s="694"/>
      <c r="B2257" s="298"/>
      <c r="C2257" s="1302"/>
      <c r="D2257" s="625"/>
      <c r="E2257" s="2807"/>
      <c r="F2257" s="2808"/>
      <c r="G2257" s="2808"/>
      <c r="H2257" s="2808"/>
      <c r="I2257" s="2808"/>
      <c r="J2257" s="2808"/>
      <c r="K2257" s="2808"/>
      <c r="L2257" s="2808"/>
      <c r="M2257" s="2809"/>
      <c r="N2257" s="1348"/>
      <c r="O2257" s="302"/>
      <c r="P2257" s="302"/>
      <c r="Q2257" s="729"/>
      <c r="R2257" s="694"/>
      <c r="S2257" s="729"/>
      <c r="T2257" s="694"/>
      <c r="U2257" s="694"/>
      <c r="V2257" s="729"/>
      <c r="W2257" s="694"/>
      <c r="X2257" s="1374"/>
      <c r="Y2257" s="1374"/>
      <c r="Z2257" s="694"/>
      <c r="AA2257" s="694"/>
      <c r="AB2257" s="694"/>
      <c r="AC2257" s="982" t="b">
        <f>AC2256</f>
        <v>0</v>
      </c>
      <c r="AD2257" s="694"/>
      <c r="AE2257" s="694"/>
      <c r="AF2257" s="694"/>
      <c r="AG2257" s="694"/>
      <c r="AH2257" s="694"/>
      <c r="AI2257" s="694"/>
      <c r="AJ2257" s="694"/>
      <c r="AK2257" s="694"/>
      <c r="AL2257" s="694"/>
    </row>
    <row r="2258" spans="1:38" ht="12.75" customHeight="1" thickBot="1" x14ac:dyDescent="0.3">
      <c r="A2258" s="694"/>
      <c r="B2258" s="298"/>
      <c r="C2258" s="1376"/>
      <c r="D2258" s="1377"/>
      <c r="E2258" s="1377"/>
      <c r="F2258" s="1377"/>
      <c r="G2258" s="1377"/>
      <c r="H2258" s="1377"/>
      <c r="I2258" s="1377"/>
      <c r="J2258" s="1377"/>
      <c r="K2258" s="1377"/>
      <c r="L2258" s="1377"/>
      <c r="M2258" s="1378"/>
      <c r="N2258" s="1379"/>
      <c r="O2258" s="302"/>
      <c r="P2258" s="302"/>
      <c r="Q2258" s="729"/>
      <c r="R2258" s="694"/>
      <c r="S2258" s="729"/>
      <c r="T2258" s="694"/>
      <c r="U2258" s="694"/>
      <c r="V2258" s="729"/>
      <c r="W2258" s="694"/>
      <c r="X2258" s="694"/>
      <c r="Y2258" s="694"/>
      <c r="Z2258" s="694"/>
      <c r="AA2258" s="694"/>
      <c r="AB2258" s="694"/>
      <c r="AC2258" s="694"/>
      <c r="AD2258" s="694"/>
      <c r="AE2258" s="694"/>
      <c r="AF2258" s="694"/>
      <c r="AG2258" s="694"/>
      <c r="AH2258" s="694"/>
      <c r="AI2258" s="694"/>
      <c r="AJ2258" s="694"/>
      <c r="AK2258" s="694"/>
      <c r="AL2258" s="694"/>
    </row>
    <row r="2259" spans="1:38" ht="12.75" customHeight="1" thickBot="1" x14ac:dyDescent="0.3">
      <c r="A2259" s="729"/>
      <c r="B2259" s="284"/>
      <c r="C2259" s="284"/>
      <c r="D2259" s="284"/>
      <c r="E2259" s="284"/>
      <c r="F2259" s="284"/>
      <c r="G2259" s="284"/>
      <c r="H2259" s="284"/>
      <c r="I2259" s="284"/>
      <c r="J2259" s="284"/>
      <c r="K2259" s="284"/>
      <c r="L2259" s="284"/>
      <c r="M2259" s="336"/>
      <c r="N2259" s="336"/>
      <c r="O2259" s="336"/>
      <c r="P2259" s="336"/>
      <c r="Q2259" s="1026" t="str">
        <f>IF(OR(AND(CNTR_ExistProductSubEntries=FALSE,Q1980=1),AND(I1980&lt;&gt;"",COUNTIF(Q2260:Q$2825,"PRINT")=0)),"PRINT","")</f>
        <v/>
      </c>
      <c r="R2259" s="770"/>
      <c r="S2259" s="770"/>
      <c r="T2259" s="770"/>
      <c r="U2259" s="770"/>
      <c r="V2259" s="770"/>
      <c r="W2259" s="770"/>
      <c r="X2259" s="770"/>
      <c r="Y2259" s="770"/>
      <c r="Z2259" s="694"/>
      <c r="AA2259" s="694"/>
      <c r="AB2259" s="694"/>
      <c r="AC2259" s="694"/>
      <c r="AD2259" s="694"/>
      <c r="AE2259" s="343"/>
      <c r="AF2259" s="343"/>
      <c r="AG2259" s="343"/>
      <c r="AH2259" s="343"/>
      <c r="AI2259" s="343"/>
      <c r="AJ2259" s="343"/>
      <c r="AK2259" s="343"/>
      <c r="AL2259" s="343"/>
    </row>
    <row r="2260" spans="1:38" ht="5.15" customHeight="1" thickBot="1" x14ac:dyDescent="0.3">
      <c r="A2260" s="694"/>
      <c r="B2260" s="298"/>
      <c r="C2260" s="1380"/>
      <c r="D2260" s="1380"/>
      <c r="E2260" s="1380"/>
      <c r="F2260" s="1380"/>
      <c r="G2260" s="1380"/>
      <c r="H2260" s="1380"/>
      <c r="I2260" s="1380"/>
      <c r="J2260" s="1380"/>
      <c r="K2260" s="1380"/>
      <c r="L2260" s="1380"/>
      <c r="M2260" s="1380"/>
      <c r="N2260" s="1380"/>
      <c r="O2260" s="302"/>
      <c r="P2260" s="302"/>
      <c r="Q2260" s="1381"/>
      <c r="R2260" s="1381"/>
      <c r="S2260" s="1381"/>
      <c r="T2260" s="1381"/>
      <c r="U2260" s="1381"/>
      <c r="V2260" s="1381"/>
      <c r="W2260" s="1381"/>
      <c r="X2260" s="1381"/>
      <c r="Y2260" s="1381"/>
      <c r="Z2260" s="1381"/>
      <c r="AA2260" s="1381"/>
      <c r="AB2260" s="1381"/>
      <c r="AC2260" s="1381"/>
      <c r="AD2260" s="1381"/>
      <c r="AE2260" s="1381"/>
      <c r="AF2260" s="1381"/>
      <c r="AG2260" s="1381"/>
      <c r="AH2260" s="1381"/>
      <c r="AI2260" s="1381"/>
      <c r="AJ2260" s="1381"/>
      <c r="AK2260" s="1381"/>
      <c r="AL2260" s="1381"/>
    </row>
    <row r="2261" spans="1:38" ht="14.5" thickBot="1" x14ac:dyDescent="0.3">
      <c r="A2261" s="694"/>
      <c r="B2261" s="298"/>
      <c r="C2261" s="1173">
        <f>C1980+1</f>
        <v>9</v>
      </c>
      <c r="D2261" s="2323" t="str">
        <f>EUconst_BMSubinst &amp; ":"</f>
        <v>Подинсталация с продуктов показател:</v>
      </c>
      <c r="E2261" s="2249"/>
      <c r="F2261" s="2249"/>
      <c r="G2261" s="2249"/>
      <c r="H2261" s="2295"/>
      <c r="I2261" s="2843" t="str">
        <f>IF(INDEX(CNTR_SubInstListIsProdBM,$C2261),INDEX(CNTR_SubInstListNames,$C2261),"")</f>
        <v/>
      </c>
      <c r="J2261" s="2844"/>
      <c r="K2261" s="2844"/>
      <c r="L2261" s="2844"/>
      <c r="M2261" s="2844"/>
      <c r="N2261" s="2865"/>
      <c r="O2261" s="302"/>
      <c r="P2261" s="302"/>
      <c r="Q2261" s="1026">
        <f>C2261</f>
        <v>9</v>
      </c>
      <c r="R2261" s="694"/>
      <c r="S2261" s="1174" t="str">
        <f>Translations!$B$898</f>
        <v>Дата на въвеждане в експлоатация:</v>
      </c>
      <c r="T2261" s="1175" t="str">
        <f>IF(I2261="","",MAX(INDEX(CNTR_SubInstStartDate,MATCH($I2261,CNTR_SubInstListNames,0)),DATE(2005,1,1)))</f>
        <v/>
      </c>
      <c r="U2261" s="729" t="s">
        <v>1731</v>
      </c>
      <c r="V2261" s="1176">
        <f>IF(ISNUMBER(T2261),YEAR($T2261-IF(YEAR(T2261)&gt;=2022,0,1))+1,2005)</f>
        <v>2005</v>
      </c>
      <c r="W2261" s="1174" t="s">
        <v>1734</v>
      </c>
      <c r="X2261" s="1175" t="str">
        <f>IF(I2261="","",INDEX(CNTR_SubInstCessationDate,MATCH($I2261,CNTR_SubInstListNames,0)))</f>
        <v/>
      </c>
      <c r="Y2261" s="1174" t="s">
        <v>1735</v>
      </c>
      <c r="Z2261" s="1176">
        <f>IF(SUM(X2261)=0,2050,YEAR($X2261))</f>
        <v>2050</v>
      </c>
      <c r="AA2261" s="1174" t="s">
        <v>2009</v>
      </c>
      <c r="AB2261" s="1176" t="b">
        <f>CNTR_ReportingYear&gt;V2261</f>
        <v>1</v>
      </c>
      <c r="AC2261" s="694"/>
      <c r="AD2261" s="694"/>
      <c r="AE2261" s="694"/>
      <c r="AF2261" s="694"/>
      <c r="AG2261" s="694"/>
      <c r="AH2261" s="694"/>
      <c r="AI2261" s="694"/>
      <c r="AJ2261" s="694"/>
      <c r="AK2261" s="694"/>
      <c r="AL2261" s="1177" t="b">
        <f>AND(CNTR_ExistSubInstEntries,I2261="")</f>
        <v>0</v>
      </c>
    </row>
    <row r="2262" spans="1:38" x14ac:dyDescent="0.25">
      <c r="A2262" s="694"/>
      <c r="B2262" s="298"/>
      <c r="C2262" s="298"/>
      <c r="D2262" s="302"/>
      <c r="E2262" s="2358" t="str">
        <f>Translations!$B$330</f>
        <v>Наименованието на подинсталацията с продуктов показател се показва автоматично въз основа на данните, въведени в лист „A_InstallationData“ („А_Данни за инсталацията“).</v>
      </c>
      <c r="F2262" s="2249"/>
      <c r="G2262" s="2249"/>
      <c r="H2262" s="2249"/>
      <c r="I2262" s="2249"/>
      <c r="J2262" s="2249"/>
      <c r="K2262" s="2249"/>
      <c r="L2262" s="2249"/>
      <c r="M2262" s="2249"/>
      <c r="N2262" s="2249"/>
      <c r="O2262" s="302"/>
      <c r="P2262" s="302"/>
      <c r="Q2262" s="729"/>
      <c r="R2262" s="694"/>
      <c r="S2262" s="729"/>
      <c r="T2262" s="729"/>
      <c r="U2262" s="694"/>
      <c r="V2262" s="694"/>
      <c r="W2262" s="694"/>
      <c r="X2262" s="694"/>
      <c r="Y2262" s="694"/>
      <c r="Z2262" s="694"/>
      <c r="AA2262" s="694"/>
      <c r="AB2262" s="694"/>
      <c r="AC2262" s="694"/>
      <c r="AD2262" s="694"/>
      <c r="AE2262" s="694"/>
      <c r="AF2262" s="694"/>
      <c r="AG2262" s="694"/>
      <c r="AH2262" s="694"/>
      <c r="AI2262" s="694"/>
      <c r="AJ2262" s="694"/>
      <c r="AK2262" s="694"/>
      <c r="AL2262" s="694"/>
    </row>
    <row r="2263" spans="1:38" ht="5.15" customHeight="1" x14ac:dyDescent="0.25">
      <c r="A2263" s="694"/>
      <c r="B2263" s="298"/>
      <c r="C2263" s="298"/>
      <c r="D2263" s="298"/>
      <c r="E2263" s="298"/>
      <c r="F2263" s="298"/>
      <c r="G2263" s="298"/>
      <c r="H2263" s="298"/>
      <c r="I2263" s="298"/>
      <c r="J2263" s="298"/>
      <c r="K2263" s="298"/>
      <c r="L2263" s="298"/>
      <c r="M2263" s="302"/>
      <c r="N2263" s="302"/>
      <c r="O2263" s="302"/>
      <c r="P2263" s="302"/>
      <c r="Q2263" s="729"/>
      <c r="R2263" s="694"/>
      <c r="S2263" s="729"/>
      <c r="T2263" s="729"/>
      <c r="U2263" s="694"/>
      <c r="V2263" s="694"/>
      <c r="W2263" s="694"/>
      <c r="X2263" s="694"/>
      <c r="Y2263" s="694"/>
      <c r="Z2263" s="694"/>
      <c r="AA2263" s="694"/>
      <c r="AB2263" s="694"/>
      <c r="AC2263" s="694"/>
      <c r="AD2263" s="694"/>
      <c r="AE2263" s="694"/>
      <c r="AF2263" s="694"/>
      <c r="AG2263" s="694"/>
      <c r="AH2263" s="694"/>
      <c r="AI2263" s="694"/>
      <c r="AJ2263" s="694"/>
      <c r="AK2263" s="694"/>
      <c r="AL2263" s="694"/>
    </row>
    <row r="2264" spans="1:38" ht="13" x14ac:dyDescent="0.25">
      <c r="A2264" s="694"/>
      <c r="B2264" s="298"/>
      <c r="C2264" s="298"/>
      <c r="D2264" s="300" t="s">
        <v>408</v>
      </c>
      <c r="E2264" s="2226" t="str">
        <f>Translations!$B$1315</f>
        <v>Равнища на дейност</v>
      </c>
      <c r="F2264" s="2249"/>
      <c r="G2264" s="2249"/>
      <c r="H2264" s="2249"/>
      <c r="I2264" s="2249"/>
      <c r="J2264" s="2249"/>
      <c r="K2264" s="2249"/>
      <c r="L2264" s="2249"/>
      <c r="M2264" s="2249"/>
      <c r="N2264" s="2249"/>
      <c r="O2264" s="302"/>
      <c r="P2264" s="302"/>
      <c r="Q2264" s="729"/>
      <c r="R2264" s="694"/>
      <c r="S2264" s="694"/>
      <c r="T2264" s="694"/>
      <c r="U2264" s="694"/>
      <c r="V2264" s="694"/>
      <c r="W2264" s="694"/>
      <c r="X2264" s="694"/>
      <c r="Y2264" s="694"/>
      <c r="Z2264" s="694"/>
      <c r="AA2264" s="694"/>
      <c r="AB2264" s="694"/>
      <c r="AC2264" s="694"/>
      <c r="AD2264" s="694"/>
      <c r="AE2264" s="694"/>
      <c r="AF2264" s="694"/>
      <c r="AG2264" s="694"/>
      <c r="AH2264" s="694"/>
      <c r="AI2264" s="694"/>
      <c r="AJ2264" s="694"/>
      <c r="AK2264" s="694"/>
      <c r="AL2264" s="694"/>
    </row>
    <row r="2265" spans="1:38" x14ac:dyDescent="0.25">
      <c r="A2265" s="694"/>
      <c r="B2265" s="298"/>
      <c r="C2265" s="298"/>
      <c r="D2265" s="302"/>
      <c r="E2265" s="2358" t="str">
        <f>Translations!$B$474</f>
        <v>По тази точка следва да се отчетат „основните равнища на дейност“, т.е. данните, които се прилагат пряко за изчисляване на разпределението.</v>
      </c>
      <c r="F2265" s="2249"/>
      <c r="G2265" s="2249"/>
      <c r="H2265" s="2249"/>
      <c r="I2265" s="2249"/>
      <c r="J2265" s="2249"/>
      <c r="K2265" s="2249"/>
      <c r="L2265" s="2249"/>
      <c r="M2265" s="2249"/>
      <c r="N2265" s="2249"/>
      <c r="O2265" s="302"/>
      <c r="P2265" s="302"/>
      <c r="Q2265" s="729"/>
      <c r="R2265" s="694"/>
      <c r="S2265" s="729"/>
      <c r="T2265" s="729"/>
      <c r="U2265" s="729"/>
      <c r="V2265" s="694"/>
      <c r="W2265" s="694"/>
      <c r="X2265" s="694"/>
      <c r="Y2265" s="694"/>
      <c r="Z2265" s="694"/>
      <c r="AA2265" s="694"/>
      <c r="AB2265" s="694"/>
      <c r="AC2265" s="694"/>
      <c r="AD2265" s="694"/>
      <c r="AE2265" s="694"/>
      <c r="AF2265" s="694"/>
      <c r="AG2265" s="694"/>
      <c r="AH2265" s="694"/>
      <c r="AI2265" s="694"/>
      <c r="AJ2265" s="694"/>
      <c r="AK2265" s="694"/>
      <c r="AL2265" s="694"/>
    </row>
    <row r="2266" spans="1:38" x14ac:dyDescent="0.25">
      <c r="A2266" s="694"/>
      <c r="B2266" s="298"/>
      <c r="C2266" s="298"/>
      <c r="D2266" s="302"/>
      <c r="E2266" s="2358" t="str">
        <f>Translations!$B$475</f>
        <v xml:space="preserve">Това обикновено са производствените данни за продукта, напр. тонове клинкер за сив цимент или тонове стъклени бутилки, както е определено в приложение I към ПБР. </v>
      </c>
      <c r="F2266" s="2249"/>
      <c r="G2266" s="2249"/>
      <c r="H2266" s="2249"/>
      <c r="I2266" s="2249"/>
      <c r="J2266" s="2249"/>
      <c r="K2266" s="2249"/>
      <c r="L2266" s="2249"/>
      <c r="M2266" s="2249"/>
      <c r="N2266" s="2249"/>
      <c r="O2266" s="302"/>
      <c r="P2266" s="302"/>
      <c r="Q2266" s="729"/>
      <c r="R2266" s="694"/>
      <c r="S2266" s="729"/>
      <c r="T2266" s="729"/>
      <c r="U2266" s="729"/>
      <c r="V2266" s="694"/>
      <c r="W2266" s="694"/>
      <c r="X2266" s="694"/>
      <c r="Y2266" s="694"/>
      <c r="Z2266" s="694"/>
      <c r="AA2266" s="694"/>
      <c r="AB2266" s="694"/>
      <c r="AC2266" s="694"/>
      <c r="AD2266" s="694"/>
      <c r="AE2266" s="694"/>
      <c r="AF2266" s="694"/>
      <c r="AG2266" s="694"/>
      <c r="AH2266" s="694"/>
      <c r="AI2266" s="694"/>
      <c r="AJ2266" s="694"/>
      <c r="AK2266" s="694"/>
      <c r="AL2266" s="694"/>
    </row>
    <row r="2267" spans="1:38" x14ac:dyDescent="0.25">
      <c r="A2267" s="694"/>
      <c r="B2267" s="298"/>
      <c r="C2267" s="298"/>
      <c r="D2267" s="302"/>
      <c r="E2267" s="2358" t="str">
        <f>Translations!$B$476</f>
        <v>Въпреки това, ако се покаже съобщение съгласно буква b), трябва да се използва съответният инструмент за изчисляване, а резултатите от него автоматично се копират в тази таблица в ii).</v>
      </c>
      <c r="F2267" s="2249"/>
      <c r="G2267" s="2249"/>
      <c r="H2267" s="2249"/>
      <c r="I2267" s="2249"/>
      <c r="J2267" s="2249"/>
      <c r="K2267" s="2249"/>
      <c r="L2267" s="2249"/>
      <c r="M2267" s="2249"/>
      <c r="N2267" s="2249"/>
      <c r="O2267" s="302"/>
      <c r="P2267" s="302"/>
      <c r="Q2267" s="729"/>
      <c r="R2267" s="694"/>
      <c r="S2267" s="729"/>
      <c r="T2267" s="694"/>
      <c r="U2267" s="694"/>
      <c r="V2267" s="694"/>
      <c r="W2267" s="694"/>
      <c r="X2267" s="694"/>
      <c r="Y2267" s="694"/>
      <c r="Z2267" s="729"/>
      <c r="AA2267" s="694"/>
      <c r="AB2267" s="694"/>
      <c r="AC2267" s="694"/>
      <c r="AD2267" s="694"/>
      <c r="AE2267" s="694"/>
      <c r="AF2267" s="694"/>
      <c r="AG2267" s="694"/>
      <c r="AH2267" s="694"/>
      <c r="AI2267" s="694"/>
      <c r="AJ2267" s="694"/>
      <c r="AK2267" s="694"/>
      <c r="AL2267" s="694"/>
    </row>
    <row r="2268" spans="1:38" ht="13.5" customHeight="1" thickBot="1" x14ac:dyDescent="0.3">
      <c r="A2268" s="694"/>
      <c r="B2268" s="698"/>
      <c r="C2268" s="698"/>
      <c r="D2268" s="300"/>
      <c r="E2268" s="2671" t="str">
        <f>Translations!$B$477</f>
        <v>Годишни равнища на дейност:</v>
      </c>
      <c r="F2268" s="2671"/>
      <c r="G2268" s="527" t="str">
        <f>EUconst_Unit</f>
        <v>Единица мярка</v>
      </c>
      <c r="H2268" s="391">
        <f>H$2831</f>
        <v>2024</v>
      </c>
      <c r="I2268" s="572">
        <f t="shared" ref="I2268:N2268" si="3233">I$2831</f>
        <v>2025</v>
      </c>
      <c r="J2268" s="757">
        <f>J$2831</f>
        <v>2026</v>
      </c>
      <c r="K2268" s="391">
        <f t="shared" si="3233"/>
        <v>2027</v>
      </c>
      <c r="L2268" s="391">
        <f t="shared" si="3233"/>
        <v>2028</v>
      </c>
      <c r="M2268" s="391">
        <f t="shared" si="3233"/>
        <v>2029</v>
      </c>
      <c r="N2268" s="387">
        <f t="shared" si="3233"/>
        <v>2030</v>
      </c>
      <c r="O2268" s="302"/>
      <c r="P2268" s="302"/>
      <c r="Q2268" s="729"/>
      <c r="R2268" s="694"/>
      <c r="S2268" s="694"/>
      <c r="T2268" s="1178">
        <f t="shared" ref="T2268" si="3234">H2268</f>
        <v>2024</v>
      </c>
      <c r="U2268" s="1178">
        <f t="shared" ref="U2268" si="3235">I2268</f>
        <v>2025</v>
      </c>
      <c r="V2268" s="1178">
        <f t="shared" ref="V2268" si="3236">J2268</f>
        <v>2026</v>
      </c>
      <c r="W2268" s="1178">
        <f t="shared" ref="W2268" si="3237">K2268</f>
        <v>2027</v>
      </c>
      <c r="X2268" s="1178">
        <f t="shared" ref="X2268" si="3238">L2268</f>
        <v>2028</v>
      </c>
      <c r="Y2268" s="1178">
        <f t="shared" ref="Y2268" si="3239">M2268</f>
        <v>2029</v>
      </c>
      <c r="Z2268" s="1178">
        <f t="shared" ref="Z2268" si="3240">N2268</f>
        <v>2030</v>
      </c>
      <c r="AA2268" s="694"/>
      <c r="AB2268" s="694"/>
      <c r="AC2268" s="1178">
        <f>H$20</f>
        <v>2024</v>
      </c>
      <c r="AD2268" s="1178">
        <f t="shared" ref="AD2268" si="3241">I$20</f>
        <v>2025</v>
      </c>
      <c r="AE2268" s="1178">
        <f t="shared" ref="AE2268" si="3242">J$20</f>
        <v>2026</v>
      </c>
      <c r="AF2268" s="1178">
        <f t="shared" ref="AF2268" si="3243">K$20</f>
        <v>2027</v>
      </c>
      <c r="AG2268" s="1178">
        <f t="shared" ref="AG2268" si="3244">L$20</f>
        <v>2028</v>
      </c>
      <c r="AH2268" s="1178">
        <f t="shared" ref="AH2268" si="3245">M$20</f>
        <v>2029</v>
      </c>
      <c r="AI2268" s="1178">
        <f t="shared" ref="AI2268" si="3246">N$20</f>
        <v>2030</v>
      </c>
      <c r="AJ2268" s="694"/>
      <c r="AK2268" s="694"/>
      <c r="AL2268" s="729"/>
    </row>
    <row r="2269" spans="1:38" ht="13" thickBot="1" x14ac:dyDescent="0.3">
      <c r="A2269" s="694"/>
      <c r="B2269" s="698"/>
      <c r="C2269" s="698"/>
      <c r="D2269" s="1084" t="s">
        <v>6</v>
      </c>
      <c r="E2269" s="2862" t="str">
        <f>I2261</f>
        <v/>
      </c>
      <c r="F2269" s="2862"/>
      <c r="G2269" s="1032" t="str">
        <f>IF(INDEX(CNTR_SubInstListIsProdBM,$C2261),INDEX(CNTR_SubInstListHALUnit,$C2261),EUconst_Tons)</f>
        <v>тона</v>
      </c>
      <c r="H2269" s="98"/>
      <c r="I2269" s="101"/>
      <c r="J2269" s="102"/>
      <c r="K2269" s="98"/>
      <c r="L2269" s="98"/>
      <c r="M2269" s="98"/>
      <c r="N2269" s="120"/>
      <c r="O2269" s="302"/>
      <c r="P2269" s="158"/>
      <c r="Q2269" s="694"/>
      <c r="R2269" s="694"/>
      <c r="S2269" s="729" t="s">
        <v>1732</v>
      </c>
      <c r="T2269" s="1179" t="b">
        <f t="shared" ref="T2269" si="3247">AND($I2261&lt;&gt;"",H2268&lt;CNTR_ReportingYear,H2268&gt;=$V2261-1)</f>
        <v>0</v>
      </c>
      <c r="U2269" s="1180" t="b">
        <f t="shared" ref="U2269" si="3248">AND($I2261&lt;&gt;"",I2268&lt;CNTR_ReportingYear,I2268&gt;=$V2261-1)</f>
        <v>0</v>
      </c>
      <c r="V2269" s="1180" t="b">
        <f t="shared" ref="V2269" si="3249">AND($I2261&lt;&gt;"",J2268&lt;CNTR_ReportingYear,J2268&gt;=$V2261-1)</f>
        <v>0</v>
      </c>
      <c r="W2269" s="1180" t="b">
        <f t="shared" ref="W2269" si="3250">AND($I2261&lt;&gt;"",K2268&lt;CNTR_ReportingYear,K2268&gt;=$V2261-1)</f>
        <v>0</v>
      </c>
      <c r="X2269" s="1180" t="b">
        <f t="shared" ref="X2269" si="3251">AND($I2261&lt;&gt;"",L2268&lt;CNTR_ReportingYear,L2268&gt;=$V2261-1)</f>
        <v>0</v>
      </c>
      <c r="Y2269" s="1180" t="b">
        <f t="shared" ref="Y2269" si="3252">AND($I2261&lt;&gt;"",M2268&lt;CNTR_ReportingYear,M2268&gt;=$V2261-1)</f>
        <v>0</v>
      </c>
      <c r="Z2269" s="1181" t="b">
        <f t="shared" ref="Z2269" si="3253">AND($I2261&lt;&gt;"",N2268&lt;CNTR_ReportingYear,N2268&gt;=$V2261-1)</f>
        <v>0</v>
      </c>
      <c r="AA2269" s="729"/>
      <c r="AB2269" s="1182" t="s">
        <v>737</v>
      </c>
      <c r="AC2269" s="1183" t="b">
        <f t="shared" ref="AC2269" si="3254">IF(CNTR_ExistSubInstEntries,OR($I2261="",$R2273,H2268&gt;=CNTR_ReportingYear,AC2268&lt;$V2261-1),FALSE)</f>
        <v>0</v>
      </c>
      <c r="AD2269" s="1184" t="b">
        <f t="shared" ref="AD2269" si="3255">IF(CNTR_ExistSubInstEntries,OR($I2261="",$R2273,I2268&gt;=CNTR_ReportingYear,AD2268&lt;$V2261-1),FALSE)</f>
        <v>0</v>
      </c>
      <c r="AE2269" s="1184" t="b">
        <f t="shared" ref="AE2269" si="3256">IF(CNTR_ExistSubInstEntries,OR($I2261="",$R2273,J2268&gt;=CNTR_ReportingYear,AE2268&lt;$V2261-1),FALSE)</f>
        <v>0</v>
      </c>
      <c r="AF2269" s="1184" t="b">
        <f t="shared" ref="AF2269" si="3257">IF(CNTR_ExistSubInstEntries,OR($I2261="",$R2273,K2268&gt;=CNTR_ReportingYear,AF2268&lt;$V2261-1),FALSE)</f>
        <v>0</v>
      </c>
      <c r="AG2269" s="1184" t="b">
        <f t="shared" ref="AG2269" si="3258">IF(CNTR_ExistSubInstEntries,OR($I2261="",$R2273,L2268&gt;=CNTR_ReportingYear,AG2268&lt;$V2261-1),FALSE)</f>
        <v>0</v>
      </c>
      <c r="AH2269" s="1184" t="b">
        <f t="shared" ref="AH2269" si="3259">IF(CNTR_ExistSubInstEntries,OR($I2261="",$R2273,M2268&gt;=CNTR_ReportingYear,AH2268&lt;$V2261-1),FALSE)</f>
        <v>0</v>
      </c>
      <c r="AI2269" s="1185" t="b">
        <f t="shared" ref="AI2269" si="3260">IF(CNTR_ExistSubInstEntries,OR($I2261="",$R2273,N2268&gt;=CNTR_ReportingYear,AI2268&lt;$V2261-1),FALSE)</f>
        <v>0</v>
      </c>
      <c r="AJ2269" s="1174" t="s">
        <v>2039</v>
      </c>
      <c r="AK2269" s="1176" t="str">
        <f>IF(AND(CNTR_ExistSubInstEntries,COUNTIFS(AC2269:AI2269,FALSE,H2269:N2269,"")&gt;0),EUconst_Error&amp;"BM"&amp;$Q2261,"")</f>
        <v/>
      </c>
      <c r="AL2269" s="694"/>
    </row>
    <row r="2270" spans="1:38" ht="13" customHeight="1" thickBot="1" x14ac:dyDescent="0.3">
      <c r="A2270" s="694"/>
      <c r="B2270" s="698"/>
      <c r="C2270" s="698"/>
      <c r="D2270" s="1084" t="s">
        <v>7</v>
      </c>
      <c r="E2270" s="2862" t="str">
        <f>Translations!$B$478</f>
        <v>От работен лист „H_SpecialBM“ („H_Специфичен показател“):</v>
      </c>
      <c r="F2270" s="2862"/>
      <c r="G2270" s="1032" t="str">
        <f>G2269</f>
        <v>тона</v>
      </c>
      <c r="H2270" s="1186" t="str">
        <f>IF(OR($I2261="",H2268&gt;=CNTR_ReportingYear),"",IF($R2273,SUMIF(H_SpecialBM!$Q$9:$Q$483,$Q2270,H_SpecialBM!H$9:H$483),""))</f>
        <v/>
      </c>
      <c r="I2270" s="1187" t="str">
        <f>IF(OR($I2261="",I2268&gt;=CNTR_ReportingYear),"",IF($R2273,SUMIF(H_SpecialBM!$Q$9:$Q$483,$Q2270,H_SpecialBM!I$9:I$483),""))</f>
        <v/>
      </c>
      <c r="J2270" s="1188" t="str">
        <f>IF(OR($I2261="",J2268&gt;=CNTR_ReportingYear),"",IF($R2273,SUMIF(H_SpecialBM!$Q$9:$Q$483,$Q2270,H_SpecialBM!J$9:J$483),""))</f>
        <v/>
      </c>
      <c r="K2270" s="1186" t="str">
        <f>IF(OR($I2261="",K2268&gt;=CNTR_ReportingYear),"",IF($R2273,SUMIF(H_SpecialBM!$Q$9:$Q$483,$Q2270,H_SpecialBM!K$9:K$483),""))</f>
        <v/>
      </c>
      <c r="L2270" s="1186" t="str">
        <f>IF(OR($I2261="",L2268&gt;=CNTR_ReportingYear),"",IF($R2273,SUMIF(H_SpecialBM!$Q$9:$Q$483,$Q2270,H_SpecialBM!L$9:L$483),""))</f>
        <v/>
      </c>
      <c r="M2270" s="1186" t="str">
        <f>IF(OR($I2261="",M2268&gt;=CNTR_ReportingYear),"",IF($R2273,SUMIF(H_SpecialBM!$Q$9:$Q$483,$Q2270,H_SpecialBM!M$9:M$483),""))</f>
        <v/>
      </c>
      <c r="N2270" s="1189" t="str">
        <f>IF(OR($I2261="",N2268&gt;=CNTR_ReportingYear),"",IF($R2273,SUMIF(H_SpecialBM!$Q$9:$Q$483,$Q2270,H_SpecialBM!N$9:N$483),""))</f>
        <v/>
      </c>
      <c r="O2270" s="302"/>
      <c r="P2270" s="302"/>
      <c r="Q2270" s="1190" t="str">
        <f>EUconst_CNTR_HALspecial&amp;I2261</f>
        <v>HALspecial_</v>
      </c>
      <c r="R2270" s="694"/>
      <c r="S2270" s="694"/>
      <c r="T2270" s="694"/>
      <c r="U2270" s="694"/>
      <c r="V2270" s="694"/>
      <c r="W2270" s="694"/>
      <c r="X2270" s="694"/>
      <c r="Y2270" s="694"/>
      <c r="Z2270" s="694"/>
      <c r="AA2270" s="694"/>
      <c r="AB2270" s="1182" t="s">
        <v>737</v>
      </c>
      <c r="AC2270" s="1183" t="b">
        <f t="shared" ref="AC2270" si="3261">AND(CNTR_HasEntries_A_I,OR($R2273=FALSE,H2268&gt;=CNTR_ReportingYear))</f>
        <v>0</v>
      </c>
      <c r="AD2270" s="1184" t="b">
        <f t="shared" ref="AD2270" si="3262">AND(CNTR_HasEntries_A_I,OR($R2273=FALSE,I2268&gt;=CNTR_ReportingYear))</f>
        <v>0</v>
      </c>
      <c r="AE2270" s="1184" t="b">
        <f t="shared" ref="AE2270" si="3263">AND(CNTR_HasEntries_A_I,OR($R2273=FALSE,J2268&gt;=CNTR_ReportingYear))</f>
        <v>0</v>
      </c>
      <c r="AF2270" s="1184" t="b">
        <f t="shared" ref="AF2270" si="3264">AND(CNTR_HasEntries_A_I,OR($R2273=FALSE,K2268&gt;=CNTR_ReportingYear))</f>
        <v>0</v>
      </c>
      <c r="AG2270" s="1184" t="b">
        <f t="shared" ref="AG2270" si="3265">AND(CNTR_HasEntries_A_I,OR($R2273=FALSE,L2268&gt;=CNTR_ReportingYear))</f>
        <v>0</v>
      </c>
      <c r="AH2270" s="1184" t="b">
        <f t="shared" ref="AH2270" si="3266">AND(CNTR_HasEntries_A_I,OR($R2273=FALSE,M2268&gt;=CNTR_ReportingYear))</f>
        <v>0</v>
      </c>
      <c r="AI2270" s="1185" t="b">
        <f t="shared" ref="AI2270" si="3267">AND(CNTR_HasEntries_A_I,OR($R2273=FALSE,N2268&gt;=CNTR_ReportingYear))</f>
        <v>0</v>
      </c>
      <c r="AJ2270" s="1165"/>
      <c r="AK2270" s="1165"/>
      <c r="AL2270" s="729"/>
    </row>
    <row r="2271" spans="1:38" ht="13" customHeight="1" x14ac:dyDescent="0.25">
      <c r="A2271" s="694"/>
      <c r="B2271" s="698"/>
      <c r="C2271" s="698"/>
      <c r="D2271" s="1084" t="s">
        <v>8</v>
      </c>
      <c r="E2271" s="2862" t="str">
        <f>Translations!$B$479</f>
        <v>Стойности, използвани за изчислението:</v>
      </c>
      <c r="F2271" s="2862"/>
      <c r="G2271" s="1032" t="str">
        <f>G2270</f>
        <v>тона</v>
      </c>
      <c r="H2271" s="1186" t="str">
        <f t="shared" ref="H2271:N2271" si="3268">IF(OR($I2261="",H2268&gt;=CNTR_ReportingYear),"",IF($R2273=TRUE,IF(ISNUMBER(H2270),H2270,0),IF(AND(H2268&gt;=$V2261-1,ISNUMBER(H2269)),H2269,0)))</f>
        <v/>
      </c>
      <c r="I2271" s="1187" t="str">
        <f t="shared" si="3268"/>
        <v/>
      </c>
      <c r="J2271" s="1188" t="str">
        <f t="shared" si="3268"/>
        <v/>
      </c>
      <c r="K2271" s="1186" t="str">
        <f t="shared" si="3268"/>
        <v/>
      </c>
      <c r="L2271" s="1186" t="str">
        <f t="shared" si="3268"/>
        <v/>
      </c>
      <c r="M2271" s="1186" t="str">
        <f t="shared" si="3268"/>
        <v/>
      </c>
      <c r="N2271" s="1189" t="str">
        <f t="shared" si="3268"/>
        <v/>
      </c>
      <c r="O2271" s="302"/>
      <c r="P2271" s="710"/>
      <c r="Q2271" s="1190" t="str">
        <f>EUconst_CNTR_HAL&amp;I2261</f>
        <v>HAL_</v>
      </c>
      <c r="R2271" s="694"/>
      <c r="S2271" s="694"/>
      <c r="T2271" s="694"/>
      <c r="U2271" s="694"/>
      <c r="V2271" s="694"/>
      <c r="W2271" s="694"/>
      <c r="X2271" s="694"/>
      <c r="Y2271" s="694"/>
      <c r="Z2271" s="694"/>
      <c r="AA2271" s="694"/>
      <c r="AB2271" s="694"/>
      <c r="AC2271" s="694"/>
      <c r="AD2271" s="694"/>
      <c r="AE2271" s="694"/>
      <c r="AF2271" s="694"/>
      <c r="AG2271" s="694"/>
      <c r="AH2271" s="694"/>
      <c r="AI2271" s="694"/>
      <c r="AJ2271" s="1174" t="s">
        <v>2033</v>
      </c>
      <c r="AK2271" s="982" t="str">
        <f>IF(COUNTIFS(H2268:N2268,"&lt;"&amp;YEAR(SUM(T2261)),H2271:N2271,"&gt;"&amp;0)&gt;0,EUconst_Error&amp;"BM"&amp;Q2261,"")</f>
        <v/>
      </c>
      <c r="AL2271" s="729"/>
    </row>
    <row r="2272" spans="1:38" ht="5.15" customHeight="1" x14ac:dyDescent="0.25">
      <c r="A2272" s="694"/>
      <c r="B2272" s="298"/>
      <c r="C2272" s="298"/>
      <c r="D2272" s="298"/>
      <c r="E2272" s="298"/>
      <c r="F2272" s="298"/>
      <c r="G2272" s="298"/>
      <c r="H2272" s="298"/>
      <c r="I2272" s="298"/>
      <c r="J2272" s="298"/>
      <c r="K2272" s="298"/>
      <c r="L2272" s="298"/>
      <c r="M2272" s="302"/>
      <c r="N2272" s="302"/>
      <c r="O2272" s="302"/>
      <c r="P2272" s="302"/>
      <c r="Q2272" s="729"/>
      <c r="R2272" s="694"/>
      <c r="S2272" s="729"/>
      <c r="T2272" s="729"/>
      <c r="U2272" s="694"/>
      <c r="V2272" s="694"/>
      <c r="W2272" s="694"/>
      <c r="X2272" s="694"/>
      <c r="Y2272" s="694"/>
      <c r="Z2272" s="694"/>
      <c r="AA2272" s="694"/>
      <c r="AB2272" s="694"/>
      <c r="AC2272" s="694"/>
      <c r="AD2272" s="694"/>
      <c r="AE2272" s="694"/>
      <c r="AF2272" s="694"/>
      <c r="AG2272" s="694"/>
      <c r="AH2272" s="694"/>
      <c r="AI2272" s="694"/>
      <c r="AJ2272" s="694"/>
      <c r="AK2272" s="694"/>
      <c r="AL2272" s="694"/>
    </row>
    <row r="2273" spans="1:38" ht="13" x14ac:dyDescent="0.25">
      <c r="A2273" s="694"/>
      <c r="B2273" s="298"/>
      <c r="C2273" s="298"/>
      <c r="D2273" s="360" t="s">
        <v>18</v>
      </c>
      <c r="E2273" s="2226" t="str">
        <f>Translations!$B$480</f>
        <v>Специални изисквания за докладване:</v>
      </c>
      <c r="F2273" s="2226"/>
      <c r="G2273" s="2317"/>
      <c r="H2273" s="2858" t="str">
        <f>IF(I2261="","",HYPERLINK(INDEX(EUconst_BMlistSpecialJumpTable,MATCH(I2261,EUconst_BMlistNames,0)),INDEX(EUconst_BMlistSpecialReporting,MATCH(I2261,EUconst_BMlistNames,0))))</f>
        <v/>
      </c>
      <c r="I2273" s="2863"/>
      <c r="J2273" s="2863"/>
      <c r="K2273" s="2863"/>
      <c r="L2273" s="2863"/>
      <c r="M2273" s="2863"/>
      <c r="N2273" s="2864"/>
      <c r="O2273" s="302"/>
      <c r="P2273" s="302"/>
      <c r="Q2273" s="1174" t="s">
        <v>119</v>
      </c>
      <c r="R2273" s="982" t="str">
        <f>IF(I2261="","",IF(AND(INDEX(EUconst_BMlistSpecialJumpTable,MATCH(I2261,EUconst_BMlistNames,0))&lt;&gt;"",INDEX(EUconst_BMlistMainNumberOfBM,MATCH(I2261,EUconst_BMlistNames,0))&lt;&gt;47),TRUE,FALSE))</f>
        <v/>
      </c>
      <c r="S2273" s="729"/>
      <c r="T2273" s="729"/>
      <c r="U2273" s="694"/>
      <c r="V2273" s="694"/>
      <c r="W2273" s="694"/>
      <c r="X2273" s="694"/>
      <c r="Y2273" s="694"/>
      <c r="Z2273" s="694"/>
      <c r="AA2273" s="694"/>
      <c r="AB2273" s="694"/>
      <c r="AC2273" s="694"/>
      <c r="AD2273" s="694"/>
      <c r="AE2273" s="694"/>
      <c r="AF2273" s="694"/>
      <c r="AG2273" s="694"/>
      <c r="AH2273" s="694"/>
      <c r="AI2273" s="694"/>
      <c r="AJ2273" s="694"/>
      <c r="AK2273" s="694"/>
      <c r="AL2273" s="694"/>
    </row>
    <row r="2274" spans="1:38" x14ac:dyDescent="0.25">
      <c r="A2274" s="694"/>
      <c r="B2274" s="298"/>
      <c r="C2274" s="298"/>
      <c r="D2274" s="302"/>
      <c r="E2274" s="2358" t="str">
        <f>Translations!$B$481</f>
        <v>При някои продуктови показатели се изисква да се отчита специфична информация (напр. стойности на приведени по CO2 тонове (CWT)). Ако е приложимо, тук ще се покаже автоматично съобщение.</v>
      </c>
      <c r="F2274" s="2249"/>
      <c r="G2274" s="2249"/>
      <c r="H2274" s="2249"/>
      <c r="I2274" s="2249"/>
      <c r="J2274" s="2249"/>
      <c r="K2274" s="2249"/>
      <c r="L2274" s="2249"/>
      <c r="M2274" s="2249"/>
      <c r="N2274" s="2249"/>
      <c r="O2274" s="302"/>
      <c r="P2274" s="302"/>
      <c r="Q2274" s="729"/>
      <c r="R2274" s="694"/>
      <c r="S2274" s="729"/>
      <c r="T2274" s="729"/>
      <c r="U2274" s="694"/>
      <c r="V2274" s="694"/>
      <c r="W2274" s="694"/>
      <c r="X2274" s="694"/>
      <c r="Y2274" s="694"/>
      <c r="Z2274" s="694"/>
      <c r="AA2274" s="694"/>
      <c r="AB2274" s="694"/>
      <c r="AC2274" s="694"/>
      <c r="AD2274" s="694"/>
      <c r="AE2274" s="694"/>
      <c r="AF2274" s="694"/>
      <c r="AG2274" s="694"/>
      <c r="AH2274" s="694"/>
      <c r="AI2274" s="694"/>
      <c r="AJ2274" s="694"/>
      <c r="AK2274" s="694"/>
      <c r="AL2274" s="694"/>
    </row>
    <row r="2275" spans="1:38" ht="5.15" customHeight="1" x14ac:dyDescent="0.25">
      <c r="A2275" s="694"/>
      <c r="B2275" s="298"/>
      <c r="C2275" s="298"/>
      <c r="D2275" s="302"/>
      <c r="E2275" s="302"/>
      <c r="F2275" s="302"/>
      <c r="G2275" s="302"/>
      <c r="H2275" s="302"/>
      <c r="I2275" s="302"/>
      <c r="J2275" s="302"/>
      <c r="K2275" s="302"/>
      <c r="L2275" s="302"/>
      <c r="M2275" s="302"/>
      <c r="N2275" s="302"/>
      <c r="O2275" s="302"/>
      <c r="P2275" s="302"/>
      <c r="Q2275" s="729"/>
      <c r="R2275" s="694"/>
      <c r="S2275" s="729"/>
      <c r="T2275" s="729"/>
      <c r="U2275" s="694"/>
      <c r="V2275" s="694"/>
      <c r="W2275" s="694"/>
      <c r="X2275" s="694"/>
      <c r="Y2275" s="694"/>
      <c r="Z2275" s="729"/>
      <c r="AA2275" s="694"/>
      <c r="AB2275" s="694"/>
      <c r="AC2275" s="694"/>
      <c r="AD2275" s="694"/>
      <c r="AE2275" s="694"/>
      <c r="AF2275" s="694"/>
      <c r="AG2275" s="694"/>
      <c r="AH2275" s="694"/>
      <c r="AI2275" s="694"/>
      <c r="AJ2275" s="694"/>
      <c r="AK2275" s="694"/>
      <c r="AL2275" s="729"/>
    </row>
    <row r="2276" spans="1:38" ht="12.75" customHeight="1" x14ac:dyDescent="0.25">
      <c r="A2276" s="694"/>
      <c r="B2276" s="298"/>
      <c r="C2276" s="298"/>
      <c r="D2276" s="300" t="s">
        <v>901</v>
      </c>
      <c r="E2276" s="2226" t="str">
        <f>Translations!$B$1316</f>
        <v>Определяне на корекции на равнището на дейност</v>
      </c>
      <c r="F2276" s="2249"/>
      <c r="G2276" s="2249"/>
      <c r="H2276" s="2249"/>
      <c r="I2276" s="2249"/>
      <c r="J2276" s="2249"/>
      <c r="K2276" s="2249"/>
      <c r="L2276" s="2249"/>
      <c r="M2276" s="2249"/>
      <c r="N2276" s="2249"/>
      <c r="O2276" s="302"/>
      <c r="P2276" s="302"/>
      <c r="Q2276" s="729"/>
      <c r="R2276" s="694"/>
      <c r="S2276" s="729"/>
      <c r="T2276" s="729"/>
      <c r="U2276" s="694"/>
      <c r="V2276" s="694"/>
      <c r="W2276" s="694"/>
      <c r="X2276" s="694"/>
      <c r="Y2276" s="694"/>
      <c r="Z2276" s="729"/>
      <c r="AA2276" s="694"/>
      <c r="AB2276" s="694"/>
      <c r="AC2276" s="694"/>
      <c r="AD2276" s="694"/>
      <c r="AE2276" s="694"/>
      <c r="AF2276" s="694"/>
      <c r="AG2276" s="694"/>
      <c r="AH2276" s="694"/>
      <c r="AI2276" s="694"/>
      <c r="AJ2276" s="694"/>
      <c r="AK2276" s="694"/>
      <c r="AL2276" s="729"/>
    </row>
    <row r="2277" spans="1:38" ht="12.75" customHeight="1" x14ac:dyDescent="0.25">
      <c r="A2277" s="694"/>
      <c r="B2277" s="298"/>
      <c r="C2277" s="298"/>
      <c r="D2277" s="302"/>
      <c r="E2277" s="2358" t="str">
        <f>Translations!$B$1317</f>
        <v>Историческото равнище на дейността (HAL) ще бъде определено автоматично за данните по буква а) по-горе и данните в лист „B+C_SubInstallations“ („B+C_Подинсталации“). За нови подинсталации HAL ще бъде показано в v. на базата на първата пълна година на експлоатация.</v>
      </c>
      <c r="F2277" s="2249"/>
      <c r="G2277" s="2249"/>
      <c r="H2277" s="2249"/>
      <c r="I2277" s="2249"/>
      <c r="J2277" s="2249"/>
      <c r="K2277" s="2249"/>
      <c r="L2277" s="2249"/>
      <c r="M2277" s="2249"/>
      <c r="N2277" s="2249"/>
      <c r="O2277" s="302"/>
      <c r="P2277" s="302"/>
      <c r="Q2277" s="729"/>
      <c r="R2277" s="694"/>
      <c r="S2277" s="729"/>
      <c r="T2277" s="729"/>
      <c r="U2277" s="729"/>
      <c r="V2277" s="694"/>
      <c r="W2277" s="694"/>
      <c r="X2277" s="694"/>
      <c r="Y2277" s="694"/>
      <c r="Z2277" s="694"/>
      <c r="AA2277" s="694"/>
      <c r="AB2277" s="694"/>
      <c r="AC2277" s="694"/>
      <c r="AD2277" s="694"/>
      <c r="AE2277" s="694"/>
      <c r="AF2277" s="694"/>
      <c r="AG2277" s="694"/>
      <c r="AH2277" s="694"/>
      <c r="AI2277" s="694"/>
      <c r="AJ2277" s="694"/>
      <c r="AK2277" s="694"/>
      <c r="AL2277" s="694"/>
    </row>
    <row r="2278" spans="1:38" ht="25.5" customHeight="1" x14ac:dyDescent="0.25">
      <c r="A2278" s="694"/>
      <c r="B2278" s="298"/>
      <c r="C2278" s="298"/>
      <c r="D2278" s="302"/>
      <c r="E2278" s="2358" t="str">
        <f>Translations!$B$1318</f>
        <v>На базата на стойностите на HAL и данните, въведени в буква а) по-горе, тук се определят средните равнища на дейност. Разпределението ще бъде променено само ако са надвишени всички долуизброени прагове по член 5 от Регламента за ALC:</v>
      </c>
      <c r="F2278" s="2249"/>
      <c r="G2278" s="2249"/>
      <c r="H2278" s="2249"/>
      <c r="I2278" s="2249"/>
      <c r="J2278" s="2249"/>
      <c r="K2278" s="2249"/>
      <c r="L2278" s="2249"/>
      <c r="M2278" s="2249"/>
      <c r="N2278" s="2249"/>
      <c r="O2278" s="302"/>
      <c r="P2278" s="302"/>
      <c r="Q2278" s="729"/>
      <c r="R2278" s="694"/>
      <c r="S2278" s="729"/>
      <c r="T2278" s="729"/>
      <c r="U2278" s="729"/>
      <c r="V2278" s="694"/>
      <c r="W2278" s="694"/>
      <c r="X2278" s="694"/>
      <c r="Y2278" s="694"/>
      <c r="Z2278" s="694"/>
      <c r="AA2278" s="694"/>
      <c r="AB2278" s="694"/>
      <c r="AC2278" s="694"/>
      <c r="AD2278" s="694"/>
      <c r="AE2278" s="694"/>
      <c r="AF2278" s="694"/>
      <c r="AG2278" s="694"/>
      <c r="AH2278" s="694"/>
      <c r="AI2278" s="694"/>
      <c r="AJ2278" s="694"/>
      <c r="AK2278" s="694"/>
      <c r="AL2278" s="694"/>
    </row>
    <row r="2279" spans="1:38" ht="12.75" customHeight="1" x14ac:dyDescent="0.25">
      <c r="A2279" s="694"/>
      <c r="B2279" s="298"/>
      <c r="C2279" s="298"/>
      <c r="D2279" s="302"/>
      <c r="E2279" s="1191" t="s">
        <v>1052</v>
      </c>
      <c r="F2279" s="2358" t="str">
        <f>Translations!$B$1319</f>
        <v>относителните прагове (15 % и 5 % за последващи промени) за средното равнище на дейност в сравнение с HAL</v>
      </c>
      <c r="G2279" s="2861"/>
      <c r="H2279" s="2861"/>
      <c r="I2279" s="2861"/>
      <c r="J2279" s="2861"/>
      <c r="K2279" s="2861"/>
      <c r="L2279" s="2861"/>
      <c r="M2279" s="2861"/>
      <c r="N2279" s="2861"/>
      <c r="O2279" s="302"/>
      <c r="P2279" s="302"/>
      <c r="Q2279" s="729"/>
      <c r="R2279" s="694"/>
      <c r="S2279" s="729"/>
      <c r="T2279" s="729"/>
      <c r="U2279" s="729"/>
      <c r="V2279" s="694"/>
      <c r="W2279" s="694"/>
      <c r="X2279" s="694"/>
      <c r="Y2279" s="694"/>
      <c r="Z2279" s="694"/>
      <c r="AA2279" s="694"/>
      <c r="AB2279" s="694"/>
      <c r="AC2279" s="694"/>
      <c r="AD2279" s="694"/>
      <c r="AE2279" s="694"/>
      <c r="AF2279" s="694"/>
      <c r="AG2279" s="694"/>
      <c r="AH2279" s="694"/>
      <c r="AI2279" s="694"/>
      <c r="AJ2279" s="694"/>
      <c r="AK2279" s="694"/>
      <c r="AL2279" s="694"/>
    </row>
    <row r="2280" spans="1:38" ht="12.75" customHeight="1" thickBot="1" x14ac:dyDescent="0.3">
      <c r="A2280" s="694"/>
      <c r="B2280" s="298"/>
      <c r="C2280" s="298"/>
      <c r="D2280" s="302"/>
      <c r="E2280" s="1191" t="s">
        <v>1052</v>
      </c>
      <c r="F2280" s="2358" t="str">
        <f>Translations!$B$1514</f>
        <v>абсолютния праг, т.е. промяната би довела до разлика в предварителното разпределение от най-малко 300 квоти</v>
      </c>
      <c r="G2280" s="2861"/>
      <c r="H2280" s="2861"/>
      <c r="I2280" s="2861"/>
      <c r="J2280" s="2861"/>
      <c r="K2280" s="2861"/>
      <c r="L2280" s="2861"/>
      <c r="M2280" s="2861"/>
      <c r="N2280" s="2861"/>
      <c r="O2280" s="302"/>
      <c r="P2280" s="302"/>
      <c r="Q2280" s="729"/>
      <c r="R2280" s="694"/>
      <c r="S2280" s="729"/>
      <c r="T2280" s="729"/>
      <c r="U2280" s="729"/>
      <c r="V2280" s="694"/>
      <c r="W2280" s="694"/>
      <c r="X2280" s="694"/>
      <c r="Y2280" s="694"/>
      <c r="Z2280" s="694"/>
      <c r="AA2280" s="694"/>
      <c r="AB2280" s="694"/>
      <c r="AC2280" s="694"/>
      <c r="AD2280" s="694"/>
      <c r="AE2280" s="694"/>
      <c r="AF2280" s="694"/>
      <c r="AG2280" s="694"/>
      <c r="AH2280" s="694"/>
      <c r="AI2280" s="694"/>
      <c r="AJ2280" s="694"/>
      <c r="AK2280" s="694"/>
      <c r="AL2280" s="694"/>
    </row>
    <row r="2281" spans="1:38" ht="5.15" customHeight="1" thickBot="1" x14ac:dyDescent="0.3">
      <c r="A2281" s="694"/>
      <c r="B2281" s="298"/>
      <c r="C2281" s="298"/>
      <c r="D2281" s="1192"/>
      <c r="E2281" s="1193"/>
      <c r="F2281" s="1194"/>
      <c r="G2281" s="1195"/>
      <c r="H2281" s="1195"/>
      <c r="I2281" s="1195"/>
      <c r="J2281" s="1195"/>
      <c r="K2281" s="1195"/>
      <c r="L2281" s="1195"/>
      <c r="M2281" s="1195"/>
      <c r="N2281" s="1196"/>
      <c r="O2281" s="302"/>
      <c r="P2281" s="302"/>
      <c r="Q2281" s="729"/>
      <c r="R2281" s="694"/>
      <c r="S2281" s="729"/>
      <c r="T2281" s="729"/>
      <c r="U2281" s="729"/>
      <c r="V2281" s="694"/>
      <c r="W2281" s="694"/>
      <c r="X2281" s="694"/>
      <c r="Y2281" s="694"/>
      <c r="Z2281" s="694"/>
      <c r="AA2281" s="694"/>
      <c r="AB2281" s="694"/>
      <c r="AC2281" s="694"/>
      <c r="AD2281" s="694"/>
      <c r="AE2281" s="694"/>
      <c r="AF2281" s="694"/>
      <c r="AG2281" s="694"/>
      <c r="AH2281" s="694"/>
      <c r="AI2281" s="694"/>
      <c r="AJ2281" s="694"/>
      <c r="AK2281" s="694"/>
      <c r="AL2281" s="694"/>
    </row>
    <row r="2282" spans="1:38" ht="12.75" customHeight="1" x14ac:dyDescent="0.25">
      <c r="A2282" s="694"/>
      <c r="B2282" s="298"/>
      <c r="C2282" s="298"/>
      <c r="D2282" s="1197"/>
      <c r="E2282" s="1198" t="str">
        <f>Translations!$B$1196</f>
        <v>Корекции</v>
      </c>
      <c r="F2282" s="1199"/>
      <c r="G2282" s="1199"/>
      <c r="H2282" s="1200" t="str">
        <f>EUconst_Unit</f>
        <v>Единица мярка</v>
      </c>
      <c r="I2282" s="1201" t="str">
        <f>Translations!$B$1320</f>
        <v>(НМИ) HAL</v>
      </c>
      <c r="J2282" s="1202">
        <f>J$2831</f>
        <v>2026</v>
      </c>
      <c r="K2282" s="1203">
        <f>K$2831</f>
        <v>2027</v>
      </c>
      <c r="L2282" s="1203">
        <f>L$2831</f>
        <v>2028</v>
      </c>
      <c r="M2282" s="1203">
        <f>M$2831</f>
        <v>2029</v>
      </c>
      <c r="N2282" s="1204">
        <f>N$2831</f>
        <v>2030</v>
      </c>
      <c r="O2282" s="302"/>
      <c r="P2282" s="302"/>
      <c r="Q2282" s="729"/>
      <c r="R2282" s="694"/>
      <c r="S2282" s="694"/>
      <c r="T2282" s="694"/>
      <c r="U2282" s="1205"/>
      <c r="V2282" s="1206">
        <f>J2282</f>
        <v>2026</v>
      </c>
      <c r="W2282" s="1206">
        <f>K2282</f>
        <v>2027</v>
      </c>
      <c r="X2282" s="1206">
        <f>L2282</f>
        <v>2028</v>
      </c>
      <c r="Y2282" s="1206">
        <f>M2282</f>
        <v>2029</v>
      </c>
      <c r="Z2282" s="1207">
        <f>N2282</f>
        <v>2030</v>
      </c>
      <c r="AA2282" s="694"/>
      <c r="AB2282" s="694"/>
      <c r="AC2282" s="694"/>
      <c r="AD2282" s="694"/>
      <c r="AE2282" s="694"/>
      <c r="AF2282" s="694"/>
      <c r="AG2282" s="694"/>
      <c r="AH2282" s="694"/>
      <c r="AI2282" s="694"/>
      <c r="AJ2282" s="694"/>
      <c r="AK2282" s="694"/>
      <c r="AL2282" s="694"/>
    </row>
    <row r="2283" spans="1:38" ht="12.75" customHeight="1" x14ac:dyDescent="0.25">
      <c r="A2283" s="694"/>
      <c r="B2283" s="298"/>
      <c r="C2283" s="298"/>
      <c r="D2283" s="1208" t="s">
        <v>6</v>
      </c>
      <c r="E2283" s="1209" t="str">
        <f>Translations!$B$1321</f>
        <v>Средно годишно равнище на дейност (стойност в НМИ)</v>
      </c>
      <c r="F2283" s="1209"/>
      <c r="G2283" s="1209"/>
      <c r="H2283" s="1210" t="str">
        <f>IF(INDEX(CNTR_SubInstListIsProdBM,$C2261),INDEX(CNTR_SubInstListHALUnit,$C2261),EUconst_Tons)</f>
        <v>тона</v>
      </c>
      <c r="I2283" s="1211" t="str">
        <f>IF(V2261&gt;($J$2831-3),EUconst_NA,INDEX('B+C_SubInstallations'!$I:$I,MATCH(Q2283,'B+C_SubInstallations'!$T:$T,0)))</f>
        <v/>
      </c>
      <c r="J2283" s="1212" t="str">
        <f>IF(AND(V2283&gt;=3,CNTR_ReportingYear&gt;J2282-1),AVERAGE(H2271:I2271),"")</f>
        <v/>
      </c>
      <c r="K2283" s="1213" t="str">
        <f>IF(AND(W2283&gt;=3,CNTR_ReportingYear&gt;K2282-1),AVERAGE(I2271:J2271),"")</f>
        <v/>
      </c>
      <c r="L2283" s="1213" t="str">
        <f>IF(AND(X2283&gt;=3,CNTR_ReportingYear&gt;L2282-1),AVERAGE(J2271:K2271),"")</f>
        <v/>
      </c>
      <c r="M2283" s="1213" t="str">
        <f>IF(AND(Y2283&gt;=3,CNTR_ReportingYear&gt;M2282-1),AVERAGE(K2271:L2271),"")</f>
        <v/>
      </c>
      <c r="N2283" s="1214" t="str">
        <f>IF(AND(Z2283&gt;=3,CNTR_ReportingYear&gt;N2282-1),AVERAGE(L2271:M2271),"")</f>
        <v/>
      </c>
      <c r="O2283" s="302"/>
      <c r="P2283" s="302"/>
      <c r="Q2283" s="1182" t="str">
        <f>EUconst_CNTR_HALinitial&amp;I2261</f>
        <v>HALini_</v>
      </c>
      <c r="R2283" s="694"/>
      <c r="S2283" s="694"/>
      <c r="T2283" s="694"/>
      <c r="U2283" s="1215" t="s">
        <v>1710</v>
      </c>
      <c r="V2283" s="1176">
        <f>IF($I2261="",0,V2282-$V2261+1)</f>
        <v>0</v>
      </c>
      <c r="W2283" s="1176">
        <f>IF($I2261="",0,W2282-$V2261+1)</f>
        <v>0</v>
      </c>
      <c r="X2283" s="1176">
        <f>IF($I2261="",0,X2282-$V2261+1)</f>
        <v>0</v>
      </c>
      <c r="Y2283" s="1176">
        <f>IF($I2261="",0,Y2282-$V2261+1)</f>
        <v>0</v>
      </c>
      <c r="Z2283" s="1216">
        <f>IF($I2261="",0,Z2282-$V2261+1)</f>
        <v>0</v>
      </c>
      <c r="AA2283" s="694"/>
      <c r="AB2283" s="694"/>
      <c r="AC2283" s="694"/>
      <c r="AD2283" s="694"/>
      <c r="AE2283" s="694"/>
      <c r="AF2283" s="694"/>
      <c r="AG2283" s="694"/>
      <c r="AH2283" s="694"/>
      <c r="AI2283" s="694"/>
      <c r="AJ2283" s="694"/>
      <c r="AK2283" s="694"/>
      <c r="AL2283" s="694"/>
    </row>
    <row r="2284" spans="1:38" ht="12.75" hidden="1" customHeight="1" x14ac:dyDescent="0.25">
      <c r="A2284" s="729" t="s">
        <v>312</v>
      </c>
      <c r="B2284" s="298"/>
      <c r="C2284" s="298"/>
      <c r="D2284" s="1217"/>
      <c r="E2284" s="1218" t="str">
        <f>Translations!$B$1376</f>
        <v>Промяна в сравнение с HAL</v>
      </c>
      <c r="F2284" s="1218"/>
      <c r="G2284" s="1218"/>
      <c r="H2284" s="1219"/>
      <c r="I2284" s="1220"/>
      <c r="J2284" s="103" t="str">
        <f>IF(J2283="","",IF($I2286=0,IF(J2283=0,0%,100%),J2283/$I2286-1))</f>
        <v/>
      </c>
      <c r="K2284" s="100" t="str">
        <f>IF(K2283="","",IF($I2286=0,IF(K2283=0,0%,100%),K2283/$I2286-1))</f>
        <v/>
      </c>
      <c r="L2284" s="100" t="str">
        <f>IF(L2283="","",IF($I2286=0,IF(L2283=0,0%,100%),L2283/$I2286-1))</f>
        <v/>
      </c>
      <c r="M2284" s="100" t="str">
        <f>IF(M2283="","",IF($I2286=0,IF(M2283=0,0%,100%),M2283/$I2286-1))</f>
        <v/>
      </c>
      <c r="N2284" s="122" t="str">
        <f>IF(N2283="","",IF($I2286=0,IF(N2283=0,0%,100%),N2283/$I2286-1))</f>
        <v/>
      </c>
      <c r="O2284" s="302"/>
      <c r="P2284" s="302"/>
      <c r="Q2284" s="1190" t="str">
        <f>EUconst_CNTR_RelThreshold &amp; Q2286</f>
        <v>RelThresh_HALprelim_</v>
      </c>
      <c r="R2284" s="694"/>
      <c r="S2284" s="694"/>
      <c r="T2284" s="694"/>
      <c r="U2284" s="1215" t="s">
        <v>1715</v>
      </c>
      <c r="V2284" s="727" t="str">
        <f>IF(J2283="","",ABS(J2284)&gt;15%)</f>
        <v/>
      </c>
      <c r="W2284" s="727" t="str">
        <f>IF(K2283="","",ABS(K2284)&gt;15%)</f>
        <v/>
      </c>
      <c r="X2284" s="727" t="str">
        <f>IF(L2283="","",ABS(L2284)&gt;15%)</f>
        <v/>
      </c>
      <c r="Y2284" s="727" t="str">
        <f>IF(M2283="","",ABS(M2284)&gt;15%)</f>
        <v/>
      </c>
      <c r="Z2284" s="1221" t="str">
        <f>IF(N2283="","",ABS(N2284)&gt;15%)</f>
        <v/>
      </c>
      <c r="AA2284" s="694"/>
      <c r="AB2284" s="694"/>
      <c r="AC2284" s="694"/>
      <c r="AD2284" s="694"/>
      <c r="AE2284" s="694"/>
      <c r="AF2284" s="694"/>
      <c r="AG2284" s="694"/>
      <c r="AH2284" s="694"/>
      <c r="AI2284" s="694"/>
      <c r="AJ2284" s="694"/>
      <c r="AK2284" s="694"/>
      <c r="AL2284" s="729"/>
    </row>
    <row r="2285" spans="1:38" ht="12.75" customHeight="1" x14ac:dyDescent="0.25">
      <c r="A2285" s="729"/>
      <c r="B2285" s="298"/>
      <c r="C2285" s="298"/>
      <c r="D2285" s="1208" t="s">
        <v>7</v>
      </c>
      <c r="E2285" s="1209" t="str">
        <f>Translations!$B$1322</f>
        <v>Предварителна корекция (ако са надвишени относителните прагове)</v>
      </c>
      <c r="F2285" s="1209"/>
      <c r="G2285" s="1209"/>
      <c r="H2285" s="1222"/>
      <c r="I2285" s="1223"/>
      <c r="J2285" s="1224" t="str">
        <f>IF(J2283="","",IF(V2284=FALSE,0%,IF(V2285,J2284,I2291)))</f>
        <v/>
      </c>
      <c r="K2285" s="1225" t="str">
        <f>IF(K2283="","",IF(W2284=FALSE,0%,IF(W2285,K2284,J2291)))</f>
        <v/>
      </c>
      <c r="L2285" s="1225" t="str">
        <f>IF(L2283="","",IF(X2284=FALSE,0%,IF(X2285,L2284,K2291)))</f>
        <v/>
      </c>
      <c r="M2285" s="1225" t="str">
        <f>IF(M2283="","",IF(Y2284=FALSE,0%,IF(Y2285,M2284,L2291)))</f>
        <v/>
      </c>
      <c r="N2285" s="1226" t="str">
        <f>IF(N2283="","",IF(Z2284=FALSE,0%,IF(Z2285,N2284,M2291)))</f>
        <v/>
      </c>
      <c r="O2285" s="302"/>
      <c r="P2285" s="302"/>
      <c r="Q2285" s="694"/>
      <c r="R2285" s="694"/>
      <c r="S2285" s="694"/>
      <c r="T2285" s="694"/>
      <c r="U2285" s="1215" t="s">
        <v>1716</v>
      </c>
      <c r="V2285" s="727" t="str">
        <f>IF(J2283="","",AND(V2284,IF(SUM(I2291)&lt;0,OR(SUM(J2284)&lt;SUM(I2291)-MOD(SUM(I2291),5%),J2284&gt;=SUM(I2291)+5%-MOD(SUM(I2291),5%)),OR(SUM(J2284)&lt;=SUM(I2291)-MOD(SUM(I2291),5%),SUM(J2284)&gt;SUM(I2291)+5%-MOD(SUM(I2291),5%)))))</f>
        <v/>
      </c>
      <c r="W2285" s="727" t="str">
        <f>IF(K2283="","",AND(W2284,IF(SUM(J2291)&lt;0,OR(SUM(K2284)&lt;SUM(J2291)-MOD(SUM(J2291),5%),K2284&gt;=SUM(J2291)+5%-MOD(SUM(J2291),5%)),OR(SUM(K2284)&lt;=SUM(J2291)-MOD(SUM(J2291),5%),SUM(K2284)&gt;SUM(J2291)+5%-MOD(SUM(J2291),5%)))))</f>
        <v/>
      </c>
      <c r="X2285" s="727" t="str">
        <f>IF(L2283="","",AND(X2284,IF(SUM(K2291)&lt;0,OR(SUM(L2284)&lt;SUM(K2291)-MOD(SUM(K2291),5%),L2284&gt;=SUM(K2291)+5%-MOD(SUM(K2291),5%)),OR(SUM(L2284)&lt;=SUM(K2291)-MOD(SUM(K2291),5%),SUM(L2284)&gt;SUM(K2291)+5%-MOD(SUM(K2291),5%)))))</f>
        <v/>
      </c>
      <c r="Y2285" s="727" t="str">
        <f>IF(M2283="","",AND(Y2284,IF(SUM(L2291)&lt;0,OR(SUM(M2284)&lt;SUM(L2291)-MOD(SUM(L2291),5%),M2284&gt;=SUM(L2291)+5%-MOD(SUM(L2291),5%)),OR(SUM(M2284)&lt;=SUM(L2291)-MOD(SUM(L2291),5%),SUM(M2284)&gt;SUM(L2291)+5%-MOD(SUM(L2291),5%)))))</f>
        <v/>
      </c>
      <c r="Z2285" s="1221" t="str">
        <f>IF(N2283="","",AND(Z2284,IF(SUM(M2291)&lt;0,OR(SUM(N2284)&lt;SUM(M2291)-MOD(SUM(M2291),5%),N2284&gt;=SUM(M2291)+5%-MOD(SUM(M2291),5%)),OR(SUM(N2284)&lt;=SUM(M2291)-MOD(SUM(M2291),5%),SUM(N2284)&gt;SUM(M2291)+5%-MOD(SUM(M2291),5%)))))</f>
        <v/>
      </c>
      <c r="AA2285" s="694"/>
      <c r="AB2285" s="694"/>
      <c r="AC2285" s="694"/>
      <c r="AD2285" s="694"/>
      <c r="AE2285" s="694"/>
      <c r="AF2285" s="694"/>
      <c r="AG2285" s="694"/>
      <c r="AH2285" s="694"/>
      <c r="AI2285" s="694"/>
      <c r="AJ2285" s="694"/>
      <c r="AK2285" s="694"/>
      <c r="AL2285" s="729"/>
    </row>
    <row r="2286" spans="1:38" ht="12.75" hidden="1" customHeight="1" x14ac:dyDescent="0.25">
      <c r="A2286" s="729" t="s">
        <v>312</v>
      </c>
      <c r="B2286" s="298"/>
      <c r="C2286" s="298"/>
      <c r="D2286" s="1217"/>
      <c r="E2286" s="1209" t="str">
        <f>Translations!$B$1377</f>
        <v>Предварителна стойност</v>
      </c>
      <c r="F2286" s="1209"/>
      <c r="G2286" s="1209"/>
      <c r="H2286" s="1210" t="str">
        <f>H2283</f>
        <v>тона</v>
      </c>
      <c r="I2286" s="1211" t="str">
        <f>IF(I2261="","",IF(AB2261=FALSE,EUconst_NA,IF(V2261&gt;($J$2831-3),INDEX(H2271:N2271,MATCH(V2261,H2268:N2268,0)),SUM(I2283))))</f>
        <v/>
      </c>
      <c r="J2286" s="1212" t="str">
        <f>IF($I2261="","",IF(V2283&lt;2,SUM(J2271),IF(V2283&lt;3,SUM(I2271),IF(V2286="",I2286,V2286))))</f>
        <v/>
      </c>
      <c r="K2286" s="1213" t="str">
        <f>IF($I2261="","",IF(W2283&lt;2,SUM(K2271),IF(W2283&lt;3,SUM(J2271),IF(W2286="",J2286,W2286))))</f>
        <v/>
      </c>
      <c r="L2286" s="1213" t="str">
        <f>IF($I2261="","",IF(X2283&lt;2,SUM(L2271),IF(X2283&lt;3,SUM(K2271),IF(X2286="",K2286,X2286))))</f>
        <v/>
      </c>
      <c r="M2286" s="1213" t="str">
        <f>IF($I2261="","",IF(Y2283&lt;2,SUM(M2271),IF(Y2283&lt;3,SUM(L2271),IF(Y2286="",L2286,Y2286))))</f>
        <v/>
      </c>
      <c r="N2286" s="1214" t="str">
        <f>IF($I2261="","",IF(Z2283&lt;2,SUM(N2271),IF(Z2283&lt;3,SUM(M2271),IF(Z2286="",M2286,Z2286))))</f>
        <v/>
      </c>
      <c r="O2286" s="302"/>
      <c r="P2286" s="302"/>
      <c r="Q2286" s="1182" t="str">
        <f>EUconst_CNTR_HALprelim&amp;I2261</f>
        <v>HALprelim_</v>
      </c>
      <c r="R2286" s="694"/>
      <c r="S2286" s="694"/>
      <c r="T2286" s="694"/>
      <c r="U2286" s="1215" t="s">
        <v>1756</v>
      </c>
      <c r="V2286" s="1227" t="str">
        <f>IF(J2283="","",IF(CNTR_ReportingYear&lt;J2282,I2285,IF($I2286=0,J2283,$I2286*(1+J2285))))</f>
        <v/>
      </c>
      <c r="W2286" s="1227" t="str">
        <f>IF(K2283="","",IF(CNTR_ReportingYear&lt;K2282,J2285,IF($I2286=0,K2283,$I2286*(1+K2285))))</f>
        <v/>
      </c>
      <c r="X2286" s="1227" t="str">
        <f>IF(L2283="","",IF(CNTR_ReportingYear&lt;L2282,K2285,IF($I2286=0,L2283,$I2286*(1+L2285))))</f>
        <v/>
      </c>
      <c r="Y2286" s="1227" t="str">
        <f>IF(M2283="","",IF(CNTR_ReportingYear&lt;M2282,L2285,IF($I2286=0,M2283,$I2286*(1+M2285))))</f>
        <v/>
      </c>
      <c r="Z2286" s="1228" t="str">
        <f>IF(N2283="","",IF(CNTR_ReportingYear&lt;N2282,M2285,IF($I2286=0,N2283,$I2286*(1+N2285))))</f>
        <v/>
      </c>
      <c r="AA2286" s="694"/>
      <c r="AB2286" s="694"/>
      <c r="AC2286" s="694"/>
      <c r="AD2286" s="694"/>
      <c r="AE2286" s="694"/>
      <c r="AF2286" s="694"/>
      <c r="AG2286" s="694"/>
      <c r="AH2286" s="694"/>
      <c r="AI2286" s="694"/>
      <c r="AJ2286" s="694"/>
      <c r="AK2286" s="694"/>
      <c r="AL2286" s="729"/>
    </row>
    <row r="2287" spans="1:38" ht="5.15" customHeight="1" x14ac:dyDescent="0.25">
      <c r="A2287" s="729"/>
      <c r="B2287" s="298"/>
      <c r="C2287" s="298"/>
      <c r="D2287" s="1217"/>
      <c r="E2287" s="1199"/>
      <c r="F2287" s="1199"/>
      <c r="G2287" s="1199"/>
      <c r="H2287" s="1199"/>
      <c r="I2287" s="1199"/>
      <c r="J2287" s="1229"/>
      <c r="K2287" s="1229"/>
      <c r="L2287" s="1229"/>
      <c r="M2287" s="1229"/>
      <c r="N2287" s="1230"/>
      <c r="O2287" s="302"/>
      <c r="P2287" s="302"/>
      <c r="Q2287" s="729"/>
      <c r="R2287" s="694"/>
      <c r="S2287" s="694"/>
      <c r="T2287" s="694"/>
      <c r="U2287" s="1231"/>
      <c r="V2287" s="729"/>
      <c r="W2287" s="694"/>
      <c r="X2287" s="694"/>
      <c r="Y2287" s="694"/>
      <c r="Z2287" s="1232"/>
      <c r="AA2287" s="694"/>
      <c r="AB2287" s="694"/>
      <c r="AC2287" s="694"/>
      <c r="AD2287" s="694"/>
      <c r="AE2287" s="694"/>
      <c r="AF2287" s="694"/>
      <c r="AG2287" s="694"/>
      <c r="AH2287" s="694"/>
      <c r="AI2287" s="694"/>
      <c r="AJ2287" s="694"/>
      <c r="AK2287" s="694"/>
      <c r="AL2287" s="729"/>
    </row>
    <row r="2288" spans="1:38" ht="12.75" customHeight="1" x14ac:dyDescent="0.25">
      <c r="A2288" s="729"/>
      <c r="B2288" s="298"/>
      <c r="C2288" s="298"/>
      <c r="D2288" s="1217"/>
      <c r="E2288" s="1233" t="str">
        <f>Translations!$B$1323</f>
        <v>Действителна корекция (база за следващи години)</v>
      </c>
      <c r="F2288" s="1233"/>
      <c r="G2288" s="1233"/>
      <c r="H2288" s="1233"/>
      <c r="I2288" s="1233"/>
      <c r="J2288" s="1202">
        <f>J$2831</f>
        <v>2026</v>
      </c>
      <c r="K2288" s="1203">
        <f>K$2831</f>
        <v>2027</v>
      </c>
      <c r="L2288" s="1203">
        <f>L$2831</f>
        <v>2028</v>
      </c>
      <c r="M2288" s="1203">
        <f>M$2831</f>
        <v>2029</v>
      </c>
      <c r="N2288" s="1204">
        <f>N$2831</f>
        <v>2030</v>
      </c>
      <c r="O2288" s="302"/>
      <c r="P2288" s="302"/>
      <c r="Q2288" s="729"/>
      <c r="R2288" s="694"/>
      <c r="S2288" s="694"/>
      <c r="T2288" s="694"/>
      <c r="U2288" s="1234"/>
      <c r="V2288" s="213"/>
      <c r="W2288" s="214" t="s">
        <v>2101</v>
      </c>
      <c r="X2288" s="215" t="str">
        <f>IF(OR($X2261=0,$X2261=""),"",MIN(1,1-(DATE($Z2261,12,31)-$X2261)/(DATE($Z2261,12,31)-DATE($Z2261,1,1)+1)))</f>
        <v/>
      </c>
      <c r="Y2288" s="1165"/>
      <c r="Z2288" s="1235"/>
      <c r="AA2288" s="694"/>
      <c r="AB2288" s="694"/>
      <c r="AC2288" s="694"/>
      <c r="AD2288" s="694"/>
      <c r="AE2288" s="694"/>
      <c r="AF2288" s="694"/>
      <c r="AG2288" s="694"/>
      <c r="AH2288" s="694"/>
      <c r="AI2288" s="694"/>
      <c r="AJ2288" s="694"/>
      <c r="AK2288" s="694"/>
      <c r="AL2288" s="729"/>
    </row>
    <row r="2289" spans="1:38" ht="12.75" customHeight="1" x14ac:dyDescent="0.25">
      <c r="A2289" s="729"/>
      <c r="B2289" s="298"/>
      <c r="C2289" s="298"/>
      <c r="D2289" s="1208" t="s">
        <v>8</v>
      </c>
      <c r="E2289" s="1209" t="str">
        <f>Translations!$B$1515</f>
        <v>изпълнен ли е критерият за &gt;=300 квоти за емисии?</v>
      </c>
      <c r="F2289" s="1209"/>
      <c r="G2289" s="1209"/>
      <c r="H2289" s="1209"/>
      <c r="I2289" s="1209"/>
      <c r="J2289" s="1236" t="str">
        <f>IF($I2261="","",INDEX(K_Summary!J:J,MATCH($Q2289,K_Summary!$P:$P,0)))</f>
        <v/>
      </c>
      <c r="K2289" s="385" t="str">
        <f>IF($I2261="","",INDEX(K_Summary!K:K,MATCH($Q2289,K_Summary!$P:$P,0)))</f>
        <v/>
      </c>
      <c r="L2289" s="385" t="str">
        <f>IF($I2261="","",INDEX(K_Summary!L:L,MATCH($Q2289,K_Summary!$P:$P,0)))</f>
        <v/>
      </c>
      <c r="M2289" s="385" t="str">
        <f>IF($I2261="","",INDEX(K_Summary!M:M,MATCH($Q2289,K_Summary!$P:$P,0)))</f>
        <v/>
      </c>
      <c r="N2289" s="1237" t="str">
        <f>IF($I2261="","",INDEX(K_Summary!N:N,MATCH($Q2289,K_Summary!$P:$P,0)))</f>
        <v/>
      </c>
      <c r="O2289" s="302"/>
      <c r="P2289" s="302"/>
      <c r="Q2289" s="1182" t="str">
        <f>EUconst_CNTR_300EUA&amp;I2261</f>
        <v>EUA300_</v>
      </c>
      <c r="R2289" s="694"/>
      <c r="S2289" s="694"/>
      <c r="T2289" s="694"/>
      <c r="U2289" s="1234"/>
      <c r="V2289" s="216">
        <f>IF(V2282=$Z2261,$X2288,1)</f>
        <v>1</v>
      </c>
      <c r="W2289" s="216">
        <f>IF(W2282=$Z2261,$X2288,1)</f>
        <v>1</v>
      </c>
      <c r="X2289" s="216">
        <f>IF(X2282=$Z2261,$X2288,1)</f>
        <v>1</v>
      </c>
      <c r="Y2289" s="216">
        <f>IF(Y2282=$Z2261,$X2288,1)</f>
        <v>1</v>
      </c>
      <c r="Z2289" s="217">
        <f>IF(Z2282=$Z2261,$X2288,1)</f>
        <v>1</v>
      </c>
      <c r="AA2289" s="694"/>
      <c r="AB2289" s="694"/>
      <c r="AC2289" s="694"/>
      <c r="AD2289" s="694"/>
      <c r="AE2289" s="694"/>
      <c r="AF2289" s="694"/>
      <c r="AG2289" s="694"/>
      <c r="AH2289" s="694"/>
      <c r="AI2289" s="694"/>
      <c r="AJ2289" s="694"/>
      <c r="AK2289" s="694"/>
      <c r="AL2289" s="729"/>
    </row>
    <row r="2290" spans="1:38" ht="5.15" customHeight="1" thickBot="1" x14ac:dyDescent="0.3">
      <c r="A2290" s="729"/>
      <c r="B2290" s="298"/>
      <c r="C2290" s="298"/>
      <c r="D2290" s="1217"/>
      <c r="E2290" s="1199"/>
      <c r="F2290" s="1199"/>
      <c r="G2290" s="1199"/>
      <c r="H2290" s="1199"/>
      <c r="I2290" s="1199"/>
      <c r="J2290" s="1199"/>
      <c r="K2290" s="1199"/>
      <c r="L2290" s="1199"/>
      <c r="M2290" s="1199"/>
      <c r="N2290" s="1238"/>
      <c r="O2290" s="302"/>
      <c r="P2290" s="302"/>
      <c r="Q2290" s="729"/>
      <c r="R2290" s="694"/>
      <c r="S2290" s="694"/>
      <c r="T2290" s="694"/>
      <c r="U2290" s="1231"/>
      <c r="V2290" s="729"/>
      <c r="W2290" s="694"/>
      <c r="X2290" s="694"/>
      <c r="Y2290" s="694"/>
      <c r="Z2290" s="1232"/>
      <c r="AA2290" s="694"/>
      <c r="AB2290" s="694"/>
      <c r="AC2290" s="694"/>
      <c r="AD2290" s="694"/>
      <c r="AE2290" s="694"/>
      <c r="AF2290" s="694"/>
      <c r="AG2290" s="694"/>
      <c r="AH2290" s="694"/>
      <c r="AI2290" s="694"/>
      <c r="AJ2290" s="694"/>
      <c r="AK2290" s="694"/>
      <c r="AL2290" s="729"/>
    </row>
    <row r="2291" spans="1:38" ht="12.75" customHeight="1" thickBot="1" x14ac:dyDescent="0.3">
      <c r="A2291" s="694"/>
      <c r="B2291" s="298"/>
      <c r="C2291" s="298"/>
      <c r="D2291" s="1208" t="s">
        <v>18</v>
      </c>
      <c r="E2291" s="1209" t="str">
        <f>Translations!$B$1324</f>
        <v>Действителна корекция (ако са надвишени всички прагове)</v>
      </c>
      <c r="F2291" s="1209"/>
      <c r="G2291" s="1209"/>
      <c r="H2291" s="1222"/>
      <c r="I2291" s="1239"/>
      <c r="J2291" s="1240" t="str">
        <f>IF(J2289="","",IF(J2282&gt;$Z2261,-100%,IF(OR(J2289,V2283&lt;1),J2285,I2291)))</f>
        <v/>
      </c>
      <c r="K2291" s="1241" t="str">
        <f>IF(K2289="","",IF(K2282&gt;$Z2261,-100%,IF(OR(K2289,W2283&lt;1),K2285,J2291)))</f>
        <v/>
      </c>
      <c r="L2291" s="1241" t="str">
        <f>IF(L2289="","",IF(L2282&gt;$Z2261,-100%,IF(OR(L2289,X2283&lt;1),L2285,K2291)))</f>
        <v/>
      </c>
      <c r="M2291" s="1241" t="str">
        <f>IF(M2289="","",IF(M2282&gt;$Z2261,-100%,IF(OR(M2289,Y2283&lt;1),M2285,L2291)))</f>
        <v/>
      </c>
      <c r="N2291" s="1242" t="str">
        <f>IF(N2289="","",IF(N2282&gt;$Z2261,-100%,IF(OR(N2289,Z2283&lt;1),N2285,M2291)))</f>
        <v/>
      </c>
      <c r="O2291" s="302"/>
      <c r="P2291" s="710"/>
      <c r="Q2291" s="1190" t="str">
        <f>EUconst_CNTR_HALAdjPct &amp; I2261</f>
        <v>HALAdjPct_</v>
      </c>
      <c r="R2291" s="694"/>
      <c r="S2291" s="694"/>
      <c r="T2291" s="694"/>
      <c r="U2291" s="1231" t="s">
        <v>1718</v>
      </c>
      <c r="V2291" s="1243">
        <f>J2288</f>
        <v>2026</v>
      </c>
      <c r="W2291" s="1243">
        <f>K2288</f>
        <v>2027</v>
      </c>
      <c r="X2291" s="1243">
        <f>L2288</f>
        <v>2028</v>
      </c>
      <c r="Y2291" s="1243">
        <f>M2288</f>
        <v>2029</v>
      </c>
      <c r="Z2291" s="1244">
        <f>N2288</f>
        <v>2030</v>
      </c>
      <c r="AA2291" s="694"/>
      <c r="AB2291" s="694"/>
      <c r="AC2291" s="694"/>
      <c r="AD2291" s="694"/>
      <c r="AE2291" s="694"/>
      <c r="AF2291" s="694"/>
      <c r="AG2291" s="694"/>
      <c r="AH2291" s="694"/>
      <c r="AI2291" s="694"/>
      <c r="AJ2291" s="694"/>
      <c r="AK2291" s="694"/>
      <c r="AL2291" s="729"/>
    </row>
    <row r="2292" spans="1:38" ht="12.75" customHeight="1" thickBot="1" x14ac:dyDescent="0.3">
      <c r="A2292" s="729"/>
      <c r="B2292" s="298"/>
      <c r="C2292" s="298"/>
      <c r="D2292" s="1208" t="s">
        <v>810</v>
      </c>
      <c r="E2292" s="1209" t="str">
        <f>Translations!$B$1325</f>
        <v>Действителна стойност</v>
      </c>
      <c r="F2292" s="1209"/>
      <c r="G2292" s="1209"/>
      <c r="H2292" s="1210" t="str">
        <f>H2283</f>
        <v>тона</v>
      </c>
      <c r="I2292" s="1211" t="str">
        <f>I2286</f>
        <v/>
      </c>
      <c r="J2292" s="632" t="str">
        <f>IF($I2261="","",IF(OR($I2292=0,J2291="",$I2292=EUconst_NA),IF(OR(J2289=TRUE,J2288&lt;=$V2261),J2286,SUM(I2292)),$I2292*(1+SUM(J2291))))</f>
        <v/>
      </c>
      <c r="K2292" s="633" t="str">
        <f>IF($I2261="","",IF(OR($I2292=0,K2291="",$I2292=EUconst_NA),IF(OR(K2289=TRUE,K2288&lt;=$V2261),K2286,SUM(J2292)),$I2292*(1+SUM(K2291))))</f>
        <v/>
      </c>
      <c r="L2292" s="633" t="str">
        <f>IF($I2261="","",IF(OR($I2292=0,L2291="",$I2292=EUconst_NA),IF(OR(L2289=TRUE,L2288&lt;=$V2261),L2286,SUM(K2292)),$I2292*(1+SUM(L2291))))</f>
        <v/>
      </c>
      <c r="M2292" s="633" t="str">
        <f>IF($I2261="","",IF(OR($I2292=0,M2291="",$I2292=EUconst_NA),IF(OR(M2289=TRUE,M2288&lt;=$V2261),M2286,SUM(L2292)),$I2292*(1+SUM(M2291))))</f>
        <v/>
      </c>
      <c r="N2292" s="634" t="str">
        <f>IF($I2261="","",IF(OR($I2292=0,N2291="",$I2292=EUconst_NA),IF(OR(N2289=TRUE,N2288&lt;=$V2261),N2286,SUM(M2292)),$I2292*(1+SUM(N2291))))</f>
        <v/>
      </c>
      <c r="O2292" s="302"/>
      <c r="P2292" s="302"/>
      <c r="Q2292" s="1182" t="str">
        <f>EUconst_CNTR_HALfinal&amp;I2261</f>
        <v>HALfinal_</v>
      </c>
      <c r="R2292" s="694"/>
      <c r="S2292" s="694"/>
      <c r="T2292" s="694"/>
      <c r="U2292" s="1245" t="b">
        <v>0</v>
      </c>
      <c r="V2292" s="1246" t="str">
        <f>IF(V2269,IF(J2289=TRUE,V2284,U2292),"")</f>
        <v/>
      </c>
      <c r="W2292" s="1246" t="str">
        <f>IF(W2269,IF(K2289=TRUE,W2284,V2292),"")</f>
        <v/>
      </c>
      <c r="X2292" s="1246" t="str">
        <f>IF(X2269,IF(L2289=TRUE,X2284,W2292),"")</f>
        <v/>
      </c>
      <c r="Y2292" s="1246" t="str">
        <f>IF(Y2269,IF(M2289=TRUE,Y2284,X2292),"")</f>
        <v/>
      </c>
      <c r="Z2292" s="1247" t="str">
        <f>IF(Z2269,IF(N2289=TRUE,Z2284,Y2292),"")</f>
        <v/>
      </c>
      <c r="AA2292" s="694"/>
      <c r="AB2292" s="694"/>
      <c r="AC2292" s="694"/>
      <c r="AD2292" s="694"/>
      <c r="AE2292" s="694"/>
      <c r="AF2292" s="694"/>
      <c r="AG2292" s="694"/>
      <c r="AH2292" s="694"/>
      <c r="AI2292" s="694"/>
      <c r="AJ2292" s="1174" t="s">
        <v>2033</v>
      </c>
      <c r="AK2292" s="982" t="str">
        <f>IF(OR(ISERROR(J2292),ISERROR(K2292),ISERROR(L2292),ISERROR(M2292),ISERROR(N2292)),EUconst_Error &amp; "BM" &amp; Q2261,"")</f>
        <v/>
      </c>
      <c r="AL2292" s="729"/>
    </row>
    <row r="2293" spans="1:38" ht="5.15" customHeight="1" thickBot="1" x14ac:dyDescent="0.3">
      <c r="A2293" s="694"/>
      <c r="B2293" s="298"/>
      <c r="C2293" s="298"/>
      <c r="D2293" s="1248"/>
      <c r="E2293" s="1249"/>
      <c r="F2293" s="1249"/>
      <c r="G2293" s="1249"/>
      <c r="H2293" s="1249"/>
      <c r="I2293" s="1249"/>
      <c r="J2293" s="1249"/>
      <c r="K2293" s="1249"/>
      <c r="L2293" s="1249"/>
      <c r="M2293" s="1249"/>
      <c r="N2293" s="1250"/>
      <c r="O2293" s="302"/>
      <c r="P2293" s="302"/>
      <c r="Q2293" s="729"/>
      <c r="R2293" s="694"/>
      <c r="S2293" s="694"/>
      <c r="T2293" s="694"/>
      <c r="U2293" s="729"/>
      <c r="V2293" s="729"/>
      <c r="W2293" s="694"/>
      <c r="X2293" s="694"/>
      <c r="Y2293" s="694"/>
      <c r="Z2293" s="694"/>
      <c r="AA2293" s="694"/>
      <c r="AB2293" s="694"/>
      <c r="AC2293" s="694"/>
      <c r="AD2293" s="694"/>
      <c r="AE2293" s="694"/>
      <c r="AF2293" s="694"/>
      <c r="AG2293" s="694"/>
      <c r="AH2293" s="694"/>
      <c r="AI2293" s="694"/>
      <c r="AJ2293" s="694"/>
      <c r="AK2293" s="694"/>
      <c r="AL2293" s="729"/>
    </row>
    <row r="2294" spans="1:38" ht="5.15" customHeight="1" x14ac:dyDescent="0.25">
      <c r="A2294" s="694"/>
      <c r="B2294" s="298"/>
      <c r="C2294" s="298"/>
      <c r="D2294" s="302"/>
      <c r="E2294" s="302"/>
      <c r="F2294" s="302"/>
      <c r="G2294" s="302"/>
      <c r="H2294" s="302"/>
      <c r="I2294" s="302"/>
      <c r="J2294" s="302"/>
      <c r="K2294" s="302"/>
      <c r="L2294" s="302"/>
      <c r="M2294" s="302"/>
      <c r="N2294" s="302"/>
      <c r="O2294" s="302"/>
      <c r="P2294" s="302"/>
      <c r="Q2294" s="729"/>
      <c r="R2294" s="694"/>
      <c r="S2294" s="694"/>
      <c r="T2294" s="694"/>
      <c r="U2294" s="729"/>
      <c r="V2294" s="729"/>
      <c r="W2294" s="694"/>
      <c r="X2294" s="694"/>
      <c r="Y2294" s="694"/>
      <c r="Z2294" s="694"/>
      <c r="AA2294" s="694"/>
      <c r="AB2294" s="694"/>
      <c r="AC2294" s="694"/>
      <c r="AD2294" s="694"/>
      <c r="AE2294" s="694"/>
      <c r="AF2294" s="694"/>
      <c r="AG2294" s="694"/>
      <c r="AH2294" s="694"/>
      <c r="AI2294" s="694"/>
      <c r="AJ2294" s="694"/>
      <c r="AK2294" s="694"/>
      <c r="AL2294" s="729"/>
    </row>
    <row r="2295" spans="1:38" ht="15" customHeight="1" x14ac:dyDescent="0.25">
      <c r="A2295" s="694"/>
      <c r="B2295" s="698"/>
      <c r="C2295" s="298"/>
      <c r="D2295" s="2323" t="str">
        <f>Translations!$B$482</f>
        <v>Други корекционни коефициенти</v>
      </c>
      <c r="E2295" s="2249"/>
      <c r="F2295" s="2249"/>
      <c r="G2295" s="2249"/>
      <c r="H2295" s="2249"/>
      <c r="I2295" s="2249"/>
      <c r="J2295" s="2249"/>
      <c r="K2295" s="2249"/>
      <c r="L2295" s="2249"/>
      <c r="M2295" s="2249"/>
      <c r="N2295" s="2249"/>
      <c r="O2295" s="302"/>
      <c r="P2295" s="302"/>
      <c r="Q2295" s="694"/>
      <c r="R2295" s="694"/>
      <c r="S2295" s="694"/>
      <c r="T2295" s="694"/>
      <c r="U2295" s="729"/>
      <c r="V2295" s="729"/>
      <c r="W2295" s="694"/>
      <c r="X2295" s="694"/>
      <c r="Y2295" s="694"/>
      <c r="Z2295" s="694"/>
      <c r="AA2295" s="694"/>
      <c r="AB2295" s="694"/>
      <c r="AC2295" s="694"/>
      <c r="AD2295" s="694"/>
      <c r="AE2295" s="694"/>
      <c r="AF2295" s="694"/>
      <c r="AG2295" s="694"/>
      <c r="AH2295" s="694"/>
      <c r="AI2295" s="694"/>
      <c r="AJ2295" s="694"/>
      <c r="AK2295" s="694"/>
      <c r="AL2295" s="694"/>
    </row>
    <row r="2296" spans="1:38" ht="5.15" customHeight="1" x14ac:dyDescent="0.25">
      <c r="A2296" s="694"/>
      <c r="B2296" s="298"/>
      <c r="C2296" s="298"/>
      <c r="D2296" s="298"/>
      <c r="E2296" s="298"/>
      <c r="F2296" s="298"/>
      <c r="G2296" s="298"/>
      <c r="H2296" s="298"/>
      <c r="I2296" s="298"/>
      <c r="J2296" s="298"/>
      <c r="K2296" s="298"/>
      <c r="L2296" s="298"/>
      <c r="M2296" s="298"/>
      <c r="N2296" s="298"/>
      <c r="O2296" s="302"/>
      <c r="P2296" s="302"/>
      <c r="Q2296" s="729"/>
      <c r="R2296" s="694"/>
      <c r="S2296" s="694"/>
      <c r="T2296" s="694"/>
      <c r="U2296" s="729"/>
      <c r="V2296" s="729"/>
      <c r="W2296" s="694"/>
      <c r="X2296" s="694"/>
      <c r="Y2296" s="694"/>
      <c r="Z2296" s="694"/>
      <c r="AA2296" s="694"/>
      <c r="AB2296" s="694"/>
      <c r="AC2296" s="694"/>
      <c r="AD2296" s="694"/>
      <c r="AE2296" s="694"/>
      <c r="AF2296" s="694"/>
      <c r="AG2296" s="694"/>
      <c r="AH2296" s="694"/>
      <c r="AI2296" s="694"/>
      <c r="AJ2296" s="694"/>
      <c r="AK2296" s="694"/>
      <c r="AL2296" s="694"/>
    </row>
    <row r="2297" spans="1:38" ht="13" x14ac:dyDescent="0.25">
      <c r="A2297" s="694"/>
      <c r="B2297" s="698"/>
      <c r="C2297" s="698"/>
      <c r="D2297" s="300" t="s">
        <v>46</v>
      </c>
      <c r="E2297" s="2463" t="str">
        <f>Translations!$B$1516</f>
        <v>Потребление на електроенергия</v>
      </c>
      <c r="F2297" s="2463"/>
      <c r="G2297" s="2463"/>
      <c r="H2297" s="2463"/>
      <c r="I2297" s="2463"/>
      <c r="J2297" s="2463"/>
      <c r="K2297" s="2463"/>
      <c r="L2297" s="2463"/>
      <c r="M2297" s="2463"/>
      <c r="N2297" s="2463"/>
      <c r="O2297" s="302"/>
      <c r="P2297" s="302"/>
      <c r="Q2297" s="694" t="s">
        <v>450</v>
      </c>
      <c r="R2297" s="1026" t="str">
        <f>"#"&amp;ADDRESS(ROW(D2302),COLUMN(D2302))</f>
        <v>#$D$2302</v>
      </c>
      <c r="S2297" s="1174" t="s">
        <v>1732</v>
      </c>
      <c r="T2297" s="1190" t="str">
        <f>IF(I2261="","",INDEX(EUconst_BMlistElExchangability,MATCH(I2261,EUconst_BMlistNames,0)))</f>
        <v/>
      </c>
      <c r="U2297" s="729"/>
      <c r="V2297" s="729"/>
      <c r="W2297" s="694"/>
      <c r="X2297" s="694"/>
      <c r="Y2297" s="694"/>
      <c r="Z2297" s="694"/>
      <c r="AA2297" s="694"/>
      <c r="AB2297" s="694"/>
      <c r="AC2297" s="694"/>
      <c r="AD2297" s="694"/>
      <c r="AE2297" s="694"/>
      <c r="AF2297" s="694"/>
      <c r="AG2297" s="694"/>
      <c r="AH2297" s="694"/>
      <c r="AI2297" s="694"/>
      <c r="AJ2297" s="694"/>
      <c r="AK2297" s="694"/>
      <c r="AL2297" s="694"/>
    </row>
    <row r="2298" spans="1:38" ht="25.5" customHeight="1" x14ac:dyDescent="0.25">
      <c r="A2298" s="694"/>
      <c r="B2298" s="298"/>
      <c r="C2298" s="298"/>
      <c r="D2298" s="302"/>
      <c r="E2298" s="2358" t="str">
        <f>Translations!$B$1517</f>
        <v>Въведете тук електроенергията, потребена в системните граници на тази подинсталация. За продуктовите показатели, изброени в раздел 2 от приложение I към ПБР, въвеждането тук на данни е задължително, като те трябва да съответстват на съответните системни граници, посочени в този раздел.</v>
      </c>
      <c r="F2298" s="2249"/>
      <c r="G2298" s="2249"/>
      <c r="H2298" s="2249"/>
      <c r="I2298" s="2249"/>
      <c r="J2298" s="2249"/>
      <c r="K2298" s="2249"/>
      <c r="L2298" s="2249"/>
      <c r="M2298" s="2249"/>
      <c r="N2298" s="2249"/>
      <c r="O2298" s="302"/>
      <c r="P2298" s="302"/>
      <c r="Q2298" s="694"/>
      <c r="R2298" s="694"/>
      <c r="S2298" s="694"/>
      <c r="T2298" s="694"/>
      <c r="U2298" s="729"/>
      <c r="V2298" s="729"/>
      <c r="W2298" s="694"/>
      <c r="X2298" s="694"/>
      <c r="Y2298" s="694"/>
      <c r="Z2298" s="694"/>
      <c r="AA2298" s="694"/>
      <c r="AB2298" s="694"/>
      <c r="AC2298" s="694"/>
      <c r="AD2298" s="694"/>
      <c r="AE2298" s="694"/>
      <c r="AF2298" s="694"/>
      <c r="AG2298" s="694"/>
      <c r="AH2298" s="694"/>
      <c r="AI2298" s="694"/>
      <c r="AJ2298" s="694"/>
      <c r="AK2298" s="694"/>
      <c r="AL2298" s="694"/>
    </row>
    <row r="2299" spans="1:38" s="364" customFormat="1" ht="13.5" thickBot="1" x14ac:dyDescent="0.3">
      <c r="A2299" s="729"/>
      <c r="B2299" s="302"/>
      <c r="C2299" s="302"/>
      <c r="D2299" s="300"/>
      <c r="E2299" s="1013" t="str">
        <f>Translations!$B$483</f>
        <v>Параметър</v>
      </c>
      <c r="F2299" s="1015"/>
      <c r="G2299" s="527" t="str">
        <f>EUconst_Unit</f>
        <v>Единица мярка</v>
      </c>
      <c r="H2299" s="391">
        <f>H$2831</f>
        <v>2024</v>
      </c>
      <c r="I2299" s="572">
        <f>I$2831</f>
        <v>2025</v>
      </c>
      <c r="J2299" s="757">
        <f>J$91</f>
        <v>2026</v>
      </c>
      <c r="K2299" s="758">
        <f>K$91</f>
        <v>2027</v>
      </c>
      <c r="L2299" s="391">
        <f>L$91</f>
        <v>2028</v>
      </c>
      <c r="M2299" s="391">
        <f>M$91</f>
        <v>2029</v>
      </c>
      <c r="N2299" s="391">
        <f>N$91</f>
        <v>2030</v>
      </c>
      <c r="O2299" s="302"/>
      <c r="P2299" s="302"/>
      <c r="Q2299" s="729"/>
      <c r="R2299" s="729"/>
      <c r="S2299" s="694"/>
      <c r="T2299" s="694"/>
      <c r="U2299" s="729"/>
      <c r="V2299" s="729"/>
      <c r="W2299" s="729"/>
      <c r="X2299" s="729"/>
      <c r="Y2299" s="729"/>
      <c r="Z2299" s="729"/>
      <c r="AA2299" s="729"/>
      <c r="AB2299" s="694"/>
      <c r="AC2299" s="1178">
        <f t="shared" ref="AC2299" si="3269">H$20</f>
        <v>2024</v>
      </c>
      <c r="AD2299" s="1178">
        <f t="shared" ref="AD2299" si="3270">I$20</f>
        <v>2025</v>
      </c>
      <c r="AE2299" s="1178">
        <f t="shared" ref="AE2299" si="3271">J$20</f>
        <v>2026</v>
      </c>
      <c r="AF2299" s="1178">
        <f t="shared" ref="AF2299" si="3272">K$20</f>
        <v>2027</v>
      </c>
      <c r="AG2299" s="1178">
        <f t="shared" ref="AG2299" si="3273">L$20</f>
        <v>2028</v>
      </c>
      <c r="AH2299" s="1178">
        <f t="shared" ref="AH2299" si="3274">M$20</f>
        <v>2029</v>
      </c>
      <c r="AI2299" s="1178">
        <f t="shared" ref="AI2299" si="3275">N$20</f>
        <v>2030</v>
      </c>
      <c r="AJ2299" s="694"/>
      <c r="AK2299" s="694"/>
      <c r="AL2299" s="694"/>
    </row>
    <row r="2300" spans="1:38" s="364" customFormat="1" ht="12.75" customHeight="1" thickBot="1" x14ac:dyDescent="0.3">
      <c r="A2300" s="729"/>
      <c r="B2300" s="302"/>
      <c r="C2300" s="302"/>
      <c r="D2300" s="360"/>
      <c r="E2300" s="1251" t="str">
        <f>Translations!$B$485</f>
        <v>Съответно потребление на електроенергия</v>
      </c>
      <c r="F2300" s="1252"/>
      <c r="G2300" s="1253" t="str">
        <f>EUconst_MWhpa</f>
        <v>MWh / година</v>
      </c>
      <c r="H2300" s="39"/>
      <c r="I2300" s="194"/>
      <c r="J2300" s="195"/>
      <c r="K2300" s="208"/>
      <c r="L2300" s="39"/>
      <c r="M2300" s="39"/>
      <c r="N2300" s="39"/>
      <c r="O2300" s="302"/>
      <c r="P2300" s="158"/>
      <c r="Q2300" s="982" t="str">
        <f>EUconst_CNTR_HAL&amp;EUconst_CNTR_ELEXCH &amp;I2261</f>
        <v>HAL_ELEXCH_</v>
      </c>
      <c r="R2300" s="729"/>
      <c r="S2300" s="729"/>
      <c r="T2300" s="729"/>
      <c r="U2300" s="729"/>
      <c r="V2300" s="729"/>
      <c r="W2300" s="729"/>
      <c r="X2300" s="729"/>
      <c r="Y2300" s="729"/>
      <c r="Z2300" s="729"/>
      <c r="AA2300" s="729"/>
      <c r="AB2300" s="1182" t="s">
        <v>737</v>
      </c>
      <c r="AC2300" s="1254" t="b">
        <f t="shared" ref="AC2300" si="3276">IF(CNTR_ExistSubInstEntries,IF($I2261="",TRUE,OR(H2299&gt;=CNTR_ReportingYear,AC2299&lt;$V2261-1,INDEX(EUconst_BMlistElExchangability,MATCH($I2261,EUconst_BMlistNames,0))=FALSE)),FALSE)</f>
        <v>0</v>
      </c>
      <c r="AD2300" s="1255" t="b">
        <f t="shared" ref="AD2300" si="3277">IF(CNTR_ExistSubInstEntries,IF($I2261="",TRUE,OR(I2299&gt;=CNTR_ReportingYear,AD2299&lt;$V2261-1,INDEX(EUconst_BMlistElExchangability,MATCH($I2261,EUconst_BMlistNames,0))=FALSE)),FALSE)</f>
        <v>0</v>
      </c>
      <c r="AE2300" s="1255" t="b">
        <f t="shared" ref="AE2300" si="3278">IF(CNTR_ExistSubInstEntries,IF($I2261="",TRUE,OR(J2299&gt;=CNTR_ReportingYear,AE2299&lt;$V2261-1,INDEX(EUconst_BMlistElExchangability,MATCH($I2261,EUconst_BMlistNames,0))=FALSE)),FALSE)</f>
        <v>0</v>
      </c>
      <c r="AF2300" s="1255" t="b">
        <f t="shared" ref="AF2300" si="3279">IF(CNTR_ExistSubInstEntries,IF($I2261="",TRUE,OR(K2299&gt;=CNTR_ReportingYear,AF2299&lt;$V2261-1,INDEX(EUconst_BMlistElExchangability,MATCH($I2261,EUconst_BMlistNames,0))=FALSE)),FALSE)</f>
        <v>0</v>
      </c>
      <c r="AG2300" s="1255" t="b">
        <f t="shared" ref="AG2300" si="3280">IF(CNTR_ExistSubInstEntries,IF($I2261="",TRUE,OR(L2299&gt;=CNTR_ReportingYear,AG2299&lt;$V2261-1,INDEX(EUconst_BMlistElExchangability,MATCH($I2261,EUconst_BMlistNames,0))=FALSE)),FALSE)</f>
        <v>0</v>
      </c>
      <c r="AH2300" s="1255" t="b">
        <f t="shared" ref="AH2300" si="3281">IF(CNTR_ExistSubInstEntries,IF($I2261="",TRUE,OR(M2299&gt;=CNTR_ReportingYear,AH2299&lt;$V2261-1,INDEX(EUconst_BMlistElExchangability,MATCH($I2261,EUconst_BMlistNames,0))=FALSE)),FALSE)</f>
        <v>0</v>
      </c>
      <c r="AI2300" s="1256" t="b">
        <f t="shared" ref="AI2300" si="3282">IF(CNTR_ExistSubInstEntries,IF($I2261="",TRUE,OR(N2299&gt;=CNTR_ReportingYear,AI2299&lt;$V2261-1,INDEX(EUconst_BMlistElExchangability,MATCH($I2261,EUconst_BMlistNames,0))=FALSE)),FALSE)</f>
        <v>0</v>
      </c>
      <c r="AJ2300" s="1174" t="s">
        <v>2039</v>
      </c>
      <c r="AK2300" s="1176" t="str">
        <f>IF(AND(CNTR_ExistSubInstEntries,COUNTIFS(AC2300:AI2300,FALSE,H2300:N2300,"")&gt;0),EUconst_Error&amp;"BM"&amp;$Q2261,"")</f>
        <v/>
      </c>
      <c r="AL2300" s="694"/>
    </row>
    <row r="2301" spans="1:38" ht="5.15" customHeight="1" x14ac:dyDescent="0.25">
      <c r="A2301" s="694"/>
      <c r="B2301" s="298"/>
      <c r="C2301" s="298"/>
      <c r="D2301" s="298"/>
      <c r="E2301" s="298"/>
      <c r="F2301" s="298"/>
      <c r="G2301" s="298"/>
      <c r="H2301" s="298"/>
      <c r="I2301" s="298"/>
      <c r="J2301" s="298"/>
      <c r="K2301" s="298"/>
      <c r="L2301" s="298"/>
      <c r="M2301" s="302"/>
      <c r="N2301" s="302"/>
      <c r="O2301" s="302"/>
      <c r="P2301" s="302"/>
      <c r="Q2301" s="729"/>
      <c r="R2301" s="694"/>
      <c r="S2301" s="694"/>
      <c r="T2301" s="694"/>
      <c r="U2301" s="694"/>
      <c r="V2301" s="694"/>
      <c r="W2301" s="694"/>
      <c r="X2301" s="694"/>
      <c r="Y2301" s="694"/>
      <c r="Z2301" s="694"/>
      <c r="AA2301" s="694"/>
      <c r="AB2301" s="694"/>
      <c r="AC2301" s="694"/>
      <c r="AD2301" s="694"/>
      <c r="AE2301" s="694"/>
      <c r="AF2301" s="694"/>
      <c r="AG2301" s="694"/>
      <c r="AH2301" s="694"/>
      <c r="AI2301" s="694"/>
      <c r="AJ2301" s="694"/>
      <c r="AK2301" s="694"/>
      <c r="AL2301" s="694"/>
    </row>
    <row r="2302" spans="1:38" ht="13" x14ac:dyDescent="0.25">
      <c r="A2302" s="694"/>
      <c r="B2302" s="298"/>
      <c r="C2302" s="298"/>
      <c r="D2302" s="300" t="s">
        <v>906</v>
      </c>
      <c r="E2302" s="2226" t="str">
        <f>Translations!$B$487</f>
        <v>Топлинна енергия, получена от инсталации или обекти извън СТЕ:</v>
      </c>
      <c r="F2302" s="2226"/>
      <c r="G2302" s="2226"/>
      <c r="H2302" s="2226"/>
      <c r="I2302" s="2317"/>
      <c r="J2302" s="2858" t="str">
        <f>IF(I2261="","",HYPERLINK(R2302,EUconst_MsgGoOnIfNotRelevant))</f>
        <v/>
      </c>
      <c r="K2302" s="2859"/>
      <c r="L2302" s="2859"/>
      <c r="M2302" s="2859"/>
      <c r="N2302" s="2860"/>
      <c r="O2302" s="302"/>
      <c r="P2302" s="302"/>
      <c r="Q2302" s="694" t="s">
        <v>450</v>
      </c>
      <c r="R2302" s="1026" t="str">
        <f>"#"&amp;ADDRESS(ROW(D2327),COLUMN(D2327))</f>
        <v>#$D$2327</v>
      </c>
      <c r="S2302" s="694"/>
      <c r="T2302" s="694"/>
      <c r="U2302" s="694"/>
      <c r="V2302" s="694"/>
      <c r="W2302" s="694"/>
      <c r="X2302" s="694"/>
      <c r="Y2302" s="694"/>
      <c r="Z2302" s="694"/>
      <c r="AA2302" s="694"/>
      <c r="AB2302" s="694"/>
      <c r="AC2302" s="694"/>
      <c r="AD2302" s="694"/>
      <c r="AE2302" s="694"/>
      <c r="AF2302" s="694"/>
      <c r="AG2302" s="694"/>
      <c r="AH2302" s="694"/>
      <c r="AI2302" s="694"/>
      <c r="AJ2302" s="694"/>
      <c r="AK2302" s="694"/>
      <c r="AL2302" s="694"/>
    </row>
    <row r="2303" spans="1:38" x14ac:dyDescent="0.25">
      <c r="A2303" s="694"/>
      <c r="B2303" s="298"/>
      <c r="C2303" s="298"/>
      <c r="D2303" s="302"/>
      <c r="E2303" s="2358" t="str">
        <f>Translations!$B$488</f>
        <v>Съгласно член 21 от ПБР определено количество емисии трябва да се приспадне от предварителното годишно разпределение за подинсталациите с продуктов показател.</v>
      </c>
      <c r="F2303" s="2249"/>
      <c r="G2303" s="2249"/>
      <c r="H2303" s="2249"/>
      <c r="I2303" s="2249"/>
      <c r="J2303" s="2249"/>
      <c r="K2303" s="2249"/>
      <c r="L2303" s="2249"/>
      <c r="M2303" s="2249"/>
      <c r="N2303" s="2249"/>
      <c r="O2303" s="302"/>
      <c r="P2303" s="302"/>
      <c r="Q2303" s="729"/>
      <c r="R2303" s="694"/>
      <c r="S2303" s="694"/>
      <c r="T2303" s="694"/>
      <c r="U2303" s="729"/>
      <c r="V2303" s="729"/>
      <c r="W2303" s="694"/>
      <c r="X2303" s="694"/>
      <c r="Y2303" s="694"/>
      <c r="Z2303" s="694"/>
      <c r="AA2303" s="694"/>
      <c r="AB2303" s="694"/>
      <c r="AC2303" s="694"/>
      <c r="AD2303" s="694"/>
      <c r="AE2303" s="694"/>
      <c r="AF2303" s="694"/>
      <c r="AG2303" s="694"/>
      <c r="AH2303" s="694"/>
      <c r="AI2303" s="694"/>
      <c r="AJ2303" s="694"/>
      <c r="AK2303" s="694"/>
      <c r="AL2303" s="694"/>
    </row>
    <row r="2304" spans="1:38" x14ac:dyDescent="0.25">
      <c r="A2304" s="694"/>
      <c r="B2304" s="298"/>
      <c r="C2304" s="298"/>
      <c r="D2304" s="302"/>
      <c r="E2304" s="2358" t="str">
        <f>Translations!$B$489</f>
        <v>Това количество е количеството измерима топлинна енергия, внесена от инсталации или обекти извън СТЕ (включително всяка топлинна енергия от подинсталации за производство на азотна киселина), умножено по топлинния показател.</v>
      </c>
      <c r="F2304" s="2249"/>
      <c r="G2304" s="2249"/>
      <c r="H2304" s="2249"/>
      <c r="I2304" s="2249"/>
      <c r="J2304" s="2249"/>
      <c r="K2304" s="2249"/>
      <c r="L2304" s="2249"/>
      <c r="M2304" s="2249"/>
      <c r="N2304" s="2249"/>
      <c r="O2304" s="302"/>
      <c r="P2304" s="302"/>
      <c r="Q2304" s="729"/>
      <c r="R2304" s="694"/>
      <c r="S2304" s="694"/>
      <c r="T2304" s="694"/>
      <c r="U2304" s="729"/>
      <c r="V2304" s="729"/>
      <c r="W2304" s="694"/>
      <c r="X2304" s="694"/>
      <c r="Y2304" s="694"/>
      <c r="Z2304" s="694"/>
      <c r="AA2304" s="694"/>
      <c r="AB2304" s="694"/>
      <c r="AC2304" s="694"/>
      <c r="AD2304" s="694"/>
      <c r="AE2304" s="694"/>
      <c r="AF2304" s="694"/>
      <c r="AG2304" s="694"/>
      <c r="AH2304" s="694"/>
      <c r="AI2304" s="694"/>
      <c r="AJ2304" s="694"/>
      <c r="AK2304" s="694"/>
      <c r="AL2304" s="694"/>
    </row>
    <row r="2305" spans="1:38" x14ac:dyDescent="0.25">
      <c r="A2305" s="694"/>
      <c r="B2305" s="298"/>
      <c r="C2305" s="298"/>
      <c r="D2305" s="302"/>
      <c r="E2305" s="2358" t="str">
        <f>Translations!$B$490</f>
        <v>Моля, въведете тук съответните стойности. Имайте предвид, че стойностите трябва да съответстват на сумите за енергията, получена от източници извън СТЕ, въведени в точка E.II.c в работен лист „E_Energy flows“ („E_Енергийни потоци“).</v>
      </c>
      <c r="F2305" s="2249"/>
      <c r="G2305" s="2249"/>
      <c r="H2305" s="2249"/>
      <c r="I2305" s="2249"/>
      <c r="J2305" s="2249"/>
      <c r="K2305" s="2249"/>
      <c r="L2305" s="2249"/>
      <c r="M2305" s="2249"/>
      <c r="N2305" s="2249"/>
      <c r="O2305" s="302"/>
      <c r="P2305" s="302"/>
      <c r="Q2305" s="729"/>
      <c r="R2305" s="694"/>
      <c r="S2305" s="694"/>
      <c r="T2305" s="694"/>
      <c r="U2305" s="729"/>
      <c r="V2305" s="729"/>
      <c r="W2305" s="694"/>
      <c r="X2305" s="694"/>
      <c r="Y2305" s="694"/>
      <c r="Z2305" s="694"/>
      <c r="AA2305" s="694"/>
      <c r="AB2305" s="694"/>
      <c r="AC2305" s="694"/>
      <c r="AD2305" s="694"/>
      <c r="AE2305" s="694"/>
      <c r="AF2305" s="694"/>
      <c r="AG2305" s="694"/>
      <c r="AH2305" s="694"/>
      <c r="AI2305" s="694"/>
      <c r="AJ2305" s="694"/>
      <c r="AK2305" s="694"/>
      <c r="AL2305" s="694"/>
    </row>
    <row r="2306" spans="1:38" x14ac:dyDescent="0.25">
      <c r="A2306" s="694"/>
      <c r="B2306" s="298"/>
      <c r="C2306" s="298"/>
      <c r="D2306" s="302"/>
      <c r="E2306" s="2358" t="str">
        <f>Translations!$B$491</f>
        <v>Освен това данните трябва да съответстват и на общото нетно количество получена измерима топлинна енергия, въведено в k). i по-долу.</v>
      </c>
      <c r="F2306" s="2249"/>
      <c r="G2306" s="2249"/>
      <c r="H2306" s="2249"/>
      <c r="I2306" s="2249"/>
      <c r="J2306" s="2249"/>
      <c r="K2306" s="2249"/>
      <c r="L2306" s="2249"/>
      <c r="M2306" s="2249"/>
      <c r="N2306" s="2249"/>
      <c r="O2306" s="302"/>
      <c r="P2306" s="302"/>
      <c r="Q2306" s="729"/>
      <c r="R2306" s="694"/>
      <c r="S2306" s="694"/>
      <c r="T2306" s="694"/>
      <c r="U2306" s="729"/>
      <c r="V2306" s="729"/>
      <c r="W2306" s="729"/>
      <c r="X2306" s="729"/>
      <c r="Y2306" s="729"/>
      <c r="Z2306" s="729"/>
      <c r="AA2306" s="694"/>
      <c r="AB2306" s="694"/>
      <c r="AC2306" s="694"/>
      <c r="AD2306" s="694"/>
      <c r="AE2306" s="694"/>
      <c r="AF2306" s="694"/>
      <c r="AG2306" s="694"/>
      <c r="AH2306" s="694"/>
      <c r="AI2306" s="694"/>
      <c r="AJ2306" s="694"/>
      <c r="AK2306" s="694"/>
      <c r="AL2306" s="694"/>
    </row>
    <row r="2307" spans="1:38" ht="13.5" thickBot="1" x14ac:dyDescent="0.3">
      <c r="A2307" s="694"/>
      <c r="B2307" s="698"/>
      <c r="C2307" s="698"/>
      <c r="D2307" s="300"/>
      <c r="E2307" s="1013" t="str">
        <f>Translations!$B$483</f>
        <v>Параметър</v>
      </c>
      <c r="F2307" s="1015"/>
      <c r="G2307" s="527" t="str">
        <f>EUconst_Unit</f>
        <v>Единица мярка</v>
      </c>
      <c r="H2307" s="391">
        <f>H$2831</f>
        <v>2024</v>
      </c>
      <c r="I2307" s="572">
        <f>I$2831</f>
        <v>2025</v>
      </c>
      <c r="J2307" s="757">
        <f>J$91</f>
        <v>2026</v>
      </c>
      <c r="K2307" s="391">
        <f>K$91</f>
        <v>2027</v>
      </c>
      <c r="L2307" s="391">
        <f>L$91</f>
        <v>2028</v>
      </c>
      <c r="M2307" s="391">
        <f>M$91</f>
        <v>2029</v>
      </c>
      <c r="N2307" s="391">
        <f>N$91</f>
        <v>2030</v>
      </c>
      <c r="O2307" s="302"/>
      <c r="P2307" s="302"/>
      <c r="Q2307" s="694"/>
      <c r="R2307" s="1031"/>
      <c r="S2307" s="1174" t="s">
        <v>1906</v>
      </c>
      <c r="T2307" s="1178">
        <f>H2307</f>
        <v>2024</v>
      </c>
      <c r="U2307" s="1178">
        <f t="shared" ref="U2307" si="3283">I2307</f>
        <v>2025</v>
      </c>
      <c r="V2307" s="1178">
        <f t="shared" ref="V2307" si="3284">J2307</f>
        <v>2026</v>
      </c>
      <c r="W2307" s="1178">
        <f t="shared" ref="W2307" si="3285">K2307</f>
        <v>2027</v>
      </c>
      <c r="X2307" s="1178">
        <f t="shared" ref="X2307" si="3286">L2307</f>
        <v>2028</v>
      </c>
      <c r="Y2307" s="1178">
        <f t="shared" ref="Y2307" si="3287">M2307</f>
        <v>2029</v>
      </c>
      <c r="Z2307" s="1178">
        <f t="shared" ref="Z2307" si="3288">N2307</f>
        <v>2030</v>
      </c>
      <c r="AA2307" s="1031"/>
      <c r="AB2307" s="694"/>
      <c r="AC2307" s="1178">
        <f t="shared" ref="AC2307" si="3289">H$20</f>
        <v>2024</v>
      </c>
      <c r="AD2307" s="1178">
        <f t="shared" ref="AD2307" si="3290">I$20</f>
        <v>2025</v>
      </c>
      <c r="AE2307" s="1178">
        <f t="shared" ref="AE2307" si="3291">J$20</f>
        <v>2026</v>
      </c>
      <c r="AF2307" s="1178">
        <f t="shared" ref="AF2307" si="3292">K$20</f>
        <v>2027</v>
      </c>
      <c r="AG2307" s="1178">
        <f t="shared" ref="AG2307" si="3293">L$20</f>
        <v>2028</v>
      </c>
      <c r="AH2307" s="1178">
        <f t="shared" ref="AH2307" si="3294">M$20</f>
        <v>2029</v>
      </c>
      <c r="AI2307" s="1178">
        <f t="shared" ref="AI2307" si="3295">N$20</f>
        <v>2030</v>
      </c>
      <c r="AJ2307" s="694"/>
      <c r="AK2307" s="694"/>
      <c r="AL2307" s="694"/>
    </row>
    <row r="2308" spans="1:38" ht="13" customHeight="1" thickBot="1" x14ac:dyDescent="0.3">
      <c r="A2308" s="694"/>
      <c r="B2308" s="698"/>
      <c r="C2308" s="698"/>
      <c r="D2308" s="1084" t="s">
        <v>6</v>
      </c>
      <c r="E2308" s="2667" t="str">
        <f>Translations!$B$492</f>
        <v>Измерима топлинна енергия, получена от източници извън СТЕ:</v>
      </c>
      <c r="F2308" s="2667"/>
      <c r="G2308" s="1016" t="str">
        <f>EUconst_TJpa</f>
        <v>TJ / година</v>
      </c>
      <c r="H2308" s="24"/>
      <c r="I2308" s="59"/>
      <c r="J2308" s="60"/>
      <c r="K2308" s="24"/>
      <c r="L2308" s="24"/>
      <c r="M2308" s="24"/>
      <c r="N2308" s="24"/>
      <c r="O2308" s="302"/>
      <c r="P2308" s="158"/>
      <c r="Q2308" s="982" t="str">
        <f>EUconst_CNTR_HAL&amp;EUconst_CNTR_nonETSMeasHeat</f>
        <v>HAL_измерима топлинна енергия извън СТЕ</v>
      </c>
      <c r="R2308" s="694"/>
      <c r="S2308" s="1174"/>
      <c r="T2308" s="1257" t="str">
        <f t="shared" ref="T2308" si="3296">IF(H2308="","",SUM(H2308)*EUconst_HeatBMvalue)</f>
        <v/>
      </c>
      <c r="U2308" s="1257" t="str">
        <f t="shared" ref="U2308" si="3297">IF(I2308="","",SUM(I2308)*EUconst_HeatBMvalue)</f>
        <v/>
      </c>
      <c r="V2308" s="1257" t="str">
        <f t="shared" ref="V2308" si="3298">IF(J2308="","",SUM(J2308)*EUconst_HeatBMvalue)</f>
        <v/>
      </c>
      <c r="W2308" s="1257" t="str">
        <f t="shared" ref="W2308" si="3299">IF(K2308="","",SUM(K2308)*EUconst_HeatBMvalue)</f>
        <v/>
      </c>
      <c r="X2308" s="1257" t="str">
        <f t="shared" ref="X2308" si="3300">IF(L2308="","",SUM(L2308)*EUconst_HeatBMvalue)</f>
        <v/>
      </c>
      <c r="Y2308" s="1257" t="str">
        <f t="shared" ref="Y2308" si="3301">IF(M2308="","",SUM(M2308)*EUconst_HeatBMvalue)</f>
        <v/>
      </c>
      <c r="Z2308" s="1257" t="str">
        <f t="shared" ref="Z2308" si="3302">IF(N2308="","",SUM(N2308)*EUconst_HeatBMvalue)</f>
        <v/>
      </c>
      <c r="AA2308" s="694"/>
      <c r="AB2308" s="1182" t="s">
        <v>737</v>
      </c>
      <c r="AC2308" s="1183" t="b">
        <f t="shared" ref="AC2308" si="3303">IF(CNTR_ExistSubInstEntries,OR($I2261="",H2268&gt;=CNTR_ReportingYear,AC2307&lt;$V2261-1),FALSE)</f>
        <v>0</v>
      </c>
      <c r="AD2308" s="1184" t="b">
        <f t="shared" ref="AD2308" si="3304">IF(CNTR_ExistSubInstEntries,OR($I2261="",I2268&gt;=CNTR_ReportingYear,AD2307&lt;$V2261-1),FALSE)</f>
        <v>0</v>
      </c>
      <c r="AE2308" s="1184" t="b">
        <f t="shared" ref="AE2308" si="3305">IF(CNTR_ExistSubInstEntries,OR($I2261="",J2268&gt;=CNTR_ReportingYear,AE2307&lt;$V2261-1),FALSE)</f>
        <v>0</v>
      </c>
      <c r="AF2308" s="1184" t="b">
        <f t="shared" ref="AF2308" si="3306">IF(CNTR_ExistSubInstEntries,OR($I2261="",K2268&gt;=CNTR_ReportingYear,AF2307&lt;$V2261-1),FALSE)</f>
        <v>0</v>
      </c>
      <c r="AG2308" s="1184" t="b">
        <f t="shared" ref="AG2308" si="3307">IF(CNTR_ExistSubInstEntries,OR($I2261="",L2268&gt;=CNTR_ReportingYear,AG2307&lt;$V2261-1),FALSE)</f>
        <v>0</v>
      </c>
      <c r="AH2308" s="1184" t="b">
        <f t="shared" ref="AH2308" si="3308">IF(CNTR_ExistSubInstEntries,OR($I2261="",M2268&gt;=CNTR_ReportingYear,AH2307&lt;$V2261-1),FALSE)</f>
        <v>0</v>
      </c>
      <c r="AI2308" s="1185" t="b">
        <f t="shared" ref="AI2308" si="3309">IF(CNTR_ExistSubInstEntries,OR($I2261="",N2268&gt;=CNTR_ReportingYear,AI2307&lt;$V2261-1),FALSE)</f>
        <v>0</v>
      </c>
      <c r="AJ2308" s="1174" t="s">
        <v>2039</v>
      </c>
      <c r="AK2308" s="1176" t="str">
        <f>IF(AND(CNTR_ExistSubInstEntries,COUNTIFS(AC2308:AI2308,FALSE,H2308:N2308,"")&gt;0),EUconst_Error&amp;"BM"&amp;$Q2261,"")</f>
        <v/>
      </c>
      <c r="AL2308" s="694"/>
    </row>
    <row r="2309" spans="1:38" ht="25.5" customHeight="1" x14ac:dyDescent="0.25">
      <c r="A2309" s="694"/>
      <c r="B2309" s="698"/>
      <c r="C2309" s="698"/>
      <c r="D2309" s="1084" t="s">
        <v>7</v>
      </c>
      <c r="E2309" s="1258" t="str">
        <f>Translations!$B$493</f>
        <v>Проверка на съответствието с работен лист „E_Energy flows“ („E_Енергийни потоци“):</v>
      </c>
      <c r="F2309" s="1258"/>
      <c r="G2309" s="1259" t="s">
        <v>1053</v>
      </c>
      <c r="H2309" s="16" t="str">
        <f>IF(AND(ISNUMBER(H2308),ISNUMBER(E_EnergyFlows!H$141)), H2308/E_EnergyFlows!H$141*100,"")</f>
        <v/>
      </c>
      <c r="I2309" s="105" t="str">
        <f>IF(AND(ISNUMBER(I2308),ISNUMBER(E_EnergyFlows!I$141)), I2308/E_EnergyFlows!I$141*100,"")</f>
        <v/>
      </c>
      <c r="J2309" s="107" t="str">
        <f>IF(AND(ISNUMBER(J2308),ISNUMBER(E_EnergyFlows!J$141)), J2308/E_EnergyFlows!J$141*100,"")</f>
        <v/>
      </c>
      <c r="K2309" s="16" t="str">
        <f>IF(AND(ISNUMBER(K2308),ISNUMBER(E_EnergyFlows!K$141)), K2308/E_EnergyFlows!K$141*100,"")</f>
        <v/>
      </c>
      <c r="L2309" s="16" t="str">
        <f>IF(AND(ISNUMBER(L2308),ISNUMBER(E_EnergyFlows!L$141)), L2308/E_EnergyFlows!L$141*100,"")</f>
        <v/>
      </c>
      <c r="M2309" s="16" t="str">
        <f>IF(AND(ISNUMBER(M2308),ISNUMBER(E_EnergyFlows!M$141)), M2308/E_EnergyFlows!M$141*100,"")</f>
        <v/>
      </c>
      <c r="N2309" s="16" t="str">
        <f>IF(AND(ISNUMBER(N2308),ISNUMBER(E_EnergyFlows!N$141)), N2308/E_EnergyFlows!N$141*100,"")</f>
        <v/>
      </c>
      <c r="O2309" s="302"/>
      <c r="P2309" s="302"/>
      <c r="Q2309" s="1033" t="str">
        <f>EUconst_CNTR_HEAT &amp; I2261</f>
        <v>HEAT_</v>
      </c>
      <c r="R2309" s="729"/>
      <c r="S2309" s="694"/>
      <c r="T2309" s="694"/>
      <c r="U2309" s="729"/>
      <c r="V2309" s="729"/>
      <c r="W2309" s="694"/>
      <c r="X2309" s="694"/>
      <c r="Y2309" s="694"/>
      <c r="Z2309" s="694"/>
      <c r="AA2309" s="694"/>
      <c r="AB2309" s="694"/>
      <c r="AC2309" s="694"/>
      <c r="AD2309" s="694"/>
      <c r="AE2309" s="694"/>
      <c r="AF2309" s="694"/>
      <c r="AG2309" s="694"/>
      <c r="AH2309" s="694"/>
      <c r="AI2309" s="694"/>
      <c r="AJ2309" s="694"/>
      <c r="AK2309" s="694"/>
      <c r="AL2309" s="694"/>
    </row>
    <row r="2310" spans="1:38" ht="12.65" customHeight="1" x14ac:dyDescent="0.25">
      <c r="A2310" s="694"/>
      <c r="B2310" s="698"/>
      <c r="C2310" s="698"/>
      <c r="D2310" s="1084" t="s">
        <v>8</v>
      </c>
      <c r="E2310" s="1260" t="str">
        <f>Translations!$B$494</f>
        <v>Проверка на съответствието с k).i):</v>
      </c>
      <c r="F2310" s="1261"/>
      <c r="G2310" s="1262" t="s">
        <v>1053</v>
      </c>
      <c r="H2310" s="15" t="str">
        <f t="shared" ref="H2310:N2310" si="3310">IF(AND(H2433&gt;0,ISNUMBER(H2308)), H2308/H2433*100,"")</f>
        <v/>
      </c>
      <c r="I2310" s="106" t="str">
        <f t="shared" si="3310"/>
        <v/>
      </c>
      <c r="J2310" s="108" t="str">
        <f t="shared" si="3310"/>
        <v/>
      </c>
      <c r="K2310" s="15" t="str">
        <f t="shared" si="3310"/>
        <v/>
      </c>
      <c r="L2310" s="15" t="str">
        <f t="shared" si="3310"/>
        <v/>
      </c>
      <c r="M2310" s="15" t="str">
        <f t="shared" si="3310"/>
        <v/>
      </c>
      <c r="N2310" s="15" t="str">
        <f t="shared" si="3310"/>
        <v/>
      </c>
      <c r="O2310" s="302"/>
      <c r="P2310" s="302"/>
      <c r="Q2310" s="694"/>
      <c r="R2310" s="694"/>
      <c r="S2310" s="694"/>
      <c r="T2310" s="694"/>
      <c r="U2310" s="729"/>
      <c r="V2310" s="729"/>
      <c r="W2310" s="694"/>
      <c r="X2310" s="694"/>
      <c r="Y2310" s="694"/>
      <c r="Z2310" s="694"/>
      <c r="AA2310" s="694"/>
      <c r="AB2310" s="694"/>
      <c r="AC2310" s="694"/>
      <c r="AD2310" s="694"/>
      <c r="AE2310" s="694"/>
      <c r="AF2310" s="694"/>
      <c r="AG2310" s="694"/>
      <c r="AH2310" s="694"/>
      <c r="AI2310" s="694"/>
      <c r="AJ2310" s="694"/>
      <c r="AK2310" s="694"/>
      <c r="AL2310" s="694"/>
    </row>
    <row r="2311" spans="1:38" ht="5.15" customHeight="1" x14ac:dyDescent="0.25">
      <c r="A2311" s="694"/>
      <c r="B2311" s="698"/>
      <c r="C2311" s="698"/>
      <c r="D2311" s="698"/>
      <c r="E2311" s="698"/>
      <c r="F2311" s="698"/>
      <c r="G2311" s="698"/>
      <c r="H2311" s="698"/>
      <c r="I2311" s="1025"/>
      <c r="J2311" s="698"/>
      <c r="K2311" s="698"/>
      <c r="L2311" s="698"/>
      <c r="M2311" s="698"/>
      <c r="N2311" s="698"/>
      <c r="O2311" s="302"/>
      <c r="P2311" s="302"/>
      <c r="Q2311" s="1263"/>
      <c r="R2311" s="694"/>
      <c r="S2311" s="694"/>
      <c r="T2311" s="694"/>
      <c r="U2311" s="729"/>
      <c r="V2311" s="729"/>
      <c r="W2311" s="694"/>
      <c r="X2311" s="694"/>
      <c r="Y2311" s="694"/>
      <c r="Z2311" s="694"/>
      <c r="AA2311" s="694"/>
      <c r="AB2311" s="694"/>
      <c r="AC2311" s="694"/>
      <c r="AD2311" s="694"/>
      <c r="AE2311" s="694"/>
      <c r="AF2311" s="694"/>
      <c r="AG2311" s="694"/>
      <c r="AH2311" s="694"/>
      <c r="AI2311" s="694"/>
      <c r="AJ2311" s="694"/>
      <c r="AK2311" s="694"/>
      <c r="AL2311" s="694"/>
    </row>
    <row r="2312" spans="1:38" ht="25.5" customHeight="1" thickBot="1" x14ac:dyDescent="0.3">
      <c r="A2312" s="694"/>
      <c r="B2312" s="298"/>
      <c r="C2312" s="298"/>
      <c r="D2312" s="302"/>
      <c r="E2312" s="2358" t="str">
        <f>Translations!$B$1326</f>
        <v>На базата на данните по-горе тук се определят средните годишни стойности на стойностите от i. Разпределението ще бъде променено само ако са надвишени относителният праг (15 % в сравнение със стойността в НМИ) и абсолютният праг (промяната води до корекция с повече от 100 квоти), определени в член 6, параграф 4 от Регламента за ALC.</v>
      </c>
      <c r="F2312" s="2249"/>
      <c r="G2312" s="2249"/>
      <c r="H2312" s="2249"/>
      <c r="I2312" s="2249"/>
      <c r="J2312" s="2249"/>
      <c r="K2312" s="2249"/>
      <c r="L2312" s="2249"/>
      <c r="M2312" s="2249"/>
      <c r="N2312" s="2249"/>
      <c r="O2312" s="302"/>
      <c r="P2312" s="302"/>
      <c r="Q2312" s="729"/>
      <c r="R2312" s="694"/>
      <c r="S2312" s="729"/>
      <c r="T2312" s="729"/>
      <c r="U2312" s="729"/>
      <c r="V2312" s="694"/>
      <c r="W2312" s="694"/>
      <c r="X2312" s="694"/>
      <c r="Y2312" s="694"/>
      <c r="Z2312" s="694"/>
      <c r="AA2312" s="694"/>
      <c r="AB2312" s="694"/>
      <c r="AC2312" s="694"/>
      <c r="AD2312" s="694"/>
      <c r="AE2312" s="694"/>
      <c r="AF2312" s="694"/>
      <c r="AG2312" s="694"/>
      <c r="AH2312" s="694"/>
      <c r="AI2312" s="694"/>
      <c r="AJ2312" s="694"/>
      <c r="AK2312" s="694"/>
      <c r="AL2312" s="694"/>
    </row>
    <row r="2313" spans="1:38" ht="5.15" customHeight="1" thickBot="1" x14ac:dyDescent="0.3">
      <c r="A2313" s="694"/>
      <c r="B2313" s="298"/>
      <c r="C2313" s="298"/>
      <c r="D2313" s="1192"/>
      <c r="E2313" s="1194"/>
      <c r="F2313" s="1264"/>
      <c r="G2313" s="1264"/>
      <c r="H2313" s="1264"/>
      <c r="I2313" s="1264"/>
      <c r="J2313" s="1264"/>
      <c r="K2313" s="1264"/>
      <c r="L2313" s="1264"/>
      <c r="M2313" s="1264"/>
      <c r="N2313" s="1265"/>
      <c r="O2313" s="302"/>
      <c r="P2313" s="302"/>
      <c r="Q2313" s="729"/>
      <c r="R2313" s="694"/>
      <c r="S2313" s="729"/>
      <c r="T2313" s="729"/>
      <c r="U2313" s="729"/>
      <c r="V2313" s="694"/>
      <c r="W2313" s="694"/>
      <c r="X2313" s="694"/>
      <c r="Y2313" s="694"/>
      <c r="Z2313" s="694"/>
      <c r="AA2313" s="694"/>
      <c r="AB2313" s="694"/>
      <c r="AC2313" s="694"/>
      <c r="AD2313" s="694"/>
      <c r="AE2313" s="694"/>
      <c r="AF2313" s="694"/>
      <c r="AG2313" s="694"/>
      <c r="AH2313" s="694"/>
      <c r="AI2313" s="694"/>
      <c r="AJ2313" s="694"/>
      <c r="AK2313" s="694"/>
      <c r="AL2313" s="694"/>
    </row>
    <row r="2314" spans="1:38" ht="12.75" customHeight="1" x14ac:dyDescent="0.25">
      <c r="A2314" s="694"/>
      <c r="B2314" s="298"/>
      <c r="C2314" s="298"/>
      <c r="D2314" s="1197" t="s">
        <v>2003</v>
      </c>
      <c r="E2314" s="1198" t="str">
        <f>Translations!$B$1329</f>
        <v>Корекции: Топлинна енергия извън СТЕ</v>
      </c>
      <c r="F2314" s="1199"/>
      <c r="G2314" s="1199"/>
      <c r="H2314" s="1200" t="str">
        <f>EUconst_Unit</f>
        <v>Единица мярка</v>
      </c>
      <c r="I2314" s="1201" t="str">
        <f>Translations!$B$1327</f>
        <v>(НМИ) стойност</v>
      </c>
      <c r="J2314" s="1202">
        <f>J$2831</f>
        <v>2026</v>
      </c>
      <c r="K2314" s="1203">
        <f>K$2831</f>
        <v>2027</v>
      </c>
      <c r="L2314" s="1203">
        <f>L$2831</f>
        <v>2028</v>
      </c>
      <c r="M2314" s="1203">
        <f>M$2831</f>
        <v>2029</v>
      </c>
      <c r="N2314" s="1204">
        <f>N$2831</f>
        <v>2030</v>
      </c>
      <c r="O2314" s="302"/>
      <c r="P2314" s="302"/>
      <c r="Q2314" s="729"/>
      <c r="R2314" s="694"/>
      <c r="S2314" s="694"/>
      <c r="T2314" s="694"/>
      <c r="U2314" s="1205"/>
      <c r="V2314" s="1206">
        <f>J2314</f>
        <v>2026</v>
      </c>
      <c r="W2314" s="1206">
        <f>K2314</f>
        <v>2027</v>
      </c>
      <c r="X2314" s="1206">
        <f>L2314</f>
        <v>2028</v>
      </c>
      <c r="Y2314" s="1206">
        <f>M2314</f>
        <v>2029</v>
      </c>
      <c r="Z2314" s="1207">
        <f>N2314</f>
        <v>2030</v>
      </c>
      <c r="AA2314" s="694"/>
      <c r="AB2314" s="694"/>
      <c r="AC2314" s="694"/>
      <c r="AD2314" s="694"/>
      <c r="AE2314" s="694"/>
      <c r="AF2314" s="694"/>
      <c r="AG2314" s="694"/>
      <c r="AH2314" s="694"/>
      <c r="AI2314" s="694"/>
      <c r="AJ2314" s="694"/>
      <c r="AK2314" s="694"/>
      <c r="AL2314" s="694"/>
    </row>
    <row r="2315" spans="1:38" ht="12.75" customHeight="1" x14ac:dyDescent="0.25">
      <c r="A2315" s="694"/>
      <c r="B2315" s="298"/>
      <c r="C2315" s="298"/>
      <c r="D2315" s="1208" t="s">
        <v>6</v>
      </c>
      <c r="E2315" s="1209" t="str">
        <f>Translations!$B$1328</f>
        <v>Средна годишна стойност</v>
      </c>
      <c r="F2315" s="1209"/>
      <c r="G2315" s="1209"/>
      <c r="H2315" s="1266" t="str">
        <f>EUconst_tCO2</f>
        <v>t CO2</v>
      </c>
      <c r="I2315" s="1211" t="str">
        <f>INDEX('B+C_SubInstallations'!$J:$J,MATCH(Q2315,'B+C_SubInstallations'!$U:$U,0))</f>
        <v/>
      </c>
      <c r="J2315" s="1267" t="str">
        <f>IF(AND(V2315&gt;=3,CNTR_ReportingYear&gt;J2314-1),AVERAGE(SUM(T2308),SUM(U2308)),"")</f>
        <v/>
      </c>
      <c r="K2315" s="1268" t="str">
        <f>IF(AND(W2315&gt;=3,CNTR_ReportingYear&gt;K2314-1),AVERAGE(SUM(U2308),SUM(V2308)),"")</f>
        <v/>
      </c>
      <c r="L2315" s="1268" t="str">
        <f>IF(AND(X2315&gt;=3,CNTR_ReportingYear&gt;L2314-1),AVERAGE(SUM(V2308),SUM(W2308)),"")</f>
        <v/>
      </c>
      <c r="M2315" s="1268" t="str">
        <f>IF(AND(Y2315&gt;=3,CNTR_ReportingYear&gt;M2314-1),AVERAGE(SUM(W2308),SUM(X2308)),"")</f>
        <v/>
      </c>
      <c r="N2315" s="1269" t="str">
        <f>IF(AND(Z2315&gt;=3,CNTR_ReportingYear&gt;N2314-1),AVERAGE(SUM(X2308),SUM(Y2308)),"")</f>
        <v/>
      </c>
      <c r="O2315" s="302"/>
      <c r="P2315" s="302"/>
      <c r="Q2315" s="1270" t="str">
        <f>EUconst_CNTR_HEATInitial &amp; I2261</f>
        <v>HEATIni_</v>
      </c>
      <c r="R2315" s="694"/>
      <c r="S2315" s="694"/>
      <c r="T2315" s="694"/>
      <c r="U2315" s="1231" t="s">
        <v>1710</v>
      </c>
      <c r="V2315" s="1176">
        <f>V2283</f>
        <v>0</v>
      </c>
      <c r="W2315" s="1176">
        <f>W2283</f>
        <v>0</v>
      </c>
      <c r="X2315" s="1176">
        <f>X2283</f>
        <v>0</v>
      </c>
      <c r="Y2315" s="1176">
        <f>Y2283</f>
        <v>0</v>
      </c>
      <c r="Z2315" s="1216">
        <f>Z2283</f>
        <v>0</v>
      </c>
      <c r="AA2315" s="694"/>
      <c r="AB2315" s="694"/>
      <c r="AC2315" s="694"/>
      <c r="AD2315" s="694"/>
      <c r="AE2315" s="694"/>
      <c r="AF2315" s="694"/>
      <c r="AG2315" s="694"/>
      <c r="AH2315" s="694"/>
      <c r="AI2315" s="694"/>
      <c r="AJ2315" s="694"/>
      <c r="AK2315" s="694"/>
      <c r="AL2315" s="694"/>
    </row>
    <row r="2316" spans="1:38" ht="12.75" hidden="1" customHeight="1" x14ac:dyDescent="0.25">
      <c r="A2316" s="729" t="s">
        <v>312</v>
      </c>
      <c r="B2316" s="298"/>
      <c r="C2316" s="298"/>
      <c r="D2316" s="1208"/>
      <c r="E2316" s="1209" t="str">
        <f>Translations!$B$1378</f>
        <v>Промяна в сравнение със стойността в НМИ</v>
      </c>
      <c r="F2316" s="1209"/>
      <c r="G2316" s="1209"/>
      <c r="H2316" s="1222"/>
      <c r="I2316" s="1223"/>
      <c r="J2316" s="104" t="str">
        <f>IF(J2315="","",IF($I2318=0,IF(J2315=0,0%,100%),J2315/$I2318-1))</f>
        <v/>
      </c>
      <c r="K2316" s="99" t="str">
        <f>IF(K2315="","",IF($I2318=0,IF(K2315=0,0%,100%),K2315/$I2318-1))</f>
        <v/>
      </c>
      <c r="L2316" s="99" t="str">
        <f>IF(L2315="","",IF($I2318=0,IF(L2315=0,0%,100%),L2315/$I2318-1))</f>
        <v/>
      </c>
      <c r="M2316" s="99" t="str">
        <f>IF(M2315="","",IF($I2318=0,IF(M2315=0,0%,100%),M2315/$I2318-1))</f>
        <v/>
      </c>
      <c r="N2316" s="123" t="str">
        <f>IF(N2315="","",IF($I2318=0,IF(N2315=0,0%,100%),N2315/$I2318-1))</f>
        <v/>
      </c>
      <c r="O2316" s="302"/>
      <c r="P2316" s="302"/>
      <c r="Q2316" s="1190" t="str">
        <f>EUconst_CNTR_RelThreshold &amp; Q2318</f>
        <v>RelThresh_HEATprelim_</v>
      </c>
      <c r="R2316" s="694"/>
      <c r="S2316" s="694"/>
      <c r="T2316" s="694"/>
      <c r="U2316" s="1231" t="s">
        <v>1715</v>
      </c>
      <c r="V2316" s="727" t="str">
        <f>IF(J2315="","",ABS(J2316)&gt;15%)</f>
        <v/>
      </c>
      <c r="W2316" s="727" t="str">
        <f>IF(K2315="","",ABS(K2316)&gt;15%)</f>
        <v/>
      </c>
      <c r="X2316" s="727" t="str">
        <f>IF(L2315="","",ABS(L2316)&gt;15%)</f>
        <v/>
      </c>
      <c r="Y2316" s="727" t="str">
        <f>IF(M2315="","",ABS(M2316)&gt;15%)</f>
        <v/>
      </c>
      <c r="Z2316" s="1221" t="str">
        <f>IF(N2315="","",ABS(N2316)&gt;15%)</f>
        <v/>
      </c>
      <c r="AA2316" s="694"/>
      <c r="AB2316" s="694"/>
      <c r="AC2316" s="694"/>
      <c r="AD2316" s="694"/>
      <c r="AE2316" s="694"/>
      <c r="AF2316" s="694"/>
      <c r="AG2316" s="694"/>
      <c r="AH2316" s="694"/>
      <c r="AI2316" s="694"/>
      <c r="AJ2316" s="694"/>
      <c r="AK2316" s="694"/>
      <c r="AL2316" s="694"/>
    </row>
    <row r="2317" spans="1:38" ht="12.75" customHeight="1" x14ac:dyDescent="0.25">
      <c r="A2317" s="729"/>
      <c r="B2317" s="298"/>
      <c r="C2317" s="298"/>
      <c r="D2317" s="1208" t="s">
        <v>7</v>
      </c>
      <c r="E2317" s="1209" t="str">
        <f>Translations!$B$1322</f>
        <v>Предварителна корекция (ако са надвишени относителните прагове)</v>
      </c>
      <c r="F2317" s="1209"/>
      <c r="G2317" s="1209"/>
      <c r="H2317" s="1222"/>
      <c r="I2317" s="1223"/>
      <c r="J2317" s="1224" t="str">
        <f>IF(J2315="","",IF(V2316=FALSE,0%,IF(V2317,J2316,I2323)))</f>
        <v/>
      </c>
      <c r="K2317" s="1225" t="str">
        <f>IF(K2315="","",IF(W2316=FALSE,0%,IF(W2317,K2316,J2323)))</f>
        <v/>
      </c>
      <c r="L2317" s="1225" t="str">
        <f>IF(L2315="","",IF(X2316=FALSE,0%,IF(X2317,L2316,K2323)))</f>
        <v/>
      </c>
      <c r="M2317" s="1225" t="str">
        <f>IF(M2315="","",IF(Y2316=FALSE,0%,IF(Y2317,M2316,L2323)))</f>
        <v/>
      </c>
      <c r="N2317" s="1226" t="str">
        <f>IF(N2315="","",IF(Z2316=FALSE,0%,IF(Z2317,N2316,M2323)))</f>
        <v/>
      </c>
      <c r="O2317" s="302"/>
      <c r="P2317" s="302"/>
      <c r="Q2317" s="729"/>
      <c r="R2317" s="694"/>
      <c r="S2317" s="694"/>
      <c r="T2317" s="694"/>
      <c r="U2317" s="1215" t="s">
        <v>1716</v>
      </c>
      <c r="V2317" s="727" t="str">
        <f>IF(J2315="","",AND(V2316,IF(SUM(I2323)&lt;0,OR(SUM(J2316)&lt;SUM(I2323)-MOD(SUM(I2323),5%),J2316&gt;=SUM(I2323)+5%-MOD(SUM(I2323),5%)),OR(SUM(J2316)&lt;=SUM(I2323)-MOD(SUM(I2323),5%),SUM(J2316)&gt;SUM(I2323)+5%-MOD(SUM(I2323),5%)))))</f>
        <v/>
      </c>
      <c r="W2317" s="727" t="str">
        <f>IF(K2315="","",AND(W2316,IF(SUM(J2323)&lt;0,OR(SUM(K2316)&lt;SUM(J2323)-MOD(SUM(J2323),5%),K2316&gt;=SUM(J2323)+5%-MOD(SUM(J2323),5%)),OR(SUM(K2316)&lt;=SUM(J2323)-MOD(SUM(J2323),5%),SUM(K2316)&gt;SUM(J2323)+5%-MOD(SUM(J2323),5%)))))</f>
        <v/>
      </c>
      <c r="X2317" s="727" t="str">
        <f>IF(L2315="","",AND(X2316,IF(SUM(K2323)&lt;0,OR(SUM(L2316)&lt;SUM(K2323)-MOD(SUM(K2323),5%),L2316&gt;=SUM(K2323)+5%-MOD(SUM(K2323),5%)),OR(SUM(L2316)&lt;=SUM(K2323)-MOD(SUM(K2323),5%),SUM(L2316)&gt;SUM(K2323)+5%-MOD(SUM(K2323),5%)))))</f>
        <v/>
      </c>
      <c r="Y2317" s="727" t="str">
        <f>IF(M2315="","",AND(Y2316,IF(SUM(L2323)&lt;0,OR(SUM(M2316)&lt;SUM(L2323)-MOD(SUM(L2323),5%),M2316&gt;=SUM(L2323)+5%-MOD(SUM(L2323),5%)),OR(SUM(M2316)&lt;=SUM(L2323)-MOD(SUM(L2323),5%),SUM(M2316)&gt;SUM(L2323)+5%-MOD(SUM(L2323),5%)))))</f>
        <v/>
      </c>
      <c r="Z2317" s="1221" t="str">
        <f>IF(N2315="","",AND(Z2316,IF(SUM(M2323)&lt;0,OR(SUM(N2316)&lt;SUM(M2323)-MOD(SUM(M2323),5%),N2316&gt;=SUM(M2323)+5%-MOD(SUM(M2323),5%)),OR(SUM(N2316)&lt;=SUM(M2323)-MOD(SUM(M2323),5%),SUM(N2316)&gt;SUM(M2323)+5%-MOD(SUM(M2323),5%)))))</f>
        <v/>
      </c>
      <c r="AA2317" s="694"/>
      <c r="AB2317" s="694"/>
      <c r="AC2317" s="694"/>
      <c r="AD2317" s="694"/>
      <c r="AE2317" s="694"/>
      <c r="AF2317" s="694"/>
      <c r="AG2317" s="694"/>
      <c r="AH2317" s="694"/>
      <c r="AI2317" s="694"/>
      <c r="AJ2317" s="694"/>
      <c r="AK2317" s="694"/>
      <c r="AL2317" s="729"/>
    </row>
    <row r="2318" spans="1:38" ht="12.75" hidden="1" customHeight="1" x14ac:dyDescent="0.25">
      <c r="A2318" s="729" t="s">
        <v>312</v>
      </c>
      <c r="B2318" s="298"/>
      <c r="C2318" s="298"/>
      <c r="D2318" s="1208"/>
      <c r="E2318" s="1209" t="str">
        <f>Translations!$B$1377</f>
        <v>Предварителна стойност</v>
      </c>
      <c r="F2318" s="1209"/>
      <c r="G2318" s="1209"/>
      <c r="H2318" s="1266" t="str">
        <f>H2315</f>
        <v>t CO2</v>
      </c>
      <c r="I2318" s="1211" t="str">
        <f>IF($I2261="","",IF(AB2261=FALSE,EUconst_NA,IF(V2261&gt;($J$2831-3),SUM(INDEX(H2308:N2308,MATCH(V2261,H2307:N2307,0))*EUconst_HeatBMvalue),SUM(I2315))))</f>
        <v/>
      </c>
      <c r="J2318" s="1212" t="str">
        <f>IF($I2261="","",IF(V2315&lt;2,SUM(V2308),IF(V2315&lt;3,SUM(U2308),IF(V2318="",I2318,V2318))))</f>
        <v/>
      </c>
      <c r="K2318" s="1213" t="str">
        <f>IF($I2261="","",IF(W2315&lt;2,SUM(W2308),IF(W2315&lt;3,SUM(V2308),IF(W2318="",J2318,W2318))))</f>
        <v/>
      </c>
      <c r="L2318" s="1213" t="str">
        <f>IF($I2261="","",IF(X2315&lt;2,SUM(X2308),IF(X2315&lt;3,SUM(W2308),IF(X2318="",K2318,X2318))))</f>
        <v/>
      </c>
      <c r="M2318" s="1213" t="str">
        <f>IF($I2261="","",IF(Y2315&lt;2,SUM(Y2308),IF(Y2315&lt;3,SUM(X2308),IF(Y2318="",L2318,Y2318))))</f>
        <v/>
      </c>
      <c r="N2318" s="1214" t="str">
        <f>IF($I2261="","",IF(Z2315&lt;2,SUM(Z2308),IF(Z2315&lt;3,SUM(Y2308),IF(Z2318="",M2318,Z2318))))</f>
        <v/>
      </c>
      <c r="O2318" s="302"/>
      <c r="P2318" s="302"/>
      <c r="Q2318" s="1190" t="str">
        <f>EUconst_CNTR_HEATprelim &amp; I2261</f>
        <v>HEATprelim_</v>
      </c>
      <c r="R2318" s="694"/>
      <c r="S2318" s="694"/>
      <c r="T2318" s="694"/>
      <c r="U2318" s="1231" t="s">
        <v>1756</v>
      </c>
      <c r="V2318" s="1271" t="str">
        <f>IF(J2315="","",IF(CNTR_ReportingYear&lt;J2314,I2317,IF($I2318=0,J2315,$I2318*(1+J2317))))</f>
        <v/>
      </c>
      <c r="W2318" s="1271" t="str">
        <f>IF(K2315="","",IF(CNTR_ReportingYear&lt;K2314,J2317,IF($I2318=0,K2315,$I2318*(1+K2317))))</f>
        <v/>
      </c>
      <c r="X2318" s="1271" t="str">
        <f>IF(L2315="","",IF(CNTR_ReportingYear&lt;L2314,K2317,IF($I2318=0,L2315,$I2318*(1+L2317))))</f>
        <v/>
      </c>
      <c r="Y2318" s="1271" t="str">
        <f>IF(M2315="","",IF(CNTR_ReportingYear&lt;M2314,L2317,IF($I2318=0,M2315,$I2318*(1+M2317))))</f>
        <v/>
      </c>
      <c r="Z2318" s="1272" t="str">
        <f>IF(N2315="","",IF(CNTR_ReportingYear&lt;N2314,M2317,IF($I2318=0,N2315,$I2318*(1+N2317))))</f>
        <v/>
      </c>
      <c r="AA2318" s="694"/>
      <c r="AB2318" s="694"/>
      <c r="AC2318" s="694"/>
      <c r="AD2318" s="694"/>
      <c r="AE2318" s="694"/>
      <c r="AF2318" s="694"/>
      <c r="AG2318" s="694"/>
      <c r="AH2318" s="694"/>
      <c r="AI2318" s="694"/>
      <c r="AJ2318" s="694"/>
      <c r="AK2318" s="694"/>
      <c r="AL2318" s="729"/>
    </row>
    <row r="2319" spans="1:38" ht="5.15" customHeight="1" x14ac:dyDescent="0.25">
      <c r="A2319" s="729"/>
      <c r="B2319" s="298"/>
      <c r="C2319" s="298"/>
      <c r="D2319" s="1208"/>
      <c r="E2319" s="1199"/>
      <c r="F2319" s="1199"/>
      <c r="G2319" s="1199"/>
      <c r="H2319" s="1199"/>
      <c r="I2319" s="1199"/>
      <c r="J2319" s="1229"/>
      <c r="K2319" s="1229"/>
      <c r="L2319" s="1229"/>
      <c r="M2319" s="1229"/>
      <c r="N2319" s="1230"/>
      <c r="O2319" s="302"/>
      <c r="P2319" s="302"/>
      <c r="Q2319" s="729"/>
      <c r="R2319" s="694"/>
      <c r="S2319" s="694"/>
      <c r="T2319" s="694"/>
      <c r="U2319" s="1231"/>
      <c r="V2319" s="729"/>
      <c r="W2319" s="694"/>
      <c r="X2319" s="694"/>
      <c r="Y2319" s="694"/>
      <c r="Z2319" s="1232"/>
      <c r="AA2319" s="694"/>
      <c r="AB2319" s="694"/>
      <c r="AC2319" s="694"/>
      <c r="AD2319" s="694"/>
      <c r="AE2319" s="694"/>
      <c r="AF2319" s="694"/>
      <c r="AG2319" s="694"/>
      <c r="AH2319" s="694"/>
      <c r="AI2319" s="694"/>
      <c r="AJ2319" s="694"/>
      <c r="AK2319" s="694"/>
      <c r="AL2319" s="729"/>
    </row>
    <row r="2320" spans="1:38" ht="12.75" customHeight="1" x14ac:dyDescent="0.25">
      <c r="A2320" s="729"/>
      <c r="B2320" s="298"/>
      <c r="C2320" s="298"/>
      <c r="D2320" s="1208"/>
      <c r="E2320" s="1233" t="str">
        <f>Translations!$B$1323</f>
        <v>Действителна корекция (база за следващи години)</v>
      </c>
      <c r="F2320" s="1233"/>
      <c r="G2320" s="1233"/>
      <c r="H2320" s="1233"/>
      <c r="I2320" s="1233"/>
      <c r="J2320" s="1202">
        <f>J$2831</f>
        <v>2026</v>
      </c>
      <c r="K2320" s="1203">
        <f>K$2831</f>
        <v>2027</v>
      </c>
      <c r="L2320" s="1203">
        <f>L$2831</f>
        <v>2028</v>
      </c>
      <c r="M2320" s="1203">
        <f>M$2831</f>
        <v>2029</v>
      </c>
      <c r="N2320" s="1204">
        <f>N$2831</f>
        <v>2030</v>
      </c>
      <c r="O2320" s="302"/>
      <c r="P2320" s="302"/>
      <c r="Q2320" s="729"/>
      <c r="R2320" s="694"/>
      <c r="S2320" s="694"/>
      <c r="T2320" s="694"/>
      <c r="U2320" s="1234"/>
      <c r="V2320" s="694"/>
      <c r="W2320" s="694"/>
      <c r="X2320" s="694"/>
      <c r="Y2320" s="694"/>
      <c r="Z2320" s="1232"/>
      <c r="AA2320" s="694"/>
      <c r="AB2320" s="694"/>
      <c r="AC2320" s="694"/>
      <c r="AD2320" s="694"/>
      <c r="AE2320" s="694"/>
      <c r="AF2320" s="694"/>
      <c r="AG2320" s="694"/>
      <c r="AH2320" s="694"/>
      <c r="AI2320" s="694"/>
      <c r="AJ2320" s="694"/>
      <c r="AK2320" s="694"/>
      <c r="AL2320" s="729"/>
    </row>
    <row r="2321" spans="1:38" ht="12.75" customHeight="1" x14ac:dyDescent="0.25">
      <c r="A2321" s="729"/>
      <c r="B2321" s="298"/>
      <c r="C2321" s="298"/>
      <c r="D2321" s="1208" t="s">
        <v>8</v>
      </c>
      <c r="E2321" s="1209" t="str">
        <f>Translations!$B$1515</f>
        <v>изпълнен ли е критерият за &gt;=300 квоти за емисии?</v>
      </c>
      <c r="F2321" s="1209"/>
      <c r="G2321" s="1209"/>
      <c r="H2321" s="1209"/>
      <c r="I2321" s="1209"/>
      <c r="J2321" s="1236" t="str">
        <f>IF($I2261="","",INDEX(K_Summary!J:J,MATCH($Q2321,K_Summary!$P:$P,0)))</f>
        <v/>
      </c>
      <c r="K2321" s="385" t="str">
        <f>IF($I2261="","",INDEX(K_Summary!K:K,MATCH($Q2321,K_Summary!$P:$P,0)))</f>
        <v/>
      </c>
      <c r="L2321" s="385" t="str">
        <f>IF($I2261="","",INDEX(K_Summary!L:L,MATCH($Q2321,K_Summary!$P:$P,0)))</f>
        <v/>
      </c>
      <c r="M2321" s="385" t="str">
        <f>IF($I2261="","",INDEX(K_Summary!M:M,MATCH($Q2321,K_Summary!$P:$P,0)))</f>
        <v/>
      </c>
      <c r="N2321" s="1237" t="str">
        <f>IF($I2261="","",INDEX(K_Summary!N:N,MATCH($Q2321,K_Summary!$P:$P,0)))</f>
        <v/>
      </c>
      <c r="O2321" s="302"/>
      <c r="P2321" s="302"/>
      <c r="Q2321" s="1182" t="str">
        <f>EUconst_CNTR_300EUA&amp;I2261</f>
        <v>EUA300_</v>
      </c>
      <c r="R2321" s="694"/>
      <c r="S2321" s="694"/>
      <c r="T2321" s="694"/>
      <c r="U2321" s="1234"/>
      <c r="V2321" s="694"/>
      <c r="W2321" s="694"/>
      <c r="X2321" s="694"/>
      <c r="Y2321" s="694"/>
      <c r="Z2321" s="1232"/>
      <c r="AA2321" s="694"/>
      <c r="AB2321" s="694"/>
      <c r="AC2321" s="694"/>
      <c r="AD2321" s="694"/>
      <c r="AE2321" s="694"/>
      <c r="AF2321" s="694"/>
      <c r="AG2321" s="694"/>
      <c r="AH2321" s="694"/>
      <c r="AI2321" s="694"/>
      <c r="AJ2321" s="694"/>
      <c r="AK2321" s="694"/>
      <c r="AL2321" s="729"/>
    </row>
    <row r="2322" spans="1:38" ht="5.15" customHeight="1" thickBot="1" x14ac:dyDescent="0.3">
      <c r="A2322" s="729"/>
      <c r="B2322" s="298"/>
      <c r="C2322" s="298"/>
      <c r="D2322" s="1208"/>
      <c r="E2322" s="1199"/>
      <c r="F2322" s="1199"/>
      <c r="G2322" s="1199"/>
      <c r="H2322" s="1199"/>
      <c r="I2322" s="1199"/>
      <c r="J2322" s="1199"/>
      <c r="K2322" s="1199"/>
      <c r="L2322" s="1199"/>
      <c r="M2322" s="1199"/>
      <c r="N2322" s="1238"/>
      <c r="O2322" s="302"/>
      <c r="P2322" s="302"/>
      <c r="Q2322" s="729"/>
      <c r="R2322" s="694"/>
      <c r="S2322" s="694"/>
      <c r="T2322" s="694"/>
      <c r="U2322" s="1231"/>
      <c r="V2322" s="729"/>
      <c r="W2322" s="694"/>
      <c r="X2322" s="694"/>
      <c r="Y2322" s="694"/>
      <c r="Z2322" s="1232"/>
      <c r="AA2322" s="694"/>
      <c r="AB2322" s="694"/>
      <c r="AC2322" s="694"/>
      <c r="AD2322" s="694"/>
      <c r="AE2322" s="694"/>
      <c r="AF2322" s="694"/>
      <c r="AG2322" s="694"/>
      <c r="AH2322" s="694"/>
      <c r="AI2322" s="694"/>
      <c r="AJ2322" s="694"/>
      <c r="AK2322" s="694"/>
      <c r="AL2322" s="729"/>
    </row>
    <row r="2323" spans="1:38" ht="12.75" customHeight="1" thickBot="1" x14ac:dyDescent="0.3">
      <c r="A2323" s="694"/>
      <c r="B2323" s="298"/>
      <c r="C2323" s="298"/>
      <c r="D2323" s="1208" t="s">
        <v>18</v>
      </c>
      <c r="E2323" s="1209" t="str">
        <f>Translations!$B$1324</f>
        <v>Действителна корекция (ако са надвишени всички прагове)</v>
      </c>
      <c r="F2323" s="1209"/>
      <c r="G2323" s="1209"/>
      <c r="H2323" s="1222"/>
      <c r="I2323" s="1239"/>
      <c r="J2323" s="1240" t="str">
        <f>IF(J2321="","",IF(OR(J2321,V2315&lt;1),J2317,I2323))</f>
        <v/>
      </c>
      <c r="K2323" s="1241" t="str">
        <f>IF(K2321="","",IF(OR(K2321,W2315&lt;1),K2317,J2323))</f>
        <v/>
      </c>
      <c r="L2323" s="1241" t="str">
        <f>IF(L2321="","",IF(OR(L2321,X2315&lt;1),L2317,K2323))</f>
        <v/>
      </c>
      <c r="M2323" s="1241" t="str">
        <f>IF(M2321="","",IF(OR(M2321,Y2315&lt;1),M2317,L2323))</f>
        <v/>
      </c>
      <c r="N2323" s="1242" t="str">
        <f>IF(N2321="","",IF(OR(N2321,Z2315&lt;1),N2317,M2323))</f>
        <v/>
      </c>
      <c r="O2323" s="302"/>
      <c r="P2323" s="302"/>
      <c r="Q2323" s="729"/>
      <c r="R2323" s="694"/>
      <c r="S2323" s="694"/>
      <c r="T2323" s="694"/>
      <c r="U2323" s="1231" t="s">
        <v>1718</v>
      </c>
      <c r="V2323" s="1243">
        <f>J2320</f>
        <v>2026</v>
      </c>
      <c r="W2323" s="1243">
        <f>K2320</f>
        <v>2027</v>
      </c>
      <c r="X2323" s="1243">
        <f>L2320</f>
        <v>2028</v>
      </c>
      <c r="Y2323" s="1243">
        <f>M2320</f>
        <v>2029</v>
      </c>
      <c r="Z2323" s="1244">
        <f>N2320</f>
        <v>2030</v>
      </c>
      <c r="AA2323" s="694"/>
      <c r="AB2323" s="694"/>
      <c r="AC2323" s="694"/>
      <c r="AD2323" s="694"/>
      <c r="AE2323" s="694"/>
      <c r="AF2323" s="694"/>
      <c r="AG2323" s="694"/>
      <c r="AH2323" s="694"/>
      <c r="AI2323" s="694"/>
      <c r="AJ2323" s="694"/>
      <c r="AK2323" s="694"/>
      <c r="AL2323" s="729"/>
    </row>
    <row r="2324" spans="1:38" ht="12.75" customHeight="1" thickBot="1" x14ac:dyDescent="0.3">
      <c r="A2324" s="729"/>
      <c r="B2324" s="298"/>
      <c r="C2324" s="298"/>
      <c r="D2324" s="1208" t="s">
        <v>810</v>
      </c>
      <c r="E2324" s="1209" t="str">
        <f>Translations!$B$1325</f>
        <v>Действителна стойност</v>
      </c>
      <c r="F2324" s="1209"/>
      <c r="G2324" s="1209"/>
      <c r="H2324" s="1266" t="str">
        <f>H2315</f>
        <v>t CO2</v>
      </c>
      <c r="I2324" s="1211" t="str">
        <f>I2318</f>
        <v/>
      </c>
      <c r="J2324" s="632" t="str">
        <f>IF($I2261="","",IF(OR($I2324=0,$I2324=EUconst_NA,J2323=""),IF(OR(J2321=TRUE,J2320&lt;=$V2261),J2318,SUM(I2324)),$I2324*(1+SUM(J2323))))</f>
        <v/>
      </c>
      <c r="K2324" s="633" t="str">
        <f>IF($I2261="","",IF(OR($I2324=0,$I2324=EUconst_NA,K2323=""),IF(OR(K2321=TRUE,K2320&lt;=$V2261),K2318,SUM(J2324)),$I2324*(1+SUM(K2323))))</f>
        <v/>
      </c>
      <c r="L2324" s="633" t="str">
        <f>IF($I2261="","",IF(OR($I2324=0,$I2324=EUconst_NA,L2323=""),IF(OR(L2321=TRUE,L2320&lt;=$V2261),L2318,SUM(K2324)),$I2324*(1+SUM(L2323))))</f>
        <v/>
      </c>
      <c r="M2324" s="633" t="str">
        <f>IF($I2261="","",IF(OR($I2324=0,$I2324=EUconst_NA,M2323=""),IF(OR(M2321=TRUE,M2320&lt;=$V2261),M2318,SUM(L2324)),$I2324*(1+SUM(M2323))))</f>
        <v/>
      </c>
      <c r="N2324" s="634" t="str">
        <f>IF($I2261="","",IF(OR($I2324=0,$I2324=EUconst_NA,N2323=""),IF(OR(N2321=TRUE,N2320&lt;=$V2261),N2318,SUM(M2324)),$I2324*(1+SUM(N2323))))</f>
        <v/>
      </c>
      <c r="O2324" s="302"/>
      <c r="P2324" s="302"/>
      <c r="Q2324" s="1190" t="str">
        <f>EUconst_CNTR_HEATfinal &amp; I2261</f>
        <v>HEATfinal_</v>
      </c>
      <c r="R2324" s="694"/>
      <c r="S2324" s="694"/>
      <c r="T2324" s="694"/>
      <c r="U2324" s="1245" t="b">
        <v>0</v>
      </c>
      <c r="V2324" s="1246" t="str">
        <f>IF(V2269,IF(J2321=TRUE,V2316,U2324),"")</f>
        <v/>
      </c>
      <c r="W2324" s="1246" t="str">
        <f>IF(W2269,IF(K2321=TRUE,W2316,V2324),"")</f>
        <v/>
      </c>
      <c r="X2324" s="1246" t="str">
        <f>IF(X2269,IF(L2321=TRUE,X2316,W2324),"")</f>
        <v/>
      </c>
      <c r="Y2324" s="1246" t="str">
        <f>IF(Y2269,IF(M2321=TRUE,Y2316,X2324),"")</f>
        <v/>
      </c>
      <c r="Z2324" s="1247" t="str">
        <f>IF(Z2269,IF(N2321=TRUE,Z2316,Y2324),"")</f>
        <v/>
      </c>
      <c r="AA2324" s="694"/>
      <c r="AB2324" s="694"/>
      <c r="AC2324" s="694"/>
      <c r="AD2324" s="694"/>
      <c r="AE2324" s="694"/>
      <c r="AF2324" s="694"/>
      <c r="AG2324" s="694"/>
      <c r="AH2324" s="694"/>
      <c r="AI2324" s="694"/>
      <c r="AJ2324" s="1174" t="s">
        <v>2033</v>
      </c>
      <c r="AK2324" s="982" t="str">
        <f>IF(OR(ISERROR(J2324),ISERROR(K2324),ISERROR(L2324),ISERROR(M2324),ISERROR(N2324)),EUconst_Error &amp; "BM" &amp; Q2261,"")</f>
        <v/>
      </c>
      <c r="AL2324" s="694"/>
    </row>
    <row r="2325" spans="1:38" ht="5.15" customHeight="1" thickBot="1" x14ac:dyDescent="0.3">
      <c r="A2325" s="694"/>
      <c r="B2325" s="698"/>
      <c r="C2325" s="698"/>
      <c r="D2325" s="1273"/>
      <c r="E2325" s="1274"/>
      <c r="F2325" s="1274"/>
      <c r="G2325" s="1274"/>
      <c r="H2325" s="1274"/>
      <c r="I2325" s="1275"/>
      <c r="J2325" s="1274"/>
      <c r="K2325" s="1274"/>
      <c r="L2325" s="1274"/>
      <c r="M2325" s="1274"/>
      <c r="N2325" s="1276"/>
      <c r="O2325" s="302"/>
      <c r="P2325" s="302"/>
      <c r="Q2325" s="1263"/>
      <c r="R2325" s="694"/>
      <c r="S2325" s="729"/>
      <c r="T2325" s="729"/>
      <c r="U2325" s="694"/>
      <c r="V2325" s="694"/>
      <c r="W2325" s="694"/>
      <c r="X2325" s="694"/>
      <c r="Y2325" s="694"/>
      <c r="Z2325" s="694"/>
      <c r="AA2325" s="694"/>
      <c r="AB2325" s="694"/>
      <c r="AC2325" s="694"/>
      <c r="AD2325" s="694"/>
      <c r="AE2325" s="694"/>
      <c r="AF2325" s="694"/>
      <c r="AG2325" s="694"/>
      <c r="AH2325" s="694"/>
      <c r="AI2325" s="694"/>
      <c r="AJ2325" s="694"/>
      <c r="AK2325" s="694"/>
      <c r="AL2325" s="694"/>
    </row>
    <row r="2326" spans="1:38" ht="5.15" customHeight="1" x14ac:dyDescent="0.25">
      <c r="A2326" s="694"/>
      <c r="B2326" s="698"/>
      <c r="C2326" s="698"/>
      <c r="D2326" s="698"/>
      <c r="E2326" s="698"/>
      <c r="F2326" s="698"/>
      <c r="G2326" s="698"/>
      <c r="H2326" s="698"/>
      <c r="I2326" s="1025"/>
      <c r="J2326" s="698"/>
      <c r="K2326" s="698"/>
      <c r="L2326" s="698"/>
      <c r="M2326" s="698"/>
      <c r="N2326" s="698"/>
      <c r="O2326" s="302"/>
      <c r="P2326" s="302"/>
      <c r="Q2326" s="1263"/>
      <c r="R2326" s="694"/>
      <c r="S2326" s="729"/>
      <c r="T2326" s="729"/>
      <c r="U2326" s="694"/>
      <c r="V2326" s="694"/>
      <c r="W2326" s="694"/>
      <c r="X2326" s="694"/>
      <c r="Y2326" s="694"/>
      <c r="Z2326" s="694"/>
      <c r="AA2326" s="694"/>
      <c r="AB2326" s="694"/>
      <c r="AC2326" s="694"/>
      <c r="AD2326" s="694"/>
      <c r="AE2326" s="694"/>
      <c r="AF2326" s="694"/>
      <c r="AG2326" s="694"/>
      <c r="AH2326" s="694"/>
      <c r="AI2326" s="694"/>
      <c r="AJ2326" s="694"/>
      <c r="AK2326" s="694"/>
      <c r="AL2326" s="694"/>
    </row>
    <row r="2327" spans="1:38" ht="14" x14ac:dyDescent="0.25">
      <c r="A2327" s="694"/>
      <c r="B2327" s="698"/>
      <c r="C2327" s="358"/>
      <c r="D2327" s="2323" t="str">
        <f>Translations!$B$495</f>
        <v>Данни за производството</v>
      </c>
      <c r="E2327" s="2249"/>
      <c r="F2327" s="2249"/>
      <c r="G2327" s="2249"/>
      <c r="H2327" s="2249"/>
      <c r="I2327" s="2249"/>
      <c r="J2327" s="2249"/>
      <c r="K2327" s="2249"/>
      <c r="L2327" s="2249"/>
      <c r="M2327" s="2249"/>
      <c r="N2327" s="2249"/>
      <c r="O2327" s="302"/>
      <c r="P2327" s="302"/>
      <c r="Q2327" s="694"/>
      <c r="R2327" s="694"/>
      <c r="S2327" s="729"/>
      <c r="T2327" s="729"/>
      <c r="U2327" s="694"/>
      <c r="V2327" s="694"/>
      <c r="W2327" s="694"/>
      <c r="X2327" s="694"/>
      <c r="Y2327" s="694"/>
      <c r="Z2327" s="694"/>
      <c r="AA2327" s="694"/>
      <c r="AB2327" s="694"/>
      <c r="AC2327" s="694"/>
      <c r="AD2327" s="694"/>
      <c r="AE2327" s="694"/>
      <c r="AF2327" s="694"/>
      <c r="AG2327" s="694"/>
      <c r="AH2327" s="694"/>
      <c r="AI2327" s="694"/>
      <c r="AJ2327" s="694"/>
      <c r="AK2327" s="694"/>
      <c r="AL2327" s="694"/>
    </row>
    <row r="2328" spans="1:38" ht="5.15" customHeight="1" x14ac:dyDescent="0.25">
      <c r="A2328" s="694"/>
      <c r="B2328" s="298"/>
      <c r="C2328" s="298"/>
      <c r="D2328" s="298"/>
      <c r="E2328" s="298"/>
      <c r="F2328" s="298"/>
      <c r="G2328" s="298"/>
      <c r="H2328" s="298"/>
      <c r="I2328" s="298"/>
      <c r="J2328" s="298"/>
      <c r="K2328" s="298"/>
      <c r="L2328" s="298"/>
      <c r="M2328" s="298"/>
      <c r="N2328" s="298"/>
      <c r="O2328" s="302"/>
      <c r="P2328" s="302"/>
      <c r="Q2328" s="729"/>
      <c r="R2328" s="729"/>
      <c r="S2328" s="729"/>
      <c r="T2328" s="729"/>
      <c r="U2328" s="694"/>
      <c r="V2328" s="694"/>
      <c r="W2328" s="694"/>
      <c r="X2328" s="694"/>
      <c r="Y2328" s="694"/>
      <c r="Z2328" s="694"/>
      <c r="AA2328" s="694"/>
      <c r="AB2328" s="694"/>
      <c r="AC2328" s="694"/>
      <c r="AD2328" s="694"/>
      <c r="AE2328" s="694"/>
      <c r="AF2328" s="694"/>
      <c r="AG2328" s="694"/>
      <c r="AH2328" s="694"/>
      <c r="AI2328" s="694"/>
      <c r="AJ2328" s="694"/>
      <c r="AK2328" s="694"/>
      <c r="AL2328" s="694"/>
    </row>
    <row r="2329" spans="1:38" ht="13" x14ac:dyDescent="0.25">
      <c r="A2329" s="694"/>
      <c r="B2329" s="298"/>
      <c r="C2329" s="300"/>
      <c r="D2329" s="300" t="s">
        <v>54</v>
      </c>
      <c r="E2329" s="2226" t="str">
        <f>Translations!$B$496</f>
        <v>Идентификация на продуктите, включени в тази подинсталация с продуктов показател</v>
      </c>
      <c r="F2329" s="2249"/>
      <c r="G2329" s="2249"/>
      <c r="H2329" s="2249"/>
      <c r="I2329" s="2249"/>
      <c r="J2329" s="2249"/>
      <c r="K2329" s="2249"/>
      <c r="L2329" s="2249"/>
      <c r="M2329" s="2249"/>
      <c r="N2329" s="2249"/>
      <c r="O2329" s="302"/>
      <c r="P2329" s="302"/>
      <c r="Q2329" s="729"/>
      <c r="R2329" s="694"/>
      <c r="S2329" s="729"/>
      <c r="T2329" s="729"/>
      <c r="U2329" s="694"/>
      <c r="V2329" s="694"/>
      <c r="W2329" s="694"/>
      <c r="X2329" s="694"/>
      <c r="Y2329" s="694"/>
      <c r="Z2329" s="694"/>
      <c r="AA2329" s="694"/>
      <c r="AB2329" s="694"/>
      <c r="AC2329" s="694"/>
      <c r="AD2329" s="694"/>
      <c r="AE2329" s="694"/>
      <c r="AF2329" s="694"/>
      <c r="AG2329" s="694"/>
      <c r="AH2329" s="694"/>
      <c r="AI2329" s="694"/>
      <c r="AJ2329" s="694"/>
      <c r="AK2329" s="694"/>
      <c r="AL2329" s="694"/>
    </row>
    <row r="2330" spans="1:38" ht="5.15" customHeight="1" x14ac:dyDescent="0.25">
      <c r="A2330" s="694"/>
      <c r="B2330" s="298"/>
      <c r="C2330" s="302"/>
      <c r="D2330" s="302"/>
      <c r="E2330" s="2358" t="str">
        <f>Translations!$B$1518</f>
        <v xml:space="preserve"> </v>
      </c>
      <c r="F2330" s="2249"/>
      <c r="G2330" s="2249"/>
      <c r="H2330" s="2249"/>
      <c r="I2330" s="2249"/>
      <c r="J2330" s="2249"/>
      <c r="K2330" s="2249"/>
      <c r="L2330" s="2249"/>
      <c r="M2330" s="2249"/>
      <c r="N2330" s="2249"/>
      <c r="O2330" s="302"/>
      <c r="P2330" s="302"/>
      <c r="Q2330" s="729"/>
      <c r="R2330" s="694"/>
      <c r="S2330" s="729"/>
      <c r="T2330" s="729"/>
      <c r="U2330" s="694"/>
      <c r="V2330" s="694"/>
      <c r="W2330" s="694"/>
      <c r="X2330" s="694"/>
      <c r="Y2330" s="694"/>
      <c r="Z2330" s="694"/>
      <c r="AA2330" s="694"/>
      <c r="AB2330" s="694"/>
      <c r="AC2330" s="694"/>
      <c r="AD2330" s="694"/>
      <c r="AE2330" s="694"/>
      <c r="AF2330" s="694"/>
      <c r="AG2330" s="694"/>
      <c r="AH2330" s="694"/>
      <c r="AI2330" s="694"/>
      <c r="AJ2330" s="694"/>
      <c r="AK2330" s="694"/>
      <c r="AL2330" s="694"/>
    </row>
    <row r="2331" spans="1:38" ht="25.5" customHeight="1" x14ac:dyDescent="0.25">
      <c r="A2331" s="694"/>
      <c r="B2331" s="298"/>
      <c r="C2331" s="302"/>
      <c r="D2331" s="302"/>
      <c r="E2331" s="2358" t="str">
        <f>Translations!$B$497</f>
        <v>Кодовете по Продком се въвеждат като низове във вида „nnnnnnnn“, т.е. без точки или други разделителни знаци между тях. Само когато липсва код по Продком, се посочва 4-цифрения код по статистическата класификация на икономическите дейности в Европейския съюз (NACE) във вида „nnnn“.</v>
      </c>
      <c r="F2331" s="2249"/>
      <c r="G2331" s="2249"/>
      <c r="H2331" s="2249"/>
      <c r="I2331" s="2249"/>
      <c r="J2331" s="2249"/>
      <c r="K2331" s="2249"/>
      <c r="L2331" s="2249"/>
      <c r="M2331" s="2249"/>
      <c r="N2331" s="2249"/>
      <c r="O2331" s="302"/>
      <c r="P2331" s="302"/>
      <c r="Q2331" s="729"/>
      <c r="R2331" s="694"/>
      <c r="S2331" s="729"/>
      <c r="T2331" s="729"/>
      <c r="U2331" s="694"/>
      <c r="V2331" s="694"/>
      <c r="W2331" s="694"/>
      <c r="X2331" s="694"/>
      <c r="Y2331" s="694"/>
      <c r="Z2331" s="694"/>
      <c r="AA2331" s="694"/>
      <c r="AB2331" s="694"/>
      <c r="AC2331" s="694"/>
      <c r="AD2331" s="694"/>
      <c r="AE2331" s="694"/>
      <c r="AF2331" s="694"/>
      <c r="AG2331" s="694"/>
      <c r="AH2331" s="694"/>
      <c r="AI2331" s="694"/>
      <c r="AJ2331" s="694"/>
      <c r="AK2331" s="694"/>
      <c r="AL2331" s="694"/>
    </row>
    <row r="2332" spans="1:38" x14ac:dyDescent="0.25">
      <c r="A2332" s="694"/>
      <c r="B2332" s="298"/>
      <c r="C2332" s="302"/>
      <c r="D2332" s="302"/>
      <c r="E2332" s="2358" t="str">
        <f>Translations!$B$498</f>
        <v>Продком списъкът за 2010 г. може да се намери на адрес: http://ec.europa.eu/eurostat/ramon/nomenclatures/index.cfm?TargetUrl=LST_CLS_DLD&amp;StrNom=PRD_2010&amp;StrLanguageCode=EN&amp;StrLayoutCode=HIERARCHIChttp://ec.europa.eu/eurostat/ramon/nomenclatures/index.cfm?TargetUrl=LST_CLS_DLD&amp;StrNom=PRD_2010&amp;StrLanguageCode=EN&amp;StrLayoutCode=HIERARCHIC</v>
      </c>
      <c r="F2332" s="2249"/>
      <c r="G2332" s="2249"/>
      <c r="H2332" s="2249"/>
      <c r="I2332" s="2249"/>
      <c r="J2332" s="2249"/>
      <c r="K2332" s="2249"/>
      <c r="L2332" s="2249"/>
      <c r="M2332" s="2249"/>
      <c r="N2332" s="2249"/>
      <c r="O2332" s="302"/>
      <c r="P2332" s="302"/>
      <c r="Q2332" s="729"/>
      <c r="R2332" s="694"/>
      <c r="S2332" s="729"/>
      <c r="T2332" s="729"/>
      <c r="U2332" s="694"/>
      <c r="V2332" s="694"/>
      <c r="W2332" s="694"/>
      <c r="X2332" s="694"/>
      <c r="Y2332" s="694"/>
      <c r="Z2332" s="694"/>
      <c r="AA2332" s="694"/>
      <c r="AB2332" s="694"/>
      <c r="AC2332" s="694"/>
      <c r="AD2332" s="694"/>
      <c r="AE2332" s="694"/>
      <c r="AF2332" s="694"/>
      <c r="AG2332" s="694"/>
      <c r="AH2332" s="694"/>
      <c r="AI2332" s="694"/>
      <c r="AJ2332" s="694"/>
      <c r="AK2332" s="694"/>
      <c r="AL2332" s="694"/>
    </row>
    <row r="2333" spans="1:38" x14ac:dyDescent="0.25">
      <c r="A2333" s="694"/>
      <c r="B2333" s="298"/>
      <c r="C2333" s="302"/>
      <c r="D2333" s="302"/>
      <c r="E2333" s="2855" t="str">
        <f>Translations!$B$1519</f>
        <v>https://eur-lex.europa.eu/eli/reg/2010/860/oj/bul</v>
      </c>
      <c r="F2333" s="2856"/>
      <c r="G2333" s="2856"/>
      <c r="H2333" s="2856"/>
      <c r="I2333" s="2856"/>
      <c r="J2333" s="2856"/>
      <c r="K2333" s="2856"/>
      <c r="L2333" s="2856"/>
      <c r="M2333" s="2856"/>
      <c r="N2333" s="2856"/>
      <c r="O2333" s="302"/>
      <c r="P2333" s="302"/>
      <c r="Q2333" s="729"/>
      <c r="R2333" s="694"/>
      <c r="S2333" s="729"/>
      <c r="T2333" s="729"/>
      <c r="U2333" s="694"/>
      <c r="V2333" s="694"/>
      <c r="W2333" s="694"/>
      <c r="X2333" s="694"/>
      <c r="Y2333" s="694"/>
      <c r="Z2333" s="694"/>
      <c r="AA2333" s="694"/>
      <c r="AB2333" s="694"/>
      <c r="AC2333" s="694"/>
      <c r="AD2333" s="694"/>
      <c r="AE2333" s="694"/>
      <c r="AF2333" s="694"/>
      <c r="AG2333" s="694"/>
      <c r="AH2333" s="694"/>
      <c r="AI2333" s="694"/>
      <c r="AJ2333" s="694"/>
      <c r="AK2333" s="694"/>
      <c r="AL2333" s="694"/>
    </row>
    <row r="2334" spans="1:38" x14ac:dyDescent="0.25">
      <c r="A2334" s="694"/>
      <c r="B2334" s="298"/>
      <c r="C2334" s="302"/>
      <c r="D2334" s="302"/>
      <c r="E2334" s="2358" t="str">
        <f>Translations!$B$1520</f>
        <v>Кодовете по КН са кодовете съгласно Регламент (ЕИО) № 2658/87, които са на разположение на следния адрес:</v>
      </c>
      <c r="F2334" s="2249"/>
      <c r="G2334" s="2249"/>
      <c r="H2334" s="2249"/>
      <c r="I2334" s="2249"/>
      <c r="J2334" s="2249"/>
      <c r="K2334" s="2249"/>
      <c r="L2334" s="2249"/>
      <c r="M2334" s="2249"/>
      <c r="N2334" s="2249"/>
      <c r="O2334" s="302"/>
      <c r="P2334" s="302"/>
      <c r="Q2334" s="729"/>
      <c r="R2334" s="694"/>
      <c r="S2334" s="729"/>
      <c r="T2334" s="729"/>
      <c r="U2334" s="694"/>
      <c r="V2334" s="694"/>
      <c r="W2334" s="694"/>
      <c r="X2334" s="694"/>
      <c r="Y2334" s="694"/>
      <c r="Z2334" s="694"/>
      <c r="AA2334" s="694"/>
      <c r="AB2334" s="694"/>
      <c r="AC2334" s="694"/>
      <c r="AD2334" s="694"/>
      <c r="AE2334" s="694"/>
      <c r="AF2334" s="694"/>
      <c r="AG2334" s="694"/>
      <c r="AH2334" s="694"/>
      <c r="AI2334" s="694"/>
      <c r="AJ2334" s="694"/>
      <c r="AK2334" s="694"/>
      <c r="AL2334" s="694"/>
    </row>
    <row r="2335" spans="1:38" x14ac:dyDescent="0.25">
      <c r="A2335" s="694"/>
      <c r="B2335" s="298"/>
      <c r="C2335" s="302"/>
      <c r="D2335" s="302"/>
      <c r="E2335" s="2855" t="str">
        <f>Translations!$B$1521</f>
        <v>https://eur-lex.europa.eu/eli/reg/1987/2658/2023-06-17</v>
      </c>
      <c r="F2335" s="2856"/>
      <c r="G2335" s="2856"/>
      <c r="H2335" s="2856"/>
      <c r="I2335" s="2856"/>
      <c r="J2335" s="2856"/>
      <c r="K2335" s="2856"/>
      <c r="L2335" s="2856"/>
      <c r="M2335" s="2856"/>
      <c r="N2335" s="2856"/>
      <c r="O2335" s="302"/>
      <c r="P2335" s="302"/>
      <c r="Q2335" s="729"/>
      <c r="R2335" s="694"/>
      <c r="S2335" s="729"/>
      <c r="T2335" s="729"/>
      <c r="U2335" s="694"/>
      <c r="V2335" s="694"/>
      <c r="W2335" s="694"/>
      <c r="X2335" s="694"/>
      <c r="Y2335" s="694"/>
      <c r="Z2335" s="694"/>
      <c r="AA2335" s="694"/>
      <c r="AB2335" s="694"/>
      <c r="AC2335" s="694"/>
      <c r="AD2335" s="694"/>
      <c r="AE2335" s="694"/>
      <c r="AF2335" s="694"/>
      <c r="AG2335" s="694"/>
      <c r="AH2335" s="694"/>
      <c r="AI2335" s="694"/>
      <c r="AJ2335" s="694"/>
      <c r="AK2335" s="694"/>
      <c r="AL2335" s="694"/>
    </row>
    <row r="2336" spans="1:38" ht="5.15" customHeight="1" x14ac:dyDescent="0.25">
      <c r="A2336" s="694"/>
      <c r="B2336" s="298"/>
      <c r="C2336" s="298"/>
      <c r="D2336" s="298"/>
      <c r="E2336" s="298"/>
      <c r="F2336" s="298"/>
      <c r="G2336" s="298"/>
      <c r="H2336" s="298"/>
      <c r="I2336" s="298"/>
      <c r="J2336" s="298"/>
      <c r="K2336" s="298"/>
      <c r="L2336" s="298"/>
      <c r="M2336" s="298"/>
      <c r="N2336" s="298"/>
      <c r="O2336" s="302"/>
      <c r="P2336" s="302"/>
      <c r="Q2336" s="729"/>
      <c r="R2336" s="729"/>
      <c r="S2336" s="729"/>
      <c r="T2336" s="729"/>
      <c r="U2336" s="694"/>
      <c r="V2336" s="694"/>
      <c r="W2336" s="694"/>
      <c r="X2336" s="694"/>
      <c r="Y2336" s="694"/>
      <c r="Z2336" s="694"/>
      <c r="AA2336" s="694"/>
      <c r="AB2336" s="694"/>
      <c r="AC2336" s="694"/>
      <c r="AD2336" s="694"/>
      <c r="AE2336" s="694"/>
      <c r="AF2336" s="694"/>
      <c r="AG2336" s="694"/>
      <c r="AH2336" s="694"/>
      <c r="AI2336" s="694"/>
      <c r="AJ2336" s="694"/>
      <c r="AK2336" s="694"/>
      <c r="AL2336" s="694"/>
    </row>
    <row r="2337" spans="1:38" ht="13" x14ac:dyDescent="0.25">
      <c r="A2337" s="694"/>
      <c r="B2337" s="298"/>
      <c r="C2337" s="300"/>
      <c r="D2337" s="300" t="s">
        <v>55</v>
      </c>
      <c r="E2337" s="2226" t="str">
        <f>Translations!$B$499</f>
        <v>Индивидуални равнища на производство за продуктите, включени в тази подинсталация с продуктов показател</v>
      </c>
      <c r="F2337" s="2249"/>
      <c r="G2337" s="2249"/>
      <c r="H2337" s="2249"/>
      <c r="I2337" s="2249"/>
      <c r="J2337" s="2249"/>
      <c r="K2337" s="2249"/>
      <c r="L2337" s="2249"/>
      <c r="M2337" s="2249"/>
      <c r="N2337" s="2249"/>
      <c r="O2337" s="302"/>
      <c r="P2337" s="302"/>
      <c r="Q2337" s="729"/>
      <c r="R2337" s="694"/>
      <c r="S2337" s="729"/>
      <c r="T2337" s="729"/>
      <c r="U2337" s="694"/>
      <c r="V2337" s="694"/>
      <c r="W2337" s="694"/>
      <c r="X2337" s="694"/>
      <c r="Y2337" s="694"/>
      <c r="Z2337" s="694"/>
      <c r="AA2337" s="694"/>
      <c r="AB2337" s="694"/>
      <c r="AC2337" s="694"/>
      <c r="AD2337" s="694"/>
      <c r="AE2337" s="694"/>
      <c r="AF2337" s="694"/>
      <c r="AG2337" s="694"/>
      <c r="AH2337" s="694"/>
      <c r="AI2337" s="694"/>
      <c r="AJ2337" s="694"/>
      <c r="AK2337" s="694"/>
      <c r="AL2337" s="694"/>
    </row>
    <row r="2338" spans="1:38" ht="5.15" customHeight="1" x14ac:dyDescent="0.25">
      <c r="A2338" s="694"/>
      <c r="B2338" s="298"/>
      <c r="C2338" s="298"/>
      <c r="D2338" s="302"/>
      <c r="E2338" s="460"/>
      <c r="F2338" s="460"/>
      <c r="G2338" s="460"/>
      <c r="H2338" s="460"/>
      <c r="I2338" s="460"/>
      <c r="J2338" s="329"/>
      <c r="K2338" s="329"/>
      <c r="L2338" s="329"/>
      <c r="M2338" s="302"/>
      <c r="N2338" s="302"/>
      <c r="O2338" s="302"/>
      <c r="P2338" s="302"/>
      <c r="Q2338" s="729"/>
      <c r="R2338" s="694"/>
      <c r="S2338" s="729"/>
      <c r="T2338" s="729"/>
      <c r="U2338" s="694"/>
      <c r="V2338" s="694"/>
      <c r="W2338" s="694"/>
      <c r="X2338" s="694"/>
      <c r="Y2338" s="694"/>
      <c r="Z2338" s="694"/>
      <c r="AA2338" s="694"/>
      <c r="AB2338" s="694"/>
      <c r="AC2338" s="694"/>
      <c r="AD2338" s="694"/>
      <c r="AE2338" s="694"/>
      <c r="AF2338" s="694"/>
      <c r="AG2338" s="694"/>
      <c r="AH2338" s="694"/>
      <c r="AI2338" s="694"/>
      <c r="AJ2338" s="694"/>
      <c r="AK2338" s="694"/>
      <c r="AL2338" s="694"/>
    </row>
    <row r="2339" spans="1:38" ht="25.5" customHeight="1" thickBot="1" x14ac:dyDescent="0.3">
      <c r="A2339" s="694"/>
      <c r="B2339" s="698"/>
      <c r="C2339" s="698"/>
      <c r="D2339" s="1014"/>
      <c r="E2339" s="1277" t="str">
        <f>Translations!$B$1522</f>
        <v>ПРОДКОМ за 2010 г.</v>
      </c>
      <c r="F2339" s="1278" t="str">
        <f>Translations!$B$500</f>
        <v>Име на продукта или групата продукти</v>
      </c>
      <c r="G2339" s="672" t="str">
        <f>EUconst_Unit</f>
        <v>Единица мярка</v>
      </c>
      <c r="H2339" s="391">
        <f t="shared" ref="H2339:N2339" si="3311">H$2831</f>
        <v>2024</v>
      </c>
      <c r="I2339" s="572">
        <f t="shared" si="3311"/>
        <v>2025</v>
      </c>
      <c r="J2339" s="757">
        <f t="shared" si="3311"/>
        <v>2026</v>
      </c>
      <c r="K2339" s="391">
        <f t="shared" si="3311"/>
        <v>2027</v>
      </c>
      <c r="L2339" s="391">
        <f t="shared" si="3311"/>
        <v>2028</v>
      </c>
      <c r="M2339" s="391">
        <f t="shared" si="3311"/>
        <v>2029</v>
      </c>
      <c r="N2339" s="391">
        <f t="shared" si="3311"/>
        <v>2030</v>
      </c>
      <c r="O2339" s="1277" t="str">
        <f>Translations!$B$1523</f>
        <v>Код по КН</v>
      </c>
      <c r="P2339" s="1278"/>
      <c r="Q2339" s="694"/>
      <c r="R2339" s="694"/>
      <c r="S2339" s="729"/>
      <c r="T2339" s="729"/>
      <c r="U2339" s="694"/>
      <c r="V2339" s="694"/>
      <c r="W2339" s="694"/>
      <c r="X2339" s="694"/>
      <c r="Y2339" s="694"/>
      <c r="Z2339" s="1279" t="s">
        <v>737</v>
      </c>
      <c r="AA2339" s="694"/>
      <c r="AB2339" s="694"/>
      <c r="AC2339" s="1178">
        <f t="shared" ref="AC2339" si="3312">H$20</f>
        <v>2024</v>
      </c>
      <c r="AD2339" s="1178">
        <f t="shared" ref="AD2339" si="3313">I$20</f>
        <v>2025</v>
      </c>
      <c r="AE2339" s="1178">
        <f t="shared" ref="AE2339" si="3314">J$20</f>
        <v>2026</v>
      </c>
      <c r="AF2339" s="1178">
        <f t="shared" ref="AF2339" si="3315">K$20</f>
        <v>2027</v>
      </c>
      <c r="AG2339" s="1178">
        <f t="shared" ref="AG2339" si="3316">L$20</f>
        <v>2028</v>
      </c>
      <c r="AH2339" s="1178">
        <f t="shared" ref="AH2339" si="3317">M$20</f>
        <v>2029</v>
      </c>
      <c r="AI2339" s="1178">
        <f t="shared" ref="AI2339" si="3318">N$20</f>
        <v>2030</v>
      </c>
      <c r="AJ2339" s="694"/>
      <c r="AK2339" s="694"/>
      <c r="AL2339" s="694"/>
    </row>
    <row r="2340" spans="1:38" x14ac:dyDescent="0.25">
      <c r="A2340" s="694"/>
      <c r="B2340" s="698"/>
      <c r="C2340" s="698"/>
      <c r="D2340" s="981">
        <v>1</v>
      </c>
      <c r="E2340" s="221"/>
      <c r="F2340" s="109"/>
      <c r="G2340" s="57"/>
      <c r="H2340" s="40"/>
      <c r="I2340" s="46"/>
      <c r="J2340" s="116"/>
      <c r="K2340" s="40"/>
      <c r="L2340" s="40"/>
      <c r="M2340" s="40"/>
      <c r="N2340" s="40"/>
      <c r="O2340" s="221"/>
      <c r="P2340" s="158"/>
      <c r="Q2340" s="694"/>
      <c r="R2340" s="694"/>
      <c r="S2340" s="729"/>
      <c r="T2340" s="729"/>
      <c r="U2340" s="694"/>
      <c r="V2340" s="694"/>
      <c r="W2340" s="694"/>
      <c r="X2340" s="694"/>
      <c r="Y2340" s="694"/>
      <c r="Z2340" s="1280" t="b">
        <f t="shared" ref="Z2340:Z2349" si="3319">AA2340</f>
        <v>0</v>
      </c>
      <c r="AA2340" s="1281" t="b">
        <f t="shared" ref="AA2340:AA2349" si="3320">AB2340</f>
        <v>0</v>
      </c>
      <c r="AB2340" s="1282" t="b">
        <f>AND(AC2340:AI2340)</f>
        <v>0</v>
      </c>
      <c r="AC2340" s="1283" t="b">
        <f t="shared" ref="AC2340:AD2340" si="3321">AC2308</f>
        <v>0</v>
      </c>
      <c r="AD2340" s="1284" t="b">
        <f t="shared" si="3321"/>
        <v>0</v>
      </c>
      <c r="AE2340" s="1284" t="b">
        <f>AE2308</f>
        <v>0</v>
      </c>
      <c r="AF2340" s="1284" t="b">
        <f t="shared" ref="AF2340" si="3322">AF2308</f>
        <v>0</v>
      </c>
      <c r="AG2340" s="1284" t="b">
        <f>AG2308</f>
        <v>0</v>
      </c>
      <c r="AH2340" s="1284" t="b">
        <f t="shared" ref="AH2340:AI2340" si="3323">AH2308</f>
        <v>0</v>
      </c>
      <c r="AI2340" s="1285" t="b">
        <f t="shared" si="3323"/>
        <v>0</v>
      </c>
      <c r="AJ2340" s="1174" t="s">
        <v>2039</v>
      </c>
      <c r="AK2340" s="1176" t="str">
        <f>IF(AND(CNTR_ExistSubInstEntries,COUNTIFS(AC2340:AI2340,FALSE,H2340:N2340,"")&gt;0),EUconst_Error&amp;"BM"&amp;$Q2261,"")</f>
        <v/>
      </c>
      <c r="AL2340" s="694"/>
    </row>
    <row r="2341" spans="1:38" x14ac:dyDescent="0.25">
      <c r="A2341" s="694"/>
      <c r="B2341" s="698"/>
      <c r="C2341" s="698"/>
      <c r="D2341" s="990">
        <f>D2340+1</f>
        <v>2</v>
      </c>
      <c r="E2341" s="222"/>
      <c r="F2341" s="110"/>
      <c r="G2341" s="44"/>
      <c r="H2341" s="43"/>
      <c r="I2341" s="47"/>
      <c r="J2341" s="119"/>
      <c r="K2341" s="43"/>
      <c r="L2341" s="43"/>
      <c r="M2341" s="43"/>
      <c r="N2341" s="43"/>
      <c r="O2341" s="222"/>
      <c r="P2341" s="158"/>
      <c r="Q2341" s="694"/>
      <c r="R2341" s="694"/>
      <c r="S2341" s="729"/>
      <c r="T2341" s="729"/>
      <c r="U2341" s="694"/>
      <c r="V2341" s="694"/>
      <c r="W2341" s="694"/>
      <c r="X2341" s="694"/>
      <c r="Y2341" s="694"/>
      <c r="Z2341" s="1286" t="b">
        <f t="shared" si="3319"/>
        <v>0</v>
      </c>
      <c r="AA2341" s="982" t="b">
        <f t="shared" si="3320"/>
        <v>0</v>
      </c>
      <c r="AB2341" s="1287" t="b">
        <f t="shared" ref="AB2341:AB2349" si="3324">AND(AC2341:AI2341)</f>
        <v>0</v>
      </c>
      <c r="AC2341" s="1288" t="b">
        <f>AC2340</f>
        <v>0</v>
      </c>
      <c r="AD2341" s="982" t="b">
        <f t="shared" ref="AD2341:AI2341" si="3325">AD2340</f>
        <v>0</v>
      </c>
      <c r="AE2341" s="982" t="b">
        <f t="shared" si="3325"/>
        <v>0</v>
      </c>
      <c r="AF2341" s="982" t="b">
        <f t="shared" si="3325"/>
        <v>0</v>
      </c>
      <c r="AG2341" s="982" t="b">
        <f t="shared" si="3325"/>
        <v>0</v>
      </c>
      <c r="AH2341" s="982" t="b">
        <f t="shared" si="3325"/>
        <v>0</v>
      </c>
      <c r="AI2341" s="1287" t="b">
        <f t="shared" si="3325"/>
        <v>0</v>
      </c>
      <c r="AJ2341" s="694"/>
      <c r="AK2341" s="694"/>
      <c r="AL2341" s="694"/>
    </row>
    <row r="2342" spans="1:38" x14ac:dyDescent="0.25">
      <c r="A2342" s="694"/>
      <c r="B2342" s="698"/>
      <c r="C2342" s="698"/>
      <c r="D2342" s="990">
        <f t="shared" ref="D2342:D2349" si="3326">D2341+1</f>
        <v>3</v>
      </c>
      <c r="E2342" s="222"/>
      <c r="F2342" s="111"/>
      <c r="G2342" s="44"/>
      <c r="H2342" s="43"/>
      <c r="I2342" s="47"/>
      <c r="J2342" s="119"/>
      <c r="K2342" s="43"/>
      <c r="L2342" s="43"/>
      <c r="M2342" s="43"/>
      <c r="N2342" s="43"/>
      <c r="O2342" s="222"/>
      <c r="P2342" s="158"/>
      <c r="Q2342" s="694"/>
      <c r="R2342" s="694"/>
      <c r="S2342" s="729"/>
      <c r="T2342" s="729"/>
      <c r="U2342" s="694"/>
      <c r="V2342" s="694"/>
      <c r="W2342" s="694"/>
      <c r="X2342" s="694"/>
      <c r="Y2342" s="694"/>
      <c r="Z2342" s="1286" t="b">
        <f t="shared" si="3319"/>
        <v>0</v>
      </c>
      <c r="AA2342" s="982" t="b">
        <f t="shared" si="3320"/>
        <v>0</v>
      </c>
      <c r="AB2342" s="1287" t="b">
        <f t="shared" si="3324"/>
        <v>0</v>
      </c>
      <c r="AC2342" s="1288" t="b">
        <f t="shared" ref="AC2342:AI2342" si="3327">AC2341</f>
        <v>0</v>
      </c>
      <c r="AD2342" s="982" t="b">
        <f t="shared" si="3327"/>
        <v>0</v>
      </c>
      <c r="AE2342" s="982" t="b">
        <f t="shared" si="3327"/>
        <v>0</v>
      </c>
      <c r="AF2342" s="982" t="b">
        <f t="shared" si="3327"/>
        <v>0</v>
      </c>
      <c r="AG2342" s="982" t="b">
        <f t="shared" si="3327"/>
        <v>0</v>
      </c>
      <c r="AH2342" s="982" t="b">
        <f t="shared" si="3327"/>
        <v>0</v>
      </c>
      <c r="AI2342" s="1287" t="b">
        <f t="shared" si="3327"/>
        <v>0</v>
      </c>
      <c r="AJ2342" s="694"/>
      <c r="AK2342" s="694"/>
      <c r="AL2342" s="694"/>
    </row>
    <row r="2343" spans="1:38" x14ac:dyDescent="0.25">
      <c r="A2343" s="694"/>
      <c r="B2343" s="698"/>
      <c r="C2343" s="698"/>
      <c r="D2343" s="990">
        <f t="shared" si="3326"/>
        <v>4</v>
      </c>
      <c r="E2343" s="222"/>
      <c r="F2343" s="111"/>
      <c r="G2343" s="44"/>
      <c r="H2343" s="43"/>
      <c r="I2343" s="47"/>
      <c r="J2343" s="119"/>
      <c r="K2343" s="43"/>
      <c r="L2343" s="43"/>
      <c r="M2343" s="43"/>
      <c r="N2343" s="43"/>
      <c r="O2343" s="222"/>
      <c r="P2343" s="158"/>
      <c r="Q2343" s="694"/>
      <c r="R2343" s="694"/>
      <c r="S2343" s="729"/>
      <c r="T2343" s="729"/>
      <c r="U2343" s="694"/>
      <c r="V2343" s="694"/>
      <c r="W2343" s="694"/>
      <c r="X2343" s="694"/>
      <c r="Y2343" s="694"/>
      <c r="Z2343" s="1286" t="b">
        <f t="shared" si="3319"/>
        <v>0</v>
      </c>
      <c r="AA2343" s="982" t="b">
        <f t="shared" si="3320"/>
        <v>0</v>
      </c>
      <c r="AB2343" s="1287" t="b">
        <f t="shared" si="3324"/>
        <v>0</v>
      </c>
      <c r="AC2343" s="1288" t="b">
        <f t="shared" ref="AC2343:AI2343" si="3328">AC2342</f>
        <v>0</v>
      </c>
      <c r="AD2343" s="982" t="b">
        <f t="shared" si="3328"/>
        <v>0</v>
      </c>
      <c r="AE2343" s="982" t="b">
        <f t="shared" si="3328"/>
        <v>0</v>
      </c>
      <c r="AF2343" s="982" t="b">
        <f t="shared" si="3328"/>
        <v>0</v>
      </c>
      <c r="AG2343" s="982" t="b">
        <f t="shared" si="3328"/>
        <v>0</v>
      </c>
      <c r="AH2343" s="982" t="b">
        <f t="shared" si="3328"/>
        <v>0</v>
      </c>
      <c r="AI2343" s="1287" t="b">
        <f t="shared" si="3328"/>
        <v>0</v>
      </c>
      <c r="AJ2343" s="694"/>
      <c r="AK2343" s="694"/>
      <c r="AL2343" s="694"/>
    </row>
    <row r="2344" spans="1:38" x14ac:dyDescent="0.25">
      <c r="A2344" s="694"/>
      <c r="B2344" s="698"/>
      <c r="C2344" s="698"/>
      <c r="D2344" s="990">
        <f t="shared" si="3326"/>
        <v>5</v>
      </c>
      <c r="E2344" s="222"/>
      <c r="F2344" s="111"/>
      <c r="G2344" s="44"/>
      <c r="H2344" s="43"/>
      <c r="I2344" s="47"/>
      <c r="J2344" s="119"/>
      <c r="K2344" s="43"/>
      <c r="L2344" s="43"/>
      <c r="M2344" s="43"/>
      <c r="N2344" s="43"/>
      <c r="O2344" s="222"/>
      <c r="P2344" s="158"/>
      <c r="Q2344" s="694"/>
      <c r="R2344" s="694"/>
      <c r="S2344" s="729"/>
      <c r="T2344" s="729"/>
      <c r="U2344" s="694"/>
      <c r="V2344" s="694"/>
      <c r="W2344" s="694"/>
      <c r="X2344" s="694"/>
      <c r="Y2344" s="694"/>
      <c r="Z2344" s="1286" t="b">
        <f t="shared" si="3319"/>
        <v>0</v>
      </c>
      <c r="AA2344" s="982" t="b">
        <f t="shared" si="3320"/>
        <v>0</v>
      </c>
      <c r="AB2344" s="1287" t="b">
        <f t="shared" si="3324"/>
        <v>0</v>
      </c>
      <c r="AC2344" s="1288" t="b">
        <f t="shared" ref="AC2344:AI2344" si="3329">AC2343</f>
        <v>0</v>
      </c>
      <c r="AD2344" s="982" t="b">
        <f t="shared" si="3329"/>
        <v>0</v>
      </c>
      <c r="AE2344" s="982" t="b">
        <f t="shared" si="3329"/>
        <v>0</v>
      </c>
      <c r="AF2344" s="982" t="b">
        <f t="shared" si="3329"/>
        <v>0</v>
      </c>
      <c r="AG2344" s="982" t="b">
        <f t="shared" si="3329"/>
        <v>0</v>
      </c>
      <c r="AH2344" s="982" t="b">
        <f t="shared" si="3329"/>
        <v>0</v>
      </c>
      <c r="AI2344" s="1287" t="b">
        <f t="shared" si="3329"/>
        <v>0</v>
      </c>
      <c r="AJ2344" s="694"/>
      <c r="AK2344" s="694"/>
      <c r="AL2344" s="694"/>
    </row>
    <row r="2345" spans="1:38" x14ac:dyDescent="0.25">
      <c r="A2345" s="694"/>
      <c r="B2345" s="698"/>
      <c r="C2345" s="698"/>
      <c r="D2345" s="990">
        <f t="shared" si="3326"/>
        <v>6</v>
      </c>
      <c r="E2345" s="222"/>
      <c r="F2345" s="111"/>
      <c r="G2345" s="44"/>
      <c r="H2345" s="43"/>
      <c r="I2345" s="47"/>
      <c r="J2345" s="119"/>
      <c r="K2345" s="43"/>
      <c r="L2345" s="43"/>
      <c r="M2345" s="43"/>
      <c r="N2345" s="43"/>
      <c r="O2345" s="222"/>
      <c r="P2345" s="158"/>
      <c r="Q2345" s="694"/>
      <c r="R2345" s="694"/>
      <c r="S2345" s="729"/>
      <c r="T2345" s="729"/>
      <c r="U2345" s="694"/>
      <c r="V2345" s="694"/>
      <c r="W2345" s="694"/>
      <c r="X2345" s="694"/>
      <c r="Y2345" s="694"/>
      <c r="Z2345" s="1286" t="b">
        <f t="shared" si="3319"/>
        <v>0</v>
      </c>
      <c r="AA2345" s="982" t="b">
        <f t="shared" si="3320"/>
        <v>0</v>
      </c>
      <c r="AB2345" s="1287" t="b">
        <f t="shared" si="3324"/>
        <v>0</v>
      </c>
      <c r="AC2345" s="1288" t="b">
        <f t="shared" ref="AC2345:AI2345" si="3330">AC2344</f>
        <v>0</v>
      </c>
      <c r="AD2345" s="982" t="b">
        <f t="shared" si="3330"/>
        <v>0</v>
      </c>
      <c r="AE2345" s="982" t="b">
        <f t="shared" si="3330"/>
        <v>0</v>
      </c>
      <c r="AF2345" s="982" t="b">
        <f t="shared" si="3330"/>
        <v>0</v>
      </c>
      <c r="AG2345" s="982" t="b">
        <f t="shared" si="3330"/>
        <v>0</v>
      </c>
      <c r="AH2345" s="982" t="b">
        <f t="shared" si="3330"/>
        <v>0</v>
      </c>
      <c r="AI2345" s="1287" t="b">
        <f t="shared" si="3330"/>
        <v>0</v>
      </c>
      <c r="AJ2345" s="694"/>
      <c r="AK2345" s="694"/>
      <c r="AL2345" s="694"/>
    </row>
    <row r="2346" spans="1:38" x14ac:dyDescent="0.25">
      <c r="A2346" s="694"/>
      <c r="B2346" s="698"/>
      <c r="C2346" s="698"/>
      <c r="D2346" s="990">
        <f t="shared" si="3326"/>
        <v>7</v>
      </c>
      <c r="E2346" s="222"/>
      <c r="F2346" s="111"/>
      <c r="G2346" s="44"/>
      <c r="H2346" s="43"/>
      <c r="I2346" s="47"/>
      <c r="J2346" s="119"/>
      <c r="K2346" s="43"/>
      <c r="L2346" s="43"/>
      <c r="M2346" s="43"/>
      <c r="N2346" s="43"/>
      <c r="O2346" s="222"/>
      <c r="P2346" s="158"/>
      <c r="Q2346" s="694"/>
      <c r="R2346" s="694"/>
      <c r="S2346" s="729"/>
      <c r="T2346" s="729"/>
      <c r="U2346" s="694"/>
      <c r="V2346" s="694"/>
      <c r="W2346" s="694"/>
      <c r="X2346" s="694"/>
      <c r="Y2346" s="694"/>
      <c r="Z2346" s="1286" t="b">
        <f t="shared" si="3319"/>
        <v>0</v>
      </c>
      <c r="AA2346" s="982" t="b">
        <f t="shared" si="3320"/>
        <v>0</v>
      </c>
      <c r="AB2346" s="1287" t="b">
        <f t="shared" si="3324"/>
        <v>0</v>
      </c>
      <c r="AC2346" s="1288" t="b">
        <f t="shared" ref="AC2346:AI2346" si="3331">AC2345</f>
        <v>0</v>
      </c>
      <c r="AD2346" s="982" t="b">
        <f t="shared" si="3331"/>
        <v>0</v>
      </c>
      <c r="AE2346" s="982" t="b">
        <f t="shared" si="3331"/>
        <v>0</v>
      </c>
      <c r="AF2346" s="982" t="b">
        <f t="shared" si="3331"/>
        <v>0</v>
      </c>
      <c r="AG2346" s="982" t="b">
        <f t="shared" si="3331"/>
        <v>0</v>
      </c>
      <c r="AH2346" s="982" t="b">
        <f t="shared" si="3331"/>
        <v>0</v>
      </c>
      <c r="AI2346" s="1287" t="b">
        <f t="shared" si="3331"/>
        <v>0</v>
      </c>
      <c r="AJ2346" s="694"/>
      <c r="AK2346" s="694"/>
      <c r="AL2346" s="694"/>
    </row>
    <row r="2347" spans="1:38" x14ac:dyDescent="0.25">
      <c r="A2347" s="694"/>
      <c r="B2347" s="698"/>
      <c r="C2347" s="698"/>
      <c r="D2347" s="990">
        <f t="shared" si="3326"/>
        <v>8</v>
      </c>
      <c r="E2347" s="222"/>
      <c r="F2347" s="111"/>
      <c r="G2347" s="44"/>
      <c r="H2347" s="43"/>
      <c r="I2347" s="47"/>
      <c r="J2347" s="119"/>
      <c r="K2347" s="43"/>
      <c r="L2347" s="43"/>
      <c r="M2347" s="43"/>
      <c r="N2347" s="43"/>
      <c r="O2347" s="222"/>
      <c r="P2347" s="158"/>
      <c r="Q2347" s="694"/>
      <c r="R2347" s="694"/>
      <c r="S2347" s="729"/>
      <c r="T2347" s="729"/>
      <c r="U2347" s="694"/>
      <c r="V2347" s="694"/>
      <c r="W2347" s="694"/>
      <c r="X2347" s="694"/>
      <c r="Y2347" s="694"/>
      <c r="Z2347" s="1286" t="b">
        <f t="shared" si="3319"/>
        <v>0</v>
      </c>
      <c r="AA2347" s="982" t="b">
        <f t="shared" si="3320"/>
        <v>0</v>
      </c>
      <c r="AB2347" s="1287" t="b">
        <f t="shared" si="3324"/>
        <v>0</v>
      </c>
      <c r="AC2347" s="1288" t="b">
        <f t="shared" ref="AC2347:AI2347" si="3332">AC2346</f>
        <v>0</v>
      </c>
      <c r="AD2347" s="982" t="b">
        <f t="shared" si="3332"/>
        <v>0</v>
      </c>
      <c r="AE2347" s="982" t="b">
        <f t="shared" si="3332"/>
        <v>0</v>
      </c>
      <c r="AF2347" s="982" t="b">
        <f t="shared" si="3332"/>
        <v>0</v>
      </c>
      <c r="AG2347" s="982" t="b">
        <f t="shared" si="3332"/>
        <v>0</v>
      </c>
      <c r="AH2347" s="982" t="b">
        <f t="shared" si="3332"/>
        <v>0</v>
      </c>
      <c r="AI2347" s="1287" t="b">
        <f t="shared" si="3332"/>
        <v>0</v>
      </c>
      <c r="AJ2347" s="694"/>
      <c r="AK2347" s="694"/>
      <c r="AL2347" s="694"/>
    </row>
    <row r="2348" spans="1:38" x14ac:dyDescent="0.25">
      <c r="A2348" s="694"/>
      <c r="B2348" s="698"/>
      <c r="C2348" s="698"/>
      <c r="D2348" s="990">
        <f t="shared" si="3326"/>
        <v>9</v>
      </c>
      <c r="E2348" s="222"/>
      <c r="F2348" s="111"/>
      <c r="G2348" s="44"/>
      <c r="H2348" s="43"/>
      <c r="I2348" s="47"/>
      <c r="J2348" s="119"/>
      <c r="K2348" s="43"/>
      <c r="L2348" s="43"/>
      <c r="M2348" s="43"/>
      <c r="N2348" s="43"/>
      <c r="O2348" s="222"/>
      <c r="P2348" s="158"/>
      <c r="Q2348" s="694"/>
      <c r="R2348" s="694"/>
      <c r="S2348" s="729"/>
      <c r="T2348" s="729"/>
      <c r="U2348" s="694"/>
      <c r="V2348" s="694"/>
      <c r="W2348" s="694"/>
      <c r="X2348" s="694"/>
      <c r="Y2348" s="694"/>
      <c r="Z2348" s="1286" t="b">
        <f t="shared" si="3319"/>
        <v>0</v>
      </c>
      <c r="AA2348" s="982" t="b">
        <f t="shared" si="3320"/>
        <v>0</v>
      </c>
      <c r="AB2348" s="1287" t="b">
        <f t="shared" si="3324"/>
        <v>0</v>
      </c>
      <c r="AC2348" s="1288" t="b">
        <f t="shared" ref="AC2348:AI2348" si="3333">AC2347</f>
        <v>0</v>
      </c>
      <c r="AD2348" s="982" t="b">
        <f t="shared" si="3333"/>
        <v>0</v>
      </c>
      <c r="AE2348" s="982" t="b">
        <f t="shared" si="3333"/>
        <v>0</v>
      </c>
      <c r="AF2348" s="982" t="b">
        <f t="shared" si="3333"/>
        <v>0</v>
      </c>
      <c r="AG2348" s="982" t="b">
        <f t="shared" si="3333"/>
        <v>0</v>
      </c>
      <c r="AH2348" s="982" t="b">
        <f t="shared" si="3333"/>
        <v>0</v>
      </c>
      <c r="AI2348" s="1287" t="b">
        <f t="shared" si="3333"/>
        <v>0</v>
      </c>
      <c r="AJ2348" s="694"/>
      <c r="AK2348" s="694"/>
      <c r="AL2348" s="694"/>
    </row>
    <row r="2349" spans="1:38" ht="13" thickBot="1" x14ac:dyDescent="0.3">
      <c r="A2349" s="694"/>
      <c r="B2349" s="698"/>
      <c r="C2349" s="698"/>
      <c r="D2349" s="994">
        <f t="shared" si="3326"/>
        <v>10</v>
      </c>
      <c r="E2349" s="223"/>
      <c r="F2349" s="112"/>
      <c r="G2349" s="45"/>
      <c r="H2349" s="38"/>
      <c r="I2349" s="48"/>
      <c r="J2349" s="117"/>
      <c r="K2349" s="38"/>
      <c r="L2349" s="38"/>
      <c r="M2349" s="38"/>
      <c r="N2349" s="38"/>
      <c r="O2349" s="223"/>
      <c r="P2349" s="158"/>
      <c r="Q2349" s="694"/>
      <c r="R2349" s="694"/>
      <c r="S2349" s="729"/>
      <c r="T2349" s="729"/>
      <c r="U2349" s="694"/>
      <c r="V2349" s="694"/>
      <c r="W2349" s="694"/>
      <c r="X2349" s="694"/>
      <c r="Y2349" s="694"/>
      <c r="Z2349" s="1289" t="b">
        <f t="shared" si="3319"/>
        <v>0</v>
      </c>
      <c r="AA2349" s="1290" t="b">
        <f t="shared" si="3320"/>
        <v>0</v>
      </c>
      <c r="AB2349" s="1291" t="b">
        <f t="shared" si="3324"/>
        <v>0</v>
      </c>
      <c r="AC2349" s="1292" t="b">
        <f t="shared" ref="AC2349:AI2349" si="3334">AC2348</f>
        <v>0</v>
      </c>
      <c r="AD2349" s="1290" t="b">
        <f t="shared" si="3334"/>
        <v>0</v>
      </c>
      <c r="AE2349" s="1290" t="b">
        <f t="shared" si="3334"/>
        <v>0</v>
      </c>
      <c r="AF2349" s="1290" t="b">
        <f t="shared" si="3334"/>
        <v>0</v>
      </c>
      <c r="AG2349" s="1290" t="b">
        <f t="shared" si="3334"/>
        <v>0</v>
      </c>
      <c r="AH2349" s="1290" t="b">
        <f t="shared" si="3334"/>
        <v>0</v>
      </c>
      <c r="AI2349" s="1291" t="b">
        <f t="shared" si="3334"/>
        <v>0</v>
      </c>
      <c r="AJ2349" s="694"/>
      <c r="AK2349" s="694"/>
      <c r="AL2349" s="694"/>
    </row>
    <row r="2350" spans="1:38" ht="12.75" customHeight="1" thickBot="1" x14ac:dyDescent="0.3">
      <c r="A2350" s="694"/>
      <c r="B2350" s="698"/>
      <c r="C2350" s="698"/>
      <c r="D2350" s="1293"/>
      <c r="E2350" s="1294" t="str">
        <f>Translations!$B$501</f>
        <v>Сума на равнищата на производство</v>
      </c>
      <c r="F2350" s="1295"/>
      <c r="G2350" s="49"/>
      <c r="H2350" s="1104" t="str">
        <f t="shared" ref="H2350:N2350" si="3335">IF(COUNT(H2340:H2349)&gt;0,SUM(H2340:H2349),"")</f>
        <v/>
      </c>
      <c r="I2350" s="1296" t="str">
        <f t="shared" si="3335"/>
        <v/>
      </c>
      <c r="J2350" s="1297" t="str">
        <f t="shared" si="3335"/>
        <v/>
      </c>
      <c r="K2350" s="1104" t="str">
        <f t="shared" si="3335"/>
        <v/>
      </c>
      <c r="L2350" s="1104" t="str">
        <f t="shared" si="3335"/>
        <v/>
      </c>
      <c r="M2350" s="1104" t="str">
        <f t="shared" si="3335"/>
        <v/>
      </c>
      <c r="N2350" s="1104" t="str">
        <f t="shared" si="3335"/>
        <v/>
      </c>
      <c r="O2350" s="302"/>
      <c r="P2350" s="302"/>
      <c r="Q2350" s="694"/>
      <c r="R2350" s="694"/>
      <c r="S2350" s="729"/>
      <c r="T2350" s="729"/>
      <c r="U2350" s="694"/>
      <c r="V2350" s="694"/>
      <c r="W2350" s="694"/>
      <c r="X2350" s="694"/>
      <c r="Y2350" s="694"/>
      <c r="Z2350" s="694"/>
      <c r="AA2350" s="694"/>
      <c r="AB2350" s="1177" t="b">
        <f>AND(AB2340:AB2349)</f>
        <v>0</v>
      </c>
      <c r="AC2350" s="694"/>
      <c r="AD2350" s="694"/>
      <c r="AE2350" s="694"/>
      <c r="AF2350" s="694"/>
      <c r="AG2350" s="694"/>
      <c r="AH2350" s="694"/>
      <c r="AI2350" s="694"/>
      <c r="AJ2350" s="694"/>
      <c r="AK2350" s="694"/>
      <c r="AL2350" s="694"/>
    </row>
    <row r="2351" spans="1:38" ht="12.75" customHeight="1" thickBot="1" x14ac:dyDescent="0.3">
      <c r="A2351" s="694"/>
      <c r="B2351" s="298"/>
      <c r="C2351" s="298"/>
      <c r="D2351" s="298"/>
      <c r="E2351" s="298"/>
      <c r="F2351" s="298"/>
      <c r="G2351" s="298"/>
      <c r="H2351" s="298"/>
      <c r="I2351" s="298"/>
      <c r="J2351" s="298"/>
      <c r="K2351" s="298"/>
      <c r="L2351" s="298"/>
      <c r="M2351" s="302"/>
      <c r="N2351" s="302"/>
      <c r="O2351" s="302"/>
      <c r="P2351" s="302"/>
      <c r="Q2351" s="729"/>
      <c r="R2351" s="694"/>
      <c r="S2351" s="729"/>
      <c r="T2351" s="729"/>
      <c r="U2351" s="694"/>
      <c r="V2351" s="694"/>
      <c r="W2351" s="694"/>
      <c r="X2351" s="694"/>
      <c r="Y2351" s="694"/>
      <c r="Z2351" s="694"/>
      <c r="AA2351" s="694"/>
      <c r="AB2351" s="694"/>
      <c r="AC2351" s="694"/>
      <c r="AD2351" s="694"/>
      <c r="AE2351" s="694"/>
      <c r="AF2351" s="694"/>
      <c r="AG2351" s="694"/>
      <c r="AH2351" s="694"/>
      <c r="AI2351" s="694"/>
      <c r="AJ2351" s="694"/>
      <c r="AK2351" s="694"/>
      <c r="AL2351" s="694"/>
    </row>
    <row r="2352" spans="1:38" ht="5.15" customHeight="1" x14ac:dyDescent="0.25">
      <c r="A2352" s="694"/>
      <c r="B2352" s="298"/>
      <c r="C2352" s="1298"/>
      <c r="D2352" s="1299"/>
      <c r="E2352" s="1299"/>
      <c r="F2352" s="1299"/>
      <c r="G2352" s="1299"/>
      <c r="H2352" s="1299"/>
      <c r="I2352" s="1299"/>
      <c r="J2352" s="1299"/>
      <c r="K2352" s="1299"/>
      <c r="L2352" s="1299"/>
      <c r="M2352" s="1300"/>
      <c r="N2352" s="1301"/>
      <c r="O2352" s="302"/>
      <c r="P2352" s="302"/>
      <c r="Q2352" s="729"/>
      <c r="R2352" s="694"/>
      <c r="S2352" s="729"/>
      <c r="T2352" s="729"/>
      <c r="U2352" s="694"/>
      <c r="V2352" s="694"/>
      <c r="W2352" s="694"/>
      <c r="X2352" s="694"/>
      <c r="Y2352" s="694"/>
      <c r="Z2352" s="694"/>
      <c r="AA2352" s="694"/>
      <c r="AB2352" s="694"/>
      <c r="AC2352" s="694"/>
      <c r="AD2352" s="694"/>
      <c r="AE2352" s="694"/>
      <c r="AF2352" s="694"/>
      <c r="AG2352" s="694"/>
      <c r="AH2352" s="694"/>
      <c r="AI2352" s="694"/>
      <c r="AJ2352" s="694"/>
      <c r="AK2352" s="694"/>
      <c r="AL2352" s="694"/>
    </row>
    <row r="2353" spans="1:38" ht="15" customHeight="1" x14ac:dyDescent="0.25">
      <c r="A2353" s="694"/>
      <c r="B2353" s="698"/>
      <c r="C2353" s="1302"/>
      <c r="D2353" s="2857" t="str">
        <f>Translations!$B$502</f>
        <v>Данни, необходими за определяне на нивото на подобрение на продуктовите показатели съгласно 10а, параграф 2 от Директивата за СТЕ на ЕС</v>
      </c>
      <c r="E2353" s="2851"/>
      <c r="F2353" s="2851"/>
      <c r="G2353" s="2851"/>
      <c r="H2353" s="2851"/>
      <c r="I2353" s="2851"/>
      <c r="J2353" s="2851"/>
      <c r="K2353" s="2851"/>
      <c r="L2353" s="2851"/>
      <c r="M2353" s="2851"/>
      <c r="N2353" s="2852"/>
      <c r="O2353" s="302"/>
      <c r="P2353" s="302"/>
      <c r="Q2353" s="694"/>
      <c r="R2353" s="694"/>
      <c r="S2353" s="729"/>
      <c r="T2353" s="729"/>
      <c r="U2353" s="694"/>
      <c r="V2353" s="694"/>
      <c r="W2353" s="694"/>
      <c r="X2353" s="694"/>
      <c r="Y2353" s="694"/>
      <c r="Z2353" s="694"/>
      <c r="AA2353" s="694"/>
      <c r="AB2353" s="694"/>
      <c r="AC2353" s="694"/>
      <c r="AD2353" s="694"/>
      <c r="AE2353" s="694"/>
      <c r="AF2353" s="694"/>
      <c r="AG2353" s="694"/>
      <c r="AH2353" s="694"/>
      <c r="AI2353" s="694"/>
      <c r="AJ2353" s="694"/>
      <c r="AK2353" s="694"/>
      <c r="AL2353" s="694"/>
    </row>
    <row r="2354" spans="1:38" ht="5.15" customHeight="1" x14ac:dyDescent="0.25">
      <c r="A2354" s="694"/>
      <c r="B2354" s="698"/>
      <c r="C2354" s="1303"/>
      <c r="D2354" s="1304"/>
      <c r="E2354" s="1304"/>
      <c r="F2354" s="1304"/>
      <c r="G2354" s="1304"/>
      <c r="H2354" s="1304"/>
      <c r="I2354" s="1304"/>
      <c r="J2354" s="1304"/>
      <c r="K2354" s="1304"/>
      <c r="L2354" s="1304"/>
      <c r="M2354" s="1304"/>
      <c r="N2354" s="1305"/>
      <c r="O2354" s="302"/>
      <c r="P2354" s="302"/>
      <c r="Q2354" s="694"/>
      <c r="R2354" s="694"/>
      <c r="S2354" s="729"/>
      <c r="T2354" s="729"/>
      <c r="U2354" s="694"/>
      <c r="V2354" s="694"/>
      <c r="W2354" s="694"/>
      <c r="X2354" s="694"/>
      <c r="Y2354" s="694"/>
      <c r="Z2354" s="694"/>
      <c r="AA2354" s="694"/>
      <c r="AB2354" s="694"/>
      <c r="AC2354" s="694"/>
      <c r="AD2354" s="694"/>
      <c r="AE2354" s="694"/>
      <c r="AF2354" s="694"/>
      <c r="AG2354" s="694"/>
      <c r="AH2354" s="694"/>
      <c r="AI2354" s="694"/>
      <c r="AJ2354" s="694"/>
      <c r="AK2354" s="694"/>
      <c r="AL2354" s="694"/>
    </row>
    <row r="2355" spans="1:38" ht="15" customHeight="1" x14ac:dyDescent="0.25">
      <c r="A2355" s="694"/>
      <c r="B2355" s="698"/>
      <c r="C2355" s="1303"/>
      <c r="D2355" s="2841" t="str">
        <f>EUconst_BMSubinst &amp; ":"</f>
        <v>Подинсталация с продуктов показател:</v>
      </c>
      <c r="E2355" s="2839"/>
      <c r="F2355" s="2839"/>
      <c r="G2355" s="2839"/>
      <c r="H2355" s="2842"/>
      <c r="I2355" s="2843" t="str">
        <f>I2261</f>
        <v/>
      </c>
      <c r="J2355" s="2844"/>
      <c r="K2355" s="2844"/>
      <c r="L2355" s="2844"/>
      <c r="M2355" s="2844"/>
      <c r="N2355" s="2845"/>
      <c r="O2355" s="302"/>
      <c r="P2355" s="302"/>
      <c r="Q2355" s="694"/>
      <c r="R2355" s="694"/>
      <c r="S2355" s="729"/>
      <c r="T2355" s="729"/>
      <c r="U2355" s="694"/>
      <c r="V2355" s="694"/>
      <c r="W2355" s="694"/>
      <c r="X2355" s="694"/>
      <c r="Y2355" s="694"/>
      <c r="Z2355" s="694"/>
      <c r="AA2355" s="694"/>
      <c r="AB2355" s="694"/>
      <c r="AC2355" s="694"/>
      <c r="AD2355" s="694"/>
      <c r="AE2355" s="694"/>
      <c r="AF2355" s="694"/>
      <c r="AG2355" s="694"/>
      <c r="AH2355" s="694"/>
      <c r="AI2355" s="694"/>
      <c r="AJ2355" s="694"/>
      <c r="AK2355" s="694"/>
      <c r="AL2355" s="694"/>
    </row>
    <row r="2356" spans="1:38" ht="5.15" customHeight="1" x14ac:dyDescent="0.25">
      <c r="A2356" s="694"/>
      <c r="B2356" s="698"/>
      <c r="C2356" s="1303"/>
      <c r="D2356" s="1304"/>
      <c r="E2356" s="1304"/>
      <c r="F2356" s="1304"/>
      <c r="G2356" s="1304"/>
      <c r="H2356" s="1304"/>
      <c r="I2356" s="1304"/>
      <c r="J2356" s="1304"/>
      <c r="K2356" s="1304"/>
      <c r="L2356" s="1304"/>
      <c r="M2356" s="1304"/>
      <c r="N2356" s="1305"/>
      <c r="O2356" s="302"/>
      <c r="P2356" s="302"/>
      <c r="Q2356" s="694"/>
      <c r="R2356" s="694"/>
      <c r="S2356" s="729"/>
      <c r="T2356" s="729"/>
      <c r="U2356" s="694"/>
      <c r="V2356" s="694"/>
      <c r="W2356" s="694"/>
      <c r="X2356" s="694"/>
      <c r="Y2356" s="694"/>
      <c r="Z2356" s="694"/>
      <c r="AA2356" s="694"/>
      <c r="AB2356" s="694"/>
      <c r="AC2356" s="694"/>
      <c r="AD2356" s="694"/>
      <c r="AE2356" s="694"/>
      <c r="AF2356" s="694"/>
      <c r="AG2356" s="694"/>
      <c r="AH2356" s="694"/>
      <c r="AI2356" s="694"/>
      <c r="AJ2356" s="694"/>
      <c r="AK2356" s="694"/>
      <c r="AL2356" s="694"/>
    </row>
    <row r="2357" spans="1:38" ht="30" customHeight="1" x14ac:dyDescent="0.25">
      <c r="A2357" s="694"/>
      <c r="B2357" s="298"/>
      <c r="C2357" s="1302"/>
      <c r="D2357" s="1306"/>
      <c r="E2357" s="2846" t="str">
        <f>Translations!$B$503</f>
        <v>В този подраздел се обхваща разпределението на емисии по пораждащи емисии потоци, източници на емисии, получена или подадена измерима топлинна енергия и отпадни газове, включително загубите на топлинна енергия съгласно раздел 10 от приложение VII към ПБР.</v>
      </c>
      <c r="F2357" s="2846"/>
      <c r="G2357" s="2846"/>
      <c r="H2357" s="2846"/>
      <c r="I2357" s="2846"/>
      <c r="J2357" s="2846"/>
      <c r="K2357" s="2846"/>
      <c r="L2357" s="2846"/>
      <c r="M2357" s="2846"/>
      <c r="N2357" s="2847"/>
      <c r="O2357" s="302"/>
      <c r="P2357" s="302"/>
      <c r="Q2357" s="729"/>
      <c r="R2357" s="694"/>
      <c r="S2357" s="694"/>
      <c r="T2357" s="694"/>
      <c r="U2357" s="694"/>
      <c r="V2357" s="694"/>
      <c r="W2357" s="694"/>
      <c r="X2357" s="694"/>
      <c r="Y2357" s="694"/>
      <c r="Z2357" s="694"/>
      <c r="AA2357" s="694"/>
      <c r="AB2357" s="694"/>
      <c r="AC2357" s="694"/>
      <c r="AD2357" s="694"/>
      <c r="AE2357" s="694"/>
      <c r="AF2357" s="694"/>
      <c r="AG2357" s="694"/>
      <c r="AH2357" s="694"/>
      <c r="AI2357" s="694"/>
      <c r="AJ2357" s="694"/>
      <c r="AK2357" s="694"/>
      <c r="AL2357" s="694"/>
    </row>
    <row r="2358" spans="1:38" ht="30" customHeight="1" x14ac:dyDescent="0.25">
      <c r="A2358" s="694"/>
      <c r="B2358" s="298"/>
      <c r="C2358" s="1302"/>
      <c r="D2358" s="1306"/>
      <c r="E2358" s="2846" t="str">
        <f>Translations!$B$504</f>
        <v xml:space="preserve">Моля, имайте предвид, че въпреки дадените известни насоки по всяка от точките по-долу трябва да потърсите допълнителна информация в обяснителна бележка № 5 („Мониторинг и докладване във връзка с ПБР“), която съдържа и примери. </v>
      </c>
      <c r="F2358" s="2846"/>
      <c r="G2358" s="2846"/>
      <c r="H2358" s="2846"/>
      <c r="I2358" s="2846"/>
      <c r="J2358" s="2846"/>
      <c r="K2358" s="2846"/>
      <c r="L2358" s="2846"/>
      <c r="M2358" s="2846"/>
      <c r="N2358" s="2811"/>
      <c r="O2358" s="302"/>
      <c r="P2358" s="302"/>
      <c r="Q2358" s="729"/>
      <c r="R2358" s="694"/>
      <c r="S2358" s="694"/>
      <c r="T2358" s="694"/>
      <c r="U2358" s="694"/>
      <c r="V2358" s="694"/>
      <c r="W2358" s="694"/>
      <c r="X2358" s="694"/>
      <c r="Y2358" s="694"/>
      <c r="Z2358" s="694"/>
      <c r="AA2358" s="694"/>
      <c r="AB2358" s="694"/>
      <c r="AC2358" s="694"/>
      <c r="AD2358" s="694"/>
      <c r="AE2358" s="694"/>
      <c r="AF2358" s="694"/>
      <c r="AG2358" s="694"/>
      <c r="AH2358" s="694"/>
      <c r="AI2358" s="694"/>
      <c r="AJ2358" s="694"/>
      <c r="AK2358" s="694"/>
      <c r="AL2358" s="694"/>
    </row>
    <row r="2359" spans="1:38" ht="12.75" customHeight="1" x14ac:dyDescent="0.25">
      <c r="A2359" s="694"/>
      <c r="B2359" s="298"/>
      <c r="C2359" s="1302"/>
      <c r="D2359" s="1306"/>
      <c r="E2359" s="2846" t="str">
        <f>Translations!$B$505</f>
        <v>Можете да изтеглите насоките на адрес: https://ec.europa.eu/clima/policies/ets/allowances_en#tab-0-1</v>
      </c>
      <c r="F2359" s="2240"/>
      <c r="G2359" s="2240"/>
      <c r="H2359" s="2240"/>
      <c r="I2359" s="2240"/>
      <c r="J2359" s="2240"/>
      <c r="K2359" s="2240"/>
      <c r="L2359" s="2240"/>
      <c r="M2359" s="2240"/>
      <c r="N2359" s="2811"/>
      <c r="O2359" s="302"/>
      <c r="P2359" s="302"/>
      <c r="Q2359" s="729"/>
      <c r="R2359" s="694"/>
      <c r="S2359" s="694"/>
      <c r="T2359" s="694"/>
      <c r="U2359" s="694"/>
      <c r="V2359" s="694"/>
      <c r="W2359" s="694"/>
      <c r="X2359" s="694"/>
      <c r="Y2359" s="694"/>
      <c r="Z2359" s="694"/>
      <c r="AA2359" s="694"/>
      <c r="AB2359" s="694"/>
      <c r="AC2359" s="694"/>
      <c r="AD2359" s="694"/>
      <c r="AE2359" s="694"/>
      <c r="AF2359" s="694"/>
      <c r="AG2359" s="694"/>
      <c r="AH2359" s="694"/>
      <c r="AI2359" s="694"/>
      <c r="AJ2359" s="694"/>
      <c r="AK2359" s="694"/>
      <c r="AL2359" s="694"/>
    </row>
    <row r="2360" spans="1:38" ht="15" customHeight="1" x14ac:dyDescent="0.25">
      <c r="A2360" s="694"/>
      <c r="B2360" s="298"/>
      <c r="C2360" s="1302"/>
      <c r="D2360" s="1306"/>
      <c r="E2360" s="2848" t="str">
        <f t="shared" ref="E2360" si="3336">$E$674</f>
        <v>https://climate.ec.europa.eu/eu-action/carbon-markets/eu-emissions-trading-system-eu-ets/free-allocation/about-free-allocation_en</v>
      </c>
      <c r="F2360" s="2848"/>
      <c r="G2360" s="2848"/>
      <c r="H2360" s="2848"/>
      <c r="I2360" s="2848"/>
      <c r="J2360" s="2848"/>
      <c r="K2360" s="2848"/>
      <c r="L2360" s="2848"/>
      <c r="M2360" s="2848"/>
      <c r="N2360" s="2827"/>
      <c r="O2360" s="302"/>
      <c r="P2360" s="302"/>
      <c r="Q2360" s="729"/>
      <c r="R2360" s="694"/>
      <c r="S2360" s="694"/>
      <c r="T2360" s="694"/>
      <c r="U2360" s="694"/>
      <c r="V2360" s="694"/>
      <c r="W2360" s="694"/>
      <c r="X2360" s="694"/>
      <c r="Y2360" s="694"/>
      <c r="Z2360" s="694"/>
      <c r="AA2360" s="694"/>
      <c r="AB2360" s="694"/>
      <c r="AC2360" s="694"/>
      <c r="AD2360" s="694"/>
      <c r="AE2360" s="694"/>
      <c r="AF2360" s="694"/>
      <c r="AG2360" s="694"/>
      <c r="AH2360" s="694"/>
      <c r="AI2360" s="694"/>
      <c r="AJ2360" s="694"/>
      <c r="AK2360" s="694"/>
      <c r="AL2360" s="694"/>
    </row>
    <row r="2361" spans="1:38" ht="5.15" customHeight="1" x14ac:dyDescent="0.25">
      <c r="A2361" s="694"/>
      <c r="B2361" s="698"/>
      <c r="C2361" s="1303"/>
      <c r="D2361" s="1304"/>
      <c r="E2361" s="1304"/>
      <c r="F2361" s="1304"/>
      <c r="G2361" s="1304"/>
      <c r="H2361" s="1304"/>
      <c r="I2361" s="1304"/>
      <c r="J2361" s="1304"/>
      <c r="K2361" s="1304"/>
      <c r="L2361" s="1304"/>
      <c r="M2361" s="1304"/>
      <c r="N2361" s="1305"/>
      <c r="O2361" s="302"/>
      <c r="P2361" s="302"/>
      <c r="Q2361" s="694"/>
      <c r="R2361" s="694"/>
      <c r="S2361" s="729"/>
      <c r="T2361" s="729"/>
      <c r="U2361" s="694"/>
      <c r="V2361" s="694"/>
      <c r="W2361" s="694"/>
      <c r="X2361" s="694"/>
      <c r="Y2361" s="694"/>
      <c r="Z2361" s="694"/>
      <c r="AA2361" s="694"/>
      <c r="AB2361" s="694"/>
      <c r="AC2361" s="694"/>
      <c r="AD2361" s="694"/>
      <c r="AE2361" s="694"/>
      <c r="AF2361" s="694"/>
      <c r="AG2361" s="694"/>
      <c r="AH2361" s="694"/>
      <c r="AI2361" s="694"/>
      <c r="AJ2361" s="694"/>
      <c r="AK2361" s="694"/>
      <c r="AL2361" s="694"/>
    </row>
    <row r="2362" spans="1:38" ht="15" customHeight="1" x14ac:dyDescent="0.25">
      <c r="A2362" s="694"/>
      <c r="B2362" s="298"/>
      <c r="C2362" s="1302"/>
      <c r="D2362" s="1306"/>
      <c r="E2362" s="2849" t="str">
        <f>Translations!$B$506</f>
        <v>При въвеждане на данните по-долу емисиите, които могат да бъдат зададени, са изчислени в раздел K.III.2 в листа за обобщение.</v>
      </c>
      <c r="F2362" s="2849"/>
      <c r="G2362" s="2849"/>
      <c r="H2362" s="2849"/>
      <c r="I2362" s="2849"/>
      <c r="J2362" s="2849"/>
      <c r="K2362" s="2849"/>
      <c r="L2362" s="2849"/>
      <c r="M2362" s="2849"/>
      <c r="N2362" s="2827"/>
      <c r="O2362" s="302"/>
      <c r="P2362" s="302"/>
      <c r="Q2362" s="729"/>
      <c r="R2362" s="694"/>
      <c r="S2362" s="694"/>
      <c r="T2362" s="694"/>
      <c r="U2362" s="694"/>
      <c r="V2362" s="694"/>
      <c r="W2362" s="694"/>
      <c r="X2362" s="694"/>
      <c r="Y2362" s="694"/>
      <c r="Z2362" s="694"/>
      <c r="AA2362" s="694"/>
      <c r="AB2362" s="694"/>
      <c r="AC2362" s="694"/>
      <c r="AD2362" s="694"/>
      <c r="AE2362" s="694"/>
      <c r="AF2362" s="694"/>
      <c r="AG2362" s="694"/>
      <c r="AH2362" s="694"/>
      <c r="AI2362" s="694"/>
      <c r="AJ2362" s="694"/>
      <c r="AK2362" s="694"/>
      <c r="AL2362" s="694"/>
    </row>
    <row r="2363" spans="1:38" ht="5.15" customHeight="1" x14ac:dyDescent="0.25">
      <c r="A2363" s="694"/>
      <c r="B2363" s="698"/>
      <c r="C2363" s="1303"/>
      <c r="D2363" s="1304"/>
      <c r="E2363" s="1304"/>
      <c r="F2363" s="1304"/>
      <c r="G2363" s="1304"/>
      <c r="H2363" s="1304"/>
      <c r="I2363" s="1304"/>
      <c r="J2363" s="1304"/>
      <c r="K2363" s="1304"/>
      <c r="L2363" s="1304"/>
      <c r="M2363" s="1304"/>
      <c r="N2363" s="1305"/>
      <c r="O2363" s="302"/>
      <c r="P2363" s="302"/>
      <c r="Q2363" s="694"/>
      <c r="R2363" s="694"/>
      <c r="S2363" s="729"/>
      <c r="T2363" s="729"/>
      <c r="U2363" s="694"/>
      <c r="V2363" s="694"/>
      <c r="W2363" s="694"/>
      <c r="X2363" s="694"/>
      <c r="Y2363" s="694"/>
      <c r="Z2363" s="694"/>
      <c r="AA2363" s="694"/>
      <c r="AB2363" s="694"/>
      <c r="AC2363" s="694"/>
      <c r="AD2363" s="694"/>
      <c r="AE2363" s="694"/>
      <c r="AF2363" s="694"/>
      <c r="AG2363" s="694"/>
      <c r="AH2363" s="694"/>
      <c r="AI2363" s="694"/>
      <c r="AJ2363" s="694"/>
      <c r="AK2363" s="694"/>
      <c r="AL2363" s="694"/>
    </row>
    <row r="2364" spans="1:38" ht="12.75" customHeight="1" x14ac:dyDescent="0.25">
      <c r="A2364" s="694"/>
      <c r="B2364" s="298"/>
      <c r="C2364" s="1302"/>
      <c r="D2364" s="1307" t="s">
        <v>273</v>
      </c>
      <c r="E2364" s="2850" t="str">
        <f>Translations!$B$507</f>
        <v>Емисии, които могат се зададат пряко (DirEm* (пораждащи емисии потоци от плана за мониторинг)) на тази подинсталация</v>
      </c>
      <c r="F2364" s="2851"/>
      <c r="G2364" s="2851"/>
      <c r="H2364" s="2851"/>
      <c r="I2364" s="2851"/>
      <c r="J2364" s="2851"/>
      <c r="K2364" s="2851"/>
      <c r="L2364" s="2851"/>
      <c r="M2364" s="2851"/>
      <c r="N2364" s="2852"/>
      <c r="O2364" s="302"/>
      <c r="P2364" s="302"/>
      <c r="Q2364" s="729"/>
      <c r="R2364" s="694"/>
      <c r="S2364" s="729"/>
      <c r="T2364" s="729"/>
      <c r="U2364" s="694"/>
      <c r="V2364" s="694"/>
      <c r="W2364" s="694"/>
      <c r="X2364" s="694"/>
      <c r="Y2364" s="694"/>
      <c r="Z2364" s="694"/>
      <c r="AA2364" s="694"/>
      <c r="AB2364" s="694"/>
      <c r="AC2364" s="694"/>
      <c r="AD2364" s="694"/>
      <c r="AE2364" s="694"/>
      <c r="AF2364" s="694"/>
      <c r="AG2364" s="694"/>
      <c r="AH2364" s="694"/>
      <c r="AI2364" s="694"/>
      <c r="AJ2364" s="694"/>
      <c r="AK2364" s="694"/>
      <c r="AL2364" s="694"/>
    </row>
    <row r="2365" spans="1:38" ht="12.75" customHeight="1" x14ac:dyDescent="0.25">
      <c r="A2365" s="694"/>
      <c r="B2365" s="298"/>
      <c r="C2365" s="1302"/>
      <c r="D2365" s="625"/>
      <c r="E2365" s="2853" t="str">
        <f>Translations!$B$508</f>
        <v>Посочените тук данни ще се отразят на емисиите, които могат да бъдат зададени съгласно раздел 10.1.1 от приложение VII към ПБР.</v>
      </c>
      <c r="F2365" s="2850"/>
      <c r="G2365" s="2850"/>
      <c r="H2365" s="2850"/>
      <c r="I2365" s="2850"/>
      <c r="J2365" s="2850"/>
      <c r="K2365" s="2850"/>
      <c r="L2365" s="2850"/>
      <c r="M2365" s="2850"/>
      <c r="N2365" s="2854"/>
      <c r="O2365" s="302"/>
      <c r="P2365" s="302"/>
      <c r="Q2365" s="729"/>
      <c r="R2365" s="694"/>
      <c r="S2365" s="729"/>
      <c r="T2365" s="729"/>
      <c r="U2365" s="694"/>
      <c r="V2365" s="694"/>
      <c r="W2365" s="694"/>
      <c r="X2365" s="694"/>
      <c r="Y2365" s="694"/>
      <c r="Z2365" s="694"/>
      <c r="AA2365" s="694"/>
      <c r="AB2365" s="694"/>
      <c r="AC2365" s="694"/>
      <c r="AD2365" s="694"/>
      <c r="AE2365" s="694"/>
      <c r="AF2365" s="694"/>
      <c r="AG2365" s="694"/>
      <c r="AH2365" s="694"/>
      <c r="AI2365" s="694"/>
      <c r="AJ2365" s="694"/>
      <c r="AK2365" s="694"/>
      <c r="AL2365" s="694"/>
    </row>
    <row r="2366" spans="1:38" ht="12.75" customHeight="1" x14ac:dyDescent="0.25">
      <c r="A2366" s="694"/>
      <c r="B2366" s="298"/>
      <c r="C2366" s="1302"/>
      <c r="D2366" s="1306"/>
      <c r="E2366" s="2836" t="str">
        <f>Translations!$B$509</f>
        <v>Моля, въведете тук емисиите, които могат да се зададат пряко (DirEm* (пораждащи емисии потоци от плана за мониторинг)) на тази подинсталация, като се имат предвид следните уговорки:</v>
      </c>
      <c r="F2366" s="2836"/>
      <c r="G2366" s="2836"/>
      <c r="H2366" s="2836"/>
      <c r="I2366" s="2836"/>
      <c r="J2366" s="2836"/>
      <c r="K2366" s="2836"/>
      <c r="L2366" s="2836"/>
      <c r="M2366" s="2836"/>
      <c r="N2366" s="2837"/>
      <c r="O2366" s="302"/>
      <c r="P2366" s="302"/>
      <c r="Q2366" s="729"/>
      <c r="R2366" s="694"/>
      <c r="S2366" s="729"/>
      <c r="T2366" s="694"/>
      <c r="U2366" s="694"/>
      <c r="V2366" s="694"/>
      <c r="W2366" s="694"/>
      <c r="X2366" s="694"/>
      <c r="Y2366" s="694"/>
      <c r="Z2366" s="694"/>
      <c r="AA2366" s="694"/>
      <c r="AB2366" s="694"/>
      <c r="AC2366" s="694"/>
      <c r="AD2366" s="694"/>
      <c r="AE2366" s="694"/>
      <c r="AF2366" s="694"/>
      <c r="AG2366" s="694"/>
      <c r="AH2366" s="694"/>
      <c r="AI2366" s="694"/>
      <c r="AJ2366" s="694"/>
      <c r="AK2366" s="694"/>
      <c r="AL2366" s="694"/>
    </row>
    <row r="2367" spans="1:38" ht="25.5" customHeight="1" x14ac:dyDescent="0.25">
      <c r="A2367" s="694"/>
      <c r="B2367" s="298"/>
      <c r="C2367" s="1302"/>
      <c r="D2367" s="1306"/>
      <c r="E2367" s="1308" t="s">
        <v>1052</v>
      </c>
      <c r="F2367" s="2838" t="str">
        <f>Translations!$B$510</f>
        <v>„емисиите, които могат да се зададат пряко“, се следят в съответствие с плана за мониторинг, одобрен съгласно Регламента относно мониторинга и докладването (РМД), т.е. като се отчитат емисиите, получени по методики, основани на изчисления (като се използват пораждащите емисии потоци), по базиращи се на измервания методики (БИМ), както и по подходи без подреждане („fall-backs“).</v>
      </c>
      <c r="G2367" s="2839"/>
      <c r="H2367" s="2839"/>
      <c r="I2367" s="2839"/>
      <c r="J2367" s="2839"/>
      <c r="K2367" s="2839"/>
      <c r="L2367" s="2839"/>
      <c r="M2367" s="2839"/>
      <c r="N2367" s="2840"/>
      <c r="O2367" s="302"/>
      <c r="P2367" s="302"/>
      <c r="Q2367" s="729"/>
      <c r="R2367" s="694"/>
      <c r="S2367" s="729"/>
      <c r="T2367" s="694"/>
      <c r="U2367" s="694"/>
      <c r="V2367" s="694"/>
      <c r="W2367" s="694"/>
      <c r="X2367" s="694"/>
      <c r="Y2367" s="694"/>
      <c r="Z2367" s="694"/>
      <c r="AA2367" s="694"/>
      <c r="AB2367" s="694"/>
      <c r="AC2367" s="694"/>
      <c r="AD2367" s="694"/>
      <c r="AE2367" s="694"/>
      <c r="AF2367" s="694"/>
      <c r="AG2367" s="694"/>
      <c r="AH2367" s="694"/>
      <c r="AI2367" s="694"/>
      <c r="AJ2367" s="694"/>
      <c r="AK2367" s="694"/>
      <c r="AL2367" s="694"/>
    </row>
    <row r="2368" spans="1:38" ht="38.25" customHeight="1" x14ac:dyDescent="0.25">
      <c r="A2368" s="694"/>
      <c r="B2368" s="298"/>
      <c r="C2368" s="1302"/>
      <c r="D2368" s="1306"/>
      <c r="E2368" s="1308"/>
      <c r="F2368" s="2810" t="str">
        <f>Translations!$B$511</f>
        <v>В някои случая обаче в този раздел „емисиите, които могат да се зададат пряко“, не са същите като отчетените съгласно РМД. Такива случаи са например пораждащи емисии потоци, използвани за производство на измерима топлинна енергия, отпадни газове и др. С други думи, трябва да попълните разделите по-долу много внимателно и да спазите строго инструкциите, за да се избегнат двойно отчитане или пропуски.</v>
      </c>
      <c r="G2368" s="2240"/>
      <c r="H2368" s="2240"/>
      <c r="I2368" s="2240"/>
      <c r="J2368" s="2240"/>
      <c r="K2368" s="2240"/>
      <c r="L2368" s="2240"/>
      <c r="M2368" s="2240"/>
      <c r="N2368" s="2811"/>
      <c r="O2368" s="302"/>
      <c r="P2368" s="302"/>
      <c r="Q2368" s="729"/>
      <c r="R2368" s="694"/>
      <c r="S2368" s="729"/>
      <c r="T2368" s="694"/>
      <c r="U2368" s="694"/>
      <c r="V2368" s="694"/>
      <c r="W2368" s="694"/>
      <c r="X2368" s="694"/>
      <c r="Y2368" s="694"/>
      <c r="Z2368" s="694"/>
      <c r="AA2368" s="694"/>
      <c r="AB2368" s="694"/>
      <c r="AC2368" s="694"/>
      <c r="AD2368" s="694"/>
      <c r="AE2368" s="694"/>
      <c r="AF2368" s="694"/>
      <c r="AG2368" s="694"/>
      <c r="AH2368" s="694"/>
      <c r="AI2368" s="694"/>
      <c r="AJ2368" s="694"/>
      <c r="AK2368" s="694"/>
      <c r="AL2368" s="694"/>
    </row>
    <row r="2369" spans="1:38" ht="12.75" customHeight="1" x14ac:dyDescent="0.25">
      <c r="A2369" s="694"/>
      <c r="B2369" s="298"/>
      <c r="C2369" s="1302"/>
      <c r="D2369" s="1306"/>
      <c r="E2369" s="1308" t="s">
        <v>1052</v>
      </c>
      <c r="F2369" s="2838" t="str">
        <f>Translations!$B$512</f>
        <v xml:space="preserve">Измерима топлинна енергия: в случай че топлинната енергия е произведена изключително за една подинсталация, емисиите могат да се зададат пряко тук чрез емисиите за горивата. </v>
      </c>
      <c r="G2369" s="2839"/>
      <c r="H2369" s="2839"/>
      <c r="I2369" s="2839"/>
      <c r="J2369" s="2839"/>
      <c r="K2369" s="2839"/>
      <c r="L2369" s="2839"/>
      <c r="M2369" s="2839"/>
      <c r="N2369" s="2840"/>
      <c r="O2369" s="302"/>
      <c r="P2369" s="302"/>
      <c r="Q2369" s="729"/>
      <c r="R2369" s="694"/>
      <c r="S2369" s="729"/>
      <c r="T2369" s="694"/>
      <c r="U2369" s="694"/>
      <c r="V2369" s="694"/>
      <c r="W2369" s="694"/>
      <c r="X2369" s="694"/>
      <c r="Y2369" s="694"/>
      <c r="Z2369" s="694"/>
      <c r="AA2369" s="694"/>
      <c r="AB2369" s="694"/>
      <c r="AC2369" s="694"/>
      <c r="AD2369" s="694"/>
      <c r="AE2369" s="694"/>
      <c r="AF2369" s="694"/>
      <c r="AG2369" s="694"/>
      <c r="AH2369" s="694"/>
      <c r="AI2369" s="694"/>
      <c r="AJ2369" s="694"/>
      <c r="AK2369" s="694"/>
      <c r="AL2369" s="694"/>
    </row>
    <row r="2370" spans="1:38" ht="38.9" customHeight="1" x14ac:dyDescent="0.25">
      <c r="A2370" s="694"/>
      <c r="B2370" s="298"/>
      <c r="C2370" s="1302"/>
      <c r="D2370" s="1306"/>
      <c r="E2370" s="1308"/>
      <c r="F2370" s="2838" t="str">
        <f>Translations!$B$513</f>
        <v>Когато за производството на измерима топлинна енергия са използвани горива като „входящи потоци“ към повече от една подинсталация, в която се консумира топлинната енергия (което включва случаи с входящи и изходящи потоци от и към други инсталации), горивата не трябва да се включват в „емисиите, които могат да се зададат пряко“ на подинсталацията, а в буква k) по-долу.</v>
      </c>
      <c r="G2370" s="2839"/>
      <c r="H2370" s="2839"/>
      <c r="I2370" s="2839"/>
      <c r="J2370" s="2839"/>
      <c r="K2370" s="2839"/>
      <c r="L2370" s="2839"/>
      <c r="M2370" s="2839"/>
      <c r="N2370" s="2840"/>
      <c r="O2370" s="302"/>
      <c r="P2370" s="302"/>
      <c r="Q2370" s="729"/>
      <c r="R2370" s="694"/>
      <c r="S2370" s="729"/>
      <c r="T2370" s="694"/>
      <c r="U2370" s="694"/>
      <c r="V2370" s="694"/>
      <c r="W2370" s="694"/>
      <c r="X2370" s="694"/>
      <c r="Y2370" s="694"/>
      <c r="Z2370" s="694"/>
      <c r="AA2370" s="694"/>
      <c r="AB2370" s="694"/>
      <c r="AC2370" s="694"/>
      <c r="AD2370" s="694"/>
      <c r="AE2370" s="694"/>
      <c r="AF2370" s="694"/>
      <c r="AG2370" s="694"/>
      <c r="AH2370" s="694"/>
      <c r="AI2370" s="694"/>
      <c r="AJ2370" s="694"/>
      <c r="AK2370" s="694"/>
      <c r="AL2370" s="694"/>
    </row>
    <row r="2371" spans="1:38" ht="25.5" customHeight="1" x14ac:dyDescent="0.25">
      <c r="A2371" s="694"/>
      <c r="B2371" s="298"/>
      <c r="C2371" s="1302"/>
      <c r="D2371" s="1306"/>
      <c r="E2371" s="1308"/>
      <c r="F2371" s="2838" t="str">
        <f>Translations!$B$514</f>
        <v>„Входящите потоци“ включват измеримата топлинна енергия от съоръжения в рамките на обекта (напр. централна електростанция в инсталацията или по-сложна мрежа за генериране на пара с няколко съоръжения за производство на топлинна енергия), които доставят топлинна енергия до повече от една подинсталация. В такъв случай емисиите също не трябва да се задават тук, а в точка k).i. по-долу.</v>
      </c>
      <c r="G2371" s="2839"/>
      <c r="H2371" s="2839"/>
      <c r="I2371" s="2839"/>
      <c r="J2371" s="2839"/>
      <c r="K2371" s="2839"/>
      <c r="L2371" s="2839"/>
      <c r="M2371" s="2839"/>
      <c r="N2371" s="2840"/>
      <c r="O2371" s="302"/>
      <c r="P2371" s="302"/>
      <c r="Q2371" s="729"/>
      <c r="R2371" s="694"/>
      <c r="S2371" s="729"/>
      <c r="T2371" s="694"/>
      <c r="U2371" s="694"/>
      <c r="V2371" s="694"/>
      <c r="W2371" s="694"/>
      <c r="X2371" s="694"/>
      <c r="Y2371" s="694"/>
      <c r="Z2371" s="694"/>
      <c r="AA2371" s="694"/>
      <c r="AB2371" s="694"/>
      <c r="AC2371" s="694"/>
      <c r="AD2371" s="694"/>
      <c r="AE2371" s="694"/>
      <c r="AF2371" s="694"/>
      <c r="AG2371" s="694"/>
      <c r="AH2371" s="694"/>
      <c r="AI2371" s="694"/>
      <c r="AJ2371" s="694"/>
      <c r="AK2371" s="694"/>
      <c r="AL2371" s="694"/>
    </row>
    <row r="2372" spans="1:38" ht="25.5" customHeight="1" x14ac:dyDescent="0.25">
      <c r="A2372" s="694"/>
      <c r="B2372" s="298"/>
      <c r="C2372" s="1302"/>
      <c r="D2372" s="1306"/>
      <c r="E2372" s="1308" t="s">
        <v>1052</v>
      </c>
      <c r="F2372" s="2838" t="str">
        <f>Translations!$B$515</f>
        <v>Подавана навън измерима топлинна енергия: Когато тази топлинна енергия се извлича от процеси или се подава навън, тук не се правят корекции. Приспадането на свързаните емисиите се извършва съгласно данните, въведени в точка k).v. по-долу.</v>
      </c>
      <c r="G2372" s="2839"/>
      <c r="H2372" s="2839"/>
      <c r="I2372" s="2839"/>
      <c r="J2372" s="2839"/>
      <c r="K2372" s="2839"/>
      <c r="L2372" s="2839"/>
      <c r="M2372" s="2839"/>
      <c r="N2372" s="2840"/>
      <c r="O2372" s="302"/>
      <c r="P2372" s="302"/>
      <c r="Q2372" s="729"/>
      <c r="R2372" s="694"/>
      <c r="S2372" s="729"/>
      <c r="T2372" s="694"/>
      <c r="U2372" s="694"/>
      <c r="V2372" s="694"/>
      <c r="W2372" s="694"/>
      <c r="X2372" s="694"/>
      <c r="Y2372" s="694"/>
      <c r="Z2372" s="694"/>
      <c r="AA2372" s="694"/>
      <c r="AB2372" s="694"/>
      <c r="AC2372" s="694"/>
      <c r="AD2372" s="694"/>
      <c r="AE2372" s="694"/>
      <c r="AF2372" s="694"/>
      <c r="AG2372" s="694"/>
      <c r="AH2372" s="694"/>
      <c r="AI2372" s="694"/>
      <c r="AJ2372" s="694"/>
      <c r="AK2372" s="694"/>
      <c r="AL2372" s="694"/>
    </row>
    <row r="2373" spans="1:38" ht="25.5" customHeight="1" thickBot="1" x14ac:dyDescent="0.3">
      <c r="A2373" s="694"/>
      <c r="B2373" s="298"/>
      <c r="C2373" s="1302"/>
      <c r="D2373" s="1306"/>
      <c r="E2373" s="1308" t="s">
        <v>1052</v>
      </c>
      <c r="F2373" s="2838" t="str">
        <f>Translations!$B$516</f>
        <v>Отпадни газове: емисиите от отпадните газове, които са ПОЛУЧЕНИ от други инсталации или подинсталации и са консумирани в подинсталацията, не се включват тук, а се въвеждат в буква l) по-долу.</v>
      </c>
      <c r="G2373" s="2839"/>
      <c r="H2373" s="2839"/>
      <c r="I2373" s="2839"/>
      <c r="J2373" s="2839"/>
      <c r="K2373" s="2839"/>
      <c r="L2373" s="2839"/>
      <c r="M2373" s="2839"/>
      <c r="N2373" s="2840"/>
      <c r="O2373" s="302"/>
      <c r="P2373" s="302"/>
      <c r="Q2373" s="729"/>
      <c r="R2373" s="694"/>
      <c r="S2373" s="729"/>
      <c r="T2373" s="694"/>
      <c r="U2373" s="694"/>
      <c r="V2373" s="694"/>
      <c r="W2373" s="694"/>
      <c r="X2373" s="694"/>
      <c r="Y2373" s="694"/>
      <c r="Z2373" s="694"/>
      <c r="AA2373" s="694"/>
      <c r="AB2373" s="694"/>
      <c r="AC2373" s="694"/>
      <c r="AD2373" s="694"/>
      <c r="AE2373" s="694"/>
      <c r="AF2373" s="694"/>
      <c r="AG2373" s="694"/>
      <c r="AH2373" s="694"/>
      <c r="AI2373" s="694"/>
      <c r="AJ2373" s="694"/>
      <c r="AK2373" s="694"/>
      <c r="AL2373" s="694"/>
    </row>
    <row r="2374" spans="1:38" ht="12.75" customHeight="1" thickBot="1" x14ac:dyDescent="0.3">
      <c r="A2374" s="694"/>
      <c r="B2374" s="298"/>
      <c r="C2374" s="1302"/>
      <c r="D2374" s="1307"/>
      <c r="E2374" s="2803" t="str">
        <f>Translations!$B$517</f>
        <v>Емисии, които могат да се зададат пряко (DirEm*)</v>
      </c>
      <c r="F2374" s="2803"/>
      <c r="G2374" s="1309" t="str">
        <f>EUconst_Unit</f>
        <v>Единица мярка</v>
      </c>
      <c r="H2374" s="629">
        <f t="shared" ref="H2374:N2374" si="3337">H$2831</f>
        <v>2024</v>
      </c>
      <c r="I2374" s="1310">
        <f t="shared" si="3337"/>
        <v>2025</v>
      </c>
      <c r="J2374" s="1311">
        <f t="shared" si="3337"/>
        <v>2026</v>
      </c>
      <c r="K2374" s="629">
        <f t="shared" si="3337"/>
        <v>2027</v>
      </c>
      <c r="L2374" s="629">
        <f t="shared" si="3337"/>
        <v>2028</v>
      </c>
      <c r="M2374" s="629">
        <f t="shared" si="3337"/>
        <v>2029</v>
      </c>
      <c r="N2374" s="1312">
        <f t="shared" si="3337"/>
        <v>2030</v>
      </c>
      <c r="O2374" s="302"/>
      <c r="P2374" s="302"/>
      <c r="Q2374" s="729"/>
      <c r="R2374" s="694"/>
      <c r="S2374" s="1205"/>
      <c r="T2374" s="1313">
        <f t="shared" ref="T2374" si="3338">H2374</f>
        <v>2024</v>
      </c>
      <c r="U2374" s="1313">
        <f t="shared" ref="U2374" si="3339">I2374</f>
        <v>2025</v>
      </c>
      <c r="V2374" s="1313">
        <f t="shared" ref="V2374" si="3340">J2374</f>
        <v>2026</v>
      </c>
      <c r="W2374" s="1313">
        <f t="shared" ref="W2374" si="3341">K2374</f>
        <v>2027</v>
      </c>
      <c r="X2374" s="1313">
        <f t="shared" ref="X2374" si="3342">L2374</f>
        <v>2028</v>
      </c>
      <c r="Y2374" s="1313">
        <f t="shared" ref="Y2374" si="3343">M2374</f>
        <v>2029</v>
      </c>
      <c r="Z2374" s="1314">
        <f t="shared" ref="Z2374" si="3344">N2374</f>
        <v>2030</v>
      </c>
      <c r="AA2374" s="694"/>
      <c r="AB2374" s="694"/>
      <c r="AC2374" s="1178">
        <f t="shared" ref="AC2374" si="3345">H$20</f>
        <v>2024</v>
      </c>
      <c r="AD2374" s="1178">
        <f t="shared" ref="AD2374" si="3346">I$20</f>
        <v>2025</v>
      </c>
      <c r="AE2374" s="1178">
        <f t="shared" ref="AE2374" si="3347">J$20</f>
        <v>2026</v>
      </c>
      <c r="AF2374" s="1178">
        <f t="shared" ref="AF2374" si="3348">K$20</f>
        <v>2027</v>
      </c>
      <c r="AG2374" s="1178">
        <f t="shared" ref="AG2374" si="3349">L$20</f>
        <v>2028</v>
      </c>
      <c r="AH2374" s="1178">
        <f t="shared" ref="AH2374" si="3350">M$20</f>
        <v>2029</v>
      </c>
      <c r="AI2374" s="1178">
        <f t="shared" ref="AI2374" si="3351">N$20</f>
        <v>2030</v>
      </c>
      <c r="AJ2374" s="694"/>
      <c r="AK2374" s="694"/>
      <c r="AL2374" s="694"/>
    </row>
    <row r="2375" spans="1:38" ht="12.75" customHeight="1" thickBot="1" x14ac:dyDescent="0.3">
      <c r="A2375" s="694"/>
      <c r="B2375" s="298"/>
      <c r="C2375" s="1302"/>
      <c r="D2375" s="1306"/>
      <c r="E2375" s="2814" t="str">
        <f>I2261</f>
        <v/>
      </c>
      <c r="F2375" s="2258"/>
      <c r="G2375" s="642" t="str">
        <f>EUconst_tCO2epa</f>
        <v>t CO2e/година</v>
      </c>
      <c r="H2375" s="56"/>
      <c r="I2375" s="115"/>
      <c r="J2375" s="118"/>
      <c r="K2375" s="56"/>
      <c r="L2375" s="56"/>
      <c r="M2375" s="56"/>
      <c r="N2375" s="121"/>
      <c r="O2375" s="302"/>
      <c r="P2375" s="158"/>
      <c r="Q2375" s="1190" t="str">
        <f>EUconst_CNTR_Emissions &amp; I2261</f>
        <v>DirEmissions_</v>
      </c>
      <c r="R2375" s="694"/>
      <c r="S2375" s="1315" t="str">
        <f>EUconst_CNTR_AttributedEmissions &amp; I2261</f>
        <v>AttrEmissions_</v>
      </c>
      <c r="T2375" s="1290" t="str">
        <f t="shared" ref="T2375" si="3352">IF(T2269,SUM(H2375),"")</f>
        <v/>
      </c>
      <c r="U2375" s="1290" t="str">
        <f t="shared" ref="U2375" si="3353">IF(U2269,SUM(I2375),"")</f>
        <v/>
      </c>
      <c r="V2375" s="1290" t="str">
        <f t="shared" ref="V2375" si="3354">IF(V2269,SUM(J2375),"")</f>
        <v/>
      </c>
      <c r="W2375" s="1290" t="str">
        <f t="shared" ref="W2375" si="3355">IF(W2269,SUM(K2375),"")</f>
        <v/>
      </c>
      <c r="X2375" s="1290" t="str">
        <f t="shared" ref="X2375" si="3356">IF(X2269,SUM(L2375),"")</f>
        <v/>
      </c>
      <c r="Y2375" s="1290" t="str">
        <f t="shared" ref="Y2375" si="3357">IF(Y2269,SUM(M2375),"")</f>
        <v/>
      </c>
      <c r="Z2375" s="1291" t="str">
        <f t="shared" ref="Z2375" si="3358">IF(Z2269,SUM(N2375),"")</f>
        <v/>
      </c>
      <c r="AA2375" s="694"/>
      <c r="AB2375" s="1182" t="s">
        <v>737</v>
      </c>
      <c r="AC2375" s="982" t="b">
        <f>AC2308</f>
        <v>0</v>
      </c>
      <c r="AD2375" s="982" t="b">
        <f t="shared" ref="AD2375:AI2375" si="3359">AD2308</f>
        <v>0</v>
      </c>
      <c r="AE2375" s="982" t="b">
        <f t="shared" si="3359"/>
        <v>0</v>
      </c>
      <c r="AF2375" s="982" t="b">
        <f t="shared" si="3359"/>
        <v>0</v>
      </c>
      <c r="AG2375" s="982" t="b">
        <f t="shared" si="3359"/>
        <v>0</v>
      </c>
      <c r="AH2375" s="982" t="b">
        <f t="shared" si="3359"/>
        <v>0</v>
      </c>
      <c r="AI2375" s="982" t="b">
        <f t="shared" si="3359"/>
        <v>0</v>
      </c>
      <c r="AJ2375" s="1174" t="s">
        <v>2039</v>
      </c>
      <c r="AK2375" s="1176" t="str">
        <f>IF(AND(CNTR_ExistSubInstEntries,MSconst_RequireSubAttrEmissions,COUNTIFS(AC2375:AI2375,FALSE,H2375:N2375,"")&gt;0),EUconst_Error&amp;"BM"&amp;$Q2261,"")</f>
        <v/>
      </c>
      <c r="AL2375" s="694"/>
    </row>
    <row r="2376" spans="1:38" ht="12.75" customHeight="1" x14ac:dyDescent="0.25">
      <c r="A2376" s="694"/>
      <c r="B2376" s="298"/>
      <c r="C2376" s="1302"/>
      <c r="D2376" s="1306"/>
      <c r="E2376" s="1306"/>
      <c r="F2376" s="1306"/>
      <c r="G2376" s="1306"/>
      <c r="H2376" s="1306"/>
      <c r="I2376" s="1306"/>
      <c r="J2376" s="1306"/>
      <c r="K2376" s="1306"/>
      <c r="L2376" s="1306"/>
      <c r="M2376" s="626"/>
      <c r="N2376" s="1316"/>
      <c r="O2376" s="302"/>
      <c r="P2376" s="302"/>
      <c r="Q2376" s="729"/>
      <c r="R2376" s="694"/>
      <c r="S2376" s="729"/>
      <c r="T2376" s="694"/>
      <c r="U2376" s="694"/>
      <c r="V2376" s="694"/>
      <c r="W2376" s="694"/>
      <c r="X2376" s="694"/>
      <c r="Y2376" s="694"/>
      <c r="Z2376" s="694"/>
      <c r="AA2376" s="694"/>
      <c r="AB2376" s="694"/>
      <c r="AC2376" s="694"/>
      <c r="AD2376" s="694"/>
      <c r="AE2376" s="694"/>
      <c r="AF2376" s="694"/>
      <c r="AG2376" s="694"/>
      <c r="AH2376" s="694"/>
      <c r="AI2376" s="694"/>
      <c r="AJ2376" s="694"/>
      <c r="AK2376" s="694"/>
      <c r="AL2376" s="694"/>
    </row>
    <row r="2377" spans="1:38" ht="12.75" customHeight="1" x14ac:dyDescent="0.25">
      <c r="A2377" s="694"/>
      <c r="B2377" s="298"/>
      <c r="C2377" s="1302"/>
      <c r="D2377" s="1307" t="s">
        <v>277</v>
      </c>
      <c r="E2377" s="2815" t="str">
        <f>Translations!$B$1524</f>
        <v>Вложена енергия в тази подинсталация и съответен емисионен фактор</v>
      </c>
      <c r="F2377" s="2240"/>
      <c r="G2377" s="2240"/>
      <c r="H2377" s="2240"/>
      <c r="I2377" s="2240"/>
      <c r="J2377" s="2240"/>
      <c r="K2377" s="2240"/>
      <c r="L2377" s="2240"/>
      <c r="M2377" s="2240"/>
      <c r="N2377" s="2811"/>
      <c r="O2377" s="302"/>
      <c r="P2377" s="302"/>
      <c r="Q2377" s="729"/>
      <c r="R2377" s="729"/>
      <c r="S2377" s="729"/>
      <c r="T2377" s="694"/>
      <c r="U2377" s="694"/>
      <c r="V2377" s="694"/>
      <c r="W2377" s="694"/>
      <c r="X2377" s="694"/>
      <c r="Y2377" s="694"/>
      <c r="Z2377" s="694"/>
      <c r="AA2377" s="694"/>
      <c r="AB2377" s="694"/>
      <c r="AC2377" s="694"/>
      <c r="AD2377" s="694"/>
      <c r="AE2377" s="694"/>
      <c r="AF2377" s="694"/>
      <c r="AG2377" s="694"/>
      <c r="AH2377" s="694"/>
      <c r="AI2377" s="694"/>
      <c r="AJ2377" s="694"/>
      <c r="AK2377" s="694"/>
      <c r="AL2377" s="694"/>
    </row>
    <row r="2378" spans="1:38" ht="25.5" customHeight="1" x14ac:dyDescent="0.25">
      <c r="A2378" s="694"/>
      <c r="B2378" s="298"/>
      <c r="C2378" s="1302"/>
      <c r="D2378" s="1306"/>
      <c r="E2378" s="2836" t="str">
        <f>Translations!$B$1525</f>
        <v>Съгласно изискванията в приложение IV, раздел 2.4, буква а) към ПБР посочете общото количество вложена енергия от горива, материали и електроенергия за генериране на топлинна енергия от подинсталацията и съответния претеглен емисионен фактор, като вземете предвид съответното енергийно съдържание на всяко гориво, включено в числовата стойност, посочена в буква ж), и приложите същите системни граници от буква ж).</v>
      </c>
      <c r="F2378" s="2836"/>
      <c r="G2378" s="2836"/>
      <c r="H2378" s="2836"/>
      <c r="I2378" s="2836"/>
      <c r="J2378" s="2836"/>
      <c r="K2378" s="2836"/>
      <c r="L2378" s="2836"/>
      <c r="M2378" s="2836"/>
      <c r="N2378" s="2837"/>
      <c r="O2378" s="302"/>
      <c r="P2378" s="302"/>
      <c r="Q2378" s="729"/>
      <c r="R2378" s="729"/>
      <c r="S2378" s="729"/>
      <c r="T2378" s="694"/>
      <c r="U2378" s="694"/>
      <c r="V2378" s="694"/>
      <c r="W2378" s="694"/>
      <c r="X2378" s="694"/>
      <c r="Y2378" s="694"/>
      <c r="Z2378" s="694"/>
      <c r="AA2378" s="694"/>
      <c r="AB2378" s="694"/>
      <c r="AC2378" s="694"/>
      <c r="AD2378" s="694"/>
      <c r="AE2378" s="694"/>
      <c r="AF2378" s="694"/>
      <c r="AG2378" s="694"/>
      <c r="AH2378" s="694"/>
      <c r="AI2378" s="694"/>
      <c r="AJ2378" s="694"/>
      <c r="AK2378" s="694"/>
      <c r="AL2378" s="694"/>
    </row>
    <row r="2379" spans="1:38" ht="25.5" customHeight="1" x14ac:dyDescent="0.25">
      <c r="A2379" s="694"/>
      <c r="B2379" s="298"/>
      <c r="C2379" s="1302"/>
      <c r="D2379" s="1306"/>
      <c r="E2379" s="2836" t="str">
        <f>Translations!$B$1526</f>
        <v>Терминът „гориво“ следва да се тълкува като всеки запалим пораждащ емисии поток съгласно РМД, за който може да се установи долната топлина на изгаряне. Претегленият емисионен фактор съответства на натрупаните емисии от горива, разделени на общото енергийно съдържание.</v>
      </c>
      <c r="F2379" s="2836"/>
      <c r="G2379" s="2836"/>
      <c r="H2379" s="2836"/>
      <c r="I2379" s="2836"/>
      <c r="J2379" s="2836"/>
      <c r="K2379" s="2836"/>
      <c r="L2379" s="2836"/>
      <c r="M2379" s="2836"/>
      <c r="N2379" s="2837"/>
      <c r="O2379" s="302"/>
      <c r="P2379" s="302"/>
      <c r="Q2379" s="729"/>
      <c r="R2379" s="694"/>
      <c r="S2379" s="729"/>
      <c r="T2379" s="694"/>
      <c r="U2379" s="694"/>
      <c r="V2379" s="694"/>
      <c r="W2379" s="694"/>
      <c r="X2379" s="694"/>
      <c r="Y2379" s="694"/>
      <c r="Z2379" s="694"/>
      <c r="AA2379" s="694"/>
      <c r="AB2379" s="694"/>
      <c r="AC2379" s="694"/>
      <c r="AD2379" s="694"/>
      <c r="AE2379" s="694"/>
      <c r="AF2379" s="694"/>
      <c r="AG2379" s="694"/>
      <c r="AH2379" s="694"/>
      <c r="AI2379" s="694"/>
      <c r="AJ2379" s="694"/>
      <c r="AK2379" s="694"/>
      <c r="AL2379" s="694"/>
    </row>
    <row r="2380" spans="1:38" ht="12.75" customHeight="1" x14ac:dyDescent="0.25">
      <c r="A2380" s="694"/>
      <c r="B2380" s="298"/>
      <c r="C2380" s="1302"/>
      <c r="D2380" s="1306"/>
      <c r="E2380" s="2836" t="str">
        <f>Translations!$B$519</f>
        <v>Претегленият емисионен фактор следва също така да включва и емисии от съответното очистване на димни газове, ако е приложимо.</v>
      </c>
      <c r="F2380" s="2836"/>
      <c r="G2380" s="2836"/>
      <c r="H2380" s="2836"/>
      <c r="I2380" s="2836"/>
      <c r="J2380" s="2836"/>
      <c r="K2380" s="2836"/>
      <c r="L2380" s="2836"/>
      <c r="M2380" s="2836"/>
      <c r="N2380" s="2837"/>
      <c r="O2380" s="302"/>
      <c r="P2380" s="302"/>
      <c r="Q2380" s="729"/>
      <c r="R2380" s="694"/>
      <c r="S2380" s="729"/>
      <c r="T2380" s="694"/>
      <c r="U2380" s="694"/>
      <c r="V2380" s="694"/>
      <c r="W2380" s="694"/>
      <c r="X2380" s="694"/>
      <c r="Y2380" s="694"/>
      <c r="Z2380" s="694"/>
      <c r="AA2380" s="694"/>
      <c r="AB2380" s="694"/>
      <c r="AC2380" s="694"/>
      <c r="AD2380" s="694"/>
      <c r="AE2380" s="694"/>
      <c r="AF2380" s="694"/>
      <c r="AG2380" s="694"/>
      <c r="AH2380" s="694"/>
      <c r="AI2380" s="694"/>
      <c r="AJ2380" s="694"/>
      <c r="AK2380" s="694"/>
      <c r="AL2380" s="694"/>
    </row>
    <row r="2381" spans="1:38" ht="12.75" customHeight="1" x14ac:dyDescent="0.25">
      <c r="A2381" s="694"/>
      <c r="B2381" s="298"/>
      <c r="C2381" s="1302"/>
      <c r="D2381" s="1306"/>
      <c r="E2381" s="2816" t="str">
        <f>Translations!$B$520</f>
        <v>Посочените тук данни се използват само с цел проверка на съответствието и нямат пряко отражение върху емисиите, които могат да бъдат зададени, или на разпределението на квотите.</v>
      </c>
      <c r="F2381" s="2240"/>
      <c r="G2381" s="2240"/>
      <c r="H2381" s="2240"/>
      <c r="I2381" s="2240"/>
      <c r="J2381" s="2240"/>
      <c r="K2381" s="2240"/>
      <c r="L2381" s="2240"/>
      <c r="M2381" s="2240"/>
      <c r="N2381" s="2811"/>
      <c r="O2381" s="302"/>
      <c r="P2381" s="302"/>
      <c r="Q2381" s="729"/>
      <c r="R2381" s="694"/>
      <c r="S2381" s="729"/>
      <c r="T2381" s="694"/>
      <c r="U2381" s="694"/>
      <c r="V2381" s="694"/>
      <c r="W2381" s="694"/>
      <c r="X2381" s="694"/>
      <c r="Y2381" s="694"/>
      <c r="Z2381" s="694"/>
      <c r="AA2381" s="694"/>
      <c r="AB2381" s="694"/>
      <c r="AC2381" s="694"/>
      <c r="AD2381" s="694"/>
      <c r="AE2381" s="694"/>
      <c r="AF2381" s="694"/>
      <c r="AG2381" s="694"/>
      <c r="AH2381" s="694"/>
      <c r="AI2381" s="694"/>
      <c r="AJ2381" s="694"/>
      <c r="AK2381" s="694"/>
      <c r="AL2381" s="694"/>
    </row>
    <row r="2382" spans="1:38" ht="12.75" customHeight="1" thickBot="1" x14ac:dyDescent="0.3">
      <c r="A2382" s="694"/>
      <c r="B2382" s="298"/>
      <c r="C2382" s="1302"/>
      <c r="D2382" s="1307"/>
      <c r="E2382" s="1317"/>
      <c r="F2382" s="1318"/>
      <c r="G2382" s="1309" t="str">
        <f>EUconst_Unit</f>
        <v>Единица мярка</v>
      </c>
      <c r="H2382" s="629">
        <f t="shared" ref="H2382:N2382" si="3360">H$2831</f>
        <v>2024</v>
      </c>
      <c r="I2382" s="1310">
        <f t="shared" si="3360"/>
        <v>2025</v>
      </c>
      <c r="J2382" s="1311">
        <f t="shared" si="3360"/>
        <v>2026</v>
      </c>
      <c r="K2382" s="629">
        <f t="shared" si="3360"/>
        <v>2027</v>
      </c>
      <c r="L2382" s="629">
        <f t="shared" si="3360"/>
        <v>2028</v>
      </c>
      <c r="M2382" s="629">
        <f t="shared" si="3360"/>
        <v>2029</v>
      </c>
      <c r="N2382" s="1312">
        <f t="shared" si="3360"/>
        <v>2030</v>
      </c>
      <c r="O2382" s="302"/>
      <c r="P2382" s="302"/>
      <c r="Q2382" s="729"/>
      <c r="R2382" s="694"/>
      <c r="S2382" s="729"/>
      <c r="T2382" s="694"/>
      <c r="U2382" s="694"/>
      <c r="V2382" s="694"/>
      <c r="W2382" s="694"/>
      <c r="X2382" s="694"/>
      <c r="Y2382" s="694"/>
      <c r="Z2382" s="694"/>
      <c r="AA2382" s="694"/>
      <c r="AB2382" s="694"/>
      <c r="AC2382" s="1178">
        <f t="shared" ref="AC2382" si="3361">H$20</f>
        <v>2024</v>
      </c>
      <c r="AD2382" s="1178">
        <f t="shared" ref="AD2382" si="3362">I$20</f>
        <v>2025</v>
      </c>
      <c r="AE2382" s="1178">
        <f t="shared" ref="AE2382" si="3363">J$20</f>
        <v>2026</v>
      </c>
      <c r="AF2382" s="1178">
        <f t="shared" ref="AF2382" si="3364">K$20</f>
        <v>2027</v>
      </c>
      <c r="AG2382" s="1178">
        <f t="shared" ref="AG2382" si="3365">L$20</f>
        <v>2028</v>
      </c>
      <c r="AH2382" s="1178">
        <f t="shared" ref="AH2382" si="3366">M$20</f>
        <v>2029</v>
      </c>
      <c r="AI2382" s="1178">
        <f t="shared" ref="AI2382" si="3367">N$20</f>
        <v>2030</v>
      </c>
      <c r="AJ2382" s="694"/>
      <c r="AK2382" s="694"/>
      <c r="AL2382" s="694"/>
    </row>
    <row r="2383" spans="1:38" ht="12.75" customHeight="1" x14ac:dyDescent="0.25">
      <c r="A2383" s="694"/>
      <c r="B2383" s="298"/>
      <c r="C2383" s="1302"/>
      <c r="D2383" s="625" t="s">
        <v>6</v>
      </c>
      <c r="E2383" s="2820" t="str">
        <f>Translations!$B$1527</f>
        <v>Вложена енергия</v>
      </c>
      <c r="F2383" s="2258"/>
      <c r="G2383" s="1319" t="str">
        <f>EUconst_TJpa</f>
        <v>TJ / година</v>
      </c>
      <c r="H2383" s="56"/>
      <c r="I2383" s="115"/>
      <c r="J2383" s="118"/>
      <c r="K2383" s="56"/>
      <c r="L2383" s="56"/>
      <c r="M2383" s="56"/>
      <c r="N2383" s="121"/>
      <c r="O2383" s="302"/>
      <c r="P2383" s="158"/>
      <c r="Q2383" s="1190" t="str">
        <f>EUconst_CNTR_FuelInput &amp; I2261</f>
        <v>FuelInput_</v>
      </c>
      <c r="R2383" s="694"/>
      <c r="S2383" s="729"/>
      <c r="T2383" s="694"/>
      <c r="U2383" s="694"/>
      <c r="V2383" s="694"/>
      <c r="W2383" s="694"/>
      <c r="X2383" s="694"/>
      <c r="Y2383" s="694"/>
      <c r="Z2383" s="694"/>
      <c r="AA2383" s="694"/>
      <c r="AB2383" s="1182" t="s">
        <v>737</v>
      </c>
      <c r="AC2383" s="982" t="b">
        <f>AC2308</f>
        <v>0</v>
      </c>
      <c r="AD2383" s="982" t="b">
        <f t="shared" ref="AD2383:AI2383" si="3368">AD2308</f>
        <v>0</v>
      </c>
      <c r="AE2383" s="982" t="b">
        <f t="shared" si="3368"/>
        <v>0</v>
      </c>
      <c r="AF2383" s="982" t="b">
        <f t="shared" si="3368"/>
        <v>0</v>
      </c>
      <c r="AG2383" s="982" t="b">
        <f t="shared" si="3368"/>
        <v>0</v>
      </c>
      <c r="AH2383" s="982" t="b">
        <f t="shared" si="3368"/>
        <v>0</v>
      </c>
      <c r="AI2383" s="982" t="b">
        <f t="shared" si="3368"/>
        <v>0</v>
      </c>
      <c r="AJ2383" s="1174" t="s">
        <v>2039</v>
      </c>
      <c r="AK2383" s="1176" t="str">
        <f>IF(AND(CNTR_ExistSubInstEntries,MSconst_RequireSubAttrEmissions,COUNTIFS(AC2383:AI2383,FALSE,H2383:N2383,"")&gt;0),EUconst_Error&amp;"BM"&amp;$Q2261,"")</f>
        <v/>
      </c>
      <c r="AL2383" s="694"/>
    </row>
    <row r="2384" spans="1:38" ht="12.75" customHeight="1" x14ac:dyDescent="0.25">
      <c r="A2384" s="694"/>
      <c r="B2384" s="298"/>
      <c r="C2384" s="1302"/>
      <c r="D2384" s="625" t="s">
        <v>7</v>
      </c>
      <c r="E2384" s="2820" t="str">
        <f>Translations!$B$522</f>
        <v>Претеглен емисионен фактор</v>
      </c>
      <c r="F2384" s="2258"/>
      <c r="G2384" s="1320" t="str">
        <f>EUconst_tCO2pTJ</f>
        <v>t CO2 / TJ</v>
      </c>
      <c r="H2384" s="82"/>
      <c r="I2384" s="126"/>
      <c r="J2384" s="127"/>
      <c r="K2384" s="82"/>
      <c r="L2384" s="82"/>
      <c r="M2384" s="82"/>
      <c r="N2384" s="128"/>
      <c r="O2384" s="302"/>
      <c r="P2384" s="158"/>
      <c r="Q2384" s="1190" t="str">
        <f>EUconst_CNTR_FuelEF &amp; I2261</f>
        <v>FuelEF_</v>
      </c>
      <c r="R2384" s="694"/>
      <c r="S2384" s="729"/>
      <c r="T2384" s="694"/>
      <c r="U2384" s="694"/>
      <c r="V2384" s="694"/>
      <c r="W2384" s="694"/>
      <c r="X2384" s="694"/>
      <c r="Y2384" s="694"/>
      <c r="Z2384" s="694"/>
      <c r="AA2384" s="694"/>
      <c r="AB2384" s="694"/>
      <c r="AC2384" s="982" t="b">
        <f>AC2383</f>
        <v>0</v>
      </c>
      <c r="AD2384" s="982" t="b">
        <f t="shared" ref="AD2384:AI2384" si="3369">AD2383</f>
        <v>0</v>
      </c>
      <c r="AE2384" s="982" t="b">
        <f t="shared" si="3369"/>
        <v>0</v>
      </c>
      <c r="AF2384" s="982" t="b">
        <f t="shared" si="3369"/>
        <v>0</v>
      </c>
      <c r="AG2384" s="982" t="b">
        <f t="shared" si="3369"/>
        <v>0</v>
      </c>
      <c r="AH2384" s="982" t="b">
        <f t="shared" si="3369"/>
        <v>0</v>
      </c>
      <c r="AI2384" s="982" t="b">
        <f t="shared" si="3369"/>
        <v>0</v>
      </c>
      <c r="AJ2384" s="1174" t="s">
        <v>2039</v>
      </c>
      <c r="AK2384" s="1176" t="str">
        <f>IF(AND(CNTR_ExistSubInstEntries,MSconst_RequireSubAttrEmissions,COUNTIFS(AC2384:AI2384,FALSE,H2384:N2384,"")&gt;0),EUconst_Error&amp;"BM"&amp;$Q2261,"")</f>
        <v/>
      </c>
      <c r="AL2384" s="694"/>
    </row>
    <row r="2385" spans="1:38" ht="12.75" customHeight="1" x14ac:dyDescent="0.25">
      <c r="A2385" s="694"/>
      <c r="B2385" s="298"/>
      <c r="C2385" s="1302"/>
      <c r="D2385" s="1306"/>
      <c r="E2385" s="1306"/>
      <c r="F2385" s="1306"/>
      <c r="G2385" s="1306"/>
      <c r="H2385" s="1306"/>
      <c r="I2385" s="1306"/>
      <c r="J2385" s="1306"/>
      <c r="K2385" s="1306"/>
      <c r="L2385" s="1306"/>
      <c r="M2385" s="626"/>
      <c r="N2385" s="1316"/>
      <c r="O2385" s="302"/>
      <c r="P2385" s="302"/>
      <c r="Q2385" s="729"/>
      <c r="R2385" s="694"/>
      <c r="S2385" s="729"/>
      <c r="T2385" s="694"/>
      <c r="U2385" s="694"/>
      <c r="V2385" s="694"/>
      <c r="W2385" s="694"/>
      <c r="X2385" s="694"/>
      <c r="Y2385" s="694"/>
      <c r="Z2385" s="694"/>
      <c r="AA2385" s="694"/>
      <c r="AB2385" s="694"/>
      <c r="AC2385" s="694"/>
      <c r="AD2385" s="694"/>
      <c r="AE2385" s="694"/>
      <c r="AF2385" s="694"/>
      <c r="AG2385" s="694"/>
      <c r="AH2385" s="694"/>
      <c r="AI2385" s="694"/>
      <c r="AJ2385" s="694"/>
      <c r="AK2385" s="694"/>
      <c r="AL2385" s="694"/>
    </row>
    <row r="2386" spans="1:38" ht="12.75" customHeight="1" x14ac:dyDescent="0.25">
      <c r="A2386" s="694"/>
      <c r="B2386" s="298"/>
      <c r="C2386" s="1302"/>
      <c r="D2386" s="1307" t="s">
        <v>279</v>
      </c>
      <c r="E2386" s="2815" t="str">
        <f>Translations!$B$523</f>
        <v>Други вътрешни пораждащи емисии потоци, получени или подадени от тази подинсталация</v>
      </c>
      <c r="F2386" s="2240"/>
      <c r="G2386" s="2240"/>
      <c r="H2386" s="2240"/>
      <c r="I2386" s="2240"/>
      <c r="J2386" s="2240"/>
      <c r="K2386" s="2240"/>
      <c r="L2386" s="2240"/>
      <c r="M2386" s="2240"/>
      <c r="N2386" s="2811"/>
      <c r="O2386" s="302"/>
      <c r="P2386" s="302"/>
      <c r="Q2386" s="729"/>
      <c r="R2386" s="729"/>
      <c r="S2386" s="729"/>
      <c r="T2386" s="694"/>
      <c r="U2386" s="694"/>
      <c r="V2386" s="694"/>
      <c r="W2386" s="694"/>
      <c r="X2386" s="694"/>
      <c r="Y2386" s="694"/>
      <c r="Z2386" s="694"/>
      <c r="AA2386" s="694"/>
      <c r="AB2386" s="694"/>
      <c r="AC2386" s="694"/>
      <c r="AD2386" s="694"/>
      <c r="AE2386" s="694"/>
      <c r="AF2386" s="694"/>
      <c r="AG2386" s="694"/>
      <c r="AH2386" s="694"/>
      <c r="AI2386" s="694"/>
      <c r="AJ2386" s="694"/>
      <c r="AK2386" s="694"/>
      <c r="AL2386" s="694"/>
    </row>
    <row r="2387" spans="1:38" ht="12.75" customHeight="1" x14ac:dyDescent="0.25">
      <c r="A2387" s="694"/>
      <c r="B2387" s="298"/>
      <c r="C2387" s="1302"/>
      <c r="D2387" s="625"/>
      <c r="E2387" s="2816" t="str">
        <f>Translations!$B$508</f>
        <v>Посочените тук данни ще се отразят на емисиите, които могат да бъдат зададени съгласно раздел 10.1.1 от приложение VII към ПБР.</v>
      </c>
      <c r="F2387" s="2240"/>
      <c r="G2387" s="2240"/>
      <c r="H2387" s="2240"/>
      <c r="I2387" s="2240"/>
      <c r="J2387" s="2240"/>
      <c r="K2387" s="2240"/>
      <c r="L2387" s="2240"/>
      <c r="M2387" s="2240"/>
      <c r="N2387" s="2811"/>
      <c r="O2387" s="302"/>
      <c r="P2387" s="302"/>
      <c r="Q2387" s="729"/>
      <c r="R2387" s="694"/>
      <c r="S2387" s="729"/>
      <c r="T2387" s="729"/>
      <c r="U2387" s="729"/>
      <c r="V2387" s="729"/>
      <c r="W2387" s="694"/>
      <c r="X2387" s="694"/>
      <c r="Y2387" s="694"/>
      <c r="Z2387" s="694"/>
      <c r="AA2387" s="694"/>
      <c r="AB2387" s="694"/>
      <c r="AC2387" s="694"/>
      <c r="AD2387" s="694"/>
      <c r="AE2387" s="694"/>
      <c r="AF2387" s="694"/>
      <c r="AG2387" s="694"/>
      <c r="AH2387" s="694"/>
      <c r="AI2387" s="694"/>
      <c r="AJ2387" s="694"/>
      <c r="AK2387" s="694"/>
      <c r="AL2387" s="694"/>
    </row>
    <row r="2388" spans="1:38" ht="25.5" customHeight="1" x14ac:dyDescent="0.25">
      <c r="A2388" s="694"/>
      <c r="B2388" s="298"/>
      <c r="C2388" s="1302"/>
      <c r="D2388" s="1306"/>
      <c r="E2388" s="2816" t="str">
        <f>Translations!$B$524</f>
        <v>Имайте предвид, че всички пораждащи емисии потоци трябва да се изброят тук само ако не са обхванати от преките емисии в буква g) по-горе, за да се избегнат пропуски в данните или двойно отчитане. Емисиите, свързани с отпадните газове, НЕ могат да се изброяват тук, а трябва да се посочват в буква l) по-долу.</v>
      </c>
      <c r="F2388" s="2240"/>
      <c r="G2388" s="2240"/>
      <c r="H2388" s="2240"/>
      <c r="I2388" s="2240"/>
      <c r="J2388" s="2240"/>
      <c r="K2388" s="2240"/>
      <c r="L2388" s="2240"/>
      <c r="M2388" s="2240"/>
      <c r="N2388" s="2811"/>
      <c r="O2388" s="302"/>
      <c r="P2388" s="302"/>
      <c r="Q2388" s="729"/>
      <c r="R2388" s="729"/>
      <c r="S2388" s="729"/>
      <c r="T2388" s="694"/>
      <c r="U2388" s="694"/>
      <c r="V2388" s="694"/>
      <c r="W2388" s="694"/>
      <c r="X2388" s="694"/>
      <c r="Y2388" s="694"/>
      <c r="Z2388" s="694"/>
      <c r="AA2388" s="694"/>
      <c r="AB2388" s="694"/>
      <c r="AC2388" s="694"/>
      <c r="AD2388" s="694"/>
      <c r="AE2388" s="694"/>
      <c r="AF2388" s="694"/>
      <c r="AG2388" s="694"/>
      <c r="AH2388" s="694"/>
      <c r="AI2388" s="694"/>
      <c r="AJ2388" s="694"/>
      <c r="AK2388" s="694"/>
      <c r="AL2388" s="694"/>
    </row>
    <row r="2389" spans="1:38" ht="12.75" customHeight="1" x14ac:dyDescent="0.25">
      <c r="A2389" s="694"/>
      <c r="B2389" s="298"/>
      <c r="C2389" s="1302"/>
      <c r="D2389" s="1306"/>
      <c r="E2389" s="2810" t="str">
        <f>Translations!$B$525</f>
        <v>Тук въведете информация за т.нар. вътрешни пораждащи емисии потоци, които се пренасят между подинсталациите, т.е. са получени или подадени от тази подинсталация.</v>
      </c>
      <c r="F2389" s="2240"/>
      <c r="G2389" s="2240"/>
      <c r="H2389" s="2240"/>
      <c r="I2389" s="2240"/>
      <c r="J2389" s="2240"/>
      <c r="K2389" s="2240"/>
      <c r="L2389" s="2240"/>
      <c r="M2389" s="2240"/>
      <c r="N2389" s="2811"/>
      <c r="O2389" s="302"/>
      <c r="P2389" s="302"/>
      <c r="Q2389" s="729"/>
      <c r="R2389" s="729"/>
      <c r="S2389" s="729"/>
      <c r="T2389" s="694"/>
      <c r="U2389" s="694"/>
      <c r="V2389" s="694"/>
      <c r="W2389" s="694"/>
      <c r="X2389" s="694"/>
      <c r="Y2389" s="694"/>
      <c r="Z2389" s="694"/>
      <c r="AA2389" s="694"/>
      <c r="AB2389" s="694"/>
      <c r="AC2389" s="694"/>
      <c r="AD2389" s="694"/>
      <c r="AE2389" s="694"/>
      <c r="AF2389" s="694"/>
      <c r="AG2389" s="694"/>
      <c r="AH2389" s="694"/>
      <c r="AI2389" s="694"/>
      <c r="AJ2389" s="694"/>
      <c r="AK2389" s="694"/>
      <c r="AL2389" s="694"/>
    </row>
    <row r="2390" spans="1:38" ht="38.9" customHeight="1" x14ac:dyDescent="0.25">
      <c r="A2390" s="694"/>
      <c r="B2390" s="298"/>
      <c r="C2390" s="1302"/>
      <c r="D2390" s="1306"/>
      <c r="E2390" s="2810" t="str">
        <f>Translations!$B$526</f>
        <v>Така например, ако това е подинсталацията за „кокс“ на комбинирана инсталация за чугун и стомана, емисиите, свързани с консумацията на кокс, възникват в доменната пещ и не трябва да се задават на тази подинсталация (т.е. подинсталацията за „кокс“). Въпреки това част от емисиите се включват в буква g) по-горе, защото въглищата, които се вкарват в коксовата пещ, ще са един от зададените на първата стъпка пораждащи емисии потоци.</v>
      </c>
      <c r="F2390" s="2240"/>
      <c r="G2390" s="2240"/>
      <c r="H2390" s="2240"/>
      <c r="I2390" s="2240"/>
      <c r="J2390" s="2240"/>
      <c r="K2390" s="2240"/>
      <c r="L2390" s="2240"/>
      <c r="M2390" s="2240"/>
      <c r="N2390" s="2811"/>
      <c r="O2390" s="302"/>
      <c r="P2390" s="302"/>
      <c r="Q2390" s="729"/>
      <c r="R2390" s="694"/>
      <c r="S2390" s="729"/>
      <c r="T2390" s="694"/>
      <c r="U2390" s="694"/>
      <c r="V2390" s="694"/>
      <c r="W2390" s="694"/>
      <c r="X2390" s="694"/>
      <c r="Y2390" s="694"/>
      <c r="Z2390" s="694"/>
      <c r="AA2390" s="694"/>
      <c r="AB2390" s="694"/>
      <c r="AC2390" s="694"/>
      <c r="AD2390" s="694"/>
      <c r="AE2390" s="694"/>
      <c r="AF2390" s="694"/>
      <c r="AG2390" s="694"/>
      <c r="AH2390" s="694"/>
      <c r="AI2390" s="694"/>
      <c r="AJ2390" s="694"/>
      <c r="AK2390" s="694"/>
      <c r="AL2390" s="694"/>
    </row>
    <row r="2391" spans="1:38" ht="51" customHeight="1" x14ac:dyDescent="0.25">
      <c r="A2391" s="694"/>
      <c r="B2391" s="298"/>
      <c r="C2391" s="1302"/>
      <c r="D2391" s="1306"/>
      <c r="E2391" s="2810" t="str">
        <f>Translations!$B$527</f>
        <v>За да се избегне двойно отчитане, коксът, който излиза от коксовата подинсталация, трябва да се коригира като изходящ „вътрешен пораждащ емисии поток“. Това става чрез отрицателна стойност за количеството кокс в случай на „подаване“. За да се получи пълен баланс на емисиите от въглищата, вкарани в коксовата подинсталация, емисиите, свързани с използването на коксов газ (= отпаден газ), са отразени в буква g) по-горе (както е включено в емисиите от въглища), до степента на използване на газа в рамките на подинсталацията. Тук не трябва да се внасят корекции, за да се отчетат подадените количества отпаден газ; това се прави в l).xx. по-долу.</v>
      </c>
      <c r="F2391" s="2240"/>
      <c r="G2391" s="2240"/>
      <c r="H2391" s="2240"/>
      <c r="I2391" s="2240"/>
      <c r="J2391" s="2240"/>
      <c r="K2391" s="2240"/>
      <c r="L2391" s="2240"/>
      <c r="M2391" s="2240"/>
      <c r="N2391" s="2811"/>
      <c r="O2391" s="302"/>
      <c r="P2391" s="302"/>
      <c r="Q2391" s="729"/>
      <c r="R2391" s="694"/>
      <c r="S2391" s="729"/>
      <c r="T2391" s="694"/>
      <c r="U2391" s="694"/>
      <c r="V2391" s="694"/>
      <c r="W2391" s="694"/>
      <c r="X2391" s="694"/>
      <c r="Y2391" s="694"/>
      <c r="Z2391" s="694"/>
      <c r="AA2391" s="694"/>
      <c r="AB2391" s="694"/>
      <c r="AC2391" s="694"/>
      <c r="AD2391" s="694"/>
      <c r="AE2391" s="694"/>
      <c r="AF2391" s="694"/>
      <c r="AG2391" s="694"/>
      <c r="AH2391" s="694"/>
      <c r="AI2391" s="694"/>
      <c r="AJ2391" s="694"/>
      <c r="AK2391" s="694"/>
      <c r="AL2391" s="694"/>
    </row>
    <row r="2392" spans="1:38" ht="25.5" customHeight="1" x14ac:dyDescent="0.25">
      <c r="A2392" s="694"/>
      <c r="B2392" s="298"/>
      <c r="C2392" s="1302"/>
      <c r="D2392" s="1306"/>
      <c r="E2392" s="2810" t="str">
        <f>Translations!$B$528</f>
        <v>И обратно, ако това е подинсталация с показател за течни черни метали в комбинирана инсталация за чугун и стомана, коксът трябва да се посочи тук като входящ/получен „вътрешен“ пораждащ емисии поток с положително количество.</v>
      </c>
      <c r="F2392" s="2240"/>
      <c r="G2392" s="2240"/>
      <c r="H2392" s="2240"/>
      <c r="I2392" s="2240"/>
      <c r="J2392" s="2240"/>
      <c r="K2392" s="2240"/>
      <c r="L2392" s="2240"/>
      <c r="M2392" s="2240"/>
      <c r="N2392" s="2811"/>
      <c r="O2392" s="302"/>
      <c r="P2392" s="302"/>
      <c r="Q2392" s="729"/>
      <c r="R2392" s="694"/>
      <c r="S2392" s="729"/>
      <c r="T2392" s="694"/>
      <c r="U2392" s="694"/>
      <c r="V2392" s="694"/>
      <c r="W2392" s="694"/>
      <c r="X2392" s="694"/>
      <c r="Y2392" s="694"/>
      <c r="Z2392" s="694"/>
      <c r="AA2392" s="694"/>
      <c r="AB2392" s="694"/>
      <c r="AC2392" s="694"/>
      <c r="AD2392" s="694"/>
      <c r="AE2392" s="694"/>
      <c r="AF2392" s="694"/>
      <c r="AG2392" s="694"/>
      <c r="AH2392" s="694"/>
      <c r="AI2392" s="694"/>
      <c r="AJ2392" s="694"/>
      <c r="AK2392" s="694"/>
      <c r="AL2392" s="694"/>
    </row>
    <row r="2393" spans="1:38" ht="12.75" customHeight="1" x14ac:dyDescent="0.25">
      <c r="A2393" s="694"/>
      <c r="B2393" s="298"/>
      <c r="C2393" s="1302"/>
      <c r="D2393" s="625" t="s">
        <v>6</v>
      </c>
      <c r="E2393" s="2817" t="str">
        <f>Translations!$B$529</f>
        <v>За тази подинсталация отнасят ли се други получени или подадени вътрешни пораждащи емисии потоци?</v>
      </c>
      <c r="F2393" s="2240"/>
      <c r="G2393" s="2240"/>
      <c r="H2393" s="2240"/>
      <c r="I2393" s="2240"/>
      <c r="J2393" s="2240"/>
      <c r="K2393" s="2684"/>
      <c r="L2393" s="83"/>
      <c r="M2393" s="1322"/>
      <c r="N2393" s="1323"/>
      <c r="O2393" s="302"/>
      <c r="P2393" s="158"/>
      <c r="Q2393" s="729"/>
      <c r="R2393" s="694"/>
      <c r="S2393" s="729"/>
      <c r="T2393" s="694"/>
      <c r="U2393" s="694"/>
      <c r="V2393" s="694"/>
      <c r="W2393" s="694"/>
      <c r="X2393" s="694"/>
      <c r="Y2393" s="694"/>
      <c r="Z2393" s="694"/>
      <c r="AA2393" s="694"/>
      <c r="AB2393" s="694"/>
      <c r="AC2393" s="694"/>
      <c r="AD2393" s="694"/>
      <c r="AE2393" s="694"/>
      <c r="AF2393" s="1182" t="s">
        <v>737</v>
      </c>
      <c r="AG2393" s="901" t="b">
        <f>AND(CNTR_ExistSubInstEntries,I2261="")</f>
        <v>0</v>
      </c>
      <c r="AH2393" s="694"/>
      <c r="AI2393" s="694"/>
      <c r="AJ2393" s="694"/>
      <c r="AK2393" s="694"/>
      <c r="AL2393" s="694"/>
    </row>
    <row r="2394" spans="1:38" ht="12.75" customHeight="1" x14ac:dyDescent="0.25">
      <c r="A2394" s="694"/>
      <c r="B2394" s="298"/>
      <c r="C2394" s="1302"/>
      <c r="D2394" s="1306"/>
      <c r="E2394" s="2810" t="str">
        <f>Translations!$B$530</f>
        <v>Ако има над два получени или подадени пораждащи емисии потока, тези няколко пораждащи емисии потока следва да се групират заедно и да се посочат имената им.</v>
      </c>
      <c r="F2394" s="2240"/>
      <c r="G2394" s="2240"/>
      <c r="H2394" s="2240"/>
      <c r="I2394" s="2240"/>
      <c r="J2394" s="2240"/>
      <c r="K2394" s="2240"/>
      <c r="L2394" s="2240"/>
      <c r="M2394" s="2240"/>
      <c r="N2394" s="2811"/>
      <c r="O2394" s="302"/>
      <c r="P2394" s="302"/>
      <c r="Q2394" s="729"/>
      <c r="R2394" s="694"/>
      <c r="S2394" s="729"/>
      <c r="T2394" s="694"/>
      <c r="U2394" s="694"/>
      <c r="V2394" s="694"/>
      <c r="W2394" s="694"/>
      <c r="X2394" s="694"/>
      <c r="Y2394" s="694"/>
      <c r="Z2394" s="694"/>
      <c r="AA2394" s="694"/>
      <c r="AB2394" s="694"/>
      <c r="AC2394" s="694"/>
      <c r="AD2394" s="694"/>
      <c r="AE2394" s="694"/>
      <c r="AF2394" s="694"/>
      <c r="AG2394" s="694"/>
      <c r="AH2394" s="694"/>
      <c r="AI2394" s="694"/>
      <c r="AJ2394" s="694"/>
      <c r="AK2394" s="694"/>
      <c r="AL2394" s="694"/>
    </row>
    <row r="2395" spans="1:38" ht="12.75" customHeight="1" x14ac:dyDescent="0.25">
      <c r="A2395" s="694"/>
      <c r="B2395" s="298"/>
      <c r="C2395" s="1302"/>
      <c r="D2395" s="625" t="s">
        <v>7</v>
      </c>
      <c r="E2395" s="2815" t="str">
        <f>Translations!$B$531</f>
        <v>Име на други пораждащи емисии потоци — 1:</v>
      </c>
      <c r="F2395" s="2240"/>
      <c r="G2395" s="2240"/>
      <c r="H2395" s="2684"/>
      <c r="I2395" s="2821"/>
      <c r="J2395" s="2834"/>
      <c r="K2395" s="2834"/>
      <c r="L2395" s="2834"/>
      <c r="M2395" s="2835"/>
      <c r="N2395" s="1324"/>
      <c r="O2395" s="302"/>
      <c r="P2395" s="158"/>
      <c r="Q2395" s="729"/>
      <c r="R2395" s="694"/>
      <c r="S2395" s="729"/>
      <c r="T2395" s="694"/>
      <c r="U2395" s="694"/>
      <c r="V2395" s="694"/>
      <c r="W2395" s="694"/>
      <c r="X2395" s="694"/>
      <c r="Y2395" s="694"/>
      <c r="Z2395" s="694"/>
      <c r="AA2395" s="694"/>
      <c r="AB2395" s="694"/>
      <c r="AC2395" s="1182" t="s">
        <v>737</v>
      </c>
      <c r="AD2395" s="901" t="b">
        <f>OR(AG2393,AND($L2393&lt;&gt;"",$L2393=FALSE))</f>
        <v>0</v>
      </c>
      <c r="AE2395" s="694"/>
      <c r="AF2395" s="694"/>
      <c r="AG2395" s="694"/>
      <c r="AH2395" s="694"/>
      <c r="AI2395" s="694"/>
      <c r="AJ2395" s="694"/>
      <c r="AK2395" s="694"/>
      <c r="AL2395" s="694"/>
    </row>
    <row r="2396" spans="1:38" ht="5.15" customHeight="1" x14ac:dyDescent="0.25">
      <c r="A2396" s="694"/>
      <c r="B2396" s="298"/>
      <c r="C2396" s="1302"/>
      <c r="D2396" s="1306"/>
      <c r="E2396" s="1325"/>
      <c r="F2396" s="1322"/>
      <c r="G2396" s="1322"/>
      <c r="H2396" s="1322"/>
      <c r="I2396" s="1322"/>
      <c r="J2396" s="1322"/>
      <c r="K2396" s="1322"/>
      <c r="L2396" s="1322"/>
      <c r="M2396" s="1322"/>
      <c r="N2396" s="1323"/>
      <c r="O2396" s="302"/>
      <c r="P2396" s="302"/>
      <c r="Q2396" s="729"/>
      <c r="R2396" s="694"/>
      <c r="S2396" s="729"/>
      <c r="T2396" s="694"/>
      <c r="U2396" s="694"/>
      <c r="V2396" s="694"/>
      <c r="W2396" s="694"/>
      <c r="X2396" s="694"/>
      <c r="Y2396" s="694"/>
      <c r="Z2396" s="694"/>
      <c r="AA2396" s="694"/>
      <c r="AB2396" s="694"/>
      <c r="AC2396" s="694"/>
      <c r="AD2396" s="694"/>
      <c r="AE2396" s="694"/>
      <c r="AF2396" s="694"/>
      <c r="AG2396" s="694"/>
      <c r="AH2396" s="694"/>
      <c r="AI2396" s="694"/>
      <c r="AJ2396" s="694"/>
      <c r="AK2396" s="694"/>
      <c r="AL2396" s="694"/>
    </row>
    <row r="2397" spans="1:38" ht="12.75" customHeight="1" thickBot="1" x14ac:dyDescent="0.3">
      <c r="A2397" s="694"/>
      <c r="B2397" s="298"/>
      <c r="C2397" s="1302"/>
      <c r="D2397" s="1306"/>
      <c r="E2397" s="2803" t="str">
        <f>Translations!$B$532</f>
        <v>Други пораждащи емисии потоци — 1</v>
      </c>
      <c r="F2397" s="2672"/>
      <c r="G2397" s="1309" t="str">
        <f>EUconst_Unit</f>
        <v>Единица мярка</v>
      </c>
      <c r="H2397" s="629">
        <f t="shared" ref="H2397:N2397" si="3370">H$2831</f>
        <v>2024</v>
      </c>
      <c r="I2397" s="1310">
        <f t="shared" si="3370"/>
        <v>2025</v>
      </c>
      <c r="J2397" s="1311">
        <f t="shared" si="3370"/>
        <v>2026</v>
      </c>
      <c r="K2397" s="629">
        <f t="shared" si="3370"/>
        <v>2027</v>
      </c>
      <c r="L2397" s="629">
        <f t="shared" si="3370"/>
        <v>2028</v>
      </c>
      <c r="M2397" s="629">
        <f t="shared" si="3370"/>
        <v>2029</v>
      </c>
      <c r="N2397" s="1312">
        <f t="shared" si="3370"/>
        <v>2030</v>
      </c>
      <c r="O2397" s="302"/>
      <c r="P2397" s="302"/>
      <c r="Q2397" s="729"/>
      <c r="R2397" s="694"/>
      <c r="S2397" s="729"/>
      <c r="T2397" s="694"/>
      <c r="U2397" s="694"/>
      <c r="V2397" s="694"/>
      <c r="W2397" s="694"/>
      <c r="X2397" s="694"/>
      <c r="Y2397" s="694"/>
      <c r="Z2397" s="694"/>
      <c r="AA2397" s="694"/>
      <c r="AB2397" s="694"/>
      <c r="AC2397" s="1178">
        <f t="shared" ref="AC2397" si="3371">H$20</f>
        <v>2024</v>
      </c>
      <c r="AD2397" s="1178">
        <f t="shared" ref="AD2397" si="3372">I$20</f>
        <v>2025</v>
      </c>
      <c r="AE2397" s="1178">
        <f t="shared" ref="AE2397" si="3373">J$20</f>
        <v>2026</v>
      </c>
      <c r="AF2397" s="1178">
        <f t="shared" ref="AF2397" si="3374">K$20</f>
        <v>2027</v>
      </c>
      <c r="AG2397" s="1178">
        <f t="shared" ref="AG2397" si="3375">L$20</f>
        <v>2028</v>
      </c>
      <c r="AH2397" s="1178">
        <f t="shared" ref="AH2397" si="3376">M$20</f>
        <v>2029</v>
      </c>
      <c r="AI2397" s="1178">
        <f t="shared" ref="AI2397" si="3377">N$20</f>
        <v>2030</v>
      </c>
      <c r="AJ2397" s="694"/>
      <c r="AK2397" s="694"/>
      <c r="AL2397" s="694"/>
    </row>
    <row r="2398" spans="1:38" ht="12.75" customHeight="1" x14ac:dyDescent="0.25">
      <c r="A2398" s="694"/>
      <c r="B2398" s="298"/>
      <c r="C2398" s="1302"/>
      <c r="D2398" s="625" t="s">
        <v>8</v>
      </c>
      <c r="E2398" s="2818" t="str">
        <f>Translations!$B$533</f>
        <v>Получено или подадено количество</v>
      </c>
      <c r="F2398" s="2701"/>
      <c r="G2398" s="1326" t="str">
        <f>EUconst_tpa</f>
        <v>t / година</v>
      </c>
      <c r="H2398" s="129"/>
      <c r="I2398" s="130"/>
      <c r="J2398" s="131"/>
      <c r="K2398" s="129"/>
      <c r="L2398" s="129"/>
      <c r="M2398" s="129"/>
      <c r="N2398" s="132"/>
      <c r="O2398" s="302"/>
      <c r="P2398" s="158"/>
      <c r="Q2398" s="729"/>
      <c r="R2398" s="694"/>
      <c r="S2398" s="729"/>
      <c r="T2398" s="694"/>
      <c r="U2398" s="694"/>
      <c r="V2398" s="694"/>
      <c r="W2398" s="694"/>
      <c r="X2398" s="694"/>
      <c r="Y2398" s="694"/>
      <c r="Z2398" s="694"/>
      <c r="AA2398" s="694"/>
      <c r="AB2398" s="1182" t="s">
        <v>737</v>
      </c>
      <c r="AC2398" s="901" t="b">
        <f>OR(AND($L2393&lt;&gt;"",$L2393=FALSE),AC2308)</f>
        <v>0</v>
      </c>
      <c r="AD2398" s="982" t="b">
        <f t="shared" ref="AD2398:AI2398" si="3378">OR(AND($L2393&lt;&gt;"",$L2393=FALSE),AD2308)</f>
        <v>0</v>
      </c>
      <c r="AE2398" s="982" t="b">
        <f t="shared" si="3378"/>
        <v>0</v>
      </c>
      <c r="AF2398" s="982" t="b">
        <f t="shared" si="3378"/>
        <v>0</v>
      </c>
      <c r="AG2398" s="982" t="b">
        <f t="shared" si="3378"/>
        <v>0</v>
      </c>
      <c r="AH2398" s="982" t="b">
        <f t="shared" si="3378"/>
        <v>0</v>
      </c>
      <c r="AI2398" s="982" t="b">
        <f t="shared" si="3378"/>
        <v>0</v>
      </c>
      <c r="AJ2398" s="1174" t="s">
        <v>2039</v>
      </c>
      <c r="AK2398" s="1176" t="str">
        <f>IF(AND(CNTR_ExistSubInstEntries,MSconst_RequireSubAttrEmissions,COUNTIFS(AC2398:AI2398,FALSE,H2398:N2398,"")&gt;0),EUconst_Error&amp;"BM"&amp;$Q2261,"")</f>
        <v/>
      </c>
      <c r="AL2398" s="694"/>
    </row>
    <row r="2399" spans="1:38" ht="12.75" customHeight="1" x14ac:dyDescent="0.25">
      <c r="A2399" s="694"/>
      <c r="B2399" s="298"/>
      <c r="C2399" s="1302"/>
      <c r="D2399" s="625" t="s">
        <v>18</v>
      </c>
      <c r="E2399" s="2831" t="str">
        <f>Translations!$B$534</f>
        <v>Долна топлина на изгаряне (NCV), ако е приложимо</v>
      </c>
      <c r="F2399" s="2703"/>
      <c r="G2399" s="1327" t="str">
        <f>EUconst_GJpt</f>
        <v>GJ / t</v>
      </c>
      <c r="H2399" s="133"/>
      <c r="I2399" s="134"/>
      <c r="J2399" s="135"/>
      <c r="K2399" s="133"/>
      <c r="L2399" s="133"/>
      <c r="M2399" s="133"/>
      <c r="N2399" s="136"/>
      <c r="O2399" s="302"/>
      <c r="P2399" s="158"/>
      <c r="Q2399" s="729"/>
      <c r="R2399" s="694"/>
      <c r="S2399" s="729"/>
      <c r="T2399" s="694"/>
      <c r="U2399" s="694"/>
      <c r="V2399" s="694"/>
      <c r="W2399" s="694"/>
      <c r="X2399" s="694"/>
      <c r="Y2399" s="694"/>
      <c r="Z2399" s="694"/>
      <c r="AA2399" s="694"/>
      <c r="AB2399" s="694"/>
      <c r="AC2399" s="982" t="b">
        <f t="shared" ref="AC2399:AI2399" si="3379">AC2398</f>
        <v>0</v>
      </c>
      <c r="AD2399" s="982" t="b">
        <f t="shared" si="3379"/>
        <v>0</v>
      </c>
      <c r="AE2399" s="982" t="b">
        <f t="shared" si="3379"/>
        <v>0</v>
      </c>
      <c r="AF2399" s="982" t="b">
        <f t="shared" si="3379"/>
        <v>0</v>
      </c>
      <c r="AG2399" s="982" t="b">
        <f t="shared" si="3379"/>
        <v>0</v>
      </c>
      <c r="AH2399" s="982" t="b">
        <f t="shared" si="3379"/>
        <v>0</v>
      </c>
      <c r="AI2399" s="982" t="b">
        <f t="shared" si="3379"/>
        <v>0</v>
      </c>
      <c r="AJ2399" s="1174" t="s">
        <v>2039</v>
      </c>
      <c r="AK2399" s="1176" t="str">
        <f>IF(AND(CNTR_ExistSubInstEntries,MSconst_RequireSubAttrEmissions,COUNTIFS(AC2399:AI2399,FALSE,H2399:N2399,"")&gt;0),EUconst_Error&amp;"BM"&amp;$Q2261,"")</f>
        <v/>
      </c>
      <c r="AL2399" s="694"/>
    </row>
    <row r="2400" spans="1:38" ht="12.75" customHeight="1" thickBot="1" x14ac:dyDescent="0.3">
      <c r="A2400" s="694"/>
      <c r="B2400" s="298"/>
      <c r="C2400" s="1302"/>
      <c r="D2400" s="625" t="s">
        <v>810</v>
      </c>
      <c r="E2400" s="2831" t="str">
        <f>Translations!$B$535</f>
        <v>Въглеродно съдържание (тегловни %)</v>
      </c>
      <c r="F2400" s="2703"/>
      <c r="G2400" s="1328" t="s">
        <v>903</v>
      </c>
      <c r="H2400" s="133"/>
      <c r="I2400" s="134"/>
      <c r="J2400" s="135"/>
      <c r="K2400" s="133"/>
      <c r="L2400" s="133"/>
      <c r="M2400" s="133"/>
      <c r="N2400" s="136"/>
      <c r="O2400" s="302"/>
      <c r="P2400" s="158"/>
      <c r="Q2400" s="729"/>
      <c r="R2400" s="694"/>
      <c r="S2400" s="729"/>
      <c r="T2400" s="694"/>
      <c r="U2400" s="694"/>
      <c r="V2400" s="694"/>
      <c r="W2400" s="694"/>
      <c r="X2400" s="694"/>
      <c r="Y2400" s="694"/>
      <c r="Z2400" s="694"/>
      <c r="AA2400" s="694"/>
      <c r="AB2400" s="694"/>
      <c r="AC2400" s="982" t="b">
        <f t="shared" ref="AC2400:AI2400" si="3380">AC2399</f>
        <v>0</v>
      </c>
      <c r="AD2400" s="982" t="b">
        <f t="shared" si="3380"/>
        <v>0</v>
      </c>
      <c r="AE2400" s="982" t="b">
        <f t="shared" si="3380"/>
        <v>0</v>
      </c>
      <c r="AF2400" s="982" t="b">
        <f t="shared" si="3380"/>
        <v>0</v>
      </c>
      <c r="AG2400" s="982" t="b">
        <f t="shared" si="3380"/>
        <v>0</v>
      </c>
      <c r="AH2400" s="982" t="b">
        <f t="shared" si="3380"/>
        <v>0</v>
      </c>
      <c r="AI2400" s="982" t="b">
        <f t="shared" si="3380"/>
        <v>0</v>
      </c>
      <c r="AJ2400" s="1174" t="s">
        <v>2039</v>
      </c>
      <c r="AK2400" s="1176" t="str">
        <f>IF(AND(CNTR_ExistSubInstEntries,MSconst_RequireSubAttrEmissions,COUNTIFS(AC2400:AI2400,FALSE,H2400:N2400,"")&gt;0),EUconst_Error&amp;"BM"&amp;$Q2261,"")</f>
        <v/>
      </c>
      <c r="AL2400" s="694"/>
    </row>
    <row r="2401" spans="1:38" ht="12.75" customHeight="1" x14ac:dyDescent="0.25">
      <c r="A2401" s="694"/>
      <c r="B2401" s="298"/>
      <c r="C2401" s="1302"/>
      <c r="D2401" s="625" t="s">
        <v>811</v>
      </c>
      <c r="E2401" s="2828" t="str">
        <f>Translations!$B$536</f>
        <v>Съдържание на биомаса (като дял от въглеродното съдържание)</v>
      </c>
      <c r="F2401" s="2705"/>
      <c r="G2401" s="1329" t="s">
        <v>903</v>
      </c>
      <c r="H2401" s="137"/>
      <c r="I2401" s="138"/>
      <c r="J2401" s="139"/>
      <c r="K2401" s="137"/>
      <c r="L2401" s="137"/>
      <c r="M2401" s="137"/>
      <c r="N2401" s="140"/>
      <c r="O2401" s="302"/>
      <c r="P2401" s="158"/>
      <c r="Q2401" s="729"/>
      <c r="R2401" s="694"/>
      <c r="S2401" s="1205"/>
      <c r="T2401" s="1313">
        <f t="shared" ref="T2401" si="3381">H2397</f>
        <v>2024</v>
      </c>
      <c r="U2401" s="1313">
        <f t="shared" ref="U2401" si="3382">I2397</f>
        <v>2025</v>
      </c>
      <c r="V2401" s="1313">
        <f t="shared" ref="V2401" si="3383">J2397</f>
        <v>2026</v>
      </c>
      <c r="W2401" s="1313">
        <f t="shared" ref="W2401" si="3384">K2397</f>
        <v>2027</v>
      </c>
      <c r="X2401" s="1313">
        <f t="shared" ref="X2401" si="3385">L2397</f>
        <v>2028</v>
      </c>
      <c r="Y2401" s="1313">
        <f t="shared" ref="Y2401" si="3386">M2397</f>
        <v>2029</v>
      </c>
      <c r="Z2401" s="1314">
        <f t="shared" ref="Z2401" si="3387">N2397</f>
        <v>2030</v>
      </c>
      <c r="AA2401" s="694"/>
      <c r="AB2401" s="694"/>
      <c r="AC2401" s="982" t="b">
        <f t="shared" ref="AC2401:AI2401" si="3388">AC2400</f>
        <v>0</v>
      </c>
      <c r="AD2401" s="982" t="b">
        <f t="shared" si="3388"/>
        <v>0</v>
      </c>
      <c r="AE2401" s="982" t="b">
        <f t="shared" si="3388"/>
        <v>0</v>
      </c>
      <c r="AF2401" s="982" t="b">
        <f t="shared" si="3388"/>
        <v>0</v>
      </c>
      <c r="AG2401" s="982" t="b">
        <f t="shared" si="3388"/>
        <v>0</v>
      </c>
      <c r="AH2401" s="982" t="b">
        <f t="shared" si="3388"/>
        <v>0</v>
      </c>
      <c r="AI2401" s="982" t="b">
        <f t="shared" si="3388"/>
        <v>0</v>
      </c>
      <c r="AJ2401" s="1174" t="s">
        <v>2039</v>
      </c>
      <c r="AK2401" s="1176" t="str">
        <f>IF(AND(CNTR_ExistSubInstEntries,MSconst_RequireSubAttrEmissions,COUNTIFS(AC2401:AI2401,FALSE,H2401:N2401,"")&gt;0),EUconst_Error&amp;"BM"&amp;$Q2261,"")</f>
        <v/>
      </c>
      <c r="AL2401" s="694"/>
    </row>
    <row r="2402" spans="1:38" ht="12.75" customHeight="1" thickBot="1" x14ac:dyDescent="0.3">
      <c r="A2402" s="694"/>
      <c r="B2402" s="298"/>
      <c r="C2402" s="1302"/>
      <c r="D2402" s="625" t="s">
        <v>812</v>
      </c>
      <c r="E2402" s="2832" t="str">
        <f>Translations!$B$537</f>
        <v>Емисии (от горива, изчислени)</v>
      </c>
      <c r="F2402" s="2701"/>
      <c r="G2402" s="1330" t="str">
        <f>EUconst_tCO2pa</f>
        <v>t CO2 / година</v>
      </c>
      <c r="H2402" s="1331" t="str">
        <f t="shared" ref="H2402:N2402" si="3389">IF(AND(COUNT(H2398:H2401)&gt;0,H2405=""),3.664*H2398*(H2400/100)*(1-H2401/100),"")</f>
        <v/>
      </c>
      <c r="I2402" s="1332" t="str">
        <f t="shared" si="3389"/>
        <v/>
      </c>
      <c r="J2402" s="1333" t="str">
        <f t="shared" si="3389"/>
        <v/>
      </c>
      <c r="K2402" s="1331" t="str">
        <f t="shared" si="3389"/>
        <v/>
      </c>
      <c r="L2402" s="1331" t="str">
        <f t="shared" si="3389"/>
        <v/>
      </c>
      <c r="M2402" s="1331" t="str">
        <f t="shared" si="3389"/>
        <v/>
      </c>
      <c r="N2402" s="1334" t="str">
        <f t="shared" si="3389"/>
        <v/>
      </c>
      <c r="O2402" s="302"/>
      <c r="P2402" s="302"/>
      <c r="Q2402" s="1190" t="str">
        <f>EUconst_CNTR_EmissionsIntSource1 &amp; I2261</f>
        <v>EmInternalSource1_</v>
      </c>
      <c r="R2402" s="694"/>
      <c r="S2402" s="1315" t="str">
        <f>EUconst_CNTR_AttributedEmissions &amp; I2261</f>
        <v>AttrEmissions_</v>
      </c>
      <c r="T2402" s="1290" t="str">
        <f t="shared" ref="T2402" si="3390">IF(T2269,SUM(H2402),"")</f>
        <v/>
      </c>
      <c r="U2402" s="1290" t="str">
        <f t="shared" ref="U2402" si="3391">IF(U2269,SUM(I2402),"")</f>
        <v/>
      </c>
      <c r="V2402" s="1290" t="str">
        <f t="shared" ref="V2402" si="3392">IF(V2269,SUM(J2402),"")</f>
        <v/>
      </c>
      <c r="W2402" s="1290" t="str">
        <f t="shared" ref="W2402" si="3393">IF(W2269,SUM(K2402),"")</f>
        <v/>
      </c>
      <c r="X2402" s="1290" t="str">
        <f t="shared" ref="X2402" si="3394">IF(X2269,SUM(L2402),"")</f>
        <v/>
      </c>
      <c r="Y2402" s="1290" t="str">
        <f t="shared" ref="Y2402" si="3395">IF(Y2269,SUM(M2402),"")</f>
        <v/>
      </c>
      <c r="Z2402" s="1291" t="str">
        <f t="shared" ref="Z2402" si="3396">IF(Z2269,SUM(N2402),"")</f>
        <v/>
      </c>
      <c r="AA2402" s="694"/>
      <c r="AB2402" s="694"/>
      <c r="AC2402" s="694"/>
      <c r="AD2402" s="694"/>
      <c r="AE2402" s="694"/>
      <c r="AF2402" s="694"/>
      <c r="AG2402" s="694"/>
      <c r="AH2402" s="694"/>
      <c r="AI2402" s="694"/>
      <c r="AJ2402" s="694"/>
      <c r="AK2402" s="694"/>
      <c r="AL2402" s="694"/>
    </row>
    <row r="2403" spans="1:38" ht="12.75" customHeight="1" x14ac:dyDescent="0.25">
      <c r="A2403" s="694"/>
      <c r="B2403" s="298"/>
      <c r="C2403" s="1302"/>
      <c r="D2403" s="625" t="s">
        <v>813</v>
      </c>
      <c r="E2403" s="2833" t="str">
        <f>Translations!$B$538</f>
        <v>Допълнителна информация за справка: Емисии от биомаса</v>
      </c>
      <c r="F2403" s="2703"/>
      <c r="G2403" s="1335" t="str">
        <f>EUconst_tCO2pa</f>
        <v>t CO2 / година</v>
      </c>
      <c r="H2403" s="1336" t="str">
        <f t="shared" ref="H2403:N2403" si="3397">IF(ISNUMBER(H2402),3.664*H2398*(H2400/100)*(H2401/100),"")</f>
        <v/>
      </c>
      <c r="I2403" s="1337" t="str">
        <f t="shared" si="3397"/>
        <v/>
      </c>
      <c r="J2403" s="1338" t="str">
        <f t="shared" si="3397"/>
        <v/>
      </c>
      <c r="K2403" s="1336" t="str">
        <f t="shared" si="3397"/>
        <v/>
      </c>
      <c r="L2403" s="1336" t="str">
        <f t="shared" si="3397"/>
        <v/>
      </c>
      <c r="M2403" s="1336" t="str">
        <f t="shared" si="3397"/>
        <v/>
      </c>
      <c r="N2403" s="1339" t="str">
        <f t="shared" si="3397"/>
        <v/>
      </c>
      <c r="O2403" s="302"/>
      <c r="P2403" s="302"/>
      <c r="Q2403" s="729"/>
      <c r="R2403" s="694"/>
      <c r="S2403" s="729"/>
      <c r="T2403" s="694"/>
      <c r="U2403" s="694"/>
      <c r="V2403" s="694"/>
      <c r="W2403" s="694"/>
      <c r="X2403" s="694"/>
      <c r="Y2403" s="694"/>
      <c r="Z2403" s="694"/>
      <c r="AA2403" s="694"/>
      <c r="AB2403" s="694"/>
      <c r="AC2403" s="694"/>
      <c r="AD2403" s="694"/>
      <c r="AE2403" s="694"/>
      <c r="AF2403" s="694"/>
      <c r="AG2403" s="694"/>
      <c r="AH2403" s="694"/>
      <c r="AI2403" s="694"/>
      <c r="AJ2403" s="694"/>
      <c r="AK2403" s="694"/>
      <c r="AL2403" s="694"/>
    </row>
    <row r="2404" spans="1:38" ht="12.75" customHeight="1" x14ac:dyDescent="0.25">
      <c r="A2404" s="694"/>
      <c r="B2404" s="298"/>
      <c r="C2404" s="1302"/>
      <c r="D2404" s="625" t="s">
        <v>814</v>
      </c>
      <c r="E2404" s="2828" t="str">
        <f>Translations!$B$539</f>
        <v>Енергийно съдържание (изчислено)</v>
      </c>
      <c r="F2404" s="2705"/>
      <c r="G2404" s="1340" t="str">
        <f>EUconst_TJpa</f>
        <v>TJ / година</v>
      </c>
      <c r="H2404" s="1104" t="str">
        <f t="shared" ref="H2404:N2404" si="3398">IF(COUNT(H2398:H2399)=2,H2398*H2399/1000,"")</f>
        <v/>
      </c>
      <c r="I2404" s="1296" t="str">
        <f t="shared" si="3398"/>
        <v/>
      </c>
      <c r="J2404" s="1297" t="str">
        <f t="shared" si="3398"/>
        <v/>
      </c>
      <c r="K2404" s="1104" t="str">
        <f t="shared" si="3398"/>
        <v/>
      </c>
      <c r="L2404" s="1104" t="str">
        <f t="shared" si="3398"/>
        <v/>
      </c>
      <c r="M2404" s="1104" t="str">
        <f t="shared" si="3398"/>
        <v/>
      </c>
      <c r="N2404" s="1341" t="str">
        <f t="shared" si="3398"/>
        <v/>
      </c>
      <c r="O2404" s="302"/>
      <c r="P2404" s="302"/>
      <c r="Q2404" s="729"/>
      <c r="R2404" s="694"/>
      <c r="S2404" s="729"/>
      <c r="T2404" s="694"/>
      <c r="U2404" s="694"/>
      <c r="V2404" s="694"/>
      <c r="W2404" s="694"/>
      <c r="X2404" s="694"/>
      <c r="Y2404" s="694"/>
      <c r="Z2404" s="694"/>
      <c r="AA2404" s="694"/>
      <c r="AB2404" s="694"/>
      <c r="AC2404" s="694"/>
      <c r="AD2404" s="694"/>
      <c r="AE2404" s="694"/>
      <c r="AF2404" s="694"/>
      <c r="AG2404" s="694"/>
      <c r="AH2404" s="694"/>
      <c r="AI2404" s="694"/>
      <c r="AJ2404" s="694"/>
      <c r="AK2404" s="694"/>
      <c r="AL2404" s="694"/>
    </row>
    <row r="2405" spans="1:38" ht="12.75" customHeight="1" x14ac:dyDescent="0.25">
      <c r="A2405" s="694"/>
      <c r="B2405" s="298"/>
      <c r="C2405" s="1302"/>
      <c r="D2405" s="625" t="s">
        <v>61</v>
      </c>
      <c r="E2405" s="2829" t="str">
        <f>Translations!$B$540</f>
        <v>Съобщения за грешка (емисии)</v>
      </c>
      <c r="F2405" s="2830"/>
      <c r="G2405" s="1342"/>
      <c r="H2405" s="1343" t="str">
        <f t="shared" ref="H2405:N2405" si="3399">IF(COUNT(H2398,H2400:H2401)&gt;0,IF(COUNTIF(H2399:H2401,"&lt;0")&gt;0,EUconst_Negative,IF(COUNT(H2398,H2400:H2401)&lt;3,EUconst_Incomplete,"")),"")</f>
        <v/>
      </c>
      <c r="I2405" s="1344" t="str">
        <f t="shared" si="3399"/>
        <v/>
      </c>
      <c r="J2405" s="1345" t="str">
        <f t="shared" si="3399"/>
        <v/>
      </c>
      <c r="K2405" s="1343" t="str">
        <f t="shared" si="3399"/>
        <v/>
      </c>
      <c r="L2405" s="1343" t="str">
        <f t="shared" si="3399"/>
        <v/>
      </c>
      <c r="M2405" s="1343" t="str">
        <f t="shared" si="3399"/>
        <v/>
      </c>
      <c r="N2405" s="1346" t="str">
        <f t="shared" si="3399"/>
        <v/>
      </c>
      <c r="O2405" s="302"/>
      <c r="P2405" s="302"/>
      <c r="Q2405" s="729"/>
      <c r="R2405" s="694"/>
      <c r="S2405" s="729"/>
      <c r="T2405" s="694"/>
      <c r="U2405" s="694"/>
      <c r="V2405" s="694"/>
      <c r="W2405" s="694"/>
      <c r="X2405" s="694"/>
      <c r="Y2405" s="694"/>
      <c r="Z2405" s="694"/>
      <c r="AA2405" s="694"/>
      <c r="AB2405" s="694"/>
      <c r="AC2405" s="694"/>
      <c r="AD2405" s="694"/>
      <c r="AE2405" s="694"/>
      <c r="AF2405" s="694"/>
      <c r="AG2405" s="694"/>
      <c r="AH2405" s="694"/>
      <c r="AI2405" s="694"/>
      <c r="AJ2405" s="694"/>
      <c r="AK2405" s="694"/>
      <c r="AL2405" s="694"/>
    </row>
    <row r="2406" spans="1:38" ht="12.75" customHeight="1" x14ac:dyDescent="0.25">
      <c r="A2406" s="694"/>
      <c r="B2406" s="298"/>
      <c r="C2406" s="1302"/>
      <c r="D2406" s="625"/>
      <c r="E2406" s="1306"/>
      <c r="F2406" s="1306"/>
      <c r="G2406" s="1306"/>
      <c r="H2406" s="1306"/>
      <c r="I2406" s="1306"/>
      <c r="J2406" s="1306"/>
      <c r="K2406" s="1306"/>
      <c r="L2406" s="1306"/>
      <c r="M2406" s="626"/>
      <c r="N2406" s="1316"/>
      <c r="O2406" s="302"/>
      <c r="P2406" s="302"/>
      <c r="Q2406" s="729"/>
      <c r="R2406" s="694"/>
      <c r="S2406" s="729"/>
      <c r="T2406" s="694"/>
      <c r="U2406" s="694"/>
      <c r="V2406" s="694"/>
      <c r="W2406" s="694"/>
      <c r="X2406" s="694"/>
      <c r="Y2406" s="694"/>
      <c r="Z2406" s="694"/>
      <c r="AA2406" s="694"/>
      <c r="AB2406" s="694"/>
      <c r="AC2406" s="694"/>
      <c r="AD2406" s="694"/>
      <c r="AE2406" s="694"/>
      <c r="AF2406" s="694"/>
      <c r="AG2406" s="694"/>
      <c r="AH2406" s="694"/>
      <c r="AI2406" s="694"/>
      <c r="AJ2406" s="694"/>
      <c r="AK2406" s="694"/>
      <c r="AL2406" s="694"/>
    </row>
    <row r="2407" spans="1:38" ht="12.75" customHeight="1" x14ac:dyDescent="0.25">
      <c r="A2407" s="694"/>
      <c r="B2407" s="298"/>
      <c r="C2407" s="1302"/>
      <c r="D2407" s="625" t="s">
        <v>62</v>
      </c>
      <c r="E2407" s="2815" t="str">
        <f>Translations!$B$541</f>
        <v>Име на други пораждащи емисии потоци — 2:</v>
      </c>
      <c r="F2407" s="2240"/>
      <c r="G2407" s="2240"/>
      <c r="H2407" s="2684"/>
      <c r="I2407" s="2821"/>
      <c r="J2407" s="2674"/>
      <c r="K2407" s="2674"/>
      <c r="L2407" s="2674"/>
      <c r="M2407" s="2675"/>
      <c r="N2407" s="1323"/>
      <c r="O2407" s="302"/>
      <c r="P2407" s="158"/>
      <c r="Q2407" s="729"/>
      <c r="R2407" s="694"/>
      <c r="S2407" s="729"/>
      <c r="T2407" s="694"/>
      <c r="U2407" s="694"/>
      <c r="V2407" s="694"/>
      <c r="W2407" s="694"/>
      <c r="X2407" s="694"/>
      <c r="Y2407" s="694"/>
      <c r="Z2407" s="694"/>
      <c r="AA2407" s="694"/>
      <c r="AB2407" s="694"/>
      <c r="AC2407" s="1182" t="s">
        <v>737</v>
      </c>
      <c r="AD2407" s="982" t="b">
        <f>AD2395</f>
        <v>0</v>
      </c>
      <c r="AE2407" s="694"/>
      <c r="AF2407" s="694"/>
      <c r="AG2407" s="694"/>
      <c r="AH2407" s="694"/>
      <c r="AI2407" s="694"/>
      <c r="AJ2407" s="694"/>
      <c r="AK2407" s="694"/>
      <c r="AL2407" s="694"/>
    </row>
    <row r="2408" spans="1:38" ht="5.15" customHeight="1" x14ac:dyDescent="0.25">
      <c r="A2408" s="694"/>
      <c r="B2408" s="298"/>
      <c r="C2408" s="1302"/>
      <c r="D2408" s="1306"/>
      <c r="E2408" s="1325"/>
      <c r="F2408" s="1322"/>
      <c r="G2408" s="1306"/>
      <c r="H2408" s="1306"/>
      <c r="I2408" s="1322"/>
      <c r="J2408" s="1322"/>
      <c r="K2408" s="1322"/>
      <c r="L2408" s="1322"/>
      <c r="M2408" s="1322"/>
      <c r="N2408" s="1323"/>
      <c r="O2408" s="302"/>
      <c r="P2408" s="302"/>
      <c r="Q2408" s="729"/>
      <c r="R2408" s="694"/>
      <c r="S2408" s="729"/>
      <c r="T2408" s="694"/>
      <c r="U2408" s="694"/>
      <c r="V2408" s="694"/>
      <c r="W2408" s="694"/>
      <c r="X2408" s="694"/>
      <c r="Y2408" s="694"/>
      <c r="Z2408" s="694"/>
      <c r="AA2408" s="694"/>
      <c r="AB2408" s="694"/>
      <c r="AC2408" s="694"/>
      <c r="AD2408" s="694"/>
      <c r="AE2408" s="694"/>
      <c r="AF2408" s="694"/>
      <c r="AG2408" s="694"/>
      <c r="AH2408" s="694"/>
      <c r="AI2408" s="694"/>
      <c r="AJ2408" s="694"/>
      <c r="AK2408" s="694"/>
      <c r="AL2408" s="694"/>
    </row>
    <row r="2409" spans="1:38" ht="12.75" customHeight="1" thickBot="1" x14ac:dyDescent="0.3">
      <c r="A2409" s="694"/>
      <c r="B2409" s="298"/>
      <c r="C2409" s="1302"/>
      <c r="D2409" s="625"/>
      <c r="E2409" s="2803" t="str">
        <f>Translations!$B$542</f>
        <v>Други пораждащи емисии потоци — 2</v>
      </c>
      <c r="F2409" s="2672"/>
      <c r="G2409" s="1309" t="str">
        <f>EUconst_Unit</f>
        <v>Единица мярка</v>
      </c>
      <c r="H2409" s="629">
        <f t="shared" ref="H2409:N2409" si="3400">H$2831</f>
        <v>2024</v>
      </c>
      <c r="I2409" s="1310">
        <f t="shared" si="3400"/>
        <v>2025</v>
      </c>
      <c r="J2409" s="1311">
        <f t="shared" si="3400"/>
        <v>2026</v>
      </c>
      <c r="K2409" s="629">
        <f t="shared" si="3400"/>
        <v>2027</v>
      </c>
      <c r="L2409" s="629">
        <f t="shared" si="3400"/>
        <v>2028</v>
      </c>
      <c r="M2409" s="629">
        <f t="shared" si="3400"/>
        <v>2029</v>
      </c>
      <c r="N2409" s="1312">
        <f t="shared" si="3400"/>
        <v>2030</v>
      </c>
      <c r="O2409" s="302"/>
      <c r="P2409" s="302"/>
      <c r="Q2409" s="729"/>
      <c r="R2409" s="694"/>
      <c r="S2409" s="729"/>
      <c r="T2409" s="694"/>
      <c r="U2409" s="694"/>
      <c r="V2409" s="694"/>
      <c r="W2409" s="694"/>
      <c r="X2409" s="694"/>
      <c r="Y2409" s="694"/>
      <c r="Z2409" s="694"/>
      <c r="AA2409" s="694"/>
      <c r="AB2409" s="694"/>
      <c r="AC2409" s="1178">
        <f t="shared" ref="AC2409" si="3401">H$20</f>
        <v>2024</v>
      </c>
      <c r="AD2409" s="1178">
        <f t="shared" ref="AD2409" si="3402">I$20</f>
        <v>2025</v>
      </c>
      <c r="AE2409" s="1178">
        <f t="shared" ref="AE2409" si="3403">J$20</f>
        <v>2026</v>
      </c>
      <c r="AF2409" s="1178">
        <f t="shared" ref="AF2409" si="3404">K$20</f>
        <v>2027</v>
      </c>
      <c r="AG2409" s="1178">
        <f t="shared" ref="AG2409" si="3405">L$20</f>
        <v>2028</v>
      </c>
      <c r="AH2409" s="1178">
        <f t="shared" ref="AH2409" si="3406">M$20</f>
        <v>2029</v>
      </c>
      <c r="AI2409" s="1178">
        <f t="shared" ref="AI2409" si="3407">N$20</f>
        <v>2030</v>
      </c>
      <c r="AJ2409" s="694"/>
      <c r="AK2409" s="694"/>
      <c r="AL2409" s="694"/>
    </row>
    <row r="2410" spans="1:38" ht="12.75" customHeight="1" x14ac:dyDescent="0.25">
      <c r="A2410" s="694"/>
      <c r="B2410" s="298"/>
      <c r="C2410" s="1302"/>
      <c r="D2410" s="625" t="s">
        <v>63</v>
      </c>
      <c r="E2410" s="2818" t="str">
        <f>Translations!$B$533</f>
        <v>Получено или подадено количество</v>
      </c>
      <c r="F2410" s="2701"/>
      <c r="G2410" s="1326" t="str">
        <f>EUconst_tpa</f>
        <v>t / година</v>
      </c>
      <c r="H2410" s="129"/>
      <c r="I2410" s="130"/>
      <c r="J2410" s="131"/>
      <c r="K2410" s="129"/>
      <c r="L2410" s="129"/>
      <c r="M2410" s="129"/>
      <c r="N2410" s="132"/>
      <c r="O2410" s="302"/>
      <c r="P2410" s="158"/>
      <c r="Q2410" s="729"/>
      <c r="R2410" s="694"/>
      <c r="S2410" s="729"/>
      <c r="T2410" s="694"/>
      <c r="U2410" s="694"/>
      <c r="V2410" s="694"/>
      <c r="W2410" s="694"/>
      <c r="X2410" s="694"/>
      <c r="Y2410" s="694"/>
      <c r="Z2410" s="694"/>
      <c r="AA2410" s="694"/>
      <c r="AB2410" s="1182" t="s">
        <v>737</v>
      </c>
      <c r="AC2410" s="982" t="b">
        <f>AC2398</f>
        <v>0</v>
      </c>
      <c r="AD2410" s="982" t="b">
        <f t="shared" ref="AD2410:AI2410" si="3408">AD2398</f>
        <v>0</v>
      </c>
      <c r="AE2410" s="982" t="b">
        <f t="shared" si="3408"/>
        <v>0</v>
      </c>
      <c r="AF2410" s="982" t="b">
        <f t="shared" si="3408"/>
        <v>0</v>
      </c>
      <c r="AG2410" s="982" t="b">
        <f t="shared" si="3408"/>
        <v>0</v>
      </c>
      <c r="AH2410" s="982" t="b">
        <f t="shared" si="3408"/>
        <v>0</v>
      </c>
      <c r="AI2410" s="982" t="b">
        <f t="shared" si="3408"/>
        <v>0</v>
      </c>
      <c r="AJ2410" s="1174" t="s">
        <v>2039</v>
      </c>
      <c r="AK2410" s="1176" t="str">
        <f>IF(AND(CNTR_ExistSubInstEntries,MSconst_RequireSubAttrEmissions,COUNTIFS(AC2410:AI2410,FALSE,H2410:N2410,"")&gt;0),EUconst_Error&amp;"BM"&amp;$Q2261,"")</f>
        <v/>
      </c>
      <c r="AL2410" s="694"/>
    </row>
    <row r="2411" spans="1:38" ht="12.75" customHeight="1" x14ac:dyDescent="0.25">
      <c r="A2411" s="694"/>
      <c r="B2411" s="298"/>
      <c r="C2411" s="1302"/>
      <c r="D2411" s="625" t="s">
        <v>1136</v>
      </c>
      <c r="E2411" s="2831" t="str">
        <f>Translations!$B$534</f>
        <v>Долна топлина на изгаряне (NCV), ако е приложимо</v>
      </c>
      <c r="F2411" s="2703"/>
      <c r="G2411" s="1327" t="str">
        <f>EUconst_GJpt</f>
        <v>GJ / t</v>
      </c>
      <c r="H2411" s="133"/>
      <c r="I2411" s="134"/>
      <c r="J2411" s="135"/>
      <c r="K2411" s="133"/>
      <c r="L2411" s="133"/>
      <c r="M2411" s="133"/>
      <c r="N2411" s="136"/>
      <c r="O2411" s="302"/>
      <c r="P2411" s="158"/>
      <c r="Q2411" s="729"/>
      <c r="R2411" s="694"/>
      <c r="S2411" s="729"/>
      <c r="T2411" s="694"/>
      <c r="U2411" s="694"/>
      <c r="V2411" s="694"/>
      <c r="W2411" s="694"/>
      <c r="X2411" s="694"/>
      <c r="Y2411" s="694"/>
      <c r="Z2411" s="694"/>
      <c r="AA2411" s="694"/>
      <c r="AB2411" s="694"/>
      <c r="AC2411" s="982" t="b">
        <f t="shared" ref="AC2411:AI2411" si="3409">AC2399</f>
        <v>0</v>
      </c>
      <c r="AD2411" s="982" t="b">
        <f t="shared" si="3409"/>
        <v>0</v>
      </c>
      <c r="AE2411" s="982" t="b">
        <f t="shared" si="3409"/>
        <v>0</v>
      </c>
      <c r="AF2411" s="982" t="b">
        <f t="shared" si="3409"/>
        <v>0</v>
      </c>
      <c r="AG2411" s="982" t="b">
        <f t="shared" si="3409"/>
        <v>0</v>
      </c>
      <c r="AH2411" s="982" t="b">
        <f t="shared" si="3409"/>
        <v>0</v>
      </c>
      <c r="AI2411" s="982" t="b">
        <f t="shared" si="3409"/>
        <v>0</v>
      </c>
      <c r="AJ2411" s="1174" t="s">
        <v>2039</v>
      </c>
      <c r="AK2411" s="1176" t="str">
        <f>IF(AND(CNTR_ExistSubInstEntries,MSconst_RequireSubAttrEmissions,COUNTIFS(AC2411:AI2411,FALSE,H2411:N2411,"")&gt;0),EUconst_Error&amp;"BM"&amp;$Q2261,"")</f>
        <v/>
      </c>
      <c r="AL2411" s="694"/>
    </row>
    <row r="2412" spans="1:38" ht="12.75" customHeight="1" thickBot="1" x14ac:dyDescent="0.3">
      <c r="A2412" s="694"/>
      <c r="B2412" s="298"/>
      <c r="C2412" s="1302"/>
      <c r="D2412" s="625" t="s">
        <v>1137</v>
      </c>
      <c r="E2412" s="2831" t="str">
        <f>Translations!$B$535</f>
        <v>Въглеродно съдържание (тегловни %)</v>
      </c>
      <c r="F2412" s="2703"/>
      <c r="G2412" s="1328" t="s">
        <v>903</v>
      </c>
      <c r="H2412" s="133"/>
      <c r="I2412" s="134"/>
      <c r="J2412" s="135"/>
      <c r="K2412" s="133"/>
      <c r="L2412" s="133"/>
      <c r="M2412" s="133"/>
      <c r="N2412" s="136"/>
      <c r="O2412" s="302"/>
      <c r="P2412" s="158"/>
      <c r="Q2412" s="729"/>
      <c r="R2412" s="694"/>
      <c r="S2412" s="729"/>
      <c r="T2412" s="694"/>
      <c r="U2412" s="694"/>
      <c r="V2412" s="694"/>
      <c r="W2412" s="694"/>
      <c r="X2412" s="694"/>
      <c r="Y2412" s="694"/>
      <c r="Z2412" s="694"/>
      <c r="AA2412" s="694"/>
      <c r="AB2412" s="694"/>
      <c r="AC2412" s="982" t="b">
        <f t="shared" ref="AC2412:AI2412" si="3410">AC2400</f>
        <v>0</v>
      </c>
      <c r="AD2412" s="982" t="b">
        <f t="shared" si="3410"/>
        <v>0</v>
      </c>
      <c r="AE2412" s="982" t="b">
        <f t="shared" si="3410"/>
        <v>0</v>
      </c>
      <c r="AF2412" s="982" t="b">
        <f t="shared" si="3410"/>
        <v>0</v>
      </c>
      <c r="AG2412" s="982" t="b">
        <f t="shared" si="3410"/>
        <v>0</v>
      </c>
      <c r="AH2412" s="982" t="b">
        <f t="shared" si="3410"/>
        <v>0</v>
      </c>
      <c r="AI2412" s="982" t="b">
        <f t="shared" si="3410"/>
        <v>0</v>
      </c>
      <c r="AJ2412" s="1174" t="s">
        <v>2039</v>
      </c>
      <c r="AK2412" s="1176" t="str">
        <f>IF(AND(CNTR_ExistSubInstEntries,MSconst_RequireSubAttrEmissions,COUNTIFS(AC2412:AI2412,FALSE,H2412:N2412,"")&gt;0),EUconst_Error&amp;"BM"&amp;$Q2261,"")</f>
        <v/>
      </c>
      <c r="AL2412" s="694"/>
    </row>
    <row r="2413" spans="1:38" ht="12.75" customHeight="1" x14ac:dyDescent="0.25">
      <c r="A2413" s="694"/>
      <c r="B2413" s="298"/>
      <c r="C2413" s="1302"/>
      <c r="D2413" s="625" t="s">
        <v>1138</v>
      </c>
      <c r="E2413" s="2828" t="str">
        <f>Translations!$B$536</f>
        <v>Съдържание на биомаса (като дял от въглеродното съдържание)</v>
      </c>
      <c r="F2413" s="2705"/>
      <c r="G2413" s="1329" t="s">
        <v>903</v>
      </c>
      <c r="H2413" s="137"/>
      <c r="I2413" s="138"/>
      <c r="J2413" s="139"/>
      <c r="K2413" s="137"/>
      <c r="L2413" s="137"/>
      <c r="M2413" s="137"/>
      <c r="N2413" s="140"/>
      <c r="O2413" s="302"/>
      <c r="P2413" s="158"/>
      <c r="Q2413" s="729"/>
      <c r="R2413" s="694"/>
      <c r="S2413" s="1205"/>
      <c r="T2413" s="1313">
        <f t="shared" ref="T2413" si="3411">H2409</f>
        <v>2024</v>
      </c>
      <c r="U2413" s="1313">
        <f t="shared" ref="U2413" si="3412">I2409</f>
        <v>2025</v>
      </c>
      <c r="V2413" s="1313">
        <f t="shared" ref="V2413" si="3413">J2409</f>
        <v>2026</v>
      </c>
      <c r="W2413" s="1313">
        <f t="shared" ref="W2413" si="3414">K2409</f>
        <v>2027</v>
      </c>
      <c r="X2413" s="1313">
        <f t="shared" ref="X2413" si="3415">L2409</f>
        <v>2028</v>
      </c>
      <c r="Y2413" s="1313">
        <f t="shared" ref="Y2413" si="3416">M2409</f>
        <v>2029</v>
      </c>
      <c r="Z2413" s="1314">
        <f t="shared" ref="Z2413" si="3417">N2409</f>
        <v>2030</v>
      </c>
      <c r="AA2413" s="694"/>
      <c r="AB2413" s="694"/>
      <c r="AC2413" s="982" t="b">
        <f t="shared" ref="AC2413:AI2413" si="3418">AC2401</f>
        <v>0</v>
      </c>
      <c r="AD2413" s="982" t="b">
        <f t="shared" si="3418"/>
        <v>0</v>
      </c>
      <c r="AE2413" s="982" t="b">
        <f t="shared" si="3418"/>
        <v>0</v>
      </c>
      <c r="AF2413" s="982" t="b">
        <f t="shared" si="3418"/>
        <v>0</v>
      </c>
      <c r="AG2413" s="982" t="b">
        <f t="shared" si="3418"/>
        <v>0</v>
      </c>
      <c r="AH2413" s="982" t="b">
        <f t="shared" si="3418"/>
        <v>0</v>
      </c>
      <c r="AI2413" s="982" t="b">
        <f t="shared" si="3418"/>
        <v>0</v>
      </c>
      <c r="AJ2413" s="1174" t="s">
        <v>2039</v>
      </c>
      <c r="AK2413" s="1176" t="str">
        <f>IF(AND(CNTR_ExistSubInstEntries,MSconst_RequireSubAttrEmissions,COUNTIFS(AC2413:AI2413,FALSE,H2413:N2413,"")&gt;0),EUconst_Error&amp;"BM"&amp;$Q2261,"")</f>
        <v/>
      </c>
      <c r="AL2413" s="694"/>
    </row>
    <row r="2414" spans="1:38" ht="12.75" customHeight="1" thickBot="1" x14ac:dyDescent="0.3">
      <c r="A2414" s="694"/>
      <c r="B2414" s="298"/>
      <c r="C2414" s="1302"/>
      <c r="D2414" s="625" t="s">
        <v>1139</v>
      </c>
      <c r="E2414" s="2832" t="str">
        <f>Translations!$B$537</f>
        <v>Емисии (от горива, изчислени)</v>
      </c>
      <c r="F2414" s="2701"/>
      <c r="G2414" s="1330" t="str">
        <f>EUconst_tCO2pa</f>
        <v>t CO2 / година</v>
      </c>
      <c r="H2414" s="1331" t="str">
        <f t="shared" ref="H2414:N2414" si="3419">IF(AND(COUNT(H2410:H2413)&gt;0,H2417=""),3.664*H2410*(H2412/100)*(1-H2413/100),"")</f>
        <v/>
      </c>
      <c r="I2414" s="1332" t="str">
        <f t="shared" si="3419"/>
        <v/>
      </c>
      <c r="J2414" s="1333" t="str">
        <f t="shared" si="3419"/>
        <v/>
      </c>
      <c r="K2414" s="1331" t="str">
        <f t="shared" si="3419"/>
        <v/>
      </c>
      <c r="L2414" s="1331" t="str">
        <f t="shared" si="3419"/>
        <v/>
      </c>
      <c r="M2414" s="1331" t="str">
        <f t="shared" si="3419"/>
        <v/>
      </c>
      <c r="N2414" s="1334" t="str">
        <f t="shared" si="3419"/>
        <v/>
      </c>
      <c r="O2414" s="302"/>
      <c r="P2414" s="302"/>
      <c r="Q2414" s="1190" t="str">
        <f>EUconst_CNTR_EmissionsIntSource2 &amp; I2261</f>
        <v>EmInternalSource2_</v>
      </c>
      <c r="R2414" s="694"/>
      <c r="S2414" s="1315" t="str">
        <f>EUconst_CNTR_AttributedEmissions &amp; I2261</f>
        <v>AttrEmissions_</v>
      </c>
      <c r="T2414" s="1290" t="str">
        <f t="shared" ref="T2414" si="3420">IF(T2269,SUM(H2414),"")</f>
        <v/>
      </c>
      <c r="U2414" s="1290" t="str">
        <f t="shared" ref="U2414" si="3421">IF(U2269,SUM(I2414),"")</f>
        <v/>
      </c>
      <c r="V2414" s="1290" t="str">
        <f t="shared" ref="V2414" si="3422">IF(V2269,SUM(J2414),"")</f>
        <v/>
      </c>
      <c r="W2414" s="1290" t="str">
        <f t="shared" ref="W2414" si="3423">IF(W2269,SUM(K2414),"")</f>
        <v/>
      </c>
      <c r="X2414" s="1290" t="str">
        <f t="shared" ref="X2414" si="3424">IF(X2269,SUM(L2414),"")</f>
        <v/>
      </c>
      <c r="Y2414" s="1290" t="str">
        <f t="shared" ref="Y2414" si="3425">IF(Y2269,SUM(M2414),"")</f>
        <v/>
      </c>
      <c r="Z2414" s="1291" t="str">
        <f t="shared" ref="Z2414" si="3426">IF(Z2269,SUM(N2414),"")</f>
        <v/>
      </c>
      <c r="AA2414" s="694"/>
      <c r="AB2414" s="694"/>
      <c r="AC2414" s="694"/>
      <c r="AD2414" s="694"/>
      <c r="AE2414" s="694"/>
      <c r="AF2414" s="694"/>
      <c r="AG2414" s="694"/>
      <c r="AH2414" s="694"/>
      <c r="AI2414" s="694"/>
      <c r="AJ2414" s="694"/>
      <c r="AK2414" s="694"/>
      <c r="AL2414" s="694"/>
    </row>
    <row r="2415" spans="1:38" ht="12.75" customHeight="1" x14ac:dyDescent="0.25">
      <c r="A2415" s="694"/>
      <c r="B2415" s="298"/>
      <c r="C2415" s="1302"/>
      <c r="D2415" s="625" t="s">
        <v>1140</v>
      </c>
      <c r="E2415" s="2833" t="str">
        <f>Translations!$B$538</f>
        <v>Допълнителна информация за справка: Емисии от биомаса</v>
      </c>
      <c r="F2415" s="2703"/>
      <c r="G2415" s="1335" t="str">
        <f>EUconst_tCO2pa</f>
        <v>t CO2 / година</v>
      </c>
      <c r="H2415" s="1336" t="str">
        <f t="shared" ref="H2415:N2415" si="3427">IF(ISNUMBER(H2414),3.664*H2410*(H2412/100)*(H2413/100),"")</f>
        <v/>
      </c>
      <c r="I2415" s="1337" t="str">
        <f t="shared" si="3427"/>
        <v/>
      </c>
      <c r="J2415" s="1338" t="str">
        <f t="shared" si="3427"/>
        <v/>
      </c>
      <c r="K2415" s="1336" t="str">
        <f t="shared" si="3427"/>
        <v/>
      </c>
      <c r="L2415" s="1336" t="str">
        <f t="shared" si="3427"/>
        <v/>
      </c>
      <c r="M2415" s="1336" t="str">
        <f t="shared" si="3427"/>
        <v/>
      </c>
      <c r="N2415" s="1339" t="str">
        <f t="shared" si="3427"/>
        <v/>
      </c>
      <c r="O2415" s="302"/>
      <c r="P2415" s="302"/>
      <c r="Q2415" s="729"/>
      <c r="R2415" s="694"/>
      <c r="S2415" s="729"/>
      <c r="T2415" s="694"/>
      <c r="U2415" s="694"/>
      <c r="V2415" s="694"/>
      <c r="W2415" s="694"/>
      <c r="X2415" s="694"/>
      <c r="Y2415" s="694"/>
      <c r="Z2415" s="694"/>
      <c r="AA2415" s="694"/>
      <c r="AB2415" s="694"/>
      <c r="AC2415" s="694"/>
      <c r="AD2415" s="694"/>
      <c r="AE2415" s="694"/>
      <c r="AF2415" s="694"/>
      <c r="AG2415" s="694"/>
      <c r="AH2415" s="694"/>
      <c r="AI2415" s="694"/>
      <c r="AJ2415" s="694"/>
      <c r="AK2415" s="694"/>
      <c r="AL2415" s="694"/>
    </row>
    <row r="2416" spans="1:38" ht="12.75" customHeight="1" x14ac:dyDescent="0.25">
      <c r="A2416" s="694"/>
      <c r="B2416" s="298"/>
      <c r="C2416" s="1302"/>
      <c r="D2416" s="625" t="s">
        <v>1141</v>
      </c>
      <c r="E2416" s="2828" t="str">
        <f>Translations!$B$539</f>
        <v>Енергийно съдържание (изчислено)</v>
      </c>
      <c r="F2416" s="2705"/>
      <c r="G2416" s="1340" t="str">
        <f>EUconst_TJpa</f>
        <v>TJ / година</v>
      </c>
      <c r="H2416" s="1104" t="str">
        <f t="shared" ref="H2416:N2416" si="3428">IF(COUNT(H2410:H2411)=2,H2410*H2411/1000,"")</f>
        <v/>
      </c>
      <c r="I2416" s="1296" t="str">
        <f t="shared" si="3428"/>
        <v/>
      </c>
      <c r="J2416" s="1297" t="str">
        <f t="shared" si="3428"/>
        <v/>
      </c>
      <c r="K2416" s="1104" t="str">
        <f t="shared" si="3428"/>
        <v/>
      </c>
      <c r="L2416" s="1104" t="str">
        <f t="shared" si="3428"/>
        <v/>
      </c>
      <c r="M2416" s="1104" t="str">
        <f t="shared" si="3428"/>
        <v/>
      </c>
      <c r="N2416" s="1341" t="str">
        <f t="shared" si="3428"/>
        <v/>
      </c>
      <c r="O2416" s="302"/>
      <c r="P2416" s="302"/>
      <c r="Q2416" s="729"/>
      <c r="R2416" s="694"/>
      <c r="S2416" s="729"/>
      <c r="T2416" s="694"/>
      <c r="U2416" s="694"/>
      <c r="V2416" s="694"/>
      <c r="W2416" s="694"/>
      <c r="X2416" s="694"/>
      <c r="Y2416" s="694"/>
      <c r="Z2416" s="694"/>
      <c r="AA2416" s="694"/>
      <c r="AB2416" s="694"/>
      <c r="AC2416" s="694"/>
      <c r="AD2416" s="694"/>
      <c r="AE2416" s="694"/>
      <c r="AF2416" s="694"/>
      <c r="AG2416" s="694"/>
      <c r="AH2416" s="694"/>
      <c r="AI2416" s="694"/>
      <c r="AJ2416" s="694"/>
      <c r="AK2416" s="694"/>
      <c r="AL2416" s="694"/>
    </row>
    <row r="2417" spans="1:38" ht="12.75" customHeight="1" x14ac:dyDescent="0.25">
      <c r="A2417" s="694"/>
      <c r="B2417" s="298"/>
      <c r="C2417" s="1302"/>
      <c r="D2417" s="625" t="s">
        <v>1137</v>
      </c>
      <c r="E2417" s="2829" t="str">
        <f>Translations!$B$540</f>
        <v>Съобщения за грешка (емисии)</v>
      </c>
      <c r="F2417" s="2830"/>
      <c r="G2417" s="1342"/>
      <c r="H2417" s="1343" t="str">
        <f t="shared" ref="H2417:N2417" si="3429">IF(COUNT(H2410,H2412:H2413)&gt;0,IF(COUNTIF(H2411:H2413,"&lt;0")&gt;0,EUconst_Negative,IF(COUNT(H2410,H2412:H2413)&lt;3,EUconst_Incomplete,"")),"")</f>
        <v/>
      </c>
      <c r="I2417" s="1344" t="str">
        <f t="shared" si="3429"/>
        <v/>
      </c>
      <c r="J2417" s="1345" t="str">
        <f t="shared" si="3429"/>
        <v/>
      </c>
      <c r="K2417" s="1343" t="str">
        <f t="shared" si="3429"/>
        <v/>
      </c>
      <c r="L2417" s="1343" t="str">
        <f t="shared" si="3429"/>
        <v/>
      </c>
      <c r="M2417" s="1343" t="str">
        <f t="shared" si="3429"/>
        <v/>
      </c>
      <c r="N2417" s="1346" t="str">
        <f t="shared" si="3429"/>
        <v/>
      </c>
      <c r="O2417" s="302"/>
      <c r="P2417" s="302"/>
      <c r="Q2417" s="729"/>
      <c r="R2417" s="694"/>
      <c r="S2417" s="729"/>
      <c r="T2417" s="694"/>
      <c r="U2417" s="694"/>
      <c r="V2417" s="694"/>
      <c r="W2417" s="694"/>
      <c r="X2417" s="694"/>
      <c r="Y2417" s="694"/>
      <c r="Z2417" s="694"/>
      <c r="AA2417" s="694"/>
      <c r="AB2417" s="694"/>
      <c r="AC2417" s="694"/>
      <c r="AD2417" s="694"/>
      <c r="AE2417" s="694"/>
      <c r="AF2417" s="694"/>
      <c r="AG2417" s="694"/>
      <c r="AH2417" s="694"/>
      <c r="AI2417" s="694"/>
      <c r="AJ2417" s="694"/>
      <c r="AK2417" s="694"/>
      <c r="AL2417" s="694"/>
    </row>
    <row r="2418" spans="1:38" ht="12.75" customHeight="1" x14ac:dyDescent="0.25">
      <c r="A2418" s="694"/>
      <c r="B2418" s="298"/>
      <c r="C2418" s="1302"/>
      <c r="D2418" s="1306"/>
      <c r="E2418" s="1306"/>
      <c r="F2418" s="1306"/>
      <c r="G2418" s="1306"/>
      <c r="H2418" s="1306"/>
      <c r="I2418" s="1306"/>
      <c r="J2418" s="1306"/>
      <c r="K2418" s="1306"/>
      <c r="L2418" s="1306"/>
      <c r="M2418" s="626"/>
      <c r="N2418" s="1316"/>
      <c r="O2418" s="302"/>
      <c r="P2418" s="302"/>
      <c r="Q2418" s="729"/>
      <c r="R2418" s="694"/>
      <c r="S2418" s="729"/>
      <c r="T2418" s="694"/>
      <c r="U2418" s="694"/>
      <c r="V2418" s="694"/>
      <c r="W2418" s="694"/>
      <c r="X2418" s="694"/>
      <c r="Y2418" s="694"/>
      <c r="Z2418" s="694"/>
      <c r="AA2418" s="694"/>
      <c r="AB2418" s="694"/>
      <c r="AC2418" s="694"/>
      <c r="AD2418" s="694"/>
      <c r="AE2418" s="694"/>
      <c r="AF2418" s="694"/>
      <c r="AG2418" s="694"/>
      <c r="AH2418" s="694"/>
      <c r="AI2418" s="694"/>
      <c r="AJ2418" s="694"/>
      <c r="AK2418" s="694"/>
      <c r="AL2418" s="694"/>
    </row>
    <row r="2419" spans="1:38" ht="12.75" customHeight="1" x14ac:dyDescent="0.25">
      <c r="A2419" s="694"/>
      <c r="B2419" s="298"/>
      <c r="C2419" s="1302"/>
      <c r="D2419" s="1307" t="s">
        <v>489</v>
      </c>
      <c r="E2419" s="2815" t="str">
        <f>Translations!$B$543</f>
        <v>Количество на парникови газове, които са получени или подадени като суровини</v>
      </c>
      <c r="F2419" s="2240"/>
      <c r="G2419" s="2240"/>
      <c r="H2419" s="2240"/>
      <c r="I2419" s="2240"/>
      <c r="J2419" s="2240"/>
      <c r="K2419" s="2240"/>
      <c r="L2419" s="2240"/>
      <c r="M2419" s="2240"/>
      <c r="N2419" s="2811"/>
      <c r="O2419" s="302"/>
      <c r="P2419" s="302"/>
      <c r="Q2419" s="729"/>
      <c r="R2419" s="694"/>
      <c r="S2419" s="729"/>
      <c r="T2419" s="694"/>
      <c r="U2419" s="694"/>
      <c r="V2419" s="694"/>
      <c r="W2419" s="694"/>
      <c r="X2419" s="694"/>
      <c r="Y2419" s="694"/>
      <c r="Z2419" s="694"/>
      <c r="AA2419" s="694"/>
      <c r="AB2419" s="694"/>
      <c r="AC2419" s="694"/>
      <c r="AD2419" s="694"/>
      <c r="AE2419" s="694"/>
      <c r="AF2419" s="694"/>
      <c r="AG2419" s="694"/>
      <c r="AH2419" s="694"/>
      <c r="AI2419" s="694"/>
      <c r="AJ2419" s="694"/>
      <c r="AK2419" s="694"/>
      <c r="AL2419" s="694"/>
    </row>
    <row r="2420" spans="1:38" ht="12.75" customHeight="1" x14ac:dyDescent="0.25">
      <c r="A2420" s="694"/>
      <c r="B2420" s="298"/>
      <c r="C2420" s="1302"/>
      <c r="D2420" s="625"/>
      <c r="E2420" s="2816" t="str">
        <f>Translations!$B$508</f>
        <v>Посочените тук данни ще се отразят на емисиите, които могат да бъдат зададени съгласно раздел 10.1.1 от приложение VII към ПБР.</v>
      </c>
      <c r="F2420" s="2240"/>
      <c r="G2420" s="2240"/>
      <c r="H2420" s="2240"/>
      <c r="I2420" s="2240"/>
      <c r="J2420" s="2240"/>
      <c r="K2420" s="2240"/>
      <c r="L2420" s="2240"/>
      <c r="M2420" s="2240"/>
      <c r="N2420" s="2811"/>
      <c r="O2420" s="302"/>
      <c r="P2420" s="302"/>
      <c r="Q2420" s="729"/>
      <c r="R2420" s="694"/>
      <c r="S2420" s="729"/>
      <c r="T2420" s="729"/>
      <c r="U2420" s="729"/>
      <c r="V2420" s="729"/>
      <c r="W2420" s="694"/>
      <c r="X2420" s="694"/>
      <c r="Y2420" s="694"/>
      <c r="Z2420" s="694"/>
      <c r="AA2420" s="694"/>
      <c r="AB2420" s="694"/>
      <c r="AC2420" s="694"/>
      <c r="AD2420" s="694"/>
      <c r="AE2420" s="694"/>
      <c r="AF2420" s="694"/>
      <c r="AG2420" s="694"/>
      <c r="AH2420" s="694"/>
      <c r="AI2420" s="694"/>
      <c r="AJ2420" s="694"/>
      <c r="AK2420" s="694"/>
      <c r="AL2420" s="694"/>
    </row>
    <row r="2421" spans="1:38" ht="25.5" customHeight="1" x14ac:dyDescent="0.25">
      <c r="A2421" s="694"/>
      <c r="B2421" s="298"/>
      <c r="C2421" s="1302"/>
      <c r="D2421" s="1306"/>
      <c r="E2421" s="2810" t="str">
        <f>Translations!$B$544</f>
        <v>Съгласно раздел 3.1, букви к) и л) от приложение IV към ПБР, моля, посочете тук количеството на прехвърления CO2, получен от или подаден към други подинсталации, инсталации или други обекти, съгласно правилата, определени в Регламента относно мониторинга и докладването.</v>
      </c>
      <c r="F2421" s="2240"/>
      <c r="G2421" s="2240"/>
      <c r="H2421" s="2240"/>
      <c r="I2421" s="2240"/>
      <c r="J2421" s="2240"/>
      <c r="K2421" s="2240"/>
      <c r="L2421" s="2240"/>
      <c r="M2421" s="2240"/>
      <c r="N2421" s="2811"/>
      <c r="O2421" s="302"/>
      <c r="P2421" s="302"/>
      <c r="Q2421" s="729"/>
      <c r="R2421" s="694"/>
      <c r="S2421" s="729"/>
      <c r="T2421" s="694"/>
      <c r="U2421" s="694"/>
      <c r="V2421" s="694"/>
      <c r="W2421" s="694"/>
      <c r="X2421" s="694"/>
      <c r="Y2421" s="694"/>
      <c r="Z2421" s="694"/>
      <c r="AA2421" s="694"/>
      <c r="AB2421" s="694"/>
      <c r="AC2421" s="694"/>
      <c r="AD2421" s="694"/>
      <c r="AE2421" s="694"/>
      <c r="AF2421" s="694"/>
      <c r="AG2421" s="694"/>
      <c r="AH2421" s="694"/>
      <c r="AI2421" s="694"/>
      <c r="AJ2421" s="694"/>
      <c r="AK2421" s="694"/>
      <c r="AL2421" s="694"/>
    </row>
    <row r="2422" spans="1:38" ht="12.75" customHeight="1" thickBot="1" x14ac:dyDescent="0.3">
      <c r="A2422" s="694"/>
      <c r="B2422" s="298"/>
      <c r="C2422" s="1302"/>
      <c r="D2422" s="1306"/>
      <c r="E2422" s="2810" t="str">
        <f>Translations!$B$545</f>
        <v>Подадените количества трябва да се въведат като отрицателни стойности и да съответстват на подадения CO2, който не е изпуснат в атмосферата от тази подинсталация.</v>
      </c>
      <c r="F2422" s="2240"/>
      <c r="G2422" s="2240"/>
      <c r="H2422" s="2240"/>
      <c r="I2422" s="2240"/>
      <c r="J2422" s="2240"/>
      <c r="K2422" s="2240"/>
      <c r="L2422" s="2240"/>
      <c r="M2422" s="2240"/>
      <c r="N2422" s="2811"/>
      <c r="O2422" s="302"/>
      <c r="P2422" s="302"/>
      <c r="Q2422" s="729"/>
      <c r="R2422" s="694"/>
      <c r="S2422" s="729"/>
      <c r="T2422" s="694"/>
      <c r="U2422" s="694"/>
      <c r="V2422" s="694"/>
      <c r="W2422" s="694"/>
      <c r="X2422" s="694"/>
      <c r="Y2422" s="694"/>
      <c r="Z2422" s="694"/>
      <c r="AA2422" s="694"/>
      <c r="AB2422" s="694"/>
      <c r="AC2422" s="694"/>
      <c r="AD2422" s="694"/>
      <c r="AE2422" s="694"/>
      <c r="AF2422" s="694"/>
      <c r="AG2422" s="694"/>
      <c r="AH2422" s="694"/>
      <c r="AI2422" s="694"/>
      <c r="AJ2422" s="694"/>
      <c r="AK2422" s="694"/>
      <c r="AL2422" s="694"/>
    </row>
    <row r="2423" spans="1:38" ht="12.75" customHeight="1" thickBot="1" x14ac:dyDescent="0.3">
      <c r="A2423" s="694"/>
      <c r="B2423" s="298"/>
      <c r="C2423" s="1302"/>
      <c r="D2423" s="1307"/>
      <c r="E2423" s="1317"/>
      <c r="F2423" s="1318"/>
      <c r="G2423" s="1309" t="str">
        <f>EUconst_Unit</f>
        <v>Единица мярка</v>
      </c>
      <c r="H2423" s="629">
        <f t="shared" ref="H2423:N2423" si="3430">H$2831</f>
        <v>2024</v>
      </c>
      <c r="I2423" s="1310">
        <f t="shared" si="3430"/>
        <v>2025</v>
      </c>
      <c r="J2423" s="1311">
        <f t="shared" si="3430"/>
        <v>2026</v>
      </c>
      <c r="K2423" s="629">
        <f t="shared" si="3430"/>
        <v>2027</v>
      </c>
      <c r="L2423" s="629">
        <f t="shared" si="3430"/>
        <v>2028</v>
      </c>
      <c r="M2423" s="629">
        <f t="shared" si="3430"/>
        <v>2029</v>
      </c>
      <c r="N2423" s="1312">
        <f t="shared" si="3430"/>
        <v>2030</v>
      </c>
      <c r="O2423" s="302"/>
      <c r="P2423" s="302"/>
      <c r="Q2423" s="729"/>
      <c r="R2423" s="694"/>
      <c r="S2423" s="1205"/>
      <c r="T2423" s="1313">
        <f t="shared" ref="T2423" si="3431">H2423</f>
        <v>2024</v>
      </c>
      <c r="U2423" s="1313">
        <f t="shared" ref="U2423" si="3432">I2423</f>
        <v>2025</v>
      </c>
      <c r="V2423" s="1313">
        <f t="shared" ref="V2423" si="3433">J2423</f>
        <v>2026</v>
      </c>
      <c r="W2423" s="1313">
        <f t="shared" ref="W2423" si="3434">K2423</f>
        <v>2027</v>
      </c>
      <c r="X2423" s="1313">
        <f t="shared" ref="X2423" si="3435">L2423</f>
        <v>2028</v>
      </c>
      <c r="Y2423" s="1313">
        <f t="shared" ref="Y2423" si="3436">M2423</f>
        <v>2029</v>
      </c>
      <c r="Z2423" s="1314">
        <f t="shared" ref="Z2423" si="3437">N2423</f>
        <v>2030</v>
      </c>
      <c r="AA2423" s="694"/>
      <c r="AB2423" s="694"/>
      <c r="AC2423" s="1178">
        <f t="shared" ref="AC2423" si="3438">H$20</f>
        <v>2024</v>
      </c>
      <c r="AD2423" s="1178">
        <f t="shared" ref="AD2423" si="3439">I$20</f>
        <v>2025</v>
      </c>
      <c r="AE2423" s="1178">
        <f t="shared" ref="AE2423" si="3440">J$20</f>
        <v>2026</v>
      </c>
      <c r="AF2423" s="1178">
        <f t="shared" ref="AF2423" si="3441">K$20</f>
        <v>2027</v>
      </c>
      <c r="AG2423" s="1178">
        <f t="shared" ref="AG2423" si="3442">L$20</f>
        <v>2028</v>
      </c>
      <c r="AH2423" s="1178">
        <f t="shared" ref="AH2423" si="3443">M$20</f>
        <v>2029</v>
      </c>
      <c r="AI2423" s="1178">
        <f t="shared" ref="AI2423" si="3444">N$20</f>
        <v>2030</v>
      </c>
      <c r="AJ2423" s="694"/>
      <c r="AK2423" s="694"/>
      <c r="AL2423" s="694"/>
    </row>
    <row r="2424" spans="1:38" ht="12.75" customHeight="1" thickBot="1" x14ac:dyDescent="0.3">
      <c r="A2424" s="694"/>
      <c r="B2424" s="298"/>
      <c r="C2424" s="1302"/>
      <c r="D2424" s="625"/>
      <c r="E2424" s="2820" t="str">
        <f>Translations!$B$546</f>
        <v>Получени или подадени парникови газове</v>
      </c>
      <c r="F2424" s="2258"/>
      <c r="G2424" s="1319" t="str">
        <f>EUconst_tCO2epa</f>
        <v>t CO2e/година</v>
      </c>
      <c r="H2424" s="56"/>
      <c r="I2424" s="115"/>
      <c r="J2424" s="118"/>
      <c r="K2424" s="56"/>
      <c r="L2424" s="56"/>
      <c r="M2424" s="56"/>
      <c r="N2424" s="121"/>
      <c r="O2424" s="302"/>
      <c r="P2424" s="158"/>
      <c r="Q2424" s="1190" t="str">
        <f>EUconst_CNTR_CO2Feedstock &amp; I2261</f>
        <v>EmCO2Feedstock_</v>
      </c>
      <c r="R2424" s="694"/>
      <c r="S2424" s="1315" t="str">
        <f>EUconst_CNTR_AttributedEmissions &amp; I2261</f>
        <v>AttrEmissions_</v>
      </c>
      <c r="T2424" s="1290" t="str">
        <f t="shared" ref="T2424" si="3445">IF(T2269,SUM(H2424),"")</f>
        <v/>
      </c>
      <c r="U2424" s="1290" t="str">
        <f t="shared" ref="U2424" si="3446">IF(U2269,SUM(I2424),"")</f>
        <v/>
      </c>
      <c r="V2424" s="1290" t="str">
        <f t="shared" ref="V2424" si="3447">IF(V2269,SUM(J2424),"")</f>
        <v/>
      </c>
      <c r="W2424" s="1290" t="str">
        <f t="shared" ref="W2424" si="3448">IF(W2269,SUM(K2424),"")</f>
        <v/>
      </c>
      <c r="X2424" s="1290" t="str">
        <f t="shared" ref="X2424" si="3449">IF(X2269,SUM(L2424),"")</f>
        <v/>
      </c>
      <c r="Y2424" s="1290" t="str">
        <f t="shared" ref="Y2424" si="3450">IF(Y2269,SUM(M2424),"")</f>
        <v/>
      </c>
      <c r="Z2424" s="1291" t="str">
        <f t="shared" ref="Z2424" si="3451">IF(Z2269,SUM(N2424),"")</f>
        <v/>
      </c>
      <c r="AA2424" s="694"/>
      <c r="AB2424" s="1182" t="s">
        <v>737</v>
      </c>
      <c r="AC2424" s="982" t="b">
        <f>AC2308</f>
        <v>0</v>
      </c>
      <c r="AD2424" s="982" t="b">
        <f t="shared" ref="AD2424:AI2424" si="3452">AD2308</f>
        <v>0</v>
      </c>
      <c r="AE2424" s="982" t="b">
        <f t="shared" si="3452"/>
        <v>0</v>
      </c>
      <c r="AF2424" s="982" t="b">
        <f t="shared" si="3452"/>
        <v>0</v>
      </c>
      <c r="AG2424" s="982" t="b">
        <f t="shared" si="3452"/>
        <v>0</v>
      </c>
      <c r="AH2424" s="982" t="b">
        <f t="shared" si="3452"/>
        <v>0</v>
      </c>
      <c r="AI2424" s="982" t="b">
        <f t="shared" si="3452"/>
        <v>0</v>
      </c>
      <c r="AJ2424" s="1174" t="s">
        <v>2039</v>
      </c>
      <c r="AK2424" s="1176" t="str">
        <f>IF(AND(CNTR_ExistSubInstEntries,MSconst_RequireSubAttrEmissions,COUNTIFS(AC2424:AI2424,FALSE,H2424:N2424,"")&gt;0),EUconst_Error&amp;"BM"&amp;$Q2261,"")</f>
        <v/>
      </c>
      <c r="AL2424" s="694"/>
    </row>
    <row r="2425" spans="1:38" ht="12.75" customHeight="1" x14ac:dyDescent="0.25">
      <c r="A2425" s="694"/>
      <c r="B2425" s="298"/>
      <c r="C2425" s="1302"/>
      <c r="D2425" s="1306"/>
      <c r="E2425" s="1306"/>
      <c r="F2425" s="1306"/>
      <c r="G2425" s="1306"/>
      <c r="H2425" s="1306"/>
      <c r="I2425" s="1306"/>
      <c r="J2425" s="1306"/>
      <c r="K2425" s="1306"/>
      <c r="L2425" s="1306"/>
      <c r="M2425" s="626"/>
      <c r="N2425" s="1316"/>
      <c r="O2425" s="302"/>
      <c r="P2425" s="302"/>
      <c r="Q2425" s="729"/>
      <c r="R2425" s="694"/>
      <c r="S2425" s="729"/>
      <c r="T2425" s="694"/>
      <c r="U2425" s="694"/>
      <c r="V2425" s="694"/>
      <c r="W2425" s="694"/>
      <c r="X2425" s="694"/>
      <c r="Y2425" s="694"/>
      <c r="Z2425" s="694"/>
      <c r="AA2425" s="694"/>
      <c r="AB2425" s="694"/>
      <c r="AC2425" s="694"/>
      <c r="AD2425" s="694"/>
      <c r="AE2425" s="694"/>
      <c r="AF2425" s="694"/>
      <c r="AG2425" s="694"/>
      <c r="AH2425" s="694"/>
      <c r="AI2425" s="694"/>
      <c r="AJ2425" s="694"/>
      <c r="AK2425" s="694"/>
      <c r="AL2425" s="694"/>
    </row>
    <row r="2426" spans="1:38" ht="12.75" customHeight="1" x14ac:dyDescent="0.25">
      <c r="A2426" s="694"/>
      <c r="B2426" s="298"/>
      <c r="C2426" s="1302"/>
      <c r="D2426" s="1307" t="s">
        <v>490</v>
      </c>
      <c r="E2426" s="2815" t="str">
        <f>Translations!$B$547</f>
        <v>Получаване и подаване на измерима топлинна енергия от тази подинсталация</v>
      </c>
      <c r="F2426" s="2240"/>
      <c r="G2426" s="2240"/>
      <c r="H2426" s="2240"/>
      <c r="I2426" s="2240"/>
      <c r="J2426" s="2240"/>
      <c r="K2426" s="2240"/>
      <c r="L2426" s="2240"/>
      <c r="M2426" s="2240"/>
      <c r="N2426" s="2811"/>
      <c r="O2426" s="302"/>
      <c r="P2426" s="302"/>
      <c r="Q2426" s="729"/>
      <c r="R2426" s="694"/>
      <c r="S2426" s="729"/>
      <c r="T2426" s="694"/>
      <c r="U2426" s="694"/>
      <c r="V2426" s="694"/>
      <c r="W2426" s="694"/>
      <c r="X2426" s="694"/>
      <c r="Y2426" s="694"/>
      <c r="Z2426" s="694"/>
      <c r="AA2426" s="694"/>
      <c r="AB2426" s="694"/>
      <c r="AC2426" s="694"/>
      <c r="AD2426" s="694"/>
      <c r="AE2426" s="694"/>
      <c r="AF2426" s="694"/>
      <c r="AG2426" s="694"/>
      <c r="AH2426" s="694"/>
      <c r="AI2426" s="694"/>
      <c r="AJ2426" s="694"/>
      <c r="AK2426" s="694"/>
      <c r="AL2426" s="694"/>
    </row>
    <row r="2427" spans="1:38" ht="12.75" customHeight="1" x14ac:dyDescent="0.25">
      <c r="A2427" s="694"/>
      <c r="B2427" s="298"/>
      <c r="C2427" s="1302"/>
      <c r="D2427" s="625"/>
      <c r="E2427" s="2816" t="str">
        <f>Translations!$B$548</f>
        <v>Посочените тук данни ще се отразят на емисиите, които могат да бъдат зададени съгласно раздел 10.1.2 и 10.1.3 от приложение VII към ПБР.</v>
      </c>
      <c r="F2427" s="2240"/>
      <c r="G2427" s="2240"/>
      <c r="H2427" s="2240"/>
      <c r="I2427" s="2240"/>
      <c r="J2427" s="2240"/>
      <c r="K2427" s="2240"/>
      <c r="L2427" s="2240"/>
      <c r="M2427" s="2240"/>
      <c r="N2427" s="2811"/>
      <c r="O2427" s="302"/>
      <c r="P2427" s="302"/>
      <c r="Q2427" s="729"/>
      <c r="R2427" s="694"/>
      <c r="S2427" s="729"/>
      <c r="T2427" s="729"/>
      <c r="U2427" s="729"/>
      <c r="V2427" s="729"/>
      <c r="W2427" s="694"/>
      <c r="X2427" s="694"/>
      <c r="Y2427" s="694"/>
      <c r="Z2427" s="694"/>
      <c r="AA2427" s="694"/>
      <c r="AB2427" s="694"/>
      <c r="AC2427" s="694"/>
      <c r="AD2427" s="694"/>
      <c r="AE2427" s="694"/>
      <c r="AF2427" s="694"/>
      <c r="AG2427" s="694"/>
      <c r="AH2427" s="694"/>
      <c r="AI2427" s="694"/>
      <c r="AJ2427" s="694"/>
      <c r="AK2427" s="694"/>
      <c r="AL2427" s="694"/>
    </row>
    <row r="2428" spans="1:38" ht="38.9" customHeight="1" x14ac:dyDescent="0.25">
      <c r="A2428" s="694"/>
      <c r="B2428" s="298"/>
      <c r="C2428" s="1302"/>
      <c r="D2428" s="1306"/>
      <c r="E2428" s="2810" t="str">
        <f>Translations!$B$549</f>
        <v>Това включва общото количество топлинна енергия, произведено във, получено от или подадено към (под)инсталации, обхванати от СТЕ на ЕС, или инсталации или обекти извън СТЕ на ЕС. При специфичните емисионни фактори (EF), свързани с топлинната енергия, трябва да се отчитат разпоредбите на раздели 8 и 10 от приложение VII към ПБР, и по-специално раздели 10.1.2 и 10.1.3.</v>
      </c>
      <c r="F2428" s="2240"/>
      <c r="G2428" s="2240"/>
      <c r="H2428" s="2240"/>
      <c r="I2428" s="2240"/>
      <c r="J2428" s="2240"/>
      <c r="K2428" s="2240"/>
      <c r="L2428" s="2240"/>
      <c r="M2428" s="2240"/>
      <c r="N2428" s="2811"/>
      <c r="O2428" s="302"/>
      <c r="P2428" s="302"/>
      <c r="Q2428" s="729"/>
      <c r="R2428" s="694"/>
      <c r="S2428" s="729"/>
      <c r="T2428" s="694"/>
      <c r="U2428" s="694"/>
      <c r="V2428" s="694"/>
      <c r="W2428" s="694"/>
      <c r="X2428" s="694"/>
      <c r="Y2428" s="694"/>
      <c r="Z2428" s="694"/>
      <c r="AA2428" s="694"/>
      <c r="AB2428" s="694"/>
      <c r="AC2428" s="694"/>
      <c r="AD2428" s="694"/>
      <c r="AE2428" s="694"/>
      <c r="AF2428" s="694"/>
      <c r="AG2428" s="694"/>
      <c r="AH2428" s="694"/>
      <c r="AI2428" s="694"/>
      <c r="AJ2428" s="694"/>
      <c r="AK2428" s="694"/>
      <c r="AL2428" s="694"/>
    </row>
    <row r="2429" spans="1:38" ht="25.5" customHeight="1" x14ac:dyDescent="0.25">
      <c r="A2429" s="694"/>
      <c r="B2429" s="298"/>
      <c r="C2429" s="1302"/>
      <c r="D2429" s="1306"/>
      <c r="E2429" s="2810" t="str">
        <f>Translations!$B$550</f>
        <v>Емисиите, свързани с измерима топлинна енергия, произведена в рамките на обекта от съоръжения, които обслужват повече от една подинсталация, също трябва да се въведат тук под „получени емисии“, вместо да се зададат директно чрез емисионния фактор за горивата от буква g) по-горе. Същото важи и за всяка топлинна енергия, „получена“ от други подинсталации.</v>
      </c>
      <c r="F2429" s="2240"/>
      <c r="G2429" s="2240"/>
      <c r="H2429" s="2240"/>
      <c r="I2429" s="2240"/>
      <c r="J2429" s="2240"/>
      <c r="K2429" s="2240"/>
      <c r="L2429" s="2240"/>
      <c r="M2429" s="2240"/>
      <c r="N2429" s="2811"/>
      <c r="O2429" s="302"/>
      <c r="P2429" s="302"/>
      <c r="Q2429" s="729"/>
      <c r="R2429" s="694"/>
      <c r="S2429" s="729"/>
      <c r="T2429" s="694"/>
      <c r="U2429" s="694"/>
      <c r="V2429" s="694"/>
      <c r="W2429" s="694"/>
      <c r="X2429" s="694"/>
      <c r="Y2429" s="694"/>
      <c r="Z2429" s="694"/>
      <c r="AA2429" s="694"/>
      <c r="AB2429" s="694"/>
      <c r="AC2429" s="694"/>
      <c r="AD2429" s="694"/>
      <c r="AE2429" s="694"/>
      <c r="AF2429" s="694"/>
      <c r="AG2429" s="694"/>
      <c r="AH2429" s="694"/>
      <c r="AI2429" s="694"/>
      <c r="AJ2429" s="694"/>
      <c r="AK2429" s="694"/>
      <c r="AL2429" s="694"/>
    </row>
    <row r="2430" spans="1:38" ht="25.5" customHeight="1" x14ac:dyDescent="0.25">
      <c r="A2430" s="694"/>
      <c r="B2430" s="298"/>
      <c r="C2430" s="1302"/>
      <c r="D2430" s="1306"/>
      <c r="E2430" s="2810" t="str">
        <f>Translations!$B$551</f>
        <v xml:space="preserve">Когато топлинната енергия е произведена изключително за една подинсталация и поради това съответните емисии са вписани в буква g) по-горе, съответните количества не трябва да се докладват тук като „получени“, за да се избегне двойно отчитане. </v>
      </c>
      <c r="F2430" s="2240"/>
      <c r="G2430" s="2240"/>
      <c r="H2430" s="2240"/>
      <c r="I2430" s="2240"/>
      <c r="J2430" s="2240"/>
      <c r="K2430" s="2240"/>
      <c r="L2430" s="2240"/>
      <c r="M2430" s="2240"/>
      <c r="N2430" s="2811"/>
      <c r="O2430" s="302"/>
      <c r="P2430" s="302"/>
      <c r="Q2430" s="729"/>
      <c r="R2430" s="694"/>
      <c r="S2430" s="729"/>
      <c r="T2430" s="694"/>
      <c r="U2430" s="694"/>
      <c r="V2430" s="694"/>
      <c r="W2430" s="694"/>
      <c r="X2430" s="694"/>
      <c r="Y2430" s="694"/>
      <c r="Z2430" s="694"/>
      <c r="AA2430" s="694"/>
      <c r="AB2430" s="694"/>
      <c r="AC2430" s="694"/>
      <c r="AD2430" s="694"/>
      <c r="AE2430" s="694"/>
      <c r="AF2430" s="694"/>
      <c r="AG2430" s="694"/>
      <c r="AH2430" s="694"/>
      <c r="AI2430" s="694"/>
      <c r="AJ2430" s="694"/>
      <c r="AK2430" s="694"/>
      <c r="AL2430" s="694"/>
    </row>
    <row r="2431" spans="1:38" ht="12.75" customHeight="1" thickBot="1" x14ac:dyDescent="0.3">
      <c r="A2431" s="694"/>
      <c r="B2431" s="298"/>
      <c r="C2431" s="1302"/>
      <c r="D2431" s="1306"/>
      <c r="E2431" s="2825" t="str">
        <f>Translations!$B$552</f>
        <v>За задаването на емисии от комбинираното производство на енергия (КПТЕ) при производството на топлинна енергия трябва да използвате „Инструмента за КПТЕ“ от раздел D.III от настоящия образец.</v>
      </c>
      <c r="F2431" s="2826"/>
      <c r="G2431" s="2826"/>
      <c r="H2431" s="2826"/>
      <c r="I2431" s="2826"/>
      <c r="J2431" s="2826"/>
      <c r="K2431" s="2826"/>
      <c r="L2431" s="2826"/>
      <c r="M2431" s="2826"/>
      <c r="N2431" s="2827"/>
      <c r="O2431" s="302"/>
      <c r="P2431" s="302"/>
      <c r="Q2431" s="729"/>
      <c r="R2431" s="694"/>
      <c r="S2431" s="694"/>
      <c r="T2431" s="694"/>
      <c r="U2431" s="694"/>
      <c r="V2431" s="694"/>
      <c r="W2431" s="694"/>
      <c r="X2431" s="694"/>
      <c r="Y2431" s="694"/>
      <c r="Z2431" s="694"/>
      <c r="AA2431" s="694"/>
      <c r="AB2431" s="694"/>
      <c r="AC2431" s="694"/>
      <c r="AD2431" s="694"/>
      <c r="AE2431" s="694"/>
      <c r="AF2431" s="694"/>
      <c r="AG2431" s="694"/>
      <c r="AH2431" s="694"/>
      <c r="AI2431" s="694"/>
      <c r="AJ2431" s="694"/>
      <c r="AK2431" s="694"/>
      <c r="AL2431" s="694"/>
    </row>
    <row r="2432" spans="1:38" ht="12.75" customHeight="1" thickBot="1" x14ac:dyDescent="0.3">
      <c r="A2432" s="694"/>
      <c r="B2432" s="298"/>
      <c r="C2432" s="1302"/>
      <c r="D2432" s="1306"/>
      <c r="E2432" s="2803" t="str">
        <f>Translations!$B$553</f>
        <v>Общо получена топлинна енергия</v>
      </c>
      <c r="F2432" s="2672"/>
      <c r="G2432" s="1309" t="str">
        <f>EUconst_Unit</f>
        <v>Единица мярка</v>
      </c>
      <c r="H2432" s="629">
        <f t="shared" ref="H2432:N2432" si="3453">H$2831</f>
        <v>2024</v>
      </c>
      <c r="I2432" s="1310">
        <f t="shared" si="3453"/>
        <v>2025</v>
      </c>
      <c r="J2432" s="1311">
        <f t="shared" si="3453"/>
        <v>2026</v>
      </c>
      <c r="K2432" s="629">
        <f t="shared" si="3453"/>
        <v>2027</v>
      </c>
      <c r="L2432" s="629">
        <f t="shared" si="3453"/>
        <v>2028</v>
      </c>
      <c r="M2432" s="629">
        <f t="shared" si="3453"/>
        <v>2029</v>
      </c>
      <c r="N2432" s="1312">
        <f t="shared" si="3453"/>
        <v>2030</v>
      </c>
      <c r="O2432" s="302"/>
      <c r="P2432" s="302"/>
      <c r="Q2432" s="729"/>
      <c r="R2432" s="694"/>
      <c r="S2432" s="1205"/>
      <c r="T2432" s="1313">
        <f t="shared" ref="T2432" si="3454">H2432</f>
        <v>2024</v>
      </c>
      <c r="U2432" s="1313">
        <f t="shared" ref="U2432" si="3455">I2432</f>
        <v>2025</v>
      </c>
      <c r="V2432" s="1313">
        <f t="shared" ref="V2432" si="3456">J2432</f>
        <v>2026</v>
      </c>
      <c r="W2432" s="1313">
        <f t="shared" ref="W2432" si="3457">K2432</f>
        <v>2027</v>
      </c>
      <c r="X2432" s="1313">
        <f t="shared" ref="X2432" si="3458">L2432</f>
        <v>2028</v>
      </c>
      <c r="Y2432" s="1313">
        <f t="shared" ref="Y2432" si="3459">M2432</f>
        <v>2029</v>
      </c>
      <c r="Z2432" s="1314">
        <f t="shared" ref="Z2432" si="3460">N2432</f>
        <v>2030</v>
      </c>
      <c r="AA2432" s="694"/>
      <c r="AB2432" s="694"/>
      <c r="AC2432" s="1178">
        <f t="shared" ref="AC2432" si="3461">H$20</f>
        <v>2024</v>
      </c>
      <c r="AD2432" s="1178">
        <f t="shared" ref="AD2432" si="3462">I$20</f>
        <v>2025</v>
      </c>
      <c r="AE2432" s="1178">
        <f t="shared" ref="AE2432" si="3463">J$20</f>
        <v>2026</v>
      </c>
      <c r="AF2432" s="1178">
        <f t="shared" ref="AF2432" si="3464">K$20</f>
        <v>2027</v>
      </c>
      <c r="AG2432" s="1178">
        <f t="shared" ref="AG2432" si="3465">L$20</f>
        <v>2028</v>
      </c>
      <c r="AH2432" s="1178">
        <f t="shared" ref="AH2432" si="3466">M$20</f>
        <v>2029</v>
      </c>
      <c r="AI2432" s="1178">
        <f t="shared" ref="AI2432" si="3467">N$20</f>
        <v>2030</v>
      </c>
      <c r="AJ2432" s="694"/>
      <c r="AK2432" s="694"/>
      <c r="AL2432" s="694"/>
    </row>
    <row r="2433" spans="1:38" ht="12.75" customHeight="1" x14ac:dyDescent="0.25">
      <c r="A2433" s="694"/>
      <c r="B2433" s="298"/>
      <c r="C2433" s="1302"/>
      <c r="D2433" s="625" t="s">
        <v>6</v>
      </c>
      <c r="E2433" s="2820" t="str">
        <f>Translations!$B$554</f>
        <v>Нетно количество получена топлинна енергия</v>
      </c>
      <c r="F2433" s="2258"/>
      <c r="G2433" s="1319" t="str">
        <f>EUconst_TJpa</f>
        <v>TJ / година</v>
      </c>
      <c r="H2433" s="56"/>
      <c r="I2433" s="115"/>
      <c r="J2433" s="118"/>
      <c r="K2433" s="56"/>
      <c r="L2433" s="56"/>
      <c r="M2433" s="56"/>
      <c r="N2433" s="121"/>
      <c r="O2433" s="302"/>
      <c r="P2433" s="158"/>
      <c r="Q2433" s="1190" t="str">
        <f>EUconst_CNTR_HeatImport &amp; I2261</f>
        <v>HeatIm_</v>
      </c>
      <c r="R2433" s="694"/>
      <c r="S2433" s="1347" t="str">
        <f>EUconst_ERR_AttrEmBMapplied &amp; I2261</f>
        <v>ERR_AttrEmBM_</v>
      </c>
      <c r="T2433" s="982">
        <f t="shared" ref="T2433" si="3468">IF(AND(H2433&lt;&gt;0,H2434="",EUconst_StatusOfDataCollection=FALSE),1,0)</f>
        <v>0</v>
      </c>
      <c r="U2433" s="982">
        <f t="shared" ref="U2433" si="3469">IF(AND(I2433&lt;&gt;0,I2434="",EUconst_StatusOfDataCollection=FALSE),1,0)</f>
        <v>0</v>
      </c>
      <c r="V2433" s="982">
        <f t="shared" ref="V2433" si="3470">IF(AND(J2433&lt;&gt;0,J2434="",EUconst_StatusOfDataCollection=FALSE),1,0)</f>
        <v>0</v>
      </c>
      <c r="W2433" s="982">
        <f t="shared" ref="W2433" si="3471">IF(AND(K2433&lt;&gt;0,K2434="",EUconst_StatusOfDataCollection=FALSE),1,0)</f>
        <v>0</v>
      </c>
      <c r="X2433" s="982">
        <f t="shared" ref="X2433" si="3472">IF(AND(L2433&lt;&gt;0,L2434="",EUconst_StatusOfDataCollection=FALSE),1,0)</f>
        <v>0</v>
      </c>
      <c r="Y2433" s="982">
        <f t="shared" ref="Y2433" si="3473">IF(AND(M2433&lt;&gt;0,M2434="",EUconst_StatusOfDataCollection=FALSE),1,0)</f>
        <v>0</v>
      </c>
      <c r="Z2433" s="1287">
        <f t="shared" ref="Z2433" si="3474">IF(AND(N2433&lt;&gt;0,N2434="",EUconst_StatusOfDataCollection=FALSE),1,0)</f>
        <v>0</v>
      </c>
      <c r="AA2433" s="1031"/>
      <c r="AB2433" s="1182" t="s">
        <v>737</v>
      </c>
      <c r="AC2433" s="982" t="b">
        <f t="shared" ref="AC2433:AI2433" si="3475">AC2308</f>
        <v>0</v>
      </c>
      <c r="AD2433" s="982" t="b">
        <f t="shared" si="3475"/>
        <v>0</v>
      </c>
      <c r="AE2433" s="982" t="b">
        <f t="shared" si="3475"/>
        <v>0</v>
      </c>
      <c r="AF2433" s="982" t="b">
        <f t="shared" si="3475"/>
        <v>0</v>
      </c>
      <c r="AG2433" s="982" t="b">
        <f t="shared" si="3475"/>
        <v>0</v>
      </c>
      <c r="AH2433" s="982" t="b">
        <f t="shared" si="3475"/>
        <v>0</v>
      </c>
      <c r="AI2433" s="982" t="b">
        <f t="shared" si="3475"/>
        <v>0</v>
      </c>
      <c r="AJ2433" s="1174" t="s">
        <v>2039</v>
      </c>
      <c r="AK2433" s="1176" t="str">
        <f>IF(AND(CNTR_ExistSubInstEntries,MSconst_RequireSubAttrEmissions,COUNTIFS(AC2433:AI2433,FALSE,H2433:N2433,"")&gt;0),EUconst_Error&amp;"BM"&amp;$Q2261,"")</f>
        <v/>
      </c>
      <c r="AL2433" s="694"/>
    </row>
    <row r="2434" spans="1:38" ht="12.75" customHeight="1" thickBot="1" x14ac:dyDescent="0.3">
      <c r="A2434" s="694"/>
      <c r="B2434" s="298"/>
      <c r="C2434" s="1302"/>
      <c r="D2434" s="625" t="s">
        <v>7</v>
      </c>
      <c r="E2434" s="2820" t="str">
        <f>Translations!$B$555</f>
        <v>Специфичен EF (получена топлинна енергия)</v>
      </c>
      <c r="F2434" s="2258"/>
      <c r="G2434" s="1319" t="str">
        <f>EUconst_tCO2pTJ</f>
        <v>t CO2 / TJ</v>
      </c>
      <c r="H2434" s="56"/>
      <c r="I2434" s="115"/>
      <c r="J2434" s="118"/>
      <c r="K2434" s="56"/>
      <c r="L2434" s="56"/>
      <c r="M2434" s="56"/>
      <c r="N2434" s="121"/>
      <c r="O2434" s="302"/>
      <c r="P2434" s="158"/>
      <c r="Q2434" s="1190" t="str">
        <f>EUconst_CNTR_HeatImportEF &amp; I2261</f>
        <v>HeatImEF_</v>
      </c>
      <c r="R2434" s="694"/>
      <c r="S2434" s="1315" t="str">
        <f>EUconst_CNTR_AttributedEmissions &amp; I2261</f>
        <v>AttrEmissions_</v>
      </c>
      <c r="T2434" s="1290" t="str">
        <f t="shared" ref="T2434" si="3476">IF(T2269,SUM(H2433)*IF(ISNUMBER(H2434),H2434,EUconst_HeatBMvalue),"")</f>
        <v/>
      </c>
      <c r="U2434" s="1290" t="str">
        <f t="shared" ref="U2434" si="3477">IF(U2269,SUM(I2433)*IF(ISNUMBER(I2434),I2434,EUconst_HeatBMvalue),"")</f>
        <v/>
      </c>
      <c r="V2434" s="1290" t="str">
        <f t="shared" ref="V2434" si="3478">IF(V2269,SUM(J2433)*IF(ISNUMBER(J2434),J2434,EUconst_HeatBMvalue),"")</f>
        <v/>
      </c>
      <c r="W2434" s="1290" t="str">
        <f t="shared" ref="W2434" si="3479">IF(W2269,SUM(K2433)*IF(ISNUMBER(K2434),K2434,EUconst_HeatBMvalue),"")</f>
        <v/>
      </c>
      <c r="X2434" s="1290" t="str">
        <f t="shared" ref="X2434" si="3480">IF(X2269,SUM(L2433)*IF(ISNUMBER(L2434),L2434,EUconst_HeatBMvalue),"")</f>
        <v/>
      </c>
      <c r="Y2434" s="1290" t="str">
        <f t="shared" ref="Y2434" si="3481">IF(Y2269,SUM(M2433)*IF(ISNUMBER(M2434),M2434,EUconst_HeatBMvalue),"")</f>
        <v/>
      </c>
      <c r="Z2434" s="1291" t="str">
        <f t="shared" ref="Z2434" si="3482">IF(Z2269,SUM(N2433)*IF(ISNUMBER(N2434),N2434,EUconst_HeatBMvalue),"")</f>
        <v/>
      </c>
      <c r="AA2434" s="694"/>
      <c r="AB2434" s="694"/>
      <c r="AC2434" s="982" t="b">
        <f>AC2433</f>
        <v>0</v>
      </c>
      <c r="AD2434" s="982" t="b">
        <f t="shared" ref="AD2434:AI2434" si="3483">AD2433</f>
        <v>0</v>
      </c>
      <c r="AE2434" s="982" t="b">
        <f t="shared" si="3483"/>
        <v>0</v>
      </c>
      <c r="AF2434" s="982" t="b">
        <f t="shared" si="3483"/>
        <v>0</v>
      </c>
      <c r="AG2434" s="982" t="b">
        <f t="shared" si="3483"/>
        <v>0</v>
      </c>
      <c r="AH2434" s="982" t="b">
        <f t="shared" si="3483"/>
        <v>0</v>
      </c>
      <c r="AI2434" s="982" t="b">
        <f t="shared" si="3483"/>
        <v>0</v>
      </c>
      <c r="AJ2434" s="694"/>
      <c r="AK2434" s="694"/>
      <c r="AL2434" s="694"/>
    </row>
    <row r="2435" spans="1:38" ht="5.15" customHeight="1" x14ac:dyDescent="0.25">
      <c r="A2435" s="694"/>
      <c r="B2435" s="298"/>
      <c r="C2435" s="1302"/>
      <c r="D2435" s="1306"/>
      <c r="E2435" s="1306"/>
      <c r="F2435" s="1306"/>
      <c r="G2435" s="1306"/>
      <c r="H2435" s="1306"/>
      <c r="I2435" s="1306"/>
      <c r="J2435" s="1306"/>
      <c r="K2435" s="1306"/>
      <c r="L2435" s="1306"/>
      <c r="M2435" s="1306"/>
      <c r="N2435" s="1316"/>
      <c r="O2435" s="302"/>
      <c r="P2435" s="302"/>
      <c r="Q2435" s="729"/>
      <c r="R2435" s="694"/>
      <c r="S2435" s="729"/>
      <c r="T2435" s="729"/>
      <c r="U2435" s="729"/>
      <c r="V2435" s="729"/>
      <c r="W2435" s="694"/>
      <c r="X2435" s="694"/>
      <c r="Y2435" s="694"/>
      <c r="Z2435" s="694"/>
      <c r="AA2435" s="694"/>
      <c r="AB2435" s="694"/>
      <c r="AC2435" s="694"/>
      <c r="AD2435" s="694"/>
      <c r="AE2435" s="694"/>
      <c r="AF2435" s="694"/>
      <c r="AG2435" s="694"/>
      <c r="AH2435" s="694"/>
      <c r="AI2435" s="694"/>
      <c r="AJ2435" s="694"/>
      <c r="AK2435" s="694"/>
      <c r="AL2435" s="694"/>
    </row>
    <row r="2436" spans="1:38" ht="12.75" customHeight="1" thickBot="1" x14ac:dyDescent="0.3">
      <c r="A2436" s="694"/>
      <c r="B2436" s="298"/>
      <c r="C2436" s="1302"/>
      <c r="D2436" s="1306"/>
      <c r="E2436" s="2803" t="str">
        <f>Translations!$B$556</f>
        <v>Специфична получена топлинна енергия</v>
      </c>
      <c r="F2436" s="2672"/>
      <c r="G2436" s="1309" t="str">
        <f>EUconst_Unit</f>
        <v>Единица мярка</v>
      </c>
      <c r="H2436" s="629">
        <f t="shared" ref="H2436:N2436" si="3484">H$2831</f>
        <v>2024</v>
      </c>
      <c r="I2436" s="1310">
        <f t="shared" si="3484"/>
        <v>2025</v>
      </c>
      <c r="J2436" s="1311">
        <f t="shared" si="3484"/>
        <v>2026</v>
      </c>
      <c r="K2436" s="629">
        <f t="shared" si="3484"/>
        <v>2027</v>
      </c>
      <c r="L2436" s="629">
        <f t="shared" si="3484"/>
        <v>2028</v>
      </c>
      <c r="M2436" s="629">
        <f t="shared" si="3484"/>
        <v>2029</v>
      </c>
      <c r="N2436" s="1312">
        <f t="shared" si="3484"/>
        <v>2030</v>
      </c>
      <c r="O2436" s="302"/>
      <c r="P2436" s="302"/>
      <c r="Q2436" s="729"/>
      <c r="R2436" s="694"/>
      <c r="S2436" s="729"/>
      <c r="T2436" s="729"/>
      <c r="U2436" s="729"/>
      <c r="V2436" s="729"/>
      <c r="W2436" s="694"/>
      <c r="X2436" s="694"/>
      <c r="Y2436" s="694"/>
      <c r="Z2436" s="694"/>
      <c r="AA2436" s="694"/>
      <c r="AB2436" s="694"/>
      <c r="AC2436" s="1178">
        <f t="shared" ref="AC2436" si="3485">H$20</f>
        <v>2024</v>
      </c>
      <c r="AD2436" s="1178">
        <f t="shared" ref="AD2436" si="3486">I$20</f>
        <v>2025</v>
      </c>
      <c r="AE2436" s="1178">
        <f t="shared" ref="AE2436" si="3487">J$20</f>
        <v>2026</v>
      </c>
      <c r="AF2436" s="1178">
        <f t="shared" ref="AF2436" si="3488">K$20</f>
        <v>2027</v>
      </c>
      <c r="AG2436" s="1178">
        <f t="shared" ref="AG2436" si="3489">L$20</f>
        <v>2028</v>
      </c>
      <c r="AH2436" s="1178">
        <f t="shared" ref="AH2436" si="3490">M$20</f>
        <v>2029</v>
      </c>
      <c r="AI2436" s="1178">
        <f t="shared" ref="AI2436" si="3491">N$20</f>
        <v>2030</v>
      </c>
      <c r="AJ2436" s="694"/>
      <c r="AK2436" s="694"/>
      <c r="AL2436" s="694"/>
    </row>
    <row r="2437" spans="1:38" ht="12.75" customHeight="1" x14ac:dyDescent="0.25">
      <c r="A2437" s="694"/>
      <c r="B2437" s="298"/>
      <c r="C2437" s="1302"/>
      <c r="D2437" s="625" t="s">
        <v>8</v>
      </c>
      <c r="E2437" s="2820" t="str">
        <f>Translations!$B$557</f>
        <v>Нетно количество топлинна енергия, получена от подинсталации за пулп</v>
      </c>
      <c r="F2437" s="2258"/>
      <c r="G2437" s="1319" t="str">
        <f>EUconst_TJpa</f>
        <v>TJ / година</v>
      </c>
      <c r="H2437" s="141"/>
      <c r="I2437" s="142"/>
      <c r="J2437" s="143"/>
      <c r="K2437" s="141"/>
      <c r="L2437" s="141"/>
      <c r="M2437" s="141"/>
      <c r="N2437" s="144"/>
      <c r="O2437" s="302"/>
      <c r="P2437" s="158"/>
      <c r="Q2437" s="1190" t="str">
        <f>EUconst_CNTR_HeatImportPulp &amp; I2261</f>
        <v>HeatImPulp_</v>
      </c>
      <c r="R2437" s="694"/>
      <c r="S2437" s="729"/>
      <c r="T2437" s="729"/>
      <c r="U2437" s="729"/>
      <c r="V2437" s="729"/>
      <c r="W2437" s="694"/>
      <c r="X2437" s="694"/>
      <c r="Y2437" s="694"/>
      <c r="Z2437" s="694"/>
      <c r="AA2437" s="694"/>
      <c r="AB2437" s="1182" t="s">
        <v>737</v>
      </c>
      <c r="AC2437" s="982" t="b">
        <f>AC2308</f>
        <v>0</v>
      </c>
      <c r="AD2437" s="982" t="b">
        <f t="shared" ref="AD2437:AI2437" si="3492">AD2308</f>
        <v>0</v>
      </c>
      <c r="AE2437" s="982" t="b">
        <f t="shared" si="3492"/>
        <v>0</v>
      </c>
      <c r="AF2437" s="982" t="b">
        <f t="shared" si="3492"/>
        <v>0</v>
      </c>
      <c r="AG2437" s="982" t="b">
        <f t="shared" si="3492"/>
        <v>0</v>
      </c>
      <c r="AH2437" s="982" t="b">
        <f t="shared" si="3492"/>
        <v>0</v>
      </c>
      <c r="AI2437" s="982" t="b">
        <f t="shared" si="3492"/>
        <v>0</v>
      </c>
      <c r="AJ2437" s="1174" t="s">
        <v>2039</v>
      </c>
      <c r="AK2437" s="1176" t="str">
        <f>IF(AND(CNTR_ExistSubInstEntries,MSconst_RequireSubAttrEmissions,COUNTIFS(AC2437:AI2437,FALSE,H2437:N2437,"")&gt;0),EUconst_Error&amp;"BM"&amp;$Q2261,"")</f>
        <v/>
      </c>
      <c r="AL2437" s="694"/>
    </row>
    <row r="2438" spans="1:38" ht="25.5" customHeight="1" x14ac:dyDescent="0.25">
      <c r="A2438" s="694"/>
      <c r="B2438" s="298"/>
      <c r="C2438" s="1302"/>
      <c r="D2438" s="625" t="s">
        <v>18</v>
      </c>
      <c r="E2438" s="2820" t="str">
        <f>Translations!$B$558</f>
        <v>Нетно количество топлинна енергия, получена от подинсталации за азотна киселина</v>
      </c>
      <c r="F2438" s="2258"/>
      <c r="G2438" s="1319" t="str">
        <f>EUconst_TJpa</f>
        <v>TJ / година</v>
      </c>
      <c r="H2438" s="56"/>
      <c r="I2438" s="115"/>
      <c r="J2438" s="118"/>
      <c r="K2438" s="56"/>
      <c r="L2438" s="56"/>
      <c r="M2438" s="56"/>
      <c r="N2438" s="121"/>
      <c r="O2438" s="302"/>
      <c r="P2438" s="158"/>
      <c r="Q2438" s="1190" t="str">
        <f>EUconst_CNTR_HeatImportNitric &amp; I2261</f>
        <v>HeatImNitric_</v>
      </c>
      <c r="R2438" s="694"/>
      <c r="S2438" s="729"/>
      <c r="T2438" s="729"/>
      <c r="U2438" s="729"/>
      <c r="V2438" s="729"/>
      <c r="W2438" s="694"/>
      <c r="X2438" s="694"/>
      <c r="Y2438" s="694"/>
      <c r="Z2438" s="694"/>
      <c r="AA2438" s="694"/>
      <c r="AB2438" s="694"/>
      <c r="AC2438" s="982" t="b">
        <f>AC2437</f>
        <v>0</v>
      </c>
      <c r="AD2438" s="982" t="b">
        <f t="shared" ref="AD2438:AI2438" si="3493">AD2437</f>
        <v>0</v>
      </c>
      <c r="AE2438" s="982" t="b">
        <f t="shared" si="3493"/>
        <v>0</v>
      </c>
      <c r="AF2438" s="982" t="b">
        <f t="shared" si="3493"/>
        <v>0</v>
      </c>
      <c r="AG2438" s="982" t="b">
        <f t="shared" si="3493"/>
        <v>0</v>
      </c>
      <c r="AH2438" s="982" t="b">
        <f t="shared" si="3493"/>
        <v>0</v>
      </c>
      <c r="AI2438" s="982" t="b">
        <f t="shared" si="3493"/>
        <v>0</v>
      </c>
      <c r="AJ2438" s="1174" t="s">
        <v>2039</v>
      </c>
      <c r="AK2438" s="1176" t="str">
        <f>IF(AND(CNTR_ExistSubInstEntries,MSconst_RequireSubAttrEmissions,COUNTIFS(AC2438:AI2438,FALSE,H2438:N2438,"")&gt;0),EUconst_Error&amp;"BM"&amp;$Q2261,"")</f>
        <v/>
      </c>
      <c r="AL2438" s="694"/>
    </row>
    <row r="2439" spans="1:38" ht="5.15" customHeight="1" thickBot="1" x14ac:dyDescent="0.3">
      <c r="A2439" s="694"/>
      <c r="B2439" s="298"/>
      <c r="C2439" s="1302"/>
      <c r="D2439" s="1306"/>
      <c r="E2439" s="1306"/>
      <c r="F2439" s="1306"/>
      <c r="G2439" s="1306"/>
      <c r="H2439" s="1306"/>
      <c r="I2439" s="1306"/>
      <c r="J2439" s="1306"/>
      <c r="K2439" s="1306"/>
      <c r="L2439" s="1306"/>
      <c r="M2439" s="1306"/>
      <c r="N2439" s="1316"/>
      <c r="O2439" s="302"/>
      <c r="P2439" s="302"/>
      <c r="Q2439" s="729"/>
      <c r="R2439" s="694"/>
      <c r="S2439" s="729"/>
      <c r="T2439" s="729"/>
      <c r="U2439" s="729"/>
      <c r="V2439" s="729"/>
      <c r="W2439" s="694"/>
      <c r="X2439" s="694"/>
      <c r="Y2439" s="694"/>
      <c r="Z2439" s="694"/>
      <c r="AA2439" s="694"/>
      <c r="AB2439" s="694"/>
      <c r="AC2439" s="694"/>
      <c r="AD2439" s="694"/>
      <c r="AE2439" s="694"/>
      <c r="AF2439" s="694"/>
      <c r="AG2439" s="694"/>
      <c r="AH2439" s="694"/>
      <c r="AI2439" s="694"/>
      <c r="AJ2439" s="694"/>
      <c r="AK2439" s="694"/>
      <c r="AL2439" s="694"/>
    </row>
    <row r="2440" spans="1:38" ht="12.75" customHeight="1" thickBot="1" x14ac:dyDescent="0.3">
      <c r="A2440" s="694"/>
      <c r="B2440" s="298"/>
      <c r="C2440" s="1302"/>
      <c r="D2440" s="1306"/>
      <c r="E2440" s="2803" t="str">
        <f>Translations!$B$559</f>
        <v>Общо подадена топлинна енергия</v>
      </c>
      <c r="F2440" s="2672"/>
      <c r="G2440" s="1309" t="str">
        <f>EUconst_Unit</f>
        <v>Единица мярка</v>
      </c>
      <c r="H2440" s="629">
        <f t="shared" ref="H2440:N2440" si="3494">H$2831</f>
        <v>2024</v>
      </c>
      <c r="I2440" s="1310">
        <f t="shared" si="3494"/>
        <v>2025</v>
      </c>
      <c r="J2440" s="1311">
        <f t="shared" si="3494"/>
        <v>2026</v>
      </c>
      <c r="K2440" s="629">
        <f t="shared" si="3494"/>
        <v>2027</v>
      </c>
      <c r="L2440" s="629">
        <f t="shared" si="3494"/>
        <v>2028</v>
      </c>
      <c r="M2440" s="629">
        <f t="shared" si="3494"/>
        <v>2029</v>
      </c>
      <c r="N2440" s="1312">
        <f t="shared" si="3494"/>
        <v>2030</v>
      </c>
      <c r="O2440" s="302"/>
      <c r="P2440" s="302"/>
      <c r="Q2440" s="729"/>
      <c r="R2440" s="694"/>
      <c r="S2440" s="1205"/>
      <c r="T2440" s="1313">
        <f t="shared" ref="T2440" si="3495">H2440</f>
        <v>2024</v>
      </c>
      <c r="U2440" s="1313">
        <f t="shared" ref="U2440" si="3496">I2440</f>
        <v>2025</v>
      </c>
      <c r="V2440" s="1313">
        <f t="shared" ref="V2440" si="3497">J2440</f>
        <v>2026</v>
      </c>
      <c r="W2440" s="1313">
        <f t="shared" ref="W2440" si="3498">K2440</f>
        <v>2027</v>
      </c>
      <c r="X2440" s="1313">
        <f t="shared" ref="X2440" si="3499">L2440</f>
        <v>2028</v>
      </c>
      <c r="Y2440" s="1313">
        <f t="shared" ref="Y2440" si="3500">M2440</f>
        <v>2029</v>
      </c>
      <c r="Z2440" s="1314">
        <f t="shared" ref="Z2440" si="3501">N2440</f>
        <v>2030</v>
      </c>
      <c r="AA2440" s="694"/>
      <c r="AB2440" s="694"/>
      <c r="AC2440" s="1178">
        <f t="shared" ref="AC2440" si="3502">H$20</f>
        <v>2024</v>
      </c>
      <c r="AD2440" s="1178">
        <f t="shared" ref="AD2440" si="3503">I$20</f>
        <v>2025</v>
      </c>
      <c r="AE2440" s="1178">
        <f t="shared" ref="AE2440" si="3504">J$20</f>
        <v>2026</v>
      </c>
      <c r="AF2440" s="1178">
        <f t="shared" ref="AF2440" si="3505">K$20</f>
        <v>2027</v>
      </c>
      <c r="AG2440" s="1178">
        <f t="shared" ref="AG2440" si="3506">L$20</f>
        <v>2028</v>
      </c>
      <c r="AH2440" s="1178">
        <f t="shared" ref="AH2440" si="3507">M$20</f>
        <v>2029</v>
      </c>
      <c r="AI2440" s="1178">
        <f t="shared" ref="AI2440" si="3508">N$20</f>
        <v>2030</v>
      </c>
      <c r="AJ2440" s="694"/>
      <c r="AK2440" s="694"/>
      <c r="AL2440" s="694"/>
    </row>
    <row r="2441" spans="1:38" ht="12.75" customHeight="1" x14ac:dyDescent="0.25">
      <c r="A2441" s="694"/>
      <c r="B2441" s="298"/>
      <c r="C2441" s="1302"/>
      <c r="D2441" s="625" t="s">
        <v>810</v>
      </c>
      <c r="E2441" s="2820" t="str">
        <f>Translations!$B$560</f>
        <v>Нетно количество подадена топлинна енергия</v>
      </c>
      <c r="F2441" s="2258"/>
      <c r="G2441" s="1319" t="str">
        <f>EUconst_TJpa</f>
        <v>TJ / година</v>
      </c>
      <c r="H2441" s="56"/>
      <c r="I2441" s="115"/>
      <c r="J2441" s="118"/>
      <c r="K2441" s="56"/>
      <c r="L2441" s="56"/>
      <c r="M2441" s="56"/>
      <c r="N2441" s="121"/>
      <c r="O2441" s="302"/>
      <c r="P2441" s="158"/>
      <c r="Q2441" s="1190" t="str">
        <f>EUconst_CNTR_HeatExport &amp; I2261</f>
        <v>HeatEx_</v>
      </c>
      <c r="R2441" s="694"/>
      <c r="S2441" s="1347" t="str">
        <f>EUconst_ERR_AttrEmBMapplied &amp; I2261</f>
        <v>ERR_AttrEmBM_</v>
      </c>
      <c r="T2441" s="982">
        <f t="shared" ref="T2441" si="3509">IF(AND(H2441&lt;&gt;0,H2442="",EUconst_StatusOfDataCollection=FALSE),1,0)</f>
        <v>0</v>
      </c>
      <c r="U2441" s="982">
        <f t="shared" ref="U2441" si="3510">IF(AND(I2441&lt;&gt;0,I2442="",EUconst_StatusOfDataCollection=FALSE),1,0)</f>
        <v>0</v>
      </c>
      <c r="V2441" s="982">
        <f t="shared" ref="V2441" si="3511">IF(AND(J2441&lt;&gt;0,J2442="",EUconst_StatusOfDataCollection=FALSE),1,0)</f>
        <v>0</v>
      </c>
      <c r="W2441" s="982">
        <f t="shared" ref="W2441" si="3512">IF(AND(K2441&lt;&gt;0,K2442="",EUconst_StatusOfDataCollection=FALSE),1,0)</f>
        <v>0</v>
      </c>
      <c r="X2441" s="982">
        <f t="shared" ref="X2441" si="3513">IF(AND(L2441&lt;&gt;0,L2442="",EUconst_StatusOfDataCollection=FALSE),1,0)</f>
        <v>0</v>
      </c>
      <c r="Y2441" s="982">
        <f t="shared" ref="Y2441" si="3514">IF(AND(M2441&lt;&gt;0,M2442="",EUconst_StatusOfDataCollection=FALSE),1,0)</f>
        <v>0</v>
      </c>
      <c r="Z2441" s="1287">
        <f t="shared" ref="Z2441" si="3515">IF(AND(N2441&lt;&gt;0,N2442="",EUconst_StatusOfDataCollection=FALSE),1,0)</f>
        <v>0</v>
      </c>
      <c r="AA2441" s="694"/>
      <c r="AB2441" s="1182" t="s">
        <v>737</v>
      </c>
      <c r="AC2441" s="982" t="b">
        <f>AC2437</f>
        <v>0</v>
      </c>
      <c r="AD2441" s="982" t="b">
        <f t="shared" ref="AD2441:AI2441" si="3516">AD2437</f>
        <v>0</v>
      </c>
      <c r="AE2441" s="982" t="b">
        <f t="shared" si="3516"/>
        <v>0</v>
      </c>
      <c r="AF2441" s="982" t="b">
        <f t="shared" si="3516"/>
        <v>0</v>
      </c>
      <c r="AG2441" s="982" t="b">
        <f t="shared" si="3516"/>
        <v>0</v>
      </c>
      <c r="AH2441" s="982" t="b">
        <f t="shared" si="3516"/>
        <v>0</v>
      </c>
      <c r="AI2441" s="982" t="b">
        <f t="shared" si="3516"/>
        <v>0</v>
      </c>
      <c r="AJ2441" s="1174" t="s">
        <v>2039</v>
      </c>
      <c r="AK2441" s="1176" t="str">
        <f>IF(AND(CNTR_ExistSubInstEntries,MSconst_RequireSubAttrEmissions,COUNTIFS(AC2441:AI2441,FALSE,H2441:N2441,"")&gt;0),EUconst_Error&amp;"BM"&amp;$Q2261,"")</f>
        <v/>
      </c>
      <c r="AL2441" s="694"/>
    </row>
    <row r="2442" spans="1:38" ht="12.75" customHeight="1" thickBot="1" x14ac:dyDescent="0.3">
      <c r="A2442" s="694"/>
      <c r="B2442" s="298"/>
      <c r="C2442" s="1302"/>
      <c r="D2442" s="625" t="s">
        <v>811</v>
      </c>
      <c r="E2442" s="2820" t="str">
        <f>Translations!$B$561</f>
        <v>Специфичен EF (подадена топлинна енергия)</v>
      </c>
      <c r="F2442" s="2258"/>
      <c r="G2442" s="1319" t="str">
        <f>EUconst_tCO2pTJ</f>
        <v>t CO2 / TJ</v>
      </c>
      <c r="H2442" s="56"/>
      <c r="I2442" s="115"/>
      <c r="J2442" s="118"/>
      <c r="K2442" s="56"/>
      <c r="L2442" s="56"/>
      <c r="M2442" s="56"/>
      <c r="N2442" s="121"/>
      <c r="O2442" s="302"/>
      <c r="P2442" s="158"/>
      <c r="Q2442" s="1190" t="str">
        <f>EUconst_CNTR_HeatExportEF &amp; I2261</f>
        <v>HeatExEF_</v>
      </c>
      <c r="R2442" s="694"/>
      <c r="S2442" s="1315" t="str">
        <f>EUconst_CNTR_AttributedEmissions &amp; I2261</f>
        <v>AttrEmissions_</v>
      </c>
      <c r="T2442" s="1290" t="str">
        <f t="shared" ref="T2442" si="3517">IF(T2269,-SUM(H2441)*IF(INDEX(EUconst_BMlistMainNumberOfBM,MATCH($I2261,EUconst_BMlistNames,0))=39,0,IF(ISNUMBER(H2442),H2442,EUconst_HeatBMvalue)),"")</f>
        <v/>
      </c>
      <c r="U2442" s="1290" t="str">
        <f t="shared" ref="U2442" si="3518">IF(U2269,-SUM(I2441)*IF(INDEX(EUconst_BMlistMainNumberOfBM,MATCH($I2261,EUconst_BMlistNames,0))=39,0,IF(ISNUMBER(I2442),I2442,EUconst_HeatBMvalue)),"")</f>
        <v/>
      </c>
      <c r="V2442" s="1290" t="str">
        <f t="shared" ref="V2442" si="3519">IF(V2269,-SUM(J2441)*IF(INDEX(EUconst_BMlistMainNumberOfBM,MATCH($I2261,EUconst_BMlistNames,0))=39,0,IF(ISNUMBER(J2442),J2442,EUconst_HeatBMvalue)),"")</f>
        <v/>
      </c>
      <c r="W2442" s="1290" t="str">
        <f t="shared" ref="W2442" si="3520">IF(W2269,-SUM(K2441)*IF(INDEX(EUconst_BMlistMainNumberOfBM,MATCH($I2261,EUconst_BMlistNames,0))=39,0,IF(ISNUMBER(K2442),K2442,EUconst_HeatBMvalue)),"")</f>
        <v/>
      </c>
      <c r="X2442" s="1290" t="str">
        <f t="shared" ref="X2442" si="3521">IF(X2269,-SUM(L2441)*IF(INDEX(EUconst_BMlistMainNumberOfBM,MATCH($I2261,EUconst_BMlistNames,0))=39,0,IF(ISNUMBER(L2442),L2442,EUconst_HeatBMvalue)),"")</f>
        <v/>
      </c>
      <c r="Y2442" s="1290" t="str">
        <f t="shared" ref="Y2442" si="3522">IF(Y2269,-SUM(M2441)*IF(INDEX(EUconst_BMlistMainNumberOfBM,MATCH($I2261,EUconst_BMlistNames,0))=39,0,IF(ISNUMBER(M2442),M2442,EUconst_HeatBMvalue)),"")</f>
        <v/>
      </c>
      <c r="Z2442" s="1291" t="str">
        <f t="shared" ref="Z2442" si="3523">IF(Z2269,-SUM(N2441)*IF(INDEX(EUconst_BMlistMainNumberOfBM,MATCH($I2261,EUconst_BMlistNames,0))=39,0,IF(ISNUMBER(N2442),N2442,EUconst_HeatBMvalue)),"")</f>
        <v/>
      </c>
      <c r="AA2442" s="694"/>
      <c r="AB2442" s="694"/>
      <c r="AC2442" s="982" t="b">
        <f>AC2441</f>
        <v>0</v>
      </c>
      <c r="AD2442" s="982" t="b">
        <f t="shared" ref="AD2442:AI2442" si="3524">AD2441</f>
        <v>0</v>
      </c>
      <c r="AE2442" s="982" t="b">
        <f t="shared" si="3524"/>
        <v>0</v>
      </c>
      <c r="AF2442" s="982" t="b">
        <f t="shared" si="3524"/>
        <v>0</v>
      </c>
      <c r="AG2442" s="982" t="b">
        <f t="shared" si="3524"/>
        <v>0</v>
      </c>
      <c r="AH2442" s="982" t="b">
        <f t="shared" si="3524"/>
        <v>0</v>
      </c>
      <c r="AI2442" s="982" t="b">
        <f t="shared" si="3524"/>
        <v>0</v>
      </c>
      <c r="AJ2442" s="694"/>
      <c r="AK2442" s="694"/>
      <c r="AL2442" s="694"/>
    </row>
    <row r="2443" spans="1:38" ht="12.75" customHeight="1" x14ac:dyDescent="0.25">
      <c r="A2443" s="694"/>
      <c r="B2443" s="298"/>
      <c r="C2443" s="1302"/>
      <c r="D2443" s="1306"/>
      <c r="E2443" s="1306"/>
      <c r="F2443" s="1306"/>
      <c r="G2443" s="1306"/>
      <c r="H2443" s="1306"/>
      <c r="I2443" s="1306"/>
      <c r="J2443" s="1306"/>
      <c r="K2443" s="1306"/>
      <c r="L2443" s="1306"/>
      <c r="M2443" s="626"/>
      <c r="N2443" s="1316"/>
      <c r="O2443" s="302"/>
      <c r="P2443" s="302"/>
      <c r="Q2443" s="729"/>
      <c r="R2443" s="694"/>
      <c r="S2443" s="729"/>
      <c r="T2443" s="729"/>
      <c r="U2443" s="729"/>
      <c r="V2443" s="729"/>
      <c r="W2443" s="694"/>
      <c r="X2443" s="694"/>
      <c r="Y2443" s="694"/>
      <c r="Z2443" s="694"/>
      <c r="AA2443" s="694"/>
      <c r="AB2443" s="694"/>
      <c r="AC2443" s="694"/>
      <c r="AD2443" s="694"/>
      <c r="AE2443" s="694"/>
      <c r="AF2443" s="694"/>
      <c r="AG2443" s="694"/>
      <c r="AH2443" s="694"/>
      <c r="AI2443" s="694"/>
      <c r="AJ2443" s="694"/>
      <c r="AK2443" s="694"/>
      <c r="AL2443" s="694"/>
    </row>
    <row r="2444" spans="1:38" ht="12.75" customHeight="1" x14ac:dyDescent="0.25">
      <c r="A2444" s="694"/>
      <c r="B2444" s="298"/>
      <c r="C2444" s="1302"/>
      <c r="D2444" s="1307" t="s">
        <v>492</v>
      </c>
      <c r="E2444" s="2815" t="str">
        <f>Translations!$B$562</f>
        <v>Баланс на отпадните газове за тази инсталация</v>
      </c>
      <c r="F2444" s="2240"/>
      <c r="G2444" s="2240"/>
      <c r="H2444" s="2240"/>
      <c r="I2444" s="2240"/>
      <c r="J2444" s="2240"/>
      <c r="K2444" s="2240"/>
      <c r="L2444" s="2240"/>
      <c r="M2444" s="2240"/>
      <c r="N2444" s="2811"/>
      <c r="O2444" s="302"/>
      <c r="P2444" s="302"/>
      <c r="Q2444" s="729"/>
      <c r="R2444" s="694"/>
      <c r="S2444" s="729"/>
      <c r="T2444" s="729"/>
      <c r="U2444" s="729"/>
      <c r="V2444" s="729"/>
      <c r="W2444" s="694"/>
      <c r="X2444" s="694"/>
      <c r="Y2444" s="694"/>
      <c r="Z2444" s="694"/>
      <c r="AA2444" s="694"/>
      <c r="AB2444" s="694"/>
      <c r="AC2444" s="694"/>
      <c r="AD2444" s="694"/>
      <c r="AE2444" s="694"/>
      <c r="AF2444" s="694"/>
      <c r="AG2444" s="694"/>
      <c r="AH2444" s="694"/>
      <c r="AI2444" s="694"/>
      <c r="AJ2444" s="694"/>
      <c r="AK2444" s="694"/>
      <c r="AL2444" s="694"/>
    </row>
    <row r="2445" spans="1:38" ht="5.15" customHeight="1" x14ac:dyDescent="0.25">
      <c r="A2445" s="694"/>
      <c r="B2445" s="298"/>
      <c r="C2445" s="1302"/>
      <c r="D2445" s="1306"/>
      <c r="E2445" s="1325"/>
      <c r="F2445" s="1325"/>
      <c r="G2445" s="1325"/>
      <c r="H2445" s="1325"/>
      <c r="I2445" s="1325"/>
      <c r="J2445" s="1325"/>
      <c r="K2445" s="1325"/>
      <c r="L2445" s="1325"/>
      <c r="M2445" s="1325"/>
      <c r="N2445" s="1348"/>
      <c r="O2445" s="302"/>
      <c r="P2445" s="302"/>
      <c r="Q2445" s="729"/>
      <c r="R2445" s="694"/>
      <c r="S2445" s="729"/>
      <c r="T2445" s="729"/>
      <c r="U2445" s="729"/>
      <c r="V2445" s="729"/>
      <c r="W2445" s="694"/>
      <c r="X2445" s="694"/>
      <c r="Y2445" s="694"/>
      <c r="Z2445" s="694"/>
      <c r="AA2445" s="694"/>
      <c r="AB2445" s="694"/>
      <c r="AC2445" s="694"/>
      <c r="AD2445" s="694"/>
      <c r="AE2445" s="694"/>
      <c r="AF2445" s="694"/>
      <c r="AG2445" s="694"/>
      <c r="AH2445" s="694"/>
      <c r="AI2445" s="694"/>
      <c r="AJ2445" s="694"/>
      <c r="AK2445" s="694"/>
      <c r="AL2445" s="694"/>
    </row>
    <row r="2446" spans="1:38" ht="12.75" customHeight="1" x14ac:dyDescent="0.25">
      <c r="A2446" s="694"/>
      <c r="B2446" s="298"/>
      <c r="C2446" s="1302"/>
      <c r="D2446" s="625" t="s">
        <v>6</v>
      </c>
      <c r="E2446" s="2815" t="str">
        <f>Translations!$B$563</f>
        <v>От значение ли са отпадните газове за тази подинсталация?</v>
      </c>
      <c r="F2446" s="2240"/>
      <c r="G2446" s="2240"/>
      <c r="H2446" s="2240"/>
      <c r="I2446" s="2240"/>
      <c r="J2446" s="2240"/>
      <c r="K2446" s="2684"/>
      <c r="L2446" s="83"/>
      <c r="M2446" s="1322"/>
      <c r="N2446" s="1323"/>
      <c r="O2446" s="302"/>
      <c r="P2446" s="158"/>
      <c r="Q2446" s="729"/>
      <c r="R2446" s="694"/>
      <c r="S2446" s="729"/>
      <c r="T2446" s="694"/>
      <c r="U2446" s="694"/>
      <c r="V2446" s="694"/>
      <c r="W2446" s="694"/>
      <c r="X2446" s="694"/>
      <c r="Y2446" s="694"/>
      <c r="Z2446" s="694"/>
      <c r="AA2446" s="694"/>
      <c r="AB2446" s="694"/>
      <c r="AC2446" s="694"/>
      <c r="AD2446" s="694"/>
      <c r="AE2446" s="694"/>
      <c r="AF2446" s="1182" t="s">
        <v>737</v>
      </c>
      <c r="AG2446" s="901" t="b">
        <f>AND(CNTR_ExistSubInstEntries,I2261="")</f>
        <v>0</v>
      </c>
      <c r="AH2446" s="694"/>
      <c r="AI2446" s="694"/>
      <c r="AJ2446" s="694"/>
      <c r="AK2446" s="694"/>
      <c r="AL2446" s="694"/>
    </row>
    <row r="2447" spans="1:38" ht="12.75" customHeight="1" x14ac:dyDescent="0.25">
      <c r="A2447" s="694"/>
      <c r="B2447" s="298"/>
      <c r="C2447" s="1302"/>
      <c r="D2447" s="1306"/>
      <c r="E2447" s="2810" t="str">
        <f>Translations!$B$564</f>
        <v>Ако отговорът е „невярно“, целият раздел ще бъде защрихован в сиво и можете да продължите към следващите точки по-долу.</v>
      </c>
      <c r="F2447" s="2240"/>
      <c r="G2447" s="2240"/>
      <c r="H2447" s="2240"/>
      <c r="I2447" s="2240"/>
      <c r="J2447" s="2240"/>
      <c r="K2447" s="2240"/>
      <c r="L2447" s="2240"/>
      <c r="M2447" s="2240"/>
      <c r="N2447" s="2811"/>
      <c r="O2447" s="302"/>
      <c r="P2447" s="302"/>
      <c r="Q2447" s="729"/>
      <c r="R2447" s="694"/>
      <c r="S2447" s="729"/>
      <c r="T2447" s="694"/>
      <c r="U2447" s="694"/>
      <c r="V2447" s="694"/>
      <c r="W2447" s="694"/>
      <c r="X2447" s="694"/>
      <c r="Y2447" s="694"/>
      <c r="Z2447" s="694"/>
      <c r="AA2447" s="694"/>
      <c r="AB2447" s="694"/>
      <c r="AC2447" s="694"/>
      <c r="AD2447" s="694"/>
      <c r="AE2447" s="694"/>
      <c r="AF2447" s="694"/>
      <c r="AG2447" s="694"/>
      <c r="AH2447" s="694"/>
      <c r="AI2447" s="694"/>
      <c r="AJ2447" s="694"/>
      <c r="AK2447" s="694"/>
      <c r="AL2447" s="694"/>
    </row>
    <row r="2448" spans="1:38" ht="12.75" customHeight="1" x14ac:dyDescent="0.25">
      <c r="A2448" s="694"/>
      <c r="B2448" s="298"/>
      <c r="C2448" s="1302"/>
      <c r="D2448" s="625" t="s">
        <v>7</v>
      </c>
      <c r="E2448" s="2815" t="str">
        <f>Translations!$B$565</f>
        <v>Видове произведени отпадни газове:</v>
      </c>
      <c r="F2448" s="2240"/>
      <c r="G2448" s="2240"/>
      <c r="H2448" s="2684"/>
      <c r="I2448" s="2821"/>
      <c r="J2448" s="2674"/>
      <c r="K2448" s="2674"/>
      <c r="L2448" s="2674"/>
      <c r="M2448" s="2675"/>
      <c r="N2448" s="1323"/>
      <c r="O2448" s="302"/>
      <c r="P2448" s="158"/>
      <c r="Q2448" s="729"/>
      <c r="R2448" s="694"/>
      <c r="S2448" s="729"/>
      <c r="T2448" s="694"/>
      <c r="U2448" s="694"/>
      <c r="V2448" s="694"/>
      <c r="W2448" s="694"/>
      <c r="X2448" s="694"/>
      <c r="Y2448" s="694"/>
      <c r="Z2448" s="694"/>
      <c r="AA2448" s="694"/>
      <c r="AB2448" s="694"/>
      <c r="AC2448" s="1182" t="s">
        <v>737</v>
      </c>
      <c r="AD2448" s="901" t="b">
        <f>OR(AG2446,AND($L2446&lt;&gt;"",$L2446=FALSE))</f>
        <v>0</v>
      </c>
      <c r="AE2448" s="694"/>
      <c r="AF2448" s="694"/>
      <c r="AG2448" s="694"/>
      <c r="AH2448" s="694"/>
      <c r="AI2448" s="694"/>
      <c r="AJ2448" s="694"/>
      <c r="AK2448" s="694"/>
      <c r="AL2448" s="694"/>
    </row>
    <row r="2449" spans="1:38" ht="12.75" customHeight="1" x14ac:dyDescent="0.25">
      <c r="A2449" s="694"/>
      <c r="B2449" s="298"/>
      <c r="C2449" s="1302"/>
      <c r="D2449" s="1306"/>
      <c r="E2449" s="2810" t="str">
        <f>Translations!$B$566</f>
        <v>Можете да изберете да подадете данните в тонове или 1000 Nm3. Мерните единици трябва да съответстват на използваните за долна топлина на изгаряне (NCV) и емисионния фактор по-долу.</v>
      </c>
      <c r="F2449" s="2240"/>
      <c r="G2449" s="2240"/>
      <c r="H2449" s="2240"/>
      <c r="I2449" s="2240"/>
      <c r="J2449" s="2240"/>
      <c r="K2449" s="2240"/>
      <c r="L2449" s="2240"/>
      <c r="M2449" s="2240"/>
      <c r="N2449" s="2811"/>
      <c r="O2449" s="302"/>
      <c r="P2449" s="302"/>
      <c r="Q2449" s="729"/>
      <c r="R2449" s="694"/>
      <c r="S2449" s="729"/>
      <c r="T2449" s="729"/>
      <c r="U2449" s="729"/>
      <c r="V2449" s="729"/>
      <c r="W2449" s="694"/>
      <c r="X2449" s="694"/>
      <c r="Y2449" s="694"/>
      <c r="Z2449" s="694"/>
      <c r="AA2449" s="694"/>
      <c r="AB2449" s="694"/>
      <c r="AC2449" s="694"/>
      <c r="AD2449" s="694"/>
      <c r="AE2449" s="694"/>
      <c r="AF2449" s="694"/>
      <c r="AG2449" s="694"/>
      <c r="AH2449" s="694"/>
      <c r="AI2449" s="694"/>
      <c r="AJ2449" s="694"/>
      <c r="AK2449" s="694"/>
      <c r="AL2449" s="694"/>
    </row>
    <row r="2450" spans="1:38" ht="12.75" customHeight="1" x14ac:dyDescent="0.25">
      <c r="A2450" s="694"/>
      <c r="B2450" s="298"/>
      <c r="C2450" s="1302"/>
      <c r="D2450" s="1306"/>
      <c r="E2450" s="2816" t="str">
        <f>Translations!$B$520</f>
        <v>Посочените тук данни се използват само с цел проверка на съответствието и нямат пряко отражение върху емисиите, които могат да бъдат зададени, или на разпределението на квотите.</v>
      </c>
      <c r="F2450" s="2240"/>
      <c r="G2450" s="2240"/>
      <c r="H2450" s="2240"/>
      <c r="I2450" s="2240"/>
      <c r="J2450" s="2240"/>
      <c r="K2450" s="2240"/>
      <c r="L2450" s="2240"/>
      <c r="M2450" s="2240"/>
      <c r="N2450" s="2811"/>
      <c r="O2450" s="302"/>
      <c r="P2450" s="302"/>
      <c r="Q2450" s="729"/>
      <c r="R2450" s="694"/>
      <c r="S2450" s="729"/>
      <c r="T2450" s="729"/>
      <c r="U2450" s="729"/>
      <c r="V2450" s="729"/>
      <c r="W2450" s="694"/>
      <c r="X2450" s="694"/>
      <c r="Y2450" s="694"/>
      <c r="Z2450" s="694"/>
      <c r="AA2450" s="694"/>
      <c r="AB2450" s="694"/>
      <c r="AC2450" s="694"/>
      <c r="AD2450" s="694"/>
      <c r="AE2450" s="694"/>
      <c r="AF2450" s="694"/>
      <c r="AG2450" s="694"/>
      <c r="AH2450" s="694"/>
      <c r="AI2450" s="694"/>
      <c r="AJ2450" s="694"/>
      <c r="AK2450" s="694"/>
      <c r="AL2450" s="694"/>
    </row>
    <row r="2451" spans="1:38" ht="12.75" customHeight="1" thickBot="1" x14ac:dyDescent="0.3">
      <c r="A2451" s="694"/>
      <c r="B2451" s="298"/>
      <c r="C2451" s="1302"/>
      <c r="D2451" s="1306"/>
      <c r="E2451" s="1317"/>
      <c r="F2451" s="1318"/>
      <c r="G2451" s="1309" t="str">
        <f>EUconst_Unit</f>
        <v>Единица мярка</v>
      </c>
      <c r="H2451" s="629">
        <f t="shared" ref="H2451:N2451" si="3525">H$2831</f>
        <v>2024</v>
      </c>
      <c r="I2451" s="1310">
        <f t="shared" si="3525"/>
        <v>2025</v>
      </c>
      <c r="J2451" s="1311">
        <f t="shared" si="3525"/>
        <v>2026</v>
      </c>
      <c r="K2451" s="629">
        <f t="shared" si="3525"/>
        <v>2027</v>
      </c>
      <c r="L2451" s="629">
        <f t="shared" si="3525"/>
        <v>2028</v>
      </c>
      <c r="M2451" s="629">
        <f t="shared" si="3525"/>
        <v>2029</v>
      </c>
      <c r="N2451" s="1312">
        <f t="shared" si="3525"/>
        <v>2030</v>
      </c>
      <c r="O2451" s="302"/>
      <c r="P2451" s="302"/>
      <c r="Q2451" s="729"/>
      <c r="R2451" s="694"/>
      <c r="S2451" s="729"/>
      <c r="T2451" s="729"/>
      <c r="U2451" s="729"/>
      <c r="V2451" s="729"/>
      <c r="W2451" s="694"/>
      <c r="X2451" s="694"/>
      <c r="Y2451" s="694"/>
      <c r="Z2451" s="694"/>
      <c r="AA2451" s="694"/>
      <c r="AB2451" s="694"/>
      <c r="AC2451" s="1178">
        <f t="shared" ref="AC2451" si="3526">H$20</f>
        <v>2024</v>
      </c>
      <c r="AD2451" s="1178">
        <f t="shared" ref="AD2451" si="3527">I$20</f>
        <v>2025</v>
      </c>
      <c r="AE2451" s="1178">
        <f t="shared" ref="AE2451" si="3528">J$20</f>
        <v>2026</v>
      </c>
      <c r="AF2451" s="1178">
        <f t="shared" ref="AF2451" si="3529">K$20</f>
        <v>2027</v>
      </c>
      <c r="AG2451" s="1178">
        <f t="shared" ref="AG2451" si="3530">L$20</f>
        <v>2028</v>
      </c>
      <c r="AH2451" s="1178">
        <f t="shared" ref="AH2451" si="3531">M$20</f>
        <v>2029</v>
      </c>
      <c r="AI2451" s="1178">
        <f t="shared" ref="AI2451" si="3532">N$20</f>
        <v>2030</v>
      </c>
      <c r="AJ2451" s="694"/>
      <c r="AK2451" s="694"/>
      <c r="AL2451" s="694"/>
    </row>
    <row r="2452" spans="1:38" ht="12.75" customHeight="1" x14ac:dyDescent="0.25">
      <c r="A2452" s="694"/>
      <c r="B2452" s="298"/>
      <c r="C2452" s="1302"/>
      <c r="D2452" s="625" t="s">
        <v>8</v>
      </c>
      <c r="E2452" s="2818" t="str">
        <f>Translations!$B$567</f>
        <v>Произведени количества</v>
      </c>
      <c r="F2452" s="2701"/>
      <c r="G2452" s="145"/>
      <c r="H2452" s="129"/>
      <c r="I2452" s="130"/>
      <c r="J2452" s="131"/>
      <c r="K2452" s="129"/>
      <c r="L2452" s="129"/>
      <c r="M2452" s="129"/>
      <c r="N2452" s="132"/>
      <c r="O2452" s="302"/>
      <c r="P2452" s="158"/>
      <c r="Q2452" s="729"/>
      <c r="R2452" s="694"/>
      <c r="S2452" s="729"/>
      <c r="T2452" s="729"/>
      <c r="U2452" s="729"/>
      <c r="V2452" s="729"/>
      <c r="W2452" s="694"/>
      <c r="X2452" s="694"/>
      <c r="Y2452" s="694"/>
      <c r="Z2452" s="694"/>
      <c r="AA2452" s="694"/>
      <c r="AB2452" s="1182" t="s">
        <v>737</v>
      </c>
      <c r="AC2452" s="901" t="b">
        <f>OR(AND($L2446&lt;&gt;"",$L2446=FALSE),AC2308)</f>
        <v>0</v>
      </c>
      <c r="AD2452" s="982" t="b">
        <f t="shared" ref="AD2452:AI2452" si="3533">OR(AND($L2446&lt;&gt;"",$L2446=FALSE),AD2308)</f>
        <v>0</v>
      </c>
      <c r="AE2452" s="982" t="b">
        <f t="shared" si="3533"/>
        <v>0</v>
      </c>
      <c r="AF2452" s="982" t="b">
        <f t="shared" si="3533"/>
        <v>0</v>
      </c>
      <c r="AG2452" s="982" t="b">
        <f t="shared" si="3533"/>
        <v>0</v>
      </c>
      <c r="AH2452" s="982" t="b">
        <f t="shared" si="3533"/>
        <v>0</v>
      </c>
      <c r="AI2452" s="982" t="b">
        <f t="shared" si="3533"/>
        <v>0</v>
      </c>
      <c r="AJ2452" s="1174" t="s">
        <v>2039</v>
      </c>
      <c r="AK2452" s="1176" t="str">
        <f>IF(AND(CNTR_ExistSubInstEntries,MSconst_RequireSubAttrEmissions,COUNTIFS(AC2452:AI2452,FALSE,H2452:N2452,"")&gt;0),EUconst_Error&amp;"BM"&amp;$Q2261,"")</f>
        <v/>
      </c>
      <c r="AL2452" s="694"/>
    </row>
    <row r="2453" spans="1:38" ht="12.75" customHeight="1" x14ac:dyDescent="0.25">
      <c r="A2453" s="694"/>
      <c r="B2453" s="298"/>
      <c r="C2453" s="1302"/>
      <c r="D2453" s="625" t="s">
        <v>18</v>
      </c>
      <c r="E2453" s="2819" t="str">
        <f>Translations!$B$296</f>
        <v>Долна топлина на изгаряне</v>
      </c>
      <c r="F2453" s="2705"/>
      <c r="G2453" s="1349" t="str">
        <f>IF(ISBLANK(G2452),EUconst_GJperUnit,INDEX(EUconst_GJperTorKNm3,MATCH(G2452,EUconst_TonnesOrkNm3pa,0)))</f>
        <v>GJ / Единица мярка</v>
      </c>
      <c r="H2453" s="137"/>
      <c r="I2453" s="138"/>
      <c r="J2453" s="139"/>
      <c r="K2453" s="137"/>
      <c r="L2453" s="137"/>
      <c r="M2453" s="137"/>
      <c r="N2453" s="140"/>
      <c r="O2453" s="302"/>
      <c r="P2453" s="158"/>
      <c r="Q2453" s="694"/>
      <c r="R2453" s="694"/>
      <c r="S2453" s="729"/>
      <c r="T2453" s="729"/>
      <c r="U2453" s="729"/>
      <c r="V2453" s="729"/>
      <c r="W2453" s="729"/>
      <c r="X2453" s="729"/>
      <c r="Y2453" s="729"/>
      <c r="Z2453" s="729"/>
      <c r="AA2453" s="694"/>
      <c r="AB2453" s="694"/>
      <c r="AC2453" s="982" t="b">
        <f>AC2452</f>
        <v>0</v>
      </c>
      <c r="AD2453" s="982" t="b">
        <f t="shared" ref="AD2453:AI2453" si="3534">AD2452</f>
        <v>0</v>
      </c>
      <c r="AE2453" s="982" t="b">
        <f t="shared" si="3534"/>
        <v>0</v>
      </c>
      <c r="AF2453" s="982" t="b">
        <f t="shared" si="3534"/>
        <v>0</v>
      </c>
      <c r="AG2453" s="982" t="b">
        <f t="shared" si="3534"/>
        <v>0</v>
      </c>
      <c r="AH2453" s="982" t="b">
        <f t="shared" si="3534"/>
        <v>0</v>
      </c>
      <c r="AI2453" s="982" t="b">
        <f t="shared" si="3534"/>
        <v>0</v>
      </c>
      <c r="AJ2453" s="1174" t="s">
        <v>2039</v>
      </c>
      <c r="AK2453" s="1176" t="str">
        <f>IF(AND(CNTR_ExistSubInstEntries,MSconst_RequireSubAttrEmissions,COUNTIFS(AC2453:AI2453,FALSE,H2453:N2453,"")&gt;0),EUconst_Error&amp;"BM"&amp;$Q2261,"")</f>
        <v/>
      </c>
      <c r="AL2453" s="694"/>
    </row>
    <row r="2454" spans="1:38" ht="12.75" customHeight="1" x14ac:dyDescent="0.25">
      <c r="A2454" s="694"/>
      <c r="B2454" s="298"/>
      <c r="C2454" s="1302"/>
      <c r="D2454" s="625" t="s">
        <v>810</v>
      </c>
      <c r="E2454" s="2820" t="str">
        <f>Translations!$B$568</f>
        <v>Произведен отпаден газ</v>
      </c>
      <c r="F2454" s="2258"/>
      <c r="G2454" s="1319" t="str">
        <f>EUconst_TJpa</f>
        <v>TJ / година</v>
      </c>
      <c r="H2454" s="1350" t="str">
        <f t="shared" ref="H2454:N2454" si="3535">IF(COUNT(H2452:H2453)=2,H2452*H2453/1000,"")</f>
        <v/>
      </c>
      <c r="I2454" s="1351" t="str">
        <f t="shared" si="3535"/>
        <v/>
      </c>
      <c r="J2454" s="1352" t="str">
        <f t="shared" si="3535"/>
        <v/>
      </c>
      <c r="K2454" s="1350" t="str">
        <f t="shared" si="3535"/>
        <v/>
      </c>
      <c r="L2454" s="1350" t="str">
        <f t="shared" si="3535"/>
        <v/>
      </c>
      <c r="M2454" s="1350" t="str">
        <f t="shared" si="3535"/>
        <v/>
      </c>
      <c r="N2454" s="1353" t="str">
        <f t="shared" si="3535"/>
        <v/>
      </c>
      <c r="O2454" s="302"/>
      <c r="P2454" s="302"/>
      <c r="Q2454" s="1190" t="str">
        <f>EUconst_CNTR_WGProduced &amp; I2261</f>
        <v>WasteGasProd_</v>
      </c>
      <c r="R2454" s="694"/>
      <c r="S2454" s="729"/>
      <c r="T2454" s="729"/>
      <c r="U2454" s="729"/>
      <c r="V2454" s="729"/>
      <c r="W2454" s="729"/>
      <c r="X2454" s="729"/>
      <c r="Y2454" s="729"/>
      <c r="Z2454" s="729"/>
      <c r="AA2454" s="694"/>
      <c r="AB2454" s="694"/>
      <c r="AC2454" s="694"/>
      <c r="AD2454" s="694"/>
      <c r="AE2454" s="694"/>
      <c r="AF2454" s="694"/>
      <c r="AG2454" s="694"/>
      <c r="AH2454" s="694"/>
      <c r="AI2454" s="694"/>
      <c r="AJ2454" s="694"/>
      <c r="AK2454" s="694"/>
      <c r="AL2454" s="694"/>
    </row>
    <row r="2455" spans="1:38" ht="12.75" customHeight="1" x14ac:dyDescent="0.25">
      <c r="A2455" s="694"/>
      <c r="B2455" s="298"/>
      <c r="C2455" s="1302"/>
      <c r="D2455" s="625" t="s">
        <v>811</v>
      </c>
      <c r="E2455" s="2820" t="str">
        <f>Translations!$B$569</f>
        <v>Специфичен EF (произведен отпаден газ)</v>
      </c>
      <c r="F2455" s="2258"/>
      <c r="G2455" s="1319" t="str">
        <f>EUconst_tCO2pTJ</f>
        <v>t CO2 / TJ</v>
      </c>
      <c r="H2455" s="56"/>
      <c r="I2455" s="115"/>
      <c r="J2455" s="118"/>
      <c r="K2455" s="56"/>
      <c r="L2455" s="56"/>
      <c r="M2455" s="56"/>
      <c r="N2455" s="121"/>
      <c r="O2455" s="302"/>
      <c r="P2455" s="158"/>
      <c r="Q2455" s="1190" t="str">
        <f>EUconst_CNTR_WGProducedEF &amp; I2261</f>
        <v>WasteGasProdEF_</v>
      </c>
      <c r="R2455" s="694"/>
      <c r="S2455" s="729"/>
      <c r="T2455" s="729"/>
      <c r="U2455" s="729"/>
      <c r="V2455" s="729"/>
      <c r="W2455" s="729"/>
      <c r="X2455" s="729"/>
      <c r="Y2455" s="729"/>
      <c r="Z2455" s="729"/>
      <c r="AA2455" s="694"/>
      <c r="AB2455" s="1182" t="s">
        <v>737</v>
      </c>
      <c r="AC2455" s="982" t="b">
        <f>AC2453</f>
        <v>0</v>
      </c>
      <c r="AD2455" s="982" t="b">
        <f t="shared" ref="AD2455:AI2455" si="3536">AD2453</f>
        <v>0</v>
      </c>
      <c r="AE2455" s="982" t="b">
        <f t="shared" si="3536"/>
        <v>0</v>
      </c>
      <c r="AF2455" s="982" t="b">
        <f t="shared" si="3536"/>
        <v>0</v>
      </c>
      <c r="AG2455" s="982" t="b">
        <f t="shared" si="3536"/>
        <v>0</v>
      </c>
      <c r="AH2455" s="982" t="b">
        <f t="shared" si="3536"/>
        <v>0</v>
      </c>
      <c r="AI2455" s="982" t="b">
        <f t="shared" si="3536"/>
        <v>0</v>
      </c>
      <c r="AJ2455" s="1174" t="s">
        <v>2039</v>
      </c>
      <c r="AK2455" s="1176" t="str">
        <f>IF(AND(CNTR_ExistSubInstEntries,MSconst_RequireSubAttrEmissions,COUNTIFS(AC2455:AI2455,FALSE,H2455:N2455,"")&gt;0),EUconst_Error&amp;"BM"&amp;$Q2261,"")</f>
        <v/>
      </c>
      <c r="AL2455" s="694"/>
    </row>
    <row r="2456" spans="1:38" ht="12.75" customHeight="1" x14ac:dyDescent="0.25">
      <c r="A2456" s="694"/>
      <c r="B2456" s="298"/>
      <c r="C2456" s="1302"/>
      <c r="D2456" s="1306"/>
      <c r="E2456" s="1306"/>
      <c r="F2456" s="1306"/>
      <c r="G2456" s="1306"/>
      <c r="H2456" s="1354"/>
      <c r="I2456" s="1306"/>
      <c r="J2456" s="1306"/>
      <c r="K2456" s="1306"/>
      <c r="L2456" s="1306"/>
      <c r="M2456" s="626"/>
      <c r="N2456" s="1316"/>
      <c r="O2456" s="302"/>
      <c r="P2456" s="302"/>
      <c r="Q2456" s="729"/>
      <c r="R2456" s="694"/>
      <c r="S2456" s="729"/>
      <c r="T2456" s="729"/>
      <c r="U2456" s="729"/>
      <c r="V2456" s="729"/>
      <c r="W2456" s="729"/>
      <c r="X2456" s="729"/>
      <c r="Y2456" s="729"/>
      <c r="Z2456" s="729"/>
      <c r="AA2456" s="694"/>
      <c r="AB2456" s="694"/>
      <c r="AC2456" s="694"/>
      <c r="AD2456" s="694"/>
      <c r="AE2456" s="694"/>
      <c r="AF2456" s="694"/>
      <c r="AG2456" s="694"/>
      <c r="AH2456" s="694"/>
      <c r="AI2456" s="694"/>
      <c r="AJ2456" s="694"/>
      <c r="AK2456" s="694"/>
      <c r="AL2456" s="694"/>
    </row>
    <row r="2457" spans="1:38" ht="12.75" customHeight="1" x14ac:dyDescent="0.25">
      <c r="A2457" s="694"/>
      <c r="B2457" s="298"/>
      <c r="C2457" s="1302"/>
      <c r="D2457" s="625" t="s">
        <v>812</v>
      </c>
      <c r="E2457" s="2815" t="str">
        <f>Translations!$B$570</f>
        <v>Видове консумирани отпадни газове:</v>
      </c>
      <c r="F2457" s="2240"/>
      <c r="G2457" s="2240"/>
      <c r="H2457" s="2684"/>
      <c r="I2457" s="2821"/>
      <c r="J2457" s="2674"/>
      <c r="K2457" s="2674"/>
      <c r="L2457" s="2674"/>
      <c r="M2457" s="2675"/>
      <c r="N2457" s="1323"/>
      <c r="O2457" s="302"/>
      <c r="P2457" s="158"/>
      <c r="Q2457" s="729"/>
      <c r="R2457" s="694"/>
      <c r="S2457" s="729"/>
      <c r="T2457" s="729"/>
      <c r="U2457" s="729"/>
      <c r="V2457" s="729"/>
      <c r="W2457" s="729"/>
      <c r="X2457" s="729"/>
      <c r="Y2457" s="729"/>
      <c r="Z2457" s="729"/>
      <c r="AA2457" s="694"/>
      <c r="AB2457" s="694"/>
      <c r="AC2457" s="1182" t="s">
        <v>737</v>
      </c>
      <c r="AD2457" s="982" t="b">
        <f>AD2448</f>
        <v>0</v>
      </c>
      <c r="AE2457" s="694"/>
      <c r="AF2457" s="694"/>
      <c r="AG2457" s="694"/>
      <c r="AH2457" s="694"/>
      <c r="AI2457" s="694"/>
      <c r="AJ2457" s="694"/>
      <c r="AK2457" s="694"/>
      <c r="AL2457" s="694"/>
    </row>
    <row r="2458" spans="1:38" ht="25.5" customHeight="1" x14ac:dyDescent="0.25">
      <c r="A2458" s="694"/>
      <c r="B2458" s="298"/>
      <c r="C2458" s="1302"/>
      <c r="D2458" s="625"/>
      <c r="E2458" s="2810" t="str">
        <f>Translations!$B$571</f>
        <v>Това включва всички видове отпадни газове, които се консумират от тази подинсталация при производството на измерима топлинна енергия, неизмерима топлинна енергия (включително необходимото за безопасността изгаряне във факел) или механична енергия (различна от тази за електропроизводство). Количествата, резултат от изгаряне във факел, различни от необходимото за безопасността изгаряне във факел, се отчитат в следващата точка по-долу.</v>
      </c>
      <c r="F2458" s="2240"/>
      <c r="G2458" s="2240"/>
      <c r="H2458" s="2240"/>
      <c r="I2458" s="2240"/>
      <c r="J2458" s="2240"/>
      <c r="K2458" s="2240"/>
      <c r="L2458" s="2240"/>
      <c r="M2458" s="2240"/>
      <c r="N2458" s="2811"/>
      <c r="O2458" s="302"/>
      <c r="P2458" s="302"/>
      <c r="Q2458" s="729"/>
      <c r="R2458" s="694"/>
      <c r="S2458" s="729"/>
      <c r="T2458" s="729"/>
      <c r="U2458" s="729"/>
      <c r="V2458" s="729"/>
      <c r="W2458" s="729"/>
      <c r="X2458" s="729"/>
      <c r="Y2458" s="729"/>
      <c r="Z2458" s="729"/>
      <c r="AA2458" s="694"/>
      <c r="AB2458" s="694"/>
      <c r="AC2458" s="694"/>
      <c r="AD2458" s="694"/>
      <c r="AE2458" s="694"/>
      <c r="AF2458" s="694"/>
      <c r="AG2458" s="694"/>
      <c r="AH2458" s="694"/>
      <c r="AI2458" s="694"/>
      <c r="AJ2458" s="694"/>
      <c r="AK2458" s="694"/>
      <c r="AL2458" s="694"/>
    </row>
    <row r="2459" spans="1:38" ht="12.75" customHeight="1" x14ac:dyDescent="0.25">
      <c r="A2459" s="694"/>
      <c r="B2459" s="298"/>
      <c r="C2459" s="1302"/>
      <c r="D2459" s="1306"/>
      <c r="E2459" s="2816" t="str">
        <f>Translations!$B$520</f>
        <v>Посочените тук данни се използват само с цел проверка на съответствието и нямат пряко отражение върху емисиите, които могат да бъдат зададени, или на разпределението на квотите.</v>
      </c>
      <c r="F2459" s="2240"/>
      <c r="G2459" s="2240"/>
      <c r="H2459" s="2240"/>
      <c r="I2459" s="2240"/>
      <c r="J2459" s="2240"/>
      <c r="K2459" s="2240"/>
      <c r="L2459" s="2240"/>
      <c r="M2459" s="2240"/>
      <c r="N2459" s="2811"/>
      <c r="O2459" s="302"/>
      <c r="P2459" s="302"/>
      <c r="Q2459" s="729"/>
      <c r="R2459" s="694"/>
      <c r="S2459" s="729"/>
      <c r="T2459" s="729"/>
      <c r="U2459" s="729"/>
      <c r="V2459" s="729"/>
      <c r="W2459" s="729"/>
      <c r="X2459" s="729"/>
      <c r="Y2459" s="729"/>
      <c r="Z2459" s="729"/>
      <c r="AA2459" s="694"/>
      <c r="AB2459" s="694"/>
      <c r="AC2459" s="694"/>
      <c r="AD2459" s="694"/>
      <c r="AE2459" s="694"/>
      <c r="AF2459" s="694"/>
      <c r="AG2459" s="694"/>
      <c r="AH2459" s="694"/>
      <c r="AI2459" s="694"/>
      <c r="AJ2459" s="694"/>
      <c r="AK2459" s="694"/>
      <c r="AL2459" s="694"/>
    </row>
    <row r="2460" spans="1:38" ht="12.75" customHeight="1" thickBot="1" x14ac:dyDescent="0.3">
      <c r="A2460" s="694"/>
      <c r="B2460" s="298"/>
      <c r="C2460" s="1302"/>
      <c r="D2460" s="1306"/>
      <c r="E2460" s="1317"/>
      <c r="F2460" s="1318"/>
      <c r="G2460" s="1309" t="str">
        <f>EUconst_Unit</f>
        <v>Единица мярка</v>
      </c>
      <c r="H2460" s="629">
        <f t="shared" ref="H2460:N2460" si="3537">H$2831</f>
        <v>2024</v>
      </c>
      <c r="I2460" s="1310">
        <f t="shared" si="3537"/>
        <v>2025</v>
      </c>
      <c r="J2460" s="1311">
        <f t="shared" si="3537"/>
        <v>2026</v>
      </c>
      <c r="K2460" s="629">
        <f t="shared" si="3537"/>
        <v>2027</v>
      </c>
      <c r="L2460" s="629">
        <f t="shared" si="3537"/>
        <v>2028</v>
      </c>
      <c r="M2460" s="629">
        <f t="shared" si="3537"/>
        <v>2029</v>
      </c>
      <c r="N2460" s="1312">
        <f t="shared" si="3537"/>
        <v>2030</v>
      </c>
      <c r="O2460" s="302"/>
      <c r="P2460" s="302"/>
      <c r="Q2460" s="729"/>
      <c r="R2460" s="694"/>
      <c r="S2460" s="729"/>
      <c r="T2460" s="729"/>
      <c r="U2460" s="729"/>
      <c r="V2460" s="729"/>
      <c r="W2460" s="729"/>
      <c r="X2460" s="729"/>
      <c r="Y2460" s="729"/>
      <c r="Z2460" s="729"/>
      <c r="AA2460" s="694"/>
      <c r="AB2460" s="694"/>
      <c r="AC2460" s="1178">
        <f t="shared" ref="AC2460" si="3538">H$20</f>
        <v>2024</v>
      </c>
      <c r="AD2460" s="1178">
        <f t="shared" ref="AD2460" si="3539">I$20</f>
        <v>2025</v>
      </c>
      <c r="AE2460" s="1178">
        <f t="shared" ref="AE2460" si="3540">J$20</f>
        <v>2026</v>
      </c>
      <c r="AF2460" s="1178">
        <f t="shared" ref="AF2460" si="3541">K$20</f>
        <v>2027</v>
      </c>
      <c r="AG2460" s="1178">
        <f t="shared" ref="AG2460" si="3542">L$20</f>
        <v>2028</v>
      </c>
      <c r="AH2460" s="1178">
        <f t="shared" ref="AH2460" si="3543">M$20</f>
        <v>2029</v>
      </c>
      <c r="AI2460" s="1178">
        <f t="shared" ref="AI2460" si="3544">N$20</f>
        <v>2030</v>
      </c>
      <c r="AJ2460" s="694"/>
      <c r="AK2460" s="694"/>
      <c r="AL2460" s="694"/>
    </row>
    <row r="2461" spans="1:38" ht="12.75" customHeight="1" x14ac:dyDescent="0.25">
      <c r="A2461" s="694"/>
      <c r="B2461" s="298"/>
      <c r="C2461" s="1302"/>
      <c r="D2461" s="625" t="s">
        <v>813</v>
      </c>
      <c r="E2461" s="2818" t="str">
        <f>Translations!$B$572</f>
        <v>Консумирани количества</v>
      </c>
      <c r="F2461" s="2701"/>
      <c r="G2461" s="145"/>
      <c r="H2461" s="129"/>
      <c r="I2461" s="130"/>
      <c r="J2461" s="131"/>
      <c r="K2461" s="129"/>
      <c r="L2461" s="129"/>
      <c r="M2461" s="129"/>
      <c r="N2461" s="132"/>
      <c r="O2461" s="302"/>
      <c r="P2461" s="158"/>
      <c r="Q2461" s="729"/>
      <c r="R2461" s="694"/>
      <c r="S2461" s="729"/>
      <c r="T2461" s="729"/>
      <c r="U2461" s="729"/>
      <c r="V2461" s="729"/>
      <c r="W2461" s="729"/>
      <c r="X2461" s="729"/>
      <c r="Y2461" s="729"/>
      <c r="Z2461" s="729"/>
      <c r="AA2461" s="694"/>
      <c r="AB2461" s="1182" t="s">
        <v>737</v>
      </c>
      <c r="AC2461" s="982" t="b">
        <f>AC2452</f>
        <v>0</v>
      </c>
      <c r="AD2461" s="982" t="b">
        <f t="shared" ref="AD2461:AI2461" si="3545">AD2452</f>
        <v>0</v>
      </c>
      <c r="AE2461" s="982" t="b">
        <f t="shared" si="3545"/>
        <v>0</v>
      </c>
      <c r="AF2461" s="982" t="b">
        <f t="shared" si="3545"/>
        <v>0</v>
      </c>
      <c r="AG2461" s="982" t="b">
        <f t="shared" si="3545"/>
        <v>0</v>
      </c>
      <c r="AH2461" s="982" t="b">
        <f t="shared" si="3545"/>
        <v>0</v>
      </c>
      <c r="AI2461" s="982" t="b">
        <f t="shared" si="3545"/>
        <v>0</v>
      </c>
      <c r="AJ2461" s="1174" t="s">
        <v>2039</v>
      </c>
      <c r="AK2461" s="1176" t="str">
        <f>IF(AND(CNTR_ExistSubInstEntries,MSconst_RequireSubAttrEmissions,COUNTIFS(AC2461:AI2461,FALSE,H2461:N2461,"")&gt;0),EUconst_Error&amp;"BM"&amp;$Q2261,"")</f>
        <v/>
      </c>
      <c r="AL2461" s="694"/>
    </row>
    <row r="2462" spans="1:38" ht="12.75" customHeight="1" x14ac:dyDescent="0.25">
      <c r="A2462" s="694"/>
      <c r="B2462" s="298"/>
      <c r="C2462" s="1302"/>
      <c r="D2462" s="625" t="s">
        <v>814</v>
      </c>
      <c r="E2462" s="2819" t="str">
        <f>Translations!$B$296</f>
        <v>Долна топлина на изгаряне</v>
      </c>
      <c r="F2462" s="2705"/>
      <c r="G2462" s="1349" t="str">
        <f>IF(ISBLANK(G2461),EUconst_GJperUnit,INDEX(EUconst_GJperTorKNm3,MATCH(G2461,EUconst_TonnesOrkNm3pa,0)))</f>
        <v>GJ / Единица мярка</v>
      </c>
      <c r="H2462" s="137"/>
      <c r="I2462" s="138"/>
      <c r="J2462" s="139"/>
      <c r="K2462" s="137"/>
      <c r="L2462" s="137"/>
      <c r="M2462" s="137"/>
      <c r="N2462" s="140"/>
      <c r="O2462" s="302"/>
      <c r="P2462" s="158"/>
      <c r="Q2462" s="694"/>
      <c r="R2462" s="694"/>
      <c r="S2462" s="729"/>
      <c r="T2462" s="729"/>
      <c r="U2462" s="729"/>
      <c r="V2462" s="729"/>
      <c r="W2462" s="729"/>
      <c r="X2462" s="729"/>
      <c r="Y2462" s="729"/>
      <c r="Z2462" s="729"/>
      <c r="AA2462" s="694"/>
      <c r="AB2462" s="694"/>
      <c r="AC2462" s="982" t="b">
        <f>AC2461</f>
        <v>0</v>
      </c>
      <c r="AD2462" s="982" t="b">
        <f t="shared" ref="AD2462:AI2462" si="3546">AD2461</f>
        <v>0</v>
      </c>
      <c r="AE2462" s="982" t="b">
        <f t="shared" si="3546"/>
        <v>0</v>
      </c>
      <c r="AF2462" s="982" t="b">
        <f t="shared" si="3546"/>
        <v>0</v>
      </c>
      <c r="AG2462" s="982" t="b">
        <f t="shared" si="3546"/>
        <v>0</v>
      </c>
      <c r="AH2462" s="982" t="b">
        <f t="shared" si="3546"/>
        <v>0</v>
      </c>
      <c r="AI2462" s="982" t="b">
        <f t="shared" si="3546"/>
        <v>0</v>
      </c>
      <c r="AJ2462" s="1174" t="s">
        <v>2039</v>
      </c>
      <c r="AK2462" s="1176" t="str">
        <f>IF(AND(CNTR_ExistSubInstEntries,MSconst_RequireSubAttrEmissions,COUNTIFS(AC2462:AI2462,FALSE,H2462:N2462,"")&gt;0),EUconst_Error&amp;"BM"&amp;$Q2261,"")</f>
        <v/>
      </c>
      <c r="AL2462" s="694"/>
    </row>
    <row r="2463" spans="1:38" ht="12.75" customHeight="1" x14ac:dyDescent="0.25">
      <c r="A2463" s="694"/>
      <c r="B2463" s="298"/>
      <c r="C2463" s="1302"/>
      <c r="D2463" s="625" t="s">
        <v>61</v>
      </c>
      <c r="E2463" s="2820" t="str">
        <f>Translations!$B$573</f>
        <v>Консумиран отпаден газ</v>
      </c>
      <c r="F2463" s="2258"/>
      <c r="G2463" s="1319" t="str">
        <f>EUconst_TJpa</f>
        <v>TJ / година</v>
      </c>
      <c r="H2463" s="1350" t="str">
        <f t="shared" ref="H2463:N2463" si="3547">IF(COUNT(H2461:H2462)=2,H2461*H2462/1000,"")</f>
        <v/>
      </c>
      <c r="I2463" s="1351" t="str">
        <f t="shared" si="3547"/>
        <v/>
      </c>
      <c r="J2463" s="1352" t="str">
        <f t="shared" si="3547"/>
        <v/>
      </c>
      <c r="K2463" s="1350" t="str">
        <f t="shared" si="3547"/>
        <v/>
      </c>
      <c r="L2463" s="1350" t="str">
        <f t="shared" si="3547"/>
        <v/>
      </c>
      <c r="M2463" s="1350" t="str">
        <f t="shared" si="3547"/>
        <v/>
      </c>
      <c r="N2463" s="1353" t="str">
        <f t="shared" si="3547"/>
        <v/>
      </c>
      <c r="O2463" s="302"/>
      <c r="P2463" s="302"/>
      <c r="Q2463" s="1190" t="str">
        <f>EUconst_CNTR_WGConsumed &amp; I2261</f>
        <v>WasteGasCons_</v>
      </c>
      <c r="R2463" s="694"/>
      <c r="S2463" s="729"/>
      <c r="T2463" s="729"/>
      <c r="U2463" s="729"/>
      <c r="V2463" s="729"/>
      <c r="W2463" s="729"/>
      <c r="X2463" s="729"/>
      <c r="Y2463" s="729"/>
      <c r="Z2463" s="729"/>
      <c r="AA2463" s="694"/>
      <c r="AB2463" s="694"/>
      <c r="AC2463" s="694"/>
      <c r="AD2463" s="694"/>
      <c r="AE2463" s="694"/>
      <c r="AF2463" s="694"/>
      <c r="AG2463" s="694"/>
      <c r="AH2463" s="694"/>
      <c r="AI2463" s="694"/>
      <c r="AJ2463" s="694"/>
      <c r="AK2463" s="694"/>
      <c r="AL2463" s="694"/>
    </row>
    <row r="2464" spans="1:38" ht="12.75" customHeight="1" x14ac:dyDescent="0.25">
      <c r="A2464" s="694"/>
      <c r="B2464" s="298"/>
      <c r="C2464" s="1302"/>
      <c r="D2464" s="625" t="s">
        <v>62</v>
      </c>
      <c r="E2464" s="2820" t="str">
        <f>Translations!$B$574</f>
        <v>Специфичен EF (консумиран отпаден газ)</v>
      </c>
      <c r="F2464" s="2258"/>
      <c r="G2464" s="1319" t="str">
        <f>EUconst_tCO2pTJ</f>
        <v>t CO2 / TJ</v>
      </c>
      <c r="H2464" s="56"/>
      <c r="I2464" s="115"/>
      <c r="J2464" s="118"/>
      <c r="K2464" s="56"/>
      <c r="L2464" s="56"/>
      <c r="M2464" s="56"/>
      <c r="N2464" s="121"/>
      <c r="O2464" s="302"/>
      <c r="P2464" s="158"/>
      <c r="Q2464" s="1190" t="str">
        <f>EUconst_CNTR_WGConsumedEF &amp; I2261</f>
        <v>WasteGasConsEF_</v>
      </c>
      <c r="R2464" s="694"/>
      <c r="S2464" s="729"/>
      <c r="T2464" s="729"/>
      <c r="U2464" s="729"/>
      <c r="V2464" s="729"/>
      <c r="W2464" s="729"/>
      <c r="X2464" s="729"/>
      <c r="Y2464" s="729"/>
      <c r="Z2464" s="729"/>
      <c r="AA2464" s="694"/>
      <c r="AB2464" s="1182" t="s">
        <v>737</v>
      </c>
      <c r="AC2464" s="982" t="b">
        <f>AC2462</f>
        <v>0</v>
      </c>
      <c r="AD2464" s="982" t="b">
        <f t="shared" ref="AD2464:AI2464" si="3548">AD2462</f>
        <v>0</v>
      </c>
      <c r="AE2464" s="982" t="b">
        <f t="shared" si="3548"/>
        <v>0</v>
      </c>
      <c r="AF2464" s="982" t="b">
        <f t="shared" si="3548"/>
        <v>0</v>
      </c>
      <c r="AG2464" s="982" t="b">
        <f t="shared" si="3548"/>
        <v>0</v>
      </c>
      <c r="AH2464" s="982" t="b">
        <f t="shared" si="3548"/>
        <v>0</v>
      </c>
      <c r="AI2464" s="982" t="b">
        <f t="shared" si="3548"/>
        <v>0</v>
      </c>
      <c r="AJ2464" s="1174" t="s">
        <v>2039</v>
      </c>
      <c r="AK2464" s="1176" t="str">
        <f>IF(AND(CNTR_ExistSubInstEntries,MSconst_RequireSubAttrEmissions,COUNTIFS(AC2464:AI2464,FALSE,H2464:N2464,"")&gt;0),EUconst_Error&amp;"BM"&amp;$Q2261,"")</f>
        <v/>
      </c>
      <c r="AL2464" s="694"/>
    </row>
    <row r="2465" spans="1:38" ht="12.75" customHeight="1" x14ac:dyDescent="0.25">
      <c r="A2465" s="694"/>
      <c r="B2465" s="298"/>
      <c r="C2465" s="1302"/>
      <c r="D2465" s="1306"/>
      <c r="E2465" s="1306"/>
      <c r="F2465" s="1306"/>
      <c r="G2465" s="1306"/>
      <c r="H2465" s="1354"/>
      <c r="I2465" s="1306"/>
      <c r="J2465" s="1306"/>
      <c r="K2465" s="1306"/>
      <c r="L2465" s="1306"/>
      <c r="M2465" s="626"/>
      <c r="N2465" s="1316"/>
      <c r="O2465" s="302"/>
      <c r="P2465" s="302"/>
      <c r="Q2465" s="729"/>
      <c r="R2465" s="694"/>
      <c r="S2465" s="729"/>
      <c r="T2465" s="729"/>
      <c r="U2465" s="729"/>
      <c r="V2465" s="729"/>
      <c r="W2465" s="694"/>
      <c r="X2465" s="694"/>
      <c r="Y2465" s="694"/>
      <c r="Z2465" s="694"/>
      <c r="AA2465" s="694"/>
      <c r="AB2465" s="694"/>
      <c r="AC2465" s="694"/>
      <c r="AD2465" s="694"/>
      <c r="AE2465" s="694"/>
      <c r="AF2465" s="694"/>
      <c r="AG2465" s="694"/>
      <c r="AH2465" s="694"/>
      <c r="AI2465" s="694"/>
      <c r="AJ2465" s="694"/>
      <c r="AK2465" s="694"/>
      <c r="AL2465" s="694"/>
    </row>
    <row r="2466" spans="1:38" ht="12.75" customHeight="1" x14ac:dyDescent="0.25">
      <c r="A2466" s="694"/>
      <c r="B2466" s="298"/>
      <c r="C2466" s="1302"/>
      <c r="D2466" s="625" t="s">
        <v>63</v>
      </c>
      <c r="E2466" s="2815" t="str">
        <f>Translations!$B$575</f>
        <v>Видове отпадни газове резултат от изгаряне във факел:</v>
      </c>
      <c r="F2466" s="2240"/>
      <c r="G2466" s="2240"/>
      <c r="H2466" s="2684"/>
      <c r="I2466" s="2821"/>
      <c r="J2466" s="2674"/>
      <c r="K2466" s="2674"/>
      <c r="L2466" s="2674"/>
      <c r="M2466" s="2675"/>
      <c r="N2466" s="1323"/>
      <c r="O2466" s="302"/>
      <c r="P2466" s="158"/>
      <c r="Q2466" s="729"/>
      <c r="R2466" s="694"/>
      <c r="S2466" s="729"/>
      <c r="T2466" s="694"/>
      <c r="U2466" s="694"/>
      <c r="V2466" s="694"/>
      <c r="W2466" s="694"/>
      <c r="X2466" s="694"/>
      <c r="Y2466" s="694"/>
      <c r="Z2466" s="694"/>
      <c r="AA2466" s="694"/>
      <c r="AB2466" s="694"/>
      <c r="AC2466" s="1182" t="s">
        <v>737</v>
      </c>
      <c r="AD2466" s="982" t="b">
        <f>AD2457</f>
        <v>0</v>
      </c>
      <c r="AE2466" s="694"/>
      <c r="AF2466" s="694"/>
      <c r="AG2466" s="694"/>
      <c r="AH2466" s="694"/>
      <c r="AI2466" s="694"/>
      <c r="AJ2466" s="694"/>
      <c r="AK2466" s="694"/>
      <c r="AL2466" s="694"/>
    </row>
    <row r="2467" spans="1:38" ht="12.75" customHeight="1" x14ac:dyDescent="0.25">
      <c r="A2467" s="694"/>
      <c r="B2467" s="298"/>
      <c r="C2467" s="1302"/>
      <c r="D2467" s="625"/>
      <c r="E2467" s="2810" t="str">
        <f>Translations!$B$576</f>
        <v>Това включва всички видове отпадни газове, които в крайна сметка са изгорени във факел, различни от необходимото за безопасността изгаряне във факел, в подинсталацията или извън нея.</v>
      </c>
      <c r="F2467" s="2240"/>
      <c r="G2467" s="2240"/>
      <c r="H2467" s="2240"/>
      <c r="I2467" s="2240"/>
      <c r="J2467" s="2240"/>
      <c r="K2467" s="2240"/>
      <c r="L2467" s="2240"/>
      <c r="M2467" s="2240"/>
      <c r="N2467" s="2811"/>
      <c r="O2467" s="302"/>
      <c r="P2467" s="302"/>
      <c r="Q2467" s="729"/>
      <c r="R2467" s="694"/>
      <c r="S2467" s="694"/>
      <c r="T2467" s="729"/>
      <c r="U2467" s="729"/>
      <c r="V2467" s="729"/>
      <c r="W2467" s="694"/>
      <c r="X2467" s="694"/>
      <c r="Y2467" s="694"/>
      <c r="Z2467" s="694"/>
      <c r="AA2467" s="694"/>
      <c r="AB2467" s="694"/>
      <c r="AC2467" s="694"/>
      <c r="AD2467" s="694"/>
      <c r="AE2467" s="694"/>
      <c r="AF2467" s="694"/>
      <c r="AG2467" s="694"/>
      <c r="AH2467" s="694"/>
      <c r="AI2467" s="694"/>
      <c r="AJ2467" s="694"/>
      <c r="AK2467" s="694"/>
      <c r="AL2467" s="694"/>
    </row>
    <row r="2468" spans="1:38" ht="12.75" customHeight="1" x14ac:dyDescent="0.25">
      <c r="A2468" s="694"/>
      <c r="B2468" s="298"/>
      <c r="C2468" s="1302"/>
      <c r="D2468" s="1306"/>
      <c r="E2468" s="2810" t="str">
        <f>Translations!$B$577</f>
        <v>Посочените тук данни се използват само с цел проверка на съответствието и нямат пряко отражение върху емисиите, които могат да бъдат зададени.</v>
      </c>
      <c r="F2468" s="2240"/>
      <c r="G2468" s="2240"/>
      <c r="H2468" s="2240"/>
      <c r="I2468" s="2240"/>
      <c r="J2468" s="2240"/>
      <c r="K2468" s="2240"/>
      <c r="L2468" s="2240"/>
      <c r="M2468" s="2240"/>
      <c r="N2468" s="2811"/>
      <c r="O2468" s="302"/>
      <c r="P2468" s="302"/>
      <c r="Q2468" s="729"/>
      <c r="R2468" s="694"/>
      <c r="S2468" s="729"/>
      <c r="T2468" s="729"/>
      <c r="U2468" s="729"/>
      <c r="V2468" s="729"/>
      <c r="W2468" s="694"/>
      <c r="X2468" s="694"/>
      <c r="Y2468" s="694"/>
      <c r="Z2468" s="694"/>
      <c r="AA2468" s="694"/>
      <c r="AB2468" s="694"/>
      <c r="AC2468" s="694"/>
      <c r="AD2468" s="694"/>
      <c r="AE2468" s="694"/>
      <c r="AF2468" s="694"/>
      <c r="AG2468" s="694"/>
      <c r="AH2468" s="694"/>
      <c r="AI2468" s="694"/>
      <c r="AJ2468" s="694"/>
      <c r="AK2468" s="694"/>
      <c r="AL2468" s="694"/>
    </row>
    <row r="2469" spans="1:38" ht="12.75" customHeight="1" x14ac:dyDescent="0.25">
      <c r="A2469" s="694"/>
      <c r="B2469" s="298"/>
      <c r="C2469" s="1302"/>
      <c r="D2469" s="1306"/>
      <c r="E2469" s="2816" t="str">
        <f>Translations!$B$578</f>
        <v>Въпреки това от 2026 г. квотите ще бъдат намалени по отношение на факелното изгаряне на отпадни газове, различно от необходимото за безопасността изгаряне във факел.</v>
      </c>
      <c r="F2469" s="2240"/>
      <c r="G2469" s="2240"/>
      <c r="H2469" s="2240"/>
      <c r="I2469" s="2240"/>
      <c r="J2469" s="2240"/>
      <c r="K2469" s="2240"/>
      <c r="L2469" s="2240"/>
      <c r="M2469" s="2240"/>
      <c r="N2469" s="2811"/>
      <c r="O2469" s="302"/>
      <c r="P2469" s="302"/>
      <c r="Q2469" s="729"/>
      <c r="R2469" s="694"/>
      <c r="S2469" s="729"/>
      <c r="T2469" s="729"/>
      <c r="U2469" s="729"/>
      <c r="V2469" s="729"/>
      <c r="W2469" s="729"/>
      <c r="X2469" s="729"/>
      <c r="Y2469" s="729"/>
      <c r="Z2469" s="729"/>
      <c r="AA2469" s="694"/>
      <c r="AB2469" s="694"/>
      <c r="AC2469" s="694"/>
      <c r="AD2469" s="694"/>
      <c r="AE2469" s="694"/>
      <c r="AF2469" s="694"/>
      <c r="AG2469" s="694"/>
      <c r="AH2469" s="694"/>
      <c r="AI2469" s="694"/>
      <c r="AJ2469" s="694"/>
      <c r="AK2469" s="694"/>
      <c r="AL2469" s="694"/>
    </row>
    <row r="2470" spans="1:38" ht="12.75" customHeight="1" thickBot="1" x14ac:dyDescent="0.3">
      <c r="A2470" s="694"/>
      <c r="B2470" s="298"/>
      <c r="C2470" s="1302"/>
      <c r="D2470" s="1306"/>
      <c r="E2470" s="1317"/>
      <c r="F2470" s="1318"/>
      <c r="G2470" s="1309" t="str">
        <f>EUconst_Unit</f>
        <v>Единица мярка</v>
      </c>
      <c r="H2470" s="629">
        <f t="shared" ref="H2470:N2470" si="3549">H$2831</f>
        <v>2024</v>
      </c>
      <c r="I2470" s="1310">
        <f t="shared" si="3549"/>
        <v>2025</v>
      </c>
      <c r="J2470" s="1311">
        <f t="shared" si="3549"/>
        <v>2026</v>
      </c>
      <c r="K2470" s="629">
        <f t="shared" si="3549"/>
        <v>2027</v>
      </c>
      <c r="L2470" s="629">
        <f t="shared" si="3549"/>
        <v>2028</v>
      </c>
      <c r="M2470" s="629">
        <f t="shared" si="3549"/>
        <v>2029</v>
      </c>
      <c r="N2470" s="1312">
        <f t="shared" si="3549"/>
        <v>2030</v>
      </c>
      <c r="O2470" s="302"/>
      <c r="P2470" s="302"/>
      <c r="Q2470" s="729"/>
      <c r="R2470" s="694"/>
      <c r="S2470" s="729"/>
      <c r="T2470" s="729"/>
      <c r="U2470" s="729"/>
      <c r="V2470" s="729"/>
      <c r="W2470" s="729"/>
      <c r="X2470" s="729"/>
      <c r="Y2470" s="729"/>
      <c r="Z2470" s="729"/>
      <c r="AA2470" s="694"/>
      <c r="AB2470" s="694"/>
      <c r="AC2470" s="1178">
        <f t="shared" ref="AC2470" si="3550">H$20</f>
        <v>2024</v>
      </c>
      <c r="AD2470" s="1178">
        <f t="shared" ref="AD2470" si="3551">I$20</f>
        <v>2025</v>
      </c>
      <c r="AE2470" s="1178">
        <f t="shared" ref="AE2470" si="3552">J$20</f>
        <v>2026</v>
      </c>
      <c r="AF2470" s="1178">
        <f t="shared" ref="AF2470" si="3553">K$20</f>
        <v>2027</v>
      </c>
      <c r="AG2470" s="1178">
        <f t="shared" ref="AG2470" si="3554">L$20</f>
        <v>2028</v>
      </c>
      <c r="AH2470" s="1178">
        <f t="shared" ref="AH2470" si="3555">M$20</f>
        <v>2029</v>
      </c>
      <c r="AI2470" s="1178">
        <f t="shared" ref="AI2470" si="3556">N$20</f>
        <v>2030</v>
      </c>
      <c r="AJ2470" s="694"/>
      <c r="AK2470" s="694"/>
      <c r="AL2470" s="694"/>
    </row>
    <row r="2471" spans="1:38" ht="12.75" customHeight="1" x14ac:dyDescent="0.25">
      <c r="A2471" s="694"/>
      <c r="B2471" s="298"/>
      <c r="C2471" s="1302"/>
      <c r="D2471" s="625" t="s">
        <v>1136</v>
      </c>
      <c r="E2471" s="2818" t="str">
        <f>Translations!$B$579</f>
        <v>Количества, изгорени във факел</v>
      </c>
      <c r="F2471" s="2701"/>
      <c r="G2471" s="145"/>
      <c r="H2471" s="129"/>
      <c r="I2471" s="130"/>
      <c r="J2471" s="131"/>
      <c r="K2471" s="129"/>
      <c r="L2471" s="129"/>
      <c r="M2471" s="129"/>
      <c r="N2471" s="132"/>
      <c r="O2471" s="302"/>
      <c r="P2471" s="158"/>
      <c r="Q2471" s="729"/>
      <c r="R2471" s="694"/>
      <c r="S2471" s="729"/>
      <c r="T2471" s="729"/>
      <c r="U2471" s="729"/>
      <c r="V2471" s="729"/>
      <c r="W2471" s="729"/>
      <c r="X2471" s="729"/>
      <c r="Y2471" s="729"/>
      <c r="Z2471" s="729"/>
      <c r="AA2471" s="694"/>
      <c r="AB2471" s="1182" t="s">
        <v>737</v>
      </c>
      <c r="AC2471" s="982" t="b">
        <f>AC2461</f>
        <v>0</v>
      </c>
      <c r="AD2471" s="982" t="b">
        <f t="shared" ref="AD2471:AI2471" si="3557">AD2461</f>
        <v>0</v>
      </c>
      <c r="AE2471" s="982" t="b">
        <f t="shared" si="3557"/>
        <v>0</v>
      </c>
      <c r="AF2471" s="982" t="b">
        <f t="shared" si="3557"/>
        <v>0</v>
      </c>
      <c r="AG2471" s="982" t="b">
        <f t="shared" si="3557"/>
        <v>0</v>
      </c>
      <c r="AH2471" s="982" t="b">
        <f t="shared" si="3557"/>
        <v>0</v>
      </c>
      <c r="AI2471" s="982" t="b">
        <f t="shared" si="3557"/>
        <v>0</v>
      </c>
      <c r="AJ2471" s="1174" t="s">
        <v>2039</v>
      </c>
      <c r="AK2471" s="1176" t="str">
        <f>IF(AND(CNTR_ExistSubInstEntries,MSconst_RequireSubAttrEmissions,COUNTIFS(AC2471:AI2471,FALSE,H2471:N2471,"")&gt;0),EUconst_Error&amp;"BM"&amp;$Q2261,"")</f>
        <v/>
      </c>
      <c r="AL2471" s="694"/>
    </row>
    <row r="2472" spans="1:38" ht="12.75" customHeight="1" x14ac:dyDescent="0.25">
      <c r="A2472" s="694"/>
      <c r="B2472" s="298"/>
      <c r="C2472" s="1302"/>
      <c r="D2472" s="625" t="s">
        <v>1137</v>
      </c>
      <c r="E2472" s="2819" t="str">
        <f>Translations!$B$296</f>
        <v>Долна топлина на изгаряне</v>
      </c>
      <c r="F2472" s="2705"/>
      <c r="G2472" s="1349" t="str">
        <f>IF(ISBLANK(G2471),EUconst_GJperUnit,INDEX(EUconst_GJperTorKNm3,MATCH(G2471,EUconst_TonnesOrkNm3pa,0)))</f>
        <v>GJ / Единица мярка</v>
      </c>
      <c r="H2472" s="137"/>
      <c r="I2472" s="138"/>
      <c r="J2472" s="139"/>
      <c r="K2472" s="137"/>
      <c r="L2472" s="137"/>
      <c r="M2472" s="137"/>
      <c r="N2472" s="140"/>
      <c r="O2472" s="302"/>
      <c r="P2472" s="158"/>
      <c r="Q2472" s="694"/>
      <c r="R2472" s="694"/>
      <c r="S2472" s="729"/>
      <c r="T2472" s="729"/>
      <c r="U2472" s="729"/>
      <c r="V2472" s="729"/>
      <c r="W2472" s="729"/>
      <c r="X2472" s="729"/>
      <c r="Y2472" s="729"/>
      <c r="Z2472" s="729"/>
      <c r="AA2472" s="694"/>
      <c r="AB2472" s="694"/>
      <c r="AC2472" s="982" t="b">
        <f>AC2471</f>
        <v>0</v>
      </c>
      <c r="AD2472" s="982" t="b">
        <f t="shared" ref="AD2472:AI2472" si="3558">AD2471</f>
        <v>0</v>
      </c>
      <c r="AE2472" s="982" t="b">
        <f t="shared" si="3558"/>
        <v>0</v>
      </c>
      <c r="AF2472" s="982" t="b">
        <f t="shared" si="3558"/>
        <v>0</v>
      </c>
      <c r="AG2472" s="982" t="b">
        <f t="shared" si="3558"/>
        <v>0</v>
      </c>
      <c r="AH2472" s="982" t="b">
        <f t="shared" si="3558"/>
        <v>0</v>
      </c>
      <c r="AI2472" s="982" t="b">
        <f t="shared" si="3558"/>
        <v>0</v>
      </c>
      <c r="AJ2472" s="1174" t="s">
        <v>2039</v>
      </c>
      <c r="AK2472" s="1176" t="str">
        <f>IF(AND(CNTR_ExistSubInstEntries,MSconst_RequireSubAttrEmissions,COUNTIFS(AC2472:AI2472,FALSE,H2472:N2472,"")&gt;0),EUconst_Error&amp;"BM"&amp;$Q2261,"")</f>
        <v/>
      </c>
      <c r="AL2472" s="694"/>
    </row>
    <row r="2473" spans="1:38" ht="12.75" customHeight="1" x14ac:dyDescent="0.25">
      <c r="A2473" s="694"/>
      <c r="B2473" s="298"/>
      <c r="C2473" s="1302"/>
      <c r="D2473" s="625" t="s">
        <v>1138</v>
      </c>
      <c r="E2473" s="2820" t="str">
        <f>Translations!$B$580</f>
        <v>Изгорен във факел отпаден газ</v>
      </c>
      <c r="F2473" s="2258"/>
      <c r="G2473" s="1319" t="str">
        <f>EUconst_TJpa</f>
        <v>TJ / година</v>
      </c>
      <c r="H2473" s="1350" t="str">
        <f t="shared" ref="H2473:N2473" si="3559">IF(COUNT(H2471:H2472)=2,H2471*H2472/1000,"")</f>
        <v/>
      </c>
      <c r="I2473" s="1351" t="str">
        <f t="shared" si="3559"/>
        <v/>
      </c>
      <c r="J2473" s="1352" t="str">
        <f t="shared" si="3559"/>
        <v/>
      </c>
      <c r="K2473" s="1350" t="str">
        <f t="shared" si="3559"/>
        <v/>
      </c>
      <c r="L2473" s="1350" t="str">
        <f t="shared" si="3559"/>
        <v/>
      </c>
      <c r="M2473" s="1350" t="str">
        <f t="shared" si="3559"/>
        <v/>
      </c>
      <c r="N2473" s="1353" t="str">
        <f t="shared" si="3559"/>
        <v/>
      </c>
      <c r="O2473" s="302"/>
      <c r="P2473" s="302"/>
      <c r="Q2473" s="1190" t="str">
        <f>EUconst_CNTR_WGFlared &amp; I2261</f>
        <v>WasteGasFlare_</v>
      </c>
      <c r="R2473" s="694"/>
      <c r="S2473" s="729"/>
      <c r="T2473" s="729"/>
      <c r="U2473" s="729"/>
      <c r="V2473" s="729"/>
      <c r="W2473" s="729"/>
      <c r="X2473" s="729"/>
      <c r="Y2473" s="729"/>
      <c r="Z2473" s="729"/>
      <c r="AA2473" s="694"/>
      <c r="AB2473" s="694"/>
      <c r="AC2473" s="694"/>
      <c r="AD2473" s="694"/>
      <c r="AE2473" s="694"/>
      <c r="AF2473" s="694"/>
      <c r="AG2473" s="694"/>
      <c r="AH2473" s="694"/>
      <c r="AI2473" s="694"/>
      <c r="AJ2473" s="694"/>
      <c r="AK2473" s="694"/>
      <c r="AL2473" s="694"/>
    </row>
    <row r="2474" spans="1:38" ht="12.75" customHeight="1" x14ac:dyDescent="0.25">
      <c r="A2474" s="694"/>
      <c r="B2474" s="298"/>
      <c r="C2474" s="1302"/>
      <c r="D2474" s="625" t="s">
        <v>1139</v>
      </c>
      <c r="E2474" s="2820" t="str">
        <f>Translations!$B$581</f>
        <v>Специфичен EF (изгорен във факел отпаден газ)</v>
      </c>
      <c r="F2474" s="2258"/>
      <c r="G2474" s="1319" t="str">
        <f>EUconst_tCO2pTJ</f>
        <v>t CO2 / TJ</v>
      </c>
      <c r="H2474" s="56"/>
      <c r="I2474" s="115"/>
      <c r="J2474" s="118"/>
      <c r="K2474" s="56"/>
      <c r="L2474" s="56"/>
      <c r="M2474" s="56"/>
      <c r="N2474" s="121"/>
      <c r="O2474" s="302"/>
      <c r="P2474" s="158"/>
      <c r="Q2474" s="1190" t="str">
        <f>EUconst_CNTR_WGFlaredEF &amp; I2261</f>
        <v>WasteGasFlareEF_</v>
      </c>
      <c r="R2474" s="694"/>
      <c r="S2474" s="729"/>
      <c r="T2474" s="729"/>
      <c r="U2474" s="729"/>
      <c r="V2474" s="729"/>
      <c r="W2474" s="729"/>
      <c r="X2474" s="729"/>
      <c r="Y2474" s="729"/>
      <c r="Z2474" s="729"/>
      <c r="AA2474" s="694"/>
      <c r="AB2474" s="1182" t="s">
        <v>737</v>
      </c>
      <c r="AC2474" s="982" t="b">
        <f>AC2472</f>
        <v>0</v>
      </c>
      <c r="AD2474" s="982" t="b">
        <f t="shared" ref="AD2474:AI2474" si="3560">AD2472</f>
        <v>0</v>
      </c>
      <c r="AE2474" s="982" t="b">
        <f t="shared" si="3560"/>
        <v>0</v>
      </c>
      <c r="AF2474" s="982" t="b">
        <f t="shared" si="3560"/>
        <v>0</v>
      </c>
      <c r="AG2474" s="982" t="b">
        <f t="shared" si="3560"/>
        <v>0</v>
      </c>
      <c r="AH2474" s="982" t="b">
        <f t="shared" si="3560"/>
        <v>0</v>
      </c>
      <c r="AI2474" s="982" t="b">
        <f t="shared" si="3560"/>
        <v>0</v>
      </c>
      <c r="AJ2474" s="1174" t="s">
        <v>2039</v>
      </c>
      <c r="AK2474" s="1176" t="str">
        <f>IF(AND(CNTR_ExistSubInstEntries,MSconst_RequireSubAttrEmissions,COUNTIFS(AC2474:AI2474,FALSE,H2474:N2474,"")&gt;0),EUconst_Error&amp;"BM"&amp;$Q2261,"")</f>
        <v/>
      </c>
      <c r="AL2474" s="694"/>
    </row>
    <row r="2475" spans="1:38" ht="5.15" customHeight="1" thickBot="1" x14ac:dyDescent="0.3">
      <c r="A2475" s="694"/>
      <c r="B2475" s="298"/>
      <c r="C2475" s="1302"/>
      <c r="D2475" s="1306"/>
      <c r="E2475" s="1306"/>
      <c r="F2475" s="1306"/>
      <c r="G2475" s="1306"/>
      <c r="H2475" s="1354"/>
      <c r="I2475" s="1306"/>
      <c r="J2475" s="1306"/>
      <c r="K2475" s="1306"/>
      <c r="L2475" s="1306"/>
      <c r="M2475" s="626"/>
      <c r="N2475" s="1316"/>
      <c r="O2475" s="302"/>
      <c r="P2475" s="302"/>
      <c r="Q2475" s="729"/>
      <c r="R2475" s="694"/>
      <c r="S2475" s="729"/>
      <c r="T2475" s="729"/>
      <c r="U2475" s="729"/>
      <c r="V2475" s="729"/>
      <c r="W2475" s="694"/>
      <c r="X2475" s="694"/>
      <c r="Y2475" s="694"/>
      <c r="Z2475" s="694"/>
      <c r="AA2475" s="694"/>
      <c r="AB2475" s="694"/>
      <c r="AC2475" s="694"/>
      <c r="AD2475" s="694"/>
      <c r="AE2475" s="694"/>
      <c r="AF2475" s="694"/>
      <c r="AG2475" s="694"/>
      <c r="AH2475" s="694"/>
      <c r="AI2475" s="694"/>
      <c r="AJ2475" s="694"/>
      <c r="AK2475" s="694"/>
      <c r="AL2475" s="694"/>
    </row>
    <row r="2476" spans="1:38" ht="12.75" customHeight="1" thickBot="1" x14ac:dyDescent="0.3">
      <c r="A2476" s="694"/>
      <c r="B2476" s="298"/>
      <c r="C2476" s="1302"/>
      <c r="D2476" s="1306"/>
      <c r="E2476" s="2820" t="str">
        <f>Translations!$B$1330</f>
        <v>Количество изгорен във факел отпаден газ</v>
      </c>
      <c r="F2476" s="2820"/>
      <c r="G2476" s="1355" t="str">
        <f>EUconst_tCO2</f>
        <v>t CO2</v>
      </c>
      <c r="H2476" s="1356" t="str">
        <f t="shared" ref="H2476" si="3561">IF(T2269,SUM(H2473)*SUM(H2474),"")</f>
        <v/>
      </c>
      <c r="I2476" s="1357" t="str">
        <f t="shared" ref="I2476" si="3562">IF(U2269,SUM(I2473)*SUM(I2474),"")</f>
        <v/>
      </c>
      <c r="J2476" s="1358" t="str">
        <f t="shared" ref="J2476" si="3563">IF(V2269,SUM(J2473)*SUM(J2474),"")</f>
        <v/>
      </c>
      <c r="K2476" s="1356" t="str">
        <f t="shared" ref="K2476" si="3564">IF(W2269,SUM(K2473)*SUM(K2474),"")</f>
        <v/>
      </c>
      <c r="L2476" s="1356" t="str">
        <f t="shared" ref="L2476" si="3565">IF(X2269,SUM(L2473)*SUM(L2474),"")</f>
        <v/>
      </c>
      <c r="M2476" s="1356" t="str">
        <f t="shared" ref="M2476" si="3566">IF(Y2269,SUM(M2473)*SUM(M2474),"")</f>
        <v/>
      </c>
      <c r="N2476" s="1356" t="str">
        <f t="shared" ref="N2476" si="3567">IF(Z2269,SUM(N2473)*SUM(N2474),"")</f>
        <v/>
      </c>
      <c r="O2476" s="302"/>
      <c r="P2476" s="302"/>
      <c r="Q2476" s="1190" t="str">
        <f>EUconst_CNTR_HAL &amp; EUconst_CNTR_WGFlared &amp; I2261</f>
        <v>HAL_WasteGasFlare_</v>
      </c>
      <c r="R2476" s="694"/>
      <c r="S2476" s="1174" t="s">
        <v>1811</v>
      </c>
      <c r="T2476" s="1169" t="b">
        <f>CNTR_SubPeriod=2</f>
        <v>1</v>
      </c>
      <c r="U2476" s="729"/>
      <c r="V2476" s="729"/>
      <c r="W2476" s="694"/>
      <c r="X2476" s="694"/>
      <c r="Y2476" s="694"/>
      <c r="Z2476" s="694"/>
      <c r="AA2476" s="694"/>
      <c r="AB2476" s="694"/>
      <c r="AC2476" s="694"/>
      <c r="AD2476" s="694"/>
      <c r="AE2476" s="694"/>
      <c r="AF2476" s="694"/>
      <c r="AG2476" s="694"/>
      <c r="AH2476" s="694"/>
      <c r="AI2476" s="694"/>
      <c r="AJ2476" s="694"/>
      <c r="AK2476" s="694"/>
      <c r="AL2476" s="694"/>
    </row>
    <row r="2477" spans="1:38" ht="5.15" customHeight="1" thickBot="1" x14ac:dyDescent="0.3">
      <c r="A2477" s="694"/>
      <c r="B2477" s="298"/>
      <c r="C2477" s="1302"/>
      <c r="D2477" s="1306"/>
      <c r="E2477" s="1306"/>
      <c r="F2477" s="1306"/>
      <c r="G2477" s="1306"/>
      <c r="H2477" s="1354"/>
      <c r="I2477" s="1306"/>
      <c r="J2477" s="1306"/>
      <c r="K2477" s="1306"/>
      <c r="L2477" s="1306"/>
      <c r="M2477" s="626"/>
      <c r="N2477" s="1316"/>
      <c r="O2477" s="302"/>
      <c r="P2477" s="302"/>
      <c r="Q2477" s="729"/>
      <c r="R2477" s="694"/>
      <c r="S2477" s="729"/>
      <c r="T2477" s="729"/>
      <c r="U2477" s="729"/>
      <c r="V2477" s="729"/>
      <c r="W2477" s="694"/>
      <c r="X2477" s="694"/>
      <c r="Y2477" s="694"/>
      <c r="Z2477" s="694"/>
      <c r="AA2477" s="694"/>
      <c r="AB2477" s="694"/>
      <c r="AC2477" s="694"/>
      <c r="AD2477" s="694"/>
      <c r="AE2477" s="694"/>
      <c r="AF2477" s="694"/>
      <c r="AG2477" s="694"/>
      <c r="AH2477" s="694"/>
      <c r="AI2477" s="694"/>
      <c r="AJ2477" s="694"/>
      <c r="AK2477" s="694"/>
      <c r="AL2477" s="694"/>
    </row>
    <row r="2478" spans="1:38" ht="5.15" customHeight="1" thickBot="1" x14ac:dyDescent="0.3">
      <c r="A2478" s="694"/>
      <c r="B2478" s="298"/>
      <c r="C2478" s="1302"/>
      <c r="D2478" s="1359"/>
      <c r="E2478" s="1360"/>
      <c r="F2478" s="1360"/>
      <c r="G2478" s="1360"/>
      <c r="H2478" s="1361"/>
      <c r="I2478" s="1360"/>
      <c r="J2478" s="1360"/>
      <c r="K2478" s="1360"/>
      <c r="L2478" s="1360"/>
      <c r="M2478" s="1362"/>
      <c r="N2478" s="1363"/>
      <c r="O2478" s="302"/>
      <c r="P2478" s="302"/>
      <c r="Q2478" s="729"/>
      <c r="R2478" s="694"/>
      <c r="S2478" s="729"/>
      <c r="T2478" s="729"/>
      <c r="U2478" s="729"/>
      <c r="V2478" s="729"/>
      <c r="W2478" s="694"/>
      <c r="X2478" s="694"/>
      <c r="Y2478" s="694"/>
      <c r="Z2478" s="694"/>
      <c r="AA2478" s="694"/>
      <c r="AB2478" s="694"/>
      <c r="AC2478" s="694"/>
      <c r="AD2478" s="694"/>
      <c r="AE2478" s="694"/>
      <c r="AF2478" s="694"/>
      <c r="AG2478" s="694"/>
      <c r="AH2478" s="694"/>
      <c r="AI2478" s="694"/>
      <c r="AJ2478" s="694"/>
      <c r="AK2478" s="694"/>
      <c r="AL2478" s="694"/>
    </row>
    <row r="2479" spans="1:38" ht="12.75" customHeight="1" x14ac:dyDescent="0.25">
      <c r="A2479" s="694"/>
      <c r="B2479" s="298"/>
      <c r="C2479" s="1302"/>
      <c r="D2479" s="1197" t="s">
        <v>2004</v>
      </c>
      <c r="E2479" s="2823" t="str">
        <f>Translations!$B$1331</f>
        <v>Корекции: изгорени във факел отпадни газове</v>
      </c>
      <c r="F2479" s="2672"/>
      <c r="G2479" s="2672"/>
      <c r="H2479" s="1200" t="str">
        <f>EUconst_Unit</f>
        <v>Единица мярка</v>
      </c>
      <c r="I2479" s="1201" t="str">
        <f>Translations!$B$1327</f>
        <v>(НМИ) стойност</v>
      </c>
      <c r="J2479" s="1202">
        <f>J$2831</f>
        <v>2026</v>
      </c>
      <c r="K2479" s="1203">
        <f>K$2831</f>
        <v>2027</v>
      </c>
      <c r="L2479" s="1203">
        <f>L$2831</f>
        <v>2028</v>
      </c>
      <c r="M2479" s="1203">
        <f>M$2831</f>
        <v>2029</v>
      </c>
      <c r="N2479" s="1204">
        <f>N$2831</f>
        <v>2030</v>
      </c>
      <c r="O2479" s="302"/>
      <c r="P2479" s="302"/>
      <c r="Q2479" s="729"/>
      <c r="R2479" s="694"/>
      <c r="S2479" s="694"/>
      <c r="T2479" s="694"/>
      <c r="U2479" s="1205"/>
      <c r="V2479" s="1206">
        <f>J2479</f>
        <v>2026</v>
      </c>
      <c r="W2479" s="1206">
        <f>K2479</f>
        <v>2027</v>
      </c>
      <c r="X2479" s="1206">
        <f>L2479</f>
        <v>2028</v>
      </c>
      <c r="Y2479" s="1206">
        <f>M2479</f>
        <v>2029</v>
      </c>
      <c r="Z2479" s="1207">
        <f>N2479</f>
        <v>2030</v>
      </c>
      <c r="AA2479" s="694"/>
      <c r="AB2479" s="694"/>
      <c r="AC2479" s="694"/>
      <c r="AD2479" s="694"/>
      <c r="AE2479" s="694"/>
      <c r="AF2479" s="694"/>
      <c r="AG2479" s="694"/>
      <c r="AH2479" s="694"/>
      <c r="AI2479" s="694"/>
      <c r="AJ2479" s="694"/>
      <c r="AK2479" s="694"/>
      <c r="AL2479" s="694"/>
    </row>
    <row r="2480" spans="1:38" ht="12.75" customHeight="1" x14ac:dyDescent="0.25">
      <c r="A2480" s="694"/>
      <c r="B2480" s="298"/>
      <c r="C2480" s="1302"/>
      <c r="D2480" s="1208" t="s">
        <v>6</v>
      </c>
      <c r="E2480" s="2822" t="str">
        <f>Translations!$B$1328</f>
        <v>Средна годишна стойност</v>
      </c>
      <c r="F2480" s="2258"/>
      <c r="G2480" s="2258"/>
      <c r="H2480" s="1266" t="str">
        <f>G2476</f>
        <v>t CO2</v>
      </c>
      <c r="I2480" s="1211" t="str">
        <f>INDEX('B+C_SubInstallations'!$K:$K,MATCH(Q2480,'B+C_SubInstallations'!$V:$V,0))</f>
        <v/>
      </c>
      <c r="J2480" s="1267" t="str">
        <f>IF($T2476&lt;&gt;TRUE,"",IF(AND(V2480&gt;=3,CNTR_ReportingYear&gt;J2479-1),AVERAGE(SUM(H2476),SUM(I2476)),""))</f>
        <v/>
      </c>
      <c r="K2480" s="1268" t="str">
        <f>IF($T2476&lt;&gt;TRUE,"",IF(AND(W2480&gt;=3,CNTR_ReportingYear&gt;K2479-1),AVERAGE(SUM(I2476),SUM(J2476)),""))</f>
        <v/>
      </c>
      <c r="L2480" s="1268" t="str">
        <f>IF($T2476&lt;&gt;TRUE,"",IF(AND(X2480&gt;=3,CNTR_ReportingYear&gt;L2479-1),AVERAGE(SUM(J2476),SUM(K2476)),""))</f>
        <v/>
      </c>
      <c r="M2480" s="1268" t="str">
        <f>IF($T2476&lt;&gt;TRUE,"",IF(AND(Y2480&gt;=3,CNTR_ReportingYear&gt;M2479-1),AVERAGE(SUM(K2476),SUM(L2476)),""))</f>
        <v/>
      </c>
      <c r="N2480" s="1269" t="str">
        <f>IF($T2476&lt;&gt;TRUE,"",IF(AND(Z2480&gt;=3,CNTR_ReportingYear&gt;N2479-1),AVERAGE(SUM(L2476),SUM(M2476)),""))</f>
        <v/>
      </c>
      <c r="O2480" s="302"/>
      <c r="P2480" s="302"/>
      <c r="Q2480" s="1190" t="str">
        <f>EUconst_CNTR_HALinitial &amp; EUconst_CNTR_WGFlared &amp; I2261</f>
        <v>HALini_WasteGasFlare_</v>
      </c>
      <c r="R2480" s="694"/>
      <c r="S2480" s="694"/>
      <c r="T2480" s="694"/>
      <c r="U2480" s="1365" t="s">
        <v>1710</v>
      </c>
      <c r="V2480" s="1176">
        <f>V2283</f>
        <v>0</v>
      </c>
      <c r="W2480" s="1176">
        <f>W2283</f>
        <v>0</v>
      </c>
      <c r="X2480" s="1176">
        <f>X2283</f>
        <v>0</v>
      </c>
      <c r="Y2480" s="1176">
        <f>Y2283</f>
        <v>0</v>
      </c>
      <c r="Z2480" s="1216">
        <f>Z2283</f>
        <v>0</v>
      </c>
      <c r="AA2480" s="694"/>
      <c r="AB2480" s="694"/>
      <c r="AC2480" s="694"/>
      <c r="AD2480" s="694"/>
      <c r="AE2480" s="694"/>
      <c r="AF2480" s="694"/>
      <c r="AG2480" s="694"/>
      <c r="AH2480" s="694"/>
      <c r="AI2480" s="694"/>
      <c r="AJ2480" s="694"/>
      <c r="AK2480" s="694"/>
      <c r="AL2480" s="694"/>
    </row>
    <row r="2481" spans="1:38" ht="12.75" hidden="1" customHeight="1" x14ac:dyDescent="0.25">
      <c r="A2481" s="729" t="s">
        <v>312</v>
      </c>
      <c r="B2481" s="298"/>
      <c r="C2481" s="1302"/>
      <c r="D2481" s="1208"/>
      <c r="E2481" s="2822" t="str">
        <f>Translations!$B$1378</f>
        <v>Промяна в сравнение със стойността в НМИ</v>
      </c>
      <c r="F2481" s="2258"/>
      <c r="G2481" s="2258"/>
      <c r="H2481" s="1222"/>
      <c r="I2481" s="1223"/>
      <c r="J2481" s="104" t="str">
        <f>IF(J2480="","",IF($I2483=0,IF(J2480=0,0%,100%),J2480/$I2483-1))</f>
        <v/>
      </c>
      <c r="K2481" s="99" t="str">
        <f>IF(K2480="","",IF($I2483=0,IF(K2480=0,0%,100%),K2480/$I2483-1))</f>
        <v/>
      </c>
      <c r="L2481" s="99" t="str">
        <f>IF(L2480="","",IF($I2483=0,IF(L2480=0,0%,100%),L2480/$I2483-1))</f>
        <v/>
      </c>
      <c r="M2481" s="99" t="str">
        <f>IF(M2480="","",IF($I2483=0,IF(M2480=0,0%,100%),M2480/$I2483-1))</f>
        <v/>
      </c>
      <c r="N2481" s="123" t="str">
        <f>IF(N2480="","",IF($I2483=0,IF(N2480=0,0%,100%),N2480/$I2483-1))</f>
        <v/>
      </c>
      <c r="O2481" s="302"/>
      <c r="P2481" s="302"/>
      <c r="Q2481" s="1190" t="str">
        <f>EUconst_CNTR_RelThreshold &amp; Q2483</f>
        <v>RelThresh_HALprelim_WasteGasFlare_</v>
      </c>
      <c r="R2481" s="694"/>
      <c r="S2481" s="694"/>
      <c r="T2481" s="694"/>
      <c r="U2481" s="1365" t="s">
        <v>1715</v>
      </c>
      <c r="V2481" s="727" t="str">
        <f>IF(J2480="","",ABS(J2481)&gt;15%)</f>
        <v/>
      </c>
      <c r="W2481" s="727" t="str">
        <f>IF(K2480="","",ABS(K2481)&gt;15%)</f>
        <v/>
      </c>
      <c r="X2481" s="727" t="str">
        <f>IF(L2480="","",ABS(L2481)&gt;15%)</f>
        <v/>
      </c>
      <c r="Y2481" s="727" t="str">
        <f>IF(M2480="","",ABS(M2481)&gt;15%)</f>
        <v/>
      </c>
      <c r="Z2481" s="1221" t="str">
        <f>IF(N2480="","",ABS(N2481)&gt;15%)</f>
        <v/>
      </c>
      <c r="AA2481" s="694"/>
      <c r="AB2481" s="694"/>
      <c r="AC2481" s="694"/>
      <c r="AD2481" s="694"/>
      <c r="AE2481" s="694"/>
      <c r="AF2481" s="694"/>
      <c r="AG2481" s="694"/>
      <c r="AH2481" s="694"/>
      <c r="AI2481" s="694"/>
      <c r="AJ2481" s="694"/>
      <c r="AK2481" s="694"/>
      <c r="AL2481" s="694"/>
    </row>
    <row r="2482" spans="1:38" ht="12.75" customHeight="1" x14ac:dyDescent="0.25">
      <c r="A2482" s="729"/>
      <c r="B2482" s="298"/>
      <c r="C2482" s="1302"/>
      <c r="D2482" s="1208" t="s">
        <v>7</v>
      </c>
      <c r="E2482" s="2822" t="str">
        <f>Translations!$B$1322</f>
        <v>Предварителна корекция (ако са надвишени относителните прагове)</v>
      </c>
      <c r="F2482" s="2258"/>
      <c r="G2482" s="2258"/>
      <c r="H2482" s="1222"/>
      <c r="I2482" s="1223"/>
      <c r="J2482" s="1224" t="str">
        <f>IF(J2480="","",IF(V2481=FALSE,0%,IF(V2482,J2481,I2488)))</f>
        <v/>
      </c>
      <c r="K2482" s="1225" t="str">
        <f>IF(K2480="","",IF(W2481=FALSE,0%,IF(W2482,K2481,J2488)))</f>
        <v/>
      </c>
      <c r="L2482" s="1225" t="str">
        <f>IF(L2480="","",IF(X2481=FALSE,0%,IF(X2482,L2481,K2488)))</f>
        <v/>
      </c>
      <c r="M2482" s="1225" t="str">
        <f>IF(M2480="","",IF(Y2481=FALSE,0%,IF(Y2482,M2481,L2488)))</f>
        <v/>
      </c>
      <c r="N2482" s="1226" t="str">
        <f>IF(N2480="","",IF(Z2481=FALSE,0%,IF(Z2482,N2481,M2488)))</f>
        <v/>
      </c>
      <c r="O2482" s="302"/>
      <c r="P2482" s="302"/>
      <c r="Q2482" s="729"/>
      <c r="R2482" s="694"/>
      <c r="S2482" s="694"/>
      <c r="T2482" s="694"/>
      <c r="U2482" s="1215" t="s">
        <v>1716</v>
      </c>
      <c r="V2482" s="727" t="str">
        <f>IF(J2480="","",AND(V2481,IF(SUM(I2488)&lt;0,OR(SUM(J2481)&lt;SUM(I2488)-MOD(SUM(I2488),5%),J2481&gt;=SUM(I2488)+5%-MOD(SUM(I2488),5%)),OR(SUM(J2481)&lt;=SUM(I2488)-MOD(SUM(I2488),5%),SUM(J2481)&gt;SUM(I2488)+5%-MOD(SUM(I2488),5%)))))</f>
        <v/>
      </c>
      <c r="W2482" s="727" t="str">
        <f>IF(K2480="","",AND(W2481,IF(SUM(J2488)&lt;0,OR(SUM(K2481)&lt;SUM(J2488)-MOD(SUM(J2488),5%),K2481&gt;=SUM(J2488)+5%-MOD(SUM(J2488),5%)),OR(SUM(K2481)&lt;=SUM(J2488)-MOD(SUM(J2488),5%),SUM(K2481)&gt;SUM(J2488)+5%-MOD(SUM(J2488),5%)))))</f>
        <v/>
      </c>
      <c r="X2482" s="727" t="str">
        <f>IF(L2480="","",AND(X2481,IF(SUM(K2488)&lt;0,OR(SUM(L2481)&lt;SUM(K2488)-MOD(SUM(K2488),5%),L2481&gt;=SUM(K2488)+5%-MOD(SUM(K2488),5%)),OR(SUM(L2481)&lt;=SUM(K2488)-MOD(SUM(K2488),5%),SUM(L2481)&gt;SUM(K2488)+5%-MOD(SUM(K2488),5%)))))</f>
        <v/>
      </c>
      <c r="Y2482" s="727" t="str">
        <f>IF(M2480="","",AND(Y2481,IF(SUM(L2488)&lt;0,OR(SUM(M2481)&lt;SUM(L2488)-MOD(SUM(L2488),5%),M2481&gt;=SUM(L2488)+5%-MOD(SUM(L2488),5%)),OR(SUM(M2481)&lt;=SUM(L2488)-MOD(SUM(L2488),5%),SUM(M2481)&gt;SUM(L2488)+5%-MOD(SUM(L2488),5%)))))</f>
        <v/>
      </c>
      <c r="Z2482" s="1221" t="str">
        <f>IF(N2480="","",AND(Z2481,IF(SUM(M2488)&lt;0,OR(SUM(N2481)&lt;SUM(M2488)-MOD(SUM(M2488),5%),N2481&gt;=SUM(M2488)+5%-MOD(SUM(M2488),5%)),OR(SUM(N2481)&lt;=SUM(M2488)-MOD(SUM(M2488),5%),SUM(N2481)&gt;SUM(M2488)+5%-MOD(SUM(M2488),5%)))))</f>
        <v/>
      </c>
      <c r="AA2482" s="694"/>
      <c r="AB2482" s="694"/>
      <c r="AC2482" s="694"/>
      <c r="AD2482" s="694"/>
      <c r="AE2482" s="694"/>
      <c r="AF2482" s="694"/>
      <c r="AG2482" s="694"/>
      <c r="AH2482" s="694"/>
      <c r="AI2482" s="694"/>
      <c r="AJ2482" s="694"/>
      <c r="AK2482" s="694"/>
      <c r="AL2482" s="694"/>
    </row>
    <row r="2483" spans="1:38" ht="12.75" hidden="1" customHeight="1" x14ac:dyDescent="0.25">
      <c r="A2483" s="729" t="s">
        <v>312</v>
      </c>
      <c r="B2483" s="298"/>
      <c r="C2483" s="1302"/>
      <c r="D2483" s="1208"/>
      <c r="E2483" s="2822" t="str">
        <f>Translations!$B$1377</f>
        <v>Предварителна стойност</v>
      </c>
      <c r="F2483" s="2258"/>
      <c r="G2483" s="2258"/>
      <c r="H2483" s="1266" t="str">
        <f>H2480</f>
        <v>t CO2</v>
      </c>
      <c r="I2483" s="1211" t="str">
        <f>IF($I2261="","",IF(AB2261=FALSE,EUconst_NA,IF(V2261&gt;($J$2831-3),INDEX(H2476:N2476,MATCH(V2261,H2470:N2470,0)),SUM(I2480))))</f>
        <v/>
      </c>
      <c r="J2483" s="1212" t="str">
        <f>IF($I2261="","",IF(V2480&lt;2,SUM(J2476),IF(V2480&lt;3,SUM(I2476),IF(V2483="",I2483,V2483))))</f>
        <v/>
      </c>
      <c r="K2483" s="1213" t="str">
        <f>IF($I2261="","",IF(W2480&lt;2,SUM(K2476),IF(W2480&lt;3,SUM(J2476),IF(W2483="",J2483,W2483))))</f>
        <v/>
      </c>
      <c r="L2483" s="1213" t="str">
        <f>IF($I2261="","",IF(X2480&lt;2,SUM(L2476),IF(X2480&lt;3,SUM(K2476),IF(X2483="",K2483,X2483))))</f>
        <v/>
      </c>
      <c r="M2483" s="1213" t="str">
        <f>IF($I2261="","",IF(Y2480&lt;2,SUM(M2476),IF(Y2480&lt;3,SUM(L2476),IF(Y2483="",L2483,Y2483))))</f>
        <v/>
      </c>
      <c r="N2483" s="1214" t="str">
        <f>IF($I2261="","",IF(Z2480&lt;2,SUM(N2476),IF(Z2480&lt;3,SUM(M2476),IF(Z2483="",M2483,Z2483))))</f>
        <v/>
      </c>
      <c r="O2483" s="302"/>
      <c r="P2483" s="302"/>
      <c r="Q2483" s="1190" t="str">
        <f>EUconst_CNTR_HALprelim&amp;EUconst_CNTR_WGFlared &amp; I2261</f>
        <v>HALprelim_WasteGasFlare_</v>
      </c>
      <c r="R2483" s="694"/>
      <c r="S2483" s="694"/>
      <c r="T2483" s="694"/>
      <c r="U2483" s="1365" t="s">
        <v>1756</v>
      </c>
      <c r="V2483" s="1227" t="str">
        <f>IF(J2480="","",IF(CNTR_ReportingYear&lt;J2479,I2482,IF($I2483=0,J2480,$I2483*(1+J2482))))</f>
        <v/>
      </c>
      <c r="W2483" s="1227" t="str">
        <f>IF(K2480="","",IF(CNTR_ReportingYear&lt;K2479,J2482,IF($I2483=0,K2480,$I2483*(1+K2482))))</f>
        <v/>
      </c>
      <c r="X2483" s="1227" t="str">
        <f>IF(L2480="","",IF(CNTR_ReportingYear&lt;L2479,K2482,IF($I2483=0,L2480,$I2483*(1+L2482))))</f>
        <v/>
      </c>
      <c r="Y2483" s="1227" t="str">
        <f>IF(M2480="","",IF(CNTR_ReportingYear&lt;M2479,L2482,IF($I2483=0,M2480,$I2483*(1+M2482))))</f>
        <v/>
      </c>
      <c r="Z2483" s="1228" t="str">
        <f>IF(N2480="","",IF(CNTR_ReportingYear&lt;N2479,M2482,IF($I2483=0,N2480,$I2483*(1+N2482))))</f>
        <v/>
      </c>
      <c r="AA2483" s="694"/>
      <c r="AB2483" s="694"/>
      <c r="AC2483" s="694"/>
      <c r="AD2483" s="694"/>
      <c r="AE2483" s="694"/>
      <c r="AF2483" s="694"/>
      <c r="AG2483" s="694"/>
      <c r="AH2483" s="694"/>
      <c r="AI2483" s="694"/>
      <c r="AJ2483" s="694"/>
      <c r="AK2483" s="694"/>
      <c r="AL2483" s="694"/>
    </row>
    <row r="2484" spans="1:38" ht="5.15" customHeight="1" x14ac:dyDescent="0.25">
      <c r="A2484" s="729"/>
      <c r="B2484" s="298"/>
      <c r="C2484" s="1302"/>
      <c r="D2484" s="1208"/>
      <c r="E2484" s="1199"/>
      <c r="F2484" s="1199"/>
      <c r="G2484" s="1199"/>
      <c r="H2484" s="1199"/>
      <c r="I2484" s="1199"/>
      <c r="J2484" s="1229"/>
      <c r="K2484" s="1229"/>
      <c r="L2484" s="1229"/>
      <c r="M2484" s="1229"/>
      <c r="N2484" s="1230"/>
      <c r="O2484" s="302"/>
      <c r="P2484" s="302"/>
      <c r="Q2484" s="729"/>
      <c r="R2484" s="694"/>
      <c r="S2484" s="694"/>
      <c r="T2484" s="694"/>
      <c r="U2484" s="1231"/>
      <c r="V2484" s="729"/>
      <c r="W2484" s="694"/>
      <c r="X2484" s="694"/>
      <c r="Y2484" s="694"/>
      <c r="Z2484" s="1232"/>
      <c r="AA2484" s="694"/>
      <c r="AB2484" s="694"/>
      <c r="AC2484" s="694"/>
      <c r="AD2484" s="694"/>
      <c r="AE2484" s="694"/>
      <c r="AF2484" s="694"/>
      <c r="AG2484" s="694"/>
      <c r="AH2484" s="694"/>
      <c r="AI2484" s="694"/>
      <c r="AJ2484" s="694"/>
      <c r="AK2484" s="694"/>
      <c r="AL2484" s="694"/>
    </row>
    <row r="2485" spans="1:38" ht="12.75" customHeight="1" x14ac:dyDescent="0.25">
      <c r="A2485" s="729"/>
      <c r="B2485" s="298"/>
      <c r="C2485" s="1302"/>
      <c r="D2485" s="1208"/>
      <c r="E2485" s="2823" t="str">
        <f>Translations!$B$1323</f>
        <v>Действителна корекция (база за следващи години)</v>
      </c>
      <c r="F2485" s="2672"/>
      <c r="G2485" s="2672"/>
      <c r="H2485" s="2672"/>
      <c r="I2485" s="2813"/>
      <c r="J2485" s="1202">
        <f>J$2831</f>
        <v>2026</v>
      </c>
      <c r="K2485" s="1203">
        <f>K$2831</f>
        <v>2027</v>
      </c>
      <c r="L2485" s="1203">
        <f>L$2831</f>
        <v>2028</v>
      </c>
      <c r="M2485" s="1203">
        <f>M$2831</f>
        <v>2029</v>
      </c>
      <c r="N2485" s="1204">
        <f>N$2831</f>
        <v>2030</v>
      </c>
      <c r="O2485" s="302"/>
      <c r="P2485" s="302"/>
      <c r="Q2485" s="729"/>
      <c r="R2485" s="694"/>
      <c r="S2485" s="694"/>
      <c r="T2485" s="694"/>
      <c r="U2485" s="1234"/>
      <c r="V2485" s="694"/>
      <c r="W2485" s="694"/>
      <c r="X2485" s="694"/>
      <c r="Y2485" s="694"/>
      <c r="Z2485" s="1232"/>
      <c r="AA2485" s="694"/>
      <c r="AB2485" s="694"/>
      <c r="AC2485" s="694"/>
      <c r="AD2485" s="694"/>
      <c r="AE2485" s="694"/>
      <c r="AF2485" s="694"/>
      <c r="AG2485" s="694"/>
      <c r="AH2485" s="694"/>
      <c r="AI2485" s="694"/>
      <c r="AJ2485" s="694"/>
      <c r="AK2485" s="694"/>
      <c r="AL2485" s="694"/>
    </row>
    <row r="2486" spans="1:38" ht="12.75" customHeight="1" x14ac:dyDescent="0.25">
      <c r="A2486" s="729"/>
      <c r="B2486" s="298"/>
      <c r="C2486" s="1302"/>
      <c r="D2486" s="1208" t="s">
        <v>8</v>
      </c>
      <c r="E2486" s="2822" t="str">
        <f>Translations!$B$1515</f>
        <v>изпълнен ли е критерият за &gt;=300 квоти за емисии?</v>
      </c>
      <c r="F2486" s="2258"/>
      <c r="G2486" s="2258"/>
      <c r="H2486" s="2258"/>
      <c r="I2486" s="2824"/>
      <c r="J2486" s="1236" t="str">
        <f>IF($I2261="","",INDEX(K_Summary!J:J,MATCH($Q2486,K_Summary!$P:$P,0)))</f>
        <v/>
      </c>
      <c r="K2486" s="385" t="str">
        <f>IF($I2261="","",INDEX(K_Summary!K:K,MATCH($Q2486,K_Summary!$P:$P,0)))</f>
        <v/>
      </c>
      <c r="L2486" s="385" t="str">
        <f>IF($I2261="","",INDEX(K_Summary!L:L,MATCH($Q2486,K_Summary!$P:$P,0)))</f>
        <v/>
      </c>
      <c r="M2486" s="385" t="str">
        <f>IF($I2261="","",INDEX(K_Summary!M:M,MATCH($Q2486,K_Summary!$P:$P,0)))</f>
        <v/>
      </c>
      <c r="N2486" s="1237" t="str">
        <f>IF($I2261="","",INDEX(K_Summary!N:N,MATCH($Q2486,K_Summary!$P:$P,0)))</f>
        <v/>
      </c>
      <c r="O2486" s="302"/>
      <c r="P2486" s="302"/>
      <c r="Q2486" s="1182" t="str">
        <f>EUconst_CNTR_300EUA&amp;I2261</f>
        <v>EUA300_</v>
      </c>
      <c r="R2486" s="694"/>
      <c r="S2486" s="694"/>
      <c r="T2486" s="694"/>
      <c r="U2486" s="1234"/>
      <c r="V2486" s="694"/>
      <c r="W2486" s="694"/>
      <c r="X2486" s="694"/>
      <c r="Y2486" s="694"/>
      <c r="Z2486" s="1232"/>
      <c r="AA2486" s="694"/>
      <c r="AB2486" s="694"/>
      <c r="AC2486" s="694"/>
      <c r="AD2486" s="694"/>
      <c r="AE2486" s="694"/>
      <c r="AF2486" s="694"/>
      <c r="AG2486" s="694"/>
      <c r="AH2486" s="694"/>
      <c r="AI2486" s="694"/>
      <c r="AJ2486" s="694"/>
      <c r="AK2486" s="694"/>
      <c r="AL2486" s="694"/>
    </row>
    <row r="2487" spans="1:38" ht="5.15" customHeight="1" thickBot="1" x14ac:dyDescent="0.3">
      <c r="A2487" s="729"/>
      <c r="B2487" s="298"/>
      <c r="C2487" s="1302"/>
      <c r="D2487" s="1208"/>
      <c r="E2487" s="1199"/>
      <c r="F2487" s="1199"/>
      <c r="G2487" s="1199"/>
      <c r="H2487" s="1199"/>
      <c r="I2487" s="1199"/>
      <c r="J2487" s="1199"/>
      <c r="K2487" s="1199"/>
      <c r="L2487" s="1199"/>
      <c r="M2487" s="1199"/>
      <c r="N2487" s="1238"/>
      <c r="O2487" s="302"/>
      <c r="P2487" s="302"/>
      <c r="Q2487" s="729"/>
      <c r="R2487" s="694"/>
      <c r="S2487" s="694"/>
      <c r="T2487" s="694"/>
      <c r="U2487" s="1231"/>
      <c r="V2487" s="729"/>
      <c r="W2487" s="694"/>
      <c r="X2487" s="694"/>
      <c r="Y2487" s="694"/>
      <c r="Z2487" s="1232"/>
      <c r="AA2487" s="694"/>
      <c r="AB2487" s="694"/>
      <c r="AC2487" s="694"/>
      <c r="AD2487" s="694"/>
      <c r="AE2487" s="694"/>
      <c r="AF2487" s="694"/>
      <c r="AG2487" s="694"/>
      <c r="AH2487" s="694"/>
      <c r="AI2487" s="694"/>
      <c r="AJ2487" s="694"/>
      <c r="AK2487" s="694"/>
      <c r="AL2487" s="694"/>
    </row>
    <row r="2488" spans="1:38" ht="12.75" customHeight="1" thickBot="1" x14ac:dyDescent="0.3">
      <c r="A2488" s="694"/>
      <c r="B2488" s="298"/>
      <c r="C2488" s="1302"/>
      <c r="D2488" s="1208" t="s">
        <v>18</v>
      </c>
      <c r="E2488" s="2822" t="str">
        <f>Translations!$B$1324</f>
        <v>Действителна корекция (ако са надвишени всички прагове)</v>
      </c>
      <c r="F2488" s="2258"/>
      <c r="G2488" s="2258"/>
      <c r="H2488" s="2258"/>
      <c r="I2488" s="2824"/>
      <c r="J2488" s="1240" t="str">
        <f>IF(J2486="","",IF(OR(J2486,V2480&lt;1),J2482,I2488))</f>
        <v/>
      </c>
      <c r="K2488" s="1241" t="str">
        <f>IF(K2486="","",IF(OR(K2486,W2480&lt;1),K2482,J2488))</f>
        <v/>
      </c>
      <c r="L2488" s="1241" t="str">
        <f>IF(L2486="","",IF(OR(L2486,X2480&lt;1),L2482,K2488))</f>
        <v/>
      </c>
      <c r="M2488" s="1241" t="str">
        <f>IF(M2486="","",IF(OR(M2486,Y2480&lt;1),M2482,L2488))</f>
        <v/>
      </c>
      <c r="N2488" s="1242" t="str">
        <f>IF(N2486="","",IF(OR(N2486,Z2480&lt;1),N2482,M2488))</f>
        <v/>
      </c>
      <c r="O2488" s="302"/>
      <c r="P2488" s="302"/>
      <c r="Q2488" s="729"/>
      <c r="R2488" s="694"/>
      <c r="S2488" s="694"/>
      <c r="T2488" s="694"/>
      <c r="U2488" s="1231" t="s">
        <v>1718</v>
      </c>
      <c r="V2488" s="1243">
        <f>J2485</f>
        <v>2026</v>
      </c>
      <c r="W2488" s="1243">
        <f>K2485</f>
        <v>2027</v>
      </c>
      <c r="X2488" s="1243">
        <f>L2485</f>
        <v>2028</v>
      </c>
      <c r="Y2488" s="1243">
        <f>M2485</f>
        <v>2029</v>
      </c>
      <c r="Z2488" s="1244">
        <f>N2485</f>
        <v>2030</v>
      </c>
      <c r="AA2488" s="694"/>
      <c r="AB2488" s="694"/>
      <c r="AC2488" s="694"/>
      <c r="AD2488" s="694"/>
      <c r="AE2488" s="694"/>
      <c r="AF2488" s="694"/>
      <c r="AG2488" s="694"/>
      <c r="AH2488" s="694"/>
      <c r="AI2488" s="694"/>
      <c r="AJ2488" s="694"/>
      <c r="AK2488" s="694"/>
      <c r="AL2488" s="694"/>
    </row>
    <row r="2489" spans="1:38" ht="12.75" customHeight="1" thickBot="1" x14ac:dyDescent="0.3">
      <c r="A2489" s="729"/>
      <c r="B2489" s="298"/>
      <c r="C2489" s="1302"/>
      <c r="D2489" s="1208" t="s">
        <v>810</v>
      </c>
      <c r="E2489" s="2822" t="str">
        <f>Translations!$B$1325</f>
        <v>Действителна стойност</v>
      </c>
      <c r="F2489" s="2258"/>
      <c r="G2489" s="2258"/>
      <c r="H2489" s="1266" t="str">
        <f>H2480</f>
        <v>t CO2</v>
      </c>
      <c r="I2489" s="1211" t="str">
        <f>I2483</f>
        <v/>
      </c>
      <c r="J2489" s="632" t="str">
        <f>IF($I2261="","",IF(OR($I2489=0,$I2489=EUconst_NA),IF(OR(J2486=TRUE,J2485=$V2261),J2483,SUM(I2489)),IF(J2488="",J2483,$I2489*(1+SUM(J2488)))))</f>
        <v/>
      </c>
      <c r="K2489" s="633" t="str">
        <f>IF($I2261="","",IF(OR($I2489=0,$I2489=EUconst_NA),IF(OR(K2486=TRUE,K2485=$V2261),K2483,SUM(J2489)),IF(K2488="",K2483,$I2489*(1+SUM(K2488)))))</f>
        <v/>
      </c>
      <c r="L2489" s="633" t="str">
        <f>IF($I2261="","",IF(OR($I2489=0,$I2489=EUconst_NA),IF(OR(L2486=TRUE,L2485=$V2261),L2483,SUM(K2489)),IF(L2488="",L2483,$I2489*(1+SUM(L2488)))))</f>
        <v/>
      </c>
      <c r="M2489" s="633" t="str">
        <f>IF($I2261="","",IF(OR($I2489=0,$I2489=EUconst_NA),IF(OR(M2486=TRUE,M2485=$V2261),M2483,SUM(L2489)),IF(M2488="",M2483,$I2489*(1+SUM(M2488)))))</f>
        <v/>
      </c>
      <c r="N2489" s="634" t="str">
        <f>IF($I2261="","",IF(OR($I2489=0,$I2489=EUconst_NA),IF(OR(N2486=TRUE,N2485=$V2261),N2483,SUM(M2489)),IF(N2488="",N2483,$I2489*(1+SUM(N2488)))))</f>
        <v/>
      </c>
      <c r="O2489" s="302"/>
      <c r="P2489" s="302"/>
      <c r="Q2489" s="1190" t="str">
        <f>EUconst_CNTR_HALfinal&amp;EUconst_CNTR_WGFlared &amp; I2261</f>
        <v>HALfinal_WasteGasFlare_</v>
      </c>
      <c r="R2489" s="694"/>
      <c r="S2489" s="694"/>
      <c r="T2489" s="694"/>
      <c r="U2489" s="1245" t="b">
        <v>0</v>
      </c>
      <c r="V2489" s="1246" t="str">
        <f>IF(V2439,IF(J2486=TRUE,V2269,U2489),"")</f>
        <v/>
      </c>
      <c r="W2489" s="1246" t="str">
        <f>IF(W2439,IF(K2486=TRUE,W2269,V2489),"")</f>
        <v/>
      </c>
      <c r="X2489" s="1246" t="str">
        <f>IF(X2439,IF(L2486=TRUE,X2269,W2489),"")</f>
        <v/>
      </c>
      <c r="Y2489" s="1246" t="str">
        <f>IF(Y2439,IF(M2486=TRUE,Y2269,X2489),"")</f>
        <v/>
      </c>
      <c r="Z2489" s="1247" t="str">
        <f>IF(Z2439,IF(N2486=TRUE,Z2269,Y2489),"")</f>
        <v/>
      </c>
      <c r="AA2489" s="694"/>
      <c r="AB2489" s="694"/>
      <c r="AC2489" s="694"/>
      <c r="AD2489" s="694"/>
      <c r="AE2489" s="694"/>
      <c r="AF2489" s="694"/>
      <c r="AG2489" s="694"/>
      <c r="AH2489" s="694"/>
      <c r="AI2489" s="694"/>
      <c r="AJ2489" s="1174" t="s">
        <v>2033</v>
      </c>
      <c r="AK2489" s="982" t="str">
        <f>IF(OR(ISERROR(J2489),ISERROR(K2489),ISERROR(L2489),ISERROR(M2489),ISERROR(N2489)),EUconst_Error &amp; "BM" &amp; Q2261,"")</f>
        <v/>
      </c>
      <c r="AL2489" s="694"/>
    </row>
    <row r="2490" spans="1:38" ht="5.15" customHeight="1" thickBot="1" x14ac:dyDescent="0.3">
      <c r="A2490" s="694"/>
      <c r="B2490" s="298"/>
      <c r="C2490" s="1302"/>
      <c r="D2490" s="1366"/>
      <c r="E2490" s="1367"/>
      <c r="F2490" s="1367"/>
      <c r="G2490" s="1367"/>
      <c r="H2490" s="1368"/>
      <c r="I2490" s="1367"/>
      <c r="J2490" s="1367"/>
      <c r="K2490" s="1367"/>
      <c r="L2490" s="1367"/>
      <c r="M2490" s="1249"/>
      <c r="N2490" s="1250"/>
      <c r="O2490" s="302"/>
      <c r="P2490" s="302"/>
      <c r="Q2490" s="729"/>
      <c r="R2490" s="694"/>
      <c r="S2490" s="729"/>
      <c r="T2490" s="729"/>
      <c r="U2490" s="729"/>
      <c r="V2490" s="729"/>
      <c r="W2490" s="694"/>
      <c r="X2490" s="694"/>
      <c r="Y2490" s="694"/>
      <c r="Z2490" s="694"/>
      <c r="AA2490" s="694"/>
      <c r="AB2490" s="694"/>
      <c r="AC2490" s="694"/>
      <c r="AD2490" s="694"/>
      <c r="AE2490" s="694"/>
      <c r="AF2490" s="694"/>
      <c r="AG2490" s="694"/>
      <c r="AH2490" s="694"/>
      <c r="AI2490" s="694"/>
      <c r="AJ2490" s="694"/>
      <c r="AK2490" s="694"/>
      <c r="AL2490" s="694"/>
    </row>
    <row r="2491" spans="1:38" ht="5.15" customHeight="1" x14ac:dyDescent="0.25">
      <c r="A2491" s="694"/>
      <c r="B2491" s="298"/>
      <c r="C2491" s="1302"/>
      <c r="D2491" s="1306"/>
      <c r="E2491" s="1306"/>
      <c r="F2491" s="1306"/>
      <c r="G2491" s="1306"/>
      <c r="H2491" s="1354"/>
      <c r="I2491" s="1306"/>
      <c r="J2491" s="1306"/>
      <c r="K2491" s="1306"/>
      <c r="L2491" s="1306"/>
      <c r="M2491" s="626"/>
      <c r="N2491" s="1316"/>
      <c r="O2491" s="302"/>
      <c r="P2491" s="302"/>
      <c r="Q2491" s="729"/>
      <c r="R2491" s="694"/>
      <c r="S2491" s="729"/>
      <c r="T2491" s="729"/>
      <c r="U2491" s="729"/>
      <c r="V2491" s="729"/>
      <c r="W2491" s="694"/>
      <c r="X2491" s="694"/>
      <c r="Y2491" s="694"/>
      <c r="Z2491" s="694"/>
      <c r="AA2491" s="694"/>
      <c r="AB2491" s="694"/>
      <c r="AC2491" s="694"/>
      <c r="AD2491" s="694"/>
      <c r="AE2491" s="694"/>
      <c r="AF2491" s="694"/>
      <c r="AG2491" s="694"/>
      <c r="AH2491" s="694"/>
      <c r="AI2491" s="694"/>
      <c r="AJ2491" s="694"/>
      <c r="AK2491" s="694"/>
      <c r="AL2491" s="694"/>
    </row>
    <row r="2492" spans="1:38" ht="12.75" customHeight="1" x14ac:dyDescent="0.25">
      <c r="A2492" s="694"/>
      <c r="B2492" s="298"/>
      <c r="C2492" s="1302"/>
      <c r="D2492" s="625" t="s">
        <v>1140</v>
      </c>
      <c r="E2492" s="2815" t="str">
        <f>Translations!$B$582</f>
        <v>Видове получени отпадни газове:</v>
      </c>
      <c r="F2492" s="2240"/>
      <c r="G2492" s="2240"/>
      <c r="H2492" s="2684"/>
      <c r="I2492" s="2821"/>
      <c r="J2492" s="2674"/>
      <c r="K2492" s="2674"/>
      <c r="L2492" s="2674"/>
      <c r="M2492" s="2675"/>
      <c r="N2492" s="1316"/>
      <c r="O2492" s="302"/>
      <c r="P2492" s="158"/>
      <c r="Q2492" s="729"/>
      <c r="R2492" s="694"/>
      <c r="S2492" s="729"/>
      <c r="T2492" s="694"/>
      <c r="U2492" s="694"/>
      <c r="V2492" s="694"/>
      <c r="W2492" s="694"/>
      <c r="X2492" s="694"/>
      <c r="Y2492" s="694"/>
      <c r="Z2492" s="694"/>
      <c r="AA2492" s="694"/>
      <c r="AB2492" s="694"/>
      <c r="AC2492" s="1182" t="s">
        <v>737</v>
      </c>
      <c r="AD2492" s="982" t="b">
        <f>AD2466</f>
        <v>0</v>
      </c>
      <c r="AE2492" s="694"/>
      <c r="AF2492" s="694"/>
      <c r="AG2492" s="694"/>
      <c r="AH2492" s="694"/>
      <c r="AI2492" s="694"/>
      <c r="AJ2492" s="694"/>
      <c r="AK2492" s="694"/>
      <c r="AL2492" s="694"/>
    </row>
    <row r="2493" spans="1:38" ht="12.75" customHeight="1" x14ac:dyDescent="0.25">
      <c r="A2493" s="694"/>
      <c r="B2493" s="298"/>
      <c r="C2493" s="1302"/>
      <c r="D2493" s="625"/>
      <c r="E2493" s="2816" t="str">
        <f>Translations!$B$583</f>
        <v>Посочените тук данни ще се отразят на емисиите, които могат да бъдат зададени съгласно раздел 10.1.5 от приложение VII към ПБР.</v>
      </c>
      <c r="F2493" s="2240"/>
      <c r="G2493" s="2240"/>
      <c r="H2493" s="2240"/>
      <c r="I2493" s="2240"/>
      <c r="J2493" s="2240"/>
      <c r="K2493" s="2240"/>
      <c r="L2493" s="2240"/>
      <c r="M2493" s="2240"/>
      <c r="N2493" s="2811"/>
      <c r="O2493" s="302"/>
      <c r="P2493" s="302"/>
      <c r="Q2493" s="729"/>
      <c r="R2493" s="694"/>
      <c r="S2493" s="729"/>
      <c r="T2493" s="729"/>
      <c r="U2493" s="729"/>
      <c r="V2493" s="729"/>
      <c r="W2493" s="694"/>
      <c r="X2493" s="694"/>
      <c r="Y2493" s="694"/>
      <c r="Z2493" s="694"/>
      <c r="AA2493" s="694"/>
      <c r="AB2493" s="694"/>
      <c r="AC2493" s="694"/>
      <c r="AD2493" s="694"/>
      <c r="AE2493" s="694"/>
      <c r="AF2493" s="694"/>
      <c r="AG2493" s="694"/>
      <c r="AH2493" s="694"/>
      <c r="AI2493" s="694"/>
      <c r="AJ2493" s="694"/>
      <c r="AK2493" s="694"/>
      <c r="AL2493" s="694"/>
    </row>
    <row r="2494" spans="1:38" ht="25.5" customHeight="1" x14ac:dyDescent="0.25">
      <c r="A2494" s="694"/>
      <c r="B2494" s="298"/>
      <c r="C2494" s="1302"/>
      <c r="D2494" s="625"/>
      <c r="E2494" s="2810" t="str">
        <f>Translations!$B$584</f>
        <v>Това включва всички видове отпадни газове, произведени извън системните граници на тази подинсталация, но получени от нея и използвани за производството на измерима топлинна енергия, неизмерима топлинна енергия (включително необходимото за безопасността изгаряне във факел) или механична енергия (различна от тази за електропроизводство).</v>
      </c>
      <c r="F2494" s="2240"/>
      <c r="G2494" s="2240"/>
      <c r="H2494" s="2240"/>
      <c r="I2494" s="2240"/>
      <c r="J2494" s="2240"/>
      <c r="K2494" s="2240"/>
      <c r="L2494" s="2240"/>
      <c r="M2494" s="2240"/>
      <c r="N2494" s="2811"/>
      <c r="O2494" s="302"/>
      <c r="P2494" s="302"/>
      <c r="Q2494" s="729"/>
      <c r="R2494" s="694"/>
      <c r="S2494" s="729"/>
      <c r="T2494" s="729"/>
      <c r="U2494" s="729"/>
      <c r="V2494" s="729"/>
      <c r="W2494" s="694"/>
      <c r="X2494" s="694"/>
      <c r="Y2494" s="694"/>
      <c r="Z2494" s="694"/>
      <c r="AA2494" s="694"/>
      <c r="AB2494" s="694"/>
      <c r="AC2494" s="694"/>
      <c r="AD2494" s="694"/>
      <c r="AE2494" s="694"/>
      <c r="AF2494" s="694"/>
      <c r="AG2494" s="694"/>
      <c r="AH2494" s="694"/>
      <c r="AI2494" s="694"/>
      <c r="AJ2494" s="694"/>
      <c r="AK2494" s="694"/>
      <c r="AL2494" s="694"/>
    </row>
    <row r="2495" spans="1:38" ht="12.75" customHeight="1" thickBot="1" x14ac:dyDescent="0.3">
      <c r="A2495" s="694"/>
      <c r="B2495" s="298"/>
      <c r="C2495" s="1302"/>
      <c r="D2495" s="1306"/>
      <c r="E2495" s="1317"/>
      <c r="F2495" s="1318"/>
      <c r="G2495" s="1309" t="str">
        <f>EUconst_Unit</f>
        <v>Единица мярка</v>
      </c>
      <c r="H2495" s="629">
        <f t="shared" ref="H2495:N2495" si="3568">H$2831</f>
        <v>2024</v>
      </c>
      <c r="I2495" s="1310">
        <f t="shared" si="3568"/>
        <v>2025</v>
      </c>
      <c r="J2495" s="1311">
        <f t="shared" si="3568"/>
        <v>2026</v>
      </c>
      <c r="K2495" s="629">
        <f t="shared" si="3568"/>
        <v>2027</v>
      </c>
      <c r="L2495" s="629">
        <f t="shared" si="3568"/>
        <v>2028</v>
      </c>
      <c r="M2495" s="629">
        <f t="shared" si="3568"/>
        <v>2029</v>
      </c>
      <c r="N2495" s="1312">
        <f t="shared" si="3568"/>
        <v>2030</v>
      </c>
      <c r="O2495" s="302"/>
      <c r="P2495" s="302"/>
      <c r="Q2495" s="729"/>
      <c r="R2495" s="694"/>
      <c r="S2495" s="729"/>
      <c r="T2495" s="729"/>
      <c r="U2495" s="729"/>
      <c r="V2495" s="729"/>
      <c r="W2495" s="694"/>
      <c r="X2495" s="694"/>
      <c r="Y2495" s="694"/>
      <c r="Z2495" s="694"/>
      <c r="AA2495" s="694"/>
      <c r="AB2495" s="694"/>
      <c r="AC2495" s="1178">
        <f t="shared" ref="AC2495" si="3569">H$20</f>
        <v>2024</v>
      </c>
      <c r="AD2495" s="1178">
        <f t="shared" ref="AD2495" si="3570">I$20</f>
        <v>2025</v>
      </c>
      <c r="AE2495" s="1178">
        <f t="shared" ref="AE2495" si="3571">J$20</f>
        <v>2026</v>
      </c>
      <c r="AF2495" s="1178">
        <f t="shared" ref="AF2495" si="3572">K$20</f>
        <v>2027</v>
      </c>
      <c r="AG2495" s="1178">
        <f t="shared" ref="AG2495" si="3573">L$20</f>
        <v>2028</v>
      </c>
      <c r="AH2495" s="1178">
        <f t="shared" ref="AH2495" si="3574">M$20</f>
        <v>2029</v>
      </c>
      <c r="AI2495" s="1178">
        <f t="shared" ref="AI2495" si="3575">N$20</f>
        <v>2030</v>
      </c>
      <c r="AJ2495" s="694"/>
      <c r="AK2495" s="694"/>
      <c r="AL2495" s="694"/>
    </row>
    <row r="2496" spans="1:38" ht="12.75" customHeight="1" thickBot="1" x14ac:dyDescent="0.3">
      <c r="A2496" s="694"/>
      <c r="B2496" s="298"/>
      <c r="C2496" s="1302"/>
      <c r="D2496" s="625" t="s">
        <v>1141</v>
      </c>
      <c r="E2496" s="2818" t="str">
        <f>Translations!$B$585</f>
        <v>Получени количества</v>
      </c>
      <c r="F2496" s="2701"/>
      <c r="G2496" s="145"/>
      <c r="H2496" s="129"/>
      <c r="I2496" s="130"/>
      <c r="J2496" s="131"/>
      <c r="K2496" s="129"/>
      <c r="L2496" s="129"/>
      <c r="M2496" s="129"/>
      <c r="N2496" s="132"/>
      <c r="O2496" s="302"/>
      <c r="P2496" s="158"/>
      <c r="Q2496" s="729"/>
      <c r="R2496" s="694"/>
      <c r="S2496" s="729"/>
      <c r="T2496" s="729"/>
      <c r="U2496" s="729"/>
      <c r="V2496" s="729"/>
      <c r="W2496" s="694"/>
      <c r="X2496" s="694"/>
      <c r="Y2496" s="694"/>
      <c r="Z2496" s="694"/>
      <c r="AA2496" s="694"/>
      <c r="AB2496" s="1182" t="s">
        <v>737</v>
      </c>
      <c r="AC2496" s="982" t="b">
        <f t="shared" ref="AC2496:AI2496" si="3576">AC2452</f>
        <v>0</v>
      </c>
      <c r="AD2496" s="982" t="b">
        <f t="shared" si="3576"/>
        <v>0</v>
      </c>
      <c r="AE2496" s="982" t="b">
        <f t="shared" si="3576"/>
        <v>0</v>
      </c>
      <c r="AF2496" s="982" t="b">
        <f t="shared" si="3576"/>
        <v>0</v>
      </c>
      <c r="AG2496" s="982" t="b">
        <f t="shared" si="3576"/>
        <v>0</v>
      </c>
      <c r="AH2496" s="982" t="b">
        <f t="shared" si="3576"/>
        <v>0</v>
      </c>
      <c r="AI2496" s="982" t="b">
        <f t="shared" si="3576"/>
        <v>0</v>
      </c>
      <c r="AJ2496" s="1174" t="s">
        <v>2039</v>
      </c>
      <c r="AK2496" s="1176" t="str">
        <f>IF(AND(CNTR_ExistSubInstEntries,MSconst_RequireSubAttrEmissions,COUNTIFS(AC2496:AI2496,FALSE,H2496:N2496,"")&gt;0),EUconst_Error&amp;"BM"&amp;$Q2261,"")</f>
        <v/>
      </c>
      <c r="AL2496" s="694"/>
    </row>
    <row r="2497" spans="1:38" ht="12.75" customHeight="1" x14ac:dyDescent="0.25">
      <c r="A2497" s="694"/>
      <c r="B2497" s="298"/>
      <c r="C2497" s="1302"/>
      <c r="D2497" s="625" t="s">
        <v>1142</v>
      </c>
      <c r="E2497" s="2819" t="str">
        <f>Translations!$B$296</f>
        <v>Долна топлина на изгаряне</v>
      </c>
      <c r="F2497" s="2705"/>
      <c r="G2497" s="1349" t="str">
        <f>IF(ISBLANK(G2496),EUconst_GJperUnit,INDEX(EUconst_GJperTorKNm3,MATCH(G2496,EUconst_TonnesOrkNm3pa,0)))</f>
        <v>GJ / Единица мярка</v>
      </c>
      <c r="H2497" s="137"/>
      <c r="I2497" s="138"/>
      <c r="J2497" s="139"/>
      <c r="K2497" s="137"/>
      <c r="L2497" s="137"/>
      <c r="M2497" s="137"/>
      <c r="N2497" s="140"/>
      <c r="O2497" s="302"/>
      <c r="P2497" s="158"/>
      <c r="Q2497" s="729"/>
      <c r="R2497" s="694"/>
      <c r="S2497" s="1205"/>
      <c r="T2497" s="1313">
        <f t="shared" ref="T2497" si="3577">H2495</f>
        <v>2024</v>
      </c>
      <c r="U2497" s="1313">
        <f t="shared" ref="U2497" si="3578">I2495</f>
        <v>2025</v>
      </c>
      <c r="V2497" s="1313">
        <f t="shared" ref="V2497" si="3579">J2495</f>
        <v>2026</v>
      </c>
      <c r="W2497" s="1313">
        <f t="shared" ref="W2497" si="3580">K2495</f>
        <v>2027</v>
      </c>
      <c r="X2497" s="1313">
        <f t="shared" ref="X2497" si="3581">L2495</f>
        <v>2028</v>
      </c>
      <c r="Y2497" s="1313">
        <f t="shared" ref="Y2497" si="3582">M2495</f>
        <v>2029</v>
      </c>
      <c r="Z2497" s="1314">
        <f t="shared" ref="Z2497" si="3583">N2495</f>
        <v>2030</v>
      </c>
      <c r="AA2497" s="694"/>
      <c r="AB2497" s="694"/>
      <c r="AC2497" s="982" t="b">
        <f>AC2496</f>
        <v>0</v>
      </c>
      <c r="AD2497" s="982" t="b">
        <f t="shared" ref="AD2497:AI2497" si="3584">AD2496</f>
        <v>0</v>
      </c>
      <c r="AE2497" s="982" t="b">
        <f t="shared" si="3584"/>
        <v>0</v>
      </c>
      <c r="AF2497" s="982" t="b">
        <f t="shared" si="3584"/>
        <v>0</v>
      </c>
      <c r="AG2497" s="982" t="b">
        <f t="shared" si="3584"/>
        <v>0</v>
      </c>
      <c r="AH2497" s="982" t="b">
        <f t="shared" si="3584"/>
        <v>0</v>
      </c>
      <c r="AI2497" s="982" t="b">
        <f t="shared" si="3584"/>
        <v>0</v>
      </c>
      <c r="AJ2497" s="1174" t="s">
        <v>2039</v>
      </c>
      <c r="AK2497" s="1176" t="str">
        <f>IF(AND(CNTR_ExistSubInstEntries,MSconst_RequireSubAttrEmissions,COUNTIFS(AC2497:AI2497,FALSE,H2497:N2497,"")&gt;0),EUconst_Error&amp;"BM"&amp;$Q2261,"")</f>
        <v/>
      </c>
      <c r="AL2497" s="694"/>
    </row>
    <row r="2498" spans="1:38" ht="12.75" customHeight="1" x14ac:dyDescent="0.25">
      <c r="A2498" s="694"/>
      <c r="B2498" s="298"/>
      <c r="C2498" s="1302"/>
      <c r="D2498" s="625" t="s">
        <v>1143</v>
      </c>
      <c r="E2498" s="2820" t="str">
        <f>Translations!$B$586</f>
        <v>Получен отпаден газ</v>
      </c>
      <c r="F2498" s="2258"/>
      <c r="G2498" s="1319" t="str">
        <f>EUconst_TJpa</f>
        <v>TJ / година</v>
      </c>
      <c r="H2498" s="1020" t="str">
        <f t="shared" ref="H2498:N2498" si="3585">IF(COUNT(H2496:H2497)=2,H2496*H2497/1000,"")</f>
        <v/>
      </c>
      <c r="I2498" s="1369" t="str">
        <f t="shared" si="3585"/>
        <v/>
      </c>
      <c r="J2498" s="1370" t="str">
        <f t="shared" si="3585"/>
        <v/>
      </c>
      <c r="K2498" s="1020" t="str">
        <f t="shared" si="3585"/>
        <v/>
      </c>
      <c r="L2498" s="1020" t="str">
        <f t="shared" si="3585"/>
        <v/>
      </c>
      <c r="M2498" s="1020" t="str">
        <f t="shared" si="3585"/>
        <v/>
      </c>
      <c r="N2498" s="1371" t="str">
        <f t="shared" si="3585"/>
        <v/>
      </c>
      <c r="O2498" s="302"/>
      <c r="P2498" s="302"/>
      <c r="Q2498" s="1190" t="str">
        <f>EUconst_CNTR_WGImport &amp; I2261</f>
        <v>WasteGasIm_</v>
      </c>
      <c r="R2498" s="694"/>
      <c r="S2498" s="1347" t="str">
        <f>EUconst_ERR_AttrEmBMapplied &amp; I2261</f>
        <v>ERR_AttrEmBM_</v>
      </c>
      <c r="T2498" s="982">
        <f t="shared" ref="T2498" si="3586">IF(AND(H2498&lt;&gt;"",EUconst_StatusOfDataCollection=FALSE),1,0)</f>
        <v>0</v>
      </c>
      <c r="U2498" s="982">
        <f t="shared" ref="U2498" si="3587">IF(AND(I2498&lt;&gt;"",EUconst_StatusOfDataCollection=FALSE),1,0)</f>
        <v>0</v>
      </c>
      <c r="V2498" s="982">
        <f t="shared" ref="V2498" si="3588">IF(AND(J2498&lt;&gt;"",EUconst_StatusOfDataCollection=FALSE),1,0)</f>
        <v>0</v>
      </c>
      <c r="W2498" s="982">
        <f t="shared" ref="W2498" si="3589">IF(AND(K2498&lt;&gt;"",EUconst_StatusOfDataCollection=FALSE),1,0)</f>
        <v>0</v>
      </c>
      <c r="X2498" s="982">
        <f t="shared" ref="X2498" si="3590">IF(AND(L2498&lt;&gt;"",EUconst_StatusOfDataCollection=FALSE),1,0)</f>
        <v>0</v>
      </c>
      <c r="Y2498" s="982">
        <f t="shared" ref="Y2498" si="3591">IF(AND(M2498&lt;&gt;"",EUconst_StatusOfDataCollection=FALSE),1,0)</f>
        <v>0</v>
      </c>
      <c r="Z2498" s="1287">
        <f t="shared" ref="Z2498" si="3592">IF(AND(N2498&lt;&gt;"",EUconst_StatusOfDataCollection=FALSE),1,0)</f>
        <v>0</v>
      </c>
      <c r="AA2498" s="694"/>
      <c r="AB2498" s="694"/>
      <c r="AC2498" s="694"/>
      <c r="AD2498" s="694"/>
      <c r="AE2498" s="694"/>
      <c r="AF2498" s="694"/>
      <c r="AG2498" s="694"/>
      <c r="AH2498" s="694"/>
      <c r="AI2498" s="694"/>
      <c r="AJ2498" s="694"/>
      <c r="AK2498" s="694"/>
      <c r="AL2498" s="694"/>
    </row>
    <row r="2499" spans="1:38" s="364" customFormat="1" ht="12.75" customHeight="1" thickBot="1" x14ac:dyDescent="0.3">
      <c r="A2499" s="729"/>
      <c r="B2499" s="298"/>
      <c r="C2499" s="1302"/>
      <c r="D2499" s="625" t="s">
        <v>1144</v>
      </c>
      <c r="E2499" s="2820" t="str">
        <f>Translations!$B$587</f>
        <v>Специфичен EF (получен отпаден газ)</v>
      </c>
      <c r="F2499" s="2258"/>
      <c r="G2499" s="642" t="str">
        <f>EUconst_tCO2pTJ</f>
        <v>t CO2 / TJ</v>
      </c>
      <c r="H2499" s="146"/>
      <c r="I2499" s="147"/>
      <c r="J2499" s="148"/>
      <c r="K2499" s="146"/>
      <c r="L2499" s="146"/>
      <c r="M2499" s="146"/>
      <c r="N2499" s="149"/>
      <c r="O2499" s="302"/>
      <c r="P2499" s="158"/>
      <c r="Q2499" s="1190" t="str">
        <f>EUconst_CNTR_WGImportEF &amp; I2261</f>
        <v>WasteGasImEF_</v>
      </c>
      <c r="R2499" s="729"/>
      <c r="S2499" s="1315" t="str">
        <f>EUconst_CNTR_AttributedEmissions &amp; I2261</f>
        <v>AttrEmissions_</v>
      </c>
      <c r="T2499" s="1290" t="str">
        <f t="shared" ref="T2499" si="3593">IF(T2269,SUM(H2498)*EUconst_FuelBMvalue,"")</f>
        <v/>
      </c>
      <c r="U2499" s="1290" t="str">
        <f t="shared" ref="U2499" si="3594">IF(U2269,SUM(I2498)*EUconst_FuelBMvalue,"")</f>
        <v/>
      </c>
      <c r="V2499" s="1290" t="str">
        <f t="shared" ref="V2499" si="3595">IF(V2269,SUM(J2498)*EUconst_FuelBMvalue,"")</f>
        <v/>
      </c>
      <c r="W2499" s="1290" t="str">
        <f t="shared" ref="W2499" si="3596">IF(W2269,SUM(K2498)*EUconst_FuelBMvalue,"")</f>
        <v/>
      </c>
      <c r="X2499" s="1290" t="str">
        <f t="shared" ref="X2499" si="3597">IF(X2269,SUM(L2498)*EUconst_FuelBMvalue,"")</f>
        <v/>
      </c>
      <c r="Y2499" s="1290" t="str">
        <f t="shared" ref="Y2499" si="3598">IF(Y2269,SUM(M2498)*EUconst_FuelBMvalue,"")</f>
        <v/>
      </c>
      <c r="Z2499" s="1291" t="str">
        <f t="shared" ref="Z2499" si="3599">IF(Z2269,SUM(N2498)*EUconst_FuelBMvalue,"")</f>
        <v/>
      </c>
      <c r="AA2499" s="729"/>
      <c r="AB2499" s="1182" t="s">
        <v>737</v>
      </c>
      <c r="AC2499" s="982" t="b">
        <f>AC2497</f>
        <v>0</v>
      </c>
      <c r="AD2499" s="982" t="b">
        <f t="shared" ref="AD2499:AI2499" si="3600">AD2497</f>
        <v>0</v>
      </c>
      <c r="AE2499" s="982" t="b">
        <f t="shared" si="3600"/>
        <v>0</v>
      </c>
      <c r="AF2499" s="982" t="b">
        <f t="shared" si="3600"/>
        <v>0</v>
      </c>
      <c r="AG2499" s="982" t="b">
        <f t="shared" si="3600"/>
        <v>0</v>
      </c>
      <c r="AH2499" s="982" t="b">
        <f t="shared" si="3600"/>
        <v>0</v>
      </c>
      <c r="AI2499" s="982" t="b">
        <f t="shared" si="3600"/>
        <v>0</v>
      </c>
      <c r="AJ2499" s="1174" t="s">
        <v>2039</v>
      </c>
      <c r="AK2499" s="1176" t="str">
        <f>IF(AND(CNTR_ExistSubInstEntries,MSconst_RequireSubAttrEmissions,COUNTIFS(AC2499:AI2499,FALSE,H2499:N2499,"")&gt;0),EUconst_Error&amp;"BM"&amp;$Q2261,"")</f>
        <v/>
      </c>
      <c r="AL2499" s="694"/>
    </row>
    <row r="2500" spans="1:38" ht="12.75" customHeight="1" x14ac:dyDescent="0.25">
      <c r="A2500" s="694"/>
      <c r="B2500" s="298"/>
      <c r="C2500" s="1302"/>
      <c r="D2500" s="1306"/>
      <c r="E2500" s="1306"/>
      <c r="F2500" s="1306"/>
      <c r="G2500" s="1306"/>
      <c r="H2500" s="1354"/>
      <c r="I2500" s="1306"/>
      <c r="J2500" s="1306"/>
      <c r="K2500" s="1306"/>
      <c r="L2500" s="1306"/>
      <c r="M2500" s="626"/>
      <c r="N2500" s="1316"/>
      <c r="O2500" s="302"/>
      <c r="P2500" s="302"/>
      <c r="Q2500" s="729"/>
      <c r="R2500" s="694"/>
      <c r="S2500" s="729"/>
      <c r="T2500" s="729"/>
      <c r="U2500" s="729"/>
      <c r="V2500" s="729"/>
      <c r="W2500" s="694"/>
      <c r="X2500" s="694"/>
      <c r="Y2500" s="694"/>
      <c r="Z2500" s="694"/>
      <c r="AA2500" s="694"/>
      <c r="AB2500" s="694"/>
      <c r="AC2500" s="694"/>
      <c r="AD2500" s="694"/>
      <c r="AE2500" s="694"/>
      <c r="AF2500" s="694"/>
      <c r="AG2500" s="694"/>
      <c r="AH2500" s="694"/>
      <c r="AI2500" s="694"/>
      <c r="AJ2500" s="694"/>
      <c r="AK2500" s="694"/>
      <c r="AL2500" s="694"/>
    </row>
    <row r="2501" spans="1:38" ht="12.75" customHeight="1" x14ac:dyDescent="0.25">
      <c r="A2501" s="694"/>
      <c r="B2501" s="298"/>
      <c r="C2501" s="1302"/>
      <c r="D2501" s="625" t="s">
        <v>1145</v>
      </c>
      <c r="E2501" s="2815" t="str">
        <f>Translations!$B$588</f>
        <v>Видове подадени отпадни газове:</v>
      </c>
      <c r="F2501" s="2240"/>
      <c r="G2501" s="2240"/>
      <c r="H2501" s="2684"/>
      <c r="I2501" s="2821"/>
      <c r="J2501" s="2674"/>
      <c r="K2501" s="2674"/>
      <c r="L2501" s="2674"/>
      <c r="M2501" s="2675"/>
      <c r="N2501" s="1323"/>
      <c r="O2501" s="302"/>
      <c r="P2501" s="158"/>
      <c r="Q2501" s="729"/>
      <c r="R2501" s="694"/>
      <c r="S2501" s="729"/>
      <c r="T2501" s="694"/>
      <c r="U2501" s="694"/>
      <c r="V2501" s="694"/>
      <c r="W2501" s="694"/>
      <c r="X2501" s="694"/>
      <c r="Y2501" s="694"/>
      <c r="Z2501" s="694"/>
      <c r="AA2501" s="694"/>
      <c r="AB2501" s="694"/>
      <c r="AC2501" s="1182" t="s">
        <v>737</v>
      </c>
      <c r="AD2501" s="982" t="b">
        <f>AD2492</f>
        <v>0</v>
      </c>
      <c r="AE2501" s="694"/>
      <c r="AF2501" s="694"/>
      <c r="AG2501" s="694"/>
      <c r="AH2501" s="694"/>
      <c r="AI2501" s="694"/>
      <c r="AJ2501" s="694"/>
      <c r="AK2501" s="694"/>
      <c r="AL2501" s="694"/>
    </row>
    <row r="2502" spans="1:38" ht="12.75" customHeight="1" x14ac:dyDescent="0.25">
      <c r="A2502" s="694"/>
      <c r="B2502" s="298"/>
      <c r="C2502" s="1302"/>
      <c r="D2502" s="625"/>
      <c r="E2502" s="2816" t="str">
        <f>Translations!$B$583</f>
        <v>Посочените тук данни ще се отразят на емисиите, които могат да бъдат зададени съгласно раздел 10.1.5 от приложение VII към ПБР.</v>
      </c>
      <c r="F2502" s="2240"/>
      <c r="G2502" s="2240"/>
      <c r="H2502" s="2240"/>
      <c r="I2502" s="2240"/>
      <c r="J2502" s="2240"/>
      <c r="K2502" s="2240"/>
      <c r="L2502" s="2240"/>
      <c r="M2502" s="2240"/>
      <c r="N2502" s="2811"/>
      <c r="O2502" s="302"/>
      <c r="P2502" s="302"/>
      <c r="Q2502" s="729"/>
      <c r="R2502" s="694"/>
      <c r="S2502" s="729"/>
      <c r="T2502" s="729"/>
      <c r="U2502" s="729"/>
      <c r="V2502" s="729"/>
      <c r="W2502" s="694"/>
      <c r="X2502" s="694"/>
      <c r="Y2502" s="694"/>
      <c r="Z2502" s="694"/>
      <c r="AA2502" s="694"/>
      <c r="AB2502" s="694"/>
      <c r="AC2502" s="694"/>
      <c r="AD2502" s="694"/>
      <c r="AE2502" s="694"/>
      <c r="AF2502" s="694"/>
      <c r="AG2502" s="694"/>
      <c r="AH2502" s="694"/>
      <c r="AI2502" s="694"/>
      <c r="AJ2502" s="694"/>
      <c r="AK2502" s="694"/>
      <c r="AL2502" s="694"/>
    </row>
    <row r="2503" spans="1:38" ht="25.5" customHeight="1" x14ac:dyDescent="0.25">
      <c r="A2503" s="694"/>
      <c r="B2503" s="298"/>
      <c r="C2503" s="1302"/>
      <c r="D2503" s="625"/>
      <c r="E2503" s="2810" t="str">
        <f>Translations!$B$589</f>
        <v>Това включва всички видове отпадни газове, произведени в системните граници на тази подинсталация и подадени от тази инсталация към други подинсталации, както и към всички други инсталации или обекти.</v>
      </c>
      <c r="F2503" s="2240"/>
      <c r="G2503" s="2240"/>
      <c r="H2503" s="2240"/>
      <c r="I2503" s="2240"/>
      <c r="J2503" s="2240"/>
      <c r="K2503" s="2240"/>
      <c r="L2503" s="2240"/>
      <c r="M2503" s="2240"/>
      <c r="N2503" s="2811"/>
      <c r="O2503" s="302"/>
      <c r="P2503" s="302"/>
      <c r="Q2503" s="729"/>
      <c r="R2503" s="694"/>
      <c r="S2503" s="729"/>
      <c r="T2503" s="729"/>
      <c r="U2503" s="729"/>
      <c r="V2503" s="729"/>
      <c r="W2503" s="694"/>
      <c r="X2503" s="694"/>
      <c r="Y2503" s="694"/>
      <c r="Z2503" s="694"/>
      <c r="AA2503" s="694"/>
      <c r="AB2503" s="694"/>
      <c r="AC2503" s="694"/>
      <c r="AD2503" s="694"/>
      <c r="AE2503" s="694"/>
      <c r="AF2503" s="694"/>
      <c r="AG2503" s="694"/>
      <c r="AH2503" s="694"/>
      <c r="AI2503" s="694"/>
      <c r="AJ2503" s="694"/>
      <c r="AK2503" s="694"/>
      <c r="AL2503" s="694"/>
    </row>
    <row r="2504" spans="1:38" ht="12.75" customHeight="1" thickBot="1" x14ac:dyDescent="0.3">
      <c r="A2504" s="694"/>
      <c r="B2504" s="298"/>
      <c r="C2504" s="1302"/>
      <c r="D2504" s="1306"/>
      <c r="E2504" s="1317"/>
      <c r="F2504" s="1318"/>
      <c r="G2504" s="1309" t="str">
        <f>EUconst_Unit</f>
        <v>Единица мярка</v>
      </c>
      <c r="H2504" s="629">
        <f t="shared" ref="H2504:N2504" si="3601">H$2831</f>
        <v>2024</v>
      </c>
      <c r="I2504" s="1310">
        <f t="shared" si="3601"/>
        <v>2025</v>
      </c>
      <c r="J2504" s="1311">
        <f t="shared" si="3601"/>
        <v>2026</v>
      </c>
      <c r="K2504" s="629">
        <f t="shared" si="3601"/>
        <v>2027</v>
      </c>
      <c r="L2504" s="629">
        <f t="shared" si="3601"/>
        <v>2028</v>
      </c>
      <c r="M2504" s="629">
        <f t="shared" si="3601"/>
        <v>2029</v>
      </c>
      <c r="N2504" s="1312">
        <f t="shared" si="3601"/>
        <v>2030</v>
      </c>
      <c r="O2504" s="302"/>
      <c r="P2504" s="302"/>
      <c r="Q2504" s="729"/>
      <c r="R2504" s="694"/>
      <c r="S2504" s="729"/>
      <c r="T2504" s="729"/>
      <c r="U2504" s="729"/>
      <c r="V2504" s="729"/>
      <c r="W2504" s="694"/>
      <c r="X2504" s="694"/>
      <c r="Y2504" s="694"/>
      <c r="Z2504" s="694"/>
      <c r="AA2504" s="694"/>
      <c r="AB2504" s="694"/>
      <c r="AC2504" s="1178">
        <f t="shared" ref="AC2504" si="3602">H$20</f>
        <v>2024</v>
      </c>
      <c r="AD2504" s="1178">
        <f t="shared" ref="AD2504" si="3603">I$20</f>
        <v>2025</v>
      </c>
      <c r="AE2504" s="1178">
        <f t="shared" ref="AE2504" si="3604">J$20</f>
        <v>2026</v>
      </c>
      <c r="AF2504" s="1178">
        <f t="shared" ref="AF2504" si="3605">K$20</f>
        <v>2027</v>
      </c>
      <c r="AG2504" s="1178">
        <f t="shared" ref="AG2504" si="3606">L$20</f>
        <v>2028</v>
      </c>
      <c r="AH2504" s="1178">
        <f t="shared" ref="AH2504" si="3607">M$20</f>
        <v>2029</v>
      </c>
      <c r="AI2504" s="1178">
        <f t="shared" ref="AI2504" si="3608">N$20</f>
        <v>2030</v>
      </c>
      <c r="AJ2504" s="694"/>
      <c r="AK2504" s="694"/>
      <c r="AL2504" s="694"/>
    </row>
    <row r="2505" spans="1:38" ht="12.75" customHeight="1" x14ac:dyDescent="0.25">
      <c r="A2505" s="694"/>
      <c r="B2505" s="298"/>
      <c r="C2505" s="1302"/>
      <c r="D2505" s="625" t="s">
        <v>1146</v>
      </c>
      <c r="E2505" s="2818" t="str">
        <f>Translations!$B$590</f>
        <v>Подадени количества</v>
      </c>
      <c r="F2505" s="2701"/>
      <c r="G2505" s="145"/>
      <c r="H2505" s="129"/>
      <c r="I2505" s="130"/>
      <c r="J2505" s="131"/>
      <c r="K2505" s="129"/>
      <c r="L2505" s="129"/>
      <c r="M2505" s="129"/>
      <c r="N2505" s="132"/>
      <c r="O2505" s="302"/>
      <c r="P2505" s="158"/>
      <c r="Q2505" s="729"/>
      <c r="R2505" s="694"/>
      <c r="S2505" s="729"/>
      <c r="T2505" s="729"/>
      <c r="U2505" s="729"/>
      <c r="V2505" s="729"/>
      <c r="W2505" s="694"/>
      <c r="X2505" s="694"/>
      <c r="Y2505" s="694"/>
      <c r="Z2505" s="694"/>
      <c r="AA2505" s="694"/>
      <c r="AB2505" s="1182" t="s">
        <v>737</v>
      </c>
      <c r="AC2505" s="982" t="b">
        <f>AC2452</f>
        <v>0</v>
      </c>
      <c r="AD2505" s="982" t="b">
        <f t="shared" ref="AD2505:AI2505" si="3609">AD2452</f>
        <v>0</v>
      </c>
      <c r="AE2505" s="982" t="b">
        <f t="shared" si="3609"/>
        <v>0</v>
      </c>
      <c r="AF2505" s="982" t="b">
        <f t="shared" si="3609"/>
        <v>0</v>
      </c>
      <c r="AG2505" s="982" t="b">
        <f t="shared" si="3609"/>
        <v>0</v>
      </c>
      <c r="AH2505" s="982" t="b">
        <f t="shared" si="3609"/>
        <v>0</v>
      </c>
      <c r="AI2505" s="982" t="b">
        <f t="shared" si="3609"/>
        <v>0</v>
      </c>
      <c r="AJ2505" s="1174" t="s">
        <v>2039</v>
      </c>
      <c r="AK2505" s="1176" t="str">
        <f>IF(AND(CNTR_ExistSubInstEntries,MSconst_RequireSubAttrEmissions,COUNTIFS(AC2505:AI2505,FALSE,H2505:N2505,"")&gt;0),EUconst_Error&amp;"BM"&amp;$Q2261,"")</f>
        <v/>
      </c>
      <c r="AL2505" s="694"/>
    </row>
    <row r="2506" spans="1:38" ht="12.75" customHeight="1" thickBot="1" x14ac:dyDescent="0.3">
      <c r="A2506" s="694"/>
      <c r="B2506" s="298"/>
      <c r="C2506" s="1302"/>
      <c r="D2506" s="625" t="s">
        <v>1619</v>
      </c>
      <c r="E2506" s="2819" t="str">
        <f>Translations!$B$296</f>
        <v>Долна топлина на изгаряне</v>
      </c>
      <c r="F2506" s="2705"/>
      <c r="G2506" s="1349" t="str">
        <f>IF(ISBLANK(G2505),EUconst_GJperUnit,INDEX(EUconst_GJperTorKNm3,MATCH(G2505,EUconst_TonnesOrkNm3pa,0)))</f>
        <v>GJ / Единица мярка</v>
      </c>
      <c r="H2506" s="137"/>
      <c r="I2506" s="138"/>
      <c r="J2506" s="139"/>
      <c r="K2506" s="137"/>
      <c r="L2506" s="137"/>
      <c r="M2506" s="137"/>
      <c r="N2506" s="140"/>
      <c r="O2506" s="302"/>
      <c r="P2506" s="158"/>
      <c r="Q2506" s="729"/>
      <c r="R2506" s="694"/>
      <c r="S2506" s="729"/>
      <c r="T2506" s="729"/>
      <c r="U2506" s="729"/>
      <c r="V2506" s="729"/>
      <c r="W2506" s="694"/>
      <c r="X2506" s="694"/>
      <c r="Y2506" s="694"/>
      <c r="Z2506" s="694"/>
      <c r="AA2506" s="694"/>
      <c r="AB2506" s="694"/>
      <c r="AC2506" s="982" t="b">
        <f>AC2505</f>
        <v>0</v>
      </c>
      <c r="AD2506" s="982" t="b">
        <f t="shared" ref="AD2506:AI2506" si="3610">AD2505</f>
        <v>0</v>
      </c>
      <c r="AE2506" s="982" t="b">
        <f t="shared" si="3610"/>
        <v>0</v>
      </c>
      <c r="AF2506" s="982" t="b">
        <f t="shared" si="3610"/>
        <v>0</v>
      </c>
      <c r="AG2506" s="982" t="b">
        <f t="shared" si="3610"/>
        <v>0</v>
      </c>
      <c r="AH2506" s="982" t="b">
        <f t="shared" si="3610"/>
        <v>0</v>
      </c>
      <c r="AI2506" s="982" t="b">
        <f t="shared" si="3610"/>
        <v>0</v>
      </c>
      <c r="AJ2506" s="1174" t="s">
        <v>2039</v>
      </c>
      <c r="AK2506" s="1176" t="str">
        <f>IF(AND(CNTR_ExistSubInstEntries,MSconst_RequireSubAttrEmissions,COUNTIFS(AC2506:AI2506,FALSE,H2506:N2506,"")&gt;0),EUconst_Error&amp;"BM"&amp;$Q2261,"")</f>
        <v/>
      </c>
      <c r="AL2506" s="694"/>
    </row>
    <row r="2507" spans="1:38" ht="12.75" customHeight="1" x14ac:dyDescent="0.25">
      <c r="A2507" s="694"/>
      <c r="B2507" s="298"/>
      <c r="C2507" s="1302"/>
      <c r="D2507" s="625" t="s">
        <v>1659</v>
      </c>
      <c r="E2507" s="2820" t="str">
        <f>Translations!$B$591</f>
        <v>Подаден отпаден газ</v>
      </c>
      <c r="F2507" s="2258"/>
      <c r="G2507" s="1319" t="str">
        <f>EUconst_TJpa</f>
        <v>TJ / година</v>
      </c>
      <c r="H2507" s="1020" t="str">
        <f t="shared" ref="H2507:N2507" si="3611">IF(COUNT(H2505:H2506)=2,H2505*H2506/1000,"")</f>
        <v/>
      </c>
      <c r="I2507" s="1369" t="str">
        <f t="shared" si="3611"/>
        <v/>
      </c>
      <c r="J2507" s="1370" t="str">
        <f t="shared" si="3611"/>
        <v/>
      </c>
      <c r="K2507" s="1020" t="str">
        <f t="shared" si="3611"/>
        <v/>
      </c>
      <c r="L2507" s="1020" t="str">
        <f t="shared" si="3611"/>
        <v/>
      </c>
      <c r="M2507" s="1020" t="str">
        <f t="shared" si="3611"/>
        <v/>
      </c>
      <c r="N2507" s="1371" t="str">
        <f t="shared" si="3611"/>
        <v/>
      </c>
      <c r="O2507" s="302"/>
      <c r="P2507" s="302"/>
      <c r="Q2507" s="1190" t="str">
        <f>EUconst_CNTR_WGExport &amp; I2261</f>
        <v>WasteGasEx_</v>
      </c>
      <c r="R2507" s="694"/>
      <c r="S2507" s="1205"/>
      <c r="T2507" s="1313">
        <f t="shared" ref="T2507" si="3612">H2504</f>
        <v>2024</v>
      </c>
      <c r="U2507" s="1313">
        <f t="shared" ref="U2507" si="3613">I2504</f>
        <v>2025</v>
      </c>
      <c r="V2507" s="1313">
        <f t="shared" ref="V2507" si="3614">J2504</f>
        <v>2026</v>
      </c>
      <c r="W2507" s="1313">
        <f t="shared" ref="W2507" si="3615">K2504</f>
        <v>2027</v>
      </c>
      <c r="X2507" s="1313">
        <f t="shared" ref="X2507" si="3616">L2504</f>
        <v>2028</v>
      </c>
      <c r="Y2507" s="1313">
        <f t="shared" ref="Y2507" si="3617">M2504</f>
        <v>2029</v>
      </c>
      <c r="Z2507" s="1314">
        <f t="shared" ref="Z2507" si="3618">N2504</f>
        <v>2030</v>
      </c>
      <c r="AA2507" s="694"/>
      <c r="AB2507" s="694"/>
      <c r="AC2507" s="694"/>
      <c r="AD2507" s="694"/>
      <c r="AE2507" s="694"/>
      <c r="AF2507" s="694"/>
      <c r="AG2507" s="694"/>
      <c r="AH2507" s="694"/>
      <c r="AI2507" s="694"/>
      <c r="AJ2507" s="694"/>
      <c r="AK2507" s="694"/>
      <c r="AL2507" s="694"/>
    </row>
    <row r="2508" spans="1:38" s="364" customFormat="1" ht="12.75" customHeight="1" thickBot="1" x14ac:dyDescent="0.3">
      <c r="A2508" s="694"/>
      <c r="B2508" s="298"/>
      <c r="C2508" s="1302"/>
      <c r="D2508" s="625" t="s">
        <v>1660</v>
      </c>
      <c r="E2508" s="2820" t="str">
        <f>Translations!$B$592</f>
        <v>Специфичен EF (подаден отпаден газ)</v>
      </c>
      <c r="F2508" s="2258"/>
      <c r="G2508" s="642" t="str">
        <f>EUconst_tCO2pTJ</f>
        <v>t CO2 / TJ</v>
      </c>
      <c r="H2508" s="146"/>
      <c r="I2508" s="147"/>
      <c r="J2508" s="148"/>
      <c r="K2508" s="146"/>
      <c r="L2508" s="146"/>
      <c r="M2508" s="146"/>
      <c r="N2508" s="149"/>
      <c r="O2508" s="302"/>
      <c r="P2508" s="158"/>
      <c r="Q2508" s="1190" t="str">
        <f>EUconst_CNTR_WGExportEF &amp; I2261</f>
        <v>WasteGasExEF_</v>
      </c>
      <c r="R2508" s="729"/>
      <c r="S2508" s="1315" t="str">
        <f>EUconst_CNTR_AttributedEmissions &amp; I2261</f>
        <v>AttrEmissions_</v>
      </c>
      <c r="T2508" s="1290" t="str">
        <f t="shared" ref="T2508" si="3619">IF(T2269,-SUM(H2507)*EUconst_NGEFvalue*EUconst_WasteGasCorrFactor,"")</f>
        <v/>
      </c>
      <c r="U2508" s="1290" t="str">
        <f t="shared" ref="U2508" si="3620">IF(U2269,-SUM(I2507)*EUconst_NGEFvalue*EUconst_WasteGasCorrFactor,"")</f>
        <v/>
      </c>
      <c r="V2508" s="1290" t="str">
        <f t="shared" ref="V2508" si="3621">IF(V2269,-SUM(J2507)*EUconst_NGEFvalue*EUconst_WasteGasCorrFactor,"")</f>
        <v/>
      </c>
      <c r="W2508" s="1290" t="str">
        <f t="shared" ref="W2508" si="3622">IF(W2269,-SUM(K2507)*EUconst_NGEFvalue*EUconst_WasteGasCorrFactor,"")</f>
        <v/>
      </c>
      <c r="X2508" s="1290" t="str">
        <f t="shared" ref="X2508" si="3623">IF(X2269,-SUM(L2507)*EUconst_NGEFvalue*EUconst_WasteGasCorrFactor,"")</f>
        <v/>
      </c>
      <c r="Y2508" s="1290" t="str">
        <f t="shared" ref="Y2508" si="3624">IF(Y2269,-SUM(M2507)*EUconst_NGEFvalue*EUconst_WasteGasCorrFactor,"")</f>
        <v/>
      </c>
      <c r="Z2508" s="1291" t="str">
        <f t="shared" ref="Z2508" si="3625">IF(Z2269,-SUM(N2507)*EUconst_NGEFvalue*EUconst_WasteGasCorrFactor,"")</f>
        <v/>
      </c>
      <c r="AA2508" s="729"/>
      <c r="AB2508" s="1182" t="s">
        <v>737</v>
      </c>
      <c r="AC2508" s="982" t="b">
        <f t="shared" ref="AC2508:AI2508" si="3626">AC2455</f>
        <v>0</v>
      </c>
      <c r="AD2508" s="982" t="b">
        <f t="shared" si="3626"/>
        <v>0</v>
      </c>
      <c r="AE2508" s="982" t="b">
        <f t="shared" si="3626"/>
        <v>0</v>
      </c>
      <c r="AF2508" s="982" t="b">
        <f t="shared" si="3626"/>
        <v>0</v>
      </c>
      <c r="AG2508" s="982" t="b">
        <f t="shared" si="3626"/>
        <v>0</v>
      </c>
      <c r="AH2508" s="982" t="b">
        <f t="shared" si="3626"/>
        <v>0</v>
      </c>
      <c r="AI2508" s="982" t="b">
        <f t="shared" si="3626"/>
        <v>0</v>
      </c>
      <c r="AJ2508" s="1174" t="s">
        <v>2039</v>
      </c>
      <c r="AK2508" s="1176" t="str">
        <f>IF(AND(CNTR_ExistSubInstEntries,MSconst_RequireSubAttrEmissions,COUNTIFS(AC2508:AI2508,FALSE,H2508:N2508,"")&gt;0),EUconst_Error&amp;"BM"&amp;$Q2261,"")</f>
        <v/>
      </c>
      <c r="AL2508" s="694"/>
    </row>
    <row r="2509" spans="1:38" ht="12.75" customHeight="1" x14ac:dyDescent="0.25">
      <c r="A2509" s="694"/>
      <c r="B2509" s="298"/>
      <c r="C2509" s="1302"/>
      <c r="D2509" s="1306"/>
      <c r="E2509" s="1306"/>
      <c r="F2509" s="1306"/>
      <c r="G2509" s="1306"/>
      <c r="H2509" s="1306"/>
      <c r="I2509" s="1354"/>
      <c r="J2509" s="1306"/>
      <c r="K2509" s="1306"/>
      <c r="L2509" s="1306"/>
      <c r="M2509" s="1306"/>
      <c r="N2509" s="1316"/>
      <c r="O2509" s="302"/>
      <c r="P2509" s="302"/>
      <c r="Q2509" s="729"/>
      <c r="R2509" s="694"/>
      <c r="S2509" s="729"/>
      <c r="T2509" s="694"/>
      <c r="U2509" s="694"/>
      <c r="V2509" s="694"/>
      <c r="W2509" s="694"/>
      <c r="X2509" s="694"/>
      <c r="Y2509" s="694"/>
      <c r="Z2509" s="694"/>
      <c r="AA2509" s="694"/>
      <c r="AB2509" s="694"/>
      <c r="AC2509" s="694"/>
      <c r="AD2509" s="694"/>
      <c r="AE2509" s="694"/>
      <c r="AF2509" s="694"/>
      <c r="AG2509" s="694"/>
      <c r="AH2509" s="694"/>
      <c r="AI2509" s="694"/>
      <c r="AJ2509" s="694"/>
      <c r="AK2509" s="694"/>
      <c r="AL2509" s="694"/>
    </row>
    <row r="2510" spans="1:38" ht="12.75" customHeight="1" x14ac:dyDescent="0.25">
      <c r="A2510" s="694"/>
      <c r="B2510" s="298"/>
      <c r="C2510" s="1302"/>
      <c r="D2510" s="1307" t="s">
        <v>493</v>
      </c>
      <c r="E2510" s="2815" t="str">
        <f>Translations!$B$246</f>
        <v>Производство на електроенергия</v>
      </c>
      <c r="F2510" s="2240"/>
      <c r="G2510" s="2240"/>
      <c r="H2510" s="2240"/>
      <c r="I2510" s="2240"/>
      <c r="J2510" s="2240"/>
      <c r="K2510" s="2240"/>
      <c r="L2510" s="2240"/>
      <c r="M2510" s="2240"/>
      <c r="N2510" s="2811"/>
      <c r="O2510" s="302"/>
      <c r="P2510" s="302"/>
      <c r="Q2510" s="729"/>
      <c r="R2510" s="694"/>
      <c r="S2510" s="729"/>
      <c r="T2510" s="694"/>
      <c r="U2510" s="694"/>
      <c r="V2510" s="694"/>
      <c r="W2510" s="694"/>
      <c r="X2510" s="694"/>
      <c r="Y2510" s="694"/>
      <c r="Z2510" s="694"/>
      <c r="AA2510" s="694"/>
      <c r="AB2510" s="694"/>
      <c r="AC2510" s="694"/>
      <c r="AD2510" s="694"/>
      <c r="AE2510" s="694"/>
      <c r="AF2510" s="694"/>
      <c r="AG2510" s="694"/>
      <c r="AH2510" s="694"/>
      <c r="AI2510" s="694"/>
      <c r="AJ2510" s="694"/>
      <c r="AK2510" s="694"/>
      <c r="AL2510" s="694"/>
    </row>
    <row r="2511" spans="1:38" ht="12.75" customHeight="1" x14ac:dyDescent="0.25">
      <c r="A2511" s="694"/>
      <c r="B2511" s="298"/>
      <c r="C2511" s="1302"/>
      <c r="D2511" s="625"/>
      <c r="E2511" s="2816" t="str">
        <f>Translations!$B$593</f>
        <v>Посочените тук данни ще се отразят на емисиите, които могат да бъдат зададени съгласно раздел 10 от приложение VII към ПБР.</v>
      </c>
      <c r="F2511" s="2240"/>
      <c r="G2511" s="2240"/>
      <c r="H2511" s="2240"/>
      <c r="I2511" s="2240"/>
      <c r="J2511" s="2240"/>
      <c r="K2511" s="2240"/>
      <c r="L2511" s="2240"/>
      <c r="M2511" s="2240"/>
      <c r="N2511" s="2811"/>
      <c r="O2511" s="302"/>
      <c r="P2511" s="302"/>
      <c r="Q2511" s="729"/>
      <c r="R2511" s="694"/>
      <c r="S2511" s="729"/>
      <c r="T2511" s="729"/>
      <c r="U2511" s="729"/>
      <c r="V2511" s="729"/>
      <c r="W2511" s="694"/>
      <c r="X2511" s="694"/>
      <c r="Y2511" s="694"/>
      <c r="Z2511" s="694"/>
      <c r="AA2511" s="694"/>
      <c r="AB2511" s="694"/>
      <c r="AC2511" s="694"/>
      <c r="AD2511" s="694"/>
      <c r="AE2511" s="694"/>
      <c r="AF2511" s="694"/>
      <c r="AG2511" s="694"/>
      <c r="AH2511" s="694"/>
      <c r="AI2511" s="694"/>
      <c r="AJ2511" s="694"/>
      <c r="AK2511" s="694"/>
      <c r="AL2511" s="694"/>
    </row>
    <row r="2512" spans="1:38" ht="25.5" customHeight="1" thickBot="1" x14ac:dyDescent="0.3">
      <c r="A2512" s="694"/>
      <c r="B2512" s="298"/>
      <c r="C2512" s="1302"/>
      <c r="D2512" s="1306"/>
      <c r="E2512" s="2810" t="str">
        <f>Translations!$B$594</f>
        <v>Това включва електроенергията, произведена директно от тази подинсталация, съгласно раздел 3.1, буква и) от приложение IV към ПБР. Електроенергията, произведена чрез междинна измерима топлинна енергия, не се посочват тук, а като подадена измерима топлинна енергия в k).v по-горе.</v>
      </c>
      <c r="F2512" s="2240"/>
      <c r="G2512" s="2240"/>
      <c r="H2512" s="2240"/>
      <c r="I2512" s="2240"/>
      <c r="J2512" s="2240"/>
      <c r="K2512" s="2240"/>
      <c r="L2512" s="2240"/>
      <c r="M2512" s="2240"/>
      <c r="N2512" s="2811"/>
      <c r="O2512" s="302"/>
      <c r="P2512" s="302"/>
      <c r="Q2512" s="729"/>
      <c r="R2512" s="694"/>
      <c r="S2512" s="729"/>
      <c r="T2512" s="694"/>
      <c r="U2512" s="694"/>
      <c r="V2512" s="694"/>
      <c r="W2512" s="694"/>
      <c r="X2512" s="694"/>
      <c r="Y2512" s="694"/>
      <c r="Z2512" s="694"/>
      <c r="AA2512" s="694"/>
      <c r="AB2512" s="694"/>
      <c r="AC2512" s="694"/>
      <c r="AD2512" s="694"/>
      <c r="AE2512" s="694"/>
      <c r="AF2512" s="694"/>
      <c r="AG2512" s="694"/>
      <c r="AH2512" s="694"/>
      <c r="AI2512" s="694"/>
      <c r="AJ2512" s="694"/>
      <c r="AK2512" s="694"/>
      <c r="AL2512" s="694"/>
    </row>
    <row r="2513" spans="1:38" ht="12.75" customHeight="1" thickBot="1" x14ac:dyDescent="0.3">
      <c r="A2513" s="694"/>
      <c r="B2513" s="298"/>
      <c r="C2513" s="1302"/>
      <c r="D2513" s="1307"/>
      <c r="E2513" s="1317"/>
      <c r="F2513" s="1318"/>
      <c r="G2513" s="1309" t="str">
        <f>EUconst_Unit</f>
        <v>Единица мярка</v>
      </c>
      <c r="H2513" s="629">
        <f t="shared" ref="H2513:N2513" si="3627">H$2831</f>
        <v>2024</v>
      </c>
      <c r="I2513" s="1310">
        <f t="shared" si="3627"/>
        <v>2025</v>
      </c>
      <c r="J2513" s="1311">
        <f t="shared" si="3627"/>
        <v>2026</v>
      </c>
      <c r="K2513" s="629">
        <f t="shared" si="3627"/>
        <v>2027</v>
      </c>
      <c r="L2513" s="629">
        <f t="shared" si="3627"/>
        <v>2028</v>
      </c>
      <c r="M2513" s="629">
        <f t="shared" si="3627"/>
        <v>2029</v>
      </c>
      <c r="N2513" s="1312">
        <f t="shared" si="3627"/>
        <v>2030</v>
      </c>
      <c r="O2513" s="302"/>
      <c r="P2513" s="302"/>
      <c r="Q2513" s="729"/>
      <c r="R2513" s="694"/>
      <c r="S2513" s="1205"/>
      <c r="T2513" s="1313">
        <f t="shared" ref="T2513" si="3628">H2513</f>
        <v>2024</v>
      </c>
      <c r="U2513" s="1313">
        <f t="shared" ref="U2513" si="3629">I2513</f>
        <v>2025</v>
      </c>
      <c r="V2513" s="1313">
        <f t="shared" ref="V2513" si="3630">J2513</f>
        <v>2026</v>
      </c>
      <c r="W2513" s="1313">
        <f t="shared" ref="W2513" si="3631">K2513</f>
        <v>2027</v>
      </c>
      <c r="X2513" s="1313">
        <f t="shared" ref="X2513" si="3632">L2513</f>
        <v>2028</v>
      </c>
      <c r="Y2513" s="1313">
        <f t="shared" ref="Y2513" si="3633">M2513</f>
        <v>2029</v>
      </c>
      <c r="Z2513" s="1314">
        <f t="shared" ref="Z2513" si="3634">N2513</f>
        <v>2030</v>
      </c>
      <c r="AA2513" s="694"/>
      <c r="AB2513" s="694"/>
      <c r="AC2513" s="1178">
        <f t="shared" ref="AC2513" si="3635">H$20</f>
        <v>2024</v>
      </c>
      <c r="AD2513" s="1178">
        <f t="shared" ref="AD2513" si="3636">I$20</f>
        <v>2025</v>
      </c>
      <c r="AE2513" s="1178">
        <f t="shared" ref="AE2513" si="3637">J$20</f>
        <v>2026</v>
      </c>
      <c r="AF2513" s="1178">
        <f t="shared" ref="AF2513" si="3638">K$20</f>
        <v>2027</v>
      </c>
      <c r="AG2513" s="1178">
        <f t="shared" ref="AG2513" si="3639">L$20</f>
        <v>2028</v>
      </c>
      <c r="AH2513" s="1178">
        <f t="shared" ref="AH2513" si="3640">M$20</f>
        <v>2029</v>
      </c>
      <c r="AI2513" s="1178">
        <f t="shared" ref="AI2513" si="3641">N$20</f>
        <v>2030</v>
      </c>
      <c r="AJ2513" s="694"/>
      <c r="AK2513" s="694"/>
      <c r="AL2513" s="694"/>
    </row>
    <row r="2514" spans="1:38" ht="12.75" customHeight="1" thickBot="1" x14ac:dyDescent="0.3">
      <c r="A2514" s="694"/>
      <c r="B2514" s="298"/>
      <c r="C2514" s="1302"/>
      <c r="D2514" s="625"/>
      <c r="E2514" s="2820" t="str">
        <f>Translations!$B$595</f>
        <v>Произведена електроенергия</v>
      </c>
      <c r="F2514" s="2258"/>
      <c r="G2514" s="1319" t="str">
        <f>EUconst_MWhpa</f>
        <v>MWh / година</v>
      </c>
      <c r="H2514" s="56"/>
      <c r="I2514" s="115"/>
      <c r="J2514" s="118"/>
      <c r="K2514" s="56"/>
      <c r="L2514" s="56"/>
      <c r="M2514" s="56"/>
      <c r="N2514" s="121"/>
      <c r="O2514" s="302"/>
      <c r="P2514" s="158"/>
      <c r="Q2514" s="1190" t="str">
        <f>EUconst_CNTR_ElectricityExported &amp; I2261</f>
        <v>ElecEx_</v>
      </c>
      <c r="R2514" s="694"/>
      <c r="S2514" s="1315" t="str">
        <f>EUconst_CNTR_AttributedEmissions &amp; I2261</f>
        <v>AttrEmissions_</v>
      </c>
      <c r="T2514" s="1290" t="str">
        <f t="shared" ref="T2514" si="3642">IF(T2269,-SUM(H2514)*EUconst_ElBM,"")</f>
        <v/>
      </c>
      <c r="U2514" s="1290" t="str">
        <f t="shared" ref="U2514" si="3643">IF(U2269,-SUM(I2514)*EUconst_ElBM,"")</f>
        <v/>
      </c>
      <c r="V2514" s="1290" t="str">
        <f t="shared" ref="V2514" si="3644">IF(V2269,-SUM(J2514)*EUconst_ElBM,"")</f>
        <v/>
      </c>
      <c r="W2514" s="1290" t="str">
        <f t="shared" ref="W2514" si="3645">IF(W2269,-SUM(K2514)*EUconst_ElBM,"")</f>
        <v/>
      </c>
      <c r="X2514" s="1290" t="str">
        <f t="shared" ref="X2514" si="3646">IF(X2269,-SUM(L2514)*EUconst_ElBM,"")</f>
        <v/>
      </c>
      <c r="Y2514" s="1290" t="str">
        <f t="shared" ref="Y2514" si="3647">IF(Y2269,-SUM(M2514)*EUconst_ElBM,"")</f>
        <v/>
      </c>
      <c r="Z2514" s="1291" t="str">
        <f t="shared" ref="Z2514" si="3648">IF(Z2269,-SUM(N2514)*EUconst_ElBM,"")</f>
        <v/>
      </c>
      <c r="AA2514" s="694"/>
      <c r="AB2514" s="1182" t="s">
        <v>737</v>
      </c>
      <c r="AC2514" s="982" t="b">
        <f>AC2308</f>
        <v>0</v>
      </c>
      <c r="AD2514" s="982" t="b">
        <f t="shared" ref="AD2514:AI2514" si="3649">AD2308</f>
        <v>0</v>
      </c>
      <c r="AE2514" s="982" t="b">
        <f t="shared" si="3649"/>
        <v>0</v>
      </c>
      <c r="AF2514" s="982" t="b">
        <f t="shared" si="3649"/>
        <v>0</v>
      </c>
      <c r="AG2514" s="982" t="b">
        <f t="shared" si="3649"/>
        <v>0</v>
      </c>
      <c r="AH2514" s="982" t="b">
        <f t="shared" si="3649"/>
        <v>0</v>
      </c>
      <c r="AI2514" s="982" t="b">
        <f t="shared" si="3649"/>
        <v>0</v>
      </c>
      <c r="AJ2514" s="1174" t="s">
        <v>2039</v>
      </c>
      <c r="AK2514" s="1176" t="str">
        <f>IF(AND(CNTR_ExistSubInstEntries,MSconst_RequireSubAttrEmissions,COUNTIFS(AC2514:AI2514,FALSE,H2514:N2514,"")&gt;0),EUconst_Error&amp;"BM"&amp;$Q2261,"")</f>
        <v/>
      </c>
      <c r="AL2514" s="694"/>
    </row>
    <row r="2515" spans="1:38" ht="12.75" customHeight="1" x14ac:dyDescent="0.25">
      <c r="A2515" s="694"/>
      <c r="B2515" s="298"/>
      <c r="C2515" s="1302"/>
      <c r="D2515" s="1306"/>
      <c r="E2515" s="1306"/>
      <c r="F2515" s="1306"/>
      <c r="G2515" s="1306"/>
      <c r="H2515" s="1306"/>
      <c r="I2515" s="1354"/>
      <c r="J2515" s="1306"/>
      <c r="K2515" s="1306"/>
      <c r="L2515" s="1306"/>
      <c r="M2515" s="1306"/>
      <c r="N2515" s="1316"/>
      <c r="O2515" s="302"/>
      <c r="P2515" s="302"/>
      <c r="Q2515" s="729"/>
      <c r="R2515" s="694"/>
      <c r="S2515" s="729"/>
      <c r="T2515" s="694"/>
      <c r="U2515" s="694"/>
      <c r="V2515" s="729"/>
      <c r="W2515" s="694"/>
      <c r="X2515" s="694"/>
      <c r="Y2515" s="694"/>
      <c r="Z2515" s="694"/>
      <c r="AA2515" s="694"/>
      <c r="AB2515" s="694"/>
      <c r="AC2515" s="694"/>
      <c r="AD2515" s="694"/>
      <c r="AE2515" s="694"/>
      <c r="AF2515" s="694"/>
      <c r="AG2515" s="694"/>
      <c r="AH2515" s="694"/>
      <c r="AI2515" s="694"/>
      <c r="AJ2515" s="694"/>
      <c r="AK2515" s="694"/>
      <c r="AL2515" s="694"/>
    </row>
    <row r="2516" spans="1:38" ht="12.75" customHeight="1" x14ac:dyDescent="0.25">
      <c r="A2516" s="694"/>
      <c r="B2516" s="298"/>
      <c r="C2516" s="1302"/>
      <c r="D2516" s="1307" t="s">
        <v>249</v>
      </c>
      <c r="E2516" s="2815" t="str">
        <f>Translations!$B$596</f>
        <v>Общо количество произведен пулп</v>
      </c>
      <c r="F2516" s="2240"/>
      <c r="G2516" s="2240"/>
      <c r="H2516" s="2240"/>
      <c r="I2516" s="2240"/>
      <c r="J2516" s="2240"/>
      <c r="K2516" s="2240"/>
      <c r="L2516" s="2240"/>
      <c r="M2516" s="2240"/>
      <c r="N2516" s="2811"/>
      <c r="O2516" s="302"/>
      <c r="P2516" s="302"/>
      <c r="Q2516" s="694"/>
      <c r="R2516" s="694"/>
      <c r="S2516" s="694"/>
      <c r="T2516" s="694"/>
      <c r="U2516" s="694"/>
      <c r="V2516" s="729"/>
      <c r="W2516" s="694"/>
      <c r="X2516" s="694"/>
      <c r="Y2516" s="694"/>
      <c r="Z2516" s="694"/>
      <c r="AA2516" s="694"/>
      <c r="AB2516" s="694"/>
      <c r="AC2516" s="694"/>
      <c r="AD2516" s="694"/>
      <c r="AE2516" s="694"/>
      <c r="AF2516" s="694"/>
      <c r="AG2516" s="694"/>
      <c r="AH2516" s="694"/>
      <c r="AI2516" s="694"/>
      <c r="AJ2516" s="694"/>
      <c r="AK2516" s="694"/>
      <c r="AL2516" s="694"/>
    </row>
    <row r="2517" spans="1:38" ht="25.5" customHeight="1" x14ac:dyDescent="0.25">
      <c r="A2517" s="694"/>
      <c r="B2517" s="298"/>
      <c r="C2517" s="1302"/>
      <c r="D2517" s="1306"/>
      <c r="E2517" s="2810" t="str">
        <f>Translations!$B$597</f>
        <v>Съгласно раздел 2.7, буква к) от приложение IV към ПБР се отчита общото количество пулп, произведен за подинсталации с продуктов показател за късовлакнест крафт-пулп, дълговлакнест крафт-пулп, термомеханичен пулп и механичен пулп или сулфитен пулп.</v>
      </c>
      <c r="F2517" s="2240"/>
      <c r="G2517" s="2240"/>
      <c r="H2517" s="2240"/>
      <c r="I2517" s="2240"/>
      <c r="J2517" s="2240"/>
      <c r="K2517" s="2240"/>
      <c r="L2517" s="2240"/>
      <c r="M2517" s="2240"/>
      <c r="N2517" s="2811"/>
      <c r="O2517" s="302"/>
      <c r="P2517" s="302"/>
      <c r="Q2517" s="729"/>
      <c r="R2517" s="694"/>
      <c r="S2517" s="729"/>
      <c r="T2517" s="694"/>
      <c r="U2517" s="694"/>
      <c r="V2517" s="729"/>
      <c r="W2517" s="694"/>
      <c r="X2517" s="694"/>
      <c r="Y2517" s="694"/>
      <c r="Z2517" s="694"/>
      <c r="AA2517" s="694"/>
      <c r="AB2517" s="694"/>
      <c r="AC2517" s="694"/>
      <c r="AD2517" s="694"/>
      <c r="AE2517" s="694"/>
      <c r="AF2517" s="694"/>
      <c r="AG2517" s="694"/>
      <c r="AH2517" s="694"/>
      <c r="AI2517" s="694"/>
      <c r="AJ2517" s="694"/>
      <c r="AK2517" s="694"/>
      <c r="AL2517" s="694"/>
    </row>
    <row r="2518" spans="1:38" ht="12.75" customHeight="1" x14ac:dyDescent="0.25">
      <c r="A2518" s="694"/>
      <c r="B2518" s="298"/>
      <c r="C2518" s="1302"/>
      <c r="D2518" s="1306"/>
      <c r="E2518" s="2810" t="str">
        <f>Translations!$B$598</f>
        <v>Този раздел ще бъде защрихован в сиво, ако тази подинсталация не е една от тези видове подинсталации за производство на пулп. В такъв случай, моля, продължете с точките по-долу.</v>
      </c>
      <c r="F2518" s="2240"/>
      <c r="G2518" s="2240"/>
      <c r="H2518" s="2240"/>
      <c r="I2518" s="2240"/>
      <c r="J2518" s="2240"/>
      <c r="K2518" s="2240"/>
      <c r="L2518" s="2240"/>
      <c r="M2518" s="2240"/>
      <c r="N2518" s="2811"/>
      <c r="O2518" s="302"/>
      <c r="P2518" s="302"/>
      <c r="Q2518" s="729"/>
      <c r="R2518" s="694"/>
      <c r="S2518" s="729"/>
      <c r="T2518" s="694"/>
      <c r="U2518" s="694"/>
      <c r="V2518" s="729"/>
      <c r="W2518" s="694"/>
      <c r="X2518" s="694"/>
      <c r="Y2518" s="694"/>
      <c r="Z2518" s="694"/>
      <c r="AA2518" s="694"/>
      <c r="AB2518" s="694"/>
      <c r="AC2518" s="694"/>
      <c r="AD2518" s="694"/>
      <c r="AE2518" s="694"/>
      <c r="AF2518" s="694"/>
      <c r="AG2518" s="694"/>
      <c r="AH2518" s="694"/>
      <c r="AI2518" s="694"/>
      <c r="AJ2518" s="694"/>
      <c r="AK2518" s="694"/>
      <c r="AL2518" s="694"/>
    </row>
    <row r="2519" spans="1:38" ht="12.75" customHeight="1" thickBot="1" x14ac:dyDescent="0.3">
      <c r="A2519" s="694"/>
      <c r="B2519" s="298"/>
      <c r="C2519" s="1302"/>
      <c r="D2519" s="625"/>
      <c r="E2519" s="2812" t="str">
        <f>Translations!$B$599</f>
        <v>Посочените тук данни ще са необходими при актуализацията на конкретния показател за пулп.</v>
      </c>
      <c r="F2519" s="2672"/>
      <c r="G2519" s="2672"/>
      <c r="H2519" s="2672"/>
      <c r="I2519" s="2672"/>
      <c r="J2519" s="2672"/>
      <c r="K2519" s="2672"/>
      <c r="L2519" s="2672"/>
      <c r="M2519" s="2672"/>
      <c r="N2519" s="2813"/>
      <c r="O2519" s="302"/>
      <c r="P2519" s="302"/>
      <c r="Q2519" s="729"/>
      <c r="R2519" s="694"/>
      <c r="S2519" s="729"/>
      <c r="T2519" s="694"/>
      <c r="U2519" s="694"/>
      <c r="V2519" s="729"/>
      <c r="W2519" s="694"/>
      <c r="X2519" s="694"/>
      <c r="Y2519" s="694"/>
      <c r="Z2519" s="694"/>
      <c r="AA2519" s="694"/>
      <c r="AB2519" s="694"/>
      <c r="AC2519" s="1178">
        <f t="shared" ref="AC2519" si="3650">H$20</f>
        <v>2024</v>
      </c>
      <c r="AD2519" s="1178">
        <f t="shared" ref="AD2519" si="3651">I$20</f>
        <v>2025</v>
      </c>
      <c r="AE2519" s="1178">
        <f t="shared" ref="AE2519" si="3652">J$20</f>
        <v>2026</v>
      </c>
      <c r="AF2519" s="1178">
        <f t="shared" ref="AF2519" si="3653">K$20</f>
        <v>2027</v>
      </c>
      <c r="AG2519" s="1178">
        <f t="shared" ref="AG2519" si="3654">L$20</f>
        <v>2028</v>
      </c>
      <c r="AH2519" s="1178">
        <f t="shared" ref="AH2519" si="3655">M$20</f>
        <v>2029</v>
      </c>
      <c r="AI2519" s="1178">
        <f t="shared" ref="AI2519" si="3656">N$20</f>
        <v>2030</v>
      </c>
      <c r="AJ2519" s="694"/>
      <c r="AK2519" s="694"/>
      <c r="AL2519" s="694"/>
    </row>
    <row r="2520" spans="1:38" ht="12.75" customHeight="1" x14ac:dyDescent="0.25">
      <c r="A2520" s="694"/>
      <c r="B2520" s="298"/>
      <c r="C2520" s="1302"/>
      <c r="D2520" s="625"/>
      <c r="E2520" s="2814" t="str">
        <f>IF(I2261="","",IF(INDEX(EUconst_BMlistPulp,MATCH(I2261,EUconst_BMlistNames,0)),I2261,""))</f>
        <v/>
      </c>
      <c r="F2520" s="2258"/>
      <c r="G2520" s="1319" t="str">
        <f>EUconst_Tons</f>
        <v>тона</v>
      </c>
      <c r="H2520" s="56"/>
      <c r="I2520" s="115"/>
      <c r="J2520" s="118"/>
      <c r="K2520" s="56"/>
      <c r="L2520" s="56"/>
      <c r="M2520" s="56"/>
      <c r="N2520" s="121"/>
      <c r="O2520" s="302"/>
      <c r="P2520" s="158"/>
      <c r="Q2520" s="1190" t="str">
        <f>EUconst_CNTR_HALPulpTotal &amp; I2261</f>
        <v>HALPulpTotal_</v>
      </c>
      <c r="R2520" s="694"/>
      <c r="S2520" s="729"/>
      <c r="T2520" s="694"/>
      <c r="U2520" s="694"/>
      <c r="V2520" s="694"/>
      <c r="W2520" s="694"/>
      <c r="X2520" s="694"/>
      <c r="Y2520" s="694"/>
      <c r="Z2520" s="694"/>
      <c r="AA2520" s="694"/>
      <c r="AB2520" s="1182" t="s">
        <v>737</v>
      </c>
      <c r="AC2520" s="901" t="b">
        <f t="shared" ref="AC2520:AI2520" si="3657">IF($I2261&lt;&gt;"",IF(INDEX(EUconst_BMlistPulp,MATCH($I2261,EUconst_BMlistNames,0))=TRUE,FALSE,TRUE),AC2308)</f>
        <v>0</v>
      </c>
      <c r="AD2520" s="982" t="b">
        <f t="shared" si="3657"/>
        <v>0</v>
      </c>
      <c r="AE2520" s="982" t="b">
        <f t="shared" si="3657"/>
        <v>0</v>
      </c>
      <c r="AF2520" s="982" t="b">
        <f t="shared" si="3657"/>
        <v>0</v>
      </c>
      <c r="AG2520" s="982" t="b">
        <f t="shared" si="3657"/>
        <v>0</v>
      </c>
      <c r="AH2520" s="982" t="b">
        <f t="shared" si="3657"/>
        <v>0</v>
      </c>
      <c r="AI2520" s="982" t="b">
        <f t="shared" si="3657"/>
        <v>0</v>
      </c>
      <c r="AJ2520" s="1174" t="s">
        <v>2039</v>
      </c>
      <c r="AK2520" s="1176" t="str">
        <f>IF(AND(CNTR_ExistSubInstEntries,MSconst_RequireSubAttrEmissions,COUNTIFS(AC2520:AI2520,FALSE,H2520:N2520,"")&gt;0),EUconst_Error&amp;"BM"&amp;$Q2261,"")</f>
        <v/>
      </c>
      <c r="AL2520" s="694"/>
    </row>
    <row r="2521" spans="1:38" ht="12.75" customHeight="1" x14ac:dyDescent="0.25">
      <c r="A2521" s="694"/>
      <c r="B2521" s="298"/>
      <c r="C2521" s="1302"/>
      <c r="D2521" s="625"/>
      <c r="E2521" s="625"/>
      <c r="F2521" s="625"/>
      <c r="G2521" s="625"/>
      <c r="H2521" s="1354"/>
      <c r="I2521" s="625"/>
      <c r="J2521" s="625"/>
      <c r="K2521" s="625"/>
      <c r="L2521" s="625"/>
      <c r="M2521" s="625"/>
      <c r="N2521" s="1348"/>
      <c r="O2521" s="302"/>
      <c r="P2521" s="302"/>
      <c r="Q2521" s="729"/>
      <c r="R2521" s="694"/>
      <c r="S2521" s="729"/>
      <c r="T2521" s="694"/>
      <c r="U2521" s="694"/>
      <c r="V2521" s="729"/>
      <c r="W2521" s="694"/>
      <c r="X2521" s="694"/>
      <c r="Y2521" s="694"/>
      <c r="Z2521" s="694"/>
      <c r="AA2521" s="694"/>
      <c r="AB2521" s="694"/>
      <c r="AC2521" s="694"/>
      <c r="AD2521" s="694"/>
      <c r="AE2521" s="694"/>
      <c r="AF2521" s="694"/>
      <c r="AG2521" s="694"/>
      <c r="AH2521" s="694"/>
      <c r="AI2521" s="694"/>
      <c r="AJ2521" s="694"/>
      <c r="AK2521" s="694"/>
      <c r="AL2521" s="694"/>
    </row>
    <row r="2522" spans="1:38" ht="12.75" customHeight="1" x14ac:dyDescent="0.25">
      <c r="A2522" s="694"/>
      <c r="B2522" s="298"/>
      <c r="C2522" s="1302"/>
      <c r="D2522" s="1307" t="s">
        <v>852</v>
      </c>
      <c r="E2522" s="2815" t="str">
        <f>Translations!$B$600</f>
        <v>Получаване или подаване на междинни продукти, обхванати от продуктови показатели</v>
      </c>
      <c r="F2522" s="2240"/>
      <c r="G2522" s="2240"/>
      <c r="H2522" s="2240"/>
      <c r="I2522" s="2240"/>
      <c r="J2522" s="2240"/>
      <c r="K2522" s="2240"/>
      <c r="L2522" s="2240"/>
      <c r="M2522" s="2240"/>
      <c r="N2522" s="2811"/>
      <c r="O2522" s="302"/>
      <c r="P2522" s="302"/>
      <c r="Q2522" s="729"/>
      <c r="R2522" s="694"/>
      <c r="S2522" s="729"/>
      <c r="T2522" s="694"/>
      <c r="U2522" s="694"/>
      <c r="V2522" s="729"/>
      <c r="W2522" s="694"/>
      <c r="X2522" s="694"/>
      <c r="Y2522" s="694"/>
      <c r="Z2522" s="694"/>
      <c r="AA2522" s="694"/>
      <c r="AB2522" s="694"/>
      <c r="AC2522" s="694"/>
      <c r="AD2522" s="694"/>
      <c r="AE2522" s="694"/>
      <c r="AF2522" s="694"/>
      <c r="AG2522" s="694"/>
      <c r="AH2522" s="694"/>
      <c r="AI2522" s="694"/>
      <c r="AJ2522" s="694"/>
      <c r="AK2522" s="694"/>
      <c r="AL2522" s="694"/>
    </row>
    <row r="2523" spans="1:38" ht="25.5" customHeight="1" x14ac:dyDescent="0.25">
      <c r="A2523" s="694"/>
      <c r="B2523" s="298"/>
      <c r="C2523" s="1302"/>
      <c r="D2523" s="1306"/>
      <c r="E2523" s="2810" t="str">
        <f>Translations!$B$601</f>
        <v>За да се избегне двойно отчитане или пропуски в зададените емисии при определянето на актуализираните показатели, съгласно изискванията на раздел 2.7, буква г) от приложение IV към ПБР е необходимо да подадете данни за получените или подадените междинни продукти, обхванати от който и да било от продуктовите показатели, изброени в приложение I към ПБР.</v>
      </c>
      <c r="F2523" s="2240"/>
      <c r="G2523" s="2240"/>
      <c r="H2523" s="2240"/>
      <c r="I2523" s="2240"/>
      <c r="J2523" s="2240"/>
      <c r="K2523" s="2240"/>
      <c r="L2523" s="2240"/>
      <c r="M2523" s="2240"/>
      <c r="N2523" s="2811"/>
      <c r="O2523" s="302"/>
      <c r="P2523" s="302"/>
      <c r="Q2523" s="729"/>
      <c r="R2523" s="694"/>
      <c r="S2523" s="729"/>
      <c r="T2523" s="694"/>
      <c r="U2523" s="694"/>
      <c r="V2523" s="729"/>
      <c r="W2523" s="694"/>
      <c r="X2523" s="694"/>
      <c r="Y2523" s="694"/>
      <c r="Z2523" s="694"/>
      <c r="AA2523" s="694"/>
      <c r="AB2523" s="694"/>
      <c r="AC2523" s="694"/>
      <c r="AD2523" s="694"/>
      <c r="AE2523" s="694"/>
      <c r="AF2523" s="694"/>
      <c r="AG2523" s="694"/>
      <c r="AH2523" s="694"/>
      <c r="AI2523" s="694"/>
      <c r="AJ2523" s="694"/>
      <c r="AK2523" s="694"/>
      <c r="AL2523" s="694"/>
    </row>
    <row r="2524" spans="1:38" ht="12.75" customHeight="1" x14ac:dyDescent="0.25">
      <c r="A2524" s="694"/>
      <c r="B2524" s="298"/>
      <c r="C2524" s="1302"/>
      <c r="D2524" s="1306"/>
      <c r="E2524" s="2816" t="str">
        <f>Translations!$B$602</f>
        <v>Посочените тук данни могат да се отразят на актуализацията на конкретния показател.</v>
      </c>
      <c r="F2524" s="2240"/>
      <c r="G2524" s="2240"/>
      <c r="H2524" s="2240"/>
      <c r="I2524" s="2240"/>
      <c r="J2524" s="2240"/>
      <c r="K2524" s="2240"/>
      <c r="L2524" s="2240"/>
      <c r="M2524" s="2240"/>
      <c r="N2524" s="2811"/>
      <c r="O2524" s="302"/>
      <c r="P2524" s="302"/>
      <c r="Q2524" s="729"/>
      <c r="R2524" s="694"/>
      <c r="S2524" s="729"/>
      <c r="T2524" s="694"/>
      <c r="U2524" s="694"/>
      <c r="V2524" s="729"/>
      <c r="W2524" s="694"/>
      <c r="X2524" s="694"/>
      <c r="Y2524" s="694"/>
      <c r="Z2524" s="694"/>
      <c r="AA2524" s="694"/>
      <c r="AB2524" s="694"/>
      <c r="AC2524" s="694"/>
      <c r="AD2524" s="694"/>
      <c r="AE2524" s="694"/>
      <c r="AF2524" s="694"/>
      <c r="AG2524" s="694"/>
      <c r="AH2524" s="694"/>
      <c r="AI2524" s="694"/>
      <c r="AJ2524" s="694"/>
      <c r="AK2524" s="694"/>
      <c r="AL2524" s="694"/>
    </row>
    <row r="2525" spans="1:38" ht="12.75" customHeight="1" x14ac:dyDescent="0.25">
      <c r="A2525" s="694"/>
      <c r="B2525" s="698"/>
      <c r="C2525" s="1302"/>
      <c r="D2525" s="625" t="s">
        <v>6</v>
      </c>
      <c r="E2525" s="2817" t="str">
        <f>Translations!$B$603</f>
        <v>Има ли получени или подадени междинни продукти, които са обхванати от продуктови показатели?</v>
      </c>
      <c r="F2525" s="2240"/>
      <c r="G2525" s="2240"/>
      <c r="H2525" s="2240"/>
      <c r="I2525" s="2240"/>
      <c r="J2525" s="2240"/>
      <c r="K2525" s="2684"/>
      <c r="L2525" s="83"/>
      <c r="M2525" s="1304"/>
      <c r="N2525" s="1372"/>
      <c r="O2525" s="302"/>
      <c r="P2525" s="158"/>
      <c r="Q2525" s="694"/>
      <c r="R2525" s="694"/>
      <c r="S2525" s="694"/>
      <c r="T2525" s="694"/>
      <c r="U2525" s="694"/>
      <c r="V2525" s="694"/>
      <c r="W2525" s="694"/>
      <c r="X2525" s="694"/>
      <c r="Y2525" s="694"/>
      <c r="Z2525" s="694"/>
      <c r="AA2525" s="694"/>
      <c r="AB2525" s="694"/>
      <c r="AC2525" s="694"/>
      <c r="AD2525" s="694"/>
      <c r="AE2525" s="694"/>
      <c r="AF2525" s="1182" t="s">
        <v>737</v>
      </c>
      <c r="AG2525" s="901" t="b">
        <f>AND(CNTR_ExistSubInstEntries,I2261="")</f>
        <v>0</v>
      </c>
      <c r="AH2525" s="694"/>
      <c r="AI2525" s="694"/>
      <c r="AJ2525" s="694"/>
      <c r="AK2525" s="694"/>
      <c r="AL2525" s="694"/>
    </row>
    <row r="2526" spans="1:38" ht="5.15" customHeight="1" x14ac:dyDescent="0.25">
      <c r="A2526" s="694"/>
      <c r="B2526" s="298"/>
      <c r="C2526" s="1302"/>
      <c r="D2526" s="625"/>
      <c r="E2526" s="625"/>
      <c r="F2526" s="625"/>
      <c r="G2526" s="625"/>
      <c r="H2526" s="1354"/>
      <c r="I2526" s="625"/>
      <c r="J2526" s="625"/>
      <c r="K2526" s="625"/>
      <c r="L2526" s="625"/>
      <c r="M2526" s="625"/>
      <c r="N2526" s="1348"/>
      <c r="O2526" s="302"/>
      <c r="P2526" s="302"/>
      <c r="Q2526" s="729"/>
      <c r="R2526" s="694"/>
      <c r="S2526" s="729"/>
      <c r="T2526" s="694"/>
      <c r="U2526" s="694"/>
      <c r="V2526" s="729"/>
      <c r="W2526" s="694"/>
      <c r="X2526" s="694"/>
      <c r="Y2526" s="694"/>
      <c r="Z2526" s="694"/>
      <c r="AA2526" s="694"/>
      <c r="AB2526" s="694"/>
      <c r="AC2526" s="694"/>
      <c r="AD2526" s="694"/>
      <c r="AE2526" s="694"/>
      <c r="AF2526" s="694"/>
      <c r="AG2526" s="694"/>
      <c r="AH2526" s="694"/>
      <c r="AI2526" s="694"/>
      <c r="AJ2526" s="694"/>
      <c r="AK2526" s="694"/>
      <c r="AL2526" s="694"/>
    </row>
    <row r="2527" spans="1:38" ht="12.75" customHeight="1" thickBot="1" x14ac:dyDescent="0.3">
      <c r="A2527" s="694"/>
      <c r="B2527" s="298"/>
      <c r="C2527" s="1302"/>
      <c r="D2527" s="1307"/>
      <c r="E2527" s="2803" t="str">
        <f>Translations!$B$604</f>
        <v>Получени количества:</v>
      </c>
      <c r="F2527" s="2672"/>
      <c r="G2527" s="627" t="str">
        <f>EUconst_Unit</f>
        <v>Единица мярка</v>
      </c>
      <c r="H2527" s="629">
        <f t="shared" ref="H2527:N2527" si="3658">H$2831</f>
        <v>2024</v>
      </c>
      <c r="I2527" s="1310">
        <f t="shared" si="3658"/>
        <v>2025</v>
      </c>
      <c r="J2527" s="1311">
        <f t="shared" si="3658"/>
        <v>2026</v>
      </c>
      <c r="K2527" s="629">
        <f t="shared" si="3658"/>
        <v>2027</v>
      </c>
      <c r="L2527" s="629">
        <f t="shared" si="3658"/>
        <v>2028</v>
      </c>
      <c r="M2527" s="629">
        <f t="shared" si="3658"/>
        <v>2029</v>
      </c>
      <c r="N2527" s="1312">
        <f t="shared" si="3658"/>
        <v>2030</v>
      </c>
      <c r="O2527" s="302"/>
      <c r="P2527" s="302"/>
      <c r="Q2527" s="729"/>
      <c r="R2527" s="694"/>
      <c r="S2527" s="729"/>
      <c r="T2527" s="694"/>
      <c r="U2527" s="694"/>
      <c r="V2527" s="729"/>
      <c r="W2527" s="694"/>
      <c r="X2527" s="694"/>
      <c r="Y2527" s="694"/>
      <c r="Z2527" s="694"/>
      <c r="AA2527" s="694"/>
      <c r="AB2527" s="694"/>
      <c r="AC2527" s="1178">
        <f t="shared" ref="AC2527" si="3659">H$20</f>
        <v>2024</v>
      </c>
      <c r="AD2527" s="1178">
        <f t="shared" ref="AD2527" si="3660">I$20</f>
        <v>2025</v>
      </c>
      <c r="AE2527" s="1178">
        <f t="shared" ref="AE2527" si="3661">J$20</f>
        <v>2026</v>
      </c>
      <c r="AF2527" s="1178">
        <f t="shared" ref="AF2527" si="3662">K$20</f>
        <v>2027</v>
      </c>
      <c r="AG2527" s="1178">
        <f t="shared" ref="AG2527" si="3663">L$20</f>
        <v>2028</v>
      </c>
      <c r="AH2527" s="1178">
        <f t="shared" ref="AH2527" si="3664">M$20</f>
        <v>2029</v>
      </c>
      <c r="AI2527" s="1178">
        <f t="shared" ref="AI2527" si="3665">N$20</f>
        <v>2030</v>
      </c>
      <c r="AJ2527" s="694"/>
      <c r="AK2527" s="694"/>
      <c r="AL2527" s="694"/>
    </row>
    <row r="2528" spans="1:38" ht="12.75" customHeight="1" x14ac:dyDescent="0.25">
      <c r="A2528" s="694"/>
      <c r="B2528" s="298"/>
      <c r="C2528" s="1302"/>
      <c r="D2528" s="625" t="s">
        <v>7</v>
      </c>
      <c r="E2528" s="2799"/>
      <c r="F2528" s="2800"/>
      <c r="G2528" s="1116" t="str">
        <f>IF(E2528&lt;&gt;"",INDEX(EUconst_BMlistUnits,MATCH(E2528,EUconst_BMlistNames,0)),EUconst_Tons)</f>
        <v>тона</v>
      </c>
      <c r="H2528" s="150"/>
      <c r="I2528" s="151"/>
      <c r="J2528" s="152"/>
      <c r="K2528" s="150"/>
      <c r="L2528" s="150"/>
      <c r="M2528" s="150"/>
      <c r="N2528" s="153"/>
      <c r="O2528" s="302"/>
      <c r="P2528" s="158"/>
      <c r="Q2528" s="1190" t="str">
        <f>EUconst_CNTR_IntermediateImport &amp; S2528 &amp; "_" &amp; I2261</f>
        <v>IntImp_1_</v>
      </c>
      <c r="R2528" s="694"/>
      <c r="S2528" s="1190">
        <v>1</v>
      </c>
      <c r="T2528" s="694"/>
      <c r="U2528" s="694"/>
      <c r="V2528" s="729"/>
      <c r="W2528" s="694"/>
      <c r="X2528" s="694"/>
      <c r="Y2528" s="694"/>
      <c r="Z2528" s="694"/>
      <c r="AA2528" s="694"/>
      <c r="AB2528" s="1182" t="s">
        <v>737</v>
      </c>
      <c r="AC2528" s="901" t="b">
        <f>OR(AND($L2525&lt;&gt;"",$L2525=FALSE),AC2308)</f>
        <v>0</v>
      </c>
      <c r="AD2528" s="982" t="b">
        <f t="shared" ref="AD2528:AI2528" si="3666">OR(AND($L2525&lt;&gt;"",$L2525=FALSE),AD2308)</f>
        <v>0</v>
      </c>
      <c r="AE2528" s="982" t="b">
        <f t="shared" si="3666"/>
        <v>0</v>
      </c>
      <c r="AF2528" s="982" t="b">
        <f t="shared" si="3666"/>
        <v>0</v>
      </c>
      <c r="AG2528" s="982" t="b">
        <f t="shared" si="3666"/>
        <v>0</v>
      </c>
      <c r="AH2528" s="982" t="b">
        <f t="shared" si="3666"/>
        <v>0</v>
      </c>
      <c r="AI2528" s="982" t="b">
        <f t="shared" si="3666"/>
        <v>0</v>
      </c>
      <c r="AJ2528" s="1174" t="s">
        <v>2039</v>
      </c>
      <c r="AK2528" s="1176" t="str">
        <f>IF(AND(CNTR_ExistSubInstEntries,MSconst_RequireSubAttrEmissions,COUNTIFS(AC2528:AI2528,FALSE,H2528:N2528,"")&gt;0),EUconst_Error&amp;"BM"&amp;$Q2261,"")</f>
        <v/>
      </c>
      <c r="AL2528" s="694"/>
    </row>
    <row r="2529" spans="1:38" ht="12.75" customHeight="1" x14ac:dyDescent="0.25">
      <c r="A2529" s="694"/>
      <c r="B2529" s="298"/>
      <c r="C2529" s="1302"/>
      <c r="D2529" s="625" t="s">
        <v>8</v>
      </c>
      <c r="E2529" s="2801"/>
      <c r="F2529" s="2802"/>
      <c r="G2529" s="1349" t="str">
        <f>IF(E2529&lt;&gt;"",INDEX(EUconst_BMlistUnits,MATCH(E2529,EUconst_BMlistNames,0)),EUconst_Tons)</f>
        <v>тона</v>
      </c>
      <c r="H2529" s="154"/>
      <c r="I2529" s="155"/>
      <c r="J2529" s="156"/>
      <c r="K2529" s="154"/>
      <c r="L2529" s="154"/>
      <c r="M2529" s="154"/>
      <c r="N2529" s="157"/>
      <c r="O2529" s="302"/>
      <c r="P2529" s="158"/>
      <c r="Q2529" s="1190" t="str">
        <f>EUconst_CNTR_IntermediateImport &amp; S2529 &amp; "_" &amp; I2261</f>
        <v>IntImp_2_</v>
      </c>
      <c r="R2529" s="694"/>
      <c r="S2529" s="1190">
        <v>2</v>
      </c>
      <c r="T2529" s="694"/>
      <c r="U2529" s="694"/>
      <c r="V2529" s="729"/>
      <c r="W2529" s="694"/>
      <c r="X2529" s="694"/>
      <c r="Y2529" s="694"/>
      <c r="Z2529" s="694"/>
      <c r="AA2529" s="694"/>
      <c r="AB2529" s="694"/>
      <c r="AC2529" s="982" t="b">
        <f>AC2528</f>
        <v>0</v>
      </c>
      <c r="AD2529" s="982" t="b">
        <f t="shared" ref="AD2529:AI2529" si="3667">AD2528</f>
        <v>0</v>
      </c>
      <c r="AE2529" s="982" t="b">
        <f t="shared" si="3667"/>
        <v>0</v>
      </c>
      <c r="AF2529" s="982" t="b">
        <f t="shared" si="3667"/>
        <v>0</v>
      </c>
      <c r="AG2529" s="982" t="b">
        <f t="shared" si="3667"/>
        <v>0</v>
      </c>
      <c r="AH2529" s="982" t="b">
        <f t="shared" si="3667"/>
        <v>0</v>
      </c>
      <c r="AI2529" s="982" t="b">
        <f t="shared" si="3667"/>
        <v>0</v>
      </c>
      <c r="AJ2529" s="694"/>
      <c r="AK2529" s="694"/>
      <c r="AL2529" s="694"/>
    </row>
    <row r="2530" spans="1:38" ht="5.15" customHeight="1" x14ac:dyDescent="0.25">
      <c r="A2530" s="694"/>
      <c r="B2530" s="298"/>
      <c r="C2530" s="1302"/>
      <c r="D2530" s="625"/>
      <c r="E2530" s="625"/>
      <c r="F2530" s="625"/>
      <c r="G2530" s="625"/>
      <c r="H2530" s="625"/>
      <c r="I2530" s="625"/>
      <c r="J2530" s="625"/>
      <c r="K2530" s="625"/>
      <c r="L2530" s="625"/>
      <c r="M2530" s="625"/>
      <c r="N2530" s="1373"/>
      <c r="O2530" s="302"/>
      <c r="P2530" s="302"/>
      <c r="Q2530" s="729"/>
      <c r="R2530" s="694"/>
      <c r="S2530" s="729"/>
      <c r="T2530" s="694"/>
      <c r="U2530" s="694"/>
      <c r="V2530" s="729"/>
      <c r="W2530" s="694"/>
      <c r="X2530" s="694"/>
      <c r="Y2530" s="694"/>
      <c r="Z2530" s="694"/>
      <c r="AA2530" s="694"/>
      <c r="AB2530" s="694"/>
      <c r="AC2530" s="694"/>
      <c r="AD2530" s="694"/>
      <c r="AE2530" s="694"/>
      <c r="AF2530" s="694"/>
      <c r="AG2530" s="694"/>
      <c r="AH2530" s="694"/>
      <c r="AI2530" s="694"/>
      <c r="AJ2530" s="694"/>
      <c r="AK2530" s="694"/>
      <c r="AL2530" s="694"/>
    </row>
    <row r="2531" spans="1:38" ht="12.75" customHeight="1" thickBot="1" x14ac:dyDescent="0.3">
      <c r="A2531" s="694"/>
      <c r="B2531" s="298"/>
      <c r="C2531" s="1302"/>
      <c r="D2531" s="1307"/>
      <c r="E2531" s="2803" t="str">
        <f>Translations!$B$605</f>
        <v>Подадени количества:</v>
      </c>
      <c r="F2531" s="2672"/>
      <c r="G2531" s="627" t="str">
        <f>EUconst_Unit</f>
        <v>Единица мярка</v>
      </c>
      <c r="H2531" s="629">
        <f t="shared" ref="H2531:N2531" si="3668">H$2831</f>
        <v>2024</v>
      </c>
      <c r="I2531" s="1310">
        <f t="shared" si="3668"/>
        <v>2025</v>
      </c>
      <c r="J2531" s="1311">
        <f t="shared" si="3668"/>
        <v>2026</v>
      </c>
      <c r="K2531" s="629">
        <f t="shared" si="3668"/>
        <v>2027</v>
      </c>
      <c r="L2531" s="629">
        <f t="shared" si="3668"/>
        <v>2028</v>
      </c>
      <c r="M2531" s="629">
        <f t="shared" si="3668"/>
        <v>2029</v>
      </c>
      <c r="N2531" s="1312">
        <f t="shared" si="3668"/>
        <v>2030</v>
      </c>
      <c r="O2531" s="302"/>
      <c r="P2531" s="302"/>
      <c r="Q2531" s="729"/>
      <c r="R2531" s="694"/>
      <c r="S2531" s="729"/>
      <c r="T2531" s="694"/>
      <c r="U2531" s="694"/>
      <c r="V2531" s="729"/>
      <c r="W2531" s="694"/>
      <c r="X2531" s="694"/>
      <c r="Y2531" s="694"/>
      <c r="Z2531" s="694"/>
      <c r="AA2531" s="694"/>
      <c r="AB2531" s="694"/>
      <c r="AC2531" s="1178">
        <f t="shared" ref="AC2531" si="3669">H$20</f>
        <v>2024</v>
      </c>
      <c r="AD2531" s="1178">
        <f t="shared" ref="AD2531" si="3670">I$20</f>
        <v>2025</v>
      </c>
      <c r="AE2531" s="1178">
        <f t="shared" ref="AE2531" si="3671">J$20</f>
        <v>2026</v>
      </c>
      <c r="AF2531" s="1178">
        <f t="shared" ref="AF2531" si="3672">K$20</f>
        <v>2027</v>
      </c>
      <c r="AG2531" s="1178">
        <f t="shared" ref="AG2531" si="3673">L$20</f>
        <v>2028</v>
      </c>
      <c r="AH2531" s="1178">
        <f t="shared" ref="AH2531" si="3674">M$20</f>
        <v>2029</v>
      </c>
      <c r="AI2531" s="1178">
        <f t="shared" ref="AI2531" si="3675">N$20</f>
        <v>2030</v>
      </c>
      <c r="AJ2531" s="694"/>
      <c r="AK2531" s="694"/>
      <c r="AL2531" s="694"/>
    </row>
    <row r="2532" spans="1:38" ht="12.75" customHeight="1" x14ac:dyDescent="0.25">
      <c r="A2532" s="694"/>
      <c r="B2532" s="298"/>
      <c r="C2532" s="1302"/>
      <c r="D2532" s="625" t="s">
        <v>18</v>
      </c>
      <c r="E2532" s="2799"/>
      <c r="F2532" s="2800"/>
      <c r="G2532" s="1116" t="str">
        <f>IF(E2532&lt;&gt;"",INDEX(EUconst_BMlistUnits,MATCH(E2532,EUconst_BMlistNames,0)),EUconst_Tons)</f>
        <v>тона</v>
      </c>
      <c r="H2532" s="150"/>
      <c r="I2532" s="151"/>
      <c r="J2532" s="152"/>
      <c r="K2532" s="150"/>
      <c r="L2532" s="150"/>
      <c r="M2532" s="150"/>
      <c r="N2532" s="153"/>
      <c r="O2532" s="302"/>
      <c r="P2532" s="158"/>
      <c r="Q2532" s="1190" t="str">
        <f>EUconst_CNTR_IntermediateExport &amp; S2528 &amp; "_" &amp; I2261</f>
        <v>IntExp_1_</v>
      </c>
      <c r="R2532" s="694"/>
      <c r="S2532" s="1190">
        <v>1</v>
      </c>
      <c r="T2532" s="694"/>
      <c r="U2532" s="694"/>
      <c r="V2532" s="729"/>
      <c r="W2532" s="694"/>
      <c r="X2532" s="1374"/>
      <c r="Y2532" s="1374"/>
      <c r="Z2532" s="694"/>
      <c r="AA2532" s="694"/>
      <c r="AB2532" s="1182" t="s">
        <v>737</v>
      </c>
      <c r="AC2532" s="982" t="b">
        <f>AC2528</f>
        <v>0</v>
      </c>
      <c r="AD2532" s="982" t="b">
        <f t="shared" ref="AD2532:AI2532" si="3676">AD2528</f>
        <v>0</v>
      </c>
      <c r="AE2532" s="982" t="b">
        <f t="shared" si="3676"/>
        <v>0</v>
      </c>
      <c r="AF2532" s="982" t="b">
        <f t="shared" si="3676"/>
        <v>0</v>
      </c>
      <c r="AG2532" s="982" t="b">
        <f t="shared" si="3676"/>
        <v>0</v>
      </c>
      <c r="AH2532" s="982" t="b">
        <f t="shared" si="3676"/>
        <v>0</v>
      </c>
      <c r="AI2532" s="982" t="b">
        <f t="shared" si="3676"/>
        <v>0</v>
      </c>
      <c r="AJ2532" s="1174" t="s">
        <v>2039</v>
      </c>
      <c r="AK2532" s="1176" t="str">
        <f>IF(AND(CNTR_ExistSubInstEntries,MSconst_RequireSubAttrEmissions,COUNTIFS(AC2532:AI2532,FALSE,H2532:N2532,"")&gt;0),EUconst_Error&amp;"BM"&amp;$Q2261,"")</f>
        <v/>
      </c>
      <c r="AL2532" s="694"/>
    </row>
    <row r="2533" spans="1:38" ht="12.75" customHeight="1" x14ac:dyDescent="0.25">
      <c r="A2533" s="694"/>
      <c r="B2533" s="298"/>
      <c r="C2533" s="1302"/>
      <c r="D2533" s="625" t="s">
        <v>810</v>
      </c>
      <c r="E2533" s="2801"/>
      <c r="F2533" s="2802"/>
      <c r="G2533" s="1349" t="str">
        <f>IF(E2533&lt;&gt;"",INDEX(EUconst_BMlistUnits,MATCH(E2533,EUconst_BMlistNames,0)),EUconst_Tons)</f>
        <v>тона</v>
      </c>
      <c r="H2533" s="154"/>
      <c r="I2533" s="155"/>
      <c r="J2533" s="156"/>
      <c r="K2533" s="154"/>
      <c r="L2533" s="154"/>
      <c r="M2533" s="154"/>
      <c r="N2533" s="157"/>
      <c r="O2533" s="302"/>
      <c r="P2533" s="158"/>
      <c r="Q2533" s="1190" t="str">
        <f>EUconst_CNTR_IntermediateExport &amp; S2533 &amp; "_" &amp; I2261</f>
        <v>IntExp_2_</v>
      </c>
      <c r="R2533" s="694"/>
      <c r="S2533" s="1190">
        <v>2</v>
      </c>
      <c r="T2533" s="694"/>
      <c r="U2533" s="694"/>
      <c r="V2533" s="729"/>
      <c r="W2533" s="694"/>
      <c r="X2533" s="1374"/>
      <c r="Y2533" s="1374"/>
      <c r="Z2533" s="694"/>
      <c r="AA2533" s="694"/>
      <c r="AB2533" s="694"/>
      <c r="AC2533" s="982" t="b">
        <f t="shared" ref="AC2533:AI2533" si="3677">AC2529</f>
        <v>0</v>
      </c>
      <c r="AD2533" s="982" t="b">
        <f t="shared" si="3677"/>
        <v>0</v>
      </c>
      <c r="AE2533" s="982" t="b">
        <f t="shared" si="3677"/>
        <v>0</v>
      </c>
      <c r="AF2533" s="982" t="b">
        <f t="shared" si="3677"/>
        <v>0</v>
      </c>
      <c r="AG2533" s="982" t="b">
        <f t="shared" si="3677"/>
        <v>0</v>
      </c>
      <c r="AH2533" s="982" t="b">
        <f t="shared" si="3677"/>
        <v>0</v>
      </c>
      <c r="AI2533" s="982" t="b">
        <f t="shared" si="3677"/>
        <v>0</v>
      </c>
      <c r="AJ2533" s="694"/>
      <c r="AK2533" s="694"/>
      <c r="AL2533" s="694"/>
    </row>
    <row r="2534" spans="1:38" ht="5.15" customHeight="1" x14ac:dyDescent="0.25">
      <c r="A2534" s="694"/>
      <c r="B2534" s="298"/>
      <c r="C2534" s="1302"/>
      <c r="D2534" s="625"/>
      <c r="E2534" s="625"/>
      <c r="F2534" s="625"/>
      <c r="G2534" s="625"/>
      <c r="H2534" s="625"/>
      <c r="I2534" s="625"/>
      <c r="J2534" s="625"/>
      <c r="K2534" s="625"/>
      <c r="L2534" s="625"/>
      <c r="M2534" s="625"/>
      <c r="N2534" s="1348"/>
      <c r="O2534" s="302"/>
      <c r="P2534" s="302"/>
      <c r="Q2534" s="729"/>
      <c r="R2534" s="694"/>
      <c r="S2534" s="729"/>
      <c r="T2534" s="694"/>
      <c r="U2534" s="694"/>
      <c r="V2534" s="729"/>
      <c r="W2534" s="694"/>
      <c r="X2534" s="1374"/>
      <c r="Y2534" s="1374"/>
      <c r="Z2534" s="694"/>
      <c r="AA2534" s="694"/>
      <c r="AB2534" s="694"/>
      <c r="AC2534" s="694"/>
      <c r="AD2534" s="694"/>
      <c r="AE2534" s="694"/>
      <c r="AF2534" s="694"/>
      <c r="AG2534" s="694"/>
      <c r="AH2534" s="694"/>
      <c r="AI2534" s="694"/>
      <c r="AJ2534" s="694"/>
      <c r="AK2534" s="694"/>
      <c r="AL2534" s="694"/>
    </row>
    <row r="2535" spans="1:38" ht="12.75" customHeight="1" x14ac:dyDescent="0.25">
      <c r="A2535" s="694"/>
      <c r="B2535" s="298"/>
      <c r="C2535" s="1302"/>
      <c r="D2535" s="625" t="s">
        <v>811</v>
      </c>
      <c r="E2535" s="626" t="str">
        <f>Translations!$B$606</f>
        <v>Описание на получените или подадените междинни продукти</v>
      </c>
      <c r="F2535" s="626"/>
      <c r="G2535" s="626"/>
      <c r="H2535" s="626"/>
      <c r="I2535" s="626"/>
      <c r="J2535" s="626"/>
      <c r="K2535" s="626"/>
      <c r="L2535" s="626"/>
      <c r="M2535" s="626"/>
      <c r="N2535" s="1348"/>
      <c r="O2535" s="302"/>
      <c r="P2535" s="302"/>
      <c r="Q2535" s="729"/>
      <c r="R2535" s="694"/>
      <c r="S2535" s="729"/>
      <c r="T2535" s="694"/>
      <c r="U2535" s="694"/>
      <c r="V2535" s="729"/>
      <c r="W2535" s="694"/>
      <c r="X2535" s="1374"/>
      <c r="Y2535" s="1374"/>
      <c r="Z2535" s="694"/>
      <c r="AA2535" s="694"/>
      <c r="AB2535" s="694"/>
      <c r="AC2535" s="694"/>
      <c r="AD2535" s="694"/>
      <c r="AE2535" s="694"/>
      <c r="AF2535" s="694"/>
      <c r="AG2535" s="694"/>
      <c r="AH2535" s="694"/>
      <c r="AI2535" s="694"/>
      <c r="AJ2535" s="694"/>
      <c r="AK2535" s="694"/>
      <c r="AL2535" s="694"/>
    </row>
    <row r="2536" spans="1:38" ht="12.75" customHeight="1" x14ac:dyDescent="0.25">
      <c r="A2536" s="694"/>
      <c r="B2536" s="298"/>
      <c r="C2536" s="1302"/>
      <c r="D2536" s="625"/>
      <c r="E2536" s="1375" t="str">
        <f>Translations!$B$607</f>
        <v>Моля, опишете накратко производствения процес във връзка с получени или подадени междинни продукти.</v>
      </c>
      <c r="F2536" s="1322"/>
      <c r="G2536" s="1322"/>
      <c r="H2536" s="1322"/>
      <c r="I2536" s="1322"/>
      <c r="J2536" s="1322"/>
      <c r="K2536" s="1322"/>
      <c r="L2536" s="1322"/>
      <c r="M2536" s="1322"/>
      <c r="N2536" s="1323"/>
      <c r="O2536" s="302"/>
      <c r="P2536" s="302"/>
      <c r="Q2536" s="729"/>
      <c r="R2536" s="694"/>
      <c r="S2536" s="729"/>
      <c r="T2536" s="694"/>
      <c r="U2536" s="694"/>
      <c r="V2536" s="729"/>
      <c r="W2536" s="694"/>
      <c r="X2536" s="1374"/>
      <c r="Y2536" s="1374"/>
      <c r="Z2536" s="694"/>
      <c r="AA2536" s="694"/>
      <c r="AB2536" s="694"/>
      <c r="AC2536" s="694"/>
      <c r="AD2536" s="694"/>
      <c r="AE2536" s="694"/>
      <c r="AF2536" s="694"/>
      <c r="AG2536" s="694"/>
      <c r="AH2536" s="694"/>
      <c r="AI2536" s="694"/>
      <c r="AJ2536" s="694"/>
      <c r="AK2536" s="694"/>
      <c r="AL2536" s="694"/>
    </row>
    <row r="2537" spans="1:38" ht="12.75" customHeight="1" x14ac:dyDescent="0.25">
      <c r="A2537" s="694"/>
      <c r="B2537" s="298"/>
      <c r="C2537" s="1302"/>
      <c r="D2537" s="625"/>
      <c r="E2537" s="2804"/>
      <c r="F2537" s="2805"/>
      <c r="G2537" s="2805"/>
      <c r="H2537" s="2805"/>
      <c r="I2537" s="2805"/>
      <c r="J2537" s="2805"/>
      <c r="K2537" s="2805"/>
      <c r="L2537" s="2805"/>
      <c r="M2537" s="2806"/>
      <c r="N2537" s="1348"/>
      <c r="O2537" s="302"/>
      <c r="P2537" s="158"/>
      <c r="Q2537" s="729"/>
      <c r="R2537" s="694"/>
      <c r="S2537" s="729"/>
      <c r="T2537" s="694"/>
      <c r="U2537" s="694"/>
      <c r="V2537" s="729"/>
      <c r="W2537" s="694"/>
      <c r="X2537" s="1374"/>
      <c r="Y2537" s="1374"/>
      <c r="Z2537" s="694"/>
      <c r="AA2537" s="694"/>
      <c r="AB2537" s="1182" t="s">
        <v>737</v>
      </c>
      <c r="AC2537" s="982" t="b">
        <f>AND(AC2532:AI2532)</f>
        <v>0</v>
      </c>
      <c r="AD2537" s="694"/>
      <c r="AE2537" s="694"/>
      <c r="AF2537" s="694"/>
      <c r="AG2537" s="694"/>
      <c r="AH2537" s="694"/>
      <c r="AI2537" s="694"/>
      <c r="AJ2537" s="694"/>
      <c r="AK2537" s="694"/>
      <c r="AL2537" s="694"/>
    </row>
    <row r="2538" spans="1:38" ht="12.75" customHeight="1" x14ac:dyDescent="0.25">
      <c r="A2538" s="694"/>
      <c r="B2538" s="298"/>
      <c r="C2538" s="1302"/>
      <c r="D2538" s="625"/>
      <c r="E2538" s="2807"/>
      <c r="F2538" s="2808"/>
      <c r="G2538" s="2808"/>
      <c r="H2538" s="2808"/>
      <c r="I2538" s="2808"/>
      <c r="J2538" s="2808"/>
      <c r="K2538" s="2808"/>
      <c r="L2538" s="2808"/>
      <c r="M2538" s="2809"/>
      <c r="N2538" s="1348"/>
      <c r="O2538" s="302"/>
      <c r="P2538" s="302"/>
      <c r="Q2538" s="729"/>
      <c r="R2538" s="694"/>
      <c r="S2538" s="729"/>
      <c r="T2538" s="694"/>
      <c r="U2538" s="694"/>
      <c r="V2538" s="729"/>
      <c r="W2538" s="694"/>
      <c r="X2538" s="1374"/>
      <c r="Y2538" s="1374"/>
      <c r="Z2538" s="694"/>
      <c r="AA2538" s="694"/>
      <c r="AB2538" s="694"/>
      <c r="AC2538" s="982" t="b">
        <f>AC2537</f>
        <v>0</v>
      </c>
      <c r="AD2538" s="694"/>
      <c r="AE2538" s="694"/>
      <c r="AF2538" s="694"/>
      <c r="AG2538" s="694"/>
      <c r="AH2538" s="694"/>
      <c r="AI2538" s="694"/>
      <c r="AJ2538" s="694"/>
      <c r="AK2538" s="694"/>
      <c r="AL2538" s="694"/>
    </row>
    <row r="2539" spans="1:38" ht="12.75" customHeight="1" thickBot="1" x14ac:dyDescent="0.3">
      <c r="A2539" s="694"/>
      <c r="B2539" s="298"/>
      <c r="C2539" s="1376"/>
      <c r="D2539" s="1377"/>
      <c r="E2539" s="1377"/>
      <c r="F2539" s="1377"/>
      <c r="G2539" s="1377"/>
      <c r="H2539" s="1377"/>
      <c r="I2539" s="1377"/>
      <c r="J2539" s="1377"/>
      <c r="K2539" s="1377"/>
      <c r="L2539" s="1377"/>
      <c r="M2539" s="1378"/>
      <c r="N2539" s="1379"/>
      <c r="O2539" s="302"/>
      <c r="P2539" s="302"/>
      <c r="Q2539" s="729"/>
      <c r="R2539" s="694"/>
      <c r="S2539" s="729"/>
      <c r="T2539" s="694"/>
      <c r="U2539" s="694"/>
      <c r="V2539" s="729"/>
      <c r="W2539" s="694"/>
      <c r="X2539" s="694"/>
      <c r="Y2539" s="694"/>
      <c r="Z2539" s="694"/>
      <c r="AA2539" s="694"/>
      <c r="AB2539" s="694"/>
      <c r="AC2539" s="694"/>
      <c r="AD2539" s="694"/>
      <c r="AE2539" s="694"/>
      <c r="AF2539" s="694"/>
      <c r="AG2539" s="694"/>
      <c r="AH2539" s="694"/>
      <c r="AI2539" s="694"/>
      <c r="AJ2539" s="694"/>
      <c r="AK2539" s="694"/>
      <c r="AL2539" s="694"/>
    </row>
    <row r="2540" spans="1:38" ht="12.75" customHeight="1" thickBot="1" x14ac:dyDescent="0.3">
      <c r="A2540" s="729"/>
      <c r="B2540" s="284"/>
      <c r="C2540" s="284"/>
      <c r="D2540" s="284"/>
      <c r="E2540" s="284"/>
      <c r="F2540" s="284"/>
      <c r="G2540" s="284"/>
      <c r="H2540" s="284"/>
      <c r="I2540" s="284"/>
      <c r="J2540" s="284"/>
      <c r="K2540" s="284"/>
      <c r="L2540" s="284"/>
      <c r="M2540" s="336"/>
      <c r="N2540" s="336"/>
      <c r="O2540" s="336"/>
      <c r="P2540" s="336"/>
      <c r="Q2540" s="1026" t="str">
        <f>IF(OR(AND(CNTR_ExistProductSubEntries=FALSE,Q2261=1),AND(I2261&lt;&gt;"",COUNTIF(Q2541:Q$2825,"PRINT")=0)),"PRINT","")</f>
        <v/>
      </c>
      <c r="R2540" s="770"/>
      <c r="S2540" s="770"/>
      <c r="T2540" s="770"/>
      <c r="U2540" s="770"/>
      <c r="V2540" s="770"/>
      <c r="W2540" s="770"/>
      <c r="X2540" s="770"/>
      <c r="Y2540" s="770"/>
      <c r="Z2540" s="694"/>
      <c r="AA2540" s="694"/>
      <c r="AB2540" s="694"/>
      <c r="AC2540" s="694"/>
      <c r="AD2540" s="694"/>
      <c r="AE2540" s="343"/>
      <c r="AF2540" s="343"/>
      <c r="AG2540" s="343"/>
      <c r="AH2540" s="343"/>
      <c r="AI2540" s="343"/>
      <c r="AJ2540" s="343"/>
      <c r="AK2540" s="343"/>
      <c r="AL2540" s="343"/>
    </row>
    <row r="2541" spans="1:38" ht="5.15" customHeight="1" thickBot="1" x14ac:dyDescent="0.3">
      <c r="A2541" s="694"/>
      <c r="B2541" s="298"/>
      <c r="C2541" s="1380"/>
      <c r="D2541" s="1380"/>
      <c r="E2541" s="1380"/>
      <c r="F2541" s="1380"/>
      <c r="G2541" s="1380"/>
      <c r="H2541" s="1380"/>
      <c r="I2541" s="1380"/>
      <c r="J2541" s="1380"/>
      <c r="K2541" s="1380"/>
      <c r="L2541" s="1380"/>
      <c r="M2541" s="1380"/>
      <c r="N2541" s="1380"/>
      <c r="O2541" s="302"/>
      <c r="P2541" s="302"/>
      <c r="Q2541" s="1381"/>
      <c r="R2541" s="1381"/>
      <c r="S2541" s="1381"/>
      <c r="T2541" s="1381"/>
      <c r="U2541" s="1381"/>
      <c r="V2541" s="1381"/>
      <c r="W2541" s="1381"/>
      <c r="X2541" s="1381"/>
      <c r="Y2541" s="1381"/>
      <c r="Z2541" s="1381"/>
      <c r="AA2541" s="1381"/>
      <c r="AB2541" s="1381"/>
      <c r="AC2541" s="1381"/>
      <c r="AD2541" s="1381"/>
      <c r="AE2541" s="1381"/>
      <c r="AF2541" s="1381"/>
      <c r="AG2541" s="1381"/>
      <c r="AH2541" s="1381"/>
      <c r="AI2541" s="1381"/>
      <c r="AJ2541" s="1381"/>
      <c r="AK2541" s="1381"/>
      <c r="AL2541" s="1381"/>
    </row>
    <row r="2542" spans="1:38" ht="14.5" thickBot="1" x14ac:dyDescent="0.3">
      <c r="A2542" s="694"/>
      <c r="B2542" s="298"/>
      <c r="C2542" s="1173">
        <f>C2261+1</f>
        <v>10</v>
      </c>
      <c r="D2542" s="2323" t="str">
        <f>EUconst_BMSubinst &amp; ":"</f>
        <v>Подинсталация с продуктов показател:</v>
      </c>
      <c r="E2542" s="2249"/>
      <c r="F2542" s="2249"/>
      <c r="G2542" s="2249"/>
      <c r="H2542" s="2295"/>
      <c r="I2542" s="2843" t="str">
        <f>IF(INDEX(CNTR_SubInstListIsProdBM,$C2542),INDEX(CNTR_SubInstListNames,$C2542),"")</f>
        <v/>
      </c>
      <c r="J2542" s="2844"/>
      <c r="K2542" s="2844"/>
      <c r="L2542" s="2844"/>
      <c r="M2542" s="2844"/>
      <c r="N2542" s="2865"/>
      <c r="O2542" s="302"/>
      <c r="P2542" s="302"/>
      <c r="Q2542" s="1026">
        <f>C2542</f>
        <v>10</v>
      </c>
      <c r="R2542" s="694"/>
      <c r="S2542" s="1174" t="str">
        <f>Translations!$B$898</f>
        <v>Дата на въвеждане в експлоатация:</v>
      </c>
      <c r="T2542" s="1175" t="str">
        <f>IF(I2542="","",MAX(INDEX(CNTR_SubInstStartDate,MATCH($I2542,CNTR_SubInstListNames,0)),DATE(2005,1,1)))</f>
        <v/>
      </c>
      <c r="U2542" s="729" t="s">
        <v>1731</v>
      </c>
      <c r="V2542" s="1176">
        <f>IF(ISNUMBER(T2542),YEAR($T2542-IF(YEAR(T2542)&gt;=2022,0,1))+1,2005)</f>
        <v>2005</v>
      </c>
      <c r="W2542" s="1174" t="s">
        <v>1734</v>
      </c>
      <c r="X2542" s="1175" t="str">
        <f>IF(I2542="","",INDEX(CNTR_SubInstCessationDate,MATCH($I2542,CNTR_SubInstListNames,0)))</f>
        <v/>
      </c>
      <c r="Y2542" s="1174" t="s">
        <v>1735</v>
      </c>
      <c r="Z2542" s="1176">
        <f>IF(SUM(X2542)=0,2050,YEAR($X2542))</f>
        <v>2050</v>
      </c>
      <c r="AA2542" s="1174" t="s">
        <v>2009</v>
      </c>
      <c r="AB2542" s="1176" t="b">
        <f>CNTR_ReportingYear&gt;V2542</f>
        <v>1</v>
      </c>
      <c r="AC2542" s="694"/>
      <c r="AD2542" s="694"/>
      <c r="AE2542" s="694"/>
      <c r="AF2542" s="694"/>
      <c r="AG2542" s="694"/>
      <c r="AH2542" s="694"/>
      <c r="AI2542" s="694"/>
      <c r="AJ2542" s="694"/>
      <c r="AK2542" s="694"/>
      <c r="AL2542" s="1177" t="b">
        <f>AND(CNTR_ExistSubInstEntries,I2542="")</f>
        <v>0</v>
      </c>
    </row>
    <row r="2543" spans="1:38" x14ac:dyDescent="0.25">
      <c r="A2543" s="694"/>
      <c r="B2543" s="298"/>
      <c r="C2543" s="298"/>
      <c r="D2543" s="302"/>
      <c r="E2543" s="2358" t="str">
        <f>Translations!$B$330</f>
        <v>Наименованието на подинсталацията с продуктов показател се показва автоматично въз основа на данните, въведени в лист „A_InstallationData“ („А_Данни за инсталацията“).</v>
      </c>
      <c r="F2543" s="2249"/>
      <c r="G2543" s="2249"/>
      <c r="H2543" s="2249"/>
      <c r="I2543" s="2249"/>
      <c r="J2543" s="2249"/>
      <c r="K2543" s="2249"/>
      <c r="L2543" s="2249"/>
      <c r="M2543" s="2249"/>
      <c r="N2543" s="2249"/>
      <c r="O2543" s="302"/>
      <c r="P2543" s="302"/>
      <c r="Q2543" s="729"/>
      <c r="R2543" s="694"/>
      <c r="S2543" s="729"/>
      <c r="T2543" s="729"/>
      <c r="U2543" s="694"/>
      <c r="V2543" s="694"/>
      <c r="W2543" s="694"/>
      <c r="X2543" s="694"/>
      <c r="Y2543" s="694"/>
      <c r="Z2543" s="694"/>
      <c r="AA2543" s="694"/>
      <c r="AB2543" s="694"/>
      <c r="AC2543" s="694"/>
      <c r="AD2543" s="694"/>
      <c r="AE2543" s="694"/>
      <c r="AF2543" s="694"/>
      <c r="AG2543" s="694"/>
      <c r="AH2543" s="694"/>
      <c r="AI2543" s="694"/>
      <c r="AJ2543" s="694"/>
      <c r="AK2543" s="694"/>
      <c r="AL2543" s="694"/>
    </row>
    <row r="2544" spans="1:38" ht="5.15" customHeight="1" x14ac:dyDescent="0.25">
      <c r="A2544" s="694"/>
      <c r="B2544" s="298"/>
      <c r="C2544" s="298"/>
      <c r="D2544" s="298"/>
      <c r="E2544" s="298"/>
      <c r="F2544" s="298"/>
      <c r="G2544" s="298"/>
      <c r="H2544" s="298"/>
      <c r="I2544" s="298"/>
      <c r="J2544" s="298"/>
      <c r="K2544" s="298"/>
      <c r="L2544" s="298"/>
      <c r="M2544" s="302"/>
      <c r="N2544" s="302"/>
      <c r="O2544" s="302"/>
      <c r="P2544" s="302"/>
      <c r="Q2544" s="729"/>
      <c r="R2544" s="694"/>
      <c r="S2544" s="729"/>
      <c r="T2544" s="729"/>
      <c r="U2544" s="694"/>
      <c r="V2544" s="694"/>
      <c r="W2544" s="694"/>
      <c r="X2544" s="694"/>
      <c r="Y2544" s="694"/>
      <c r="Z2544" s="694"/>
      <c r="AA2544" s="694"/>
      <c r="AB2544" s="694"/>
      <c r="AC2544" s="694"/>
      <c r="AD2544" s="694"/>
      <c r="AE2544" s="694"/>
      <c r="AF2544" s="694"/>
      <c r="AG2544" s="694"/>
      <c r="AH2544" s="694"/>
      <c r="AI2544" s="694"/>
      <c r="AJ2544" s="694"/>
      <c r="AK2544" s="694"/>
      <c r="AL2544" s="694"/>
    </row>
    <row r="2545" spans="1:38" ht="13" x14ac:dyDescent="0.25">
      <c r="A2545" s="694"/>
      <c r="B2545" s="298"/>
      <c r="C2545" s="298"/>
      <c r="D2545" s="300" t="s">
        <v>408</v>
      </c>
      <c r="E2545" s="2226" t="str">
        <f>Translations!$B$1315</f>
        <v>Равнища на дейност</v>
      </c>
      <c r="F2545" s="2249"/>
      <c r="G2545" s="2249"/>
      <c r="H2545" s="2249"/>
      <c r="I2545" s="2249"/>
      <c r="J2545" s="2249"/>
      <c r="K2545" s="2249"/>
      <c r="L2545" s="2249"/>
      <c r="M2545" s="2249"/>
      <c r="N2545" s="2249"/>
      <c r="O2545" s="302"/>
      <c r="P2545" s="302"/>
      <c r="Q2545" s="729"/>
      <c r="R2545" s="694"/>
      <c r="S2545" s="694"/>
      <c r="T2545" s="694"/>
      <c r="U2545" s="694"/>
      <c r="V2545" s="694"/>
      <c r="W2545" s="694"/>
      <c r="X2545" s="694"/>
      <c r="Y2545" s="694"/>
      <c r="Z2545" s="694"/>
      <c r="AA2545" s="694"/>
      <c r="AB2545" s="694"/>
      <c r="AC2545" s="694"/>
      <c r="AD2545" s="694"/>
      <c r="AE2545" s="694"/>
      <c r="AF2545" s="694"/>
      <c r="AG2545" s="694"/>
      <c r="AH2545" s="694"/>
      <c r="AI2545" s="694"/>
      <c r="AJ2545" s="694"/>
      <c r="AK2545" s="694"/>
      <c r="AL2545" s="694"/>
    </row>
    <row r="2546" spans="1:38" x14ac:dyDescent="0.25">
      <c r="A2546" s="694"/>
      <c r="B2546" s="298"/>
      <c r="C2546" s="298"/>
      <c r="D2546" s="302"/>
      <c r="E2546" s="2358" t="str">
        <f>Translations!$B$474</f>
        <v>По тази точка следва да се отчетат „основните равнища на дейност“, т.е. данните, които се прилагат пряко за изчисляване на разпределението.</v>
      </c>
      <c r="F2546" s="2249"/>
      <c r="G2546" s="2249"/>
      <c r="H2546" s="2249"/>
      <c r="I2546" s="2249"/>
      <c r="J2546" s="2249"/>
      <c r="K2546" s="2249"/>
      <c r="L2546" s="2249"/>
      <c r="M2546" s="2249"/>
      <c r="N2546" s="2249"/>
      <c r="O2546" s="302"/>
      <c r="P2546" s="302"/>
      <c r="Q2546" s="729"/>
      <c r="R2546" s="694"/>
      <c r="S2546" s="729"/>
      <c r="T2546" s="729"/>
      <c r="U2546" s="729"/>
      <c r="V2546" s="694"/>
      <c r="W2546" s="694"/>
      <c r="X2546" s="694"/>
      <c r="Y2546" s="694"/>
      <c r="Z2546" s="694"/>
      <c r="AA2546" s="694"/>
      <c r="AB2546" s="694"/>
      <c r="AC2546" s="694"/>
      <c r="AD2546" s="694"/>
      <c r="AE2546" s="694"/>
      <c r="AF2546" s="694"/>
      <c r="AG2546" s="694"/>
      <c r="AH2546" s="694"/>
      <c r="AI2546" s="694"/>
      <c r="AJ2546" s="694"/>
      <c r="AK2546" s="694"/>
      <c r="AL2546" s="694"/>
    </row>
    <row r="2547" spans="1:38" x14ac:dyDescent="0.25">
      <c r="A2547" s="694"/>
      <c r="B2547" s="298"/>
      <c r="C2547" s="298"/>
      <c r="D2547" s="302"/>
      <c r="E2547" s="2358" t="str">
        <f>Translations!$B$475</f>
        <v xml:space="preserve">Това обикновено са производствените данни за продукта, напр. тонове клинкер за сив цимент или тонове стъклени бутилки, както е определено в приложение I към ПБР. </v>
      </c>
      <c r="F2547" s="2249"/>
      <c r="G2547" s="2249"/>
      <c r="H2547" s="2249"/>
      <c r="I2547" s="2249"/>
      <c r="J2547" s="2249"/>
      <c r="K2547" s="2249"/>
      <c r="L2547" s="2249"/>
      <c r="M2547" s="2249"/>
      <c r="N2547" s="2249"/>
      <c r="O2547" s="302"/>
      <c r="P2547" s="302"/>
      <c r="Q2547" s="729"/>
      <c r="R2547" s="694"/>
      <c r="S2547" s="729"/>
      <c r="T2547" s="729"/>
      <c r="U2547" s="729"/>
      <c r="V2547" s="694"/>
      <c r="W2547" s="694"/>
      <c r="X2547" s="694"/>
      <c r="Y2547" s="694"/>
      <c r="Z2547" s="694"/>
      <c r="AA2547" s="694"/>
      <c r="AB2547" s="694"/>
      <c r="AC2547" s="694"/>
      <c r="AD2547" s="694"/>
      <c r="AE2547" s="694"/>
      <c r="AF2547" s="694"/>
      <c r="AG2547" s="694"/>
      <c r="AH2547" s="694"/>
      <c r="AI2547" s="694"/>
      <c r="AJ2547" s="694"/>
      <c r="AK2547" s="694"/>
      <c r="AL2547" s="694"/>
    </row>
    <row r="2548" spans="1:38" x14ac:dyDescent="0.25">
      <c r="A2548" s="694"/>
      <c r="B2548" s="298"/>
      <c r="C2548" s="298"/>
      <c r="D2548" s="302"/>
      <c r="E2548" s="2358" t="str">
        <f>Translations!$B$476</f>
        <v>Въпреки това, ако се покаже съобщение съгласно буква b), трябва да се използва съответният инструмент за изчисляване, а резултатите от него автоматично се копират в тази таблица в ii).</v>
      </c>
      <c r="F2548" s="2249"/>
      <c r="G2548" s="2249"/>
      <c r="H2548" s="2249"/>
      <c r="I2548" s="2249"/>
      <c r="J2548" s="2249"/>
      <c r="K2548" s="2249"/>
      <c r="L2548" s="2249"/>
      <c r="M2548" s="2249"/>
      <c r="N2548" s="2249"/>
      <c r="O2548" s="302"/>
      <c r="P2548" s="302"/>
      <c r="Q2548" s="729"/>
      <c r="R2548" s="694"/>
      <c r="S2548" s="729"/>
      <c r="T2548" s="694"/>
      <c r="U2548" s="694"/>
      <c r="V2548" s="694"/>
      <c r="W2548" s="694"/>
      <c r="X2548" s="694"/>
      <c r="Y2548" s="694"/>
      <c r="Z2548" s="729"/>
      <c r="AA2548" s="694"/>
      <c r="AB2548" s="694"/>
      <c r="AC2548" s="694"/>
      <c r="AD2548" s="694"/>
      <c r="AE2548" s="694"/>
      <c r="AF2548" s="694"/>
      <c r="AG2548" s="694"/>
      <c r="AH2548" s="694"/>
      <c r="AI2548" s="694"/>
      <c r="AJ2548" s="694"/>
      <c r="AK2548" s="694"/>
      <c r="AL2548" s="694"/>
    </row>
    <row r="2549" spans="1:38" ht="13.5" customHeight="1" thickBot="1" x14ac:dyDescent="0.3">
      <c r="A2549" s="694"/>
      <c r="B2549" s="698"/>
      <c r="C2549" s="698"/>
      <c r="D2549" s="300"/>
      <c r="E2549" s="2671" t="str">
        <f>Translations!$B$477</f>
        <v>Годишни равнища на дейност:</v>
      </c>
      <c r="F2549" s="2671"/>
      <c r="G2549" s="527" t="str">
        <f>EUconst_Unit</f>
        <v>Единица мярка</v>
      </c>
      <c r="H2549" s="391">
        <f>H$2831</f>
        <v>2024</v>
      </c>
      <c r="I2549" s="572">
        <f t="shared" ref="I2549:N2549" si="3678">I$2831</f>
        <v>2025</v>
      </c>
      <c r="J2549" s="757">
        <f>J$2831</f>
        <v>2026</v>
      </c>
      <c r="K2549" s="391">
        <f t="shared" si="3678"/>
        <v>2027</v>
      </c>
      <c r="L2549" s="391">
        <f t="shared" si="3678"/>
        <v>2028</v>
      </c>
      <c r="M2549" s="391">
        <f t="shared" si="3678"/>
        <v>2029</v>
      </c>
      <c r="N2549" s="387">
        <f t="shared" si="3678"/>
        <v>2030</v>
      </c>
      <c r="O2549" s="302"/>
      <c r="P2549" s="302"/>
      <c r="Q2549" s="729"/>
      <c r="R2549" s="694"/>
      <c r="S2549" s="694"/>
      <c r="T2549" s="1178">
        <f t="shared" ref="T2549" si="3679">H2549</f>
        <v>2024</v>
      </c>
      <c r="U2549" s="1178">
        <f t="shared" ref="U2549" si="3680">I2549</f>
        <v>2025</v>
      </c>
      <c r="V2549" s="1178">
        <f t="shared" ref="V2549" si="3681">J2549</f>
        <v>2026</v>
      </c>
      <c r="W2549" s="1178">
        <f t="shared" ref="W2549" si="3682">K2549</f>
        <v>2027</v>
      </c>
      <c r="X2549" s="1178">
        <f t="shared" ref="X2549" si="3683">L2549</f>
        <v>2028</v>
      </c>
      <c r="Y2549" s="1178">
        <f t="shared" ref="Y2549" si="3684">M2549</f>
        <v>2029</v>
      </c>
      <c r="Z2549" s="1178">
        <f t="shared" ref="Z2549" si="3685">N2549</f>
        <v>2030</v>
      </c>
      <c r="AA2549" s="694"/>
      <c r="AB2549" s="694"/>
      <c r="AC2549" s="1178">
        <f>H$20</f>
        <v>2024</v>
      </c>
      <c r="AD2549" s="1178">
        <f t="shared" ref="AD2549" si="3686">I$20</f>
        <v>2025</v>
      </c>
      <c r="AE2549" s="1178">
        <f t="shared" ref="AE2549" si="3687">J$20</f>
        <v>2026</v>
      </c>
      <c r="AF2549" s="1178">
        <f t="shared" ref="AF2549" si="3688">K$20</f>
        <v>2027</v>
      </c>
      <c r="AG2549" s="1178">
        <f t="shared" ref="AG2549" si="3689">L$20</f>
        <v>2028</v>
      </c>
      <c r="AH2549" s="1178">
        <f t="shared" ref="AH2549" si="3690">M$20</f>
        <v>2029</v>
      </c>
      <c r="AI2549" s="1178">
        <f t="shared" ref="AI2549" si="3691">N$20</f>
        <v>2030</v>
      </c>
      <c r="AJ2549" s="694"/>
      <c r="AK2549" s="694"/>
      <c r="AL2549" s="729"/>
    </row>
    <row r="2550" spans="1:38" ht="13" thickBot="1" x14ac:dyDescent="0.3">
      <c r="A2550" s="694"/>
      <c r="B2550" s="698"/>
      <c r="C2550" s="698"/>
      <c r="D2550" s="1084" t="s">
        <v>6</v>
      </c>
      <c r="E2550" s="2862" t="str">
        <f>I2542</f>
        <v/>
      </c>
      <c r="F2550" s="2862"/>
      <c r="G2550" s="1032" t="str">
        <f>IF(INDEX(CNTR_SubInstListIsProdBM,$C2542),INDEX(CNTR_SubInstListHALUnit,$C2542),EUconst_Tons)</f>
        <v>тона</v>
      </c>
      <c r="H2550" s="98"/>
      <c r="I2550" s="101"/>
      <c r="J2550" s="102"/>
      <c r="K2550" s="98"/>
      <c r="L2550" s="98"/>
      <c r="M2550" s="98"/>
      <c r="N2550" s="120"/>
      <c r="O2550" s="302"/>
      <c r="P2550" s="158"/>
      <c r="Q2550" s="694"/>
      <c r="R2550" s="694"/>
      <c r="S2550" s="729" t="s">
        <v>1732</v>
      </c>
      <c r="T2550" s="1179" t="b">
        <f t="shared" ref="T2550" si="3692">AND($I2542&lt;&gt;"",H2549&lt;CNTR_ReportingYear,H2549&gt;=$V2542-1)</f>
        <v>0</v>
      </c>
      <c r="U2550" s="1180" t="b">
        <f t="shared" ref="U2550" si="3693">AND($I2542&lt;&gt;"",I2549&lt;CNTR_ReportingYear,I2549&gt;=$V2542-1)</f>
        <v>0</v>
      </c>
      <c r="V2550" s="1180" t="b">
        <f t="shared" ref="V2550" si="3694">AND($I2542&lt;&gt;"",J2549&lt;CNTR_ReportingYear,J2549&gt;=$V2542-1)</f>
        <v>0</v>
      </c>
      <c r="W2550" s="1180" t="b">
        <f t="shared" ref="W2550" si="3695">AND($I2542&lt;&gt;"",K2549&lt;CNTR_ReportingYear,K2549&gt;=$V2542-1)</f>
        <v>0</v>
      </c>
      <c r="X2550" s="1180" t="b">
        <f t="shared" ref="X2550" si="3696">AND($I2542&lt;&gt;"",L2549&lt;CNTR_ReportingYear,L2549&gt;=$V2542-1)</f>
        <v>0</v>
      </c>
      <c r="Y2550" s="1180" t="b">
        <f t="shared" ref="Y2550" si="3697">AND($I2542&lt;&gt;"",M2549&lt;CNTR_ReportingYear,M2549&gt;=$V2542-1)</f>
        <v>0</v>
      </c>
      <c r="Z2550" s="1181" t="b">
        <f t="shared" ref="Z2550" si="3698">AND($I2542&lt;&gt;"",N2549&lt;CNTR_ReportingYear,N2549&gt;=$V2542-1)</f>
        <v>0</v>
      </c>
      <c r="AA2550" s="729"/>
      <c r="AB2550" s="1182" t="s">
        <v>737</v>
      </c>
      <c r="AC2550" s="1183" t="b">
        <f t="shared" ref="AC2550" si="3699">IF(CNTR_ExistSubInstEntries,OR($I2542="",$R2554,H2549&gt;=CNTR_ReportingYear,AC2549&lt;$V2542-1),FALSE)</f>
        <v>0</v>
      </c>
      <c r="AD2550" s="1184" t="b">
        <f t="shared" ref="AD2550" si="3700">IF(CNTR_ExistSubInstEntries,OR($I2542="",$R2554,I2549&gt;=CNTR_ReportingYear,AD2549&lt;$V2542-1),FALSE)</f>
        <v>0</v>
      </c>
      <c r="AE2550" s="1184" t="b">
        <f t="shared" ref="AE2550" si="3701">IF(CNTR_ExistSubInstEntries,OR($I2542="",$R2554,J2549&gt;=CNTR_ReportingYear,AE2549&lt;$V2542-1),FALSE)</f>
        <v>0</v>
      </c>
      <c r="AF2550" s="1184" t="b">
        <f t="shared" ref="AF2550" si="3702">IF(CNTR_ExistSubInstEntries,OR($I2542="",$R2554,K2549&gt;=CNTR_ReportingYear,AF2549&lt;$V2542-1),FALSE)</f>
        <v>0</v>
      </c>
      <c r="AG2550" s="1184" t="b">
        <f t="shared" ref="AG2550" si="3703">IF(CNTR_ExistSubInstEntries,OR($I2542="",$R2554,L2549&gt;=CNTR_ReportingYear,AG2549&lt;$V2542-1),FALSE)</f>
        <v>0</v>
      </c>
      <c r="AH2550" s="1184" t="b">
        <f t="shared" ref="AH2550" si="3704">IF(CNTR_ExistSubInstEntries,OR($I2542="",$R2554,M2549&gt;=CNTR_ReportingYear,AH2549&lt;$V2542-1),FALSE)</f>
        <v>0</v>
      </c>
      <c r="AI2550" s="1185" t="b">
        <f t="shared" ref="AI2550" si="3705">IF(CNTR_ExistSubInstEntries,OR($I2542="",$R2554,N2549&gt;=CNTR_ReportingYear,AI2549&lt;$V2542-1),FALSE)</f>
        <v>0</v>
      </c>
      <c r="AJ2550" s="1174" t="s">
        <v>2039</v>
      </c>
      <c r="AK2550" s="1176" t="str">
        <f>IF(AND(CNTR_ExistSubInstEntries,COUNTIFS(AC2550:AI2550,FALSE,H2550:N2550,"")&gt;0),EUconst_Error&amp;"BM"&amp;$Q2542,"")</f>
        <v/>
      </c>
      <c r="AL2550" s="694"/>
    </row>
    <row r="2551" spans="1:38" ht="13" customHeight="1" thickBot="1" x14ac:dyDescent="0.3">
      <c r="A2551" s="694"/>
      <c r="B2551" s="698"/>
      <c r="C2551" s="698"/>
      <c r="D2551" s="1084" t="s">
        <v>7</v>
      </c>
      <c r="E2551" s="2862" t="str">
        <f>Translations!$B$478</f>
        <v>От работен лист „H_SpecialBM“ („H_Специфичен показател“):</v>
      </c>
      <c r="F2551" s="2862"/>
      <c r="G2551" s="1032" t="str">
        <f>G2550</f>
        <v>тона</v>
      </c>
      <c r="H2551" s="1186" t="str">
        <f>IF(OR($I2542="",H2549&gt;=CNTR_ReportingYear),"",IF($R2554,SUMIF(H_SpecialBM!$Q$9:$Q$483,$Q2551,H_SpecialBM!H$9:H$483),""))</f>
        <v/>
      </c>
      <c r="I2551" s="1187" t="str">
        <f>IF(OR($I2542="",I2549&gt;=CNTR_ReportingYear),"",IF($R2554,SUMIF(H_SpecialBM!$Q$9:$Q$483,$Q2551,H_SpecialBM!I$9:I$483),""))</f>
        <v/>
      </c>
      <c r="J2551" s="1188" t="str">
        <f>IF(OR($I2542="",J2549&gt;=CNTR_ReportingYear),"",IF($R2554,SUMIF(H_SpecialBM!$Q$9:$Q$483,$Q2551,H_SpecialBM!J$9:J$483),""))</f>
        <v/>
      </c>
      <c r="K2551" s="1186" t="str">
        <f>IF(OR($I2542="",K2549&gt;=CNTR_ReportingYear),"",IF($R2554,SUMIF(H_SpecialBM!$Q$9:$Q$483,$Q2551,H_SpecialBM!K$9:K$483),""))</f>
        <v/>
      </c>
      <c r="L2551" s="1186" t="str">
        <f>IF(OR($I2542="",L2549&gt;=CNTR_ReportingYear),"",IF($R2554,SUMIF(H_SpecialBM!$Q$9:$Q$483,$Q2551,H_SpecialBM!L$9:L$483),""))</f>
        <v/>
      </c>
      <c r="M2551" s="1186" t="str">
        <f>IF(OR($I2542="",M2549&gt;=CNTR_ReportingYear),"",IF($R2554,SUMIF(H_SpecialBM!$Q$9:$Q$483,$Q2551,H_SpecialBM!M$9:M$483),""))</f>
        <v/>
      </c>
      <c r="N2551" s="1189" t="str">
        <f>IF(OR($I2542="",N2549&gt;=CNTR_ReportingYear),"",IF($R2554,SUMIF(H_SpecialBM!$Q$9:$Q$483,$Q2551,H_SpecialBM!N$9:N$483),""))</f>
        <v/>
      </c>
      <c r="O2551" s="302"/>
      <c r="P2551" s="302"/>
      <c r="Q2551" s="1190" t="str">
        <f>EUconst_CNTR_HALspecial&amp;I2542</f>
        <v>HALspecial_</v>
      </c>
      <c r="R2551" s="694"/>
      <c r="S2551" s="694"/>
      <c r="T2551" s="694"/>
      <c r="U2551" s="694"/>
      <c r="V2551" s="694"/>
      <c r="W2551" s="694"/>
      <c r="X2551" s="694"/>
      <c r="Y2551" s="694"/>
      <c r="Z2551" s="694"/>
      <c r="AA2551" s="694"/>
      <c r="AB2551" s="1182" t="s">
        <v>737</v>
      </c>
      <c r="AC2551" s="1183" t="b">
        <f t="shared" ref="AC2551" si="3706">AND(CNTR_HasEntries_A_I,OR($R2554=FALSE,H2549&gt;=CNTR_ReportingYear))</f>
        <v>0</v>
      </c>
      <c r="AD2551" s="1184" t="b">
        <f t="shared" ref="AD2551" si="3707">AND(CNTR_HasEntries_A_I,OR($R2554=FALSE,I2549&gt;=CNTR_ReportingYear))</f>
        <v>0</v>
      </c>
      <c r="AE2551" s="1184" t="b">
        <f t="shared" ref="AE2551" si="3708">AND(CNTR_HasEntries_A_I,OR($R2554=FALSE,J2549&gt;=CNTR_ReportingYear))</f>
        <v>0</v>
      </c>
      <c r="AF2551" s="1184" t="b">
        <f t="shared" ref="AF2551" si="3709">AND(CNTR_HasEntries_A_I,OR($R2554=FALSE,K2549&gt;=CNTR_ReportingYear))</f>
        <v>0</v>
      </c>
      <c r="AG2551" s="1184" t="b">
        <f t="shared" ref="AG2551" si="3710">AND(CNTR_HasEntries_A_I,OR($R2554=FALSE,L2549&gt;=CNTR_ReportingYear))</f>
        <v>0</v>
      </c>
      <c r="AH2551" s="1184" t="b">
        <f t="shared" ref="AH2551" si="3711">AND(CNTR_HasEntries_A_I,OR($R2554=FALSE,M2549&gt;=CNTR_ReportingYear))</f>
        <v>0</v>
      </c>
      <c r="AI2551" s="1185" t="b">
        <f t="shared" ref="AI2551" si="3712">AND(CNTR_HasEntries_A_I,OR($R2554=FALSE,N2549&gt;=CNTR_ReportingYear))</f>
        <v>0</v>
      </c>
      <c r="AJ2551" s="1165"/>
      <c r="AK2551" s="1165"/>
      <c r="AL2551" s="729"/>
    </row>
    <row r="2552" spans="1:38" ht="13" customHeight="1" x14ac:dyDescent="0.25">
      <c r="A2552" s="694"/>
      <c r="B2552" s="698"/>
      <c r="C2552" s="698"/>
      <c r="D2552" s="1084" t="s">
        <v>8</v>
      </c>
      <c r="E2552" s="2862" t="str">
        <f>Translations!$B$479</f>
        <v>Стойности, използвани за изчислението:</v>
      </c>
      <c r="F2552" s="2862"/>
      <c r="G2552" s="1032" t="str">
        <f>G2551</f>
        <v>тона</v>
      </c>
      <c r="H2552" s="1186" t="str">
        <f t="shared" ref="H2552:N2552" si="3713">IF(OR($I2542="",H2549&gt;=CNTR_ReportingYear),"",IF($R2554=TRUE,IF(ISNUMBER(H2551),H2551,0),IF(AND(H2549&gt;=$V2542-1,ISNUMBER(H2550)),H2550,0)))</f>
        <v/>
      </c>
      <c r="I2552" s="1187" t="str">
        <f t="shared" si="3713"/>
        <v/>
      </c>
      <c r="J2552" s="1188" t="str">
        <f t="shared" si="3713"/>
        <v/>
      </c>
      <c r="K2552" s="1186" t="str">
        <f t="shared" si="3713"/>
        <v/>
      </c>
      <c r="L2552" s="1186" t="str">
        <f t="shared" si="3713"/>
        <v/>
      </c>
      <c r="M2552" s="1186" t="str">
        <f t="shared" si="3713"/>
        <v/>
      </c>
      <c r="N2552" s="1189" t="str">
        <f t="shared" si="3713"/>
        <v/>
      </c>
      <c r="O2552" s="302"/>
      <c r="P2552" s="710"/>
      <c r="Q2552" s="1190" t="str">
        <f>EUconst_CNTR_HAL&amp;I2542</f>
        <v>HAL_</v>
      </c>
      <c r="R2552" s="694"/>
      <c r="S2552" s="694"/>
      <c r="T2552" s="694"/>
      <c r="U2552" s="694"/>
      <c r="V2552" s="694"/>
      <c r="W2552" s="694"/>
      <c r="X2552" s="694"/>
      <c r="Y2552" s="694"/>
      <c r="Z2552" s="694"/>
      <c r="AA2552" s="694"/>
      <c r="AB2552" s="694"/>
      <c r="AC2552" s="694"/>
      <c r="AD2552" s="694"/>
      <c r="AE2552" s="694"/>
      <c r="AF2552" s="694"/>
      <c r="AG2552" s="694"/>
      <c r="AH2552" s="694"/>
      <c r="AI2552" s="694"/>
      <c r="AJ2552" s="1174" t="s">
        <v>2033</v>
      </c>
      <c r="AK2552" s="982" t="str">
        <f>IF(COUNTIFS(H2549:N2549,"&lt;"&amp;YEAR(SUM(T2542)),H2552:N2552,"&gt;"&amp;0)&gt;0,EUconst_Error&amp;"BM"&amp;Q2542,"")</f>
        <v/>
      </c>
      <c r="AL2552" s="729"/>
    </row>
    <row r="2553" spans="1:38" ht="5.15" customHeight="1" x14ac:dyDescent="0.25">
      <c r="A2553" s="694"/>
      <c r="B2553" s="298"/>
      <c r="C2553" s="298"/>
      <c r="D2553" s="298"/>
      <c r="E2553" s="298"/>
      <c r="F2553" s="298"/>
      <c r="G2553" s="298"/>
      <c r="H2553" s="298"/>
      <c r="I2553" s="298"/>
      <c r="J2553" s="298"/>
      <c r="K2553" s="298"/>
      <c r="L2553" s="298"/>
      <c r="M2553" s="302"/>
      <c r="N2553" s="302"/>
      <c r="O2553" s="302"/>
      <c r="P2553" s="302"/>
      <c r="Q2553" s="729"/>
      <c r="R2553" s="694"/>
      <c r="S2553" s="729"/>
      <c r="T2553" s="729"/>
      <c r="U2553" s="694"/>
      <c r="V2553" s="694"/>
      <c r="W2553" s="694"/>
      <c r="X2553" s="694"/>
      <c r="Y2553" s="694"/>
      <c r="Z2553" s="694"/>
      <c r="AA2553" s="694"/>
      <c r="AB2553" s="694"/>
      <c r="AC2553" s="694"/>
      <c r="AD2553" s="694"/>
      <c r="AE2553" s="694"/>
      <c r="AF2553" s="694"/>
      <c r="AG2553" s="694"/>
      <c r="AH2553" s="694"/>
      <c r="AI2553" s="694"/>
      <c r="AJ2553" s="694"/>
      <c r="AK2553" s="694"/>
      <c r="AL2553" s="694"/>
    </row>
    <row r="2554" spans="1:38" ht="13" x14ac:dyDescent="0.25">
      <c r="A2554" s="694"/>
      <c r="B2554" s="298"/>
      <c r="C2554" s="298"/>
      <c r="D2554" s="360" t="s">
        <v>18</v>
      </c>
      <c r="E2554" s="2226" t="str">
        <f>Translations!$B$480</f>
        <v>Специални изисквания за докладване:</v>
      </c>
      <c r="F2554" s="2226"/>
      <c r="G2554" s="2317"/>
      <c r="H2554" s="2858" t="str">
        <f>IF(I2542="","",HYPERLINK(INDEX(EUconst_BMlistSpecialJumpTable,MATCH(I2542,EUconst_BMlistNames,0)),INDEX(EUconst_BMlistSpecialReporting,MATCH(I2542,EUconst_BMlistNames,0))))</f>
        <v/>
      </c>
      <c r="I2554" s="2863"/>
      <c r="J2554" s="2863"/>
      <c r="K2554" s="2863"/>
      <c r="L2554" s="2863"/>
      <c r="M2554" s="2863"/>
      <c r="N2554" s="2864"/>
      <c r="O2554" s="302"/>
      <c r="P2554" s="302"/>
      <c r="Q2554" s="1174" t="s">
        <v>119</v>
      </c>
      <c r="R2554" s="982" t="str">
        <f>IF(I2542="","",IF(AND(INDEX(EUconst_BMlistSpecialJumpTable,MATCH(I2542,EUconst_BMlistNames,0))&lt;&gt;"",INDEX(EUconst_BMlistMainNumberOfBM,MATCH(I2542,EUconst_BMlistNames,0))&lt;&gt;47),TRUE,FALSE))</f>
        <v/>
      </c>
      <c r="S2554" s="729"/>
      <c r="T2554" s="729"/>
      <c r="U2554" s="694"/>
      <c r="V2554" s="694"/>
      <c r="W2554" s="694"/>
      <c r="X2554" s="694"/>
      <c r="Y2554" s="694"/>
      <c r="Z2554" s="694"/>
      <c r="AA2554" s="694"/>
      <c r="AB2554" s="694"/>
      <c r="AC2554" s="694"/>
      <c r="AD2554" s="694"/>
      <c r="AE2554" s="694"/>
      <c r="AF2554" s="694"/>
      <c r="AG2554" s="694"/>
      <c r="AH2554" s="694"/>
      <c r="AI2554" s="694"/>
      <c r="AJ2554" s="694"/>
      <c r="AK2554" s="694"/>
      <c r="AL2554" s="694"/>
    </row>
    <row r="2555" spans="1:38" x14ac:dyDescent="0.25">
      <c r="A2555" s="694"/>
      <c r="B2555" s="298"/>
      <c r="C2555" s="298"/>
      <c r="D2555" s="302"/>
      <c r="E2555" s="2358" t="str">
        <f>Translations!$B$481</f>
        <v>При някои продуктови показатели се изисква да се отчита специфична информация (напр. стойности на приведени по CO2 тонове (CWT)). Ако е приложимо, тук ще се покаже автоматично съобщение.</v>
      </c>
      <c r="F2555" s="2249"/>
      <c r="G2555" s="2249"/>
      <c r="H2555" s="2249"/>
      <c r="I2555" s="2249"/>
      <c r="J2555" s="2249"/>
      <c r="K2555" s="2249"/>
      <c r="L2555" s="2249"/>
      <c r="M2555" s="2249"/>
      <c r="N2555" s="2249"/>
      <c r="O2555" s="302"/>
      <c r="P2555" s="302"/>
      <c r="Q2555" s="729"/>
      <c r="R2555" s="694"/>
      <c r="S2555" s="729"/>
      <c r="T2555" s="729"/>
      <c r="U2555" s="694"/>
      <c r="V2555" s="694"/>
      <c r="W2555" s="694"/>
      <c r="X2555" s="694"/>
      <c r="Y2555" s="694"/>
      <c r="Z2555" s="694"/>
      <c r="AA2555" s="694"/>
      <c r="AB2555" s="694"/>
      <c r="AC2555" s="694"/>
      <c r="AD2555" s="694"/>
      <c r="AE2555" s="694"/>
      <c r="AF2555" s="694"/>
      <c r="AG2555" s="694"/>
      <c r="AH2555" s="694"/>
      <c r="AI2555" s="694"/>
      <c r="AJ2555" s="694"/>
      <c r="AK2555" s="694"/>
      <c r="AL2555" s="694"/>
    </row>
    <row r="2556" spans="1:38" ht="5.15" customHeight="1" x14ac:dyDescent="0.25">
      <c r="A2556" s="694"/>
      <c r="B2556" s="298"/>
      <c r="C2556" s="298"/>
      <c r="D2556" s="302"/>
      <c r="E2556" s="302"/>
      <c r="F2556" s="302"/>
      <c r="G2556" s="302"/>
      <c r="H2556" s="302"/>
      <c r="I2556" s="302"/>
      <c r="J2556" s="302"/>
      <c r="K2556" s="302"/>
      <c r="L2556" s="302"/>
      <c r="M2556" s="302"/>
      <c r="N2556" s="302"/>
      <c r="O2556" s="302"/>
      <c r="P2556" s="302"/>
      <c r="Q2556" s="729"/>
      <c r="R2556" s="694"/>
      <c r="S2556" s="729"/>
      <c r="T2556" s="729"/>
      <c r="U2556" s="694"/>
      <c r="V2556" s="694"/>
      <c r="W2556" s="694"/>
      <c r="X2556" s="694"/>
      <c r="Y2556" s="694"/>
      <c r="Z2556" s="729"/>
      <c r="AA2556" s="694"/>
      <c r="AB2556" s="694"/>
      <c r="AC2556" s="694"/>
      <c r="AD2556" s="694"/>
      <c r="AE2556" s="694"/>
      <c r="AF2556" s="694"/>
      <c r="AG2556" s="694"/>
      <c r="AH2556" s="694"/>
      <c r="AI2556" s="694"/>
      <c r="AJ2556" s="694"/>
      <c r="AK2556" s="694"/>
      <c r="AL2556" s="729"/>
    </row>
    <row r="2557" spans="1:38" ht="12.75" customHeight="1" x14ac:dyDescent="0.25">
      <c r="A2557" s="694"/>
      <c r="B2557" s="298"/>
      <c r="C2557" s="298"/>
      <c r="D2557" s="300" t="s">
        <v>901</v>
      </c>
      <c r="E2557" s="2226" t="str">
        <f>Translations!$B$1316</f>
        <v>Определяне на корекции на равнището на дейност</v>
      </c>
      <c r="F2557" s="2249"/>
      <c r="G2557" s="2249"/>
      <c r="H2557" s="2249"/>
      <c r="I2557" s="2249"/>
      <c r="J2557" s="2249"/>
      <c r="K2557" s="2249"/>
      <c r="L2557" s="2249"/>
      <c r="M2557" s="2249"/>
      <c r="N2557" s="2249"/>
      <c r="O2557" s="302"/>
      <c r="P2557" s="302"/>
      <c r="Q2557" s="729"/>
      <c r="R2557" s="694"/>
      <c r="S2557" s="729"/>
      <c r="T2557" s="729"/>
      <c r="U2557" s="694"/>
      <c r="V2557" s="694"/>
      <c r="W2557" s="694"/>
      <c r="X2557" s="694"/>
      <c r="Y2557" s="694"/>
      <c r="Z2557" s="729"/>
      <c r="AA2557" s="694"/>
      <c r="AB2557" s="694"/>
      <c r="AC2557" s="694"/>
      <c r="AD2557" s="694"/>
      <c r="AE2557" s="694"/>
      <c r="AF2557" s="694"/>
      <c r="AG2557" s="694"/>
      <c r="AH2557" s="694"/>
      <c r="AI2557" s="694"/>
      <c r="AJ2557" s="694"/>
      <c r="AK2557" s="694"/>
      <c r="AL2557" s="729"/>
    </row>
    <row r="2558" spans="1:38" ht="12.75" customHeight="1" x14ac:dyDescent="0.25">
      <c r="A2558" s="694"/>
      <c r="B2558" s="298"/>
      <c r="C2558" s="298"/>
      <c r="D2558" s="302"/>
      <c r="E2558" s="2358" t="str">
        <f>Translations!$B$1317</f>
        <v>Историческото равнище на дейността (HAL) ще бъде определено автоматично за данните по буква а) по-горе и данните в лист „B+C_SubInstallations“ („B+C_Подинсталации“). За нови подинсталации HAL ще бъде показано в v. на базата на първата пълна година на експлоатация.</v>
      </c>
      <c r="F2558" s="2249"/>
      <c r="G2558" s="2249"/>
      <c r="H2558" s="2249"/>
      <c r="I2558" s="2249"/>
      <c r="J2558" s="2249"/>
      <c r="K2558" s="2249"/>
      <c r="L2558" s="2249"/>
      <c r="M2558" s="2249"/>
      <c r="N2558" s="2249"/>
      <c r="O2558" s="302"/>
      <c r="P2558" s="302"/>
      <c r="Q2558" s="729"/>
      <c r="R2558" s="694"/>
      <c r="S2558" s="729"/>
      <c r="T2558" s="729"/>
      <c r="U2558" s="729"/>
      <c r="V2558" s="694"/>
      <c r="W2558" s="694"/>
      <c r="X2558" s="694"/>
      <c r="Y2558" s="694"/>
      <c r="Z2558" s="694"/>
      <c r="AA2558" s="694"/>
      <c r="AB2558" s="694"/>
      <c r="AC2558" s="694"/>
      <c r="AD2558" s="694"/>
      <c r="AE2558" s="694"/>
      <c r="AF2558" s="694"/>
      <c r="AG2558" s="694"/>
      <c r="AH2558" s="694"/>
      <c r="AI2558" s="694"/>
      <c r="AJ2558" s="694"/>
      <c r="AK2558" s="694"/>
      <c r="AL2558" s="694"/>
    </row>
    <row r="2559" spans="1:38" ht="25.5" customHeight="1" x14ac:dyDescent="0.25">
      <c r="A2559" s="694"/>
      <c r="B2559" s="298"/>
      <c r="C2559" s="298"/>
      <c r="D2559" s="302"/>
      <c r="E2559" s="2358" t="str">
        <f>Translations!$B$1318</f>
        <v>На базата на стойностите на HAL и данните, въведени в буква а) по-горе, тук се определят средните равнища на дейност. Разпределението ще бъде променено само ако са надвишени всички долуизброени прагове по член 5 от Регламента за ALC:</v>
      </c>
      <c r="F2559" s="2249"/>
      <c r="G2559" s="2249"/>
      <c r="H2559" s="2249"/>
      <c r="I2559" s="2249"/>
      <c r="J2559" s="2249"/>
      <c r="K2559" s="2249"/>
      <c r="L2559" s="2249"/>
      <c r="M2559" s="2249"/>
      <c r="N2559" s="2249"/>
      <c r="O2559" s="302"/>
      <c r="P2559" s="302"/>
      <c r="Q2559" s="729"/>
      <c r="R2559" s="694"/>
      <c r="S2559" s="729"/>
      <c r="T2559" s="729"/>
      <c r="U2559" s="729"/>
      <c r="V2559" s="694"/>
      <c r="W2559" s="694"/>
      <c r="X2559" s="694"/>
      <c r="Y2559" s="694"/>
      <c r="Z2559" s="694"/>
      <c r="AA2559" s="694"/>
      <c r="AB2559" s="694"/>
      <c r="AC2559" s="694"/>
      <c r="AD2559" s="694"/>
      <c r="AE2559" s="694"/>
      <c r="AF2559" s="694"/>
      <c r="AG2559" s="694"/>
      <c r="AH2559" s="694"/>
      <c r="AI2559" s="694"/>
      <c r="AJ2559" s="694"/>
      <c r="AK2559" s="694"/>
      <c r="AL2559" s="694"/>
    </row>
    <row r="2560" spans="1:38" ht="12.75" customHeight="1" x14ac:dyDescent="0.25">
      <c r="A2560" s="694"/>
      <c r="B2560" s="298"/>
      <c r="C2560" s="298"/>
      <c r="D2560" s="302"/>
      <c r="E2560" s="1191" t="s">
        <v>1052</v>
      </c>
      <c r="F2560" s="2358" t="str">
        <f>Translations!$B$1319</f>
        <v>относителните прагове (15 % и 5 % за последващи промени) за средното равнище на дейност в сравнение с HAL</v>
      </c>
      <c r="G2560" s="2861"/>
      <c r="H2560" s="2861"/>
      <c r="I2560" s="2861"/>
      <c r="J2560" s="2861"/>
      <c r="K2560" s="2861"/>
      <c r="L2560" s="2861"/>
      <c r="M2560" s="2861"/>
      <c r="N2560" s="2861"/>
      <c r="O2560" s="302"/>
      <c r="P2560" s="302"/>
      <c r="Q2560" s="729"/>
      <c r="R2560" s="694"/>
      <c r="S2560" s="729"/>
      <c r="T2560" s="729"/>
      <c r="U2560" s="729"/>
      <c r="V2560" s="694"/>
      <c r="W2560" s="694"/>
      <c r="X2560" s="694"/>
      <c r="Y2560" s="694"/>
      <c r="Z2560" s="694"/>
      <c r="AA2560" s="694"/>
      <c r="AB2560" s="694"/>
      <c r="AC2560" s="694"/>
      <c r="AD2560" s="694"/>
      <c r="AE2560" s="694"/>
      <c r="AF2560" s="694"/>
      <c r="AG2560" s="694"/>
      <c r="AH2560" s="694"/>
      <c r="AI2560" s="694"/>
      <c r="AJ2560" s="694"/>
      <c r="AK2560" s="694"/>
      <c r="AL2560" s="694"/>
    </row>
    <row r="2561" spans="1:38" ht="12.75" customHeight="1" thickBot="1" x14ac:dyDescent="0.3">
      <c r="A2561" s="694"/>
      <c r="B2561" s="298"/>
      <c r="C2561" s="298"/>
      <c r="D2561" s="302"/>
      <c r="E2561" s="1191" t="s">
        <v>1052</v>
      </c>
      <c r="F2561" s="2358" t="str">
        <f>Translations!$B$1514</f>
        <v>абсолютния праг, т.е. промяната би довела до разлика в предварителното разпределение от най-малко 300 квоти</v>
      </c>
      <c r="G2561" s="2861"/>
      <c r="H2561" s="2861"/>
      <c r="I2561" s="2861"/>
      <c r="J2561" s="2861"/>
      <c r="K2561" s="2861"/>
      <c r="L2561" s="2861"/>
      <c r="M2561" s="2861"/>
      <c r="N2561" s="2861"/>
      <c r="O2561" s="302"/>
      <c r="P2561" s="302"/>
      <c r="Q2561" s="729"/>
      <c r="R2561" s="694"/>
      <c r="S2561" s="729"/>
      <c r="T2561" s="729"/>
      <c r="U2561" s="729"/>
      <c r="V2561" s="694"/>
      <c r="W2561" s="694"/>
      <c r="X2561" s="694"/>
      <c r="Y2561" s="694"/>
      <c r="Z2561" s="694"/>
      <c r="AA2561" s="694"/>
      <c r="AB2561" s="694"/>
      <c r="AC2561" s="694"/>
      <c r="AD2561" s="694"/>
      <c r="AE2561" s="694"/>
      <c r="AF2561" s="694"/>
      <c r="AG2561" s="694"/>
      <c r="AH2561" s="694"/>
      <c r="AI2561" s="694"/>
      <c r="AJ2561" s="694"/>
      <c r="AK2561" s="694"/>
      <c r="AL2561" s="694"/>
    </row>
    <row r="2562" spans="1:38" ht="5.15" customHeight="1" thickBot="1" x14ac:dyDescent="0.3">
      <c r="A2562" s="694"/>
      <c r="B2562" s="298"/>
      <c r="C2562" s="298"/>
      <c r="D2562" s="1192"/>
      <c r="E2562" s="1193"/>
      <c r="F2562" s="1194"/>
      <c r="G2562" s="1195"/>
      <c r="H2562" s="1195"/>
      <c r="I2562" s="1195"/>
      <c r="J2562" s="1195"/>
      <c r="K2562" s="1195"/>
      <c r="L2562" s="1195"/>
      <c r="M2562" s="1195"/>
      <c r="N2562" s="1196"/>
      <c r="O2562" s="302"/>
      <c r="P2562" s="302"/>
      <c r="Q2562" s="729"/>
      <c r="R2562" s="694"/>
      <c r="S2562" s="729"/>
      <c r="T2562" s="729"/>
      <c r="U2562" s="729"/>
      <c r="V2562" s="694"/>
      <c r="W2562" s="694"/>
      <c r="X2562" s="694"/>
      <c r="Y2562" s="694"/>
      <c r="Z2562" s="694"/>
      <c r="AA2562" s="694"/>
      <c r="AB2562" s="694"/>
      <c r="AC2562" s="694"/>
      <c r="AD2562" s="694"/>
      <c r="AE2562" s="694"/>
      <c r="AF2562" s="694"/>
      <c r="AG2562" s="694"/>
      <c r="AH2562" s="694"/>
      <c r="AI2562" s="694"/>
      <c r="AJ2562" s="694"/>
      <c r="AK2562" s="694"/>
      <c r="AL2562" s="694"/>
    </row>
    <row r="2563" spans="1:38" ht="12.75" customHeight="1" x14ac:dyDescent="0.25">
      <c r="A2563" s="694"/>
      <c r="B2563" s="298"/>
      <c r="C2563" s="298"/>
      <c r="D2563" s="1197"/>
      <c r="E2563" s="1198" t="str">
        <f>Translations!$B$1196</f>
        <v>Корекции</v>
      </c>
      <c r="F2563" s="1199"/>
      <c r="G2563" s="1199"/>
      <c r="H2563" s="1200" t="str">
        <f>EUconst_Unit</f>
        <v>Единица мярка</v>
      </c>
      <c r="I2563" s="1201" t="str">
        <f>Translations!$B$1320</f>
        <v>(НМИ) HAL</v>
      </c>
      <c r="J2563" s="1202">
        <f>J$2831</f>
        <v>2026</v>
      </c>
      <c r="K2563" s="1203">
        <f>K$2831</f>
        <v>2027</v>
      </c>
      <c r="L2563" s="1203">
        <f>L$2831</f>
        <v>2028</v>
      </c>
      <c r="M2563" s="1203">
        <f>M$2831</f>
        <v>2029</v>
      </c>
      <c r="N2563" s="1204">
        <f>N$2831</f>
        <v>2030</v>
      </c>
      <c r="O2563" s="302"/>
      <c r="P2563" s="302"/>
      <c r="Q2563" s="729"/>
      <c r="R2563" s="694"/>
      <c r="S2563" s="694"/>
      <c r="T2563" s="694"/>
      <c r="U2563" s="1205"/>
      <c r="V2563" s="1206">
        <f>J2563</f>
        <v>2026</v>
      </c>
      <c r="W2563" s="1206">
        <f>K2563</f>
        <v>2027</v>
      </c>
      <c r="X2563" s="1206">
        <f>L2563</f>
        <v>2028</v>
      </c>
      <c r="Y2563" s="1206">
        <f>M2563</f>
        <v>2029</v>
      </c>
      <c r="Z2563" s="1207">
        <f>N2563</f>
        <v>2030</v>
      </c>
      <c r="AA2563" s="694"/>
      <c r="AB2563" s="694"/>
      <c r="AC2563" s="694"/>
      <c r="AD2563" s="694"/>
      <c r="AE2563" s="694"/>
      <c r="AF2563" s="694"/>
      <c r="AG2563" s="694"/>
      <c r="AH2563" s="694"/>
      <c r="AI2563" s="694"/>
      <c r="AJ2563" s="694"/>
      <c r="AK2563" s="694"/>
      <c r="AL2563" s="694"/>
    </row>
    <row r="2564" spans="1:38" ht="12.75" customHeight="1" x14ac:dyDescent="0.25">
      <c r="A2564" s="694"/>
      <c r="B2564" s="298"/>
      <c r="C2564" s="298"/>
      <c r="D2564" s="1208" t="s">
        <v>6</v>
      </c>
      <c r="E2564" s="1209" t="str">
        <f>Translations!$B$1321</f>
        <v>Средно годишно равнище на дейност (стойност в НМИ)</v>
      </c>
      <c r="F2564" s="1209"/>
      <c r="G2564" s="1209"/>
      <c r="H2564" s="1210" t="str">
        <f>IF(INDEX(CNTR_SubInstListIsProdBM,$C2542),INDEX(CNTR_SubInstListHALUnit,$C2542),EUconst_Tons)</f>
        <v>тона</v>
      </c>
      <c r="I2564" s="1211" t="str">
        <f>IF(V2542&gt;($J$2831-3),EUconst_NA,INDEX('B+C_SubInstallations'!$I:$I,MATCH(Q2564,'B+C_SubInstallations'!$T:$T,0)))</f>
        <v/>
      </c>
      <c r="J2564" s="1212" t="str">
        <f>IF(AND(V2564&gt;=3,CNTR_ReportingYear&gt;J2563-1),AVERAGE(H2552:I2552),"")</f>
        <v/>
      </c>
      <c r="K2564" s="1213" t="str">
        <f>IF(AND(W2564&gt;=3,CNTR_ReportingYear&gt;K2563-1),AVERAGE(I2552:J2552),"")</f>
        <v/>
      </c>
      <c r="L2564" s="1213" t="str">
        <f>IF(AND(X2564&gt;=3,CNTR_ReportingYear&gt;L2563-1),AVERAGE(J2552:K2552),"")</f>
        <v/>
      </c>
      <c r="M2564" s="1213" t="str">
        <f>IF(AND(Y2564&gt;=3,CNTR_ReportingYear&gt;M2563-1),AVERAGE(K2552:L2552),"")</f>
        <v/>
      </c>
      <c r="N2564" s="1214" t="str">
        <f>IF(AND(Z2564&gt;=3,CNTR_ReportingYear&gt;N2563-1),AVERAGE(L2552:M2552),"")</f>
        <v/>
      </c>
      <c r="O2564" s="302"/>
      <c r="P2564" s="302"/>
      <c r="Q2564" s="1182" t="str">
        <f>EUconst_CNTR_HALinitial&amp;I2542</f>
        <v>HALini_</v>
      </c>
      <c r="R2564" s="694"/>
      <c r="S2564" s="694"/>
      <c r="T2564" s="694"/>
      <c r="U2564" s="1215" t="s">
        <v>1710</v>
      </c>
      <c r="V2564" s="1176">
        <f>IF($I2542="",0,V2563-$V2542+1)</f>
        <v>0</v>
      </c>
      <c r="W2564" s="1176">
        <f>IF($I2542="",0,W2563-$V2542+1)</f>
        <v>0</v>
      </c>
      <c r="X2564" s="1176">
        <f>IF($I2542="",0,X2563-$V2542+1)</f>
        <v>0</v>
      </c>
      <c r="Y2564" s="1176">
        <f>IF($I2542="",0,Y2563-$V2542+1)</f>
        <v>0</v>
      </c>
      <c r="Z2564" s="1216">
        <f>IF($I2542="",0,Z2563-$V2542+1)</f>
        <v>0</v>
      </c>
      <c r="AA2564" s="694"/>
      <c r="AB2564" s="694"/>
      <c r="AC2564" s="694"/>
      <c r="AD2564" s="694"/>
      <c r="AE2564" s="694"/>
      <c r="AF2564" s="694"/>
      <c r="AG2564" s="694"/>
      <c r="AH2564" s="694"/>
      <c r="AI2564" s="694"/>
      <c r="AJ2564" s="694"/>
      <c r="AK2564" s="694"/>
      <c r="AL2564" s="694"/>
    </row>
    <row r="2565" spans="1:38" ht="12.75" hidden="1" customHeight="1" x14ac:dyDescent="0.25">
      <c r="A2565" s="729" t="s">
        <v>312</v>
      </c>
      <c r="B2565" s="298"/>
      <c r="C2565" s="298"/>
      <c r="D2565" s="1217"/>
      <c r="E2565" s="1218" t="str">
        <f>Translations!$B$1376</f>
        <v>Промяна в сравнение с HAL</v>
      </c>
      <c r="F2565" s="1218"/>
      <c r="G2565" s="1218"/>
      <c r="H2565" s="1219"/>
      <c r="I2565" s="1220"/>
      <c r="J2565" s="103" t="str">
        <f>IF(J2564="","",IF($I2567=0,IF(J2564=0,0%,100%),J2564/$I2567-1))</f>
        <v/>
      </c>
      <c r="K2565" s="100" t="str">
        <f>IF(K2564="","",IF($I2567=0,IF(K2564=0,0%,100%),K2564/$I2567-1))</f>
        <v/>
      </c>
      <c r="L2565" s="100" t="str">
        <f>IF(L2564="","",IF($I2567=0,IF(L2564=0,0%,100%),L2564/$I2567-1))</f>
        <v/>
      </c>
      <c r="M2565" s="100" t="str">
        <f>IF(M2564="","",IF($I2567=0,IF(M2564=0,0%,100%),M2564/$I2567-1))</f>
        <v/>
      </c>
      <c r="N2565" s="122" t="str">
        <f>IF(N2564="","",IF($I2567=0,IF(N2564=0,0%,100%),N2564/$I2567-1))</f>
        <v/>
      </c>
      <c r="O2565" s="302"/>
      <c r="P2565" s="302"/>
      <c r="Q2565" s="1190" t="str">
        <f>EUconst_CNTR_RelThreshold &amp; Q2567</f>
        <v>RelThresh_HALprelim_</v>
      </c>
      <c r="R2565" s="694"/>
      <c r="S2565" s="694"/>
      <c r="T2565" s="694"/>
      <c r="U2565" s="1215" t="s">
        <v>1715</v>
      </c>
      <c r="V2565" s="727" t="str">
        <f>IF(J2564="","",ABS(J2565)&gt;15%)</f>
        <v/>
      </c>
      <c r="W2565" s="727" t="str">
        <f>IF(K2564="","",ABS(K2565)&gt;15%)</f>
        <v/>
      </c>
      <c r="X2565" s="727" t="str">
        <f>IF(L2564="","",ABS(L2565)&gt;15%)</f>
        <v/>
      </c>
      <c r="Y2565" s="727" t="str">
        <f>IF(M2564="","",ABS(M2565)&gt;15%)</f>
        <v/>
      </c>
      <c r="Z2565" s="1221" t="str">
        <f>IF(N2564="","",ABS(N2565)&gt;15%)</f>
        <v/>
      </c>
      <c r="AA2565" s="694"/>
      <c r="AB2565" s="694"/>
      <c r="AC2565" s="694"/>
      <c r="AD2565" s="694"/>
      <c r="AE2565" s="694"/>
      <c r="AF2565" s="694"/>
      <c r="AG2565" s="694"/>
      <c r="AH2565" s="694"/>
      <c r="AI2565" s="694"/>
      <c r="AJ2565" s="694"/>
      <c r="AK2565" s="694"/>
      <c r="AL2565" s="729"/>
    </row>
    <row r="2566" spans="1:38" ht="12.75" customHeight="1" x14ac:dyDescent="0.25">
      <c r="A2566" s="729"/>
      <c r="B2566" s="298"/>
      <c r="C2566" s="298"/>
      <c r="D2566" s="1208" t="s">
        <v>7</v>
      </c>
      <c r="E2566" s="1209" t="str">
        <f>Translations!$B$1322</f>
        <v>Предварителна корекция (ако са надвишени относителните прагове)</v>
      </c>
      <c r="F2566" s="1209"/>
      <c r="G2566" s="1209"/>
      <c r="H2566" s="1222"/>
      <c r="I2566" s="1223"/>
      <c r="J2566" s="1224" t="str">
        <f>IF(J2564="","",IF(V2565=FALSE,0%,IF(V2566,J2565,I2572)))</f>
        <v/>
      </c>
      <c r="K2566" s="1225" t="str">
        <f>IF(K2564="","",IF(W2565=FALSE,0%,IF(W2566,K2565,J2572)))</f>
        <v/>
      </c>
      <c r="L2566" s="1225" t="str">
        <f>IF(L2564="","",IF(X2565=FALSE,0%,IF(X2566,L2565,K2572)))</f>
        <v/>
      </c>
      <c r="M2566" s="1225" t="str">
        <f>IF(M2564="","",IF(Y2565=FALSE,0%,IF(Y2566,M2565,L2572)))</f>
        <v/>
      </c>
      <c r="N2566" s="1226" t="str">
        <f>IF(N2564="","",IF(Z2565=FALSE,0%,IF(Z2566,N2565,M2572)))</f>
        <v/>
      </c>
      <c r="O2566" s="302"/>
      <c r="P2566" s="302"/>
      <c r="Q2566" s="694"/>
      <c r="R2566" s="694"/>
      <c r="S2566" s="694"/>
      <c r="T2566" s="694"/>
      <c r="U2566" s="1215" t="s">
        <v>1716</v>
      </c>
      <c r="V2566" s="727" t="str">
        <f>IF(J2564="","",AND(V2565,IF(SUM(I2572)&lt;0,OR(SUM(J2565)&lt;SUM(I2572)-MOD(SUM(I2572),5%),J2565&gt;=SUM(I2572)+5%-MOD(SUM(I2572),5%)),OR(SUM(J2565)&lt;=SUM(I2572)-MOD(SUM(I2572),5%),SUM(J2565)&gt;SUM(I2572)+5%-MOD(SUM(I2572),5%)))))</f>
        <v/>
      </c>
      <c r="W2566" s="727" t="str">
        <f>IF(K2564="","",AND(W2565,IF(SUM(J2572)&lt;0,OR(SUM(K2565)&lt;SUM(J2572)-MOD(SUM(J2572),5%),K2565&gt;=SUM(J2572)+5%-MOD(SUM(J2572),5%)),OR(SUM(K2565)&lt;=SUM(J2572)-MOD(SUM(J2572),5%),SUM(K2565)&gt;SUM(J2572)+5%-MOD(SUM(J2572),5%)))))</f>
        <v/>
      </c>
      <c r="X2566" s="727" t="str">
        <f>IF(L2564="","",AND(X2565,IF(SUM(K2572)&lt;0,OR(SUM(L2565)&lt;SUM(K2572)-MOD(SUM(K2572),5%),L2565&gt;=SUM(K2572)+5%-MOD(SUM(K2572),5%)),OR(SUM(L2565)&lt;=SUM(K2572)-MOD(SUM(K2572),5%),SUM(L2565)&gt;SUM(K2572)+5%-MOD(SUM(K2572),5%)))))</f>
        <v/>
      </c>
      <c r="Y2566" s="727" t="str">
        <f>IF(M2564="","",AND(Y2565,IF(SUM(L2572)&lt;0,OR(SUM(M2565)&lt;SUM(L2572)-MOD(SUM(L2572),5%),M2565&gt;=SUM(L2572)+5%-MOD(SUM(L2572),5%)),OR(SUM(M2565)&lt;=SUM(L2572)-MOD(SUM(L2572),5%),SUM(M2565)&gt;SUM(L2572)+5%-MOD(SUM(L2572),5%)))))</f>
        <v/>
      </c>
      <c r="Z2566" s="1221" t="str">
        <f>IF(N2564="","",AND(Z2565,IF(SUM(M2572)&lt;0,OR(SUM(N2565)&lt;SUM(M2572)-MOD(SUM(M2572),5%),N2565&gt;=SUM(M2572)+5%-MOD(SUM(M2572),5%)),OR(SUM(N2565)&lt;=SUM(M2572)-MOD(SUM(M2572),5%),SUM(N2565)&gt;SUM(M2572)+5%-MOD(SUM(M2572),5%)))))</f>
        <v/>
      </c>
      <c r="AA2566" s="694"/>
      <c r="AB2566" s="694"/>
      <c r="AC2566" s="694"/>
      <c r="AD2566" s="694"/>
      <c r="AE2566" s="694"/>
      <c r="AF2566" s="694"/>
      <c r="AG2566" s="694"/>
      <c r="AH2566" s="694"/>
      <c r="AI2566" s="694"/>
      <c r="AJ2566" s="694"/>
      <c r="AK2566" s="694"/>
      <c r="AL2566" s="729"/>
    </row>
    <row r="2567" spans="1:38" ht="12.75" hidden="1" customHeight="1" x14ac:dyDescent="0.25">
      <c r="A2567" s="729" t="s">
        <v>312</v>
      </c>
      <c r="B2567" s="298"/>
      <c r="C2567" s="298"/>
      <c r="D2567" s="1217"/>
      <c r="E2567" s="1209" t="str">
        <f>Translations!$B$1377</f>
        <v>Предварителна стойност</v>
      </c>
      <c r="F2567" s="1209"/>
      <c r="G2567" s="1209"/>
      <c r="H2567" s="1210" t="str">
        <f>H2564</f>
        <v>тона</v>
      </c>
      <c r="I2567" s="1211" t="str">
        <f>IF(I2542="","",IF(AB2542=FALSE,EUconst_NA,IF(V2542&gt;($J$2831-3),INDEX(H2552:N2552,MATCH(V2542,H2549:N2549,0)),SUM(I2564))))</f>
        <v/>
      </c>
      <c r="J2567" s="1212" t="str">
        <f>IF($I2542="","",IF(V2564&lt;2,SUM(J2552),IF(V2564&lt;3,SUM(I2552),IF(V2567="",I2567,V2567))))</f>
        <v/>
      </c>
      <c r="K2567" s="1213" t="str">
        <f>IF($I2542="","",IF(W2564&lt;2,SUM(K2552),IF(W2564&lt;3,SUM(J2552),IF(W2567="",J2567,W2567))))</f>
        <v/>
      </c>
      <c r="L2567" s="1213" t="str">
        <f>IF($I2542="","",IF(X2564&lt;2,SUM(L2552),IF(X2564&lt;3,SUM(K2552),IF(X2567="",K2567,X2567))))</f>
        <v/>
      </c>
      <c r="M2567" s="1213" t="str">
        <f>IF($I2542="","",IF(Y2564&lt;2,SUM(M2552),IF(Y2564&lt;3,SUM(L2552),IF(Y2567="",L2567,Y2567))))</f>
        <v/>
      </c>
      <c r="N2567" s="1214" t="str">
        <f>IF($I2542="","",IF(Z2564&lt;2,SUM(N2552),IF(Z2564&lt;3,SUM(M2552),IF(Z2567="",M2567,Z2567))))</f>
        <v/>
      </c>
      <c r="O2567" s="302"/>
      <c r="P2567" s="302"/>
      <c r="Q2567" s="1182" t="str">
        <f>EUconst_CNTR_HALprelim&amp;I2542</f>
        <v>HALprelim_</v>
      </c>
      <c r="R2567" s="694"/>
      <c r="S2567" s="694"/>
      <c r="T2567" s="694"/>
      <c r="U2567" s="1215" t="s">
        <v>1756</v>
      </c>
      <c r="V2567" s="1227" t="str">
        <f>IF(J2564="","",IF(CNTR_ReportingYear&lt;J2563,I2566,IF($I2567=0,J2564,$I2567*(1+J2566))))</f>
        <v/>
      </c>
      <c r="W2567" s="1227" t="str">
        <f>IF(K2564="","",IF(CNTR_ReportingYear&lt;K2563,J2566,IF($I2567=0,K2564,$I2567*(1+K2566))))</f>
        <v/>
      </c>
      <c r="X2567" s="1227" t="str">
        <f>IF(L2564="","",IF(CNTR_ReportingYear&lt;L2563,K2566,IF($I2567=0,L2564,$I2567*(1+L2566))))</f>
        <v/>
      </c>
      <c r="Y2567" s="1227" t="str">
        <f>IF(M2564="","",IF(CNTR_ReportingYear&lt;M2563,L2566,IF($I2567=0,M2564,$I2567*(1+M2566))))</f>
        <v/>
      </c>
      <c r="Z2567" s="1228" t="str">
        <f>IF(N2564="","",IF(CNTR_ReportingYear&lt;N2563,M2566,IF($I2567=0,N2564,$I2567*(1+N2566))))</f>
        <v/>
      </c>
      <c r="AA2567" s="694"/>
      <c r="AB2567" s="694"/>
      <c r="AC2567" s="694"/>
      <c r="AD2567" s="694"/>
      <c r="AE2567" s="694"/>
      <c r="AF2567" s="694"/>
      <c r="AG2567" s="694"/>
      <c r="AH2567" s="694"/>
      <c r="AI2567" s="694"/>
      <c r="AJ2567" s="694"/>
      <c r="AK2567" s="694"/>
      <c r="AL2567" s="729"/>
    </row>
    <row r="2568" spans="1:38" ht="5.15" customHeight="1" x14ac:dyDescent="0.25">
      <c r="A2568" s="729"/>
      <c r="B2568" s="298"/>
      <c r="C2568" s="298"/>
      <c r="D2568" s="1217"/>
      <c r="E2568" s="1199"/>
      <c r="F2568" s="1199"/>
      <c r="G2568" s="1199"/>
      <c r="H2568" s="1199"/>
      <c r="I2568" s="1199"/>
      <c r="J2568" s="1229"/>
      <c r="K2568" s="1229"/>
      <c r="L2568" s="1229"/>
      <c r="M2568" s="1229"/>
      <c r="N2568" s="1230"/>
      <c r="O2568" s="302"/>
      <c r="P2568" s="302"/>
      <c r="Q2568" s="729"/>
      <c r="R2568" s="694"/>
      <c r="S2568" s="694"/>
      <c r="T2568" s="694"/>
      <c r="U2568" s="1231"/>
      <c r="V2568" s="729"/>
      <c r="W2568" s="694"/>
      <c r="X2568" s="694"/>
      <c r="Y2568" s="694"/>
      <c r="Z2568" s="1232"/>
      <c r="AA2568" s="694"/>
      <c r="AB2568" s="694"/>
      <c r="AC2568" s="694"/>
      <c r="AD2568" s="694"/>
      <c r="AE2568" s="694"/>
      <c r="AF2568" s="694"/>
      <c r="AG2568" s="694"/>
      <c r="AH2568" s="694"/>
      <c r="AI2568" s="694"/>
      <c r="AJ2568" s="694"/>
      <c r="AK2568" s="694"/>
      <c r="AL2568" s="729"/>
    </row>
    <row r="2569" spans="1:38" ht="12.75" customHeight="1" x14ac:dyDescent="0.25">
      <c r="A2569" s="729"/>
      <c r="B2569" s="298"/>
      <c r="C2569" s="298"/>
      <c r="D2569" s="1217"/>
      <c r="E2569" s="1233" t="str">
        <f>Translations!$B$1323</f>
        <v>Действителна корекция (база за следващи години)</v>
      </c>
      <c r="F2569" s="1233"/>
      <c r="G2569" s="1233"/>
      <c r="H2569" s="1233"/>
      <c r="I2569" s="1233"/>
      <c r="J2569" s="1202">
        <f>J$2831</f>
        <v>2026</v>
      </c>
      <c r="K2569" s="1203">
        <f>K$2831</f>
        <v>2027</v>
      </c>
      <c r="L2569" s="1203">
        <f>L$2831</f>
        <v>2028</v>
      </c>
      <c r="M2569" s="1203">
        <f>M$2831</f>
        <v>2029</v>
      </c>
      <c r="N2569" s="1204">
        <f>N$2831</f>
        <v>2030</v>
      </c>
      <c r="O2569" s="302"/>
      <c r="P2569" s="302"/>
      <c r="Q2569" s="729"/>
      <c r="R2569" s="694"/>
      <c r="S2569" s="694"/>
      <c r="T2569" s="694"/>
      <c r="U2569" s="1234"/>
      <c r="V2569" s="213"/>
      <c r="W2569" s="214" t="s">
        <v>2101</v>
      </c>
      <c r="X2569" s="215" t="str">
        <f>IF(OR($X2542=0,$X2542=""),"",MIN(1,1-(DATE($Z2542,12,31)-$X2542)/(DATE($Z2542,12,31)-DATE($Z2542,1,1)+1)))</f>
        <v/>
      </c>
      <c r="Y2569" s="1165"/>
      <c r="Z2569" s="1235"/>
      <c r="AA2569" s="694"/>
      <c r="AB2569" s="694"/>
      <c r="AC2569" s="694"/>
      <c r="AD2569" s="694"/>
      <c r="AE2569" s="694"/>
      <c r="AF2569" s="694"/>
      <c r="AG2569" s="694"/>
      <c r="AH2569" s="694"/>
      <c r="AI2569" s="694"/>
      <c r="AJ2569" s="694"/>
      <c r="AK2569" s="694"/>
      <c r="AL2569" s="729"/>
    </row>
    <row r="2570" spans="1:38" ht="12.75" customHeight="1" x14ac:dyDescent="0.25">
      <c r="A2570" s="729"/>
      <c r="B2570" s="298"/>
      <c r="C2570" s="298"/>
      <c r="D2570" s="1208" t="s">
        <v>8</v>
      </c>
      <c r="E2570" s="1209" t="str">
        <f>Translations!$B$1515</f>
        <v>изпълнен ли е критерият за &gt;=300 квоти за емисии?</v>
      </c>
      <c r="F2570" s="1209"/>
      <c r="G2570" s="1209"/>
      <c r="H2570" s="1209"/>
      <c r="I2570" s="1209"/>
      <c r="J2570" s="1236" t="str">
        <f>IF($I2542="","",INDEX(K_Summary!J:J,MATCH($Q2570,K_Summary!$P:$P,0)))</f>
        <v/>
      </c>
      <c r="K2570" s="385" t="str">
        <f>IF($I2542="","",INDEX(K_Summary!K:K,MATCH($Q2570,K_Summary!$P:$P,0)))</f>
        <v/>
      </c>
      <c r="L2570" s="385" t="str">
        <f>IF($I2542="","",INDEX(K_Summary!L:L,MATCH($Q2570,K_Summary!$P:$P,0)))</f>
        <v/>
      </c>
      <c r="M2570" s="385" t="str">
        <f>IF($I2542="","",INDEX(K_Summary!M:M,MATCH($Q2570,K_Summary!$P:$P,0)))</f>
        <v/>
      </c>
      <c r="N2570" s="1237" t="str">
        <f>IF($I2542="","",INDEX(K_Summary!N:N,MATCH($Q2570,K_Summary!$P:$P,0)))</f>
        <v/>
      </c>
      <c r="O2570" s="302"/>
      <c r="P2570" s="302"/>
      <c r="Q2570" s="1182" t="str">
        <f>EUconst_CNTR_300EUA&amp;I2542</f>
        <v>EUA300_</v>
      </c>
      <c r="R2570" s="694"/>
      <c r="S2570" s="694"/>
      <c r="T2570" s="694"/>
      <c r="U2570" s="1234"/>
      <c r="V2570" s="216">
        <f>IF(V2563=$Z2542,$X2569,1)</f>
        <v>1</v>
      </c>
      <c r="W2570" s="216">
        <f>IF(W2563=$Z2542,$X2569,1)</f>
        <v>1</v>
      </c>
      <c r="X2570" s="216">
        <f>IF(X2563=$Z2542,$X2569,1)</f>
        <v>1</v>
      </c>
      <c r="Y2570" s="216">
        <f>IF(Y2563=$Z2542,$X2569,1)</f>
        <v>1</v>
      </c>
      <c r="Z2570" s="217">
        <f>IF(Z2563=$Z2542,$X2569,1)</f>
        <v>1</v>
      </c>
      <c r="AA2570" s="694"/>
      <c r="AB2570" s="694"/>
      <c r="AC2570" s="694"/>
      <c r="AD2570" s="694"/>
      <c r="AE2570" s="694"/>
      <c r="AF2570" s="694"/>
      <c r="AG2570" s="694"/>
      <c r="AH2570" s="694"/>
      <c r="AI2570" s="694"/>
      <c r="AJ2570" s="694"/>
      <c r="AK2570" s="694"/>
      <c r="AL2570" s="729"/>
    </row>
    <row r="2571" spans="1:38" ht="5.15" customHeight="1" thickBot="1" x14ac:dyDescent="0.3">
      <c r="A2571" s="729"/>
      <c r="B2571" s="298"/>
      <c r="C2571" s="298"/>
      <c r="D2571" s="1217"/>
      <c r="E2571" s="1199"/>
      <c r="F2571" s="1199"/>
      <c r="G2571" s="1199"/>
      <c r="H2571" s="1199"/>
      <c r="I2571" s="1199"/>
      <c r="J2571" s="1199"/>
      <c r="K2571" s="1199"/>
      <c r="L2571" s="1199"/>
      <c r="M2571" s="1199"/>
      <c r="N2571" s="1238"/>
      <c r="O2571" s="302"/>
      <c r="P2571" s="302"/>
      <c r="Q2571" s="729"/>
      <c r="R2571" s="694"/>
      <c r="S2571" s="694"/>
      <c r="T2571" s="694"/>
      <c r="U2571" s="1231"/>
      <c r="V2571" s="729"/>
      <c r="W2571" s="694"/>
      <c r="X2571" s="694"/>
      <c r="Y2571" s="694"/>
      <c r="Z2571" s="1232"/>
      <c r="AA2571" s="694"/>
      <c r="AB2571" s="694"/>
      <c r="AC2571" s="694"/>
      <c r="AD2571" s="694"/>
      <c r="AE2571" s="694"/>
      <c r="AF2571" s="694"/>
      <c r="AG2571" s="694"/>
      <c r="AH2571" s="694"/>
      <c r="AI2571" s="694"/>
      <c r="AJ2571" s="694"/>
      <c r="AK2571" s="694"/>
      <c r="AL2571" s="729"/>
    </row>
    <row r="2572" spans="1:38" ht="12.75" customHeight="1" thickBot="1" x14ac:dyDescent="0.3">
      <c r="A2572" s="694"/>
      <c r="B2572" s="298"/>
      <c r="C2572" s="298"/>
      <c r="D2572" s="1208" t="s">
        <v>18</v>
      </c>
      <c r="E2572" s="1209" t="str">
        <f>Translations!$B$1324</f>
        <v>Действителна корекция (ако са надвишени всички прагове)</v>
      </c>
      <c r="F2572" s="1209"/>
      <c r="G2572" s="1209"/>
      <c r="H2572" s="1222"/>
      <c r="I2572" s="1239"/>
      <c r="J2572" s="1240" t="str">
        <f>IF(J2570="","",IF(J2563&gt;$Z2542,-100%,IF(OR(J2570,V2564&lt;1),J2566,I2572)))</f>
        <v/>
      </c>
      <c r="K2572" s="1241" t="str">
        <f>IF(K2570="","",IF(K2563&gt;$Z2542,-100%,IF(OR(K2570,W2564&lt;1),K2566,J2572)))</f>
        <v/>
      </c>
      <c r="L2572" s="1241" t="str">
        <f>IF(L2570="","",IF(L2563&gt;$Z2542,-100%,IF(OR(L2570,X2564&lt;1),L2566,K2572)))</f>
        <v/>
      </c>
      <c r="M2572" s="1241" t="str">
        <f>IF(M2570="","",IF(M2563&gt;$Z2542,-100%,IF(OR(M2570,Y2564&lt;1),M2566,L2572)))</f>
        <v/>
      </c>
      <c r="N2572" s="1242" t="str">
        <f>IF(N2570="","",IF(N2563&gt;$Z2542,-100%,IF(OR(N2570,Z2564&lt;1),N2566,M2572)))</f>
        <v/>
      </c>
      <c r="O2572" s="302"/>
      <c r="P2572" s="710"/>
      <c r="Q2572" s="1190" t="str">
        <f>EUconst_CNTR_HALAdjPct &amp; I2542</f>
        <v>HALAdjPct_</v>
      </c>
      <c r="R2572" s="694"/>
      <c r="S2572" s="694"/>
      <c r="T2572" s="694"/>
      <c r="U2572" s="1231" t="s">
        <v>1718</v>
      </c>
      <c r="V2572" s="1243">
        <f>J2569</f>
        <v>2026</v>
      </c>
      <c r="W2572" s="1243">
        <f>K2569</f>
        <v>2027</v>
      </c>
      <c r="X2572" s="1243">
        <f>L2569</f>
        <v>2028</v>
      </c>
      <c r="Y2572" s="1243">
        <f>M2569</f>
        <v>2029</v>
      </c>
      <c r="Z2572" s="1244">
        <f>N2569</f>
        <v>2030</v>
      </c>
      <c r="AA2572" s="694"/>
      <c r="AB2572" s="694"/>
      <c r="AC2572" s="694"/>
      <c r="AD2572" s="694"/>
      <c r="AE2572" s="694"/>
      <c r="AF2572" s="694"/>
      <c r="AG2572" s="694"/>
      <c r="AH2572" s="694"/>
      <c r="AI2572" s="694"/>
      <c r="AJ2572" s="694"/>
      <c r="AK2572" s="694"/>
      <c r="AL2572" s="729"/>
    </row>
    <row r="2573" spans="1:38" ht="12.75" customHeight="1" thickBot="1" x14ac:dyDescent="0.3">
      <c r="A2573" s="729"/>
      <c r="B2573" s="298"/>
      <c r="C2573" s="298"/>
      <c r="D2573" s="1208" t="s">
        <v>810</v>
      </c>
      <c r="E2573" s="1209" t="str">
        <f>Translations!$B$1325</f>
        <v>Действителна стойност</v>
      </c>
      <c r="F2573" s="1209"/>
      <c r="G2573" s="1209"/>
      <c r="H2573" s="1210" t="str">
        <f>H2564</f>
        <v>тона</v>
      </c>
      <c r="I2573" s="1211" t="str">
        <f>I2567</f>
        <v/>
      </c>
      <c r="J2573" s="632" t="str">
        <f>IF($I2542="","",IF(OR($I2573=0,J2572="",$I2573=EUconst_NA),IF(OR(J2570=TRUE,J2569&lt;=$V2542),J2567,SUM(I2573)),$I2573*(1+SUM(J2572))))</f>
        <v/>
      </c>
      <c r="K2573" s="633" t="str">
        <f>IF($I2542="","",IF(OR($I2573=0,K2572="",$I2573=EUconst_NA),IF(OR(K2570=TRUE,K2569&lt;=$V2542),K2567,SUM(J2573)),$I2573*(1+SUM(K2572))))</f>
        <v/>
      </c>
      <c r="L2573" s="633" t="str">
        <f>IF($I2542="","",IF(OR($I2573=0,L2572="",$I2573=EUconst_NA),IF(OR(L2570=TRUE,L2569&lt;=$V2542),L2567,SUM(K2573)),$I2573*(1+SUM(L2572))))</f>
        <v/>
      </c>
      <c r="M2573" s="633" t="str">
        <f>IF($I2542="","",IF(OR($I2573=0,M2572="",$I2573=EUconst_NA),IF(OR(M2570=TRUE,M2569&lt;=$V2542),M2567,SUM(L2573)),$I2573*(1+SUM(M2572))))</f>
        <v/>
      </c>
      <c r="N2573" s="634" t="str">
        <f>IF($I2542="","",IF(OR($I2573=0,N2572="",$I2573=EUconst_NA),IF(OR(N2570=TRUE,N2569&lt;=$V2542),N2567,SUM(M2573)),$I2573*(1+SUM(N2572))))</f>
        <v/>
      </c>
      <c r="O2573" s="302"/>
      <c r="P2573" s="302"/>
      <c r="Q2573" s="1182" t="str">
        <f>EUconst_CNTR_HALfinal&amp;I2542</f>
        <v>HALfinal_</v>
      </c>
      <c r="R2573" s="694"/>
      <c r="S2573" s="694"/>
      <c r="T2573" s="694"/>
      <c r="U2573" s="1245" t="b">
        <v>0</v>
      </c>
      <c r="V2573" s="1246" t="str">
        <f>IF(V2550,IF(J2570=TRUE,V2565,U2573),"")</f>
        <v/>
      </c>
      <c r="W2573" s="1246" t="str">
        <f>IF(W2550,IF(K2570=TRUE,W2565,V2573),"")</f>
        <v/>
      </c>
      <c r="X2573" s="1246" t="str">
        <f>IF(X2550,IF(L2570=TRUE,X2565,W2573),"")</f>
        <v/>
      </c>
      <c r="Y2573" s="1246" t="str">
        <f>IF(Y2550,IF(M2570=TRUE,Y2565,X2573),"")</f>
        <v/>
      </c>
      <c r="Z2573" s="1247" t="str">
        <f>IF(Z2550,IF(N2570=TRUE,Z2565,Y2573),"")</f>
        <v/>
      </c>
      <c r="AA2573" s="694"/>
      <c r="AB2573" s="694"/>
      <c r="AC2573" s="694"/>
      <c r="AD2573" s="694"/>
      <c r="AE2573" s="694"/>
      <c r="AF2573" s="694"/>
      <c r="AG2573" s="694"/>
      <c r="AH2573" s="694"/>
      <c r="AI2573" s="694"/>
      <c r="AJ2573" s="1174" t="s">
        <v>2033</v>
      </c>
      <c r="AK2573" s="982" t="str">
        <f>IF(OR(ISERROR(J2573),ISERROR(K2573),ISERROR(L2573),ISERROR(M2573),ISERROR(N2573)),EUconst_Error &amp; "BM" &amp; Q2542,"")</f>
        <v/>
      </c>
      <c r="AL2573" s="729"/>
    </row>
    <row r="2574" spans="1:38" ht="5.15" customHeight="1" thickBot="1" x14ac:dyDescent="0.3">
      <c r="A2574" s="694"/>
      <c r="B2574" s="298"/>
      <c r="C2574" s="298"/>
      <c r="D2574" s="1248"/>
      <c r="E2574" s="1249"/>
      <c r="F2574" s="1249"/>
      <c r="G2574" s="1249"/>
      <c r="H2574" s="1249"/>
      <c r="I2574" s="1249"/>
      <c r="J2574" s="1249"/>
      <c r="K2574" s="1249"/>
      <c r="L2574" s="1249"/>
      <c r="M2574" s="1249"/>
      <c r="N2574" s="1250"/>
      <c r="O2574" s="302"/>
      <c r="P2574" s="302"/>
      <c r="Q2574" s="729"/>
      <c r="R2574" s="694"/>
      <c r="S2574" s="694"/>
      <c r="T2574" s="694"/>
      <c r="U2574" s="729"/>
      <c r="V2574" s="729"/>
      <c r="W2574" s="694"/>
      <c r="X2574" s="694"/>
      <c r="Y2574" s="694"/>
      <c r="Z2574" s="694"/>
      <c r="AA2574" s="694"/>
      <c r="AB2574" s="694"/>
      <c r="AC2574" s="694"/>
      <c r="AD2574" s="694"/>
      <c r="AE2574" s="694"/>
      <c r="AF2574" s="694"/>
      <c r="AG2574" s="694"/>
      <c r="AH2574" s="694"/>
      <c r="AI2574" s="694"/>
      <c r="AJ2574" s="694"/>
      <c r="AK2574" s="694"/>
      <c r="AL2574" s="729"/>
    </row>
    <row r="2575" spans="1:38" ht="5.15" customHeight="1" x14ac:dyDescent="0.25">
      <c r="A2575" s="694"/>
      <c r="B2575" s="298"/>
      <c r="C2575" s="298"/>
      <c r="D2575" s="302"/>
      <c r="E2575" s="302"/>
      <c r="F2575" s="302"/>
      <c r="G2575" s="302"/>
      <c r="H2575" s="302"/>
      <c r="I2575" s="302"/>
      <c r="J2575" s="302"/>
      <c r="K2575" s="302"/>
      <c r="L2575" s="302"/>
      <c r="M2575" s="302"/>
      <c r="N2575" s="302"/>
      <c r="O2575" s="302"/>
      <c r="P2575" s="302"/>
      <c r="Q2575" s="729"/>
      <c r="R2575" s="694"/>
      <c r="S2575" s="694"/>
      <c r="T2575" s="694"/>
      <c r="U2575" s="729"/>
      <c r="V2575" s="729"/>
      <c r="W2575" s="694"/>
      <c r="X2575" s="694"/>
      <c r="Y2575" s="694"/>
      <c r="Z2575" s="694"/>
      <c r="AA2575" s="694"/>
      <c r="AB2575" s="694"/>
      <c r="AC2575" s="694"/>
      <c r="AD2575" s="694"/>
      <c r="AE2575" s="694"/>
      <c r="AF2575" s="694"/>
      <c r="AG2575" s="694"/>
      <c r="AH2575" s="694"/>
      <c r="AI2575" s="694"/>
      <c r="AJ2575" s="694"/>
      <c r="AK2575" s="694"/>
      <c r="AL2575" s="729"/>
    </row>
    <row r="2576" spans="1:38" ht="15" customHeight="1" x14ac:dyDescent="0.25">
      <c r="A2576" s="694"/>
      <c r="B2576" s="698"/>
      <c r="C2576" s="298"/>
      <c r="D2576" s="2323" t="str">
        <f>Translations!$B$482</f>
        <v>Други корекционни коефициенти</v>
      </c>
      <c r="E2576" s="2249"/>
      <c r="F2576" s="2249"/>
      <c r="G2576" s="2249"/>
      <c r="H2576" s="2249"/>
      <c r="I2576" s="2249"/>
      <c r="J2576" s="2249"/>
      <c r="K2576" s="2249"/>
      <c r="L2576" s="2249"/>
      <c r="M2576" s="2249"/>
      <c r="N2576" s="2249"/>
      <c r="O2576" s="302"/>
      <c r="P2576" s="302"/>
      <c r="Q2576" s="694"/>
      <c r="R2576" s="694"/>
      <c r="S2576" s="694"/>
      <c r="T2576" s="694"/>
      <c r="U2576" s="729"/>
      <c r="V2576" s="729"/>
      <c r="W2576" s="694"/>
      <c r="X2576" s="694"/>
      <c r="Y2576" s="694"/>
      <c r="Z2576" s="694"/>
      <c r="AA2576" s="694"/>
      <c r="AB2576" s="694"/>
      <c r="AC2576" s="694"/>
      <c r="AD2576" s="694"/>
      <c r="AE2576" s="694"/>
      <c r="AF2576" s="694"/>
      <c r="AG2576" s="694"/>
      <c r="AH2576" s="694"/>
      <c r="AI2576" s="694"/>
      <c r="AJ2576" s="694"/>
      <c r="AK2576" s="694"/>
      <c r="AL2576" s="694"/>
    </row>
    <row r="2577" spans="1:38" ht="5.15" customHeight="1" x14ac:dyDescent="0.25">
      <c r="A2577" s="694"/>
      <c r="B2577" s="298"/>
      <c r="C2577" s="298"/>
      <c r="D2577" s="298"/>
      <c r="E2577" s="298"/>
      <c r="F2577" s="298"/>
      <c r="G2577" s="298"/>
      <c r="H2577" s="298"/>
      <c r="I2577" s="298"/>
      <c r="J2577" s="298"/>
      <c r="K2577" s="298"/>
      <c r="L2577" s="298"/>
      <c r="M2577" s="298"/>
      <c r="N2577" s="298"/>
      <c r="O2577" s="302"/>
      <c r="P2577" s="302"/>
      <c r="Q2577" s="729"/>
      <c r="R2577" s="694"/>
      <c r="S2577" s="694"/>
      <c r="T2577" s="694"/>
      <c r="U2577" s="729"/>
      <c r="V2577" s="729"/>
      <c r="W2577" s="694"/>
      <c r="X2577" s="694"/>
      <c r="Y2577" s="694"/>
      <c r="Z2577" s="694"/>
      <c r="AA2577" s="694"/>
      <c r="AB2577" s="694"/>
      <c r="AC2577" s="694"/>
      <c r="AD2577" s="694"/>
      <c r="AE2577" s="694"/>
      <c r="AF2577" s="694"/>
      <c r="AG2577" s="694"/>
      <c r="AH2577" s="694"/>
      <c r="AI2577" s="694"/>
      <c r="AJ2577" s="694"/>
      <c r="AK2577" s="694"/>
      <c r="AL2577" s="694"/>
    </row>
    <row r="2578" spans="1:38" ht="13" x14ac:dyDescent="0.25">
      <c r="A2578" s="694"/>
      <c r="B2578" s="698"/>
      <c r="C2578" s="698"/>
      <c r="D2578" s="300" t="s">
        <v>46</v>
      </c>
      <c r="E2578" s="2463" t="str">
        <f>Translations!$B$1516</f>
        <v>Потребление на електроенергия</v>
      </c>
      <c r="F2578" s="2463"/>
      <c r="G2578" s="2463"/>
      <c r="H2578" s="2463"/>
      <c r="I2578" s="2463"/>
      <c r="J2578" s="2463"/>
      <c r="K2578" s="2463"/>
      <c r="L2578" s="2463"/>
      <c r="M2578" s="2463"/>
      <c r="N2578" s="2463"/>
      <c r="O2578" s="302"/>
      <c r="P2578" s="302"/>
      <c r="Q2578" s="694" t="s">
        <v>450</v>
      </c>
      <c r="R2578" s="1026" t="str">
        <f>"#"&amp;ADDRESS(ROW(D2583),COLUMN(D2583))</f>
        <v>#$D$2583</v>
      </c>
      <c r="S2578" s="1174" t="s">
        <v>1732</v>
      </c>
      <c r="T2578" s="1190" t="str">
        <f>IF(I2542="","",INDEX(EUconst_BMlistElExchangability,MATCH(I2542,EUconst_BMlistNames,0)))</f>
        <v/>
      </c>
      <c r="U2578" s="729"/>
      <c r="V2578" s="729"/>
      <c r="W2578" s="694"/>
      <c r="X2578" s="694"/>
      <c r="Y2578" s="694"/>
      <c r="Z2578" s="694"/>
      <c r="AA2578" s="694"/>
      <c r="AB2578" s="694"/>
      <c r="AC2578" s="694"/>
      <c r="AD2578" s="694"/>
      <c r="AE2578" s="694"/>
      <c r="AF2578" s="694"/>
      <c r="AG2578" s="694"/>
      <c r="AH2578" s="694"/>
      <c r="AI2578" s="694"/>
      <c r="AJ2578" s="694"/>
      <c r="AK2578" s="694"/>
      <c r="AL2578" s="694"/>
    </row>
    <row r="2579" spans="1:38" ht="25.5" customHeight="1" x14ac:dyDescent="0.25">
      <c r="A2579" s="694"/>
      <c r="B2579" s="298"/>
      <c r="C2579" s="298"/>
      <c r="D2579" s="302"/>
      <c r="E2579" s="2358" t="str">
        <f>Translations!$B$1517</f>
        <v>Въведете тук електроенергията, потребена в системните граници на тази подинсталация. За продуктовите показатели, изброени в раздел 2 от приложение I към ПБР, въвеждането тук на данни е задължително, като те трябва да съответстват на съответните системни граници, посочени в този раздел.</v>
      </c>
      <c r="F2579" s="2249"/>
      <c r="G2579" s="2249"/>
      <c r="H2579" s="2249"/>
      <c r="I2579" s="2249"/>
      <c r="J2579" s="2249"/>
      <c r="K2579" s="2249"/>
      <c r="L2579" s="2249"/>
      <c r="M2579" s="2249"/>
      <c r="N2579" s="2249"/>
      <c r="O2579" s="302"/>
      <c r="P2579" s="302"/>
      <c r="Q2579" s="694"/>
      <c r="R2579" s="694"/>
      <c r="S2579" s="694"/>
      <c r="T2579" s="694"/>
      <c r="U2579" s="729"/>
      <c r="V2579" s="729"/>
      <c r="W2579" s="694"/>
      <c r="X2579" s="694"/>
      <c r="Y2579" s="694"/>
      <c r="Z2579" s="694"/>
      <c r="AA2579" s="694"/>
      <c r="AB2579" s="694"/>
      <c r="AC2579" s="694"/>
      <c r="AD2579" s="694"/>
      <c r="AE2579" s="694"/>
      <c r="AF2579" s="694"/>
      <c r="AG2579" s="694"/>
      <c r="AH2579" s="694"/>
      <c r="AI2579" s="694"/>
      <c r="AJ2579" s="694"/>
      <c r="AK2579" s="694"/>
      <c r="AL2579" s="694"/>
    </row>
    <row r="2580" spans="1:38" s="364" customFormat="1" ht="13.5" thickBot="1" x14ac:dyDescent="0.3">
      <c r="A2580" s="729"/>
      <c r="B2580" s="302"/>
      <c r="C2580" s="302"/>
      <c r="D2580" s="300"/>
      <c r="E2580" s="1013" t="str">
        <f>Translations!$B$483</f>
        <v>Параметър</v>
      </c>
      <c r="F2580" s="1015"/>
      <c r="G2580" s="527" t="str">
        <f>EUconst_Unit</f>
        <v>Единица мярка</v>
      </c>
      <c r="H2580" s="391">
        <f>H$2831</f>
        <v>2024</v>
      </c>
      <c r="I2580" s="572">
        <f>I$2831</f>
        <v>2025</v>
      </c>
      <c r="J2580" s="757">
        <f>J$91</f>
        <v>2026</v>
      </c>
      <c r="K2580" s="758">
        <f>K$91</f>
        <v>2027</v>
      </c>
      <c r="L2580" s="391">
        <f>L$91</f>
        <v>2028</v>
      </c>
      <c r="M2580" s="391">
        <f>M$91</f>
        <v>2029</v>
      </c>
      <c r="N2580" s="391">
        <f>N$91</f>
        <v>2030</v>
      </c>
      <c r="O2580" s="302"/>
      <c r="P2580" s="302"/>
      <c r="Q2580" s="729"/>
      <c r="R2580" s="729"/>
      <c r="S2580" s="694"/>
      <c r="T2580" s="694"/>
      <c r="U2580" s="729"/>
      <c r="V2580" s="729"/>
      <c r="W2580" s="729"/>
      <c r="X2580" s="729"/>
      <c r="Y2580" s="729"/>
      <c r="Z2580" s="729"/>
      <c r="AA2580" s="729"/>
      <c r="AB2580" s="694"/>
      <c r="AC2580" s="1178">
        <f t="shared" ref="AC2580" si="3714">H$20</f>
        <v>2024</v>
      </c>
      <c r="AD2580" s="1178">
        <f t="shared" ref="AD2580" si="3715">I$20</f>
        <v>2025</v>
      </c>
      <c r="AE2580" s="1178">
        <f t="shared" ref="AE2580" si="3716">J$20</f>
        <v>2026</v>
      </c>
      <c r="AF2580" s="1178">
        <f t="shared" ref="AF2580" si="3717">K$20</f>
        <v>2027</v>
      </c>
      <c r="AG2580" s="1178">
        <f t="shared" ref="AG2580" si="3718">L$20</f>
        <v>2028</v>
      </c>
      <c r="AH2580" s="1178">
        <f t="shared" ref="AH2580" si="3719">M$20</f>
        <v>2029</v>
      </c>
      <c r="AI2580" s="1178">
        <f t="shared" ref="AI2580" si="3720">N$20</f>
        <v>2030</v>
      </c>
      <c r="AJ2580" s="694"/>
      <c r="AK2580" s="694"/>
      <c r="AL2580" s="694"/>
    </row>
    <row r="2581" spans="1:38" s="364" customFormat="1" ht="12.75" customHeight="1" thickBot="1" x14ac:dyDescent="0.3">
      <c r="A2581" s="729"/>
      <c r="B2581" s="302"/>
      <c r="C2581" s="302"/>
      <c r="D2581" s="360"/>
      <c r="E2581" s="1251" t="str">
        <f>Translations!$B$485</f>
        <v>Съответно потребление на електроенергия</v>
      </c>
      <c r="F2581" s="1252"/>
      <c r="G2581" s="1253" t="str">
        <f>EUconst_MWhpa</f>
        <v>MWh / година</v>
      </c>
      <c r="H2581" s="39"/>
      <c r="I2581" s="194"/>
      <c r="J2581" s="195"/>
      <c r="K2581" s="208"/>
      <c r="L2581" s="39"/>
      <c r="M2581" s="39"/>
      <c r="N2581" s="39"/>
      <c r="O2581" s="302"/>
      <c r="P2581" s="158"/>
      <c r="Q2581" s="982" t="str">
        <f>EUconst_CNTR_HAL&amp;EUconst_CNTR_ELEXCH &amp;I2542</f>
        <v>HAL_ELEXCH_</v>
      </c>
      <c r="R2581" s="729"/>
      <c r="S2581" s="729"/>
      <c r="T2581" s="729"/>
      <c r="U2581" s="729"/>
      <c r="V2581" s="729"/>
      <c r="W2581" s="729"/>
      <c r="X2581" s="729"/>
      <c r="Y2581" s="729"/>
      <c r="Z2581" s="729"/>
      <c r="AA2581" s="729"/>
      <c r="AB2581" s="1182" t="s">
        <v>737</v>
      </c>
      <c r="AC2581" s="1254" t="b">
        <f t="shared" ref="AC2581" si="3721">IF(CNTR_ExistSubInstEntries,IF($I2542="",TRUE,OR(H2580&gt;=CNTR_ReportingYear,AC2580&lt;$V2542-1,INDEX(EUconst_BMlistElExchangability,MATCH($I2542,EUconst_BMlistNames,0))=FALSE)),FALSE)</f>
        <v>0</v>
      </c>
      <c r="AD2581" s="1255" t="b">
        <f t="shared" ref="AD2581" si="3722">IF(CNTR_ExistSubInstEntries,IF($I2542="",TRUE,OR(I2580&gt;=CNTR_ReportingYear,AD2580&lt;$V2542-1,INDEX(EUconst_BMlistElExchangability,MATCH($I2542,EUconst_BMlistNames,0))=FALSE)),FALSE)</f>
        <v>0</v>
      </c>
      <c r="AE2581" s="1255" t="b">
        <f t="shared" ref="AE2581" si="3723">IF(CNTR_ExistSubInstEntries,IF($I2542="",TRUE,OR(J2580&gt;=CNTR_ReportingYear,AE2580&lt;$V2542-1,INDEX(EUconst_BMlistElExchangability,MATCH($I2542,EUconst_BMlistNames,0))=FALSE)),FALSE)</f>
        <v>0</v>
      </c>
      <c r="AF2581" s="1255" t="b">
        <f t="shared" ref="AF2581" si="3724">IF(CNTR_ExistSubInstEntries,IF($I2542="",TRUE,OR(K2580&gt;=CNTR_ReportingYear,AF2580&lt;$V2542-1,INDEX(EUconst_BMlistElExchangability,MATCH($I2542,EUconst_BMlistNames,0))=FALSE)),FALSE)</f>
        <v>0</v>
      </c>
      <c r="AG2581" s="1255" t="b">
        <f t="shared" ref="AG2581" si="3725">IF(CNTR_ExistSubInstEntries,IF($I2542="",TRUE,OR(L2580&gt;=CNTR_ReportingYear,AG2580&lt;$V2542-1,INDEX(EUconst_BMlistElExchangability,MATCH($I2542,EUconst_BMlistNames,0))=FALSE)),FALSE)</f>
        <v>0</v>
      </c>
      <c r="AH2581" s="1255" t="b">
        <f t="shared" ref="AH2581" si="3726">IF(CNTR_ExistSubInstEntries,IF($I2542="",TRUE,OR(M2580&gt;=CNTR_ReportingYear,AH2580&lt;$V2542-1,INDEX(EUconst_BMlistElExchangability,MATCH($I2542,EUconst_BMlistNames,0))=FALSE)),FALSE)</f>
        <v>0</v>
      </c>
      <c r="AI2581" s="1256" t="b">
        <f t="shared" ref="AI2581" si="3727">IF(CNTR_ExistSubInstEntries,IF($I2542="",TRUE,OR(N2580&gt;=CNTR_ReportingYear,AI2580&lt;$V2542-1,INDEX(EUconst_BMlistElExchangability,MATCH($I2542,EUconst_BMlistNames,0))=FALSE)),FALSE)</f>
        <v>0</v>
      </c>
      <c r="AJ2581" s="1174" t="s">
        <v>2039</v>
      </c>
      <c r="AK2581" s="1176" t="str">
        <f>IF(AND(CNTR_ExistSubInstEntries,COUNTIFS(AC2581:AI2581,FALSE,H2581:N2581,"")&gt;0),EUconst_Error&amp;"BM"&amp;$Q2542,"")</f>
        <v/>
      </c>
      <c r="AL2581" s="694"/>
    </row>
    <row r="2582" spans="1:38" ht="5.15" customHeight="1" x14ac:dyDescent="0.25">
      <c r="A2582" s="694"/>
      <c r="B2582" s="298"/>
      <c r="C2582" s="298"/>
      <c r="D2582" s="298"/>
      <c r="E2582" s="298"/>
      <c r="F2582" s="298"/>
      <c r="G2582" s="298"/>
      <c r="H2582" s="298"/>
      <c r="I2582" s="298"/>
      <c r="J2582" s="298"/>
      <c r="K2582" s="298"/>
      <c r="L2582" s="298"/>
      <c r="M2582" s="302"/>
      <c r="N2582" s="302"/>
      <c r="O2582" s="302"/>
      <c r="P2582" s="302"/>
      <c r="Q2582" s="729"/>
      <c r="R2582" s="694"/>
      <c r="S2582" s="694"/>
      <c r="T2582" s="694"/>
      <c r="U2582" s="694"/>
      <c r="V2582" s="694"/>
      <c r="W2582" s="694"/>
      <c r="X2582" s="694"/>
      <c r="Y2582" s="694"/>
      <c r="Z2582" s="694"/>
      <c r="AA2582" s="694"/>
      <c r="AB2582" s="694"/>
      <c r="AC2582" s="694"/>
      <c r="AD2582" s="694"/>
      <c r="AE2582" s="694"/>
      <c r="AF2582" s="694"/>
      <c r="AG2582" s="694"/>
      <c r="AH2582" s="694"/>
      <c r="AI2582" s="694"/>
      <c r="AJ2582" s="694"/>
      <c r="AK2582" s="694"/>
      <c r="AL2582" s="694"/>
    </row>
    <row r="2583" spans="1:38" ht="13" x14ac:dyDescent="0.25">
      <c r="A2583" s="694"/>
      <c r="B2583" s="298"/>
      <c r="C2583" s="298"/>
      <c r="D2583" s="300" t="s">
        <v>906</v>
      </c>
      <c r="E2583" s="2226" t="str">
        <f>Translations!$B$487</f>
        <v>Топлинна енергия, получена от инсталации или обекти извън СТЕ:</v>
      </c>
      <c r="F2583" s="2226"/>
      <c r="G2583" s="2226"/>
      <c r="H2583" s="2226"/>
      <c r="I2583" s="2317"/>
      <c r="J2583" s="2858" t="str">
        <f>IF(I2542="","",HYPERLINK(R2583,EUconst_MsgGoOnIfNotRelevant))</f>
        <v/>
      </c>
      <c r="K2583" s="2859"/>
      <c r="L2583" s="2859"/>
      <c r="M2583" s="2859"/>
      <c r="N2583" s="2860"/>
      <c r="O2583" s="302"/>
      <c r="P2583" s="302"/>
      <c r="Q2583" s="694" t="s">
        <v>450</v>
      </c>
      <c r="R2583" s="1026" t="str">
        <f>"#"&amp;ADDRESS(ROW(D2608),COLUMN(D2608))</f>
        <v>#$D$2608</v>
      </c>
      <c r="S2583" s="694"/>
      <c r="T2583" s="694"/>
      <c r="U2583" s="694"/>
      <c r="V2583" s="694"/>
      <c r="W2583" s="694"/>
      <c r="X2583" s="694"/>
      <c r="Y2583" s="694"/>
      <c r="Z2583" s="694"/>
      <c r="AA2583" s="694"/>
      <c r="AB2583" s="694"/>
      <c r="AC2583" s="694"/>
      <c r="AD2583" s="694"/>
      <c r="AE2583" s="694"/>
      <c r="AF2583" s="694"/>
      <c r="AG2583" s="694"/>
      <c r="AH2583" s="694"/>
      <c r="AI2583" s="694"/>
      <c r="AJ2583" s="694"/>
      <c r="AK2583" s="694"/>
      <c r="AL2583" s="694"/>
    </row>
    <row r="2584" spans="1:38" x14ac:dyDescent="0.25">
      <c r="A2584" s="694"/>
      <c r="B2584" s="298"/>
      <c r="C2584" s="298"/>
      <c r="D2584" s="302"/>
      <c r="E2584" s="2358" t="str">
        <f>Translations!$B$488</f>
        <v>Съгласно член 21 от ПБР определено количество емисии трябва да се приспадне от предварителното годишно разпределение за подинсталациите с продуктов показател.</v>
      </c>
      <c r="F2584" s="2249"/>
      <c r="G2584" s="2249"/>
      <c r="H2584" s="2249"/>
      <c r="I2584" s="2249"/>
      <c r="J2584" s="2249"/>
      <c r="K2584" s="2249"/>
      <c r="L2584" s="2249"/>
      <c r="M2584" s="2249"/>
      <c r="N2584" s="2249"/>
      <c r="O2584" s="302"/>
      <c r="P2584" s="302"/>
      <c r="Q2584" s="729"/>
      <c r="R2584" s="694"/>
      <c r="S2584" s="694"/>
      <c r="T2584" s="694"/>
      <c r="U2584" s="729"/>
      <c r="V2584" s="729"/>
      <c r="W2584" s="694"/>
      <c r="X2584" s="694"/>
      <c r="Y2584" s="694"/>
      <c r="Z2584" s="694"/>
      <c r="AA2584" s="694"/>
      <c r="AB2584" s="694"/>
      <c r="AC2584" s="694"/>
      <c r="AD2584" s="694"/>
      <c r="AE2584" s="694"/>
      <c r="AF2584" s="694"/>
      <c r="AG2584" s="694"/>
      <c r="AH2584" s="694"/>
      <c r="AI2584" s="694"/>
      <c r="AJ2584" s="694"/>
      <c r="AK2584" s="694"/>
      <c r="AL2584" s="694"/>
    </row>
    <row r="2585" spans="1:38" x14ac:dyDescent="0.25">
      <c r="A2585" s="694"/>
      <c r="B2585" s="298"/>
      <c r="C2585" s="298"/>
      <c r="D2585" s="302"/>
      <c r="E2585" s="2358" t="str">
        <f>Translations!$B$489</f>
        <v>Това количество е количеството измерима топлинна енергия, внесена от инсталации или обекти извън СТЕ (включително всяка топлинна енергия от подинсталации за производство на азотна киселина), умножено по топлинния показател.</v>
      </c>
      <c r="F2585" s="2249"/>
      <c r="G2585" s="2249"/>
      <c r="H2585" s="2249"/>
      <c r="I2585" s="2249"/>
      <c r="J2585" s="2249"/>
      <c r="K2585" s="2249"/>
      <c r="L2585" s="2249"/>
      <c r="M2585" s="2249"/>
      <c r="N2585" s="2249"/>
      <c r="O2585" s="302"/>
      <c r="P2585" s="302"/>
      <c r="Q2585" s="729"/>
      <c r="R2585" s="694"/>
      <c r="S2585" s="694"/>
      <c r="T2585" s="694"/>
      <c r="U2585" s="729"/>
      <c r="V2585" s="729"/>
      <c r="W2585" s="694"/>
      <c r="X2585" s="694"/>
      <c r="Y2585" s="694"/>
      <c r="Z2585" s="694"/>
      <c r="AA2585" s="694"/>
      <c r="AB2585" s="694"/>
      <c r="AC2585" s="694"/>
      <c r="AD2585" s="694"/>
      <c r="AE2585" s="694"/>
      <c r="AF2585" s="694"/>
      <c r="AG2585" s="694"/>
      <c r="AH2585" s="694"/>
      <c r="AI2585" s="694"/>
      <c r="AJ2585" s="694"/>
      <c r="AK2585" s="694"/>
      <c r="AL2585" s="694"/>
    </row>
    <row r="2586" spans="1:38" x14ac:dyDescent="0.25">
      <c r="A2586" s="694"/>
      <c r="B2586" s="298"/>
      <c r="C2586" s="298"/>
      <c r="D2586" s="302"/>
      <c r="E2586" s="2358" t="str">
        <f>Translations!$B$490</f>
        <v>Моля, въведете тук съответните стойности. Имайте предвид, че стойностите трябва да съответстват на сумите за енергията, получена от източници извън СТЕ, въведени в точка E.II.c в работен лист „E_Energy flows“ („E_Енергийни потоци“).</v>
      </c>
      <c r="F2586" s="2249"/>
      <c r="G2586" s="2249"/>
      <c r="H2586" s="2249"/>
      <c r="I2586" s="2249"/>
      <c r="J2586" s="2249"/>
      <c r="K2586" s="2249"/>
      <c r="L2586" s="2249"/>
      <c r="M2586" s="2249"/>
      <c r="N2586" s="2249"/>
      <c r="O2586" s="302"/>
      <c r="P2586" s="302"/>
      <c r="Q2586" s="729"/>
      <c r="R2586" s="694"/>
      <c r="S2586" s="694"/>
      <c r="T2586" s="694"/>
      <c r="U2586" s="729"/>
      <c r="V2586" s="729"/>
      <c r="W2586" s="694"/>
      <c r="X2586" s="694"/>
      <c r="Y2586" s="694"/>
      <c r="Z2586" s="694"/>
      <c r="AA2586" s="694"/>
      <c r="AB2586" s="694"/>
      <c r="AC2586" s="694"/>
      <c r="AD2586" s="694"/>
      <c r="AE2586" s="694"/>
      <c r="AF2586" s="694"/>
      <c r="AG2586" s="694"/>
      <c r="AH2586" s="694"/>
      <c r="AI2586" s="694"/>
      <c r="AJ2586" s="694"/>
      <c r="AK2586" s="694"/>
      <c r="AL2586" s="694"/>
    </row>
    <row r="2587" spans="1:38" x14ac:dyDescent="0.25">
      <c r="A2587" s="694"/>
      <c r="B2587" s="298"/>
      <c r="C2587" s="298"/>
      <c r="D2587" s="302"/>
      <c r="E2587" s="2358" t="str">
        <f>Translations!$B$491</f>
        <v>Освен това данните трябва да съответстват и на общото нетно количество получена измерима топлинна енергия, въведено в k). i по-долу.</v>
      </c>
      <c r="F2587" s="2249"/>
      <c r="G2587" s="2249"/>
      <c r="H2587" s="2249"/>
      <c r="I2587" s="2249"/>
      <c r="J2587" s="2249"/>
      <c r="K2587" s="2249"/>
      <c r="L2587" s="2249"/>
      <c r="M2587" s="2249"/>
      <c r="N2587" s="2249"/>
      <c r="O2587" s="302"/>
      <c r="P2587" s="302"/>
      <c r="Q2587" s="729"/>
      <c r="R2587" s="694"/>
      <c r="S2587" s="694"/>
      <c r="T2587" s="694"/>
      <c r="U2587" s="729"/>
      <c r="V2587" s="729"/>
      <c r="W2587" s="729"/>
      <c r="X2587" s="729"/>
      <c r="Y2587" s="729"/>
      <c r="Z2587" s="729"/>
      <c r="AA2587" s="694"/>
      <c r="AB2587" s="694"/>
      <c r="AC2587" s="694"/>
      <c r="AD2587" s="694"/>
      <c r="AE2587" s="694"/>
      <c r="AF2587" s="694"/>
      <c r="AG2587" s="694"/>
      <c r="AH2587" s="694"/>
      <c r="AI2587" s="694"/>
      <c r="AJ2587" s="694"/>
      <c r="AK2587" s="694"/>
      <c r="AL2587" s="694"/>
    </row>
    <row r="2588" spans="1:38" ht="13.5" thickBot="1" x14ac:dyDescent="0.3">
      <c r="A2588" s="694"/>
      <c r="B2588" s="698"/>
      <c r="C2588" s="698"/>
      <c r="D2588" s="300"/>
      <c r="E2588" s="1013" t="str">
        <f>Translations!$B$483</f>
        <v>Параметър</v>
      </c>
      <c r="F2588" s="1015"/>
      <c r="G2588" s="527" t="str">
        <f>EUconst_Unit</f>
        <v>Единица мярка</v>
      </c>
      <c r="H2588" s="391">
        <f>H$2831</f>
        <v>2024</v>
      </c>
      <c r="I2588" s="572">
        <f>I$2831</f>
        <v>2025</v>
      </c>
      <c r="J2588" s="757">
        <f>J$91</f>
        <v>2026</v>
      </c>
      <c r="K2588" s="391">
        <f>K$91</f>
        <v>2027</v>
      </c>
      <c r="L2588" s="391">
        <f>L$91</f>
        <v>2028</v>
      </c>
      <c r="M2588" s="391">
        <f>M$91</f>
        <v>2029</v>
      </c>
      <c r="N2588" s="391">
        <f>N$91</f>
        <v>2030</v>
      </c>
      <c r="O2588" s="302"/>
      <c r="P2588" s="302"/>
      <c r="Q2588" s="694"/>
      <c r="R2588" s="1031"/>
      <c r="S2588" s="1174" t="s">
        <v>1906</v>
      </c>
      <c r="T2588" s="1178">
        <f>H2588</f>
        <v>2024</v>
      </c>
      <c r="U2588" s="1178">
        <f t="shared" ref="U2588" si="3728">I2588</f>
        <v>2025</v>
      </c>
      <c r="V2588" s="1178">
        <f t="shared" ref="V2588" si="3729">J2588</f>
        <v>2026</v>
      </c>
      <c r="W2588" s="1178">
        <f t="shared" ref="W2588" si="3730">K2588</f>
        <v>2027</v>
      </c>
      <c r="X2588" s="1178">
        <f t="shared" ref="X2588" si="3731">L2588</f>
        <v>2028</v>
      </c>
      <c r="Y2588" s="1178">
        <f t="shared" ref="Y2588" si="3732">M2588</f>
        <v>2029</v>
      </c>
      <c r="Z2588" s="1178">
        <f t="shared" ref="Z2588" si="3733">N2588</f>
        <v>2030</v>
      </c>
      <c r="AA2588" s="1031"/>
      <c r="AB2588" s="694"/>
      <c r="AC2588" s="1178">
        <f t="shared" ref="AC2588" si="3734">H$20</f>
        <v>2024</v>
      </c>
      <c r="AD2588" s="1178">
        <f t="shared" ref="AD2588" si="3735">I$20</f>
        <v>2025</v>
      </c>
      <c r="AE2588" s="1178">
        <f t="shared" ref="AE2588" si="3736">J$20</f>
        <v>2026</v>
      </c>
      <c r="AF2588" s="1178">
        <f t="shared" ref="AF2588" si="3737">K$20</f>
        <v>2027</v>
      </c>
      <c r="AG2588" s="1178">
        <f t="shared" ref="AG2588" si="3738">L$20</f>
        <v>2028</v>
      </c>
      <c r="AH2588" s="1178">
        <f t="shared" ref="AH2588" si="3739">M$20</f>
        <v>2029</v>
      </c>
      <c r="AI2588" s="1178">
        <f t="shared" ref="AI2588" si="3740">N$20</f>
        <v>2030</v>
      </c>
      <c r="AJ2588" s="694"/>
      <c r="AK2588" s="694"/>
      <c r="AL2588" s="694"/>
    </row>
    <row r="2589" spans="1:38" ht="13" customHeight="1" thickBot="1" x14ac:dyDescent="0.3">
      <c r="A2589" s="694"/>
      <c r="B2589" s="698"/>
      <c r="C2589" s="698"/>
      <c r="D2589" s="1084" t="s">
        <v>6</v>
      </c>
      <c r="E2589" s="2667" t="str">
        <f>Translations!$B$492</f>
        <v>Измерима топлинна енергия, получена от източници извън СТЕ:</v>
      </c>
      <c r="F2589" s="2667"/>
      <c r="G2589" s="1016" t="str">
        <f>EUconst_TJpa</f>
        <v>TJ / година</v>
      </c>
      <c r="H2589" s="24"/>
      <c r="I2589" s="59"/>
      <c r="J2589" s="60"/>
      <c r="K2589" s="24"/>
      <c r="L2589" s="24"/>
      <c r="M2589" s="24"/>
      <c r="N2589" s="24"/>
      <c r="O2589" s="302"/>
      <c r="P2589" s="158"/>
      <c r="Q2589" s="982" t="str">
        <f>EUconst_CNTR_HAL&amp;EUconst_CNTR_nonETSMeasHeat</f>
        <v>HAL_измерима топлинна енергия извън СТЕ</v>
      </c>
      <c r="R2589" s="694"/>
      <c r="S2589" s="1174"/>
      <c r="T2589" s="1257" t="str">
        <f t="shared" ref="T2589" si="3741">IF(H2589="","",SUM(H2589)*EUconst_HeatBMvalue)</f>
        <v/>
      </c>
      <c r="U2589" s="1257" t="str">
        <f t="shared" ref="U2589" si="3742">IF(I2589="","",SUM(I2589)*EUconst_HeatBMvalue)</f>
        <v/>
      </c>
      <c r="V2589" s="1257" t="str">
        <f t="shared" ref="V2589" si="3743">IF(J2589="","",SUM(J2589)*EUconst_HeatBMvalue)</f>
        <v/>
      </c>
      <c r="W2589" s="1257" t="str">
        <f t="shared" ref="W2589" si="3744">IF(K2589="","",SUM(K2589)*EUconst_HeatBMvalue)</f>
        <v/>
      </c>
      <c r="X2589" s="1257" t="str">
        <f t="shared" ref="X2589" si="3745">IF(L2589="","",SUM(L2589)*EUconst_HeatBMvalue)</f>
        <v/>
      </c>
      <c r="Y2589" s="1257" t="str">
        <f t="shared" ref="Y2589" si="3746">IF(M2589="","",SUM(M2589)*EUconst_HeatBMvalue)</f>
        <v/>
      </c>
      <c r="Z2589" s="1257" t="str">
        <f t="shared" ref="Z2589" si="3747">IF(N2589="","",SUM(N2589)*EUconst_HeatBMvalue)</f>
        <v/>
      </c>
      <c r="AA2589" s="694"/>
      <c r="AB2589" s="1182" t="s">
        <v>737</v>
      </c>
      <c r="AC2589" s="1183" t="b">
        <f t="shared" ref="AC2589" si="3748">IF(CNTR_ExistSubInstEntries,OR($I2542="",H2549&gt;=CNTR_ReportingYear,AC2588&lt;$V2542-1),FALSE)</f>
        <v>0</v>
      </c>
      <c r="AD2589" s="1184" t="b">
        <f t="shared" ref="AD2589" si="3749">IF(CNTR_ExistSubInstEntries,OR($I2542="",I2549&gt;=CNTR_ReportingYear,AD2588&lt;$V2542-1),FALSE)</f>
        <v>0</v>
      </c>
      <c r="AE2589" s="1184" t="b">
        <f t="shared" ref="AE2589" si="3750">IF(CNTR_ExistSubInstEntries,OR($I2542="",J2549&gt;=CNTR_ReportingYear,AE2588&lt;$V2542-1),FALSE)</f>
        <v>0</v>
      </c>
      <c r="AF2589" s="1184" t="b">
        <f t="shared" ref="AF2589" si="3751">IF(CNTR_ExistSubInstEntries,OR($I2542="",K2549&gt;=CNTR_ReportingYear,AF2588&lt;$V2542-1),FALSE)</f>
        <v>0</v>
      </c>
      <c r="AG2589" s="1184" t="b">
        <f t="shared" ref="AG2589" si="3752">IF(CNTR_ExistSubInstEntries,OR($I2542="",L2549&gt;=CNTR_ReportingYear,AG2588&lt;$V2542-1),FALSE)</f>
        <v>0</v>
      </c>
      <c r="AH2589" s="1184" t="b">
        <f t="shared" ref="AH2589" si="3753">IF(CNTR_ExistSubInstEntries,OR($I2542="",M2549&gt;=CNTR_ReportingYear,AH2588&lt;$V2542-1),FALSE)</f>
        <v>0</v>
      </c>
      <c r="AI2589" s="1185" t="b">
        <f t="shared" ref="AI2589" si="3754">IF(CNTR_ExistSubInstEntries,OR($I2542="",N2549&gt;=CNTR_ReportingYear,AI2588&lt;$V2542-1),FALSE)</f>
        <v>0</v>
      </c>
      <c r="AJ2589" s="1174" t="s">
        <v>2039</v>
      </c>
      <c r="AK2589" s="1176" t="str">
        <f>IF(AND(CNTR_ExistSubInstEntries,COUNTIFS(AC2589:AI2589,FALSE,H2589:N2589,"")&gt;0),EUconst_Error&amp;"BM"&amp;$Q2542,"")</f>
        <v/>
      </c>
      <c r="AL2589" s="694"/>
    </row>
    <row r="2590" spans="1:38" ht="25.5" customHeight="1" x14ac:dyDescent="0.25">
      <c r="A2590" s="694"/>
      <c r="B2590" s="698"/>
      <c r="C2590" s="698"/>
      <c r="D2590" s="1084" t="s">
        <v>7</v>
      </c>
      <c r="E2590" s="1258" t="str">
        <f>Translations!$B$493</f>
        <v>Проверка на съответствието с работен лист „E_Energy flows“ („E_Енергийни потоци“):</v>
      </c>
      <c r="F2590" s="1258"/>
      <c r="G2590" s="1259" t="s">
        <v>1053</v>
      </c>
      <c r="H2590" s="16" t="str">
        <f>IF(AND(ISNUMBER(H2589),ISNUMBER(E_EnergyFlows!H$141)), H2589/E_EnergyFlows!H$141*100,"")</f>
        <v/>
      </c>
      <c r="I2590" s="105" t="str">
        <f>IF(AND(ISNUMBER(I2589),ISNUMBER(E_EnergyFlows!I$141)), I2589/E_EnergyFlows!I$141*100,"")</f>
        <v/>
      </c>
      <c r="J2590" s="107" t="str">
        <f>IF(AND(ISNUMBER(J2589),ISNUMBER(E_EnergyFlows!J$141)), J2589/E_EnergyFlows!J$141*100,"")</f>
        <v/>
      </c>
      <c r="K2590" s="16" t="str">
        <f>IF(AND(ISNUMBER(K2589),ISNUMBER(E_EnergyFlows!K$141)), K2589/E_EnergyFlows!K$141*100,"")</f>
        <v/>
      </c>
      <c r="L2590" s="16" t="str">
        <f>IF(AND(ISNUMBER(L2589),ISNUMBER(E_EnergyFlows!L$141)), L2589/E_EnergyFlows!L$141*100,"")</f>
        <v/>
      </c>
      <c r="M2590" s="16" t="str">
        <f>IF(AND(ISNUMBER(M2589),ISNUMBER(E_EnergyFlows!M$141)), M2589/E_EnergyFlows!M$141*100,"")</f>
        <v/>
      </c>
      <c r="N2590" s="16" t="str">
        <f>IF(AND(ISNUMBER(N2589),ISNUMBER(E_EnergyFlows!N$141)), N2589/E_EnergyFlows!N$141*100,"")</f>
        <v/>
      </c>
      <c r="O2590" s="302"/>
      <c r="P2590" s="302"/>
      <c r="Q2590" s="1033" t="str">
        <f>EUconst_CNTR_HEAT &amp; I2542</f>
        <v>HEAT_</v>
      </c>
      <c r="R2590" s="729"/>
      <c r="S2590" s="694"/>
      <c r="T2590" s="694"/>
      <c r="U2590" s="729"/>
      <c r="V2590" s="729"/>
      <c r="W2590" s="694"/>
      <c r="X2590" s="694"/>
      <c r="Y2590" s="694"/>
      <c r="Z2590" s="694"/>
      <c r="AA2590" s="694"/>
      <c r="AB2590" s="694"/>
      <c r="AC2590" s="694"/>
      <c r="AD2590" s="694"/>
      <c r="AE2590" s="694"/>
      <c r="AF2590" s="694"/>
      <c r="AG2590" s="694"/>
      <c r="AH2590" s="694"/>
      <c r="AI2590" s="694"/>
      <c r="AJ2590" s="694"/>
      <c r="AK2590" s="694"/>
      <c r="AL2590" s="694"/>
    </row>
    <row r="2591" spans="1:38" ht="12.65" customHeight="1" x14ac:dyDescent="0.25">
      <c r="A2591" s="694"/>
      <c r="B2591" s="698"/>
      <c r="C2591" s="698"/>
      <c r="D2591" s="1084" t="s">
        <v>8</v>
      </c>
      <c r="E2591" s="1260" t="str">
        <f>Translations!$B$494</f>
        <v>Проверка на съответствието с k).i):</v>
      </c>
      <c r="F2591" s="1261"/>
      <c r="G2591" s="1262" t="s">
        <v>1053</v>
      </c>
      <c r="H2591" s="15" t="str">
        <f t="shared" ref="H2591:N2591" si="3755">IF(AND(H2714&gt;0,ISNUMBER(H2589)), H2589/H2714*100,"")</f>
        <v/>
      </c>
      <c r="I2591" s="106" t="str">
        <f t="shared" si="3755"/>
        <v/>
      </c>
      <c r="J2591" s="108" t="str">
        <f t="shared" si="3755"/>
        <v/>
      </c>
      <c r="K2591" s="15" t="str">
        <f t="shared" si="3755"/>
        <v/>
      </c>
      <c r="L2591" s="15" t="str">
        <f t="shared" si="3755"/>
        <v/>
      </c>
      <c r="M2591" s="15" t="str">
        <f t="shared" si="3755"/>
        <v/>
      </c>
      <c r="N2591" s="15" t="str">
        <f t="shared" si="3755"/>
        <v/>
      </c>
      <c r="O2591" s="302"/>
      <c r="P2591" s="302"/>
      <c r="Q2591" s="694"/>
      <c r="R2591" s="694"/>
      <c r="S2591" s="694"/>
      <c r="T2591" s="694"/>
      <c r="U2591" s="729"/>
      <c r="V2591" s="729"/>
      <c r="W2591" s="694"/>
      <c r="X2591" s="694"/>
      <c r="Y2591" s="694"/>
      <c r="Z2591" s="694"/>
      <c r="AA2591" s="694"/>
      <c r="AB2591" s="694"/>
      <c r="AC2591" s="694"/>
      <c r="AD2591" s="694"/>
      <c r="AE2591" s="694"/>
      <c r="AF2591" s="694"/>
      <c r="AG2591" s="694"/>
      <c r="AH2591" s="694"/>
      <c r="AI2591" s="694"/>
      <c r="AJ2591" s="694"/>
      <c r="AK2591" s="694"/>
      <c r="AL2591" s="694"/>
    </row>
    <row r="2592" spans="1:38" ht="5.15" customHeight="1" x14ac:dyDescent="0.25">
      <c r="A2592" s="694"/>
      <c r="B2592" s="698"/>
      <c r="C2592" s="698"/>
      <c r="D2592" s="698"/>
      <c r="E2592" s="698"/>
      <c r="F2592" s="698"/>
      <c r="G2592" s="698"/>
      <c r="H2592" s="698"/>
      <c r="I2592" s="1025"/>
      <c r="J2592" s="698"/>
      <c r="K2592" s="698"/>
      <c r="L2592" s="698"/>
      <c r="M2592" s="698"/>
      <c r="N2592" s="698"/>
      <c r="O2592" s="302"/>
      <c r="P2592" s="302"/>
      <c r="Q2592" s="1263"/>
      <c r="R2592" s="694"/>
      <c r="S2592" s="694"/>
      <c r="T2592" s="694"/>
      <c r="U2592" s="729"/>
      <c r="V2592" s="729"/>
      <c r="W2592" s="694"/>
      <c r="X2592" s="694"/>
      <c r="Y2592" s="694"/>
      <c r="Z2592" s="694"/>
      <c r="AA2592" s="694"/>
      <c r="AB2592" s="694"/>
      <c r="AC2592" s="694"/>
      <c r="AD2592" s="694"/>
      <c r="AE2592" s="694"/>
      <c r="AF2592" s="694"/>
      <c r="AG2592" s="694"/>
      <c r="AH2592" s="694"/>
      <c r="AI2592" s="694"/>
      <c r="AJ2592" s="694"/>
      <c r="AK2592" s="694"/>
      <c r="AL2592" s="694"/>
    </row>
    <row r="2593" spans="1:38" ht="25.5" customHeight="1" thickBot="1" x14ac:dyDescent="0.3">
      <c r="A2593" s="694"/>
      <c r="B2593" s="298"/>
      <c r="C2593" s="298"/>
      <c r="D2593" s="302"/>
      <c r="E2593" s="2358" t="str">
        <f>Translations!$B$1326</f>
        <v>На базата на данните по-горе тук се определят средните годишни стойности на стойностите от i. Разпределението ще бъде променено само ако са надвишени относителният праг (15 % в сравнение със стойността в НМИ) и абсолютният праг (промяната води до корекция с повече от 100 квоти), определени в член 6, параграф 4 от Регламента за ALC.</v>
      </c>
      <c r="F2593" s="2249"/>
      <c r="G2593" s="2249"/>
      <c r="H2593" s="2249"/>
      <c r="I2593" s="2249"/>
      <c r="J2593" s="2249"/>
      <c r="K2593" s="2249"/>
      <c r="L2593" s="2249"/>
      <c r="M2593" s="2249"/>
      <c r="N2593" s="2249"/>
      <c r="O2593" s="302"/>
      <c r="P2593" s="302"/>
      <c r="Q2593" s="729"/>
      <c r="R2593" s="694"/>
      <c r="S2593" s="729"/>
      <c r="T2593" s="729"/>
      <c r="U2593" s="729"/>
      <c r="V2593" s="694"/>
      <c r="W2593" s="694"/>
      <c r="X2593" s="694"/>
      <c r="Y2593" s="694"/>
      <c r="Z2593" s="694"/>
      <c r="AA2593" s="694"/>
      <c r="AB2593" s="694"/>
      <c r="AC2593" s="694"/>
      <c r="AD2593" s="694"/>
      <c r="AE2593" s="694"/>
      <c r="AF2593" s="694"/>
      <c r="AG2593" s="694"/>
      <c r="AH2593" s="694"/>
      <c r="AI2593" s="694"/>
      <c r="AJ2593" s="694"/>
      <c r="AK2593" s="694"/>
      <c r="AL2593" s="694"/>
    </row>
    <row r="2594" spans="1:38" ht="5.15" customHeight="1" thickBot="1" x14ac:dyDescent="0.3">
      <c r="A2594" s="694"/>
      <c r="B2594" s="298"/>
      <c r="C2594" s="298"/>
      <c r="D2594" s="1192"/>
      <c r="E2594" s="1194"/>
      <c r="F2594" s="1264"/>
      <c r="G2594" s="1264"/>
      <c r="H2594" s="1264"/>
      <c r="I2594" s="1264"/>
      <c r="J2594" s="1264"/>
      <c r="K2594" s="1264"/>
      <c r="L2594" s="1264"/>
      <c r="M2594" s="1264"/>
      <c r="N2594" s="1265"/>
      <c r="O2594" s="302"/>
      <c r="P2594" s="302"/>
      <c r="Q2594" s="729"/>
      <c r="R2594" s="694"/>
      <c r="S2594" s="729"/>
      <c r="T2594" s="729"/>
      <c r="U2594" s="729"/>
      <c r="V2594" s="694"/>
      <c r="W2594" s="694"/>
      <c r="X2594" s="694"/>
      <c r="Y2594" s="694"/>
      <c r="Z2594" s="694"/>
      <c r="AA2594" s="694"/>
      <c r="AB2594" s="694"/>
      <c r="AC2594" s="694"/>
      <c r="AD2594" s="694"/>
      <c r="AE2594" s="694"/>
      <c r="AF2594" s="694"/>
      <c r="AG2594" s="694"/>
      <c r="AH2594" s="694"/>
      <c r="AI2594" s="694"/>
      <c r="AJ2594" s="694"/>
      <c r="AK2594" s="694"/>
      <c r="AL2594" s="694"/>
    </row>
    <row r="2595" spans="1:38" ht="12.75" customHeight="1" x14ac:dyDescent="0.25">
      <c r="A2595" s="694"/>
      <c r="B2595" s="298"/>
      <c r="C2595" s="298"/>
      <c r="D2595" s="1197" t="s">
        <v>2003</v>
      </c>
      <c r="E2595" s="1198" t="str">
        <f>Translations!$B$1329</f>
        <v>Корекции: Топлинна енергия извън СТЕ</v>
      </c>
      <c r="F2595" s="1199"/>
      <c r="G2595" s="1199"/>
      <c r="H2595" s="1200" t="str">
        <f>EUconst_Unit</f>
        <v>Единица мярка</v>
      </c>
      <c r="I2595" s="1201" t="str">
        <f>Translations!$B$1327</f>
        <v>(НМИ) стойност</v>
      </c>
      <c r="J2595" s="1202">
        <f>J$2831</f>
        <v>2026</v>
      </c>
      <c r="K2595" s="1203">
        <f>K$2831</f>
        <v>2027</v>
      </c>
      <c r="L2595" s="1203">
        <f>L$2831</f>
        <v>2028</v>
      </c>
      <c r="M2595" s="1203">
        <f>M$2831</f>
        <v>2029</v>
      </c>
      <c r="N2595" s="1204">
        <f>N$2831</f>
        <v>2030</v>
      </c>
      <c r="O2595" s="302"/>
      <c r="P2595" s="302"/>
      <c r="Q2595" s="729"/>
      <c r="R2595" s="694"/>
      <c r="S2595" s="694"/>
      <c r="T2595" s="694"/>
      <c r="U2595" s="1205"/>
      <c r="V2595" s="1206">
        <f>J2595</f>
        <v>2026</v>
      </c>
      <c r="W2595" s="1206">
        <f>K2595</f>
        <v>2027</v>
      </c>
      <c r="X2595" s="1206">
        <f>L2595</f>
        <v>2028</v>
      </c>
      <c r="Y2595" s="1206">
        <f>M2595</f>
        <v>2029</v>
      </c>
      <c r="Z2595" s="1207">
        <f>N2595</f>
        <v>2030</v>
      </c>
      <c r="AA2595" s="694"/>
      <c r="AB2595" s="694"/>
      <c r="AC2595" s="694"/>
      <c r="AD2595" s="694"/>
      <c r="AE2595" s="694"/>
      <c r="AF2595" s="694"/>
      <c r="AG2595" s="694"/>
      <c r="AH2595" s="694"/>
      <c r="AI2595" s="694"/>
      <c r="AJ2595" s="694"/>
      <c r="AK2595" s="694"/>
      <c r="AL2595" s="694"/>
    </row>
    <row r="2596" spans="1:38" ht="12.75" customHeight="1" x14ac:dyDescent="0.25">
      <c r="A2596" s="694"/>
      <c r="B2596" s="298"/>
      <c r="C2596" s="298"/>
      <c r="D2596" s="1208" t="s">
        <v>6</v>
      </c>
      <c r="E2596" s="1209" t="str">
        <f>Translations!$B$1328</f>
        <v>Средна годишна стойност</v>
      </c>
      <c r="F2596" s="1209"/>
      <c r="G2596" s="1209"/>
      <c r="H2596" s="1266" t="str">
        <f>EUconst_tCO2</f>
        <v>t CO2</v>
      </c>
      <c r="I2596" s="1211" t="str">
        <f>INDEX('B+C_SubInstallations'!$J:$J,MATCH(Q2596,'B+C_SubInstallations'!$U:$U,0))</f>
        <v/>
      </c>
      <c r="J2596" s="1267" t="str">
        <f>IF(AND(V2596&gt;=3,CNTR_ReportingYear&gt;J2595-1),AVERAGE(SUM(T2589),SUM(U2589)),"")</f>
        <v/>
      </c>
      <c r="K2596" s="1268" t="str">
        <f>IF(AND(W2596&gt;=3,CNTR_ReportingYear&gt;K2595-1),AVERAGE(SUM(U2589),SUM(V2589)),"")</f>
        <v/>
      </c>
      <c r="L2596" s="1268" t="str">
        <f>IF(AND(X2596&gt;=3,CNTR_ReportingYear&gt;L2595-1),AVERAGE(SUM(V2589),SUM(W2589)),"")</f>
        <v/>
      </c>
      <c r="M2596" s="1268" t="str">
        <f>IF(AND(Y2596&gt;=3,CNTR_ReportingYear&gt;M2595-1),AVERAGE(SUM(W2589),SUM(X2589)),"")</f>
        <v/>
      </c>
      <c r="N2596" s="1269" t="str">
        <f>IF(AND(Z2596&gt;=3,CNTR_ReportingYear&gt;N2595-1),AVERAGE(SUM(X2589),SUM(Y2589)),"")</f>
        <v/>
      </c>
      <c r="O2596" s="302"/>
      <c r="P2596" s="302"/>
      <c r="Q2596" s="1270" t="str">
        <f>EUconst_CNTR_HEATInitial &amp; I2542</f>
        <v>HEATIni_</v>
      </c>
      <c r="R2596" s="694"/>
      <c r="S2596" s="694"/>
      <c r="T2596" s="694"/>
      <c r="U2596" s="1231" t="s">
        <v>1710</v>
      </c>
      <c r="V2596" s="1176">
        <f>V2564</f>
        <v>0</v>
      </c>
      <c r="W2596" s="1176">
        <f>W2564</f>
        <v>0</v>
      </c>
      <c r="X2596" s="1176">
        <f>X2564</f>
        <v>0</v>
      </c>
      <c r="Y2596" s="1176">
        <f>Y2564</f>
        <v>0</v>
      </c>
      <c r="Z2596" s="1216">
        <f>Z2564</f>
        <v>0</v>
      </c>
      <c r="AA2596" s="694"/>
      <c r="AB2596" s="694"/>
      <c r="AC2596" s="694"/>
      <c r="AD2596" s="694"/>
      <c r="AE2596" s="694"/>
      <c r="AF2596" s="694"/>
      <c r="AG2596" s="694"/>
      <c r="AH2596" s="694"/>
      <c r="AI2596" s="694"/>
      <c r="AJ2596" s="694"/>
      <c r="AK2596" s="694"/>
      <c r="AL2596" s="694"/>
    </row>
    <row r="2597" spans="1:38" ht="12.75" hidden="1" customHeight="1" x14ac:dyDescent="0.25">
      <c r="A2597" s="729" t="s">
        <v>312</v>
      </c>
      <c r="B2597" s="298"/>
      <c r="C2597" s="298"/>
      <c r="D2597" s="1208"/>
      <c r="E2597" s="1209" t="str">
        <f>Translations!$B$1378</f>
        <v>Промяна в сравнение със стойността в НМИ</v>
      </c>
      <c r="F2597" s="1209"/>
      <c r="G2597" s="1209"/>
      <c r="H2597" s="1222"/>
      <c r="I2597" s="1223"/>
      <c r="J2597" s="104" t="str">
        <f>IF(J2596="","",IF($I2599=0,IF(J2596=0,0%,100%),J2596/$I2599-1))</f>
        <v/>
      </c>
      <c r="K2597" s="99" t="str">
        <f>IF(K2596="","",IF($I2599=0,IF(K2596=0,0%,100%),K2596/$I2599-1))</f>
        <v/>
      </c>
      <c r="L2597" s="99" t="str">
        <f>IF(L2596="","",IF($I2599=0,IF(L2596=0,0%,100%),L2596/$I2599-1))</f>
        <v/>
      </c>
      <c r="M2597" s="99" t="str">
        <f>IF(M2596="","",IF($I2599=0,IF(M2596=0,0%,100%),M2596/$I2599-1))</f>
        <v/>
      </c>
      <c r="N2597" s="123" t="str">
        <f>IF(N2596="","",IF($I2599=0,IF(N2596=0,0%,100%),N2596/$I2599-1))</f>
        <v/>
      </c>
      <c r="O2597" s="302"/>
      <c r="P2597" s="302"/>
      <c r="Q2597" s="1190" t="str">
        <f>EUconst_CNTR_RelThreshold &amp; Q2599</f>
        <v>RelThresh_HEATprelim_</v>
      </c>
      <c r="R2597" s="694"/>
      <c r="S2597" s="694"/>
      <c r="T2597" s="694"/>
      <c r="U2597" s="1231" t="s">
        <v>1715</v>
      </c>
      <c r="V2597" s="727" t="str">
        <f>IF(J2596="","",ABS(J2597)&gt;15%)</f>
        <v/>
      </c>
      <c r="W2597" s="727" t="str">
        <f>IF(K2596="","",ABS(K2597)&gt;15%)</f>
        <v/>
      </c>
      <c r="X2597" s="727" t="str">
        <f>IF(L2596="","",ABS(L2597)&gt;15%)</f>
        <v/>
      </c>
      <c r="Y2597" s="727" t="str">
        <f>IF(M2596="","",ABS(M2597)&gt;15%)</f>
        <v/>
      </c>
      <c r="Z2597" s="1221" t="str">
        <f>IF(N2596="","",ABS(N2597)&gt;15%)</f>
        <v/>
      </c>
      <c r="AA2597" s="694"/>
      <c r="AB2597" s="694"/>
      <c r="AC2597" s="694"/>
      <c r="AD2597" s="694"/>
      <c r="AE2597" s="694"/>
      <c r="AF2597" s="694"/>
      <c r="AG2597" s="694"/>
      <c r="AH2597" s="694"/>
      <c r="AI2597" s="694"/>
      <c r="AJ2597" s="694"/>
      <c r="AK2597" s="694"/>
      <c r="AL2597" s="694"/>
    </row>
    <row r="2598" spans="1:38" ht="12.75" customHeight="1" x14ac:dyDescent="0.25">
      <c r="A2598" s="729"/>
      <c r="B2598" s="298"/>
      <c r="C2598" s="298"/>
      <c r="D2598" s="1208" t="s">
        <v>7</v>
      </c>
      <c r="E2598" s="1209" t="str">
        <f>Translations!$B$1322</f>
        <v>Предварителна корекция (ако са надвишени относителните прагове)</v>
      </c>
      <c r="F2598" s="1209"/>
      <c r="G2598" s="1209"/>
      <c r="H2598" s="1222"/>
      <c r="I2598" s="1223"/>
      <c r="J2598" s="1224" t="str">
        <f>IF(J2596="","",IF(V2597=FALSE,0%,IF(V2598,J2597,I2604)))</f>
        <v/>
      </c>
      <c r="K2598" s="1225" t="str">
        <f>IF(K2596="","",IF(W2597=FALSE,0%,IF(W2598,K2597,J2604)))</f>
        <v/>
      </c>
      <c r="L2598" s="1225" t="str">
        <f>IF(L2596="","",IF(X2597=FALSE,0%,IF(X2598,L2597,K2604)))</f>
        <v/>
      </c>
      <c r="M2598" s="1225" t="str">
        <f>IF(M2596="","",IF(Y2597=FALSE,0%,IF(Y2598,M2597,L2604)))</f>
        <v/>
      </c>
      <c r="N2598" s="1226" t="str">
        <f>IF(N2596="","",IF(Z2597=FALSE,0%,IF(Z2598,N2597,M2604)))</f>
        <v/>
      </c>
      <c r="O2598" s="302"/>
      <c r="P2598" s="302"/>
      <c r="Q2598" s="729"/>
      <c r="R2598" s="694"/>
      <c r="S2598" s="694"/>
      <c r="T2598" s="694"/>
      <c r="U2598" s="1215" t="s">
        <v>1716</v>
      </c>
      <c r="V2598" s="727" t="str">
        <f>IF(J2596="","",AND(V2597,IF(SUM(I2604)&lt;0,OR(SUM(J2597)&lt;SUM(I2604)-MOD(SUM(I2604),5%),J2597&gt;=SUM(I2604)+5%-MOD(SUM(I2604),5%)),OR(SUM(J2597)&lt;=SUM(I2604)-MOD(SUM(I2604),5%),SUM(J2597)&gt;SUM(I2604)+5%-MOD(SUM(I2604),5%)))))</f>
        <v/>
      </c>
      <c r="W2598" s="727" t="str">
        <f>IF(K2596="","",AND(W2597,IF(SUM(J2604)&lt;0,OR(SUM(K2597)&lt;SUM(J2604)-MOD(SUM(J2604),5%),K2597&gt;=SUM(J2604)+5%-MOD(SUM(J2604),5%)),OR(SUM(K2597)&lt;=SUM(J2604)-MOD(SUM(J2604),5%),SUM(K2597)&gt;SUM(J2604)+5%-MOD(SUM(J2604),5%)))))</f>
        <v/>
      </c>
      <c r="X2598" s="727" t="str">
        <f>IF(L2596="","",AND(X2597,IF(SUM(K2604)&lt;0,OR(SUM(L2597)&lt;SUM(K2604)-MOD(SUM(K2604),5%),L2597&gt;=SUM(K2604)+5%-MOD(SUM(K2604),5%)),OR(SUM(L2597)&lt;=SUM(K2604)-MOD(SUM(K2604),5%),SUM(L2597)&gt;SUM(K2604)+5%-MOD(SUM(K2604),5%)))))</f>
        <v/>
      </c>
      <c r="Y2598" s="727" t="str">
        <f>IF(M2596="","",AND(Y2597,IF(SUM(L2604)&lt;0,OR(SUM(M2597)&lt;SUM(L2604)-MOD(SUM(L2604),5%),M2597&gt;=SUM(L2604)+5%-MOD(SUM(L2604),5%)),OR(SUM(M2597)&lt;=SUM(L2604)-MOD(SUM(L2604),5%),SUM(M2597)&gt;SUM(L2604)+5%-MOD(SUM(L2604),5%)))))</f>
        <v/>
      </c>
      <c r="Z2598" s="1221" t="str">
        <f>IF(N2596="","",AND(Z2597,IF(SUM(M2604)&lt;0,OR(SUM(N2597)&lt;SUM(M2604)-MOD(SUM(M2604),5%),N2597&gt;=SUM(M2604)+5%-MOD(SUM(M2604),5%)),OR(SUM(N2597)&lt;=SUM(M2604)-MOD(SUM(M2604),5%),SUM(N2597)&gt;SUM(M2604)+5%-MOD(SUM(M2604),5%)))))</f>
        <v/>
      </c>
      <c r="AA2598" s="694"/>
      <c r="AB2598" s="694"/>
      <c r="AC2598" s="694"/>
      <c r="AD2598" s="694"/>
      <c r="AE2598" s="694"/>
      <c r="AF2598" s="694"/>
      <c r="AG2598" s="694"/>
      <c r="AH2598" s="694"/>
      <c r="AI2598" s="694"/>
      <c r="AJ2598" s="694"/>
      <c r="AK2598" s="694"/>
      <c r="AL2598" s="729"/>
    </row>
    <row r="2599" spans="1:38" ht="12.75" hidden="1" customHeight="1" x14ac:dyDescent="0.25">
      <c r="A2599" s="729" t="s">
        <v>312</v>
      </c>
      <c r="B2599" s="298"/>
      <c r="C2599" s="298"/>
      <c r="D2599" s="1208"/>
      <c r="E2599" s="1209" t="str">
        <f>Translations!$B$1377</f>
        <v>Предварителна стойност</v>
      </c>
      <c r="F2599" s="1209"/>
      <c r="G2599" s="1209"/>
      <c r="H2599" s="1266" t="str">
        <f>H2596</f>
        <v>t CO2</v>
      </c>
      <c r="I2599" s="1211" t="str">
        <f>IF($I2542="","",IF(AB2542=FALSE,EUconst_NA,IF(V2542&gt;($J$2831-3),SUM(INDEX(H2589:N2589,MATCH(V2542,H2588:N2588,0))*EUconst_HeatBMvalue),SUM(I2596))))</f>
        <v/>
      </c>
      <c r="J2599" s="1212" t="str">
        <f>IF($I2542="","",IF(V2596&lt;2,SUM(V2589),IF(V2596&lt;3,SUM(U2589),IF(V2599="",I2599,V2599))))</f>
        <v/>
      </c>
      <c r="K2599" s="1213" t="str">
        <f>IF($I2542="","",IF(W2596&lt;2,SUM(W2589),IF(W2596&lt;3,SUM(V2589),IF(W2599="",J2599,W2599))))</f>
        <v/>
      </c>
      <c r="L2599" s="1213" t="str">
        <f>IF($I2542="","",IF(X2596&lt;2,SUM(X2589),IF(X2596&lt;3,SUM(W2589),IF(X2599="",K2599,X2599))))</f>
        <v/>
      </c>
      <c r="M2599" s="1213" t="str">
        <f>IF($I2542="","",IF(Y2596&lt;2,SUM(Y2589),IF(Y2596&lt;3,SUM(X2589),IF(Y2599="",L2599,Y2599))))</f>
        <v/>
      </c>
      <c r="N2599" s="1214" t="str">
        <f>IF($I2542="","",IF(Z2596&lt;2,SUM(Z2589),IF(Z2596&lt;3,SUM(Y2589),IF(Z2599="",M2599,Z2599))))</f>
        <v/>
      </c>
      <c r="O2599" s="302"/>
      <c r="P2599" s="302"/>
      <c r="Q2599" s="1190" t="str">
        <f>EUconst_CNTR_HEATprelim &amp; I2542</f>
        <v>HEATprelim_</v>
      </c>
      <c r="R2599" s="694"/>
      <c r="S2599" s="694"/>
      <c r="T2599" s="694"/>
      <c r="U2599" s="1231" t="s">
        <v>1756</v>
      </c>
      <c r="V2599" s="1271" t="str">
        <f>IF(J2596="","",IF(CNTR_ReportingYear&lt;J2595,I2598,IF($I2599=0,J2596,$I2599*(1+J2598))))</f>
        <v/>
      </c>
      <c r="W2599" s="1271" t="str">
        <f>IF(K2596="","",IF(CNTR_ReportingYear&lt;K2595,J2598,IF($I2599=0,K2596,$I2599*(1+K2598))))</f>
        <v/>
      </c>
      <c r="X2599" s="1271" t="str">
        <f>IF(L2596="","",IF(CNTR_ReportingYear&lt;L2595,K2598,IF($I2599=0,L2596,$I2599*(1+L2598))))</f>
        <v/>
      </c>
      <c r="Y2599" s="1271" t="str">
        <f>IF(M2596="","",IF(CNTR_ReportingYear&lt;M2595,L2598,IF($I2599=0,M2596,$I2599*(1+M2598))))</f>
        <v/>
      </c>
      <c r="Z2599" s="1272" t="str">
        <f>IF(N2596="","",IF(CNTR_ReportingYear&lt;N2595,M2598,IF($I2599=0,N2596,$I2599*(1+N2598))))</f>
        <v/>
      </c>
      <c r="AA2599" s="694"/>
      <c r="AB2599" s="694"/>
      <c r="AC2599" s="694"/>
      <c r="AD2599" s="694"/>
      <c r="AE2599" s="694"/>
      <c r="AF2599" s="694"/>
      <c r="AG2599" s="694"/>
      <c r="AH2599" s="694"/>
      <c r="AI2599" s="694"/>
      <c r="AJ2599" s="694"/>
      <c r="AK2599" s="694"/>
      <c r="AL2599" s="729"/>
    </row>
    <row r="2600" spans="1:38" ht="5.15" customHeight="1" x14ac:dyDescent="0.25">
      <c r="A2600" s="729"/>
      <c r="B2600" s="298"/>
      <c r="C2600" s="298"/>
      <c r="D2600" s="1208"/>
      <c r="E2600" s="1199"/>
      <c r="F2600" s="1199"/>
      <c r="G2600" s="1199"/>
      <c r="H2600" s="1199"/>
      <c r="I2600" s="1199"/>
      <c r="J2600" s="1229"/>
      <c r="K2600" s="1229"/>
      <c r="L2600" s="1229"/>
      <c r="M2600" s="1229"/>
      <c r="N2600" s="1230"/>
      <c r="O2600" s="302"/>
      <c r="P2600" s="302"/>
      <c r="Q2600" s="729"/>
      <c r="R2600" s="694"/>
      <c r="S2600" s="694"/>
      <c r="T2600" s="694"/>
      <c r="U2600" s="1231"/>
      <c r="V2600" s="729"/>
      <c r="W2600" s="694"/>
      <c r="X2600" s="694"/>
      <c r="Y2600" s="694"/>
      <c r="Z2600" s="1232"/>
      <c r="AA2600" s="694"/>
      <c r="AB2600" s="694"/>
      <c r="AC2600" s="694"/>
      <c r="AD2600" s="694"/>
      <c r="AE2600" s="694"/>
      <c r="AF2600" s="694"/>
      <c r="AG2600" s="694"/>
      <c r="AH2600" s="694"/>
      <c r="AI2600" s="694"/>
      <c r="AJ2600" s="694"/>
      <c r="AK2600" s="694"/>
      <c r="AL2600" s="729"/>
    </row>
    <row r="2601" spans="1:38" ht="12.75" customHeight="1" x14ac:dyDescent="0.25">
      <c r="A2601" s="729"/>
      <c r="B2601" s="298"/>
      <c r="C2601" s="298"/>
      <c r="D2601" s="1208"/>
      <c r="E2601" s="1233" t="str">
        <f>Translations!$B$1323</f>
        <v>Действителна корекция (база за следващи години)</v>
      </c>
      <c r="F2601" s="1233"/>
      <c r="G2601" s="1233"/>
      <c r="H2601" s="1233"/>
      <c r="I2601" s="1233"/>
      <c r="J2601" s="1202">
        <f>J$2831</f>
        <v>2026</v>
      </c>
      <c r="K2601" s="1203">
        <f>K$2831</f>
        <v>2027</v>
      </c>
      <c r="L2601" s="1203">
        <f>L$2831</f>
        <v>2028</v>
      </c>
      <c r="M2601" s="1203">
        <f>M$2831</f>
        <v>2029</v>
      </c>
      <c r="N2601" s="1204">
        <f>N$2831</f>
        <v>2030</v>
      </c>
      <c r="O2601" s="302"/>
      <c r="P2601" s="302"/>
      <c r="Q2601" s="729"/>
      <c r="R2601" s="694"/>
      <c r="S2601" s="694"/>
      <c r="T2601" s="694"/>
      <c r="U2601" s="1234"/>
      <c r="V2601" s="694"/>
      <c r="W2601" s="694"/>
      <c r="X2601" s="694"/>
      <c r="Y2601" s="694"/>
      <c r="Z2601" s="1232"/>
      <c r="AA2601" s="694"/>
      <c r="AB2601" s="694"/>
      <c r="AC2601" s="694"/>
      <c r="AD2601" s="694"/>
      <c r="AE2601" s="694"/>
      <c r="AF2601" s="694"/>
      <c r="AG2601" s="694"/>
      <c r="AH2601" s="694"/>
      <c r="AI2601" s="694"/>
      <c r="AJ2601" s="694"/>
      <c r="AK2601" s="694"/>
      <c r="AL2601" s="729"/>
    </row>
    <row r="2602" spans="1:38" ht="12.75" customHeight="1" x14ac:dyDescent="0.25">
      <c r="A2602" s="729"/>
      <c r="B2602" s="298"/>
      <c r="C2602" s="298"/>
      <c r="D2602" s="1208" t="s">
        <v>8</v>
      </c>
      <c r="E2602" s="1209" t="str">
        <f>Translations!$B$1515</f>
        <v>изпълнен ли е критерият за &gt;=300 квоти за емисии?</v>
      </c>
      <c r="F2602" s="1209"/>
      <c r="G2602" s="1209"/>
      <c r="H2602" s="1209"/>
      <c r="I2602" s="1209"/>
      <c r="J2602" s="1236" t="str">
        <f>IF($I2542="","",INDEX(K_Summary!J:J,MATCH($Q2602,K_Summary!$P:$P,0)))</f>
        <v/>
      </c>
      <c r="K2602" s="385" t="str">
        <f>IF($I2542="","",INDEX(K_Summary!K:K,MATCH($Q2602,K_Summary!$P:$P,0)))</f>
        <v/>
      </c>
      <c r="L2602" s="385" t="str">
        <f>IF($I2542="","",INDEX(K_Summary!L:L,MATCH($Q2602,K_Summary!$P:$P,0)))</f>
        <v/>
      </c>
      <c r="M2602" s="385" t="str">
        <f>IF($I2542="","",INDEX(K_Summary!M:M,MATCH($Q2602,K_Summary!$P:$P,0)))</f>
        <v/>
      </c>
      <c r="N2602" s="1237" t="str">
        <f>IF($I2542="","",INDEX(K_Summary!N:N,MATCH($Q2602,K_Summary!$P:$P,0)))</f>
        <v/>
      </c>
      <c r="O2602" s="302"/>
      <c r="P2602" s="302"/>
      <c r="Q2602" s="1182" t="str">
        <f>EUconst_CNTR_300EUA&amp;I2542</f>
        <v>EUA300_</v>
      </c>
      <c r="R2602" s="694"/>
      <c r="S2602" s="694"/>
      <c r="T2602" s="694"/>
      <c r="U2602" s="1234"/>
      <c r="V2602" s="694"/>
      <c r="W2602" s="694"/>
      <c r="X2602" s="694"/>
      <c r="Y2602" s="694"/>
      <c r="Z2602" s="1232"/>
      <c r="AA2602" s="694"/>
      <c r="AB2602" s="694"/>
      <c r="AC2602" s="694"/>
      <c r="AD2602" s="694"/>
      <c r="AE2602" s="694"/>
      <c r="AF2602" s="694"/>
      <c r="AG2602" s="694"/>
      <c r="AH2602" s="694"/>
      <c r="AI2602" s="694"/>
      <c r="AJ2602" s="694"/>
      <c r="AK2602" s="694"/>
      <c r="AL2602" s="729"/>
    </row>
    <row r="2603" spans="1:38" ht="5.15" customHeight="1" thickBot="1" x14ac:dyDescent="0.3">
      <c r="A2603" s="729"/>
      <c r="B2603" s="298"/>
      <c r="C2603" s="298"/>
      <c r="D2603" s="1208"/>
      <c r="E2603" s="1199"/>
      <c r="F2603" s="1199"/>
      <c r="G2603" s="1199"/>
      <c r="H2603" s="1199"/>
      <c r="I2603" s="1199"/>
      <c r="J2603" s="1199"/>
      <c r="K2603" s="1199"/>
      <c r="L2603" s="1199"/>
      <c r="M2603" s="1199"/>
      <c r="N2603" s="1238"/>
      <c r="O2603" s="302"/>
      <c r="P2603" s="302"/>
      <c r="Q2603" s="729"/>
      <c r="R2603" s="694"/>
      <c r="S2603" s="694"/>
      <c r="T2603" s="694"/>
      <c r="U2603" s="1231"/>
      <c r="V2603" s="729"/>
      <c r="W2603" s="694"/>
      <c r="X2603" s="694"/>
      <c r="Y2603" s="694"/>
      <c r="Z2603" s="1232"/>
      <c r="AA2603" s="694"/>
      <c r="AB2603" s="694"/>
      <c r="AC2603" s="694"/>
      <c r="AD2603" s="694"/>
      <c r="AE2603" s="694"/>
      <c r="AF2603" s="694"/>
      <c r="AG2603" s="694"/>
      <c r="AH2603" s="694"/>
      <c r="AI2603" s="694"/>
      <c r="AJ2603" s="694"/>
      <c r="AK2603" s="694"/>
      <c r="AL2603" s="729"/>
    </row>
    <row r="2604" spans="1:38" ht="12.75" customHeight="1" thickBot="1" x14ac:dyDescent="0.3">
      <c r="A2604" s="694"/>
      <c r="B2604" s="298"/>
      <c r="C2604" s="298"/>
      <c r="D2604" s="1208" t="s">
        <v>18</v>
      </c>
      <c r="E2604" s="1209" t="str">
        <f>Translations!$B$1324</f>
        <v>Действителна корекция (ако са надвишени всички прагове)</v>
      </c>
      <c r="F2604" s="1209"/>
      <c r="G2604" s="1209"/>
      <c r="H2604" s="1222"/>
      <c r="I2604" s="1239"/>
      <c r="J2604" s="1240" t="str">
        <f>IF(J2602="","",IF(OR(J2602,V2596&lt;1),J2598,I2604))</f>
        <v/>
      </c>
      <c r="K2604" s="1241" t="str">
        <f>IF(K2602="","",IF(OR(K2602,W2596&lt;1),K2598,J2604))</f>
        <v/>
      </c>
      <c r="L2604" s="1241" t="str">
        <f>IF(L2602="","",IF(OR(L2602,X2596&lt;1),L2598,K2604))</f>
        <v/>
      </c>
      <c r="M2604" s="1241" t="str">
        <f>IF(M2602="","",IF(OR(M2602,Y2596&lt;1),M2598,L2604))</f>
        <v/>
      </c>
      <c r="N2604" s="1242" t="str">
        <f>IF(N2602="","",IF(OR(N2602,Z2596&lt;1),N2598,M2604))</f>
        <v/>
      </c>
      <c r="O2604" s="302"/>
      <c r="P2604" s="302"/>
      <c r="Q2604" s="729"/>
      <c r="R2604" s="694"/>
      <c r="S2604" s="694"/>
      <c r="T2604" s="694"/>
      <c r="U2604" s="1231" t="s">
        <v>1718</v>
      </c>
      <c r="V2604" s="1243">
        <f>J2601</f>
        <v>2026</v>
      </c>
      <c r="W2604" s="1243">
        <f>K2601</f>
        <v>2027</v>
      </c>
      <c r="X2604" s="1243">
        <f>L2601</f>
        <v>2028</v>
      </c>
      <c r="Y2604" s="1243">
        <f>M2601</f>
        <v>2029</v>
      </c>
      <c r="Z2604" s="1244">
        <f>N2601</f>
        <v>2030</v>
      </c>
      <c r="AA2604" s="694"/>
      <c r="AB2604" s="694"/>
      <c r="AC2604" s="694"/>
      <c r="AD2604" s="694"/>
      <c r="AE2604" s="694"/>
      <c r="AF2604" s="694"/>
      <c r="AG2604" s="694"/>
      <c r="AH2604" s="694"/>
      <c r="AI2604" s="694"/>
      <c r="AJ2604" s="694"/>
      <c r="AK2604" s="694"/>
      <c r="AL2604" s="729"/>
    </row>
    <row r="2605" spans="1:38" ht="12.75" customHeight="1" thickBot="1" x14ac:dyDescent="0.3">
      <c r="A2605" s="729"/>
      <c r="B2605" s="298"/>
      <c r="C2605" s="298"/>
      <c r="D2605" s="1208" t="s">
        <v>810</v>
      </c>
      <c r="E2605" s="1209" t="str">
        <f>Translations!$B$1325</f>
        <v>Действителна стойност</v>
      </c>
      <c r="F2605" s="1209"/>
      <c r="G2605" s="1209"/>
      <c r="H2605" s="1266" t="str">
        <f>H2596</f>
        <v>t CO2</v>
      </c>
      <c r="I2605" s="1211" t="str">
        <f>I2599</f>
        <v/>
      </c>
      <c r="J2605" s="632" t="str">
        <f>IF($I2542="","",IF(OR($I2605=0,$I2605=EUconst_NA,J2604=""),IF(OR(J2602=TRUE,J2601&lt;=$V2542),J2599,SUM(I2605)),$I2605*(1+SUM(J2604))))</f>
        <v/>
      </c>
      <c r="K2605" s="633" t="str">
        <f>IF($I2542="","",IF(OR($I2605=0,$I2605=EUconst_NA,K2604=""),IF(OR(K2602=TRUE,K2601&lt;=$V2542),K2599,SUM(J2605)),$I2605*(1+SUM(K2604))))</f>
        <v/>
      </c>
      <c r="L2605" s="633" t="str">
        <f>IF($I2542="","",IF(OR($I2605=0,$I2605=EUconst_NA,L2604=""),IF(OR(L2602=TRUE,L2601&lt;=$V2542),L2599,SUM(K2605)),$I2605*(1+SUM(L2604))))</f>
        <v/>
      </c>
      <c r="M2605" s="633" t="str">
        <f>IF($I2542="","",IF(OR($I2605=0,$I2605=EUconst_NA,M2604=""),IF(OR(M2602=TRUE,M2601&lt;=$V2542),M2599,SUM(L2605)),$I2605*(1+SUM(M2604))))</f>
        <v/>
      </c>
      <c r="N2605" s="634" t="str">
        <f>IF($I2542="","",IF(OR($I2605=0,$I2605=EUconst_NA,N2604=""),IF(OR(N2602=TRUE,N2601&lt;=$V2542),N2599,SUM(M2605)),$I2605*(1+SUM(N2604))))</f>
        <v/>
      </c>
      <c r="O2605" s="302"/>
      <c r="P2605" s="302"/>
      <c r="Q2605" s="1190" t="str">
        <f>EUconst_CNTR_HEATfinal &amp; I2542</f>
        <v>HEATfinal_</v>
      </c>
      <c r="R2605" s="694"/>
      <c r="S2605" s="694"/>
      <c r="T2605" s="694"/>
      <c r="U2605" s="1245" t="b">
        <v>0</v>
      </c>
      <c r="V2605" s="1246" t="str">
        <f>IF(V2550,IF(J2602=TRUE,V2597,U2605),"")</f>
        <v/>
      </c>
      <c r="W2605" s="1246" t="str">
        <f>IF(W2550,IF(K2602=TRUE,W2597,V2605),"")</f>
        <v/>
      </c>
      <c r="X2605" s="1246" t="str">
        <f>IF(X2550,IF(L2602=TRUE,X2597,W2605),"")</f>
        <v/>
      </c>
      <c r="Y2605" s="1246" t="str">
        <f>IF(Y2550,IF(M2602=TRUE,Y2597,X2605),"")</f>
        <v/>
      </c>
      <c r="Z2605" s="1247" t="str">
        <f>IF(Z2550,IF(N2602=TRUE,Z2597,Y2605),"")</f>
        <v/>
      </c>
      <c r="AA2605" s="694"/>
      <c r="AB2605" s="694"/>
      <c r="AC2605" s="694"/>
      <c r="AD2605" s="694"/>
      <c r="AE2605" s="694"/>
      <c r="AF2605" s="694"/>
      <c r="AG2605" s="694"/>
      <c r="AH2605" s="694"/>
      <c r="AI2605" s="694"/>
      <c r="AJ2605" s="1174" t="s">
        <v>2033</v>
      </c>
      <c r="AK2605" s="982" t="str">
        <f>IF(OR(ISERROR(J2605),ISERROR(K2605),ISERROR(L2605),ISERROR(M2605),ISERROR(N2605)),EUconst_Error &amp; "BM" &amp; Q2542,"")</f>
        <v/>
      </c>
      <c r="AL2605" s="694"/>
    </row>
    <row r="2606" spans="1:38" ht="5.15" customHeight="1" thickBot="1" x14ac:dyDescent="0.3">
      <c r="A2606" s="694"/>
      <c r="B2606" s="698"/>
      <c r="C2606" s="698"/>
      <c r="D2606" s="1273"/>
      <c r="E2606" s="1274"/>
      <c r="F2606" s="1274"/>
      <c r="G2606" s="1274"/>
      <c r="H2606" s="1274"/>
      <c r="I2606" s="1275"/>
      <c r="J2606" s="1274"/>
      <c r="K2606" s="1274"/>
      <c r="L2606" s="1274"/>
      <c r="M2606" s="1274"/>
      <c r="N2606" s="1276"/>
      <c r="O2606" s="302"/>
      <c r="P2606" s="302"/>
      <c r="Q2606" s="1263"/>
      <c r="R2606" s="694"/>
      <c r="S2606" s="729"/>
      <c r="T2606" s="729"/>
      <c r="U2606" s="694"/>
      <c r="V2606" s="694"/>
      <c r="W2606" s="694"/>
      <c r="X2606" s="694"/>
      <c r="Y2606" s="694"/>
      <c r="Z2606" s="694"/>
      <c r="AA2606" s="694"/>
      <c r="AB2606" s="694"/>
      <c r="AC2606" s="694"/>
      <c r="AD2606" s="694"/>
      <c r="AE2606" s="694"/>
      <c r="AF2606" s="694"/>
      <c r="AG2606" s="694"/>
      <c r="AH2606" s="694"/>
      <c r="AI2606" s="694"/>
      <c r="AJ2606" s="694"/>
      <c r="AK2606" s="694"/>
      <c r="AL2606" s="694"/>
    </row>
    <row r="2607" spans="1:38" ht="5.15" customHeight="1" x14ac:dyDescent="0.25">
      <c r="A2607" s="694"/>
      <c r="B2607" s="698"/>
      <c r="C2607" s="698"/>
      <c r="D2607" s="698"/>
      <c r="E2607" s="698"/>
      <c r="F2607" s="698"/>
      <c r="G2607" s="698"/>
      <c r="H2607" s="698"/>
      <c r="I2607" s="1025"/>
      <c r="J2607" s="698"/>
      <c r="K2607" s="698"/>
      <c r="L2607" s="698"/>
      <c r="M2607" s="698"/>
      <c r="N2607" s="698"/>
      <c r="O2607" s="302"/>
      <c r="P2607" s="302"/>
      <c r="Q2607" s="1263"/>
      <c r="R2607" s="694"/>
      <c r="S2607" s="729"/>
      <c r="T2607" s="729"/>
      <c r="U2607" s="694"/>
      <c r="V2607" s="694"/>
      <c r="W2607" s="694"/>
      <c r="X2607" s="694"/>
      <c r="Y2607" s="694"/>
      <c r="Z2607" s="694"/>
      <c r="AA2607" s="694"/>
      <c r="AB2607" s="694"/>
      <c r="AC2607" s="694"/>
      <c r="AD2607" s="694"/>
      <c r="AE2607" s="694"/>
      <c r="AF2607" s="694"/>
      <c r="AG2607" s="694"/>
      <c r="AH2607" s="694"/>
      <c r="AI2607" s="694"/>
      <c r="AJ2607" s="694"/>
      <c r="AK2607" s="694"/>
      <c r="AL2607" s="694"/>
    </row>
    <row r="2608" spans="1:38" ht="14" x14ac:dyDescent="0.25">
      <c r="A2608" s="694"/>
      <c r="B2608" s="698"/>
      <c r="C2608" s="358"/>
      <c r="D2608" s="2323" t="str">
        <f>Translations!$B$495</f>
        <v>Данни за производството</v>
      </c>
      <c r="E2608" s="2249"/>
      <c r="F2608" s="2249"/>
      <c r="G2608" s="2249"/>
      <c r="H2608" s="2249"/>
      <c r="I2608" s="2249"/>
      <c r="J2608" s="2249"/>
      <c r="K2608" s="2249"/>
      <c r="L2608" s="2249"/>
      <c r="M2608" s="2249"/>
      <c r="N2608" s="2249"/>
      <c r="O2608" s="302"/>
      <c r="P2608" s="302"/>
      <c r="Q2608" s="694"/>
      <c r="R2608" s="694"/>
      <c r="S2608" s="729"/>
      <c r="T2608" s="729"/>
      <c r="U2608" s="694"/>
      <c r="V2608" s="694"/>
      <c r="W2608" s="694"/>
      <c r="X2608" s="694"/>
      <c r="Y2608" s="694"/>
      <c r="Z2608" s="694"/>
      <c r="AA2608" s="694"/>
      <c r="AB2608" s="694"/>
      <c r="AC2608" s="694"/>
      <c r="AD2608" s="694"/>
      <c r="AE2608" s="694"/>
      <c r="AF2608" s="694"/>
      <c r="AG2608" s="694"/>
      <c r="AH2608" s="694"/>
      <c r="AI2608" s="694"/>
      <c r="AJ2608" s="694"/>
      <c r="AK2608" s="694"/>
      <c r="AL2608" s="694"/>
    </row>
    <row r="2609" spans="1:38" ht="5.15" customHeight="1" x14ac:dyDescent="0.25">
      <c r="A2609" s="694"/>
      <c r="B2609" s="298"/>
      <c r="C2609" s="298"/>
      <c r="D2609" s="298"/>
      <c r="E2609" s="298"/>
      <c r="F2609" s="298"/>
      <c r="G2609" s="298"/>
      <c r="H2609" s="298"/>
      <c r="I2609" s="298"/>
      <c r="J2609" s="298"/>
      <c r="K2609" s="298"/>
      <c r="L2609" s="298"/>
      <c r="M2609" s="298"/>
      <c r="N2609" s="298"/>
      <c r="O2609" s="302"/>
      <c r="P2609" s="302"/>
      <c r="Q2609" s="729"/>
      <c r="R2609" s="729"/>
      <c r="S2609" s="729"/>
      <c r="T2609" s="729"/>
      <c r="U2609" s="694"/>
      <c r="V2609" s="694"/>
      <c r="W2609" s="694"/>
      <c r="X2609" s="694"/>
      <c r="Y2609" s="694"/>
      <c r="Z2609" s="694"/>
      <c r="AA2609" s="694"/>
      <c r="AB2609" s="694"/>
      <c r="AC2609" s="694"/>
      <c r="AD2609" s="694"/>
      <c r="AE2609" s="694"/>
      <c r="AF2609" s="694"/>
      <c r="AG2609" s="694"/>
      <c r="AH2609" s="694"/>
      <c r="AI2609" s="694"/>
      <c r="AJ2609" s="694"/>
      <c r="AK2609" s="694"/>
      <c r="AL2609" s="694"/>
    </row>
    <row r="2610" spans="1:38" ht="13" x14ac:dyDescent="0.25">
      <c r="A2610" s="694"/>
      <c r="B2610" s="298"/>
      <c r="C2610" s="300"/>
      <c r="D2610" s="300" t="s">
        <v>54</v>
      </c>
      <c r="E2610" s="2226" t="str">
        <f>Translations!$B$496</f>
        <v>Идентификация на продуктите, включени в тази подинсталация с продуктов показател</v>
      </c>
      <c r="F2610" s="2249"/>
      <c r="G2610" s="2249"/>
      <c r="H2610" s="2249"/>
      <c r="I2610" s="2249"/>
      <c r="J2610" s="2249"/>
      <c r="K2610" s="2249"/>
      <c r="L2610" s="2249"/>
      <c r="M2610" s="2249"/>
      <c r="N2610" s="2249"/>
      <c r="O2610" s="302"/>
      <c r="P2610" s="302"/>
      <c r="Q2610" s="729"/>
      <c r="R2610" s="694"/>
      <c r="S2610" s="729"/>
      <c r="T2610" s="729"/>
      <c r="U2610" s="694"/>
      <c r="V2610" s="694"/>
      <c r="W2610" s="694"/>
      <c r="X2610" s="694"/>
      <c r="Y2610" s="694"/>
      <c r="Z2610" s="694"/>
      <c r="AA2610" s="694"/>
      <c r="AB2610" s="694"/>
      <c r="AC2610" s="694"/>
      <c r="AD2610" s="694"/>
      <c r="AE2610" s="694"/>
      <c r="AF2610" s="694"/>
      <c r="AG2610" s="694"/>
      <c r="AH2610" s="694"/>
      <c r="AI2610" s="694"/>
      <c r="AJ2610" s="694"/>
      <c r="AK2610" s="694"/>
      <c r="AL2610" s="694"/>
    </row>
    <row r="2611" spans="1:38" ht="5.15" customHeight="1" x14ac:dyDescent="0.25">
      <c r="A2611" s="694"/>
      <c r="B2611" s="298"/>
      <c r="C2611" s="302"/>
      <c r="D2611" s="302"/>
      <c r="E2611" s="2358" t="str">
        <f>Translations!$B$1518</f>
        <v xml:space="preserve"> </v>
      </c>
      <c r="F2611" s="2249"/>
      <c r="G2611" s="2249"/>
      <c r="H2611" s="2249"/>
      <c r="I2611" s="2249"/>
      <c r="J2611" s="2249"/>
      <c r="K2611" s="2249"/>
      <c r="L2611" s="2249"/>
      <c r="M2611" s="2249"/>
      <c r="N2611" s="2249"/>
      <c r="O2611" s="302"/>
      <c r="P2611" s="302"/>
      <c r="Q2611" s="729"/>
      <c r="R2611" s="694"/>
      <c r="S2611" s="729"/>
      <c r="T2611" s="729"/>
      <c r="U2611" s="694"/>
      <c r="V2611" s="694"/>
      <c r="W2611" s="694"/>
      <c r="X2611" s="694"/>
      <c r="Y2611" s="694"/>
      <c r="Z2611" s="694"/>
      <c r="AA2611" s="694"/>
      <c r="AB2611" s="694"/>
      <c r="AC2611" s="694"/>
      <c r="AD2611" s="694"/>
      <c r="AE2611" s="694"/>
      <c r="AF2611" s="694"/>
      <c r="AG2611" s="694"/>
      <c r="AH2611" s="694"/>
      <c r="AI2611" s="694"/>
      <c r="AJ2611" s="694"/>
      <c r="AK2611" s="694"/>
      <c r="AL2611" s="694"/>
    </row>
    <row r="2612" spans="1:38" ht="25.5" customHeight="1" x14ac:dyDescent="0.25">
      <c r="A2612" s="694"/>
      <c r="B2612" s="298"/>
      <c r="C2612" s="302"/>
      <c r="D2612" s="302"/>
      <c r="E2612" s="2358" t="str">
        <f>Translations!$B$497</f>
        <v>Кодовете по Продком се въвеждат като низове във вида „nnnnnnnn“, т.е. без точки или други разделителни знаци между тях. Само когато липсва код по Продком, се посочва 4-цифрения код по статистическата класификация на икономическите дейности в Европейския съюз (NACE) във вида „nnnn“.</v>
      </c>
      <c r="F2612" s="2249"/>
      <c r="G2612" s="2249"/>
      <c r="H2612" s="2249"/>
      <c r="I2612" s="2249"/>
      <c r="J2612" s="2249"/>
      <c r="K2612" s="2249"/>
      <c r="L2612" s="2249"/>
      <c r="M2612" s="2249"/>
      <c r="N2612" s="2249"/>
      <c r="O2612" s="302"/>
      <c r="P2612" s="302"/>
      <c r="Q2612" s="729"/>
      <c r="R2612" s="694"/>
      <c r="S2612" s="729"/>
      <c r="T2612" s="729"/>
      <c r="U2612" s="694"/>
      <c r="V2612" s="694"/>
      <c r="W2612" s="694"/>
      <c r="X2612" s="694"/>
      <c r="Y2612" s="694"/>
      <c r="Z2612" s="694"/>
      <c r="AA2612" s="694"/>
      <c r="AB2612" s="694"/>
      <c r="AC2612" s="694"/>
      <c r="AD2612" s="694"/>
      <c r="AE2612" s="694"/>
      <c r="AF2612" s="694"/>
      <c r="AG2612" s="694"/>
      <c r="AH2612" s="694"/>
      <c r="AI2612" s="694"/>
      <c r="AJ2612" s="694"/>
      <c r="AK2612" s="694"/>
      <c r="AL2612" s="694"/>
    </row>
    <row r="2613" spans="1:38" x14ac:dyDescent="0.25">
      <c r="A2613" s="694"/>
      <c r="B2613" s="298"/>
      <c r="C2613" s="302"/>
      <c r="D2613" s="302"/>
      <c r="E2613" s="2358" t="str">
        <f>Translations!$B$498</f>
        <v>Продком списъкът за 2010 г. може да се намери на адрес: http://ec.europa.eu/eurostat/ramon/nomenclatures/index.cfm?TargetUrl=LST_CLS_DLD&amp;StrNom=PRD_2010&amp;StrLanguageCode=EN&amp;StrLayoutCode=HIERARCHIChttp://ec.europa.eu/eurostat/ramon/nomenclatures/index.cfm?TargetUrl=LST_CLS_DLD&amp;StrNom=PRD_2010&amp;StrLanguageCode=EN&amp;StrLayoutCode=HIERARCHIC</v>
      </c>
      <c r="F2613" s="2249"/>
      <c r="G2613" s="2249"/>
      <c r="H2613" s="2249"/>
      <c r="I2613" s="2249"/>
      <c r="J2613" s="2249"/>
      <c r="K2613" s="2249"/>
      <c r="L2613" s="2249"/>
      <c r="M2613" s="2249"/>
      <c r="N2613" s="2249"/>
      <c r="O2613" s="302"/>
      <c r="P2613" s="302"/>
      <c r="Q2613" s="729"/>
      <c r="R2613" s="694"/>
      <c r="S2613" s="729"/>
      <c r="T2613" s="729"/>
      <c r="U2613" s="694"/>
      <c r="V2613" s="694"/>
      <c r="W2613" s="694"/>
      <c r="X2613" s="694"/>
      <c r="Y2613" s="694"/>
      <c r="Z2613" s="694"/>
      <c r="AA2613" s="694"/>
      <c r="AB2613" s="694"/>
      <c r="AC2613" s="694"/>
      <c r="AD2613" s="694"/>
      <c r="AE2613" s="694"/>
      <c r="AF2613" s="694"/>
      <c r="AG2613" s="694"/>
      <c r="AH2613" s="694"/>
      <c r="AI2613" s="694"/>
      <c r="AJ2613" s="694"/>
      <c r="AK2613" s="694"/>
      <c r="AL2613" s="694"/>
    </row>
    <row r="2614" spans="1:38" x14ac:dyDescent="0.25">
      <c r="A2614" s="694"/>
      <c r="B2614" s="298"/>
      <c r="C2614" s="302"/>
      <c r="D2614" s="302"/>
      <c r="E2614" s="2855" t="str">
        <f>Translations!$B$1519</f>
        <v>https://eur-lex.europa.eu/eli/reg/2010/860/oj/bul</v>
      </c>
      <c r="F2614" s="2856"/>
      <c r="G2614" s="2856"/>
      <c r="H2614" s="2856"/>
      <c r="I2614" s="2856"/>
      <c r="J2614" s="2856"/>
      <c r="K2614" s="2856"/>
      <c r="L2614" s="2856"/>
      <c r="M2614" s="2856"/>
      <c r="N2614" s="2856"/>
      <c r="O2614" s="302"/>
      <c r="P2614" s="302"/>
      <c r="Q2614" s="729"/>
      <c r="R2614" s="694"/>
      <c r="S2614" s="729"/>
      <c r="T2614" s="729"/>
      <c r="U2614" s="694"/>
      <c r="V2614" s="694"/>
      <c r="W2614" s="694"/>
      <c r="X2614" s="694"/>
      <c r="Y2614" s="694"/>
      <c r="Z2614" s="694"/>
      <c r="AA2614" s="694"/>
      <c r="AB2614" s="694"/>
      <c r="AC2614" s="694"/>
      <c r="AD2614" s="694"/>
      <c r="AE2614" s="694"/>
      <c r="AF2614" s="694"/>
      <c r="AG2614" s="694"/>
      <c r="AH2614" s="694"/>
      <c r="AI2614" s="694"/>
      <c r="AJ2614" s="694"/>
      <c r="AK2614" s="694"/>
      <c r="AL2614" s="694"/>
    </row>
    <row r="2615" spans="1:38" x14ac:dyDescent="0.25">
      <c r="A2615" s="694"/>
      <c r="B2615" s="298"/>
      <c r="C2615" s="302"/>
      <c r="D2615" s="302"/>
      <c r="E2615" s="2358" t="str">
        <f>Translations!$B$1520</f>
        <v>Кодовете по КН са кодовете съгласно Регламент (ЕИО) № 2658/87, които са на разположение на следния адрес:</v>
      </c>
      <c r="F2615" s="2249"/>
      <c r="G2615" s="2249"/>
      <c r="H2615" s="2249"/>
      <c r="I2615" s="2249"/>
      <c r="J2615" s="2249"/>
      <c r="K2615" s="2249"/>
      <c r="L2615" s="2249"/>
      <c r="M2615" s="2249"/>
      <c r="N2615" s="2249"/>
      <c r="O2615" s="302"/>
      <c r="P2615" s="302"/>
      <c r="Q2615" s="729"/>
      <c r="R2615" s="694"/>
      <c r="S2615" s="729"/>
      <c r="T2615" s="729"/>
      <c r="U2615" s="694"/>
      <c r="V2615" s="694"/>
      <c r="W2615" s="694"/>
      <c r="X2615" s="694"/>
      <c r="Y2615" s="694"/>
      <c r="Z2615" s="694"/>
      <c r="AA2615" s="694"/>
      <c r="AB2615" s="694"/>
      <c r="AC2615" s="694"/>
      <c r="AD2615" s="694"/>
      <c r="AE2615" s="694"/>
      <c r="AF2615" s="694"/>
      <c r="AG2615" s="694"/>
      <c r="AH2615" s="694"/>
      <c r="AI2615" s="694"/>
      <c r="AJ2615" s="694"/>
      <c r="AK2615" s="694"/>
      <c r="AL2615" s="694"/>
    </row>
    <row r="2616" spans="1:38" x14ac:dyDescent="0.25">
      <c r="A2616" s="694"/>
      <c r="B2616" s="298"/>
      <c r="C2616" s="302"/>
      <c r="D2616" s="302"/>
      <c r="E2616" s="2855" t="str">
        <f>Translations!$B$1521</f>
        <v>https://eur-lex.europa.eu/eli/reg/1987/2658/2023-06-17</v>
      </c>
      <c r="F2616" s="2856"/>
      <c r="G2616" s="2856"/>
      <c r="H2616" s="2856"/>
      <c r="I2616" s="2856"/>
      <c r="J2616" s="2856"/>
      <c r="K2616" s="2856"/>
      <c r="L2616" s="2856"/>
      <c r="M2616" s="2856"/>
      <c r="N2616" s="2856"/>
      <c r="O2616" s="302"/>
      <c r="P2616" s="302"/>
      <c r="Q2616" s="729"/>
      <c r="R2616" s="694"/>
      <c r="S2616" s="729"/>
      <c r="T2616" s="729"/>
      <c r="U2616" s="694"/>
      <c r="V2616" s="694"/>
      <c r="W2616" s="694"/>
      <c r="X2616" s="694"/>
      <c r="Y2616" s="694"/>
      <c r="Z2616" s="694"/>
      <c r="AA2616" s="694"/>
      <c r="AB2616" s="694"/>
      <c r="AC2616" s="694"/>
      <c r="AD2616" s="694"/>
      <c r="AE2616" s="694"/>
      <c r="AF2616" s="694"/>
      <c r="AG2616" s="694"/>
      <c r="AH2616" s="694"/>
      <c r="AI2616" s="694"/>
      <c r="AJ2616" s="694"/>
      <c r="AK2616" s="694"/>
      <c r="AL2616" s="694"/>
    </row>
    <row r="2617" spans="1:38" ht="5.15" customHeight="1" x14ac:dyDescent="0.25">
      <c r="A2617" s="694"/>
      <c r="B2617" s="298"/>
      <c r="C2617" s="298"/>
      <c r="D2617" s="298"/>
      <c r="E2617" s="298"/>
      <c r="F2617" s="298"/>
      <c r="G2617" s="298"/>
      <c r="H2617" s="298"/>
      <c r="I2617" s="298"/>
      <c r="J2617" s="298"/>
      <c r="K2617" s="298"/>
      <c r="L2617" s="298"/>
      <c r="M2617" s="298"/>
      <c r="N2617" s="298"/>
      <c r="O2617" s="302"/>
      <c r="P2617" s="302"/>
      <c r="Q2617" s="729"/>
      <c r="R2617" s="729"/>
      <c r="S2617" s="729"/>
      <c r="T2617" s="729"/>
      <c r="U2617" s="694"/>
      <c r="V2617" s="694"/>
      <c r="W2617" s="694"/>
      <c r="X2617" s="694"/>
      <c r="Y2617" s="694"/>
      <c r="Z2617" s="694"/>
      <c r="AA2617" s="694"/>
      <c r="AB2617" s="694"/>
      <c r="AC2617" s="694"/>
      <c r="AD2617" s="694"/>
      <c r="AE2617" s="694"/>
      <c r="AF2617" s="694"/>
      <c r="AG2617" s="694"/>
      <c r="AH2617" s="694"/>
      <c r="AI2617" s="694"/>
      <c r="AJ2617" s="694"/>
      <c r="AK2617" s="694"/>
      <c r="AL2617" s="694"/>
    </row>
    <row r="2618" spans="1:38" ht="13" x14ac:dyDescent="0.25">
      <c r="A2618" s="694"/>
      <c r="B2618" s="298"/>
      <c r="C2618" s="300"/>
      <c r="D2618" s="300" t="s">
        <v>55</v>
      </c>
      <c r="E2618" s="2226" t="str">
        <f>Translations!$B$499</f>
        <v>Индивидуални равнища на производство за продуктите, включени в тази подинсталация с продуктов показател</v>
      </c>
      <c r="F2618" s="2249"/>
      <c r="G2618" s="2249"/>
      <c r="H2618" s="2249"/>
      <c r="I2618" s="2249"/>
      <c r="J2618" s="2249"/>
      <c r="K2618" s="2249"/>
      <c r="L2618" s="2249"/>
      <c r="M2618" s="2249"/>
      <c r="N2618" s="2249"/>
      <c r="O2618" s="302"/>
      <c r="P2618" s="302"/>
      <c r="Q2618" s="729"/>
      <c r="R2618" s="694"/>
      <c r="S2618" s="729"/>
      <c r="T2618" s="729"/>
      <c r="U2618" s="694"/>
      <c r="V2618" s="694"/>
      <c r="W2618" s="694"/>
      <c r="X2618" s="694"/>
      <c r="Y2618" s="694"/>
      <c r="Z2618" s="694"/>
      <c r="AA2618" s="694"/>
      <c r="AB2618" s="694"/>
      <c r="AC2618" s="694"/>
      <c r="AD2618" s="694"/>
      <c r="AE2618" s="694"/>
      <c r="AF2618" s="694"/>
      <c r="AG2618" s="694"/>
      <c r="AH2618" s="694"/>
      <c r="AI2618" s="694"/>
      <c r="AJ2618" s="694"/>
      <c r="AK2618" s="694"/>
      <c r="AL2618" s="694"/>
    </row>
    <row r="2619" spans="1:38" ht="5.15" customHeight="1" x14ac:dyDescent="0.25">
      <c r="A2619" s="694"/>
      <c r="B2619" s="298"/>
      <c r="C2619" s="298"/>
      <c r="D2619" s="302"/>
      <c r="E2619" s="460"/>
      <c r="F2619" s="460"/>
      <c r="G2619" s="460"/>
      <c r="H2619" s="460"/>
      <c r="I2619" s="460"/>
      <c r="J2619" s="329"/>
      <c r="K2619" s="329"/>
      <c r="L2619" s="329"/>
      <c r="M2619" s="302"/>
      <c r="N2619" s="302"/>
      <c r="O2619" s="302"/>
      <c r="P2619" s="302"/>
      <c r="Q2619" s="729"/>
      <c r="R2619" s="694"/>
      <c r="S2619" s="729"/>
      <c r="T2619" s="729"/>
      <c r="U2619" s="694"/>
      <c r="V2619" s="694"/>
      <c r="W2619" s="694"/>
      <c r="X2619" s="694"/>
      <c r="Y2619" s="694"/>
      <c r="Z2619" s="694"/>
      <c r="AA2619" s="694"/>
      <c r="AB2619" s="694"/>
      <c r="AC2619" s="694"/>
      <c r="AD2619" s="694"/>
      <c r="AE2619" s="694"/>
      <c r="AF2619" s="694"/>
      <c r="AG2619" s="694"/>
      <c r="AH2619" s="694"/>
      <c r="AI2619" s="694"/>
      <c r="AJ2619" s="694"/>
      <c r="AK2619" s="694"/>
      <c r="AL2619" s="694"/>
    </row>
    <row r="2620" spans="1:38" ht="25.5" customHeight="1" thickBot="1" x14ac:dyDescent="0.3">
      <c r="A2620" s="694"/>
      <c r="B2620" s="698"/>
      <c r="C2620" s="698"/>
      <c r="D2620" s="1014"/>
      <c r="E2620" s="1277" t="str">
        <f>Translations!$B$1522</f>
        <v>ПРОДКОМ за 2010 г.</v>
      </c>
      <c r="F2620" s="1278" t="str">
        <f>Translations!$B$500</f>
        <v>Име на продукта или групата продукти</v>
      </c>
      <c r="G2620" s="672" t="str">
        <f>EUconst_Unit</f>
        <v>Единица мярка</v>
      </c>
      <c r="H2620" s="391">
        <f t="shared" ref="H2620:N2620" si="3756">H$2831</f>
        <v>2024</v>
      </c>
      <c r="I2620" s="572">
        <f t="shared" si="3756"/>
        <v>2025</v>
      </c>
      <c r="J2620" s="757">
        <f t="shared" si="3756"/>
        <v>2026</v>
      </c>
      <c r="K2620" s="391">
        <f t="shared" si="3756"/>
        <v>2027</v>
      </c>
      <c r="L2620" s="391">
        <f t="shared" si="3756"/>
        <v>2028</v>
      </c>
      <c r="M2620" s="391">
        <f t="shared" si="3756"/>
        <v>2029</v>
      </c>
      <c r="N2620" s="391">
        <f t="shared" si="3756"/>
        <v>2030</v>
      </c>
      <c r="O2620" s="1277" t="str">
        <f>Translations!$B$1523</f>
        <v>Код по КН</v>
      </c>
      <c r="P2620" s="1278"/>
      <c r="Q2620" s="694"/>
      <c r="R2620" s="694"/>
      <c r="S2620" s="729"/>
      <c r="T2620" s="729"/>
      <c r="U2620" s="694"/>
      <c r="V2620" s="694"/>
      <c r="W2620" s="694"/>
      <c r="X2620" s="694"/>
      <c r="Y2620" s="694"/>
      <c r="Z2620" s="1279" t="s">
        <v>737</v>
      </c>
      <c r="AA2620" s="694"/>
      <c r="AB2620" s="694"/>
      <c r="AC2620" s="1178">
        <f t="shared" ref="AC2620" si="3757">H$20</f>
        <v>2024</v>
      </c>
      <c r="AD2620" s="1178">
        <f t="shared" ref="AD2620" si="3758">I$20</f>
        <v>2025</v>
      </c>
      <c r="AE2620" s="1178">
        <f t="shared" ref="AE2620" si="3759">J$20</f>
        <v>2026</v>
      </c>
      <c r="AF2620" s="1178">
        <f t="shared" ref="AF2620" si="3760">K$20</f>
        <v>2027</v>
      </c>
      <c r="AG2620" s="1178">
        <f t="shared" ref="AG2620" si="3761">L$20</f>
        <v>2028</v>
      </c>
      <c r="AH2620" s="1178">
        <f t="shared" ref="AH2620" si="3762">M$20</f>
        <v>2029</v>
      </c>
      <c r="AI2620" s="1178">
        <f t="shared" ref="AI2620" si="3763">N$20</f>
        <v>2030</v>
      </c>
      <c r="AJ2620" s="694"/>
      <c r="AK2620" s="694"/>
      <c r="AL2620" s="694"/>
    </row>
    <row r="2621" spans="1:38" x14ac:dyDescent="0.25">
      <c r="A2621" s="694"/>
      <c r="B2621" s="698"/>
      <c r="C2621" s="698"/>
      <c r="D2621" s="981">
        <v>1</v>
      </c>
      <c r="E2621" s="221"/>
      <c r="F2621" s="109"/>
      <c r="G2621" s="57"/>
      <c r="H2621" s="40"/>
      <c r="I2621" s="46"/>
      <c r="J2621" s="116"/>
      <c r="K2621" s="40"/>
      <c r="L2621" s="40"/>
      <c r="M2621" s="40"/>
      <c r="N2621" s="40"/>
      <c r="O2621" s="221"/>
      <c r="P2621" s="158"/>
      <c r="Q2621" s="694"/>
      <c r="R2621" s="694"/>
      <c r="S2621" s="729"/>
      <c r="T2621" s="729"/>
      <c r="U2621" s="694"/>
      <c r="V2621" s="694"/>
      <c r="W2621" s="694"/>
      <c r="X2621" s="694"/>
      <c r="Y2621" s="694"/>
      <c r="Z2621" s="1280" t="b">
        <f t="shared" ref="Z2621:Z2630" si="3764">AA2621</f>
        <v>0</v>
      </c>
      <c r="AA2621" s="1281" t="b">
        <f t="shared" ref="AA2621:AA2630" si="3765">AB2621</f>
        <v>0</v>
      </c>
      <c r="AB2621" s="1282" t="b">
        <f>AND(AC2621:AI2621)</f>
        <v>0</v>
      </c>
      <c r="AC2621" s="1283" t="b">
        <f t="shared" ref="AC2621:AD2621" si="3766">AC2589</f>
        <v>0</v>
      </c>
      <c r="AD2621" s="1284" t="b">
        <f t="shared" si="3766"/>
        <v>0</v>
      </c>
      <c r="AE2621" s="1284" t="b">
        <f>AE2589</f>
        <v>0</v>
      </c>
      <c r="AF2621" s="1284" t="b">
        <f t="shared" ref="AF2621" si="3767">AF2589</f>
        <v>0</v>
      </c>
      <c r="AG2621" s="1284" t="b">
        <f>AG2589</f>
        <v>0</v>
      </c>
      <c r="AH2621" s="1284" t="b">
        <f t="shared" ref="AH2621:AI2621" si="3768">AH2589</f>
        <v>0</v>
      </c>
      <c r="AI2621" s="1285" t="b">
        <f t="shared" si="3768"/>
        <v>0</v>
      </c>
      <c r="AJ2621" s="1174" t="s">
        <v>2039</v>
      </c>
      <c r="AK2621" s="1176" t="str">
        <f>IF(AND(CNTR_ExistSubInstEntries,COUNTIFS(AC2621:AI2621,FALSE,H2621:N2621,"")&gt;0),EUconst_Error&amp;"BM"&amp;$Q2542,"")</f>
        <v/>
      </c>
      <c r="AL2621" s="694"/>
    </row>
    <row r="2622" spans="1:38" x14ac:dyDescent="0.25">
      <c r="A2622" s="694"/>
      <c r="B2622" s="698"/>
      <c r="C2622" s="698"/>
      <c r="D2622" s="990">
        <f>D2621+1</f>
        <v>2</v>
      </c>
      <c r="E2622" s="222"/>
      <c r="F2622" s="110"/>
      <c r="G2622" s="44"/>
      <c r="H2622" s="43"/>
      <c r="I2622" s="47"/>
      <c r="J2622" s="119"/>
      <c r="K2622" s="43"/>
      <c r="L2622" s="43"/>
      <c r="M2622" s="43"/>
      <c r="N2622" s="43"/>
      <c r="O2622" s="222"/>
      <c r="P2622" s="158"/>
      <c r="Q2622" s="694"/>
      <c r="R2622" s="694"/>
      <c r="S2622" s="729"/>
      <c r="T2622" s="729"/>
      <c r="U2622" s="694"/>
      <c r="V2622" s="694"/>
      <c r="W2622" s="694"/>
      <c r="X2622" s="694"/>
      <c r="Y2622" s="694"/>
      <c r="Z2622" s="1286" t="b">
        <f t="shared" si="3764"/>
        <v>0</v>
      </c>
      <c r="AA2622" s="982" t="b">
        <f t="shared" si="3765"/>
        <v>0</v>
      </c>
      <c r="AB2622" s="1287" t="b">
        <f t="shared" ref="AB2622:AB2630" si="3769">AND(AC2622:AI2622)</f>
        <v>0</v>
      </c>
      <c r="AC2622" s="1288" t="b">
        <f>AC2621</f>
        <v>0</v>
      </c>
      <c r="AD2622" s="982" t="b">
        <f t="shared" ref="AD2622:AI2622" si="3770">AD2621</f>
        <v>0</v>
      </c>
      <c r="AE2622" s="982" t="b">
        <f t="shared" si="3770"/>
        <v>0</v>
      </c>
      <c r="AF2622" s="982" t="b">
        <f t="shared" si="3770"/>
        <v>0</v>
      </c>
      <c r="AG2622" s="982" t="b">
        <f t="shared" si="3770"/>
        <v>0</v>
      </c>
      <c r="AH2622" s="982" t="b">
        <f t="shared" si="3770"/>
        <v>0</v>
      </c>
      <c r="AI2622" s="1287" t="b">
        <f t="shared" si="3770"/>
        <v>0</v>
      </c>
      <c r="AJ2622" s="694"/>
      <c r="AK2622" s="694"/>
      <c r="AL2622" s="694"/>
    </row>
    <row r="2623" spans="1:38" x14ac:dyDescent="0.25">
      <c r="A2623" s="694"/>
      <c r="B2623" s="698"/>
      <c r="C2623" s="698"/>
      <c r="D2623" s="990">
        <f t="shared" ref="D2623:D2630" si="3771">D2622+1</f>
        <v>3</v>
      </c>
      <c r="E2623" s="222"/>
      <c r="F2623" s="111"/>
      <c r="G2623" s="44"/>
      <c r="H2623" s="43"/>
      <c r="I2623" s="47"/>
      <c r="J2623" s="119"/>
      <c r="K2623" s="43"/>
      <c r="L2623" s="43"/>
      <c r="M2623" s="43"/>
      <c r="N2623" s="43"/>
      <c r="O2623" s="222"/>
      <c r="P2623" s="158"/>
      <c r="Q2623" s="694"/>
      <c r="R2623" s="694"/>
      <c r="S2623" s="729"/>
      <c r="T2623" s="729"/>
      <c r="U2623" s="694"/>
      <c r="V2623" s="694"/>
      <c r="W2623" s="694"/>
      <c r="X2623" s="694"/>
      <c r="Y2623" s="694"/>
      <c r="Z2623" s="1286" t="b">
        <f t="shared" si="3764"/>
        <v>0</v>
      </c>
      <c r="AA2623" s="982" t="b">
        <f t="shared" si="3765"/>
        <v>0</v>
      </c>
      <c r="AB2623" s="1287" t="b">
        <f t="shared" si="3769"/>
        <v>0</v>
      </c>
      <c r="AC2623" s="1288" t="b">
        <f t="shared" ref="AC2623:AI2623" si="3772">AC2622</f>
        <v>0</v>
      </c>
      <c r="AD2623" s="982" t="b">
        <f t="shared" si="3772"/>
        <v>0</v>
      </c>
      <c r="AE2623" s="982" t="b">
        <f t="shared" si="3772"/>
        <v>0</v>
      </c>
      <c r="AF2623" s="982" t="b">
        <f t="shared" si="3772"/>
        <v>0</v>
      </c>
      <c r="AG2623" s="982" t="b">
        <f t="shared" si="3772"/>
        <v>0</v>
      </c>
      <c r="AH2623" s="982" t="b">
        <f t="shared" si="3772"/>
        <v>0</v>
      </c>
      <c r="AI2623" s="1287" t="b">
        <f t="shared" si="3772"/>
        <v>0</v>
      </c>
      <c r="AJ2623" s="694"/>
      <c r="AK2623" s="694"/>
      <c r="AL2623" s="694"/>
    </row>
    <row r="2624" spans="1:38" x14ac:dyDescent="0.25">
      <c r="A2624" s="694"/>
      <c r="B2624" s="698"/>
      <c r="C2624" s="698"/>
      <c r="D2624" s="990">
        <f t="shared" si="3771"/>
        <v>4</v>
      </c>
      <c r="E2624" s="222"/>
      <c r="F2624" s="111"/>
      <c r="G2624" s="44"/>
      <c r="H2624" s="43"/>
      <c r="I2624" s="47"/>
      <c r="J2624" s="119"/>
      <c r="K2624" s="43"/>
      <c r="L2624" s="43"/>
      <c r="M2624" s="43"/>
      <c r="N2624" s="43"/>
      <c r="O2624" s="222"/>
      <c r="P2624" s="158"/>
      <c r="Q2624" s="694"/>
      <c r="R2624" s="694"/>
      <c r="S2624" s="729"/>
      <c r="T2624" s="729"/>
      <c r="U2624" s="694"/>
      <c r="V2624" s="694"/>
      <c r="W2624" s="694"/>
      <c r="X2624" s="694"/>
      <c r="Y2624" s="694"/>
      <c r="Z2624" s="1286" t="b">
        <f t="shared" si="3764"/>
        <v>0</v>
      </c>
      <c r="AA2624" s="982" t="b">
        <f t="shared" si="3765"/>
        <v>0</v>
      </c>
      <c r="AB2624" s="1287" t="b">
        <f t="shared" si="3769"/>
        <v>0</v>
      </c>
      <c r="AC2624" s="1288" t="b">
        <f t="shared" ref="AC2624:AI2624" si="3773">AC2623</f>
        <v>0</v>
      </c>
      <c r="AD2624" s="982" t="b">
        <f t="shared" si="3773"/>
        <v>0</v>
      </c>
      <c r="AE2624" s="982" t="b">
        <f t="shared" si="3773"/>
        <v>0</v>
      </c>
      <c r="AF2624" s="982" t="b">
        <f t="shared" si="3773"/>
        <v>0</v>
      </c>
      <c r="AG2624" s="982" t="b">
        <f t="shared" si="3773"/>
        <v>0</v>
      </c>
      <c r="AH2624" s="982" t="b">
        <f t="shared" si="3773"/>
        <v>0</v>
      </c>
      <c r="AI2624" s="1287" t="b">
        <f t="shared" si="3773"/>
        <v>0</v>
      </c>
      <c r="AJ2624" s="694"/>
      <c r="AK2624" s="694"/>
      <c r="AL2624" s="694"/>
    </row>
    <row r="2625" spans="1:38" x14ac:dyDescent="0.25">
      <c r="A2625" s="694"/>
      <c r="B2625" s="698"/>
      <c r="C2625" s="698"/>
      <c r="D2625" s="990">
        <f t="shared" si="3771"/>
        <v>5</v>
      </c>
      <c r="E2625" s="222"/>
      <c r="F2625" s="111"/>
      <c r="G2625" s="44"/>
      <c r="H2625" s="43"/>
      <c r="I2625" s="47"/>
      <c r="J2625" s="119"/>
      <c r="K2625" s="43"/>
      <c r="L2625" s="43"/>
      <c r="M2625" s="43"/>
      <c r="N2625" s="43"/>
      <c r="O2625" s="222"/>
      <c r="P2625" s="158"/>
      <c r="Q2625" s="694"/>
      <c r="R2625" s="694"/>
      <c r="S2625" s="729"/>
      <c r="T2625" s="729"/>
      <c r="U2625" s="694"/>
      <c r="V2625" s="694"/>
      <c r="W2625" s="694"/>
      <c r="X2625" s="694"/>
      <c r="Y2625" s="694"/>
      <c r="Z2625" s="1286" t="b">
        <f t="shared" si="3764"/>
        <v>0</v>
      </c>
      <c r="AA2625" s="982" t="b">
        <f t="shared" si="3765"/>
        <v>0</v>
      </c>
      <c r="AB2625" s="1287" t="b">
        <f t="shared" si="3769"/>
        <v>0</v>
      </c>
      <c r="AC2625" s="1288" t="b">
        <f t="shared" ref="AC2625:AI2625" si="3774">AC2624</f>
        <v>0</v>
      </c>
      <c r="AD2625" s="982" t="b">
        <f t="shared" si="3774"/>
        <v>0</v>
      </c>
      <c r="AE2625" s="982" t="b">
        <f t="shared" si="3774"/>
        <v>0</v>
      </c>
      <c r="AF2625" s="982" t="b">
        <f t="shared" si="3774"/>
        <v>0</v>
      </c>
      <c r="AG2625" s="982" t="b">
        <f t="shared" si="3774"/>
        <v>0</v>
      </c>
      <c r="AH2625" s="982" t="b">
        <f t="shared" si="3774"/>
        <v>0</v>
      </c>
      <c r="AI2625" s="1287" t="b">
        <f t="shared" si="3774"/>
        <v>0</v>
      </c>
      <c r="AJ2625" s="694"/>
      <c r="AK2625" s="694"/>
      <c r="AL2625" s="694"/>
    </row>
    <row r="2626" spans="1:38" x14ac:dyDescent="0.25">
      <c r="A2626" s="694"/>
      <c r="B2626" s="698"/>
      <c r="C2626" s="698"/>
      <c r="D2626" s="990">
        <f t="shared" si="3771"/>
        <v>6</v>
      </c>
      <c r="E2626" s="222"/>
      <c r="F2626" s="111"/>
      <c r="G2626" s="44"/>
      <c r="H2626" s="43"/>
      <c r="I2626" s="47"/>
      <c r="J2626" s="119"/>
      <c r="K2626" s="43"/>
      <c r="L2626" s="43"/>
      <c r="M2626" s="43"/>
      <c r="N2626" s="43"/>
      <c r="O2626" s="222"/>
      <c r="P2626" s="158"/>
      <c r="Q2626" s="694"/>
      <c r="R2626" s="694"/>
      <c r="S2626" s="729"/>
      <c r="T2626" s="729"/>
      <c r="U2626" s="694"/>
      <c r="V2626" s="694"/>
      <c r="W2626" s="694"/>
      <c r="X2626" s="694"/>
      <c r="Y2626" s="694"/>
      <c r="Z2626" s="1286" t="b">
        <f t="shared" si="3764"/>
        <v>0</v>
      </c>
      <c r="AA2626" s="982" t="b">
        <f t="shared" si="3765"/>
        <v>0</v>
      </c>
      <c r="AB2626" s="1287" t="b">
        <f t="shared" si="3769"/>
        <v>0</v>
      </c>
      <c r="AC2626" s="1288" t="b">
        <f t="shared" ref="AC2626:AI2626" si="3775">AC2625</f>
        <v>0</v>
      </c>
      <c r="AD2626" s="982" t="b">
        <f t="shared" si="3775"/>
        <v>0</v>
      </c>
      <c r="AE2626" s="982" t="b">
        <f t="shared" si="3775"/>
        <v>0</v>
      </c>
      <c r="AF2626" s="982" t="b">
        <f t="shared" si="3775"/>
        <v>0</v>
      </c>
      <c r="AG2626" s="982" t="b">
        <f t="shared" si="3775"/>
        <v>0</v>
      </c>
      <c r="AH2626" s="982" t="b">
        <f t="shared" si="3775"/>
        <v>0</v>
      </c>
      <c r="AI2626" s="1287" t="b">
        <f t="shared" si="3775"/>
        <v>0</v>
      </c>
      <c r="AJ2626" s="694"/>
      <c r="AK2626" s="694"/>
      <c r="AL2626" s="694"/>
    </row>
    <row r="2627" spans="1:38" x14ac:dyDescent="0.25">
      <c r="A2627" s="694"/>
      <c r="B2627" s="698"/>
      <c r="C2627" s="698"/>
      <c r="D2627" s="990">
        <f t="shared" si="3771"/>
        <v>7</v>
      </c>
      <c r="E2627" s="222"/>
      <c r="F2627" s="111"/>
      <c r="G2627" s="44"/>
      <c r="H2627" s="43"/>
      <c r="I2627" s="47"/>
      <c r="J2627" s="119"/>
      <c r="K2627" s="43"/>
      <c r="L2627" s="43"/>
      <c r="M2627" s="43"/>
      <c r="N2627" s="43"/>
      <c r="O2627" s="222"/>
      <c r="P2627" s="158"/>
      <c r="Q2627" s="694"/>
      <c r="R2627" s="694"/>
      <c r="S2627" s="729"/>
      <c r="T2627" s="729"/>
      <c r="U2627" s="694"/>
      <c r="V2627" s="694"/>
      <c r="W2627" s="694"/>
      <c r="X2627" s="694"/>
      <c r="Y2627" s="694"/>
      <c r="Z2627" s="1286" t="b">
        <f t="shared" si="3764"/>
        <v>0</v>
      </c>
      <c r="AA2627" s="982" t="b">
        <f t="shared" si="3765"/>
        <v>0</v>
      </c>
      <c r="AB2627" s="1287" t="b">
        <f t="shared" si="3769"/>
        <v>0</v>
      </c>
      <c r="AC2627" s="1288" t="b">
        <f t="shared" ref="AC2627:AI2627" si="3776">AC2626</f>
        <v>0</v>
      </c>
      <c r="AD2627" s="982" t="b">
        <f t="shared" si="3776"/>
        <v>0</v>
      </c>
      <c r="AE2627" s="982" t="b">
        <f t="shared" si="3776"/>
        <v>0</v>
      </c>
      <c r="AF2627" s="982" t="b">
        <f t="shared" si="3776"/>
        <v>0</v>
      </c>
      <c r="AG2627" s="982" t="b">
        <f t="shared" si="3776"/>
        <v>0</v>
      </c>
      <c r="AH2627" s="982" t="b">
        <f t="shared" si="3776"/>
        <v>0</v>
      </c>
      <c r="AI2627" s="1287" t="b">
        <f t="shared" si="3776"/>
        <v>0</v>
      </c>
      <c r="AJ2627" s="694"/>
      <c r="AK2627" s="694"/>
      <c r="AL2627" s="694"/>
    </row>
    <row r="2628" spans="1:38" x14ac:dyDescent="0.25">
      <c r="A2628" s="694"/>
      <c r="B2628" s="698"/>
      <c r="C2628" s="698"/>
      <c r="D2628" s="990">
        <f t="shared" si="3771"/>
        <v>8</v>
      </c>
      <c r="E2628" s="222"/>
      <c r="F2628" s="111"/>
      <c r="G2628" s="44"/>
      <c r="H2628" s="43"/>
      <c r="I2628" s="47"/>
      <c r="J2628" s="119"/>
      <c r="K2628" s="43"/>
      <c r="L2628" s="43"/>
      <c r="M2628" s="43"/>
      <c r="N2628" s="43"/>
      <c r="O2628" s="222"/>
      <c r="P2628" s="158"/>
      <c r="Q2628" s="694"/>
      <c r="R2628" s="694"/>
      <c r="S2628" s="729"/>
      <c r="T2628" s="729"/>
      <c r="U2628" s="694"/>
      <c r="V2628" s="694"/>
      <c r="W2628" s="694"/>
      <c r="X2628" s="694"/>
      <c r="Y2628" s="694"/>
      <c r="Z2628" s="1286" t="b">
        <f t="shared" si="3764"/>
        <v>0</v>
      </c>
      <c r="AA2628" s="982" t="b">
        <f t="shared" si="3765"/>
        <v>0</v>
      </c>
      <c r="AB2628" s="1287" t="b">
        <f t="shared" si="3769"/>
        <v>0</v>
      </c>
      <c r="AC2628" s="1288" t="b">
        <f t="shared" ref="AC2628:AI2628" si="3777">AC2627</f>
        <v>0</v>
      </c>
      <c r="AD2628" s="982" t="b">
        <f t="shared" si="3777"/>
        <v>0</v>
      </c>
      <c r="AE2628" s="982" t="b">
        <f t="shared" si="3777"/>
        <v>0</v>
      </c>
      <c r="AF2628" s="982" t="b">
        <f t="shared" si="3777"/>
        <v>0</v>
      </c>
      <c r="AG2628" s="982" t="b">
        <f t="shared" si="3777"/>
        <v>0</v>
      </c>
      <c r="AH2628" s="982" t="b">
        <f t="shared" si="3777"/>
        <v>0</v>
      </c>
      <c r="AI2628" s="1287" t="b">
        <f t="shared" si="3777"/>
        <v>0</v>
      </c>
      <c r="AJ2628" s="694"/>
      <c r="AK2628" s="694"/>
      <c r="AL2628" s="694"/>
    </row>
    <row r="2629" spans="1:38" x14ac:dyDescent="0.25">
      <c r="A2629" s="694"/>
      <c r="B2629" s="698"/>
      <c r="C2629" s="698"/>
      <c r="D2629" s="990">
        <f t="shared" si="3771"/>
        <v>9</v>
      </c>
      <c r="E2629" s="222"/>
      <c r="F2629" s="111"/>
      <c r="G2629" s="44"/>
      <c r="H2629" s="43"/>
      <c r="I2629" s="47"/>
      <c r="J2629" s="119"/>
      <c r="K2629" s="43"/>
      <c r="L2629" s="43"/>
      <c r="M2629" s="43"/>
      <c r="N2629" s="43"/>
      <c r="O2629" s="222"/>
      <c r="P2629" s="158"/>
      <c r="Q2629" s="694"/>
      <c r="R2629" s="694"/>
      <c r="S2629" s="729"/>
      <c r="T2629" s="729"/>
      <c r="U2629" s="694"/>
      <c r="V2629" s="694"/>
      <c r="W2629" s="694"/>
      <c r="X2629" s="694"/>
      <c r="Y2629" s="694"/>
      <c r="Z2629" s="1286" t="b">
        <f t="shared" si="3764"/>
        <v>0</v>
      </c>
      <c r="AA2629" s="982" t="b">
        <f t="shared" si="3765"/>
        <v>0</v>
      </c>
      <c r="AB2629" s="1287" t="b">
        <f t="shared" si="3769"/>
        <v>0</v>
      </c>
      <c r="AC2629" s="1288" t="b">
        <f t="shared" ref="AC2629:AI2629" si="3778">AC2628</f>
        <v>0</v>
      </c>
      <c r="AD2629" s="982" t="b">
        <f t="shared" si="3778"/>
        <v>0</v>
      </c>
      <c r="AE2629" s="982" t="b">
        <f t="shared" si="3778"/>
        <v>0</v>
      </c>
      <c r="AF2629" s="982" t="b">
        <f t="shared" si="3778"/>
        <v>0</v>
      </c>
      <c r="AG2629" s="982" t="b">
        <f t="shared" si="3778"/>
        <v>0</v>
      </c>
      <c r="AH2629" s="982" t="b">
        <f t="shared" si="3778"/>
        <v>0</v>
      </c>
      <c r="AI2629" s="1287" t="b">
        <f t="shared" si="3778"/>
        <v>0</v>
      </c>
      <c r="AJ2629" s="694"/>
      <c r="AK2629" s="694"/>
      <c r="AL2629" s="694"/>
    </row>
    <row r="2630" spans="1:38" ht="13" thickBot="1" x14ac:dyDescent="0.3">
      <c r="A2630" s="694"/>
      <c r="B2630" s="698"/>
      <c r="C2630" s="698"/>
      <c r="D2630" s="994">
        <f t="shared" si="3771"/>
        <v>10</v>
      </c>
      <c r="E2630" s="223"/>
      <c r="F2630" s="112"/>
      <c r="G2630" s="45"/>
      <c r="H2630" s="38"/>
      <c r="I2630" s="48"/>
      <c r="J2630" s="117"/>
      <c r="K2630" s="38"/>
      <c r="L2630" s="38"/>
      <c r="M2630" s="38"/>
      <c r="N2630" s="38"/>
      <c r="O2630" s="223"/>
      <c r="P2630" s="158"/>
      <c r="Q2630" s="694"/>
      <c r="R2630" s="694"/>
      <c r="S2630" s="729"/>
      <c r="T2630" s="729"/>
      <c r="U2630" s="694"/>
      <c r="V2630" s="694"/>
      <c r="W2630" s="694"/>
      <c r="X2630" s="694"/>
      <c r="Y2630" s="694"/>
      <c r="Z2630" s="1289" t="b">
        <f t="shared" si="3764"/>
        <v>0</v>
      </c>
      <c r="AA2630" s="1290" t="b">
        <f t="shared" si="3765"/>
        <v>0</v>
      </c>
      <c r="AB2630" s="1291" t="b">
        <f t="shared" si="3769"/>
        <v>0</v>
      </c>
      <c r="AC2630" s="1292" t="b">
        <f t="shared" ref="AC2630:AI2630" si="3779">AC2629</f>
        <v>0</v>
      </c>
      <c r="AD2630" s="1290" t="b">
        <f t="shared" si="3779"/>
        <v>0</v>
      </c>
      <c r="AE2630" s="1290" t="b">
        <f t="shared" si="3779"/>
        <v>0</v>
      </c>
      <c r="AF2630" s="1290" t="b">
        <f t="shared" si="3779"/>
        <v>0</v>
      </c>
      <c r="AG2630" s="1290" t="b">
        <f t="shared" si="3779"/>
        <v>0</v>
      </c>
      <c r="AH2630" s="1290" t="b">
        <f t="shared" si="3779"/>
        <v>0</v>
      </c>
      <c r="AI2630" s="1291" t="b">
        <f t="shared" si="3779"/>
        <v>0</v>
      </c>
      <c r="AJ2630" s="694"/>
      <c r="AK2630" s="694"/>
      <c r="AL2630" s="694"/>
    </row>
    <row r="2631" spans="1:38" ht="12.75" customHeight="1" thickBot="1" x14ac:dyDescent="0.3">
      <c r="A2631" s="694"/>
      <c r="B2631" s="698"/>
      <c r="C2631" s="698"/>
      <c r="D2631" s="1293"/>
      <c r="E2631" s="1294" t="str">
        <f>Translations!$B$501</f>
        <v>Сума на равнищата на производство</v>
      </c>
      <c r="F2631" s="1295"/>
      <c r="G2631" s="49"/>
      <c r="H2631" s="1104" t="str">
        <f t="shared" ref="H2631:N2631" si="3780">IF(COUNT(H2621:H2630)&gt;0,SUM(H2621:H2630),"")</f>
        <v/>
      </c>
      <c r="I2631" s="1296" t="str">
        <f t="shared" si="3780"/>
        <v/>
      </c>
      <c r="J2631" s="1297" t="str">
        <f t="shared" si="3780"/>
        <v/>
      </c>
      <c r="K2631" s="1104" t="str">
        <f t="shared" si="3780"/>
        <v/>
      </c>
      <c r="L2631" s="1104" t="str">
        <f t="shared" si="3780"/>
        <v/>
      </c>
      <c r="M2631" s="1104" t="str">
        <f t="shared" si="3780"/>
        <v/>
      </c>
      <c r="N2631" s="1104" t="str">
        <f t="shared" si="3780"/>
        <v/>
      </c>
      <c r="O2631" s="302"/>
      <c r="P2631" s="302"/>
      <c r="Q2631" s="694"/>
      <c r="R2631" s="694"/>
      <c r="S2631" s="729"/>
      <c r="T2631" s="729"/>
      <c r="U2631" s="694"/>
      <c r="V2631" s="694"/>
      <c r="W2631" s="694"/>
      <c r="X2631" s="694"/>
      <c r="Y2631" s="694"/>
      <c r="Z2631" s="694"/>
      <c r="AA2631" s="694"/>
      <c r="AB2631" s="1177" t="b">
        <f>AND(AB2621:AB2630)</f>
        <v>0</v>
      </c>
      <c r="AC2631" s="694"/>
      <c r="AD2631" s="694"/>
      <c r="AE2631" s="694"/>
      <c r="AF2631" s="694"/>
      <c r="AG2631" s="694"/>
      <c r="AH2631" s="694"/>
      <c r="AI2631" s="694"/>
      <c r="AJ2631" s="694"/>
      <c r="AK2631" s="694"/>
      <c r="AL2631" s="694"/>
    </row>
    <row r="2632" spans="1:38" ht="12.75" customHeight="1" thickBot="1" x14ac:dyDescent="0.3">
      <c r="A2632" s="694"/>
      <c r="B2632" s="298"/>
      <c r="C2632" s="298"/>
      <c r="D2632" s="298"/>
      <c r="E2632" s="298"/>
      <c r="F2632" s="298"/>
      <c r="G2632" s="298"/>
      <c r="H2632" s="298"/>
      <c r="I2632" s="298"/>
      <c r="J2632" s="298"/>
      <c r="K2632" s="298"/>
      <c r="L2632" s="298"/>
      <c r="M2632" s="302"/>
      <c r="N2632" s="302"/>
      <c r="O2632" s="302"/>
      <c r="P2632" s="302"/>
      <c r="Q2632" s="729"/>
      <c r="R2632" s="694"/>
      <c r="S2632" s="729"/>
      <c r="T2632" s="729"/>
      <c r="U2632" s="694"/>
      <c r="V2632" s="694"/>
      <c r="W2632" s="694"/>
      <c r="X2632" s="694"/>
      <c r="Y2632" s="694"/>
      <c r="Z2632" s="694"/>
      <c r="AA2632" s="694"/>
      <c r="AB2632" s="694"/>
      <c r="AC2632" s="694"/>
      <c r="AD2632" s="694"/>
      <c r="AE2632" s="694"/>
      <c r="AF2632" s="694"/>
      <c r="AG2632" s="694"/>
      <c r="AH2632" s="694"/>
      <c r="AI2632" s="694"/>
      <c r="AJ2632" s="694"/>
      <c r="AK2632" s="694"/>
      <c r="AL2632" s="694"/>
    </row>
    <row r="2633" spans="1:38" ht="5.15" customHeight="1" x14ac:dyDescent="0.25">
      <c r="A2633" s="694"/>
      <c r="B2633" s="298"/>
      <c r="C2633" s="1298"/>
      <c r="D2633" s="1299"/>
      <c r="E2633" s="1299"/>
      <c r="F2633" s="1299"/>
      <c r="G2633" s="1299"/>
      <c r="H2633" s="1299"/>
      <c r="I2633" s="1299"/>
      <c r="J2633" s="1299"/>
      <c r="K2633" s="1299"/>
      <c r="L2633" s="1299"/>
      <c r="M2633" s="1300"/>
      <c r="N2633" s="1301"/>
      <c r="O2633" s="302"/>
      <c r="P2633" s="302"/>
      <c r="Q2633" s="729"/>
      <c r="R2633" s="694"/>
      <c r="S2633" s="729"/>
      <c r="T2633" s="729"/>
      <c r="U2633" s="694"/>
      <c r="V2633" s="694"/>
      <c r="W2633" s="694"/>
      <c r="X2633" s="694"/>
      <c r="Y2633" s="694"/>
      <c r="Z2633" s="694"/>
      <c r="AA2633" s="694"/>
      <c r="AB2633" s="694"/>
      <c r="AC2633" s="694"/>
      <c r="AD2633" s="694"/>
      <c r="AE2633" s="694"/>
      <c r="AF2633" s="694"/>
      <c r="AG2633" s="694"/>
      <c r="AH2633" s="694"/>
      <c r="AI2633" s="694"/>
      <c r="AJ2633" s="694"/>
      <c r="AK2633" s="694"/>
      <c r="AL2633" s="694"/>
    </row>
    <row r="2634" spans="1:38" ht="15" customHeight="1" x14ac:dyDescent="0.25">
      <c r="A2634" s="694"/>
      <c r="B2634" s="698"/>
      <c r="C2634" s="1302"/>
      <c r="D2634" s="2857" t="str">
        <f>Translations!$B$502</f>
        <v>Данни, необходими за определяне на нивото на подобрение на продуктовите показатели съгласно 10а, параграф 2 от Директивата за СТЕ на ЕС</v>
      </c>
      <c r="E2634" s="2851"/>
      <c r="F2634" s="2851"/>
      <c r="G2634" s="2851"/>
      <c r="H2634" s="2851"/>
      <c r="I2634" s="2851"/>
      <c r="J2634" s="2851"/>
      <c r="K2634" s="2851"/>
      <c r="L2634" s="2851"/>
      <c r="M2634" s="2851"/>
      <c r="N2634" s="2852"/>
      <c r="O2634" s="302"/>
      <c r="P2634" s="302"/>
      <c r="Q2634" s="694"/>
      <c r="R2634" s="694"/>
      <c r="S2634" s="729"/>
      <c r="T2634" s="729"/>
      <c r="U2634" s="694"/>
      <c r="V2634" s="694"/>
      <c r="W2634" s="694"/>
      <c r="X2634" s="694"/>
      <c r="Y2634" s="694"/>
      <c r="Z2634" s="694"/>
      <c r="AA2634" s="694"/>
      <c r="AB2634" s="694"/>
      <c r="AC2634" s="694"/>
      <c r="AD2634" s="694"/>
      <c r="AE2634" s="694"/>
      <c r="AF2634" s="694"/>
      <c r="AG2634" s="694"/>
      <c r="AH2634" s="694"/>
      <c r="AI2634" s="694"/>
      <c r="AJ2634" s="694"/>
      <c r="AK2634" s="694"/>
      <c r="AL2634" s="694"/>
    </row>
    <row r="2635" spans="1:38" ht="5.15" customHeight="1" x14ac:dyDescent="0.25">
      <c r="A2635" s="694"/>
      <c r="B2635" s="698"/>
      <c r="C2635" s="1303"/>
      <c r="D2635" s="1304"/>
      <c r="E2635" s="1304"/>
      <c r="F2635" s="1304"/>
      <c r="G2635" s="1304"/>
      <c r="H2635" s="1304"/>
      <c r="I2635" s="1304"/>
      <c r="J2635" s="1304"/>
      <c r="K2635" s="1304"/>
      <c r="L2635" s="1304"/>
      <c r="M2635" s="1304"/>
      <c r="N2635" s="1305"/>
      <c r="O2635" s="302"/>
      <c r="P2635" s="302"/>
      <c r="Q2635" s="694"/>
      <c r="R2635" s="694"/>
      <c r="S2635" s="729"/>
      <c r="T2635" s="729"/>
      <c r="U2635" s="694"/>
      <c r="V2635" s="694"/>
      <c r="W2635" s="694"/>
      <c r="X2635" s="694"/>
      <c r="Y2635" s="694"/>
      <c r="Z2635" s="694"/>
      <c r="AA2635" s="694"/>
      <c r="AB2635" s="694"/>
      <c r="AC2635" s="694"/>
      <c r="AD2635" s="694"/>
      <c r="AE2635" s="694"/>
      <c r="AF2635" s="694"/>
      <c r="AG2635" s="694"/>
      <c r="AH2635" s="694"/>
      <c r="AI2635" s="694"/>
      <c r="AJ2635" s="694"/>
      <c r="AK2635" s="694"/>
      <c r="AL2635" s="694"/>
    </row>
    <row r="2636" spans="1:38" ht="15" customHeight="1" x14ac:dyDescent="0.25">
      <c r="A2636" s="694"/>
      <c r="B2636" s="698"/>
      <c r="C2636" s="1303"/>
      <c r="D2636" s="2841" t="str">
        <f>EUconst_BMSubinst &amp; ":"</f>
        <v>Подинсталация с продуктов показател:</v>
      </c>
      <c r="E2636" s="2839"/>
      <c r="F2636" s="2839"/>
      <c r="G2636" s="2839"/>
      <c r="H2636" s="2842"/>
      <c r="I2636" s="2843" t="str">
        <f>I2542</f>
        <v/>
      </c>
      <c r="J2636" s="2844"/>
      <c r="K2636" s="2844"/>
      <c r="L2636" s="2844"/>
      <c r="M2636" s="2844"/>
      <c r="N2636" s="2845"/>
      <c r="O2636" s="302"/>
      <c r="P2636" s="302"/>
      <c r="Q2636" s="694"/>
      <c r="R2636" s="694"/>
      <c r="S2636" s="729"/>
      <c r="T2636" s="729"/>
      <c r="U2636" s="694"/>
      <c r="V2636" s="694"/>
      <c r="W2636" s="694"/>
      <c r="X2636" s="694"/>
      <c r="Y2636" s="694"/>
      <c r="Z2636" s="694"/>
      <c r="AA2636" s="694"/>
      <c r="AB2636" s="694"/>
      <c r="AC2636" s="694"/>
      <c r="AD2636" s="694"/>
      <c r="AE2636" s="694"/>
      <c r="AF2636" s="694"/>
      <c r="AG2636" s="694"/>
      <c r="AH2636" s="694"/>
      <c r="AI2636" s="694"/>
      <c r="AJ2636" s="694"/>
      <c r="AK2636" s="694"/>
      <c r="AL2636" s="694"/>
    </row>
    <row r="2637" spans="1:38" ht="5.15" customHeight="1" x14ac:dyDescent="0.25">
      <c r="A2637" s="694"/>
      <c r="B2637" s="698"/>
      <c r="C2637" s="1303"/>
      <c r="D2637" s="1304"/>
      <c r="E2637" s="1304"/>
      <c r="F2637" s="1304"/>
      <c r="G2637" s="1304"/>
      <c r="H2637" s="1304"/>
      <c r="I2637" s="1304"/>
      <c r="J2637" s="1304"/>
      <c r="K2637" s="1304"/>
      <c r="L2637" s="1304"/>
      <c r="M2637" s="1304"/>
      <c r="N2637" s="1305"/>
      <c r="O2637" s="302"/>
      <c r="P2637" s="302"/>
      <c r="Q2637" s="694"/>
      <c r="R2637" s="694"/>
      <c r="S2637" s="729"/>
      <c r="T2637" s="729"/>
      <c r="U2637" s="694"/>
      <c r="V2637" s="694"/>
      <c r="W2637" s="694"/>
      <c r="X2637" s="694"/>
      <c r="Y2637" s="694"/>
      <c r="Z2637" s="694"/>
      <c r="AA2637" s="694"/>
      <c r="AB2637" s="694"/>
      <c r="AC2637" s="694"/>
      <c r="AD2637" s="694"/>
      <c r="AE2637" s="694"/>
      <c r="AF2637" s="694"/>
      <c r="AG2637" s="694"/>
      <c r="AH2637" s="694"/>
      <c r="AI2637" s="694"/>
      <c r="AJ2637" s="694"/>
      <c r="AK2637" s="694"/>
      <c r="AL2637" s="694"/>
    </row>
    <row r="2638" spans="1:38" ht="30" customHeight="1" x14ac:dyDescent="0.25">
      <c r="A2638" s="694"/>
      <c r="B2638" s="298"/>
      <c r="C2638" s="1302"/>
      <c r="D2638" s="1306"/>
      <c r="E2638" s="2846" t="str">
        <f>Translations!$B$503</f>
        <v>В този подраздел се обхваща разпределението на емисии по пораждащи емисии потоци, източници на емисии, получена или подадена измерима топлинна енергия и отпадни газове, включително загубите на топлинна енергия съгласно раздел 10 от приложение VII към ПБР.</v>
      </c>
      <c r="F2638" s="2846"/>
      <c r="G2638" s="2846"/>
      <c r="H2638" s="2846"/>
      <c r="I2638" s="2846"/>
      <c r="J2638" s="2846"/>
      <c r="K2638" s="2846"/>
      <c r="L2638" s="2846"/>
      <c r="M2638" s="2846"/>
      <c r="N2638" s="2847"/>
      <c r="O2638" s="302"/>
      <c r="P2638" s="302"/>
      <c r="Q2638" s="729"/>
      <c r="R2638" s="694"/>
      <c r="S2638" s="694"/>
      <c r="T2638" s="694"/>
      <c r="U2638" s="694"/>
      <c r="V2638" s="694"/>
      <c r="W2638" s="694"/>
      <c r="X2638" s="694"/>
      <c r="Y2638" s="694"/>
      <c r="Z2638" s="694"/>
      <c r="AA2638" s="694"/>
      <c r="AB2638" s="694"/>
      <c r="AC2638" s="694"/>
      <c r="AD2638" s="694"/>
      <c r="AE2638" s="694"/>
      <c r="AF2638" s="694"/>
      <c r="AG2638" s="694"/>
      <c r="AH2638" s="694"/>
      <c r="AI2638" s="694"/>
      <c r="AJ2638" s="694"/>
      <c r="AK2638" s="694"/>
      <c r="AL2638" s="694"/>
    </row>
    <row r="2639" spans="1:38" ht="30" customHeight="1" x14ac:dyDescent="0.25">
      <c r="A2639" s="694"/>
      <c r="B2639" s="298"/>
      <c r="C2639" s="1302"/>
      <c r="D2639" s="1306"/>
      <c r="E2639" s="2846" t="str">
        <f>Translations!$B$504</f>
        <v xml:space="preserve">Моля, имайте предвид, че въпреки дадените известни насоки по всяка от точките по-долу трябва да потърсите допълнителна информация в обяснителна бележка № 5 („Мониторинг и докладване във връзка с ПБР“), която съдържа и примери. </v>
      </c>
      <c r="F2639" s="2846"/>
      <c r="G2639" s="2846"/>
      <c r="H2639" s="2846"/>
      <c r="I2639" s="2846"/>
      <c r="J2639" s="2846"/>
      <c r="K2639" s="2846"/>
      <c r="L2639" s="2846"/>
      <c r="M2639" s="2846"/>
      <c r="N2639" s="2811"/>
      <c r="O2639" s="302"/>
      <c r="P2639" s="302"/>
      <c r="Q2639" s="729"/>
      <c r="R2639" s="694"/>
      <c r="S2639" s="694"/>
      <c r="T2639" s="694"/>
      <c r="U2639" s="694"/>
      <c r="V2639" s="694"/>
      <c r="W2639" s="694"/>
      <c r="X2639" s="694"/>
      <c r="Y2639" s="694"/>
      <c r="Z2639" s="694"/>
      <c r="AA2639" s="694"/>
      <c r="AB2639" s="694"/>
      <c r="AC2639" s="694"/>
      <c r="AD2639" s="694"/>
      <c r="AE2639" s="694"/>
      <c r="AF2639" s="694"/>
      <c r="AG2639" s="694"/>
      <c r="AH2639" s="694"/>
      <c r="AI2639" s="694"/>
      <c r="AJ2639" s="694"/>
      <c r="AK2639" s="694"/>
      <c r="AL2639" s="694"/>
    </row>
    <row r="2640" spans="1:38" ht="12.75" customHeight="1" x14ac:dyDescent="0.25">
      <c r="A2640" s="694"/>
      <c r="B2640" s="298"/>
      <c r="C2640" s="1302"/>
      <c r="D2640" s="1306"/>
      <c r="E2640" s="2846" t="str">
        <f>Translations!$B$505</f>
        <v>Можете да изтеглите насоките на адрес: https://ec.europa.eu/clima/policies/ets/allowances_en#tab-0-1</v>
      </c>
      <c r="F2640" s="2240"/>
      <c r="G2640" s="2240"/>
      <c r="H2640" s="2240"/>
      <c r="I2640" s="2240"/>
      <c r="J2640" s="2240"/>
      <c r="K2640" s="2240"/>
      <c r="L2640" s="2240"/>
      <c r="M2640" s="2240"/>
      <c r="N2640" s="2811"/>
      <c r="O2640" s="302"/>
      <c r="P2640" s="302"/>
      <c r="Q2640" s="729"/>
      <c r="R2640" s="694"/>
      <c r="S2640" s="694"/>
      <c r="T2640" s="694"/>
      <c r="U2640" s="694"/>
      <c r="V2640" s="694"/>
      <c r="W2640" s="694"/>
      <c r="X2640" s="694"/>
      <c r="Y2640" s="694"/>
      <c r="Z2640" s="694"/>
      <c r="AA2640" s="694"/>
      <c r="AB2640" s="694"/>
      <c r="AC2640" s="694"/>
      <c r="AD2640" s="694"/>
      <c r="AE2640" s="694"/>
      <c r="AF2640" s="694"/>
      <c r="AG2640" s="694"/>
      <c r="AH2640" s="694"/>
      <c r="AI2640" s="694"/>
      <c r="AJ2640" s="694"/>
      <c r="AK2640" s="694"/>
      <c r="AL2640" s="694"/>
    </row>
    <row r="2641" spans="1:38" ht="15" customHeight="1" x14ac:dyDescent="0.25">
      <c r="A2641" s="694"/>
      <c r="B2641" s="298"/>
      <c r="C2641" s="1302"/>
      <c r="D2641" s="1306"/>
      <c r="E2641" s="2848" t="str">
        <f t="shared" ref="E2641" si="3781">$E$674</f>
        <v>https://climate.ec.europa.eu/eu-action/carbon-markets/eu-emissions-trading-system-eu-ets/free-allocation/about-free-allocation_en</v>
      </c>
      <c r="F2641" s="2848"/>
      <c r="G2641" s="2848"/>
      <c r="H2641" s="2848"/>
      <c r="I2641" s="2848"/>
      <c r="J2641" s="2848"/>
      <c r="K2641" s="2848"/>
      <c r="L2641" s="2848"/>
      <c r="M2641" s="2848"/>
      <c r="N2641" s="2827"/>
      <c r="O2641" s="302"/>
      <c r="P2641" s="302"/>
      <c r="Q2641" s="729"/>
      <c r="R2641" s="694"/>
      <c r="S2641" s="694"/>
      <c r="T2641" s="694"/>
      <c r="U2641" s="694"/>
      <c r="V2641" s="694"/>
      <c r="W2641" s="694"/>
      <c r="X2641" s="694"/>
      <c r="Y2641" s="694"/>
      <c r="Z2641" s="694"/>
      <c r="AA2641" s="694"/>
      <c r="AB2641" s="694"/>
      <c r="AC2641" s="694"/>
      <c r="AD2641" s="694"/>
      <c r="AE2641" s="694"/>
      <c r="AF2641" s="694"/>
      <c r="AG2641" s="694"/>
      <c r="AH2641" s="694"/>
      <c r="AI2641" s="694"/>
      <c r="AJ2641" s="694"/>
      <c r="AK2641" s="694"/>
      <c r="AL2641" s="694"/>
    </row>
    <row r="2642" spans="1:38" ht="5.15" customHeight="1" x14ac:dyDescent="0.25">
      <c r="A2642" s="694"/>
      <c r="B2642" s="698"/>
      <c r="C2642" s="1303"/>
      <c r="D2642" s="1304"/>
      <c r="E2642" s="1304"/>
      <c r="F2642" s="1304"/>
      <c r="G2642" s="1304"/>
      <c r="H2642" s="1304"/>
      <c r="I2642" s="1304"/>
      <c r="J2642" s="1304"/>
      <c r="K2642" s="1304"/>
      <c r="L2642" s="1304"/>
      <c r="M2642" s="1304"/>
      <c r="N2642" s="1305"/>
      <c r="O2642" s="302"/>
      <c r="P2642" s="302"/>
      <c r="Q2642" s="694"/>
      <c r="R2642" s="694"/>
      <c r="S2642" s="729"/>
      <c r="T2642" s="729"/>
      <c r="U2642" s="694"/>
      <c r="V2642" s="694"/>
      <c r="W2642" s="694"/>
      <c r="X2642" s="694"/>
      <c r="Y2642" s="694"/>
      <c r="Z2642" s="694"/>
      <c r="AA2642" s="694"/>
      <c r="AB2642" s="694"/>
      <c r="AC2642" s="694"/>
      <c r="AD2642" s="694"/>
      <c r="AE2642" s="694"/>
      <c r="AF2642" s="694"/>
      <c r="AG2642" s="694"/>
      <c r="AH2642" s="694"/>
      <c r="AI2642" s="694"/>
      <c r="AJ2642" s="694"/>
      <c r="AK2642" s="694"/>
      <c r="AL2642" s="694"/>
    </row>
    <row r="2643" spans="1:38" ht="15" customHeight="1" x14ac:dyDescent="0.25">
      <c r="A2643" s="694"/>
      <c r="B2643" s="298"/>
      <c r="C2643" s="1302"/>
      <c r="D2643" s="1306"/>
      <c r="E2643" s="2849" t="str">
        <f>Translations!$B$506</f>
        <v>При въвеждане на данните по-долу емисиите, които могат да бъдат зададени, са изчислени в раздел K.III.2 в листа за обобщение.</v>
      </c>
      <c r="F2643" s="2849"/>
      <c r="G2643" s="2849"/>
      <c r="H2643" s="2849"/>
      <c r="I2643" s="2849"/>
      <c r="J2643" s="2849"/>
      <c r="K2643" s="2849"/>
      <c r="L2643" s="2849"/>
      <c r="M2643" s="2849"/>
      <c r="N2643" s="2827"/>
      <c r="O2643" s="302"/>
      <c r="P2643" s="302"/>
      <c r="Q2643" s="729"/>
      <c r="R2643" s="694"/>
      <c r="S2643" s="694"/>
      <c r="T2643" s="694"/>
      <c r="U2643" s="694"/>
      <c r="V2643" s="694"/>
      <c r="W2643" s="694"/>
      <c r="X2643" s="694"/>
      <c r="Y2643" s="694"/>
      <c r="Z2643" s="694"/>
      <c r="AA2643" s="694"/>
      <c r="AB2643" s="694"/>
      <c r="AC2643" s="694"/>
      <c r="AD2643" s="694"/>
      <c r="AE2643" s="694"/>
      <c r="AF2643" s="694"/>
      <c r="AG2643" s="694"/>
      <c r="AH2643" s="694"/>
      <c r="AI2643" s="694"/>
      <c r="AJ2643" s="694"/>
      <c r="AK2643" s="694"/>
      <c r="AL2643" s="694"/>
    </row>
    <row r="2644" spans="1:38" ht="5.15" customHeight="1" x14ac:dyDescent="0.25">
      <c r="A2644" s="694"/>
      <c r="B2644" s="698"/>
      <c r="C2644" s="1303"/>
      <c r="D2644" s="1304"/>
      <c r="E2644" s="1304"/>
      <c r="F2644" s="1304"/>
      <c r="G2644" s="1304"/>
      <c r="H2644" s="1304"/>
      <c r="I2644" s="1304"/>
      <c r="J2644" s="1304"/>
      <c r="K2644" s="1304"/>
      <c r="L2644" s="1304"/>
      <c r="M2644" s="1304"/>
      <c r="N2644" s="1305"/>
      <c r="O2644" s="302"/>
      <c r="P2644" s="302"/>
      <c r="Q2644" s="694"/>
      <c r="R2644" s="694"/>
      <c r="S2644" s="729"/>
      <c r="T2644" s="729"/>
      <c r="U2644" s="694"/>
      <c r="V2644" s="694"/>
      <c r="W2644" s="694"/>
      <c r="X2644" s="694"/>
      <c r="Y2644" s="694"/>
      <c r="Z2644" s="694"/>
      <c r="AA2644" s="694"/>
      <c r="AB2644" s="694"/>
      <c r="AC2644" s="694"/>
      <c r="AD2644" s="694"/>
      <c r="AE2644" s="694"/>
      <c r="AF2644" s="694"/>
      <c r="AG2644" s="694"/>
      <c r="AH2644" s="694"/>
      <c r="AI2644" s="694"/>
      <c r="AJ2644" s="694"/>
      <c r="AK2644" s="694"/>
      <c r="AL2644" s="694"/>
    </row>
    <row r="2645" spans="1:38" ht="12.75" customHeight="1" x14ac:dyDescent="0.25">
      <c r="A2645" s="694"/>
      <c r="B2645" s="298"/>
      <c r="C2645" s="1302"/>
      <c r="D2645" s="1307" t="s">
        <v>273</v>
      </c>
      <c r="E2645" s="2850" t="str">
        <f>Translations!$B$507</f>
        <v>Емисии, които могат се зададат пряко (DirEm* (пораждащи емисии потоци от плана за мониторинг)) на тази подинсталация</v>
      </c>
      <c r="F2645" s="2851"/>
      <c r="G2645" s="2851"/>
      <c r="H2645" s="2851"/>
      <c r="I2645" s="2851"/>
      <c r="J2645" s="2851"/>
      <c r="K2645" s="2851"/>
      <c r="L2645" s="2851"/>
      <c r="M2645" s="2851"/>
      <c r="N2645" s="2852"/>
      <c r="O2645" s="302"/>
      <c r="P2645" s="302"/>
      <c r="Q2645" s="729"/>
      <c r="R2645" s="694"/>
      <c r="S2645" s="729"/>
      <c r="T2645" s="729"/>
      <c r="U2645" s="694"/>
      <c r="V2645" s="694"/>
      <c r="W2645" s="694"/>
      <c r="X2645" s="694"/>
      <c r="Y2645" s="694"/>
      <c r="Z2645" s="694"/>
      <c r="AA2645" s="694"/>
      <c r="AB2645" s="694"/>
      <c r="AC2645" s="694"/>
      <c r="AD2645" s="694"/>
      <c r="AE2645" s="694"/>
      <c r="AF2645" s="694"/>
      <c r="AG2645" s="694"/>
      <c r="AH2645" s="694"/>
      <c r="AI2645" s="694"/>
      <c r="AJ2645" s="694"/>
      <c r="AK2645" s="694"/>
      <c r="AL2645" s="694"/>
    </row>
    <row r="2646" spans="1:38" ht="12.75" customHeight="1" x14ac:dyDescent="0.25">
      <c r="A2646" s="694"/>
      <c r="B2646" s="298"/>
      <c r="C2646" s="1302"/>
      <c r="D2646" s="625"/>
      <c r="E2646" s="2853" t="str">
        <f>Translations!$B$508</f>
        <v>Посочените тук данни ще се отразят на емисиите, които могат да бъдат зададени съгласно раздел 10.1.1 от приложение VII към ПБР.</v>
      </c>
      <c r="F2646" s="2850"/>
      <c r="G2646" s="2850"/>
      <c r="H2646" s="2850"/>
      <c r="I2646" s="2850"/>
      <c r="J2646" s="2850"/>
      <c r="K2646" s="2850"/>
      <c r="L2646" s="2850"/>
      <c r="M2646" s="2850"/>
      <c r="N2646" s="2854"/>
      <c r="O2646" s="302"/>
      <c r="P2646" s="302"/>
      <c r="Q2646" s="729"/>
      <c r="R2646" s="694"/>
      <c r="S2646" s="729"/>
      <c r="T2646" s="729"/>
      <c r="U2646" s="694"/>
      <c r="V2646" s="694"/>
      <c r="W2646" s="694"/>
      <c r="X2646" s="694"/>
      <c r="Y2646" s="694"/>
      <c r="Z2646" s="694"/>
      <c r="AA2646" s="694"/>
      <c r="AB2646" s="694"/>
      <c r="AC2646" s="694"/>
      <c r="AD2646" s="694"/>
      <c r="AE2646" s="694"/>
      <c r="AF2646" s="694"/>
      <c r="AG2646" s="694"/>
      <c r="AH2646" s="694"/>
      <c r="AI2646" s="694"/>
      <c r="AJ2646" s="694"/>
      <c r="AK2646" s="694"/>
      <c r="AL2646" s="694"/>
    </row>
    <row r="2647" spans="1:38" ht="12.75" customHeight="1" x14ac:dyDescent="0.25">
      <c r="A2647" s="694"/>
      <c r="B2647" s="298"/>
      <c r="C2647" s="1302"/>
      <c r="D2647" s="1306"/>
      <c r="E2647" s="2836" t="str">
        <f>Translations!$B$509</f>
        <v>Моля, въведете тук емисиите, които могат да се зададат пряко (DirEm* (пораждащи емисии потоци от плана за мониторинг)) на тази подинсталация, като се имат предвид следните уговорки:</v>
      </c>
      <c r="F2647" s="2836"/>
      <c r="G2647" s="2836"/>
      <c r="H2647" s="2836"/>
      <c r="I2647" s="2836"/>
      <c r="J2647" s="2836"/>
      <c r="K2647" s="2836"/>
      <c r="L2647" s="2836"/>
      <c r="M2647" s="2836"/>
      <c r="N2647" s="2837"/>
      <c r="O2647" s="302"/>
      <c r="P2647" s="302"/>
      <c r="Q2647" s="729"/>
      <c r="R2647" s="694"/>
      <c r="S2647" s="729"/>
      <c r="T2647" s="694"/>
      <c r="U2647" s="694"/>
      <c r="V2647" s="694"/>
      <c r="W2647" s="694"/>
      <c r="X2647" s="694"/>
      <c r="Y2647" s="694"/>
      <c r="Z2647" s="694"/>
      <c r="AA2647" s="694"/>
      <c r="AB2647" s="694"/>
      <c r="AC2647" s="694"/>
      <c r="AD2647" s="694"/>
      <c r="AE2647" s="694"/>
      <c r="AF2647" s="694"/>
      <c r="AG2647" s="694"/>
      <c r="AH2647" s="694"/>
      <c r="AI2647" s="694"/>
      <c r="AJ2647" s="694"/>
      <c r="AK2647" s="694"/>
      <c r="AL2647" s="694"/>
    </row>
    <row r="2648" spans="1:38" ht="25.5" customHeight="1" x14ac:dyDescent="0.25">
      <c r="A2648" s="694"/>
      <c r="B2648" s="298"/>
      <c r="C2648" s="1302"/>
      <c r="D2648" s="1306"/>
      <c r="E2648" s="1308" t="s">
        <v>1052</v>
      </c>
      <c r="F2648" s="2838" t="str">
        <f>Translations!$B$510</f>
        <v>„емисиите, които могат да се зададат пряко“, се следят в съответствие с плана за мониторинг, одобрен съгласно Регламента относно мониторинга и докладването (РМД), т.е. като се отчитат емисиите, получени по методики, основани на изчисления (като се използват пораждащите емисии потоци), по базиращи се на измервания методики (БИМ), както и по подходи без подреждане („fall-backs“).</v>
      </c>
      <c r="G2648" s="2839"/>
      <c r="H2648" s="2839"/>
      <c r="I2648" s="2839"/>
      <c r="J2648" s="2839"/>
      <c r="K2648" s="2839"/>
      <c r="L2648" s="2839"/>
      <c r="M2648" s="2839"/>
      <c r="N2648" s="2840"/>
      <c r="O2648" s="302"/>
      <c r="P2648" s="302"/>
      <c r="Q2648" s="729"/>
      <c r="R2648" s="694"/>
      <c r="S2648" s="729"/>
      <c r="T2648" s="694"/>
      <c r="U2648" s="694"/>
      <c r="V2648" s="694"/>
      <c r="W2648" s="694"/>
      <c r="X2648" s="694"/>
      <c r="Y2648" s="694"/>
      <c r="Z2648" s="694"/>
      <c r="AA2648" s="694"/>
      <c r="AB2648" s="694"/>
      <c r="AC2648" s="694"/>
      <c r="AD2648" s="694"/>
      <c r="AE2648" s="694"/>
      <c r="AF2648" s="694"/>
      <c r="AG2648" s="694"/>
      <c r="AH2648" s="694"/>
      <c r="AI2648" s="694"/>
      <c r="AJ2648" s="694"/>
      <c r="AK2648" s="694"/>
      <c r="AL2648" s="694"/>
    </row>
    <row r="2649" spans="1:38" ht="38.25" customHeight="1" x14ac:dyDescent="0.25">
      <c r="A2649" s="694"/>
      <c r="B2649" s="298"/>
      <c r="C2649" s="1302"/>
      <c r="D2649" s="1306"/>
      <c r="E2649" s="1308"/>
      <c r="F2649" s="2810" t="str">
        <f>Translations!$B$511</f>
        <v>В някои случая обаче в този раздел „емисиите, които могат да се зададат пряко“, не са същите като отчетените съгласно РМД. Такива случаи са например пораждащи емисии потоци, използвани за производство на измерима топлинна енергия, отпадни газове и др. С други думи, трябва да попълните разделите по-долу много внимателно и да спазите строго инструкциите, за да се избегнат двойно отчитане или пропуски.</v>
      </c>
      <c r="G2649" s="2240"/>
      <c r="H2649" s="2240"/>
      <c r="I2649" s="2240"/>
      <c r="J2649" s="2240"/>
      <c r="K2649" s="2240"/>
      <c r="L2649" s="2240"/>
      <c r="M2649" s="2240"/>
      <c r="N2649" s="2811"/>
      <c r="O2649" s="302"/>
      <c r="P2649" s="302"/>
      <c r="Q2649" s="729"/>
      <c r="R2649" s="694"/>
      <c r="S2649" s="729"/>
      <c r="T2649" s="694"/>
      <c r="U2649" s="694"/>
      <c r="V2649" s="694"/>
      <c r="W2649" s="694"/>
      <c r="X2649" s="694"/>
      <c r="Y2649" s="694"/>
      <c r="Z2649" s="694"/>
      <c r="AA2649" s="694"/>
      <c r="AB2649" s="694"/>
      <c r="AC2649" s="694"/>
      <c r="AD2649" s="694"/>
      <c r="AE2649" s="694"/>
      <c r="AF2649" s="694"/>
      <c r="AG2649" s="694"/>
      <c r="AH2649" s="694"/>
      <c r="AI2649" s="694"/>
      <c r="AJ2649" s="694"/>
      <c r="AK2649" s="694"/>
      <c r="AL2649" s="694"/>
    </row>
    <row r="2650" spans="1:38" ht="12.75" customHeight="1" x14ac:dyDescent="0.25">
      <c r="A2650" s="694"/>
      <c r="B2650" s="298"/>
      <c r="C2650" s="1302"/>
      <c r="D2650" s="1306"/>
      <c r="E2650" s="1308" t="s">
        <v>1052</v>
      </c>
      <c r="F2650" s="2838" t="str">
        <f>Translations!$B$512</f>
        <v xml:space="preserve">Измерима топлинна енергия: в случай че топлинната енергия е произведена изключително за една подинсталация, емисиите могат да се зададат пряко тук чрез емисиите за горивата. </v>
      </c>
      <c r="G2650" s="2839"/>
      <c r="H2650" s="2839"/>
      <c r="I2650" s="2839"/>
      <c r="J2650" s="2839"/>
      <c r="K2650" s="2839"/>
      <c r="L2650" s="2839"/>
      <c r="M2650" s="2839"/>
      <c r="N2650" s="2840"/>
      <c r="O2650" s="302"/>
      <c r="P2650" s="302"/>
      <c r="Q2650" s="729"/>
      <c r="R2650" s="694"/>
      <c r="S2650" s="729"/>
      <c r="T2650" s="694"/>
      <c r="U2650" s="694"/>
      <c r="V2650" s="694"/>
      <c r="W2650" s="694"/>
      <c r="X2650" s="694"/>
      <c r="Y2650" s="694"/>
      <c r="Z2650" s="694"/>
      <c r="AA2650" s="694"/>
      <c r="AB2650" s="694"/>
      <c r="AC2650" s="694"/>
      <c r="AD2650" s="694"/>
      <c r="AE2650" s="694"/>
      <c r="AF2650" s="694"/>
      <c r="AG2650" s="694"/>
      <c r="AH2650" s="694"/>
      <c r="AI2650" s="694"/>
      <c r="AJ2650" s="694"/>
      <c r="AK2650" s="694"/>
      <c r="AL2650" s="694"/>
    </row>
    <row r="2651" spans="1:38" ht="38.9" customHeight="1" x14ac:dyDescent="0.25">
      <c r="A2651" s="694"/>
      <c r="B2651" s="298"/>
      <c r="C2651" s="1302"/>
      <c r="D2651" s="1306"/>
      <c r="E2651" s="1308"/>
      <c r="F2651" s="2838" t="str">
        <f>Translations!$B$513</f>
        <v>Когато за производството на измерима топлинна енергия са използвани горива като „входящи потоци“ към повече от една подинсталация, в която се консумира топлинната енергия (което включва случаи с входящи и изходящи потоци от и към други инсталации), горивата не трябва да се включват в „емисиите, които могат да се зададат пряко“ на подинсталацията, а в буква k) по-долу.</v>
      </c>
      <c r="G2651" s="2839"/>
      <c r="H2651" s="2839"/>
      <c r="I2651" s="2839"/>
      <c r="J2651" s="2839"/>
      <c r="K2651" s="2839"/>
      <c r="L2651" s="2839"/>
      <c r="M2651" s="2839"/>
      <c r="N2651" s="2840"/>
      <c r="O2651" s="302"/>
      <c r="P2651" s="302"/>
      <c r="Q2651" s="729"/>
      <c r="R2651" s="694"/>
      <c r="S2651" s="729"/>
      <c r="T2651" s="694"/>
      <c r="U2651" s="694"/>
      <c r="V2651" s="694"/>
      <c r="W2651" s="694"/>
      <c r="X2651" s="694"/>
      <c r="Y2651" s="694"/>
      <c r="Z2651" s="694"/>
      <c r="AA2651" s="694"/>
      <c r="AB2651" s="694"/>
      <c r="AC2651" s="694"/>
      <c r="AD2651" s="694"/>
      <c r="AE2651" s="694"/>
      <c r="AF2651" s="694"/>
      <c r="AG2651" s="694"/>
      <c r="AH2651" s="694"/>
      <c r="AI2651" s="694"/>
      <c r="AJ2651" s="694"/>
      <c r="AK2651" s="694"/>
      <c r="AL2651" s="694"/>
    </row>
    <row r="2652" spans="1:38" ht="25.5" customHeight="1" x14ac:dyDescent="0.25">
      <c r="A2652" s="694"/>
      <c r="B2652" s="298"/>
      <c r="C2652" s="1302"/>
      <c r="D2652" s="1306"/>
      <c r="E2652" s="1308"/>
      <c r="F2652" s="2838" t="str">
        <f>Translations!$B$514</f>
        <v>„Входящите потоци“ включват измеримата топлинна енергия от съоръжения в рамките на обекта (напр. централна електростанция в инсталацията или по-сложна мрежа за генериране на пара с няколко съоръжения за производство на топлинна енергия), които доставят топлинна енергия до повече от една подинсталация. В такъв случай емисиите също не трябва да се задават тук, а в точка k).i. по-долу.</v>
      </c>
      <c r="G2652" s="2839"/>
      <c r="H2652" s="2839"/>
      <c r="I2652" s="2839"/>
      <c r="J2652" s="2839"/>
      <c r="K2652" s="2839"/>
      <c r="L2652" s="2839"/>
      <c r="M2652" s="2839"/>
      <c r="N2652" s="2840"/>
      <c r="O2652" s="302"/>
      <c r="P2652" s="302"/>
      <c r="Q2652" s="729"/>
      <c r="R2652" s="694"/>
      <c r="S2652" s="729"/>
      <c r="T2652" s="694"/>
      <c r="U2652" s="694"/>
      <c r="V2652" s="694"/>
      <c r="W2652" s="694"/>
      <c r="X2652" s="694"/>
      <c r="Y2652" s="694"/>
      <c r="Z2652" s="694"/>
      <c r="AA2652" s="694"/>
      <c r="AB2652" s="694"/>
      <c r="AC2652" s="694"/>
      <c r="AD2652" s="694"/>
      <c r="AE2652" s="694"/>
      <c r="AF2652" s="694"/>
      <c r="AG2652" s="694"/>
      <c r="AH2652" s="694"/>
      <c r="AI2652" s="694"/>
      <c r="AJ2652" s="694"/>
      <c r="AK2652" s="694"/>
      <c r="AL2652" s="694"/>
    </row>
    <row r="2653" spans="1:38" ht="25.5" customHeight="1" x14ac:dyDescent="0.25">
      <c r="A2653" s="694"/>
      <c r="B2653" s="298"/>
      <c r="C2653" s="1302"/>
      <c r="D2653" s="1306"/>
      <c r="E2653" s="1308" t="s">
        <v>1052</v>
      </c>
      <c r="F2653" s="2838" t="str">
        <f>Translations!$B$515</f>
        <v>Подавана навън измерима топлинна енергия: Когато тази топлинна енергия се извлича от процеси или се подава навън, тук не се правят корекции. Приспадането на свързаните емисиите се извършва съгласно данните, въведени в точка k).v. по-долу.</v>
      </c>
      <c r="G2653" s="2839"/>
      <c r="H2653" s="2839"/>
      <c r="I2653" s="2839"/>
      <c r="J2653" s="2839"/>
      <c r="K2653" s="2839"/>
      <c r="L2653" s="2839"/>
      <c r="M2653" s="2839"/>
      <c r="N2653" s="2840"/>
      <c r="O2653" s="302"/>
      <c r="P2653" s="302"/>
      <c r="Q2653" s="729"/>
      <c r="R2653" s="694"/>
      <c r="S2653" s="729"/>
      <c r="T2653" s="694"/>
      <c r="U2653" s="694"/>
      <c r="V2653" s="694"/>
      <c r="W2653" s="694"/>
      <c r="X2653" s="694"/>
      <c r="Y2653" s="694"/>
      <c r="Z2653" s="694"/>
      <c r="AA2653" s="694"/>
      <c r="AB2653" s="694"/>
      <c r="AC2653" s="694"/>
      <c r="AD2653" s="694"/>
      <c r="AE2653" s="694"/>
      <c r="AF2653" s="694"/>
      <c r="AG2653" s="694"/>
      <c r="AH2653" s="694"/>
      <c r="AI2653" s="694"/>
      <c r="AJ2653" s="694"/>
      <c r="AK2653" s="694"/>
      <c r="AL2653" s="694"/>
    </row>
    <row r="2654" spans="1:38" ht="25.5" customHeight="1" thickBot="1" x14ac:dyDescent="0.3">
      <c r="A2654" s="694"/>
      <c r="B2654" s="298"/>
      <c r="C2654" s="1302"/>
      <c r="D2654" s="1306"/>
      <c r="E2654" s="1308" t="s">
        <v>1052</v>
      </c>
      <c r="F2654" s="2838" t="str">
        <f>Translations!$B$516</f>
        <v>Отпадни газове: емисиите от отпадните газове, които са ПОЛУЧЕНИ от други инсталации или подинсталации и са консумирани в подинсталацията, не се включват тук, а се въвеждат в буква l) по-долу.</v>
      </c>
      <c r="G2654" s="2839"/>
      <c r="H2654" s="2839"/>
      <c r="I2654" s="2839"/>
      <c r="J2654" s="2839"/>
      <c r="K2654" s="2839"/>
      <c r="L2654" s="2839"/>
      <c r="M2654" s="2839"/>
      <c r="N2654" s="2840"/>
      <c r="O2654" s="302"/>
      <c r="P2654" s="302"/>
      <c r="Q2654" s="729"/>
      <c r="R2654" s="694"/>
      <c r="S2654" s="729"/>
      <c r="T2654" s="694"/>
      <c r="U2654" s="694"/>
      <c r="V2654" s="694"/>
      <c r="W2654" s="694"/>
      <c r="X2654" s="694"/>
      <c r="Y2654" s="694"/>
      <c r="Z2654" s="694"/>
      <c r="AA2654" s="694"/>
      <c r="AB2654" s="694"/>
      <c r="AC2654" s="694"/>
      <c r="AD2654" s="694"/>
      <c r="AE2654" s="694"/>
      <c r="AF2654" s="694"/>
      <c r="AG2654" s="694"/>
      <c r="AH2654" s="694"/>
      <c r="AI2654" s="694"/>
      <c r="AJ2654" s="694"/>
      <c r="AK2654" s="694"/>
      <c r="AL2654" s="694"/>
    </row>
    <row r="2655" spans="1:38" ht="12.75" customHeight="1" thickBot="1" x14ac:dyDescent="0.3">
      <c r="A2655" s="694"/>
      <c r="B2655" s="298"/>
      <c r="C2655" s="1302"/>
      <c r="D2655" s="1307"/>
      <c r="E2655" s="2803" t="str">
        <f>Translations!$B$517</f>
        <v>Емисии, които могат да се зададат пряко (DirEm*)</v>
      </c>
      <c r="F2655" s="2803"/>
      <c r="G2655" s="1309" t="str">
        <f>EUconst_Unit</f>
        <v>Единица мярка</v>
      </c>
      <c r="H2655" s="629">
        <f t="shared" ref="H2655:N2655" si="3782">H$2831</f>
        <v>2024</v>
      </c>
      <c r="I2655" s="1310">
        <f t="shared" si="3782"/>
        <v>2025</v>
      </c>
      <c r="J2655" s="1311">
        <f t="shared" si="3782"/>
        <v>2026</v>
      </c>
      <c r="K2655" s="629">
        <f t="shared" si="3782"/>
        <v>2027</v>
      </c>
      <c r="L2655" s="629">
        <f t="shared" si="3782"/>
        <v>2028</v>
      </c>
      <c r="M2655" s="629">
        <f t="shared" si="3782"/>
        <v>2029</v>
      </c>
      <c r="N2655" s="1312">
        <f t="shared" si="3782"/>
        <v>2030</v>
      </c>
      <c r="O2655" s="302"/>
      <c r="P2655" s="302"/>
      <c r="Q2655" s="729"/>
      <c r="R2655" s="694"/>
      <c r="S2655" s="1205"/>
      <c r="T2655" s="1313">
        <f t="shared" ref="T2655" si="3783">H2655</f>
        <v>2024</v>
      </c>
      <c r="U2655" s="1313">
        <f t="shared" ref="U2655" si="3784">I2655</f>
        <v>2025</v>
      </c>
      <c r="V2655" s="1313">
        <f t="shared" ref="V2655" si="3785">J2655</f>
        <v>2026</v>
      </c>
      <c r="W2655" s="1313">
        <f t="shared" ref="W2655" si="3786">K2655</f>
        <v>2027</v>
      </c>
      <c r="X2655" s="1313">
        <f t="shared" ref="X2655" si="3787">L2655</f>
        <v>2028</v>
      </c>
      <c r="Y2655" s="1313">
        <f t="shared" ref="Y2655" si="3788">M2655</f>
        <v>2029</v>
      </c>
      <c r="Z2655" s="1314">
        <f t="shared" ref="Z2655" si="3789">N2655</f>
        <v>2030</v>
      </c>
      <c r="AA2655" s="694"/>
      <c r="AB2655" s="694"/>
      <c r="AC2655" s="1178">
        <f t="shared" ref="AC2655" si="3790">H$20</f>
        <v>2024</v>
      </c>
      <c r="AD2655" s="1178">
        <f t="shared" ref="AD2655" si="3791">I$20</f>
        <v>2025</v>
      </c>
      <c r="AE2655" s="1178">
        <f t="shared" ref="AE2655" si="3792">J$20</f>
        <v>2026</v>
      </c>
      <c r="AF2655" s="1178">
        <f t="shared" ref="AF2655" si="3793">K$20</f>
        <v>2027</v>
      </c>
      <c r="AG2655" s="1178">
        <f t="shared" ref="AG2655" si="3794">L$20</f>
        <v>2028</v>
      </c>
      <c r="AH2655" s="1178">
        <f t="shared" ref="AH2655" si="3795">M$20</f>
        <v>2029</v>
      </c>
      <c r="AI2655" s="1178">
        <f t="shared" ref="AI2655" si="3796">N$20</f>
        <v>2030</v>
      </c>
      <c r="AJ2655" s="694"/>
      <c r="AK2655" s="694"/>
      <c r="AL2655" s="694"/>
    </row>
    <row r="2656" spans="1:38" ht="12.75" customHeight="1" thickBot="1" x14ac:dyDescent="0.3">
      <c r="A2656" s="694"/>
      <c r="B2656" s="298"/>
      <c r="C2656" s="1302"/>
      <c r="D2656" s="1306"/>
      <c r="E2656" s="2814" t="str">
        <f>I2542</f>
        <v/>
      </c>
      <c r="F2656" s="2258"/>
      <c r="G2656" s="642" t="str">
        <f>EUconst_tCO2epa</f>
        <v>t CO2e/година</v>
      </c>
      <c r="H2656" s="56"/>
      <c r="I2656" s="115"/>
      <c r="J2656" s="118"/>
      <c r="K2656" s="56"/>
      <c r="L2656" s="56"/>
      <c r="M2656" s="56"/>
      <c r="N2656" s="121"/>
      <c r="O2656" s="302"/>
      <c r="P2656" s="158"/>
      <c r="Q2656" s="1190" t="str">
        <f>EUconst_CNTR_Emissions &amp; I2542</f>
        <v>DirEmissions_</v>
      </c>
      <c r="R2656" s="694"/>
      <c r="S2656" s="1315" t="str">
        <f>EUconst_CNTR_AttributedEmissions &amp; I2542</f>
        <v>AttrEmissions_</v>
      </c>
      <c r="T2656" s="1290" t="str">
        <f t="shared" ref="T2656" si="3797">IF(T2550,SUM(H2656),"")</f>
        <v/>
      </c>
      <c r="U2656" s="1290" t="str">
        <f t="shared" ref="U2656" si="3798">IF(U2550,SUM(I2656),"")</f>
        <v/>
      </c>
      <c r="V2656" s="1290" t="str">
        <f t="shared" ref="V2656" si="3799">IF(V2550,SUM(J2656),"")</f>
        <v/>
      </c>
      <c r="W2656" s="1290" t="str">
        <f t="shared" ref="W2656" si="3800">IF(W2550,SUM(K2656),"")</f>
        <v/>
      </c>
      <c r="X2656" s="1290" t="str">
        <f t="shared" ref="X2656" si="3801">IF(X2550,SUM(L2656),"")</f>
        <v/>
      </c>
      <c r="Y2656" s="1290" t="str">
        <f t="shared" ref="Y2656" si="3802">IF(Y2550,SUM(M2656),"")</f>
        <v/>
      </c>
      <c r="Z2656" s="1291" t="str">
        <f t="shared" ref="Z2656" si="3803">IF(Z2550,SUM(N2656),"")</f>
        <v/>
      </c>
      <c r="AA2656" s="694"/>
      <c r="AB2656" s="1182" t="s">
        <v>737</v>
      </c>
      <c r="AC2656" s="982" t="b">
        <f>AC2589</f>
        <v>0</v>
      </c>
      <c r="AD2656" s="982" t="b">
        <f t="shared" ref="AD2656:AI2656" si="3804">AD2589</f>
        <v>0</v>
      </c>
      <c r="AE2656" s="982" t="b">
        <f t="shared" si="3804"/>
        <v>0</v>
      </c>
      <c r="AF2656" s="982" t="b">
        <f t="shared" si="3804"/>
        <v>0</v>
      </c>
      <c r="AG2656" s="982" t="b">
        <f t="shared" si="3804"/>
        <v>0</v>
      </c>
      <c r="AH2656" s="982" t="b">
        <f t="shared" si="3804"/>
        <v>0</v>
      </c>
      <c r="AI2656" s="982" t="b">
        <f t="shared" si="3804"/>
        <v>0</v>
      </c>
      <c r="AJ2656" s="1174" t="s">
        <v>2039</v>
      </c>
      <c r="AK2656" s="1176" t="str">
        <f>IF(AND(CNTR_ExistSubInstEntries,MSconst_RequireSubAttrEmissions,COUNTIFS(AC2656:AI2656,FALSE,H2656:N2656,"")&gt;0),EUconst_Error&amp;"BM"&amp;$Q2542,"")</f>
        <v/>
      </c>
      <c r="AL2656" s="694"/>
    </row>
    <row r="2657" spans="1:38" ht="12.75" customHeight="1" x14ac:dyDescent="0.25">
      <c r="A2657" s="694"/>
      <c r="B2657" s="298"/>
      <c r="C2657" s="1302"/>
      <c r="D2657" s="1306"/>
      <c r="E2657" s="1306"/>
      <c r="F2657" s="1306"/>
      <c r="G2657" s="1306"/>
      <c r="H2657" s="1306"/>
      <c r="I2657" s="1306"/>
      <c r="J2657" s="1306"/>
      <c r="K2657" s="1306"/>
      <c r="L2657" s="1306"/>
      <c r="M2657" s="626"/>
      <c r="N2657" s="1316"/>
      <c r="O2657" s="302"/>
      <c r="P2657" s="302"/>
      <c r="Q2657" s="729"/>
      <c r="R2657" s="694"/>
      <c r="S2657" s="729"/>
      <c r="T2657" s="694"/>
      <c r="U2657" s="694"/>
      <c r="V2657" s="694"/>
      <c r="W2657" s="694"/>
      <c r="X2657" s="694"/>
      <c r="Y2657" s="694"/>
      <c r="Z2657" s="694"/>
      <c r="AA2657" s="694"/>
      <c r="AB2657" s="694"/>
      <c r="AC2657" s="694"/>
      <c r="AD2657" s="694"/>
      <c r="AE2657" s="694"/>
      <c r="AF2657" s="694"/>
      <c r="AG2657" s="694"/>
      <c r="AH2657" s="694"/>
      <c r="AI2657" s="694"/>
      <c r="AJ2657" s="694"/>
      <c r="AK2657" s="694"/>
      <c r="AL2657" s="694"/>
    </row>
    <row r="2658" spans="1:38" ht="12.75" customHeight="1" x14ac:dyDescent="0.25">
      <c r="A2658" s="694"/>
      <c r="B2658" s="298"/>
      <c r="C2658" s="1302"/>
      <c r="D2658" s="1307" t="s">
        <v>277</v>
      </c>
      <c r="E2658" s="2815" t="str">
        <f>Translations!$B$1524</f>
        <v>Вложена енергия в тази подинсталация и съответен емисионен фактор</v>
      </c>
      <c r="F2658" s="2240"/>
      <c r="G2658" s="2240"/>
      <c r="H2658" s="2240"/>
      <c r="I2658" s="2240"/>
      <c r="J2658" s="2240"/>
      <c r="K2658" s="2240"/>
      <c r="L2658" s="2240"/>
      <c r="M2658" s="2240"/>
      <c r="N2658" s="2811"/>
      <c r="O2658" s="302"/>
      <c r="P2658" s="302"/>
      <c r="Q2658" s="729"/>
      <c r="R2658" s="729"/>
      <c r="S2658" s="729"/>
      <c r="T2658" s="694"/>
      <c r="U2658" s="694"/>
      <c r="V2658" s="694"/>
      <c r="W2658" s="694"/>
      <c r="X2658" s="694"/>
      <c r="Y2658" s="694"/>
      <c r="Z2658" s="694"/>
      <c r="AA2658" s="694"/>
      <c r="AB2658" s="694"/>
      <c r="AC2658" s="694"/>
      <c r="AD2658" s="694"/>
      <c r="AE2658" s="694"/>
      <c r="AF2658" s="694"/>
      <c r="AG2658" s="694"/>
      <c r="AH2658" s="694"/>
      <c r="AI2658" s="694"/>
      <c r="AJ2658" s="694"/>
      <c r="AK2658" s="694"/>
      <c r="AL2658" s="694"/>
    </row>
    <row r="2659" spans="1:38" ht="25.5" customHeight="1" x14ac:dyDescent="0.25">
      <c r="A2659" s="694"/>
      <c r="B2659" s="298"/>
      <c r="C2659" s="1302"/>
      <c r="D2659" s="1306"/>
      <c r="E2659" s="2836" t="str">
        <f>Translations!$B$1525</f>
        <v>Съгласно изискванията в приложение IV, раздел 2.4, буква а) към ПБР посочете общото количество вложена енергия от горива, материали и електроенергия за генериране на топлинна енергия от подинсталацията и съответния претеглен емисионен фактор, като вземете предвид съответното енергийно съдържание на всяко гориво, включено в числовата стойност, посочена в буква ж), и приложите същите системни граници от буква ж).</v>
      </c>
      <c r="F2659" s="2836"/>
      <c r="G2659" s="2836"/>
      <c r="H2659" s="2836"/>
      <c r="I2659" s="2836"/>
      <c r="J2659" s="2836"/>
      <c r="K2659" s="2836"/>
      <c r="L2659" s="2836"/>
      <c r="M2659" s="2836"/>
      <c r="N2659" s="2837"/>
      <c r="O2659" s="302"/>
      <c r="P2659" s="302"/>
      <c r="Q2659" s="729"/>
      <c r="R2659" s="729"/>
      <c r="S2659" s="729"/>
      <c r="T2659" s="694"/>
      <c r="U2659" s="694"/>
      <c r="V2659" s="694"/>
      <c r="W2659" s="694"/>
      <c r="X2659" s="694"/>
      <c r="Y2659" s="694"/>
      <c r="Z2659" s="694"/>
      <c r="AA2659" s="694"/>
      <c r="AB2659" s="694"/>
      <c r="AC2659" s="694"/>
      <c r="AD2659" s="694"/>
      <c r="AE2659" s="694"/>
      <c r="AF2659" s="694"/>
      <c r="AG2659" s="694"/>
      <c r="AH2659" s="694"/>
      <c r="AI2659" s="694"/>
      <c r="AJ2659" s="694"/>
      <c r="AK2659" s="694"/>
      <c r="AL2659" s="694"/>
    </row>
    <row r="2660" spans="1:38" ht="25.5" customHeight="1" x14ac:dyDescent="0.25">
      <c r="A2660" s="694"/>
      <c r="B2660" s="298"/>
      <c r="C2660" s="1302"/>
      <c r="D2660" s="1306"/>
      <c r="E2660" s="2836" t="str">
        <f>Translations!$B$1526</f>
        <v>Терминът „гориво“ следва да се тълкува като всеки запалим пораждащ емисии поток съгласно РМД, за който може да се установи долната топлина на изгаряне. Претегленият емисионен фактор съответства на натрупаните емисии от горива, разделени на общото енергийно съдържание.</v>
      </c>
      <c r="F2660" s="2836"/>
      <c r="G2660" s="2836"/>
      <c r="H2660" s="2836"/>
      <c r="I2660" s="2836"/>
      <c r="J2660" s="2836"/>
      <c r="K2660" s="2836"/>
      <c r="L2660" s="2836"/>
      <c r="M2660" s="2836"/>
      <c r="N2660" s="2837"/>
      <c r="O2660" s="302"/>
      <c r="P2660" s="302"/>
      <c r="Q2660" s="729"/>
      <c r="R2660" s="694"/>
      <c r="S2660" s="729"/>
      <c r="T2660" s="694"/>
      <c r="U2660" s="694"/>
      <c r="V2660" s="694"/>
      <c r="W2660" s="694"/>
      <c r="X2660" s="694"/>
      <c r="Y2660" s="694"/>
      <c r="Z2660" s="694"/>
      <c r="AA2660" s="694"/>
      <c r="AB2660" s="694"/>
      <c r="AC2660" s="694"/>
      <c r="AD2660" s="694"/>
      <c r="AE2660" s="694"/>
      <c r="AF2660" s="694"/>
      <c r="AG2660" s="694"/>
      <c r="AH2660" s="694"/>
      <c r="AI2660" s="694"/>
      <c r="AJ2660" s="694"/>
      <c r="AK2660" s="694"/>
      <c r="AL2660" s="694"/>
    </row>
    <row r="2661" spans="1:38" ht="12.75" customHeight="1" x14ac:dyDescent="0.25">
      <c r="A2661" s="694"/>
      <c r="B2661" s="298"/>
      <c r="C2661" s="1302"/>
      <c r="D2661" s="1306"/>
      <c r="E2661" s="2836" t="str">
        <f>Translations!$B$519</f>
        <v>Претегленият емисионен фактор следва също така да включва и емисии от съответното очистване на димни газове, ако е приложимо.</v>
      </c>
      <c r="F2661" s="2836"/>
      <c r="G2661" s="2836"/>
      <c r="H2661" s="2836"/>
      <c r="I2661" s="2836"/>
      <c r="J2661" s="2836"/>
      <c r="K2661" s="2836"/>
      <c r="L2661" s="2836"/>
      <c r="M2661" s="2836"/>
      <c r="N2661" s="2837"/>
      <c r="O2661" s="302"/>
      <c r="P2661" s="302"/>
      <c r="Q2661" s="729"/>
      <c r="R2661" s="694"/>
      <c r="S2661" s="729"/>
      <c r="T2661" s="694"/>
      <c r="U2661" s="694"/>
      <c r="V2661" s="694"/>
      <c r="W2661" s="694"/>
      <c r="X2661" s="694"/>
      <c r="Y2661" s="694"/>
      <c r="Z2661" s="694"/>
      <c r="AA2661" s="694"/>
      <c r="AB2661" s="694"/>
      <c r="AC2661" s="694"/>
      <c r="AD2661" s="694"/>
      <c r="AE2661" s="694"/>
      <c r="AF2661" s="694"/>
      <c r="AG2661" s="694"/>
      <c r="AH2661" s="694"/>
      <c r="AI2661" s="694"/>
      <c r="AJ2661" s="694"/>
      <c r="AK2661" s="694"/>
      <c r="AL2661" s="694"/>
    </row>
    <row r="2662" spans="1:38" ht="12.75" customHeight="1" x14ac:dyDescent="0.25">
      <c r="A2662" s="694"/>
      <c r="B2662" s="298"/>
      <c r="C2662" s="1302"/>
      <c r="D2662" s="1306"/>
      <c r="E2662" s="2816" t="str">
        <f>Translations!$B$520</f>
        <v>Посочените тук данни се използват само с цел проверка на съответствието и нямат пряко отражение върху емисиите, които могат да бъдат зададени, или на разпределението на квотите.</v>
      </c>
      <c r="F2662" s="2240"/>
      <c r="G2662" s="2240"/>
      <c r="H2662" s="2240"/>
      <c r="I2662" s="2240"/>
      <c r="J2662" s="2240"/>
      <c r="K2662" s="2240"/>
      <c r="L2662" s="2240"/>
      <c r="M2662" s="2240"/>
      <c r="N2662" s="2811"/>
      <c r="O2662" s="302"/>
      <c r="P2662" s="302"/>
      <c r="Q2662" s="729"/>
      <c r="R2662" s="694"/>
      <c r="S2662" s="729"/>
      <c r="T2662" s="694"/>
      <c r="U2662" s="694"/>
      <c r="V2662" s="694"/>
      <c r="W2662" s="694"/>
      <c r="X2662" s="694"/>
      <c r="Y2662" s="694"/>
      <c r="Z2662" s="694"/>
      <c r="AA2662" s="694"/>
      <c r="AB2662" s="694"/>
      <c r="AC2662" s="694"/>
      <c r="AD2662" s="694"/>
      <c r="AE2662" s="694"/>
      <c r="AF2662" s="694"/>
      <c r="AG2662" s="694"/>
      <c r="AH2662" s="694"/>
      <c r="AI2662" s="694"/>
      <c r="AJ2662" s="694"/>
      <c r="AK2662" s="694"/>
      <c r="AL2662" s="694"/>
    </row>
    <row r="2663" spans="1:38" ht="12.75" customHeight="1" thickBot="1" x14ac:dyDescent="0.3">
      <c r="A2663" s="694"/>
      <c r="B2663" s="298"/>
      <c r="C2663" s="1302"/>
      <c r="D2663" s="1307"/>
      <c r="E2663" s="1317"/>
      <c r="F2663" s="1318"/>
      <c r="G2663" s="1309" t="str">
        <f>EUconst_Unit</f>
        <v>Единица мярка</v>
      </c>
      <c r="H2663" s="629">
        <f t="shared" ref="H2663:N2663" si="3805">H$2831</f>
        <v>2024</v>
      </c>
      <c r="I2663" s="1310">
        <f t="shared" si="3805"/>
        <v>2025</v>
      </c>
      <c r="J2663" s="1311">
        <f t="shared" si="3805"/>
        <v>2026</v>
      </c>
      <c r="K2663" s="629">
        <f t="shared" si="3805"/>
        <v>2027</v>
      </c>
      <c r="L2663" s="629">
        <f t="shared" si="3805"/>
        <v>2028</v>
      </c>
      <c r="M2663" s="629">
        <f t="shared" si="3805"/>
        <v>2029</v>
      </c>
      <c r="N2663" s="1312">
        <f t="shared" si="3805"/>
        <v>2030</v>
      </c>
      <c r="O2663" s="302"/>
      <c r="P2663" s="302"/>
      <c r="Q2663" s="729"/>
      <c r="R2663" s="694"/>
      <c r="S2663" s="729"/>
      <c r="T2663" s="694"/>
      <c r="U2663" s="694"/>
      <c r="V2663" s="694"/>
      <c r="W2663" s="694"/>
      <c r="X2663" s="694"/>
      <c r="Y2663" s="694"/>
      <c r="Z2663" s="694"/>
      <c r="AA2663" s="694"/>
      <c r="AB2663" s="694"/>
      <c r="AC2663" s="1178">
        <f t="shared" ref="AC2663" si="3806">H$20</f>
        <v>2024</v>
      </c>
      <c r="AD2663" s="1178">
        <f t="shared" ref="AD2663" si="3807">I$20</f>
        <v>2025</v>
      </c>
      <c r="AE2663" s="1178">
        <f t="shared" ref="AE2663" si="3808">J$20</f>
        <v>2026</v>
      </c>
      <c r="AF2663" s="1178">
        <f t="shared" ref="AF2663" si="3809">K$20</f>
        <v>2027</v>
      </c>
      <c r="AG2663" s="1178">
        <f t="shared" ref="AG2663" si="3810">L$20</f>
        <v>2028</v>
      </c>
      <c r="AH2663" s="1178">
        <f t="shared" ref="AH2663" si="3811">M$20</f>
        <v>2029</v>
      </c>
      <c r="AI2663" s="1178">
        <f t="shared" ref="AI2663" si="3812">N$20</f>
        <v>2030</v>
      </c>
      <c r="AJ2663" s="694"/>
      <c r="AK2663" s="694"/>
      <c r="AL2663" s="694"/>
    </row>
    <row r="2664" spans="1:38" ht="12.75" customHeight="1" x14ac:dyDescent="0.25">
      <c r="A2664" s="694"/>
      <c r="B2664" s="298"/>
      <c r="C2664" s="1302"/>
      <c r="D2664" s="625" t="s">
        <v>6</v>
      </c>
      <c r="E2664" s="2820" t="str">
        <f>Translations!$B$1527</f>
        <v>Вложена енергия</v>
      </c>
      <c r="F2664" s="2258"/>
      <c r="G2664" s="1319" t="str">
        <f>EUconst_TJpa</f>
        <v>TJ / година</v>
      </c>
      <c r="H2664" s="56"/>
      <c r="I2664" s="115"/>
      <c r="J2664" s="118"/>
      <c r="K2664" s="56"/>
      <c r="L2664" s="56"/>
      <c r="M2664" s="56"/>
      <c r="N2664" s="121"/>
      <c r="O2664" s="302"/>
      <c r="P2664" s="158"/>
      <c r="Q2664" s="1190" t="str">
        <f>EUconst_CNTR_FuelInput &amp; I2542</f>
        <v>FuelInput_</v>
      </c>
      <c r="R2664" s="694"/>
      <c r="S2664" s="729"/>
      <c r="T2664" s="694"/>
      <c r="U2664" s="694"/>
      <c r="V2664" s="694"/>
      <c r="W2664" s="694"/>
      <c r="X2664" s="694"/>
      <c r="Y2664" s="694"/>
      <c r="Z2664" s="694"/>
      <c r="AA2664" s="694"/>
      <c r="AB2664" s="1182" t="s">
        <v>737</v>
      </c>
      <c r="AC2664" s="982" t="b">
        <f>AC2589</f>
        <v>0</v>
      </c>
      <c r="AD2664" s="982" t="b">
        <f t="shared" ref="AD2664:AI2664" si="3813">AD2589</f>
        <v>0</v>
      </c>
      <c r="AE2664" s="982" t="b">
        <f t="shared" si="3813"/>
        <v>0</v>
      </c>
      <c r="AF2664" s="982" t="b">
        <f t="shared" si="3813"/>
        <v>0</v>
      </c>
      <c r="AG2664" s="982" t="b">
        <f t="shared" si="3813"/>
        <v>0</v>
      </c>
      <c r="AH2664" s="982" t="b">
        <f t="shared" si="3813"/>
        <v>0</v>
      </c>
      <c r="AI2664" s="982" t="b">
        <f t="shared" si="3813"/>
        <v>0</v>
      </c>
      <c r="AJ2664" s="1174" t="s">
        <v>2039</v>
      </c>
      <c r="AK2664" s="1176" t="str">
        <f>IF(AND(CNTR_ExistSubInstEntries,MSconst_RequireSubAttrEmissions,COUNTIFS(AC2664:AI2664,FALSE,H2664:N2664,"")&gt;0),EUconst_Error&amp;"BM"&amp;$Q2542,"")</f>
        <v/>
      </c>
      <c r="AL2664" s="694"/>
    </row>
    <row r="2665" spans="1:38" ht="12.75" customHeight="1" x14ac:dyDescent="0.25">
      <c r="A2665" s="694"/>
      <c r="B2665" s="298"/>
      <c r="C2665" s="1302"/>
      <c r="D2665" s="625" t="s">
        <v>7</v>
      </c>
      <c r="E2665" s="2820" t="str">
        <f>Translations!$B$522</f>
        <v>Претеглен емисионен фактор</v>
      </c>
      <c r="F2665" s="2258"/>
      <c r="G2665" s="1320" t="str">
        <f>EUconst_tCO2pTJ</f>
        <v>t CO2 / TJ</v>
      </c>
      <c r="H2665" s="82"/>
      <c r="I2665" s="126"/>
      <c r="J2665" s="127"/>
      <c r="K2665" s="82"/>
      <c r="L2665" s="82"/>
      <c r="M2665" s="82"/>
      <c r="N2665" s="128"/>
      <c r="O2665" s="302"/>
      <c r="P2665" s="158"/>
      <c r="Q2665" s="1190" t="str">
        <f>EUconst_CNTR_FuelEF &amp; I2542</f>
        <v>FuelEF_</v>
      </c>
      <c r="R2665" s="694"/>
      <c r="S2665" s="729"/>
      <c r="T2665" s="694"/>
      <c r="U2665" s="694"/>
      <c r="V2665" s="694"/>
      <c r="W2665" s="694"/>
      <c r="X2665" s="694"/>
      <c r="Y2665" s="694"/>
      <c r="Z2665" s="694"/>
      <c r="AA2665" s="694"/>
      <c r="AB2665" s="694"/>
      <c r="AC2665" s="982" t="b">
        <f>AC2664</f>
        <v>0</v>
      </c>
      <c r="AD2665" s="982" t="b">
        <f t="shared" ref="AD2665:AI2665" si="3814">AD2664</f>
        <v>0</v>
      </c>
      <c r="AE2665" s="982" t="b">
        <f t="shared" si="3814"/>
        <v>0</v>
      </c>
      <c r="AF2665" s="982" t="b">
        <f t="shared" si="3814"/>
        <v>0</v>
      </c>
      <c r="AG2665" s="982" t="b">
        <f t="shared" si="3814"/>
        <v>0</v>
      </c>
      <c r="AH2665" s="982" t="b">
        <f t="shared" si="3814"/>
        <v>0</v>
      </c>
      <c r="AI2665" s="982" t="b">
        <f t="shared" si="3814"/>
        <v>0</v>
      </c>
      <c r="AJ2665" s="1174" t="s">
        <v>2039</v>
      </c>
      <c r="AK2665" s="1176" t="str">
        <f>IF(AND(CNTR_ExistSubInstEntries,MSconst_RequireSubAttrEmissions,COUNTIFS(AC2665:AI2665,FALSE,H2665:N2665,"")&gt;0),EUconst_Error&amp;"BM"&amp;$Q2542,"")</f>
        <v/>
      </c>
      <c r="AL2665" s="694"/>
    </row>
    <row r="2666" spans="1:38" ht="12.75" customHeight="1" x14ac:dyDescent="0.25">
      <c r="A2666" s="694"/>
      <c r="B2666" s="298"/>
      <c r="C2666" s="1302"/>
      <c r="D2666" s="1306"/>
      <c r="E2666" s="1306"/>
      <c r="F2666" s="1306"/>
      <c r="G2666" s="1306"/>
      <c r="H2666" s="1306"/>
      <c r="I2666" s="1306"/>
      <c r="J2666" s="1306"/>
      <c r="K2666" s="1306"/>
      <c r="L2666" s="1306"/>
      <c r="M2666" s="626"/>
      <c r="N2666" s="1316"/>
      <c r="O2666" s="302"/>
      <c r="P2666" s="302"/>
      <c r="Q2666" s="729"/>
      <c r="R2666" s="694"/>
      <c r="S2666" s="729"/>
      <c r="T2666" s="694"/>
      <c r="U2666" s="694"/>
      <c r="V2666" s="694"/>
      <c r="W2666" s="694"/>
      <c r="X2666" s="694"/>
      <c r="Y2666" s="694"/>
      <c r="Z2666" s="694"/>
      <c r="AA2666" s="694"/>
      <c r="AB2666" s="694"/>
      <c r="AC2666" s="694"/>
      <c r="AD2666" s="694"/>
      <c r="AE2666" s="694"/>
      <c r="AF2666" s="694"/>
      <c r="AG2666" s="694"/>
      <c r="AH2666" s="694"/>
      <c r="AI2666" s="694"/>
      <c r="AJ2666" s="694"/>
      <c r="AK2666" s="694"/>
      <c r="AL2666" s="694"/>
    </row>
    <row r="2667" spans="1:38" ht="12.75" customHeight="1" x14ac:dyDescent="0.25">
      <c r="A2667" s="694"/>
      <c r="B2667" s="298"/>
      <c r="C2667" s="1302"/>
      <c r="D2667" s="1307" t="s">
        <v>279</v>
      </c>
      <c r="E2667" s="2815" t="str">
        <f>Translations!$B$523</f>
        <v>Други вътрешни пораждащи емисии потоци, получени или подадени от тази подинсталация</v>
      </c>
      <c r="F2667" s="2240"/>
      <c r="G2667" s="2240"/>
      <c r="H2667" s="2240"/>
      <c r="I2667" s="2240"/>
      <c r="J2667" s="2240"/>
      <c r="K2667" s="2240"/>
      <c r="L2667" s="2240"/>
      <c r="M2667" s="2240"/>
      <c r="N2667" s="2811"/>
      <c r="O2667" s="302"/>
      <c r="P2667" s="302"/>
      <c r="Q2667" s="729"/>
      <c r="R2667" s="729"/>
      <c r="S2667" s="729"/>
      <c r="T2667" s="694"/>
      <c r="U2667" s="694"/>
      <c r="V2667" s="694"/>
      <c r="W2667" s="694"/>
      <c r="X2667" s="694"/>
      <c r="Y2667" s="694"/>
      <c r="Z2667" s="694"/>
      <c r="AA2667" s="694"/>
      <c r="AB2667" s="694"/>
      <c r="AC2667" s="694"/>
      <c r="AD2667" s="694"/>
      <c r="AE2667" s="694"/>
      <c r="AF2667" s="694"/>
      <c r="AG2667" s="694"/>
      <c r="AH2667" s="694"/>
      <c r="AI2667" s="694"/>
      <c r="AJ2667" s="694"/>
      <c r="AK2667" s="694"/>
      <c r="AL2667" s="694"/>
    </row>
    <row r="2668" spans="1:38" ht="12.75" customHeight="1" x14ac:dyDescent="0.25">
      <c r="A2668" s="694"/>
      <c r="B2668" s="298"/>
      <c r="C2668" s="1302"/>
      <c r="D2668" s="625"/>
      <c r="E2668" s="2816" t="str">
        <f>Translations!$B$508</f>
        <v>Посочените тук данни ще се отразят на емисиите, които могат да бъдат зададени съгласно раздел 10.1.1 от приложение VII към ПБР.</v>
      </c>
      <c r="F2668" s="2240"/>
      <c r="G2668" s="2240"/>
      <c r="H2668" s="2240"/>
      <c r="I2668" s="2240"/>
      <c r="J2668" s="2240"/>
      <c r="K2668" s="2240"/>
      <c r="L2668" s="2240"/>
      <c r="M2668" s="2240"/>
      <c r="N2668" s="2811"/>
      <c r="O2668" s="302"/>
      <c r="P2668" s="302"/>
      <c r="Q2668" s="729"/>
      <c r="R2668" s="694"/>
      <c r="S2668" s="729"/>
      <c r="T2668" s="729"/>
      <c r="U2668" s="729"/>
      <c r="V2668" s="729"/>
      <c r="W2668" s="694"/>
      <c r="X2668" s="694"/>
      <c r="Y2668" s="694"/>
      <c r="Z2668" s="694"/>
      <c r="AA2668" s="694"/>
      <c r="AB2668" s="694"/>
      <c r="AC2668" s="694"/>
      <c r="AD2668" s="694"/>
      <c r="AE2668" s="694"/>
      <c r="AF2668" s="694"/>
      <c r="AG2668" s="694"/>
      <c r="AH2668" s="694"/>
      <c r="AI2668" s="694"/>
      <c r="AJ2668" s="694"/>
      <c r="AK2668" s="694"/>
      <c r="AL2668" s="694"/>
    </row>
    <row r="2669" spans="1:38" ht="25.5" customHeight="1" x14ac:dyDescent="0.25">
      <c r="A2669" s="694"/>
      <c r="B2669" s="298"/>
      <c r="C2669" s="1302"/>
      <c r="D2669" s="1306"/>
      <c r="E2669" s="2816" t="str">
        <f>Translations!$B$524</f>
        <v>Имайте предвид, че всички пораждащи емисии потоци трябва да се изброят тук само ако не са обхванати от преките емисии в буква g) по-горе, за да се избегнат пропуски в данните или двойно отчитане. Емисиите, свързани с отпадните газове, НЕ могат да се изброяват тук, а трябва да се посочват в буква l) по-долу.</v>
      </c>
      <c r="F2669" s="2240"/>
      <c r="G2669" s="2240"/>
      <c r="H2669" s="2240"/>
      <c r="I2669" s="2240"/>
      <c r="J2669" s="2240"/>
      <c r="K2669" s="2240"/>
      <c r="L2669" s="2240"/>
      <c r="M2669" s="2240"/>
      <c r="N2669" s="2811"/>
      <c r="O2669" s="302"/>
      <c r="P2669" s="302"/>
      <c r="Q2669" s="729"/>
      <c r="R2669" s="729"/>
      <c r="S2669" s="729"/>
      <c r="T2669" s="694"/>
      <c r="U2669" s="694"/>
      <c r="V2669" s="694"/>
      <c r="W2669" s="694"/>
      <c r="X2669" s="694"/>
      <c r="Y2669" s="694"/>
      <c r="Z2669" s="694"/>
      <c r="AA2669" s="694"/>
      <c r="AB2669" s="694"/>
      <c r="AC2669" s="694"/>
      <c r="AD2669" s="694"/>
      <c r="AE2669" s="694"/>
      <c r="AF2669" s="694"/>
      <c r="AG2669" s="694"/>
      <c r="AH2669" s="694"/>
      <c r="AI2669" s="694"/>
      <c r="AJ2669" s="694"/>
      <c r="AK2669" s="694"/>
      <c r="AL2669" s="694"/>
    </row>
    <row r="2670" spans="1:38" ht="12.75" customHeight="1" x14ac:dyDescent="0.25">
      <c r="A2670" s="694"/>
      <c r="B2670" s="298"/>
      <c r="C2670" s="1302"/>
      <c r="D2670" s="1306"/>
      <c r="E2670" s="2810" t="str">
        <f>Translations!$B$525</f>
        <v>Тук въведете информация за т.нар. вътрешни пораждащи емисии потоци, които се пренасят между подинсталациите, т.е. са получени или подадени от тази подинсталация.</v>
      </c>
      <c r="F2670" s="2240"/>
      <c r="G2670" s="2240"/>
      <c r="H2670" s="2240"/>
      <c r="I2670" s="2240"/>
      <c r="J2670" s="2240"/>
      <c r="K2670" s="2240"/>
      <c r="L2670" s="2240"/>
      <c r="M2670" s="2240"/>
      <c r="N2670" s="2811"/>
      <c r="O2670" s="302"/>
      <c r="P2670" s="302"/>
      <c r="Q2670" s="729"/>
      <c r="R2670" s="729"/>
      <c r="S2670" s="729"/>
      <c r="T2670" s="694"/>
      <c r="U2670" s="694"/>
      <c r="V2670" s="694"/>
      <c r="W2670" s="694"/>
      <c r="X2670" s="694"/>
      <c r="Y2670" s="694"/>
      <c r="Z2670" s="694"/>
      <c r="AA2670" s="694"/>
      <c r="AB2670" s="694"/>
      <c r="AC2670" s="694"/>
      <c r="AD2670" s="694"/>
      <c r="AE2670" s="694"/>
      <c r="AF2670" s="694"/>
      <c r="AG2670" s="694"/>
      <c r="AH2670" s="694"/>
      <c r="AI2670" s="694"/>
      <c r="AJ2670" s="694"/>
      <c r="AK2670" s="694"/>
      <c r="AL2670" s="694"/>
    </row>
    <row r="2671" spans="1:38" ht="38.9" customHeight="1" x14ac:dyDescent="0.25">
      <c r="A2671" s="694"/>
      <c r="B2671" s="298"/>
      <c r="C2671" s="1302"/>
      <c r="D2671" s="1306"/>
      <c r="E2671" s="2810" t="str">
        <f>Translations!$B$526</f>
        <v>Така например, ако това е подинсталацията за „кокс“ на комбинирана инсталация за чугун и стомана, емисиите, свързани с консумацията на кокс, възникват в доменната пещ и не трябва да се задават на тази подинсталация (т.е. подинсталацията за „кокс“). Въпреки това част от емисиите се включват в буква g) по-горе, защото въглищата, които се вкарват в коксовата пещ, ще са един от зададените на първата стъпка пораждащи емисии потоци.</v>
      </c>
      <c r="F2671" s="2240"/>
      <c r="G2671" s="2240"/>
      <c r="H2671" s="2240"/>
      <c r="I2671" s="2240"/>
      <c r="J2671" s="2240"/>
      <c r="K2671" s="2240"/>
      <c r="L2671" s="2240"/>
      <c r="M2671" s="2240"/>
      <c r="N2671" s="2811"/>
      <c r="O2671" s="302"/>
      <c r="P2671" s="302"/>
      <c r="Q2671" s="729"/>
      <c r="R2671" s="694"/>
      <c r="S2671" s="729"/>
      <c r="T2671" s="694"/>
      <c r="U2671" s="694"/>
      <c r="V2671" s="694"/>
      <c r="W2671" s="694"/>
      <c r="X2671" s="694"/>
      <c r="Y2671" s="694"/>
      <c r="Z2671" s="694"/>
      <c r="AA2671" s="694"/>
      <c r="AB2671" s="694"/>
      <c r="AC2671" s="694"/>
      <c r="AD2671" s="694"/>
      <c r="AE2671" s="694"/>
      <c r="AF2671" s="694"/>
      <c r="AG2671" s="694"/>
      <c r="AH2671" s="694"/>
      <c r="AI2671" s="694"/>
      <c r="AJ2671" s="694"/>
      <c r="AK2671" s="694"/>
      <c r="AL2671" s="694"/>
    </row>
    <row r="2672" spans="1:38" ht="51" customHeight="1" x14ac:dyDescent="0.25">
      <c r="A2672" s="694"/>
      <c r="B2672" s="298"/>
      <c r="C2672" s="1302"/>
      <c r="D2672" s="1306"/>
      <c r="E2672" s="2810" t="str">
        <f>Translations!$B$527</f>
        <v>За да се избегне двойно отчитане, коксът, който излиза от коксовата подинсталация, трябва да се коригира като изходящ „вътрешен пораждащ емисии поток“. Това става чрез отрицателна стойност за количеството кокс в случай на „подаване“. За да се получи пълен баланс на емисиите от въглищата, вкарани в коксовата подинсталация, емисиите, свързани с използването на коксов газ (= отпаден газ), са отразени в буква g) по-горе (както е включено в емисиите от въглища), до степента на използване на газа в рамките на подинсталацията. Тук не трябва да се внасят корекции, за да се отчетат подадените количества отпаден газ; това се прави в l).xx. по-долу.</v>
      </c>
      <c r="F2672" s="2240"/>
      <c r="G2672" s="2240"/>
      <c r="H2672" s="2240"/>
      <c r="I2672" s="2240"/>
      <c r="J2672" s="2240"/>
      <c r="K2672" s="2240"/>
      <c r="L2672" s="2240"/>
      <c r="M2672" s="2240"/>
      <c r="N2672" s="2811"/>
      <c r="O2672" s="302"/>
      <c r="P2672" s="302"/>
      <c r="Q2672" s="729"/>
      <c r="R2672" s="694"/>
      <c r="S2672" s="729"/>
      <c r="T2672" s="694"/>
      <c r="U2672" s="694"/>
      <c r="V2672" s="694"/>
      <c r="W2672" s="694"/>
      <c r="X2672" s="694"/>
      <c r="Y2672" s="694"/>
      <c r="Z2672" s="694"/>
      <c r="AA2672" s="694"/>
      <c r="AB2672" s="694"/>
      <c r="AC2672" s="694"/>
      <c r="AD2672" s="694"/>
      <c r="AE2672" s="694"/>
      <c r="AF2672" s="694"/>
      <c r="AG2672" s="694"/>
      <c r="AH2672" s="694"/>
      <c r="AI2672" s="694"/>
      <c r="AJ2672" s="694"/>
      <c r="AK2672" s="694"/>
      <c r="AL2672" s="694"/>
    </row>
    <row r="2673" spans="1:38" ht="25.5" customHeight="1" x14ac:dyDescent="0.25">
      <c r="A2673" s="694"/>
      <c r="B2673" s="298"/>
      <c r="C2673" s="1302"/>
      <c r="D2673" s="1306"/>
      <c r="E2673" s="2810" t="str">
        <f>Translations!$B$528</f>
        <v>И обратно, ако това е подинсталация с показател за течни черни метали в комбинирана инсталация за чугун и стомана, коксът трябва да се посочи тук като входящ/получен „вътрешен“ пораждащ емисии поток с положително количество.</v>
      </c>
      <c r="F2673" s="2240"/>
      <c r="G2673" s="2240"/>
      <c r="H2673" s="2240"/>
      <c r="I2673" s="2240"/>
      <c r="J2673" s="2240"/>
      <c r="K2673" s="2240"/>
      <c r="L2673" s="2240"/>
      <c r="M2673" s="2240"/>
      <c r="N2673" s="2811"/>
      <c r="O2673" s="302"/>
      <c r="P2673" s="302"/>
      <c r="Q2673" s="729"/>
      <c r="R2673" s="694"/>
      <c r="S2673" s="729"/>
      <c r="T2673" s="694"/>
      <c r="U2673" s="694"/>
      <c r="V2673" s="694"/>
      <c r="W2673" s="694"/>
      <c r="X2673" s="694"/>
      <c r="Y2673" s="694"/>
      <c r="Z2673" s="694"/>
      <c r="AA2673" s="694"/>
      <c r="AB2673" s="694"/>
      <c r="AC2673" s="694"/>
      <c r="AD2673" s="694"/>
      <c r="AE2673" s="694"/>
      <c r="AF2673" s="694"/>
      <c r="AG2673" s="694"/>
      <c r="AH2673" s="694"/>
      <c r="AI2673" s="694"/>
      <c r="AJ2673" s="694"/>
      <c r="AK2673" s="694"/>
      <c r="AL2673" s="694"/>
    </row>
    <row r="2674" spans="1:38" ht="12.75" customHeight="1" x14ac:dyDescent="0.25">
      <c r="A2674" s="694"/>
      <c r="B2674" s="298"/>
      <c r="C2674" s="1302"/>
      <c r="D2674" s="625" t="s">
        <v>6</v>
      </c>
      <c r="E2674" s="2817" t="str">
        <f>Translations!$B$529</f>
        <v>За тази подинсталация отнасят ли се други получени или подадени вътрешни пораждащи емисии потоци?</v>
      </c>
      <c r="F2674" s="2240"/>
      <c r="G2674" s="2240"/>
      <c r="H2674" s="2240"/>
      <c r="I2674" s="2240"/>
      <c r="J2674" s="2240"/>
      <c r="K2674" s="2684"/>
      <c r="L2674" s="83"/>
      <c r="M2674" s="1322"/>
      <c r="N2674" s="1323"/>
      <c r="O2674" s="302"/>
      <c r="P2674" s="158"/>
      <c r="Q2674" s="729"/>
      <c r="R2674" s="694"/>
      <c r="S2674" s="729"/>
      <c r="T2674" s="694"/>
      <c r="U2674" s="694"/>
      <c r="V2674" s="694"/>
      <c r="W2674" s="694"/>
      <c r="X2674" s="694"/>
      <c r="Y2674" s="694"/>
      <c r="Z2674" s="694"/>
      <c r="AA2674" s="694"/>
      <c r="AB2674" s="694"/>
      <c r="AC2674" s="694"/>
      <c r="AD2674" s="694"/>
      <c r="AE2674" s="694"/>
      <c r="AF2674" s="1182" t="s">
        <v>737</v>
      </c>
      <c r="AG2674" s="901" t="b">
        <f>AND(CNTR_ExistSubInstEntries,I2542="")</f>
        <v>0</v>
      </c>
      <c r="AH2674" s="694"/>
      <c r="AI2674" s="694"/>
      <c r="AJ2674" s="694"/>
      <c r="AK2674" s="694"/>
      <c r="AL2674" s="694"/>
    </row>
    <row r="2675" spans="1:38" ht="12.75" customHeight="1" x14ac:dyDescent="0.25">
      <c r="A2675" s="694"/>
      <c r="B2675" s="298"/>
      <c r="C2675" s="1302"/>
      <c r="D2675" s="1306"/>
      <c r="E2675" s="2810" t="str">
        <f>Translations!$B$530</f>
        <v>Ако има над два получени или подадени пораждащи емисии потока, тези няколко пораждащи емисии потока следва да се групират заедно и да се посочат имената им.</v>
      </c>
      <c r="F2675" s="2240"/>
      <c r="G2675" s="2240"/>
      <c r="H2675" s="2240"/>
      <c r="I2675" s="2240"/>
      <c r="J2675" s="2240"/>
      <c r="K2675" s="2240"/>
      <c r="L2675" s="2240"/>
      <c r="M2675" s="2240"/>
      <c r="N2675" s="2811"/>
      <c r="O2675" s="302"/>
      <c r="P2675" s="302"/>
      <c r="Q2675" s="729"/>
      <c r="R2675" s="694"/>
      <c r="S2675" s="729"/>
      <c r="T2675" s="694"/>
      <c r="U2675" s="694"/>
      <c r="V2675" s="694"/>
      <c r="W2675" s="694"/>
      <c r="X2675" s="694"/>
      <c r="Y2675" s="694"/>
      <c r="Z2675" s="694"/>
      <c r="AA2675" s="694"/>
      <c r="AB2675" s="694"/>
      <c r="AC2675" s="694"/>
      <c r="AD2675" s="694"/>
      <c r="AE2675" s="694"/>
      <c r="AF2675" s="694"/>
      <c r="AG2675" s="694"/>
      <c r="AH2675" s="694"/>
      <c r="AI2675" s="694"/>
      <c r="AJ2675" s="694"/>
      <c r="AK2675" s="694"/>
      <c r="AL2675" s="694"/>
    </row>
    <row r="2676" spans="1:38" ht="12.75" customHeight="1" x14ac:dyDescent="0.25">
      <c r="A2676" s="694"/>
      <c r="B2676" s="298"/>
      <c r="C2676" s="1302"/>
      <c r="D2676" s="625" t="s">
        <v>7</v>
      </c>
      <c r="E2676" s="2815" t="str">
        <f>Translations!$B$531</f>
        <v>Име на други пораждащи емисии потоци — 1:</v>
      </c>
      <c r="F2676" s="2240"/>
      <c r="G2676" s="2240"/>
      <c r="H2676" s="2684"/>
      <c r="I2676" s="2821"/>
      <c r="J2676" s="2834"/>
      <c r="K2676" s="2834"/>
      <c r="L2676" s="2834"/>
      <c r="M2676" s="2835"/>
      <c r="N2676" s="1324"/>
      <c r="O2676" s="302"/>
      <c r="P2676" s="158"/>
      <c r="Q2676" s="729"/>
      <c r="R2676" s="694"/>
      <c r="S2676" s="729"/>
      <c r="T2676" s="694"/>
      <c r="U2676" s="694"/>
      <c r="V2676" s="694"/>
      <c r="W2676" s="694"/>
      <c r="X2676" s="694"/>
      <c r="Y2676" s="694"/>
      <c r="Z2676" s="694"/>
      <c r="AA2676" s="694"/>
      <c r="AB2676" s="694"/>
      <c r="AC2676" s="1182" t="s">
        <v>737</v>
      </c>
      <c r="AD2676" s="901" t="b">
        <f>OR(AG2674,AND($L2674&lt;&gt;"",$L2674=FALSE))</f>
        <v>0</v>
      </c>
      <c r="AE2676" s="694"/>
      <c r="AF2676" s="694"/>
      <c r="AG2676" s="694"/>
      <c r="AH2676" s="694"/>
      <c r="AI2676" s="694"/>
      <c r="AJ2676" s="694"/>
      <c r="AK2676" s="694"/>
      <c r="AL2676" s="694"/>
    </row>
    <row r="2677" spans="1:38" ht="5.15" customHeight="1" x14ac:dyDescent="0.25">
      <c r="A2677" s="694"/>
      <c r="B2677" s="298"/>
      <c r="C2677" s="1302"/>
      <c r="D2677" s="1306"/>
      <c r="E2677" s="1325"/>
      <c r="F2677" s="1322"/>
      <c r="G2677" s="1322"/>
      <c r="H2677" s="1322"/>
      <c r="I2677" s="1322"/>
      <c r="J2677" s="1322"/>
      <c r="K2677" s="1322"/>
      <c r="L2677" s="1322"/>
      <c r="M2677" s="1322"/>
      <c r="N2677" s="1323"/>
      <c r="O2677" s="302"/>
      <c r="P2677" s="302"/>
      <c r="Q2677" s="729"/>
      <c r="R2677" s="694"/>
      <c r="S2677" s="729"/>
      <c r="T2677" s="694"/>
      <c r="U2677" s="694"/>
      <c r="V2677" s="694"/>
      <c r="W2677" s="694"/>
      <c r="X2677" s="694"/>
      <c r="Y2677" s="694"/>
      <c r="Z2677" s="694"/>
      <c r="AA2677" s="694"/>
      <c r="AB2677" s="694"/>
      <c r="AC2677" s="694"/>
      <c r="AD2677" s="694"/>
      <c r="AE2677" s="694"/>
      <c r="AF2677" s="694"/>
      <c r="AG2677" s="694"/>
      <c r="AH2677" s="694"/>
      <c r="AI2677" s="694"/>
      <c r="AJ2677" s="694"/>
      <c r="AK2677" s="694"/>
      <c r="AL2677" s="694"/>
    </row>
    <row r="2678" spans="1:38" ht="12.75" customHeight="1" thickBot="1" x14ac:dyDescent="0.3">
      <c r="A2678" s="694"/>
      <c r="B2678" s="298"/>
      <c r="C2678" s="1302"/>
      <c r="D2678" s="1306"/>
      <c r="E2678" s="2803" t="str">
        <f>Translations!$B$532</f>
        <v>Други пораждащи емисии потоци — 1</v>
      </c>
      <c r="F2678" s="2672"/>
      <c r="G2678" s="1309" t="str">
        <f>EUconst_Unit</f>
        <v>Единица мярка</v>
      </c>
      <c r="H2678" s="629">
        <f t="shared" ref="H2678:N2678" si="3815">H$2831</f>
        <v>2024</v>
      </c>
      <c r="I2678" s="1310">
        <f t="shared" si="3815"/>
        <v>2025</v>
      </c>
      <c r="J2678" s="1311">
        <f t="shared" si="3815"/>
        <v>2026</v>
      </c>
      <c r="K2678" s="629">
        <f t="shared" si="3815"/>
        <v>2027</v>
      </c>
      <c r="L2678" s="629">
        <f t="shared" si="3815"/>
        <v>2028</v>
      </c>
      <c r="M2678" s="629">
        <f t="shared" si="3815"/>
        <v>2029</v>
      </c>
      <c r="N2678" s="1312">
        <f t="shared" si="3815"/>
        <v>2030</v>
      </c>
      <c r="O2678" s="302"/>
      <c r="P2678" s="302"/>
      <c r="Q2678" s="729"/>
      <c r="R2678" s="694"/>
      <c r="S2678" s="729"/>
      <c r="T2678" s="694"/>
      <c r="U2678" s="694"/>
      <c r="V2678" s="694"/>
      <c r="W2678" s="694"/>
      <c r="X2678" s="694"/>
      <c r="Y2678" s="694"/>
      <c r="Z2678" s="694"/>
      <c r="AA2678" s="694"/>
      <c r="AB2678" s="694"/>
      <c r="AC2678" s="1178">
        <f t="shared" ref="AC2678" si="3816">H$20</f>
        <v>2024</v>
      </c>
      <c r="AD2678" s="1178">
        <f t="shared" ref="AD2678" si="3817">I$20</f>
        <v>2025</v>
      </c>
      <c r="AE2678" s="1178">
        <f t="shared" ref="AE2678" si="3818">J$20</f>
        <v>2026</v>
      </c>
      <c r="AF2678" s="1178">
        <f t="shared" ref="AF2678" si="3819">K$20</f>
        <v>2027</v>
      </c>
      <c r="AG2678" s="1178">
        <f t="shared" ref="AG2678" si="3820">L$20</f>
        <v>2028</v>
      </c>
      <c r="AH2678" s="1178">
        <f t="shared" ref="AH2678" si="3821">M$20</f>
        <v>2029</v>
      </c>
      <c r="AI2678" s="1178">
        <f t="shared" ref="AI2678" si="3822">N$20</f>
        <v>2030</v>
      </c>
      <c r="AJ2678" s="694"/>
      <c r="AK2678" s="694"/>
      <c r="AL2678" s="694"/>
    </row>
    <row r="2679" spans="1:38" ht="12.75" customHeight="1" x14ac:dyDescent="0.25">
      <c r="A2679" s="694"/>
      <c r="B2679" s="298"/>
      <c r="C2679" s="1302"/>
      <c r="D2679" s="625" t="s">
        <v>8</v>
      </c>
      <c r="E2679" s="2818" t="str">
        <f>Translations!$B$533</f>
        <v>Получено или подадено количество</v>
      </c>
      <c r="F2679" s="2701"/>
      <c r="G2679" s="1326" t="str">
        <f>EUconst_tpa</f>
        <v>t / година</v>
      </c>
      <c r="H2679" s="129"/>
      <c r="I2679" s="130"/>
      <c r="J2679" s="131"/>
      <c r="K2679" s="129"/>
      <c r="L2679" s="129"/>
      <c r="M2679" s="129"/>
      <c r="N2679" s="132"/>
      <c r="O2679" s="302"/>
      <c r="P2679" s="158"/>
      <c r="Q2679" s="729"/>
      <c r="R2679" s="694"/>
      <c r="S2679" s="729"/>
      <c r="T2679" s="694"/>
      <c r="U2679" s="694"/>
      <c r="V2679" s="694"/>
      <c r="W2679" s="694"/>
      <c r="X2679" s="694"/>
      <c r="Y2679" s="694"/>
      <c r="Z2679" s="694"/>
      <c r="AA2679" s="694"/>
      <c r="AB2679" s="1182" t="s">
        <v>737</v>
      </c>
      <c r="AC2679" s="901" t="b">
        <f>OR(AND($L2674&lt;&gt;"",$L2674=FALSE),AC2589)</f>
        <v>0</v>
      </c>
      <c r="AD2679" s="982" t="b">
        <f t="shared" ref="AD2679:AI2679" si="3823">OR(AND($L2674&lt;&gt;"",$L2674=FALSE),AD2589)</f>
        <v>0</v>
      </c>
      <c r="AE2679" s="982" t="b">
        <f t="shared" si="3823"/>
        <v>0</v>
      </c>
      <c r="AF2679" s="982" t="b">
        <f t="shared" si="3823"/>
        <v>0</v>
      </c>
      <c r="AG2679" s="982" t="b">
        <f t="shared" si="3823"/>
        <v>0</v>
      </c>
      <c r="AH2679" s="982" t="b">
        <f t="shared" si="3823"/>
        <v>0</v>
      </c>
      <c r="AI2679" s="982" t="b">
        <f t="shared" si="3823"/>
        <v>0</v>
      </c>
      <c r="AJ2679" s="1174" t="s">
        <v>2039</v>
      </c>
      <c r="AK2679" s="1176" t="str">
        <f>IF(AND(CNTR_ExistSubInstEntries,MSconst_RequireSubAttrEmissions,COUNTIFS(AC2679:AI2679,FALSE,H2679:N2679,"")&gt;0),EUconst_Error&amp;"BM"&amp;$Q2542,"")</f>
        <v/>
      </c>
      <c r="AL2679" s="694"/>
    </row>
    <row r="2680" spans="1:38" ht="12.75" customHeight="1" x14ac:dyDescent="0.25">
      <c r="A2680" s="694"/>
      <c r="B2680" s="298"/>
      <c r="C2680" s="1302"/>
      <c r="D2680" s="625" t="s">
        <v>18</v>
      </c>
      <c r="E2680" s="2831" t="str">
        <f>Translations!$B$534</f>
        <v>Долна топлина на изгаряне (NCV), ако е приложимо</v>
      </c>
      <c r="F2680" s="2703"/>
      <c r="G2680" s="1327" t="str">
        <f>EUconst_GJpt</f>
        <v>GJ / t</v>
      </c>
      <c r="H2680" s="133"/>
      <c r="I2680" s="134"/>
      <c r="J2680" s="135"/>
      <c r="K2680" s="133"/>
      <c r="L2680" s="133"/>
      <c r="M2680" s="133"/>
      <c r="N2680" s="136"/>
      <c r="O2680" s="302"/>
      <c r="P2680" s="158"/>
      <c r="Q2680" s="729"/>
      <c r="R2680" s="694"/>
      <c r="S2680" s="729"/>
      <c r="T2680" s="694"/>
      <c r="U2680" s="694"/>
      <c r="V2680" s="694"/>
      <c r="W2680" s="694"/>
      <c r="X2680" s="694"/>
      <c r="Y2680" s="694"/>
      <c r="Z2680" s="694"/>
      <c r="AA2680" s="694"/>
      <c r="AB2680" s="694"/>
      <c r="AC2680" s="982" t="b">
        <f t="shared" ref="AC2680:AI2680" si="3824">AC2679</f>
        <v>0</v>
      </c>
      <c r="AD2680" s="982" t="b">
        <f t="shared" si="3824"/>
        <v>0</v>
      </c>
      <c r="AE2680" s="982" t="b">
        <f t="shared" si="3824"/>
        <v>0</v>
      </c>
      <c r="AF2680" s="982" t="b">
        <f t="shared" si="3824"/>
        <v>0</v>
      </c>
      <c r="AG2680" s="982" t="b">
        <f t="shared" si="3824"/>
        <v>0</v>
      </c>
      <c r="AH2680" s="982" t="b">
        <f t="shared" si="3824"/>
        <v>0</v>
      </c>
      <c r="AI2680" s="982" t="b">
        <f t="shared" si="3824"/>
        <v>0</v>
      </c>
      <c r="AJ2680" s="1174" t="s">
        <v>2039</v>
      </c>
      <c r="AK2680" s="1176" t="str">
        <f>IF(AND(CNTR_ExistSubInstEntries,MSconst_RequireSubAttrEmissions,COUNTIFS(AC2680:AI2680,FALSE,H2680:N2680,"")&gt;0),EUconst_Error&amp;"BM"&amp;$Q2542,"")</f>
        <v/>
      </c>
      <c r="AL2680" s="694"/>
    </row>
    <row r="2681" spans="1:38" ht="12.75" customHeight="1" thickBot="1" x14ac:dyDescent="0.3">
      <c r="A2681" s="694"/>
      <c r="B2681" s="298"/>
      <c r="C2681" s="1302"/>
      <c r="D2681" s="625" t="s">
        <v>810</v>
      </c>
      <c r="E2681" s="2831" t="str">
        <f>Translations!$B$535</f>
        <v>Въглеродно съдържание (тегловни %)</v>
      </c>
      <c r="F2681" s="2703"/>
      <c r="G2681" s="1328" t="s">
        <v>903</v>
      </c>
      <c r="H2681" s="133"/>
      <c r="I2681" s="134"/>
      <c r="J2681" s="135"/>
      <c r="K2681" s="133"/>
      <c r="L2681" s="133"/>
      <c r="M2681" s="133"/>
      <c r="N2681" s="136"/>
      <c r="O2681" s="302"/>
      <c r="P2681" s="158"/>
      <c r="Q2681" s="729"/>
      <c r="R2681" s="694"/>
      <c r="S2681" s="729"/>
      <c r="T2681" s="694"/>
      <c r="U2681" s="694"/>
      <c r="V2681" s="694"/>
      <c r="W2681" s="694"/>
      <c r="X2681" s="694"/>
      <c r="Y2681" s="694"/>
      <c r="Z2681" s="694"/>
      <c r="AA2681" s="694"/>
      <c r="AB2681" s="694"/>
      <c r="AC2681" s="982" t="b">
        <f t="shared" ref="AC2681:AI2681" si="3825">AC2680</f>
        <v>0</v>
      </c>
      <c r="AD2681" s="982" t="b">
        <f t="shared" si="3825"/>
        <v>0</v>
      </c>
      <c r="AE2681" s="982" t="b">
        <f t="shared" si="3825"/>
        <v>0</v>
      </c>
      <c r="AF2681" s="982" t="b">
        <f t="shared" si="3825"/>
        <v>0</v>
      </c>
      <c r="AG2681" s="982" t="b">
        <f t="shared" si="3825"/>
        <v>0</v>
      </c>
      <c r="AH2681" s="982" t="b">
        <f t="shared" si="3825"/>
        <v>0</v>
      </c>
      <c r="AI2681" s="982" t="b">
        <f t="shared" si="3825"/>
        <v>0</v>
      </c>
      <c r="AJ2681" s="1174" t="s">
        <v>2039</v>
      </c>
      <c r="AK2681" s="1176" t="str">
        <f>IF(AND(CNTR_ExistSubInstEntries,MSconst_RequireSubAttrEmissions,COUNTIFS(AC2681:AI2681,FALSE,H2681:N2681,"")&gt;0),EUconst_Error&amp;"BM"&amp;$Q2542,"")</f>
        <v/>
      </c>
      <c r="AL2681" s="694"/>
    </row>
    <row r="2682" spans="1:38" ht="12.75" customHeight="1" x14ac:dyDescent="0.25">
      <c r="A2682" s="694"/>
      <c r="B2682" s="298"/>
      <c r="C2682" s="1302"/>
      <c r="D2682" s="625" t="s">
        <v>811</v>
      </c>
      <c r="E2682" s="2828" t="str">
        <f>Translations!$B$536</f>
        <v>Съдържание на биомаса (като дял от въглеродното съдържание)</v>
      </c>
      <c r="F2682" s="2705"/>
      <c r="G2682" s="1329" t="s">
        <v>903</v>
      </c>
      <c r="H2682" s="137"/>
      <c r="I2682" s="138"/>
      <c r="J2682" s="139"/>
      <c r="K2682" s="137"/>
      <c r="L2682" s="137"/>
      <c r="M2682" s="137"/>
      <c r="N2682" s="140"/>
      <c r="O2682" s="302"/>
      <c r="P2682" s="158"/>
      <c r="Q2682" s="729"/>
      <c r="R2682" s="694"/>
      <c r="S2682" s="1205"/>
      <c r="T2682" s="1313">
        <f t="shared" ref="T2682" si="3826">H2678</f>
        <v>2024</v>
      </c>
      <c r="U2682" s="1313">
        <f t="shared" ref="U2682" si="3827">I2678</f>
        <v>2025</v>
      </c>
      <c r="V2682" s="1313">
        <f t="shared" ref="V2682" si="3828">J2678</f>
        <v>2026</v>
      </c>
      <c r="W2682" s="1313">
        <f t="shared" ref="W2682" si="3829">K2678</f>
        <v>2027</v>
      </c>
      <c r="X2682" s="1313">
        <f t="shared" ref="X2682" si="3830">L2678</f>
        <v>2028</v>
      </c>
      <c r="Y2682" s="1313">
        <f t="shared" ref="Y2682" si="3831">M2678</f>
        <v>2029</v>
      </c>
      <c r="Z2682" s="1314">
        <f t="shared" ref="Z2682" si="3832">N2678</f>
        <v>2030</v>
      </c>
      <c r="AA2682" s="694"/>
      <c r="AB2682" s="694"/>
      <c r="AC2682" s="982" t="b">
        <f t="shared" ref="AC2682:AI2682" si="3833">AC2681</f>
        <v>0</v>
      </c>
      <c r="AD2682" s="982" t="b">
        <f t="shared" si="3833"/>
        <v>0</v>
      </c>
      <c r="AE2682" s="982" t="b">
        <f t="shared" si="3833"/>
        <v>0</v>
      </c>
      <c r="AF2682" s="982" t="b">
        <f t="shared" si="3833"/>
        <v>0</v>
      </c>
      <c r="AG2682" s="982" t="b">
        <f t="shared" si="3833"/>
        <v>0</v>
      </c>
      <c r="AH2682" s="982" t="b">
        <f t="shared" si="3833"/>
        <v>0</v>
      </c>
      <c r="AI2682" s="982" t="b">
        <f t="shared" si="3833"/>
        <v>0</v>
      </c>
      <c r="AJ2682" s="1174" t="s">
        <v>2039</v>
      </c>
      <c r="AK2682" s="1176" t="str">
        <f>IF(AND(CNTR_ExistSubInstEntries,MSconst_RequireSubAttrEmissions,COUNTIFS(AC2682:AI2682,FALSE,H2682:N2682,"")&gt;0),EUconst_Error&amp;"BM"&amp;$Q2542,"")</f>
        <v/>
      </c>
      <c r="AL2682" s="694"/>
    </row>
    <row r="2683" spans="1:38" ht="12.75" customHeight="1" thickBot="1" x14ac:dyDescent="0.3">
      <c r="A2683" s="694"/>
      <c r="B2683" s="298"/>
      <c r="C2683" s="1302"/>
      <c r="D2683" s="625" t="s">
        <v>812</v>
      </c>
      <c r="E2683" s="2832" t="str">
        <f>Translations!$B$537</f>
        <v>Емисии (от горива, изчислени)</v>
      </c>
      <c r="F2683" s="2701"/>
      <c r="G2683" s="1330" t="str">
        <f>EUconst_tCO2pa</f>
        <v>t CO2 / година</v>
      </c>
      <c r="H2683" s="1331" t="str">
        <f t="shared" ref="H2683:N2683" si="3834">IF(AND(COUNT(H2679:H2682)&gt;0,H2686=""),3.664*H2679*(H2681/100)*(1-H2682/100),"")</f>
        <v/>
      </c>
      <c r="I2683" s="1332" t="str">
        <f t="shared" si="3834"/>
        <v/>
      </c>
      <c r="J2683" s="1333" t="str">
        <f t="shared" si="3834"/>
        <v/>
      </c>
      <c r="K2683" s="1331" t="str">
        <f t="shared" si="3834"/>
        <v/>
      </c>
      <c r="L2683" s="1331" t="str">
        <f t="shared" si="3834"/>
        <v/>
      </c>
      <c r="M2683" s="1331" t="str">
        <f t="shared" si="3834"/>
        <v/>
      </c>
      <c r="N2683" s="1334" t="str">
        <f t="shared" si="3834"/>
        <v/>
      </c>
      <c r="O2683" s="302"/>
      <c r="P2683" s="302"/>
      <c r="Q2683" s="1190" t="str">
        <f>EUconst_CNTR_EmissionsIntSource1 &amp; I2542</f>
        <v>EmInternalSource1_</v>
      </c>
      <c r="R2683" s="694"/>
      <c r="S2683" s="1315" t="str">
        <f>EUconst_CNTR_AttributedEmissions &amp; I2542</f>
        <v>AttrEmissions_</v>
      </c>
      <c r="T2683" s="1290" t="str">
        <f t="shared" ref="T2683" si="3835">IF(T2550,SUM(H2683),"")</f>
        <v/>
      </c>
      <c r="U2683" s="1290" t="str">
        <f t="shared" ref="U2683" si="3836">IF(U2550,SUM(I2683),"")</f>
        <v/>
      </c>
      <c r="V2683" s="1290" t="str">
        <f t="shared" ref="V2683" si="3837">IF(V2550,SUM(J2683),"")</f>
        <v/>
      </c>
      <c r="W2683" s="1290" t="str">
        <f t="shared" ref="W2683" si="3838">IF(W2550,SUM(K2683),"")</f>
        <v/>
      </c>
      <c r="X2683" s="1290" t="str">
        <f t="shared" ref="X2683" si="3839">IF(X2550,SUM(L2683),"")</f>
        <v/>
      </c>
      <c r="Y2683" s="1290" t="str">
        <f t="shared" ref="Y2683" si="3840">IF(Y2550,SUM(M2683),"")</f>
        <v/>
      </c>
      <c r="Z2683" s="1291" t="str">
        <f t="shared" ref="Z2683" si="3841">IF(Z2550,SUM(N2683),"")</f>
        <v/>
      </c>
      <c r="AA2683" s="694"/>
      <c r="AB2683" s="694"/>
      <c r="AC2683" s="694"/>
      <c r="AD2683" s="694"/>
      <c r="AE2683" s="694"/>
      <c r="AF2683" s="694"/>
      <c r="AG2683" s="694"/>
      <c r="AH2683" s="694"/>
      <c r="AI2683" s="694"/>
      <c r="AJ2683" s="694"/>
      <c r="AK2683" s="694"/>
      <c r="AL2683" s="694"/>
    </row>
    <row r="2684" spans="1:38" ht="12.75" customHeight="1" x14ac:dyDescent="0.25">
      <c r="A2684" s="694"/>
      <c r="B2684" s="298"/>
      <c r="C2684" s="1302"/>
      <c r="D2684" s="625" t="s">
        <v>813</v>
      </c>
      <c r="E2684" s="2833" t="str">
        <f>Translations!$B$538</f>
        <v>Допълнителна информация за справка: Емисии от биомаса</v>
      </c>
      <c r="F2684" s="2703"/>
      <c r="G2684" s="1335" t="str">
        <f>EUconst_tCO2pa</f>
        <v>t CO2 / година</v>
      </c>
      <c r="H2684" s="1336" t="str">
        <f t="shared" ref="H2684:N2684" si="3842">IF(ISNUMBER(H2683),3.664*H2679*(H2681/100)*(H2682/100),"")</f>
        <v/>
      </c>
      <c r="I2684" s="1337" t="str">
        <f t="shared" si="3842"/>
        <v/>
      </c>
      <c r="J2684" s="1338" t="str">
        <f t="shared" si="3842"/>
        <v/>
      </c>
      <c r="K2684" s="1336" t="str">
        <f t="shared" si="3842"/>
        <v/>
      </c>
      <c r="L2684" s="1336" t="str">
        <f t="shared" si="3842"/>
        <v/>
      </c>
      <c r="M2684" s="1336" t="str">
        <f t="shared" si="3842"/>
        <v/>
      </c>
      <c r="N2684" s="1339" t="str">
        <f t="shared" si="3842"/>
        <v/>
      </c>
      <c r="O2684" s="302"/>
      <c r="P2684" s="302"/>
      <c r="Q2684" s="729"/>
      <c r="R2684" s="694"/>
      <c r="S2684" s="729"/>
      <c r="T2684" s="694"/>
      <c r="U2684" s="694"/>
      <c r="V2684" s="694"/>
      <c r="W2684" s="694"/>
      <c r="X2684" s="694"/>
      <c r="Y2684" s="694"/>
      <c r="Z2684" s="694"/>
      <c r="AA2684" s="694"/>
      <c r="AB2684" s="694"/>
      <c r="AC2684" s="694"/>
      <c r="AD2684" s="694"/>
      <c r="AE2684" s="694"/>
      <c r="AF2684" s="694"/>
      <c r="AG2684" s="694"/>
      <c r="AH2684" s="694"/>
      <c r="AI2684" s="694"/>
      <c r="AJ2684" s="694"/>
      <c r="AK2684" s="694"/>
      <c r="AL2684" s="694"/>
    </row>
    <row r="2685" spans="1:38" ht="12.75" customHeight="1" x14ac:dyDescent="0.25">
      <c r="A2685" s="694"/>
      <c r="B2685" s="298"/>
      <c r="C2685" s="1302"/>
      <c r="D2685" s="625" t="s">
        <v>814</v>
      </c>
      <c r="E2685" s="2828" t="str">
        <f>Translations!$B$539</f>
        <v>Енергийно съдържание (изчислено)</v>
      </c>
      <c r="F2685" s="2705"/>
      <c r="G2685" s="1340" t="str">
        <f>EUconst_TJpa</f>
        <v>TJ / година</v>
      </c>
      <c r="H2685" s="1104" t="str">
        <f t="shared" ref="H2685:N2685" si="3843">IF(COUNT(H2679:H2680)=2,H2679*H2680/1000,"")</f>
        <v/>
      </c>
      <c r="I2685" s="1296" t="str">
        <f t="shared" si="3843"/>
        <v/>
      </c>
      <c r="J2685" s="1297" t="str">
        <f t="shared" si="3843"/>
        <v/>
      </c>
      <c r="K2685" s="1104" t="str">
        <f t="shared" si="3843"/>
        <v/>
      </c>
      <c r="L2685" s="1104" t="str">
        <f t="shared" si="3843"/>
        <v/>
      </c>
      <c r="M2685" s="1104" t="str">
        <f t="shared" si="3843"/>
        <v/>
      </c>
      <c r="N2685" s="1341" t="str">
        <f t="shared" si="3843"/>
        <v/>
      </c>
      <c r="O2685" s="302"/>
      <c r="P2685" s="302"/>
      <c r="Q2685" s="729"/>
      <c r="R2685" s="694"/>
      <c r="S2685" s="729"/>
      <c r="T2685" s="694"/>
      <c r="U2685" s="694"/>
      <c r="V2685" s="694"/>
      <c r="W2685" s="694"/>
      <c r="X2685" s="694"/>
      <c r="Y2685" s="694"/>
      <c r="Z2685" s="694"/>
      <c r="AA2685" s="694"/>
      <c r="AB2685" s="694"/>
      <c r="AC2685" s="694"/>
      <c r="AD2685" s="694"/>
      <c r="AE2685" s="694"/>
      <c r="AF2685" s="694"/>
      <c r="AG2685" s="694"/>
      <c r="AH2685" s="694"/>
      <c r="AI2685" s="694"/>
      <c r="AJ2685" s="694"/>
      <c r="AK2685" s="694"/>
      <c r="AL2685" s="694"/>
    </row>
    <row r="2686" spans="1:38" ht="12.75" customHeight="1" x14ac:dyDescent="0.25">
      <c r="A2686" s="694"/>
      <c r="B2686" s="298"/>
      <c r="C2686" s="1302"/>
      <c r="D2686" s="625" t="s">
        <v>61</v>
      </c>
      <c r="E2686" s="2829" t="str">
        <f>Translations!$B$540</f>
        <v>Съобщения за грешка (емисии)</v>
      </c>
      <c r="F2686" s="2830"/>
      <c r="G2686" s="1342"/>
      <c r="H2686" s="1343" t="str">
        <f t="shared" ref="H2686:N2686" si="3844">IF(COUNT(H2679,H2681:H2682)&gt;0,IF(COUNTIF(H2680:H2682,"&lt;0")&gt;0,EUconst_Negative,IF(COUNT(H2679,H2681:H2682)&lt;3,EUconst_Incomplete,"")),"")</f>
        <v/>
      </c>
      <c r="I2686" s="1344" t="str">
        <f t="shared" si="3844"/>
        <v/>
      </c>
      <c r="J2686" s="1345" t="str">
        <f t="shared" si="3844"/>
        <v/>
      </c>
      <c r="K2686" s="1343" t="str">
        <f t="shared" si="3844"/>
        <v/>
      </c>
      <c r="L2686" s="1343" t="str">
        <f t="shared" si="3844"/>
        <v/>
      </c>
      <c r="M2686" s="1343" t="str">
        <f t="shared" si="3844"/>
        <v/>
      </c>
      <c r="N2686" s="1346" t="str">
        <f t="shared" si="3844"/>
        <v/>
      </c>
      <c r="O2686" s="302"/>
      <c r="P2686" s="302"/>
      <c r="Q2686" s="729"/>
      <c r="R2686" s="694"/>
      <c r="S2686" s="729"/>
      <c r="T2686" s="694"/>
      <c r="U2686" s="694"/>
      <c r="V2686" s="694"/>
      <c r="W2686" s="694"/>
      <c r="X2686" s="694"/>
      <c r="Y2686" s="694"/>
      <c r="Z2686" s="694"/>
      <c r="AA2686" s="694"/>
      <c r="AB2686" s="694"/>
      <c r="AC2686" s="694"/>
      <c r="AD2686" s="694"/>
      <c r="AE2686" s="694"/>
      <c r="AF2686" s="694"/>
      <c r="AG2686" s="694"/>
      <c r="AH2686" s="694"/>
      <c r="AI2686" s="694"/>
      <c r="AJ2686" s="694"/>
      <c r="AK2686" s="694"/>
      <c r="AL2686" s="694"/>
    </row>
    <row r="2687" spans="1:38" ht="12.75" customHeight="1" x14ac:dyDescent="0.25">
      <c r="A2687" s="694"/>
      <c r="B2687" s="298"/>
      <c r="C2687" s="1302"/>
      <c r="D2687" s="625"/>
      <c r="E2687" s="1306"/>
      <c r="F2687" s="1306"/>
      <c r="G2687" s="1306"/>
      <c r="H2687" s="1306"/>
      <c r="I2687" s="1306"/>
      <c r="J2687" s="1306"/>
      <c r="K2687" s="1306"/>
      <c r="L2687" s="1306"/>
      <c r="M2687" s="626"/>
      <c r="N2687" s="1316"/>
      <c r="O2687" s="302"/>
      <c r="P2687" s="302"/>
      <c r="Q2687" s="729"/>
      <c r="R2687" s="694"/>
      <c r="S2687" s="729"/>
      <c r="T2687" s="694"/>
      <c r="U2687" s="694"/>
      <c r="V2687" s="694"/>
      <c r="W2687" s="694"/>
      <c r="X2687" s="694"/>
      <c r="Y2687" s="694"/>
      <c r="Z2687" s="694"/>
      <c r="AA2687" s="694"/>
      <c r="AB2687" s="694"/>
      <c r="AC2687" s="694"/>
      <c r="AD2687" s="694"/>
      <c r="AE2687" s="694"/>
      <c r="AF2687" s="694"/>
      <c r="AG2687" s="694"/>
      <c r="AH2687" s="694"/>
      <c r="AI2687" s="694"/>
      <c r="AJ2687" s="694"/>
      <c r="AK2687" s="694"/>
      <c r="AL2687" s="694"/>
    </row>
    <row r="2688" spans="1:38" ht="12.75" customHeight="1" x14ac:dyDescent="0.25">
      <c r="A2688" s="694"/>
      <c r="B2688" s="298"/>
      <c r="C2688" s="1302"/>
      <c r="D2688" s="625" t="s">
        <v>62</v>
      </c>
      <c r="E2688" s="2815" t="str">
        <f>Translations!$B$541</f>
        <v>Име на други пораждащи емисии потоци — 2:</v>
      </c>
      <c r="F2688" s="2240"/>
      <c r="G2688" s="2240"/>
      <c r="H2688" s="2684"/>
      <c r="I2688" s="2821"/>
      <c r="J2688" s="2674"/>
      <c r="K2688" s="2674"/>
      <c r="L2688" s="2674"/>
      <c r="M2688" s="2675"/>
      <c r="N2688" s="1323"/>
      <c r="O2688" s="302"/>
      <c r="P2688" s="158"/>
      <c r="Q2688" s="729"/>
      <c r="R2688" s="694"/>
      <c r="S2688" s="729"/>
      <c r="T2688" s="694"/>
      <c r="U2688" s="694"/>
      <c r="V2688" s="694"/>
      <c r="W2688" s="694"/>
      <c r="X2688" s="694"/>
      <c r="Y2688" s="694"/>
      <c r="Z2688" s="694"/>
      <c r="AA2688" s="694"/>
      <c r="AB2688" s="694"/>
      <c r="AC2688" s="1182" t="s">
        <v>737</v>
      </c>
      <c r="AD2688" s="982" t="b">
        <f>AD2676</f>
        <v>0</v>
      </c>
      <c r="AE2688" s="694"/>
      <c r="AF2688" s="694"/>
      <c r="AG2688" s="694"/>
      <c r="AH2688" s="694"/>
      <c r="AI2688" s="694"/>
      <c r="AJ2688" s="694"/>
      <c r="AK2688" s="694"/>
      <c r="AL2688" s="694"/>
    </row>
    <row r="2689" spans="1:38" ht="5.15" customHeight="1" x14ac:dyDescent="0.25">
      <c r="A2689" s="694"/>
      <c r="B2689" s="298"/>
      <c r="C2689" s="1302"/>
      <c r="D2689" s="1306"/>
      <c r="E2689" s="1325"/>
      <c r="F2689" s="1322"/>
      <c r="G2689" s="1306"/>
      <c r="H2689" s="1306"/>
      <c r="I2689" s="1322"/>
      <c r="J2689" s="1322"/>
      <c r="K2689" s="1322"/>
      <c r="L2689" s="1322"/>
      <c r="M2689" s="1322"/>
      <c r="N2689" s="1323"/>
      <c r="O2689" s="302"/>
      <c r="P2689" s="302"/>
      <c r="Q2689" s="729"/>
      <c r="R2689" s="694"/>
      <c r="S2689" s="729"/>
      <c r="T2689" s="694"/>
      <c r="U2689" s="694"/>
      <c r="V2689" s="694"/>
      <c r="W2689" s="694"/>
      <c r="X2689" s="694"/>
      <c r="Y2689" s="694"/>
      <c r="Z2689" s="694"/>
      <c r="AA2689" s="694"/>
      <c r="AB2689" s="694"/>
      <c r="AC2689" s="694"/>
      <c r="AD2689" s="694"/>
      <c r="AE2689" s="694"/>
      <c r="AF2689" s="694"/>
      <c r="AG2689" s="694"/>
      <c r="AH2689" s="694"/>
      <c r="AI2689" s="694"/>
      <c r="AJ2689" s="694"/>
      <c r="AK2689" s="694"/>
      <c r="AL2689" s="694"/>
    </row>
    <row r="2690" spans="1:38" ht="12.75" customHeight="1" thickBot="1" x14ac:dyDescent="0.3">
      <c r="A2690" s="694"/>
      <c r="B2690" s="298"/>
      <c r="C2690" s="1302"/>
      <c r="D2690" s="625"/>
      <c r="E2690" s="2803" t="str">
        <f>Translations!$B$542</f>
        <v>Други пораждащи емисии потоци — 2</v>
      </c>
      <c r="F2690" s="2672"/>
      <c r="G2690" s="1309" t="str">
        <f>EUconst_Unit</f>
        <v>Единица мярка</v>
      </c>
      <c r="H2690" s="629">
        <f t="shared" ref="H2690:N2690" si="3845">H$2831</f>
        <v>2024</v>
      </c>
      <c r="I2690" s="1310">
        <f t="shared" si="3845"/>
        <v>2025</v>
      </c>
      <c r="J2690" s="1311">
        <f t="shared" si="3845"/>
        <v>2026</v>
      </c>
      <c r="K2690" s="629">
        <f t="shared" si="3845"/>
        <v>2027</v>
      </c>
      <c r="L2690" s="629">
        <f t="shared" si="3845"/>
        <v>2028</v>
      </c>
      <c r="M2690" s="629">
        <f t="shared" si="3845"/>
        <v>2029</v>
      </c>
      <c r="N2690" s="1312">
        <f t="shared" si="3845"/>
        <v>2030</v>
      </c>
      <c r="O2690" s="302"/>
      <c r="P2690" s="302"/>
      <c r="Q2690" s="729"/>
      <c r="R2690" s="694"/>
      <c r="S2690" s="729"/>
      <c r="T2690" s="694"/>
      <c r="U2690" s="694"/>
      <c r="V2690" s="694"/>
      <c r="W2690" s="694"/>
      <c r="X2690" s="694"/>
      <c r="Y2690" s="694"/>
      <c r="Z2690" s="694"/>
      <c r="AA2690" s="694"/>
      <c r="AB2690" s="694"/>
      <c r="AC2690" s="1178">
        <f t="shared" ref="AC2690" si="3846">H$20</f>
        <v>2024</v>
      </c>
      <c r="AD2690" s="1178">
        <f t="shared" ref="AD2690" si="3847">I$20</f>
        <v>2025</v>
      </c>
      <c r="AE2690" s="1178">
        <f t="shared" ref="AE2690" si="3848">J$20</f>
        <v>2026</v>
      </c>
      <c r="AF2690" s="1178">
        <f t="shared" ref="AF2690" si="3849">K$20</f>
        <v>2027</v>
      </c>
      <c r="AG2690" s="1178">
        <f t="shared" ref="AG2690" si="3850">L$20</f>
        <v>2028</v>
      </c>
      <c r="AH2690" s="1178">
        <f t="shared" ref="AH2690" si="3851">M$20</f>
        <v>2029</v>
      </c>
      <c r="AI2690" s="1178">
        <f t="shared" ref="AI2690" si="3852">N$20</f>
        <v>2030</v>
      </c>
      <c r="AJ2690" s="694"/>
      <c r="AK2690" s="694"/>
      <c r="AL2690" s="694"/>
    </row>
    <row r="2691" spans="1:38" ht="12.75" customHeight="1" x14ac:dyDescent="0.25">
      <c r="A2691" s="694"/>
      <c r="B2691" s="298"/>
      <c r="C2691" s="1302"/>
      <c r="D2691" s="625" t="s">
        <v>63</v>
      </c>
      <c r="E2691" s="2818" t="str">
        <f>Translations!$B$533</f>
        <v>Получено или подадено количество</v>
      </c>
      <c r="F2691" s="2701"/>
      <c r="G2691" s="1326" t="str">
        <f>EUconst_tpa</f>
        <v>t / година</v>
      </c>
      <c r="H2691" s="129"/>
      <c r="I2691" s="130"/>
      <c r="J2691" s="131"/>
      <c r="K2691" s="129"/>
      <c r="L2691" s="129"/>
      <c r="M2691" s="129"/>
      <c r="N2691" s="132"/>
      <c r="O2691" s="302"/>
      <c r="P2691" s="158"/>
      <c r="Q2691" s="729"/>
      <c r="R2691" s="694"/>
      <c r="S2691" s="729"/>
      <c r="T2691" s="694"/>
      <c r="U2691" s="694"/>
      <c r="V2691" s="694"/>
      <c r="W2691" s="694"/>
      <c r="X2691" s="694"/>
      <c r="Y2691" s="694"/>
      <c r="Z2691" s="694"/>
      <c r="AA2691" s="694"/>
      <c r="AB2691" s="1182" t="s">
        <v>737</v>
      </c>
      <c r="AC2691" s="982" t="b">
        <f>AC2679</f>
        <v>0</v>
      </c>
      <c r="AD2691" s="982" t="b">
        <f t="shared" ref="AD2691:AI2691" si="3853">AD2679</f>
        <v>0</v>
      </c>
      <c r="AE2691" s="982" t="b">
        <f t="shared" si="3853"/>
        <v>0</v>
      </c>
      <c r="AF2691" s="982" t="b">
        <f t="shared" si="3853"/>
        <v>0</v>
      </c>
      <c r="AG2691" s="982" t="b">
        <f t="shared" si="3853"/>
        <v>0</v>
      </c>
      <c r="AH2691" s="982" t="b">
        <f t="shared" si="3853"/>
        <v>0</v>
      </c>
      <c r="AI2691" s="982" t="b">
        <f t="shared" si="3853"/>
        <v>0</v>
      </c>
      <c r="AJ2691" s="1174" t="s">
        <v>2039</v>
      </c>
      <c r="AK2691" s="1176" t="str">
        <f>IF(AND(CNTR_ExistSubInstEntries,MSconst_RequireSubAttrEmissions,COUNTIFS(AC2691:AI2691,FALSE,H2691:N2691,"")&gt;0),EUconst_Error&amp;"BM"&amp;$Q2542,"")</f>
        <v/>
      </c>
      <c r="AL2691" s="694"/>
    </row>
    <row r="2692" spans="1:38" ht="12.75" customHeight="1" x14ac:dyDescent="0.25">
      <c r="A2692" s="694"/>
      <c r="B2692" s="298"/>
      <c r="C2692" s="1302"/>
      <c r="D2692" s="625" t="s">
        <v>1136</v>
      </c>
      <c r="E2692" s="2831" t="str">
        <f>Translations!$B$534</f>
        <v>Долна топлина на изгаряне (NCV), ако е приложимо</v>
      </c>
      <c r="F2692" s="2703"/>
      <c r="G2692" s="1327" t="str">
        <f>EUconst_GJpt</f>
        <v>GJ / t</v>
      </c>
      <c r="H2692" s="133"/>
      <c r="I2692" s="134"/>
      <c r="J2692" s="135"/>
      <c r="K2692" s="133"/>
      <c r="L2692" s="133"/>
      <c r="M2692" s="133"/>
      <c r="N2692" s="136"/>
      <c r="O2692" s="302"/>
      <c r="P2692" s="158"/>
      <c r="Q2692" s="729"/>
      <c r="R2692" s="694"/>
      <c r="S2692" s="729"/>
      <c r="T2692" s="694"/>
      <c r="U2692" s="694"/>
      <c r="V2692" s="694"/>
      <c r="W2692" s="694"/>
      <c r="X2692" s="694"/>
      <c r="Y2692" s="694"/>
      <c r="Z2692" s="694"/>
      <c r="AA2692" s="694"/>
      <c r="AB2692" s="694"/>
      <c r="AC2692" s="982" t="b">
        <f t="shared" ref="AC2692:AI2692" si="3854">AC2680</f>
        <v>0</v>
      </c>
      <c r="AD2692" s="982" t="b">
        <f t="shared" si="3854"/>
        <v>0</v>
      </c>
      <c r="AE2692" s="982" t="b">
        <f t="shared" si="3854"/>
        <v>0</v>
      </c>
      <c r="AF2692" s="982" t="b">
        <f t="shared" si="3854"/>
        <v>0</v>
      </c>
      <c r="AG2692" s="982" t="b">
        <f t="shared" si="3854"/>
        <v>0</v>
      </c>
      <c r="AH2692" s="982" t="b">
        <f t="shared" si="3854"/>
        <v>0</v>
      </c>
      <c r="AI2692" s="982" t="b">
        <f t="shared" si="3854"/>
        <v>0</v>
      </c>
      <c r="AJ2692" s="1174" t="s">
        <v>2039</v>
      </c>
      <c r="AK2692" s="1176" t="str">
        <f>IF(AND(CNTR_ExistSubInstEntries,MSconst_RequireSubAttrEmissions,COUNTIFS(AC2692:AI2692,FALSE,H2692:N2692,"")&gt;0),EUconst_Error&amp;"BM"&amp;$Q2542,"")</f>
        <v/>
      </c>
      <c r="AL2692" s="694"/>
    </row>
    <row r="2693" spans="1:38" ht="12.75" customHeight="1" thickBot="1" x14ac:dyDescent="0.3">
      <c r="A2693" s="694"/>
      <c r="B2693" s="298"/>
      <c r="C2693" s="1302"/>
      <c r="D2693" s="625" t="s">
        <v>1137</v>
      </c>
      <c r="E2693" s="2831" t="str">
        <f>Translations!$B$535</f>
        <v>Въглеродно съдържание (тегловни %)</v>
      </c>
      <c r="F2693" s="2703"/>
      <c r="G2693" s="1328" t="s">
        <v>903</v>
      </c>
      <c r="H2693" s="133"/>
      <c r="I2693" s="134"/>
      <c r="J2693" s="135"/>
      <c r="K2693" s="133"/>
      <c r="L2693" s="133"/>
      <c r="M2693" s="133"/>
      <c r="N2693" s="136"/>
      <c r="O2693" s="302"/>
      <c r="P2693" s="158"/>
      <c r="Q2693" s="729"/>
      <c r="R2693" s="694"/>
      <c r="S2693" s="729"/>
      <c r="T2693" s="694"/>
      <c r="U2693" s="694"/>
      <c r="V2693" s="694"/>
      <c r="W2693" s="694"/>
      <c r="X2693" s="694"/>
      <c r="Y2693" s="694"/>
      <c r="Z2693" s="694"/>
      <c r="AA2693" s="694"/>
      <c r="AB2693" s="694"/>
      <c r="AC2693" s="982" t="b">
        <f t="shared" ref="AC2693:AI2693" si="3855">AC2681</f>
        <v>0</v>
      </c>
      <c r="AD2693" s="982" t="b">
        <f t="shared" si="3855"/>
        <v>0</v>
      </c>
      <c r="AE2693" s="982" t="b">
        <f t="shared" si="3855"/>
        <v>0</v>
      </c>
      <c r="AF2693" s="982" t="b">
        <f t="shared" si="3855"/>
        <v>0</v>
      </c>
      <c r="AG2693" s="982" t="b">
        <f t="shared" si="3855"/>
        <v>0</v>
      </c>
      <c r="AH2693" s="982" t="b">
        <f t="shared" si="3855"/>
        <v>0</v>
      </c>
      <c r="AI2693" s="982" t="b">
        <f t="shared" si="3855"/>
        <v>0</v>
      </c>
      <c r="AJ2693" s="1174" t="s">
        <v>2039</v>
      </c>
      <c r="AK2693" s="1176" t="str">
        <f>IF(AND(CNTR_ExistSubInstEntries,MSconst_RequireSubAttrEmissions,COUNTIFS(AC2693:AI2693,FALSE,H2693:N2693,"")&gt;0),EUconst_Error&amp;"BM"&amp;$Q2542,"")</f>
        <v/>
      </c>
      <c r="AL2693" s="694"/>
    </row>
    <row r="2694" spans="1:38" ht="12.75" customHeight="1" x14ac:dyDescent="0.25">
      <c r="A2694" s="694"/>
      <c r="B2694" s="298"/>
      <c r="C2694" s="1302"/>
      <c r="D2694" s="625" t="s">
        <v>1138</v>
      </c>
      <c r="E2694" s="2828" t="str">
        <f>Translations!$B$536</f>
        <v>Съдържание на биомаса (като дял от въглеродното съдържание)</v>
      </c>
      <c r="F2694" s="2705"/>
      <c r="G2694" s="1329" t="s">
        <v>903</v>
      </c>
      <c r="H2694" s="137"/>
      <c r="I2694" s="138"/>
      <c r="J2694" s="139"/>
      <c r="K2694" s="137"/>
      <c r="L2694" s="137"/>
      <c r="M2694" s="137"/>
      <c r="N2694" s="140"/>
      <c r="O2694" s="302"/>
      <c r="P2694" s="158"/>
      <c r="Q2694" s="729"/>
      <c r="R2694" s="694"/>
      <c r="S2694" s="1205"/>
      <c r="T2694" s="1313">
        <f t="shared" ref="T2694" si="3856">H2690</f>
        <v>2024</v>
      </c>
      <c r="U2694" s="1313">
        <f t="shared" ref="U2694" si="3857">I2690</f>
        <v>2025</v>
      </c>
      <c r="V2694" s="1313">
        <f t="shared" ref="V2694" si="3858">J2690</f>
        <v>2026</v>
      </c>
      <c r="W2694" s="1313">
        <f t="shared" ref="W2694" si="3859">K2690</f>
        <v>2027</v>
      </c>
      <c r="X2694" s="1313">
        <f t="shared" ref="X2694" si="3860">L2690</f>
        <v>2028</v>
      </c>
      <c r="Y2694" s="1313">
        <f t="shared" ref="Y2694" si="3861">M2690</f>
        <v>2029</v>
      </c>
      <c r="Z2694" s="1314">
        <f t="shared" ref="Z2694" si="3862">N2690</f>
        <v>2030</v>
      </c>
      <c r="AA2694" s="694"/>
      <c r="AB2694" s="694"/>
      <c r="AC2694" s="982" t="b">
        <f t="shared" ref="AC2694:AI2694" si="3863">AC2682</f>
        <v>0</v>
      </c>
      <c r="AD2694" s="982" t="b">
        <f t="shared" si="3863"/>
        <v>0</v>
      </c>
      <c r="AE2694" s="982" t="b">
        <f t="shared" si="3863"/>
        <v>0</v>
      </c>
      <c r="AF2694" s="982" t="b">
        <f t="shared" si="3863"/>
        <v>0</v>
      </c>
      <c r="AG2694" s="982" t="b">
        <f t="shared" si="3863"/>
        <v>0</v>
      </c>
      <c r="AH2694" s="982" t="b">
        <f t="shared" si="3863"/>
        <v>0</v>
      </c>
      <c r="AI2694" s="982" t="b">
        <f t="shared" si="3863"/>
        <v>0</v>
      </c>
      <c r="AJ2694" s="1174" t="s">
        <v>2039</v>
      </c>
      <c r="AK2694" s="1176" t="str">
        <f>IF(AND(CNTR_ExistSubInstEntries,MSconst_RequireSubAttrEmissions,COUNTIFS(AC2694:AI2694,FALSE,H2694:N2694,"")&gt;0),EUconst_Error&amp;"BM"&amp;$Q2542,"")</f>
        <v/>
      </c>
      <c r="AL2694" s="694"/>
    </row>
    <row r="2695" spans="1:38" ht="12.75" customHeight="1" thickBot="1" x14ac:dyDescent="0.3">
      <c r="A2695" s="694"/>
      <c r="B2695" s="298"/>
      <c r="C2695" s="1302"/>
      <c r="D2695" s="625" t="s">
        <v>1139</v>
      </c>
      <c r="E2695" s="2832" t="str">
        <f>Translations!$B$537</f>
        <v>Емисии (от горива, изчислени)</v>
      </c>
      <c r="F2695" s="2701"/>
      <c r="G2695" s="1330" t="str">
        <f>EUconst_tCO2pa</f>
        <v>t CO2 / година</v>
      </c>
      <c r="H2695" s="1331" t="str">
        <f t="shared" ref="H2695:N2695" si="3864">IF(AND(COUNT(H2691:H2694)&gt;0,H2698=""),3.664*H2691*(H2693/100)*(1-H2694/100),"")</f>
        <v/>
      </c>
      <c r="I2695" s="1332" t="str">
        <f t="shared" si="3864"/>
        <v/>
      </c>
      <c r="J2695" s="1333" t="str">
        <f t="shared" si="3864"/>
        <v/>
      </c>
      <c r="K2695" s="1331" t="str">
        <f t="shared" si="3864"/>
        <v/>
      </c>
      <c r="L2695" s="1331" t="str">
        <f t="shared" si="3864"/>
        <v/>
      </c>
      <c r="M2695" s="1331" t="str">
        <f t="shared" si="3864"/>
        <v/>
      </c>
      <c r="N2695" s="1334" t="str">
        <f t="shared" si="3864"/>
        <v/>
      </c>
      <c r="O2695" s="302"/>
      <c r="P2695" s="302"/>
      <c r="Q2695" s="1190" t="str">
        <f>EUconst_CNTR_EmissionsIntSource2 &amp; I2542</f>
        <v>EmInternalSource2_</v>
      </c>
      <c r="R2695" s="694"/>
      <c r="S2695" s="1315" t="str">
        <f>EUconst_CNTR_AttributedEmissions &amp; I2542</f>
        <v>AttrEmissions_</v>
      </c>
      <c r="T2695" s="1290" t="str">
        <f t="shared" ref="T2695" si="3865">IF(T2550,SUM(H2695),"")</f>
        <v/>
      </c>
      <c r="U2695" s="1290" t="str">
        <f t="shared" ref="U2695" si="3866">IF(U2550,SUM(I2695),"")</f>
        <v/>
      </c>
      <c r="V2695" s="1290" t="str">
        <f t="shared" ref="V2695" si="3867">IF(V2550,SUM(J2695),"")</f>
        <v/>
      </c>
      <c r="W2695" s="1290" t="str">
        <f t="shared" ref="W2695" si="3868">IF(W2550,SUM(K2695),"")</f>
        <v/>
      </c>
      <c r="X2695" s="1290" t="str">
        <f t="shared" ref="X2695" si="3869">IF(X2550,SUM(L2695),"")</f>
        <v/>
      </c>
      <c r="Y2695" s="1290" t="str">
        <f t="shared" ref="Y2695" si="3870">IF(Y2550,SUM(M2695),"")</f>
        <v/>
      </c>
      <c r="Z2695" s="1291" t="str">
        <f t="shared" ref="Z2695" si="3871">IF(Z2550,SUM(N2695),"")</f>
        <v/>
      </c>
      <c r="AA2695" s="694"/>
      <c r="AB2695" s="694"/>
      <c r="AC2695" s="694"/>
      <c r="AD2695" s="694"/>
      <c r="AE2695" s="694"/>
      <c r="AF2695" s="694"/>
      <c r="AG2695" s="694"/>
      <c r="AH2695" s="694"/>
      <c r="AI2695" s="694"/>
      <c r="AJ2695" s="694"/>
      <c r="AK2695" s="694"/>
      <c r="AL2695" s="694"/>
    </row>
    <row r="2696" spans="1:38" ht="12.75" customHeight="1" x14ac:dyDescent="0.25">
      <c r="A2696" s="694"/>
      <c r="B2696" s="298"/>
      <c r="C2696" s="1302"/>
      <c r="D2696" s="625" t="s">
        <v>1140</v>
      </c>
      <c r="E2696" s="2833" t="str">
        <f>Translations!$B$538</f>
        <v>Допълнителна информация за справка: Емисии от биомаса</v>
      </c>
      <c r="F2696" s="2703"/>
      <c r="G2696" s="1335" t="str">
        <f>EUconst_tCO2pa</f>
        <v>t CO2 / година</v>
      </c>
      <c r="H2696" s="1336" t="str">
        <f t="shared" ref="H2696:N2696" si="3872">IF(ISNUMBER(H2695),3.664*H2691*(H2693/100)*(H2694/100),"")</f>
        <v/>
      </c>
      <c r="I2696" s="1337" t="str">
        <f t="shared" si="3872"/>
        <v/>
      </c>
      <c r="J2696" s="1338" t="str">
        <f t="shared" si="3872"/>
        <v/>
      </c>
      <c r="K2696" s="1336" t="str">
        <f t="shared" si="3872"/>
        <v/>
      </c>
      <c r="L2696" s="1336" t="str">
        <f t="shared" si="3872"/>
        <v/>
      </c>
      <c r="M2696" s="1336" t="str">
        <f t="shared" si="3872"/>
        <v/>
      </c>
      <c r="N2696" s="1339" t="str">
        <f t="shared" si="3872"/>
        <v/>
      </c>
      <c r="O2696" s="302"/>
      <c r="P2696" s="302"/>
      <c r="Q2696" s="729"/>
      <c r="R2696" s="694"/>
      <c r="S2696" s="729"/>
      <c r="T2696" s="694"/>
      <c r="U2696" s="694"/>
      <c r="V2696" s="694"/>
      <c r="W2696" s="694"/>
      <c r="X2696" s="694"/>
      <c r="Y2696" s="694"/>
      <c r="Z2696" s="694"/>
      <c r="AA2696" s="694"/>
      <c r="AB2696" s="694"/>
      <c r="AC2696" s="694"/>
      <c r="AD2696" s="694"/>
      <c r="AE2696" s="694"/>
      <c r="AF2696" s="694"/>
      <c r="AG2696" s="694"/>
      <c r="AH2696" s="694"/>
      <c r="AI2696" s="694"/>
      <c r="AJ2696" s="694"/>
      <c r="AK2696" s="694"/>
      <c r="AL2696" s="694"/>
    </row>
    <row r="2697" spans="1:38" ht="12.75" customHeight="1" x14ac:dyDescent="0.25">
      <c r="A2697" s="694"/>
      <c r="B2697" s="298"/>
      <c r="C2697" s="1302"/>
      <c r="D2697" s="625" t="s">
        <v>1141</v>
      </c>
      <c r="E2697" s="2828" t="str">
        <f>Translations!$B$539</f>
        <v>Енергийно съдържание (изчислено)</v>
      </c>
      <c r="F2697" s="2705"/>
      <c r="G2697" s="1340" t="str">
        <f>EUconst_TJpa</f>
        <v>TJ / година</v>
      </c>
      <c r="H2697" s="1104" t="str">
        <f t="shared" ref="H2697:N2697" si="3873">IF(COUNT(H2691:H2692)=2,H2691*H2692/1000,"")</f>
        <v/>
      </c>
      <c r="I2697" s="1296" t="str">
        <f t="shared" si="3873"/>
        <v/>
      </c>
      <c r="J2697" s="1297" t="str">
        <f t="shared" si="3873"/>
        <v/>
      </c>
      <c r="K2697" s="1104" t="str">
        <f t="shared" si="3873"/>
        <v/>
      </c>
      <c r="L2697" s="1104" t="str">
        <f t="shared" si="3873"/>
        <v/>
      </c>
      <c r="M2697" s="1104" t="str">
        <f t="shared" si="3873"/>
        <v/>
      </c>
      <c r="N2697" s="1341" t="str">
        <f t="shared" si="3873"/>
        <v/>
      </c>
      <c r="O2697" s="302"/>
      <c r="P2697" s="302"/>
      <c r="Q2697" s="729"/>
      <c r="R2697" s="694"/>
      <c r="S2697" s="729"/>
      <c r="T2697" s="694"/>
      <c r="U2697" s="694"/>
      <c r="V2697" s="694"/>
      <c r="W2697" s="694"/>
      <c r="X2697" s="694"/>
      <c r="Y2697" s="694"/>
      <c r="Z2697" s="694"/>
      <c r="AA2697" s="694"/>
      <c r="AB2697" s="694"/>
      <c r="AC2697" s="694"/>
      <c r="AD2697" s="694"/>
      <c r="AE2697" s="694"/>
      <c r="AF2697" s="694"/>
      <c r="AG2697" s="694"/>
      <c r="AH2697" s="694"/>
      <c r="AI2697" s="694"/>
      <c r="AJ2697" s="694"/>
      <c r="AK2697" s="694"/>
      <c r="AL2697" s="694"/>
    </row>
    <row r="2698" spans="1:38" ht="12.75" customHeight="1" x14ac:dyDescent="0.25">
      <c r="A2698" s="694"/>
      <c r="B2698" s="298"/>
      <c r="C2698" s="1302"/>
      <c r="D2698" s="625" t="s">
        <v>1137</v>
      </c>
      <c r="E2698" s="2829" t="str">
        <f>Translations!$B$540</f>
        <v>Съобщения за грешка (емисии)</v>
      </c>
      <c r="F2698" s="2830"/>
      <c r="G2698" s="1342"/>
      <c r="H2698" s="1343" t="str">
        <f t="shared" ref="H2698:N2698" si="3874">IF(COUNT(H2691,H2693:H2694)&gt;0,IF(COUNTIF(H2692:H2694,"&lt;0")&gt;0,EUconst_Negative,IF(COUNT(H2691,H2693:H2694)&lt;3,EUconst_Incomplete,"")),"")</f>
        <v/>
      </c>
      <c r="I2698" s="1344" t="str">
        <f t="shared" si="3874"/>
        <v/>
      </c>
      <c r="J2698" s="1345" t="str">
        <f t="shared" si="3874"/>
        <v/>
      </c>
      <c r="K2698" s="1343" t="str">
        <f t="shared" si="3874"/>
        <v/>
      </c>
      <c r="L2698" s="1343" t="str">
        <f t="shared" si="3874"/>
        <v/>
      </c>
      <c r="M2698" s="1343" t="str">
        <f t="shared" si="3874"/>
        <v/>
      </c>
      <c r="N2698" s="1346" t="str">
        <f t="shared" si="3874"/>
        <v/>
      </c>
      <c r="O2698" s="302"/>
      <c r="P2698" s="302"/>
      <c r="Q2698" s="729"/>
      <c r="R2698" s="694"/>
      <c r="S2698" s="729"/>
      <c r="T2698" s="694"/>
      <c r="U2698" s="694"/>
      <c r="V2698" s="694"/>
      <c r="W2698" s="694"/>
      <c r="X2698" s="694"/>
      <c r="Y2698" s="694"/>
      <c r="Z2698" s="694"/>
      <c r="AA2698" s="694"/>
      <c r="AB2698" s="694"/>
      <c r="AC2698" s="694"/>
      <c r="AD2698" s="694"/>
      <c r="AE2698" s="694"/>
      <c r="AF2698" s="694"/>
      <c r="AG2698" s="694"/>
      <c r="AH2698" s="694"/>
      <c r="AI2698" s="694"/>
      <c r="AJ2698" s="694"/>
      <c r="AK2698" s="694"/>
      <c r="AL2698" s="694"/>
    </row>
    <row r="2699" spans="1:38" ht="12.75" customHeight="1" x14ac:dyDescent="0.25">
      <c r="A2699" s="694"/>
      <c r="B2699" s="298"/>
      <c r="C2699" s="1302"/>
      <c r="D2699" s="1306"/>
      <c r="E2699" s="1306"/>
      <c r="F2699" s="1306"/>
      <c r="G2699" s="1306"/>
      <c r="H2699" s="1306"/>
      <c r="I2699" s="1306"/>
      <c r="J2699" s="1306"/>
      <c r="K2699" s="1306"/>
      <c r="L2699" s="1306"/>
      <c r="M2699" s="626"/>
      <c r="N2699" s="1316"/>
      <c r="O2699" s="302"/>
      <c r="P2699" s="302"/>
      <c r="Q2699" s="729"/>
      <c r="R2699" s="694"/>
      <c r="S2699" s="729"/>
      <c r="T2699" s="694"/>
      <c r="U2699" s="694"/>
      <c r="V2699" s="694"/>
      <c r="W2699" s="694"/>
      <c r="X2699" s="694"/>
      <c r="Y2699" s="694"/>
      <c r="Z2699" s="694"/>
      <c r="AA2699" s="694"/>
      <c r="AB2699" s="694"/>
      <c r="AC2699" s="694"/>
      <c r="AD2699" s="694"/>
      <c r="AE2699" s="694"/>
      <c r="AF2699" s="694"/>
      <c r="AG2699" s="694"/>
      <c r="AH2699" s="694"/>
      <c r="AI2699" s="694"/>
      <c r="AJ2699" s="694"/>
      <c r="AK2699" s="694"/>
      <c r="AL2699" s="694"/>
    </row>
    <row r="2700" spans="1:38" ht="12.75" customHeight="1" x14ac:dyDescent="0.25">
      <c r="A2700" s="694"/>
      <c r="B2700" s="298"/>
      <c r="C2700" s="1302"/>
      <c r="D2700" s="1307" t="s">
        <v>489</v>
      </c>
      <c r="E2700" s="2815" t="str">
        <f>Translations!$B$543</f>
        <v>Количество на парникови газове, които са получени или подадени като суровини</v>
      </c>
      <c r="F2700" s="2240"/>
      <c r="G2700" s="2240"/>
      <c r="H2700" s="2240"/>
      <c r="I2700" s="2240"/>
      <c r="J2700" s="2240"/>
      <c r="K2700" s="2240"/>
      <c r="L2700" s="2240"/>
      <c r="M2700" s="2240"/>
      <c r="N2700" s="2811"/>
      <c r="O2700" s="302"/>
      <c r="P2700" s="302"/>
      <c r="Q2700" s="729"/>
      <c r="R2700" s="694"/>
      <c r="S2700" s="729"/>
      <c r="T2700" s="694"/>
      <c r="U2700" s="694"/>
      <c r="V2700" s="694"/>
      <c r="W2700" s="694"/>
      <c r="X2700" s="694"/>
      <c r="Y2700" s="694"/>
      <c r="Z2700" s="694"/>
      <c r="AA2700" s="694"/>
      <c r="AB2700" s="694"/>
      <c r="AC2700" s="694"/>
      <c r="AD2700" s="694"/>
      <c r="AE2700" s="694"/>
      <c r="AF2700" s="694"/>
      <c r="AG2700" s="694"/>
      <c r="AH2700" s="694"/>
      <c r="AI2700" s="694"/>
      <c r="AJ2700" s="694"/>
      <c r="AK2700" s="694"/>
      <c r="AL2700" s="694"/>
    </row>
    <row r="2701" spans="1:38" ht="12.75" customHeight="1" x14ac:dyDescent="0.25">
      <c r="A2701" s="694"/>
      <c r="B2701" s="298"/>
      <c r="C2701" s="1302"/>
      <c r="D2701" s="625"/>
      <c r="E2701" s="2816" t="str">
        <f>Translations!$B$508</f>
        <v>Посочените тук данни ще се отразят на емисиите, които могат да бъдат зададени съгласно раздел 10.1.1 от приложение VII към ПБР.</v>
      </c>
      <c r="F2701" s="2240"/>
      <c r="G2701" s="2240"/>
      <c r="H2701" s="2240"/>
      <c r="I2701" s="2240"/>
      <c r="J2701" s="2240"/>
      <c r="K2701" s="2240"/>
      <c r="L2701" s="2240"/>
      <c r="M2701" s="2240"/>
      <c r="N2701" s="2811"/>
      <c r="O2701" s="302"/>
      <c r="P2701" s="302"/>
      <c r="Q2701" s="729"/>
      <c r="R2701" s="694"/>
      <c r="S2701" s="729"/>
      <c r="T2701" s="729"/>
      <c r="U2701" s="729"/>
      <c r="V2701" s="729"/>
      <c r="W2701" s="694"/>
      <c r="X2701" s="694"/>
      <c r="Y2701" s="694"/>
      <c r="Z2701" s="694"/>
      <c r="AA2701" s="694"/>
      <c r="AB2701" s="694"/>
      <c r="AC2701" s="694"/>
      <c r="AD2701" s="694"/>
      <c r="AE2701" s="694"/>
      <c r="AF2701" s="694"/>
      <c r="AG2701" s="694"/>
      <c r="AH2701" s="694"/>
      <c r="AI2701" s="694"/>
      <c r="AJ2701" s="694"/>
      <c r="AK2701" s="694"/>
      <c r="AL2701" s="694"/>
    </row>
    <row r="2702" spans="1:38" ht="25.5" customHeight="1" x14ac:dyDescent="0.25">
      <c r="A2702" s="694"/>
      <c r="B2702" s="298"/>
      <c r="C2702" s="1302"/>
      <c r="D2702" s="1306"/>
      <c r="E2702" s="2810" t="str">
        <f>Translations!$B$544</f>
        <v>Съгласно раздел 3.1, букви к) и л) от приложение IV към ПБР, моля, посочете тук количеството на прехвърления CO2, получен от или подаден към други подинсталации, инсталации или други обекти, съгласно правилата, определени в Регламента относно мониторинга и докладването.</v>
      </c>
      <c r="F2702" s="2240"/>
      <c r="G2702" s="2240"/>
      <c r="H2702" s="2240"/>
      <c r="I2702" s="2240"/>
      <c r="J2702" s="2240"/>
      <c r="K2702" s="2240"/>
      <c r="L2702" s="2240"/>
      <c r="M2702" s="2240"/>
      <c r="N2702" s="2811"/>
      <c r="O2702" s="302"/>
      <c r="P2702" s="302"/>
      <c r="Q2702" s="729"/>
      <c r="R2702" s="694"/>
      <c r="S2702" s="729"/>
      <c r="T2702" s="694"/>
      <c r="U2702" s="694"/>
      <c r="V2702" s="694"/>
      <c r="W2702" s="694"/>
      <c r="X2702" s="694"/>
      <c r="Y2702" s="694"/>
      <c r="Z2702" s="694"/>
      <c r="AA2702" s="694"/>
      <c r="AB2702" s="694"/>
      <c r="AC2702" s="694"/>
      <c r="AD2702" s="694"/>
      <c r="AE2702" s="694"/>
      <c r="AF2702" s="694"/>
      <c r="AG2702" s="694"/>
      <c r="AH2702" s="694"/>
      <c r="AI2702" s="694"/>
      <c r="AJ2702" s="694"/>
      <c r="AK2702" s="694"/>
      <c r="AL2702" s="694"/>
    </row>
    <row r="2703" spans="1:38" ht="12.75" customHeight="1" thickBot="1" x14ac:dyDescent="0.3">
      <c r="A2703" s="694"/>
      <c r="B2703" s="298"/>
      <c r="C2703" s="1302"/>
      <c r="D2703" s="1306"/>
      <c r="E2703" s="2810" t="str">
        <f>Translations!$B$545</f>
        <v>Подадените количества трябва да се въведат като отрицателни стойности и да съответстват на подадения CO2, който не е изпуснат в атмосферата от тази подинсталация.</v>
      </c>
      <c r="F2703" s="2240"/>
      <c r="G2703" s="2240"/>
      <c r="H2703" s="2240"/>
      <c r="I2703" s="2240"/>
      <c r="J2703" s="2240"/>
      <c r="K2703" s="2240"/>
      <c r="L2703" s="2240"/>
      <c r="M2703" s="2240"/>
      <c r="N2703" s="2811"/>
      <c r="O2703" s="302"/>
      <c r="P2703" s="302"/>
      <c r="Q2703" s="729"/>
      <c r="R2703" s="694"/>
      <c r="S2703" s="729"/>
      <c r="T2703" s="694"/>
      <c r="U2703" s="694"/>
      <c r="V2703" s="694"/>
      <c r="W2703" s="694"/>
      <c r="X2703" s="694"/>
      <c r="Y2703" s="694"/>
      <c r="Z2703" s="694"/>
      <c r="AA2703" s="694"/>
      <c r="AB2703" s="694"/>
      <c r="AC2703" s="694"/>
      <c r="AD2703" s="694"/>
      <c r="AE2703" s="694"/>
      <c r="AF2703" s="694"/>
      <c r="AG2703" s="694"/>
      <c r="AH2703" s="694"/>
      <c r="AI2703" s="694"/>
      <c r="AJ2703" s="694"/>
      <c r="AK2703" s="694"/>
      <c r="AL2703" s="694"/>
    </row>
    <row r="2704" spans="1:38" ht="12.75" customHeight="1" thickBot="1" x14ac:dyDescent="0.3">
      <c r="A2704" s="694"/>
      <c r="B2704" s="298"/>
      <c r="C2704" s="1302"/>
      <c r="D2704" s="1307"/>
      <c r="E2704" s="1317"/>
      <c r="F2704" s="1318"/>
      <c r="G2704" s="1309" t="str">
        <f>EUconst_Unit</f>
        <v>Единица мярка</v>
      </c>
      <c r="H2704" s="629">
        <f t="shared" ref="H2704:N2704" si="3875">H$2831</f>
        <v>2024</v>
      </c>
      <c r="I2704" s="1310">
        <f t="shared" si="3875"/>
        <v>2025</v>
      </c>
      <c r="J2704" s="1311">
        <f t="shared" si="3875"/>
        <v>2026</v>
      </c>
      <c r="K2704" s="629">
        <f t="shared" si="3875"/>
        <v>2027</v>
      </c>
      <c r="L2704" s="629">
        <f t="shared" si="3875"/>
        <v>2028</v>
      </c>
      <c r="M2704" s="629">
        <f t="shared" si="3875"/>
        <v>2029</v>
      </c>
      <c r="N2704" s="1312">
        <f t="shared" si="3875"/>
        <v>2030</v>
      </c>
      <c r="O2704" s="302"/>
      <c r="P2704" s="302"/>
      <c r="Q2704" s="729"/>
      <c r="R2704" s="694"/>
      <c r="S2704" s="1205"/>
      <c r="T2704" s="1313">
        <f t="shared" ref="T2704" si="3876">H2704</f>
        <v>2024</v>
      </c>
      <c r="U2704" s="1313">
        <f t="shared" ref="U2704" si="3877">I2704</f>
        <v>2025</v>
      </c>
      <c r="V2704" s="1313">
        <f t="shared" ref="V2704" si="3878">J2704</f>
        <v>2026</v>
      </c>
      <c r="W2704" s="1313">
        <f t="shared" ref="W2704" si="3879">K2704</f>
        <v>2027</v>
      </c>
      <c r="X2704" s="1313">
        <f t="shared" ref="X2704" si="3880">L2704</f>
        <v>2028</v>
      </c>
      <c r="Y2704" s="1313">
        <f t="shared" ref="Y2704" si="3881">M2704</f>
        <v>2029</v>
      </c>
      <c r="Z2704" s="1314">
        <f t="shared" ref="Z2704" si="3882">N2704</f>
        <v>2030</v>
      </c>
      <c r="AA2704" s="694"/>
      <c r="AB2704" s="694"/>
      <c r="AC2704" s="1178">
        <f t="shared" ref="AC2704" si="3883">H$20</f>
        <v>2024</v>
      </c>
      <c r="AD2704" s="1178">
        <f t="shared" ref="AD2704" si="3884">I$20</f>
        <v>2025</v>
      </c>
      <c r="AE2704" s="1178">
        <f t="shared" ref="AE2704" si="3885">J$20</f>
        <v>2026</v>
      </c>
      <c r="AF2704" s="1178">
        <f t="shared" ref="AF2704" si="3886">K$20</f>
        <v>2027</v>
      </c>
      <c r="AG2704" s="1178">
        <f t="shared" ref="AG2704" si="3887">L$20</f>
        <v>2028</v>
      </c>
      <c r="AH2704" s="1178">
        <f t="shared" ref="AH2704" si="3888">M$20</f>
        <v>2029</v>
      </c>
      <c r="AI2704" s="1178">
        <f t="shared" ref="AI2704" si="3889">N$20</f>
        <v>2030</v>
      </c>
      <c r="AJ2704" s="694"/>
      <c r="AK2704" s="694"/>
      <c r="AL2704" s="694"/>
    </row>
    <row r="2705" spans="1:38" ht="12.75" customHeight="1" thickBot="1" x14ac:dyDescent="0.3">
      <c r="A2705" s="694"/>
      <c r="B2705" s="298"/>
      <c r="C2705" s="1302"/>
      <c r="D2705" s="625"/>
      <c r="E2705" s="2820" t="str">
        <f>Translations!$B$546</f>
        <v>Получени или подадени парникови газове</v>
      </c>
      <c r="F2705" s="2258"/>
      <c r="G2705" s="1319" t="str">
        <f>EUconst_tCO2epa</f>
        <v>t CO2e/година</v>
      </c>
      <c r="H2705" s="56"/>
      <c r="I2705" s="115"/>
      <c r="J2705" s="118"/>
      <c r="K2705" s="56"/>
      <c r="L2705" s="56"/>
      <c r="M2705" s="56"/>
      <c r="N2705" s="121"/>
      <c r="O2705" s="302"/>
      <c r="P2705" s="158"/>
      <c r="Q2705" s="1190" t="str">
        <f>EUconst_CNTR_CO2Feedstock &amp; I2542</f>
        <v>EmCO2Feedstock_</v>
      </c>
      <c r="R2705" s="694"/>
      <c r="S2705" s="1315" t="str">
        <f>EUconst_CNTR_AttributedEmissions &amp; I2542</f>
        <v>AttrEmissions_</v>
      </c>
      <c r="T2705" s="1290" t="str">
        <f t="shared" ref="T2705" si="3890">IF(T2550,SUM(H2705),"")</f>
        <v/>
      </c>
      <c r="U2705" s="1290" t="str">
        <f t="shared" ref="U2705" si="3891">IF(U2550,SUM(I2705),"")</f>
        <v/>
      </c>
      <c r="V2705" s="1290" t="str">
        <f t="shared" ref="V2705" si="3892">IF(V2550,SUM(J2705),"")</f>
        <v/>
      </c>
      <c r="W2705" s="1290" t="str">
        <f t="shared" ref="W2705" si="3893">IF(W2550,SUM(K2705),"")</f>
        <v/>
      </c>
      <c r="X2705" s="1290" t="str">
        <f t="shared" ref="X2705" si="3894">IF(X2550,SUM(L2705),"")</f>
        <v/>
      </c>
      <c r="Y2705" s="1290" t="str">
        <f t="shared" ref="Y2705" si="3895">IF(Y2550,SUM(M2705),"")</f>
        <v/>
      </c>
      <c r="Z2705" s="1291" t="str">
        <f t="shared" ref="Z2705" si="3896">IF(Z2550,SUM(N2705),"")</f>
        <v/>
      </c>
      <c r="AA2705" s="694"/>
      <c r="AB2705" s="1182" t="s">
        <v>737</v>
      </c>
      <c r="AC2705" s="982" t="b">
        <f>AC2589</f>
        <v>0</v>
      </c>
      <c r="AD2705" s="982" t="b">
        <f t="shared" ref="AD2705:AI2705" si="3897">AD2589</f>
        <v>0</v>
      </c>
      <c r="AE2705" s="982" t="b">
        <f t="shared" si="3897"/>
        <v>0</v>
      </c>
      <c r="AF2705" s="982" t="b">
        <f t="shared" si="3897"/>
        <v>0</v>
      </c>
      <c r="AG2705" s="982" t="b">
        <f t="shared" si="3897"/>
        <v>0</v>
      </c>
      <c r="AH2705" s="982" t="b">
        <f t="shared" si="3897"/>
        <v>0</v>
      </c>
      <c r="AI2705" s="982" t="b">
        <f t="shared" si="3897"/>
        <v>0</v>
      </c>
      <c r="AJ2705" s="1174" t="s">
        <v>2039</v>
      </c>
      <c r="AK2705" s="1176" t="str">
        <f>IF(AND(CNTR_ExistSubInstEntries,MSconst_RequireSubAttrEmissions,COUNTIFS(AC2705:AI2705,FALSE,H2705:N2705,"")&gt;0),EUconst_Error&amp;"BM"&amp;$Q2542,"")</f>
        <v/>
      </c>
      <c r="AL2705" s="694"/>
    </row>
    <row r="2706" spans="1:38" ht="12.75" customHeight="1" x14ac:dyDescent="0.25">
      <c r="A2706" s="694"/>
      <c r="B2706" s="298"/>
      <c r="C2706" s="1302"/>
      <c r="D2706" s="1306"/>
      <c r="E2706" s="1306"/>
      <c r="F2706" s="1306"/>
      <c r="G2706" s="1306"/>
      <c r="H2706" s="1306"/>
      <c r="I2706" s="1306"/>
      <c r="J2706" s="1306"/>
      <c r="K2706" s="1306"/>
      <c r="L2706" s="1306"/>
      <c r="M2706" s="626"/>
      <c r="N2706" s="1316"/>
      <c r="O2706" s="302"/>
      <c r="P2706" s="302"/>
      <c r="Q2706" s="729"/>
      <c r="R2706" s="694"/>
      <c r="S2706" s="729"/>
      <c r="T2706" s="694"/>
      <c r="U2706" s="694"/>
      <c r="V2706" s="694"/>
      <c r="W2706" s="694"/>
      <c r="X2706" s="694"/>
      <c r="Y2706" s="694"/>
      <c r="Z2706" s="694"/>
      <c r="AA2706" s="694"/>
      <c r="AB2706" s="694"/>
      <c r="AC2706" s="694"/>
      <c r="AD2706" s="694"/>
      <c r="AE2706" s="694"/>
      <c r="AF2706" s="694"/>
      <c r="AG2706" s="694"/>
      <c r="AH2706" s="694"/>
      <c r="AI2706" s="694"/>
      <c r="AJ2706" s="694"/>
      <c r="AK2706" s="694"/>
      <c r="AL2706" s="694"/>
    </row>
    <row r="2707" spans="1:38" ht="12.75" customHeight="1" x14ac:dyDescent="0.25">
      <c r="A2707" s="694"/>
      <c r="B2707" s="298"/>
      <c r="C2707" s="1302"/>
      <c r="D2707" s="1307" t="s">
        <v>490</v>
      </c>
      <c r="E2707" s="2815" t="str">
        <f>Translations!$B$547</f>
        <v>Получаване и подаване на измерима топлинна енергия от тази подинсталация</v>
      </c>
      <c r="F2707" s="2240"/>
      <c r="G2707" s="2240"/>
      <c r="H2707" s="2240"/>
      <c r="I2707" s="2240"/>
      <c r="J2707" s="2240"/>
      <c r="K2707" s="2240"/>
      <c r="L2707" s="2240"/>
      <c r="M2707" s="2240"/>
      <c r="N2707" s="2811"/>
      <c r="O2707" s="302"/>
      <c r="P2707" s="302"/>
      <c r="Q2707" s="729"/>
      <c r="R2707" s="694"/>
      <c r="S2707" s="729"/>
      <c r="T2707" s="694"/>
      <c r="U2707" s="694"/>
      <c r="V2707" s="694"/>
      <c r="W2707" s="694"/>
      <c r="X2707" s="694"/>
      <c r="Y2707" s="694"/>
      <c r="Z2707" s="694"/>
      <c r="AA2707" s="694"/>
      <c r="AB2707" s="694"/>
      <c r="AC2707" s="694"/>
      <c r="AD2707" s="694"/>
      <c r="AE2707" s="694"/>
      <c r="AF2707" s="694"/>
      <c r="AG2707" s="694"/>
      <c r="AH2707" s="694"/>
      <c r="AI2707" s="694"/>
      <c r="AJ2707" s="694"/>
      <c r="AK2707" s="694"/>
      <c r="AL2707" s="694"/>
    </row>
    <row r="2708" spans="1:38" ht="12.75" customHeight="1" x14ac:dyDescent="0.25">
      <c r="A2708" s="694"/>
      <c r="B2708" s="298"/>
      <c r="C2708" s="1302"/>
      <c r="D2708" s="625"/>
      <c r="E2708" s="2816" t="str">
        <f>Translations!$B$548</f>
        <v>Посочените тук данни ще се отразят на емисиите, които могат да бъдат зададени съгласно раздел 10.1.2 и 10.1.3 от приложение VII към ПБР.</v>
      </c>
      <c r="F2708" s="2240"/>
      <c r="G2708" s="2240"/>
      <c r="H2708" s="2240"/>
      <c r="I2708" s="2240"/>
      <c r="J2708" s="2240"/>
      <c r="K2708" s="2240"/>
      <c r="L2708" s="2240"/>
      <c r="M2708" s="2240"/>
      <c r="N2708" s="2811"/>
      <c r="O2708" s="302"/>
      <c r="P2708" s="302"/>
      <c r="Q2708" s="729"/>
      <c r="R2708" s="694"/>
      <c r="S2708" s="729"/>
      <c r="T2708" s="729"/>
      <c r="U2708" s="729"/>
      <c r="V2708" s="729"/>
      <c r="W2708" s="694"/>
      <c r="X2708" s="694"/>
      <c r="Y2708" s="694"/>
      <c r="Z2708" s="694"/>
      <c r="AA2708" s="694"/>
      <c r="AB2708" s="694"/>
      <c r="AC2708" s="694"/>
      <c r="AD2708" s="694"/>
      <c r="AE2708" s="694"/>
      <c r="AF2708" s="694"/>
      <c r="AG2708" s="694"/>
      <c r="AH2708" s="694"/>
      <c r="AI2708" s="694"/>
      <c r="AJ2708" s="694"/>
      <c r="AK2708" s="694"/>
      <c r="AL2708" s="694"/>
    </row>
    <row r="2709" spans="1:38" ht="38.9" customHeight="1" x14ac:dyDescent="0.25">
      <c r="A2709" s="694"/>
      <c r="B2709" s="298"/>
      <c r="C2709" s="1302"/>
      <c r="D2709" s="1306"/>
      <c r="E2709" s="2810" t="str">
        <f>Translations!$B$549</f>
        <v>Това включва общото количество топлинна енергия, произведено във, получено от или подадено към (под)инсталации, обхванати от СТЕ на ЕС, или инсталации или обекти извън СТЕ на ЕС. При специфичните емисионни фактори (EF), свързани с топлинната енергия, трябва да се отчитат разпоредбите на раздели 8 и 10 от приложение VII към ПБР, и по-специално раздели 10.1.2 и 10.1.3.</v>
      </c>
      <c r="F2709" s="2240"/>
      <c r="G2709" s="2240"/>
      <c r="H2709" s="2240"/>
      <c r="I2709" s="2240"/>
      <c r="J2709" s="2240"/>
      <c r="K2709" s="2240"/>
      <c r="L2709" s="2240"/>
      <c r="M2709" s="2240"/>
      <c r="N2709" s="2811"/>
      <c r="O2709" s="302"/>
      <c r="P2709" s="302"/>
      <c r="Q2709" s="729"/>
      <c r="R2709" s="694"/>
      <c r="S2709" s="729"/>
      <c r="T2709" s="694"/>
      <c r="U2709" s="694"/>
      <c r="V2709" s="694"/>
      <c r="W2709" s="694"/>
      <c r="X2709" s="694"/>
      <c r="Y2709" s="694"/>
      <c r="Z2709" s="694"/>
      <c r="AA2709" s="694"/>
      <c r="AB2709" s="694"/>
      <c r="AC2709" s="694"/>
      <c r="AD2709" s="694"/>
      <c r="AE2709" s="694"/>
      <c r="AF2709" s="694"/>
      <c r="AG2709" s="694"/>
      <c r="AH2709" s="694"/>
      <c r="AI2709" s="694"/>
      <c r="AJ2709" s="694"/>
      <c r="AK2709" s="694"/>
      <c r="AL2709" s="694"/>
    </row>
    <row r="2710" spans="1:38" ht="25.5" customHeight="1" x14ac:dyDescent="0.25">
      <c r="A2710" s="694"/>
      <c r="B2710" s="298"/>
      <c r="C2710" s="1302"/>
      <c r="D2710" s="1306"/>
      <c r="E2710" s="2810" t="str">
        <f>Translations!$B$550</f>
        <v>Емисиите, свързани с измерима топлинна енергия, произведена в рамките на обекта от съоръжения, които обслужват повече от една подинсталация, също трябва да се въведат тук под „получени емисии“, вместо да се зададат директно чрез емисионния фактор за горивата от буква g) по-горе. Същото важи и за всяка топлинна енергия, „получена“ от други подинсталации.</v>
      </c>
      <c r="F2710" s="2240"/>
      <c r="G2710" s="2240"/>
      <c r="H2710" s="2240"/>
      <c r="I2710" s="2240"/>
      <c r="J2710" s="2240"/>
      <c r="K2710" s="2240"/>
      <c r="L2710" s="2240"/>
      <c r="M2710" s="2240"/>
      <c r="N2710" s="2811"/>
      <c r="O2710" s="302"/>
      <c r="P2710" s="302"/>
      <c r="Q2710" s="729"/>
      <c r="R2710" s="694"/>
      <c r="S2710" s="729"/>
      <c r="T2710" s="694"/>
      <c r="U2710" s="694"/>
      <c r="V2710" s="694"/>
      <c r="W2710" s="694"/>
      <c r="X2710" s="694"/>
      <c r="Y2710" s="694"/>
      <c r="Z2710" s="694"/>
      <c r="AA2710" s="694"/>
      <c r="AB2710" s="694"/>
      <c r="AC2710" s="694"/>
      <c r="AD2710" s="694"/>
      <c r="AE2710" s="694"/>
      <c r="AF2710" s="694"/>
      <c r="AG2710" s="694"/>
      <c r="AH2710" s="694"/>
      <c r="AI2710" s="694"/>
      <c r="AJ2710" s="694"/>
      <c r="AK2710" s="694"/>
      <c r="AL2710" s="694"/>
    </row>
    <row r="2711" spans="1:38" ht="25.5" customHeight="1" x14ac:dyDescent="0.25">
      <c r="A2711" s="694"/>
      <c r="B2711" s="298"/>
      <c r="C2711" s="1302"/>
      <c r="D2711" s="1306"/>
      <c r="E2711" s="2810" t="str">
        <f>Translations!$B$551</f>
        <v xml:space="preserve">Когато топлинната енергия е произведена изключително за една подинсталация и поради това съответните емисии са вписани в буква g) по-горе, съответните количества не трябва да се докладват тук като „получени“, за да се избегне двойно отчитане. </v>
      </c>
      <c r="F2711" s="2240"/>
      <c r="G2711" s="2240"/>
      <c r="H2711" s="2240"/>
      <c r="I2711" s="2240"/>
      <c r="J2711" s="2240"/>
      <c r="K2711" s="2240"/>
      <c r="L2711" s="2240"/>
      <c r="M2711" s="2240"/>
      <c r="N2711" s="2811"/>
      <c r="O2711" s="302"/>
      <c r="P2711" s="302"/>
      <c r="Q2711" s="729"/>
      <c r="R2711" s="694"/>
      <c r="S2711" s="729"/>
      <c r="T2711" s="694"/>
      <c r="U2711" s="694"/>
      <c r="V2711" s="694"/>
      <c r="W2711" s="694"/>
      <c r="X2711" s="694"/>
      <c r="Y2711" s="694"/>
      <c r="Z2711" s="694"/>
      <c r="AA2711" s="694"/>
      <c r="AB2711" s="694"/>
      <c r="AC2711" s="694"/>
      <c r="AD2711" s="694"/>
      <c r="AE2711" s="694"/>
      <c r="AF2711" s="694"/>
      <c r="AG2711" s="694"/>
      <c r="AH2711" s="694"/>
      <c r="AI2711" s="694"/>
      <c r="AJ2711" s="694"/>
      <c r="AK2711" s="694"/>
      <c r="AL2711" s="694"/>
    </row>
    <row r="2712" spans="1:38" ht="12.75" customHeight="1" thickBot="1" x14ac:dyDescent="0.3">
      <c r="A2712" s="694"/>
      <c r="B2712" s="298"/>
      <c r="C2712" s="1302"/>
      <c r="D2712" s="1306"/>
      <c r="E2712" s="2825" t="str">
        <f>Translations!$B$552</f>
        <v>За задаването на емисии от комбинираното производство на енергия (КПТЕ) при производството на топлинна енергия трябва да използвате „Инструмента за КПТЕ“ от раздел D.III от настоящия образец.</v>
      </c>
      <c r="F2712" s="2826"/>
      <c r="G2712" s="2826"/>
      <c r="H2712" s="2826"/>
      <c r="I2712" s="2826"/>
      <c r="J2712" s="2826"/>
      <c r="K2712" s="2826"/>
      <c r="L2712" s="2826"/>
      <c r="M2712" s="2826"/>
      <c r="N2712" s="2827"/>
      <c r="O2712" s="302"/>
      <c r="P2712" s="302"/>
      <c r="Q2712" s="729"/>
      <c r="R2712" s="694"/>
      <c r="S2712" s="694"/>
      <c r="T2712" s="694"/>
      <c r="U2712" s="694"/>
      <c r="V2712" s="694"/>
      <c r="W2712" s="694"/>
      <c r="X2712" s="694"/>
      <c r="Y2712" s="694"/>
      <c r="Z2712" s="694"/>
      <c r="AA2712" s="694"/>
      <c r="AB2712" s="694"/>
      <c r="AC2712" s="694"/>
      <c r="AD2712" s="694"/>
      <c r="AE2712" s="694"/>
      <c r="AF2712" s="694"/>
      <c r="AG2712" s="694"/>
      <c r="AH2712" s="694"/>
      <c r="AI2712" s="694"/>
      <c r="AJ2712" s="694"/>
      <c r="AK2712" s="694"/>
      <c r="AL2712" s="694"/>
    </row>
    <row r="2713" spans="1:38" ht="12.75" customHeight="1" thickBot="1" x14ac:dyDescent="0.3">
      <c r="A2713" s="694"/>
      <c r="B2713" s="298"/>
      <c r="C2713" s="1302"/>
      <c r="D2713" s="1306"/>
      <c r="E2713" s="2803" t="str">
        <f>Translations!$B$553</f>
        <v>Общо получена топлинна енергия</v>
      </c>
      <c r="F2713" s="2672"/>
      <c r="G2713" s="1309" t="str">
        <f>EUconst_Unit</f>
        <v>Единица мярка</v>
      </c>
      <c r="H2713" s="629">
        <f t="shared" ref="H2713:N2713" si="3898">H$2831</f>
        <v>2024</v>
      </c>
      <c r="I2713" s="1310">
        <f t="shared" si="3898"/>
        <v>2025</v>
      </c>
      <c r="J2713" s="1311">
        <f t="shared" si="3898"/>
        <v>2026</v>
      </c>
      <c r="K2713" s="629">
        <f t="shared" si="3898"/>
        <v>2027</v>
      </c>
      <c r="L2713" s="629">
        <f t="shared" si="3898"/>
        <v>2028</v>
      </c>
      <c r="M2713" s="629">
        <f t="shared" si="3898"/>
        <v>2029</v>
      </c>
      <c r="N2713" s="1312">
        <f t="shared" si="3898"/>
        <v>2030</v>
      </c>
      <c r="O2713" s="302"/>
      <c r="P2713" s="302"/>
      <c r="Q2713" s="729"/>
      <c r="R2713" s="694"/>
      <c r="S2713" s="1205"/>
      <c r="T2713" s="1313">
        <f t="shared" ref="T2713" si="3899">H2713</f>
        <v>2024</v>
      </c>
      <c r="U2713" s="1313">
        <f t="shared" ref="U2713" si="3900">I2713</f>
        <v>2025</v>
      </c>
      <c r="V2713" s="1313">
        <f t="shared" ref="V2713" si="3901">J2713</f>
        <v>2026</v>
      </c>
      <c r="W2713" s="1313">
        <f t="shared" ref="W2713" si="3902">K2713</f>
        <v>2027</v>
      </c>
      <c r="X2713" s="1313">
        <f t="shared" ref="X2713" si="3903">L2713</f>
        <v>2028</v>
      </c>
      <c r="Y2713" s="1313">
        <f t="shared" ref="Y2713" si="3904">M2713</f>
        <v>2029</v>
      </c>
      <c r="Z2713" s="1314">
        <f t="shared" ref="Z2713" si="3905">N2713</f>
        <v>2030</v>
      </c>
      <c r="AA2713" s="694"/>
      <c r="AB2713" s="694"/>
      <c r="AC2713" s="1178">
        <f t="shared" ref="AC2713" si="3906">H$20</f>
        <v>2024</v>
      </c>
      <c r="AD2713" s="1178">
        <f t="shared" ref="AD2713" si="3907">I$20</f>
        <v>2025</v>
      </c>
      <c r="AE2713" s="1178">
        <f t="shared" ref="AE2713" si="3908">J$20</f>
        <v>2026</v>
      </c>
      <c r="AF2713" s="1178">
        <f t="shared" ref="AF2713" si="3909">K$20</f>
        <v>2027</v>
      </c>
      <c r="AG2713" s="1178">
        <f t="shared" ref="AG2713" si="3910">L$20</f>
        <v>2028</v>
      </c>
      <c r="AH2713" s="1178">
        <f t="shared" ref="AH2713" si="3911">M$20</f>
        <v>2029</v>
      </c>
      <c r="AI2713" s="1178">
        <f t="shared" ref="AI2713" si="3912">N$20</f>
        <v>2030</v>
      </c>
      <c r="AJ2713" s="694"/>
      <c r="AK2713" s="694"/>
      <c r="AL2713" s="694"/>
    </row>
    <row r="2714" spans="1:38" ht="12.75" customHeight="1" x14ac:dyDescent="0.25">
      <c r="A2714" s="694"/>
      <c r="B2714" s="298"/>
      <c r="C2714" s="1302"/>
      <c r="D2714" s="625" t="s">
        <v>6</v>
      </c>
      <c r="E2714" s="2820" t="str">
        <f>Translations!$B$554</f>
        <v>Нетно количество получена топлинна енергия</v>
      </c>
      <c r="F2714" s="2258"/>
      <c r="G2714" s="1319" t="str">
        <f>EUconst_TJpa</f>
        <v>TJ / година</v>
      </c>
      <c r="H2714" s="56"/>
      <c r="I2714" s="115"/>
      <c r="J2714" s="118"/>
      <c r="K2714" s="56"/>
      <c r="L2714" s="56"/>
      <c r="M2714" s="56"/>
      <c r="N2714" s="121"/>
      <c r="O2714" s="302"/>
      <c r="P2714" s="158"/>
      <c r="Q2714" s="1190" t="str">
        <f>EUconst_CNTR_HeatImport &amp; I2542</f>
        <v>HeatIm_</v>
      </c>
      <c r="R2714" s="694"/>
      <c r="S2714" s="1347" t="str">
        <f>EUconst_ERR_AttrEmBMapplied &amp; I2542</f>
        <v>ERR_AttrEmBM_</v>
      </c>
      <c r="T2714" s="982">
        <f t="shared" ref="T2714" si="3913">IF(AND(H2714&lt;&gt;0,H2715="",EUconst_StatusOfDataCollection=FALSE),1,0)</f>
        <v>0</v>
      </c>
      <c r="U2714" s="982">
        <f t="shared" ref="U2714" si="3914">IF(AND(I2714&lt;&gt;0,I2715="",EUconst_StatusOfDataCollection=FALSE),1,0)</f>
        <v>0</v>
      </c>
      <c r="V2714" s="982">
        <f t="shared" ref="V2714" si="3915">IF(AND(J2714&lt;&gt;0,J2715="",EUconst_StatusOfDataCollection=FALSE),1,0)</f>
        <v>0</v>
      </c>
      <c r="W2714" s="982">
        <f t="shared" ref="W2714" si="3916">IF(AND(K2714&lt;&gt;0,K2715="",EUconst_StatusOfDataCollection=FALSE),1,0)</f>
        <v>0</v>
      </c>
      <c r="X2714" s="982">
        <f t="shared" ref="X2714" si="3917">IF(AND(L2714&lt;&gt;0,L2715="",EUconst_StatusOfDataCollection=FALSE),1,0)</f>
        <v>0</v>
      </c>
      <c r="Y2714" s="982">
        <f t="shared" ref="Y2714" si="3918">IF(AND(M2714&lt;&gt;0,M2715="",EUconst_StatusOfDataCollection=FALSE),1,0)</f>
        <v>0</v>
      </c>
      <c r="Z2714" s="1287">
        <f t="shared" ref="Z2714" si="3919">IF(AND(N2714&lt;&gt;0,N2715="",EUconst_StatusOfDataCollection=FALSE),1,0)</f>
        <v>0</v>
      </c>
      <c r="AA2714" s="1031"/>
      <c r="AB2714" s="1182" t="s">
        <v>737</v>
      </c>
      <c r="AC2714" s="982" t="b">
        <f t="shared" ref="AC2714:AI2714" si="3920">AC2589</f>
        <v>0</v>
      </c>
      <c r="AD2714" s="982" t="b">
        <f t="shared" si="3920"/>
        <v>0</v>
      </c>
      <c r="AE2714" s="982" t="b">
        <f t="shared" si="3920"/>
        <v>0</v>
      </c>
      <c r="AF2714" s="982" t="b">
        <f t="shared" si="3920"/>
        <v>0</v>
      </c>
      <c r="AG2714" s="982" t="b">
        <f t="shared" si="3920"/>
        <v>0</v>
      </c>
      <c r="AH2714" s="982" t="b">
        <f t="shared" si="3920"/>
        <v>0</v>
      </c>
      <c r="AI2714" s="982" t="b">
        <f t="shared" si="3920"/>
        <v>0</v>
      </c>
      <c r="AJ2714" s="1174" t="s">
        <v>2039</v>
      </c>
      <c r="AK2714" s="1176" t="str">
        <f>IF(AND(CNTR_ExistSubInstEntries,MSconst_RequireSubAttrEmissions,COUNTIFS(AC2714:AI2714,FALSE,H2714:N2714,"")&gt;0),EUconst_Error&amp;"BM"&amp;$Q2542,"")</f>
        <v/>
      </c>
      <c r="AL2714" s="694"/>
    </row>
    <row r="2715" spans="1:38" ht="12.75" customHeight="1" thickBot="1" x14ac:dyDescent="0.3">
      <c r="A2715" s="694"/>
      <c r="B2715" s="298"/>
      <c r="C2715" s="1302"/>
      <c r="D2715" s="625" t="s">
        <v>7</v>
      </c>
      <c r="E2715" s="2820" t="str">
        <f>Translations!$B$555</f>
        <v>Специфичен EF (получена топлинна енергия)</v>
      </c>
      <c r="F2715" s="2258"/>
      <c r="G2715" s="1319" t="str">
        <f>EUconst_tCO2pTJ</f>
        <v>t CO2 / TJ</v>
      </c>
      <c r="H2715" s="56"/>
      <c r="I2715" s="115"/>
      <c r="J2715" s="118"/>
      <c r="K2715" s="56"/>
      <c r="L2715" s="56"/>
      <c r="M2715" s="56"/>
      <c r="N2715" s="121"/>
      <c r="O2715" s="302"/>
      <c r="P2715" s="158"/>
      <c r="Q2715" s="1190" t="str">
        <f>EUconst_CNTR_HeatImportEF &amp; I2542</f>
        <v>HeatImEF_</v>
      </c>
      <c r="R2715" s="694"/>
      <c r="S2715" s="1315" t="str">
        <f>EUconst_CNTR_AttributedEmissions &amp; I2542</f>
        <v>AttrEmissions_</v>
      </c>
      <c r="T2715" s="1290" t="str">
        <f t="shared" ref="T2715" si="3921">IF(T2550,SUM(H2714)*IF(ISNUMBER(H2715),H2715,EUconst_HeatBMvalue),"")</f>
        <v/>
      </c>
      <c r="U2715" s="1290" t="str">
        <f t="shared" ref="U2715" si="3922">IF(U2550,SUM(I2714)*IF(ISNUMBER(I2715),I2715,EUconst_HeatBMvalue),"")</f>
        <v/>
      </c>
      <c r="V2715" s="1290" t="str">
        <f t="shared" ref="V2715" si="3923">IF(V2550,SUM(J2714)*IF(ISNUMBER(J2715),J2715,EUconst_HeatBMvalue),"")</f>
        <v/>
      </c>
      <c r="W2715" s="1290" t="str">
        <f t="shared" ref="W2715" si="3924">IF(W2550,SUM(K2714)*IF(ISNUMBER(K2715),K2715,EUconst_HeatBMvalue),"")</f>
        <v/>
      </c>
      <c r="X2715" s="1290" t="str">
        <f t="shared" ref="X2715" si="3925">IF(X2550,SUM(L2714)*IF(ISNUMBER(L2715),L2715,EUconst_HeatBMvalue),"")</f>
        <v/>
      </c>
      <c r="Y2715" s="1290" t="str">
        <f t="shared" ref="Y2715" si="3926">IF(Y2550,SUM(M2714)*IF(ISNUMBER(M2715),M2715,EUconst_HeatBMvalue),"")</f>
        <v/>
      </c>
      <c r="Z2715" s="1291" t="str">
        <f t="shared" ref="Z2715" si="3927">IF(Z2550,SUM(N2714)*IF(ISNUMBER(N2715),N2715,EUconst_HeatBMvalue),"")</f>
        <v/>
      </c>
      <c r="AA2715" s="694"/>
      <c r="AB2715" s="694"/>
      <c r="AC2715" s="982" t="b">
        <f>AC2714</f>
        <v>0</v>
      </c>
      <c r="AD2715" s="982" t="b">
        <f t="shared" ref="AD2715:AI2715" si="3928">AD2714</f>
        <v>0</v>
      </c>
      <c r="AE2715" s="982" t="b">
        <f t="shared" si="3928"/>
        <v>0</v>
      </c>
      <c r="AF2715" s="982" t="b">
        <f t="shared" si="3928"/>
        <v>0</v>
      </c>
      <c r="AG2715" s="982" t="b">
        <f t="shared" si="3928"/>
        <v>0</v>
      </c>
      <c r="AH2715" s="982" t="b">
        <f t="shared" si="3928"/>
        <v>0</v>
      </c>
      <c r="AI2715" s="982" t="b">
        <f t="shared" si="3928"/>
        <v>0</v>
      </c>
      <c r="AJ2715" s="694"/>
      <c r="AK2715" s="694"/>
      <c r="AL2715" s="694"/>
    </row>
    <row r="2716" spans="1:38" ht="5.15" customHeight="1" x14ac:dyDescent="0.25">
      <c r="A2716" s="694"/>
      <c r="B2716" s="298"/>
      <c r="C2716" s="1302"/>
      <c r="D2716" s="1306"/>
      <c r="E2716" s="1306"/>
      <c r="F2716" s="1306"/>
      <c r="G2716" s="1306"/>
      <c r="H2716" s="1306"/>
      <c r="I2716" s="1306"/>
      <c r="J2716" s="1306"/>
      <c r="K2716" s="1306"/>
      <c r="L2716" s="1306"/>
      <c r="M2716" s="1306"/>
      <c r="N2716" s="1316"/>
      <c r="O2716" s="302"/>
      <c r="P2716" s="302"/>
      <c r="Q2716" s="729"/>
      <c r="R2716" s="694"/>
      <c r="S2716" s="729"/>
      <c r="T2716" s="729"/>
      <c r="U2716" s="729"/>
      <c r="V2716" s="729"/>
      <c r="W2716" s="694"/>
      <c r="X2716" s="694"/>
      <c r="Y2716" s="694"/>
      <c r="Z2716" s="694"/>
      <c r="AA2716" s="694"/>
      <c r="AB2716" s="694"/>
      <c r="AC2716" s="694"/>
      <c r="AD2716" s="694"/>
      <c r="AE2716" s="694"/>
      <c r="AF2716" s="694"/>
      <c r="AG2716" s="694"/>
      <c r="AH2716" s="694"/>
      <c r="AI2716" s="694"/>
      <c r="AJ2716" s="694"/>
      <c r="AK2716" s="694"/>
      <c r="AL2716" s="694"/>
    </row>
    <row r="2717" spans="1:38" ht="12.75" customHeight="1" thickBot="1" x14ac:dyDescent="0.3">
      <c r="A2717" s="694"/>
      <c r="B2717" s="298"/>
      <c r="C2717" s="1302"/>
      <c r="D2717" s="1306"/>
      <c r="E2717" s="2803" t="str">
        <f>Translations!$B$556</f>
        <v>Специфична получена топлинна енергия</v>
      </c>
      <c r="F2717" s="2672"/>
      <c r="G2717" s="1309" t="str">
        <f>EUconst_Unit</f>
        <v>Единица мярка</v>
      </c>
      <c r="H2717" s="629">
        <f t="shared" ref="H2717:N2717" si="3929">H$2831</f>
        <v>2024</v>
      </c>
      <c r="I2717" s="1310">
        <f t="shared" si="3929"/>
        <v>2025</v>
      </c>
      <c r="J2717" s="1311">
        <f t="shared" si="3929"/>
        <v>2026</v>
      </c>
      <c r="K2717" s="629">
        <f t="shared" si="3929"/>
        <v>2027</v>
      </c>
      <c r="L2717" s="629">
        <f t="shared" si="3929"/>
        <v>2028</v>
      </c>
      <c r="M2717" s="629">
        <f t="shared" si="3929"/>
        <v>2029</v>
      </c>
      <c r="N2717" s="1312">
        <f t="shared" si="3929"/>
        <v>2030</v>
      </c>
      <c r="O2717" s="302"/>
      <c r="P2717" s="302"/>
      <c r="Q2717" s="729"/>
      <c r="R2717" s="694"/>
      <c r="S2717" s="729"/>
      <c r="T2717" s="729"/>
      <c r="U2717" s="729"/>
      <c r="V2717" s="729"/>
      <c r="W2717" s="694"/>
      <c r="X2717" s="694"/>
      <c r="Y2717" s="694"/>
      <c r="Z2717" s="694"/>
      <c r="AA2717" s="694"/>
      <c r="AB2717" s="694"/>
      <c r="AC2717" s="1178">
        <f t="shared" ref="AC2717" si="3930">H$20</f>
        <v>2024</v>
      </c>
      <c r="AD2717" s="1178">
        <f t="shared" ref="AD2717" si="3931">I$20</f>
        <v>2025</v>
      </c>
      <c r="AE2717" s="1178">
        <f t="shared" ref="AE2717" si="3932">J$20</f>
        <v>2026</v>
      </c>
      <c r="AF2717" s="1178">
        <f t="shared" ref="AF2717" si="3933">K$20</f>
        <v>2027</v>
      </c>
      <c r="AG2717" s="1178">
        <f t="shared" ref="AG2717" si="3934">L$20</f>
        <v>2028</v>
      </c>
      <c r="AH2717" s="1178">
        <f t="shared" ref="AH2717" si="3935">M$20</f>
        <v>2029</v>
      </c>
      <c r="AI2717" s="1178">
        <f t="shared" ref="AI2717" si="3936">N$20</f>
        <v>2030</v>
      </c>
      <c r="AJ2717" s="694"/>
      <c r="AK2717" s="694"/>
      <c r="AL2717" s="694"/>
    </row>
    <row r="2718" spans="1:38" ht="12.75" customHeight="1" x14ac:dyDescent="0.25">
      <c r="A2718" s="694"/>
      <c r="B2718" s="298"/>
      <c r="C2718" s="1302"/>
      <c r="D2718" s="625" t="s">
        <v>8</v>
      </c>
      <c r="E2718" s="2820" t="str">
        <f>Translations!$B$557</f>
        <v>Нетно количество топлинна енергия, получена от подинсталации за пулп</v>
      </c>
      <c r="F2718" s="2258"/>
      <c r="G2718" s="1319" t="str">
        <f>EUconst_TJpa</f>
        <v>TJ / година</v>
      </c>
      <c r="H2718" s="141"/>
      <c r="I2718" s="142"/>
      <c r="J2718" s="143"/>
      <c r="K2718" s="141"/>
      <c r="L2718" s="141"/>
      <c r="M2718" s="141"/>
      <c r="N2718" s="144"/>
      <c r="O2718" s="302"/>
      <c r="P2718" s="158"/>
      <c r="Q2718" s="1190" t="str">
        <f>EUconst_CNTR_HeatImportPulp &amp; I2542</f>
        <v>HeatImPulp_</v>
      </c>
      <c r="R2718" s="694"/>
      <c r="S2718" s="729"/>
      <c r="T2718" s="729"/>
      <c r="U2718" s="729"/>
      <c r="V2718" s="729"/>
      <c r="W2718" s="694"/>
      <c r="X2718" s="694"/>
      <c r="Y2718" s="694"/>
      <c r="Z2718" s="694"/>
      <c r="AA2718" s="694"/>
      <c r="AB2718" s="1182" t="s">
        <v>737</v>
      </c>
      <c r="AC2718" s="982" t="b">
        <f>AC2589</f>
        <v>0</v>
      </c>
      <c r="AD2718" s="982" t="b">
        <f t="shared" ref="AD2718:AI2718" si="3937">AD2589</f>
        <v>0</v>
      </c>
      <c r="AE2718" s="982" t="b">
        <f t="shared" si="3937"/>
        <v>0</v>
      </c>
      <c r="AF2718" s="982" t="b">
        <f t="shared" si="3937"/>
        <v>0</v>
      </c>
      <c r="AG2718" s="982" t="b">
        <f t="shared" si="3937"/>
        <v>0</v>
      </c>
      <c r="AH2718" s="982" t="b">
        <f t="shared" si="3937"/>
        <v>0</v>
      </c>
      <c r="AI2718" s="982" t="b">
        <f t="shared" si="3937"/>
        <v>0</v>
      </c>
      <c r="AJ2718" s="1174" t="s">
        <v>2039</v>
      </c>
      <c r="AK2718" s="1176" t="str">
        <f>IF(AND(CNTR_ExistSubInstEntries,MSconst_RequireSubAttrEmissions,COUNTIFS(AC2718:AI2718,FALSE,H2718:N2718,"")&gt;0),EUconst_Error&amp;"BM"&amp;$Q2542,"")</f>
        <v/>
      </c>
      <c r="AL2718" s="694"/>
    </row>
    <row r="2719" spans="1:38" ht="25.5" customHeight="1" x14ac:dyDescent="0.25">
      <c r="A2719" s="694"/>
      <c r="B2719" s="298"/>
      <c r="C2719" s="1302"/>
      <c r="D2719" s="625" t="s">
        <v>18</v>
      </c>
      <c r="E2719" s="2820" t="str">
        <f>Translations!$B$558</f>
        <v>Нетно количество топлинна енергия, получена от подинсталации за азотна киселина</v>
      </c>
      <c r="F2719" s="2258"/>
      <c r="G2719" s="1319" t="str">
        <f>EUconst_TJpa</f>
        <v>TJ / година</v>
      </c>
      <c r="H2719" s="56"/>
      <c r="I2719" s="115"/>
      <c r="J2719" s="118"/>
      <c r="K2719" s="56"/>
      <c r="L2719" s="56"/>
      <c r="M2719" s="56"/>
      <c r="N2719" s="121"/>
      <c r="O2719" s="302"/>
      <c r="P2719" s="158"/>
      <c r="Q2719" s="1190" t="str">
        <f>EUconst_CNTR_HeatImportNitric &amp; I2542</f>
        <v>HeatImNitric_</v>
      </c>
      <c r="R2719" s="694"/>
      <c r="S2719" s="729"/>
      <c r="T2719" s="729"/>
      <c r="U2719" s="729"/>
      <c r="V2719" s="729"/>
      <c r="W2719" s="694"/>
      <c r="X2719" s="694"/>
      <c r="Y2719" s="694"/>
      <c r="Z2719" s="694"/>
      <c r="AA2719" s="694"/>
      <c r="AB2719" s="694"/>
      <c r="AC2719" s="982" t="b">
        <f>AC2718</f>
        <v>0</v>
      </c>
      <c r="AD2719" s="982" t="b">
        <f t="shared" ref="AD2719:AI2719" si="3938">AD2718</f>
        <v>0</v>
      </c>
      <c r="AE2719" s="982" t="b">
        <f t="shared" si="3938"/>
        <v>0</v>
      </c>
      <c r="AF2719" s="982" t="b">
        <f t="shared" si="3938"/>
        <v>0</v>
      </c>
      <c r="AG2719" s="982" t="b">
        <f t="shared" si="3938"/>
        <v>0</v>
      </c>
      <c r="AH2719" s="982" t="b">
        <f t="shared" si="3938"/>
        <v>0</v>
      </c>
      <c r="AI2719" s="982" t="b">
        <f t="shared" si="3938"/>
        <v>0</v>
      </c>
      <c r="AJ2719" s="1174" t="s">
        <v>2039</v>
      </c>
      <c r="AK2719" s="1176" t="str">
        <f>IF(AND(CNTR_ExistSubInstEntries,MSconst_RequireSubAttrEmissions,COUNTIFS(AC2719:AI2719,FALSE,H2719:N2719,"")&gt;0),EUconst_Error&amp;"BM"&amp;$Q2542,"")</f>
        <v/>
      </c>
      <c r="AL2719" s="694"/>
    </row>
    <row r="2720" spans="1:38" ht="5.15" customHeight="1" thickBot="1" x14ac:dyDescent="0.3">
      <c r="A2720" s="694"/>
      <c r="B2720" s="298"/>
      <c r="C2720" s="1302"/>
      <c r="D2720" s="1306"/>
      <c r="E2720" s="1306"/>
      <c r="F2720" s="1306"/>
      <c r="G2720" s="1306"/>
      <c r="H2720" s="1306"/>
      <c r="I2720" s="1306"/>
      <c r="J2720" s="1306"/>
      <c r="K2720" s="1306"/>
      <c r="L2720" s="1306"/>
      <c r="M2720" s="1306"/>
      <c r="N2720" s="1316"/>
      <c r="O2720" s="302"/>
      <c r="P2720" s="302"/>
      <c r="Q2720" s="729"/>
      <c r="R2720" s="694"/>
      <c r="S2720" s="729"/>
      <c r="T2720" s="729"/>
      <c r="U2720" s="729"/>
      <c r="V2720" s="729"/>
      <c r="W2720" s="694"/>
      <c r="X2720" s="694"/>
      <c r="Y2720" s="694"/>
      <c r="Z2720" s="694"/>
      <c r="AA2720" s="694"/>
      <c r="AB2720" s="694"/>
      <c r="AC2720" s="694"/>
      <c r="AD2720" s="694"/>
      <c r="AE2720" s="694"/>
      <c r="AF2720" s="694"/>
      <c r="AG2720" s="694"/>
      <c r="AH2720" s="694"/>
      <c r="AI2720" s="694"/>
      <c r="AJ2720" s="694"/>
      <c r="AK2720" s="694"/>
      <c r="AL2720" s="694"/>
    </row>
    <row r="2721" spans="1:38" ht="12.75" customHeight="1" thickBot="1" x14ac:dyDescent="0.3">
      <c r="A2721" s="694"/>
      <c r="B2721" s="298"/>
      <c r="C2721" s="1302"/>
      <c r="D2721" s="1306"/>
      <c r="E2721" s="2803" t="str">
        <f>Translations!$B$559</f>
        <v>Общо подадена топлинна енергия</v>
      </c>
      <c r="F2721" s="2672"/>
      <c r="G2721" s="1309" t="str">
        <f>EUconst_Unit</f>
        <v>Единица мярка</v>
      </c>
      <c r="H2721" s="629">
        <f t="shared" ref="H2721:N2721" si="3939">H$2831</f>
        <v>2024</v>
      </c>
      <c r="I2721" s="1310">
        <f t="shared" si="3939"/>
        <v>2025</v>
      </c>
      <c r="J2721" s="1311">
        <f t="shared" si="3939"/>
        <v>2026</v>
      </c>
      <c r="K2721" s="629">
        <f t="shared" si="3939"/>
        <v>2027</v>
      </c>
      <c r="L2721" s="629">
        <f t="shared" si="3939"/>
        <v>2028</v>
      </c>
      <c r="M2721" s="629">
        <f t="shared" si="3939"/>
        <v>2029</v>
      </c>
      <c r="N2721" s="1312">
        <f t="shared" si="3939"/>
        <v>2030</v>
      </c>
      <c r="O2721" s="302"/>
      <c r="P2721" s="302"/>
      <c r="Q2721" s="729"/>
      <c r="R2721" s="694"/>
      <c r="S2721" s="1205"/>
      <c r="T2721" s="1313">
        <f t="shared" ref="T2721" si="3940">H2721</f>
        <v>2024</v>
      </c>
      <c r="U2721" s="1313">
        <f t="shared" ref="U2721" si="3941">I2721</f>
        <v>2025</v>
      </c>
      <c r="V2721" s="1313">
        <f t="shared" ref="V2721" si="3942">J2721</f>
        <v>2026</v>
      </c>
      <c r="W2721" s="1313">
        <f t="shared" ref="W2721" si="3943">K2721</f>
        <v>2027</v>
      </c>
      <c r="X2721" s="1313">
        <f t="shared" ref="X2721" si="3944">L2721</f>
        <v>2028</v>
      </c>
      <c r="Y2721" s="1313">
        <f t="shared" ref="Y2721" si="3945">M2721</f>
        <v>2029</v>
      </c>
      <c r="Z2721" s="1314">
        <f t="shared" ref="Z2721" si="3946">N2721</f>
        <v>2030</v>
      </c>
      <c r="AA2721" s="694"/>
      <c r="AB2721" s="694"/>
      <c r="AC2721" s="1178">
        <f t="shared" ref="AC2721" si="3947">H$20</f>
        <v>2024</v>
      </c>
      <c r="AD2721" s="1178">
        <f t="shared" ref="AD2721" si="3948">I$20</f>
        <v>2025</v>
      </c>
      <c r="AE2721" s="1178">
        <f t="shared" ref="AE2721" si="3949">J$20</f>
        <v>2026</v>
      </c>
      <c r="AF2721" s="1178">
        <f t="shared" ref="AF2721" si="3950">K$20</f>
        <v>2027</v>
      </c>
      <c r="AG2721" s="1178">
        <f t="shared" ref="AG2721" si="3951">L$20</f>
        <v>2028</v>
      </c>
      <c r="AH2721" s="1178">
        <f t="shared" ref="AH2721" si="3952">M$20</f>
        <v>2029</v>
      </c>
      <c r="AI2721" s="1178">
        <f t="shared" ref="AI2721" si="3953">N$20</f>
        <v>2030</v>
      </c>
      <c r="AJ2721" s="694"/>
      <c r="AK2721" s="694"/>
      <c r="AL2721" s="694"/>
    </row>
    <row r="2722" spans="1:38" ht="12.75" customHeight="1" x14ac:dyDescent="0.25">
      <c r="A2722" s="694"/>
      <c r="B2722" s="298"/>
      <c r="C2722" s="1302"/>
      <c r="D2722" s="625" t="s">
        <v>810</v>
      </c>
      <c r="E2722" s="2820" t="str">
        <f>Translations!$B$560</f>
        <v>Нетно количество подадена топлинна енергия</v>
      </c>
      <c r="F2722" s="2258"/>
      <c r="G2722" s="1319" t="str">
        <f>EUconst_TJpa</f>
        <v>TJ / година</v>
      </c>
      <c r="H2722" s="56"/>
      <c r="I2722" s="115"/>
      <c r="J2722" s="118"/>
      <c r="K2722" s="56"/>
      <c r="L2722" s="56"/>
      <c r="M2722" s="56"/>
      <c r="N2722" s="121"/>
      <c r="O2722" s="302"/>
      <c r="P2722" s="158"/>
      <c r="Q2722" s="1190" t="str">
        <f>EUconst_CNTR_HeatExport &amp; I2542</f>
        <v>HeatEx_</v>
      </c>
      <c r="R2722" s="694"/>
      <c r="S2722" s="1347" t="str">
        <f>EUconst_ERR_AttrEmBMapplied &amp; I2542</f>
        <v>ERR_AttrEmBM_</v>
      </c>
      <c r="T2722" s="982">
        <f t="shared" ref="T2722" si="3954">IF(AND(H2722&lt;&gt;0,H2723="",EUconst_StatusOfDataCollection=FALSE),1,0)</f>
        <v>0</v>
      </c>
      <c r="U2722" s="982">
        <f t="shared" ref="U2722" si="3955">IF(AND(I2722&lt;&gt;0,I2723="",EUconst_StatusOfDataCollection=FALSE),1,0)</f>
        <v>0</v>
      </c>
      <c r="V2722" s="982">
        <f t="shared" ref="V2722" si="3956">IF(AND(J2722&lt;&gt;0,J2723="",EUconst_StatusOfDataCollection=FALSE),1,0)</f>
        <v>0</v>
      </c>
      <c r="W2722" s="982">
        <f t="shared" ref="W2722" si="3957">IF(AND(K2722&lt;&gt;0,K2723="",EUconst_StatusOfDataCollection=FALSE),1,0)</f>
        <v>0</v>
      </c>
      <c r="X2722" s="982">
        <f t="shared" ref="X2722" si="3958">IF(AND(L2722&lt;&gt;0,L2723="",EUconst_StatusOfDataCollection=FALSE),1,0)</f>
        <v>0</v>
      </c>
      <c r="Y2722" s="982">
        <f t="shared" ref="Y2722" si="3959">IF(AND(M2722&lt;&gt;0,M2723="",EUconst_StatusOfDataCollection=FALSE),1,0)</f>
        <v>0</v>
      </c>
      <c r="Z2722" s="1287">
        <f t="shared" ref="Z2722" si="3960">IF(AND(N2722&lt;&gt;0,N2723="",EUconst_StatusOfDataCollection=FALSE),1,0)</f>
        <v>0</v>
      </c>
      <c r="AA2722" s="694"/>
      <c r="AB2722" s="1182" t="s">
        <v>737</v>
      </c>
      <c r="AC2722" s="982" t="b">
        <f>AC2718</f>
        <v>0</v>
      </c>
      <c r="AD2722" s="982" t="b">
        <f t="shared" ref="AD2722:AI2722" si="3961">AD2718</f>
        <v>0</v>
      </c>
      <c r="AE2722" s="982" t="b">
        <f t="shared" si="3961"/>
        <v>0</v>
      </c>
      <c r="AF2722" s="982" t="b">
        <f t="shared" si="3961"/>
        <v>0</v>
      </c>
      <c r="AG2722" s="982" t="b">
        <f t="shared" si="3961"/>
        <v>0</v>
      </c>
      <c r="AH2722" s="982" t="b">
        <f t="shared" si="3961"/>
        <v>0</v>
      </c>
      <c r="AI2722" s="982" t="b">
        <f t="shared" si="3961"/>
        <v>0</v>
      </c>
      <c r="AJ2722" s="1174" t="s">
        <v>2039</v>
      </c>
      <c r="AK2722" s="1176" t="str">
        <f>IF(AND(CNTR_ExistSubInstEntries,MSconst_RequireSubAttrEmissions,COUNTIFS(AC2722:AI2722,FALSE,H2722:N2722,"")&gt;0),EUconst_Error&amp;"BM"&amp;$Q2542,"")</f>
        <v/>
      </c>
      <c r="AL2722" s="694"/>
    </row>
    <row r="2723" spans="1:38" ht="12.75" customHeight="1" thickBot="1" x14ac:dyDescent="0.3">
      <c r="A2723" s="694"/>
      <c r="B2723" s="298"/>
      <c r="C2723" s="1302"/>
      <c r="D2723" s="625" t="s">
        <v>811</v>
      </c>
      <c r="E2723" s="2820" t="str">
        <f>Translations!$B$561</f>
        <v>Специфичен EF (подадена топлинна енергия)</v>
      </c>
      <c r="F2723" s="2258"/>
      <c r="G2723" s="1319" t="str">
        <f>EUconst_tCO2pTJ</f>
        <v>t CO2 / TJ</v>
      </c>
      <c r="H2723" s="56"/>
      <c r="I2723" s="115"/>
      <c r="J2723" s="118"/>
      <c r="K2723" s="56"/>
      <c r="L2723" s="56"/>
      <c r="M2723" s="56"/>
      <c r="N2723" s="121"/>
      <c r="O2723" s="302"/>
      <c r="P2723" s="158"/>
      <c r="Q2723" s="1190" t="str">
        <f>EUconst_CNTR_HeatExportEF &amp; I2542</f>
        <v>HeatExEF_</v>
      </c>
      <c r="R2723" s="694"/>
      <c r="S2723" s="1315" t="str">
        <f>EUconst_CNTR_AttributedEmissions &amp; I2542</f>
        <v>AttrEmissions_</v>
      </c>
      <c r="T2723" s="1290" t="str">
        <f t="shared" ref="T2723" si="3962">IF(T2550,-SUM(H2722)*IF(INDEX(EUconst_BMlistMainNumberOfBM,MATCH($I2542,EUconst_BMlistNames,0))=39,0,IF(ISNUMBER(H2723),H2723,EUconst_HeatBMvalue)),"")</f>
        <v/>
      </c>
      <c r="U2723" s="1290" t="str">
        <f t="shared" ref="U2723" si="3963">IF(U2550,-SUM(I2722)*IF(INDEX(EUconst_BMlistMainNumberOfBM,MATCH($I2542,EUconst_BMlistNames,0))=39,0,IF(ISNUMBER(I2723),I2723,EUconst_HeatBMvalue)),"")</f>
        <v/>
      </c>
      <c r="V2723" s="1290" t="str">
        <f t="shared" ref="V2723" si="3964">IF(V2550,-SUM(J2722)*IF(INDEX(EUconst_BMlistMainNumberOfBM,MATCH($I2542,EUconst_BMlistNames,0))=39,0,IF(ISNUMBER(J2723),J2723,EUconst_HeatBMvalue)),"")</f>
        <v/>
      </c>
      <c r="W2723" s="1290" t="str">
        <f t="shared" ref="W2723" si="3965">IF(W2550,-SUM(K2722)*IF(INDEX(EUconst_BMlistMainNumberOfBM,MATCH($I2542,EUconst_BMlistNames,0))=39,0,IF(ISNUMBER(K2723),K2723,EUconst_HeatBMvalue)),"")</f>
        <v/>
      </c>
      <c r="X2723" s="1290" t="str">
        <f t="shared" ref="X2723" si="3966">IF(X2550,-SUM(L2722)*IF(INDEX(EUconst_BMlistMainNumberOfBM,MATCH($I2542,EUconst_BMlistNames,0))=39,0,IF(ISNUMBER(L2723),L2723,EUconst_HeatBMvalue)),"")</f>
        <v/>
      </c>
      <c r="Y2723" s="1290" t="str">
        <f t="shared" ref="Y2723" si="3967">IF(Y2550,-SUM(M2722)*IF(INDEX(EUconst_BMlistMainNumberOfBM,MATCH($I2542,EUconst_BMlistNames,0))=39,0,IF(ISNUMBER(M2723),M2723,EUconst_HeatBMvalue)),"")</f>
        <v/>
      </c>
      <c r="Z2723" s="1291" t="str">
        <f t="shared" ref="Z2723" si="3968">IF(Z2550,-SUM(N2722)*IF(INDEX(EUconst_BMlistMainNumberOfBM,MATCH($I2542,EUconst_BMlistNames,0))=39,0,IF(ISNUMBER(N2723),N2723,EUconst_HeatBMvalue)),"")</f>
        <v/>
      </c>
      <c r="AA2723" s="694"/>
      <c r="AB2723" s="694"/>
      <c r="AC2723" s="982" t="b">
        <f>AC2722</f>
        <v>0</v>
      </c>
      <c r="AD2723" s="982" t="b">
        <f t="shared" ref="AD2723:AI2723" si="3969">AD2722</f>
        <v>0</v>
      </c>
      <c r="AE2723" s="982" t="b">
        <f t="shared" si="3969"/>
        <v>0</v>
      </c>
      <c r="AF2723" s="982" t="b">
        <f t="shared" si="3969"/>
        <v>0</v>
      </c>
      <c r="AG2723" s="982" t="b">
        <f t="shared" si="3969"/>
        <v>0</v>
      </c>
      <c r="AH2723" s="982" t="b">
        <f t="shared" si="3969"/>
        <v>0</v>
      </c>
      <c r="AI2723" s="982" t="b">
        <f t="shared" si="3969"/>
        <v>0</v>
      </c>
      <c r="AJ2723" s="694"/>
      <c r="AK2723" s="694"/>
      <c r="AL2723" s="694"/>
    </row>
    <row r="2724" spans="1:38" ht="12.75" customHeight="1" x14ac:dyDescent="0.25">
      <c r="A2724" s="694"/>
      <c r="B2724" s="298"/>
      <c r="C2724" s="1302"/>
      <c r="D2724" s="1306"/>
      <c r="E2724" s="1306"/>
      <c r="F2724" s="1306"/>
      <c r="G2724" s="1306"/>
      <c r="H2724" s="1306"/>
      <c r="I2724" s="1306"/>
      <c r="J2724" s="1306"/>
      <c r="K2724" s="1306"/>
      <c r="L2724" s="1306"/>
      <c r="M2724" s="626"/>
      <c r="N2724" s="1316"/>
      <c r="O2724" s="302"/>
      <c r="P2724" s="302"/>
      <c r="Q2724" s="729"/>
      <c r="R2724" s="694"/>
      <c r="S2724" s="729"/>
      <c r="T2724" s="729"/>
      <c r="U2724" s="729"/>
      <c r="V2724" s="729"/>
      <c r="W2724" s="694"/>
      <c r="X2724" s="694"/>
      <c r="Y2724" s="694"/>
      <c r="Z2724" s="694"/>
      <c r="AA2724" s="694"/>
      <c r="AB2724" s="694"/>
      <c r="AC2724" s="694"/>
      <c r="AD2724" s="694"/>
      <c r="AE2724" s="694"/>
      <c r="AF2724" s="694"/>
      <c r="AG2724" s="694"/>
      <c r="AH2724" s="694"/>
      <c r="AI2724" s="694"/>
      <c r="AJ2724" s="694"/>
      <c r="AK2724" s="694"/>
      <c r="AL2724" s="694"/>
    </row>
    <row r="2725" spans="1:38" ht="12.75" customHeight="1" x14ac:dyDescent="0.25">
      <c r="A2725" s="694"/>
      <c r="B2725" s="298"/>
      <c r="C2725" s="1302"/>
      <c r="D2725" s="1307" t="s">
        <v>492</v>
      </c>
      <c r="E2725" s="2815" t="str">
        <f>Translations!$B$562</f>
        <v>Баланс на отпадните газове за тази инсталация</v>
      </c>
      <c r="F2725" s="2240"/>
      <c r="G2725" s="2240"/>
      <c r="H2725" s="2240"/>
      <c r="I2725" s="2240"/>
      <c r="J2725" s="2240"/>
      <c r="K2725" s="2240"/>
      <c r="L2725" s="2240"/>
      <c r="M2725" s="2240"/>
      <c r="N2725" s="2811"/>
      <c r="O2725" s="302"/>
      <c r="P2725" s="302"/>
      <c r="Q2725" s="729"/>
      <c r="R2725" s="694"/>
      <c r="S2725" s="729"/>
      <c r="T2725" s="729"/>
      <c r="U2725" s="729"/>
      <c r="V2725" s="729"/>
      <c r="W2725" s="694"/>
      <c r="X2725" s="694"/>
      <c r="Y2725" s="694"/>
      <c r="Z2725" s="694"/>
      <c r="AA2725" s="694"/>
      <c r="AB2725" s="694"/>
      <c r="AC2725" s="694"/>
      <c r="AD2725" s="694"/>
      <c r="AE2725" s="694"/>
      <c r="AF2725" s="694"/>
      <c r="AG2725" s="694"/>
      <c r="AH2725" s="694"/>
      <c r="AI2725" s="694"/>
      <c r="AJ2725" s="694"/>
      <c r="AK2725" s="694"/>
      <c r="AL2725" s="694"/>
    </row>
    <row r="2726" spans="1:38" ht="5.15" customHeight="1" x14ac:dyDescent="0.25">
      <c r="A2726" s="694"/>
      <c r="B2726" s="298"/>
      <c r="C2726" s="1302"/>
      <c r="D2726" s="1306"/>
      <c r="E2726" s="1325"/>
      <c r="F2726" s="1325"/>
      <c r="G2726" s="1325"/>
      <c r="H2726" s="1325"/>
      <c r="I2726" s="1325"/>
      <c r="J2726" s="1325"/>
      <c r="K2726" s="1325"/>
      <c r="L2726" s="1325"/>
      <c r="M2726" s="1325"/>
      <c r="N2726" s="1348"/>
      <c r="O2726" s="302"/>
      <c r="P2726" s="302"/>
      <c r="Q2726" s="729"/>
      <c r="R2726" s="694"/>
      <c r="S2726" s="729"/>
      <c r="T2726" s="729"/>
      <c r="U2726" s="729"/>
      <c r="V2726" s="729"/>
      <c r="W2726" s="694"/>
      <c r="X2726" s="694"/>
      <c r="Y2726" s="694"/>
      <c r="Z2726" s="694"/>
      <c r="AA2726" s="694"/>
      <c r="AB2726" s="694"/>
      <c r="AC2726" s="694"/>
      <c r="AD2726" s="694"/>
      <c r="AE2726" s="694"/>
      <c r="AF2726" s="694"/>
      <c r="AG2726" s="694"/>
      <c r="AH2726" s="694"/>
      <c r="AI2726" s="694"/>
      <c r="AJ2726" s="694"/>
      <c r="AK2726" s="694"/>
      <c r="AL2726" s="694"/>
    </row>
    <row r="2727" spans="1:38" ht="12.75" customHeight="1" x14ac:dyDescent="0.25">
      <c r="A2727" s="694"/>
      <c r="B2727" s="298"/>
      <c r="C2727" s="1302"/>
      <c r="D2727" s="625" t="s">
        <v>6</v>
      </c>
      <c r="E2727" s="2815" t="str">
        <f>Translations!$B$563</f>
        <v>От значение ли са отпадните газове за тази подинсталация?</v>
      </c>
      <c r="F2727" s="2240"/>
      <c r="G2727" s="2240"/>
      <c r="H2727" s="2240"/>
      <c r="I2727" s="2240"/>
      <c r="J2727" s="2240"/>
      <c r="K2727" s="2684"/>
      <c r="L2727" s="83"/>
      <c r="M2727" s="1322"/>
      <c r="N2727" s="1323"/>
      <c r="O2727" s="302"/>
      <c r="P2727" s="158"/>
      <c r="Q2727" s="729"/>
      <c r="R2727" s="694"/>
      <c r="S2727" s="729"/>
      <c r="T2727" s="694"/>
      <c r="U2727" s="694"/>
      <c r="V2727" s="694"/>
      <c r="W2727" s="694"/>
      <c r="X2727" s="694"/>
      <c r="Y2727" s="694"/>
      <c r="Z2727" s="694"/>
      <c r="AA2727" s="694"/>
      <c r="AB2727" s="694"/>
      <c r="AC2727" s="694"/>
      <c r="AD2727" s="694"/>
      <c r="AE2727" s="694"/>
      <c r="AF2727" s="1182" t="s">
        <v>737</v>
      </c>
      <c r="AG2727" s="901" t="b">
        <f>AND(CNTR_ExistSubInstEntries,I2542="")</f>
        <v>0</v>
      </c>
      <c r="AH2727" s="694"/>
      <c r="AI2727" s="694"/>
      <c r="AJ2727" s="694"/>
      <c r="AK2727" s="694"/>
      <c r="AL2727" s="694"/>
    </row>
    <row r="2728" spans="1:38" ht="12.75" customHeight="1" x14ac:dyDescent="0.25">
      <c r="A2728" s="694"/>
      <c r="B2728" s="298"/>
      <c r="C2728" s="1302"/>
      <c r="D2728" s="1306"/>
      <c r="E2728" s="2810" t="str">
        <f>Translations!$B$564</f>
        <v>Ако отговорът е „невярно“, целият раздел ще бъде защрихован в сиво и можете да продължите към следващите точки по-долу.</v>
      </c>
      <c r="F2728" s="2240"/>
      <c r="G2728" s="2240"/>
      <c r="H2728" s="2240"/>
      <c r="I2728" s="2240"/>
      <c r="J2728" s="2240"/>
      <c r="K2728" s="2240"/>
      <c r="L2728" s="2240"/>
      <c r="M2728" s="2240"/>
      <c r="N2728" s="2811"/>
      <c r="O2728" s="302"/>
      <c r="P2728" s="302"/>
      <c r="Q2728" s="729"/>
      <c r="R2728" s="694"/>
      <c r="S2728" s="729"/>
      <c r="T2728" s="694"/>
      <c r="U2728" s="694"/>
      <c r="V2728" s="694"/>
      <c r="W2728" s="694"/>
      <c r="X2728" s="694"/>
      <c r="Y2728" s="694"/>
      <c r="Z2728" s="694"/>
      <c r="AA2728" s="694"/>
      <c r="AB2728" s="694"/>
      <c r="AC2728" s="694"/>
      <c r="AD2728" s="694"/>
      <c r="AE2728" s="694"/>
      <c r="AF2728" s="694"/>
      <c r="AG2728" s="694"/>
      <c r="AH2728" s="694"/>
      <c r="AI2728" s="694"/>
      <c r="AJ2728" s="694"/>
      <c r="AK2728" s="694"/>
      <c r="AL2728" s="694"/>
    </row>
    <row r="2729" spans="1:38" ht="12.75" customHeight="1" x14ac:dyDescent="0.25">
      <c r="A2729" s="694"/>
      <c r="B2729" s="298"/>
      <c r="C2729" s="1302"/>
      <c r="D2729" s="625" t="s">
        <v>7</v>
      </c>
      <c r="E2729" s="2815" t="str">
        <f>Translations!$B$565</f>
        <v>Видове произведени отпадни газове:</v>
      </c>
      <c r="F2729" s="2240"/>
      <c r="G2729" s="2240"/>
      <c r="H2729" s="2684"/>
      <c r="I2729" s="2821"/>
      <c r="J2729" s="2674"/>
      <c r="K2729" s="2674"/>
      <c r="L2729" s="2674"/>
      <c r="M2729" s="2675"/>
      <c r="N2729" s="1323"/>
      <c r="O2729" s="302"/>
      <c r="P2729" s="158"/>
      <c r="Q2729" s="729"/>
      <c r="R2729" s="694"/>
      <c r="S2729" s="729"/>
      <c r="T2729" s="694"/>
      <c r="U2729" s="694"/>
      <c r="V2729" s="694"/>
      <c r="W2729" s="694"/>
      <c r="X2729" s="694"/>
      <c r="Y2729" s="694"/>
      <c r="Z2729" s="694"/>
      <c r="AA2729" s="694"/>
      <c r="AB2729" s="694"/>
      <c r="AC2729" s="1182" t="s">
        <v>737</v>
      </c>
      <c r="AD2729" s="901" t="b">
        <f>OR(AG2727,AND($L2727&lt;&gt;"",$L2727=FALSE))</f>
        <v>0</v>
      </c>
      <c r="AE2729" s="694"/>
      <c r="AF2729" s="694"/>
      <c r="AG2729" s="694"/>
      <c r="AH2729" s="694"/>
      <c r="AI2729" s="694"/>
      <c r="AJ2729" s="694"/>
      <c r="AK2729" s="694"/>
      <c r="AL2729" s="694"/>
    </row>
    <row r="2730" spans="1:38" ht="12.75" customHeight="1" x14ac:dyDescent="0.25">
      <c r="A2730" s="694"/>
      <c r="B2730" s="298"/>
      <c r="C2730" s="1302"/>
      <c r="D2730" s="1306"/>
      <c r="E2730" s="2810" t="str">
        <f>Translations!$B$566</f>
        <v>Можете да изберете да подадете данните в тонове или 1000 Nm3. Мерните единици трябва да съответстват на използваните за долна топлина на изгаряне (NCV) и емисионния фактор по-долу.</v>
      </c>
      <c r="F2730" s="2240"/>
      <c r="G2730" s="2240"/>
      <c r="H2730" s="2240"/>
      <c r="I2730" s="2240"/>
      <c r="J2730" s="2240"/>
      <c r="K2730" s="2240"/>
      <c r="L2730" s="2240"/>
      <c r="M2730" s="2240"/>
      <c r="N2730" s="2811"/>
      <c r="O2730" s="302"/>
      <c r="P2730" s="302"/>
      <c r="Q2730" s="729"/>
      <c r="R2730" s="694"/>
      <c r="S2730" s="729"/>
      <c r="T2730" s="729"/>
      <c r="U2730" s="729"/>
      <c r="V2730" s="729"/>
      <c r="W2730" s="694"/>
      <c r="X2730" s="694"/>
      <c r="Y2730" s="694"/>
      <c r="Z2730" s="694"/>
      <c r="AA2730" s="694"/>
      <c r="AB2730" s="694"/>
      <c r="AC2730" s="694"/>
      <c r="AD2730" s="694"/>
      <c r="AE2730" s="694"/>
      <c r="AF2730" s="694"/>
      <c r="AG2730" s="694"/>
      <c r="AH2730" s="694"/>
      <c r="AI2730" s="694"/>
      <c r="AJ2730" s="694"/>
      <c r="AK2730" s="694"/>
      <c r="AL2730" s="694"/>
    </row>
    <row r="2731" spans="1:38" ht="12.75" customHeight="1" x14ac:dyDescent="0.25">
      <c r="A2731" s="694"/>
      <c r="B2731" s="298"/>
      <c r="C2731" s="1302"/>
      <c r="D2731" s="1306"/>
      <c r="E2731" s="2816" t="str">
        <f>Translations!$B$520</f>
        <v>Посочените тук данни се използват само с цел проверка на съответствието и нямат пряко отражение върху емисиите, които могат да бъдат зададени, или на разпределението на квотите.</v>
      </c>
      <c r="F2731" s="2240"/>
      <c r="G2731" s="2240"/>
      <c r="H2731" s="2240"/>
      <c r="I2731" s="2240"/>
      <c r="J2731" s="2240"/>
      <c r="K2731" s="2240"/>
      <c r="L2731" s="2240"/>
      <c r="M2731" s="2240"/>
      <c r="N2731" s="2811"/>
      <c r="O2731" s="302"/>
      <c r="P2731" s="302"/>
      <c r="Q2731" s="729"/>
      <c r="R2731" s="694"/>
      <c r="S2731" s="729"/>
      <c r="T2731" s="729"/>
      <c r="U2731" s="729"/>
      <c r="V2731" s="729"/>
      <c r="W2731" s="694"/>
      <c r="X2731" s="694"/>
      <c r="Y2731" s="694"/>
      <c r="Z2731" s="694"/>
      <c r="AA2731" s="694"/>
      <c r="AB2731" s="694"/>
      <c r="AC2731" s="694"/>
      <c r="AD2731" s="694"/>
      <c r="AE2731" s="694"/>
      <c r="AF2731" s="694"/>
      <c r="AG2731" s="694"/>
      <c r="AH2731" s="694"/>
      <c r="AI2731" s="694"/>
      <c r="AJ2731" s="694"/>
      <c r="AK2731" s="694"/>
      <c r="AL2731" s="694"/>
    </row>
    <row r="2732" spans="1:38" ht="12.75" customHeight="1" thickBot="1" x14ac:dyDescent="0.3">
      <c r="A2732" s="694"/>
      <c r="B2732" s="298"/>
      <c r="C2732" s="1302"/>
      <c r="D2732" s="1306"/>
      <c r="E2732" s="1317"/>
      <c r="F2732" s="1318"/>
      <c r="G2732" s="1309" t="str">
        <f>EUconst_Unit</f>
        <v>Единица мярка</v>
      </c>
      <c r="H2732" s="629">
        <f t="shared" ref="H2732:N2732" si="3970">H$2831</f>
        <v>2024</v>
      </c>
      <c r="I2732" s="1310">
        <f t="shared" si="3970"/>
        <v>2025</v>
      </c>
      <c r="J2732" s="1311">
        <f t="shared" si="3970"/>
        <v>2026</v>
      </c>
      <c r="K2732" s="629">
        <f t="shared" si="3970"/>
        <v>2027</v>
      </c>
      <c r="L2732" s="629">
        <f t="shared" si="3970"/>
        <v>2028</v>
      </c>
      <c r="M2732" s="629">
        <f t="shared" si="3970"/>
        <v>2029</v>
      </c>
      <c r="N2732" s="1312">
        <f t="shared" si="3970"/>
        <v>2030</v>
      </c>
      <c r="O2732" s="302"/>
      <c r="P2732" s="302"/>
      <c r="Q2732" s="729"/>
      <c r="R2732" s="694"/>
      <c r="S2732" s="729"/>
      <c r="T2732" s="729"/>
      <c r="U2732" s="729"/>
      <c r="V2732" s="729"/>
      <c r="W2732" s="694"/>
      <c r="X2732" s="694"/>
      <c r="Y2732" s="694"/>
      <c r="Z2732" s="694"/>
      <c r="AA2732" s="694"/>
      <c r="AB2732" s="694"/>
      <c r="AC2732" s="1178">
        <f t="shared" ref="AC2732" si="3971">H$20</f>
        <v>2024</v>
      </c>
      <c r="AD2732" s="1178">
        <f t="shared" ref="AD2732" si="3972">I$20</f>
        <v>2025</v>
      </c>
      <c r="AE2732" s="1178">
        <f t="shared" ref="AE2732" si="3973">J$20</f>
        <v>2026</v>
      </c>
      <c r="AF2732" s="1178">
        <f t="shared" ref="AF2732" si="3974">K$20</f>
        <v>2027</v>
      </c>
      <c r="AG2732" s="1178">
        <f t="shared" ref="AG2732" si="3975">L$20</f>
        <v>2028</v>
      </c>
      <c r="AH2732" s="1178">
        <f t="shared" ref="AH2732" si="3976">M$20</f>
        <v>2029</v>
      </c>
      <c r="AI2732" s="1178">
        <f t="shared" ref="AI2732" si="3977">N$20</f>
        <v>2030</v>
      </c>
      <c r="AJ2732" s="694"/>
      <c r="AK2732" s="694"/>
      <c r="AL2732" s="694"/>
    </row>
    <row r="2733" spans="1:38" ht="12.75" customHeight="1" x14ac:dyDescent="0.25">
      <c r="A2733" s="694"/>
      <c r="B2733" s="298"/>
      <c r="C2733" s="1302"/>
      <c r="D2733" s="625" t="s">
        <v>8</v>
      </c>
      <c r="E2733" s="2818" t="str">
        <f>Translations!$B$567</f>
        <v>Произведени количества</v>
      </c>
      <c r="F2733" s="2701"/>
      <c r="G2733" s="145"/>
      <c r="H2733" s="129"/>
      <c r="I2733" s="130"/>
      <c r="J2733" s="131"/>
      <c r="K2733" s="129"/>
      <c r="L2733" s="129"/>
      <c r="M2733" s="129"/>
      <c r="N2733" s="132"/>
      <c r="O2733" s="302"/>
      <c r="P2733" s="158"/>
      <c r="Q2733" s="729"/>
      <c r="R2733" s="694"/>
      <c r="S2733" s="729"/>
      <c r="T2733" s="729"/>
      <c r="U2733" s="729"/>
      <c r="V2733" s="729"/>
      <c r="W2733" s="694"/>
      <c r="X2733" s="694"/>
      <c r="Y2733" s="694"/>
      <c r="Z2733" s="694"/>
      <c r="AA2733" s="694"/>
      <c r="AB2733" s="1182" t="s">
        <v>737</v>
      </c>
      <c r="AC2733" s="901" t="b">
        <f>OR(AND($L2727&lt;&gt;"",$L2727=FALSE),AC2589)</f>
        <v>0</v>
      </c>
      <c r="AD2733" s="982" t="b">
        <f t="shared" ref="AD2733:AI2733" si="3978">OR(AND($L2727&lt;&gt;"",$L2727=FALSE),AD2589)</f>
        <v>0</v>
      </c>
      <c r="AE2733" s="982" t="b">
        <f t="shared" si="3978"/>
        <v>0</v>
      </c>
      <c r="AF2733" s="982" t="b">
        <f t="shared" si="3978"/>
        <v>0</v>
      </c>
      <c r="AG2733" s="982" t="b">
        <f t="shared" si="3978"/>
        <v>0</v>
      </c>
      <c r="AH2733" s="982" t="b">
        <f t="shared" si="3978"/>
        <v>0</v>
      </c>
      <c r="AI2733" s="982" t="b">
        <f t="shared" si="3978"/>
        <v>0</v>
      </c>
      <c r="AJ2733" s="1174" t="s">
        <v>2039</v>
      </c>
      <c r="AK2733" s="1176" t="str">
        <f>IF(AND(CNTR_ExistSubInstEntries,MSconst_RequireSubAttrEmissions,COUNTIFS(AC2733:AI2733,FALSE,H2733:N2733,"")&gt;0),EUconst_Error&amp;"BM"&amp;$Q2542,"")</f>
        <v/>
      </c>
      <c r="AL2733" s="694"/>
    </row>
    <row r="2734" spans="1:38" ht="12.75" customHeight="1" x14ac:dyDescent="0.25">
      <c r="A2734" s="694"/>
      <c r="B2734" s="298"/>
      <c r="C2734" s="1302"/>
      <c r="D2734" s="625" t="s">
        <v>18</v>
      </c>
      <c r="E2734" s="2819" t="str">
        <f>Translations!$B$296</f>
        <v>Долна топлина на изгаряне</v>
      </c>
      <c r="F2734" s="2705"/>
      <c r="G2734" s="1349" t="str">
        <f>IF(ISBLANK(G2733),EUconst_GJperUnit,INDEX(EUconst_GJperTorKNm3,MATCH(G2733,EUconst_TonnesOrkNm3pa,0)))</f>
        <v>GJ / Единица мярка</v>
      </c>
      <c r="H2734" s="137"/>
      <c r="I2734" s="138"/>
      <c r="J2734" s="139"/>
      <c r="K2734" s="137"/>
      <c r="L2734" s="137"/>
      <c r="M2734" s="137"/>
      <c r="N2734" s="140"/>
      <c r="O2734" s="302"/>
      <c r="P2734" s="158"/>
      <c r="Q2734" s="694"/>
      <c r="R2734" s="694"/>
      <c r="S2734" s="729"/>
      <c r="T2734" s="729"/>
      <c r="U2734" s="729"/>
      <c r="V2734" s="729"/>
      <c r="W2734" s="729"/>
      <c r="X2734" s="729"/>
      <c r="Y2734" s="729"/>
      <c r="Z2734" s="729"/>
      <c r="AA2734" s="694"/>
      <c r="AB2734" s="694"/>
      <c r="AC2734" s="982" t="b">
        <f>AC2733</f>
        <v>0</v>
      </c>
      <c r="AD2734" s="982" t="b">
        <f t="shared" ref="AD2734:AI2734" si="3979">AD2733</f>
        <v>0</v>
      </c>
      <c r="AE2734" s="982" t="b">
        <f t="shared" si="3979"/>
        <v>0</v>
      </c>
      <c r="AF2734" s="982" t="b">
        <f t="shared" si="3979"/>
        <v>0</v>
      </c>
      <c r="AG2734" s="982" t="b">
        <f t="shared" si="3979"/>
        <v>0</v>
      </c>
      <c r="AH2734" s="982" t="b">
        <f t="shared" si="3979"/>
        <v>0</v>
      </c>
      <c r="AI2734" s="982" t="b">
        <f t="shared" si="3979"/>
        <v>0</v>
      </c>
      <c r="AJ2734" s="1174" t="s">
        <v>2039</v>
      </c>
      <c r="AK2734" s="1176" t="str">
        <f>IF(AND(CNTR_ExistSubInstEntries,MSconst_RequireSubAttrEmissions,COUNTIFS(AC2734:AI2734,FALSE,H2734:N2734,"")&gt;0),EUconst_Error&amp;"BM"&amp;$Q2542,"")</f>
        <v/>
      </c>
      <c r="AL2734" s="694"/>
    </row>
    <row r="2735" spans="1:38" ht="12.75" customHeight="1" x14ac:dyDescent="0.25">
      <c r="A2735" s="694"/>
      <c r="B2735" s="298"/>
      <c r="C2735" s="1302"/>
      <c r="D2735" s="625" t="s">
        <v>810</v>
      </c>
      <c r="E2735" s="2820" t="str">
        <f>Translations!$B$568</f>
        <v>Произведен отпаден газ</v>
      </c>
      <c r="F2735" s="2258"/>
      <c r="G2735" s="1319" t="str">
        <f>EUconst_TJpa</f>
        <v>TJ / година</v>
      </c>
      <c r="H2735" s="1350" t="str">
        <f t="shared" ref="H2735:N2735" si="3980">IF(COUNT(H2733:H2734)=2,H2733*H2734/1000,"")</f>
        <v/>
      </c>
      <c r="I2735" s="1351" t="str">
        <f t="shared" si="3980"/>
        <v/>
      </c>
      <c r="J2735" s="1352" t="str">
        <f t="shared" si="3980"/>
        <v/>
      </c>
      <c r="K2735" s="1350" t="str">
        <f t="shared" si="3980"/>
        <v/>
      </c>
      <c r="L2735" s="1350" t="str">
        <f t="shared" si="3980"/>
        <v/>
      </c>
      <c r="M2735" s="1350" t="str">
        <f t="shared" si="3980"/>
        <v/>
      </c>
      <c r="N2735" s="1353" t="str">
        <f t="shared" si="3980"/>
        <v/>
      </c>
      <c r="O2735" s="302"/>
      <c r="P2735" s="302"/>
      <c r="Q2735" s="1190" t="str">
        <f>EUconst_CNTR_WGProduced &amp; I2542</f>
        <v>WasteGasProd_</v>
      </c>
      <c r="R2735" s="694"/>
      <c r="S2735" s="729"/>
      <c r="T2735" s="729"/>
      <c r="U2735" s="729"/>
      <c r="V2735" s="729"/>
      <c r="W2735" s="729"/>
      <c r="X2735" s="729"/>
      <c r="Y2735" s="729"/>
      <c r="Z2735" s="729"/>
      <c r="AA2735" s="694"/>
      <c r="AB2735" s="694"/>
      <c r="AC2735" s="694"/>
      <c r="AD2735" s="694"/>
      <c r="AE2735" s="694"/>
      <c r="AF2735" s="694"/>
      <c r="AG2735" s="694"/>
      <c r="AH2735" s="694"/>
      <c r="AI2735" s="694"/>
      <c r="AJ2735" s="694"/>
      <c r="AK2735" s="694"/>
      <c r="AL2735" s="694"/>
    </row>
    <row r="2736" spans="1:38" ht="12.75" customHeight="1" x14ac:dyDescent="0.25">
      <c r="A2736" s="694"/>
      <c r="B2736" s="298"/>
      <c r="C2736" s="1302"/>
      <c r="D2736" s="625" t="s">
        <v>811</v>
      </c>
      <c r="E2736" s="2820" t="str">
        <f>Translations!$B$569</f>
        <v>Специфичен EF (произведен отпаден газ)</v>
      </c>
      <c r="F2736" s="2258"/>
      <c r="G2736" s="1319" t="str">
        <f>EUconst_tCO2pTJ</f>
        <v>t CO2 / TJ</v>
      </c>
      <c r="H2736" s="56"/>
      <c r="I2736" s="115"/>
      <c r="J2736" s="118"/>
      <c r="K2736" s="56"/>
      <c r="L2736" s="56"/>
      <c r="M2736" s="56"/>
      <c r="N2736" s="121"/>
      <c r="O2736" s="302"/>
      <c r="P2736" s="158"/>
      <c r="Q2736" s="1190" t="str">
        <f>EUconst_CNTR_WGProducedEF &amp; I2542</f>
        <v>WasteGasProdEF_</v>
      </c>
      <c r="R2736" s="694"/>
      <c r="S2736" s="729"/>
      <c r="T2736" s="729"/>
      <c r="U2736" s="729"/>
      <c r="V2736" s="729"/>
      <c r="W2736" s="729"/>
      <c r="X2736" s="729"/>
      <c r="Y2736" s="729"/>
      <c r="Z2736" s="729"/>
      <c r="AA2736" s="694"/>
      <c r="AB2736" s="1182" t="s">
        <v>737</v>
      </c>
      <c r="AC2736" s="982" t="b">
        <f>AC2734</f>
        <v>0</v>
      </c>
      <c r="AD2736" s="982" t="b">
        <f t="shared" ref="AD2736:AI2736" si="3981">AD2734</f>
        <v>0</v>
      </c>
      <c r="AE2736" s="982" t="b">
        <f t="shared" si="3981"/>
        <v>0</v>
      </c>
      <c r="AF2736" s="982" t="b">
        <f t="shared" si="3981"/>
        <v>0</v>
      </c>
      <c r="AG2736" s="982" t="b">
        <f t="shared" si="3981"/>
        <v>0</v>
      </c>
      <c r="AH2736" s="982" t="b">
        <f t="shared" si="3981"/>
        <v>0</v>
      </c>
      <c r="AI2736" s="982" t="b">
        <f t="shared" si="3981"/>
        <v>0</v>
      </c>
      <c r="AJ2736" s="1174" t="s">
        <v>2039</v>
      </c>
      <c r="AK2736" s="1176" t="str">
        <f>IF(AND(CNTR_ExistSubInstEntries,MSconst_RequireSubAttrEmissions,COUNTIFS(AC2736:AI2736,FALSE,H2736:N2736,"")&gt;0),EUconst_Error&amp;"BM"&amp;$Q2542,"")</f>
        <v/>
      </c>
      <c r="AL2736" s="694"/>
    </row>
    <row r="2737" spans="1:38" ht="12.75" customHeight="1" x14ac:dyDescent="0.25">
      <c r="A2737" s="694"/>
      <c r="B2737" s="298"/>
      <c r="C2737" s="1302"/>
      <c r="D2737" s="1306"/>
      <c r="E2737" s="1306"/>
      <c r="F2737" s="1306"/>
      <c r="G2737" s="1306"/>
      <c r="H2737" s="1354"/>
      <c r="I2737" s="1306"/>
      <c r="J2737" s="1306"/>
      <c r="K2737" s="1306"/>
      <c r="L2737" s="1306"/>
      <c r="M2737" s="626"/>
      <c r="N2737" s="1316"/>
      <c r="O2737" s="302"/>
      <c r="P2737" s="302"/>
      <c r="Q2737" s="729"/>
      <c r="R2737" s="694"/>
      <c r="S2737" s="729"/>
      <c r="T2737" s="729"/>
      <c r="U2737" s="729"/>
      <c r="V2737" s="729"/>
      <c r="W2737" s="729"/>
      <c r="X2737" s="729"/>
      <c r="Y2737" s="729"/>
      <c r="Z2737" s="729"/>
      <c r="AA2737" s="694"/>
      <c r="AB2737" s="694"/>
      <c r="AC2737" s="694"/>
      <c r="AD2737" s="694"/>
      <c r="AE2737" s="694"/>
      <c r="AF2737" s="694"/>
      <c r="AG2737" s="694"/>
      <c r="AH2737" s="694"/>
      <c r="AI2737" s="694"/>
      <c r="AJ2737" s="694"/>
      <c r="AK2737" s="694"/>
      <c r="AL2737" s="694"/>
    </row>
    <row r="2738" spans="1:38" ht="12.75" customHeight="1" x14ac:dyDescent="0.25">
      <c r="A2738" s="694"/>
      <c r="B2738" s="298"/>
      <c r="C2738" s="1302"/>
      <c r="D2738" s="625" t="s">
        <v>812</v>
      </c>
      <c r="E2738" s="2815" t="str">
        <f>Translations!$B$570</f>
        <v>Видове консумирани отпадни газове:</v>
      </c>
      <c r="F2738" s="2240"/>
      <c r="G2738" s="2240"/>
      <c r="H2738" s="2684"/>
      <c r="I2738" s="2821"/>
      <c r="J2738" s="2674"/>
      <c r="K2738" s="2674"/>
      <c r="L2738" s="2674"/>
      <c r="M2738" s="2675"/>
      <c r="N2738" s="1323"/>
      <c r="O2738" s="302"/>
      <c r="P2738" s="158"/>
      <c r="Q2738" s="729"/>
      <c r="R2738" s="694"/>
      <c r="S2738" s="729"/>
      <c r="T2738" s="729"/>
      <c r="U2738" s="729"/>
      <c r="V2738" s="729"/>
      <c r="W2738" s="729"/>
      <c r="X2738" s="729"/>
      <c r="Y2738" s="729"/>
      <c r="Z2738" s="729"/>
      <c r="AA2738" s="694"/>
      <c r="AB2738" s="694"/>
      <c r="AC2738" s="1182" t="s">
        <v>737</v>
      </c>
      <c r="AD2738" s="982" t="b">
        <f>AD2729</f>
        <v>0</v>
      </c>
      <c r="AE2738" s="694"/>
      <c r="AF2738" s="694"/>
      <c r="AG2738" s="694"/>
      <c r="AH2738" s="694"/>
      <c r="AI2738" s="694"/>
      <c r="AJ2738" s="694"/>
      <c r="AK2738" s="694"/>
      <c r="AL2738" s="694"/>
    </row>
    <row r="2739" spans="1:38" ht="25.5" customHeight="1" x14ac:dyDescent="0.25">
      <c r="A2739" s="694"/>
      <c r="B2739" s="298"/>
      <c r="C2739" s="1302"/>
      <c r="D2739" s="625"/>
      <c r="E2739" s="2810" t="str">
        <f>Translations!$B$571</f>
        <v>Това включва всички видове отпадни газове, които се консумират от тази подинсталация при производството на измерима топлинна енергия, неизмерима топлинна енергия (включително необходимото за безопасността изгаряне във факел) или механична енергия (различна от тази за електропроизводство). Количествата, резултат от изгаряне във факел, различни от необходимото за безопасността изгаряне във факел, се отчитат в следващата точка по-долу.</v>
      </c>
      <c r="F2739" s="2240"/>
      <c r="G2739" s="2240"/>
      <c r="H2739" s="2240"/>
      <c r="I2739" s="2240"/>
      <c r="J2739" s="2240"/>
      <c r="K2739" s="2240"/>
      <c r="L2739" s="2240"/>
      <c r="M2739" s="2240"/>
      <c r="N2739" s="2811"/>
      <c r="O2739" s="302"/>
      <c r="P2739" s="302"/>
      <c r="Q2739" s="729"/>
      <c r="R2739" s="694"/>
      <c r="S2739" s="729"/>
      <c r="T2739" s="729"/>
      <c r="U2739" s="729"/>
      <c r="V2739" s="729"/>
      <c r="W2739" s="729"/>
      <c r="X2739" s="729"/>
      <c r="Y2739" s="729"/>
      <c r="Z2739" s="729"/>
      <c r="AA2739" s="694"/>
      <c r="AB2739" s="694"/>
      <c r="AC2739" s="694"/>
      <c r="AD2739" s="694"/>
      <c r="AE2739" s="694"/>
      <c r="AF2739" s="694"/>
      <c r="AG2739" s="694"/>
      <c r="AH2739" s="694"/>
      <c r="AI2739" s="694"/>
      <c r="AJ2739" s="694"/>
      <c r="AK2739" s="694"/>
      <c r="AL2739" s="694"/>
    </row>
    <row r="2740" spans="1:38" ht="12.75" customHeight="1" x14ac:dyDescent="0.25">
      <c r="A2740" s="694"/>
      <c r="B2740" s="298"/>
      <c r="C2740" s="1302"/>
      <c r="D2740" s="1306"/>
      <c r="E2740" s="2816" t="str">
        <f>Translations!$B$520</f>
        <v>Посочените тук данни се използват само с цел проверка на съответствието и нямат пряко отражение върху емисиите, които могат да бъдат зададени, или на разпределението на квотите.</v>
      </c>
      <c r="F2740" s="2240"/>
      <c r="G2740" s="2240"/>
      <c r="H2740" s="2240"/>
      <c r="I2740" s="2240"/>
      <c r="J2740" s="2240"/>
      <c r="K2740" s="2240"/>
      <c r="L2740" s="2240"/>
      <c r="M2740" s="2240"/>
      <c r="N2740" s="2811"/>
      <c r="O2740" s="302"/>
      <c r="P2740" s="302"/>
      <c r="Q2740" s="729"/>
      <c r="R2740" s="694"/>
      <c r="S2740" s="729"/>
      <c r="T2740" s="729"/>
      <c r="U2740" s="729"/>
      <c r="V2740" s="729"/>
      <c r="W2740" s="729"/>
      <c r="X2740" s="729"/>
      <c r="Y2740" s="729"/>
      <c r="Z2740" s="729"/>
      <c r="AA2740" s="694"/>
      <c r="AB2740" s="694"/>
      <c r="AC2740" s="694"/>
      <c r="AD2740" s="694"/>
      <c r="AE2740" s="694"/>
      <c r="AF2740" s="694"/>
      <c r="AG2740" s="694"/>
      <c r="AH2740" s="694"/>
      <c r="AI2740" s="694"/>
      <c r="AJ2740" s="694"/>
      <c r="AK2740" s="694"/>
      <c r="AL2740" s="694"/>
    </row>
    <row r="2741" spans="1:38" ht="12.75" customHeight="1" thickBot="1" x14ac:dyDescent="0.3">
      <c r="A2741" s="694"/>
      <c r="B2741" s="298"/>
      <c r="C2741" s="1302"/>
      <c r="D2741" s="1306"/>
      <c r="E2741" s="1317"/>
      <c r="F2741" s="1318"/>
      <c r="G2741" s="1309" t="str">
        <f>EUconst_Unit</f>
        <v>Единица мярка</v>
      </c>
      <c r="H2741" s="629">
        <f t="shared" ref="H2741:N2741" si="3982">H$2831</f>
        <v>2024</v>
      </c>
      <c r="I2741" s="1310">
        <f t="shared" si="3982"/>
        <v>2025</v>
      </c>
      <c r="J2741" s="1311">
        <f t="shared" si="3982"/>
        <v>2026</v>
      </c>
      <c r="K2741" s="629">
        <f t="shared" si="3982"/>
        <v>2027</v>
      </c>
      <c r="L2741" s="629">
        <f t="shared" si="3982"/>
        <v>2028</v>
      </c>
      <c r="M2741" s="629">
        <f t="shared" si="3982"/>
        <v>2029</v>
      </c>
      <c r="N2741" s="1312">
        <f t="shared" si="3982"/>
        <v>2030</v>
      </c>
      <c r="O2741" s="302"/>
      <c r="P2741" s="302"/>
      <c r="Q2741" s="729"/>
      <c r="R2741" s="694"/>
      <c r="S2741" s="729"/>
      <c r="T2741" s="729"/>
      <c r="U2741" s="729"/>
      <c r="V2741" s="729"/>
      <c r="W2741" s="729"/>
      <c r="X2741" s="729"/>
      <c r="Y2741" s="729"/>
      <c r="Z2741" s="729"/>
      <c r="AA2741" s="694"/>
      <c r="AB2741" s="694"/>
      <c r="AC2741" s="1178">
        <f t="shared" ref="AC2741" si="3983">H$20</f>
        <v>2024</v>
      </c>
      <c r="AD2741" s="1178">
        <f t="shared" ref="AD2741" si="3984">I$20</f>
        <v>2025</v>
      </c>
      <c r="AE2741" s="1178">
        <f t="shared" ref="AE2741" si="3985">J$20</f>
        <v>2026</v>
      </c>
      <c r="AF2741" s="1178">
        <f t="shared" ref="AF2741" si="3986">K$20</f>
        <v>2027</v>
      </c>
      <c r="AG2741" s="1178">
        <f t="shared" ref="AG2741" si="3987">L$20</f>
        <v>2028</v>
      </c>
      <c r="AH2741" s="1178">
        <f t="shared" ref="AH2741" si="3988">M$20</f>
        <v>2029</v>
      </c>
      <c r="AI2741" s="1178">
        <f t="shared" ref="AI2741" si="3989">N$20</f>
        <v>2030</v>
      </c>
      <c r="AJ2741" s="694"/>
      <c r="AK2741" s="694"/>
      <c r="AL2741" s="694"/>
    </row>
    <row r="2742" spans="1:38" ht="12.75" customHeight="1" x14ac:dyDescent="0.25">
      <c r="A2742" s="694"/>
      <c r="B2742" s="298"/>
      <c r="C2742" s="1302"/>
      <c r="D2742" s="625" t="s">
        <v>813</v>
      </c>
      <c r="E2742" s="2818" t="str">
        <f>Translations!$B$572</f>
        <v>Консумирани количества</v>
      </c>
      <c r="F2742" s="2701"/>
      <c r="G2742" s="145"/>
      <c r="H2742" s="129"/>
      <c r="I2742" s="130"/>
      <c r="J2742" s="131"/>
      <c r="K2742" s="129"/>
      <c r="L2742" s="129"/>
      <c r="M2742" s="129"/>
      <c r="N2742" s="132"/>
      <c r="O2742" s="302"/>
      <c r="P2742" s="158"/>
      <c r="Q2742" s="729"/>
      <c r="R2742" s="694"/>
      <c r="S2742" s="729"/>
      <c r="T2742" s="729"/>
      <c r="U2742" s="729"/>
      <c r="V2742" s="729"/>
      <c r="W2742" s="729"/>
      <c r="X2742" s="729"/>
      <c r="Y2742" s="729"/>
      <c r="Z2742" s="729"/>
      <c r="AA2742" s="694"/>
      <c r="AB2742" s="1182" t="s">
        <v>737</v>
      </c>
      <c r="AC2742" s="982" t="b">
        <f>AC2733</f>
        <v>0</v>
      </c>
      <c r="AD2742" s="982" t="b">
        <f t="shared" ref="AD2742:AI2742" si="3990">AD2733</f>
        <v>0</v>
      </c>
      <c r="AE2742" s="982" t="b">
        <f t="shared" si="3990"/>
        <v>0</v>
      </c>
      <c r="AF2742" s="982" t="b">
        <f t="shared" si="3990"/>
        <v>0</v>
      </c>
      <c r="AG2742" s="982" t="b">
        <f t="shared" si="3990"/>
        <v>0</v>
      </c>
      <c r="AH2742" s="982" t="b">
        <f t="shared" si="3990"/>
        <v>0</v>
      </c>
      <c r="AI2742" s="982" t="b">
        <f t="shared" si="3990"/>
        <v>0</v>
      </c>
      <c r="AJ2742" s="1174" t="s">
        <v>2039</v>
      </c>
      <c r="AK2742" s="1176" t="str">
        <f>IF(AND(CNTR_ExistSubInstEntries,MSconst_RequireSubAttrEmissions,COUNTIFS(AC2742:AI2742,FALSE,H2742:N2742,"")&gt;0),EUconst_Error&amp;"BM"&amp;$Q2542,"")</f>
        <v/>
      </c>
      <c r="AL2742" s="694"/>
    </row>
    <row r="2743" spans="1:38" ht="12.75" customHeight="1" x14ac:dyDescent="0.25">
      <c r="A2743" s="694"/>
      <c r="B2743" s="298"/>
      <c r="C2743" s="1302"/>
      <c r="D2743" s="625" t="s">
        <v>814</v>
      </c>
      <c r="E2743" s="2819" t="str">
        <f>Translations!$B$296</f>
        <v>Долна топлина на изгаряне</v>
      </c>
      <c r="F2743" s="2705"/>
      <c r="G2743" s="1349" t="str">
        <f>IF(ISBLANK(G2742),EUconst_GJperUnit,INDEX(EUconst_GJperTorKNm3,MATCH(G2742,EUconst_TonnesOrkNm3pa,0)))</f>
        <v>GJ / Единица мярка</v>
      </c>
      <c r="H2743" s="137"/>
      <c r="I2743" s="138"/>
      <c r="J2743" s="139"/>
      <c r="K2743" s="137"/>
      <c r="L2743" s="137"/>
      <c r="M2743" s="137"/>
      <c r="N2743" s="140"/>
      <c r="O2743" s="302"/>
      <c r="P2743" s="158"/>
      <c r="Q2743" s="694"/>
      <c r="R2743" s="694"/>
      <c r="S2743" s="729"/>
      <c r="T2743" s="729"/>
      <c r="U2743" s="729"/>
      <c r="V2743" s="729"/>
      <c r="W2743" s="729"/>
      <c r="X2743" s="729"/>
      <c r="Y2743" s="729"/>
      <c r="Z2743" s="729"/>
      <c r="AA2743" s="694"/>
      <c r="AB2743" s="694"/>
      <c r="AC2743" s="982" t="b">
        <f>AC2742</f>
        <v>0</v>
      </c>
      <c r="AD2743" s="982" t="b">
        <f t="shared" ref="AD2743:AI2743" si="3991">AD2742</f>
        <v>0</v>
      </c>
      <c r="AE2743" s="982" t="b">
        <f t="shared" si="3991"/>
        <v>0</v>
      </c>
      <c r="AF2743" s="982" t="b">
        <f t="shared" si="3991"/>
        <v>0</v>
      </c>
      <c r="AG2743" s="982" t="b">
        <f t="shared" si="3991"/>
        <v>0</v>
      </c>
      <c r="AH2743" s="982" t="b">
        <f t="shared" si="3991"/>
        <v>0</v>
      </c>
      <c r="AI2743" s="982" t="b">
        <f t="shared" si="3991"/>
        <v>0</v>
      </c>
      <c r="AJ2743" s="1174" t="s">
        <v>2039</v>
      </c>
      <c r="AK2743" s="1176" t="str">
        <f>IF(AND(CNTR_ExistSubInstEntries,MSconst_RequireSubAttrEmissions,COUNTIFS(AC2743:AI2743,FALSE,H2743:N2743,"")&gt;0),EUconst_Error&amp;"BM"&amp;$Q2542,"")</f>
        <v/>
      </c>
      <c r="AL2743" s="694"/>
    </row>
    <row r="2744" spans="1:38" ht="12.75" customHeight="1" x14ac:dyDescent="0.25">
      <c r="A2744" s="694"/>
      <c r="B2744" s="298"/>
      <c r="C2744" s="1302"/>
      <c r="D2744" s="625" t="s">
        <v>61</v>
      </c>
      <c r="E2744" s="2820" t="str">
        <f>Translations!$B$573</f>
        <v>Консумиран отпаден газ</v>
      </c>
      <c r="F2744" s="2258"/>
      <c r="G2744" s="1319" t="str">
        <f>EUconst_TJpa</f>
        <v>TJ / година</v>
      </c>
      <c r="H2744" s="1350" t="str">
        <f t="shared" ref="H2744:N2744" si="3992">IF(COUNT(H2742:H2743)=2,H2742*H2743/1000,"")</f>
        <v/>
      </c>
      <c r="I2744" s="1351" t="str">
        <f t="shared" si="3992"/>
        <v/>
      </c>
      <c r="J2744" s="1352" t="str">
        <f t="shared" si="3992"/>
        <v/>
      </c>
      <c r="K2744" s="1350" t="str">
        <f t="shared" si="3992"/>
        <v/>
      </c>
      <c r="L2744" s="1350" t="str">
        <f t="shared" si="3992"/>
        <v/>
      </c>
      <c r="M2744" s="1350" t="str">
        <f t="shared" si="3992"/>
        <v/>
      </c>
      <c r="N2744" s="1353" t="str">
        <f t="shared" si="3992"/>
        <v/>
      </c>
      <c r="O2744" s="302"/>
      <c r="P2744" s="302"/>
      <c r="Q2744" s="1190" t="str">
        <f>EUconst_CNTR_WGConsumed &amp; I2542</f>
        <v>WasteGasCons_</v>
      </c>
      <c r="R2744" s="694"/>
      <c r="S2744" s="729"/>
      <c r="T2744" s="729"/>
      <c r="U2744" s="729"/>
      <c r="V2744" s="729"/>
      <c r="W2744" s="729"/>
      <c r="X2744" s="729"/>
      <c r="Y2744" s="729"/>
      <c r="Z2744" s="729"/>
      <c r="AA2744" s="694"/>
      <c r="AB2744" s="694"/>
      <c r="AC2744" s="694"/>
      <c r="AD2744" s="694"/>
      <c r="AE2744" s="694"/>
      <c r="AF2744" s="694"/>
      <c r="AG2744" s="694"/>
      <c r="AH2744" s="694"/>
      <c r="AI2744" s="694"/>
      <c r="AJ2744" s="694"/>
      <c r="AK2744" s="694"/>
      <c r="AL2744" s="694"/>
    </row>
    <row r="2745" spans="1:38" ht="12.75" customHeight="1" x14ac:dyDescent="0.25">
      <c r="A2745" s="694"/>
      <c r="B2745" s="298"/>
      <c r="C2745" s="1302"/>
      <c r="D2745" s="625" t="s">
        <v>62</v>
      </c>
      <c r="E2745" s="2820" t="str">
        <f>Translations!$B$574</f>
        <v>Специфичен EF (консумиран отпаден газ)</v>
      </c>
      <c r="F2745" s="2258"/>
      <c r="G2745" s="1319" t="str">
        <f>EUconst_tCO2pTJ</f>
        <v>t CO2 / TJ</v>
      </c>
      <c r="H2745" s="56"/>
      <c r="I2745" s="115"/>
      <c r="J2745" s="118"/>
      <c r="K2745" s="56"/>
      <c r="L2745" s="56"/>
      <c r="M2745" s="56"/>
      <c r="N2745" s="121"/>
      <c r="O2745" s="302"/>
      <c r="P2745" s="158"/>
      <c r="Q2745" s="1190" t="str">
        <f>EUconst_CNTR_WGConsumedEF &amp; I2542</f>
        <v>WasteGasConsEF_</v>
      </c>
      <c r="R2745" s="694"/>
      <c r="S2745" s="729"/>
      <c r="T2745" s="729"/>
      <c r="U2745" s="729"/>
      <c r="V2745" s="729"/>
      <c r="W2745" s="729"/>
      <c r="X2745" s="729"/>
      <c r="Y2745" s="729"/>
      <c r="Z2745" s="729"/>
      <c r="AA2745" s="694"/>
      <c r="AB2745" s="1182" t="s">
        <v>737</v>
      </c>
      <c r="AC2745" s="982" t="b">
        <f>AC2743</f>
        <v>0</v>
      </c>
      <c r="AD2745" s="982" t="b">
        <f t="shared" ref="AD2745:AI2745" si="3993">AD2743</f>
        <v>0</v>
      </c>
      <c r="AE2745" s="982" t="b">
        <f t="shared" si="3993"/>
        <v>0</v>
      </c>
      <c r="AF2745" s="982" t="b">
        <f t="shared" si="3993"/>
        <v>0</v>
      </c>
      <c r="AG2745" s="982" t="b">
        <f t="shared" si="3993"/>
        <v>0</v>
      </c>
      <c r="AH2745" s="982" t="b">
        <f t="shared" si="3993"/>
        <v>0</v>
      </c>
      <c r="AI2745" s="982" t="b">
        <f t="shared" si="3993"/>
        <v>0</v>
      </c>
      <c r="AJ2745" s="1174" t="s">
        <v>2039</v>
      </c>
      <c r="AK2745" s="1176" t="str">
        <f>IF(AND(CNTR_ExistSubInstEntries,MSconst_RequireSubAttrEmissions,COUNTIFS(AC2745:AI2745,FALSE,H2745:N2745,"")&gt;0),EUconst_Error&amp;"BM"&amp;$Q2542,"")</f>
        <v/>
      </c>
      <c r="AL2745" s="694"/>
    </row>
    <row r="2746" spans="1:38" ht="12.75" customHeight="1" x14ac:dyDescent="0.25">
      <c r="A2746" s="694"/>
      <c r="B2746" s="298"/>
      <c r="C2746" s="1302"/>
      <c r="D2746" s="1306"/>
      <c r="E2746" s="1306"/>
      <c r="F2746" s="1306"/>
      <c r="G2746" s="1306"/>
      <c r="H2746" s="1354"/>
      <c r="I2746" s="1306"/>
      <c r="J2746" s="1306"/>
      <c r="K2746" s="1306"/>
      <c r="L2746" s="1306"/>
      <c r="M2746" s="626"/>
      <c r="N2746" s="1316"/>
      <c r="O2746" s="302"/>
      <c r="P2746" s="302"/>
      <c r="Q2746" s="729"/>
      <c r="R2746" s="694"/>
      <c r="S2746" s="729"/>
      <c r="T2746" s="729"/>
      <c r="U2746" s="729"/>
      <c r="V2746" s="729"/>
      <c r="W2746" s="694"/>
      <c r="X2746" s="694"/>
      <c r="Y2746" s="694"/>
      <c r="Z2746" s="694"/>
      <c r="AA2746" s="694"/>
      <c r="AB2746" s="694"/>
      <c r="AC2746" s="694"/>
      <c r="AD2746" s="694"/>
      <c r="AE2746" s="694"/>
      <c r="AF2746" s="694"/>
      <c r="AG2746" s="694"/>
      <c r="AH2746" s="694"/>
      <c r="AI2746" s="694"/>
      <c r="AJ2746" s="694"/>
      <c r="AK2746" s="694"/>
      <c r="AL2746" s="694"/>
    </row>
    <row r="2747" spans="1:38" ht="12.75" customHeight="1" x14ac:dyDescent="0.25">
      <c r="A2747" s="694"/>
      <c r="B2747" s="298"/>
      <c r="C2747" s="1302"/>
      <c r="D2747" s="625" t="s">
        <v>63</v>
      </c>
      <c r="E2747" s="2815" t="str">
        <f>Translations!$B$575</f>
        <v>Видове отпадни газове резултат от изгаряне във факел:</v>
      </c>
      <c r="F2747" s="2240"/>
      <c r="G2747" s="2240"/>
      <c r="H2747" s="2684"/>
      <c r="I2747" s="2821"/>
      <c r="J2747" s="2674"/>
      <c r="K2747" s="2674"/>
      <c r="L2747" s="2674"/>
      <c r="M2747" s="2675"/>
      <c r="N2747" s="1323"/>
      <c r="O2747" s="302"/>
      <c r="P2747" s="158"/>
      <c r="Q2747" s="729"/>
      <c r="R2747" s="694"/>
      <c r="S2747" s="729"/>
      <c r="T2747" s="694"/>
      <c r="U2747" s="694"/>
      <c r="V2747" s="694"/>
      <c r="W2747" s="694"/>
      <c r="X2747" s="694"/>
      <c r="Y2747" s="694"/>
      <c r="Z2747" s="694"/>
      <c r="AA2747" s="694"/>
      <c r="AB2747" s="694"/>
      <c r="AC2747" s="1182" t="s">
        <v>737</v>
      </c>
      <c r="AD2747" s="982" t="b">
        <f>AD2738</f>
        <v>0</v>
      </c>
      <c r="AE2747" s="694"/>
      <c r="AF2747" s="694"/>
      <c r="AG2747" s="694"/>
      <c r="AH2747" s="694"/>
      <c r="AI2747" s="694"/>
      <c r="AJ2747" s="694"/>
      <c r="AK2747" s="694"/>
      <c r="AL2747" s="694"/>
    </row>
    <row r="2748" spans="1:38" ht="12.75" customHeight="1" x14ac:dyDescent="0.25">
      <c r="A2748" s="694"/>
      <c r="B2748" s="298"/>
      <c r="C2748" s="1302"/>
      <c r="D2748" s="625"/>
      <c r="E2748" s="2810" t="str">
        <f>Translations!$B$576</f>
        <v>Това включва всички видове отпадни газове, които в крайна сметка са изгорени във факел, различни от необходимото за безопасността изгаряне във факел, в подинсталацията или извън нея.</v>
      </c>
      <c r="F2748" s="2240"/>
      <c r="G2748" s="2240"/>
      <c r="H2748" s="2240"/>
      <c r="I2748" s="2240"/>
      <c r="J2748" s="2240"/>
      <c r="K2748" s="2240"/>
      <c r="L2748" s="2240"/>
      <c r="M2748" s="2240"/>
      <c r="N2748" s="2811"/>
      <c r="O2748" s="302"/>
      <c r="P2748" s="302"/>
      <c r="Q2748" s="729"/>
      <c r="R2748" s="694"/>
      <c r="S2748" s="694"/>
      <c r="T2748" s="729"/>
      <c r="U2748" s="729"/>
      <c r="V2748" s="729"/>
      <c r="W2748" s="694"/>
      <c r="X2748" s="694"/>
      <c r="Y2748" s="694"/>
      <c r="Z2748" s="694"/>
      <c r="AA2748" s="694"/>
      <c r="AB2748" s="694"/>
      <c r="AC2748" s="694"/>
      <c r="AD2748" s="694"/>
      <c r="AE2748" s="694"/>
      <c r="AF2748" s="694"/>
      <c r="AG2748" s="694"/>
      <c r="AH2748" s="694"/>
      <c r="AI2748" s="694"/>
      <c r="AJ2748" s="694"/>
      <c r="AK2748" s="694"/>
      <c r="AL2748" s="694"/>
    </row>
    <row r="2749" spans="1:38" ht="12.75" customHeight="1" x14ac:dyDescent="0.25">
      <c r="A2749" s="694"/>
      <c r="B2749" s="298"/>
      <c r="C2749" s="1302"/>
      <c r="D2749" s="1306"/>
      <c r="E2749" s="2810" t="str">
        <f>Translations!$B$577</f>
        <v>Посочените тук данни се използват само с цел проверка на съответствието и нямат пряко отражение върху емисиите, които могат да бъдат зададени.</v>
      </c>
      <c r="F2749" s="2240"/>
      <c r="G2749" s="2240"/>
      <c r="H2749" s="2240"/>
      <c r="I2749" s="2240"/>
      <c r="J2749" s="2240"/>
      <c r="K2749" s="2240"/>
      <c r="L2749" s="2240"/>
      <c r="M2749" s="2240"/>
      <c r="N2749" s="2811"/>
      <c r="O2749" s="302"/>
      <c r="P2749" s="302"/>
      <c r="Q2749" s="729"/>
      <c r="R2749" s="694"/>
      <c r="S2749" s="729"/>
      <c r="T2749" s="729"/>
      <c r="U2749" s="729"/>
      <c r="V2749" s="729"/>
      <c r="W2749" s="694"/>
      <c r="X2749" s="694"/>
      <c r="Y2749" s="694"/>
      <c r="Z2749" s="694"/>
      <c r="AA2749" s="694"/>
      <c r="AB2749" s="694"/>
      <c r="AC2749" s="694"/>
      <c r="AD2749" s="694"/>
      <c r="AE2749" s="694"/>
      <c r="AF2749" s="694"/>
      <c r="AG2749" s="694"/>
      <c r="AH2749" s="694"/>
      <c r="AI2749" s="694"/>
      <c r="AJ2749" s="694"/>
      <c r="AK2749" s="694"/>
      <c r="AL2749" s="694"/>
    </row>
    <row r="2750" spans="1:38" ht="12.75" customHeight="1" x14ac:dyDescent="0.25">
      <c r="A2750" s="694"/>
      <c r="B2750" s="298"/>
      <c r="C2750" s="1302"/>
      <c r="D2750" s="1306"/>
      <c r="E2750" s="2816" t="str">
        <f>Translations!$B$578</f>
        <v>Въпреки това от 2026 г. квотите ще бъдат намалени по отношение на факелното изгаряне на отпадни газове, различно от необходимото за безопасността изгаряне във факел.</v>
      </c>
      <c r="F2750" s="2240"/>
      <c r="G2750" s="2240"/>
      <c r="H2750" s="2240"/>
      <c r="I2750" s="2240"/>
      <c r="J2750" s="2240"/>
      <c r="K2750" s="2240"/>
      <c r="L2750" s="2240"/>
      <c r="M2750" s="2240"/>
      <c r="N2750" s="2811"/>
      <c r="O2750" s="302"/>
      <c r="P2750" s="302"/>
      <c r="Q2750" s="729"/>
      <c r="R2750" s="694"/>
      <c r="S2750" s="729"/>
      <c r="T2750" s="729"/>
      <c r="U2750" s="729"/>
      <c r="V2750" s="729"/>
      <c r="W2750" s="729"/>
      <c r="X2750" s="729"/>
      <c r="Y2750" s="729"/>
      <c r="Z2750" s="729"/>
      <c r="AA2750" s="694"/>
      <c r="AB2750" s="694"/>
      <c r="AC2750" s="694"/>
      <c r="AD2750" s="694"/>
      <c r="AE2750" s="694"/>
      <c r="AF2750" s="694"/>
      <c r="AG2750" s="694"/>
      <c r="AH2750" s="694"/>
      <c r="AI2750" s="694"/>
      <c r="AJ2750" s="694"/>
      <c r="AK2750" s="694"/>
      <c r="AL2750" s="694"/>
    </row>
    <row r="2751" spans="1:38" ht="12.75" customHeight="1" thickBot="1" x14ac:dyDescent="0.3">
      <c r="A2751" s="694"/>
      <c r="B2751" s="298"/>
      <c r="C2751" s="1302"/>
      <c r="D2751" s="1306"/>
      <c r="E2751" s="1317"/>
      <c r="F2751" s="1318"/>
      <c r="G2751" s="1309" t="str">
        <f>EUconst_Unit</f>
        <v>Единица мярка</v>
      </c>
      <c r="H2751" s="629">
        <f t="shared" ref="H2751:N2751" si="3994">H$2831</f>
        <v>2024</v>
      </c>
      <c r="I2751" s="1310">
        <f t="shared" si="3994"/>
        <v>2025</v>
      </c>
      <c r="J2751" s="1311">
        <f t="shared" si="3994"/>
        <v>2026</v>
      </c>
      <c r="K2751" s="629">
        <f t="shared" si="3994"/>
        <v>2027</v>
      </c>
      <c r="L2751" s="629">
        <f t="shared" si="3994"/>
        <v>2028</v>
      </c>
      <c r="M2751" s="629">
        <f t="shared" si="3994"/>
        <v>2029</v>
      </c>
      <c r="N2751" s="1312">
        <f t="shared" si="3994"/>
        <v>2030</v>
      </c>
      <c r="O2751" s="302"/>
      <c r="P2751" s="302"/>
      <c r="Q2751" s="729"/>
      <c r="R2751" s="694"/>
      <c r="S2751" s="729"/>
      <c r="T2751" s="729"/>
      <c r="U2751" s="729"/>
      <c r="V2751" s="729"/>
      <c r="W2751" s="729"/>
      <c r="X2751" s="729"/>
      <c r="Y2751" s="729"/>
      <c r="Z2751" s="729"/>
      <c r="AA2751" s="694"/>
      <c r="AB2751" s="694"/>
      <c r="AC2751" s="1178">
        <f t="shared" ref="AC2751" si="3995">H$20</f>
        <v>2024</v>
      </c>
      <c r="AD2751" s="1178">
        <f t="shared" ref="AD2751" si="3996">I$20</f>
        <v>2025</v>
      </c>
      <c r="AE2751" s="1178">
        <f t="shared" ref="AE2751" si="3997">J$20</f>
        <v>2026</v>
      </c>
      <c r="AF2751" s="1178">
        <f t="shared" ref="AF2751" si="3998">K$20</f>
        <v>2027</v>
      </c>
      <c r="AG2751" s="1178">
        <f t="shared" ref="AG2751" si="3999">L$20</f>
        <v>2028</v>
      </c>
      <c r="AH2751" s="1178">
        <f t="shared" ref="AH2751" si="4000">M$20</f>
        <v>2029</v>
      </c>
      <c r="AI2751" s="1178">
        <f t="shared" ref="AI2751" si="4001">N$20</f>
        <v>2030</v>
      </c>
      <c r="AJ2751" s="694"/>
      <c r="AK2751" s="694"/>
      <c r="AL2751" s="694"/>
    </row>
    <row r="2752" spans="1:38" ht="12.75" customHeight="1" x14ac:dyDescent="0.25">
      <c r="A2752" s="694"/>
      <c r="B2752" s="298"/>
      <c r="C2752" s="1302"/>
      <c r="D2752" s="625" t="s">
        <v>1136</v>
      </c>
      <c r="E2752" s="2818" t="str">
        <f>Translations!$B$579</f>
        <v>Количества, изгорени във факел</v>
      </c>
      <c r="F2752" s="2701"/>
      <c r="G2752" s="145"/>
      <c r="H2752" s="129"/>
      <c r="I2752" s="130"/>
      <c r="J2752" s="131"/>
      <c r="K2752" s="129"/>
      <c r="L2752" s="129"/>
      <c r="M2752" s="129"/>
      <c r="N2752" s="132"/>
      <c r="O2752" s="302"/>
      <c r="P2752" s="158"/>
      <c r="Q2752" s="729"/>
      <c r="R2752" s="694"/>
      <c r="S2752" s="729"/>
      <c r="T2752" s="729"/>
      <c r="U2752" s="729"/>
      <c r="V2752" s="729"/>
      <c r="W2752" s="729"/>
      <c r="X2752" s="729"/>
      <c r="Y2752" s="729"/>
      <c r="Z2752" s="729"/>
      <c r="AA2752" s="694"/>
      <c r="AB2752" s="1182" t="s">
        <v>737</v>
      </c>
      <c r="AC2752" s="982" t="b">
        <f>AC2742</f>
        <v>0</v>
      </c>
      <c r="AD2752" s="982" t="b">
        <f t="shared" ref="AD2752:AI2752" si="4002">AD2742</f>
        <v>0</v>
      </c>
      <c r="AE2752" s="982" t="b">
        <f t="shared" si="4002"/>
        <v>0</v>
      </c>
      <c r="AF2752" s="982" t="b">
        <f t="shared" si="4002"/>
        <v>0</v>
      </c>
      <c r="AG2752" s="982" t="b">
        <f t="shared" si="4002"/>
        <v>0</v>
      </c>
      <c r="AH2752" s="982" t="b">
        <f t="shared" si="4002"/>
        <v>0</v>
      </c>
      <c r="AI2752" s="982" t="b">
        <f t="shared" si="4002"/>
        <v>0</v>
      </c>
      <c r="AJ2752" s="1174" t="s">
        <v>2039</v>
      </c>
      <c r="AK2752" s="1176" t="str">
        <f>IF(AND(CNTR_ExistSubInstEntries,MSconst_RequireSubAttrEmissions,COUNTIFS(AC2752:AI2752,FALSE,H2752:N2752,"")&gt;0),EUconst_Error&amp;"BM"&amp;$Q2542,"")</f>
        <v/>
      </c>
      <c r="AL2752" s="694"/>
    </row>
    <row r="2753" spans="1:38" ht="12.75" customHeight="1" x14ac:dyDescent="0.25">
      <c r="A2753" s="694"/>
      <c r="B2753" s="298"/>
      <c r="C2753" s="1302"/>
      <c r="D2753" s="625" t="s">
        <v>1137</v>
      </c>
      <c r="E2753" s="2819" t="str">
        <f>Translations!$B$296</f>
        <v>Долна топлина на изгаряне</v>
      </c>
      <c r="F2753" s="2705"/>
      <c r="G2753" s="1349" t="str">
        <f>IF(ISBLANK(G2752),EUconst_GJperUnit,INDEX(EUconst_GJperTorKNm3,MATCH(G2752,EUconst_TonnesOrkNm3pa,0)))</f>
        <v>GJ / Единица мярка</v>
      </c>
      <c r="H2753" s="137"/>
      <c r="I2753" s="138"/>
      <c r="J2753" s="139"/>
      <c r="K2753" s="137"/>
      <c r="L2753" s="137"/>
      <c r="M2753" s="137"/>
      <c r="N2753" s="140"/>
      <c r="O2753" s="302"/>
      <c r="P2753" s="158"/>
      <c r="Q2753" s="694"/>
      <c r="R2753" s="694"/>
      <c r="S2753" s="729"/>
      <c r="T2753" s="729"/>
      <c r="U2753" s="729"/>
      <c r="V2753" s="729"/>
      <c r="W2753" s="729"/>
      <c r="X2753" s="729"/>
      <c r="Y2753" s="729"/>
      <c r="Z2753" s="729"/>
      <c r="AA2753" s="694"/>
      <c r="AB2753" s="694"/>
      <c r="AC2753" s="982" t="b">
        <f>AC2752</f>
        <v>0</v>
      </c>
      <c r="AD2753" s="982" t="b">
        <f t="shared" ref="AD2753:AI2753" si="4003">AD2752</f>
        <v>0</v>
      </c>
      <c r="AE2753" s="982" t="b">
        <f t="shared" si="4003"/>
        <v>0</v>
      </c>
      <c r="AF2753" s="982" t="b">
        <f t="shared" si="4003"/>
        <v>0</v>
      </c>
      <c r="AG2753" s="982" t="b">
        <f t="shared" si="4003"/>
        <v>0</v>
      </c>
      <c r="AH2753" s="982" t="b">
        <f t="shared" si="4003"/>
        <v>0</v>
      </c>
      <c r="AI2753" s="982" t="b">
        <f t="shared" si="4003"/>
        <v>0</v>
      </c>
      <c r="AJ2753" s="1174" t="s">
        <v>2039</v>
      </c>
      <c r="AK2753" s="1176" t="str">
        <f>IF(AND(CNTR_ExistSubInstEntries,MSconst_RequireSubAttrEmissions,COUNTIFS(AC2753:AI2753,FALSE,H2753:N2753,"")&gt;0),EUconst_Error&amp;"BM"&amp;$Q2542,"")</f>
        <v/>
      </c>
      <c r="AL2753" s="694"/>
    </row>
    <row r="2754" spans="1:38" ht="12.75" customHeight="1" x14ac:dyDescent="0.25">
      <c r="A2754" s="694"/>
      <c r="B2754" s="298"/>
      <c r="C2754" s="1302"/>
      <c r="D2754" s="625" t="s">
        <v>1138</v>
      </c>
      <c r="E2754" s="2820" t="str">
        <f>Translations!$B$580</f>
        <v>Изгорен във факел отпаден газ</v>
      </c>
      <c r="F2754" s="2258"/>
      <c r="G2754" s="1319" t="str">
        <f>EUconst_TJpa</f>
        <v>TJ / година</v>
      </c>
      <c r="H2754" s="1350" t="str">
        <f t="shared" ref="H2754:N2754" si="4004">IF(COUNT(H2752:H2753)=2,H2752*H2753/1000,"")</f>
        <v/>
      </c>
      <c r="I2754" s="1351" t="str">
        <f t="shared" si="4004"/>
        <v/>
      </c>
      <c r="J2754" s="1352" t="str">
        <f t="shared" si="4004"/>
        <v/>
      </c>
      <c r="K2754" s="1350" t="str">
        <f t="shared" si="4004"/>
        <v/>
      </c>
      <c r="L2754" s="1350" t="str">
        <f t="shared" si="4004"/>
        <v/>
      </c>
      <c r="M2754" s="1350" t="str">
        <f t="shared" si="4004"/>
        <v/>
      </c>
      <c r="N2754" s="1353" t="str">
        <f t="shared" si="4004"/>
        <v/>
      </c>
      <c r="O2754" s="302"/>
      <c r="P2754" s="302"/>
      <c r="Q2754" s="1190" t="str">
        <f>EUconst_CNTR_WGFlared &amp; I2542</f>
        <v>WasteGasFlare_</v>
      </c>
      <c r="R2754" s="694"/>
      <c r="S2754" s="729"/>
      <c r="T2754" s="729"/>
      <c r="U2754" s="729"/>
      <c r="V2754" s="729"/>
      <c r="W2754" s="729"/>
      <c r="X2754" s="729"/>
      <c r="Y2754" s="729"/>
      <c r="Z2754" s="729"/>
      <c r="AA2754" s="694"/>
      <c r="AB2754" s="694"/>
      <c r="AC2754" s="694"/>
      <c r="AD2754" s="694"/>
      <c r="AE2754" s="694"/>
      <c r="AF2754" s="694"/>
      <c r="AG2754" s="694"/>
      <c r="AH2754" s="694"/>
      <c r="AI2754" s="694"/>
      <c r="AJ2754" s="694"/>
      <c r="AK2754" s="694"/>
      <c r="AL2754" s="694"/>
    </row>
    <row r="2755" spans="1:38" ht="12.75" customHeight="1" x14ac:dyDescent="0.25">
      <c r="A2755" s="694"/>
      <c r="B2755" s="298"/>
      <c r="C2755" s="1302"/>
      <c r="D2755" s="625" t="s">
        <v>1139</v>
      </c>
      <c r="E2755" s="2820" t="str">
        <f>Translations!$B$581</f>
        <v>Специфичен EF (изгорен във факел отпаден газ)</v>
      </c>
      <c r="F2755" s="2258"/>
      <c r="G2755" s="1319" t="str">
        <f>EUconst_tCO2pTJ</f>
        <v>t CO2 / TJ</v>
      </c>
      <c r="H2755" s="56"/>
      <c r="I2755" s="115"/>
      <c r="J2755" s="118"/>
      <c r="K2755" s="56"/>
      <c r="L2755" s="56"/>
      <c r="M2755" s="56"/>
      <c r="N2755" s="121"/>
      <c r="O2755" s="302"/>
      <c r="P2755" s="158"/>
      <c r="Q2755" s="1190" t="str">
        <f>EUconst_CNTR_WGFlaredEF &amp; I2542</f>
        <v>WasteGasFlareEF_</v>
      </c>
      <c r="R2755" s="694"/>
      <c r="S2755" s="729"/>
      <c r="T2755" s="729"/>
      <c r="U2755" s="729"/>
      <c r="V2755" s="729"/>
      <c r="W2755" s="729"/>
      <c r="X2755" s="729"/>
      <c r="Y2755" s="729"/>
      <c r="Z2755" s="729"/>
      <c r="AA2755" s="694"/>
      <c r="AB2755" s="1182" t="s">
        <v>737</v>
      </c>
      <c r="AC2755" s="982" t="b">
        <f>AC2753</f>
        <v>0</v>
      </c>
      <c r="AD2755" s="982" t="b">
        <f t="shared" ref="AD2755:AI2755" si="4005">AD2753</f>
        <v>0</v>
      </c>
      <c r="AE2755" s="982" t="b">
        <f t="shared" si="4005"/>
        <v>0</v>
      </c>
      <c r="AF2755" s="982" t="b">
        <f t="shared" si="4005"/>
        <v>0</v>
      </c>
      <c r="AG2755" s="982" t="b">
        <f t="shared" si="4005"/>
        <v>0</v>
      </c>
      <c r="AH2755" s="982" t="b">
        <f t="shared" si="4005"/>
        <v>0</v>
      </c>
      <c r="AI2755" s="982" t="b">
        <f t="shared" si="4005"/>
        <v>0</v>
      </c>
      <c r="AJ2755" s="1174" t="s">
        <v>2039</v>
      </c>
      <c r="AK2755" s="1176" t="str">
        <f>IF(AND(CNTR_ExistSubInstEntries,MSconst_RequireSubAttrEmissions,COUNTIFS(AC2755:AI2755,FALSE,H2755:N2755,"")&gt;0),EUconst_Error&amp;"BM"&amp;$Q2542,"")</f>
        <v/>
      </c>
      <c r="AL2755" s="694"/>
    </row>
    <row r="2756" spans="1:38" ht="5.15" customHeight="1" thickBot="1" x14ac:dyDescent="0.3">
      <c r="A2756" s="694"/>
      <c r="B2756" s="298"/>
      <c r="C2756" s="1302"/>
      <c r="D2756" s="1306"/>
      <c r="E2756" s="1306"/>
      <c r="F2756" s="1306"/>
      <c r="G2756" s="1306"/>
      <c r="H2756" s="1354"/>
      <c r="I2756" s="1306"/>
      <c r="J2756" s="1306"/>
      <c r="K2756" s="1306"/>
      <c r="L2756" s="1306"/>
      <c r="M2756" s="626"/>
      <c r="N2756" s="1316"/>
      <c r="O2756" s="302"/>
      <c r="P2756" s="302"/>
      <c r="Q2756" s="729"/>
      <c r="R2756" s="694"/>
      <c r="S2756" s="729"/>
      <c r="T2756" s="729"/>
      <c r="U2756" s="729"/>
      <c r="V2756" s="729"/>
      <c r="W2756" s="694"/>
      <c r="X2756" s="694"/>
      <c r="Y2756" s="694"/>
      <c r="Z2756" s="694"/>
      <c r="AA2756" s="694"/>
      <c r="AB2756" s="694"/>
      <c r="AC2756" s="694"/>
      <c r="AD2756" s="694"/>
      <c r="AE2756" s="694"/>
      <c r="AF2756" s="694"/>
      <c r="AG2756" s="694"/>
      <c r="AH2756" s="694"/>
      <c r="AI2756" s="694"/>
      <c r="AJ2756" s="694"/>
      <c r="AK2756" s="694"/>
      <c r="AL2756" s="694"/>
    </row>
    <row r="2757" spans="1:38" ht="12.75" customHeight="1" thickBot="1" x14ac:dyDescent="0.3">
      <c r="A2757" s="694"/>
      <c r="B2757" s="298"/>
      <c r="C2757" s="1302"/>
      <c r="D2757" s="1306"/>
      <c r="E2757" s="2820" t="str">
        <f>Translations!$B$1330</f>
        <v>Количество изгорен във факел отпаден газ</v>
      </c>
      <c r="F2757" s="2820"/>
      <c r="G2757" s="1355" t="str">
        <f>EUconst_tCO2</f>
        <v>t CO2</v>
      </c>
      <c r="H2757" s="1356" t="str">
        <f t="shared" ref="H2757" si="4006">IF(T2550,SUM(H2754)*SUM(H2755),"")</f>
        <v/>
      </c>
      <c r="I2757" s="1357" t="str">
        <f t="shared" ref="I2757" si="4007">IF(U2550,SUM(I2754)*SUM(I2755),"")</f>
        <v/>
      </c>
      <c r="J2757" s="1358" t="str">
        <f t="shared" ref="J2757" si="4008">IF(V2550,SUM(J2754)*SUM(J2755),"")</f>
        <v/>
      </c>
      <c r="K2757" s="1356" t="str">
        <f t="shared" ref="K2757" si="4009">IF(W2550,SUM(K2754)*SUM(K2755),"")</f>
        <v/>
      </c>
      <c r="L2757" s="1356" t="str">
        <f t="shared" ref="L2757" si="4010">IF(X2550,SUM(L2754)*SUM(L2755),"")</f>
        <v/>
      </c>
      <c r="M2757" s="1356" t="str">
        <f t="shared" ref="M2757" si="4011">IF(Y2550,SUM(M2754)*SUM(M2755),"")</f>
        <v/>
      </c>
      <c r="N2757" s="1356" t="str">
        <f t="shared" ref="N2757" si="4012">IF(Z2550,SUM(N2754)*SUM(N2755),"")</f>
        <v/>
      </c>
      <c r="O2757" s="302"/>
      <c r="P2757" s="302"/>
      <c r="Q2757" s="1190" t="str">
        <f>EUconst_CNTR_HAL &amp; EUconst_CNTR_WGFlared &amp; I2542</f>
        <v>HAL_WasteGasFlare_</v>
      </c>
      <c r="R2757" s="694"/>
      <c r="S2757" s="1174" t="s">
        <v>1811</v>
      </c>
      <c r="T2757" s="1169" t="b">
        <f>CNTR_SubPeriod=2</f>
        <v>1</v>
      </c>
      <c r="U2757" s="729"/>
      <c r="V2757" s="729"/>
      <c r="W2757" s="694"/>
      <c r="X2757" s="694"/>
      <c r="Y2757" s="694"/>
      <c r="Z2757" s="694"/>
      <c r="AA2757" s="694"/>
      <c r="AB2757" s="694"/>
      <c r="AC2757" s="694"/>
      <c r="AD2757" s="694"/>
      <c r="AE2757" s="694"/>
      <c r="AF2757" s="694"/>
      <c r="AG2757" s="694"/>
      <c r="AH2757" s="694"/>
      <c r="AI2757" s="694"/>
      <c r="AJ2757" s="694"/>
      <c r="AK2757" s="694"/>
      <c r="AL2757" s="694"/>
    </row>
    <row r="2758" spans="1:38" ht="5.15" customHeight="1" thickBot="1" x14ac:dyDescent="0.3">
      <c r="A2758" s="694"/>
      <c r="B2758" s="298"/>
      <c r="C2758" s="1302"/>
      <c r="D2758" s="1306"/>
      <c r="E2758" s="1306"/>
      <c r="F2758" s="1306"/>
      <c r="G2758" s="1306"/>
      <c r="H2758" s="1354"/>
      <c r="I2758" s="1306"/>
      <c r="J2758" s="1306"/>
      <c r="K2758" s="1306"/>
      <c r="L2758" s="1306"/>
      <c r="M2758" s="626"/>
      <c r="N2758" s="1316"/>
      <c r="O2758" s="302"/>
      <c r="P2758" s="302"/>
      <c r="Q2758" s="729"/>
      <c r="R2758" s="694"/>
      <c r="S2758" s="729"/>
      <c r="T2758" s="729"/>
      <c r="U2758" s="729"/>
      <c r="V2758" s="729"/>
      <c r="W2758" s="694"/>
      <c r="X2758" s="694"/>
      <c r="Y2758" s="694"/>
      <c r="Z2758" s="694"/>
      <c r="AA2758" s="694"/>
      <c r="AB2758" s="694"/>
      <c r="AC2758" s="694"/>
      <c r="AD2758" s="694"/>
      <c r="AE2758" s="694"/>
      <c r="AF2758" s="694"/>
      <c r="AG2758" s="694"/>
      <c r="AH2758" s="694"/>
      <c r="AI2758" s="694"/>
      <c r="AJ2758" s="694"/>
      <c r="AK2758" s="694"/>
      <c r="AL2758" s="694"/>
    </row>
    <row r="2759" spans="1:38" ht="5.15" customHeight="1" thickBot="1" x14ac:dyDescent="0.3">
      <c r="A2759" s="694"/>
      <c r="B2759" s="298"/>
      <c r="C2759" s="1302"/>
      <c r="D2759" s="1359"/>
      <c r="E2759" s="1360"/>
      <c r="F2759" s="1360"/>
      <c r="G2759" s="1360"/>
      <c r="H2759" s="1361"/>
      <c r="I2759" s="1360"/>
      <c r="J2759" s="1360"/>
      <c r="K2759" s="1360"/>
      <c r="L2759" s="1360"/>
      <c r="M2759" s="1362"/>
      <c r="N2759" s="1363"/>
      <c r="O2759" s="302"/>
      <c r="P2759" s="302"/>
      <c r="Q2759" s="729"/>
      <c r="R2759" s="694"/>
      <c r="S2759" s="729"/>
      <c r="T2759" s="729"/>
      <c r="U2759" s="729"/>
      <c r="V2759" s="729"/>
      <c r="W2759" s="694"/>
      <c r="X2759" s="694"/>
      <c r="Y2759" s="694"/>
      <c r="Z2759" s="694"/>
      <c r="AA2759" s="694"/>
      <c r="AB2759" s="694"/>
      <c r="AC2759" s="694"/>
      <c r="AD2759" s="694"/>
      <c r="AE2759" s="694"/>
      <c r="AF2759" s="694"/>
      <c r="AG2759" s="694"/>
      <c r="AH2759" s="694"/>
      <c r="AI2759" s="694"/>
      <c r="AJ2759" s="694"/>
      <c r="AK2759" s="694"/>
      <c r="AL2759" s="694"/>
    </row>
    <row r="2760" spans="1:38" ht="12.75" customHeight="1" x14ac:dyDescent="0.25">
      <c r="A2760" s="694"/>
      <c r="B2760" s="298"/>
      <c r="C2760" s="1302"/>
      <c r="D2760" s="1197" t="s">
        <v>2004</v>
      </c>
      <c r="E2760" s="2823" t="str">
        <f>Translations!$B$1331</f>
        <v>Корекции: изгорени във факел отпадни газове</v>
      </c>
      <c r="F2760" s="2672"/>
      <c r="G2760" s="2672"/>
      <c r="H2760" s="1200" t="str">
        <f>EUconst_Unit</f>
        <v>Единица мярка</v>
      </c>
      <c r="I2760" s="1201" t="str">
        <f>Translations!$B$1327</f>
        <v>(НМИ) стойност</v>
      </c>
      <c r="J2760" s="1202">
        <f>J$2831</f>
        <v>2026</v>
      </c>
      <c r="K2760" s="1203">
        <f>K$2831</f>
        <v>2027</v>
      </c>
      <c r="L2760" s="1203">
        <f>L$2831</f>
        <v>2028</v>
      </c>
      <c r="M2760" s="1203">
        <f>M$2831</f>
        <v>2029</v>
      </c>
      <c r="N2760" s="1204">
        <f>N$2831</f>
        <v>2030</v>
      </c>
      <c r="O2760" s="302"/>
      <c r="P2760" s="302"/>
      <c r="Q2760" s="729"/>
      <c r="R2760" s="694"/>
      <c r="S2760" s="694"/>
      <c r="T2760" s="694"/>
      <c r="U2760" s="1205"/>
      <c r="V2760" s="1206">
        <f>J2760</f>
        <v>2026</v>
      </c>
      <c r="W2760" s="1206">
        <f>K2760</f>
        <v>2027</v>
      </c>
      <c r="X2760" s="1206">
        <f>L2760</f>
        <v>2028</v>
      </c>
      <c r="Y2760" s="1206">
        <f>M2760</f>
        <v>2029</v>
      </c>
      <c r="Z2760" s="1207">
        <f>N2760</f>
        <v>2030</v>
      </c>
      <c r="AA2760" s="694"/>
      <c r="AB2760" s="694"/>
      <c r="AC2760" s="694"/>
      <c r="AD2760" s="694"/>
      <c r="AE2760" s="694"/>
      <c r="AF2760" s="694"/>
      <c r="AG2760" s="694"/>
      <c r="AH2760" s="694"/>
      <c r="AI2760" s="694"/>
      <c r="AJ2760" s="694"/>
      <c r="AK2760" s="694"/>
      <c r="AL2760" s="694"/>
    </row>
    <row r="2761" spans="1:38" ht="12.75" customHeight="1" x14ac:dyDescent="0.25">
      <c r="A2761" s="694"/>
      <c r="B2761" s="298"/>
      <c r="C2761" s="1302"/>
      <c r="D2761" s="1208" t="s">
        <v>6</v>
      </c>
      <c r="E2761" s="2822" t="str">
        <f>Translations!$B$1328</f>
        <v>Средна годишна стойност</v>
      </c>
      <c r="F2761" s="2258"/>
      <c r="G2761" s="2258"/>
      <c r="H2761" s="1266" t="str">
        <f>G2757</f>
        <v>t CO2</v>
      </c>
      <c r="I2761" s="1211" t="str">
        <f>INDEX('B+C_SubInstallations'!$K:$K,MATCH(Q2761,'B+C_SubInstallations'!$V:$V,0))</f>
        <v/>
      </c>
      <c r="J2761" s="1267" t="str">
        <f>IF($T2757&lt;&gt;TRUE,"",IF(AND(V2761&gt;=3,CNTR_ReportingYear&gt;J2760-1),AVERAGE(SUM(H2757),SUM(I2757)),""))</f>
        <v/>
      </c>
      <c r="K2761" s="1268" t="str">
        <f>IF($T2757&lt;&gt;TRUE,"",IF(AND(W2761&gt;=3,CNTR_ReportingYear&gt;K2760-1),AVERAGE(SUM(I2757),SUM(J2757)),""))</f>
        <v/>
      </c>
      <c r="L2761" s="1268" t="str">
        <f>IF($T2757&lt;&gt;TRUE,"",IF(AND(X2761&gt;=3,CNTR_ReportingYear&gt;L2760-1),AVERAGE(SUM(J2757),SUM(K2757)),""))</f>
        <v/>
      </c>
      <c r="M2761" s="1268" t="str">
        <f>IF($T2757&lt;&gt;TRUE,"",IF(AND(Y2761&gt;=3,CNTR_ReportingYear&gt;M2760-1),AVERAGE(SUM(K2757),SUM(L2757)),""))</f>
        <v/>
      </c>
      <c r="N2761" s="1269" t="str">
        <f>IF($T2757&lt;&gt;TRUE,"",IF(AND(Z2761&gt;=3,CNTR_ReportingYear&gt;N2760-1),AVERAGE(SUM(L2757),SUM(M2757)),""))</f>
        <v/>
      </c>
      <c r="O2761" s="302"/>
      <c r="P2761" s="302"/>
      <c r="Q2761" s="1190" t="str">
        <f>EUconst_CNTR_HALinitial &amp; EUconst_CNTR_WGFlared &amp; I2542</f>
        <v>HALini_WasteGasFlare_</v>
      </c>
      <c r="R2761" s="694"/>
      <c r="S2761" s="694"/>
      <c r="T2761" s="694"/>
      <c r="U2761" s="1365" t="s">
        <v>1710</v>
      </c>
      <c r="V2761" s="1176">
        <f>V2564</f>
        <v>0</v>
      </c>
      <c r="W2761" s="1176">
        <f>W2564</f>
        <v>0</v>
      </c>
      <c r="X2761" s="1176">
        <f>X2564</f>
        <v>0</v>
      </c>
      <c r="Y2761" s="1176">
        <f>Y2564</f>
        <v>0</v>
      </c>
      <c r="Z2761" s="1216">
        <f>Z2564</f>
        <v>0</v>
      </c>
      <c r="AA2761" s="694"/>
      <c r="AB2761" s="694"/>
      <c r="AC2761" s="694"/>
      <c r="AD2761" s="694"/>
      <c r="AE2761" s="694"/>
      <c r="AF2761" s="694"/>
      <c r="AG2761" s="694"/>
      <c r="AH2761" s="694"/>
      <c r="AI2761" s="694"/>
      <c r="AJ2761" s="694"/>
      <c r="AK2761" s="694"/>
      <c r="AL2761" s="694"/>
    </row>
    <row r="2762" spans="1:38" ht="12.75" hidden="1" customHeight="1" x14ac:dyDescent="0.25">
      <c r="A2762" s="729" t="s">
        <v>312</v>
      </c>
      <c r="B2762" s="298"/>
      <c r="C2762" s="1302"/>
      <c r="D2762" s="1208"/>
      <c r="E2762" s="2822" t="str">
        <f>Translations!$B$1378</f>
        <v>Промяна в сравнение със стойността в НМИ</v>
      </c>
      <c r="F2762" s="2258"/>
      <c r="G2762" s="2258"/>
      <c r="H2762" s="1222"/>
      <c r="I2762" s="1223"/>
      <c r="J2762" s="104" t="str">
        <f>IF(J2761="","",IF($I2764=0,IF(J2761=0,0%,100%),J2761/$I2764-1))</f>
        <v/>
      </c>
      <c r="K2762" s="99" t="str">
        <f>IF(K2761="","",IF($I2764=0,IF(K2761=0,0%,100%),K2761/$I2764-1))</f>
        <v/>
      </c>
      <c r="L2762" s="99" t="str">
        <f>IF(L2761="","",IF($I2764=0,IF(L2761=0,0%,100%),L2761/$I2764-1))</f>
        <v/>
      </c>
      <c r="M2762" s="99" t="str">
        <f>IF(M2761="","",IF($I2764=0,IF(M2761=0,0%,100%),M2761/$I2764-1))</f>
        <v/>
      </c>
      <c r="N2762" s="123" t="str">
        <f>IF(N2761="","",IF($I2764=0,IF(N2761=0,0%,100%),N2761/$I2764-1))</f>
        <v/>
      </c>
      <c r="O2762" s="302"/>
      <c r="P2762" s="302"/>
      <c r="Q2762" s="1190" t="str">
        <f>EUconst_CNTR_RelThreshold &amp; Q2764</f>
        <v>RelThresh_HALprelim_WasteGasFlare_</v>
      </c>
      <c r="R2762" s="694"/>
      <c r="S2762" s="694"/>
      <c r="T2762" s="694"/>
      <c r="U2762" s="1365" t="s">
        <v>1715</v>
      </c>
      <c r="V2762" s="727" t="str">
        <f>IF(J2761="","",ABS(J2762)&gt;15%)</f>
        <v/>
      </c>
      <c r="W2762" s="727" t="str">
        <f>IF(K2761="","",ABS(K2762)&gt;15%)</f>
        <v/>
      </c>
      <c r="X2762" s="727" t="str">
        <f>IF(L2761="","",ABS(L2762)&gt;15%)</f>
        <v/>
      </c>
      <c r="Y2762" s="727" t="str">
        <f>IF(M2761="","",ABS(M2762)&gt;15%)</f>
        <v/>
      </c>
      <c r="Z2762" s="1221" t="str">
        <f>IF(N2761="","",ABS(N2762)&gt;15%)</f>
        <v/>
      </c>
      <c r="AA2762" s="694"/>
      <c r="AB2762" s="694"/>
      <c r="AC2762" s="694"/>
      <c r="AD2762" s="694"/>
      <c r="AE2762" s="694"/>
      <c r="AF2762" s="694"/>
      <c r="AG2762" s="694"/>
      <c r="AH2762" s="694"/>
      <c r="AI2762" s="694"/>
      <c r="AJ2762" s="694"/>
      <c r="AK2762" s="694"/>
      <c r="AL2762" s="694"/>
    </row>
    <row r="2763" spans="1:38" ht="12.75" customHeight="1" x14ac:dyDescent="0.25">
      <c r="A2763" s="729"/>
      <c r="B2763" s="298"/>
      <c r="C2763" s="1302"/>
      <c r="D2763" s="1208" t="s">
        <v>7</v>
      </c>
      <c r="E2763" s="2822" t="str">
        <f>Translations!$B$1322</f>
        <v>Предварителна корекция (ако са надвишени относителните прагове)</v>
      </c>
      <c r="F2763" s="2258"/>
      <c r="G2763" s="2258"/>
      <c r="H2763" s="1222"/>
      <c r="I2763" s="1223"/>
      <c r="J2763" s="1224" t="str">
        <f>IF(J2761="","",IF(V2762=FALSE,0%,IF(V2763,J2762,I2769)))</f>
        <v/>
      </c>
      <c r="K2763" s="1225" t="str">
        <f>IF(K2761="","",IF(W2762=FALSE,0%,IF(W2763,K2762,J2769)))</f>
        <v/>
      </c>
      <c r="L2763" s="1225" t="str">
        <f>IF(L2761="","",IF(X2762=FALSE,0%,IF(X2763,L2762,K2769)))</f>
        <v/>
      </c>
      <c r="M2763" s="1225" t="str">
        <f>IF(M2761="","",IF(Y2762=FALSE,0%,IF(Y2763,M2762,L2769)))</f>
        <v/>
      </c>
      <c r="N2763" s="1226" t="str">
        <f>IF(N2761="","",IF(Z2762=FALSE,0%,IF(Z2763,N2762,M2769)))</f>
        <v/>
      </c>
      <c r="O2763" s="302"/>
      <c r="P2763" s="302"/>
      <c r="Q2763" s="729"/>
      <c r="R2763" s="694"/>
      <c r="S2763" s="694"/>
      <c r="T2763" s="694"/>
      <c r="U2763" s="1215" t="s">
        <v>1716</v>
      </c>
      <c r="V2763" s="727" t="str">
        <f>IF(J2761="","",AND(V2762,IF(SUM(I2769)&lt;0,OR(SUM(J2762)&lt;SUM(I2769)-MOD(SUM(I2769),5%),J2762&gt;=SUM(I2769)+5%-MOD(SUM(I2769),5%)),OR(SUM(J2762)&lt;=SUM(I2769)-MOD(SUM(I2769),5%),SUM(J2762)&gt;SUM(I2769)+5%-MOD(SUM(I2769),5%)))))</f>
        <v/>
      </c>
      <c r="W2763" s="727" t="str">
        <f>IF(K2761="","",AND(W2762,IF(SUM(J2769)&lt;0,OR(SUM(K2762)&lt;SUM(J2769)-MOD(SUM(J2769),5%),K2762&gt;=SUM(J2769)+5%-MOD(SUM(J2769),5%)),OR(SUM(K2762)&lt;=SUM(J2769)-MOD(SUM(J2769),5%),SUM(K2762)&gt;SUM(J2769)+5%-MOD(SUM(J2769),5%)))))</f>
        <v/>
      </c>
      <c r="X2763" s="727" t="str">
        <f>IF(L2761="","",AND(X2762,IF(SUM(K2769)&lt;0,OR(SUM(L2762)&lt;SUM(K2769)-MOD(SUM(K2769),5%),L2762&gt;=SUM(K2769)+5%-MOD(SUM(K2769),5%)),OR(SUM(L2762)&lt;=SUM(K2769)-MOD(SUM(K2769),5%),SUM(L2762)&gt;SUM(K2769)+5%-MOD(SUM(K2769),5%)))))</f>
        <v/>
      </c>
      <c r="Y2763" s="727" t="str">
        <f>IF(M2761="","",AND(Y2762,IF(SUM(L2769)&lt;0,OR(SUM(M2762)&lt;SUM(L2769)-MOD(SUM(L2769),5%),M2762&gt;=SUM(L2769)+5%-MOD(SUM(L2769),5%)),OR(SUM(M2762)&lt;=SUM(L2769)-MOD(SUM(L2769),5%),SUM(M2762)&gt;SUM(L2769)+5%-MOD(SUM(L2769),5%)))))</f>
        <v/>
      </c>
      <c r="Z2763" s="1221" t="str">
        <f>IF(N2761="","",AND(Z2762,IF(SUM(M2769)&lt;0,OR(SUM(N2762)&lt;SUM(M2769)-MOD(SUM(M2769),5%),N2762&gt;=SUM(M2769)+5%-MOD(SUM(M2769),5%)),OR(SUM(N2762)&lt;=SUM(M2769)-MOD(SUM(M2769),5%),SUM(N2762)&gt;SUM(M2769)+5%-MOD(SUM(M2769),5%)))))</f>
        <v/>
      </c>
      <c r="AA2763" s="694"/>
      <c r="AB2763" s="694"/>
      <c r="AC2763" s="694"/>
      <c r="AD2763" s="694"/>
      <c r="AE2763" s="694"/>
      <c r="AF2763" s="694"/>
      <c r="AG2763" s="694"/>
      <c r="AH2763" s="694"/>
      <c r="AI2763" s="694"/>
      <c r="AJ2763" s="694"/>
      <c r="AK2763" s="694"/>
      <c r="AL2763" s="694"/>
    </row>
    <row r="2764" spans="1:38" ht="12.75" hidden="1" customHeight="1" x14ac:dyDescent="0.25">
      <c r="A2764" s="729" t="s">
        <v>312</v>
      </c>
      <c r="B2764" s="298"/>
      <c r="C2764" s="1302"/>
      <c r="D2764" s="1208"/>
      <c r="E2764" s="2822" t="str">
        <f>Translations!$B$1377</f>
        <v>Предварителна стойност</v>
      </c>
      <c r="F2764" s="2258"/>
      <c r="G2764" s="2258"/>
      <c r="H2764" s="1266" t="str">
        <f>H2761</f>
        <v>t CO2</v>
      </c>
      <c r="I2764" s="1211" t="str">
        <f>IF($I2542="","",IF(AB2542=FALSE,EUconst_NA,IF(V2542&gt;($J$2831-3),INDEX(H2757:N2757,MATCH(V2542,H2751:N2751,0)),SUM(I2761))))</f>
        <v/>
      </c>
      <c r="J2764" s="1212" t="str">
        <f>IF($I2542="","",IF(V2761&lt;2,SUM(J2757),IF(V2761&lt;3,SUM(I2757),IF(V2764="",I2764,V2764))))</f>
        <v/>
      </c>
      <c r="K2764" s="1213" t="str">
        <f>IF($I2542="","",IF(W2761&lt;2,SUM(K2757),IF(W2761&lt;3,SUM(J2757),IF(W2764="",J2764,W2764))))</f>
        <v/>
      </c>
      <c r="L2764" s="1213" t="str">
        <f>IF($I2542="","",IF(X2761&lt;2,SUM(L2757),IF(X2761&lt;3,SUM(K2757),IF(X2764="",K2764,X2764))))</f>
        <v/>
      </c>
      <c r="M2764" s="1213" t="str">
        <f>IF($I2542="","",IF(Y2761&lt;2,SUM(M2757),IF(Y2761&lt;3,SUM(L2757),IF(Y2764="",L2764,Y2764))))</f>
        <v/>
      </c>
      <c r="N2764" s="1214" t="str">
        <f>IF($I2542="","",IF(Z2761&lt;2,SUM(N2757),IF(Z2761&lt;3,SUM(M2757),IF(Z2764="",M2764,Z2764))))</f>
        <v/>
      </c>
      <c r="O2764" s="302"/>
      <c r="P2764" s="302"/>
      <c r="Q2764" s="1190" t="str">
        <f>EUconst_CNTR_HALprelim&amp;EUconst_CNTR_WGFlared &amp; I2542</f>
        <v>HALprelim_WasteGasFlare_</v>
      </c>
      <c r="R2764" s="694"/>
      <c r="S2764" s="694"/>
      <c r="T2764" s="694"/>
      <c r="U2764" s="1365" t="s">
        <v>1756</v>
      </c>
      <c r="V2764" s="1227" t="str">
        <f>IF(J2761="","",IF(CNTR_ReportingYear&lt;J2760,I2763,IF($I2764=0,J2761,$I2764*(1+J2763))))</f>
        <v/>
      </c>
      <c r="W2764" s="1227" t="str">
        <f>IF(K2761="","",IF(CNTR_ReportingYear&lt;K2760,J2763,IF($I2764=0,K2761,$I2764*(1+K2763))))</f>
        <v/>
      </c>
      <c r="X2764" s="1227" t="str">
        <f>IF(L2761="","",IF(CNTR_ReportingYear&lt;L2760,K2763,IF($I2764=0,L2761,$I2764*(1+L2763))))</f>
        <v/>
      </c>
      <c r="Y2764" s="1227" t="str">
        <f>IF(M2761="","",IF(CNTR_ReportingYear&lt;M2760,L2763,IF($I2764=0,M2761,$I2764*(1+M2763))))</f>
        <v/>
      </c>
      <c r="Z2764" s="1228" t="str">
        <f>IF(N2761="","",IF(CNTR_ReportingYear&lt;N2760,M2763,IF($I2764=0,N2761,$I2764*(1+N2763))))</f>
        <v/>
      </c>
      <c r="AA2764" s="694"/>
      <c r="AB2764" s="694"/>
      <c r="AC2764" s="694"/>
      <c r="AD2764" s="694"/>
      <c r="AE2764" s="694"/>
      <c r="AF2764" s="694"/>
      <c r="AG2764" s="694"/>
      <c r="AH2764" s="694"/>
      <c r="AI2764" s="694"/>
      <c r="AJ2764" s="694"/>
      <c r="AK2764" s="694"/>
      <c r="AL2764" s="694"/>
    </row>
    <row r="2765" spans="1:38" ht="5.15" customHeight="1" x14ac:dyDescent="0.25">
      <c r="A2765" s="729"/>
      <c r="B2765" s="298"/>
      <c r="C2765" s="1302"/>
      <c r="D2765" s="1208"/>
      <c r="E2765" s="1199"/>
      <c r="F2765" s="1199"/>
      <c r="G2765" s="1199"/>
      <c r="H2765" s="1199"/>
      <c r="I2765" s="1199"/>
      <c r="J2765" s="1229"/>
      <c r="K2765" s="1229"/>
      <c r="L2765" s="1229"/>
      <c r="M2765" s="1229"/>
      <c r="N2765" s="1230"/>
      <c r="O2765" s="302"/>
      <c r="P2765" s="302"/>
      <c r="Q2765" s="729"/>
      <c r="R2765" s="694"/>
      <c r="S2765" s="694"/>
      <c r="T2765" s="694"/>
      <c r="U2765" s="1231"/>
      <c r="V2765" s="729"/>
      <c r="W2765" s="694"/>
      <c r="X2765" s="694"/>
      <c r="Y2765" s="694"/>
      <c r="Z2765" s="1232"/>
      <c r="AA2765" s="694"/>
      <c r="AB2765" s="694"/>
      <c r="AC2765" s="694"/>
      <c r="AD2765" s="694"/>
      <c r="AE2765" s="694"/>
      <c r="AF2765" s="694"/>
      <c r="AG2765" s="694"/>
      <c r="AH2765" s="694"/>
      <c r="AI2765" s="694"/>
      <c r="AJ2765" s="694"/>
      <c r="AK2765" s="694"/>
      <c r="AL2765" s="694"/>
    </row>
    <row r="2766" spans="1:38" ht="12.75" customHeight="1" x14ac:dyDescent="0.25">
      <c r="A2766" s="729"/>
      <c r="B2766" s="298"/>
      <c r="C2766" s="1302"/>
      <c r="D2766" s="1208"/>
      <c r="E2766" s="2823" t="str">
        <f>Translations!$B$1323</f>
        <v>Действителна корекция (база за следващи години)</v>
      </c>
      <c r="F2766" s="2672"/>
      <c r="G2766" s="2672"/>
      <c r="H2766" s="2672"/>
      <c r="I2766" s="2813"/>
      <c r="J2766" s="1202">
        <f>J$2831</f>
        <v>2026</v>
      </c>
      <c r="K2766" s="1203">
        <f>K$2831</f>
        <v>2027</v>
      </c>
      <c r="L2766" s="1203">
        <f>L$2831</f>
        <v>2028</v>
      </c>
      <c r="M2766" s="1203">
        <f>M$2831</f>
        <v>2029</v>
      </c>
      <c r="N2766" s="1204">
        <f>N$2831</f>
        <v>2030</v>
      </c>
      <c r="O2766" s="302"/>
      <c r="P2766" s="302"/>
      <c r="Q2766" s="729"/>
      <c r="R2766" s="694"/>
      <c r="S2766" s="694"/>
      <c r="T2766" s="694"/>
      <c r="U2766" s="1234"/>
      <c r="V2766" s="694"/>
      <c r="W2766" s="694"/>
      <c r="X2766" s="694"/>
      <c r="Y2766" s="694"/>
      <c r="Z2766" s="1232"/>
      <c r="AA2766" s="694"/>
      <c r="AB2766" s="694"/>
      <c r="AC2766" s="694"/>
      <c r="AD2766" s="694"/>
      <c r="AE2766" s="694"/>
      <c r="AF2766" s="694"/>
      <c r="AG2766" s="694"/>
      <c r="AH2766" s="694"/>
      <c r="AI2766" s="694"/>
      <c r="AJ2766" s="694"/>
      <c r="AK2766" s="694"/>
      <c r="AL2766" s="694"/>
    </row>
    <row r="2767" spans="1:38" ht="12.75" customHeight="1" x14ac:dyDescent="0.25">
      <c r="A2767" s="729"/>
      <c r="B2767" s="298"/>
      <c r="C2767" s="1302"/>
      <c r="D2767" s="1208" t="s">
        <v>8</v>
      </c>
      <c r="E2767" s="2822" t="str">
        <f>Translations!$B$1515</f>
        <v>изпълнен ли е критерият за &gt;=300 квоти за емисии?</v>
      </c>
      <c r="F2767" s="2258"/>
      <c r="G2767" s="2258"/>
      <c r="H2767" s="2258"/>
      <c r="I2767" s="2824"/>
      <c r="J2767" s="1236" t="str">
        <f>IF($I2542="","",INDEX(K_Summary!J:J,MATCH($Q2767,K_Summary!$P:$P,0)))</f>
        <v/>
      </c>
      <c r="K2767" s="385" t="str">
        <f>IF($I2542="","",INDEX(K_Summary!K:K,MATCH($Q2767,K_Summary!$P:$P,0)))</f>
        <v/>
      </c>
      <c r="L2767" s="385" t="str">
        <f>IF($I2542="","",INDEX(K_Summary!L:L,MATCH($Q2767,K_Summary!$P:$P,0)))</f>
        <v/>
      </c>
      <c r="M2767" s="385" t="str">
        <f>IF($I2542="","",INDEX(K_Summary!M:M,MATCH($Q2767,K_Summary!$P:$P,0)))</f>
        <v/>
      </c>
      <c r="N2767" s="1237" t="str">
        <f>IF($I2542="","",INDEX(K_Summary!N:N,MATCH($Q2767,K_Summary!$P:$P,0)))</f>
        <v/>
      </c>
      <c r="O2767" s="302"/>
      <c r="P2767" s="302"/>
      <c r="Q2767" s="1182" t="str">
        <f>EUconst_CNTR_300EUA&amp;I2542</f>
        <v>EUA300_</v>
      </c>
      <c r="R2767" s="694"/>
      <c r="S2767" s="694"/>
      <c r="T2767" s="694"/>
      <c r="U2767" s="1234"/>
      <c r="V2767" s="694"/>
      <c r="W2767" s="694"/>
      <c r="X2767" s="694"/>
      <c r="Y2767" s="694"/>
      <c r="Z2767" s="1232"/>
      <c r="AA2767" s="694"/>
      <c r="AB2767" s="694"/>
      <c r="AC2767" s="694"/>
      <c r="AD2767" s="694"/>
      <c r="AE2767" s="694"/>
      <c r="AF2767" s="694"/>
      <c r="AG2767" s="694"/>
      <c r="AH2767" s="694"/>
      <c r="AI2767" s="694"/>
      <c r="AJ2767" s="694"/>
      <c r="AK2767" s="694"/>
      <c r="AL2767" s="694"/>
    </row>
    <row r="2768" spans="1:38" ht="5.15" customHeight="1" thickBot="1" x14ac:dyDescent="0.3">
      <c r="A2768" s="729"/>
      <c r="B2768" s="298"/>
      <c r="C2768" s="1302"/>
      <c r="D2768" s="1208"/>
      <c r="E2768" s="1199"/>
      <c r="F2768" s="1199"/>
      <c r="G2768" s="1199"/>
      <c r="H2768" s="1199"/>
      <c r="I2768" s="1199"/>
      <c r="J2768" s="1199"/>
      <c r="K2768" s="1199"/>
      <c r="L2768" s="1199"/>
      <c r="M2768" s="1199"/>
      <c r="N2768" s="1238"/>
      <c r="O2768" s="302"/>
      <c r="P2768" s="302"/>
      <c r="Q2768" s="729"/>
      <c r="R2768" s="694"/>
      <c r="S2768" s="694"/>
      <c r="T2768" s="694"/>
      <c r="U2768" s="1231"/>
      <c r="V2768" s="729"/>
      <c r="W2768" s="694"/>
      <c r="X2768" s="694"/>
      <c r="Y2768" s="694"/>
      <c r="Z2768" s="1232"/>
      <c r="AA2768" s="694"/>
      <c r="AB2768" s="694"/>
      <c r="AC2768" s="694"/>
      <c r="AD2768" s="694"/>
      <c r="AE2768" s="694"/>
      <c r="AF2768" s="694"/>
      <c r="AG2768" s="694"/>
      <c r="AH2768" s="694"/>
      <c r="AI2768" s="694"/>
      <c r="AJ2768" s="694"/>
      <c r="AK2768" s="694"/>
      <c r="AL2768" s="694"/>
    </row>
    <row r="2769" spans="1:38" ht="12.75" customHeight="1" thickBot="1" x14ac:dyDescent="0.3">
      <c r="A2769" s="694"/>
      <c r="B2769" s="298"/>
      <c r="C2769" s="1302"/>
      <c r="D2769" s="1208" t="s">
        <v>18</v>
      </c>
      <c r="E2769" s="2822" t="str">
        <f>Translations!$B$1324</f>
        <v>Действителна корекция (ако са надвишени всички прагове)</v>
      </c>
      <c r="F2769" s="2258"/>
      <c r="G2769" s="2258"/>
      <c r="H2769" s="2258"/>
      <c r="I2769" s="2824"/>
      <c r="J2769" s="1240" t="str">
        <f>IF(J2767="","",IF(OR(J2767,V2761&lt;1),J2763,I2769))</f>
        <v/>
      </c>
      <c r="K2769" s="1241" t="str">
        <f>IF(K2767="","",IF(OR(K2767,W2761&lt;1),K2763,J2769))</f>
        <v/>
      </c>
      <c r="L2769" s="1241" t="str">
        <f>IF(L2767="","",IF(OR(L2767,X2761&lt;1),L2763,K2769))</f>
        <v/>
      </c>
      <c r="M2769" s="1241" t="str">
        <f>IF(M2767="","",IF(OR(M2767,Y2761&lt;1),M2763,L2769))</f>
        <v/>
      </c>
      <c r="N2769" s="1242" t="str">
        <f>IF(N2767="","",IF(OR(N2767,Z2761&lt;1),N2763,M2769))</f>
        <v/>
      </c>
      <c r="O2769" s="302"/>
      <c r="P2769" s="302"/>
      <c r="Q2769" s="729"/>
      <c r="R2769" s="694"/>
      <c r="S2769" s="694"/>
      <c r="T2769" s="694"/>
      <c r="U2769" s="1231" t="s">
        <v>1718</v>
      </c>
      <c r="V2769" s="1243">
        <f>J2766</f>
        <v>2026</v>
      </c>
      <c r="W2769" s="1243">
        <f>K2766</f>
        <v>2027</v>
      </c>
      <c r="X2769" s="1243">
        <f>L2766</f>
        <v>2028</v>
      </c>
      <c r="Y2769" s="1243">
        <f>M2766</f>
        <v>2029</v>
      </c>
      <c r="Z2769" s="1244">
        <f>N2766</f>
        <v>2030</v>
      </c>
      <c r="AA2769" s="694"/>
      <c r="AB2769" s="694"/>
      <c r="AC2769" s="694"/>
      <c r="AD2769" s="694"/>
      <c r="AE2769" s="694"/>
      <c r="AF2769" s="694"/>
      <c r="AG2769" s="694"/>
      <c r="AH2769" s="694"/>
      <c r="AI2769" s="694"/>
      <c r="AJ2769" s="694"/>
      <c r="AK2769" s="694"/>
      <c r="AL2769" s="694"/>
    </row>
    <row r="2770" spans="1:38" ht="12.75" customHeight="1" thickBot="1" x14ac:dyDescent="0.3">
      <c r="A2770" s="729"/>
      <c r="B2770" s="298"/>
      <c r="C2770" s="1302"/>
      <c r="D2770" s="1208" t="s">
        <v>810</v>
      </c>
      <c r="E2770" s="2822" t="str">
        <f>Translations!$B$1325</f>
        <v>Действителна стойност</v>
      </c>
      <c r="F2770" s="2258"/>
      <c r="G2770" s="2258"/>
      <c r="H2770" s="1266" t="str">
        <f>H2761</f>
        <v>t CO2</v>
      </c>
      <c r="I2770" s="1211" t="str">
        <f>I2764</f>
        <v/>
      </c>
      <c r="J2770" s="632" t="str">
        <f>IF($I2542="","",IF(OR($I2770=0,$I2770=EUconst_NA),IF(OR(J2767=TRUE,J2766=$V2542),J2764,SUM(I2770)),IF(J2769="",J2764,$I2770*(1+SUM(J2769)))))</f>
        <v/>
      </c>
      <c r="K2770" s="633" t="str">
        <f>IF($I2542="","",IF(OR($I2770=0,$I2770=EUconst_NA),IF(OR(K2767=TRUE,K2766=$V2542),K2764,SUM(J2770)),IF(K2769="",K2764,$I2770*(1+SUM(K2769)))))</f>
        <v/>
      </c>
      <c r="L2770" s="633" t="str">
        <f>IF($I2542="","",IF(OR($I2770=0,$I2770=EUconst_NA),IF(OR(L2767=TRUE,L2766=$V2542),L2764,SUM(K2770)),IF(L2769="",L2764,$I2770*(1+SUM(L2769)))))</f>
        <v/>
      </c>
      <c r="M2770" s="633" t="str">
        <f>IF($I2542="","",IF(OR($I2770=0,$I2770=EUconst_NA),IF(OR(M2767=TRUE,M2766=$V2542),M2764,SUM(L2770)),IF(M2769="",M2764,$I2770*(1+SUM(M2769)))))</f>
        <v/>
      </c>
      <c r="N2770" s="634" t="str">
        <f>IF($I2542="","",IF(OR($I2770=0,$I2770=EUconst_NA),IF(OR(N2767=TRUE,N2766=$V2542),N2764,SUM(M2770)),IF(N2769="",N2764,$I2770*(1+SUM(N2769)))))</f>
        <v/>
      </c>
      <c r="O2770" s="302"/>
      <c r="P2770" s="302"/>
      <c r="Q2770" s="1190" t="str">
        <f>EUconst_CNTR_HALfinal&amp;EUconst_CNTR_WGFlared &amp; I2542</f>
        <v>HALfinal_WasteGasFlare_</v>
      </c>
      <c r="R2770" s="694"/>
      <c r="S2770" s="694"/>
      <c r="T2770" s="694"/>
      <c r="U2770" s="1245" t="b">
        <v>0</v>
      </c>
      <c r="V2770" s="1246" t="str">
        <f>IF(V2720,IF(J2767=TRUE,V2550,U2770),"")</f>
        <v/>
      </c>
      <c r="W2770" s="1246" t="str">
        <f>IF(W2720,IF(K2767=TRUE,W2550,V2770),"")</f>
        <v/>
      </c>
      <c r="X2770" s="1246" t="str">
        <f>IF(X2720,IF(L2767=TRUE,X2550,W2770),"")</f>
        <v/>
      </c>
      <c r="Y2770" s="1246" t="str">
        <f>IF(Y2720,IF(M2767=TRUE,Y2550,X2770),"")</f>
        <v/>
      </c>
      <c r="Z2770" s="1247" t="str">
        <f>IF(Z2720,IF(N2767=TRUE,Z2550,Y2770),"")</f>
        <v/>
      </c>
      <c r="AA2770" s="694"/>
      <c r="AB2770" s="694"/>
      <c r="AC2770" s="694"/>
      <c r="AD2770" s="694"/>
      <c r="AE2770" s="694"/>
      <c r="AF2770" s="694"/>
      <c r="AG2770" s="694"/>
      <c r="AH2770" s="694"/>
      <c r="AI2770" s="694"/>
      <c r="AJ2770" s="1174" t="s">
        <v>2033</v>
      </c>
      <c r="AK2770" s="982" t="str">
        <f>IF(OR(ISERROR(J2770),ISERROR(K2770),ISERROR(L2770),ISERROR(M2770),ISERROR(N2770)),EUconst_Error &amp; "BM" &amp; Q2542,"")</f>
        <v/>
      </c>
      <c r="AL2770" s="694"/>
    </row>
    <row r="2771" spans="1:38" ht="5.15" customHeight="1" thickBot="1" x14ac:dyDescent="0.3">
      <c r="A2771" s="694"/>
      <c r="B2771" s="298"/>
      <c r="C2771" s="1302"/>
      <c r="D2771" s="1366"/>
      <c r="E2771" s="1367"/>
      <c r="F2771" s="1367"/>
      <c r="G2771" s="1367"/>
      <c r="H2771" s="1368"/>
      <c r="I2771" s="1367"/>
      <c r="J2771" s="1367"/>
      <c r="K2771" s="1367"/>
      <c r="L2771" s="1367"/>
      <c r="M2771" s="1249"/>
      <c r="N2771" s="1250"/>
      <c r="O2771" s="302"/>
      <c r="P2771" s="302"/>
      <c r="Q2771" s="729"/>
      <c r="R2771" s="694"/>
      <c r="S2771" s="729"/>
      <c r="T2771" s="729"/>
      <c r="U2771" s="729"/>
      <c r="V2771" s="729"/>
      <c r="W2771" s="694"/>
      <c r="X2771" s="694"/>
      <c r="Y2771" s="694"/>
      <c r="Z2771" s="694"/>
      <c r="AA2771" s="694"/>
      <c r="AB2771" s="694"/>
      <c r="AC2771" s="694"/>
      <c r="AD2771" s="694"/>
      <c r="AE2771" s="694"/>
      <c r="AF2771" s="694"/>
      <c r="AG2771" s="694"/>
      <c r="AH2771" s="694"/>
      <c r="AI2771" s="694"/>
      <c r="AJ2771" s="694"/>
      <c r="AK2771" s="694"/>
      <c r="AL2771" s="694"/>
    </row>
    <row r="2772" spans="1:38" ht="5.15" customHeight="1" x14ac:dyDescent="0.25">
      <c r="A2772" s="694"/>
      <c r="B2772" s="298"/>
      <c r="C2772" s="1302"/>
      <c r="D2772" s="1306"/>
      <c r="E2772" s="1306"/>
      <c r="F2772" s="1306"/>
      <c r="G2772" s="1306"/>
      <c r="H2772" s="1354"/>
      <c r="I2772" s="1306"/>
      <c r="J2772" s="1306"/>
      <c r="K2772" s="1306"/>
      <c r="L2772" s="1306"/>
      <c r="M2772" s="626"/>
      <c r="N2772" s="1316"/>
      <c r="O2772" s="302"/>
      <c r="P2772" s="302"/>
      <c r="Q2772" s="729"/>
      <c r="R2772" s="694"/>
      <c r="S2772" s="729"/>
      <c r="T2772" s="729"/>
      <c r="U2772" s="729"/>
      <c r="V2772" s="729"/>
      <c r="W2772" s="694"/>
      <c r="X2772" s="694"/>
      <c r="Y2772" s="694"/>
      <c r="Z2772" s="694"/>
      <c r="AA2772" s="694"/>
      <c r="AB2772" s="694"/>
      <c r="AC2772" s="694"/>
      <c r="AD2772" s="694"/>
      <c r="AE2772" s="694"/>
      <c r="AF2772" s="694"/>
      <c r="AG2772" s="694"/>
      <c r="AH2772" s="694"/>
      <c r="AI2772" s="694"/>
      <c r="AJ2772" s="694"/>
      <c r="AK2772" s="694"/>
      <c r="AL2772" s="694"/>
    </row>
    <row r="2773" spans="1:38" ht="12.75" customHeight="1" x14ac:dyDescent="0.25">
      <c r="A2773" s="694"/>
      <c r="B2773" s="298"/>
      <c r="C2773" s="1302"/>
      <c r="D2773" s="625" t="s">
        <v>1140</v>
      </c>
      <c r="E2773" s="2815" t="str">
        <f>Translations!$B$582</f>
        <v>Видове получени отпадни газове:</v>
      </c>
      <c r="F2773" s="2240"/>
      <c r="G2773" s="2240"/>
      <c r="H2773" s="2684"/>
      <c r="I2773" s="2821"/>
      <c r="J2773" s="2674"/>
      <c r="K2773" s="2674"/>
      <c r="L2773" s="2674"/>
      <c r="M2773" s="2675"/>
      <c r="N2773" s="1316"/>
      <c r="O2773" s="302"/>
      <c r="P2773" s="158"/>
      <c r="Q2773" s="729"/>
      <c r="R2773" s="694"/>
      <c r="S2773" s="729"/>
      <c r="T2773" s="694"/>
      <c r="U2773" s="694"/>
      <c r="V2773" s="694"/>
      <c r="W2773" s="694"/>
      <c r="X2773" s="694"/>
      <c r="Y2773" s="694"/>
      <c r="Z2773" s="694"/>
      <c r="AA2773" s="694"/>
      <c r="AB2773" s="694"/>
      <c r="AC2773" s="1182" t="s">
        <v>737</v>
      </c>
      <c r="AD2773" s="982" t="b">
        <f>AD2747</f>
        <v>0</v>
      </c>
      <c r="AE2773" s="694"/>
      <c r="AF2773" s="694"/>
      <c r="AG2773" s="694"/>
      <c r="AH2773" s="694"/>
      <c r="AI2773" s="694"/>
      <c r="AJ2773" s="694"/>
      <c r="AK2773" s="694"/>
      <c r="AL2773" s="694"/>
    </row>
    <row r="2774" spans="1:38" ht="12.75" customHeight="1" x14ac:dyDescent="0.25">
      <c r="A2774" s="694"/>
      <c r="B2774" s="298"/>
      <c r="C2774" s="1302"/>
      <c r="D2774" s="625"/>
      <c r="E2774" s="2816" t="str">
        <f>Translations!$B$583</f>
        <v>Посочените тук данни ще се отразят на емисиите, които могат да бъдат зададени съгласно раздел 10.1.5 от приложение VII към ПБР.</v>
      </c>
      <c r="F2774" s="2240"/>
      <c r="G2774" s="2240"/>
      <c r="H2774" s="2240"/>
      <c r="I2774" s="2240"/>
      <c r="J2774" s="2240"/>
      <c r="K2774" s="2240"/>
      <c r="L2774" s="2240"/>
      <c r="M2774" s="2240"/>
      <c r="N2774" s="2811"/>
      <c r="O2774" s="302"/>
      <c r="P2774" s="302"/>
      <c r="Q2774" s="729"/>
      <c r="R2774" s="694"/>
      <c r="S2774" s="729"/>
      <c r="T2774" s="729"/>
      <c r="U2774" s="729"/>
      <c r="V2774" s="729"/>
      <c r="W2774" s="694"/>
      <c r="X2774" s="694"/>
      <c r="Y2774" s="694"/>
      <c r="Z2774" s="694"/>
      <c r="AA2774" s="694"/>
      <c r="AB2774" s="694"/>
      <c r="AC2774" s="694"/>
      <c r="AD2774" s="694"/>
      <c r="AE2774" s="694"/>
      <c r="AF2774" s="694"/>
      <c r="AG2774" s="694"/>
      <c r="AH2774" s="694"/>
      <c r="AI2774" s="694"/>
      <c r="AJ2774" s="694"/>
      <c r="AK2774" s="694"/>
      <c r="AL2774" s="694"/>
    </row>
    <row r="2775" spans="1:38" ht="25.5" customHeight="1" x14ac:dyDescent="0.25">
      <c r="A2775" s="694"/>
      <c r="B2775" s="298"/>
      <c r="C2775" s="1302"/>
      <c r="D2775" s="625"/>
      <c r="E2775" s="2810" t="str">
        <f>Translations!$B$584</f>
        <v>Това включва всички видове отпадни газове, произведени извън системните граници на тази подинсталация, но получени от нея и използвани за производството на измерима топлинна енергия, неизмерима топлинна енергия (включително необходимото за безопасността изгаряне във факел) или механична енергия (различна от тази за електропроизводство).</v>
      </c>
      <c r="F2775" s="2240"/>
      <c r="G2775" s="2240"/>
      <c r="H2775" s="2240"/>
      <c r="I2775" s="2240"/>
      <c r="J2775" s="2240"/>
      <c r="K2775" s="2240"/>
      <c r="L2775" s="2240"/>
      <c r="M2775" s="2240"/>
      <c r="N2775" s="2811"/>
      <c r="O2775" s="302"/>
      <c r="P2775" s="302"/>
      <c r="Q2775" s="729"/>
      <c r="R2775" s="694"/>
      <c r="S2775" s="729"/>
      <c r="T2775" s="729"/>
      <c r="U2775" s="729"/>
      <c r="V2775" s="729"/>
      <c r="W2775" s="694"/>
      <c r="X2775" s="694"/>
      <c r="Y2775" s="694"/>
      <c r="Z2775" s="694"/>
      <c r="AA2775" s="694"/>
      <c r="AB2775" s="694"/>
      <c r="AC2775" s="694"/>
      <c r="AD2775" s="694"/>
      <c r="AE2775" s="694"/>
      <c r="AF2775" s="694"/>
      <c r="AG2775" s="694"/>
      <c r="AH2775" s="694"/>
      <c r="AI2775" s="694"/>
      <c r="AJ2775" s="694"/>
      <c r="AK2775" s="694"/>
      <c r="AL2775" s="694"/>
    </row>
    <row r="2776" spans="1:38" ht="12.75" customHeight="1" thickBot="1" x14ac:dyDescent="0.3">
      <c r="A2776" s="694"/>
      <c r="B2776" s="298"/>
      <c r="C2776" s="1302"/>
      <c r="D2776" s="1306"/>
      <c r="E2776" s="1317"/>
      <c r="F2776" s="1318"/>
      <c r="G2776" s="1309" t="str">
        <f>EUconst_Unit</f>
        <v>Единица мярка</v>
      </c>
      <c r="H2776" s="629">
        <f t="shared" ref="H2776:N2776" si="4013">H$2831</f>
        <v>2024</v>
      </c>
      <c r="I2776" s="1310">
        <f t="shared" si="4013"/>
        <v>2025</v>
      </c>
      <c r="J2776" s="1311">
        <f t="shared" si="4013"/>
        <v>2026</v>
      </c>
      <c r="K2776" s="629">
        <f t="shared" si="4013"/>
        <v>2027</v>
      </c>
      <c r="L2776" s="629">
        <f t="shared" si="4013"/>
        <v>2028</v>
      </c>
      <c r="M2776" s="629">
        <f t="shared" si="4013"/>
        <v>2029</v>
      </c>
      <c r="N2776" s="1312">
        <f t="shared" si="4013"/>
        <v>2030</v>
      </c>
      <c r="O2776" s="302"/>
      <c r="P2776" s="302"/>
      <c r="Q2776" s="729"/>
      <c r="R2776" s="694"/>
      <c r="S2776" s="729"/>
      <c r="T2776" s="729"/>
      <c r="U2776" s="729"/>
      <c r="V2776" s="729"/>
      <c r="W2776" s="694"/>
      <c r="X2776" s="694"/>
      <c r="Y2776" s="694"/>
      <c r="Z2776" s="694"/>
      <c r="AA2776" s="694"/>
      <c r="AB2776" s="694"/>
      <c r="AC2776" s="1178">
        <f t="shared" ref="AC2776" si="4014">H$20</f>
        <v>2024</v>
      </c>
      <c r="AD2776" s="1178">
        <f t="shared" ref="AD2776" si="4015">I$20</f>
        <v>2025</v>
      </c>
      <c r="AE2776" s="1178">
        <f t="shared" ref="AE2776" si="4016">J$20</f>
        <v>2026</v>
      </c>
      <c r="AF2776" s="1178">
        <f t="shared" ref="AF2776" si="4017">K$20</f>
        <v>2027</v>
      </c>
      <c r="AG2776" s="1178">
        <f t="shared" ref="AG2776" si="4018">L$20</f>
        <v>2028</v>
      </c>
      <c r="AH2776" s="1178">
        <f t="shared" ref="AH2776" si="4019">M$20</f>
        <v>2029</v>
      </c>
      <c r="AI2776" s="1178">
        <f t="shared" ref="AI2776" si="4020">N$20</f>
        <v>2030</v>
      </c>
      <c r="AJ2776" s="694"/>
      <c r="AK2776" s="694"/>
      <c r="AL2776" s="694"/>
    </row>
    <row r="2777" spans="1:38" ht="12.75" customHeight="1" thickBot="1" x14ac:dyDescent="0.3">
      <c r="A2777" s="694"/>
      <c r="B2777" s="298"/>
      <c r="C2777" s="1302"/>
      <c r="D2777" s="625" t="s">
        <v>1141</v>
      </c>
      <c r="E2777" s="2818" t="str">
        <f>Translations!$B$585</f>
        <v>Получени количества</v>
      </c>
      <c r="F2777" s="2701"/>
      <c r="G2777" s="145"/>
      <c r="H2777" s="129"/>
      <c r="I2777" s="130"/>
      <c r="J2777" s="131"/>
      <c r="K2777" s="129"/>
      <c r="L2777" s="129"/>
      <c r="M2777" s="129"/>
      <c r="N2777" s="132"/>
      <c r="O2777" s="302"/>
      <c r="P2777" s="158"/>
      <c r="Q2777" s="729"/>
      <c r="R2777" s="694"/>
      <c r="S2777" s="729"/>
      <c r="T2777" s="729"/>
      <c r="U2777" s="729"/>
      <c r="V2777" s="729"/>
      <c r="W2777" s="694"/>
      <c r="X2777" s="694"/>
      <c r="Y2777" s="694"/>
      <c r="Z2777" s="694"/>
      <c r="AA2777" s="694"/>
      <c r="AB2777" s="1182" t="s">
        <v>737</v>
      </c>
      <c r="AC2777" s="982" t="b">
        <f t="shared" ref="AC2777:AI2777" si="4021">AC2733</f>
        <v>0</v>
      </c>
      <c r="AD2777" s="982" t="b">
        <f t="shared" si="4021"/>
        <v>0</v>
      </c>
      <c r="AE2777" s="982" t="b">
        <f t="shared" si="4021"/>
        <v>0</v>
      </c>
      <c r="AF2777" s="982" t="b">
        <f t="shared" si="4021"/>
        <v>0</v>
      </c>
      <c r="AG2777" s="982" t="b">
        <f t="shared" si="4021"/>
        <v>0</v>
      </c>
      <c r="AH2777" s="982" t="b">
        <f t="shared" si="4021"/>
        <v>0</v>
      </c>
      <c r="AI2777" s="982" t="b">
        <f t="shared" si="4021"/>
        <v>0</v>
      </c>
      <c r="AJ2777" s="1174" t="s">
        <v>2039</v>
      </c>
      <c r="AK2777" s="1176" t="str">
        <f>IF(AND(CNTR_ExistSubInstEntries,MSconst_RequireSubAttrEmissions,COUNTIFS(AC2777:AI2777,FALSE,H2777:N2777,"")&gt;0),EUconst_Error&amp;"BM"&amp;$Q2542,"")</f>
        <v/>
      </c>
      <c r="AL2777" s="694"/>
    </row>
    <row r="2778" spans="1:38" ht="12.75" customHeight="1" x14ac:dyDescent="0.25">
      <c r="A2778" s="694"/>
      <c r="B2778" s="298"/>
      <c r="C2778" s="1302"/>
      <c r="D2778" s="625" t="s">
        <v>1142</v>
      </c>
      <c r="E2778" s="2819" t="str">
        <f>Translations!$B$296</f>
        <v>Долна топлина на изгаряне</v>
      </c>
      <c r="F2778" s="2705"/>
      <c r="G2778" s="1349" t="str">
        <f>IF(ISBLANK(G2777),EUconst_GJperUnit,INDEX(EUconst_GJperTorKNm3,MATCH(G2777,EUconst_TonnesOrkNm3pa,0)))</f>
        <v>GJ / Единица мярка</v>
      </c>
      <c r="H2778" s="137"/>
      <c r="I2778" s="138"/>
      <c r="J2778" s="139"/>
      <c r="K2778" s="137"/>
      <c r="L2778" s="137"/>
      <c r="M2778" s="137"/>
      <c r="N2778" s="140"/>
      <c r="O2778" s="302"/>
      <c r="P2778" s="158"/>
      <c r="Q2778" s="729"/>
      <c r="R2778" s="694"/>
      <c r="S2778" s="1205"/>
      <c r="T2778" s="1313">
        <f t="shared" ref="T2778" si="4022">H2776</f>
        <v>2024</v>
      </c>
      <c r="U2778" s="1313">
        <f t="shared" ref="U2778" si="4023">I2776</f>
        <v>2025</v>
      </c>
      <c r="V2778" s="1313">
        <f t="shared" ref="V2778" si="4024">J2776</f>
        <v>2026</v>
      </c>
      <c r="W2778" s="1313">
        <f t="shared" ref="W2778" si="4025">K2776</f>
        <v>2027</v>
      </c>
      <c r="X2778" s="1313">
        <f t="shared" ref="X2778" si="4026">L2776</f>
        <v>2028</v>
      </c>
      <c r="Y2778" s="1313">
        <f t="shared" ref="Y2778" si="4027">M2776</f>
        <v>2029</v>
      </c>
      <c r="Z2778" s="1314">
        <f t="shared" ref="Z2778" si="4028">N2776</f>
        <v>2030</v>
      </c>
      <c r="AA2778" s="694"/>
      <c r="AB2778" s="694"/>
      <c r="AC2778" s="982" t="b">
        <f>AC2777</f>
        <v>0</v>
      </c>
      <c r="AD2778" s="982" t="b">
        <f t="shared" ref="AD2778:AI2778" si="4029">AD2777</f>
        <v>0</v>
      </c>
      <c r="AE2778" s="982" t="b">
        <f t="shared" si="4029"/>
        <v>0</v>
      </c>
      <c r="AF2778" s="982" t="b">
        <f t="shared" si="4029"/>
        <v>0</v>
      </c>
      <c r="AG2778" s="982" t="b">
        <f t="shared" si="4029"/>
        <v>0</v>
      </c>
      <c r="AH2778" s="982" t="b">
        <f t="shared" si="4029"/>
        <v>0</v>
      </c>
      <c r="AI2778" s="982" t="b">
        <f t="shared" si="4029"/>
        <v>0</v>
      </c>
      <c r="AJ2778" s="1174" t="s">
        <v>2039</v>
      </c>
      <c r="AK2778" s="1176" t="str">
        <f>IF(AND(CNTR_ExistSubInstEntries,MSconst_RequireSubAttrEmissions,COUNTIFS(AC2778:AI2778,FALSE,H2778:N2778,"")&gt;0),EUconst_Error&amp;"BM"&amp;$Q2542,"")</f>
        <v/>
      </c>
      <c r="AL2778" s="694"/>
    </row>
    <row r="2779" spans="1:38" ht="12.75" customHeight="1" x14ac:dyDescent="0.25">
      <c r="A2779" s="694"/>
      <c r="B2779" s="298"/>
      <c r="C2779" s="1302"/>
      <c r="D2779" s="625" t="s">
        <v>1143</v>
      </c>
      <c r="E2779" s="2820" t="str">
        <f>Translations!$B$586</f>
        <v>Получен отпаден газ</v>
      </c>
      <c r="F2779" s="2258"/>
      <c r="G2779" s="1319" t="str">
        <f>EUconst_TJpa</f>
        <v>TJ / година</v>
      </c>
      <c r="H2779" s="1020" t="str">
        <f t="shared" ref="H2779:N2779" si="4030">IF(COUNT(H2777:H2778)=2,H2777*H2778/1000,"")</f>
        <v/>
      </c>
      <c r="I2779" s="1369" t="str">
        <f t="shared" si="4030"/>
        <v/>
      </c>
      <c r="J2779" s="1370" t="str">
        <f t="shared" si="4030"/>
        <v/>
      </c>
      <c r="K2779" s="1020" t="str">
        <f t="shared" si="4030"/>
        <v/>
      </c>
      <c r="L2779" s="1020" t="str">
        <f t="shared" si="4030"/>
        <v/>
      </c>
      <c r="M2779" s="1020" t="str">
        <f t="shared" si="4030"/>
        <v/>
      </c>
      <c r="N2779" s="1371" t="str">
        <f t="shared" si="4030"/>
        <v/>
      </c>
      <c r="O2779" s="302"/>
      <c r="P2779" s="302"/>
      <c r="Q2779" s="1190" t="str">
        <f>EUconst_CNTR_WGImport &amp; I2542</f>
        <v>WasteGasIm_</v>
      </c>
      <c r="R2779" s="694"/>
      <c r="S2779" s="1347" t="str">
        <f>EUconst_ERR_AttrEmBMapplied &amp; I2542</f>
        <v>ERR_AttrEmBM_</v>
      </c>
      <c r="T2779" s="982">
        <f t="shared" ref="T2779" si="4031">IF(AND(H2779&lt;&gt;"",EUconst_StatusOfDataCollection=FALSE),1,0)</f>
        <v>0</v>
      </c>
      <c r="U2779" s="982">
        <f t="shared" ref="U2779" si="4032">IF(AND(I2779&lt;&gt;"",EUconst_StatusOfDataCollection=FALSE),1,0)</f>
        <v>0</v>
      </c>
      <c r="V2779" s="982">
        <f t="shared" ref="V2779" si="4033">IF(AND(J2779&lt;&gt;"",EUconst_StatusOfDataCollection=FALSE),1,0)</f>
        <v>0</v>
      </c>
      <c r="W2779" s="982">
        <f t="shared" ref="W2779" si="4034">IF(AND(K2779&lt;&gt;"",EUconst_StatusOfDataCollection=FALSE),1,0)</f>
        <v>0</v>
      </c>
      <c r="X2779" s="982">
        <f t="shared" ref="X2779" si="4035">IF(AND(L2779&lt;&gt;"",EUconst_StatusOfDataCollection=FALSE),1,0)</f>
        <v>0</v>
      </c>
      <c r="Y2779" s="982">
        <f t="shared" ref="Y2779" si="4036">IF(AND(M2779&lt;&gt;"",EUconst_StatusOfDataCollection=FALSE),1,0)</f>
        <v>0</v>
      </c>
      <c r="Z2779" s="1287">
        <f t="shared" ref="Z2779" si="4037">IF(AND(N2779&lt;&gt;"",EUconst_StatusOfDataCollection=FALSE),1,0)</f>
        <v>0</v>
      </c>
      <c r="AA2779" s="694"/>
      <c r="AB2779" s="694"/>
      <c r="AC2779" s="694"/>
      <c r="AD2779" s="694"/>
      <c r="AE2779" s="694"/>
      <c r="AF2779" s="694"/>
      <c r="AG2779" s="694"/>
      <c r="AH2779" s="694"/>
      <c r="AI2779" s="694"/>
      <c r="AJ2779" s="694"/>
      <c r="AK2779" s="694"/>
      <c r="AL2779" s="694"/>
    </row>
    <row r="2780" spans="1:38" s="364" customFormat="1" ht="12.75" customHeight="1" thickBot="1" x14ac:dyDescent="0.3">
      <c r="A2780" s="729"/>
      <c r="B2780" s="298"/>
      <c r="C2780" s="1302"/>
      <c r="D2780" s="625" t="s">
        <v>1144</v>
      </c>
      <c r="E2780" s="2820" t="str">
        <f>Translations!$B$587</f>
        <v>Специфичен EF (получен отпаден газ)</v>
      </c>
      <c r="F2780" s="2258"/>
      <c r="G2780" s="642" t="str">
        <f>EUconst_tCO2pTJ</f>
        <v>t CO2 / TJ</v>
      </c>
      <c r="H2780" s="146"/>
      <c r="I2780" s="147"/>
      <c r="J2780" s="148"/>
      <c r="K2780" s="146"/>
      <c r="L2780" s="146"/>
      <c r="M2780" s="146"/>
      <c r="N2780" s="149"/>
      <c r="O2780" s="302"/>
      <c r="P2780" s="158"/>
      <c r="Q2780" s="1190" t="str">
        <f>EUconst_CNTR_WGImportEF &amp; I2542</f>
        <v>WasteGasImEF_</v>
      </c>
      <c r="R2780" s="729"/>
      <c r="S2780" s="1315" t="str">
        <f>EUconst_CNTR_AttributedEmissions &amp; I2542</f>
        <v>AttrEmissions_</v>
      </c>
      <c r="T2780" s="1290" t="str">
        <f t="shared" ref="T2780" si="4038">IF(T2550,SUM(H2779)*EUconst_FuelBMvalue,"")</f>
        <v/>
      </c>
      <c r="U2780" s="1290" t="str">
        <f t="shared" ref="U2780" si="4039">IF(U2550,SUM(I2779)*EUconst_FuelBMvalue,"")</f>
        <v/>
      </c>
      <c r="V2780" s="1290" t="str">
        <f t="shared" ref="V2780" si="4040">IF(V2550,SUM(J2779)*EUconst_FuelBMvalue,"")</f>
        <v/>
      </c>
      <c r="W2780" s="1290" t="str">
        <f t="shared" ref="W2780" si="4041">IF(W2550,SUM(K2779)*EUconst_FuelBMvalue,"")</f>
        <v/>
      </c>
      <c r="X2780" s="1290" t="str">
        <f t="shared" ref="X2780" si="4042">IF(X2550,SUM(L2779)*EUconst_FuelBMvalue,"")</f>
        <v/>
      </c>
      <c r="Y2780" s="1290" t="str">
        <f t="shared" ref="Y2780" si="4043">IF(Y2550,SUM(M2779)*EUconst_FuelBMvalue,"")</f>
        <v/>
      </c>
      <c r="Z2780" s="1291" t="str">
        <f t="shared" ref="Z2780" si="4044">IF(Z2550,SUM(N2779)*EUconst_FuelBMvalue,"")</f>
        <v/>
      </c>
      <c r="AA2780" s="729"/>
      <c r="AB2780" s="1182" t="s">
        <v>737</v>
      </c>
      <c r="AC2780" s="982" t="b">
        <f>AC2778</f>
        <v>0</v>
      </c>
      <c r="AD2780" s="982" t="b">
        <f t="shared" ref="AD2780:AI2780" si="4045">AD2778</f>
        <v>0</v>
      </c>
      <c r="AE2780" s="982" t="b">
        <f t="shared" si="4045"/>
        <v>0</v>
      </c>
      <c r="AF2780" s="982" t="b">
        <f t="shared" si="4045"/>
        <v>0</v>
      </c>
      <c r="AG2780" s="982" t="b">
        <f t="shared" si="4045"/>
        <v>0</v>
      </c>
      <c r="AH2780" s="982" t="b">
        <f t="shared" si="4045"/>
        <v>0</v>
      </c>
      <c r="AI2780" s="982" t="b">
        <f t="shared" si="4045"/>
        <v>0</v>
      </c>
      <c r="AJ2780" s="1174" t="s">
        <v>2039</v>
      </c>
      <c r="AK2780" s="1176" t="str">
        <f>IF(AND(CNTR_ExistSubInstEntries,MSconst_RequireSubAttrEmissions,COUNTIFS(AC2780:AI2780,FALSE,H2780:N2780,"")&gt;0),EUconst_Error&amp;"BM"&amp;$Q2542,"")</f>
        <v/>
      </c>
      <c r="AL2780" s="694"/>
    </row>
    <row r="2781" spans="1:38" ht="12.75" customHeight="1" x14ac:dyDescent="0.25">
      <c r="A2781" s="694"/>
      <c r="B2781" s="298"/>
      <c r="C2781" s="1302"/>
      <c r="D2781" s="1306"/>
      <c r="E2781" s="1306"/>
      <c r="F2781" s="1306"/>
      <c r="G2781" s="1306"/>
      <c r="H2781" s="1354"/>
      <c r="I2781" s="1306"/>
      <c r="J2781" s="1306"/>
      <c r="K2781" s="1306"/>
      <c r="L2781" s="1306"/>
      <c r="M2781" s="626"/>
      <c r="N2781" s="1316"/>
      <c r="O2781" s="302"/>
      <c r="P2781" s="302"/>
      <c r="Q2781" s="729"/>
      <c r="R2781" s="694"/>
      <c r="S2781" s="729"/>
      <c r="T2781" s="729"/>
      <c r="U2781" s="729"/>
      <c r="V2781" s="729"/>
      <c r="W2781" s="694"/>
      <c r="X2781" s="694"/>
      <c r="Y2781" s="694"/>
      <c r="Z2781" s="694"/>
      <c r="AA2781" s="694"/>
      <c r="AB2781" s="694"/>
      <c r="AC2781" s="694"/>
      <c r="AD2781" s="694"/>
      <c r="AE2781" s="694"/>
      <c r="AF2781" s="694"/>
      <c r="AG2781" s="694"/>
      <c r="AH2781" s="694"/>
      <c r="AI2781" s="694"/>
      <c r="AJ2781" s="694"/>
      <c r="AK2781" s="694"/>
      <c r="AL2781" s="694"/>
    </row>
    <row r="2782" spans="1:38" ht="12.75" customHeight="1" x14ac:dyDescent="0.25">
      <c r="A2782" s="694"/>
      <c r="B2782" s="298"/>
      <c r="C2782" s="1302"/>
      <c r="D2782" s="625" t="s">
        <v>1145</v>
      </c>
      <c r="E2782" s="2815" t="str">
        <f>Translations!$B$588</f>
        <v>Видове подадени отпадни газове:</v>
      </c>
      <c r="F2782" s="2240"/>
      <c r="G2782" s="2240"/>
      <c r="H2782" s="2684"/>
      <c r="I2782" s="2821"/>
      <c r="J2782" s="2674"/>
      <c r="K2782" s="2674"/>
      <c r="L2782" s="2674"/>
      <c r="M2782" s="2675"/>
      <c r="N2782" s="1323"/>
      <c r="O2782" s="302"/>
      <c r="P2782" s="158"/>
      <c r="Q2782" s="729"/>
      <c r="R2782" s="694"/>
      <c r="S2782" s="729"/>
      <c r="T2782" s="694"/>
      <c r="U2782" s="694"/>
      <c r="V2782" s="694"/>
      <c r="W2782" s="694"/>
      <c r="X2782" s="694"/>
      <c r="Y2782" s="694"/>
      <c r="Z2782" s="694"/>
      <c r="AA2782" s="694"/>
      <c r="AB2782" s="694"/>
      <c r="AC2782" s="1182" t="s">
        <v>737</v>
      </c>
      <c r="AD2782" s="982" t="b">
        <f>AD2773</f>
        <v>0</v>
      </c>
      <c r="AE2782" s="694"/>
      <c r="AF2782" s="694"/>
      <c r="AG2782" s="694"/>
      <c r="AH2782" s="694"/>
      <c r="AI2782" s="694"/>
      <c r="AJ2782" s="694"/>
      <c r="AK2782" s="694"/>
      <c r="AL2782" s="694"/>
    </row>
    <row r="2783" spans="1:38" ht="12.75" customHeight="1" x14ac:dyDescent="0.25">
      <c r="A2783" s="694"/>
      <c r="B2783" s="298"/>
      <c r="C2783" s="1302"/>
      <c r="D2783" s="625"/>
      <c r="E2783" s="2816" t="str">
        <f>Translations!$B$583</f>
        <v>Посочените тук данни ще се отразят на емисиите, които могат да бъдат зададени съгласно раздел 10.1.5 от приложение VII към ПБР.</v>
      </c>
      <c r="F2783" s="2240"/>
      <c r="G2783" s="2240"/>
      <c r="H2783" s="2240"/>
      <c r="I2783" s="2240"/>
      <c r="J2783" s="2240"/>
      <c r="K2783" s="2240"/>
      <c r="L2783" s="2240"/>
      <c r="M2783" s="2240"/>
      <c r="N2783" s="2811"/>
      <c r="O2783" s="302"/>
      <c r="P2783" s="302"/>
      <c r="Q2783" s="729"/>
      <c r="R2783" s="694"/>
      <c r="S2783" s="729"/>
      <c r="T2783" s="729"/>
      <c r="U2783" s="729"/>
      <c r="V2783" s="729"/>
      <c r="W2783" s="694"/>
      <c r="X2783" s="694"/>
      <c r="Y2783" s="694"/>
      <c r="Z2783" s="694"/>
      <c r="AA2783" s="694"/>
      <c r="AB2783" s="694"/>
      <c r="AC2783" s="694"/>
      <c r="AD2783" s="694"/>
      <c r="AE2783" s="694"/>
      <c r="AF2783" s="694"/>
      <c r="AG2783" s="694"/>
      <c r="AH2783" s="694"/>
      <c r="AI2783" s="694"/>
      <c r="AJ2783" s="694"/>
      <c r="AK2783" s="694"/>
      <c r="AL2783" s="694"/>
    </row>
    <row r="2784" spans="1:38" ht="25.5" customHeight="1" x14ac:dyDescent="0.25">
      <c r="A2784" s="694"/>
      <c r="B2784" s="298"/>
      <c r="C2784" s="1302"/>
      <c r="D2784" s="625"/>
      <c r="E2784" s="2810" t="str">
        <f>Translations!$B$589</f>
        <v>Това включва всички видове отпадни газове, произведени в системните граници на тази подинсталация и подадени от тази инсталация към други подинсталации, както и към всички други инсталации или обекти.</v>
      </c>
      <c r="F2784" s="2240"/>
      <c r="G2784" s="2240"/>
      <c r="H2784" s="2240"/>
      <c r="I2784" s="2240"/>
      <c r="J2784" s="2240"/>
      <c r="K2784" s="2240"/>
      <c r="L2784" s="2240"/>
      <c r="M2784" s="2240"/>
      <c r="N2784" s="2811"/>
      <c r="O2784" s="302"/>
      <c r="P2784" s="302"/>
      <c r="Q2784" s="729"/>
      <c r="R2784" s="694"/>
      <c r="S2784" s="729"/>
      <c r="T2784" s="729"/>
      <c r="U2784" s="729"/>
      <c r="V2784" s="729"/>
      <c r="W2784" s="694"/>
      <c r="X2784" s="694"/>
      <c r="Y2784" s="694"/>
      <c r="Z2784" s="694"/>
      <c r="AA2784" s="694"/>
      <c r="AB2784" s="694"/>
      <c r="AC2784" s="694"/>
      <c r="AD2784" s="694"/>
      <c r="AE2784" s="694"/>
      <c r="AF2784" s="694"/>
      <c r="AG2784" s="694"/>
      <c r="AH2784" s="694"/>
      <c r="AI2784" s="694"/>
      <c r="AJ2784" s="694"/>
      <c r="AK2784" s="694"/>
      <c r="AL2784" s="694"/>
    </row>
    <row r="2785" spans="1:38" ht="12.75" customHeight="1" thickBot="1" x14ac:dyDescent="0.3">
      <c r="A2785" s="694"/>
      <c r="B2785" s="298"/>
      <c r="C2785" s="1302"/>
      <c r="D2785" s="1306"/>
      <c r="E2785" s="1317"/>
      <c r="F2785" s="1318"/>
      <c r="G2785" s="1309" t="str">
        <f>EUconst_Unit</f>
        <v>Единица мярка</v>
      </c>
      <c r="H2785" s="629">
        <f t="shared" ref="H2785:N2785" si="4046">H$2831</f>
        <v>2024</v>
      </c>
      <c r="I2785" s="1310">
        <f t="shared" si="4046"/>
        <v>2025</v>
      </c>
      <c r="J2785" s="1311">
        <f t="shared" si="4046"/>
        <v>2026</v>
      </c>
      <c r="K2785" s="629">
        <f t="shared" si="4046"/>
        <v>2027</v>
      </c>
      <c r="L2785" s="629">
        <f t="shared" si="4046"/>
        <v>2028</v>
      </c>
      <c r="M2785" s="629">
        <f t="shared" si="4046"/>
        <v>2029</v>
      </c>
      <c r="N2785" s="1312">
        <f t="shared" si="4046"/>
        <v>2030</v>
      </c>
      <c r="O2785" s="302"/>
      <c r="P2785" s="302"/>
      <c r="Q2785" s="729"/>
      <c r="R2785" s="694"/>
      <c r="S2785" s="729"/>
      <c r="T2785" s="729"/>
      <c r="U2785" s="729"/>
      <c r="V2785" s="729"/>
      <c r="W2785" s="694"/>
      <c r="X2785" s="694"/>
      <c r="Y2785" s="694"/>
      <c r="Z2785" s="694"/>
      <c r="AA2785" s="694"/>
      <c r="AB2785" s="694"/>
      <c r="AC2785" s="1178">
        <f t="shared" ref="AC2785" si="4047">H$20</f>
        <v>2024</v>
      </c>
      <c r="AD2785" s="1178">
        <f t="shared" ref="AD2785" si="4048">I$20</f>
        <v>2025</v>
      </c>
      <c r="AE2785" s="1178">
        <f t="shared" ref="AE2785" si="4049">J$20</f>
        <v>2026</v>
      </c>
      <c r="AF2785" s="1178">
        <f t="shared" ref="AF2785" si="4050">K$20</f>
        <v>2027</v>
      </c>
      <c r="AG2785" s="1178">
        <f t="shared" ref="AG2785" si="4051">L$20</f>
        <v>2028</v>
      </c>
      <c r="AH2785" s="1178">
        <f t="shared" ref="AH2785" si="4052">M$20</f>
        <v>2029</v>
      </c>
      <c r="AI2785" s="1178">
        <f t="shared" ref="AI2785" si="4053">N$20</f>
        <v>2030</v>
      </c>
      <c r="AJ2785" s="694"/>
      <c r="AK2785" s="694"/>
      <c r="AL2785" s="694"/>
    </row>
    <row r="2786" spans="1:38" ht="12.75" customHeight="1" x14ac:dyDescent="0.25">
      <c r="A2786" s="694"/>
      <c r="B2786" s="298"/>
      <c r="C2786" s="1302"/>
      <c r="D2786" s="625" t="s">
        <v>1146</v>
      </c>
      <c r="E2786" s="2818" t="str">
        <f>Translations!$B$590</f>
        <v>Подадени количества</v>
      </c>
      <c r="F2786" s="2701"/>
      <c r="G2786" s="145"/>
      <c r="H2786" s="129"/>
      <c r="I2786" s="130"/>
      <c r="J2786" s="131"/>
      <c r="K2786" s="129"/>
      <c r="L2786" s="129"/>
      <c r="M2786" s="129"/>
      <c r="N2786" s="132"/>
      <c r="O2786" s="302"/>
      <c r="P2786" s="158"/>
      <c r="Q2786" s="729"/>
      <c r="R2786" s="694"/>
      <c r="S2786" s="729"/>
      <c r="T2786" s="729"/>
      <c r="U2786" s="729"/>
      <c r="V2786" s="729"/>
      <c r="W2786" s="694"/>
      <c r="X2786" s="694"/>
      <c r="Y2786" s="694"/>
      <c r="Z2786" s="694"/>
      <c r="AA2786" s="694"/>
      <c r="AB2786" s="1182" t="s">
        <v>737</v>
      </c>
      <c r="AC2786" s="982" t="b">
        <f>AC2733</f>
        <v>0</v>
      </c>
      <c r="AD2786" s="982" t="b">
        <f t="shared" ref="AD2786:AI2786" si="4054">AD2733</f>
        <v>0</v>
      </c>
      <c r="AE2786" s="982" t="b">
        <f t="shared" si="4054"/>
        <v>0</v>
      </c>
      <c r="AF2786" s="982" t="b">
        <f t="shared" si="4054"/>
        <v>0</v>
      </c>
      <c r="AG2786" s="982" t="b">
        <f t="shared" si="4054"/>
        <v>0</v>
      </c>
      <c r="AH2786" s="982" t="b">
        <f t="shared" si="4054"/>
        <v>0</v>
      </c>
      <c r="AI2786" s="982" t="b">
        <f t="shared" si="4054"/>
        <v>0</v>
      </c>
      <c r="AJ2786" s="1174" t="s">
        <v>2039</v>
      </c>
      <c r="AK2786" s="1176" t="str">
        <f>IF(AND(CNTR_ExistSubInstEntries,MSconst_RequireSubAttrEmissions,COUNTIFS(AC2786:AI2786,FALSE,H2786:N2786,"")&gt;0),EUconst_Error&amp;"BM"&amp;$Q2542,"")</f>
        <v/>
      </c>
      <c r="AL2786" s="694"/>
    </row>
    <row r="2787" spans="1:38" ht="12.75" customHeight="1" thickBot="1" x14ac:dyDescent="0.3">
      <c r="A2787" s="694"/>
      <c r="B2787" s="298"/>
      <c r="C2787" s="1302"/>
      <c r="D2787" s="625" t="s">
        <v>1619</v>
      </c>
      <c r="E2787" s="2819" t="str">
        <f>Translations!$B$296</f>
        <v>Долна топлина на изгаряне</v>
      </c>
      <c r="F2787" s="2705"/>
      <c r="G2787" s="1349" t="str">
        <f>IF(ISBLANK(G2786),EUconst_GJperUnit,INDEX(EUconst_GJperTorKNm3,MATCH(G2786,EUconst_TonnesOrkNm3pa,0)))</f>
        <v>GJ / Единица мярка</v>
      </c>
      <c r="H2787" s="137"/>
      <c r="I2787" s="138"/>
      <c r="J2787" s="139"/>
      <c r="K2787" s="137"/>
      <c r="L2787" s="137"/>
      <c r="M2787" s="137"/>
      <c r="N2787" s="140"/>
      <c r="O2787" s="302"/>
      <c r="P2787" s="158"/>
      <c r="Q2787" s="729"/>
      <c r="R2787" s="694"/>
      <c r="S2787" s="729"/>
      <c r="T2787" s="729"/>
      <c r="U2787" s="729"/>
      <c r="V2787" s="729"/>
      <c r="W2787" s="694"/>
      <c r="X2787" s="694"/>
      <c r="Y2787" s="694"/>
      <c r="Z2787" s="694"/>
      <c r="AA2787" s="694"/>
      <c r="AB2787" s="694"/>
      <c r="AC2787" s="982" t="b">
        <f>AC2786</f>
        <v>0</v>
      </c>
      <c r="AD2787" s="982" t="b">
        <f t="shared" ref="AD2787:AI2787" si="4055">AD2786</f>
        <v>0</v>
      </c>
      <c r="AE2787" s="982" t="b">
        <f t="shared" si="4055"/>
        <v>0</v>
      </c>
      <c r="AF2787" s="982" t="b">
        <f t="shared" si="4055"/>
        <v>0</v>
      </c>
      <c r="AG2787" s="982" t="b">
        <f t="shared" si="4055"/>
        <v>0</v>
      </c>
      <c r="AH2787" s="982" t="b">
        <f t="shared" si="4055"/>
        <v>0</v>
      </c>
      <c r="AI2787" s="982" t="b">
        <f t="shared" si="4055"/>
        <v>0</v>
      </c>
      <c r="AJ2787" s="1174" t="s">
        <v>2039</v>
      </c>
      <c r="AK2787" s="1176" t="str">
        <f>IF(AND(CNTR_ExistSubInstEntries,MSconst_RequireSubAttrEmissions,COUNTIFS(AC2787:AI2787,FALSE,H2787:N2787,"")&gt;0),EUconst_Error&amp;"BM"&amp;$Q2542,"")</f>
        <v/>
      </c>
      <c r="AL2787" s="694"/>
    </row>
    <row r="2788" spans="1:38" ht="12.75" customHeight="1" x14ac:dyDescent="0.25">
      <c r="A2788" s="694"/>
      <c r="B2788" s="298"/>
      <c r="C2788" s="1302"/>
      <c r="D2788" s="625" t="s">
        <v>1659</v>
      </c>
      <c r="E2788" s="2820" t="str">
        <f>Translations!$B$591</f>
        <v>Подаден отпаден газ</v>
      </c>
      <c r="F2788" s="2258"/>
      <c r="G2788" s="1319" t="str">
        <f>EUconst_TJpa</f>
        <v>TJ / година</v>
      </c>
      <c r="H2788" s="1020" t="str">
        <f t="shared" ref="H2788:N2788" si="4056">IF(COUNT(H2786:H2787)=2,H2786*H2787/1000,"")</f>
        <v/>
      </c>
      <c r="I2788" s="1369" t="str">
        <f t="shared" si="4056"/>
        <v/>
      </c>
      <c r="J2788" s="1370" t="str">
        <f t="shared" si="4056"/>
        <v/>
      </c>
      <c r="K2788" s="1020" t="str">
        <f t="shared" si="4056"/>
        <v/>
      </c>
      <c r="L2788" s="1020" t="str">
        <f t="shared" si="4056"/>
        <v/>
      </c>
      <c r="M2788" s="1020" t="str">
        <f t="shared" si="4056"/>
        <v/>
      </c>
      <c r="N2788" s="1371" t="str">
        <f t="shared" si="4056"/>
        <v/>
      </c>
      <c r="O2788" s="302"/>
      <c r="P2788" s="302"/>
      <c r="Q2788" s="1190" t="str">
        <f>EUconst_CNTR_WGExport &amp; I2542</f>
        <v>WasteGasEx_</v>
      </c>
      <c r="R2788" s="694"/>
      <c r="S2788" s="1205"/>
      <c r="T2788" s="1313">
        <f t="shared" ref="T2788" si="4057">H2785</f>
        <v>2024</v>
      </c>
      <c r="U2788" s="1313">
        <f t="shared" ref="U2788" si="4058">I2785</f>
        <v>2025</v>
      </c>
      <c r="V2788" s="1313">
        <f t="shared" ref="V2788" si="4059">J2785</f>
        <v>2026</v>
      </c>
      <c r="W2788" s="1313">
        <f t="shared" ref="W2788" si="4060">K2785</f>
        <v>2027</v>
      </c>
      <c r="X2788" s="1313">
        <f t="shared" ref="X2788" si="4061">L2785</f>
        <v>2028</v>
      </c>
      <c r="Y2788" s="1313">
        <f t="shared" ref="Y2788" si="4062">M2785</f>
        <v>2029</v>
      </c>
      <c r="Z2788" s="1314">
        <f t="shared" ref="Z2788" si="4063">N2785</f>
        <v>2030</v>
      </c>
      <c r="AA2788" s="694"/>
      <c r="AB2788" s="694"/>
      <c r="AC2788" s="694"/>
      <c r="AD2788" s="694"/>
      <c r="AE2788" s="694"/>
      <c r="AF2788" s="694"/>
      <c r="AG2788" s="694"/>
      <c r="AH2788" s="694"/>
      <c r="AI2788" s="694"/>
      <c r="AJ2788" s="694"/>
      <c r="AK2788" s="694"/>
      <c r="AL2788" s="694"/>
    </row>
    <row r="2789" spans="1:38" s="364" customFormat="1" ht="12.75" customHeight="1" thickBot="1" x14ac:dyDescent="0.3">
      <c r="A2789" s="694"/>
      <c r="B2789" s="298"/>
      <c r="C2789" s="1302"/>
      <c r="D2789" s="625" t="s">
        <v>1660</v>
      </c>
      <c r="E2789" s="2820" t="str">
        <f>Translations!$B$592</f>
        <v>Специфичен EF (подаден отпаден газ)</v>
      </c>
      <c r="F2789" s="2258"/>
      <c r="G2789" s="642" t="str">
        <f>EUconst_tCO2pTJ</f>
        <v>t CO2 / TJ</v>
      </c>
      <c r="H2789" s="146"/>
      <c r="I2789" s="147"/>
      <c r="J2789" s="148"/>
      <c r="K2789" s="146"/>
      <c r="L2789" s="146"/>
      <c r="M2789" s="146"/>
      <c r="N2789" s="149"/>
      <c r="O2789" s="302"/>
      <c r="P2789" s="158"/>
      <c r="Q2789" s="1190" t="str">
        <f>EUconst_CNTR_WGExportEF &amp; I2542</f>
        <v>WasteGasExEF_</v>
      </c>
      <c r="R2789" s="729"/>
      <c r="S2789" s="1315" t="str">
        <f>EUconst_CNTR_AttributedEmissions &amp; I2542</f>
        <v>AttrEmissions_</v>
      </c>
      <c r="T2789" s="1290" t="str">
        <f t="shared" ref="T2789" si="4064">IF(T2550,-SUM(H2788)*EUconst_NGEFvalue*EUconst_WasteGasCorrFactor,"")</f>
        <v/>
      </c>
      <c r="U2789" s="1290" t="str">
        <f t="shared" ref="U2789" si="4065">IF(U2550,-SUM(I2788)*EUconst_NGEFvalue*EUconst_WasteGasCorrFactor,"")</f>
        <v/>
      </c>
      <c r="V2789" s="1290" t="str">
        <f t="shared" ref="V2789" si="4066">IF(V2550,-SUM(J2788)*EUconst_NGEFvalue*EUconst_WasteGasCorrFactor,"")</f>
        <v/>
      </c>
      <c r="W2789" s="1290" t="str">
        <f t="shared" ref="W2789" si="4067">IF(W2550,-SUM(K2788)*EUconst_NGEFvalue*EUconst_WasteGasCorrFactor,"")</f>
        <v/>
      </c>
      <c r="X2789" s="1290" t="str">
        <f t="shared" ref="X2789" si="4068">IF(X2550,-SUM(L2788)*EUconst_NGEFvalue*EUconst_WasteGasCorrFactor,"")</f>
        <v/>
      </c>
      <c r="Y2789" s="1290" t="str">
        <f t="shared" ref="Y2789" si="4069">IF(Y2550,-SUM(M2788)*EUconst_NGEFvalue*EUconst_WasteGasCorrFactor,"")</f>
        <v/>
      </c>
      <c r="Z2789" s="1291" t="str">
        <f t="shared" ref="Z2789" si="4070">IF(Z2550,-SUM(N2788)*EUconst_NGEFvalue*EUconst_WasteGasCorrFactor,"")</f>
        <v/>
      </c>
      <c r="AA2789" s="729"/>
      <c r="AB2789" s="1182" t="s">
        <v>737</v>
      </c>
      <c r="AC2789" s="982" t="b">
        <f t="shared" ref="AC2789:AI2789" si="4071">AC2736</f>
        <v>0</v>
      </c>
      <c r="AD2789" s="982" t="b">
        <f t="shared" si="4071"/>
        <v>0</v>
      </c>
      <c r="AE2789" s="982" t="b">
        <f t="shared" si="4071"/>
        <v>0</v>
      </c>
      <c r="AF2789" s="982" t="b">
        <f t="shared" si="4071"/>
        <v>0</v>
      </c>
      <c r="AG2789" s="982" t="b">
        <f t="shared" si="4071"/>
        <v>0</v>
      </c>
      <c r="AH2789" s="982" t="b">
        <f t="shared" si="4071"/>
        <v>0</v>
      </c>
      <c r="AI2789" s="982" t="b">
        <f t="shared" si="4071"/>
        <v>0</v>
      </c>
      <c r="AJ2789" s="1174" t="s">
        <v>2039</v>
      </c>
      <c r="AK2789" s="1176" t="str">
        <f>IF(AND(CNTR_ExistSubInstEntries,MSconst_RequireSubAttrEmissions,COUNTIFS(AC2789:AI2789,FALSE,H2789:N2789,"")&gt;0),EUconst_Error&amp;"BM"&amp;$Q2542,"")</f>
        <v/>
      </c>
      <c r="AL2789" s="694"/>
    </row>
    <row r="2790" spans="1:38" ht="12.75" customHeight="1" x14ac:dyDescent="0.25">
      <c r="A2790" s="694"/>
      <c r="B2790" s="298"/>
      <c r="C2790" s="1302"/>
      <c r="D2790" s="1306"/>
      <c r="E2790" s="1306"/>
      <c r="F2790" s="1306"/>
      <c r="G2790" s="1306"/>
      <c r="H2790" s="1306"/>
      <c r="I2790" s="1354"/>
      <c r="J2790" s="1306"/>
      <c r="K2790" s="1306"/>
      <c r="L2790" s="1306"/>
      <c r="M2790" s="1306"/>
      <c r="N2790" s="1316"/>
      <c r="O2790" s="302"/>
      <c r="P2790" s="302"/>
      <c r="Q2790" s="729"/>
      <c r="R2790" s="694"/>
      <c r="S2790" s="729"/>
      <c r="T2790" s="694"/>
      <c r="U2790" s="694"/>
      <c r="V2790" s="694"/>
      <c r="W2790" s="694"/>
      <c r="X2790" s="694"/>
      <c r="Y2790" s="694"/>
      <c r="Z2790" s="694"/>
      <c r="AA2790" s="694"/>
      <c r="AB2790" s="694"/>
      <c r="AC2790" s="694"/>
      <c r="AD2790" s="694"/>
      <c r="AE2790" s="694"/>
      <c r="AF2790" s="694"/>
      <c r="AG2790" s="694"/>
      <c r="AH2790" s="694"/>
      <c r="AI2790" s="694"/>
      <c r="AJ2790" s="694"/>
      <c r="AK2790" s="694"/>
      <c r="AL2790" s="694"/>
    </row>
    <row r="2791" spans="1:38" ht="12.75" customHeight="1" x14ac:dyDescent="0.25">
      <c r="A2791" s="694"/>
      <c r="B2791" s="298"/>
      <c r="C2791" s="1302"/>
      <c r="D2791" s="1307" t="s">
        <v>493</v>
      </c>
      <c r="E2791" s="2815" t="str">
        <f>Translations!$B$246</f>
        <v>Производство на електроенергия</v>
      </c>
      <c r="F2791" s="2240"/>
      <c r="G2791" s="2240"/>
      <c r="H2791" s="2240"/>
      <c r="I2791" s="2240"/>
      <c r="J2791" s="2240"/>
      <c r="K2791" s="2240"/>
      <c r="L2791" s="2240"/>
      <c r="M2791" s="2240"/>
      <c r="N2791" s="2811"/>
      <c r="O2791" s="302"/>
      <c r="P2791" s="302"/>
      <c r="Q2791" s="729"/>
      <c r="R2791" s="694"/>
      <c r="S2791" s="729"/>
      <c r="T2791" s="694"/>
      <c r="U2791" s="694"/>
      <c r="V2791" s="694"/>
      <c r="W2791" s="694"/>
      <c r="X2791" s="694"/>
      <c r="Y2791" s="694"/>
      <c r="Z2791" s="694"/>
      <c r="AA2791" s="694"/>
      <c r="AB2791" s="694"/>
      <c r="AC2791" s="694"/>
      <c r="AD2791" s="694"/>
      <c r="AE2791" s="694"/>
      <c r="AF2791" s="694"/>
      <c r="AG2791" s="694"/>
      <c r="AH2791" s="694"/>
      <c r="AI2791" s="694"/>
      <c r="AJ2791" s="694"/>
      <c r="AK2791" s="694"/>
      <c r="AL2791" s="694"/>
    </row>
    <row r="2792" spans="1:38" ht="12.75" customHeight="1" x14ac:dyDescent="0.25">
      <c r="A2792" s="694"/>
      <c r="B2792" s="298"/>
      <c r="C2792" s="1302"/>
      <c r="D2792" s="625"/>
      <c r="E2792" s="2816" t="str">
        <f>Translations!$B$593</f>
        <v>Посочените тук данни ще се отразят на емисиите, които могат да бъдат зададени съгласно раздел 10 от приложение VII към ПБР.</v>
      </c>
      <c r="F2792" s="2240"/>
      <c r="G2792" s="2240"/>
      <c r="H2792" s="2240"/>
      <c r="I2792" s="2240"/>
      <c r="J2792" s="2240"/>
      <c r="K2792" s="2240"/>
      <c r="L2792" s="2240"/>
      <c r="M2792" s="2240"/>
      <c r="N2792" s="2811"/>
      <c r="O2792" s="302"/>
      <c r="P2792" s="302"/>
      <c r="Q2792" s="729"/>
      <c r="R2792" s="694"/>
      <c r="S2792" s="729"/>
      <c r="T2792" s="729"/>
      <c r="U2792" s="729"/>
      <c r="V2792" s="729"/>
      <c r="W2792" s="694"/>
      <c r="X2792" s="694"/>
      <c r="Y2792" s="694"/>
      <c r="Z2792" s="694"/>
      <c r="AA2792" s="694"/>
      <c r="AB2792" s="694"/>
      <c r="AC2792" s="694"/>
      <c r="AD2792" s="694"/>
      <c r="AE2792" s="694"/>
      <c r="AF2792" s="694"/>
      <c r="AG2792" s="694"/>
      <c r="AH2792" s="694"/>
      <c r="AI2792" s="694"/>
      <c r="AJ2792" s="694"/>
      <c r="AK2792" s="694"/>
      <c r="AL2792" s="694"/>
    </row>
    <row r="2793" spans="1:38" ht="25.5" customHeight="1" thickBot="1" x14ac:dyDescent="0.3">
      <c r="A2793" s="694"/>
      <c r="B2793" s="298"/>
      <c r="C2793" s="1302"/>
      <c r="D2793" s="1306"/>
      <c r="E2793" s="2810" t="str">
        <f>Translations!$B$594</f>
        <v>Това включва електроенергията, произведена директно от тази подинсталация, съгласно раздел 3.1, буква и) от приложение IV към ПБР. Електроенергията, произведена чрез междинна измерима топлинна енергия, не се посочват тук, а като подадена измерима топлинна енергия в k).v по-горе.</v>
      </c>
      <c r="F2793" s="2240"/>
      <c r="G2793" s="2240"/>
      <c r="H2793" s="2240"/>
      <c r="I2793" s="2240"/>
      <c r="J2793" s="2240"/>
      <c r="K2793" s="2240"/>
      <c r="L2793" s="2240"/>
      <c r="M2793" s="2240"/>
      <c r="N2793" s="2811"/>
      <c r="O2793" s="302"/>
      <c r="P2793" s="302"/>
      <c r="Q2793" s="729"/>
      <c r="R2793" s="694"/>
      <c r="S2793" s="729"/>
      <c r="T2793" s="694"/>
      <c r="U2793" s="694"/>
      <c r="V2793" s="694"/>
      <c r="W2793" s="694"/>
      <c r="X2793" s="694"/>
      <c r="Y2793" s="694"/>
      <c r="Z2793" s="694"/>
      <c r="AA2793" s="694"/>
      <c r="AB2793" s="694"/>
      <c r="AC2793" s="694"/>
      <c r="AD2793" s="694"/>
      <c r="AE2793" s="694"/>
      <c r="AF2793" s="694"/>
      <c r="AG2793" s="694"/>
      <c r="AH2793" s="694"/>
      <c r="AI2793" s="694"/>
      <c r="AJ2793" s="694"/>
      <c r="AK2793" s="694"/>
      <c r="AL2793" s="694"/>
    </row>
    <row r="2794" spans="1:38" ht="12.75" customHeight="1" thickBot="1" x14ac:dyDescent="0.3">
      <c r="A2794" s="694"/>
      <c r="B2794" s="298"/>
      <c r="C2794" s="1302"/>
      <c r="D2794" s="1307"/>
      <c r="E2794" s="1317"/>
      <c r="F2794" s="1318"/>
      <c r="G2794" s="1309" t="str">
        <f>EUconst_Unit</f>
        <v>Единица мярка</v>
      </c>
      <c r="H2794" s="629">
        <f t="shared" ref="H2794:N2794" si="4072">H$2831</f>
        <v>2024</v>
      </c>
      <c r="I2794" s="1310">
        <f t="shared" si="4072"/>
        <v>2025</v>
      </c>
      <c r="J2794" s="1311">
        <f t="shared" si="4072"/>
        <v>2026</v>
      </c>
      <c r="K2794" s="629">
        <f t="shared" si="4072"/>
        <v>2027</v>
      </c>
      <c r="L2794" s="629">
        <f t="shared" si="4072"/>
        <v>2028</v>
      </c>
      <c r="M2794" s="629">
        <f t="shared" si="4072"/>
        <v>2029</v>
      </c>
      <c r="N2794" s="1312">
        <f t="shared" si="4072"/>
        <v>2030</v>
      </c>
      <c r="O2794" s="302"/>
      <c r="P2794" s="302"/>
      <c r="Q2794" s="729"/>
      <c r="R2794" s="694"/>
      <c r="S2794" s="1205"/>
      <c r="T2794" s="1313">
        <f t="shared" ref="T2794" si="4073">H2794</f>
        <v>2024</v>
      </c>
      <c r="U2794" s="1313">
        <f t="shared" ref="U2794" si="4074">I2794</f>
        <v>2025</v>
      </c>
      <c r="V2794" s="1313">
        <f t="shared" ref="V2794" si="4075">J2794</f>
        <v>2026</v>
      </c>
      <c r="W2794" s="1313">
        <f t="shared" ref="W2794" si="4076">K2794</f>
        <v>2027</v>
      </c>
      <c r="X2794" s="1313">
        <f t="shared" ref="X2794" si="4077">L2794</f>
        <v>2028</v>
      </c>
      <c r="Y2794" s="1313">
        <f t="shared" ref="Y2794" si="4078">M2794</f>
        <v>2029</v>
      </c>
      <c r="Z2794" s="1314">
        <f t="shared" ref="Z2794" si="4079">N2794</f>
        <v>2030</v>
      </c>
      <c r="AA2794" s="694"/>
      <c r="AB2794" s="694"/>
      <c r="AC2794" s="1178">
        <f t="shared" ref="AC2794" si="4080">H$20</f>
        <v>2024</v>
      </c>
      <c r="AD2794" s="1178">
        <f t="shared" ref="AD2794" si="4081">I$20</f>
        <v>2025</v>
      </c>
      <c r="AE2794" s="1178">
        <f t="shared" ref="AE2794" si="4082">J$20</f>
        <v>2026</v>
      </c>
      <c r="AF2794" s="1178">
        <f t="shared" ref="AF2794" si="4083">K$20</f>
        <v>2027</v>
      </c>
      <c r="AG2794" s="1178">
        <f t="shared" ref="AG2794" si="4084">L$20</f>
        <v>2028</v>
      </c>
      <c r="AH2794" s="1178">
        <f t="shared" ref="AH2794" si="4085">M$20</f>
        <v>2029</v>
      </c>
      <c r="AI2794" s="1178">
        <f t="shared" ref="AI2794" si="4086">N$20</f>
        <v>2030</v>
      </c>
      <c r="AJ2794" s="694"/>
      <c r="AK2794" s="694"/>
      <c r="AL2794" s="694"/>
    </row>
    <row r="2795" spans="1:38" ht="12.75" customHeight="1" thickBot="1" x14ac:dyDescent="0.3">
      <c r="A2795" s="694"/>
      <c r="B2795" s="298"/>
      <c r="C2795" s="1302"/>
      <c r="D2795" s="625"/>
      <c r="E2795" s="2820" t="str">
        <f>Translations!$B$595</f>
        <v>Произведена електроенергия</v>
      </c>
      <c r="F2795" s="2258"/>
      <c r="G2795" s="1319" t="str">
        <f>EUconst_MWhpa</f>
        <v>MWh / година</v>
      </c>
      <c r="H2795" s="56"/>
      <c r="I2795" s="115"/>
      <c r="J2795" s="118"/>
      <c r="K2795" s="56"/>
      <c r="L2795" s="56"/>
      <c r="M2795" s="56"/>
      <c r="N2795" s="121"/>
      <c r="O2795" s="302"/>
      <c r="P2795" s="158"/>
      <c r="Q2795" s="1190" t="str">
        <f>EUconst_CNTR_ElectricityExported &amp; I2542</f>
        <v>ElecEx_</v>
      </c>
      <c r="R2795" s="694"/>
      <c r="S2795" s="1315" t="str">
        <f>EUconst_CNTR_AttributedEmissions &amp; I2542</f>
        <v>AttrEmissions_</v>
      </c>
      <c r="T2795" s="1290" t="str">
        <f t="shared" ref="T2795" si="4087">IF(T2550,-SUM(H2795)*EUconst_ElBM,"")</f>
        <v/>
      </c>
      <c r="U2795" s="1290" t="str">
        <f t="shared" ref="U2795" si="4088">IF(U2550,-SUM(I2795)*EUconst_ElBM,"")</f>
        <v/>
      </c>
      <c r="V2795" s="1290" t="str">
        <f t="shared" ref="V2795" si="4089">IF(V2550,-SUM(J2795)*EUconst_ElBM,"")</f>
        <v/>
      </c>
      <c r="W2795" s="1290" t="str">
        <f t="shared" ref="W2795" si="4090">IF(W2550,-SUM(K2795)*EUconst_ElBM,"")</f>
        <v/>
      </c>
      <c r="X2795" s="1290" t="str">
        <f t="shared" ref="X2795" si="4091">IF(X2550,-SUM(L2795)*EUconst_ElBM,"")</f>
        <v/>
      </c>
      <c r="Y2795" s="1290" t="str">
        <f t="shared" ref="Y2795" si="4092">IF(Y2550,-SUM(M2795)*EUconst_ElBM,"")</f>
        <v/>
      </c>
      <c r="Z2795" s="1291" t="str">
        <f t="shared" ref="Z2795" si="4093">IF(Z2550,-SUM(N2795)*EUconst_ElBM,"")</f>
        <v/>
      </c>
      <c r="AA2795" s="694"/>
      <c r="AB2795" s="1182" t="s">
        <v>737</v>
      </c>
      <c r="AC2795" s="982" t="b">
        <f>AC2589</f>
        <v>0</v>
      </c>
      <c r="AD2795" s="982" t="b">
        <f t="shared" ref="AD2795:AI2795" si="4094">AD2589</f>
        <v>0</v>
      </c>
      <c r="AE2795" s="982" t="b">
        <f t="shared" si="4094"/>
        <v>0</v>
      </c>
      <c r="AF2795" s="982" t="b">
        <f t="shared" si="4094"/>
        <v>0</v>
      </c>
      <c r="AG2795" s="982" t="b">
        <f t="shared" si="4094"/>
        <v>0</v>
      </c>
      <c r="AH2795" s="982" t="b">
        <f t="shared" si="4094"/>
        <v>0</v>
      </c>
      <c r="AI2795" s="982" t="b">
        <f t="shared" si="4094"/>
        <v>0</v>
      </c>
      <c r="AJ2795" s="1174" t="s">
        <v>2039</v>
      </c>
      <c r="AK2795" s="1176" t="str">
        <f>IF(AND(CNTR_ExistSubInstEntries,MSconst_RequireSubAttrEmissions,COUNTIFS(AC2795:AI2795,FALSE,H2795:N2795,"")&gt;0),EUconst_Error&amp;"BM"&amp;$Q2542,"")</f>
        <v/>
      </c>
      <c r="AL2795" s="694"/>
    </row>
    <row r="2796" spans="1:38" ht="12.75" customHeight="1" x14ac:dyDescent="0.25">
      <c r="A2796" s="694"/>
      <c r="B2796" s="298"/>
      <c r="C2796" s="1302"/>
      <c r="D2796" s="1306"/>
      <c r="E2796" s="1306"/>
      <c r="F2796" s="1306"/>
      <c r="G2796" s="1306"/>
      <c r="H2796" s="1306"/>
      <c r="I2796" s="1354"/>
      <c r="J2796" s="1306"/>
      <c r="K2796" s="1306"/>
      <c r="L2796" s="1306"/>
      <c r="M2796" s="1306"/>
      <c r="N2796" s="1316"/>
      <c r="O2796" s="302"/>
      <c r="P2796" s="302"/>
      <c r="Q2796" s="729"/>
      <c r="R2796" s="694"/>
      <c r="S2796" s="729"/>
      <c r="T2796" s="694"/>
      <c r="U2796" s="694"/>
      <c r="V2796" s="729"/>
      <c r="W2796" s="694"/>
      <c r="X2796" s="694"/>
      <c r="Y2796" s="694"/>
      <c r="Z2796" s="694"/>
      <c r="AA2796" s="694"/>
      <c r="AB2796" s="694"/>
      <c r="AC2796" s="694"/>
      <c r="AD2796" s="694"/>
      <c r="AE2796" s="694"/>
      <c r="AF2796" s="694"/>
      <c r="AG2796" s="694"/>
      <c r="AH2796" s="694"/>
      <c r="AI2796" s="694"/>
      <c r="AJ2796" s="694"/>
      <c r="AK2796" s="694"/>
      <c r="AL2796" s="694"/>
    </row>
    <row r="2797" spans="1:38" ht="12.75" customHeight="1" x14ac:dyDescent="0.25">
      <c r="A2797" s="694"/>
      <c r="B2797" s="298"/>
      <c r="C2797" s="1302"/>
      <c r="D2797" s="1307" t="s">
        <v>249</v>
      </c>
      <c r="E2797" s="2815" t="str">
        <f>Translations!$B$596</f>
        <v>Общо количество произведен пулп</v>
      </c>
      <c r="F2797" s="2240"/>
      <c r="G2797" s="2240"/>
      <c r="H2797" s="2240"/>
      <c r="I2797" s="2240"/>
      <c r="J2797" s="2240"/>
      <c r="K2797" s="2240"/>
      <c r="L2797" s="2240"/>
      <c r="M2797" s="2240"/>
      <c r="N2797" s="2811"/>
      <c r="O2797" s="302"/>
      <c r="P2797" s="302"/>
      <c r="Q2797" s="694"/>
      <c r="R2797" s="694"/>
      <c r="S2797" s="694"/>
      <c r="T2797" s="694"/>
      <c r="U2797" s="694"/>
      <c r="V2797" s="729"/>
      <c r="W2797" s="694"/>
      <c r="X2797" s="694"/>
      <c r="Y2797" s="694"/>
      <c r="Z2797" s="694"/>
      <c r="AA2797" s="694"/>
      <c r="AB2797" s="694"/>
      <c r="AC2797" s="694"/>
      <c r="AD2797" s="694"/>
      <c r="AE2797" s="694"/>
      <c r="AF2797" s="694"/>
      <c r="AG2797" s="694"/>
      <c r="AH2797" s="694"/>
      <c r="AI2797" s="694"/>
      <c r="AJ2797" s="694"/>
      <c r="AK2797" s="694"/>
      <c r="AL2797" s="694"/>
    </row>
    <row r="2798" spans="1:38" ht="25.5" customHeight="1" x14ac:dyDescent="0.25">
      <c r="A2798" s="694"/>
      <c r="B2798" s="298"/>
      <c r="C2798" s="1302"/>
      <c r="D2798" s="1306"/>
      <c r="E2798" s="2810" t="str">
        <f>Translations!$B$597</f>
        <v>Съгласно раздел 2.7, буква к) от приложение IV към ПБР се отчита общото количество пулп, произведен за подинсталации с продуктов показател за късовлакнест крафт-пулп, дълговлакнест крафт-пулп, термомеханичен пулп и механичен пулп или сулфитен пулп.</v>
      </c>
      <c r="F2798" s="2240"/>
      <c r="G2798" s="2240"/>
      <c r="H2798" s="2240"/>
      <c r="I2798" s="2240"/>
      <c r="J2798" s="2240"/>
      <c r="K2798" s="2240"/>
      <c r="L2798" s="2240"/>
      <c r="M2798" s="2240"/>
      <c r="N2798" s="2811"/>
      <c r="O2798" s="302"/>
      <c r="P2798" s="302"/>
      <c r="Q2798" s="729"/>
      <c r="R2798" s="694"/>
      <c r="S2798" s="729"/>
      <c r="T2798" s="694"/>
      <c r="U2798" s="694"/>
      <c r="V2798" s="729"/>
      <c r="W2798" s="694"/>
      <c r="X2798" s="694"/>
      <c r="Y2798" s="694"/>
      <c r="Z2798" s="694"/>
      <c r="AA2798" s="694"/>
      <c r="AB2798" s="694"/>
      <c r="AC2798" s="694"/>
      <c r="AD2798" s="694"/>
      <c r="AE2798" s="694"/>
      <c r="AF2798" s="694"/>
      <c r="AG2798" s="694"/>
      <c r="AH2798" s="694"/>
      <c r="AI2798" s="694"/>
      <c r="AJ2798" s="694"/>
      <c r="AK2798" s="694"/>
      <c r="AL2798" s="694"/>
    </row>
    <row r="2799" spans="1:38" ht="12.75" customHeight="1" x14ac:dyDescent="0.25">
      <c r="A2799" s="694"/>
      <c r="B2799" s="298"/>
      <c r="C2799" s="1302"/>
      <c r="D2799" s="1306"/>
      <c r="E2799" s="2810" t="str">
        <f>Translations!$B$598</f>
        <v>Този раздел ще бъде защрихован в сиво, ако тази подинсталация не е една от тези видове подинсталации за производство на пулп. В такъв случай, моля, продължете с точките по-долу.</v>
      </c>
      <c r="F2799" s="2240"/>
      <c r="G2799" s="2240"/>
      <c r="H2799" s="2240"/>
      <c r="I2799" s="2240"/>
      <c r="J2799" s="2240"/>
      <c r="K2799" s="2240"/>
      <c r="L2799" s="2240"/>
      <c r="M2799" s="2240"/>
      <c r="N2799" s="2811"/>
      <c r="O2799" s="302"/>
      <c r="P2799" s="302"/>
      <c r="Q2799" s="729"/>
      <c r="R2799" s="694"/>
      <c r="S2799" s="729"/>
      <c r="T2799" s="694"/>
      <c r="U2799" s="694"/>
      <c r="V2799" s="729"/>
      <c r="W2799" s="694"/>
      <c r="X2799" s="694"/>
      <c r="Y2799" s="694"/>
      <c r="Z2799" s="694"/>
      <c r="AA2799" s="694"/>
      <c r="AB2799" s="694"/>
      <c r="AC2799" s="694"/>
      <c r="AD2799" s="694"/>
      <c r="AE2799" s="694"/>
      <c r="AF2799" s="694"/>
      <c r="AG2799" s="694"/>
      <c r="AH2799" s="694"/>
      <c r="AI2799" s="694"/>
      <c r="AJ2799" s="694"/>
      <c r="AK2799" s="694"/>
      <c r="AL2799" s="694"/>
    </row>
    <row r="2800" spans="1:38" ht="12.75" customHeight="1" thickBot="1" x14ac:dyDescent="0.3">
      <c r="A2800" s="694"/>
      <c r="B2800" s="298"/>
      <c r="C2800" s="1302"/>
      <c r="D2800" s="625"/>
      <c r="E2800" s="2812" t="str">
        <f>Translations!$B$599</f>
        <v>Посочените тук данни ще са необходими при актуализацията на конкретния показател за пулп.</v>
      </c>
      <c r="F2800" s="2672"/>
      <c r="G2800" s="2672"/>
      <c r="H2800" s="2672"/>
      <c r="I2800" s="2672"/>
      <c r="J2800" s="2672"/>
      <c r="K2800" s="2672"/>
      <c r="L2800" s="2672"/>
      <c r="M2800" s="2672"/>
      <c r="N2800" s="2813"/>
      <c r="O2800" s="302"/>
      <c r="P2800" s="302"/>
      <c r="Q2800" s="729"/>
      <c r="R2800" s="694"/>
      <c r="S2800" s="729"/>
      <c r="T2800" s="694"/>
      <c r="U2800" s="694"/>
      <c r="V2800" s="729"/>
      <c r="W2800" s="694"/>
      <c r="X2800" s="694"/>
      <c r="Y2800" s="694"/>
      <c r="Z2800" s="694"/>
      <c r="AA2800" s="694"/>
      <c r="AB2800" s="694"/>
      <c r="AC2800" s="1178">
        <f t="shared" ref="AC2800" si="4095">H$20</f>
        <v>2024</v>
      </c>
      <c r="AD2800" s="1178">
        <f t="shared" ref="AD2800" si="4096">I$20</f>
        <v>2025</v>
      </c>
      <c r="AE2800" s="1178">
        <f t="shared" ref="AE2800" si="4097">J$20</f>
        <v>2026</v>
      </c>
      <c r="AF2800" s="1178">
        <f t="shared" ref="AF2800" si="4098">K$20</f>
        <v>2027</v>
      </c>
      <c r="AG2800" s="1178">
        <f t="shared" ref="AG2800" si="4099">L$20</f>
        <v>2028</v>
      </c>
      <c r="AH2800" s="1178">
        <f t="shared" ref="AH2800" si="4100">M$20</f>
        <v>2029</v>
      </c>
      <c r="AI2800" s="1178">
        <f t="shared" ref="AI2800" si="4101">N$20</f>
        <v>2030</v>
      </c>
      <c r="AJ2800" s="694"/>
      <c r="AK2800" s="694"/>
      <c r="AL2800" s="694"/>
    </row>
    <row r="2801" spans="1:38" ht="12.75" customHeight="1" x14ac:dyDescent="0.25">
      <c r="A2801" s="694"/>
      <c r="B2801" s="298"/>
      <c r="C2801" s="1302"/>
      <c r="D2801" s="625"/>
      <c r="E2801" s="2814" t="str">
        <f>IF(I2542="","",IF(INDEX(EUconst_BMlistPulp,MATCH(I2542,EUconst_BMlistNames,0)),I2542,""))</f>
        <v/>
      </c>
      <c r="F2801" s="2258"/>
      <c r="G2801" s="1319" t="str">
        <f>EUconst_Tons</f>
        <v>тона</v>
      </c>
      <c r="H2801" s="56"/>
      <c r="I2801" s="115"/>
      <c r="J2801" s="118"/>
      <c r="K2801" s="56"/>
      <c r="L2801" s="56"/>
      <c r="M2801" s="56"/>
      <c r="N2801" s="121"/>
      <c r="O2801" s="302"/>
      <c r="P2801" s="158"/>
      <c r="Q2801" s="1190" t="str">
        <f>EUconst_CNTR_HALPulpTotal &amp; I2542</f>
        <v>HALPulpTotal_</v>
      </c>
      <c r="R2801" s="694"/>
      <c r="S2801" s="729"/>
      <c r="T2801" s="694"/>
      <c r="U2801" s="694"/>
      <c r="V2801" s="694"/>
      <c r="W2801" s="694"/>
      <c r="X2801" s="694"/>
      <c r="Y2801" s="694"/>
      <c r="Z2801" s="694"/>
      <c r="AA2801" s="694"/>
      <c r="AB2801" s="1182" t="s">
        <v>737</v>
      </c>
      <c r="AC2801" s="901" t="b">
        <f t="shared" ref="AC2801:AI2801" si="4102">IF($I2542&lt;&gt;"",IF(INDEX(EUconst_BMlistPulp,MATCH($I2542,EUconst_BMlistNames,0))=TRUE,FALSE,TRUE),AC2589)</f>
        <v>0</v>
      </c>
      <c r="AD2801" s="982" t="b">
        <f t="shared" si="4102"/>
        <v>0</v>
      </c>
      <c r="AE2801" s="982" t="b">
        <f t="shared" si="4102"/>
        <v>0</v>
      </c>
      <c r="AF2801" s="982" t="b">
        <f t="shared" si="4102"/>
        <v>0</v>
      </c>
      <c r="AG2801" s="982" t="b">
        <f t="shared" si="4102"/>
        <v>0</v>
      </c>
      <c r="AH2801" s="982" t="b">
        <f t="shared" si="4102"/>
        <v>0</v>
      </c>
      <c r="AI2801" s="982" t="b">
        <f t="shared" si="4102"/>
        <v>0</v>
      </c>
      <c r="AJ2801" s="1174" t="s">
        <v>2039</v>
      </c>
      <c r="AK2801" s="1176" t="str">
        <f>IF(AND(CNTR_ExistSubInstEntries,MSconst_RequireSubAttrEmissions,COUNTIFS(AC2801:AI2801,FALSE,H2801:N2801,"")&gt;0),EUconst_Error&amp;"BM"&amp;$Q2542,"")</f>
        <v/>
      </c>
      <c r="AL2801" s="694"/>
    </row>
    <row r="2802" spans="1:38" ht="12.75" customHeight="1" x14ac:dyDescent="0.25">
      <c r="A2802" s="694"/>
      <c r="B2802" s="298"/>
      <c r="C2802" s="1302"/>
      <c r="D2802" s="625"/>
      <c r="E2802" s="625"/>
      <c r="F2802" s="625"/>
      <c r="G2802" s="625"/>
      <c r="H2802" s="1354"/>
      <c r="I2802" s="625"/>
      <c r="J2802" s="625"/>
      <c r="K2802" s="625"/>
      <c r="L2802" s="625"/>
      <c r="M2802" s="625"/>
      <c r="N2802" s="1348"/>
      <c r="O2802" s="302"/>
      <c r="P2802" s="302"/>
      <c r="Q2802" s="729"/>
      <c r="R2802" s="694"/>
      <c r="S2802" s="729"/>
      <c r="T2802" s="694"/>
      <c r="U2802" s="694"/>
      <c r="V2802" s="729"/>
      <c r="W2802" s="694"/>
      <c r="X2802" s="694"/>
      <c r="Y2802" s="694"/>
      <c r="Z2802" s="694"/>
      <c r="AA2802" s="694"/>
      <c r="AB2802" s="694"/>
      <c r="AC2802" s="694"/>
      <c r="AD2802" s="694"/>
      <c r="AE2802" s="694"/>
      <c r="AF2802" s="694"/>
      <c r="AG2802" s="694"/>
      <c r="AH2802" s="694"/>
      <c r="AI2802" s="694"/>
      <c r="AJ2802" s="694"/>
      <c r="AK2802" s="694"/>
      <c r="AL2802" s="694"/>
    </row>
    <row r="2803" spans="1:38" ht="12.75" customHeight="1" x14ac:dyDescent="0.25">
      <c r="A2803" s="694"/>
      <c r="B2803" s="298"/>
      <c r="C2803" s="1302"/>
      <c r="D2803" s="1307" t="s">
        <v>852</v>
      </c>
      <c r="E2803" s="2815" t="str">
        <f>Translations!$B$600</f>
        <v>Получаване или подаване на междинни продукти, обхванати от продуктови показатели</v>
      </c>
      <c r="F2803" s="2240"/>
      <c r="G2803" s="2240"/>
      <c r="H2803" s="2240"/>
      <c r="I2803" s="2240"/>
      <c r="J2803" s="2240"/>
      <c r="K2803" s="2240"/>
      <c r="L2803" s="2240"/>
      <c r="M2803" s="2240"/>
      <c r="N2803" s="2811"/>
      <c r="O2803" s="302"/>
      <c r="P2803" s="302"/>
      <c r="Q2803" s="729"/>
      <c r="R2803" s="694"/>
      <c r="S2803" s="729"/>
      <c r="T2803" s="694"/>
      <c r="U2803" s="694"/>
      <c r="V2803" s="729"/>
      <c r="W2803" s="694"/>
      <c r="X2803" s="694"/>
      <c r="Y2803" s="694"/>
      <c r="Z2803" s="694"/>
      <c r="AA2803" s="694"/>
      <c r="AB2803" s="694"/>
      <c r="AC2803" s="694"/>
      <c r="AD2803" s="694"/>
      <c r="AE2803" s="694"/>
      <c r="AF2803" s="694"/>
      <c r="AG2803" s="694"/>
      <c r="AH2803" s="694"/>
      <c r="AI2803" s="694"/>
      <c r="AJ2803" s="694"/>
      <c r="AK2803" s="694"/>
      <c r="AL2803" s="694"/>
    </row>
    <row r="2804" spans="1:38" ht="25.5" customHeight="1" x14ac:dyDescent="0.25">
      <c r="A2804" s="694"/>
      <c r="B2804" s="298"/>
      <c r="C2804" s="1302"/>
      <c r="D2804" s="1306"/>
      <c r="E2804" s="2810" t="str">
        <f>Translations!$B$601</f>
        <v>За да се избегне двойно отчитане или пропуски в зададените емисии при определянето на актуализираните показатели, съгласно изискванията на раздел 2.7, буква г) от приложение IV към ПБР е необходимо да подадете данни за получените или подадените междинни продукти, обхванати от който и да било от продуктовите показатели, изброени в приложение I към ПБР.</v>
      </c>
      <c r="F2804" s="2240"/>
      <c r="G2804" s="2240"/>
      <c r="H2804" s="2240"/>
      <c r="I2804" s="2240"/>
      <c r="J2804" s="2240"/>
      <c r="K2804" s="2240"/>
      <c r="L2804" s="2240"/>
      <c r="M2804" s="2240"/>
      <c r="N2804" s="2811"/>
      <c r="O2804" s="302"/>
      <c r="P2804" s="302"/>
      <c r="Q2804" s="729"/>
      <c r="R2804" s="694"/>
      <c r="S2804" s="729"/>
      <c r="T2804" s="694"/>
      <c r="U2804" s="694"/>
      <c r="V2804" s="729"/>
      <c r="W2804" s="694"/>
      <c r="X2804" s="694"/>
      <c r="Y2804" s="694"/>
      <c r="Z2804" s="694"/>
      <c r="AA2804" s="694"/>
      <c r="AB2804" s="694"/>
      <c r="AC2804" s="694"/>
      <c r="AD2804" s="694"/>
      <c r="AE2804" s="694"/>
      <c r="AF2804" s="694"/>
      <c r="AG2804" s="694"/>
      <c r="AH2804" s="694"/>
      <c r="AI2804" s="694"/>
      <c r="AJ2804" s="694"/>
      <c r="AK2804" s="694"/>
      <c r="AL2804" s="694"/>
    </row>
    <row r="2805" spans="1:38" ht="12.75" customHeight="1" x14ac:dyDescent="0.25">
      <c r="A2805" s="694"/>
      <c r="B2805" s="298"/>
      <c r="C2805" s="1302"/>
      <c r="D2805" s="1306"/>
      <c r="E2805" s="2816" t="str">
        <f>Translations!$B$602</f>
        <v>Посочените тук данни могат да се отразят на актуализацията на конкретния показател.</v>
      </c>
      <c r="F2805" s="2240"/>
      <c r="G2805" s="2240"/>
      <c r="H2805" s="2240"/>
      <c r="I2805" s="2240"/>
      <c r="J2805" s="2240"/>
      <c r="K2805" s="2240"/>
      <c r="L2805" s="2240"/>
      <c r="M2805" s="2240"/>
      <c r="N2805" s="2811"/>
      <c r="O2805" s="302"/>
      <c r="P2805" s="302"/>
      <c r="Q2805" s="729"/>
      <c r="R2805" s="694"/>
      <c r="S2805" s="729"/>
      <c r="T2805" s="694"/>
      <c r="U2805" s="694"/>
      <c r="V2805" s="729"/>
      <c r="W2805" s="694"/>
      <c r="X2805" s="694"/>
      <c r="Y2805" s="694"/>
      <c r="Z2805" s="694"/>
      <c r="AA2805" s="694"/>
      <c r="AB2805" s="694"/>
      <c r="AC2805" s="694"/>
      <c r="AD2805" s="694"/>
      <c r="AE2805" s="694"/>
      <c r="AF2805" s="694"/>
      <c r="AG2805" s="694"/>
      <c r="AH2805" s="694"/>
      <c r="AI2805" s="694"/>
      <c r="AJ2805" s="694"/>
      <c r="AK2805" s="694"/>
      <c r="AL2805" s="694"/>
    </row>
    <row r="2806" spans="1:38" ht="12.75" customHeight="1" x14ac:dyDescent="0.25">
      <c r="A2806" s="694"/>
      <c r="B2806" s="698"/>
      <c r="C2806" s="1302"/>
      <c r="D2806" s="625" t="s">
        <v>6</v>
      </c>
      <c r="E2806" s="2817" t="str">
        <f>Translations!$B$603</f>
        <v>Има ли получени или подадени междинни продукти, които са обхванати от продуктови показатели?</v>
      </c>
      <c r="F2806" s="2240"/>
      <c r="G2806" s="2240"/>
      <c r="H2806" s="2240"/>
      <c r="I2806" s="2240"/>
      <c r="J2806" s="2240"/>
      <c r="K2806" s="2684"/>
      <c r="L2806" s="83"/>
      <c r="M2806" s="1304"/>
      <c r="N2806" s="1372"/>
      <c r="O2806" s="302"/>
      <c r="P2806" s="158"/>
      <c r="Q2806" s="694"/>
      <c r="R2806" s="694"/>
      <c r="S2806" s="694"/>
      <c r="T2806" s="694"/>
      <c r="U2806" s="694"/>
      <c r="V2806" s="694"/>
      <c r="W2806" s="694"/>
      <c r="X2806" s="694"/>
      <c r="Y2806" s="694"/>
      <c r="Z2806" s="694"/>
      <c r="AA2806" s="694"/>
      <c r="AB2806" s="694"/>
      <c r="AC2806" s="694"/>
      <c r="AD2806" s="694"/>
      <c r="AE2806" s="694"/>
      <c r="AF2806" s="1182" t="s">
        <v>737</v>
      </c>
      <c r="AG2806" s="901" t="b">
        <f>AND(CNTR_ExistSubInstEntries,I2542="")</f>
        <v>0</v>
      </c>
      <c r="AH2806" s="694"/>
      <c r="AI2806" s="694"/>
      <c r="AJ2806" s="694"/>
      <c r="AK2806" s="694"/>
      <c r="AL2806" s="694"/>
    </row>
    <row r="2807" spans="1:38" ht="5.15" customHeight="1" x14ac:dyDescent="0.25">
      <c r="A2807" s="694"/>
      <c r="B2807" s="298"/>
      <c r="C2807" s="1302"/>
      <c r="D2807" s="625"/>
      <c r="E2807" s="625"/>
      <c r="F2807" s="625"/>
      <c r="G2807" s="625"/>
      <c r="H2807" s="1354"/>
      <c r="I2807" s="625"/>
      <c r="J2807" s="625"/>
      <c r="K2807" s="625"/>
      <c r="L2807" s="625"/>
      <c r="M2807" s="625"/>
      <c r="N2807" s="1348"/>
      <c r="O2807" s="302"/>
      <c r="P2807" s="302"/>
      <c r="Q2807" s="729"/>
      <c r="R2807" s="694"/>
      <c r="S2807" s="729"/>
      <c r="T2807" s="694"/>
      <c r="U2807" s="694"/>
      <c r="V2807" s="729"/>
      <c r="W2807" s="694"/>
      <c r="X2807" s="694"/>
      <c r="Y2807" s="694"/>
      <c r="Z2807" s="694"/>
      <c r="AA2807" s="694"/>
      <c r="AB2807" s="694"/>
      <c r="AC2807" s="694"/>
      <c r="AD2807" s="694"/>
      <c r="AE2807" s="694"/>
      <c r="AF2807" s="694"/>
      <c r="AG2807" s="694"/>
      <c r="AH2807" s="694"/>
      <c r="AI2807" s="694"/>
      <c r="AJ2807" s="694"/>
      <c r="AK2807" s="694"/>
      <c r="AL2807" s="694"/>
    </row>
    <row r="2808" spans="1:38" ht="12.75" customHeight="1" thickBot="1" x14ac:dyDescent="0.3">
      <c r="A2808" s="694"/>
      <c r="B2808" s="298"/>
      <c r="C2808" s="1302"/>
      <c r="D2808" s="1307"/>
      <c r="E2808" s="2803" t="str">
        <f>Translations!$B$604</f>
        <v>Получени количества:</v>
      </c>
      <c r="F2808" s="2672"/>
      <c r="G2808" s="627" t="str">
        <f>EUconst_Unit</f>
        <v>Единица мярка</v>
      </c>
      <c r="H2808" s="629">
        <f t="shared" ref="H2808:N2808" si="4103">H$2831</f>
        <v>2024</v>
      </c>
      <c r="I2808" s="1310">
        <f t="shared" si="4103"/>
        <v>2025</v>
      </c>
      <c r="J2808" s="1311">
        <f t="shared" si="4103"/>
        <v>2026</v>
      </c>
      <c r="K2808" s="629">
        <f t="shared" si="4103"/>
        <v>2027</v>
      </c>
      <c r="L2808" s="629">
        <f t="shared" si="4103"/>
        <v>2028</v>
      </c>
      <c r="M2808" s="629">
        <f t="shared" si="4103"/>
        <v>2029</v>
      </c>
      <c r="N2808" s="1312">
        <f t="shared" si="4103"/>
        <v>2030</v>
      </c>
      <c r="O2808" s="302"/>
      <c r="P2808" s="302"/>
      <c r="Q2808" s="729"/>
      <c r="R2808" s="694"/>
      <c r="S2808" s="729"/>
      <c r="T2808" s="694"/>
      <c r="U2808" s="694"/>
      <c r="V2808" s="729"/>
      <c r="W2808" s="694"/>
      <c r="X2808" s="694"/>
      <c r="Y2808" s="694"/>
      <c r="Z2808" s="694"/>
      <c r="AA2808" s="694"/>
      <c r="AB2808" s="694"/>
      <c r="AC2808" s="1178">
        <f t="shared" ref="AC2808" si="4104">H$20</f>
        <v>2024</v>
      </c>
      <c r="AD2808" s="1178">
        <f t="shared" ref="AD2808" si="4105">I$20</f>
        <v>2025</v>
      </c>
      <c r="AE2808" s="1178">
        <f t="shared" ref="AE2808" si="4106">J$20</f>
        <v>2026</v>
      </c>
      <c r="AF2808" s="1178">
        <f t="shared" ref="AF2808" si="4107">K$20</f>
        <v>2027</v>
      </c>
      <c r="AG2808" s="1178">
        <f t="shared" ref="AG2808" si="4108">L$20</f>
        <v>2028</v>
      </c>
      <c r="AH2808" s="1178">
        <f t="shared" ref="AH2808" si="4109">M$20</f>
        <v>2029</v>
      </c>
      <c r="AI2808" s="1178">
        <f t="shared" ref="AI2808" si="4110">N$20</f>
        <v>2030</v>
      </c>
      <c r="AJ2808" s="694"/>
      <c r="AK2808" s="694"/>
      <c r="AL2808" s="694"/>
    </row>
    <row r="2809" spans="1:38" ht="12.75" customHeight="1" x14ac:dyDescent="0.25">
      <c r="A2809" s="694"/>
      <c r="B2809" s="298"/>
      <c r="C2809" s="1302"/>
      <c r="D2809" s="625" t="s">
        <v>7</v>
      </c>
      <c r="E2809" s="2799"/>
      <c r="F2809" s="2800"/>
      <c r="G2809" s="1116" t="str">
        <f>IF(E2809&lt;&gt;"",INDEX(EUconst_BMlistUnits,MATCH(E2809,EUconst_BMlistNames,0)),EUconst_Tons)</f>
        <v>тона</v>
      </c>
      <c r="H2809" s="150"/>
      <c r="I2809" s="151"/>
      <c r="J2809" s="152"/>
      <c r="K2809" s="150"/>
      <c r="L2809" s="150"/>
      <c r="M2809" s="150"/>
      <c r="N2809" s="153"/>
      <c r="O2809" s="302"/>
      <c r="P2809" s="158"/>
      <c r="Q2809" s="1190" t="str">
        <f>EUconst_CNTR_IntermediateImport &amp; S2809 &amp; "_" &amp; I2542</f>
        <v>IntImp_1_</v>
      </c>
      <c r="R2809" s="694"/>
      <c r="S2809" s="1190">
        <v>1</v>
      </c>
      <c r="T2809" s="694"/>
      <c r="U2809" s="694"/>
      <c r="V2809" s="729"/>
      <c r="W2809" s="694"/>
      <c r="X2809" s="694"/>
      <c r="Y2809" s="694"/>
      <c r="Z2809" s="694"/>
      <c r="AA2809" s="694"/>
      <c r="AB2809" s="1182" t="s">
        <v>737</v>
      </c>
      <c r="AC2809" s="901" t="b">
        <f>OR(AND($L2806&lt;&gt;"",$L2806=FALSE),AC2589)</f>
        <v>0</v>
      </c>
      <c r="AD2809" s="982" t="b">
        <f t="shared" ref="AD2809:AI2809" si="4111">OR(AND($L2806&lt;&gt;"",$L2806=FALSE),AD2589)</f>
        <v>0</v>
      </c>
      <c r="AE2809" s="982" t="b">
        <f t="shared" si="4111"/>
        <v>0</v>
      </c>
      <c r="AF2809" s="982" t="b">
        <f t="shared" si="4111"/>
        <v>0</v>
      </c>
      <c r="AG2809" s="982" t="b">
        <f t="shared" si="4111"/>
        <v>0</v>
      </c>
      <c r="AH2809" s="982" t="b">
        <f t="shared" si="4111"/>
        <v>0</v>
      </c>
      <c r="AI2809" s="982" t="b">
        <f t="shared" si="4111"/>
        <v>0</v>
      </c>
      <c r="AJ2809" s="1174" t="s">
        <v>2039</v>
      </c>
      <c r="AK2809" s="1176" t="str">
        <f>IF(AND(CNTR_ExistSubInstEntries,MSconst_RequireSubAttrEmissions,COUNTIFS(AC2809:AI2809,FALSE,H2809:N2809,"")&gt;0),EUconst_Error&amp;"BM"&amp;$Q2542,"")</f>
        <v/>
      </c>
      <c r="AL2809" s="694"/>
    </row>
    <row r="2810" spans="1:38" ht="12.75" customHeight="1" x14ac:dyDescent="0.25">
      <c r="A2810" s="694"/>
      <c r="B2810" s="298"/>
      <c r="C2810" s="1302"/>
      <c r="D2810" s="625" t="s">
        <v>8</v>
      </c>
      <c r="E2810" s="2801"/>
      <c r="F2810" s="2802"/>
      <c r="G2810" s="1349" t="str">
        <f>IF(E2810&lt;&gt;"",INDEX(EUconst_BMlistUnits,MATCH(E2810,EUconst_BMlistNames,0)),EUconst_Tons)</f>
        <v>тона</v>
      </c>
      <c r="H2810" s="154"/>
      <c r="I2810" s="155"/>
      <c r="J2810" s="156"/>
      <c r="K2810" s="154"/>
      <c r="L2810" s="154"/>
      <c r="M2810" s="154"/>
      <c r="N2810" s="157"/>
      <c r="O2810" s="302"/>
      <c r="P2810" s="158"/>
      <c r="Q2810" s="1190" t="str">
        <f>EUconst_CNTR_IntermediateImport &amp; S2810 &amp; "_" &amp; I2542</f>
        <v>IntImp_2_</v>
      </c>
      <c r="R2810" s="694"/>
      <c r="S2810" s="1190">
        <v>2</v>
      </c>
      <c r="T2810" s="694"/>
      <c r="U2810" s="694"/>
      <c r="V2810" s="729"/>
      <c r="W2810" s="694"/>
      <c r="X2810" s="694"/>
      <c r="Y2810" s="694"/>
      <c r="Z2810" s="694"/>
      <c r="AA2810" s="694"/>
      <c r="AB2810" s="694"/>
      <c r="AC2810" s="982" t="b">
        <f>AC2809</f>
        <v>0</v>
      </c>
      <c r="AD2810" s="982" t="b">
        <f t="shared" ref="AD2810:AI2810" si="4112">AD2809</f>
        <v>0</v>
      </c>
      <c r="AE2810" s="982" t="b">
        <f t="shared" si="4112"/>
        <v>0</v>
      </c>
      <c r="AF2810" s="982" t="b">
        <f t="shared" si="4112"/>
        <v>0</v>
      </c>
      <c r="AG2810" s="982" t="b">
        <f t="shared" si="4112"/>
        <v>0</v>
      </c>
      <c r="AH2810" s="982" t="b">
        <f t="shared" si="4112"/>
        <v>0</v>
      </c>
      <c r="AI2810" s="982" t="b">
        <f t="shared" si="4112"/>
        <v>0</v>
      </c>
      <c r="AJ2810" s="694"/>
      <c r="AK2810" s="694"/>
      <c r="AL2810" s="694"/>
    </row>
    <row r="2811" spans="1:38" ht="5.15" customHeight="1" x14ac:dyDescent="0.25">
      <c r="A2811" s="694"/>
      <c r="B2811" s="298"/>
      <c r="C2811" s="1302"/>
      <c r="D2811" s="625"/>
      <c r="E2811" s="625"/>
      <c r="F2811" s="625"/>
      <c r="G2811" s="625"/>
      <c r="H2811" s="625"/>
      <c r="I2811" s="625"/>
      <c r="J2811" s="625"/>
      <c r="K2811" s="625"/>
      <c r="L2811" s="625"/>
      <c r="M2811" s="625"/>
      <c r="N2811" s="1373"/>
      <c r="O2811" s="302"/>
      <c r="P2811" s="302"/>
      <c r="Q2811" s="729"/>
      <c r="R2811" s="694"/>
      <c r="S2811" s="729"/>
      <c r="T2811" s="694"/>
      <c r="U2811" s="694"/>
      <c r="V2811" s="729"/>
      <c r="W2811" s="694"/>
      <c r="X2811" s="694"/>
      <c r="Y2811" s="694"/>
      <c r="Z2811" s="694"/>
      <c r="AA2811" s="694"/>
      <c r="AB2811" s="694"/>
      <c r="AC2811" s="694"/>
      <c r="AD2811" s="694"/>
      <c r="AE2811" s="694"/>
      <c r="AF2811" s="694"/>
      <c r="AG2811" s="694"/>
      <c r="AH2811" s="694"/>
      <c r="AI2811" s="694"/>
      <c r="AJ2811" s="694"/>
      <c r="AK2811" s="694"/>
      <c r="AL2811" s="694"/>
    </row>
    <row r="2812" spans="1:38" ht="12.75" customHeight="1" thickBot="1" x14ac:dyDescent="0.3">
      <c r="A2812" s="694"/>
      <c r="B2812" s="298"/>
      <c r="C2812" s="1302"/>
      <c r="D2812" s="1307"/>
      <c r="E2812" s="2803" t="str">
        <f>Translations!$B$605</f>
        <v>Подадени количества:</v>
      </c>
      <c r="F2812" s="2672"/>
      <c r="G2812" s="627" t="str">
        <f>EUconst_Unit</f>
        <v>Единица мярка</v>
      </c>
      <c r="H2812" s="629">
        <f t="shared" ref="H2812:N2812" si="4113">H$2831</f>
        <v>2024</v>
      </c>
      <c r="I2812" s="1310">
        <f t="shared" si="4113"/>
        <v>2025</v>
      </c>
      <c r="J2812" s="1311">
        <f t="shared" si="4113"/>
        <v>2026</v>
      </c>
      <c r="K2812" s="629">
        <f t="shared" si="4113"/>
        <v>2027</v>
      </c>
      <c r="L2812" s="629">
        <f t="shared" si="4113"/>
        <v>2028</v>
      </c>
      <c r="M2812" s="629">
        <f t="shared" si="4113"/>
        <v>2029</v>
      </c>
      <c r="N2812" s="1312">
        <f t="shared" si="4113"/>
        <v>2030</v>
      </c>
      <c r="O2812" s="302"/>
      <c r="P2812" s="302"/>
      <c r="Q2812" s="729"/>
      <c r="R2812" s="694"/>
      <c r="S2812" s="729"/>
      <c r="T2812" s="694"/>
      <c r="U2812" s="694"/>
      <c r="V2812" s="729"/>
      <c r="W2812" s="694"/>
      <c r="X2812" s="694"/>
      <c r="Y2812" s="694"/>
      <c r="Z2812" s="694"/>
      <c r="AA2812" s="694"/>
      <c r="AB2812" s="694"/>
      <c r="AC2812" s="1178">
        <f t="shared" ref="AC2812" si="4114">H$20</f>
        <v>2024</v>
      </c>
      <c r="AD2812" s="1178">
        <f t="shared" ref="AD2812" si="4115">I$20</f>
        <v>2025</v>
      </c>
      <c r="AE2812" s="1178">
        <f t="shared" ref="AE2812" si="4116">J$20</f>
        <v>2026</v>
      </c>
      <c r="AF2812" s="1178">
        <f t="shared" ref="AF2812" si="4117">K$20</f>
        <v>2027</v>
      </c>
      <c r="AG2812" s="1178">
        <f t="shared" ref="AG2812" si="4118">L$20</f>
        <v>2028</v>
      </c>
      <c r="AH2812" s="1178">
        <f t="shared" ref="AH2812" si="4119">M$20</f>
        <v>2029</v>
      </c>
      <c r="AI2812" s="1178">
        <f t="shared" ref="AI2812" si="4120">N$20</f>
        <v>2030</v>
      </c>
      <c r="AJ2812" s="694"/>
      <c r="AK2812" s="694"/>
      <c r="AL2812" s="694"/>
    </row>
    <row r="2813" spans="1:38" ht="12.75" customHeight="1" x14ac:dyDescent="0.25">
      <c r="A2813" s="694"/>
      <c r="B2813" s="298"/>
      <c r="C2813" s="1302"/>
      <c r="D2813" s="625" t="s">
        <v>18</v>
      </c>
      <c r="E2813" s="2799"/>
      <c r="F2813" s="2800"/>
      <c r="G2813" s="1116" t="str">
        <f>IF(E2813&lt;&gt;"",INDEX(EUconst_BMlistUnits,MATCH(E2813,EUconst_BMlistNames,0)),EUconst_Tons)</f>
        <v>тона</v>
      </c>
      <c r="H2813" s="150"/>
      <c r="I2813" s="151"/>
      <c r="J2813" s="152"/>
      <c r="K2813" s="150"/>
      <c r="L2813" s="150"/>
      <c r="M2813" s="150"/>
      <c r="N2813" s="153"/>
      <c r="O2813" s="302"/>
      <c r="P2813" s="158"/>
      <c r="Q2813" s="1190" t="str">
        <f>EUconst_CNTR_IntermediateExport &amp; S2809 &amp; "_" &amp; I2542</f>
        <v>IntExp_1_</v>
      </c>
      <c r="R2813" s="694"/>
      <c r="S2813" s="1190">
        <v>1</v>
      </c>
      <c r="T2813" s="694"/>
      <c r="U2813" s="694"/>
      <c r="V2813" s="729"/>
      <c r="W2813" s="694"/>
      <c r="X2813" s="1374"/>
      <c r="Y2813" s="1374"/>
      <c r="Z2813" s="694"/>
      <c r="AA2813" s="694"/>
      <c r="AB2813" s="1182" t="s">
        <v>737</v>
      </c>
      <c r="AC2813" s="982" t="b">
        <f>AC2809</f>
        <v>0</v>
      </c>
      <c r="AD2813" s="982" t="b">
        <f t="shared" ref="AD2813:AI2813" si="4121">AD2809</f>
        <v>0</v>
      </c>
      <c r="AE2813" s="982" t="b">
        <f t="shared" si="4121"/>
        <v>0</v>
      </c>
      <c r="AF2813" s="982" t="b">
        <f t="shared" si="4121"/>
        <v>0</v>
      </c>
      <c r="AG2813" s="982" t="b">
        <f t="shared" si="4121"/>
        <v>0</v>
      </c>
      <c r="AH2813" s="982" t="b">
        <f t="shared" si="4121"/>
        <v>0</v>
      </c>
      <c r="AI2813" s="982" t="b">
        <f t="shared" si="4121"/>
        <v>0</v>
      </c>
      <c r="AJ2813" s="1174" t="s">
        <v>2039</v>
      </c>
      <c r="AK2813" s="1176" t="str">
        <f>IF(AND(CNTR_ExistSubInstEntries,MSconst_RequireSubAttrEmissions,COUNTIFS(AC2813:AI2813,FALSE,H2813:N2813,"")&gt;0),EUconst_Error&amp;"BM"&amp;$Q2542,"")</f>
        <v/>
      </c>
      <c r="AL2813" s="694"/>
    </row>
    <row r="2814" spans="1:38" ht="12.75" customHeight="1" x14ac:dyDescent="0.25">
      <c r="A2814" s="694"/>
      <c r="B2814" s="298"/>
      <c r="C2814" s="1302"/>
      <c r="D2814" s="625" t="s">
        <v>810</v>
      </c>
      <c r="E2814" s="2801"/>
      <c r="F2814" s="2802"/>
      <c r="G2814" s="1349" t="str">
        <f>IF(E2814&lt;&gt;"",INDEX(EUconst_BMlistUnits,MATCH(E2814,EUconst_BMlistNames,0)),EUconst_Tons)</f>
        <v>тона</v>
      </c>
      <c r="H2814" s="154"/>
      <c r="I2814" s="155"/>
      <c r="J2814" s="156"/>
      <c r="K2814" s="154"/>
      <c r="L2814" s="154"/>
      <c r="M2814" s="154"/>
      <c r="N2814" s="157"/>
      <c r="O2814" s="302"/>
      <c r="P2814" s="158"/>
      <c r="Q2814" s="1190" t="str">
        <f>EUconst_CNTR_IntermediateExport &amp; S2814 &amp; "_" &amp; I2542</f>
        <v>IntExp_2_</v>
      </c>
      <c r="R2814" s="694"/>
      <c r="S2814" s="1190">
        <v>2</v>
      </c>
      <c r="T2814" s="694"/>
      <c r="U2814" s="694"/>
      <c r="V2814" s="729"/>
      <c r="W2814" s="694"/>
      <c r="X2814" s="1374"/>
      <c r="Y2814" s="1374"/>
      <c r="Z2814" s="694"/>
      <c r="AA2814" s="694"/>
      <c r="AB2814" s="694"/>
      <c r="AC2814" s="982" t="b">
        <f t="shared" ref="AC2814:AI2814" si="4122">AC2810</f>
        <v>0</v>
      </c>
      <c r="AD2814" s="982" t="b">
        <f t="shared" si="4122"/>
        <v>0</v>
      </c>
      <c r="AE2814" s="982" t="b">
        <f t="shared" si="4122"/>
        <v>0</v>
      </c>
      <c r="AF2814" s="982" t="b">
        <f t="shared" si="4122"/>
        <v>0</v>
      </c>
      <c r="AG2814" s="982" t="b">
        <f t="shared" si="4122"/>
        <v>0</v>
      </c>
      <c r="AH2814" s="982" t="b">
        <f t="shared" si="4122"/>
        <v>0</v>
      </c>
      <c r="AI2814" s="982" t="b">
        <f t="shared" si="4122"/>
        <v>0</v>
      </c>
      <c r="AJ2814" s="694"/>
      <c r="AK2814" s="694"/>
      <c r="AL2814" s="694"/>
    </row>
    <row r="2815" spans="1:38" ht="5.15" customHeight="1" x14ac:dyDescent="0.25">
      <c r="A2815" s="694"/>
      <c r="B2815" s="298"/>
      <c r="C2815" s="1302"/>
      <c r="D2815" s="625"/>
      <c r="E2815" s="625"/>
      <c r="F2815" s="625"/>
      <c r="G2815" s="625"/>
      <c r="H2815" s="625"/>
      <c r="I2815" s="625"/>
      <c r="J2815" s="625"/>
      <c r="K2815" s="625"/>
      <c r="L2815" s="625"/>
      <c r="M2815" s="625"/>
      <c r="N2815" s="1348"/>
      <c r="O2815" s="302"/>
      <c r="P2815" s="302"/>
      <c r="Q2815" s="729"/>
      <c r="R2815" s="694"/>
      <c r="S2815" s="729"/>
      <c r="T2815" s="694"/>
      <c r="U2815" s="694"/>
      <c r="V2815" s="729"/>
      <c r="W2815" s="694"/>
      <c r="X2815" s="1374"/>
      <c r="Y2815" s="1374"/>
      <c r="Z2815" s="694"/>
      <c r="AA2815" s="694"/>
      <c r="AB2815" s="694"/>
      <c r="AC2815" s="694"/>
      <c r="AD2815" s="694"/>
      <c r="AE2815" s="694"/>
      <c r="AF2815" s="694"/>
      <c r="AG2815" s="694"/>
      <c r="AH2815" s="694"/>
      <c r="AI2815" s="694"/>
      <c r="AJ2815" s="694"/>
      <c r="AK2815" s="694"/>
      <c r="AL2815" s="694"/>
    </row>
    <row r="2816" spans="1:38" ht="12.75" customHeight="1" x14ac:dyDescent="0.25">
      <c r="A2816" s="694"/>
      <c r="B2816" s="298"/>
      <c r="C2816" s="1302"/>
      <c r="D2816" s="625" t="s">
        <v>811</v>
      </c>
      <c r="E2816" s="626" t="str">
        <f>Translations!$B$606</f>
        <v>Описание на получените или подадените междинни продукти</v>
      </c>
      <c r="F2816" s="626"/>
      <c r="G2816" s="626"/>
      <c r="H2816" s="626"/>
      <c r="I2816" s="626"/>
      <c r="J2816" s="626"/>
      <c r="K2816" s="626"/>
      <c r="L2816" s="626"/>
      <c r="M2816" s="626"/>
      <c r="N2816" s="1348"/>
      <c r="O2816" s="302"/>
      <c r="P2816" s="302"/>
      <c r="Q2816" s="729"/>
      <c r="R2816" s="694"/>
      <c r="S2816" s="729"/>
      <c r="T2816" s="694"/>
      <c r="U2816" s="694"/>
      <c r="V2816" s="729"/>
      <c r="W2816" s="694"/>
      <c r="X2816" s="1374"/>
      <c r="Y2816" s="1374"/>
      <c r="Z2816" s="694"/>
      <c r="AA2816" s="694"/>
      <c r="AB2816" s="694"/>
      <c r="AC2816" s="694"/>
      <c r="AD2816" s="694"/>
      <c r="AE2816" s="694"/>
      <c r="AF2816" s="694"/>
      <c r="AG2816" s="694"/>
      <c r="AH2816" s="694"/>
      <c r="AI2816" s="694"/>
      <c r="AJ2816" s="694"/>
      <c r="AK2816" s="694"/>
      <c r="AL2816" s="694"/>
    </row>
    <row r="2817" spans="1:38" ht="12.75" customHeight="1" x14ac:dyDescent="0.25">
      <c r="A2817" s="694"/>
      <c r="B2817" s="298"/>
      <c r="C2817" s="1302"/>
      <c r="D2817" s="625"/>
      <c r="E2817" s="1375" t="str">
        <f>Translations!$B$607</f>
        <v>Моля, опишете накратко производствения процес във връзка с получени или подадени междинни продукти.</v>
      </c>
      <c r="F2817" s="1322"/>
      <c r="G2817" s="1322"/>
      <c r="H2817" s="1322"/>
      <c r="I2817" s="1322"/>
      <c r="J2817" s="1322"/>
      <c r="K2817" s="1322"/>
      <c r="L2817" s="1322"/>
      <c r="M2817" s="1322"/>
      <c r="N2817" s="1323"/>
      <c r="O2817" s="302"/>
      <c r="P2817" s="302"/>
      <c r="Q2817" s="729"/>
      <c r="R2817" s="694"/>
      <c r="S2817" s="729"/>
      <c r="T2817" s="694"/>
      <c r="U2817" s="694"/>
      <c r="V2817" s="729"/>
      <c r="W2817" s="694"/>
      <c r="X2817" s="1374"/>
      <c r="Y2817" s="1374"/>
      <c r="Z2817" s="694"/>
      <c r="AA2817" s="694"/>
      <c r="AB2817" s="694"/>
      <c r="AC2817" s="694"/>
      <c r="AD2817" s="694"/>
      <c r="AE2817" s="694"/>
      <c r="AF2817" s="694"/>
      <c r="AG2817" s="694"/>
      <c r="AH2817" s="694"/>
      <c r="AI2817" s="694"/>
      <c r="AJ2817" s="694"/>
      <c r="AK2817" s="694"/>
      <c r="AL2817" s="694"/>
    </row>
    <row r="2818" spans="1:38" ht="12.75" customHeight="1" x14ac:dyDescent="0.25">
      <c r="A2818" s="694"/>
      <c r="B2818" s="298"/>
      <c r="C2818" s="1302"/>
      <c r="D2818" s="625"/>
      <c r="E2818" s="2804"/>
      <c r="F2818" s="2805"/>
      <c r="G2818" s="2805"/>
      <c r="H2818" s="2805"/>
      <c r="I2818" s="2805"/>
      <c r="J2818" s="2805"/>
      <c r="K2818" s="2805"/>
      <c r="L2818" s="2805"/>
      <c r="M2818" s="2806"/>
      <c r="N2818" s="1348"/>
      <c r="O2818" s="302"/>
      <c r="P2818" s="158"/>
      <c r="Q2818" s="729"/>
      <c r="R2818" s="694"/>
      <c r="S2818" s="729"/>
      <c r="T2818" s="694"/>
      <c r="U2818" s="694"/>
      <c r="V2818" s="729"/>
      <c r="W2818" s="694"/>
      <c r="X2818" s="1374"/>
      <c r="Y2818" s="1374"/>
      <c r="Z2818" s="694"/>
      <c r="AA2818" s="694"/>
      <c r="AB2818" s="1182" t="s">
        <v>737</v>
      </c>
      <c r="AC2818" s="982" t="b">
        <f>AND(AC2813:AI2813)</f>
        <v>0</v>
      </c>
      <c r="AD2818" s="694"/>
      <c r="AE2818" s="694"/>
      <c r="AF2818" s="694"/>
      <c r="AG2818" s="694"/>
      <c r="AH2818" s="694"/>
      <c r="AI2818" s="694"/>
      <c r="AJ2818" s="694"/>
      <c r="AK2818" s="694"/>
      <c r="AL2818" s="694"/>
    </row>
    <row r="2819" spans="1:38" ht="12.75" customHeight="1" x14ac:dyDescent="0.25">
      <c r="A2819" s="694"/>
      <c r="B2819" s="298"/>
      <c r="C2819" s="1302"/>
      <c r="D2819" s="625"/>
      <c r="E2819" s="2807"/>
      <c r="F2819" s="2808"/>
      <c r="G2819" s="2808"/>
      <c r="H2819" s="2808"/>
      <c r="I2819" s="2808"/>
      <c r="J2819" s="2808"/>
      <c r="K2819" s="2808"/>
      <c r="L2819" s="2808"/>
      <c r="M2819" s="2809"/>
      <c r="N2819" s="1348"/>
      <c r="O2819" s="302"/>
      <c r="P2819" s="302"/>
      <c r="Q2819" s="729"/>
      <c r="R2819" s="694"/>
      <c r="S2819" s="729"/>
      <c r="T2819" s="694"/>
      <c r="U2819" s="694"/>
      <c r="V2819" s="729"/>
      <c r="W2819" s="694"/>
      <c r="X2819" s="1374"/>
      <c r="Y2819" s="1374"/>
      <c r="Z2819" s="694"/>
      <c r="AA2819" s="694"/>
      <c r="AB2819" s="694"/>
      <c r="AC2819" s="982" t="b">
        <f>AC2818</f>
        <v>0</v>
      </c>
      <c r="AD2819" s="694"/>
      <c r="AE2819" s="694"/>
      <c r="AF2819" s="694"/>
      <c r="AG2819" s="694"/>
      <c r="AH2819" s="694"/>
      <c r="AI2819" s="694"/>
      <c r="AJ2819" s="694"/>
      <c r="AK2819" s="694"/>
      <c r="AL2819" s="694"/>
    </row>
    <row r="2820" spans="1:38" ht="12.75" customHeight="1" thickBot="1" x14ac:dyDescent="0.3">
      <c r="A2820" s="694"/>
      <c r="B2820" s="298"/>
      <c r="C2820" s="1376"/>
      <c r="D2820" s="1377"/>
      <c r="E2820" s="1377"/>
      <c r="F2820" s="1377"/>
      <c r="G2820" s="1377"/>
      <c r="H2820" s="1377"/>
      <c r="I2820" s="1377"/>
      <c r="J2820" s="1377"/>
      <c r="K2820" s="1377"/>
      <c r="L2820" s="1377"/>
      <c r="M2820" s="1378"/>
      <c r="N2820" s="1379"/>
      <c r="O2820" s="302"/>
      <c r="P2820" s="302"/>
      <c r="Q2820" s="729"/>
      <c r="R2820" s="694"/>
      <c r="S2820" s="729"/>
      <c r="T2820" s="694"/>
      <c r="U2820" s="694"/>
      <c r="V2820" s="729"/>
      <c r="W2820" s="694"/>
      <c r="X2820" s="694"/>
      <c r="Y2820" s="694"/>
      <c r="Z2820" s="694"/>
      <c r="AA2820" s="694"/>
      <c r="AB2820" s="694"/>
      <c r="AC2820" s="694"/>
      <c r="AD2820" s="694"/>
      <c r="AE2820" s="694"/>
      <c r="AF2820" s="694"/>
      <c r="AG2820" s="694"/>
      <c r="AH2820" s="694"/>
      <c r="AI2820" s="694"/>
      <c r="AJ2820" s="694"/>
      <c r="AK2820" s="694"/>
      <c r="AL2820" s="694"/>
    </row>
    <row r="2821" spans="1:38" ht="12.75" customHeight="1" x14ac:dyDescent="0.25">
      <c r="A2821" s="729"/>
      <c r="B2821" s="284"/>
      <c r="C2821" s="284"/>
      <c r="D2821" s="284"/>
      <c r="E2821" s="284"/>
      <c r="F2821" s="284"/>
      <c r="G2821" s="284"/>
      <c r="H2821" s="284"/>
      <c r="I2821" s="284"/>
      <c r="J2821" s="284"/>
      <c r="K2821" s="284"/>
      <c r="L2821" s="284"/>
      <c r="M2821" s="336"/>
      <c r="N2821" s="336"/>
      <c r="O2821" s="336"/>
      <c r="P2821" s="336"/>
      <c r="Q2821" s="1026" t="str">
        <f>IF(OR(AND(CNTR_ExistProductSubEntries=FALSE,Q2542=1),AND(I2542&lt;&gt;"",COUNTIF(Q2822:Q$2825,"PRINT")=0)),"PRINT","")</f>
        <v/>
      </c>
      <c r="R2821" s="770"/>
      <c r="S2821" s="770"/>
      <c r="T2821" s="770"/>
      <c r="U2821" s="770"/>
      <c r="V2821" s="770"/>
      <c r="W2821" s="770"/>
      <c r="X2821" s="770"/>
      <c r="Y2821" s="770"/>
      <c r="Z2821" s="694"/>
      <c r="AA2821" s="694"/>
      <c r="AB2821" s="694"/>
      <c r="AC2821" s="694"/>
      <c r="AD2821" s="694"/>
      <c r="AE2821" s="343"/>
      <c r="AF2821" s="343"/>
      <c r="AG2821" s="343"/>
      <c r="AH2821" s="343"/>
      <c r="AI2821" s="343"/>
      <c r="AJ2821" s="343"/>
      <c r="AK2821" s="343"/>
      <c r="AL2821" s="343"/>
    </row>
    <row r="2822" spans="1:38" s="1383" customFormat="1" ht="12.75" customHeight="1" x14ac:dyDescent="0.25">
      <c r="A2822" s="694"/>
      <c r="B2822" s="1382"/>
      <c r="C2822" s="1382"/>
      <c r="D2822" s="1382"/>
      <c r="E2822" s="1382"/>
      <c r="F2822" s="1382"/>
      <c r="G2822" s="1382"/>
      <c r="H2822" s="1382"/>
      <c r="I2822" s="1382"/>
      <c r="J2822" s="1382"/>
      <c r="K2822" s="1382"/>
      <c r="L2822" s="290"/>
      <c r="Q2822" s="694"/>
      <c r="R2822" s="694"/>
      <c r="S2822" s="729"/>
      <c r="T2822" s="729"/>
      <c r="U2822" s="694"/>
      <c r="V2822" s="694"/>
      <c r="W2822" s="694"/>
      <c r="X2822" s="694"/>
      <c r="Y2822" s="694"/>
      <c r="Z2822" s="694"/>
      <c r="AA2822" s="694"/>
      <c r="AB2822" s="694"/>
      <c r="AC2822" s="694"/>
      <c r="AD2822" s="694"/>
      <c r="AE2822" s="694"/>
      <c r="AF2822" s="694"/>
      <c r="AG2822" s="694"/>
      <c r="AH2822" s="694"/>
      <c r="AI2822" s="694"/>
      <c r="AJ2822" s="694"/>
      <c r="AK2822" s="694"/>
      <c r="AL2822" s="694"/>
    </row>
    <row r="2823" spans="1:38" ht="13" x14ac:dyDescent="0.25">
      <c r="A2823" s="694"/>
      <c r="B2823" s="698"/>
      <c r="C2823" s="698"/>
      <c r="D2823" s="2710" t="str">
        <f>Translations!$B$64</f>
        <v xml:space="preserve">&lt;&lt;&lt; Щракнете тук за да продължите към следващия лист &gt;&gt;&gt; </v>
      </c>
      <c r="E2823" s="2710"/>
      <c r="F2823" s="2710"/>
      <c r="G2823" s="2710"/>
      <c r="H2823" s="2710"/>
      <c r="I2823" s="2710"/>
      <c r="J2823" s="2710"/>
      <c r="K2823" s="2710"/>
      <c r="L2823" s="2710"/>
      <c r="M2823" s="2710"/>
      <c r="N2823" s="2710"/>
      <c r="O2823" s="302"/>
      <c r="P2823" s="302"/>
      <c r="Q2823" s="694"/>
      <c r="R2823" s="694"/>
      <c r="S2823" s="729"/>
      <c r="T2823" s="729"/>
      <c r="U2823" s="694"/>
      <c r="V2823" s="694"/>
      <c r="W2823" s="694"/>
      <c r="X2823" s="694"/>
      <c r="Y2823" s="694"/>
      <c r="Z2823" s="694"/>
      <c r="AA2823" s="694"/>
      <c r="AB2823" s="694"/>
      <c r="AC2823" s="694"/>
      <c r="AD2823" s="694"/>
      <c r="AE2823" s="694"/>
      <c r="AF2823" s="694"/>
      <c r="AG2823" s="694"/>
      <c r="AH2823" s="694"/>
      <c r="AI2823" s="694"/>
      <c r="AJ2823" s="694"/>
      <c r="AK2823" s="694"/>
      <c r="AL2823" s="694"/>
    </row>
    <row r="2824" spans="1:38" x14ac:dyDescent="0.25">
      <c r="A2824" s="694"/>
      <c r="B2824" s="698"/>
      <c r="C2824" s="698"/>
      <c r="D2824" s="698"/>
      <c r="E2824" s="698"/>
      <c r="F2824" s="698"/>
      <c r="G2824" s="698"/>
      <c r="H2824" s="698"/>
      <c r="I2824" s="698"/>
      <c r="J2824" s="698"/>
      <c r="K2824" s="698"/>
      <c r="L2824" s="698"/>
      <c r="M2824" s="698"/>
      <c r="N2824" s="698"/>
      <c r="O2824" s="302"/>
      <c r="P2824" s="302"/>
      <c r="Q2824" s="694"/>
      <c r="R2824" s="694"/>
      <c r="S2824" s="729"/>
      <c r="T2824" s="729"/>
      <c r="U2824" s="694"/>
      <c r="V2824" s="694"/>
      <c r="W2824" s="694"/>
      <c r="X2824" s="694"/>
      <c r="Y2824" s="694"/>
      <c r="Z2824" s="694"/>
      <c r="AA2824" s="694"/>
      <c r="AB2824" s="694"/>
      <c r="AC2824" s="694"/>
      <c r="AD2824" s="694"/>
      <c r="AE2824" s="694"/>
      <c r="AF2824" s="694"/>
      <c r="AG2824" s="694"/>
      <c r="AH2824" s="694"/>
      <c r="AI2824" s="694"/>
      <c r="AJ2824" s="694"/>
      <c r="AK2824" s="694"/>
      <c r="AL2824" s="694"/>
    </row>
    <row r="2825" spans="1:38" hidden="1" x14ac:dyDescent="0.25">
      <c r="A2825" s="694" t="s">
        <v>312</v>
      </c>
      <c r="B2825" s="694" t="s">
        <v>898</v>
      </c>
      <c r="C2825" s="694" t="s">
        <v>898</v>
      </c>
      <c r="D2825" s="694" t="s">
        <v>898</v>
      </c>
      <c r="E2825" s="694" t="s">
        <v>898</v>
      </c>
      <c r="F2825" s="694" t="s">
        <v>898</v>
      </c>
      <c r="G2825" s="694"/>
      <c r="H2825" s="694" t="s">
        <v>898</v>
      </c>
      <c r="I2825" s="694" t="s">
        <v>898</v>
      </c>
      <c r="J2825" s="694" t="s">
        <v>898</v>
      </c>
      <c r="K2825" s="694" t="s">
        <v>898</v>
      </c>
      <c r="L2825" s="694" t="s">
        <v>898</v>
      </c>
      <c r="M2825" s="694" t="s">
        <v>898</v>
      </c>
      <c r="N2825" s="694" t="s">
        <v>898</v>
      </c>
      <c r="O2825" s="694" t="s">
        <v>898</v>
      </c>
      <c r="P2825" s="694" t="s">
        <v>898</v>
      </c>
      <c r="Q2825" s="694" t="s">
        <v>898</v>
      </c>
      <c r="R2825" s="694" t="s">
        <v>898</v>
      </c>
      <c r="S2825" s="694" t="s">
        <v>898</v>
      </c>
      <c r="T2825" s="694" t="s">
        <v>898</v>
      </c>
      <c r="U2825" s="694" t="s">
        <v>898</v>
      </c>
      <c r="V2825" s="694" t="s">
        <v>898</v>
      </c>
      <c r="W2825" s="694" t="s">
        <v>898</v>
      </c>
      <c r="X2825" s="694" t="s">
        <v>898</v>
      </c>
      <c r="Y2825" s="694" t="s">
        <v>898</v>
      </c>
      <c r="Z2825" s="694" t="s">
        <v>898</v>
      </c>
      <c r="AA2825" s="694" t="s">
        <v>898</v>
      </c>
      <c r="AB2825" s="694" t="s">
        <v>898</v>
      </c>
      <c r="AC2825" s="694" t="s">
        <v>898</v>
      </c>
      <c r="AD2825" s="694" t="s">
        <v>898</v>
      </c>
      <c r="AE2825" s="694" t="s">
        <v>898</v>
      </c>
      <c r="AF2825" s="694" t="s">
        <v>898</v>
      </c>
      <c r="AG2825" s="694" t="s">
        <v>898</v>
      </c>
      <c r="AH2825" s="694" t="s">
        <v>898</v>
      </c>
      <c r="AI2825" s="694" t="s">
        <v>898</v>
      </c>
      <c r="AJ2825" s="694" t="s">
        <v>898</v>
      </c>
      <c r="AK2825" s="694" t="s">
        <v>898</v>
      </c>
      <c r="AL2825" s="694" t="s">
        <v>898</v>
      </c>
    </row>
    <row r="2826" spans="1:38" hidden="1" x14ac:dyDescent="0.25">
      <c r="A2826" s="694" t="s">
        <v>312</v>
      </c>
      <c r="B2826" s="725"/>
      <c r="C2826" s="725"/>
      <c r="D2826" s="725"/>
      <c r="E2826" s="725"/>
      <c r="F2826" s="725"/>
      <c r="G2826" s="725"/>
      <c r="H2826" s="725"/>
      <c r="I2826" s="725"/>
      <c r="J2826" s="725"/>
      <c r="K2826" s="725"/>
      <c r="L2826" s="725"/>
      <c r="M2826" s="725"/>
      <c r="N2826" s="725"/>
      <c r="O2826" s="725"/>
      <c r="P2826" s="725"/>
      <c r="Q2826" s="694"/>
      <c r="R2826" s="694"/>
      <c r="S2826" s="729"/>
      <c r="T2826" s="729"/>
      <c r="U2826" s="694"/>
      <c r="V2826" s="694"/>
      <c r="W2826" s="694"/>
      <c r="X2826" s="694"/>
      <c r="Y2826" s="694"/>
      <c r="Z2826" s="694"/>
      <c r="AA2826" s="694"/>
      <c r="AB2826" s="694"/>
      <c r="AC2826" s="694"/>
      <c r="AD2826" s="694"/>
      <c r="AE2826" s="694"/>
      <c r="AF2826" s="694"/>
      <c r="AG2826" s="694"/>
      <c r="AH2826" s="694"/>
      <c r="AI2826" s="694"/>
      <c r="AJ2826" s="694"/>
      <c r="AK2826" s="694"/>
      <c r="AL2826" s="694"/>
    </row>
    <row r="2827" spans="1:38" ht="13.5" hidden="1" thickBot="1" x14ac:dyDescent="0.3">
      <c r="A2827" s="694" t="s">
        <v>312</v>
      </c>
      <c r="B2827" s="694"/>
      <c r="C2827" s="694"/>
      <c r="D2827" s="1031" t="s">
        <v>899</v>
      </c>
      <c r="E2827" s="694"/>
      <c r="F2827" s="694"/>
      <c r="G2827" s="694"/>
      <c r="H2827" s="694"/>
      <c r="I2827" s="694"/>
      <c r="J2827" s="694"/>
      <c r="K2827" s="694"/>
      <c r="L2827" s="694"/>
      <c r="M2827" s="694"/>
      <c r="N2827" s="694"/>
      <c r="O2827" s="694"/>
      <c r="P2827" s="694"/>
      <c r="Q2827" s="694"/>
      <c r="R2827" s="694"/>
      <c r="S2827" s="729"/>
      <c r="T2827" s="729"/>
      <c r="U2827" s="694"/>
      <c r="V2827" s="694"/>
      <c r="W2827" s="694"/>
      <c r="X2827" s="694"/>
      <c r="Y2827" s="694"/>
      <c r="Z2827" s="694"/>
      <c r="AA2827" s="694"/>
      <c r="AB2827" s="694"/>
      <c r="AC2827" s="694"/>
      <c r="AD2827" s="694"/>
      <c r="AE2827" s="694"/>
      <c r="AF2827" s="694"/>
      <c r="AG2827" s="694"/>
      <c r="AH2827" s="694"/>
      <c r="AI2827" s="694"/>
      <c r="AJ2827" s="694"/>
      <c r="AK2827" s="694"/>
      <c r="AL2827" s="694"/>
    </row>
    <row r="2828" spans="1:38" ht="13" hidden="1" x14ac:dyDescent="0.25">
      <c r="A2828" s="694" t="s">
        <v>312</v>
      </c>
      <c r="B2828" s="725"/>
      <c r="C2828" s="725"/>
      <c r="D2828" s="725"/>
      <c r="E2828" s="784" t="s">
        <v>559</v>
      </c>
      <c r="F2828" s="785"/>
      <c r="G2828" s="785"/>
      <c r="H2828" s="785"/>
      <c r="I2828" s="785"/>
      <c r="J2828" s="785"/>
      <c r="K2828" s="785"/>
      <c r="L2828" s="785"/>
      <c r="M2828" s="785"/>
      <c r="N2828" s="786"/>
      <c r="O2828" s="725"/>
      <c r="P2828" s="725"/>
      <c r="Q2828" s="694"/>
      <c r="R2828" s="694"/>
      <c r="S2828" s="729"/>
      <c r="T2828" s="729"/>
      <c r="U2828" s="694"/>
      <c r="V2828" s="694"/>
      <c r="W2828" s="694"/>
      <c r="X2828" s="694"/>
      <c r="Y2828" s="694"/>
      <c r="Z2828" s="694"/>
      <c r="AA2828" s="694"/>
      <c r="AB2828" s="694"/>
      <c r="AC2828" s="694"/>
      <c r="AD2828" s="694"/>
      <c r="AE2828" s="694"/>
      <c r="AF2828" s="694"/>
      <c r="AG2828" s="694"/>
      <c r="AH2828" s="694"/>
      <c r="AI2828" s="694"/>
      <c r="AJ2828" s="694"/>
      <c r="AK2828" s="694"/>
      <c r="AL2828" s="694"/>
    </row>
    <row r="2829" spans="1:38" hidden="1" x14ac:dyDescent="0.25">
      <c r="A2829" s="694" t="s">
        <v>312</v>
      </c>
      <c r="B2829" s="725"/>
      <c r="C2829" s="725"/>
      <c r="D2829" s="725"/>
      <c r="E2829" s="787" t="s">
        <v>902</v>
      </c>
      <c r="F2829" s="788"/>
      <c r="G2829" s="788"/>
      <c r="H2829" s="788"/>
      <c r="I2829" s="789"/>
      <c r="J2829" s="789">
        <f>A_InstallationData!J410</f>
        <v>1</v>
      </c>
      <c r="K2829" s="789">
        <f>A_InstallationData!K410</f>
        <v>2</v>
      </c>
      <c r="L2829" s="789">
        <f>A_InstallationData!L410</f>
        <v>3</v>
      </c>
      <c r="M2829" s="789">
        <f>A_InstallationData!M410</f>
        <v>4</v>
      </c>
      <c r="N2829" s="789">
        <f>A_InstallationData!N410</f>
        <v>5</v>
      </c>
      <c r="O2829" s="725"/>
      <c r="P2829" s="725"/>
      <c r="Q2829" s="694"/>
      <c r="R2829" s="694"/>
      <c r="S2829" s="729"/>
      <c r="T2829" s="729"/>
      <c r="U2829" s="694"/>
      <c r="V2829" s="694"/>
      <c r="W2829" s="694"/>
      <c r="X2829" s="694"/>
      <c r="Y2829" s="694"/>
      <c r="Z2829" s="694"/>
      <c r="AA2829" s="694"/>
      <c r="AB2829" s="694"/>
      <c r="AC2829" s="694"/>
      <c r="AD2829" s="694"/>
      <c r="AE2829" s="694"/>
      <c r="AF2829" s="694"/>
      <c r="AG2829" s="694"/>
      <c r="AH2829" s="694"/>
      <c r="AI2829" s="694"/>
      <c r="AJ2829" s="694"/>
      <c r="AK2829" s="694"/>
      <c r="AL2829" s="694"/>
    </row>
    <row r="2830" spans="1:38" hidden="1" x14ac:dyDescent="0.25">
      <c r="A2830" s="694" t="s">
        <v>312</v>
      </c>
      <c r="B2830" s="725"/>
      <c r="C2830" s="725"/>
      <c r="D2830" s="725"/>
      <c r="E2830" s="791" t="s">
        <v>1163</v>
      </c>
      <c r="F2830" s="788"/>
      <c r="G2830" s="788"/>
      <c r="H2830" s="789">
        <f>A_InstallationData!H411</f>
        <v>2019</v>
      </c>
      <c r="I2830" s="789">
        <f>A_InstallationData!I411</f>
        <v>2020</v>
      </c>
      <c r="J2830" s="789">
        <f>A_InstallationData!J411</f>
        <v>2021</v>
      </c>
      <c r="K2830" s="789">
        <f>A_InstallationData!K411</f>
        <v>2022</v>
      </c>
      <c r="L2830" s="789">
        <f>A_InstallationData!L411</f>
        <v>2023</v>
      </c>
      <c r="M2830" s="789">
        <f>A_InstallationData!M411</f>
        <v>2024</v>
      </c>
      <c r="N2830" s="789">
        <f>A_InstallationData!N411</f>
        <v>2025</v>
      </c>
      <c r="O2830" s="725"/>
      <c r="P2830" s="725"/>
      <c r="Q2830" s="694"/>
      <c r="R2830" s="694"/>
      <c r="S2830" s="729"/>
      <c r="T2830" s="729"/>
      <c r="U2830" s="694"/>
      <c r="V2830" s="694"/>
      <c r="W2830" s="694"/>
      <c r="X2830" s="694"/>
      <c r="Y2830" s="694"/>
      <c r="Z2830" s="694"/>
      <c r="AA2830" s="694"/>
      <c r="AB2830" s="694"/>
      <c r="AC2830" s="694"/>
      <c r="AD2830" s="694"/>
      <c r="AE2830" s="694"/>
      <c r="AF2830" s="694"/>
      <c r="AG2830" s="694"/>
      <c r="AH2830" s="694"/>
      <c r="AI2830" s="694"/>
      <c r="AJ2830" s="694"/>
      <c r="AK2830" s="694"/>
      <c r="AL2830" s="694"/>
    </row>
    <row r="2831" spans="1:38" hidden="1" x14ac:dyDescent="0.25">
      <c r="A2831" s="694" t="s">
        <v>312</v>
      </c>
      <c r="B2831" s="725"/>
      <c r="C2831" s="725"/>
      <c r="D2831" s="725"/>
      <c r="E2831" s="791" t="s">
        <v>1162</v>
      </c>
      <c r="F2831" s="792"/>
      <c r="G2831" s="792"/>
      <c r="H2831" s="789">
        <f>A_InstallationData!H412</f>
        <v>2024</v>
      </c>
      <c r="I2831" s="789">
        <f>A_InstallationData!I412</f>
        <v>2025</v>
      </c>
      <c r="J2831" s="793">
        <f>A_InstallationData!J412</f>
        <v>2026</v>
      </c>
      <c r="K2831" s="793">
        <f>A_InstallationData!K412</f>
        <v>2027</v>
      </c>
      <c r="L2831" s="793">
        <f>A_InstallationData!L412</f>
        <v>2028</v>
      </c>
      <c r="M2831" s="793">
        <f>A_InstallationData!M412</f>
        <v>2029</v>
      </c>
      <c r="N2831" s="793">
        <f>A_InstallationData!N412</f>
        <v>2030</v>
      </c>
      <c r="O2831" s="698"/>
      <c r="P2831" s="698"/>
      <c r="Q2831" s="694"/>
      <c r="R2831" s="694"/>
      <c r="S2831" s="729"/>
      <c r="T2831" s="729"/>
      <c r="U2831" s="694"/>
      <c r="V2831" s="694"/>
      <c r="W2831" s="694"/>
      <c r="X2831" s="694"/>
      <c r="Y2831" s="694"/>
      <c r="Z2831" s="694"/>
      <c r="AA2831" s="694"/>
      <c r="AB2831" s="694"/>
      <c r="AC2831" s="694"/>
      <c r="AD2831" s="694"/>
      <c r="AE2831" s="694"/>
      <c r="AF2831" s="694"/>
      <c r="AG2831" s="694"/>
      <c r="AH2831" s="694"/>
      <c r="AI2831" s="694"/>
      <c r="AJ2831" s="694"/>
      <c r="AK2831" s="694"/>
      <c r="AL2831" s="694"/>
    </row>
    <row r="2832" spans="1:38" hidden="1" x14ac:dyDescent="0.25">
      <c r="A2832" s="694" t="s">
        <v>312</v>
      </c>
      <c r="B2832" s="725"/>
      <c r="C2832" s="725"/>
      <c r="D2832" s="725"/>
      <c r="E2832" s="791" t="s">
        <v>558</v>
      </c>
      <c r="F2832" s="792"/>
      <c r="G2832" s="792"/>
      <c r="H2832" s="792"/>
      <c r="I2832" s="793"/>
      <c r="J2832" s="793">
        <f>A_InstallationData!J413</f>
        <v>2</v>
      </c>
      <c r="K2832" s="793">
        <f>A_InstallationData!K413</f>
        <v>2</v>
      </c>
      <c r="L2832" s="793">
        <f>A_InstallationData!L413</f>
        <v>2</v>
      </c>
      <c r="M2832" s="793">
        <f>A_InstallationData!M413</f>
        <v>2</v>
      </c>
      <c r="N2832" s="793">
        <f>A_InstallationData!N413</f>
        <v>2</v>
      </c>
      <c r="O2832" s="725"/>
      <c r="P2832" s="725"/>
      <c r="Q2832" s="694"/>
      <c r="R2832" s="694"/>
      <c r="S2832" s="729"/>
      <c r="T2832" s="729"/>
      <c r="U2832" s="694"/>
      <c r="V2832" s="694"/>
      <c r="W2832" s="694"/>
      <c r="X2832" s="694"/>
      <c r="Y2832" s="694"/>
      <c r="Z2832" s="694"/>
      <c r="AA2832" s="694"/>
      <c r="AB2832" s="694"/>
      <c r="AC2832" s="694"/>
      <c r="AD2832" s="694"/>
      <c r="AE2832" s="694"/>
      <c r="AF2832" s="694"/>
      <c r="AG2832" s="694"/>
      <c r="AH2832" s="694"/>
      <c r="AI2832" s="694"/>
      <c r="AJ2832" s="694"/>
      <c r="AK2832" s="694"/>
      <c r="AL2832" s="694"/>
    </row>
    <row r="2833" spans="1:38" hidden="1" x14ac:dyDescent="0.25">
      <c r="A2833" s="694" t="s">
        <v>312</v>
      </c>
      <c r="B2833" s="725"/>
      <c r="C2833" s="725"/>
      <c r="D2833" s="725"/>
      <c r="E2833" s="791" t="s">
        <v>556</v>
      </c>
      <c r="F2833" s="792"/>
      <c r="G2833" s="792"/>
      <c r="H2833" s="792" t="b">
        <f>A_InstallationData!H414</f>
        <v>1</v>
      </c>
      <c r="I2833" s="792" t="b">
        <f>A_InstallationData!I414</f>
        <v>1</v>
      </c>
      <c r="J2833" s="792" t="b">
        <f>A_InstallationData!J414</f>
        <v>1</v>
      </c>
      <c r="K2833" s="792" t="b">
        <f>A_InstallationData!K414</f>
        <v>1</v>
      </c>
      <c r="L2833" s="792" t="b">
        <f>A_InstallationData!L414</f>
        <v>1</v>
      </c>
      <c r="M2833" s="792" t="b">
        <f>A_InstallationData!M414</f>
        <v>1</v>
      </c>
      <c r="N2833" s="792" t="b">
        <f>A_InstallationData!N414</f>
        <v>1</v>
      </c>
      <c r="O2833" s="725"/>
      <c r="P2833" s="725"/>
      <c r="Q2833" s="694"/>
      <c r="R2833" s="694"/>
      <c r="S2833" s="729"/>
      <c r="T2833" s="729"/>
      <c r="U2833" s="694"/>
      <c r="V2833" s="694"/>
      <c r="W2833" s="694"/>
      <c r="X2833" s="694"/>
      <c r="Y2833" s="694"/>
      <c r="Z2833" s="694"/>
      <c r="AA2833" s="694"/>
      <c r="AB2833" s="694"/>
      <c r="AC2833" s="694"/>
      <c r="AD2833" s="694"/>
      <c r="AE2833" s="694"/>
      <c r="AF2833" s="694"/>
      <c r="AG2833" s="694"/>
      <c r="AH2833" s="694"/>
      <c r="AI2833" s="694"/>
      <c r="AJ2833" s="694"/>
      <c r="AK2833" s="694"/>
      <c r="AL2833" s="694"/>
    </row>
    <row r="2834" spans="1:38" ht="13" hidden="1" thickBot="1" x14ac:dyDescent="0.3">
      <c r="A2834" s="694" t="s">
        <v>312</v>
      </c>
      <c r="B2834" s="725"/>
      <c r="C2834" s="725"/>
      <c r="D2834" s="725"/>
      <c r="E2834" s="797" t="s">
        <v>557</v>
      </c>
      <c r="F2834" s="798"/>
      <c r="G2834" s="798"/>
      <c r="H2834" s="798" t="b">
        <f>A_InstallationData!H415</f>
        <v>1</v>
      </c>
      <c r="I2834" s="798" t="b">
        <f>A_InstallationData!I415</f>
        <v>1</v>
      </c>
      <c r="J2834" s="798" t="b">
        <f>A_InstallationData!J415</f>
        <v>1</v>
      </c>
      <c r="K2834" s="798" t="b">
        <f>A_InstallationData!K415</f>
        <v>1</v>
      </c>
      <c r="L2834" s="798" t="b">
        <f>A_InstallationData!L415</f>
        <v>1</v>
      </c>
      <c r="M2834" s="798" t="b">
        <f>A_InstallationData!M415</f>
        <v>1</v>
      </c>
      <c r="N2834" s="798" t="b">
        <f>A_InstallationData!N415</f>
        <v>1</v>
      </c>
      <c r="O2834" s="725"/>
      <c r="P2834" s="725"/>
      <c r="Q2834" s="694"/>
      <c r="R2834" s="694"/>
      <c r="S2834" s="729"/>
      <c r="T2834" s="729"/>
      <c r="U2834" s="694"/>
      <c r="V2834" s="694"/>
      <c r="W2834" s="694"/>
      <c r="X2834" s="694"/>
      <c r="Y2834" s="694"/>
      <c r="Z2834" s="694"/>
      <c r="AA2834" s="694"/>
      <c r="AB2834" s="694"/>
      <c r="AC2834" s="694"/>
      <c r="AD2834" s="694"/>
      <c r="AE2834" s="694"/>
      <c r="AF2834" s="694"/>
      <c r="AG2834" s="694"/>
      <c r="AH2834" s="694"/>
      <c r="AI2834" s="694"/>
      <c r="AJ2834" s="694"/>
      <c r="AK2834" s="694"/>
      <c r="AL2834" s="694"/>
    </row>
    <row r="2835" spans="1:38" hidden="1" x14ac:dyDescent="0.25">
      <c r="A2835" s="694" t="s">
        <v>312</v>
      </c>
      <c r="B2835" s="725"/>
      <c r="C2835" s="725"/>
      <c r="D2835" s="725"/>
      <c r="E2835" s="725"/>
      <c r="F2835" s="725"/>
      <c r="G2835" s="725"/>
      <c r="H2835" s="725"/>
      <c r="I2835" s="725"/>
      <c r="J2835" s="725"/>
      <c r="K2835" s="725"/>
      <c r="L2835" s="725"/>
      <c r="M2835" s="725"/>
      <c r="N2835" s="725"/>
      <c r="O2835" s="725"/>
      <c r="P2835" s="725"/>
      <c r="Q2835" s="694"/>
      <c r="R2835" s="694"/>
      <c r="S2835" s="729"/>
      <c r="T2835" s="729"/>
      <c r="U2835" s="694"/>
      <c r="V2835" s="694"/>
      <c r="W2835" s="694"/>
      <c r="X2835" s="694"/>
      <c r="Y2835" s="694"/>
      <c r="Z2835" s="694"/>
      <c r="AA2835" s="694"/>
      <c r="AB2835" s="694"/>
      <c r="AC2835" s="694"/>
      <c r="AD2835" s="694"/>
      <c r="AE2835" s="694"/>
      <c r="AF2835" s="694"/>
      <c r="AG2835" s="694"/>
      <c r="AH2835" s="694"/>
      <c r="AI2835" s="694"/>
      <c r="AJ2835" s="694"/>
      <c r="AK2835" s="694"/>
      <c r="AL2835" s="694"/>
    </row>
    <row r="2836" spans="1:38" ht="13" hidden="1" x14ac:dyDescent="0.25">
      <c r="A2836" s="694" t="s">
        <v>312</v>
      </c>
      <c r="B2836" s="725"/>
      <c r="C2836" s="725"/>
      <c r="D2836" s="725"/>
      <c r="E2836" s="669" t="str">
        <f>Translations!$B$1528</f>
        <v>Сума на измеримата топлинна енергия, получена от източници извън СТЕ, за по-нататъшно използване в работен лист „E_EnergyFlows“:</v>
      </c>
      <c r="F2836" s="725"/>
      <c r="G2836" s="725"/>
      <c r="H2836" s="725"/>
      <c r="I2836" s="725"/>
      <c r="J2836" s="725"/>
      <c r="K2836" s="725"/>
      <c r="L2836" s="725"/>
      <c r="M2836" s="725"/>
      <c r="N2836" s="725"/>
      <c r="O2836" s="725"/>
      <c r="P2836" s="725"/>
      <c r="Q2836" s="694"/>
      <c r="R2836" s="694"/>
      <c r="S2836" s="729"/>
      <c r="T2836" s="729"/>
      <c r="U2836" s="694"/>
      <c r="V2836" s="694"/>
      <c r="W2836" s="694"/>
      <c r="X2836" s="694"/>
      <c r="Y2836" s="694"/>
      <c r="Z2836" s="694"/>
      <c r="AA2836" s="694"/>
      <c r="AB2836" s="694"/>
      <c r="AC2836" s="694"/>
      <c r="AD2836" s="694"/>
      <c r="AE2836" s="694"/>
      <c r="AF2836" s="694"/>
      <c r="AG2836" s="694"/>
      <c r="AH2836" s="694"/>
      <c r="AI2836" s="694"/>
      <c r="AJ2836" s="694"/>
      <c r="AK2836" s="694"/>
      <c r="AL2836" s="694"/>
    </row>
    <row r="2837" spans="1:38" ht="13" hidden="1" thickBot="1" x14ac:dyDescent="0.3">
      <c r="A2837" s="694" t="s">
        <v>312</v>
      </c>
      <c r="B2837" s="725"/>
      <c r="C2837" s="725"/>
      <c r="D2837" s="725"/>
      <c r="E2837" s="788"/>
      <c r="F2837" s="788"/>
      <c r="G2837" s="788"/>
      <c r="H2837" s="788">
        <f t="shared" ref="H2837:N2837" si="4123">H$2831</f>
        <v>2024</v>
      </c>
      <c r="I2837" s="788">
        <f t="shared" si="4123"/>
        <v>2025</v>
      </c>
      <c r="J2837" s="788">
        <f t="shared" si="4123"/>
        <v>2026</v>
      </c>
      <c r="K2837" s="788">
        <f t="shared" si="4123"/>
        <v>2027</v>
      </c>
      <c r="L2837" s="788">
        <f t="shared" si="4123"/>
        <v>2028</v>
      </c>
      <c r="M2837" s="788">
        <f t="shared" si="4123"/>
        <v>2029</v>
      </c>
      <c r="N2837" s="788">
        <f t="shared" si="4123"/>
        <v>2030</v>
      </c>
      <c r="O2837" s="725"/>
      <c r="P2837" s="725"/>
      <c r="Q2837" s="694" t="s">
        <v>773</v>
      </c>
      <c r="R2837" s="694"/>
      <c r="S2837" s="729"/>
      <c r="T2837" s="729"/>
      <c r="U2837" s="694"/>
      <c r="V2837" s="694"/>
      <c r="W2837" s="694"/>
      <c r="X2837" s="694"/>
      <c r="Y2837" s="694"/>
      <c r="Z2837" s="694"/>
      <c r="AA2837" s="694"/>
      <c r="AB2837" s="694"/>
      <c r="AC2837" s="694"/>
      <c r="AD2837" s="694"/>
      <c r="AE2837" s="694"/>
      <c r="AF2837" s="694"/>
      <c r="AG2837" s="694"/>
      <c r="AH2837" s="694"/>
      <c r="AI2837" s="694"/>
      <c r="AJ2837" s="694"/>
      <c r="AK2837" s="694"/>
      <c r="AL2837" s="694"/>
    </row>
    <row r="2838" spans="1:38" ht="13.5" hidden="1" thickBot="1" x14ac:dyDescent="0.3">
      <c r="A2838" s="694" t="s">
        <v>312</v>
      </c>
      <c r="B2838" s="725"/>
      <c r="C2838" s="725"/>
      <c r="D2838" s="725"/>
      <c r="E2838" s="1145" t="s">
        <v>772</v>
      </c>
      <c r="F2838" s="1145"/>
      <c r="G2838" s="1145"/>
      <c r="H2838" s="1145">
        <f t="shared" ref="H2838:N2838" si="4124">COUNTIFS($Q$6:$Q$2825,$Q2838,$H$6:$H$2825,"&gt;="&amp;0)</f>
        <v>0</v>
      </c>
      <c r="I2838" s="1145">
        <f t="shared" si="4124"/>
        <v>0</v>
      </c>
      <c r="J2838" s="1145">
        <f t="shared" si="4124"/>
        <v>0</v>
      </c>
      <c r="K2838" s="1145">
        <f t="shared" si="4124"/>
        <v>0</v>
      </c>
      <c r="L2838" s="1145">
        <f t="shared" si="4124"/>
        <v>0</v>
      </c>
      <c r="M2838" s="1145">
        <f t="shared" si="4124"/>
        <v>0</v>
      </c>
      <c r="N2838" s="1145">
        <f t="shared" si="4124"/>
        <v>0</v>
      </c>
      <c r="O2838" s="725"/>
      <c r="P2838" s="725"/>
      <c r="Q2838" s="1384" t="str">
        <f>EUconst_CNTR_HAL&amp;EUconst_CNTR_nonETSMeasHeat</f>
        <v>HAL_измерима топлинна енергия извън СТЕ</v>
      </c>
      <c r="R2838" s="694"/>
      <c r="S2838" s="729"/>
      <c r="T2838" s="729"/>
      <c r="U2838" s="694"/>
      <c r="V2838" s="694"/>
      <c r="W2838" s="694"/>
      <c r="X2838" s="694"/>
      <c r="Y2838" s="694"/>
      <c r="Z2838" s="694"/>
      <c r="AA2838" s="694"/>
      <c r="AB2838" s="694"/>
      <c r="AC2838" s="694"/>
      <c r="AD2838" s="694"/>
      <c r="AE2838" s="694"/>
      <c r="AF2838" s="694"/>
      <c r="AG2838" s="694"/>
      <c r="AH2838" s="694"/>
      <c r="AI2838" s="694"/>
      <c r="AJ2838" s="694"/>
      <c r="AK2838" s="694"/>
      <c r="AL2838" s="694"/>
    </row>
    <row r="2839" spans="1:38" ht="13.5" hidden="1" thickBot="1" x14ac:dyDescent="0.3">
      <c r="A2839" s="694" t="s">
        <v>312</v>
      </c>
      <c r="B2839" s="725"/>
      <c r="C2839" s="725"/>
      <c r="D2839" s="725"/>
      <c r="E2839" s="1385" t="s">
        <v>775</v>
      </c>
      <c r="F2839" s="1386"/>
      <c r="G2839" s="1387" t="str">
        <f>EUconst_TJpa</f>
        <v>TJ / година</v>
      </c>
      <c r="H2839" s="1388" t="str">
        <f t="shared" ref="H2839:N2839" si="4125">IF(H2838&gt;0,SUMIF($Q$11:$Q$2825,$Q2838,H$11:H$2825),"")</f>
        <v/>
      </c>
      <c r="I2839" s="1388" t="str">
        <f t="shared" si="4125"/>
        <v/>
      </c>
      <c r="J2839" s="1388" t="str">
        <f t="shared" si="4125"/>
        <v/>
      </c>
      <c r="K2839" s="1388" t="str">
        <f t="shared" si="4125"/>
        <v/>
      </c>
      <c r="L2839" s="1388" t="str">
        <f t="shared" si="4125"/>
        <v/>
      </c>
      <c r="M2839" s="1388" t="str">
        <f t="shared" si="4125"/>
        <v/>
      </c>
      <c r="N2839" s="1389" t="str">
        <f t="shared" si="4125"/>
        <v/>
      </c>
      <c r="O2839" s="725"/>
      <c r="P2839" s="725"/>
      <c r="Q2839" s="694" t="s">
        <v>776</v>
      </c>
      <c r="R2839" s="694"/>
      <c r="S2839" s="729"/>
      <c r="T2839" s="729"/>
      <c r="U2839" s="694"/>
      <c r="V2839" s="694"/>
      <c r="W2839" s="694"/>
      <c r="X2839" s="694"/>
      <c r="Y2839" s="694"/>
      <c r="Z2839" s="694"/>
      <c r="AA2839" s="694"/>
      <c r="AB2839" s="694"/>
      <c r="AC2839" s="694"/>
      <c r="AD2839" s="694"/>
      <c r="AE2839" s="694"/>
      <c r="AF2839" s="694"/>
      <c r="AG2839" s="694"/>
      <c r="AH2839" s="694"/>
      <c r="AI2839" s="694"/>
      <c r="AJ2839" s="694"/>
      <c r="AK2839" s="694"/>
      <c r="AL2839" s="694"/>
    </row>
    <row r="2840" spans="1:38" hidden="1" x14ac:dyDescent="0.25">
      <c r="A2840" s="694" t="s">
        <v>312</v>
      </c>
      <c r="B2840" s="725"/>
      <c r="C2840" s="725"/>
      <c r="D2840" s="725"/>
      <c r="E2840" s="725"/>
      <c r="F2840" s="725"/>
      <c r="G2840" s="725"/>
      <c r="H2840" s="725"/>
      <c r="I2840" s="725"/>
      <c r="J2840" s="725"/>
      <c r="K2840" s="725"/>
      <c r="L2840" s="725"/>
      <c r="M2840" s="725"/>
      <c r="N2840" s="725"/>
      <c r="O2840" s="725"/>
      <c r="P2840" s="725"/>
      <c r="Q2840" s="694"/>
      <c r="R2840" s="694"/>
      <c r="S2840" s="729"/>
      <c r="T2840" s="729"/>
      <c r="U2840" s="694"/>
      <c r="V2840" s="694"/>
      <c r="W2840" s="694"/>
      <c r="X2840" s="694"/>
      <c r="Y2840" s="694"/>
      <c r="Z2840" s="694"/>
      <c r="AA2840" s="694"/>
      <c r="AB2840" s="694"/>
      <c r="AC2840" s="694"/>
      <c r="AD2840" s="694"/>
      <c r="AE2840" s="694"/>
      <c r="AF2840" s="694"/>
      <c r="AG2840" s="694"/>
      <c r="AH2840" s="694"/>
      <c r="AI2840" s="694"/>
      <c r="AJ2840" s="694"/>
      <c r="AK2840" s="694"/>
      <c r="AL2840" s="694"/>
    </row>
    <row r="2841" spans="1:38" ht="13" hidden="1" x14ac:dyDescent="0.25">
      <c r="A2841" s="694" t="s">
        <v>312</v>
      </c>
      <c r="B2841" s="725"/>
      <c r="C2841" s="725"/>
      <c r="D2841" s="725"/>
      <c r="E2841" s="669" t="s">
        <v>580</v>
      </c>
      <c r="F2841" s="725"/>
      <c r="G2841" s="725"/>
      <c r="H2841" s="725"/>
      <c r="I2841" s="725"/>
      <c r="J2841" s="725"/>
      <c r="K2841" s="725"/>
      <c r="L2841" s="725"/>
      <c r="M2841" s="725"/>
      <c r="N2841" s="725"/>
      <c r="O2841" s="725"/>
      <c r="P2841" s="725"/>
      <c r="Q2841" s="694"/>
      <c r="R2841" s="694"/>
      <c r="S2841" s="729"/>
      <c r="T2841" s="729"/>
      <c r="U2841" s="694"/>
      <c r="V2841" s="694"/>
      <c r="W2841" s="694"/>
      <c r="X2841" s="694"/>
      <c r="Y2841" s="694"/>
      <c r="Z2841" s="694"/>
      <c r="AA2841" s="694"/>
      <c r="AB2841" s="694"/>
      <c r="AC2841" s="694"/>
      <c r="AD2841" s="694"/>
      <c r="AE2841" s="694"/>
      <c r="AF2841" s="694"/>
      <c r="AG2841" s="694"/>
      <c r="AH2841" s="694"/>
      <c r="AI2841" s="694"/>
      <c r="AJ2841" s="694"/>
      <c r="AK2841" s="694"/>
      <c r="AL2841" s="694"/>
    </row>
    <row r="2842" spans="1:38" ht="13" hidden="1" thickBot="1" x14ac:dyDescent="0.3">
      <c r="A2842" s="694" t="s">
        <v>312</v>
      </c>
      <c r="B2842" s="725"/>
      <c r="C2842" s="725"/>
      <c r="D2842" s="725"/>
      <c r="E2842" s="788"/>
      <c r="F2842" s="788"/>
      <c r="G2842" s="788"/>
      <c r="H2842" s="788">
        <f t="shared" ref="H2842:N2842" si="4126">H$2831</f>
        <v>2024</v>
      </c>
      <c r="I2842" s="788">
        <f t="shared" si="4126"/>
        <v>2025</v>
      </c>
      <c r="J2842" s="788">
        <f t="shared" si="4126"/>
        <v>2026</v>
      </c>
      <c r="K2842" s="788">
        <f t="shared" si="4126"/>
        <v>2027</v>
      </c>
      <c r="L2842" s="788">
        <f t="shared" si="4126"/>
        <v>2028</v>
      </c>
      <c r="M2842" s="788">
        <f t="shared" si="4126"/>
        <v>2029</v>
      </c>
      <c r="N2842" s="788">
        <f t="shared" si="4126"/>
        <v>2030</v>
      </c>
      <c r="O2842" s="725"/>
      <c r="P2842" s="725"/>
      <c r="Q2842" s="694" t="s">
        <v>773</v>
      </c>
      <c r="R2842" s="694"/>
      <c r="S2842" s="729"/>
      <c r="T2842" s="729"/>
      <c r="U2842" s="694"/>
      <c r="V2842" s="694"/>
      <c r="W2842" s="694"/>
      <c r="X2842" s="694"/>
      <c r="Y2842" s="694"/>
      <c r="Z2842" s="694"/>
      <c r="AA2842" s="694"/>
      <c r="AB2842" s="694"/>
      <c r="AC2842" s="694"/>
      <c r="AD2842" s="694"/>
      <c r="AE2842" s="694"/>
      <c r="AF2842" s="694"/>
      <c r="AG2842" s="694"/>
      <c r="AH2842" s="694"/>
      <c r="AI2842" s="694"/>
      <c r="AJ2842" s="694"/>
      <c r="AK2842" s="694"/>
      <c r="AL2842" s="694"/>
    </row>
    <row r="2843" spans="1:38" ht="13.5" hidden="1" thickBot="1" x14ac:dyDescent="0.3">
      <c r="A2843" s="694" t="s">
        <v>312</v>
      </c>
      <c r="B2843" s="725"/>
      <c r="C2843" s="725"/>
      <c r="D2843" s="725"/>
      <c r="E2843" s="1145" t="s">
        <v>772</v>
      </c>
      <c r="F2843" s="1145"/>
      <c r="G2843" s="1145"/>
      <c r="H2843" s="1145">
        <f t="shared" ref="H2843:N2843" si="4127">COUNTIFS($Q$6:$Q$2825,$Q2843,$H$6:$H$2825,"&gt;="&amp;0)</f>
        <v>0</v>
      </c>
      <c r="I2843" s="1145">
        <f t="shared" si="4127"/>
        <v>0</v>
      </c>
      <c r="J2843" s="1145">
        <f t="shared" si="4127"/>
        <v>0</v>
      </c>
      <c r="K2843" s="1145">
        <f t="shared" si="4127"/>
        <v>0</v>
      </c>
      <c r="L2843" s="1145">
        <f t="shared" si="4127"/>
        <v>0</v>
      </c>
      <c r="M2843" s="1145">
        <f t="shared" si="4127"/>
        <v>0</v>
      </c>
      <c r="N2843" s="1145">
        <f t="shared" si="4127"/>
        <v>0</v>
      </c>
      <c r="O2843" s="725"/>
      <c r="P2843" s="725"/>
      <c r="Q2843" s="1384" t="str">
        <f>EUconst_CNTR_HAL&amp;EUconst_CNTR_ELEXCH</f>
        <v>HAL_ELEXCH_</v>
      </c>
      <c r="R2843" s="694"/>
      <c r="S2843" s="729"/>
      <c r="T2843" s="729"/>
      <c r="U2843" s="694"/>
      <c r="V2843" s="694"/>
      <c r="W2843" s="694"/>
      <c r="X2843" s="694"/>
      <c r="Y2843" s="694"/>
      <c r="Z2843" s="694"/>
      <c r="AA2843" s="694"/>
      <c r="AB2843" s="694"/>
      <c r="AC2843" s="694"/>
      <c r="AD2843" s="694"/>
      <c r="AE2843" s="694"/>
      <c r="AF2843" s="694"/>
      <c r="AG2843" s="694"/>
      <c r="AH2843" s="694"/>
      <c r="AI2843" s="694"/>
      <c r="AJ2843" s="694"/>
      <c r="AK2843" s="694"/>
      <c r="AL2843" s="694"/>
    </row>
    <row r="2844" spans="1:38" ht="13.5" hidden="1" thickBot="1" x14ac:dyDescent="0.3">
      <c r="A2844" s="694" t="s">
        <v>312</v>
      </c>
      <c r="B2844" s="725"/>
      <c r="C2844" s="725"/>
      <c r="D2844" s="725"/>
      <c r="E2844" s="1385" t="s">
        <v>2545</v>
      </c>
      <c r="F2844" s="1386"/>
      <c r="G2844" s="1387" t="str">
        <f>EUconst_TJpa</f>
        <v>TJ / година</v>
      </c>
      <c r="H2844" s="1388" t="str">
        <f t="shared" ref="H2844:N2844" si="4128">IF(H2843&gt;0,SUMIF($Q$11:$Q$2825,$Q2843,H$11:H$2825),"")</f>
        <v/>
      </c>
      <c r="I2844" s="1388" t="str">
        <f t="shared" si="4128"/>
        <v/>
      </c>
      <c r="J2844" s="1388" t="str">
        <f t="shared" si="4128"/>
        <v/>
      </c>
      <c r="K2844" s="1388" t="str">
        <f t="shared" si="4128"/>
        <v/>
      </c>
      <c r="L2844" s="1388" t="str">
        <f t="shared" si="4128"/>
        <v/>
      </c>
      <c r="M2844" s="1388" t="str">
        <f t="shared" si="4128"/>
        <v/>
      </c>
      <c r="N2844" s="1389" t="str">
        <f t="shared" si="4128"/>
        <v/>
      </c>
      <c r="O2844" s="725"/>
      <c r="P2844" s="725"/>
      <c r="Q2844" s="694" t="s">
        <v>581</v>
      </c>
      <c r="R2844" s="694"/>
      <c r="S2844" s="729"/>
      <c r="T2844" s="729"/>
      <c r="U2844" s="694"/>
      <c r="V2844" s="694"/>
      <c r="W2844" s="694"/>
      <c r="X2844" s="694"/>
      <c r="Y2844" s="694"/>
      <c r="Z2844" s="694"/>
      <c r="AA2844" s="694"/>
      <c r="AB2844" s="694"/>
      <c r="AC2844" s="694"/>
      <c r="AD2844" s="694"/>
      <c r="AE2844" s="694"/>
      <c r="AF2844" s="694"/>
      <c r="AG2844" s="694"/>
      <c r="AH2844" s="694"/>
      <c r="AI2844" s="694"/>
      <c r="AJ2844" s="694"/>
      <c r="AK2844" s="694"/>
      <c r="AL2844" s="694"/>
    </row>
    <row r="2845" spans="1:38" hidden="1" x14ac:dyDescent="0.25">
      <c r="A2845" s="694" t="s">
        <v>312</v>
      </c>
      <c r="B2845" s="725"/>
      <c r="C2845" s="725"/>
      <c r="D2845" s="725"/>
      <c r="E2845" s="725"/>
      <c r="F2845" s="725"/>
      <c r="G2845" s="725"/>
      <c r="H2845" s="725"/>
      <c r="I2845" s="725"/>
      <c r="J2845" s="725"/>
      <c r="K2845" s="725"/>
      <c r="L2845" s="725"/>
      <c r="M2845" s="725"/>
      <c r="N2845" s="725"/>
      <c r="O2845" s="725"/>
      <c r="P2845" s="725"/>
      <c r="Q2845" s="694"/>
      <c r="R2845" s="694"/>
      <c r="S2845" s="729"/>
      <c r="T2845" s="729"/>
      <c r="U2845" s="694"/>
      <c r="V2845" s="694"/>
      <c r="W2845" s="694"/>
      <c r="X2845" s="694"/>
      <c r="Y2845" s="694"/>
      <c r="Z2845" s="694"/>
      <c r="AA2845" s="694"/>
      <c r="AB2845" s="694"/>
      <c r="AC2845" s="694"/>
      <c r="AD2845" s="694"/>
      <c r="AE2845" s="694"/>
      <c r="AF2845" s="694"/>
      <c r="AG2845" s="694"/>
      <c r="AH2845" s="694"/>
      <c r="AI2845" s="694"/>
      <c r="AJ2845" s="694"/>
      <c r="AK2845" s="694"/>
      <c r="AL2845" s="694"/>
    </row>
    <row r="2846" spans="1:38" hidden="1" x14ac:dyDescent="0.25">
      <c r="A2846" s="694" t="s">
        <v>312</v>
      </c>
      <c r="B2846" s="725"/>
      <c r="C2846" s="725"/>
      <c r="D2846" s="725"/>
      <c r="E2846" s="725" t="s">
        <v>818</v>
      </c>
      <c r="F2846" s="725"/>
      <c r="G2846" s="725"/>
      <c r="H2846" s="725"/>
      <c r="I2846" s="725"/>
      <c r="J2846" s="725"/>
      <c r="K2846" s="725"/>
      <c r="L2846" s="725"/>
      <c r="M2846" s="725"/>
      <c r="N2846" s="725"/>
      <c r="O2846" s="725"/>
      <c r="P2846" s="725"/>
      <c r="Q2846" s="694"/>
      <c r="R2846" s="694"/>
      <c r="S2846" s="729"/>
      <c r="T2846" s="729"/>
      <c r="U2846" s="694"/>
      <c r="V2846" s="694"/>
      <c r="W2846" s="694"/>
      <c r="X2846" s="694"/>
      <c r="Y2846" s="694"/>
      <c r="Z2846" s="694"/>
      <c r="AA2846" s="694"/>
      <c r="AB2846" s="694"/>
      <c r="AC2846" s="694"/>
      <c r="AD2846" s="694"/>
      <c r="AE2846" s="694"/>
      <c r="AF2846" s="694"/>
      <c r="AG2846" s="694"/>
      <c r="AH2846" s="694"/>
      <c r="AI2846" s="694"/>
      <c r="AJ2846" s="694"/>
      <c r="AK2846" s="694"/>
      <c r="AL2846" s="694"/>
    </row>
    <row r="2847" spans="1:38" hidden="1" x14ac:dyDescent="0.25">
      <c r="A2847" s="694" t="s">
        <v>312</v>
      </c>
      <c r="B2847" s="725"/>
      <c r="C2847" s="725"/>
      <c r="D2847" s="725"/>
      <c r="E2847" s="725"/>
      <c r="F2847" s="725" t="s">
        <v>1074</v>
      </c>
      <c r="G2847" s="830" t="b">
        <f t="shared" ref="G2847:G2856" si="4129">(COUNTIF($AK$11:$AK$2825,EUconst_Error&amp;F2847)&gt;0)</f>
        <v>0</v>
      </c>
      <c r="H2847" s="725"/>
      <c r="I2847" s="725"/>
      <c r="J2847" s="725"/>
      <c r="K2847" s="725"/>
      <c r="L2847" s="725"/>
      <c r="M2847" s="725"/>
      <c r="N2847" s="725"/>
      <c r="O2847" s="725"/>
      <c r="P2847" s="725"/>
      <c r="Q2847" s="694"/>
      <c r="R2847" s="694"/>
      <c r="S2847" s="729"/>
      <c r="T2847" s="729"/>
      <c r="U2847" s="694"/>
      <c r="V2847" s="694"/>
      <c r="W2847" s="694"/>
      <c r="X2847" s="694"/>
      <c r="Y2847" s="694"/>
      <c r="Z2847" s="694"/>
      <c r="AA2847" s="694"/>
      <c r="AB2847" s="694"/>
      <c r="AC2847" s="694"/>
      <c r="AD2847" s="694"/>
      <c r="AE2847" s="694"/>
      <c r="AF2847" s="694"/>
      <c r="AG2847" s="694"/>
      <c r="AH2847" s="694"/>
      <c r="AI2847" s="694"/>
      <c r="AJ2847" s="694"/>
      <c r="AK2847" s="694"/>
      <c r="AL2847" s="694"/>
    </row>
    <row r="2848" spans="1:38" hidden="1" x14ac:dyDescent="0.25">
      <c r="A2848" s="694" t="s">
        <v>312</v>
      </c>
      <c r="B2848" s="725"/>
      <c r="C2848" s="725"/>
      <c r="D2848" s="725"/>
      <c r="E2848" s="725"/>
      <c r="F2848" s="725" t="s">
        <v>1075</v>
      </c>
      <c r="G2848" s="830" t="b">
        <f t="shared" si="4129"/>
        <v>0</v>
      </c>
      <c r="H2848" s="725"/>
      <c r="I2848" s="725"/>
      <c r="J2848" s="725"/>
      <c r="K2848" s="725"/>
      <c r="L2848" s="725"/>
      <c r="M2848" s="725"/>
      <c r="N2848" s="725"/>
      <c r="O2848" s="725"/>
      <c r="P2848" s="725"/>
      <c r="Q2848" s="694"/>
      <c r="R2848" s="694"/>
      <c r="S2848" s="729"/>
      <c r="T2848" s="729"/>
      <c r="U2848" s="694"/>
      <c r="V2848" s="694"/>
      <c r="W2848" s="694"/>
      <c r="X2848" s="694"/>
      <c r="Y2848" s="694"/>
      <c r="Z2848" s="694"/>
      <c r="AA2848" s="694"/>
      <c r="AB2848" s="694"/>
      <c r="AC2848" s="694"/>
      <c r="AD2848" s="694"/>
      <c r="AE2848" s="694"/>
      <c r="AF2848" s="694"/>
      <c r="AG2848" s="694"/>
      <c r="AH2848" s="694"/>
      <c r="AI2848" s="694"/>
      <c r="AJ2848" s="694"/>
      <c r="AK2848" s="694"/>
      <c r="AL2848" s="694"/>
    </row>
    <row r="2849" spans="1:38" hidden="1" x14ac:dyDescent="0.25">
      <c r="A2849" s="694" t="s">
        <v>312</v>
      </c>
      <c r="B2849" s="725"/>
      <c r="C2849" s="725"/>
      <c r="D2849" s="725"/>
      <c r="E2849" s="725"/>
      <c r="F2849" s="725" t="s">
        <v>1076</v>
      </c>
      <c r="G2849" s="830" t="b">
        <f t="shared" si="4129"/>
        <v>0</v>
      </c>
      <c r="H2849" s="725"/>
      <c r="I2849" s="725"/>
      <c r="J2849" s="725"/>
      <c r="K2849" s="725"/>
      <c r="L2849" s="725"/>
      <c r="M2849" s="725"/>
      <c r="N2849" s="725"/>
      <c r="O2849" s="725"/>
      <c r="P2849" s="725"/>
      <c r="Q2849" s="694"/>
      <c r="R2849" s="694"/>
      <c r="S2849" s="729"/>
      <c r="T2849" s="729"/>
      <c r="U2849" s="694"/>
      <c r="V2849" s="694"/>
      <c r="W2849" s="694"/>
      <c r="X2849" s="694"/>
      <c r="Y2849" s="694"/>
      <c r="Z2849" s="694"/>
      <c r="AA2849" s="694"/>
      <c r="AB2849" s="694"/>
      <c r="AC2849" s="694"/>
      <c r="AD2849" s="694"/>
      <c r="AE2849" s="694"/>
      <c r="AF2849" s="694"/>
      <c r="AG2849" s="694"/>
      <c r="AH2849" s="694"/>
      <c r="AI2849" s="694"/>
      <c r="AJ2849" s="694"/>
      <c r="AK2849" s="694"/>
      <c r="AL2849" s="694"/>
    </row>
    <row r="2850" spans="1:38" hidden="1" x14ac:dyDescent="0.25">
      <c r="A2850" s="694" t="s">
        <v>312</v>
      </c>
      <c r="B2850" s="725"/>
      <c r="C2850" s="725"/>
      <c r="D2850" s="725"/>
      <c r="E2850" s="725"/>
      <c r="F2850" s="725" t="s">
        <v>1077</v>
      </c>
      <c r="G2850" s="830" t="b">
        <f t="shared" si="4129"/>
        <v>0</v>
      </c>
      <c r="H2850" s="725"/>
      <c r="I2850" s="725"/>
      <c r="J2850" s="725"/>
      <c r="K2850" s="725"/>
      <c r="L2850" s="725"/>
      <c r="M2850" s="725"/>
      <c r="N2850" s="725"/>
      <c r="O2850" s="725"/>
      <c r="P2850" s="725"/>
      <c r="Q2850" s="694"/>
      <c r="R2850" s="694"/>
      <c r="S2850" s="729"/>
      <c r="T2850" s="729"/>
      <c r="U2850" s="694"/>
      <c r="V2850" s="694"/>
      <c r="W2850" s="694"/>
      <c r="X2850" s="694"/>
      <c r="Y2850" s="694"/>
      <c r="Z2850" s="694"/>
      <c r="AA2850" s="694"/>
      <c r="AB2850" s="694"/>
      <c r="AC2850" s="694"/>
      <c r="AD2850" s="694"/>
      <c r="AE2850" s="694"/>
      <c r="AF2850" s="694"/>
      <c r="AG2850" s="694"/>
      <c r="AH2850" s="694"/>
      <c r="AI2850" s="694"/>
      <c r="AJ2850" s="694"/>
      <c r="AK2850" s="694"/>
      <c r="AL2850" s="694"/>
    </row>
    <row r="2851" spans="1:38" hidden="1" x14ac:dyDescent="0.25">
      <c r="A2851" s="694" t="s">
        <v>312</v>
      </c>
      <c r="B2851" s="725"/>
      <c r="C2851" s="725"/>
      <c r="D2851" s="725"/>
      <c r="E2851" s="725"/>
      <c r="F2851" s="725" t="s">
        <v>1078</v>
      </c>
      <c r="G2851" s="830" t="b">
        <f t="shared" si="4129"/>
        <v>0</v>
      </c>
      <c r="H2851" s="725"/>
      <c r="I2851" s="725"/>
      <c r="J2851" s="725"/>
      <c r="K2851" s="725"/>
      <c r="L2851" s="725"/>
      <c r="M2851" s="725"/>
      <c r="N2851" s="725"/>
      <c r="O2851" s="725"/>
      <c r="P2851" s="725"/>
      <c r="Q2851" s="694"/>
      <c r="R2851" s="694"/>
      <c r="S2851" s="729"/>
      <c r="T2851" s="729"/>
      <c r="U2851" s="694"/>
      <c r="V2851" s="694"/>
      <c r="W2851" s="694"/>
      <c r="X2851" s="694"/>
      <c r="Y2851" s="694"/>
      <c r="Z2851" s="694"/>
      <c r="AA2851" s="694"/>
      <c r="AB2851" s="694"/>
      <c r="AC2851" s="694"/>
      <c r="AD2851" s="694"/>
      <c r="AE2851" s="694"/>
      <c r="AF2851" s="694"/>
      <c r="AG2851" s="694"/>
      <c r="AH2851" s="694"/>
      <c r="AI2851" s="694"/>
      <c r="AJ2851" s="694"/>
      <c r="AK2851" s="694"/>
      <c r="AL2851" s="694"/>
    </row>
    <row r="2852" spans="1:38" hidden="1" x14ac:dyDescent="0.25">
      <c r="A2852" s="694" t="s">
        <v>312</v>
      </c>
      <c r="B2852" s="725"/>
      <c r="C2852" s="725"/>
      <c r="D2852" s="725"/>
      <c r="E2852" s="725"/>
      <c r="F2852" s="725" t="s">
        <v>1079</v>
      </c>
      <c r="G2852" s="830" t="b">
        <f t="shared" si="4129"/>
        <v>0</v>
      </c>
      <c r="H2852" s="725"/>
      <c r="I2852" s="725"/>
      <c r="J2852" s="725"/>
      <c r="K2852" s="725"/>
      <c r="L2852" s="725"/>
      <c r="M2852" s="725"/>
      <c r="N2852" s="725"/>
      <c r="O2852" s="725"/>
      <c r="P2852" s="725"/>
      <c r="Q2852" s="694"/>
      <c r="R2852" s="694"/>
      <c r="S2852" s="729"/>
      <c r="T2852" s="729"/>
      <c r="U2852" s="694"/>
      <c r="V2852" s="694"/>
      <c r="W2852" s="694"/>
      <c r="X2852" s="694"/>
      <c r="Y2852" s="694"/>
      <c r="Z2852" s="694"/>
      <c r="AA2852" s="694"/>
      <c r="AB2852" s="694"/>
      <c r="AC2852" s="694"/>
      <c r="AD2852" s="694"/>
      <c r="AE2852" s="694"/>
      <c r="AF2852" s="694"/>
      <c r="AG2852" s="694"/>
      <c r="AH2852" s="694"/>
      <c r="AI2852" s="694"/>
      <c r="AJ2852" s="694"/>
      <c r="AK2852" s="694"/>
      <c r="AL2852" s="694"/>
    </row>
    <row r="2853" spans="1:38" hidden="1" x14ac:dyDescent="0.25">
      <c r="A2853" s="694" t="s">
        <v>312</v>
      </c>
      <c r="B2853" s="725"/>
      <c r="C2853" s="725"/>
      <c r="D2853" s="725"/>
      <c r="E2853" s="725"/>
      <c r="F2853" s="725" t="s">
        <v>1080</v>
      </c>
      <c r="G2853" s="830" t="b">
        <f t="shared" si="4129"/>
        <v>0</v>
      </c>
      <c r="H2853" s="725"/>
      <c r="I2853" s="725"/>
      <c r="J2853" s="725"/>
      <c r="K2853" s="725"/>
      <c r="L2853" s="725"/>
      <c r="M2853" s="725"/>
      <c r="N2853" s="725"/>
      <c r="O2853" s="725"/>
      <c r="P2853" s="725"/>
      <c r="Q2853" s="694"/>
      <c r="R2853" s="694"/>
      <c r="S2853" s="729"/>
      <c r="T2853" s="729"/>
      <c r="U2853" s="694"/>
      <c r="V2853" s="694"/>
      <c r="W2853" s="694"/>
      <c r="X2853" s="694"/>
      <c r="Y2853" s="694"/>
      <c r="Z2853" s="694"/>
      <c r="AA2853" s="694"/>
      <c r="AB2853" s="694"/>
      <c r="AC2853" s="694"/>
      <c r="AD2853" s="694"/>
      <c r="AE2853" s="694"/>
      <c r="AF2853" s="694"/>
      <c r="AG2853" s="694"/>
      <c r="AH2853" s="694"/>
      <c r="AI2853" s="694"/>
      <c r="AJ2853" s="694"/>
      <c r="AK2853" s="694"/>
      <c r="AL2853" s="694"/>
    </row>
    <row r="2854" spans="1:38" hidden="1" x14ac:dyDescent="0.25">
      <c r="A2854" s="694" t="s">
        <v>312</v>
      </c>
      <c r="B2854" s="725"/>
      <c r="C2854" s="725"/>
      <c r="D2854" s="725"/>
      <c r="E2854" s="725"/>
      <c r="F2854" s="725" t="s">
        <v>1081</v>
      </c>
      <c r="G2854" s="830" t="b">
        <f t="shared" si="4129"/>
        <v>0</v>
      </c>
      <c r="H2854" s="725"/>
      <c r="I2854" s="725"/>
      <c r="J2854" s="725"/>
      <c r="K2854" s="725"/>
      <c r="L2854" s="725"/>
      <c r="M2854" s="725"/>
      <c r="N2854" s="725"/>
      <c r="O2854" s="725"/>
      <c r="P2854" s="725"/>
      <c r="Q2854" s="694"/>
      <c r="R2854" s="694"/>
      <c r="S2854" s="729"/>
      <c r="T2854" s="729"/>
      <c r="U2854" s="694"/>
      <c r="V2854" s="694"/>
      <c r="W2854" s="694"/>
      <c r="X2854" s="694"/>
      <c r="Y2854" s="694"/>
      <c r="Z2854" s="694"/>
      <c r="AA2854" s="694"/>
      <c r="AB2854" s="694"/>
      <c r="AC2854" s="694"/>
      <c r="AD2854" s="694"/>
      <c r="AE2854" s="694"/>
      <c r="AF2854" s="694"/>
      <c r="AG2854" s="694"/>
      <c r="AH2854" s="694"/>
      <c r="AI2854" s="694"/>
      <c r="AJ2854" s="694"/>
      <c r="AK2854" s="694"/>
      <c r="AL2854" s="694"/>
    </row>
    <row r="2855" spans="1:38" hidden="1" x14ac:dyDescent="0.25">
      <c r="A2855" s="694" t="s">
        <v>312</v>
      </c>
      <c r="B2855" s="725"/>
      <c r="C2855" s="725"/>
      <c r="D2855" s="725"/>
      <c r="E2855" s="725"/>
      <c r="F2855" s="725" t="s">
        <v>1082</v>
      </c>
      <c r="G2855" s="830" t="b">
        <f t="shared" si="4129"/>
        <v>0</v>
      </c>
      <c r="H2855" s="725"/>
      <c r="I2855" s="725"/>
      <c r="J2855" s="725"/>
      <c r="K2855" s="725"/>
      <c r="L2855" s="725"/>
      <c r="M2855" s="725"/>
      <c r="N2855" s="725"/>
      <c r="O2855" s="725"/>
      <c r="P2855" s="725"/>
      <c r="Q2855" s="694"/>
      <c r="R2855" s="694"/>
      <c r="S2855" s="729"/>
      <c r="T2855" s="729"/>
      <c r="U2855" s="694"/>
      <c r="V2855" s="694"/>
      <c r="W2855" s="694"/>
      <c r="X2855" s="694"/>
      <c r="Y2855" s="694"/>
      <c r="Z2855" s="694"/>
      <c r="AA2855" s="694"/>
      <c r="AB2855" s="694"/>
      <c r="AC2855" s="694"/>
      <c r="AD2855" s="694"/>
      <c r="AE2855" s="694"/>
      <c r="AF2855" s="694"/>
      <c r="AG2855" s="694"/>
      <c r="AH2855" s="694"/>
      <c r="AI2855" s="694"/>
      <c r="AJ2855" s="694"/>
      <c r="AK2855" s="694"/>
      <c r="AL2855" s="694"/>
    </row>
    <row r="2856" spans="1:38" ht="13" hidden="1" thickBot="1" x14ac:dyDescent="0.3">
      <c r="A2856" s="694" t="s">
        <v>312</v>
      </c>
      <c r="B2856" s="725"/>
      <c r="C2856" s="725"/>
      <c r="D2856" s="725"/>
      <c r="E2856" s="725"/>
      <c r="F2856" s="725" t="s">
        <v>1083</v>
      </c>
      <c r="G2856" s="830" t="b">
        <f t="shared" si="4129"/>
        <v>0</v>
      </c>
      <c r="H2856" s="725"/>
      <c r="I2856" s="725"/>
      <c r="J2856" s="725"/>
      <c r="K2856" s="725"/>
      <c r="L2856" s="725"/>
      <c r="M2856" s="725"/>
      <c r="N2856" s="725"/>
      <c r="O2856" s="725"/>
      <c r="P2856" s="725"/>
      <c r="Q2856" s="694"/>
      <c r="R2856" s="694"/>
      <c r="S2856" s="729"/>
      <c r="T2856" s="729"/>
      <c r="U2856" s="694"/>
      <c r="V2856" s="694"/>
      <c r="W2856" s="694"/>
      <c r="X2856" s="694"/>
      <c r="Y2856" s="694"/>
      <c r="Z2856" s="694"/>
      <c r="AA2856" s="694"/>
      <c r="AB2856" s="694"/>
      <c r="AC2856" s="694"/>
      <c r="AD2856" s="694"/>
      <c r="AE2856" s="694"/>
      <c r="AF2856" s="694"/>
      <c r="AG2856" s="694"/>
      <c r="AH2856" s="694"/>
      <c r="AI2856" s="694"/>
      <c r="AJ2856" s="694"/>
      <c r="AK2856" s="694"/>
      <c r="AL2856" s="694"/>
    </row>
    <row r="2857" spans="1:38" ht="13.5" hidden="1" thickBot="1" x14ac:dyDescent="0.3">
      <c r="A2857" s="694" t="s">
        <v>312</v>
      </c>
      <c r="B2857" s="725"/>
      <c r="C2857" s="725"/>
      <c r="D2857" s="725"/>
      <c r="E2857" s="725"/>
      <c r="F2857" s="669" t="s">
        <v>819</v>
      </c>
      <c r="G2857" s="384" t="b">
        <f>OR(G2847:G2856)</f>
        <v>0</v>
      </c>
      <c r="H2857" s="725"/>
      <c r="I2857" s="725"/>
      <c r="J2857" s="725"/>
      <c r="K2857" s="725"/>
      <c r="L2857" s="725"/>
      <c r="M2857" s="725"/>
      <c r="N2857" s="725"/>
      <c r="O2857" s="725"/>
      <c r="P2857" s="725"/>
      <c r="Q2857" s="694"/>
      <c r="R2857" s="694"/>
      <c r="S2857" s="729"/>
      <c r="T2857" s="729"/>
      <c r="U2857" s="694"/>
      <c r="V2857" s="694"/>
      <c r="W2857" s="694"/>
      <c r="X2857" s="694"/>
      <c r="Y2857" s="694"/>
      <c r="Z2857" s="694"/>
      <c r="AA2857" s="694"/>
      <c r="AB2857" s="694"/>
      <c r="AC2857" s="694"/>
      <c r="AD2857" s="694"/>
      <c r="AE2857" s="694"/>
      <c r="AF2857" s="694"/>
      <c r="AG2857" s="694"/>
      <c r="AH2857" s="694"/>
      <c r="AI2857" s="694"/>
      <c r="AJ2857" s="694"/>
      <c r="AK2857" s="694"/>
      <c r="AL2857" s="694"/>
    </row>
    <row r="2858" spans="1:38" hidden="1" x14ac:dyDescent="0.25">
      <c r="A2858" s="694" t="s">
        <v>312</v>
      </c>
      <c r="B2858" s="725"/>
      <c r="C2858" s="725"/>
      <c r="D2858" s="725"/>
      <c r="E2858" s="725"/>
      <c r="F2858" s="725"/>
      <c r="G2858" s="725"/>
      <c r="H2858" s="725"/>
      <c r="I2858" s="725"/>
      <c r="J2858" s="725"/>
      <c r="K2858" s="725"/>
      <c r="L2858" s="725"/>
      <c r="M2858" s="725"/>
      <c r="N2858" s="725"/>
      <c r="O2858" s="725"/>
      <c r="P2858" s="725"/>
      <c r="Q2858" s="694"/>
      <c r="R2858" s="694"/>
      <c r="S2858" s="729"/>
      <c r="T2858" s="729"/>
      <c r="U2858" s="694"/>
      <c r="V2858" s="694"/>
      <c r="W2858" s="694"/>
      <c r="X2858" s="694"/>
      <c r="Y2858" s="694"/>
      <c r="Z2858" s="694"/>
      <c r="AA2858" s="694"/>
      <c r="AB2858" s="694"/>
      <c r="AC2858" s="694"/>
      <c r="AD2858" s="694"/>
      <c r="AE2858" s="694"/>
      <c r="AF2858" s="694"/>
      <c r="AG2858" s="694"/>
      <c r="AH2858" s="694"/>
      <c r="AI2858" s="694"/>
      <c r="AJ2858" s="694"/>
      <c r="AK2858" s="694"/>
      <c r="AL2858" s="694"/>
    </row>
    <row r="2859" spans="1:38" hidden="1" x14ac:dyDescent="0.25">
      <c r="A2859" s="694" t="s">
        <v>312</v>
      </c>
      <c r="B2859" s="725"/>
      <c r="C2859" s="1356">
        <v>11</v>
      </c>
      <c r="D2859" s="647" t="s">
        <v>1574</v>
      </c>
      <c r="E2859" s="647"/>
      <c r="F2859" s="725"/>
      <c r="G2859" s="725"/>
      <c r="H2859" s="725"/>
      <c r="I2859" s="725"/>
      <c r="J2859" s="725"/>
      <c r="K2859" s="725"/>
      <c r="L2859" s="725"/>
      <c r="M2859" s="725"/>
      <c r="N2859" s="725"/>
      <c r="O2859" s="725"/>
      <c r="P2859" s="725"/>
      <c r="Q2859" s="694"/>
      <c r="R2859" s="694"/>
      <c r="S2859" s="729"/>
      <c r="T2859" s="729"/>
      <c r="U2859" s="694"/>
      <c r="V2859" s="694"/>
      <c r="W2859" s="694"/>
      <c r="X2859" s="694"/>
      <c r="Y2859" s="694"/>
      <c r="Z2859" s="694"/>
      <c r="AA2859" s="694"/>
      <c r="AB2859" s="694"/>
      <c r="AC2859" s="694"/>
      <c r="AD2859" s="694"/>
      <c r="AE2859" s="694"/>
      <c r="AF2859" s="694"/>
      <c r="AG2859" s="694"/>
      <c r="AH2859" s="694"/>
      <c r="AI2859" s="694"/>
      <c r="AJ2859" s="694"/>
      <c r="AK2859" s="694"/>
      <c r="AL2859" s="694"/>
    </row>
    <row r="2860" spans="1:38" hidden="1" x14ac:dyDescent="0.25">
      <c r="A2860" s="694" t="s">
        <v>312</v>
      </c>
      <c r="B2860" s="725"/>
      <c r="C2860" s="725"/>
      <c r="D2860" s="725"/>
      <c r="E2860" s="725"/>
      <c r="F2860" s="725"/>
      <c r="G2860" s="725"/>
      <c r="H2860" s="725"/>
      <c r="I2860" s="725"/>
      <c r="J2860" s="725"/>
      <c r="K2860" s="725"/>
      <c r="L2860" s="725"/>
      <c r="M2860" s="725"/>
      <c r="N2860" s="725"/>
      <c r="O2860" s="725"/>
      <c r="P2860" s="725"/>
      <c r="Q2860" s="694"/>
      <c r="R2860" s="694"/>
      <c r="S2860" s="729"/>
      <c r="T2860" s="729"/>
      <c r="U2860" s="694"/>
      <c r="V2860" s="694"/>
      <c r="W2860" s="694"/>
      <c r="X2860" s="694"/>
      <c r="Y2860" s="694"/>
      <c r="Z2860" s="694"/>
      <c r="AA2860" s="694"/>
      <c r="AB2860" s="694"/>
      <c r="AC2860" s="694"/>
      <c r="AD2860" s="694"/>
      <c r="AE2860" s="694"/>
      <c r="AF2860" s="694"/>
      <c r="AG2860" s="694"/>
      <c r="AH2860" s="694"/>
      <c r="AI2860" s="694"/>
      <c r="AJ2860" s="694"/>
      <c r="AK2860" s="694"/>
      <c r="AL2860" s="694"/>
    </row>
  </sheetData>
  <sheetProtection sheet="1" objects="1" scenarios="1" formatCells="0" formatColumns="0" formatRows="0"/>
  <scenarios current="0">
    <scenario name="Test" locked="1" count="7" user="Heller Christian" comment="Erstellt von Heller Christian am 28.03.2020">
      <inputCells r="H21" val=""/>
      <inputCells r="I21" val="100" numFmtId="164"/>
      <inputCells r="J21" val="100" numFmtId="164"/>
      <inputCells r="K21" val="200" numFmtId="164"/>
      <inputCells r="L21" val=""/>
      <inputCells r="M21" val=""/>
      <inputCells r="N21" val=""/>
    </scenario>
  </scenarios>
  <mergeCells count="1947">
    <mergeCell ref="E23:F23"/>
    <mergeCell ref="E28:N28"/>
    <mergeCell ref="E50:N50"/>
    <mergeCell ref="E149:F149"/>
    <mergeCell ref="E150:F150"/>
    <mergeCell ref="E151:F151"/>
    <mergeCell ref="E152:F152"/>
    <mergeCell ref="E153:F153"/>
    <mergeCell ref="E154:F154"/>
    <mergeCell ref="E155:F155"/>
    <mergeCell ref="I107:N107"/>
    <mergeCell ref="E82:N82"/>
    <mergeCell ref="D105:N105"/>
    <mergeCell ref="F121:N121"/>
    <mergeCell ref="E117:N117"/>
    <mergeCell ref="E85:N85"/>
    <mergeCell ref="D79:N79"/>
    <mergeCell ref="E109:N109"/>
    <mergeCell ref="J54:N54"/>
    <mergeCell ref="E58:N58"/>
    <mergeCell ref="E133:N133"/>
    <mergeCell ref="E110:N110"/>
    <mergeCell ref="E111:N111"/>
    <mergeCell ref="E112:N112"/>
    <mergeCell ref="E114:N114"/>
    <mergeCell ref="I147:M147"/>
    <mergeCell ref="F122:N122"/>
    <mergeCell ref="E126:F126"/>
    <mergeCell ref="E127:F127"/>
    <mergeCell ref="E135:F135"/>
    <mergeCell ref="E136:F136"/>
    <mergeCell ref="K5:L5"/>
    <mergeCell ref="I2:J2"/>
    <mergeCell ref="K4:L4"/>
    <mergeCell ref="E2:F2"/>
    <mergeCell ref="E17:N17"/>
    <mergeCell ref="H25:N25"/>
    <mergeCell ref="E14:N14"/>
    <mergeCell ref="E18:N18"/>
    <mergeCell ref="E49:N49"/>
    <mergeCell ref="E86:N86"/>
    <mergeCell ref="E87:N87"/>
    <mergeCell ref="D13:H13"/>
    <mergeCell ref="I13:N13"/>
    <mergeCell ref="E16:N16"/>
    <mergeCell ref="E64:N64"/>
    <mergeCell ref="E56:N56"/>
    <mergeCell ref="E29:N29"/>
    <mergeCell ref="E30:N30"/>
    <mergeCell ref="F31:N31"/>
    <mergeCell ref="F32:N32"/>
    <mergeCell ref="E55:N55"/>
    <mergeCell ref="D47:N47"/>
    <mergeCell ref="E60:F60"/>
    <mergeCell ref="E26:N26"/>
    <mergeCell ref="E19:N19"/>
    <mergeCell ref="E54:I54"/>
    <mergeCell ref="E81:N81"/>
    <mergeCell ref="E57:N57"/>
    <mergeCell ref="E25:G25"/>
    <mergeCell ref="E20:F20"/>
    <mergeCell ref="E21:F21"/>
    <mergeCell ref="E22:F22"/>
    <mergeCell ref="W5:X5"/>
    <mergeCell ref="U4:V4"/>
    <mergeCell ref="W4:X4"/>
    <mergeCell ref="Q4:R4"/>
    <mergeCell ref="M4:N4"/>
    <mergeCell ref="P2:P5"/>
    <mergeCell ref="W3:X3"/>
    <mergeCell ref="M2:N2"/>
    <mergeCell ref="Q3:R3"/>
    <mergeCell ref="U3:V3"/>
    <mergeCell ref="S5:T5"/>
    <mergeCell ref="Q5:R5"/>
    <mergeCell ref="S4:T4"/>
    <mergeCell ref="U5:V5"/>
    <mergeCell ref="S3:T3"/>
    <mergeCell ref="D11:N11"/>
    <mergeCell ref="E9:M9"/>
    <mergeCell ref="M3:N3"/>
    <mergeCell ref="G4:H4"/>
    <mergeCell ref="G3:H3"/>
    <mergeCell ref="I3:J3"/>
    <mergeCell ref="E3:F3"/>
    <mergeCell ref="D7:N7"/>
    <mergeCell ref="M5:N5"/>
    <mergeCell ref="I5:J5"/>
    <mergeCell ref="E4:F4"/>
    <mergeCell ref="I4:J4"/>
    <mergeCell ref="G5:H5"/>
    <mergeCell ref="B2:D4"/>
    <mergeCell ref="K2:L2"/>
    <mergeCell ref="K3:L3"/>
    <mergeCell ref="G2:H2"/>
    <mergeCell ref="E157:F157"/>
    <mergeCell ref="E159:H159"/>
    <mergeCell ref="E161:F161"/>
    <mergeCell ref="E162:F162"/>
    <mergeCell ref="E163:F163"/>
    <mergeCell ref="E164:F164"/>
    <mergeCell ref="E165:F165"/>
    <mergeCell ref="E166:F166"/>
    <mergeCell ref="D2823:N2823"/>
    <mergeCell ref="E89:N89"/>
    <mergeCell ref="F119:N119"/>
    <mergeCell ref="F124:N124"/>
    <mergeCell ref="F125:N125"/>
    <mergeCell ref="E83:N83"/>
    <mergeCell ref="E130:N130"/>
    <mergeCell ref="D107:H107"/>
    <mergeCell ref="E132:N132"/>
    <mergeCell ref="F123:N123"/>
    <mergeCell ref="E84:N84"/>
    <mergeCell ref="I159:M159"/>
    <mergeCell ref="I200:M200"/>
    <mergeCell ref="E131:N131"/>
    <mergeCell ref="E118:N118"/>
    <mergeCell ref="E116:N116"/>
    <mergeCell ref="F120:N120"/>
    <mergeCell ref="E129:N129"/>
    <mergeCell ref="E138:N138"/>
    <mergeCell ref="E189:F189"/>
    <mergeCell ref="E190:F190"/>
    <mergeCell ref="E192:F192"/>
    <mergeCell ref="E193:F193"/>
    <mergeCell ref="E143:N143"/>
    <mergeCell ref="E194:F194"/>
    <mergeCell ref="E196:N196"/>
    <mergeCell ref="E198:K198"/>
    <mergeCell ref="E199:N199"/>
    <mergeCell ref="E200:H200"/>
    <mergeCell ref="E139:N139"/>
    <mergeCell ref="E140:N140"/>
    <mergeCell ref="E141:N141"/>
    <mergeCell ref="E142:N142"/>
    <mergeCell ref="E179:N179"/>
    <mergeCell ref="E180:N180"/>
    <mergeCell ref="E181:N181"/>
    <mergeCell ref="E182:N182"/>
    <mergeCell ref="E183:N183"/>
    <mergeCell ref="E184:F184"/>
    <mergeCell ref="E185:F185"/>
    <mergeCell ref="E186:F186"/>
    <mergeCell ref="E188:F188"/>
    <mergeCell ref="E167:F167"/>
    <mergeCell ref="E168:F168"/>
    <mergeCell ref="E169:F169"/>
    <mergeCell ref="E171:N171"/>
    <mergeCell ref="E172:N172"/>
    <mergeCell ref="E173:N173"/>
    <mergeCell ref="E174:N174"/>
    <mergeCell ref="E176:F176"/>
    <mergeCell ref="E178:N178"/>
    <mergeCell ref="E144:N144"/>
    <mergeCell ref="E145:K145"/>
    <mergeCell ref="E146:N146"/>
    <mergeCell ref="E147:H147"/>
    <mergeCell ref="E156:F156"/>
    <mergeCell ref="E228:F228"/>
    <mergeCell ref="E231:G231"/>
    <mergeCell ref="E232:G232"/>
    <mergeCell ref="E233:G233"/>
    <mergeCell ref="E234:G234"/>
    <mergeCell ref="E235:G235"/>
    <mergeCell ref="I218:M218"/>
    <mergeCell ref="E237:I237"/>
    <mergeCell ref="E238:I238"/>
    <mergeCell ref="E240:I240"/>
    <mergeCell ref="E241:G241"/>
    <mergeCell ref="E201:N201"/>
    <mergeCell ref="E202:N202"/>
    <mergeCell ref="E204:F204"/>
    <mergeCell ref="E205:F205"/>
    <mergeCell ref="E206:F206"/>
    <mergeCell ref="E207:F207"/>
    <mergeCell ref="E209:H209"/>
    <mergeCell ref="I209:M209"/>
    <mergeCell ref="E210:N210"/>
    <mergeCell ref="E260:F260"/>
    <mergeCell ref="E262:N262"/>
    <mergeCell ref="E263:N263"/>
    <mergeCell ref="E264:N264"/>
    <mergeCell ref="E244:H244"/>
    <mergeCell ref="E245:N245"/>
    <mergeCell ref="E246:N246"/>
    <mergeCell ref="I253:M253"/>
    <mergeCell ref="E259:F259"/>
    <mergeCell ref="E248:F248"/>
    <mergeCell ref="E249:F249"/>
    <mergeCell ref="E250:F250"/>
    <mergeCell ref="I244:M244"/>
    <mergeCell ref="E251:F251"/>
    <mergeCell ref="E253:H253"/>
    <mergeCell ref="E211:N211"/>
    <mergeCell ref="E213:F213"/>
    <mergeCell ref="E214:F214"/>
    <mergeCell ref="E215:F215"/>
    <mergeCell ref="E216:F216"/>
    <mergeCell ref="E218:H218"/>
    <mergeCell ref="E254:N254"/>
    <mergeCell ref="E255:N255"/>
    <mergeCell ref="E257:F257"/>
    <mergeCell ref="E258:F258"/>
    <mergeCell ref="E219:N219"/>
    <mergeCell ref="E220:N220"/>
    <mergeCell ref="E221:N221"/>
    <mergeCell ref="E223:F223"/>
    <mergeCell ref="E224:F224"/>
    <mergeCell ref="E225:F225"/>
    <mergeCell ref="E226:F226"/>
    <mergeCell ref="D294:H294"/>
    <mergeCell ref="I294:N294"/>
    <mergeCell ref="E295:N295"/>
    <mergeCell ref="E297:N297"/>
    <mergeCell ref="E298:N298"/>
    <mergeCell ref="E299:N299"/>
    <mergeCell ref="E300:N300"/>
    <mergeCell ref="E301:F301"/>
    <mergeCell ref="E302:F302"/>
    <mergeCell ref="E266:F266"/>
    <mergeCell ref="E284:F284"/>
    <mergeCell ref="E285:F285"/>
    <mergeCell ref="E275:N275"/>
    <mergeCell ref="E276:N276"/>
    <mergeCell ref="E277:K277"/>
    <mergeCell ref="E280:F280"/>
    <mergeCell ref="E281:F281"/>
    <mergeCell ref="E283:F283"/>
    <mergeCell ref="E279:F279"/>
    <mergeCell ref="E289:M290"/>
    <mergeCell ref="E269:N269"/>
    <mergeCell ref="E270:N270"/>
    <mergeCell ref="E271:N271"/>
    <mergeCell ref="E272:F272"/>
    <mergeCell ref="E274:N274"/>
    <mergeCell ref="E268:N268"/>
    <mergeCell ref="F313:N313"/>
    <mergeCell ref="D328:N328"/>
    <mergeCell ref="E330:N330"/>
    <mergeCell ref="E331:N331"/>
    <mergeCell ref="E335:I335"/>
    <mergeCell ref="J335:N335"/>
    <mergeCell ref="E336:N336"/>
    <mergeCell ref="E337:N337"/>
    <mergeCell ref="E338:N338"/>
    <mergeCell ref="E303:F303"/>
    <mergeCell ref="E304:F304"/>
    <mergeCell ref="E306:G306"/>
    <mergeCell ref="H306:N306"/>
    <mergeCell ref="E307:N307"/>
    <mergeCell ref="E309:N309"/>
    <mergeCell ref="E310:N310"/>
    <mergeCell ref="E311:N311"/>
    <mergeCell ref="F312:N312"/>
    <mergeCell ref="E367:N367"/>
    <mergeCell ref="E368:N368"/>
    <mergeCell ref="E370:N370"/>
    <mergeCell ref="D386:N386"/>
    <mergeCell ref="D388:H388"/>
    <mergeCell ref="I388:N388"/>
    <mergeCell ref="E390:N390"/>
    <mergeCell ref="E391:N391"/>
    <mergeCell ref="E392:N392"/>
    <mergeCell ref="E339:N339"/>
    <mergeCell ref="E341:F341"/>
    <mergeCell ref="E345:N345"/>
    <mergeCell ref="D360:N360"/>
    <mergeCell ref="E362:N362"/>
    <mergeCell ref="E363:N363"/>
    <mergeCell ref="E364:N364"/>
    <mergeCell ref="E365:N365"/>
    <mergeCell ref="E366:N366"/>
    <mergeCell ref="F404:N404"/>
    <mergeCell ref="F405:N405"/>
    <mergeCell ref="F406:N406"/>
    <mergeCell ref="E407:F407"/>
    <mergeCell ref="E408:F408"/>
    <mergeCell ref="E410:N410"/>
    <mergeCell ref="E411:N411"/>
    <mergeCell ref="E412:N412"/>
    <mergeCell ref="E413:N413"/>
    <mergeCell ref="E393:N393"/>
    <mergeCell ref="E395:N395"/>
    <mergeCell ref="E397:N397"/>
    <mergeCell ref="E398:N398"/>
    <mergeCell ref="E399:N399"/>
    <mergeCell ref="F400:N400"/>
    <mergeCell ref="F401:N401"/>
    <mergeCell ref="F402:N402"/>
    <mergeCell ref="F403:N403"/>
    <mergeCell ref="E425:N425"/>
    <mergeCell ref="E426:K426"/>
    <mergeCell ref="E427:N427"/>
    <mergeCell ref="E428:H428"/>
    <mergeCell ref="I428:M428"/>
    <mergeCell ref="E430:F430"/>
    <mergeCell ref="E431:F431"/>
    <mergeCell ref="E432:F432"/>
    <mergeCell ref="E433:F433"/>
    <mergeCell ref="E414:N414"/>
    <mergeCell ref="E416:F416"/>
    <mergeCell ref="E417:F417"/>
    <mergeCell ref="E419:N419"/>
    <mergeCell ref="E420:N420"/>
    <mergeCell ref="E421:N421"/>
    <mergeCell ref="E422:N422"/>
    <mergeCell ref="E423:N423"/>
    <mergeCell ref="E424:N424"/>
    <mergeCell ref="E444:F444"/>
    <mergeCell ref="E445:F445"/>
    <mergeCell ref="E446:F446"/>
    <mergeCell ref="E447:F447"/>
    <mergeCell ref="E448:F448"/>
    <mergeCell ref="E449:F449"/>
    <mergeCell ref="E450:F450"/>
    <mergeCell ref="E452:N452"/>
    <mergeCell ref="E453:N453"/>
    <mergeCell ref="E434:F434"/>
    <mergeCell ref="E435:F435"/>
    <mergeCell ref="E436:F436"/>
    <mergeCell ref="E437:F437"/>
    <mergeCell ref="E438:F438"/>
    <mergeCell ref="E440:H440"/>
    <mergeCell ref="I440:M440"/>
    <mergeCell ref="E442:F442"/>
    <mergeCell ref="E443:F443"/>
    <mergeCell ref="E465:F465"/>
    <mergeCell ref="E466:F466"/>
    <mergeCell ref="E467:F467"/>
    <mergeCell ref="E469:F469"/>
    <mergeCell ref="E470:F470"/>
    <mergeCell ref="E471:F471"/>
    <mergeCell ref="E473:F473"/>
    <mergeCell ref="E474:F474"/>
    <mergeCell ref="E475:F475"/>
    <mergeCell ref="E454:N454"/>
    <mergeCell ref="E455:N455"/>
    <mergeCell ref="E457:F457"/>
    <mergeCell ref="E459:N459"/>
    <mergeCell ref="E460:N460"/>
    <mergeCell ref="E461:N461"/>
    <mergeCell ref="E462:N462"/>
    <mergeCell ref="E463:N463"/>
    <mergeCell ref="E464:N464"/>
    <mergeCell ref="E487:F487"/>
    <mergeCell ref="E488:F488"/>
    <mergeCell ref="E490:H490"/>
    <mergeCell ref="I490:M490"/>
    <mergeCell ref="E491:N491"/>
    <mergeCell ref="E492:N492"/>
    <mergeCell ref="E494:F494"/>
    <mergeCell ref="E495:F495"/>
    <mergeCell ref="E496:F496"/>
    <mergeCell ref="E477:N477"/>
    <mergeCell ref="E479:K479"/>
    <mergeCell ref="E480:N480"/>
    <mergeCell ref="E481:H481"/>
    <mergeCell ref="I481:M481"/>
    <mergeCell ref="E482:N482"/>
    <mergeCell ref="E483:N483"/>
    <mergeCell ref="E485:F485"/>
    <mergeCell ref="E486:F486"/>
    <mergeCell ref="E507:F507"/>
    <mergeCell ref="E509:F509"/>
    <mergeCell ref="E512:G512"/>
    <mergeCell ref="E513:G513"/>
    <mergeCell ref="E514:G514"/>
    <mergeCell ref="E515:G515"/>
    <mergeCell ref="E516:G516"/>
    <mergeCell ref="E518:I518"/>
    <mergeCell ref="E519:I519"/>
    <mergeCell ref="E497:F497"/>
    <mergeCell ref="E499:H499"/>
    <mergeCell ref="I499:M499"/>
    <mergeCell ref="E500:N500"/>
    <mergeCell ref="E501:N501"/>
    <mergeCell ref="E502:N502"/>
    <mergeCell ref="E504:F504"/>
    <mergeCell ref="E505:F505"/>
    <mergeCell ref="E506:F506"/>
    <mergeCell ref="E532:F532"/>
    <mergeCell ref="E534:H534"/>
    <mergeCell ref="I534:M534"/>
    <mergeCell ref="E535:N535"/>
    <mergeCell ref="E536:N536"/>
    <mergeCell ref="E538:F538"/>
    <mergeCell ref="E539:F539"/>
    <mergeCell ref="E540:F540"/>
    <mergeCell ref="E541:F541"/>
    <mergeCell ref="E521:I521"/>
    <mergeCell ref="E522:G522"/>
    <mergeCell ref="E525:H525"/>
    <mergeCell ref="I525:M525"/>
    <mergeCell ref="E526:N526"/>
    <mergeCell ref="E527:N527"/>
    <mergeCell ref="E529:F529"/>
    <mergeCell ref="E530:F530"/>
    <mergeCell ref="E531:F531"/>
    <mergeCell ref="E566:F566"/>
    <mergeCell ref="E570:M571"/>
    <mergeCell ref="E555:N555"/>
    <mergeCell ref="E556:N556"/>
    <mergeCell ref="E557:N557"/>
    <mergeCell ref="E558:K558"/>
    <mergeCell ref="E560:F560"/>
    <mergeCell ref="E561:F561"/>
    <mergeCell ref="E562:F562"/>
    <mergeCell ref="E564:F564"/>
    <mergeCell ref="E565:F565"/>
    <mergeCell ref="E543:N543"/>
    <mergeCell ref="E544:N544"/>
    <mergeCell ref="E545:N545"/>
    <mergeCell ref="E547:F547"/>
    <mergeCell ref="E549:N549"/>
    <mergeCell ref="E550:N550"/>
    <mergeCell ref="E551:N551"/>
    <mergeCell ref="E552:N552"/>
    <mergeCell ref="E553:F553"/>
    <mergeCell ref="E592:N592"/>
    <mergeCell ref="F593:N593"/>
    <mergeCell ref="F594:N594"/>
    <mergeCell ref="D609:N609"/>
    <mergeCell ref="E611:N611"/>
    <mergeCell ref="E612:N612"/>
    <mergeCell ref="E616:I616"/>
    <mergeCell ref="J616:N616"/>
    <mergeCell ref="E617:N617"/>
    <mergeCell ref="E582:F582"/>
    <mergeCell ref="E583:F583"/>
    <mergeCell ref="E584:F584"/>
    <mergeCell ref="E585:F585"/>
    <mergeCell ref="E587:G587"/>
    <mergeCell ref="H587:N587"/>
    <mergeCell ref="E588:N588"/>
    <mergeCell ref="E590:N590"/>
    <mergeCell ref="E591:N591"/>
    <mergeCell ref="E646:N646"/>
    <mergeCell ref="E647:N647"/>
    <mergeCell ref="E648:N648"/>
    <mergeCell ref="E649:N649"/>
    <mergeCell ref="E651:N651"/>
    <mergeCell ref="D667:N667"/>
    <mergeCell ref="D669:H669"/>
    <mergeCell ref="I669:N669"/>
    <mergeCell ref="E671:N671"/>
    <mergeCell ref="E618:N618"/>
    <mergeCell ref="E619:N619"/>
    <mergeCell ref="E620:N620"/>
    <mergeCell ref="E622:F622"/>
    <mergeCell ref="E626:N626"/>
    <mergeCell ref="D641:N641"/>
    <mergeCell ref="E643:N643"/>
    <mergeCell ref="E644:N644"/>
    <mergeCell ref="E645:N645"/>
    <mergeCell ref="F683:N683"/>
    <mergeCell ref="F684:N684"/>
    <mergeCell ref="F685:N685"/>
    <mergeCell ref="F686:N686"/>
    <mergeCell ref="F687:N687"/>
    <mergeCell ref="E688:F688"/>
    <mergeCell ref="E689:F689"/>
    <mergeCell ref="E691:N691"/>
    <mergeCell ref="E692:N692"/>
    <mergeCell ref="E672:N672"/>
    <mergeCell ref="E673:N673"/>
    <mergeCell ref="E674:N674"/>
    <mergeCell ref="E676:N676"/>
    <mergeCell ref="E678:N678"/>
    <mergeCell ref="E679:N679"/>
    <mergeCell ref="E680:N680"/>
    <mergeCell ref="F681:N681"/>
    <mergeCell ref="F682:N682"/>
    <mergeCell ref="I721:M721"/>
    <mergeCell ref="E704:N704"/>
    <mergeCell ref="E705:N705"/>
    <mergeCell ref="E706:N706"/>
    <mergeCell ref="E707:K707"/>
    <mergeCell ref="E708:N708"/>
    <mergeCell ref="E709:H709"/>
    <mergeCell ref="I709:M709"/>
    <mergeCell ref="E711:F711"/>
    <mergeCell ref="E712:F712"/>
    <mergeCell ref="E693:N693"/>
    <mergeCell ref="E694:N694"/>
    <mergeCell ref="E695:N695"/>
    <mergeCell ref="E697:F697"/>
    <mergeCell ref="E698:F698"/>
    <mergeCell ref="E700:N700"/>
    <mergeCell ref="E701:N701"/>
    <mergeCell ref="E702:N702"/>
    <mergeCell ref="E703:N703"/>
    <mergeCell ref="E723:F723"/>
    <mergeCell ref="E724:F724"/>
    <mergeCell ref="E725:F725"/>
    <mergeCell ref="E726:F726"/>
    <mergeCell ref="E727:F727"/>
    <mergeCell ref="E728:F728"/>
    <mergeCell ref="E729:F729"/>
    <mergeCell ref="E730:F730"/>
    <mergeCell ref="E731:F731"/>
    <mergeCell ref="E713:F713"/>
    <mergeCell ref="E714:F714"/>
    <mergeCell ref="E715:F715"/>
    <mergeCell ref="E716:F716"/>
    <mergeCell ref="E717:F717"/>
    <mergeCell ref="E718:F718"/>
    <mergeCell ref="E719:F719"/>
    <mergeCell ref="E721:H721"/>
    <mergeCell ref="E744:N744"/>
    <mergeCell ref="E745:N745"/>
    <mergeCell ref="E746:F746"/>
    <mergeCell ref="E747:F747"/>
    <mergeCell ref="E748:F748"/>
    <mergeCell ref="E750:F750"/>
    <mergeCell ref="E751:F751"/>
    <mergeCell ref="E752:F752"/>
    <mergeCell ref="E754:F754"/>
    <mergeCell ref="E733:N733"/>
    <mergeCell ref="E734:N734"/>
    <mergeCell ref="E735:N735"/>
    <mergeCell ref="E736:N736"/>
    <mergeCell ref="E738:F738"/>
    <mergeCell ref="E740:N740"/>
    <mergeCell ref="E741:N741"/>
    <mergeCell ref="E742:N742"/>
    <mergeCell ref="E743:N743"/>
    <mergeCell ref="E766:F766"/>
    <mergeCell ref="E767:F767"/>
    <mergeCell ref="E768:F768"/>
    <mergeCell ref="E769:F769"/>
    <mergeCell ref="E771:H771"/>
    <mergeCell ref="I771:M771"/>
    <mergeCell ref="E772:N772"/>
    <mergeCell ref="E773:N773"/>
    <mergeCell ref="E775:F775"/>
    <mergeCell ref="E755:F755"/>
    <mergeCell ref="E756:F756"/>
    <mergeCell ref="E758:N758"/>
    <mergeCell ref="E760:K760"/>
    <mergeCell ref="E761:N761"/>
    <mergeCell ref="E762:H762"/>
    <mergeCell ref="I762:M762"/>
    <mergeCell ref="E763:N763"/>
    <mergeCell ref="E764:N764"/>
    <mergeCell ref="E786:F786"/>
    <mergeCell ref="E787:F787"/>
    <mergeCell ref="E788:F788"/>
    <mergeCell ref="E790:F790"/>
    <mergeCell ref="E793:G793"/>
    <mergeCell ref="E794:G794"/>
    <mergeCell ref="E795:G795"/>
    <mergeCell ref="E796:G796"/>
    <mergeCell ref="E797:G797"/>
    <mergeCell ref="E776:F776"/>
    <mergeCell ref="E777:F777"/>
    <mergeCell ref="E778:F778"/>
    <mergeCell ref="E780:H780"/>
    <mergeCell ref="I780:M780"/>
    <mergeCell ref="E781:N781"/>
    <mergeCell ref="E782:N782"/>
    <mergeCell ref="E783:N783"/>
    <mergeCell ref="E785:F785"/>
    <mergeCell ref="E825:N825"/>
    <mergeCell ref="E826:N826"/>
    <mergeCell ref="E828:F828"/>
    <mergeCell ref="E830:N830"/>
    <mergeCell ref="E831:N831"/>
    <mergeCell ref="E832:N832"/>
    <mergeCell ref="E811:F811"/>
    <mergeCell ref="E812:F812"/>
    <mergeCell ref="E813:F813"/>
    <mergeCell ref="E815:H815"/>
    <mergeCell ref="I815:M815"/>
    <mergeCell ref="E816:N816"/>
    <mergeCell ref="E817:N817"/>
    <mergeCell ref="E819:F819"/>
    <mergeCell ref="E820:F820"/>
    <mergeCell ref="E799:I799"/>
    <mergeCell ref="E800:I800"/>
    <mergeCell ref="E802:I802"/>
    <mergeCell ref="E803:G803"/>
    <mergeCell ref="E806:H806"/>
    <mergeCell ref="I806:M806"/>
    <mergeCell ref="E807:N807"/>
    <mergeCell ref="E808:N808"/>
    <mergeCell ref="E810:F810"/>
    <mergeCell ref="D856:H856"/>
    <mergeCell ref="I856:N856"/>
    <mergeCell ref="E857:N857"/>
    <mergeCell ref="E859:N859"/>
    <mergeCell ref="E860:N860"/>
    <mergeCell ref="E861:N861"/>
    <mergeCell ref="E862:N862"/>
    <mergeCell ref="E863:F863"/>
    <mergeCell ref="E864:F864"/>
    <mergeCell ref="E845:F845"/>
    <mergeCell ref="E846:F846"/>
    <mergeCell ref="E847:F847"/>
    <mergeCell ref="E851:M852"/>
    <mergeCell ref="D575:H575"/>
    <mergeCell ref="I575:N575"/>
    <mergeCell ref="E576:N576"/>
    <mergeCell ref="E578:N578"/>
    <mergeCell ref="E579:N579"/>
    <mergeCell ref="E580:N580"/>
    <mergeCell ref="E581:N581"/>
    <mergeCell ref="E833:N833"/>
    <mergeCell ref="E834:F834"/>
    <mergeCell ref="E836:N836"/>
    <mergeCell ref="E837:N837"/>
    <mergeCell ref="E838:N838"/>
    <mergeCell ref="E839:K839"/>
    <mergeCell ref="E841:F841"/>
    <mergeCell ref="E842:F842"/>
    <mergeCell ref="E843:F843"/>
    <mergeCell ref="E821:F821"/>
    <mergeCell ref="E822:F822"/>
    <mergeCell ref="E824:N824"/>
    <mergeCell ref="F875:N875"/>
    <mergeCell ref="D890:N890"/>
    <mergeCell ref="E892:N892"/>
    <mergeCell ref="E893:N893"/>
    <mergeCell ref="E897:I897"/>
    <mergeCell ref="J897:N897"/>
    <mergeCell ref="E898:N898"/>
    <mergeCell ref="E899:N899"/>
    <mergeCell ref="E900:N900"/>
    <mergeCell ref="E865:F865"/>
    <mergeCell ref="E866:F866"/>
    <mergeCell ref="E868:G868"/>
    <mergeCell ref="H868:N868"/>
    <mergeCell ref="E869:N869"/>
    <mergeCell ref="E871:N871"/>
    <mergeCell ref="E872:N872"/>
    <mergeCell ref="E873:N873"/>
    <mergeCell ref="F874:N874"/>
    <mergeCell ref="E929:N929"/>
    <mergeCell ref="E930:N930"/>
    <mergeCell ref="E932:N932"/>
    <mergeCell ref="D948:N948"/>
    <mergeCell ref="D950:H950"/>
    <mergeCell ref="I950:N950"/>
    <mergeCell ref="E952:N952"/>
    <mergeCell ref="E953:N953"/>
    <mergeCell ref="E954:N954"/>
    <mergeCell ref="E901:N901"/>
    <mergeCell ref="E903:F903"/>
    <mergeCell ref="E907:N907"/>
    <mergeCell ref="D922:N922"/>
    <mergeCell ref="E924:N924"/>
    <mergeCell ref="E925:N925"/>
    <mergeCell ref="E926:N926"/>
    <mergeCell ref="E927:N927"/>
    <mergeCell ref="E928:N928"/>
    <mergeCell ref="F966:N966"/>
    <mergeCell ref="F967:N967"/>
    <mergeCell ref="F968:N968"/>
    <mergeCell ref="E969:F969"/>
    <mergeCell ref="E970:F970"/>
    <mergeCell ref="E972:N972"/>
    <mergeCell ref="E973:N973"/>
    <mergeCell ref="E974:N974"/>
    <mergeCell ref="E975:N975"/>
    <mergeCell ref="E955:N955"/>
    <mergeCell ref="E957:N957"/>
    <mergeCell ref="E959:N959"/>
    <mergeCell ref="E960:N960"/>
    <mergeCell ref="E961:N961"/>
    <mergeCell ref="F962:N962"/>
    <mergeCell ref="F963:N963"/>
    <mergeCell ref="F964:N964"/>
    <mergeCell ref="F965:N965"/>
    <mergeCell ref="E987:N987"/>
    <mergeCell ref="E988:K988"/>
    <mergeCell ref="E989:N989"/>
    <mergeCell ref="E990:H990"/>
    <mergeCell ref="I990:M990"/>
    <mergeCell ref="E992:F992"/>
    <mergeCell ref="E993:F993"/>
    <mergeCell ref="E994:F994"/>
    <mergeCell ref="E995:F995"/>
    <mergeCell ref="E976:N976"/>
    <mergeCell ref="E978:F978"/>
    <mergeCell ref="E979:F979"/>
    <mergeCell ref="E981:N981"/>
    <mergeCell ref="E982:N982"/>
    <mergeCell ref="E983:N983"/>
    <mergeCell ref="E984:N984"/>
    <mergeCell ref="E985:N985"/>
    <mergeCell ref="E986:N986"/>
    <mergeCell ref="E1006:F1006"/>
    <mergeCell ref="E1007:F1007"/>
    <mergeCell ref="E1008:F1008"/>
    <mergeCell ref="E1009:F1009"/>
    <mergeCell ref="E1010:F1010"/>
    <mergeCell ref="E1011:F1011"/>
    <mergeCell ref="E1012:F1012"/>
    <mergeCell ref="E1014:N1014"/>
    <mergeCell ref="E1015:N1015"/>
    <mergeCell ref="E996:F996"/>
    <mergeCell ref="E997:F997"/>
    <mergeCell ref="E998:F998"/>
    <mergeCell ref="E999:F999"/>
    <mergeCell ref="E1000:F1000"/>
    <mergeCell ref="E1002:H1002"/>
    <mergeCell ref="I1002:M1002"/>
    <mergeCell ref="E1004:F1004"/>
    <mergeCell ref="E1005:F1005"/>
    <mergeCell ref="E1027:F1027"/>
    <mergeCell ref="E1028:F1028"/>
    <mergeCell ref="E1029:F1029"/>
    <mergeCell ref="E1031:F1031"/>
    <mergeCell ref="E1032:F1032"/>
    <mergeCell ref="E1033:F1033"/>
    <mergeCell ref="E1035:F1035"/>
    <mergeCell ref="E1036:F1036"/>
    <mergeCell ref="E1037:F1037"/>
    <mergeCell ref="E1016:N1016"/>
    <mergeCell ref="E1017:N1017"/>
    <mergeCell ref="E1019:F1019"/>
    <mergeCell ref="E1021:N1021"/>
    <mergeCell ref="E1022:N1022"/>
    <mergeCell ref="E1023:N1023"/>
    <mergeCell ref="E1024:N1024"/>
    <mergeCell ref="E1025:N1025"/>
    <mergeCell ref="E1026:N1026"/>
    <mergeCell ref="E1049:F1049"/>
    <mergeCell ref="E1050:F1050"/>
    <mergeCell ref="E1052:H1052"/>
    <mergeCell ref="I1052:M1052"/>
    <mergeCell ref="E1053:N1053"/>
    <mergeCell ref="E1054:N1054"/>
    <mergeCell ref="E1056:F1056"/>
    <mergeCell ref="E1057:F1057"/>
    <mergeCell ref="E1058:F1058"/>
    <mergeCell ref="E1039:N1039"/>
    <mergeCell ref="E1041:K1041"/>
    <mergeCell ref="E1042:N1042"/>
    <mergeCell ref="E1043:H1043"/>
    <mergeCell ref="I1043:M1043"/>
    <mergeCell ref="E1044:N1044"/>
    <mergeCell ref="E1045:N1045"/>
    <mergeCell ref="E1047:F1047"/>
    <mergeCell ref="E1048:F1048"/>
    <mergeCell ref="E1069:F1069"/>
    <mergeCell ref="E1071:F1071"/>
    <mergeCell ref="E1074:G1074"/>
    <mergeCell ref="E1075:G1075"/>
    <mergeCell ref="E1076:G1076"/>
    <mergeCell ref="E1077:G1077"/>
    <mergeCell ref="E1078:G1078"/>
    <mergeCell ref="E1080:I1080"/>
    <mergeCell ref="E1081:I1081"/>
    <mergeCell ref="E1059:F1059"/>
    <mergeCell ref="E1061:H1061"/>
    <mergeCell ref="I1061:M1061"/>
    <mergeCell ref="E1062:N1062"/>
    <mergeCell ref="E1063:N1063"/>
    <mergeCell ref="E1064:N1064"/>
    <mergeCell ref="E1066:F1066"/>
    <mergeCell ref="E1067:F1067"/>
    <mergeCell ref="E1068:F1068"/>
    <mergeCell ref="E1094:F1094"/>
    <mergeCell ref="E1096:H1096"/>
    <mergeCell ref="I1096:M1096"/>
    <mergeCell ref="E1097:N1097"/>
    <mergeCell ref="E1098:N1098"/>
    <mergeCell ref="E1100:F1100"/>
    <mergeCell ref="E1101:F1101"/>
    <mergeCell ref="E1102:F1102"/>
    <mergeCell ref="E1103:F1103"/>
    <mergeCell ref="E1083:I1083"/>
    <mergeCell ref="E1084:G1084"/>
    <mergeCell ref="E1087:H1087"/>
    <mergeCell ref="I1087:M1087"/>
    <mergeCell ref="E1088:N1088"/>
    <mergeCell ref="E1089:N1089"/>
    <mergeCell ref="E1091:F1091"/>
    <mergeCell ref="E1092:F1092"/>
    <mergeCell ref="E1093:F1093"/>
    <mergeCell ref="E1117:N1117"/>
    <mergeCell ref="E1118:N1118"/>
    <mergeCell ref="E1119:N1119"/>
    <mergeCell ref="E1120:K1120"/>
    <mergeCell ref="E1122:F1122"/>
    <mergeCell ref="E1123:F1123"/>
    <mergeCell ref="E1124:F1124"/>
    <mergeCell ref="E1126:F1126"/>
    <mergeCell ref="E1127:F1127"/>
    <mergeCell ref="E1105:N1105"/>
    <mergeCell ref="E1106:N1106"/>
    <mergeCell ref="E1107:N1107"/>
    <mergeCell ref="E1109:F1109"/>
    <mergeCell ref="E1111:N1111"/>
    <mergeCell ref="E1112:N1112"/>
    <mergeCell ref="E1113:N1113"/>
    <mergeCell ref="E1114:N1114"/>
    <mergeCell ref="E1115:F1115"/>
    <mergeCell ref="E1144:F1144"/>
    <mergeCell ref="E1145:F1145"/>
    <mergeCell ref="E1146:F1146"/>
    <mergeCell ref="E1147:F1147"/>
    <mergeCell ref="E1149:G1149"/>
    <mergeCell ref="H1149:N1149"/>
    <mergeCell ref="E1150:N1150"/>
    <mergeCell ref="E1152:N1152"/>
    <mergeCell ref="E1153:N1153"/>
    <mergeCell ref="E1128:F1128"/>
    <mergeCell ref="E1132:M1133"/>
    <mergeCell ref="D1137:H1137"/>
    <mergeCell ref="I1137:N1137"/>
    <mergeCell ref="E1138:N1138"/>
    <mergeCell ref="E1140:N1140"/>
    <mergeCell ref="E1141:N1141"/>
    <mergeCell ref="E1142:N1142"/>
    <mergeCell ref="E1143:N1143"/>
    <mergeCell ref="E1180:N1180"/>
    <mergeCell ref="E1181:N1181"/>
    <mergeCell ref="E1182:N1182"/>
    <mergeCell ref="E1184:F1184"/>
    <mergeCell ref="E1188:N1188"/>
    <mergeCell ref="D1203:N1203"/>
    <mergeCell ref="E1205:N1205"/>
    <mergeCell ref="E1206:N1206"/>
    <mergeCell ref="E1207:N1207"/>
    <mergeCell ref="E1154:N1154"/>
    <mergeCell ref="F1155:N1155"/>
    <mergeCell ref="F1156:N1156"/>
    <mergeCell ref="D1171:N1171"/>
    <mergeCell ref="E1173:N1173"/>
    <mergeCell ref="E1174:N1174"/>
    <mergeCell ref="E1178:I1178"/>
    <mergeCell ref="J1178:N1178"/>
    <mergeCell ref="E1179:N1179"/>
    <mergeCell ref="E1234:N1234"/>
    <mergeCell ref="E1235:N1235"/>
    <mergeCell ref="E1236:N1236"/>
    <mergeCell ref="E1238:N1238"/>
    <mergeCell ref="E1240:N1240"/>
    <mergeCell ref="E1241:N1241"/>
    <mergeCell ref="E1242:N1242"/>
    <mergeCell ref="F1243:N1243"/>
    <mergeCell ref="F1244:N1244"/>
    <mergeCell ref="E1208:N1208"/>
    <mergeCell ref="E1209:N1209"/>
    <mergeCell ref="E1210:N1210"/>
    <mergeCell ref="E1211:N1211"/>
    <mergeCell ref="E1213:N1213"/>
    <mergeCell ref="D1229:N1229"/>
    <mergeCell ref="D1231:H1231"/>
    <mergeCell ref="I1231:N1231"/>
    <mergeCell ref="E1233:N1233"/>
    <mergeCell ref="E1255:N1255"/>
    <mergeCell ref="E1256:N1256"/>
    <mergeCell ref="E1257:N1257"/>
    <mergeCell ref="E1259:F1259"/>
    <mergeCell ref="E1260:F1260"/>
    <mergeCell ref="E1262:N1262"/>
    <mergeCell ref="E1263:N1263"/>
    <mergeCell ref="E1264:N1264"/>
    <mergeCell ref="E1265:N1265"/>
    <mergeCell ref="F1245:N1245"/>
    <mergeCell ref="F1246:N1246"/>
    <mergeCell ref="F1247:N1247"/>
    <mergeCell ref="F1248:N1248"/>
    <mergeCell ref="F1249:N1249"/>
    <mergeCell ref="E1250:F1250"/>
    <mergeCell ref="E1251:F1251"/>
    <mergeCell ref="E1253:N1253"/>
    <mergeCell ref="E1254:N1254"/>
    <mergeCell ref="E1275:F1275"/>
    <mergeCell ref="E1276:F1276"/>
    <mergeCell ref="E1277:F1277"/>
    <mergeCell ref="E1278:F1278"/>
    <mergeCell ref="E1279:F1279"/>
    <mergeCell ref="E1280:F1280"/>
    <mergeCell ref="E1281:F1281"/>
    <mergeCell ref="E1283:H1283"/>
    <mergeCell ref="I1283:M1283"/>
    <mergeCell ref="E1266:N1266"/>
    <mergeCell ref="E1267:N1267"/>
    <mergeCell ref="E1268:N1268"/>
    <mergeCell ref="E1269:K1269"/>
    <mergeCell ref="E1270:N1270"/>
    <mergeCell ref="E1271:H1271"/>
    <mergeCell ref="I1271:M1271"/>
    <mergeCell ref="E1273:F1273"/>
    <mergeCell ref="E1274:F1274"/>
    <mergeCell ref="E1295:N1295"/>
    <mergeCell ref="E1296:N1296"/>
    <mergeCell ref="E1297:N1297"/>
    <mergeCell ref="E1298:N1298"/>
    <mergeCell ref="E1300:F1300"/>
    <mergeCell ref="E1302:N1302"/>
    <mergeCell ref="E1303:N1303"/>
    <mergeCell ref="E1304:N1304"/>
    <mergeCell ref="E1305:N1305"/>
    <mergeCell ref="E1285:F1285"/>
    <mergeCell ref="E1286:F1286"/>
    <mergeCell ref="E1287:F1287"/>
    <mergeCell ref="E1288:F1288"/>
    <mergeCell ref="E1289:F1289"/>
    <mergeCell ref="E1290:F1290"/>
    <mergeCell ref="E1291:F1291"/>
    <mergeCell ref="E1292:F1292"/>
    <mergeCell ref="E1293:F1293"/>
    <mergeCell ref="E1317:F1317"/>
    <mergeCell ref="E1318:F1318"/>
    <mergeCell ref="E1320:N1320"/>
    <mergeCell ref="E1322:K1322"/>
    <mergeCell ref="E1323:N1323"/>
    <mergeCell ref="E1324:H1324"/>
    <mergeCell ref="I1324:M1324"/>
    <mergeCell ref="E1325:N1325"/>
    <mergeCell ref="E1326:N1326"/>
    <mergeCell ref="E1306:N1306"/>
    <mergeCell ref="E1307:N1307"/>
    <mergeCell ref="E1308:F1308"/>
    <mergeCell ref="E1309:F1309"/>
    <mergeCell ref="E1310:F1310"/>
    <mergeCell ref="E1312:F1312"/>
    <mergeCell ref="E1313:F1313"/>
    <mergeCell ref="E1314:F1314"/>
    <mergeCell ref="E1316:F1316"/>
    <mergeCell ref="E1338:F1338"/>
    <mergeCell ref="E1339:F1339"/>
    <mergeCell ref="E1340:F1340"/>
    <mergeCell ref="E1342:H1342"/>
    <mergeCell ref="I1342:M1342"/>
    <mergeCell ref="E1343:N1343"/>
    <mergeCell ref="E1344:N1344"/>
    <mergeCell ref="E1345:N1345"/>
    <mergeCell ref="E1347:F1347"/>
    <mergeCell ref="E1328:F1328"/>
    <mergeCell ref="E1329:F1329"/>
    <mergeCell ref="E1330:F1330"/>
    <mergeCell ref="E1331:F1331"/>
    <mergeCell ref="E1333:H1333"/>
    <mergeCell ref="I1333:M1333"/>
    <mergeCell ref="E1334:N1334"/>
    <mergeCell ref="E1335:N1335"/>
    <mergeCell ref="E1337:F1337"/>
    <mergeCell ref="E1361:I1361"/>
    <mergeCell ref="E1362:I1362"/>
    <mergeCell ref="E1364:I1364"/>
    <mergeCell ref="E1365:G1365"/>
    <mergeCell ref="E1368:H1368"/>
    <mergeCell ref="I1368:M1368"/>
    <mergeCell ref="E1369:N1369"/>
    <mergeCell ref="E1370:N1370"/>
    <mergeCell ref="E1372:F1372"/>
    <mergeCell ref="E1348:F1348"/>
    <mergeCell ref="E1349:F1349"/>
    <mergeCell ref="E1350:F1350"/>
    <mergeCell ref="E1352:F1352"/>
    <mergeCell ref="E1355:G1355"/>
    <mergeCell ref="E1356:G1356"/>
    <mergeCell ref="E1357:G1357"/>
    <mergeCell ref="E1358:G1358"/>
    <mergeCell ref="E1359:G1359"/>
    <mergeCell ref="E1383:F1383"/>
    <mergeCell ref="E1384:F1384"/>
    <mergeCell ref="E1386:N1386"/>
    <mergeCell ref="E1387:N1387"/>
    <mergeCell ref="E1388:N1388"/>
    <mergeCell ref="E1390:F1390"/>
    <mergeCell ref="E1392:N1392"/>
    <mergeCell ref="E1393:N1393"/>
    <mergeCell ref="E1394:N1394"/>
    <mergeCell ref="E1373:F1373"/>
    <mergeCell ref="E1374:F1374"/>
    <mergeCell ref="E1375:F1375"/>
    <mergeCell ref="E1377:H1377"/>
    <mergeCell ref="I1377:M1377"/>
    <mergeCell ref="E1378:N1378"/>
    <mergeCell ref="E1379:N1379"/>
    <mergeCell ref="E1381:F1381"/>
    <mergeCell ref="E1382:F1382"/>
    <mergeCell ref="E1407:F1407"/>
    <mergeCell ref="E1408:F1408"/>
    <mergeCell ref="E1409:F1409"/>
    <mergeCell ref="E1413:M1414"/>
    <mergeCell ref="D1418:H1418"/>
    <mergeCell ref="I1418:N1418"/>
    <mergeCell ref="E1419:N1419"/>
    <mergeCell ref="E1421:N1421"/>
    <mergeCell ref="E1422:N1422"/>
    <mergeCell ref="E1395:N1395"/>
    <mergeCell ref="E1396:F1396"/>
    <mergeCell ref="E1398:N1398"/>
    <mergeCell ref="E1399:N1399"/>
    <mergeCell ref="E1400:N1400"/>
    <mergeCell ref="E1401:K1401"/>
    <mergeCell ref="E1403:F1403"/>
    <mergeCell ref="E1404:F1404"/>
    <mergeCell ref="E1405:F1405"/>
    <mergeCell ref="E1433:N1433"/>
    <mergeCell ref="E1434:N1434"/>
    <mergeCell ref="E1435:N1435"/>
    <mergeCell ref="F1436:N1436"/>
    <mergeCell ref="F1437:N1437"/>
    <mergeCell ref="D1452:N1452"/>
    <mergeCell ref="E1454:N1454"/>
    <mergeCell ref="E1455:N1455"/>
    <mergeCell ref="E1459:I1459"/>
    <mergeCell ref="J1459:N1459"/>
    <mergeCell ref="E1423:N1423"/>
    <mergeCell ref="E1424:N1424"/>
    <mergeCell ref="E1425:F1425"/>
    <mergeCell ref="E1426:F1426"/>
    <mergeCell ref="E1427:F1427"/>
    <mergeCell ref="E1428:F1428"/>
    <mergeCell ref="E1430:G1430"/>
    <mergeCell ref="H1430:N1430"/>
    <mergeCell ref="E1431:N1431"/>
    <mergeCell ref="E1488:N1488"/>
    <mergeCell ref="E1489:N1489"/>
    <mergeCell ref="E1490:N1490"/>
    <mergeCell ref="E1491:N1491"/>
    <mergeCell ref="E1492:N1492"/>
    <mergeCell ref="E1494:N1494"/>
    <mergeCell ref="D1510:N1510"/>
    <mergeCell ref="D1512:H1512"/>
    <mergeCell ref="I1512:N1512"/>
    <mergeCell ref="E1460:N1460"/>
    <mergeCell ref="E1461:N1461"/>
    <mergeCell ref="E1462:N1462"/>
    <mergeCell ref="E1463:N1463"/>
    <mergeCell ref="E1465:F1465"/>
    <mergeCell ref="E1469:N1469"/>
    <mergeCell ref="D1484:N1484"/>
    <mergeCell ref="E1486:N1486"/>
    <mergeCell ref="E1487:N1487"/>
    <mergeCell ref="F1525:N1525"/>
    <mergeCell ref="F1526:N1526"/>
    <mergeCell ref="F1527:N1527"/>
    <mergeCell ref="F1528:N1528"/>
    <mergeCell ref="F1529:N1529"/>
    <mergeCell ref="F1530:N1530"/>
    <mergeCell ref="E1531:F1531"/>
    <mergeCell ref="E1532:F1532"/>
    <mergeCell ref="E1534:N1534"/>
    <mergeCell ref="E1514:N1514"/>
    <mergeCell ref="E1515:N1515"/>
    <mergeCell ref="E1516:N1516"/>
    <mergeCell ref="E1517:N1517"/>
    <mergeCell ref="E1519:N1519"/>
    <mergeCell ref="E1521:N1521"/>
    <mergeCell ref="E1522:N1522"/>
    <mergeCell ref="E1523:N1523"/>
    <mergeCell ref="F1524:N1524"/>
    <mergeCell ref="E1546:N1546"/>
    <mergeCell ref="E1547:N1547"/>
    <mergeCell ref="E1548:N1548"/>
    <mergeCell ref="E1549:N1549"/>
    <mergeCell ref="E1550:K1550"/>
    <mergeCell ref="E1551:N1551"/>
    <mergeCell ref="E1552:H1552"/>
    <mergeCell ref="I1552:M1552"/>
    <mergeCell ref="E1554:F1554"/>
    <mergeCell ref="E1535:N1535"/>
    <mergeCell ref="E1536:N1536"/>
    <mergeCell ref="E1537:N1537"/>
    <mergeCell ref="E1538:N1538"/>
    <mergeCell ref="E1540:F1540"/>
    <mergeCell ref="E1541:F1541"/>
    <mergeCell ref="E1543:N1543"/>
    <mergeCell ref="E1544:N1544"/>
    <mergeCell ref="E1545:N1545"/>
    <mergeCell ref="I1564:M1564"/>
    <mergeCell ref="E1566:F1566"/>
    <mergeCell ref="E1567:F1567"/>
    <mergeCell ref="E1568:F1568"/>
    <mergeCell ref="E1569:F1569"/>
    <mergeCell ref="E1570:F1570"/>
    <mergeCell ref="E1571:F1571"/>
    <mergeCell ref="E1572:F1572"/>
    <mergeCell ref="E1573:F1573"/>
    <mergeCell ref="E1555:F1555"/>
    <mergeCell ref="E1556:F1556"/>
    <mergeCell ref="E1557:F1557"/>
    <mergeCell ref="E1558:F1558"/>
    <mergeCell ref="E1559:F1559"/>
    <mergeCell ref="E1560:F1560"/>
    <mergeCell ref="E1561:F1561"/>
    <mergeCell ref="E1562:F1562"/>
    <mergeCell ref="E1564:H1564"/>
    <mergeCell ref="E1586:N1586"/>
    <mergeCell ref="E1587:N1587"/>
    <mergeCell ref="E1588:N1588"/>
    <mergeCell ref="E1589:F1589"/>
    <mergeCell ref="E1590:F1590"/>
    <mergeCell ref="E1591:F1591"/>
    <mergeCell ref="E1593:F1593"/>
    <mergeCell ref="E1594:F1594"/>
    <mergeCell ref="E1595:F1595"/>
    <mergeCell ref="E1574:F1574"/>
    <mergeCell ref="E1576:N1576"/>
    <mergeCell ref="E1577:N1577"/>
    <mergeCell ref="E1578:N1578"/>
    <mergeCell ref="E1579:N1579"/>
    <mergeCell ref="E1581:F1581"/>
    <mergeCell ref="E1583:N1583"/>
    <mergeCell ref="E1584:N1584"/>
    <mergeCell ref="E1585:N1585"/>
    <mergeCell ref="E1607:N1607"/>
    <mergeCell ref="E1609:F1609"/>
    <mergeCell ref="E1610:F1610"/>
    <mergeCell ref="E1611:F1611"/>
    <mergeCell ref="E1612:F1612"/>
    <mergeCell ref="E1614:H1614"/>
    <mergeCell ref="I1614:M1614"/>
    <mergeCell ref="E1615:N1615"/>
    <mergeCell ref="E1616:N1616"/>
    <mergeCell ref="E1597:F1597"/>
    <mergeCell ref="E1598:F1598"/>
    <mergeCell ref="E1599:F1599"/>
    <mergeCell ref="E1601:N1601"/>
    <mergeCell ref="E1603:K1603"/>
    <mergeCell ref="E1604:N1604"/>
    <mergeCell ref="E1605:H1605"/>
    <mergeCell ref="I1605:M1605"/>
    <mergeCell ref="E1606:N1606"/>
    <mergeCell ref="E1628:F1628"/>
    <mergeCell ref="E1629:F1629"/>
    <mergeCell ref="E1630:F1630"/>
    <mergeCell ref="E1631:F1631"/>
    <mergeCell ref="E1633:F1633"/>
    <mergeCell ref="E1636:G1636"/>
    <mergeCell ref="E1637:G1637"/>
    <mergeCell ref="E1638:G1638"/>
    <mergeCell ref="E1639:G1639"/>
    <mergeCell ref="E1618:F1618"/>
    <mergeCell ref="E1619:F1619"/>
    <mergeCell ref="E1620:F1620"/>
    <mergeCell ref="E1621:F1621"/>
    <mergeCell ref="E1623:H1623"/>
    <mergeCell ref="I1623:M1623"/>
    <mergeCell ref="E1624:N1624"/>
    <mergeCell ref="E1625:N1625"/>
    <mergeCell ref="E1626:N1626"/>
    <mergeCell ref="E1653:F1653"/>
    <mergeCell ref="E1654:F1654"/>
    <mergeCell ref="E1655:F1655"/>
    <mergeCell ref="E1656:F1656"/>
    <mergeCell ref="E1658:H1658"/>
    <mergeCell ref="I1658:M1658"/>
    <mergeCell ref="E1659:N1659"/>
    <mergeCell ref="E1660:N1660"/>
    <mergeCell ref="E1662:F1662"/>
    <mergeCell ref="E1640:G1640"/>
    <mergeCell ref="E1642:I1642"/>
    <mergeCell ref="E1643:I1643"/>
    <mergeCell ref="E1645:I1645"/>
    <mergeCell ref="E1646:G1646"/>
    <mergeCell ref="E1649:H1649"/>
    <mergeCell ref="I1649:M1649"/>
    <mergeCell ref="E1650:N1650"/>
    <mergeCell ref="E1651:N1651"/>
    <mergeCell ref="E1675:N1675"/>
    <mergeCell ref="E1676:N1676"/>
    <mergeCell ref="E1677:F1677"/>
    <mergeCell ref="E1679:N1679"/>
    <mergeCell ref="E1680:N1680"/>
    <mergeCell ref="E1681:N1681"/>
    <mergeCell ref="E1682:K1682"/>
    <mergeCell ref="E1684:F1684"/>
    <mergeCell ref="E1685:F1685"/>
    <mergeCell ref="E1663:F1663"/>
    <mergeCell ref="E1664:F1664"/>
    <mergeCell ref="E1665:F1665"/>
    <mergeCell ref="E1667:N1667"/>
    <mergeCell ref="E1668:N1668"/>
    <mergeCell ref="E1669:N1669"/>
    <mergeCell ref="E1671:F1671"/>
    <mergeCell ref="E1673:N1673"/>
    <mergeCell ref="E1674:N1674"/>
    <mergeCell ref="E1703:N1703"/>
    <mergeCell ref="E1704:N1704"/>
    <mergeCell ref="E1705:N1705"/>
    <mergeCell ref="E1706:F1706"/>
    <mergeCell ref="E1707:F1707"/>
    <mergeCell ref="E1708:F1708"/>
    <mergeCell ref="E1709:F1709"/>
    <mergeCell ref="E1711:G1711"/>
    <mergeCell ref="H1711:N1711"/>
    <mergeCell ref="E1686:F1686"/>
    <mergeCell ref="E1688:F1688"/>
    <mergeCell ref="E1689:F1689"/>
    <mergeCell ref="E1690:F1690"/>
    <mergeCell ref="E1694:M1695"/>
    <mergeCell ref="D1699:H1699"/>
    <mergeCell ref="I1699:N1699"/>
    <mergeCell ref="E1700:N1700"/>
    <mergeCell ref="E1702:N1702"/>
    <mergeCell ref="E1740:I1740"/>
    <mergeCell ref="J1740:N1740"/>
    <mergeCell ref="E1741:N1741"/>
    <mergeCell ref="E1742:N1742"/>
    <mergeCell ref="E1743:N1743"/>
    <mergeCell ref="E1744:N1744"/>
    <mergeCell ref="E1746:F1746"/>
    <mergeCell ref="E1750:N1750"/>
    <mergeCell ref="D1765:N1765"/>
    <mergeCell ref="E1712:N1712"/>
    <mergeCell ref="E1714:N1714"/>
    <mergeCell ref="E1715:N1715"/>
    <mergeCell ref="E1716:N1716"/>
    <mergeCell ref="F1717:N1717"/>
    <mergeCell ref="F1718:N1718"/>
    <mergeCell ref="D1733:N1733"/>
    <mergeCell ref="E1735:N1735"/>
    <mergeCell ref="E1736:N1736"/>
    <mergeCell ref="D1793:H1793"/>
    <mergeCell ref="I1793:N1793"/>
    <mergeCell ref="E1795:N1795"/>
    <mergeCell ref="E1796:N1796"/>
    <mergeCell ref="E1797:N1797"/>
    <mergeCell ref="E1798:N1798"/>
    <mergeCell ref="E1800:N1800"/>
    <mergeCell ref="E1802:N1802"/>
    <mergeCell ref="E1803:N1803"/>
    <mergeCell ref="E1767:N1767"/>
    <mergeCell ref="E1768:N1768"/>
    <mergeCell ref="E1769:N1769"/>
    <mergeCell ref="E1770:N1770"/>
    <mergeCell ref="E1771:N1771"/>
    <mergeCell ref="E1772:N1772"/>
    <mergeCell ref="E1773:N1773"/>
    <mergeCell ref="E1775:N1775"/>
    <mergeCell ref="D1791:N1791"/>
    <mergeCell ref="E1813:F1813"/>
    <mergeCell ref="E1815:N1815"/>
    <mergeCell ref="E1816:N1816"/>
    <mergeCell ref="E1817:N1817"/>
    <mergeCell ref="E1818:N1818"/>
    <mergeCell ref="E1819:N1819"/>
    <mergeCell ref="E1821:F1821"/>
    <mergeCell ref="E1822:F1822"/>
    <mergeCell ref="E1824:N1824"/>
    <mergeCell ref="E1804:N1804"/>
    <mergeCell ref="F1805:N1805"/>
    <mergeCell ref="F1806:N1806"/>
    <mergeCell ref="F1807:N1807"/>
    <mergeCell ref="F1808:N1808"/>
    <mergeCell ref="F1809:N1809"/>
    <mergeCell ref="F1810:N1810"/>
    <mergeCell ref="F1811:N1811"/>
    <mergeCell ref="E1812:F1812"/>
    <mergeCell ref="E1835:F1835"/>
    <mergeCell ref="E1836:F1836"/>
    <mergeCell ref="E1837:F1837"/>
    <mergeCell ref="E1838:F1838"/>
    <mergeCell ref="E1839:F1839"/>
    <mergeCell ref="E1840:F1840"/>
    <mergeCell ref="E1841:F1841"/>
    <mergeCell ref="E1842:F1842"/>
    <mergeCell ref="E1843:F1843"/>
    <mergeCell ref="E1825:N1825"/>
    <mergeCell ref="E1826:N1826"/>
    <mergeCell ref="E1827:N1827"/>
    <mergeCell ref="E1828:N1828"/>
    <mergeCell ref="E1829:N1829"/>
    <mergeCell ref="E1830:N1830"/>
    <mergeCell ref="E1831:K1831"/>
    <mergeCell ref="E1832:N1832"/>
    <mergeCell ref="E1833:H1833"/>
    <mergeCell ref="I1833:M1833"/>
    <mergeCell ref="E1854:F1854"/>
    <mergeCell ref="E1855:F1855"/>
    <mergeCell ref="E1857:N1857"/>
    <mergeCell ref="E1858:N1858"/>
    <mergeCell ref="E1859:N1859"/>
    <mergeCell ref="E1860:N1860"/>
    <mergeCell ref="E1862:F1862"/>
    <mergeCell ref="E1864:N1864"/>
    <mergeCell ref="E1865:N1865"/>
    <mergeCell ref="E1845:H1845"/>
    <mergeCell ref="I1845:M1845"/>
    <mergeCell ref="E1847:F1847"/>
    <mergeCell ref="E1848:F1848"/>
    <mergeCell ref="E1849:F1849"/>
    <mergeCell ref="E1850:F1850"/>
    <mergeCell ref="E1851:F1851"/>
    <mergeCell ref="E1852:F1852"/>
    <mergeCell ref="E1853:F1853"/>
    <mergeCell ref="E1876:F1876"/>
    <mergeCell ref="E1878:F1878"/>
    <mergeCell ref="E1879:F1879"/>
    <mergeCell ref="E1880:F1880"/>
    <mergeCell ref="E1882:N1882"/>
    <mergeCell ref="E1884:K1884"/>
    <mergeCell ref="E1885:N1885"/>
    <mergeCell ref="E1886:H1886"/>
    <mergeCell ref="I1886:M1886"/>
    <mergeCell ref="E1866:N1866"/>
    <mergeCell ref="E1867:N1867"/>
    <mergeCell ref="E1868:N1868"/>
    <mergeCell ref="E1869:N1869"/>
    <mergeCell ref="E1870:F1870"/>
    <mergeCell ref="E1871:F1871"/>
    <mergeCell ref="E1872:F1872"/>
    <mergeCell ref="E1874:F1874"/>
    <mergeCell ref="E1875:F1875"/>
    <mergeCell ref="E1897:N1897"/>
    <mergeCell ref="E1899:F1899"/>
    <mergeCell ref="E1900:F1900"/>
    <mergeCell ref="E1901:F1901"/>
    <mergeCell ref="E1902:F1902"/>
    <mergeCell ref="E1904:H1904"/>
    <mergeCell ref="I1904:M1904"/>
    <mergeCell ref="E1905:N1905"/>
    <mergeCell ref="E1906:N1906"/>
    <mergeCell ref="E1887:N1887"/>
    <mergeCell ref="E1888:N1888"/>
    <mergeCell ref="E1890:F1890"/>
    <mergeCell ref="E1891:F1891"/>
    <mergeCell ref="E1892:F1892"/>
    <mergeCell ref="E1893:F1893"/>
    <mergeCell ref="E1895:H1895"/>
    <mergeCell ref="I1895:M1895"/>
    <mergeCell ref="E1896:N1896"/>
    <mergeCell ref="E1920:G1920"/>
    <mergeCell ref="E1921:G1921"/>
    <mergeCell ref="E1923:I1923"/>
    <mergeCell ref="E1924:I1924"/>
    <mergeCell ref="E1926:I1926"/>
    <mergeCell ref="E1927:G1927"/>
    <mergeCell ref="E1930:H1930"/>
    <mergeCell ref="I1930:M1930"/>
    <mergeCell ref="E1931:N1931"/>
    <mergeCell ref="E1907:N1907"/>
    <mergeCell ref="E1909:F1909"/>
    <mergeCell ref="E1910:F1910"/>
    <mergeCell ref="E1911:F1911"/>
    <mergeCell ref="E1912:F1912"/>
    <mergeCell ref="E1914:F1914"/>
    <mergeCell ref="E1917:G1917"/>
    <mergeCell ref="E1918:G1918"/>
    <mergeCell ref="E1919:G1919"/>
    <mergeCell ref="E1943:F1943"/>
    <mergeCell ref="E1944:F1944"/>
    <mergeCell ref="E1945:F1945"/>
    <mergeCell ref="E1946:F1946"/>
    <mergeCell ref="E1948:N1948"/>
    <mergeCell ref="E1949:N1949"/>
    <mergeCell ref="E1950:N1950"/>
    <mergeCell ref="E1952:F1952"/>
    <mergeCell ref="E1954:N1954"/>
    <mergeCell ref="E1932:N1932"/>
    <mergeCell ref="E1934:F1934"/>
    <mergeCell ref="E1935:F1935"/>
    <mergeCell ref="E1936:F1936"/>
    <mergeCell ref="E1937:F1937"/>
    <mergeCell ref="E1939:H1939"/>
    <mergeCell ref="I1939:M1939"/>
    <mergeCell ref="E1940:N1940"/>
    <mergeCell ref="E1941:N1941"/>
    <mergeCell ref="E1966:F1966"/>
    <mergeCell ref="E1967:F1967"/>
    <mergeCell ref="E1969:F1969"/>
    <mergeCell ref="E1970:F1970"/>
    <mergeCell ref="E1971:F1971"/>
    <mergeCell ref="E1975:M1976"/>
    <mergeCell ref="D1980:H1980"/>
    <mergeCell ref="I1980:N1980"/>
    <mergeCell ref="E1981:N1981"/>
    <mergeCell ref="E1955:N1955"/>
    <mergeCell ref="E1956:N1956"/>
    <mergeCell ref="E1957:N1957"/>
    <mergeCell ref="E1958:F1958"/>
    <mergeCell ref="E1960:N1960"/>
    <mergeCell ref="E1961:N1961"/>
    <mergeCell ref="E1962:N1962"/>
    <mergeCell ref="E1963:K1963"/>
    <mergeCell ref="E1965:F1965"/>
    <mergeCell ref="E1993:N1993"/>
    <mergeCell ref="E1995:N1995"/>
    <mergeCell ref="E1996:N1996"/>
    <mergeCell ref="E1997:N1997"/>
    <mergeCell ref="F1998:N1998"/>
    <mergeCell ref="F1999:N1999"/>
    <mergeCell ref="D2014:N2014"/>
    <mergeCell ref="E2016:N2016"/>
    <mergeCell ref="E2017:N2017"/>
    <mergeCell ref="E1983:N1983"/>
    <mergeCell ref="E1984:N1984"/>
    <mergeCell ref="E1985:N1985"/>
    <mergeCell ref="E1986:N1986"/>
    <mergeCell ref="E1987:F1987"/>
    <mergeCell ref="E1988:F1988"/>
    <mergeCell ref="E1989:F1989"/>
    <mergeCell ref="E1990:F1990"/>
    <mergeCell ref="E1992:G1992"/>
    <mergeCell ref="H1992:N1992"/>
    <mergeCell ref="E2048:N2048"/>
    <mergeCell ref="E2049:N2049"/>
    <mergeCell ref="E2050:N2050"/>
    <mergeCell ref="E2051:N2051"/>
    <mergeCell ref="E2052:N2052"/>
    <mergeCell ref="E2053:N2053"/>
    <mergeCell ref="E2054:N2054"/>
    <mergeCell ref="E2056:N2056"/>
    <mergeCell ref="D2072:N2072"/>
    <mergeCell ref="E2021:I2021"/>
    <mergeCell ref="J2021:N2021"/>
    <mergeCell ref="E2022:N2022"/>
    <mergeCell ref="E2023:N2023"/>
    <mergeCell ref="E2024:N2024"/>
    <mergeCell ref="E2025:N2025"/>
    <mergeCell ref="E2027:F2027"/>
    <mergeCell ref="E2031:N2031"/>
    <mergeCell ref="D2046:N2046"/>
    <mergeCell ref="E2085:N2085"/>
    <mergeCell ref="F2086:N2086"/>
    <mergeCell ref="F2087:N2087"/>
    <mergeCell ref="F2088:N2088"/>
    <mergeCell ref="F2089:N2089"/>
    <mergeCell ref="F2090:N2090"/>
    <mergeCell ref="F2091:N2091"/>
    <mergeCell ref="F2092:N2092"/>
    <mergeCell ref="E2093:F2093"/>
    <mergeCell ref="D2074:H2074"/>
    <mergeCell ref="I2074:N2074"/>
    <mergeCell ref="E2076:N2076"/>
    <mergeCell ref="E2077:N2077"/>
    <mergeCell ref="E2078:N2078"/>
    <mergeCell ref="E2079:N2079"/>
    <mergeCell ref="E2081:N2081"/>
    <mergeCell ref="E2083:N2083"/>
    <mergeCell ref="E2084:N2084"/>
    <mergeCell ref="E2106:N2106"/>
    <mergeCell ref="E2107:N2107"/>
    <mergeCell ref="E2108:N2108"/>
    <mergeCell ref="E2109:N2109"/>
    <mergeCell ref="E2110:N2110"/>
    <mergeCell ref="E2111:N2111"/>
    <mergeCell ref="E2112:K2112"/>
    <mergeCell ref="E2113:N2113"/>
    <mergeCell ref="E2114:H2114"/>
    <mergeCell ref="I2114:M2114"/>
    <mergeCell ref="E2094:F2094"/>
    <mergeCell ref="E2096:N2096"/>
    <mergeCell ref="E2097:N2097"/>
    <mergeCell ref="E2098:N2098"/>
    <mergeCell ref="E2099:N2099"/>
    <mergeCell ref="E2100:N2100"/>
    <mergeCell ref="E2102:F2102"/>
    <mergeCell ref="E2103:F2103"/>
    <mergeCell ref="E2105:N2105"/>
    <mergeCell ref="E2126:H2126"/>
    <mergeCell ref="I2126:M2126"/>
    <mergeCell ref="E2128:F2128"/>
    <mergeCell ref="E2129:F2129"/>
    <mergeCell ref="E2130:F2130"/>
    <mergeCell ref="E2131:F2131"/>
    <mergeCell ref="E2132:F2132"/>
    <mergeCell ref="E2133:F2133"/>
    <mergeCell ref="E2134:F2134"/>
    <mergeCell ref="E2116:F2116"/>
    <mergeCell ref="E2117:F2117"/>
    <mergeCell ref="E2118:F2118"/>
    <mergeCell ref="E2119:F2119"/>
    <mergeCell ref="E2120:F2120"/>
    <mergeCell ref="E2121:F2121"/>
    <mergeCell ref="E2122:F2122"/>
    <mergeCell ref="E2123:F2123"/>
    <mergeCell ref="E2124:F2124"/>
    <mergeCell ref="E2147:N2147"/>
    <mergeCell ref="E2148:N2148"/>
    <mergeCell ref="E2149:N2149"/>
    <mergeCell ref="E2150:N2150"/>
    <mergeCell ref="E2151:F2151"/>
    <mergeCell ref="E2152:F2152"/>
    <mergeCell ref="E2153:F2153"/>
    <mergeCell ref="E2155:F2155"/>
    <mergeCell ref="E2156:F2156"/>
    <mergeCell ref="E2135:F2135"/>
    <mergeCell ref="E2136:F2136"/>
    <mergeCell ref="E2138:N2138"/>
    <mergeCell ref="E2139:N2139"/>
    <mergeCell ref="E2140:N2140"/>
    <mergeCell ref="E2141:N2141"/>
    <mergeCell ref="E2143:F2143"/>
    <mergeCell ref="E2145:N2145"/>
    <mergeCell ref="E2146:N2146"/>
    <mergeCell ref="E2168:N2168"/>
    <mergeCell ref="E2169:N2169"/>
    <mergeCell ref="E2171:F2171"/>
    <mergeCell ref="E2172:F2172"/>
    <mergeCell ref="E2173:F2173"/>
    <mergeCell ref="E2174:F2174"/>
    <mergeCell ref="E2176:H2176"/>
    <mergeCell ref="I2176:M2176"/>
    <mergeCell ref="E2177:N2177"/>
    <mergeCell ref="E2157:F2157"/>
    <mergeCell ref="E2159:F2159"/>
    <mergeCell ref="E2160:F2160"/>
    <mergeCell ref="E2161:F2161"/>
    <mergeCell ref="E2163:N2163"/>
    <mergeCell ref="E2165:K2165"/>
    <mergeCell ref="E2166:N2166"/>
    <mergeCell ref="E2167:H2167"/>
    <mergeCell ref="I2167:M2167"/>
    <mergeCell ref="E2188:N2188"/>
    <mergeCell ref="E2190:F2190"/>
    <mergeCell ref="E2191:F2191"/>
    <mergeCell ref="E2192:F2192"/>
    <mergeCell ref="E2193:F2193"/>
    <mergeCell ref="E2195:F2195"/>
    <mergeCell ref="E2198:G2198"/>
    <mergeCell ref="E2199:G2199"/>
    <mergeCell ref="E2200:G2200"/>
    <mergeCell ref="E2178:N2178"/>
    <mergeCell ref="E2180:F2180"/>
    <mergeCell ref="E2181:F2181"/>
    <mergeCell ref="E2182:F2182"/>
    <mergeCell ref="E2183:F2183"/>
    <mergeCell ref="E2185:H2185"/>
    <mergeCell ref="I2185:M2185"/>
    <mergeCell ref="E2186:N2186"/>
    <mergeCell ref="E2187:N2187"/>
    <mergeCell ref="E2213:N2213"/>
    <mergeCell ref="E2215:F2215"/>
    <mergeCell ref="E2216:F2216"/>
    <mergeCell ref="E2217:F2217"/>
    <mergeCell ref="E2218:F2218"/>
    <mergeCell ref="E2220:H2220"/>
    <mergeCell ref="I2220:M2220"/>
    <mergeCell ref="E2221:N2221"/>
    <mergeCell ref="E2222:N2222"/>
    <mergeCell ref="E2201:G2201"/>
    <mergeCell ref="E2202:G2202"/>
    <mergeCell ref="E2204:I2204"/>
    <mergeCell ref="E2205:I2205"/>
    <mergeCell ref="E2207:I2207"/>
    <mergeCell ref="E2208:G2208"/>
    <mergeCell ref="E2211:H2211"/>
    <mergeCell ref="I2211:M2211"/>
    <mergeCell ref="E2212:N2212"/>
    <mergeCell ref="E2236:N2236"/>
    <mergeCell ref="E2237:N2237"/>
    <mergeCell ref="E2238:N2238"/>
    <mergeCell ref="E2239:F2239"/>
    <mergeCell ref="E2241:N2241"/>
    <mergeCell ref="E2242:N2242"/>
    <mergeCell ref="E2243:N2243"/>
    <mergeCell ref="E2244:K2244"/>
    <mergeCell ref="E2246:F2246"/>
    <mergeCell ref="E2224:F2224"/>
    <mergeCell ref="E2225:F2225"/>
    <mergeCell ref="E2226:F2226"/>
    <mergeCell ref="E2227:F2227"/>
    <mergeCell ref="E2229:N2229"/>
    <mergeCell ref="E2230:N2230"/>
    <mergeCell ref="E2231:N2231"/>
    <mergeCell ref="E2233:F2233"/>
    <mergeCell ref="E2235:N2235"/>
    <mergeCell ref="E2264:N2264"/>
    <mergeCell ref="E2265:N2265"/>
    <mergeCell ref="E2266:N2266"/>
    <mergeCell ref="E2267:N2267"/>
    <mergeCell ref="E2268:F2268"/>
    <mergeCell ref="E2269:F2269"/>
    <mergeCell ref="E2270:F2270"/>
    <mergeCell ref="E2271:F2271"/>
    <mergeCell ref="E2273:G2273"/>
    <mergeCell ref="H2273:N2273"/>
    <mergeCell ref="E2247:F2247"/>
    <mergeCell ref="E2248:F2248"/>
    <mergeCell ref="E2250:F2250"/>
    <mergeCell ref="E2251:F2251"/>
    <mergeCell ref="E2252:F2252"/>
    <mergeCell ref="E2256:M2257"/>
    <mergeCell ref="D2261:H2261"/>
    <mergeCell ref="I2261:N2261"/>
    <mergeCell ref="E2262:N2262"/>
    <mergeCell ref="E2302:I2302"/>
    <mergeCell ref="J2302:N2302"/>
    <mergeCell ref="E2303:N2303"/>
    <mergeCell ref="E2304:N2304"/>
    <mergeCell ref="E2305:N2305"/>
    <mergeCell ref="E2306:N2306"/>
    <mergeCell ref="E2308:F2308"/>
    <mergeCell ref="E2312:N2312"/>
    <mergeCell ref="D2327:N2327"/>
    <mergeCell ref="E2274:N2274"/>
    <mergeCell ref="E2276:N2276"/>
    <mergeCell ref="E2277:N2277"/>
    <mergeCell ref="E2278:N2278"/>
    <mergeCell ref="F2279:N2279"/>
    <mergeCell ref="F2280:N2280"/>
    <mergeCell ref="D2295:N2295"/>
    <mergeCell ref="E2297:N2297"/>
    <mergeCell ref="E2298:N2298"/>
    <mergeCell ref="D2355:H2355"/>
    <mergeCell ref="I2355:N2355"/>
    <mergeCell ref="E2357:N2357"/>
    <mergeCell ref="E2358:N2358"/>
    <mergeCell ref="E2359:N2359"/>
    <mergeCell ref="E2360:N2360"/>
    <mergeCell ref="E2362:N2362"/>
    <mergeCell ref="E2364:N2364"/>
    <mergeCell ref="E2365:N2365"/>
    <mergeCell ref="E2329:N2329"/>
    <mergeCell ref="E2330:N2330"/>
    <mergeCell ref="E2331:N2331"/>
    <mergeCell ref="E2332:N2332"/>
    <mergeCell ref="E2333:N2333"/>
    <mergeCell ref="E2334:N2334"/>
    <mergeCell ref="E2335:N2335"/>
    <mergeCell ref="E2337:N2337"/>
    <mergeCell ref="D2353:N2353"/>
    <mergeCell ref="E2375:F2375"/>
    <mergeCell ref="E2377:N2377"/>
    <mergeCell ref="E2378:N2378"/>
    <mergeCell ref="E2379:N2379"/>
    <mergeCell ref="E2380:N2380"/>
    <mergeCell ref="E2381:N2381"/>
    <mergeCell ref="E2383:F2383"/>
    <mergeCell ref="E2384:F2384"/>
    <mergeCell ref="E2386:N2386"/>
    <mergeCell ref="E2366:N2366"/>
    <mergeCell ref="F2367:N2367"/>
    <mergeCell ref="F2368:N2368"/>
    <mergeCell ref="F2369:N2369"/>
    <mergeCell ref="F2370:N2370"/>
    <mergeCell ref="F2371:N2371"/>
    <mergeCell ref="F2372:N2372"/>
    <mergeCell ref="F2373:N2373"/>
    <mergeCell ref="E2374:F2374"/>
    <mergeCell ref="E2397:F2397"/>
    <mergeCell ref="E2398:F2398"/>
    <mergeCell ref="E2399:F2399"/>
    <mergeCell ref="E2400:F2400"/>
    <mergeCell ref="E2401:F2401"/>
    <mergeCell ref="E2402:F2402"/>
    <mergeCell ref="E2403:F2403"/>
    <mergeCell ref="E2404:F2404"/>
    <mergeCell ref="E2405:F2405"/>
    <mergeCell ref="E2387:N2387"/>
    <mergeCell ref="E2388:N2388"/>
    <mergeCell ref="E2389:N2389"/>
    <mergeCell ref="E2390:N2390"/>
    <mergeCell ref="E2391:N2391"/>
    <mergeCell ref="E2392:N2392"/>
    <mergeCell ref="E2393:K2393"/>
    <mergeCell ref="E2394:N2394"/>
    <mergeCell ref="E2395:H2395"/>
    <mergeCell ref="I2395:M2395"/>
    <mergeCell ref="E2416:F2416"/>
    <mergeCell ref="E2417:F2417"/>
    <mergeCell ref="E2419:N2419"/>
    <mergeCell ref="E2420:N2420"/>
    <mergeCell ref="E2421:N2421"/>
    <mergeCell ref="E2422:N2422"/>
    <mergeCell ref="E2424:F2424"/>
    <mergeCell ref="E2426:N2426"/>
    <mergeCell ref="E2427:N2427"/>
    <mergeCell ref="E2407:H2407"/>
    <mergeCell ref="I2407:M2407"/>
    <mergeCell ref="E2409:F2409"/>
    <mergeCell ref="E2410:F2410"/>
    <mergeCell ref="E2411:F2411"/>
    <mergeCell ref="E2412:F2412"/>
    <mergeCell ref="E2413:F2413"/>
    <mergeCell ref="E2414:F2414"/>
    <mergeCell ref="E2415:F2415"/>
    <mergeCell ref="E2438:F2438"/>
    <mergeCell ref="E2440:F2440"/>
    <mergeCell ref="E2441:F2441"/>
    <mergeCell ref="E2442:F2442"/>
    <mergeCell ref="E2444:N2444"/>
    <mergeCell ref="E2446:K2446"/>
    <mergeCell ref="E2447:N2447"/>
    <mergeCell ref="E2448:H2448"/>
    <mergeCell ref="I2448:M2448"/>
    <mergeCell ref="E2428:N2428"/>
    <mergeCell ref="E2429:N2429"/>
    <mergeCell ref="E2430:N2430"/>
    <mergeCell ref="E2431:N2431"/>
    <mergeCell ref="E2432:F2432"/>
    <mergeCell ref="E2433:F2433"/>
    <mergeCell ref="E2434:F2434"/>
    <mergeCell ref="E2436:F2436"/>
    <mergeCell ref="E2437:F2437"/>
    <mergeCell ref="E2459:N2459"/>
    <mergeCell ref="E2461:F2461"/>
    <mergeCell ref="E2462:F2462"/>
    <mergeCell ref="E2463:F2463"/>
    <mergeCell ref="E2464:F2464"/>
    <mergeCell ref="E2466:H2466"/>
    <mergeCell ref="I2466:M2466"/>
    <mergeCell ref="E2467:N2467"/>
    <mergeCell ref="E2468:N2468"/>
    <mergeCell ref="E2449:N2449"/>
    <mergeCell ref="E2450:N2450"/>
    <mergeCell ref="E2452:F2452"/>
    <mergeCell ref="E2453:F2453"/>
    <mergeCell ref="E2454:F2454"/>
    <mergeCell ref="E2455:F2455"/>
    <mergeCell ref="E2457:H2457"/>
    <mergeCell ref="I2457:M2457"/>
    <mergeCell ref="E2458:N2458"/>
    <mergeCell ref="E2482:G2482"/>
    <mergeCell ref="E2483:G2483"/>
    <mergeCell ref="E2485:I2485"/>
    <mergeCell ref="E2486:I2486"/>
    <mergeCell ref="E2488:I2488"/>
    <mergeCell ref="E2489:G2489"/>
    <mergeCell ref="E2492:H2492"/>
    <mergeCell ref="I2492:M2492"/>
    <mergeCell ref="E2493:N2493"/>
    <mergeCell ref="E2469:N2469"/>
    <mergeCell ref="E2471:F2471"/>
    <mergeCell ref="E2472:F2472"/>
    <mergeCell ref="E2473:F2473"/>
    <mergeCell ref="E2474:F2474"/>
    <mergeCell ref="E2476:F2476"/>
    <mergeCell ref="E2479:G2479"/>
    <mergeCell ref="E2480:G2480"/>
    <mergeCell ref="E2481:G2481"/>
    <mergeCell ref="E2505:F2505"/>
    <mergeCell ref="E2506:F2506"/>
    <mergeCell ref="E2507:F2507"/>
    <mergeCell ref="E2508:F2508"/>
    <mergeCell ref="E2510:N2510"/>
    <mergeCell ref="E2511:N2511"/>
    <mergeCell ref="E2512:N2512"/>
    <mergeCell ref="E2514:F2514"/>
    <mergeCell ref="E2516:N2516"/>
    <mergeCell ref="E2494:N2494"/>
    <mergeCell ref="E2496:F2496"/>
    <mergeCell ref="E2497:F2497"/>
    <mergeCell ref="E2498:F2498"/>
    <mergeCell ref="E2499:F2499"/>
    <mergeCell ref="E2501:H2501"/>
    <mergeCell ref="I2501:M2501"/>
    <mergeCell ref="E2502:N2502"/>
    <mergeCell ref="E2503:N2503"/>
    <mergeCell ref="E2528:F2528"/>
    <mergeCell ref="E2529:F2529"/>
    <mergeCell ref="E2531:F2531"/>
    <mergeCell ref="E2532:F2532"/>
    <mergeCell ref="E2533:F2533"/>
    <mergeCell ref="E2537:M2538"/>
    <mergeCell ref="D2542:H2542"/>
    <mergeCell ref="I2542:N2542"/>
    <mergeCell ref="E2543:N2543"/>
    <mergeCell ref="E2517:N2517"/>
    <mergeCell ref="E2518:N2518"/>
    <mergeCell ref="E2519:N2519"/>
    <mergeCell ref="E2520:F2520"/>
    <mergeCell ref="E2522:N2522"/>
    <mergeCell ref="E2523:N2523"/>
    <mergeCell ref="E2524:N2524"/>
    <mergeCell ref="E2525:K2525"/>
    <mergeCell ref="E2527:F2527"/>
    <mergeCell ref="E2555:N2555"/>
    <mergeCell ref="E2557:N2557"/>
    <mergeCell ref="E2558:N2558"/>
    <mergeCell ref="E2559:N2559"/>
    <mergeCell ref="F2560:N2560"/>
    <mergeCell ref="F2561:N2561"/>
    <mergeCell ref="D2576:N2576"/>
    <mergeCell ref="E2578:N2578"/>
    <mergeCell ref="E2579:N2579"/>
    <mergeCell ref="E2545:N2545"/>
    <mergeCell ref="E2546:N2546"/>
    <mergeCell ref="E2547:N2547"/>
    <mergeCell ref="E2548:N2548"/>
    <mergeCell ref="E2549:F2549"/>
    <mergeCell ref="E2550:F2550"/>
    <mergeCell ref="E2551:F2551"/>
    <mergeCell ref="E2552:F2552"/>
    <mergeCell ref="E2554:G2554"/>
    <mergeCell ref="H2554:N2554"/>
    <mergeCell ref="E2610:N2610"/>
    <mergeCell ref="E2611:N2611"/>
    <mergeCell ref="E2612:N2612"/>
    <mergeCell ref="E2613:N2613"/>
    <mergeCell ref="E2614:N2614"/>
    <mergeCell ref="E2615:N2615"/>
    <mergeCell ref="E2616:N2616"/>
    <mergeCell ref="E2618:N2618"/>
    <mergeCell ref="D2634:N2634"/>
    <mergeCell ref="E2583:I2583"/>
    <mergeCell ref="J2583:N2583"/>
    <mergeCell ref="E2584:N2584"/>
    <mergeCell ref="E2585:N2585"/>
    <mergeCell ref="E2586:N2586"/>
    <mergeCell ref="E2587:N2587"/>
    <mergeCell ref="E2589:F2589"/>
    <mergeCell ref="E2593:N2593"/>
    <mergeCell ref="D2608:N2608"/>
    <mergeCell ref="E2647:N2647"/>
    <mergeCell ref="F2648:N2648"/>
    <mergeCell ref="F2649:N2649"/>
    <mergeCell ref="F2650:N2650"/>
    <mergeCell ref="F2651:N2651"/>
    <mergeCell ref="F2652:N2652"/>
    <mergeCell ref="F2653:N2653"/>
    <mergeCell ref="F2654:N2654"/>
    <mergeCell ref="E2655:F2655"/>
    <mergeCell ref="D2636:H2636"/>
    <mergeCell ref="I2636:N2636"/>
    <mergeCell ref="E2638:N2638"/>
    <mergeCell ref="E2639:N2639"/>
    <mergeCell ref="E2640:N2640"/>
    <mergeCell ref="E2641:N2641"/>
    <mergeCell ref="E2643:N2643"/>
    <mergeCell ref="E2645:N2645"/>
    <mergeCell ref="E2646:N2646"/>
    <mergeCell ref="E2668:N2668"/>
    <mergeCell ref="E2669:N2669"/>
    <mergeCell ref="E2670:N2670"/>
    <mergeCell ref="E2671:N2671"/>
    <mergeCell ref="E2672:N2672"/>
    <mergeCell ref="E2673:N2673"/>
    <mergeCell ref="E2674:K2674"/>
    <mergeCell ref="E2675:N2675"/>
    <mergeCell ref="E2676:H2676"/>
    <mergeCell ref="I2676:M2676"/>
    <mergeCell ref="E2656:F2656"/>
    <mergeCell ref="E2658:N2658"/>
    <mergeCell ref="E2659:N2659"/>
    <mergeCell ref="E2660:N2660"/>
    <mergeCell ref="E2661:N2661"/>
    <mergeCell ref="E2662:N2662"/>
    <mergeCell ref="E2664:F2664"/>
    <mergeCell ref="E2665:F2665"/>
    <mergeCell ref="E2667:N2667"/>
    <mergeCell ref="E2688:H2688"/>
    <mergeCell ref="I2688:M2688"/>
    <mergeCell ref="E2690:F2690"/>
    <mergeCell ref="E2691:F2691"/>
    <mergeCell ref="E2692:F2692"/>
    <mergeCell ref="E2693:F2693"/>
    <mergeCell ref="E2694:F2694"/>
    <mergeCell ref="E2695:F2695"/>
    <mergeCell ref="E2696:F2696"/>
    <mergeCell ref="E2678:F2678"/>
    <mergeCell ref="E2679:F2679"/>
    <mergeCell ref="E2680:F2680"/>
    <mergeCell ref="E2681:F2681"/>
    <mergeCell ref="E2682:F2682"/>
    <mergeCell ref="E2683:F2683"/>
    <mergeCell ref="E2684:F2684"/>
    <mergeCell ref="E2685:F2685"/>
    <mergeCell ref="E2686:F2686"/>
    <mergeCell ref="E2709:N2709"/>
    <mergeCell ref="E2710:N2710"/>
    <mergeCell ref="E2711:N2711"/>
    <mergeCell ref="E2712:N2712"/>
    <mergeCell ref="E2713:F2713"/>
    <mergeCell ref="E2714:F2714"/>
    <mergeCell ref="E2715:F2715"/>
    <mergeCell ref="E2717:F2717"/>
    <mergeCell ref="E2718:F2718"/>
    <mergeCell ref="E2697:F2697"/>
    <mergeCell ref="E2698:F2698"/>
    <mergeCell ref="E2700:N2700"/>
    <mergeCell ref="E2701:N2701"/>
    <mergeCell ref="E2702:N2702"/>
    <mergeCell ref="E2703:N2703"/>
    <mergeCell ref="E2705:F2705"/>
    <mergeCell ref="E2707:N2707"/>
    <mergeCell ref="E2708:N2708"/>
    <mergeCell ref="E2730:N2730"/>
    <mergeCell ref="E2731:N2731"/>
    <mergeCell ref="E2733:F2733"/>
    <mergeCell ref="E2734:F2734"/>
    <mergeCell ref="E2735:F2735"/>
    <mergeCell ref="E2736:F2736"/>
    <mergeCell ref="E2738:H2738"/>
    <mergeCell ref="I2738:M2738"/>
    <mergeCell ref="E2739:N2739"/>
    <mergeCell ref="E2719:F2719"/>
    <mergeCell ref="E2721:F2721"/>
    <mergeCell ref="E2722:F2722"/>
    <mergeCell ref="E2723:F2723"/>
    <mergeCell ref="E2725:N2725"/>
    <mergeCell ref="E2727:K2727"/>
    <mergeCell ref="E2728:N2728"/>
    <mergeCell ref="E2729:H2729"/>
    <mergeCell ref="I2729:M2729"/>
    <mergeCell ref="E2750:N2750"/>
    <mergeCell ref="E2752:F2752"/>
    <mergeCell ref="E2753:F2753"/>
    <mergeCell ref="E2754:F2754"/>
    <mergeCell ref="E2755:F2755"/>
    <mergeCell ref="E2757:F2757"/>
    <mergeCell ref="E2760:G2760"/>
    <mergeCell ref="E2761:G2761"/>
    <mergeCell ref="E2762:G2762"/>
    <mergeCell ref="E2740:N2740"/>
    <mergeCell ref="E2742:F2742"/>
    <mergeCell ref="E2743:F2743"/>
    <mergeCell ref="E2744:F2744"/>
    <mergeCell ref="E2745:F2745"/>
    <mergeCell ref="E2747:H2747"/>
    <mergeCell ref="I2747:M2747"/>
    <mergeCell ref="E2748:N2748"/>
    <mergeCell ref="E2749:N2749"/>
    <mergeCell ref="E2775:N2775"/>
    <mergeCell ref="E2777:F2777"/>
    <mergeCell ref="E2778:F2778"/>
    <mergeCell ref="E2779:F2779"/>
    <mergeCell ref="E2780:F2780"/>
    <mergeCell ref="E2782:H2782"/>
    <mergeCell ref="I2782:M2782"/>
    <mergeCell ref="E2783:N2783"/>
    <mergeCell ref="E2784:N2784"/>
    <mergeCell ref="E2763:G2763"/>
    <mergeCell ref="E2764:G2764"/>
    <mergeCell ref="E2766:I2766"/>
    <mergeCell ref="E2767:I2767"/>
    <mergeCell ref="E2769:I2769"/>
    <mergeCell ref="E2770:G2770"/>
    <mergeCell ref="E2773:H2773"/>
    <mergeCell ref="I2773:M2773"/>
    <mergeCell ref="E2774:N2774"/>
    <mergeCell ref="E2809:F2809"/>
    <mergeCell ref="E2810:F2810"/>
    <mergeCell ref="E2812:F2812"/>
    <mergeCell ref="E2813:F2813"/>
    <mergeCell ref="E2814:F2814"/>
    <mergeCell ref="E2818:M2819"/>
    <mergeCell ref="E2798:N2798"/>
    <mergeCell ref="E2799:N2799"/>
    <mergeCell ref="E2800:N2800"/>
    <mergeCell ref="E2801:F2801"/>
    <mergeCell ref="E2803:N2803"/>
    <mergeCell ref="E2804:N2804"/>
    <mergeCell ref="E2805:N2805"/>
    <mergeCell ref="E2806:K2806"/>
    <mergeCell ref="E2808:F2808"/>
    <mergeCell ref="E2786:F2786"/>
    <mergeCell ref="E2787:F2787"/>
    <mergeCell ref="E2788:F2788"/>
    <mergeCell ref="E2789:F2789"/>
    <mergeCell ref="E2791:N2791"/>
    <mergeCell ref="E2792:N2792"/>
    <mergeCell ref="E2793:N2793"/>
    <mergeCell ref="E2795:F2795"/>
    <mergeCell ref="E2797:N2797"/>
  </mergeCells>
  <phoneticPr fontId="34" type="noConversion"/>
  <conditionalFormatting sqref="B2:D4">
    <cfRule type="expression" dxfId="711" priority="2197" stopIfTrue="1">
      <formula>$G$2857</formula>
    </cfRule>
  </conditionalFormatting>
  <conditionalFormatting sqref="C13:O2821">
    <cfRule type="expression" dxfId="710" priority="1" stopIfTrue="1">
      <formula>INDEX($AL:$AL,MATCH(MAX(INDIRECT(ADDRESS(1,3)&amp;":"&amp;ADDRESS(ROW(D11),3))),$C:$C,0))</formula>
    </cfRule>
  </conditionalFormatting>
  <conditionalFormatting sqref="E289:M290">
    <cfRule type="expression" dxfId="709" priority="1545" stopIfTrue="1">
      <formula>$AC289</formula>
    </cfRule>
  </conditionalFormatting>
  <conditionalFormatting sqref="E570:M571">
    <cfRule type="expression" dxfId="708" priority="235" stopIfTrue="1">
      <formula>$AC570</formula>
    </cfRule>
  </conditionalFormatting>
  <conditionalFormatting sqref="E851:M852">
    <cfRule type="expression" dxfId="707" priority="206" stopIfTrue="1">
      <formula>$AC851</formula>
    </cfRule>
  </conditionalFormatting>
  <conditionalFormatting sqref="E1132:M1133">
    <cfRule type="expression" dxfId="706" priority="177" stopIfTrue="1">
      <formula>$AC1132</formula>
    </cfRule>
  </conditionalFormatting>
  <conditionalFormatting sqref="E1413:M1414">
    <cfRule type="expression" dxfId="705" priority="148" stopIfTrue="1">
      <formula>$AC1413</formula>
    </cfRule>
  </conditionalFormatting>
  <conditionalFormatting sqref="E1694:M1695">
    <cfRule type="expression" dxfId="704" priority="119" stopIfTrue="1">
      <formula>$AC1694</formula>
    </cfRule>
  </conditionalFormatting>
  <conditionalFormatting sqref="E1975:M1976">
    <cfRule type="expression" dxfId="703" priority="90" stopIfTrue="1">
      <formula>$AC1975</formula>
    </cfRule>
  </conditionalFormatting>
  <conditionalFormatting sqref="E2256:M2257">
    <cfRule type="expression" dxfId="702" priority="61" stopIfTrue="1">
      <formula>$AC2256</formula>
    </cfRule>
  </conditionalFormatting>
  <conditionalFormatting sqref="E2537:M2538">
    <cfRule type="expression" dxfId="701" priority="32" stopIfTrue="1">
      <formula>$AC2537</formula>
    </cfRule>
  </conditionalFormatting>
  <conditionalFormatting sqref="E2818:M2819">
    <cfRule type="expression" dxfId="700" priority="3" stopIfTrue="1">
      <formula>$AC2818</formula>
    </cfRule>
  </conditionalFormatting>
  <conditionalFormatting sqref="E92:O101">
    <cfRule type="expression" dxfId="699" priority="266" stopIfTrue="1">
      <formula>Z92</formula>
    </cfRule>
  </conditionalFormatting>
  <conditionalFormatting sqref="E373:O382">
    <cfRule type="expression" dxfId="698" priority="234" stopIfTrue="1">
      <formula>Z373</formula>
    </cfRule>
  </conditionalFormatting>
  <conditionalFormatting sqref="E654:O663">
    <cfRule type="expression" dxfId="697" priority="205" stopIfTrue="1">
      <formula>Z654</formula>
    </cfRule>
  </conditionalFormatting>
  <conditionalFormatting sqref="E935:O944">
    <cfRule type="expression" dxfId="696" priority="176" stopIfTrue="1">
      <formula>Z935</formula>
    </cfRule>
  </conditionalFormatting>
  <conditionalFormatting sqref="E1216:O1225">
    <cfRule type="expression" dxfId="695" priority="147" stopIfTrue="1">
      <formula>Z1216</formula>
    </cfRule>
  </conditionalFormatting>
  <conditionalFormatting sqref="E1497:O1506">
    <cfRule type="expression" dxfId="694" priority="118" stopIfTrue="1">
      <formula>Z1497</formula>
    </cfRule>
  </conditionalFormatting>
  <conditionalFormatting sqref="E1778:O1787">
    <cfRule type="expression" dxfId="693" priority="89" stopIfTrue="1">
      <formula>Z1778</formula>
    </cfRule>
  </conditionalFormatting>
  <conditionalFormatting sqref="E2059:O2068">
    <cfRule type="expression" dxfId="692" priority="60" stopIfTrue="1">
      <formula>Z2059</formula>
    </cfRule>
  </conditionalFormatting>
  <conditionalFormatting sqref="E2340:O2349">
    <cfRule type="expression" dxfId="691" priority="31" stopIfTrue="1">
      <formula>Z2340</formula>
    </cfRule>
  </conditionalFormatting>
  <conditionalFormatting sqref="E2621:O2630">
    <cfRule type="expression" dxfId="690" priority="2" stopIfTrue="1">
      <formula>Z2621</formula>
    </cfRule>
  </conditionalFormatting>
  <conditionalFormatting sqref="G3:N5">
    <cfRule type="expression" dxfId="689" priority="1984" stopIfTrue="1">
      <formula>INDEX($G$2847:$G$2856,MATCH("BM"&amp;Q3,$F$2847:$F$2856,0))</formula>
    </cfRule>
  </conditionalFormatting>
  <conditionalFormatting sqref="H21:N22">
    <cfRule type="expression" dxfId="688" priority="2342" stopIfTrue="1">
      <formula>AC21</formula>
    </cfRule>
  </conditionalFormatting>
  <conditionalFormatting sqref="H52:N52 G102 I147 I159">
    <cfRule type="expression" dxfId="687" priority="1914" stopIfTrue="1">
      <formula>AB52</formula>
    </cfRule>
  </conditionalFormatting>
  <conditionalFormatting sqref="H60:N60">
    <cfRule type="expression" dxfId="686" priority="1705" stopIfTrue="1">
      <formula>AC60</formula>
    </cfRule>
  </conditionalFormatting>
  <conditionalFormatting sqref="H127:N127">
    <cfRule type="expression" dxfId="685" priority="1694" stopIfTrue="1">
      <formula>AC127</formula>
    </cfRule>
  </conditionalFormatting>
  <conditionalFormatting sqref="H135:N136">
    <cfRule type="expression" dxfId="684" priority="1693" stopIfTrue="1">
      <formula>AC135</formula>
    </cfRule>
  </conditionalFormatting>
  <conditionalFormatting sqref="H150:N153 H162:N165 H176:N176">
    <cfRule type="expression" dxfId="683" priority="1692" stopIfTrue="1">
      <formula>AC150</formula>
    </cfRule>
  </conditionalFormatting>
  <conditionalFormatting sqref="H185:N186 H189:N190 H193:N194">
    <cfRule type="expression" dxfId="682" priority="1684" stopIfTrue="1">
      <formula>AC185</formula>
    </cfRule>
  </conditionalFormatting>
  <conditionalFormatting sqref="H204:N205 H207:N207 H213:N214 H216:N216 H223:N224 H226:N226 H248:N249 H251:N251 H257:N258 H260:N260">
    <cfRule type="expression" dxfId="681" priority="1689" stopIfTrue="1">
      <formula>AC204</formula>
    </cfRule>
  </conditionalFormatting>
  <conditionalFormatting sqref="H223:N224 H226:N226 G223">
    <cfRule type="expression" dxfId="680" priority="1909" stopIfTrue="1">
      <formula>CNTR_SubPeriod=2</formula>
    </cfRule>
  </conditionalFormatting>
  <conditionalFormatting sqref="H266:N266 H272:N272">
    <cfRule type="expression" dxfId="679" priority="1688" stopIfTrue="1">
      <formula>AC266</formula>
    </cfRule>
  </conditionalFormatting>
  <conditionalFormatting sqref="H280:N281 H284:N285">
    <cfRule type="expression" dxfId="678" priority="1687" stopIfTrue="1">
      <formula>AC280</formula>
    </cfRule>
  </conditionalFormatting>
  <conditionalFormatting sqref="H302:N303">
    <cfRule type="expression" dxfId="677" priority="261" stopIfTrue="1">
      <formula>AC302</formula>
    </cfRule>
  </conditionalFormatting>
  <conditionalFormatting sqref="H333:N333 G383 I428 I440">
    <cfRule type="expression" dxfId="676" priority="260" stopIfTrue="1">
      <formula>AB333</formula>
    </cfRule>
  </conditionalFormatting>
  <conditionalFormatting sqref="H341:N341">
    <cfRule type="expression" dxfId="675" priority="258" stopIfTrue="1">
      <formula>AC341</formula>
    </cfRule>
  </conditionalFormatting>
  <conditionalFormatting sqref="H408:N408">
    <cfRule type="expression" dxfId="674" priority="254" stopIfTrue="1">
      <formula>AC408</formula>
    </cfRule>
  </conditionalFormatting>
  <conditionalFormatting sqref="H416:N417">
    <cfRule type="expression" dxfId="673" priority="253" stopIfTrue="1">
      <formula>AC416</formula>
    </cfRule>
  </conditionalFormatting>
  <conditionalFormatting sqref="H431:N434 H443:N446 H457:N457">
    <cfRule type="expression" dxfId="672" priority="252" stopIfTrue="1">
      <formula>AC431</formula>
    </cfRule>
  </conditionalFormatting>
  <conditionalFormatting sqref="H466:N467 H470:N471 H474:N475">
    <cfRule type="expression" dxfId="671" priority="246" stopIfTrue="1">
      <formula>AC466</formula>
    </cfRule>
  </conditionalFormatting>
  <conditionalFormatting sqref="H485:N486 H488:N488 H494:N495 H497:N497 H504:N505 H507:N507 H529:N530 H532:N532 H538:N539 H541:N541">
    <cfRule type="expression" dxfId="670" priority="250" stopIfTrue="1">
      <formula>AC485</formula>
    </cfRule>
  </conditionalFormatting>
  <conditionalFormatting sqref="H504:N505 H507:N507 G504">
    <cfRule type="expression" dxfId="669" priority="259" stopIfTrue="1">
      <formula>CNTR_SubPeriod=2</formula>
    </cfRule>
  </conditionalFormatting>
  <conditionalFormatting sqref="H547:N547 H553:N553">
    <cfRule type="expression" dxfId="668" priority="249" stopIfTrue="1">
      <formula>AC547</formula>
    </cfRule>
  </conditionalFormatting>
  <conditionalFormatting sqref="H561:N562 H565:N566">
    <cfRule type="expression" dxfId="667" priority="248" stopIfTrue="1">
      <formula>AC561</formula>
    </cfRule>
  </conditionalFormatting>
  <conditionalFormatting sqref="H583:N584">
    <cfRule type="expression" dxfId="666" priority="232" stopIfTrue="1">
      <formula>AC583</formula>
    </cfRule>
  </conditionalFormatting>
  <conditionalFormatting sqref="H614:N614 G664 I709 I721">
    <cfRule type="expression" dxfId="665" priority="231" stopIfTrue="1">
      <formula>AB614</formula>
    </cfRule>
  </conditionalFormatting>
  <conditionalFormatting sqref="H622:N622">
    <cfRule type="expression" dxfId="664" priority="229" stopIfTrue="1">
      <formula>AC622</formula>
    </cfRule>
  </conditionalFormatting>
  <conditionalFormatting sqref="H689:N689">
    <cfRule type="expression" dxfId="663" priority="225" stopIfTrue="1">
      <formula>AC689</formula>
    </cfRule>
  </conditionalFormatting>
  <conditionalFormatting sqref="H697:N698">
    <cfRule type="expression" dxfId="662" priority="224" stopIfTrue="1">
      <formula>AC697</formula>
    </cfRule>
  </conditionalFormatting>
  <conditionalFormatting sqref="H712:N715 H724:N727 H738:N738">
    <cfRule type="expression" dxfId="661" priority="223" stopIfTrue="1">
      <formula>AC712</formula>
    </cfRule>
  </conditionalFormatting>
  <conditionalFormatting sqref="H747:N748 H751:N752 H755:N756">
    <cfRule type="expression" dxfId="660" priority="217" stopIfTrue="1">
      <formula>AC747</formula>
    </cfRule>
  </conditionalFormatting>
  <conditionalFormatting sqref="H766:N767 H769:N769 H775:N776 H778:N778 H785:N786 H788:N788 H810:N811 H813:N813 H819:N820 H822:N822">
    <cfRule type="expression" dxfId="659" priority="221" stopIfTrue="1">
      <formula>AC766</formula>
    </cfRule>
  </conditionalFormatting>
  <conditionalFormatting sqref="H785:N786 H788:N788 G785">
    <cfRule type="expression" dxfId="658" priority="230" stopIfTrue="1">
      <formula>CNTR_SubPeriod=2</formula>
    </cfRule>
  </conditionalFormatting>
  <conditionalFormatting sqref="H828:N828 H834:N834">
    <cfRule type="expression" dxfId="657" priority="220" stopIfTrue="1">
      <formula>AC828</formula>
    </cfRule>
  </conditionalFormatting>
  <conditionalFormatting sqref="H842:N843 H846:N847">
    <cfRule type="expression" dxfId="656" priority="219" stopIfTrue="1">
      <formula>AC842</formula>
    </cfRule>
  </conditionalFormatting>
  <conditionalFormatting sqref="H864:N865">
    <cfRule type="expression" dxfId="655" priority="203" stopIfTrue="1">
      <formula>AC864</formula>
    </cfRule>
  </conditionalFormatting>
  <conditionalFormatting sqref="H895:N895 G945 I990 I1002">
    <cfRule type="expression" dxfId="654" priority="202" stopIfTrue="1">
      <formula>AB895</formula>
    </cfRule>
  </conditionalFormatting>
  <conditionalFormatting sqref="H903:N903">
    <cfRule type="expression" dxfId="653" priority="200" stopIfTrue="1">
      <formula>AC903</formula>
    </cfRule>
  </conditionalFormatting>
  <conditionalFormatting sqref="H970:N970">
    <cfRule type="expression" dxfId="652" priority="196" stopIfTrue="1">
      <formula>AC970</formula>
    </cfRule>
  </conditionalFormatting>
  <conditionalFormatting sqref="H978:N979">
    <cfRule type="expression" dxfId="651" priority="195" stopIfTrue="1">
      <formula>AC978</formula>
    </cfRule>
  </conditionalFormatting>
  <conditionalFormatting sqref="H993:N996 H1005:N1008 H1019:N1019">
    <cfRule type="expression" dxfId="650" priority="194" stopIfTrue="1">
      <formula>AC993</formula>
    </cfRule>
  </conditionalFormatting>
  <conditionalFormatting sqref="H1028:N1029 H1032:N1033 H1036:N1037">
    <cfRule type="expression" dxfId="649" priority="188" stopIfTrue="1">
      <formula>AC1028</formula>
    </cfRule>
  </conditionalFormatting>
  <conditionalFormatting sqref="H1047:N1048 H1050:N1050 H1056:N1057 H1059:N1059 H1066:N1067 H1069:N1069 H1091:N1092 H1094:N1094 H1100:N1101 H1103:N1103">
    <cfRule type="expression" dxfId="648" priority="192" stopIfTrue="1">
      <formula>AC1047</formula>
    </cfRule>
  </conditionalFormatting>
  <conditionalFormatting sqref="H1066:N1067 H1069:N1069 G1066">
    <cfRule type="expression" dxfId="647" priority="201" stopIfTrue="1">
      <formula>CNTR_SubPeriod=2</formula>
    </cfRule>
  </conditionalFormatting>
  <conditionalFormatting sqref="H1109:N1109 H1115:N1115">
    <cfRule type="expression" dxfId="646" priority="191" stopIfTrue="1">
      <formula>AC1109</formula>
    </cfRule>
  </conditionalFormatting>
  <conditionalFormatting sqref="H1123:N1124 H1127:N1128">
    <cfRule type="expression" dxfId="645" priority="190" stopIfTrue="1">
      <formula>AC1123</formula>
    </cfRule>
  </conditionalFormatting>
  <conditionalFormatting sqref="H1145:N1146">
    <cfRule type="expression" dxfId="644" priority="174" stopIfTrue="1">
      <formula>AC1145</formula>
    </cfRule>
  </conditionalFormatting>
  <conditionalFormatting sqref="H1176:N1176 G1226 I1271 I1283">
    <cfRule type="expression" dxfId="643" priority="173" stopIfTrue="1">
      <formula>AB1176</formula>
    </cfRule>
  </conditionalFormatting>
  <conditionalFormatting sqref="H1184:N1184">
    <cfRule type="expression" dxfId="642" priority="171" stopIfTrue="1">
      <formula>AC1184</formula>
    </cfRule>
  </conditionalFormatting>
  <conditionalFormatting sqref="H1251:N1251">
    <cfRule type="expression" dxfId="641" priority="167" stopIfTrue="1">
      <formula>AC1251</formula>
    </cfRule>
  </conditionalFormatting>
  <conditionalFormatting sqref="H1259:N1260">
    <cfRule type="expression" dxfId="640" priority="166" stopIfTrue="1">
      <formula>AC1259</formula>
    </cfRule>
  </conditionalFormatting>
  <conditionalFormatting sqref="H1274:N1277 H1286:N1289 H1300:N1300">
    <cfRule type="expression" dxfId="639" priority="165" stopIfTrue="1">
      <formula>AC1274</formula>
    </cfRule>
  </conditionalFormatting>
  <conditionalFormatting sqref="H1309:N1310 H1313:N1314 H1317:N1318">
    <cfRule type="expression" dxfId="638" priority="159" stopIfTrue="1">
      <formula>AC1309</formula>
    </cfRule>
  </conditionalFormatting>
  <conditionalFormatting sqref="H1328:N1329 H1331:N1331 H1337:N1338 H1340:N1340 H1347:N1348 H1350:N1350 H1372:N1373 H1375:N1375 H1381:N1382 H1384:N1384">
    <cfRule type="expression" dxfId="637" priority="163" stopIfTrue="1">
      <formula>AC1328</formula>
    </cfRule>
  </conditionalFormatting>
  <conditionalFormatting sqref="H1347:N1348 H1350:N1350 G1347">
    <cfRule type="expression" dxfId="636" priority="172" stopIfTrue="1">
      <formula>CNTR_SubPeriod=2</formula>
    </cfRule>
  </conditionalFormatting>
  <conditionalFormatting sqref="H1390:N1390 H1396:N1396">
    <cfRule type="expression" dxfId="635" priority="162" stopIfTrue="1">
      <formula>AC1390</formula>
    </cfRule>
  </conditionalFormatting>
  <conditionalFormatting sqref="H1404:N1405 H1408:N1409">
    <cfRule type="expression" dxfId="634" priority="161" stopIfTrue="1">
      <formula>AC1404</formula>
    </cfRule>
  </conditionalFormatting>
  <conditionalFormatting sqref="H1426:N1427">
    <cfRule type="expression" dxfId="633" priority="145" stopIfTrue="1">
      <formula>AC1426</formula>
    </cfRule>
  </conditionalFormatting>
  <conditionalFormatting sqref="H1457:N1457 G1507 I1552 I1564">
    <cfRule type="expression" dxfId="632" priority="144" stopIfTrue="1">
      <formula>AB1457</formula>
    </cfRule>
  </conditionalFormatting>
  <conditionalFormatting sqref="H1465:N1465">
    <cfRule type="expression" dxfId="631" priority="142" stopIfTrue="1">
      <formula>AC1465</formula>
    </cfRule>
  </conditionalFormatting>
  <conditionalFormatting sqref="H1532:N1532">
    <cfRule type="expression" dxfId="630" priority="138" stopIfTrue="1">
      <formula>AC1532</formula>
    </cfRule>
  </conditionalFormatting>
  <conditionalFormatting sqref="H1540:N1541">
    <cfRule type="expression" dxfId="629" priority="137" stopIfTrue="1">
      <formula>AC1540</formula>
    </cfRule>
  </conditionalFormatting>
  <conditionalFormatting sqref="H1555:N1558 H1567:N1570 H1581:N1581">
    <cfRule type="expression" dxfId="628" priority="136" stopIfTrue="1">
      <formula>AC1555</formula>
    </cfRule>
  </conditionalFormatting>
  <conditionalFormatting sqref="H1590:N1591 H1594:N1595 H1598:N1599">
    <cfRule type="expression" dxfId="627" priority="130" stopIfTrue="1">
      <formula>AC1590</formula>
    </cfRule>
  </conditionalFormatting>
  <conditionalFormatting sqref="H1609:N1610 H1612:N1612 H1618:N1619 H1621:N1621 H1628:N1629 H1631:N1631 H1653:N1654 H1656:N1656 H1662:N1663 H1665:N1665">
    <cfRule type="expression" dxfId="626" priority="134" stopIfTrue="1">
      <formula>AC1609</formula>
    </cfRule>
  </conditionalFormatting>
  <conditionalFormatting sqref="H1628:N1629 H1631:N1631 G1628">
    <cfRule type="expression" dxfId="625" priority="143" stopIfTrue="1">
      <formula>CNTR_SubPeriod=2</formula>
    </cfRule>
  </conditionalFormatting>
  <conditionalFormatting sqref="H1671:N1671 H1677:N1677">
    <cfRule type="expression" dxfId="624" priority="133" stopIfTrue="1">
      <formula>AC1671</formula>
    </cfRule>
  </conditionalFormatting>
  <conditionalFormatting sqref="H1685:N1686 H1689:N1690">
    <cfRule type="expression" dxfId="623" priority="132" stopIfTrue="1">
      <formula>AC1685</formula>
    </cfRule>
  </conditionalFormatting>
  <conditionalFormatting sqref="H1707:N1708">
    <cfRule type="expression" dxfId="622" priority="116" stopIfTrue="1">
      <formula>AC1707</formula>
    </cfRule>
  </conditionalFormatting>
  <conditionalFormatting sqref="H1738:N1738 G1788 I1833 I1845">
    <cfRule type="expression" dxfId="621" priority="115" stopIfTrue="1">
      <formula>AB1738</formula>
    </cfRule>
  </conditionalFormatting>
  <conditionalFormatting sqref="H1746:N1746">
    <cfRule type="expression" dxfId="620" priority="113" stopIfTrue="1">
      <formula>AC1746</formula>
    </cfRule>
  </conditionalFormatting>
  <conditionalFormatting sqref="H1813:N1813">
    <cfRule type="expression" dxfId="619" priority="109" stopIfTrue="1">
      <formula>AC1813</formula>
    </cfRule>
  </conditionalFormatting>
  <conditionalFormatting sqref="H1821:N1822">
    <cfRule type="expression" dxfId="618" priority="108" stopIfTrue="1">
      <formula>AC1821</formula>
    </cfRule>
  </conditionalFormatting>
  <conditionalFormatting sqref="H1836:N1839 H1848:N1851 H1862:N1862">
    <cfRule type="expression" dxfId="617" priority="107" stopIfTrue="1">
      <formula>AC1836</formula>
    </cfRule>
  </conditionalFormatting>
  <conditionalFormatting sqref="H1871:N1872 H1875:N1876 H1879:N1880">
    <cfRule type="expression" dxfId="616" priority="101" stopIfTrue="1">
      <formula>AC1871</formula>
    </cfRule>
  </conditionalFormatting>
  <conditionalFormatting sqref="H1890:N1891 H1893:N1893 H1899:N1900 H1902:N1902 H1909:N1910 H1912:N1912 H1934:N1935 H1937:N1937 H1943:N1944 H1946:N1946">
    <cfRule type="expression" dxfId="615" priority="105" stopIfTrue="1">
      <formula>AC1890</formula>
    </cfRule>
  </conditionalFormatting>
  <conditionalFormatting sqref="H1909:N1910 H1912:N1912 G1909">
    <cfRule type="expression" dxfId="614" priority="114" stopIfTrue="1">
      <formula>CNTR_SubPeriod=2</formula>
    </cfRule>
  </conditionalFormatting>
  <conditionalFormatting sqref="H1952:N1952 H1958:N1958">
    <cfRule type="expression" dxfId="613" priority="104" stopIfTrue="1">
      <formula>AC1952</formula>
    </cfRule>
  </conditionalFormatting>
  <conditionalFormatting sqref="H1966:N1967 H1970:N1971">
    <cfRule type="expression" dxfId="612" priority="103" stopIfTrue="1">
      <formula>AC1966</formula>
    </cfRule>
  </conditionalFormatting>
  <conditionalFormatting sqref="H1988:N1989">
    <cfRule type="expression" dxfId="611" priority="87" stopIfTrue="1">
      <formula>AC1988</formula>
    </cfRule>
  </conditionalFormatting>
  <conditionalFormatting sqref="H2019:N2019 G2069 I2114 I2126">
    <cfRule type="expression" dxfId="610" priority="86" stopIfTrue="1">
      <formula>AB2019</formula>
    </cfRule>
  </conditionalFormatting>
  <conditionalFormatting sqref="H2027:N2027">
    <cfRule type="expression" dxfId="609" priority="84" stopIfTrue="1">
      <formula>AC2027</formula>
    </cfRule>
  </conditionalFormatting>
  <conditionalFormatting sqref="H2094:N2094">
    <cfRule type="expression" dxfId="608" priority="80" stopIfTrue="1">
      <formula>AC2094</formula>
    </cfRule>
  </conditionalFormatting>
  <conditionalFormatting sqref="H2102:N2103">
    <cfRule type="expression" dxfId="607" priority="79" stopIfTrue="1">
      <formula>AC2102</formula>
    </cfRule>
  </conditionalFormatting>
  <conditionalFormatting sqref="H2117:N2120 H2129:N2132 H2143:N2143">
    <cfRule type="expression" dxfId="606" priority="78" stopIfTrue="1">
      <formula>AC2117</formula>
    </cfRule>
  </conditionalFormatting>
  <conditionalFormatting sqref="H2152:N2153 H2156:N2157 H2160:N2161">
    <cfRule type="expression" dxfId="605" priority="72" stopIfTrue="1">
      <formula>AC2152</formula>
    </cfRule>
  </conditionalFormatting>
  <conditionalFormatting sqref="H2171:N2172 H2174:N2174 H2180:N2181 H2183:N2183 H2190:N2191 H2193:N2193 H2215:N2216 H2218:N2218 H2224:N2225 H2227:N2227">
    <cfRule type="expression" dxfId="604" priority="76" stopIfTrue="1">
      <formula>AC2171</formula>
    </cfRule>
  </conditionalFormatting>
  <conditionalFormatting sqref="H2190:N2191 H2193:N2193 G2190">
    <cfRule type="expression" dxfId="603" priority="85" stopIfTrue="1">
      <formula>CNTR_SubPeriod=2</formula>
    </cfRule>
  </conditionalFormatting>
  <conditionalFormatting sqref="H2233:N2233 H2239:N2239">
    <cfRule type="expression" dxfId="602" priority="75" stopIfTrue="1">
      <formula>AC2233</formula>
    </cfRule>
  </conditionalFormatting>
  <conditionalFormatting sqref="H2247:N2248 H2251:N2252">
    <cfRule type="expression" dxfId="601" priority="74" stopIfTrue="1">
      <formula>AC2247</formula>
    </cfRule>
  </conditionalFormatting>
  <conditionalFormatting sqref="H2269:N2270">
    <cfRule type="expression" dxfId="600" priority="58" stopIfTrue="1">
      <formula>AC2269</formula>
    </cfRule>
  </conditionalFormatting>
  <conditionalFormatting sqref="H2300:N2300 G2350 I2395 I2407">
    <cfRule type="expression" dxfId="599" priority="57" stopIfTrue="1">
      <formula>AB2300</formula>
    </cfRule>
  </conditionalFormatting>
  <conditionalFormatting sqref="H2308:N2308">
    <cfRule type="expression" dxfId="598" priority="55" stopIfTrue="1">
      <formula>AC2308</formula>
    </cfRule>
  </conditionalFormatting>
  <conditionalFormatting sqref="H2375:N2375">
    <cfRule type="expression" dxfId="597" priority="51" stopIfTrue="1">
      <formula>AC2375</formula>
    </cfRule>
  </conditionalFormatting>
  <conditionalFormatting sqref="H2383:N2384">
    <cfRule type="expression" dxfId="596" priority="50" stopIfTrue="1">
      <formula>AC2383</formula>
    </cfRule>
  </conditionalFormatting>
  <conditionalFormatting sqref="H2398:N2401 H2410:N2413 H2424:N2424">
    <cfRule type="expression" dxfId="595" priority="49" stopIfTrue="1">
      <formula>AC2398</formula>
    </cfRule>
  </conditionalFormatting>
  <conditionalFormatting sqref="H2433:N2434 H2437:N2438 H2441:N2442">
    <cfRule type="expression" dxfId="594" priority="43" stopIfTrue="1">
      <formula>AC2433</formula>
    </cfRule>
  </conditionalFormatting>
  <conditionalFormatting sqref="H2452:N2453 H2455:N2455 H2461:N2462 H2464:N2464 H2471:N2472 H2474:N2474 H2496:N2497 H2499:N2499 H2505:N2506 H2508:N2508">
    <cfRule type="expression" dxfId="593" priority="47" stopIfTrue="1">
      <formula>AC2452</formula>
    </cfRule>
  </conditionalFormatting>
  <conditionalFormatting sqref="H2471:N2472 H2474:N2474 G2471">
    <cfRule type="expression" dxfId="592" priority="56" stopIfTrue="1">
      <formula>CNTR_SubPeriod=2</formula>
    </cfRule>
  </conditionalFormatting>
  <conditionalFormatting sqref="H2514:N2514 H2520:N2520">
    <cfRule type="expression" dxfId="591" priority="46" stopIfTrue="1">
      <formula>AC2514</formula>
    </cfRule>
  </conditionalFormatting>
  <conditionalFormatting sqref="H2528:N2529 H2532:N2533">
    <cfRule type="expression" dxfId="590" priority="45" stopIfTrue="1">
      <formula>AC2528</formula>
    </cfRule>
  </conditionalFormatting>
  <conditionalFormatting sqref="H2550:N2551">
    <cfRule type="expression" dxfId="589" priority="29" stopIfTrue="1">
      <formula>AC2550</formula>
    </cfRule>
  </conditionalFormatting>
  <conditionalFormatting sqref="H2581:N2581 G2631 I2676 I2688">
    <cfRule type="expression" dxfId="588" priority="28" stopIfTrue="1">
      <formula>AB2581</formula>
    </cfRule>
  </conditionalFormatting>
  <conditionalFormatting sqref="H2589:N2589">
    <cfRule type="expression" dxfId="587" priority="26" stopIfTrue="1">
      <formula>AC2589</formula>
    </cfRule>
  </conditionalFormatting>
  <conditionalFormatting sqref="H2656:N2656">
    <cfRule type="expression" dxfId="586" priority="22" stopIfTrue="1">
      <formula>AC2656</formula>
    </cfRule>
  </conditionalFormatting>
  <conditionalFormatting sqref="H2664:N2665">
    <cfRule type="expression" dxfId="585" priority="21" stopIfTrue="1">
      <formula>AC2664</formula>
    </cfRule>
  </conditionalFormatting>
  <conditionalFormatting sqref="H2679:N2682 H2691:N2694 H2705:N2705">
    <cfRule type="expression" dxfId="584" priority="20" stopIfTrue="1">
      <formula>AC2679</formula>
    </cfRule>
  </conditionalFormatting>
  <conditionalFormatting sqref="H2714:N2715 H2718:N2719 H2722:N2723">
    <cfRule type="expression" dxfId="583" priority="14" stopIfTrue="1">
      <formula>AC2714</formula>
    </cfRule>
  </conditionalFormatting>
  <conditionalFormatting sqref="H2733:N2734 H2736:N2736 H2742:N2743 H2745:N2745 H2752:N2753 H2755:N2755 H2777:N2778 H2780:N2780 H2786:N2787 H2789:N2789">
    <cfRule type="expression" dxfId="582" priority="18" stopIfTrue="1">
      <formula>AC2733</formula>
    </cfRule>
  </conditionalFormatting>
  <conditionalFormatting sqref="H2752:N2753 H2755:N2755 G2752">
    <cfRule type="expression" dxfId="581" priority="27" stopIfTrue="1">
      <formula>CNTR_SubPeriod=2</formula>
    </cfRule>
  </conditionalFormatting>
  <conditionalFormatting sqref="H2795:N2795 H2801:N2801">
    <cfRule type="expression" dxfId="580" priority="17" stopIfTrue="1">
      <formula>AC2795</formula>
    </cfRule>
  </conditionalFormatting>
  <conditionalFormatting sqref="H2809:N2810 H2813:N2814">
    <cfRule type="expression" dxfId="579" priority="16" stopIfTrue="1">
      <formula>AC2809</formula>
    </cfRule>
  </conditionalFormatting>
  <conditionalFormatting sqref="I147 I159 G223:N223 H224:N224 H226:N226 H127:N127 H135:N136 H150:N153 H162:N165 H176:N176 G204:N204 H205:N205 H207:N207 G213:N213 H214:N214 H216:N216 G248:N248 H249:N249 H251:N251 G257:N257 H258:N258 H260:N260 H266:N266 H272:N272 H280:N281 H284:N285 H185:N186 H189:N190 H193:N194 E289 L145 L198 L277 E280:E281 E284:E285">
    <cfRule type="expression" dxfId="578" priority="2420" stopIfTrue="1">
      <formula>MSconst_RequireSubAttrEmissions</formula>
    </cfRule>
  </conditionalFormatting>
  <conditionalFormatting sqref="I200">
    <cfRule type="expression" dxfId="577" priority="1682" stopIfTrue="1">
      <formula>MSconst_RequireSubAttrEmissions</formula>
    </cfRule>
    <cfRule type="expression" dxfId="576" priority="1683" stopIfTrue="1">
      <formula>AD200</formula>
    </cfRule>
  </conditionalFormatting>
  <conditionalFormatting sqref="I209">
    <cfRule type="expression" dxfId="575" priority="1681" stopIfTrue="1">
      <formula>AD209</formula>
    </cfRule>
    <cfRule type="expression" dxfId="574" priority="1680" stopIfTrue="1">
      <formula>MSconst_RequireSubAttrEmissions</formula>
    </cfRule>
  </conditionalFormatting>
  <conditionalFormatting sqref="I218">
    <cfRule type="expression" dxfId="573" priority="1678" stopIfTrue="1">
      <formula>MSconst_RequireSubAttrEmissions</formula>
    </cfRule>
    <cfRule type="expression" dxfId="572" priority="1679" stopIfTrue="1">
      <formula>AD218</formula>
    </cfRule>
  </conditionalFormatting>
  <conditionalFormatting sqref="I244">
    <cfRule type="expression" dxfId="571" priority="1676" stopIfTrue="1">
      <formula>MSconst_RequireSubAttrEmissions</formula>
    </cfRule>
    <cfRule type="expression" dxfId="570" priority="1677" stopIfTrue="1">
      <formula>AD244</formula>
    </cfRule>
  </conditionalFormatting>
  <conditionalFormatting sqref="I253">
    <cfRule type="expression" dxfId="569" priority="1674" stopIfTrue="1">
      <formula>MSconst_RequireSubAttrEmissions</formula>
    </cfRule>
    <cfRule type="expression" dxfId="568" priority="1675" stopIfTrue="1">
      <formula>AD253</formula>
    </cfRule>
  </conditionalFormatting>
  <conditionalFormatting sqref="I428 I440 G504:N504 H505:N505 H507:N507 H408:N408 H416:N417 H431:N434 H443:N446 H457:N457 G485:N485 H486:N486 H488:N488 G494:N494 H495:N495 H497:N497 G529:N529 H530:N530 H532:N532 G538:N538 H539:N539 H541:N541 H547:N547 H553:N553 H561:N562 H565:N566 H466:N467 H470:N471 H474:N475 E570 L426 L479 L558 E561:E562 E565:E566">
    <cfRule type="expression" dxfId="567" priority="262" stopIfTrue="1">
      <formula>MSconst_RequireSubAttrEmissions</formula>
    </cfRule>
  </conditionalFormatting>
  <conditionalFormatting sqref="I481">
    <cfRule type="expression" dxfId="566" priority="244" stopIfTrue="1">
      <formula>MSconst_RequireSubAttrEmissions</formula>
    </cfRule>
    <cfRule type="expression" dxfId="565" priority="245" stopIfTrue="1">
      <formula>AD481</formula>
    </cfRule>
  </conditionalFormatting>
  <conditionalFormatting sqref="I490">
    <cfRule type="expression" dxfId="564" priority="243" stopIfTrue="1">
      <formula>AD490</formula>
    </cfRule>
    <cfRule type="expression" dxfId="563" priority="242" stopIfTrue="1">
      <formula>MSconst_RequireSubAttrEmissions</formula>
    </cfRule>
  </conditionalFormatting>
  <conditionalFormatting sqref="I499">
    <cfRule type="expression" dxfId="562" priority="241" stopIfTrue="1">
      <formula>AD499</formula>
    </cfRule>
    <cfRule type="expression" dxfId="561" priority="240" stopIfTrue="1">
      <formula>MSconst_RequireSubAttrEmissions</formula>
    </cfRule>
  </conditionalFormatting>
  <conditionalFormatting sqref="I525">
    <cfRule type="expression" dxfId="560" priority="239" stopIfTrue="1">
      <formula>AD525</formula>
    </cfRule>
    <cfRule type="expression" dxfId="559" priority="238" stopIfTrue="1">
      <formula>MSconst_RequireSubAttrEmissions</formula>
    </cfRule>
  </conditionalFormatting>
  <conditionalFormatting sqref="I534">
    <cfRule type="expression" dxfId="558" priority="236" stopIfTrue="1">
      <formula>MSconst_RequireSubAttrEmissions</formula>
    </cfRule>
    <cfRule type="expression" dxfId="557" priority="237" stopIfTrue="1">
      <formula>AD534</formula>
    </cfRule>
  </conditionalFormatting>
  <conditionalFormatting sqref="I709 I721 G785:N785 H786:N786 H788:N788 H689:N689 H697:N698 H712:N715 H724:N727 H738:N738 G766:N766 H767:N767 H769:N769 G775:N775 H776:N776 H778:N778 G810:N810 H811:N811 H813:N813 G819:N819 H820:N820 H822:N822 H828:N828 H834:N834 H842:N843 H846:N847 H747:N748 H751:N752 H755:N756 E851 L707 L760 L839 E842:E843 E846:E847">
    <cfRule type="expression" dxfId="556" priority="233" stopIfTrue="1">
      <formula>MSconst_RequireSubAttrEmissions</formula>
    </cfRule>
  </conditionalFormatting>
  <conditionalFormatting sqref="I762">
    <cfRule type="expression" dxfId="555" priority="215" stopIfTrue="1">
      <formula>MSconst_RequireSubAttrEmissions</formula>
    </cfRule>
    <cfRule type="expression" dxfId="554" priority="216" stopIfTrue="1">
      <formula>AD762</formula>
    </cfRule>
  </conditionalFormatting>
  <conditionalFormatting sqref="I771">
    <cfRule type="expression" dxfId="553" priority="214" stopIfTrue="1">
      <formula>AD771</formula>
    </cfRule>
    <cfRule type="expression" dxfId="552" priority="213" stopIfTrue="1">
      <formula>MSconst_RequireSubAttrEmissions</formula>
    </cfRule>
  </conditionalFormatting>
  <conditionalFormatting sqref="I780">
    <cfRule type="expression" dxfId="551" priority="212" stopIfTrue="1">
      <formula>AD780</formula>
    </cfRule>
    <cfRule type="expression" dxfId="550" priority="211" stopIfTrue="1">
      <formula>MSconst_RequireSubAttrEmissions</formula>
    </cfRule>
  </conditionalFormatting>
  <conditionalFormatting sqref="I806">
    <cfRule type="expression" dxfId="549" priority="209" stopIfTrue="1">
      <formula>MSconst_RequireSubAttrEmissions</formula>
    </cfRule>
    <cfRule type="expression" dxfId="548" priority="210" stopIfTrue="1">
      <formula>AD806</formula>
    </cfRule>
  </conditionalFormatting>
  <conditionalFormatting sqref="I815">
    <cfRule type="expression" dxfId="547" priority="208" stopIfTrue="1">
      <formula>AD815</formula>
    </cfRule>
    <cfRule type="expression" dxfId="546" priority="207" stopIfTrue="1">
      <formula>MSconst_RequireSubAttrEmissions</formula>
    </cfRule>
  </conditionalFormatting>
  <conditionalFormatting sqref="I990 I1002 G1066:N1066 H1067:N1067 H1069:N1069 H970:N970 H978:N979 H993:N996 H1005:N1008 H1019:N1019 G1047:N1047 H1048:N1048 H1050:N1050 G1056:N1056 H1057:N1057 H1059:N1059 G1091:N1091 H1092:N1092 H1094:N1094 G1100:N1100 H1101:N1101 H1103:N1103 H1109:N1109 H1115:N1115 H1123:N1124 H1127:N1128 H1028:N1029 H1032:N1033 H1036:N1037 E1132 L988 L1041 L1120 E1123:E1124 E1127:E1128">
    <cfRule type="expression" dxfId="545" priority="204" stopIfTrue="1">
      <formula>MSconst_RequireSubAttrEmissions</formula>
    </cfRule>
  </conditionalFormatting>
  <conditionalFormatting sqref="I1043">
    <cfRule type="expression" dxfId="544" priority="187" stopIfTrue="1">
      <formula>AD1043</formula>
    </cfRule>
    <cfRule type="expression" dxfId="543" priority="186" stopIfTrue="1">
      <formula>MSconst_RequireSubAttrEmissions</formula>
    </cfRule>
  </conditionalFormatting>
  <conditionalFormatting sqref="I1052">
    <cfRule type="expression" dxfId="542" priority="184" stopIfTrue="1">
      <formula>MSconst_RequireSubAttrEmissions</formula>
    </cfRule>
    <cfRule type="expression" dxfId="541" priority="185" stopIfTrue="1">
      <formula>AD1052</formula>
    </cfRule>
  </conditionalFormatting>
  <conditionalFormatting sqref="I1061">
    <cfRule type="expression" dxfId="540" priority="182" stopIfTrue="1">
      <formula>MSconst_RequireSubAttrEmissions</formula>
    </cfRule>
    <cfRule type="expression" dxfId="539" priority="183" stopIfTrue="1">
      <formula>AD1061</formula>
    </cfRule>
  </conditionalFormatting>
  <conditionalFormatting sqref="I1087">
    <cfRule type="expression" dxfId="538" priority="181" stopIfTrue="1">
      <formula>AD1087</formula>
    </cfRule>
    <cfRule type="expression" dxfId="537" priority="180" stopIfTrue="1">
      <formula>MSconst_RequireSubAttrEmissions</formula>
    </cfRule>
  </conditionalFormatting>
  <conditionalFormatting sqref="I1096">
    <cfRule type="expression" dxfId="536" priority="178" stopIfTrue="1">
      <formula>MSconst_RequireSubAttrEmissions</formula>
    </cfRule>
    <cfRule type="expression" dxfId="535" priority="179" stopIfTrue="1">
      <formula>AD1096</formula>
    </cfRule>
  </conditionalFormatting>
  <conditionalFormatting sqref="I1271 I1283 G1347:N1347 H1348:N1348 H1350:N1350 H1251:N1251 H1259:N1260 H1274:N1277 H1286:N1289 H1300:N1300 G1328:N1328 H1329:N1329 H1331:N1331 G1337:N1337 H1338:N1338 H1340:N1340 G1372:N1372 H1373:N1373 H1375:N1375 G1381:N1381 H1382:N1382 H1384:N1384 H1390:N1390 H1396:N1396 H1404:N1405 H1408:N1409 H1309:N1310 H1313:N1314 H1317:N1318 E1413 L1269 L1322 L1401 E1404:E1405 E1408:E1409">
    <cfRule type="expression" dxfId="534" priority="175" stopIfTrue="1">
      <formula>MSconst_RequireSubAttrEmissions</formula>
    </cfRule>
  </conditionalFormatting>
  <conditionalFormatting sqref="I1324">
    <cfRule type="expression" dxfId="533" priority="157" stopIfTrue="1">
      <formula>MSconst_RequireSubAttrEmissions</formula>
    </cfRule>
    <cfRule type="expression" dxfId="532" priority="158" stopIfTrue="1">
      <formula>AD1324</formula>
    </cfRule>
  </conditionalFormatting>
  <conditionalFormatting sqref="I1333">
    <cfRule type="expression" dxfId="531" priority="156" stopIfTrue="1">
      <formula>AD1333</formula>
    </cfRule>
    <cfRule type="expression" dxfId="530" priority="155" stopIfTrue="1">
      <formula>MSconst_RequireSubAttrEmissions</formula>
    </cfRule>
  </conditionalFormatting>
  <conditionalFormatting sqref="I1342">
    <cfRule type="expression" dxfId="529" priority="153" stopIfTrue="1">
      <formula>MSconst_RequireSubAttrEmissions</formula>
    </cfRule>
    <cfRule type="expression" dxfId="528" priority="154" stopIfTrue="1">
      <formula>AD1342</formula>
    </cfRule>
  </conditionalFormatting>
  <conditionalFormatting sqref="I1368">
    <cfRule type="expression" dxfId="527" priority="152" stopIfTrue="1">
      <formula>AD1368</formula>
    </cfRule>
    <cfRule type="expression" dxfId="526" priority="151" stopIfTrue="1">
      <formula>MSconst_RequireSubAttrEmissions</formula>
    </cfRule>
  </conditionalFormatting>
  <conditionalFormatting sqref="I1377">
    <cfRule type="expression" dxfId="525" priority="150" stopIfTrue="1">
      <formula>AD1377</formula>
    </cfRule>
    <cfRule type="expression" dxfId="524" priority="149" stopIfTrue="1">
      <formula>MSconst_RequireSubAttrEmissions</formula>
    </cfRule>
  </conditionalFormatting>
  <conditionalFormatting sqref="I1552 I1564 G1628:N1628 H1629:N1629 H1631:N1631 H1532:N1532 H1540:N1541 H1555:N1558 H1567:N1570 H1581:N1581 G1609:N1609 H1610:N1610 H1612:N1612 G1618:N1618 H1619:N1619 H1621:N1621 G1653:N1653 H1654:N1654 H1656:N1656 G1662:N1662 H1663:N1663 H1665:N1665 H1671:N1671 H1677:N1677 H1685:N1686 H1689:N1690 H1590:N1591 H1594:N1595 H1598:N1599 E1694 L1550 L1603 L1682 E1685:E1686 E1689:E1690">
    <cfRule type="expression" dxfId="523" priority="146" stopIfTrue="1">
      <formula>MSconst_RequireSubAttrEmissions</formula>
    </cfRule>
  </conditionalFormatting>
  <conditionalFormatting sqref="I1605">
    <cfRule type="expression" dxfId="522" priority="128" stopIfTrue="1">
      <formula>MSconst_RequireSubAttrEmissions</formula>
    </cfRule>
    <cfRule type="expression" dxfId="521" priority="129" stopIfTrue="1">
      <formula>AD1605</formula>
    </cfRule>
  </conditionalFormatting>
  <conditionalFormatting sqref="I1614">
    <cfRule type="expression" dxfId="520" priority="127" stopIfTrue="1">
      <formula>AD1614</formula>
    </cfRule>
    <cfRule type="expression" dxfId="519" priority="126" stopIfTrue="1">
      <formula>MSconst_RequireSubAttrEmissions</formula>
    </cfRule>
  </conditionalFormatting>
  <conditionalFormatting sqref="I1623">
    <cfRule type="expression" dxfId="518" priority="125" stopIfTrue="1">
      <formula>AD1623</formula>
    </cfRule>
    <cfRule type="expression" dxfId="517" priority="124" stopIfTrue="1">
      <formula>MSconst_RequireSubAttrEmissions</formula>
    </cfRule>
  </conditionalFormatting>
  <conditionalFormatting sqref="I1649">
    <cfRule type="expression" dxfId="516" priority="123" stopIfTrue="1">
      <formula>AD1649</formula>
    </cfRule>
    <cfRule type="expression" dxfId="515" priority="122" stopIfTrue="1">
      <formula>MSconst_RequireSubAttrEmissions</formula>
    </cfRule>
  </conditionalFormatting>
  <conditionalFormatting sqref="I1658">
    <cfRule type="expression" dxfId="514" priority="121" stopIfTrue="1">
      <formula>AD1658</formula>
    </cfRule>
    <cfRule type="expression" dxfId="513" priority="120" stopIfTrue="1">
      <formula>MSconst_RequireSubAttrEmissions</formula>
    </cfRule>
  </conditionalFormatting>
  <conditionalFormatting sqref="I1833 I1845 G1909:N1909 H1910:N1910 H1912:N1912 H1813:N1813 H1821:N1822 H1836:N1839 H1848:N1851 H1862:N1862 G1890:N1890 H1891:N1891 H1893:N1893 G1899:N1899 H1900:N1900 H1902:N1902 G1934:N1934 H1935:N1935 H1937:N1937 G1943:N1943 H1944:N1944 H1946:N1946 H1952:N1952 H1958:N1958 H1966:N1967 H1970:N1971 H1871:N1872 H1875:N1876 H1879:N1880 E1975 L1831 L1884 L1963 E1966:E1967 E1970:E1971">
    <cfRule type="expression" dxfId="512" priority="117" stopIfTrue="1">
      <formula>MSconst_RequireSubAttrEmissions</formula>
    </cfRule>
  </conditionalFormatting>
  <conditionalFormatting sqref="I1886">
    <cfRule type="expression" dxfId="511" priority="99" stopIfTrue="1">
      <formula>MSconst_RequireSubAttrEmissions</formula>
    </cfRule>
    <cfRule type="expression" dxfId="510" priority="100" stopIfTrue="1">
      <formula>AD1886</formula>
    </cfRule>
  </conditionalFormatting>
  <conditionalFormatting sqref="I1895">
    <cfRule type="expression" dxfId="509" priority="97" stopIfTrue="1">
      <formula>MSconst_RequireSubAttrEmissions</formula>
    </cfRule>
    <cfRule type="expression" dxfId="508" priority="98" stopIfTrue="1">
      <formula>AD1895</formula>
    </cfRule>
  </conditionalFormatting>
  <conditionalFormatting sqref="I1904">
    <cfRule type="expression" dxfId="507" priority="95" stopIfTrue="1">
      <formula>MSconst_RequireSubAttrEmissions</formula>
    </cfRule>
    <cfRule type="expression" dxfId="506" priority="96" stopIfTrue="1">
      <formula>AD1904</formula>
    </cfRule>
  </conditionalFormatting>
  <conditionalFormatting sqref="I1930">
    <cfRule type="expression" dxfId="505" priority="94" stopIfTrue="1">
      <formula>AD1930</formula>
    </cfRule>
    <cfRule type="expression" dxfId="504" priority="93" stopIfTrue="1">
      <formula>MSconst_RequireSubAttrEmissions</formula>
    </cfRule>
  </conditionalFormatting>
  <conditionalFormatting sqref="I1939">
    <cfRule type="expression" dxfId="503" priority="91" stopIfTrue="1">
      <formula>MSconst_RequireSubAttrEmissions</formula>
    </cfRule>
    <cfRule type="expression" dxfId="502" priority="92" stopIfTrue="1">
      <formula>AD1939</formula>
    </cfRule>
  </conditionalFormatting>
  <conditionalFormatting sqref="I2114 I2126 G2190:N2190 H2191:N2191 H2193:N2193 H2094:N2094 H2102:N2103 H2117:N2120 H2129:N2132 H2143:N2143 G2171:N2171 H2172:N2172 H2174:N2174 G2180:N2180 H2181:N2181 H2183:N2183 G2215:N2215 H2216:N2216 H2218:N2218 G2224:N2224 H2225:N2225 H2227:N2227 H2233:N2233 H2239:N2239 H2247:N2248 H2251:N2252 H2152:N2153 H2156:N2157 H2160:N2161 E2256 L2112 L2165 L2244 E2247:E2248 E2251:E2252">
    <cfRule type="expression" dxfId="501" priority="88" stopIfTrue="1">
      <formula>MSconst_RequireSubAttrEmissions</formula>
    </cfRule>
  </conditionalFormatting>
  <conditionalFormatting sqref="I2167">
    <cfRule type="expression" dxfId="500" priority="70" stopIfTrue="1">
      <formula>MSconst_RequireSubAttrEmissions</formula>
    </cfRule>
    <cfRule type="expression" dxfId="499" priority="71" stopIfTrue="1">
      <formula>AD2167</formula>
    </cfRule>
  </conditionalFormatting>
  <conditionalFormatting sqref="I2176">
    <cfRule type="expression" dxfId="498" priority="69" stopIfTrue="1">
      <formula>AD2176</formula>
    </cfRule>
    <cfRule type="expression" dxfId="497" priority="68" stopIfTrue="1">
      <formula>MSconst_RequireSubAttrEmissions</formula>
    </cfRule>
  </conditionalFormatting>
  <conditionalFormatting sqref="I2185">
    <cfRule type="expression" dxfId="496" priority="67" stopIfTrue="1">
      <formula>AD2185</formula>
    </cfRule>
    <cfRule type="expression" dxfId="495" priority="66" stopIfTrue="1">
      <formula>MSconst_RequireSubAttrEmissions</formula>
    </cfRule>
  </conditionalFormatting>
  <conditionalFormatting sqref="I2211">
    <cfRule type="expression" dxfId="494" priority="65" stopIfTrue="1">
      <formula>AD2211</formula>
    </cfRule>
    <cfRule type="expression" dxfId="493" priority="64" stopIfTrue="1">
      <formula>MSconst_RequireSubAttrEmissions</formula>
    </cfRule>
  </conditionalFormatting>
  <conditionalFormatting sqref="I2220">
    <cfRule type="expression" dxfId="492" priority="63" stopIfTrue="1">
      <formula>AD2220</formula>
    </cfRule>
    <cfRule type="expression" dxfId="491" priority="62" stopIfTrue="1">
      <formula>MSconst_RequireSubAttrEmissions</formula>
    </cfRule>
  </conditionalFormatting>
  <conditionalFormatting sqref="I2395 I2407 G2471:N2471 H2472:N2472 H2474:N2474 H2375:N2375 H2383:N2384 H2398:N2401 H2410:N2413 H2424:N2424 G2452:N2452 H2453:N2453 H2455:N2455 G2461:N2461 H2462:N2462 H2464:N2464 G2496:N2496 H2497:N2497 H2499:N2499 G2505:N2505 H2506:N2506 H2508:N2508 H2514:N2514 H2520:N2520 H2528:N2529 H2532:N2533 H2433:N2434 H2437:N2438 H2441:N2442 E2537 L2393 L2446 L2525 E2528:E2529 E2532:E2533">
    <cfRule type="expression" dxfId="490" priority="59" stopIfTrue="1">
      <formula>MSconst_RequireSubAttrEmissions</formula>
    </cfRule>
  </conditionalFormatting>
  <conditionalFormatting sqref="I2448">
    <cfRule type="expression" dxfId="489" priority="41" stopIfTrue="1">
      <formula>MSconst_RequireSubAttrEmissions</formula>
    </cfRule>
    <cfRule type="expression" dxfId="488" priority="42" stopIfTrue="1">
      <formula>AD2448</formula>
    </cfRule>
  </conditionalFormatting>
  <conditionalFormatting sqref="I2457">
    <cfRule type="expression" dxfId="487" priority="40" stopIfTrue="1">
      <formula>AD2457</formula>
    </cfRule>
    <cfRule type="expression" dxfId="486" priority="39" stopIfTrue="1">
      <formula>MSconst_RequireSubAttrEmissions</formula>
    </cfRule>
  </conditionalFormatting>
  <conditionalFormatting sqref="I2466">
    <cfRule type="expression" dxfId="485" priority="37" stopIfTrue="1">
      <formula>MSconst_RequireSubAttrEmissions</formula>
    </cfRule>
    <cfRule type="expression" dxfId="484" priority="38" stopIfTrue="1">
      <formula>AD2466</formula>
    </cfRule>
  </conditionalFormatting>
  <conditionalFormatting sqref="I2492">
    <cfRule type="expression" dxfId="483" priority="36" stopIfTrue="1">
      <formula>AD2492</formula>
    </cfRule>
    <cfRule type="expression" dxfId="482" priority="35" stopIfTrue="1">
      <formula>MSconst_RequireSubAttrEmissions</formula>
    </cfRule>
  </conditionalFormatting>
  <conditionalFormatting sqref="I2501">
    <cfRule type="expression" dxfId="481" priority="33" stopIfTrue="1">
      <formula>MSconst_RequireSubAttrEmissions</formula>
    </cfRule>
    <cfRule type="expression" dxfId="480" priority="34" stopIfTrue="1">
      <formula>AD2501</formula>
    </cfRule>
  </conditionalFormatting>
  <conditionalFormatting sqref="I2676 I2688 G2752:N2752 H2753:N2753 H2755:N2755 H2656:N2656 H2664:N2665 H2679:N2682 H2691:N2694 H2705:N2705 G2733:N2733 H2734:N2734 H2736:N2736 G2742:N2742 H2743:N2743 H2745:N2745 G2777:N2777 H2778:N2778 H2780:N2780 G2786:N2786 H2787:N2787 H2789:N2789 H2795:N2795 H2801:N2801 H2809:N2810 H2813:N2814 H2714:N2715 H2718:N2719 H2722:N2723 E2818 L2674 L2727 L2806 E2809:E2810 E2813:E2814">
    <cfRule type="expression" dxfId="479" priority="30" stopIfTrue="1">
      <formula>MSconst_RequireSubAttrEmissions</formula>
    </cfRule>
  </conditionalFormatting>
  <conditionalFormatting sqref="I2729">
    <cfRule type="expression" dxfId="478" priority="13" stopIfTrue="1">
      <formula>AD2729</formula>
    </cfRule>
    <cfRule type="expression" dxfId="477" priority="12" stopIfTrue="1">
      <formula>MSconst_RequireSubAttrEmissions</formula>
    </cfRule>
  </conditionalFormatting>
  <conditionalFormatting sqref="I2738">
    <cfRule type="expression" dxfId="476" priority="11" stopIfTrue="1">
      <formula>AD2738</formula>
    </cfRule>
    <cfRule type="expression" dxfId="475" priority="10" stopIfTrue="1">
      <formula>MSconst_RequireSubAttrEmissions</formula>
    </cfRule>
  </conditionalFormatting>
  <conditionalFormatting sqref="I2747">
    <cfRule type="expression" dxfId="474" priority="8" stopIfTrue="1">
      <formula>MSconst_RequireSubAttrEmissions</formula>
    </cfRule>
    <cfRule type="expression" dxfId="473" priority="9" stopIfTrue="1">
      <formula>AD2747</formula>
    </cfRule>
  </conditionalFormatting>
  <conditionalFormatting sqref="I2773">
    <cfRule type="expression" dxfId="472" priority="7" stopIfTrue="1">
      <formula>AD2773</formula>
    </cfRule>
    <cfRule type="expression" dxfId="471" priority="6" stopIfTrue="1">
      <formula>MSconst_RequireSubAttrEmissions</formula>
    </cfRule>
  </conditionalFormatting>
  <conditionalFormatting sqref="I2782">
    <cfRule type="expression" dxfId="470" priority="5" stopIfTrue="1">
      <formula>AD2782</formula>
    </cfRule>
    <cfRule type="expression" dxfId="469" priority="4" stopIfTrue="1">
      <formula>MSconst_RequireSubAttrEmissions</formula>
    </cfRule>
  </conditionalFormatting>
  <conditionalFormatting sqref="J41:N41">
    <cfRule type="cellIs" dxfId="468" priority="1699" stopIfTrue="1" operator="equal">
      <formula>TRUE</formula>
    </cfRule>
  </conditionalFormatting>
  <conditionalFormatting sqref="J73:N73">
    <cfRule type="cellIs" dxfId="467" priority="1697" stopIfTrue="1" operator="equal">
      <formula>TRUE</formula>
    </cfRule>
  </conditionalFormatting>
  <conditionalFormatting sqref="J238:N238">
    <cfRule type="cellIs" dxfId="466" priority="1696" stopIfTrue="1" operator="equal">
      <formula>TRUE</formula>
    </cfRule>
  </conditionalFormatting>
  <conditionalFormatting sqref="J322:N322">
    <cfRule type="cellIs" dxfId="465" priority="257" stopIfTrue="1" operator="equal">
      <formula>TRUE</formula>
    </cfRule>
  </conditionalFormatting>
  <conditionalFormatting sqref="J354:N354">
    <cfRule type="cellIs" dxfId="464" priority="256" stopIfTrue="1" operator="equal">
      <formula>TRUE</formula>
    </cfRule>
  </conditionalFormatting>
  <conditionalFormatting sqref="J519:N519">
    <cfRule type="cellIs" dxfId="463" priority="255" stopIfTrue="1" operator="equal">
      <formula>TRUE</formula>
    </cfRule>
  </conditionalFormatting>
  <conditionalFormatting sqref="J603:N603">
    <cfRule type="cellIs" dxfId="462" priority="228" stopIfTrue="1" operator="equal">
      <formula>TRUE</formula>
    </cfRule>
  </conditionalFormatting>
  <conditionalFormatting sqref="J635:N635">
    <cfRule type="cellIs" dxfId="461" priority="227" stopIfTrue="1" operator="equal">
      <formula>TRUE</formula>
    </cfRule>
  </conditionalFormatting>
  <conditionalFormatting sqref="J800:N800">
    <cfRule type="cellIs" dxfId="460" priority="226" stopIfTrue="1" operator="equal">
      <formula>TRUE</formula>
    </cfRule>
  </conditionalFormatting>
  <conditionalFormatting sqref="J884:N884">
    <cfRule type="cellIs" dxfId="459" priority="199" stopIfTrue="1" operator="equal">
      <formula>TRUE</formula>
    </cfRule>
  </conditionalFormatting>
  <conditionalFormatting sqref="J916:N916">
    <cfRule type="cellIs" dxfId="458" priority="198" stopIfTrue="1" operator="equal">
      <formula>TRUE</formula>
    </cfRule>
  </conditionalFormatting>
  <conditionalFormatting sqref="J1081:N1081">
    <cfRule type="cellIs" dxfId="457" priority="197" stopIfTrue="1" operator="equal">
      <formula>TRUE</formula>
    </cfRule>
  </conditionalFormatting>
  <conditionalFormatting sqref="J1165:N1165">
    <cfRule type="cellIs" dxfId="456" priority="170" stopIfTrue="1" operator="equal">
      <formula>TRUE</formula>
    </cfRule>
  </conditionalFormatting>
  <conditionalFormatting sqref="J1197:N1197">
    <cfRule type="cellIs" dxfId="455" priority="169" stopIfTrue="1" operator="equal">
      <formula>TRUE</formula>
    </cfRule>
  </conditionalFormatting>
  <conditionalFormatting sqref="J1362:N1362">
    <cfRule type="cellIs" dxfId="454" priority="168" stopIfTrue="1" operator="equal">
      <formula>TRUE</formula>
    </cfRule>
  </conditionalFormatting>
  <conditionalFormatting sqref="J1446:N1446">
    <cfRule type="cellIs" dxfId="453" priority="141" stopIfTrue="1" operator="equal">
      <formula>TRUE</formula>
    </cfRule>
  </conditionalFormatting>
  <conditionalFormatting sqref="J1478:N1478">
    <cfRule type="cellIs" dxfId="452" priority="140" stopIfTrue="1" operator="equal">
      <formula>TRUE</formula>
    </cfRule>
  </conditionalFormatting>
  <conditionalFormatting sqref="J1643:N1643">
    <cfRule type="cellIs" dxfId="451" priority="139" stopIfTrue="1" operator="equal">
      <formula>TRUE</formula>
    </cfRule>
  </conditionalFormatting>
  <conditionalFormatting sqref="J1727:N1727">
    <cfRule type="cellIs" dxfId="450" priority="112" stopIfTrue="1" operator="equal">
      <formula>TRUE</formula>
    </cfRule>
  </conditionalFormatting>
  <conditionalFormatting sqref="J1759:N1759">
    <cfRule type="cellIs" dxfId="449" priority="111" stopIfTrue="1" operator="equal">
      <formula>TRUE</formula>
    </cfRule>
  </conditionalFormatting>
  <conditionalFormatting sqref="J1924:N1924">
    <cfRule type="cellIs" dxfId="448" priority="110" stopIfTrue="1" operator="equal">
      <formula>TRUE</formula>
    </cfRule>
  </conditionalFormatting>
  <conditionalFormatting sqref="J2008:N2008">
    <cfRule type="cellIs" dxfId="447" priority="83" stopIfTrue="1" operator="equal">
      <formula>TRUE</formula>
    </cfRule>
  </conditionalFormatting>
  <conditionalFormatting sqref="J2040:N2040">
    <cfRule type="cellIs" dxfId="446" priority="82" stopIfTrue="1" operator="equal">
      <formula>TRUE</formula>
    </cfRule>
  </conditionalFormatting>
  <conditionalFormatting sqref="J2205:N2205">
    <cfRule type="cellIs" dxfId="445" priority="81" stopIfTrue="1" operator="equal">
      <formula>TRUE</formula>
    </cfRule>
  </conditionalFormatting>
  <conditionalFormatting sqref="J2289:N2289">
    <cfRule type="cellIs" dxfId="444" priority="54" stopIfTrue="1" operator="equal">
      <formula>TRUE</formula>
    </cfRule>
  </conditionalFormatting>
  <conditionalFormatting sqref="J2321:N2321">
    <cfRule type="cellIs" dxfId="443" priority="53" stopIfTrue="1" operator="equal">
      <formula>TRUE</formula>
    </cfRule>
  </conditionalFormatting>
  <conditionalFormatting sqref="J2486:N2486">
    <cfRule type="cellIs" dxfId="442" priority="52" stopIfTrue="1" operator="equal">
      <formula>TRUE</formula>
    </cfRule>
  </conditionalFormatting>
  <conditionalFormatting sqref="J2570:N2570">
    <cfRule type="cellIs" dxfId="441" priority="25" stopIfTrue="1" operator="equal">
      <formula>TRUE</formula>
    </cfRule>
  </conditionalFormatting>
  <conditionalFormatting sqref="J2602:N2602">
    <cfRule type="cellIs" dxfId="440" priority="24" stopIfTrue="1" operator="equal">
      <formula>TRUE</formula>
    </cfRule>
  </conditionalFormatting>
  <conditionalFormatting sqref="J2767:N2767">
    <cfRule type="cellIs" dxfId="439" priority="23" stopIfTrue="1" operator="equal">
      <formula>TRUE</formula>
    </cfRule>
  </conditionalFormatting>
  <conditionalFormatting sqref="P2">
    <cfRule type="expression" dxfId="438" priority="1695" stopIfTrue="1">
      <formula>INDEX($G$2847:$G$2856,MATCH("BM"&amp;Z2,$F$2847:$F$2856,0))</formula>
    </cfRule>
  </conditionalFormatting>
  <dataValidations count="6">
    <dataValidation type="list" allowBlank="1" showInputMessage="1" showErrorMessage="1" sqref="L145 L198 L277 L426 L479 L558 L707 L760 L839 L988 L1041 L1120 L1269 L1322 L1401 L1550 L1603 L1682 L1831 L1884 L1963 L2112 L2165 L2244 L2393 L2446 L2525 L2674 L2727 L2806" xr:uid="{00000000-0002-0000-0700-000000000000}">
      <formula1>Euconst_TrueFalse</formula1>
    </dataValidation>
    <dataValidation type="list" allowBlank="1" showInputMessage="1" showErrorMessage="1" sqref="G204 G248 G257 G223 G213 G485 G529 G538 G504 G494 G766 G810 G819 G785 G775 G1047 G1091 G1100 G1066 G1056 G1328 G1372 G1381 G1347 G1337 G1609 G1653 G1662 G1628 G1618 G1890 G1934 G1943 G1909 G1899 G2171 G2215 G2224 G2190 G2180 G2452 G2496 G2505 G2471 G2461 G2733 G2777 G2786 G2752 G2742" xr:uid="{00000000-0002-0000-0700-000001000000}">
      <formula1>EUconst_TonnesOrkNm3pa</formula1>
    </dataValidation>
    <dataValidation type="list" allowBlank="1" showInputMessage="1" showErrorMessage="1" sqref="G280:G281 E280:E281 E284:E285 G284:G285 G561:G562 E561:E562 E565:E566 G565:G566 G842:G843 E842:E843 E846:E847 G846:G847 G1123:G1124 E1123:E1124 E1127:E1128 G1127:G1128 G1404:G1405 E1404:E1405 E1408:E1409 G1408:G1409 G1685:G1686 E1685:E1686 E1689:E1690 G1689:G1690 G1966:G1967 E1966:E1967 E1970:E1971 G1970:G1971 G2247:G2248 E2247:E2248 E2251:E2252 G2251:G2252 G2528:G2529 E2528:E2529 E2532:E2533 G2532:G2533 G2809:G2810 E2809:E2810 E2813:E2814 G2813:G2814" xr:uid="{00000000-0002-0000-0700-000002000000}">
      <formula1>EUconst_BMlistNames</formula1>
    </dataValidation>
    <dataValidation type="decimal" operator="greaterThanOrEqual" allowBlank="1" showInputMessage="1" showErrorMessage="1" errorTitle="Value &lt; 0" error="Values have to be &gt;= 0" sqref="H193:N193 H474:N474 H755:N755 H1036:N1036 H1317:N1317 H1598:N1598 H1879:N1879 H2160:N2160 H2441:N2441 H2722:N2722" xr:uid="{00000000-0002-0000-0700-000003000000}">
      <formula1>0</formula1>
    </dataValidation>
    <dataValidation type="decimal" operator="greaterThanOrEqual" allowBlank="1" showInputMessage="1" showErrorMessage="1" errorTitle="Values &lt; 0" error="Values have to be &gt;= 0 " sqref="H257:N257 H284:N285 H538:N538 H565:N566 H819:N819 H846:N847 H1100:N1100 H1127:N1128 H1381:N1381 H1408:N1409 H1662:N1662 H1689:N1690 H1943:N1943 H1970:N1971 H2224:N2224 H2251:N2252 H2505:N2505 H2532:N2533 H2786:N2786 H2813:N2814" xr:uid="{00000000-0002-0000-0700-000004000000}">
      <formula1>0</formula1>
    </dataValidation>
    <dataValidation type="decimal" operator="greaterThanOrEqual" allowBlank="1" showInputMessage="1" showErrorMessage="1" error="! Enter value &gt;=0 !" sqref="H21:N21 H60:N60 H92:N101 H52:N52 H302:N302 H341:N341 H373:N382 H333:N333 H583:N583 H622:N622 H654:N663 H614:N614 H864:N864 H903:N903 H935:N944 H895:N895 H1145:N1145 H1184:N1184 H1216:N1225 H1176:N1176 H1426:N1426 H1465:N1465 H1497:N1506 H1457:N1457 H1707:N1707 H1746:N1746 H1778:N1787 H1738:N1738 H1988:N1988 H2027:N2027 H2059:N2068 H2019:N2019 H2269:N2269 H2308:N2308 H2340:N2349 H2300:N2300 H2550:N2550 H2589:N2589 H2621:N2630 H2581:N2581" xr:uid="{00000000-0002-0000-0700-000005000000}">
      <formula1>0</formula1>
    </dataValidation>
  </dataValidations>
  <hyperlinks>
    <hyperlink ref="E85" r:id="rId1" display="https://eur-lex.europa.eu/eli/reg/2010/860/oj/eng" xr:uid="{00000000-0004-0000-0700-000000000000}"/>
    <hyperlink ref="G2:H2" location="JUMP_TOC_Home" display="Table of contents" xr:uid="{00000000-0004-0000-0700-000001000000}"/>
    <hyperlink ref="M2:N2" location="JUMP_K_I" display="Summary" xr:uid="{00000000-0004-0000-0700-000002000000}"/>
    <hyperlink ref="E3:F3" location="JUMP_F_Top" display="Top of sheet" xr:uid="{00000000-0004-0000-0700-000003000000}"/>
    <hyperlink ref="I2:J2" location="JUMP_E_Top" display="Previous sheet" xr:uid="{00000000-0004-0000-0700-000004000000}"/>
    <hyperlink ref="E4:F4" location="JUMP_F_Bottom" display="End of sheet" xr:uid="{00000000-0004-0000-0700-000005000000}"/>
    <hyperlink ref="D2823:N2823" location="JUMP_G_Top" display="&lt;&lt;&lt; Click here to proceed to next sheet &gt;&gt;&gt; " xr:uid="{00000000-0004-0000-0700-000006000000}"/>
    <hyperlink ref="K2:L2" location="JUMP_G_Top" display="Next sheet" xr:uid="{00000000-0004-0000-0700-000007000000}"/>
    <hyperlink ref="E183:M183" location="JUMP_D_III" display="For attributing emissions from cogeneration (CHP) to production of heat and electricity, the &quot;CHP tool&quot; in section D.III. has to be used." xr:uid="{00000000-0004-0000-0700-000008000000}"/>
    <hyperlink ref="E114:M114" location="JUMP_K_III2" display="Upon entries made below, the attributable emissions are calculated in section K.III.2 of the summary sheet." xr:uid="{00000000-0004-0000-0700-000009000000}"/>
    <hyperlink ref="E112:M112" r:id="rId2" location="tab-0-1" display="tab-0-1" xr:uid="{00000000-0004-0000-0700-00000A000000}"/>
    <hyperlink ref="E87" r:id="rId3" display="https://eur-lex.europa.eu/eli/reg/1987/2658/2023-06-17" xr:uid="{00000000-0004-0000-0700-00000B000000}"/>
    <hyperlink ref="E112" r:id="rId4" xr:uid="{00000000-0004-0000-0700-00000C000000}"/>
    <hyperlink ref="E366" r:id="rId5" display="https://eur-lex.europa.eu/eli/reg/2010/860/oj/eng" xr:uid="{00000000-0004-0000-0700-00000D000000}"/>
    <hyperlink ref="E464:M464" location="JUMP_D_III" display="For attributing emissions from cogeneration (CHP) to production of heat and electricity, the &quot;CHP tool&quot; in section D.III. has to be used." xr:uid="{00000000-0004-0000-0700-00000E000000}"/>
    <hyperlink ref="E395:M395" location="JUMP_K_III2" display="Upon entries made below, the attributable emissions are calculated in section K.III.2 of the summary sheet." xr:uid="{00000000-0004-0000-0700-00000F000000}"/>
    <hyperlink ref="E393:M393" r:id="rId6" location="tab-0-1" display="tab-0-1" xr:uid="{00000000-0004-0000-0700-000010000000}"/>
    <hyperlink ref="E368" r:id="rId7" display="https://eur-lex.europa.eu/eli/reg/1987/2658/2023-06-17" xr:uid="{00000000-0004-0000-0700-000011000000}"/>
    <hyperlink ref="E393" r:id="rId8" location="documentation" display="https://climate.ec.europa.eu/eu-action/eu-emissions-trading-system-eu-ets/free-allocation_en#documentation" xr:uid="{00000000-0004-0000-0700-000012000000}"/>
    <hyperlink ref="E647" r:id="rId9" display="https://eur-lex.europa.eu/eli/reg/2010/860/oj/eng" xr:uid="{00000000-0004-0000-0700-000013000000}"/>
    <hyperlink ref="E745:M745" location="JUMP_D_III" display="For attributing emissions from cogeneration (CHP) to production of heat and electricity, the &quot;CHP tool&quot; in section D.III. has to be used." xr:uid="{00000000-0004-0000-0700-000014000000}"/>
    <hyperlink ref="E676:M676" location="JUMP_K_III2" display="Upon entries made below, the attributable emissions are calculated in section K.III.2 of the summary sheet." xr:uid="{00000000-0004-0000-0700-000015000000}"/>
    <hyperlink ref="E674:M674" r:id="rId10" location="tab-0-1" display="tab-0-1" xr:uid="{00000000-0004-0000-0700-000016000000}"/>
    <hyperlink ref="E649" r:id="rId11" display="https://eur-lex.europa.eu/eli/reg/1987/2658/2023-06-17" xr:uid="{00000000-0004-0000-0700-000017000000}"/>
    <hyperlink ref="E674" r:id="rId12" location="documentation" display="https://climate.ec.europa.eu/eu-action/eu-emissions-trading-system-eu-ets/free-allocation_en#documentation" xr:uid="{00000000-0004-0000-0700-000018000000}"/>
    <hyperlink ref="E928" r:id="rId13" display="https://eur-lex.europa.eu/eli/reg/2010/860/oj/eng" xr:uid="{00000000-0004-0000-0700-000019000000}"/>
    <hyperlink ref="E1026:M1026" location="JUMP_D_III" display="For attributing emissions from cogeneration (CHP) to production of heat and electricity, the &quot;CHP tool&quot; in section D.III. has to be used." xr:uid="{00000000-0004-0000-0700-00001A000000}"/>
    <hyperlink ref="E957:M957" location="JUMP_K_III2" display="Upon entries made below, the attributable emissions are calculated in section K.III.2 of the summary sheet." xr:uid="{00000000-0004-0000-0700-00001B000000}"/>
    <hyperlink ref="E955:M955" r:id="rId14" location="tab-0-1" display="tab-0-1" xr:uid="{00000000-0004-0000-0700-00001C000000}"/>
    <hyperlink ref="E930" r:id="rId15" display="https://eur-lex.europa.eu/eli/reg/1987/2658/2023-06-17" xr:uid="{00000000-0004-0000-0700-00001D000000}"/>
    <hyperlink ref="E955" r:id="rId16" location="documentation" display="https://climate.ec.europa.eu/eu-action/eu-emissions-trading-system-eu-ets/free-allocation_en#documentation" xr:uid="{00000000-0004-0000-0700-00001E000000}"/>
    <hyperlink ref="E1209" r:id="rId17" display="https://eur-lex.europa.eu/eli/reg/2010/860/oj/eng" xr:uid="{00000000-0004-0000-0700-00001F000000}"/>
    <hyperlink ref="E1307:M1307" location="JUMP_D_III" display="For attributing emissions from cogeneration (CHP) to production of heat and electricity, the &quot;CHP tool&quot; in section D.III. has to be used." xr:uid="{00000000-0004-0000-0700-000020000000}"/>
    <hyperlink ref="E1238:M1238" location="JUMP_K_III2" display="Upon entries made below, the attributable emissions are calculated in section K.III.2 of the summary sheet." xr:uid="{00000000-0004-0000-0700-000021000000}"/>
    <hyperlink ref="E1236:M1236" r:id="rId18" location="tab-0-1" display="tab-0-1" xr:uid="{00000000-0004-0000-0700-000022000000}"/>
    <hyperlink ref="E1211" r:id="rId19" display="https://eur-lex.europa.eu/eli/reg/1987/2658/2023-06-17" xr:uid="{00000000-0004-0000-0700-000023000000}"/>
    <hyperlink ref="E1236" r:id="rId20" location="documentation" display="https://climate.ec.europa.eu/eu-action/eu-emissions-trading-system-eu-ets/free-allocation_en#documentation" xr:uid="{00000000-0004-0000-0700-000024000000}"/>
    <hyperlink ref="E1490" r:id="rId21" display="https://eur-lex.europa.eu/eli/reg/2010/860/oj/eng" xr:uid="{00000000-0004-0000-0700-000025000000}"/>
    <hyperlink ref="E1588:M1588" location="JUMP_D_III" display="For attributing emissions from cogeneration (CHP) to production of heat and electricity, the &quot;CHP tool&quot; in section D.III. has to be used." xr:uid="{00000000-0004-0000-0700-000026000000}"/>
    <hyperlink ref="E1519:M1519" location="JUMP_K_III2" display="Upon entries made below, the attributable emissions are calculated in section K.III.2 of the summary sheet." xr:uid="{00000000-0004-0000-0700-000027000000}"/>
    <hyperlink ref="E1517:M1517" r:id="rId22" location="tab-0-1" display="tab-0-1" xr:uid="{00000000-0004-0000-0700-000028000000}"/>
    <hyperlink ref="E1492" r:id="rId23" display="https://eur-lex.europa.eu/eli/reg/1987/2658/2023-06-17" xr:uid="{00000000-0004-0000-0700-000029000000}"/>
    <hyperlink ref="E1517" r:id="rId24" location="documentation" display="https://climate.ec.europa.eu/eu-action/eu-emissions-trading-system-eu-ets/free-allocation_en#documentation" xr:uid="{00000000-0004-0000-0700-00002A000000}"/>
    <hyperlink ref="E1771" r:id="rId25" display="https://eur-lex.europa.eu/eli/reg/2010/860/oj/eng" xr:uid="{00000000-0004-0000-0700-00002B000000}"/>
    <hyperlink ref="E1869:M1869" location="JUMP_D_III" display="For attributing emissions from cogeneration (CHP) to production of heat and electricity, the &quot;CHP tool&quot; in section D.III. has to be used." xr:uid="{00000000-0004-0000-0700-00002C000000}"/>
    <hyperlink ref="E1800:M1800" location="JUMP_K_III2" display="Upon entries made below, the attributable emissions are calculated in section K.III.2 of the summary sheet." xr:uid="{00000000-0004-0000-0700-00002D000000}"/>
    <hyperlink ref="E1798:M1798" r:id="rId26" location="tab-0-1" display="tab-0-1" xr:uid="{00000000-0004-0000-0700-00002E000000}"/>
    <hyperlink ref="E1773" r:id="rId27" display="https://eur-lex.europa.eu/eli/reg/1987/2658/2023-06-17" xr:uid="{00000000-0004-0000-0700-00002F000000}"/>
    <hyperlink ref="E1798" r:id="rId28" location="documentation" display="https://climate.ec.europa.eu/eu-action/eu-emissions-trading-system-eu-ets/free-allocation_en#documentation" xr:uid="{00000000-0004-0000-0700-000030000000}"/>
    <hyperlink ref="E2052" r:id="rId29" display="https://eur-lex.europa.eu/eli/reg/2010/860/oj/eng" xr:uid="{00000000-0004-0000-0700-000031000000}"/>
    <hyperlink ref="E2150:M2150" location="JUMP_D_III" display="For attributing emissions from cogeneration (CHP) to production of heat and electricity, the &quot;CHP tool&quot; in section D.III. has to be used." xr:uid="{00000000-0004-0000-0700-000032000000}"/>
    <hyperlink ref="E2081:M2081" location="JUMP_K_III2" display="Upon entries made below, the attributable emissions are calculated in section K.III.2 of the summary sheet." xr:uid="{00000000-0004-0000-0700-000033000000}"/>
    <hyperlink ref="E2079:M2079" r:id="rId30" location="tab-0-1" display="tab-0-1" xr:uid="{00000000-0004-0000-0700-000034000000}"/>
    <hyperlink ref="E2054" r:id="rId31" display="https://eur-lex.europa.eu/eli/reg/1987/2658/2023-06-17" xr:uid="{00000000-0004-0000-0700-000035000000}"/>
    <hyperlink ref="E2079" r:id="rId32" location="documentation" display="https://climate.ec.europa.eu/eu-action/eu-emissions-trading-system-eu-ets/free-allocation_en#documentation" xr:uid="{00000000-0004-0000-0700-000036000000}"/>
    <hyperlink ref="E2333" r:id="rId33" display="https://eur-lex.europa.eu/eli/reg/2010/860/oj/eng" xr:uid="{00000000-0004-0000-0700-000037000000}"/>
    <hyperlink ref="E2431:M2431" location="JUMP_D_III" display="For attributing emissions from cogeneration (CHP) to production of heat and electricity, the &quot;CHP tool&quot; in section D.III. has to be used." xr:uid="{00000000-0004-0000-0700-000038000000}"/>
    <hyperlink ref="E2362:M2362" location="JUMP_K_III2" display="Upon entries made below, the attributable emissions are calculated in section K.III.2 of the summary sheet." xr:uid="{00000000-0004-0000-0700-000039000000}"/>
    <hyperlink ref="E2360:M2360" r:id="rId34" location="tab-0-1" display="tab-0-1" xr:uid="{00000000-0004-0000-0700-00003A000000}"/>
    <hyperlink ref="E2335" r:id="rId35" display="https://eur-lex.europa.eu/eli/reg/1987/2658/2023-06-17" xr:uid="{00000000-0004-0000-0700-00003B000000}"/>
    <hyperlink ref="E2360" r:id="rId36" location="documentation" display="https://climate.ec.europa.eu/eu-action/eu-emissions-trading-system-eu-ets/free-allocation_en#documentation" xr:uid="{00000000-0004-0000-0700-00003C000000}"/>
    <hyperlink ref="E2614" r:id="rId37" display="https://eur-lex.europa.eu/eli/reg/2010/860/oj/eng" xr:uid="{00000000-0004-0000-0700-00003D000000}"/>
    <hyperlink ref="E2712:M2712" location="JUMP_D_III" display="For attributing emissions from cogeneration (CHP) to production of heat and electricity, the &quot;CHP tool&quot; in section D.III. has to be used." xr:uid="{00000000-0004-0000-0700-00003E000000}"/>
    <hyperlink ref="E2643:M2643" location="JUMP_K_III2" display="Upon entries made below, the attributable emissions are calculated in section K.III.2 of the summary sheet." xr:uid="{00000000-0004-0000-0700-00003F000000}"/>
    <hyperlink ref="E2641:M2641" r:id="rId38" location="tab-0-1" display="tab-0-1" xr:uid="{00000000-0004-0000-0700-000040000000}"/>
    <hyperlink ref="E2616" r:id="rId39" display="https://eur-lex.europa.eu/eli/reg/1987/2658/2023-06-17" xr:uid="{00000000-0004-0000-0700-000041000000}"/>
    <hyperlink ref="E2641" r:id="rId40" location="documentation" display="https://climate.ec.europa.eu/eu-action/eu-emissions-trading-system-eu-ets/free-allocation_en#documentation" xr:uid="{00000000-0004-0000-0700-000042000000}"/>
    <hyperlink ref="E393:N393" r:id="rId41" display="https://climate.ec.europa.eu/eu-action/carbon-markets/eu-emissions-trading-system-eu-ets/free-allocation/about-free-allocation_en" xr:uid="{00000000-0004-0000-0700-000043000000}"/>
  </hyperlinks>
  <pageMargins left="0.78740157480314965" right="0.78740157480314965" top="0.78740157480314965" bottom="0.78740157480314965" header="0.51181102362204722" footer="0.51181102362204722"/>
  <pageSetup paperSize="9" scale="48" fitToHeight="40" orientation="portrait" r:id="rId42"/>
  <headerFooter alignWithMargins="0">
    <oddHeader>&amp;L&amp;F; &amp;A&amp;R&amp;D; &amp;T</oddHeader>
    <oddFooter>&amp;C&amp;P / &amp;N</oddFooter>
  </headerFooter>
  <legacyDrawing r:id="rId4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tabColor indexed="48"/>
    <pageSetUpPr fitToPage="1"/>
  </sheetPr>
  <dimension ref="A1:AM1859"/>
  <sheetViews>
    <sheetView zoomScaleNormal="100" zoomScaleSheetLayoutView="85" workbookViewId="0">
      <pane ySplit="5" topLeftCell="A6" activePane="bottomLeft" state="frozen"/>
      <selection pane="bottomLeft" activeCell="B2" sqref="B2:D4"/>
    </sheetView>
  </sheetViews>
  <sheetFormatPr defaultColWidth="11.453125" defaultRowHeight="12.5" x14ac:dyDescent="0.25"/>
  <cols>
    <col min="1" max="1" width="5.453125" style="349" hidden="1" customWidth="1"/>
    <col min="2" max="2" width="2.7265625" style="349" customWidth="1"/>
    <col min="3" max="4" width="4.7265625" style="349" customWidth="1"/>
    <col min="5" max="5" width="30.7265625" style="349" customWidth="1"/>
    <col min="6" max="14" width="12.7265625" style="349" customWidth="1"/>
    <col min="15" max="15" width="4.54296875" style="349" customWidth="1"/>
    <col min="16" max="16" width="25.7265625" style="349" customWidth="1"/>
    <col min="17" max="25" width="12.7265625" style="349" hidden="1" customWidth="1"/>
    <col min="26" max="39" width="11.453125" style="349" hidden="1" customWidth="1"/>
    <col min="40" max="16384" width="11.453125" style="349"/>
  </cols>
  <sheetData>
    <row r="1" spans="1:39" s="694" customFormat="1" ht="13" hidden="1" thickBot="1" x14ac:dyDescent="0.3">
      <c r="A1" s="694" t="s">
        <v>312</v>
      </c>
      <c r="Q1" s="694" t="s">
        <v>312</v>
      </c>
      <c r="R1" s="694" t="s">
        <v>312</v>
      </c>
      <c r="S1" s="694" t="s">
        <v>312</v>
      </c>
      <c r="T1" s="694" t="s">
        <v>312</v>
      </c>
      <c r="U1" s="694" t="s">
        <v>312</v>
      </c>
      <c r="V1" s="694" t="s">
        <v>312</v>
      </c>
      <c r="W1" s="694" t="s">
        <v>312</v>
      </c>
      <c r="X1" s="694" t="s">
        <v>312</v>
      </c>
      <c r="Y1" s="694" t="s">
        <v>312</v>
      </c>
      <c r="Z1" s="694" t="s">
        <v>312</v>
      </c>
      <c r="AA1" s="694" t="s">
        <v>312</v>
      </c>
      <c r="AB1" s="694" t="s">
        <v>312</v>
      </c>
      <c r="AC1" s="694" t="s">
        <v>312</v>
      </c>
      <c r="AD1" s="694" t="s">
        <v>312</v>
      </c>
      <c r="AE1" s="343" t="s">
        <v>312</v>
      </c>
      <c r="AF1" s="343" t="s">
        <v>312</v>
      </c>
      <c r="AG1" s="343" t="s">
        <v>312</v>
      </c>
      <c r="AH1" s="343" t="s">
        <v>312</v>
      </c>
      <c r="AI1" s="343" t="s">
        <v>312</v>
      </c>
      <c r="AJ1" s="343" t="s">
        <v>312</v>
      </c>
      <c r="AK1" s="343" t="s">
        <v>312</v>
      </c>
      <c r="AL1" s="343" t="s">
        <v>312</v>
      </c>
      <c r="AM1" s="343" t="s">
        <v>312</v>
      </c>
    </row>
    <row r="2" spans="1:39" ht="13.5" thickBot="1" x14ac:dyDescent="0.35">
      <c r="A2" s="694"/>
      <c r="B2" s="2468" t="str">
        <f>Translations!$B$610</f>
        <v>G.</v>
      </c>
      <c r="C2" s="2469"/>
      <c r="D2" s="2470"/>
      <c r="E2" s="2351" t="str">
        <f>Translations!$B$2</f>
        <v>Навигационно меню:</v>
      </c>
      <c r="F2" s="2352"/>
      <c r="G2" s="2466" t="str">
        <f>Translations!$B$16</f>
        <v>Съдържание</v>
      </c>
      <c r="H2" s="2233"/>
      <c r="I2" s="2233" t="str">
        <f>Translations!$B$17</f>
        <v>Предходен лист</v>
      </c>
      <c r="J2" s="2233"/>
      <c r="K2" s="2233" t="str">
        <f>Translations!$B$3</f>
        <v>Следващ лист</v>
      </c>
      <c r="L2" s="2233"/>
      <c r="M2" s="2233" t="str">
        <f>Translations!$B$4</f>
        <v>Обобщение</v>
      </c>
      <c r="N2" s="2233"/>
      <c r="O2" s="336"/>
      <c r="P2" s="2511" t="str">
        <f>Translations!$B$1218</f>
        <v>Колона за коментари 
(напр. каквито и да е било промени)</v>
      </c>
      <c r="Q2" s="770"/>
      <c r="R2" s="770"/>
      <c r="S2" s="770"/>
      <c r="T2" s="770"/>
      <c r="U2" s="770"/>
      <c r="V2" s="770"/>
      <c r="W2" s="770"/>
      <c r="X2" s="770"/>
      <c r="Y2" s="770"/>
      <c r="Z2" s="1390"/>
      <c r="AA2" s="1390"/>
      <c r="AB2" s="1390"/>
      <c r="AC2" s="1390"/>
      <c r="AD2" s="770"/>
      <c r="AE2" s="343"/>
      <c r="AF2" s="343"/>
      <c r="AG2" s="343"/>
      <c r="AH2" s="343"/>
      <c r="AI2" s="343"/>
      <c r="AJ2" s="343"/>
      <c r="AK2" s="343"/>
      <c r="AL2" s="343"/>
      <c r="AM2" s="343"/>
    </row>
    <row r="3" spans="1:39" ht="13.5" customHeight="1" thickBot="1" x14ac:dyDescent="0.3">
      <c r="A3" s="694"/>
      <c r="B3" s="2471"/>
      <c r="C3" s="2472"/>
      <c r="D3" s="2473"/>
      <c r="E3" s="2233" t="str">
        <f>Translations!$B$5</f>
        <v>Начало на листа</v>
      </c>
      <c r="F3" s="2477"/>
      <c r="G3" s="2948" t="str">
        <f>IF(AND(CNTR_ExistSubInstEntries,INDEX(CNTR_FallBackSubInstRelevant,Q3)=FALSE),"",HYPERLINK("#" &amp; ADDRESS(MATCH(Q3,$C:$C,0),3),INDEX(EUconst_FallBackListNames,Q3)))</f>
        <v>Подинсталация с топлинен показател (с риск от ИВЕ | извън МКВЕГ)</v>
      </c>
      <c r="H3" s="2949"/>
      <c r="I3" s="2948" t="str">
        <f>IF(AND(CNTR_ExistSubInstEntries,INDEX(CNTR_FallBackSubInstRelevant,S3)=FALSE),"",HYPERLINK("#" &amp; ADDRESS(MATCH(S3,$C:$C,0),3),INDEX(EUconst_FallBackListNames,S3)))</f>
        <v>Подинсталация с топлинен показател (без риск от ИВЕ | извън МКВЕГ)</v>
      </c>
      <c r="J3" s="2949"/>
      <c r="K3" s="2948" t="str">
        <f>IF(AND(CNTR_ExistSubInstEntries,INDEX(CNTR_FallBackSubInstRelevant,U3)=FALSE),"",HYPERLINK("#" &amp; ADDRESS(MATCH(U3,$C:$C,0),3),INDEX(EUconst_FallBackListNames,U3)))</f>
        <v>Подинсталация с топлинен показател (с риск от ИВЕ | в рамките на МКВЕГ)</v>
      </c>
      <c r="L3" s="2949"/>
      <c r="M3" s="2948" t="str">
        <f>IF(AND(CNTR_ExistSubInstEntries,INDEX(CNTR_FallBackSubInstRelevant,W3)=FALSE),"",HYPERLINK("#" &amp; ADDRESS(MATCH(W3,$C:$C,0),3),INDEX(EUconst_FallBackListNames,W3)))</f>
        <v>Подинсталация на топлофикационна мрежа</v>
      </c>
      <c r="N3" s="2949"/>
      <c r="O3" s="336"/>
      <c r="P3" s="2512"/>
      <c r="Q3" s="2235">
        <v>1</v>
      </c>
      <c r="R3" s="2235"/>
      <c r="S3" s="2235">
        <v>2</v>
      </c>
      <c r="T3" s="2235"/>
      <c r="U3" s="2235">
        <v>3</v>
      </c>
      <c r="V3" s="2235" t="s">
        <v>1239</v>
      </c>
      <c r="W3" s="2235">
        <v>4</v>
      </c>
      <c r="X3" s="2235"/>
      <c r="Y3" s="770"/>
      <c r="Z3" s="770"/>
      <c r="AA3" s="770"/>
      <c r="AB3" s="770"/>
      <c r="AC3" s="770"/>
      <c r="AD3" s="770"/>
      <c r="AE3" s="343"/>
      <c r="AF3" s="343"/>
      <c r="AG3" s="343"/>
      <c r="AH3" s="343"/>
      <c r="AI3" s="343"/>
      <c r="AJ3" s="343"/>
      <c r="AK3" s="343"/>
      <c r="AL3" s="343"/>
      <c r="AM3" s="343"/>
    </row>
    <row r="4" spans="1:39" ht="13.5" customHeight="1" thickBot="1" x14ac:dyDescent="0.3">
      <c r="A4" s="694"/>
      <c r="B4" s="2474"/>
      <c r="C4" s="2475"/>
      <c r="D4" s="2476"/>
      <c r="E4" s="2233" t="str">
        <f>Translations!$B$6</f>
        <v>Край на листа</v>
      </c>
      <c r="F4" s="2233"/>
      <c r="G4" s="2948" t="str">
        <f>IF(AND(CNTR_ExistSubInstEntries,INDEX(CNTR_FallBackSubInstRelevant,Q4)=FALSE),"",HYPERLINK("#" &amp; ADDRESS(MATCH(Q4,$C:$C,0),3),INDEX(EUconst_FallBackListNames,Q4)))</f>
        <v>Подинсталация с горивен показател (с риск от ИВЕ | извън МКВЕГ)</v>
      </c>
      <c r="H4" s="2949"/>
      <c r="I4" s="2948" t="str">
        <f>IF(AND(CNTR_ExistSubInstEntries,INDEX(CNTR_FallBackSubInstRelevant,S4)=FALSE),"",HYPERLINK("#" &amp; ADDRESS(MATCH(S4,$C:$C,0),3),INDEX(EUconst_FallBackListNames,S4)))</f>
        <v>Подинсталация с горивен показател (без риск от ИВЕ | извън МКВЕГ)</v>
      </c>
      <c r="J4" s="2949"/>
      <c r="K4" s="2948" t="str">
        <f>IF(AND(CNTR_ExistSubInstEntries,INDEX(CNTR_FallBackSubInstRelevant,U4)=FALSE),"",HYPERLINK("#" &amp; ADDRESS(MATCH(U4,$C:$C,0),3),INDEX(EUconst_FallBackListNames,U4)))</f>
        <v>Подинсталация с горивен показател (с риск от ИВЕ | в рамките на МКВЕГ)</v>
      </c>
      <c r="L4" s="2949"/>
      <c r="M4" s="2948" t="str">
        <f>IF(AND(CNTR_ExistSubInstEntries,INDEX(CNTR_FallBackSubInstRelevant,W4)=FALSE),"",HYPERLINK("#" &amp; ADDRESS(MATCH(W4,$C:$C,0),3),INDEX(EUconst_FallBackListNames,W4)))</f>
        <v>Подинсталация с емисии от процеси (с риск от ИВЕ | извън МКВЕГ)</v>
      </c>
      <c r="N4" s="2949"/>
      <c r="O4" s="336"/>
      <c r="P4" s="2513"/>
      <c r="Q4" s="2235">
        <v>5</v>
      </c>
      <c r="R4" s="2235"/>
      <c r="S4" s="2235">
        <v>6</v>
      </c>
      <c r="T4" s="2235"/>
      <c r="U4" s="2235">
        <v>7</v>
      </c>
      <c r="V4" s="2235"/>
      <c r="W4" s="2235">
        <v>8</v>
      </c>
      <c r="X4" s="2235"/>
      <c r="Y4" s="770"/>
      <c r="Z4" s="770"/>
      <c r="AA4" s="770"/>
      <c r="AB4" s="770"/>
      <c r="AC4" s="770"/>
      <c r="AD4" s="770"/>
      <c r="AE4" s="343"/>
      <c r="AF4" s="343"/>
      <c r="AG4" s="343"/>
      <c r="AH4" s="343"/>
      <c r="AI4" s="343"/>
      <c r="AJ4" s="343"/>
      <c r="AK4" s="343"/>
      <c r="AL4" s="343"/>
      <c r="AM4" s="343"/>
    </row>
    <row r="5" spans="1:39" ht="13.5" customHeight="1" x14ac:dyDescent="0.25">
      <c r="A5" s="694"/>
      <c r="B5" s="220"/>
      <c r="C5" s="220"/>
      <c r="D5" s="220"/>
      <c r="E5" s="220"/>
      <c r="F5" s="220"/>
      <c r="G5" s="2948" t="str">
        <f>IF(AND(CNTR_ExistSubInstEntries,INDEX(CNTR_FallBackSubInstRelevant,Q5)=FALSE),"",HYPERLINK("#" &amp; ADDRESS(MATCH(Q5,$C:$C,0),3),INDEX(EUconst_FallBackListNames,Q5)))</f>
        <v>Подинсталация с емисии от процеси (без риск от ИВЕ | извън МКВЕГ)</v>
      </c>
      <c r="H5" s="2949"/>
      <c r="I5" s="2948" t="str">
        <f>IF(AND(CNTR_ExistSubInstEntries,INDEX(CNTR_FallBackSubInstRelevant,S5)=FALSE),"",HYPERLINK("#" &amp; ADDRESS(MATCH(S5,$C:$C,0),3),INDEX(EUconst_FallBackListNames,S5)))</f>
        <v>Подинсталация с емисии от процеси (с риск от ИВЕ | в рамките на МКВЕГ)</v>
      </c>
      <c r="J5" s="2949"/>
      <c r="K5" s="2948"/>
      <c r="L5" s="2949"/>
      <c r="M5" s="2948"/>
      <c r="N5" s="2949"/>
      <c r="O5" s="336"/>
      <c r="P5" s="275"/>
      <c r="Q5" s="2235">
        <v>9</v>
      </c>
      <c r="R5" s="2235"/>
      <c r="S5" s="2235">
        <v>10</v>
      </c>
      <c r="T5" s="2235"/>
      <c r="U5" s="2235"/>
      <c r="V5" s="2235"/>
      <c r="W5" s="2235"/>
      <c r="X5" s="2235"/>
      <c r="Y5" s="770"/>
      <c r="Z5" s="770"/>
      <c r="AA5" s="770"/>
      <c r="AB5" s="770"/>
      <c r="AC5" s="770"/>
      <c r="AD5" s="770"/>
      <c r="AE5" s="343"/>
      <c r="AF5" s="343"/>
      <c r="AG5" s="343"/>
      <c r="AH5" s="343"/>
      <c r="AI5" s="343"/>
      <c r="AJ5" s="343"/>
      <c r="AK5" s="343"/>
      <c r="AL5" s="343"/>
      <c r="AM5" s="343"/>
    </row>
    <row r="6" spans="1:39" x14ac:dyDescent="0.25">
      <c r="A6" s="694"/>
      <c r="B6" s="284"/>
      <c r="C6" s="335"/>
      <c r="D6" s="284"/>
      <c r="E6" s="284"/>
      <c r="F6" s="287"/>
      <c r="G6" s="287"/>
      <c r="H6" s="287"/>
      <c r="I6" s="284"/>
      <c r="J6" s="284"/>
      <c r="K6" s="284"/>
      <c r="L6" s="284"/>
      <c r="M6" s="336"/>
      <c r="N6" s="336"/>
      <c r="O6" s="336"/>
      <c r="P6" s="336"/>
      <c r="Q6" s="770"/>
      <c r="R6" s="770"/>
      <c r="S6" s="770"/>
      <c r="T6" s="770"/>
      <c r="U6" s="770"/>
      <c r="V6" s="770"/>
      <c r="W6" s="770"/>
      <c r="X6" s="770"/>
      <c r="Y6" s="770"/>
      <c r="Z6" s="770"/>
      <c r="AA6" s="770"/>
      <c r="AB6" s="770"/>
      <c r="AC6" s="770"/>
      <c r="AD6" s="770"/>
      <c r="AE6" s="343"/>
      <c r="AF6" s="343"/>
      <c r="AG6" s="343"/>
      <c r="AH6" s="343"/>
      <c r="AI6" s="343"/>
      <c r="AJ6" s="343"/>
      <c r="AK6" s="343"/>
      <c r="AL6" s="343"/>
      <c r="AM6" s="343"/>
    </row>
    <row r="7" spans="1:39" ht="23.25" customHeight="1" x14ac:dyDescent="0.25">
      <c r="A7" s="694"/>
      <c r="B7" s="284"/>
      <c r="C7" s="297" t="s">
        <v>700</v>
      </c>
      <c r="D7" s="2259" t="str">
        <f>Translations!$B$611</f>
        <v>Работен лист „Fall-back“ — ДАННИ ЗА АЛТЕРНАТИВНИ ПОДИНСТАЛАЦИИ („FALL-BACK SUB-INSTALLATIONS“)</v>
      </c>
      <c r="E7" s="2249"/>
      <c r="F7" s="2249"/>
      <c r="G7" s="2249"/>
      <c r="H7" s="2249"/>
      <c r="I7" s="2249"/>
      <c r="J7" s="2249"/>
      <c r="K7" s="2249"/>
      <c r="L7" s="2249"/>
      <c r="M7" s="2249"/>
      <c r="N7" s="2249"/>
      <c r="O7" s="336"/>
      <c r="P7" s="336"/>
      <c r="Q7" s="694"/>
      <c r="R7" s="694"/>
      <c r="S7" s="694"/>
      <c r="T7" s="694"/>
      <c r="U7" s="694"/>
      <c r="V7" s="694"/>
      <c r="W7" s="694"/>
      <c r="X7" s="694"/>
      <c r="Y7" s="694"/>
      <c r="Z7" s="694"/>
      <c r="AA7" s="694"/>
      <c r="AB7" s="694"/>
      <c r="AC7" s="694"/>
      <c r="AD7" s="694"/>
      <c r="AE7" s="343"/>
      <c r="AF7" s="343"/>
      <c r="AG7" s="343"/>
      <c r="AH7" s="343"/>
      <c r="AI7" s="343"/>
      <c r="AJ7" s="343"/>
      <c r="AK7" s="343"/>
      <c r="AL7" s="343"/>
      <c r="AM7" s="343"/>
    </row>
    <row r="8" spans="1:39" ht="5.15" customHeight="1" x14ac:dyDescent="0.25">
      <c r="A8" s="694"/>
      <c r="B8" s="284"/>
      <c r="C8" s="284"/>
      <c r="D8" s="284"/>
      <c r="E8" s="284"/>
      <c r="F8" s="284"/>
      <c r="G8" s="284"/>
      <c r="H8" s="284"/>
      <c r="I8" s="284"/>
      <c r="J8" s="284"/>
      <c r="K8" s="284"/>
      <c r="L8" s="284"/>
      <c r="M8" s="336"/>
      <c r="N8" s="336"/>
      <c r="O8" s="336"/>
      <c r="P8" s="336"/>
      <c r="Q8" s="694"/>
      <c r="R8" s="694"/>
      <c r="S8" s="694"/>
      <c r="T8" s="694"/>
      <c r="U8" s="694"/>
      <c r="V8" s="694"/>
      <c r="W8" s="694"/>
      <c r="X8" s="1390"/>
      <c r="Y8" s="1390"/>
      <c r="Z8" s="1390"/>
      <c r="AA8" s="1390"/>
      <c r="AB8" s="1390"/>
      <c r="AC8" s="1390"/>
      <c r="AD8" s="1390"/>
      <c r="AE8" s="343"/>
      <c r="AF8" s="343"/>
      <c r="AG8" s="343"/>
      <c r="AH8" s="343"/>
      <c r="AI8" s="343"/>
      <c r="AJ8" s="343"/>
      <c r="AK8" s="343"/>
      <c r="AL8" s="343"/>
      <c r="AM8" s="343"/>
    </row>
    <row r="9" spans="1:39" ht="15" customHeight="1" x14ac:dyDescent="0.25">
      <c r="A9" s="694"/>
      <c r="B9" s="284"/>
      <c r="C9" s="284"/>
      <c r="D9" s="284"/>
      <c r="E9" s="2933" t="str">
        <f>Translations!$B$612</f>
        <v>В навигационната лента по-горе се съдържат само връзки към подинсталации, избрани в раздел A.III.2 като „от значение“.</v>
      </c>
      <c r="F9" s="2933"/>
      <c r="G9" s="2933"/>
      <c r="H9" s="2933"/>
      <c r="I9" s="2933"/>
      <c r="J9" s="2933"/>
      <c r="K9" s="2933"/>
      <c r="L9" s="2933"/>
      <c r="M9" s="2933"/>
      <c r="N9" s="336"/>
      <c r="O9" s="336"/>
      <c r="P9" s="336"/>
      <c r="Q9" s="694"/>
      <c r="R9" s="694"/>
      <c r="S9" s="694"/>
      <c r="T9" s="694"/>
      <c r="U9" s="694"/>
      <c r="V9" s="694"/>
      <c r="W9" s="694"/>
      <c r="X9" s="1390"/>
      <c r="Y9" s="1390"/>
      <c r="Z9" s="1390"/>
      <c r="AA9" s="1390"/>
      <c r="AB9" s="1390"/>
      <c r="AC9" s="1390"/>
      <c r="AD9" s="1390"/>
      <c r="AE9" s="343"/>
      <c r="AF9" s="343"/>
      <c r="AG9" s="343"/>
      <c r="AH9" s="343"/>
      <c r="AI9" s="343"/>
      <c r="AJ9" s="343"/>
      <c r="AK9" s="343"/>
      <c r="AL9" s="343"/>
      <c r="AM9" s="343"/>
    </row>
    <row r="10" spans="1:39" ht="12.75" customHeight="1" thickBot="1" x14ac:dyDescent="0.3">
      <c r="A10" s="694"/>
      <c r="B10" s="284"/>
      <c r="C10" s="284"/>
      <c r="D10" s="284"/>
      <c r="E10" s="284"/>
      <c r="F10" s="284"/>
      <c r="G10" s="284"/>
      <c r="H10" s="284"/>
      <c r="I10" s="284"/>
      <c r="J10" s="284"/>
      <c r="K10" s="284"/>
      <c r="L10" s="284"/>
      <c r="M10" s="336"/>
      <c r="N10" s="336"/>
      <c r="O10" s="336"/>
      <c r="P10" s="336"/>
      <c r="Q10" s="694"/>
      <c r="R10" s="694"/>
      <c r="S10" s="694"/>
      <c r="T10" s="694"/>
      <c r="U10" s="694"/>
      <c r="V10" s="694"/>
      <c r="W10" s="694"/>
      <c r="X10" s="694"/>
      <c r="Y10" s="694"/>
      <c r="Z10" s="694"/>
      <c r="AA10" s="694"/>
      <c r="AB10" s="694"/>
      <c r="AC10" s="694"/>
      <c r="AD10" s="694"/>
      <c r="AE10" s="343"/>
      <c r="AF10" s="343"/>
      <c r="AG10" s="343"/>
      <c r="AH10" s="343"/>
      <c r="AI10" s="343"/>
      <c r="AJ10" s="343"/>
      <c r="AK10" s="343"/>
      <c r="AL10" s="343"/>
      <c r="AM10" s="343"/>
    </row>
    <row r="11" spans="1:39" ht="16" thickBot="1" x14ac:dyDescent="0.4">
      <c r="A11" s="694"/>
      <c r="B11" s="284"/>
      <c r="C11" s="327" t="s">
        <v>1048</v>
      </c>
      <c r="D11" s="2245" t="str">
        <f>Translations!$B$473</f>
        <v>Исторически равнища на дейност и разбивка на данните за производството</v>
      </c>
      <c r="E11" s="2245"/>
      <c r="F11" s="2245"/>
      <c r="G11" s="2245"/>
      <c r="H11" s="2245"/>
      <c r="I11" s="2245"/>
      <c r="J11" s="2245"/>
      <c r="K11" s="2245"/>
      <c r="L11" s="2245"/>
      <c r="M11" s="2245"/>
      <c r="N11" s="2245"/>
      <c r="O11" s="336"/>
      <c r="P11" s="336"/>
      <c r="Q11" s="694"/>
      <c r="R11" s="694"/>
      <c r="S11" s="694"/>
      <c r="T11" s="694"/>
      <c r="U11" s="694"/>
      <c r="V11" s="694"/>
      <c r="W11" s="694"/>
      <c r="X11" s="694"/>
      <c r="Y11" s="694"/>
      <c r="Z11" s="694"/>
      <c r="AA11" s="694"/>
      <c r="AB11" s="694"/>
      <c r="AC11" s="694"/>
      <c r="AD11" s="694"/>
      <c r="AE11" s="343"/>
      <c r="AF11" s="343"/>
      <c r="AG11" s="343"/>
      <c r="AH11" s="343"/>
      <c r="AI11" s="343"/>
      <c r="AJ11" s="343"/>
      <c r="AK11" s="343"/>
      <c r="AL11" s="1171" t="s">
        <v>1073</v>
      </c>
      <c r="AM11" s="343"/>
    </row>
    <row r="12" spans="1:39" ht="5.15" customHeight="1" thickBot="1" x14ac:dyDescent="0.3">
      <c r="A12" s="694"/>
      <c r="B12" s="284"/>
      <c r="C12" s="284"/>
      <c r="D12" s="284"/>
      <c r="E12" s="284"/>
      <c r="F12" s="284"/>
      <c r="G12" s="284"/>
      <c r="H12" s="284"/>
      <c r="I12" s="284"/>
      <c r="J12" s="284"/>
      <c r="K12" s="284"/>
      <c r="L12" s="284"/>
      <c r="M12" s="336"/>
      <c r="N12" s="336"/>
      <c r="O12" s="336"/>
      <c r="P12" s="336"/>
      <c r="Q12" s="770"/>
      <c r="R12" s="770"/>
      <c r="S12" s="770"/>
      <c r="T12" s="770"/>
      <c r="U12" s="770"/>
      <c r="V12" s="770"/>
      <c r="W12" s="770"/>
      <c r="X12" s="770"/>
      <c r="Y12" s="770"/>
      <c r="Z12" s="694"/>
      <c r="AA12" s="694"/>
      <c r="AB12" s="694"/>
      <c r="AC12" s="694"/>
      <c r="AD12" s="694"/>
      <c r="AE12" s="343"/>
      <c r="AF12" s="343"/>
      <c r="AG12" s="343"/>
      <c r="AH12" s="343"/>
      <c r="AI12" s="343"/>
      <c r="AJ12" s="343"/>
      <c r="AK12" s="343"/>
      <c r="AL12" s="343"/>
      <c r="AM12" s="343"/>
    </row>
    <row r="13" spans="1:39" ht="14.5" thickBot="1" x14ac:dyDescent="0.35">
      <c r="A13" s="694"/>
      <c r="B13" s="284"/>
      <c r="C13" s="357">
        <v>1</v>
      </c>
      <c r="D13" s="2323" t="str">
        <f>EUconst_FBSubinst &amp; ":"</f>
        <v>Алтернативна подинсталация („Fall-Back sub-installation“):</v>
      </c>
      <c r="E13" s="2249"/>
      <c r="F13" s="2249"/>
      <c r="G13" s="2249"/>
      <c r="H13" s="2295"/>
      <c r="I13" s="2843" t="str">
        <f>INDEX(EUconst_FallBackListNames,$C13)</f>
        <v>Подинсталация с топлинен показател (с риск от ИВЕ | извън МКВЕГ)</v>
      </c>
      <c r="J13" s="2844"/>
      <c r="K13" s="2844"/>
      <c r="L13" s="2845"/>
      <c r="M13" s="2919" t="str">
        <f>IF(INDEX(CNTR_FallBackSubInstRelevant,C13)="","",IF(INDEX(CNTR_FallBackSubInstRelevant,C13),EUconst_Relevant,EUconst_NotRelevant))</f>
        <v/>
      </c>
      <c r="N13" s="2920"/>
      <c r="O13" s="336"/>
      <c r="P13" s="336"/>
      <c r="Q13" s="1391">
        <f>C13</f>
        <v>1</v>
      </c>
      <c r="R13" s="694"/>
      <c r="S13" s="1174" t="str">
        <f>Translations!$B$898</f>
        <v>Дата на въвеждане в експлоатация:</v>
      </c>
      <c r="T13" s="1175" t="str">
        <f>IF(M13&lt;&gt;EUconst_Relevant,"",MAX(INDEX(CNTR_SubInstStartDate,MATCH($I13,CNTR_SubInstListNames,0)),DATE(2005,1,1)))</f>
        <v/>
      </c>
      <c r="U13" s="729" t="s">
        <v>1731</v>
      </c>
      <c r="V13" s="1176">
        <f>IF(ISNUMBER(T13),YEAR($T13-IF(YEAR(T13)&gt;=2022,0,1))+1,2005)</f>
        <v>2005</v>
      </c>
      <c r="W13" s="1174" t="s">
        <v>1734</v>
      </c>
      <c r="X13" s="1175" t="str">
        <f>IF(M13&lt;&gt;EUconst_Relevant,"",INDEX(CNTR_SubInstCessationDate,MATCH($I13,CNTR_SubInstListNames,0)))</f>
        <v/>
      </c>
      <c r="Y13" s="1174" t="s">
        <v>1735</v>
      </c>
      <c r="Z13" s="1176">
        <f>IF(SUM(X13)=0,2050,YEAR($X13))</f>
        <v>2050</v>
      </c>
      <c r="AA13" s="1174" t="s">
        <v>2009</v>
      </c>
      <c r="AB13" s="1176" t="b">
        <f>CNTR_ReportingYear&gt;V13</f>
        <v>1</v>
      </c>
      <c r="AC13" s="1174" t="s">
        <v>1395</v>
      </c>
      <c r="AD13" s="1177" t="b">
        <f>AND(CNTR_ExistSubInstEntries,M13=EUconst_NotRelevant)</f>
        <v>0</v>
      </c>
      <c r="AE13" s="343"/>
      <c r="AF13" s="343"/>
      <c r="AG13" s="343"/>
      <c r="AH13" s="343"/>
      <c r="AI13" s="343"/>
      <c r="AJ13" s="343"/>
      <c r="AK13" s="343"/>
      <c r="AL13" s="343"/>
      <c r="AM13" s="343"/>
    </row>
    <row r="14" spans="1:39" ht="12.75" customHeight="1" x14ac:dyDescent="0.25">
      <c r="A14" s="694"/>
      <c r="B14" s="698"/>
      <c r="C14" s="698"/>
      <c r="D14" s="698"/>
      <c r="E14" s="698"/>
      <c r="F14" s="698"/>
      <c r="G14" s="698"/>
      <c r="H14" s="773"/>
      <c r="I14" s="2921" t="str">
        <f>IF(M13&lt;&gt;EUconst_Relevant,"",IF(M13=EUconst_Relevant,HYPERLINK("",EUconst_MsgEnterThisSection),HYPERLINK(R14,EUconst_MsgGoToNextSubInst)))</f>
        <v/>
      </c>
      <c r="J14" s="2922"/>
      <c r="K14" s="2922"/>
      <c r="L14" s="2922"/>
      <c r="M14" s="2923"/>
      <c r="N14" s="2924"/>
      <c r="O14" s="336"/>
      <c r="P14" s="336"/>
      <c r="Q14" s="694" t="s">
        <v>450</v>
      </c>
      <c r="R14" s="875" t="str">
        <f>"#JUMP_G"&amp;Q13+1</f>
        <v>#JUMP_G2</v>
      </c>
      <c r="S14" s="694"/>
      <c r="T14" s="694"/>
      <c r="U14" s="694"/>
      <c r="V14" s="694"/>
      <c r="W14" s="694"/>
      <c r="X14" s="694"/>
      <c r="Y14" s="694"/>
      <c r="Z14" s="729"/>
      <c r="AA14" s="694"/>
      <c r="AB14" s="694"/>
      <c r="AC14" s="694"/>
      <c r="AD14" s="694"/>
      <c r="AE14" s="343"/>
      <c r="AF14" s="343"/>
      <c r="AG14" s="343"/>
      <c r="AH14" s="343"/>
      <c r="AI14" s="343"/>
      <c r="AJ14" s="343"/>
      <c r="AK14" s="343"/>
      <c r="AL14" s="343"/>
      <c r="AM14" s="343"/>
    </row>
    <row r="15" spans="1:39" ht="12.75" customHeight="1" x14ac:dyDescent="0.25">
      <c r="A15" s="694"/>
      <c r="B15" s="284"/>
      <c r="C15" s="284"/>
      <c r="D15" s="302"/>
      <c r="E15" s="2358" t="str">
        <f>Translations!$B$613</f>
        <v>Името на алтернативната подинсталация („fall-back sub-installation“) се показва автоматично въз основа на общия списък на възможните алтернативни инсталации.</v>
      </c>
      <c r="F15" s="2249"/>
      <c r="G15" s="2249"/>
      <c r="H15" s="2249"/>
      <c r="I15" s="2249"/>
      <c r="J15" s="2249"/>
      <c r="K15" s="2249"/>
      <c r="L15" s="2249"/>
      <c r="M15" s="2249"/>
      <c r="N15" s="2249"/>
      <c r="O15" s="336"/>
      <c r="P15" s="336"/>
      <c r="Q15" s="770"/>
      <c r="R15" s="770"/>
      <c r="S15" s="694"/>
      <c r="T15" s="694"/>
      <c r="U15" s="694"/>
      <c r="V15" s="694"/>
      <c r="W15" s="694"/>
      <c r="X15" s="694"/>
      <c r="Y15" s="694"/>
      <c r="Z15" s="694"/>
      <c r="AA15" s="694"/>
      <c r="AB15" s="694"/>
      <c r="AC15" s="694"/>
      <c r="AD15" s="694"/>
      <c r="AE15" s="343"/>
      <c r="AF15" s="343"/>
      <c r="AG15" s="343"/>
      <c r="AH15" s="343"/>
      <c r="AI15" s="343"/>
      <c r="AJ15" s="343"/>
      <c r="AK15" s="343"/>
      <c r="AL15" s="343"/>
      <c r="AM15" s="343"/>
    </row>
    <row r="16" spans="1:39" ht="5.15" customHeight="1" x14ac:dyDescent="0.25">
      <c r="A16" s="694"/>
      <c r="B16" s="284"/>
      <c r="C16" s="284"/>
      <c r="D16" s="284"/>
      <c r="E16" s="284"/>
      <c r="F16" s="284"/>
      <c r="G16" s="284"/>
      <c r="H16" s="284"/>
      <c r="I16" s="284"/>
      <c r="J16" s="284"/>
      <c r="K16" s="284"/>
      <c r="L16" s="284"/>
      <c r="M16" s="336"/>
      <c r="N16" s="336"/>
      <c r="O16" s="336"/>
      <c r="P16" s="336"/>
      <c r="Q16" s="770"/>
      <c r="R16" s="770"/>
      <c r="S16" s="770"/>
      <c r="T16" s="770"/>
      <c r="U16" s="770"/>
      <c r="V16" s="770"/>
      <c r="W16" s="770"/>
      <c r="X16" s="770"/>
      <c r="Y16" s="770"/>
      <c r="Z16" s="694"/>
      <c r="AA16" s="694"/>
      <c r="AB16" s="694"/>
      <c r="AC16" s="694"/>
      <c r="AD16" s="694"/>
      <c r="AE16" s="343"/>
      <c r="AF16" s="343"/>
      <c r="AG16" s="343"/>
      <c r="AH16" s="343"/>
      <c r="AI16" s="343"/>
      <c r="AJ16" s="343"/>
      <c r="AK16" s="343"/>
      <c r="AL16" s="343"/>
      <c r="AM16" s="343"/>
    </row>
    <row r="17" spans="1:39" ht="12.75" customHeight="1" x14ac:dyDescent="0.25">
      <c r="A17" s="694"/>
      <c r="B17" s="284"/>
      <c r="C17" s="300"/>
      <c r="D17" s="300" t="s">
        <v>408</v>
      </c>
      <c r="E17" s="2226" t="str">
        <f>Translations!$B$1315</f>
        <v>Равнища на дейност</v>
      </c>
      <c r="F17" s="2249"/>
      <c r="G17" s="2249"/>
      <c r="H17" s="2249"/>
      <c r="I17" s="2249"/>
      <c r="J17" s="2249"/>
      <c r="K17" s="2249"/>
      <c r="L17" s="2249"/>
      <c r="M17" s="2249"/>
      <c r="N17" s="2249"/>
      <c r="O17" s="336"/>
      <c r="P17" s="336"/>
      <c r="Q17" s="770"/>
      <c r="R17" s="770"/>
      <c r="S17" s="770"/>
      <c r="T17" s="770"/>
      <c r="U17" s="770"/>
      <c r="V17" s="770"/>
      <c r="W17" s="770"/>
      <c r="X17" s="770"/>
      <c r="Y17" s="770"/>
      <c r="Z17" s="694"/>
      <c r="AA17" s="694"/>
      <c r="AB17" s="729"/>
      <c r="AC17" s="694"/>
      <c r="AD17" s="694"/>
      <c r="AE17" s="343"/>
      <c r="AF17" s="343"/>
      <c r="AG17" s="343"/>
      <c r="AH17" s="343"/>
      <c r="AI17" s="343"/>
      <c r="AJ17" s="343"/>
      <c r="AK17" s="343"/>
      <c r="AL17" s="343"/>
      <c r="AM17" s="343"/>
    </row>
    <row r="18" spans="1:39" ht="12.75" customHeight="1" x14ac:dyDescent="0.25">
      <c r="A18" s="694" t="str">
        <f>IF(C13&gt;4,$A$1,"")</f>
        <v/>
      </c>
      <c r="B18" s="284"/>
      <c r="C18" s="302"/>
      <c r="D18" s="302"/>
      <c r="E18" s="2925" t="str">
        <f>Translations!$B$614</f>
        <v>Следните данни се вземат автоматично от раздел E.II.r на лист „E_EnergyFlows“ („E_Енергийни потоци“).Затова въвеждането на данни там е задължително.</v>
      </c>
      <c r="F18" s="2925"/>
      <c r="G18" s="2925"/>
      <c r="H18" s="2925"/>
      <c r="I18" s="2925"/>
      <c r="J18" s="2925"/>
      <c r="K18" s="2925"/>
      <c r="L18" s="2925"/>
      <c r="M18" s="2925"/>
      <c r="N18" s="2925"/>
      <c r="O18" s="336"/>
      <c r="P18" s="336"/>
      <c r="Q18" s="770"/>
      <c r="R18" s="694"/>
      <c r="S18" s="694"/>
      <c r="T18" s="694"/>
      <c r="U18" s="694"/>
      <c r="V18" s="694"/>
      <c r="W18" s="694"/>
      <c r="X18" s="694"/>
      <c r="Y18" s="694"/>
      <c r="Z18" s="694"/>
      <c r="AA18" s="694"/>
      <c r="AB18" s="694"/>
      <c r="AC18" s="694"/>
      <c r="AD18" s="694"/>
      <c r="AE18" s="343"/>
      <c r="AF18" s="343"/>
      <c r="AG18" s="343"/>
      <c r="AH18" s="343"/>
      <c r="AI18" s="343"/>
      <c r="AJ18" s="343"/>
      <c r="AK18" s="343"/>
      <c r="AL18" s="343"/>
      <c r="AM18" s="343"/>
    </row>
    <row r="19" spans="1:39" ht="12.75" customHeight="1" x14ac:dyDescent="0.25">
      <c r="A19" s="694"/>
      <c r="B19" s="284"/>
      <c r="C19" s="284"/>
      <c r="D19" s="302"/>
      <c r="E19" s="2358" t="str">
        <f>Translations!$B$1332</f>
        <v>На базата на началото на нормална експлоатация, въведено в B+C.I, HAL ще се основава или на стойността в НМИ (показана в ii.), или на първата година на пълна експлоатация за нови подинсталации (посочена в iv.).</v>
      </c>
      <c r="F19" s="2926"/>
      <c r="G19" s="2926"/>
      <c r="H19" s="2926"/>
      <c r="I19" s="2926"/>
      <c r="J19" s="2926"/>
      <c r="K19" s="2926"/>
      <c r="L19" s="2926"/>
      <c r="M19" s="2926"/>
      <c r="N19" s="2926"/>
      <c r="O19" s="336"/>
      <c r="P19" s="336"/>
      <c r="Q19" s="770"/>
      <c r="R19" s="694"/>
      <c r="S19" s="694"/>
      <c r="T19" s="694"/>
      <c r="U19" s="694"/>
      <c r="V19" s="694"/>
      <c r="W19" s="694"/>
      <c r="X19" s="694"/>
      <c r="Y19" s="694"/>
      <c r="Z19" s="694"/>
      <c r="AA19" s="729"/>
      <c r="AB19" s="729"/>
      <c r="AC19" s="694"/>
      <c r="AD19" s="694"/>
      <c r="AE19" s="343"/>
      <c r="AF19" s="343"/>
      <c r="AG19" s="343"/>
      <c r="AH19" s="343"/>
      <c r="AI19" s="343"/>
      <c r="AJ19" s="343"/>
      <c r="AK19" s="343"/>
      <c r="AL19" s="343"/>
      <c r="AM19" s="343"/>
    </row>
    <row r="20" spans="1:39" ht="12.75" customHeight="1" thickBot="1" x14ac:dyDescent="0.3">
      <c r="A20" s="694"/>
      <c r="B20" s="698"/>
      <c r="C20" s="300"/>
      <c r="D20" s="300"/>
      <c r="E20" s="389" t="str">
        <f>Translations!$B$615</f>
        <v>Основно равнище на дейност:</v>
      </c>
      <c r="F20" s="1015"/>
      <c r="G20" s="527" t="str">
        <f>EUconst_Unit</f>
        <v>Единица мярка</v>
      </c>
      <c r="H20" s="391">
        <f t="shared" ref="H20:N20" si="0">H$1840</f>
        <v>2024</v>
      </c>
      <c r="I20" s="572">
        <f t="shared" si="0"/>
        <v>2025</v>
      </c>
      <c r="J20" s="757">
        <f t="shared" si="0"/>
        <v>2026</v>
      </c>
      <c r="K20" s="391">
        <f t="shared" si="0"/>
        <v>2027</v>
      </c>
      <c r="L20" s="391">
        <f t="shared" si="0"/>
        <v>2028</v>
      </c>
      <c r="M20" s="391">
        <f t="shared" si="0"/>
        <v>2029</v>
      </c>
      <c r="N20" s="387">
        <f t="shared" si="0"/>
        <v>2030</v>
      </c>
      <c r="O20" s="336"/>
      <c r="P20" s="336"/>
      <c r="Q20" s="1033" t="s">
        <v>560</v>
      </c>
      <c r="R20" s="694"/>
      <c r="S20" s="694"/>
      <c r="T20" s="1178">
        <f t="shared" ref="T20:Z20" si="1">H20</f>
        <v>2024</v>
      </c>
      <c r="U20" s="1178">
        <f t="shared" si="1"/>
        <v>2025</v>
      </c>
      <c r="V20" s="1178">
        <f t="shared" si="1"/>
        <v>2026</v>
      </c>
      <c r="W20" s="1178">
        <f t="shared" si="1"/>
        <v>2027</v>
      </c>
      <c r="X20" s="1178">
        <f t="shared" si="1"/>
        <v>2028</v>
      </c>
      <c r="Y20" s="1178">
        <f t="shared" si="1"/>
        <v>2029</v>
      </c>
      <c r="Z20" s="1178">
        <f t="shared" si="1"/>
        <v>2030</v>
      </c>
      <c r="AA20" s="729"/>
      <c r="AB20" s="729"/>
      <c r="AC20" s="694"/>
      <c r="AD20" s="694"/>
      <c r="AE20" s="343"/>
      <c r="AF20" s="343"/>
      <c r="AG20" s="343"/>
      <c r="AH20" s="343"/>
      <c r="AI20" s="343"/>
      <c r="AJ20" s="343"/>
      <c r="AK20" s="343"/>
      <c r="AL20" s="343"/>
      <c r="AM20" s="343"/>
    </row>
    <row r="21" spans="1:39" ht="12.75" customHeight="1" thickBot="1" x14ac:dyDescent="0.3">
      <c r="A21" s="694"/>
      <c r="B21" s="698"/>
      <c r="C21" s="698"/>
      <c r="D21" s="1084" t="s">
        <v>6</v>
      </c>
      <c r="E21" s="2862" t="str">
        <f>I13</f>
        <v>Подинсталация с топлинен показател (с риск от ИВЕ | извън МКВЕГ)</v>
      </c>
      <c r="F21" s="2862"/>
      <c r="G21" s="1032" t="str">
        <f>INDEX(EUconst_FallBackListUnits,MATCH(E21,EUconst_FallBackListNames,0))</f>
        <v>TJ</v>
      </c>
      <c r="H21" s="1024" t="str">
        <f>IF($M13&lt;&gt;EUconst_Relevant,"",IF(H20&gt;=CNTR_ReportingYear,"",IF(AND(H20&gt;=$V13-1,ISNUMBER(INDEX(E_EnergyFlows!H$435:H$443,MATCH($E21,E_EnergyFlows!$E$435:$E$443,0)))),INDEX(E_EnergyFlows!H$435:H$443,MATCH($E21,E_EnergyFlows!$E$435:$E$443,0)),0)))</f>
        <v/>
      </c>
      <c r="I21" s="1392" t="str">
        <f>IF($M13&lt;&gt;EUconst_Relevant,"",IF(I20&gt;=CNTR_ReportingYear,"",IF(AND(I20&gt;=$V13-1,ISNUMBER(INDEX(E_EnergyFlows!I$435:I$443,MATCH($E21,E_EnergyFlows!$E$435:$E$443,0)))),INDEX(E_EnergyFlows!I$435:I$443,MATCH($E21,E_EnergyFlows!$E$435:$E$443,0)),0)))</f>
        <v/>
      </c>
      <c r="J21" s="1393" t="str">
        <f>IF($M13&lt;&gt;EUconst_Relevant,"",IF(J20&gt;=CNTR_ReportingYear,"",IF(AND(J20&gt;=$V13-1,ISNUMBER(INDEX(E_EnergyFlows!J$435:J$443,MATCH($E21,E_EnergyFlows!$E$435:$E$443,0)))),INDEX(E_EnergyFlows!J$435:J$443,MATCH($E21,E_EnergyFlows!$E$435:$E$443,0)),0)))</f>
        <v/>
      </c>
      <c r="K21" s="1024" t="str">
        <f>IF($M13&lt;&gt;EUconst_Relevant,"",IF(K20&gt;=CNTR_ReportingYear,"",IF(AND(K20&gt;=$V13-1,ISNUMBER(INDEX(E_EnergyFlows!K$435:K$443,MATCH($E21,E_EnergyFlows!$E$435:$E$443,0)))),INDEX(E_EnergyFlows!K$435:K$443,MATCH($E21,E_EnergyFlows!$E$435:$E$443,0)),0)))</f>
        <v/>
      </c>
      <c r="L21" s="1024" t="str">
        <f>IF($M13&lt;&gt;EUconst_Relevant,"",IF(L20&gt;=CNTR_ReportingYear,"",IF(AND(L20&gt;=$V13-1,ISNUMBER(INDEX(E_EnergyFlows!L$435:L$443,MATCH($E21,E_EnergyFlows!$E$435:$E$443,0)))),INDEX(E_EnergyFlows!L$435:L$443,MATCH($E21,E_EnergyFlows!$E$435:$E$443,0)),0)))</f>
        <v/>
      </c>
      <c r="M21" s="1024" t="str">
        <f>IF($M13&lt;&gt;EUconst_Relevant,"",IF(M20&gt;=CNTR_ReportingYear,"",IF(AND(M20&gt;=$V13-1,ISNUMBER(INDEX(E_EnergyFlows!M$435:M$443,MATCH($E21,E_EnergyFlows!$E$435:$E$443,0)))),INDEX(E_EnergyFlows!M$435:M$443,MATCH($E21,E_EnergyFlows!$E$435:$E$443,0)),0)))</f>
        <v/>
      </c>
      <c r="N21" s="1024" t="str">
        <f>IF($M13&lt;&gt;EUconst_Relevant,"",IF(N20&gt;=CNTR_ReportingYear,"",IF(AND(N20&gt;=$V13-1,ISNUMBER(INDEX(E_EnergyFlows!N$435:N$443,MATCH($E21,E_EnergyFlows!$E$435:$E$443,0)))),INDEX(E_EnergyFlows!N$435:N$443,MATCH($E21,E_EnergyFlows!$E$435:$E$443,0)),0)))</f>
        <v/>
      </c>
      <c r="O21" s="710"/>
      <c r="P21" s="336"/>
      <c r="Q21" s="1394" t="str">
        <f>EUconst_CNTR_HAL&amp;E21</f>
        <v>HAL_Подинсталация с топлинен показател (с риск от ИВЕ | извън МКВЕГ)</v>
      </c>
      <c r="R21" s="694"/>
      <c r="S21" s="1395" t="s">
        <v>1732</v>
      </c>
      <c r="T21" s="1396" t="b">
        <f t="shared" ref="T21:Z21" si="2">AND($M13=EUconst_Relevant,T20&lt;CNTR_ReportingYear,T20&gt;=$V13-1)</f>
        <v>0</v>
      </c>
      <c r="U21" s="1397" t="b">
        <f t="shared" si="2"/>
        <v>0</v>
      </c>
      <c r="V21" s="1397" t="b">
        <f t="shared" si="2"/>
        <v>0</v>
      </c>
      <c r="W21" s="1397" t="b">
        <f t="shared" si="2"/>
        <v>0</v>
      </c>
      <c r="X21" s="1397" t="b">
        <f t="shared" si="2"/>
        <v>0</v>
      </c>
      <c r="Y21" s="1397" t="b">
        <f t="shared" si="2"/>
        <v>0</v>
      </c>
      <c r="Z21" s="1398" t="b">
        <f t="shared" si="2"/>
        <v>0</v>
      </c>
      <c r="AA21" s="694"/>
      <c r="AB21" s="694"/>
      <c r="AC21" s="1395"/>
      <c r="AD21" s="694"/>
      <c r="AE21" s="343"/>
      <c r="AF21" s="343"/>
      <c r="AG21" s="343"/>
      <c r="AH21" s="343"/>
      <c r="AI21" s="343"/>
      <c r="AJ21" s="343"/>
      <c r="AK21" s="1174" t="s">
        <v>2033</v>
      </c>
      <c r="AL21" s="982" t="str">
        <f>IF(COUNTIFS(H20:N20,"&lt;"&amp;YEAR(SUM(T13)),H21:N21,"&gt;"&amp;0)&gt;0,EUconst_Error&amp;"FB"&amp;Q13,"")</f>
        <v/>
      </c>
      <c r="AM21" s="343"/>
    </row>
    <row r="22" spans="1:39" ht="5.15" customHeight="1" x14ac:dyDescent="0.25">
      <c r="A22" s="694"/>
      <c r="B22" s="298"/>
      <c r="C22" s="298"/>
      <c r="D22" s="302"/>
      <c r="E22" s="302"/>
      <c r="F22" s="302"/>
      <c r="G22" s="302"/>
      <c r="H22" s="302"/>
      <c r="I22" s="302"/>
      <c r="J22" s="302"/>
      <c r="K22" s="302"/>
      <c r="L22" s="302"/>
      <c r="M22" s="302"/>
      <c r="N22" s="302"/>
      <c r="O22" s="302"/>
      <c r="P22" s="336"/>
      <c r="Q22" s="729"/>
      <c r="R22" s="694"/>
      <c r="S22" s="729"/>
      <c r="T22" s="729"/>
      <c r="U22" s="694"/>
      <c r="V22" s="694"/>
      <c r="W22" s="694"/>
      <c r="X22" s="694"/>
      <c r="Y22" s="694"/>
      <c r="Z22" s="729"/>
      <c r="AA22" s="694"/>
      <c r="AB22" s="729"/>
      <c r="AC22" s="694"/>
      <c r="AD22" s="694"/>
      <c r="AE22" s="343"/>
      <c r="AF22" s="343"/>
      <c r="AG22" s="343"/>
      <c r="AH22" s="343"/>
      <c r="AI22" s="343"/>
      <c r="AJ22" s="343"/>
      <c r="AK22" s="343"/>
      <c r="AL22" s="343"/>
      <c r="AM22" s="343"/>
    </row>
    <row r="23" spans="1:39" ht="25.5" customHeight="1" x14ac:dyDescent="0.25">
      <c r="A23" s="694"/>
      <c r="B23" s="298"/>
      <c r="C23" s="298"/>
      <c r="D23" s="302"/>
      <c r="E23" s="2358" t="str">
        <f>Translations!$B$1333</f>
        <v>На базата на стойностите на HAL и тези по буква a) по-горе тук се определят средните равнища на дейност. Разпределението ще бъде променено само ако са надвишени всички долуизброени прагове от членове 5 и 6 от Регламента за ALC:</v>
      </c>
      <c r="F23" s="2249"/>
      <c r="G23" s="2249"/>
      <c r="H23" s="2249"/>
      <c r="I23" s="2249"/>
      <c r="J23" s="2249"/>
      <c r="K23" s="2249"/>
      <c r="L23" s="2249"/>
      <c r="M23" s="2249"/>
      <c r="N23" s="2249"/>
      <c r="O23" s="302"/>
      <c r="P23" s="336"/>
      <c r="Q23" s="729"/>
      <c r="R23" s="694"/>
      <c r="S23" s="729"/>
      <c r="T23" s="729"/>
      <c r="U23" s="729"/>
      <c r="V23" s="694"/>
      <c r="W23" s="694"/>
      <c r="X23" s="694"/>
      <c r="Y23" s="694"/>
      <c r="Z23" s="694"/>
      <c r="AA23" s="694"/>
      <c r="AB23" s="694"/>
      <c r="AC23" s="694"/>
      <c r="AD23" s="694"/>
      <c r="AE23" s="694"/>
      <c r="AF23" s="694"/>
      <c r="AG23" s="694"/>
      <c r="AH23" s="694"/>
      <c r="AI23" s="694"/>
      <c r="AJ23" s="694"/>
      <c r="AK23" s="694"/>
      <c r="AL23" s="694"/>
      <c r="AM23" s="343"/>
    </row>
    <row r="24" spans="1:39" ht="12.75" customHeight="1" x14ac:dyDescent="0.25">
      <c r="A24" s="694"/>
      <c r="B24" s="298"/>
      <c r="C24" s="298"/>
      <c r="D24" s="302"/>
      <c r="E24" s="1191" t="s">
        <v>1052</v>
      </c>
      <c r="F24" s="2358" t="str">
        <f>Translations!$B$1530</f>
        <v>относителният праг (15 %) за средното равнище на дейност в сравнение с HAL</v>
      </c>
      <c r="G24" s="2861"/>
      <c r="H24" s="2861"/>
      <c r="I24" s="2861"/>
      <c r="J24" s="2861"/>
      <c r="K24" s="2861"/>
      <c r="L24" s="2861"/>
      <c r="M24" s="2861"/>
      <c r="N24" s="2861"/>
      <c r="O24" s="302"/>
      <c r="P24" s="336"/>
      <c r="Q24" s="729"/>
      <c r="R24" s="694"/>
      <c r="S24" s="729"/>
      <c r="T24" s="729"/>
      <c r="U24" s="729"/>
      <c r="V24" s="694"/>
      <c r="W24" s="694"/>
      <c r="X24" s="694"/>
      <c r="Y24" s="694"/>
      <c r="Z24" s="694"/>
      <c r="AA24" s="694"/>
      <c r="AB24" s="694"/>
      <c r="AC24" s="694"/>
      <c r="AD24" s="694"/>
      <c r="AE24" s="694"/>
      <c r="AF24" s="694"/>
      <c r="AG24" s="694"/>
      <c r="AH24" s="694"/>
      <c r="AI24" s="694"/>
      <c r="AJ24" s="694"/>
      <c r="AK24" s="694"/>
      <c r="AL24" s="694"/>
      <c r="AM24" s="343"/>
    </row>
    <row r="25" spans="1:39" ht="12.75" customHeight="1" x14ac:dyDescent="0.25">
      <c r="A25" s="694"/>
      <c r="B25" s="298"/>
      <c r="C25" s="298"/>
      <c r="D25" s="302"/>
      <c r="E25" s="1191" t="s">
        <v>1052</v>
      </c>
      <c r="F25" s="2358" t="str">
        <f>Translations!$B$1531</f>
        <v>относителните прагове (15 % и 5 % за последващи промени) за очакваното равнище на дейност в сравнение с HAL</v>
      </c>
      <c r="G25" s="2861"/>
      <c r="H25" s="2861"/>
      <c r="I25" s="2861"/>
      <c r="J25" s="2861"/>
      <c r="K25" s="2861"/>
      <c r="L25" s="2861"/>
      <c r="M25" s="2861"/>
      <c r="N25" s="2861"/>
      <c r="O25" s="302"/>
      <c r="P25" s="336"/>
      <c r="Q25" s="729"/>
      <c r="R25" s="694"/>
      <c r="S25" s="729"/>
      <c r="T25" s="729"/>
      <c r="U25" s="729"/>
      <c r="V25" s="694"/>
      <c r="W25" s="694"/>
      <c r="X25" s="694"/>
      <c r="Y25" s="694"/>
      <c r="Z25" s="694"/>
      <c r="AA25" s="694"/>
      <c r="AB25" s="694"/>
      <c r="AC25" s="694"/>
      <c r="AD25" s="694"/>
      <c r="AE25" s="694"/>
      <c r="AF25" s="694"/>
      <c r="AG25" s="694"/>
      <c r="AH25" s="694"/>
      <c r="AI25" s="694"/>
      <c r="AJ25" s="694"/>
      <c r="AK25" s="694"/>
      <c r="AL25" s="694"/>
      <c r="AM25" s="343"/>
    </row>
    <row r="26" spans="1:39" ht="12.75" customHeight="1" thickBot="1" x14ac:dyDescent="0.3">
      <c r="A26" s="694"/>
      <c r="B26" s="298"/>
      <c r="C26" s="298"/>
      <c r="D26" s="302"/>
      <c r="E26" s="1191" t="s">
        <v>1052</v>
      </c>
      <c r="F26" s="2358" t="str">
        <f>Translations!$B$1514</f>
        <v>абсолютния праг, т.е. промяната би довела до разлика в предварителното разпределение от най-малко 300 квоти</v>
      </c>
      <c r="G26" s="2861"/>
      <c r="H26" s="2861"/>
      <c r="I26" s="2861"/>
      <c r="J26" s="2861"/>
      <c r="K26" s="2861"/>
      <c r="L26" s="2861"/>
      <c r="M26" s="2861"/>
      <c r="N26" s="2861"/>
      <c r="O26" s="302"/>
      <c r="P26" s="336"/>
      <c r="Q26" s="729"/>
      <c r="R26" s="694"/>
      <c r="S26" s="729"/>
      <c r="T26" s="729"/>
      <c r="U26" s="729"/>
      <c r="V26" s="694"/>
      <c r="W26" s="694"/>
      <c r="X26" s="694"/>
      <c r="Y26" s="694"/>
      <c r="Z26" s="694"/>
      <c r="AA26" s="694"/>
      <c r="AB26" s="694"/>
      <c r="AC26" s="694"/>
      <c r="AD26" s="694"/>
      <c r="AE26" s="694"/>
      <c r="AF26" s="694"/>
      <c r="AG26" s="694"/>
      <c r="AH26" s="694"/>
      <c r="AI26" s="694"/>
      <c r="AJ26" s="694"/>
      <c r="AK26" s="694"/>
      <c r="AL26" s="694"/>
      <c r="AM26" s="343"/>
    </row>
    <row r="27" spans="1:39" ht="5.15" customHeight="1" thickBot="1" x14ac:dyDescent="0.3">
      <c r="A27" s="694"/>
      <c r="B27" s="298"/>
      <c r="C27" s="298"/>
      <c r="D27" s="1192"/>
      <c r="E27" s="1193"/>
      <c r="F27" s="1194"/>
      <c r="G27" s="1195"/>
      <c r="H27" s="1195"/>
      <c r="I27" s="1195"/>
      <c r="J27" s="1195"/>
      <c r="K27" s="1195"/>
      <c r="L27" s="1195"/>
      <c r="M27" s="1195"/>
      <c r="N27" s="1196"/>
      <c r="O27" s="302"/>
      <c r="P27" s="336"/>
      <c r="Q27" s="729"/>
      <c r="R27" s="694"/>
      <c r="S27" s="729"/>
      <c r="T27" s="729"/>
      <c r="U27" s="729"/>
      <c r="V27" s="694"/>
      <c r="W27" s="694"/>
      <c r="X27" s="694"/>
      <c r="Y27" s="694"/>
      <c r="Z27" s="694"/>
      <c r="AA27" s="694"/>
      <c r="AB27" s="694"/>
      <c r="AC27" s="694"/>
      <c r="AD27" s="694"/>
      <c r="AE27" s="694"/>
      <c r="AF27" s="694"/>
      <c r="AG27" s="694"/>
      <c r="AH27" s="694"/>
      <c r="AI27" s="694"/>
      <c r="AJ27" s="694"/>
      <c r="AK27" s="694"/>
      <c r="AL27" s="694"/>
      <c r="AM27" s="343"/>
    </row>
    <row r="28" spans="1:39" ht="12.75" customHeight="1" x14ac:dyDescent="0.25">
      <c r="A28" s="694"/>
      <c r="B28" s="298"/>
      <c r="C28" s="298"/>
      <c r="D28" s="1217"/>
      <c r="E28" s="1198" t="str">
        <f>Translations!$B$1334</f>
        <v>Предварителна корекция</v>
      </c>
      <c r="F28" s="1199"/>
      <c r="G28" s="1199"/>
      <c r="H28" s="1200" t="str">
        <f>EUconst_Unit</f>
        <v>Единица мярка</v>
      </c>
      <c r="I28" s="1201" t="str">
        <f>Translations!$B$1320</f>
        <v>(НМИ) HAL</v>
      </c>
      <c r="J28" s="1202">
        <f>J$1840</f>
        <v>2026</v>
      </c>
      <c r="K28" s="1203">
        <f>K$1840</f>
        <v>2027</v>
      </c>
      <c r="L28" s="1203">
        <f>L$1840</f>
        <v>2028</v>
      </c>
      <c r="M28" s="1203">
        <f>M$1840</f>
        <v>2029</v>
      </c>
      <c r="N28" s="1204">
        <f>N$1840</f>
        <v>2030</v>
      </c>
      <c r="O28" s="302"/>
      <c r="P28" s="336"/>
      <c r="Q28" s="729"/>
      <c r="R28" s="694"/>
      <c r="S28" s="729"/>
      <c r="T28" s="729"/>
      <c r="U28" s="1205"/>
      <c r="V28" s="1206">
        <f>J28</f>
        <v>2026</v>
      </c>
      <c r="W28" s="1206">
        <f>K28</f>
        <v>2027</v>
      </c>
      <c r="X28" s="1206">
        <f>L28</f>
        <v>2028</v>
      </c>
      <c r="Y28" s="1206">
        <f>M28</f>
        <v>2029</v>
      </c>
      <c r="Z28" s="1207">
        <f>N28</f>
        <v>2030</v>
      </c>
      <c r="AA28" s="694"/>
      <c r="AB28" s="729"/>
      <c r="AC28" s="694"/>
      <c r="AD28" s="694"/>
      <c r="AE28" s="343"/>
      <c r="AF28" s="343"/>
      <c r="AG28" s="343"/>
      <c r="AH28" s="343"/>
      <c r="AI28" s="343"/>
      <c r="AJ28" s="343"/>
      <c r="AK28" s="343"/>
      <c r="AL28" s="343"/>
      <c r="AM28" s="343"/>
    </row>
    <row r="29" spans="1:39" ht="12.75" customHeight="1" x14ac:dyDescent="0.25">
      <c r="A29" s="694"/>
      <c r="B29" s="298"/>
      <c r="C29" s="298"/>
      <c r="D29" s="1208" t="s">
        <v>7</v>
      </c>
      <c r="E29" s="1209" t="str">
        <f>Translations!$B$1321</f>
        <v>Средно годишно равнище на дейност (стойност в НМИ)</v>
      </c>
      <c r="F29" s="1209"/>
      <c r="G29" s="1209"/>
      <c r="H29" s="1266" t="str">
        <f>G21</f>
        <v>TJ</v>
      </c>
      <c r="I29" s="1399" t="str">
        <f>IF(V13&gt;($J$1840-3),EUconst_NA,INDEX('B+C_SubInstallations'!$I:$I,MATCH(Q29,'B+C_SubInstallations'!$T:$T,0)))</f>
        <v/>
      </c>
      <c r="J29" s="1400" t="str">
        <f>IF(AND(V29&gt;=3,CNTR_ReportingYear&gt;J28-1),AVERAGE(SUM(H21),SUM(I21)),"")</f>
        <v/>
      </c>
      <c r="K29" s="1401" t="str">
        <f>IF(AND(W29&gt;=3,CNTR_ReportingYear&gt;K28-1),AVERAGE(SUM(I21),SUM(J21)),"")</f>
        <v/>
      </c>
      <c r="L29" s="1401" t="str">
        <f>IF(AND(X29&gt;=3,CNTR_ReportingYear&gt;L28-1),AVERAGE(SUM(J21),SUM(K21)),"")</f>
        <v/>
      </c>
      <c r="M29" s="1401" t="str">
        <f>IF(AND(Y29&gt;=3,CNTR_ReportingYear&gt;M28-1),AVERAGE(SUM(K21),SUM(L21)),"")</f>
        <v/>
      </c>
      <c r="N29" s="1402" t="str">
        <f>IF(AND(Z29&gt;=3,CNTR_ReportingYear&gt;N28-1),AVERAGE(SUM(L21),SUM(M21)),"")</f>
        <v/>
      </c>
      <c r="O29" s="302"/>
      <c r="P29" s="336"/>
      <c r="Q29" s="1270" t="str">
        <f>EUconst_CNTR_HALinitial&amp;I13</f>
        <v>HALini_Подинсталация с топлинен показател (с риск от ИВЕ | извън МКВЕГ)</v>
      </c>
      <c r="R29" s="694"/>
      <c r="S29" s="729"/>
      <c r="T29" s="729"/>
      <c r="U29" s="1365" t="s">
        <v>1710</v>
      </c>
      <c r="V29" s="834">
        <f>IF($M13&lt;&gt;EUconst_Relevant,0,V28-$V13+1)</f>
        <v>0</v>
      </c>
      <c r="W29" s="834">
        <f>IF($M13&lt;&gt;EUconst_Relevant,0,W28-$V13+1)</f>
        <v>0</v>
      </c>
      <c r="X29" s="834">
        <f>IF($M13&lt;&gt;EUconst_Relevant,0,X28-$V13+1)</f>
        <v>0</v>
      </c>
      <c r="Y29" s="834">
        <f>IF($M13&lt;&gt;EUconst_Relevant,0,Y28-$V13+1)</f>
        <v>0</v>
      </c>
      <c r="Z29" s="1403">
        <f>IF($M13&lt;&gt;EUconst_Relevant,0,Z28-$V13+1)</f>
        <v>0</v>
      </c>
      <c r="AA29" s="694"/>
      <c r="AB29" s="729"/>
      <c r="AC29" s="694"/>
      <c r="AD29" s="694"/>
      <c r="AE29" s="343"/>
      <c r="AF29" s="343"/>
      <c r="AG29" s="343"/>
      <c r="AH29" s="343"/>
      <c r="AI29" s="343"/>
      <c r="AJ29" s="343"/>
      <c r="AK29" s="343"/>
      <c r="AL29" s="343"/>
      <c r="AM29" s="343"/>
    </row>
    <row r="30" spans="1:39" ht="12.75" hidden="1" customHeight="1" x14ac:dyDescent="0.25">
      <c r="A30" s="729" t="s">
        <v>312</v>
      </c>
      <c r="B30" s="298"/>
      <c r="C30" s="298"/>
      <c r="D30" s="1208"/>
      <c r="E30" s="1209" t="str">
        <f>Translations!$B$1376</f>
        <v>Промяна в сравнение с HAL</v>
      </c>
      <c r="F30" s="1209"/>
      <c r="G30" s="1209"/>
      <c r="H30" s="1222"/>
      <c r="I30" s="1223"/>
      <c r="J30" s="104" t="str">
        <f>IF(J29="","",IF($I32=0,IF(J29=0,0%,100%),J29/$I32-1))</f>
        <v/>
      </c>
      <c r="K30" s="99" t="str">
        <f>IF(K29="","",IF($I32=0,IF(K29=0,0%,100%),K29/$I32-1))</f>
        <v/>
      </c>
      <c r="L30" s="99" t="str">
        <f>IF(L29="","",IF($I32=0,IF(L29=0,0%,100%),L29/$I32-1))</f>
        <v/>
      </c>
      <c r="M30" s="99" t="str">
        <f>IF(M29="","",IF($I32=0,IF(M29=0,0%,100%),M29/$I32-1))</f>
        <v/>
      </c>
      <c r="N30" s="123" t="str">
        <f>IF(N29="","",IF($I32=0,IF(N29=0,0%,100%),N29/$I32-1))</f>
        <v/>
      </c>
      <c r="O30" s="302"/>
      <c r="P30" s="336"/>
      <c r="Q30" s="1190" t="str">
        <f>EUconst_CNTR_RelThreshold &amp;I13</f>
        <v>RelThresh_Подинсталация с топлинен показател (с риск от ИВЕ | извън МКВЕГ)</v>
      </c>
      <c r="R30" s="694"/>
      <c r="S30" s="729"/>
      <c r="T30" s="729"/>
      <c r="U30" s="1365" t="s">
        <v>1715</v>
      </c>
      <c r="V30" s="727" t="str">
        <f>IF(J29="","",ABS(J30)&gt;15%)</f>
        <v/>
      </c>
      <c r="W30" s="727" t="str">
        <f>IF(K29="","",ABS(K30)&gt;15%)</f>
        <v/>
      </c>
      <c r="X30" s="727" t="str">
        <f>IF(L29="","",ABS(L30)&gt;15%)</f>
        <v/>
      </c>
      <c r="Y30" s="727" t="str">
        <f>IF(M29="","",ABS(M30)&gt;15%)</f>
        <v/>
      </c>
      <c r="Z30" s="1221" t="str">
        <f>IF(N29="","",ABS(N30)&gt;15%)</f>
        <v/>
      </c>
      <c r="AA30" s="694"/>
      <c r="AB30" s="729"/>
      <c r="AC30" s="694"/>
      <c r="AD30" s="694"/>
      <c r="AE30" s="343"/>
      <c r="AF30" s="343"/>
      <c r="AG30" s="343"/>
      <c r="AH30" s="343"/>
      <c r="AI30" s="343"/>
      <c r="AJ30" s="343"/>
      <c r="AK30" s="343"/>
      <c r="AL30" s="343"/>
      <c r="AM30" s="343"/>
    </row>
    <row r="31" spans="1:39" ht="12.75" customHeight="1" x14ac:dyDescent="0.25">
      <c r="A31" s="729"/>
      <c r="B31" s="298"/>
      <c r="C31" s="298"/>
      <c r="D31" s="1208" t="s">
        <v>8</v>
      </c>
      <c r="E31" s="1209" t="str">
        <f>Translations!$B$1322</f>
        <v>Предварителна корекция (ако са надвишени относителните прагове)</v>
      </c>
      <c r="F31" s="1209"/>
      <c r="G31" s="1209"/>
      <c r="H31" s="1222"/>
      <c r="I31" s="1223"/>
      <c r="J31" s="1224" t="str">
        <f>IF(J29="","",IF(V30=FALSE,0%,J30))</f>
        <v/>
      </c>
      <c r="K31" s="1225" t="str">
        <f t="shared" ref="K31:N31" si="3">IF(K29="","",IF(W30=FALSE,0%,K30))</f>
        <v/>
      </c>
      <c r="L31" s="1225" t="str">
        <f t="shared" si="3"/>
        <v/>
      </c>
      <c r="M31" s="1225" t="str">
        <f t="shared" si="3"/>
        <v/>
      </c>
      <c r="N31" s="1226" t="str">
        <f t="shared" si="3"/>
        <v/>
      </c>
      <c r="O31" s="302"/>
      <c r="P31" s="336"/>
      <c r="Q31" s="729"/>
      <c r="R31" s="694"/>
      <c r="S31" s="729"/>
      <c r="T31" s="729"/>
      <c r="U31" s="1365" t="s">
        <v>1716</v>
      </c>
      <c r="V31" s="727" t="str">
        <f>IF(J29="","",AND(V30,IF(SUM(I150)&lt;0,OR(SUM(J30)&lt;SUM(I150)-MOD(SUM(I150),5%),J30&gt;=SUM(I150)+5%-MOD(SUM(I150),5%)),OR(SUM(J30)&lt;=SUM(I150)-MOD(SUM(I150),5%),SUM(J30)&gt;SUM(I150)+5%-MOD(SUM(I150),5%)))))</f>
        <v/>
      </c>
      <c r="W31" s="727" t="str">
        <f>IF(K29="","",AND(W30,IF(SUM(J150)&lt;0,OR(SUM(K30)&lt;SUM(J150)-MOD(SUM(J150),5%),K30&gt;=SUM(J150)+5%-MOD(SUM(J150),5%)),OR(SUM(K30)&lt;=SUM(J150)-MOD(SUM(J150),5%),SUM(K30)&gt;SUM(J150)+5%-MOD(SUM(J150),5%)))))</f>
        <v/>
      </c>
      <c r="X31" s="727" t="str">
        <f>IF(L29="","",AND(X30,IF(SUM(K150)&lt;0,OR(SUM(L30)&lt;SUM(K150)-MOD(SUM(K150),5%),L30&gt;=SUM(K150)+5%-MOD(SUM(K150),5%)),OR(SUM(L30)&lt;=SUM(K150)-MOD(SUM(K150),5%),SUM(L30)&gt;SUM(K150)+5%-MOD(SUM(K150),5%)))))</f>
        <v/>
      </c>
      <c r="Y31" s="727" t="str">
        <f>IF(M29="","",AND(Y30,IF(SUM(L150)&lt;0,OR(SUM(M30)&lt;SUM(L150)-MOD(SUM(L150),5%),M30&gt;=SUM(L150)+5%-MOD(SUM(L150),5%)),OR(SUM(M30)&lt;=SUM(L150)-MOD(SUM(L150),5%),SUM(M30)&gt;SUM(L150)+5%-MOD(SUM(L150),5%)))))</f>
        <v/>
      </c>
      <c r="Z31" s="1221" t="str">
        <f>IF(N29="","",AND(Z30,IF(SUM(M150)&lt;0,OR(SUM(N30)&lt;SUM(M150)-MOD(SUM(M150),5%),N30&gt;=SUM(M150)+5%-MOD(SUM(M150),5%)),OR(SUM(N30)&lt;=SUM(M150)-MOD(SUM(M150),5%),SUM(N30)&gt;SUM(M150)+5%-MOD(SUM(M150),5%)))))</f>
        <v/>
      </c>
      <c r="AA31" s="694"/>
      <c r="AB31" s="729"/>
      <c r="AC31" s="694"/>
      <c r="AD31" s="694"/>
      <c r="AE31" s="343"/>
      <c r="AF31" s="343"/>
      <c r="AG31" s="343"/>
      <c r="AH31" s="343"/>
      <c r="AI31" s="343"/>
      <c r="AJ31" s="343"/>
      <c r="AK31" s="343"/>
      <c r="AL31" s="343"/>
      <c r="AM31" s="343"/>
    </row>
    <row r="32" spans="1:39" ht="12.75" customHeight="1" thickBot="1" x14ac:dyDescent="0.3">
      <c r="A32" s="729"/>
      <c r="B32" s="298"/>
      <c r="C32" s="298"/>
      <c r="D32" s="1208" t="s">
        <v>18</v>
      </c>
      <c r="E32" s="1209" t="str">
        <f>Translations!$B$1377</f>
        <v>Предварителна стойност</v>
      </c>
      <c r="F32" s="1209"/>
      <c r="G32" s="1209"/>
      <c r="H32" s="1266" t="str">
        <f>H29</f>
        <v>TJ</v>
      </c>
      <c r="I32" s="1399" t="str">
        <f>IF(M13&lt;&gt;EUconst_Relevant,"",IF(AB13=FALSE,EUconst_NA,IF(V13&gt;($J$1840-3),INDEX(H21:N21,MATCH($V13,H20:N20,0)),I29)))</f>
        <v/>
      </c>
      <c r="J32" s="1400" t="str">
        <f>IF($M13&lt;&gt;EUconst_Relevant,"",IF(V29&lt;2,SUM(J21),IF(V29&lt;3,SUM(I21),IF(V32="",I32,V32))))</f>
        <v/>
      </c>
      <c r="K32" s="1401" t="str">
        <f>IF($M13&lt;&gt;EUconst_Relevant,"",IF(W29&lt;2,SUM(K21),IF(W29&lt;3,SUM(J21),IF(W32="",J32,W32))))</f>
        <v/>
      </c>
      <c r="L32" s="1401" t="str">
        <f>IF($M13&lt;&gt;EUconst_Relevant,"",IF(X29&lt;2,SUM(L21),IF(X29&lt;3,SUM(K21),IF(X32="",K32,X32))))</f>
        <v/>
      </c>
      <c r="M32" s="1401" t="str">
        <f>IF($M13&lt;&gt;EUconst_Relevant,"",IF(Y29&lt;2,SUM(M21),IF(Y29&lt;3,SUM(L21),IF(Y32="",L32,Y32))))</f>
        <v/>
      </c>
      <c r="N32" s="1402" t="str">
        <f>IF($M13&lt;&gt;EUconst_Relevant,"",IF(Z29&lt;2,SUM(N21),IF(Z29&lt;3,SUM(M21),IF(Z32="",M32,Z32))))</f>
        <v/>
      </c>
      <c r="O32" s="710"/>
      <c r="P32" s="336"/>
      <c r="Q32" s="1190" t="s">
        <v>2143</v>
      </c>
      <c r="R32" s="694"/>
      <c r="S32" s="729"/>
      <c r="T32" s="729"/>
      <c r="U32" s="1404" t="s">
        <v>1711</v>
      </c>
      <c r="V32" s="1405" t="str">
        <f>IF(J29="","",IF(CNTR_ReportingYear&lt;J28,I31,IF($I32=0,J29,$I32*(1+J31))))</f>
        <v/>
      </c>
      <c r="W32" s="1405" t="str">
        <f>IF(K29="","",IF(CNTR_ReportingYear&lt;K28,J31,IF($I32=0,K29,$I32*(1+K31))))</f>
        <v/>
      </c>
      <c r="X32" s="1405" t="str">
        <f>IF(L29="","",IF(CNTR_ReportingYear&lt;L28,K31,IF($I32=0,L29,$I32*(1+L31))))</f>
        <v/>
      </c>
      <c r="Y32" s="1405" t="str">
        <f>IF(M29="","",IF(CNTR_ReportingYear&lt;M28,L31,IF($I32=0,M29,$I32*(1+M31))))</f>
        <v/>
      </c>
      <c r="Z32" s="1406" t="str">
        <f>IF(N29="","",IF(CNTR_ReportingYear&lt;N28,M31,IF($I32=0,N29,$I32*(1+N31))))</f>
        <v/>
      </c>
      <c r="AA32" s="694"/>
      <c r="AB32" s="694"/>
      <c r="AC32" s="694"/>
      <c r="AD32" s="694"/>
      <c r="AE32" s="343"/>
      <c r="AF32" s="343"/>
      <c r="AG32" s="343"/>
      <c r="AH32" s="343"/>
      <c r="AI32" s="343"/>
      <c r="AJ32" s="343"/>
      <c r="AK32" s="343"/>
      <c r="AL32" s="343"/>
      <c r="AM32" s="343"/>
    </row>
    <row r="33" spans="1:39" ht="5.15" customHeight="1" thickBot="1" x14ac:dyDescent="0.3">
      <c r="A33" s="729"/>
      <c r="B33" s="698"/>
      <c r="C33" s="284"/>
      <c r="D33" s="1407"/>
      <c r="E33" s="1408"/>
      <c r="F33" s="1408"/>
      <c r="G33" s="1408"/>
      <c r="H33" s="1408"/>
      <c r="I33" s="1408"/>
      <c r="J33" s="1408"/>
      <c r="K33" s="1408"/>
      <c r="L33" s="1408"/>
      <c r="M33" s="1408"/>
      <c r="N33" s="1409"/>
      <c r="O33" s="336"/>
      <c r="P33" s="336"/>
      <c r="Q33" s="694"/>
      <c r="R33" s="694"/>
      <c r="S33" s="729"/>
      <c r="T33" s="729"/>
      <c r="U33" s="694"/>
      <c r="V33" s="694"/>
      <c r="W33" s="694"/>
      <c r="X33" s="694"/>
      <c r="Y33" s="694"/>
      <c r="Z33" s="729"/>
      <c r="AA33" s="729"/>
      <c r="AB33" s="729"/>
      <c r="AC33" s="694"/>
      <c r="AD33" s="694"/>
      <c r="AE33" s="343"/>
      <c r="AF33" s="343"/>
      <c r="AG33" s="343"/>
      <c r="AH33" s="343"/>
      <c r="AI33" s="343"/>
      <c r="AJ33" s="343"/>
      <c r="AK33" s="343"/>
      <c r="AL33" s="343"/>
      <c r="AM33" s="343"/>
    </row>
    <row r="34" spans="1:39" ht="5.15" customHeight="1" x14ac:dyDescent="0.25">
      <c r="A34" s="729" t="str">
        <f>A35</f>
        <v/>
      </c>
      <c r="B34" s="698"/>
      <c r="C34" s="284"/>
      <c r="D34" s="284"/>
      <c r="E34" s="284"/>
      <c r="F34" s="284"/>
      <c r="G34" s="284"/>
      <c r="H34" s="284"/>
      <c r="I34" s="284"/>
      <c r="J34" s="284"/>
      <c r="K34" s="284"/>
      <c r="L34" s="284"/>
      <c r="M34" s="284"/>
      <c r="N34" s="284"/>
      <c r="O34" s="336"/>
      <c r="P34" s="336"/>
      <c r="Q34" s="694"/>
      <c r="R34" s="694"/>
      <c r="S34" s="729"/>
      <c r="T34" s="729"/>
      <c r="U34" s="694"/>
      <c r="V34" s="694"/>
      <c r="W34" s="694"/>
      <c r="X34" s="694"/>
      <c r="Y34" s="694"/>
      <c r="Z34" s="729"/>
      <c r="AA34" s="729"/>
      <c r="AB34" s="729"/>
      <c r="AC34" s="694"/>
      <c r="AD34" s="694"/>
      <c r="AE34" s="343"/>
      <c r="AF34" s="343"/>
      <c r="AG34" s="343"/>
      <c r="AH34" s="343"/>
      <c r="AI34" s="343"/>
      <c r="AJ34" s="343"/>
      <c r="AK34" s="343"/>
      <c r="AL34" s="343"/>
      <c r="AM34" s="343"/>
    </row>
    <row r="35" spans="1:39" ht="14" x14ac:dyDescent="0.3">
      <c r="A35" s="729" t="str">
        <f>IF(MATCH(I13,EUconst_FallBackListNames,0)=4,"ausblenden","")</f>
        <v/>
      </c>
      <c r="B35" s="698"/>
      <c r="C35" s="590"/>
      <c r="D35" s="2323" t="str">
        <f>Translations!$B$495</f>
        <v>Данни за производството</v>
      </c>
      <c r="E35" s="2249"/>
      <c r="F35" s="2249"/>
      <c r="G35" s="2249"/>
      <c r="H35" s="2249"/>
      <c r="I35" s="2249"/>
      <c r="J35" s="2249"/>
      <c r="K35" s="2249"/>
      <c r="L35" s="2249"/>
      <c r="M35" s="2249"/>
      <c r="N35" s="2249"/>
      <c r="O35" s="336"/>
      <c r="P35" s="336"/>
      <c r="Q35" s="694"/>
      <c r="R35" s="694"/>
      <c r="S35" s="694"/>
      <c r="T35" s="694"/>
      <c r="U35" s="694"/>
      <c r="V35" s="694"/>
      <c r="W35" s="694"/>
      <c r="X35" s="694"/>
      <c r="Y35" s="694"/>
      <c r="Z35" s="729"/>
      <c r="AA35" s="729"/>
      <c r="AB35" s="729"/>
      <c r="AC35" s="694"/>
      <c r="AD35" s="694"/>
      <c r="AE35" s="343"/>
      <c r="AF35" s="343"/>
      <c r="AG35" s="343"/>
      <c r="AH35" s="343"/>
      <c r="AI35" s="343"/>
      <c r="AJ35" s="343"/>
      <c r="AK35" s="343"/>
      <c r="AL35" s="343"/>
      <c r="AM35" s="343"/>
    </row>
    <row r="36" spans="1:39" ht="5.15" customHeight="1" x14ac:dyDescent="0.25">
      <c r="A36" s="729" t="str">
        <f>A35</f>
        <v/>
      </c>
      <c r="B36" s="284"/>
      <c r="C36" s="284"/>
      <c r="D36" s="284"/>
      <c r="E36" s="284"/>
      <c r="F36" s="284"/>
      <c r="G36" s="284"/>
      <c r="H36" s="284"/>
      <c r="I36" s="284"/>
      <c r="J36" s="284"/>
      <c r="K36" s="284"/>
      <c r="L36" s="284"/>
      <c r="M36" s="284"/>
      <c r="N36" s="284"/>
      <c r="O36" s="336"/>
      <c r="P36" s="336"/>
      <c r="Q36" s="770"/>
      <c r="R36" s="770"/>
      <c r="S36" s="694"/>
      <c r="T36" s="694"/>
      <c r="U36" s="694"/>
      <c r="V36" s="694"/>
      <c r="W36" s="694"/>
      <c r="X36" s="694"/>
      <c r="Y36" s="694"/>
      <c r="Z36" s="729"/>
      <c r="AA36" s="729"/>
      <c r="AB36" s="729"/>
      <c r="AC36" s="694"/>
      <c r="AD36" s="694"/>
      <c r="AE36" s="343"/>
      <c r="AF36" s="343"/>
      <c r="AG36" s="343"/>
      <c r="AH36" s="343"/>
      <c r="AI36" s="343"/>
      <c r="AJ36" s="343"/>
      <c r="AK36" s="343"/>
      <c r="AL36" s="343"/>
      <c r="AM36" s="343"/>
    </row>
    <row r="37" spans="1:39" ht="12.75" customHeight="1" x14ac:dyDescent="0.25">
      <c r="A37" s="729" t="str">
        <f t="shared" ref="A37:A101" si="4">A36</f>
        <v/>
      </c>
      <c r="B37" s="284"/>
      <c r="C37" s="300"/>
      <c r="D37" s="300" t="s">
        <v>901</v>
      </c>
      <c r="E37" s="2226" t="str">
        <f>Translations!$B$616</f>
        <v>Определяне на съответните продукти или услуги, свързани с тази подинсталация</v>
      </c>
      <c r="F37" s="2249"/>
      <c r="G37" s="2249"/>
      <c r="H37" s="2249"/>
      <c r="I37" s="2249"/>
      <c r="J37" s="2249"/>
      <c r="K37" s="2249"/>
      <c r="L37" s="2249"/>
      <c r="M37" s="2249"/>
      <c r="N37" s="2249"/>
      <c r="O37" s="336"/>
      <c r="P37" s="336"/>
      <c r="Q37" s="770"/>
      <c r="R37" s="694"/>
      <c r="S37" s="694"/>
      <c r="T37" s="694"/>
      <c r="U37" s="694"/>
      <c r="V37" s="694"/>
      <c r="W37" s="694"/>
      <c r="X37" s="694"/>
      <c r="Y37" s="694"/>
      <c r="Z37" s="694"/>
      <c r="AA37" s="694"/>
      <c r="AB37" s="729"/>
      <c r="AC37" s="694"/>
      <c r="AD37" s="694"/>
      <c r="AE37" s="343"/>
      <c r="AF37" s="343"/>
      <c r="AG37" s="343"/>
      <c r="AH37" s="343"/>
      <c r="AI37" s="343"/>
      <c r="AJ37" s="343"/>
      <c r="AK37" s="343"/>
      <c r="AL37" s="343"/>
      <c r="AM37" s="343"/>
    </row>
    <row r="38" spans="1:39" ht="12.75" customHeight="1" x14ac:dyDescent="0.25">
      <c r="A38" s="729" t="str">
        <f t="shared" si="4"/>
        <v/>
      </c>
      <c r="B38" s="284"/>
      <c r="C38" s="302"/>
      <c r="D38" s="302"/>
      <c r="E38" s="2358" t="str">
        <f>Translations!$B$617</f>
        <v>Тук посочете към кои производствени процеси или услуги има отношение тази подинсталация. Това може да включва следните елементи:</v>
      </c>
      <c r="F38" s="2249"/>
      <c r="G38" s="2249"/>
      <c r="H38" s="2249"/>
      <c r="I38" s="2249"/>
      <c r="J38" s="2249"/>
      <c r="K38" s="2249"/>
      <c r="L38" s="2249"/>
      <c r="M38" s="2249"/>
      <c r="N38" s="2249"/>
      <c r="O38" s="336"/>
      <c r="P38" s="336"/>
      <c r="Q38" s="770"/>
      <c r="R38" s="770"/>
      <c r="S38" s="770"/>
      <c r="T38" s="770"/>
      <c r="U38" s="770"/>
      <c r="V38" s="770"/>
      <c r="W38" s="770"/>
      <c r="X38" s="770"/>
      <c r="Y38" s="770"/>
      <c r="Z38" s="770"/>
      <c r="AA38" s="770"/>
      <c r="AB38" s="729"/>
      <c r="AC38" s="694"/>
      <c r="AD38" s="694"/>
      <c r="AE38" s="343"/>
      <c r="AF38" s="343"/>
      <c r="AG38" s="343"/>
      <c r="AH38" s="343"/>
      <c r="AI38" s="343"/>
      <c r="AJ38" s="343"/>
      <c r="AK38" s="343"/>
      <c r="AL38" s="343"/>
      <c r="AM38" s="343"/>
    </row>
    <row r="39" spans="1:39" ht="12.75" customHeight="1" x14ac:dyDescent="0.25">
      <c r="A39" s="729" t="str">
        <f t="shared" si="4"/>
        <v/>
      </c>
      <c r="B39" s="284"/>
      <c r="C39" s="302"/>
      <c r="D39" s="302"/>
      <c r="E39" s="1410" t="s">
        <v>951</v>
      </c>
      <c r="F39" s="2358" t="str">
        <f>Translations!$B$618</f>
        <v>Производство на стоки, непопадащи в продуктовите показатели в рамките на инсталацията (посочете вида продукти);</v>
      </c>
      <c r="G39" s="2249"/>
      <c r="H39" s="2249"/>
      <c r="I39" s="2249"/>
      <c r="J39" s="2249"/>
      <c r="K39" s="2249"/>
      <c r="L39" s="2249"/>
      <c r="M39" s="2249"/>
      <c r="N39" s="2249"/>
      <c r="O39" s="336"/>
      <c r="P39" s="336"/>
      <c r="Q39" s="770"/>
      <c r="R39" s="770"/>
      <c r="S39" s="770"/>
      <c r="T39" s="770"/>
      <c r="U39" s="770"/>
      <c r="V39" s="770"/>
      <c r="W39" s="770"/>
      <c r="X39" s="770"/>
      <c r="Y39" s="770"/>
      <c r="Z39" s="770"/>
      <c r="AA39" s="770"/>
      <c r="AB39" s="729"/>
      <c r="AC39" s="694"/>
      <c r="AD39" s="694"/>
      <c r="AE39" s="343"/>
      <c r="AF39" s="343"/>
      <c r="AG39" s="343"/>
      <c r="AH39" s="343"/>
      <c r="AI39" s="343"/>
      <c r="AJ39" s="343"/>
      <c r="AK39" s="343"/>
      <c r="AL39" s="343"/>
      <c r="AM39" s="343"/>
    </row>
    <row r="40" spans="1:39" ht="12.75" customHeight="1" x14ac:dyDescent="0.25">
      <c r="A40" s="729" t="str">
        <f t="shared" si="4"/>
        <v/>
      </c>
      <c r="B40" s="284"/>
      <c r="C40" s="302"/>
      <c r="D40" s="302"/>
      <c r="E40" s="1410" t="s">
        <v>951</v>
      </c>
      <c r="F40" s="2358" t="str">
        <f>Translations!$B$619</f>
        <v>производство на механична енергия, за отопление или охлаждане (всички употреби без производство на електроенергия);</v>
      </c>
      <c r="G40" s="2249"/>
      <c r="H40" s="2249"/>
      <c r="I40" s="2249"/>
      <c r="J40" s="2249"/>
      <c r="K40" s="2249"/>
      <c r="L40" s="2249"/>
      <c r="M40" s="2249"/>
      <c r="N40" s="2249"/>
      <c r="O40" s="336"/>
      <c r="P40" s="336"/>
      <c r="Q40" s="770"/>
      <c r="R40" s="770"/>
      <c r="S40" s="770"/>
      <c r="T40" s="770"/>
      <c r="U40" s="770"/>
      <c r="V40" s="770"/>
      <c r="W40" s="770"/>
      <c r="X40" s="770"/>
      <c r="Y40" s="770"/>
      <c r="Z40" s="694"/>
      <c r="AA40" s="694"/>
      <c r="AB40" s="729"/>
      <c r="AC40" s="694"/>
      <c r="AD40" s="694"/>
      <c r="AE40" s="343"/>
      <c r="AF40" s="343"/>
      <c r="AG40" s="343"/>
      <c r="AH40" s="343"/>
      <c r="AI40" s="343"/>
      <c r="AJ40" s="343"/>
      <c r="AK40" s="343"/>
      <c r="AL40" s="343"/>
      <c r="AM40" s="343"/>
    </row>
    <row r="41" spans="1:39" ht="12.75" customHeight="1" x14ac:dyDescent="0.25">
      <c r="A41" s="729" t="str">
        <f t="shared" si="4"/>
        <v/>
      </c>
      <c r="B41" s="284"/>
      <c r="C41" s="302"/>
      <c r="D41" s="302"/>
      <c r="E41" s="1410" t="s">
        <v>951</v>
      </c>
      <c r="F41" s="2358" t="str">
        <f>Translations!$B$620</f>
        <v>подаване на топлинна енергия към инсталации или други обекти (различни от топлофикационни мрежи). В такъв случай посочете употребата на топлинната енергия в посочената инсталация или обект, ако е известна.</v>
      </c>
      <c r="G41" s="2249"/>
      <c r="H41" s="2249"/>
      <c r="I41" s="2249"/>
      <c r="J41" s="2249"/>
      <c r="K41" s="2249"/>
      <c r="L41" s="2249"/>
      <c r="M41" s="2249"/>
      <c r="N41" s="2249"/>
      <c r="O41" s="336"/>
      <c r="P41" s="336"/>
      <c r="Q41" s="770"/>
      <c r="R41" s="770"/>
      <c r="S41" s="770"/>
      <c r="T41" s="770"/>
      <c r="U41" s="770"/>
      <c r="V41" s="770"/>
      <c r="W41" s="770"/>
      <c r="X41" s="770"/>
      <c r="Y41" s="770"/>
      <c r="Z41" s="694"/>
      <c r="AA41" s="694"/>
      <c r="AB41" s="729"/>
      <c r="AC41" s="694"/>
      <c r="AD41" s="694"/>
      <c r="AE41" s="343"/>
      <c r="AF41" s="343"/>
      <c r="AG41" s="343"/>
      <c r="AH41" s="343"/>
      <c r="AI41" s="343"/>
      <c r="AJ41" s="343"/>
      <c r="AK41" s="343"/>
      <c r="AL41" s="343"/>
      <c r="AM41" s="343"/>
    </row>
    <row r="42" spans="1:39" ht="25.5" customHeight="1" x14ac:dyDescent="0.25">
      <c r="A42" s="729" t="str">
        <f t="shared" si="4"/>
        <v/>
      </c>
      <c r="B42" s="284"/>
      <c r="C42" s="302"/>
      <c r="D42" s="302"/>
      <c r="E42" s="2358" t="str">
        <f>Translations!$B$497</f>
        <v>Кодовете по Продком се въвеждат като низове във вида „nnnnnnnn“, т.е. без точки или други разделителни знаци между тях. Само когато липсва код по Продком, се посочва 4-цифрения код по статистическата класификация на икономическите дейности в Европейския съюз (NACE) във вида „nnnn“.</v>
      </c>
      <c r="F42" s="2249"/>
      <c r="G42" s="2249"/>
      <c r="H42" s="2249"/>
      <c r="I42" s="2249"/>
      <c r="J42" s="2249"/>
      <c r="K42" s="2249"/>
      <c r="L42" s="2249"/>
      <c r="M42" s="2249"/>
      <c r="N42" s="2249"/>
      <c r="O42" s="336"/>
      <c r="P42" s="336"/>
      <c r="Q42" s="770"/>
      <c r="R42" s="694"/>
      <c r="S42" s="694"/>
      <c r="T42" s="694"/>
      <c r="U42" s="694"/>
      <c r="V42" s="694"/>
      <c r="W42" s="694"/>
      <c r="X42" s="694"/>
      <c r="Y42" s="694"/>
      <c r="Z42" s="694"/>
      <c r="AA42" s="694"/>
      <c r="AB42" s="729"/>
      <c r="AC42" s="694"/>
      <c r="AD42" s="694"/>
      <c r="AE42" s="343"/>
      <c r="AF42" s="343"/>
      <c r="AG42" s="343"/>
      <c r="AH42" s="343"/>
      <c r="AI42" s="343"/>
      <c r="AJ42" s="343"/>
      <c r="AK42" s="343"/>
      <c r="AL42" s="343"/>
      <c r="AM42" s="343"/>
    </row>
    <row r="43" spans="1:39" ht="12.75" customHeight="1" x14ac:dyDescent="0.25">
      <c r="A43" s="729" t="str">
        <f t="shared" si="4"/>
        <v/>
      </c>
      <c r="B43" s="284"/>
      <c r="C43" s="302"/>
      <c r="D43" s="302"/>
      <c r="E43" s="2358" t="str">
        <f>Translations!$B$498</f>
        <v>Продком списъкът за 2010 г. може да се намери на адрес: http://ec.europa.eu/eurostat/ramon/nomenclatures/index.cfm?TargetUrl=LST_CLS_DLD&amp;StrNom=PRD_2010&amp;StrLanguageCode=EN&amp;StrLayoutCode=HIERARCHIChttp://ec.europa.eu/eurostat/ramon/nomenclatures/index.cfm?TargetUrl=LST_CLS_DLD&amp;StrNom=PRD_2010&amp;StrLanguageCode=EN&amp;StrLayoutCode=HIERARCHIC</v>
      </c>
      <c r="F43" s="2249"/>
      <c r="G43" s="2249"/>
      <c r="H43" s="2249"/>
      <c r="I43" s="2249"/>
      <c r="J43" s="2249"/>
      <c r="K43" s="2249"/>
      <c r="L43" s="2249"/>
      <c r="M43" s="2249"/>
      <c r="N43" s="2249"/>
      <c r="O43" s="336"/>
      <c r="P43" s="336"/>
      <c r="Q43" s="770"/>
      <c r="R43" s="694"/>
      <c r="S43" s="694"/>
      <c r="T43" s="694"/>
      <c r="U43" s="694"/>
      <c r="V43" s="694"/>
      <c r="W43" s="694"/>
      <c r="X43" s="694"/>
      <c r="Y43" s="694"/>
      <c r="Z43" s="694"/>
      <c r="AA43" s="694"/>
      <c r="AB43" s="729"/>
      <c r="AC43" s="694"/>
      <c r="AD43" s="694"/>
      <c r="AE43" s="343"/>
      <c r="AF43" s="343"/>
      <c r="AG43" s="343"/>
      <c r="AH43" s="343"/>
      <c r="AI43" s="343"/>
      <c r="AJ43" s="343"/>
      <c r="AK43" s="343"/>
      <c r="AL43" s="343"/>
      <c r="AM43" s="343"/>
    </row>
    <row r="44" spans="1:39" ht="12.75" customHeight="1" x14ac:dyDescent="0.25">
      <c r="A44" s="729" t="str">
        <f t="shared" si="4"/>
        <v/>
      </c>
      <c r="B44" s="284"/>
      <c r="C44" s="302"/>
      <c r="D44" s="302"/>
      <c r="E44" s="2855" t="str">
        <f>Translations!$B$1532</f>
        <v>https://eur-lex.europa.eu/eli/reg/2010/860/oj</v>
      </c>
      <c r="F44" s="2899"/>
      <c r="G44" s="2899"/>
      <c r="H44" s="2899"/>
      <c r="I44" s="2899"/>
      <c r="J44" s="2899"/>
      <c r="K44" s="2899"/>
      <c r="L44" s="2899"/>
      <c r="M44" s="2899"/>
      <c r="N44" s="2899"/>
      <c r="O44" s="336"/>
      <c r="P44" s="336"/>
      <c r="Q44" s="770"/>
      <c r="R44" s="694"/>
      <c r="S44" s="694"/>
      <c r="T44" s="694"/>
      <c r="U44" s="694"/>
      <c r="V44" s="694"/>
      <c r="W44" s="694"/>
      <c r="X44" s="694"/>
      <c r="Y44" s="694"/>
      <c r="Z44" s="694"/>
      <c r="AA44" s="694"/>
      <c r="AB44" s="729"/>
      <c r="AC44" s="694"/>
      <c r="AD44" s="694"/>
      <c r="AE44" s="343"/>
      <c r="AF44" s="343"/>
      <c r="AG44" s="343"/>
      <c r="AH44" s="343"/>
      <c r="AI44" s="343"/>
      <c r="AJ44" s="343"/>
      <c r="AK44" s="343"/>
      <c r="AL44" s="343"/>
      <c r="AM44" s="343"/>
    </row>
    <row r="45" spans="1:39" ht="12.75" customHeight="1" x14ac:dyDescent="0.25">
      <c r="A45" s="729" t="str">
        <f t="shared" si="4"/>
        <v/>
      </c>
      <c r="B45" s="284"/>
      <c r="C45" s="302"/>
      <c r="D45" s="302"/>
      <c r="E45" s="2358" t="str">
        <f>Translations!$B$621</f>
        <v>Ако са обхванати няколко подобни продукта в рамките на една група по NACE, могат да се използват кодовете по NACE вместо по Продком.</v>
      </c>
      <c r="F45" s="2249"/>
      <c r="G45" s="2249"/>
      <c r="H45" s="2249"/>
      <c r="I45" s="2249"/>
      <c r="J45" s="2249"/>
      <c r="K45" s="2249"/>
      <c r="L45" s="2249"/>
      <c r="M45" s="2249"/>
      <c r="N45" s="2249"/>
      <c r="O45" s="336"/>
      <c r="P45" s="336"/>
      <c r="Q45" s="770"/>
      <c r="R45" s="770"/>
      <c r="S45" s="770"/>
      <c r="T45" s="770"/>
      <c r="U45" s="770"/>
      <c r="V45" s="770"/>
      <c r="W45" s="770"/>
      <c r="X45" s="770"/>
      <c r="Y45" s="770"/>
      <c r="Z45" s="694"/>
      <c r="AA45" s="694"/>
      <c r="AB45" s="729"/>
      <c r="AC45" s="694"/>
      <c r="AD45" s="694"/>
      <c r="AE45" s="343"/>
      <c r="AF45" s="343"/>
      <c r="AG45" s="343"/>
      <c r="AH45" s="343"/>
      <c r="AI45" s="343"/>
      <c r="AJ45" s="343"/>
      <c r="AK45" s="343"/>
      <c r="AL45" s="343"/>
      <c r="AM45" s="343"/>
    </row>
    <row r="46" spans="1:39" ht="12.75" customHeight="1" x14ac:dyDescent="0.25">
      <c r="A46" s="729" t="str">
        <f t="shared" si="4"/>
        <v/>
      </c>
      <c r="B46" s="284"/>
      <c r="C46" s="302"/>
      <c r="D46" s="302"/>
      <c r="E46" s="2358" t="str">
        <f>Translations!$B$1335</f>
        <v>Ако топлинната енергия се подава, може да се избере свързаната инсталация или обект, въведени в раздел V на лист „A_InstallationData“(„А_Данни за инсталацията“).</v>
      </c>
      <c r="F46" s="2249"/>
      <c r="G46" s="2249"/>
      <c r="H46" s="2249"/>
      <c r="I46" s="2249"/>
      <c r="J46" s="2249"/>
      <c r="K46" s="2249"/>
      <c r="L46" s="2249"/>
      <c r="M46" s="2249"/>
      <c r="N46" s="2249"/>
      <c r="O46" s="336"/>
      <c r="P46" s="336"/>
      <c r="Q46" s="770"/>
      <c r="R46" s="770"/>
      <c r="S46" s="770"/>
      <c r="T46" s="770"/>
      <c r="U46" s="770"/>
      <c r="V46" s="770"/>
      <c r="W46" s="770"/>
      <c r="X46" s="770"/>
      <c r="Y46" s="770"/>
      <c r="Z46" s="694"/>
      <c r="AA46" s="694"/>
      <c r="AB46" s="729"/>
      <c r="AC46" s="694"/>
      <c r="AD46" s="694"/>
      <c r="AE46" s="343"/>
      <c r="AF46" s="343"/>
      <c r="AG46" s="343"/>
      <c r="AH46" s="343"/>
      <c r="AI46" s="343"/>
      <c r="AJ46" s="343"/>
      <c r="AK46" s="343"/>
      <c r="AL46" s="343"/>
      <c r="AM46" s="343"/>
    </row>
    <row r="47" spans="1:39" ht="12.75" customHeight="1" x14ac:dyDescent="0.25">
      <c r="A47" s="729" t="str">
        <f t="shared" si="4"/>
        <v/>
      </c>
      <c r="B47" s="284"/>
      <c r="C47" s="302"/>
      <c r="D47" s="302"/>
      <c r="E47" s="2358" t="str">
        <f>Translations!$B$1520</f>
        <v>Кодовете по КН са кодовете съгласно Регламент (ЕИО) № 2658/87, които са на разположение на следния адрес:</v>
      </c>
      <c r="F47" s="2249"/>
      <c r="G47" s="2249"/>
      <c r="H47" s="2249"/>
      <c r="I47" s="2249"/>
      <c r="J47" s="2249"/>
      <c r="K47" s="2249"/>
      <c r="L47" s="2249"/>
      <c r="M47" s="2249"/>
      <c r="N47" s="2249"/>
      <c r="O47" s="336"/>
      <c r="P47" s="336"/>
      <c r="Q47" s="770"/>
      <c r="R47" s="770"/>
      <c r="S47" s="770"/>
      <c r="T47" s="770"/>
      <c r="U47" s="770"/>
      <c r="V47" s="770"/>
      <c r="W47" s="770"/>
      <c r="X47" s="770"/>
      <c r="Y47" s="770"/>
      <c r="Z47" s="694"/>
      <c r="AA47" s="694"/>
      <c r="AB47" s="729"/>
      <c r="AC47" s="694"/>
      <c r="AD47" s="694"/>
      <c r="AE47" s="343"/>
      <c r="AF47" s="343"/>
      <c r="AG47" s="343"/>
      <c r="AH47" s="343"/>
      <c r="AI47" s="343"/>
      <c r="AJ47" s="343"/>
      <c r="AK47" s="343"/>
      <c r="AL47" s="343"/>
      <c r="AM47" s="343"/>
    </row>
    <row r="48" spans="1:39" ht="12.75" customHeight="1" x14ac:dyDescent="0.25">
      <c r="A48" s="729" t="str">
        <f t="shared" si="4"/>
        <v/>
      </c>
      <c r="B48" s="284"/>
      <c r="C48" s="302"/>
      <c r="D48" s="302"/>
      <c r="E48" s="2855" t="str">
        <f>Translations!$B$1521</f>
        <v>https://eur-lex.europa.eu/eli/reg/1987/2658/2023-06-17</v>
      </c>
      <c r="F48" s="2899"/>
      <c r="G48" s="2899"/>
      <c r="H48" s="2899"/>
      <c r="I48" s="2899"/>
      <c r="J48" s="2899"/>
      <c r="K48" s="2899"/>
      <c r="L48" s="2899"/>
      <c r="M48" s="2899"/>
      <c r="N48" s="2899"/>
      <c r="O48" s="336"/>
      <c r="P48" s="336"/>
      <c r="Q48" s="770"/>
      <c r="R48" s="770"/>
      <c r="S48" s="770"/>
      <c r="T48" s="770"/>
      <c r="U48" s="770"/>
      <c r="V48" s="770"/>
      <c r="W48" s="770"/>
      <c r="X48" s="770"/>
      <c r="Y48" s="770"/>
      <c r="Z48" s="694"/>
      <c r="AA48" s="694"/>
      <c r="AB48" s="729"/>
      <c r="AC48" s="694"/>
      <c r="AD48" s="694"/>
      <c r="AE48" s="343"/>
      <c r="AF48" s="343"/>
      <c r="AG48" s="343"/>
      <c r="AH48" s="343"/>
      <c r="AI48" s="343"/>
      <c r="AJ48" s="343"/>
      <c r="AK48" s="343"/>
      <c r="AL48" s="343"/>
      <c r="AM48" s="343"/>
    </row>
    <row r="49" spans="1:39" ht="5.15" customHeight="1" x14ac:dyDescent="0.25">
      <c r="A49" s="729" t="str">
        <f t="shared" si="4"/>
        <v/>
      </c>
      <c r="B49" s="284"/>
      <c r="C49" s="302"/>
      <c r="D49" s="302"/>
      <c r="E49" s="460"/>
      <c r="F49" s="460"/>
      <c r="G49" s="460"/>
      <c r="H49" s="460"/>
      <c r="I49" s="460"/>
      <c r="J49" s="329"/>
      <c r="K49" s="329"/>
      <c r="L49" s="329"/>
      <c r="M49" s="336"/>
      <c r="N49" s="336"/>
      <c r="O49" s="336"/>
      <c r="P49" s="336"/>
      <c r="Q49" s="770"/>
      <c r="R49" s="694"/>
      <c r="S49" s="694"/>
      <c r="T49" s="694"/>
      <c r="U49" s="694"/>
      <c r="V49" s="694"/>
      <c r="W49" s="694"/>
      <c r="X49" s="694"/>
      <c r="Y49" s="694"/>
      <c r="Z49" s="694"/>
      <c r="AA49" s="694"/>
      <c r="AB49" s="729"/>
      <c r="AC49" s="694"/>
      <c r="AD49" s="694"/>
      <c r="AE49" s="343"/>
      <c r="AF49" s="343"/>
      <c r="AG49" s="343"/>
      <c r="AH49" s="343"/>
      <c r="AI49" s="343"/>
      <c r="AJ49" s="343"/>
      <c r="AK49" s="343"/>
      <c r="AL49" s="343"/>
      <c r="AM49" s="343"/>
    </row>
    <row r="50" spans="1:39" ht="26" x14ac:dyDescent="0.25">
      <c r="A50" s="729" t="str">
        <f t="shared" si="4"/>
        <v/>
      </c>
      <c r="B50" s="698"/>
      <c r="C50" s="300"/>
      <c r="D50" s="1014"/>
      <c r="E50" s="2900" t="str">
        <f>Translations!$B$622</f>
        <v>Вид употреба</v>
      </c>
      <c r="F50" s="2901"/>
      <c r="G50" s="2900" t="str">
        <f>Translations!$B$623</f>
        <v>В рамките на инсталацията или за подаване?</v>
      </c>
      <c r="H50" s="2901"/>
      <c r="I50" s="2900" t="str">
        <f>Translations!$B$624</f>
        <v>Име на продукта или „топлофикационна мрежа“</v>
      </c>
      <c r="J50" s="2256"/>
      <c r="K50" s="2256"/>
      <c r="L50" s="2901"/>
      <c r="M50" s="1277" t="str">
        <f>Translations!$B$1522</f>
        <v>ПРОДКОМ за 2010 г.</v>
      </c>
      <c r="N50" s="1277" t="str">
        <f>Translations!$B$1523</f>
        <v>Код по КН</v>
      </c>
      <c r="O50" s="336"/>
      <c r="P50" s="336"/>
      <c r="Q50" s="694"/>
      <c r="R50" s="694"/>
      <c r="S50" s="1390" t="s">
        <v>1990</v>
      </c>
      <c r="T50" s="694"/>
      <c r="U50" s="694"/>
      <c r="V50" s="694"/>
      <c r="W50" s="694"/>
      <c r="X50" s="694"/>
      <c r="Y50" s="694"/>
      <c r="Z50" s="770"/>
      <c r="AA50" s="770"/>
      <c r="AB50" s="729"/>
      <c r="AC50" s="694"/>
      <c r="AD50" s="694"/>
      <c r="AE50" s="343"/>
      <c r="AF50" s="343"/>
      <c r="AG50" s="343"/>
      <c r="AH50" s="343"/>
      <c r="AI50" s="343"/>
      <c r="AJ50" s="343"/>
      <c r="AK50" s="343"/>
      <c r="AL50" s="343"/>
      <c r="AM50" s="343"/>
    </row>
    <row r="51" spans="1:39" ht="12.75" customHeight="1" x14ac:dyDescent="0.25">
      <c r="A51" s="729" t="str">
        <f t="shared" si="4"/>
        <v/>
      </c>
      <c r="B51" s="698"/>
      <c r="C51" s="773"/>
      <c r="D51" s="981">
        <v>1</v>
      </c>
      <c r="E51" s="2420"/>
      <c r="F51" s="2421"/>
      <c r="G51" s="2943"/>
      <c r="H51" s="2944"/>
      <c r="I51" s="2945"/>
      <c r="J51" s="2946"/>
      <c r="K51" s="2946"/>
      <c r="L51" s="2947"/>
      <c r="M51" s="221"/>
      <c r="N51" s="221"/>
      <c r="O51" s="336"/>
      <c r="P51" s="158"/>
      <c r="Q51" s="694"/>
      <c r="R51" s="1174"/>
      <c r="S51" s="982" t="b">
        <f>TRUE</f>
        <v>1</v>
      </c>
      <c r="T51" s="1411" t="s">
        <v>2078</v>
      </c>
      <c r="U51" s="694"/>
      <c r="V51" s="694"/>
      <c r="W51" s="694"/>
      <c r="X51" s="694"/>
      <c r="Y51" s="694"/>
      <c r="Z51" s="694"/>
      <c r="AA51" s="694"/>
      <c r="AB51" s="729"/>
      <c r="AC51" s="694"/>
      <c r="AD51" s="694"/>
      <c r="AE51" s="343"/>
      <c r="AF51" s="343"/>
      <c r="AG51" s="343"/>
      <c r="AH51" s="343"/>
      <c r="AI51" s="343"/>
      <c r="AJ51" s="343"/>
      <c r="AK51" s="1174" t="s">
        <v>2039</v>
      </c>
      <c r="AL51" s="1176" t="str">
        <f>IF(AND($M13=EUconst_Relevant,COUNTA(E51:N51)&lt;IF(OR(C13=2,C13=4),3,5)),EUconst_Error&amp;"FB"&amp;Q13,"")</f>
        <v/>
      </c>
      <c r="AM51" s="343"/>
    </row>
    <row r="52" spans="1:39" ht="12.75" customHeight="1" x14ac:dyDescent="0.25">
      <c r="A52" s="729" t="str">
        <f t="shared" si="4"/>
        <v/>
      </c>
      <c r="B52" s="698"/>
      <c r="C52" s="773"/>
      <c r="D52" s="990">
        <f>D51+1</f>
        <v>2</v>
      </c>
      <c r="E52" s="2406"/>
      <c r="F52" s="2405"/>
      <c r="G52" s="2938"/>
      <c r="H52" s="2939"/>
      <c r="I52" s="2942"/>
      <c r="J52" s="2940"/>
      <c r="K52" s="2940"/>
      <c r="L52" s="2941"/>
      <c r="M52" s="224"/>
      <c r="N52" s="224"/>
      <c r="O52" s="336"/>
      <c r="P52" s="158"/>
      <c r="Q52" s="694"/>
      <c r="R52" s="694"/>
      <c r="S52" s="982" t="b">
        <f>TRUE</f>
        <v>1</v>
      </c>
      <c r="T52" s="694"/>
      <c r="U52" s="694"/>
      <c r="V52" s="694"/>
      <c r="W52" s="694"/>
      <c r="X52" s="694"/>
      <c r="Y52" s="694"/>
      <c r="Z52" s="694"/>
      <c r="AA52" s="694"/>
      <c r="AB52" s="729"/>
      <c r="AC52" s="694"/>
      <c r="AD52" s="694"/>
      <c r="AE52" s="343"/>
      <c r="AF52" s="343"/>
      <c r="AG52" s="343"/>
      <c r="AH52" s="343"/>
      <c r="AI52" s="343"/>
      <c r="AJ52" s="343"/>
      <c r="AK52" s="343"/>
      <c r="AL52" s="343"/>
      <c r="AM52" s="343"/>
    </row>
    <row r="53" spans="1:39" ht="12.75" customHeight="1" x14ac:dyDescent="0.25">
      <c r="A53" s="729" t="str">
        <f t="shared" si="4"/>
        <v/>
      </c>
      <c r="B53" s="698"/>
      <c r="C53" s="773"/>
      <c r="D53" s="990">
        <f t="shared" ref="D53:D60" si="5">D52+1</f>
        <v>3</v>
      </c>
      <c r="E53" s="2406"/>
      <c r="F53" s="2405"/>
      <c r="G53" s="2938"/>
      <c r="H53" s="2939"/>
      <c r="I53" s="2942"/>
      <c r="J53" s="2940"/>
      <c r="K53" s="2940"/>
      <c r="L53" s="2941"/>
      <c r="M53" s="224"/>
      <c r="N53" s="224"/>
      <c r="O53" s="336"/>
      <c r="P53" s="158"/>
      <c r="Q53" s="694"/>
      <c r="R53" s="694"/>
      <c r="S53" s="982" t="b">
        <f>TRUE</f>
        <v>1</v>
      </c>
      <c r="T53" s="694"/>
      <c r="U53" s="694"/>
      <c r="V53" s="694"/>
      <c r="W53" s="694"/>
      <c r="X53" s="694"/>
      <c r="Y53" s="694"/>
      <c r="Z53" s="694"/>
      <c r="AA53" s="694"/>
      <c r="AB53" s="729"/>
      <c r="AC53" s="694"/>
      <c r="AD53" s="694"/>
      <c r="AE53" s="343"/>
      <c r="AF53" s="343"/>
      <c r="AG53" s="343"/>
      <c r="AH53" s="343"/>
      <c r="AI53" s="343"/>
      <c r="AJ53" s="343"/>
      <c r="AK53" s="343"/>
      <c r="AL53" s="343"/>
      <c r="AM53" s="343"/>
    </row>
    <row r="54" spans="1:39" ht="12.75" customHeight="1" x14ac:dyDescent="0.25">
      <c r="A54" s="729" t="str">
        <f t="shared" si="4"/>
        <v/>
      </c>
      <c r="B54" s="698"/>
      <c r="C54" s="773"/>
      <c r="D54" s="990">
        <f t="shared" si="5"/>
        <v>4</v>
      </c>
      <c r="E54" s="2406"/>
      <c r="F54" s="2405"/>
      <c r="G54" s="2938"/>
      <c r="H54" s="2939"/>
      <c r="I54" s="2942"/>
      <c r="J54" s="2940"/>
      <c r="K54" s="2940"/>
      <c r="L54" s="2941"/>
      <c r="M54" s="222"/>
      <c r="N54" s="222"/>
      <c r="O54" s="336"/>
      <c r="P54" s="158"/>
      <c r="Q54" s="694"/>
      <c r="R54" s="694"/>
      <c r="S54" s="982" t="b">
        <f>TRUE</f>
        <v>1</v>
      </c>
      <c r="T54" s="694"/>
      <c r="U54" s="694"/>
      <c r="V54" s="694"/>
      <c r="W54" s="694"/>
      <c r="X54" s="694"/>
      <c r="Y54" s="694"/>
      <c r="Z54" s="694"/>
      <c r="AA54" s="694"/>
      <c r="AB54" s="729"/>
      <c r="AC54" s="694"/>
      <c r="AD54" s="694"/>
      <c r="AE54" s="343"/>
      <c r="AF54" s="343"/>
      <c r="AG54" s="343"/>
      <c r="AH54" s="343"/>
      <c r="AI54" s="343"/>
      <c r="AJ54" s="343"/>
      <c r="AK54" s="343"/>
      <c r="AL54" s="343"/>
      <c r="AM54" s="343"/>
    </row>
    <row r="55" spans="1:39" ht="12.75" customHeight="1" x14ac:dyDescent="0.25">
      <c r="A55" s="729" t="str">
        <f t="shared" si="4"/>
        <v/>
      </c>
      <c r="B55" s="698"/>
      <c r="C55" s="773"/>
      <c r="D55" s="990">
        <f t="shared" si="5"/>
        <v>5</v>
      </c>
      <c r="E55" s="2406"/>
      <c r="F55" s="2405"/>
      <c r="G55" s="2938"/>
      <c r="H55" s="2939"/>
      <c r="I55" s="2942"/>
      <c r="J55" s="2940"/>
      <c r="K55" s="2940"/>
      <c r="L55" s="2941"/>
      <c r="M55" s="222"/>
      <c r="N55" s="222"/>
      <c r="O55" s="336"/>
      <c r="P55" s="158"/>
      <c r="Q55" s="694"/>
      <c r="R55" s="694"/>
      <c r="S55" s="982" t="b">
        <f>TRUE</f>
        <v>1</v>
      </c>
      <c r="T55" s="694"/>
      <c r="U55" s="694"/>
      <c r="V55" s="694"/>
      <c r="W55" s="694"/>
      <c r="X55" s="694"/>
      <c r="Y55" s="694"/>
      <c r="Z55" s="770"/>
      <c r="AA55" s="770"/>
      <c r="AB55" s="729"/>
      <c r="AC55" s="694"/>
      <c r="AD55" s="694"/>
      <c r="AE55" s="343"/>
      <c r="AF55" s="343"/>
      <c r="AG55" s="343"/>
      <c r="AH55" s="343"/>
      <c r="AI55" s="343"/>
      <c r="AJ55" s="343"/>
      <c r="AK55" s="343"/>
      <c r="AL55" s="343"/>
      <c r="AM55" s="343"/>
    </row>
    <row r="56" spans="1:39" ht="12.75" customHeight="1" x14ac:dyDescent="0.25">
      <c r="A56" s="729" t="str">
        <f t="shared" si="4"/>
        <v/>
      </c>
      <c r="B56" s="698"/>
      <c r="C56" s="773"/>
      <c r="D56" s="990">
        <f t="shared" si="5"/>
        <v>6</v>
      </c>
      <c r="E56" s="2406"/>
      <c r="F56" s="2405"/>
      <c r="G56" s="2938"/>
      <c r="H56" s="2939"/>
      <c r="I56" s="2409"/>
      <c r="J56" s="2940"/>
      <c r="K56" s="2940"/>
      <c r="L56" s="2941"/>
      <c r="M56" s="222"/>
      <c r="N56" s="222"/>
      <c r="O56" s="336"/>
      <c r="P56" s="158"/>
      <c r="Q56" s="694"/>
      <c r="R56" s="694"/>
      <c r="S56" s="982" t="b">
        <f>TRUE</f>
        <v>1</v>
      </c>
      <c r="T56" s="694"/>
      <c r="U56" s="694"/>
      <c r="V56" s="694"/>
      <c r="W56" s="694"/>
      <c r="X56" s="694"/>
      <c r="Y56" s="694"/>
      <c r="Z56" s="694"/>
      <c r="AA56" s="694"/>
      <c r="AB56" s="729"/>
      <c r="AC56" s="694"/>
      <c r="AD56" s="694"/>
      <c r="AE56" s="343"/>
      <c r="AF56" s="343"/>
      <c r="AG56" s="343"/>
      <c r="AH56" s="343"/>
      <c r="AI56" s="343"/>
      <c r="AJ56" s="343"/>
      <c r="AK56" s="343"/>
      <c r="AL56" s="343"/>
      <c r="AM56" s="343"/>
    </row>
    <row r="57" spans="1:39" ht="12.75" customHeight="1" x14ac:dyDescent="0.25">
      <c r="A57" s="729" t="str">
        <f t="shared" si="4"/>
        <v/>
      </c>
      <c r="B57" s="698"/>
      <c r="C57" s="773"/>
      <c r="D57" s="990">
        <f t="shared" si="5"/>
        <v>7</v>
      </c>
      <c r="E57" s="2406"/>
      <c r="F57" s="2405"/>
      <c r="G57" s="2938"/>
      <c r="H57" s="2939"/>
      <c r="I57" s="2409"/>
      <c r="J57" s="2940"/>
      <c r="K57" s="2940"/>
      <c r="L57" s="2941"/>
      <c r="M57" s="222"/>
      <c r="N57" s="222"/>
      <c r="O57" s="336"/>
      <c r="P57" s="158"/>
      <c r="Q57" s="694"/>
      <c r="R57" s="694"/>
      <c r="S57" s="982" t="b">
        <f>TRUE</f>
        <v>1</v>
      </c>
      <c r="T57" s="694"/>
      <c r="U57" s="694"/>
      <c r="V57" s="694"/>
      <c r="W57" s="694"/>
      <c r="X57" s="694"/>
      <c r="Y57" s="694"/>
      <c r="Z57" s="694"/>
      <c r="AA57" s="694"/>
      <c r="AB57" s="729"/>
      <c r="AC57" s="694"/>
      <c r="AD57" s="694"/>
      <c r="AE57" s="343"/>
      <c r="AF57" s="343"/>
      <c r="AG57" s="343"/>
      <c r="AH57" s="343"/>
      <c r="AI57" s="343"/>
      <c r="AJ57" s="343"/>
      <c r="AK57" s="343"/>
      <c r="AL57" s="343"/>
      <c r="AM57" s="343"/>
    </row>
    <row r="58" spans="1:39" ht="12.75" customHeight="1" x14ac:dyDescent="0.25">
      <c r="A58" s="729" t="str">
        <f t="shared" si="4"/>
        <v/>
      </c>
      <c r="B58" s="698"/>
      <c r="C58" s="773"/>
      <c r="D58" s="990">
        <f t="shared" si="5"/>
        <v>8</v>
      </c>
      <c r="E58" s="2406"/>
      <c r="F58" s="2405"/>
      <c r="G58" s="2938"/>
      <c r="H58" s="2939"/>
      <c r="I58" s="2409"/>
      <c r="J58" s="2940"/>
      <c r="K58" s="2940"/>
      <c r="L58" s="2941"/>
      <c r="M58" s="222"/>
      <c r="N58" s="222"/>
      <c r="O58" s="336"/>
      <c r="P58" s="158"/>
      <c r="Q58" s="694"/>
      <c r="R58" s="694"/>
      <c r="S58" s="982" t="b">
        <f>TRUE</f>
        <v>1</v>
      </c>
      <c r="T58" s="694"/>
      <c r="U58" s="694"/>
      <c r="V58" s="694"/>
      <c r="W58" s="694"/>
      <c r="X58" s="694"/>
      <c r="Y58" s="694"/>
      <c r="Z58" s="694"/>
      <c r="AA58" s="694"/>
      <c r="AB58" s="729"/>
      <c r="AC58" s="694"/>
      <c r="AD58" s="694"/>
      <c r="AE58" s="343"/>
      <c r="AF58" s="343"/>
      <c r="AG58" s="343"/>
      <c r="AH58" s="343"/>
      <c r="AI58" s="343"/>
      <c r="AJ58" s="343"/>
      <c r="AK58" s="343"/>
      <c r="AL58" s="343"/>
      <c r="AM58" s="343"/>
    </row>
    <row r="59" spans="1:39" ht="12.75" customHeight="1" x14ac:dyDescent="0.25">
      <c r="A59" s="729" t="str">
        <f t="shared" si="4"/>
        <v/>
      </c>
      <c r="B59" s="698"/>
      <c r="C59" s="773"/>
      <c r="D59" s="990">
        <f t="shared" si="5"/>
        <v>9</v>
      </c>
      <c r="E59" s="2406"/>
      <c r="F59" s="2405"/>
      <c r="G59" s="2938"/>
      <c r="H59" s="2939"/>
      <c r="I59" s="2409"/>
      <c r="J59" s="2940"/>
      <c r="K59" s="2940"/>
      <c r="L59" s="2941"/>
      <c r="M59" s="222"/>
      <c r="N59" s="222"/>
      <c r="O59" s="336"/>
      <c r="P59" s="158"/>
      <c r="Q59" s="694"/>
      <c r="R59" s="694"/>
      <c r="S59" s="982" t="b">
        <f>TRUE</f>
        <v>1</v>
      </c>
      <c r="T59" s="694"/>
      <c r="U59" s="694"/>
      <c r="V59" s="694"/>
      <c r="W59" s="694"/>
      <c r="X59" s="694"/>
      <c r="Y59" s="694"/>
      <c r="Z59" s="694"/>
      <c r="AA59" s="694"/>
      <c r="AB59" s="729"/>
      <c r="AC59" s="694"/>
      <c r="AD59" s="694"/>
      <c r="AE59" s="343"/>
      <c r="AF59" s="343"/>
      <c r="AG59" s="343"/>
      <c r="AH59" s="343"/>
      <c r="AI59" s="343"/>
      <c r="AJ59" s="343"/>
      <c r="AK59" s="343"/>
      <c r="AL59" s="343"/>
      <c r="AM59" s="343"/>
    </row>
    <row r="60" spans="1:39" ht="12.75" customHeight="1" x14ac:dyDescent="0.25">
      <c r="A60" s="729" t="str">
        <f t="shared" si="4"/>
        <v/>
      </c>
      <c r="B60" s="698"/>
      <c r="C60" s="773"/>
      <c r="D60" s="994">
        <f t="shared" si="5"/>
        <v>10</v>
      </c>
      <c r="E60" s="2417"/>
      <c r="F60" s="2403"/>
      <c r="G60" s="2934"/>
      <c r="H60" s="2935"/>
      <c r="I60" s="2581"/>
      <c r="J60" s="2936"/>
      <c r="K60" s="2936"/>
      <c r="L60" s="2937"/>
      <c r="M60" s="223"/>
      <c r="N60" s="223"/>
      <c r="O60" s="336"/>
      <c r="P60" s="158"/>
      <c r="Q60" s="694"/>
      <c r="R60" s="694"/>
      <c r="S60" s="982" t="b">
        <f>TRUE</f>
        <v>1</v>
      </c>
      <c r="T60" s="694"/>
      <c r="U60" s="694"/>
      <c r="V60" s="694"/>
      <c r="W60" s="694"/>
      <c r="X60" s="694"/>
      <c r="Y60" s="694"/>
      <c r="Z60" s="770"/>
      <c r="AA60" s="770"/>
      <c r="AB60" s="729"/>
      <c r="AC60" s="694"/>
      <c r="AD60" s="694"/>
      <c r="AE60" s="343"/>
      <c r="AF60" s="343"/>
      <c r="AG60" s="343"/>
      <c r="AH60" s="343"/>
      <c r="AI60" s="343"/>
      <c r="AJ60" s="343"/>
      <c r="AK60" s="343"/>
      <c r="AL60" s="343"/>
      <c r="AM60" s="343"/>
    </row>
    <row r="61" spans="1:39" ht="5.15" customHeight="1" x14ac:dyDescent="0.25">
      <c r="A61" s="729" t="str">
        <f t="shared" si="4"/>
        <v/>
      </c>
      <c r="B61" s="284"/>
      <c r="C61" s="284"/>
      <c r="D61" s="284"/>
      <c r="E61" s="284"/>
      <c r="F61" s="284"/>
      <c r="G61" s="284"/>
      <c r="H61" s="284"/>
      <c r="I61" s="284"/>
      <c r="J61" s="284"/>
      <c r="K61" s="284"/>
      <c r="L61" s="284"/>
      <c r="M61" s="284"/>
      <c r="N61" s="284"/>
      <c r="O61" s="336"/>
      <c r="P61" s="336"/>
      <c r="Q61" s="770"/>
      <c r="R61" s="770"/>
      <c r="S61" s="694"/>
      <c r="T61" s="694"/>
      <c r="U61" s="694"/>
      <c r="V61" s="694"/>
      <c r="W61" s="694"/>
      <c r="X61" s="694"/>
      <c r="Y61" s="694"/>
      <c r="Z61" s="694"/>
      <c r="AA61" s="694"/>
      <c r="AB61" s="729"/>
      <c r="AC61" s="694"/>
      <c r="AD61" s="694"/>
      <c r="AE61" s="343"/>
      <c r="AF61" s="343"/>
      <c r="AG61" s="343"/>
      <c r="AH61" s="343"/>
      <c r="AI61" s="343"/>
      <c r="AJ61" s="343"/>
      <c r="AK61" s="343"/>
      <c r="AL61" s="343"/>
      <c r="AM61" s="343"/>
    </row>
    <row r="62" spans="1:39" ht="12.75" customHeight="1" x14ac:dyDescent="0.25">
      <c r="A62" s="729" t="str">
        <f t="shared" si="4"/>
        <v/>
      </c>
      <c r="B62" s="284"/>
      <c r="C62" s="300"/>
      <c r="D62" s="300"/>
      <c r="E62" s="2226" t="str">
        <f>Translations!$B$625</f>
        <v>Равнища на производство:</v>
      </c>
      <c r="F62" s="2249"/>
      <c r="G62" s="2249"/>
      <c r="H62" s="2249"/>
      <c r="I62" s="2249"/>
      <c r="J62" s="2249"/>
      <c r="K62" s="2249"/>
      <c r="L62" s="2249"/>
      <c r="M62" s="2249"/>
      <c r="N62" s="2249"/>
      <c r="O62" s="336"/>
      <c r="P62" s="336"/>
      <c r="Q62" s="770"/>
      <c r="R62" s="694"/>
      <c r="S62" s="694"/>
      <c r="T62" s="694"/>
      <c r="U62" s="694"/>
      <c r="V62" s="694"/>
      <c r="W62" s="694"/>
      <c r="X62" s="694"/>
      <c r="Y62" s="694"/>
      <c r="Z62" s="694"/>
      <c r="AA62" s="694"/>
      <c r="AB62" s="729"/>
      <c r="AC62" s="694"/>
      <c r="AD62" s="694"/>
      <c r="AE62" s="343"/>
      <c r="AF62" s="343"/>
      <c r="AG62" s="343"/>
      <c r="AH62" s="343"/>
      <c r="AI62" s="343"/>
      <c r="AJ62" s="343"/>
      <c r="AK62" s="343"/>
      <c r="AL62" s="343"/>
      <c r="AM62" s="343"/>
    </row>
    <row r="63" spans="1:39" ht="25.5" customHeight="1" x14ac:dyDescent="0.25">
      <c r="A63" s="729" t="str">
        <f t="shared" si="4"/>
        <v/>
      </c>
      <c r="B63" s="284"/>
      <c r="C63" s="300"/>
      <c r="D63" s="300"/>
      <c r="E63" s="2358" t="str">
        <f>Translations!$B$1533</f>
        <v>Следва да се отбележи, че правилото за енергийната ефективност може да се приложи само в случай на производството на конкретен продукт. Следователно, ако за даден продукт не може да бъде определен код по ПРОДКОМ, това правило не може да се прилага и очакваните равнища на дейност ще бъдат равни на действителните равнища на дейност (т.е. ще се отчитат спрямо оставащото AL), без никаква корекция.</v>
      </c>
      <c r="F63" s="2249"/>
      <c r="G63" s="2249"/>
      <c r="H63" s="2249"/>
      <c r="I63" s="2249"/>
      <c r="J63" s="2249"/>
      <c r="K63" s="2249"/>
      <c r="L63" s="2249"/>
      <c r="M63" s="2249"/>
      <c r="N63" s="2249"/>
      <c r="O63" s="336"/>
      <c r="P63" s="336"/>
      <c r="Q63" s="770"/>
      <c r="R63" s="694"/>
      <c r="S63" s="694"/>
      <c r="T63" s="694"/>
      <c r="U63" s="694"/>
      <c r="V63" s="694"/>
      <c r="W63" s="694"/>
      <c r="X63" s="694"/>
      <c r="Y63" s="694"/>
      <c r="Z63" s="694"/>
      <c r="AA63" s="694"/>
      <c r="AB63" s="729"/>
      <c r="AC63" s="694"/>
      <c r="AD63" s="694"/>
      <c r="AE63" s="343"/>
      <c r="AF63" s="343"/>
      <c r="AG63" s="343"/>
      <c r="AH63" s="343"/>
      <c r="AI63" s="343"/>
      <c r="AJ63" s="343"/>
      <c r="AK63" s="343"/>
      <c r="AL63" s="343"/>
      <c r="AM63" s="343"/>
    </row>
    <row r="64" spans="1:39" ht="12.75" customHeight="1" x14ac:dyDescent="0.25">
      <c r="A64" s="729" t="str">
        <f t="shared" si="4"/>
        <v/>
      </c>
      <c r="B64" s="284"/>
      <c r="C64" s="300"/>
      <c r="D64" s="300"/>
      <c r="E64" s="2358" t="str">
        <f>Translations!$B$1534</f>
        <v>Стойността в НМИ се отнася до средното производство през историческия базов период, както е обяснено в раздели 2.3 и 3 от Ръководство № 7.</v>
      </c>
      <c r="F64" s="2249"/>
      <c r="G64" s="2249"/>
      <c r="H64" s="2249"/>
      <c r="I64" s="2249"/>
      <c r="J64" s="2249"/>
      <c r="K64" s="2249"/>
      <c r="L64" s="2249"/>
      <c r="M64" s="2249"/>
      <c r="N64" s="2249"/>
      <c r="O64" s="336"/>
      <c r="P64" s="336"/>
      <c r="Q64" s="770"/>
      <c r="R64" s="694"/>
      <c r="S64" s="694"/>
      <c r="T64" s="694"/>
      <c r="U64" s="694"/>
      <c r="V64" s="694"/>
      <c r="W64" s="694"/>
      <c r="X64" s="694"/>
      <c r="Y64" s="694"/>
      <c r="Z64" s="694"/>
      <c r="AA64" s="694"/>
      <c r="AB64" s="729"/>
      <c r="AC64" s="694"/>
      <c r="AD64" s="694"/>
      <c r="AE64" s="343"/>
      <c r="AF64" s="343"/>
      <c r="AG64" s="343"/>
      <c r="AH64" s="343"/>
      <c r="AI64" s="343"/>
      <c r="AJ64" s="343"/>
      <c r="AK64" s="343"/>
      <c r="AL64" s="343"/>
      <c r="AM64" s="343"/>
    </row>
    <row r="65" spans="1:39" ht="5.15" customHeight="1" x14ac:dyDescent="0.25">
      <c r="A65" s="729" t="str">
        <f t="shared" si="4"/>
        <v/>
      </c>
      <c r="B65" s="284"/>
      <c r="C65" s="302"/>
      <c r="D65" s="302"/>
      <c r="E65" s="460"/>
      <c r="F65" s="460"/>
      <c r="G65" s="460"/>
      <c r="H65" s="460"/>
      <c r="I65" s="460"/>
      <c r="J65" s="329"/>
      <c r="K65" s="329"/>
      <c r="L65" s="329"/>
      <c r="M65" s="336"/>
      <c r="N65" s="336"/>
      <c r="O65" s="336"/>
      <c r="P65" s="336"/>
      <c r="Q65" s="770"/>
      <c r="R65" s="694"/>
      <c r="S65" s="694"/>
      <c r="T65" s="694"/>
      <c r="U65" s="694"/>
      <c r="V65" s="694"/>
      <c r="W65" s="694"/>
      <c r="X65" s="694"/>
      <c r="Y65" s="694"/>
      <c r="Z65" s="694"/>
      <c r="AA65" s="694"/>
      <c r="AB65" s="729"/>
      <c r="AC65" s="694"/>
      <c r="AD65" s="694"/>
      <c r="AE65" s="343"/>
      <c r="AF65" s="343"/>
      <c r="AG65" s="343"/>
      <c r="AH65" s="343"/>
      <c r="AI65" s="343"/>
      <c r="AJ65" s="343"/>
      <c r="AK65" s="343"/>
      <c r="AL65" s="343"/>
      <c r="AM65" s="343"/>
    </row>
    <row r="66" spans="1:39" s="1423" customFormat="1" ht="25.5" customHeight="1" thickBot="1" x14ac:dyDescent="0.35">
      <c r="A66" s="729" t="str">
        <f t="shared" si="4"/>
        <v/>
      </c>
      <c r="B66" s="1412"/>
      <c r="C66" s="1413"/>
      <c r="D66" s="1414"/>
      <c r="E66" s="1415" t="str">
        <f>I50</f>
        <v>Име на продукта или „топлофикационна мрежа“</v>
      </c>
      <c r="F66" s="1416" t="str">
        <f>EUconst_Unit</f>
        <v>Единица мярка</v>
      </c>
      <c r="G66" s="1417" t="str">
        <f>Translations!$B$1336</f>
        <v>Стойност в НМИ</v>
      </c>
      <c r="H66" s="1418">
        <f t="shared" ref="H66:N66" si="6">H$1840</f>
        <v>2024</v>
      </c>
      <c r="I66" s="1419">
        <f t="shared" si="6"/>
        <v>2025</v>
      </c>
      <c r="J66" s="1418">
        <f t="shared" si="6"/>
        <v>2026</v>
      </c>
      <c r="K66" s="1420">
        <f t="shared" si="6"/>
        <v>2027</v>
      </c>
      <c r="L66" s="1420">
        <f t="shared" si="6"/>
        <v>2028</v>
      </c>
      <c r="M66" s="1420">
        <f t="shared" si="6"/>
        <v>2029</v>
      </c>
      <c r="N66" s="1420">
        <f t="shared" si="6"/>
        <v>2030</v>
      </c>
      <c r="O66" s="336"/>
      <c r="P66" s="336"/>
      <c r="Q66" s="1421"/>
      <c r="R66" s="1421"/>
      <c r="S66" s="1421"/>
      <c r="T66" s="1421"/>
      <c r="U66" s="1421"/>
      <c r="V66" s="1421"/>
      <c r="W66" s="1421"/>
      <c r="X66" s="1421"/>
      <c r="Y66" s="1421"/>
      <c r="Z66" s="1421"/>
      <c r="AA66" s="1421"/>
      <c r="AB66" s="770" t="str">
        <f>Translations!$B$1284</f>
        <v>HAL</v>
      </c>
      <c r="AC66" s="1421">
        <f t="shared" ref="AC66:AI66" si="7">H66</f>
        <v>2024</v>
      </c>
      <c r="AD66" s="1421">
        <f t="shared" si="7"/>
        <v>2025</v>
      </c>
      <c r="AE66" s="1421">
        <f t="shared" si="7"/>
        <v>2026</v>
      </c>
      <c r="AF66" s="1421">
        <f t="shared" si="7"/>
        <v>2027</v>
      </c>
      <c r="AG66" s="1421">
        <f t="shared" si="7"/>
        <v>2028</v>
      </c>
      <c r="AH66" s="1422">
        <f t="shared" si="7"/>
        <v>2029</v>
      </c>
      <c r="AI66" s="1422">
        <f t="shared" si="7"/>
        <v>2030</v>
      </c>
      <c r="AJ66" s="1422"/>
      <c r="AK66" s="1422"/>
      <c r="AL66" s="1422"/>
      <c r="AM66" s="1422"/>
    </row>
    <row r="67" spans="1:39" ht="12.75" customHeight="1" x14ac:dyDescent="0.25">
      <c r="A67" s="729" t="str">
        <f t="shared" si="4"/>
        <v/>
      </c>
      <c r="B67" s="698"/>
      <c r="C67" s="2906" t="str">
        <f>Translations!$B$625</f>
        <v>Равнища на производство:</v>
      </c>
      <c r="D67" s="981">
        <v>1</v>
      </c>
      <c r="E67" s="1424" t="str">
        <f t="shared" ref="E67:E76" si="8">IF(ISBLANK(I51),"",I51)</f>
        <v/>
      </c>
      <c r="F67" s="177"/>
      <c r="G67" s="46"/>
      <c r="H67" s="116"/>
      <c r="I67" s="46"/>
      <c r="J67" s="116"/>
      <c r="K67" s="40"/>
      <c r="L67" s="40"/>
      <c r="M67" s="40"/>
      <c r="N67" s="40"/>
      <c r="O67" s="336"/>
      <c r="P67" s="158"/>
      <c r="Q67" s="694"/>
      <c r="R67" s="694"/>
      <c r="S67" s="694"/>
      <c r="T67" s="694"/>
      <c r="U67" s="694"/>
      <c r="V67" s="694"/>
      <c r="W67" s="694"/>
      <c r="X67" s="694"/>
      <c r="Y67" s="694"/>
      <c r="Z67" s="1182" t="s">
        <v>1757</v>
      </c>
      <c r="AA67" s="1425">
        <f>MAX(AC67:AI67)</f>
        <v>2</v>
      </c>
      <c r="AB67" s="1426">
        <f>IF(CNTR_ExistSubInstEntries,IF(OR($M13&lt;&gt;EUconst_Relevant,$V13&gt;($H$1840-1),$E67=""),0,2),2)</f>
        <v>2</v>
      </c>
      <c r="AC67" s="1426">
        <f t="shared" ref="AC67:AI67" si="9">IF(CNTR_ExistSubInstEntries,IF(OR($M13&lt;&gt;EUconst_Relevant,AC66&gt;=CNTR_ReportingYear,AC66&lt;$V13-1,$E67=""),0,2),2)</f>
        <v>2</v>
      </c>
      <c r="AD67" s="1427">
        <f t="shared" si="9"/>
        <v>2</v>
      </c>
      <c r="AE67" s="1427">
        <f t="shared" si="9"/>
        <v>2</v>
      </c>
      <c r="AF67" s="1427">
        <f t="shared" si="9"/>
        <v>2</v>
      </c>
      <c r="AG67" s="1427">
        <f t="shared" si="9"/>
        <v>2</v>
      </c>
      <c r="AH67" s="1428">
        <f t="shared" si="9"/>
        <v>2</v>
      </c>
      <c r="AI67" s="1429">
        <f t="shared" si="9"/>
        <v>2</v>
      </c>
      <c r="AJ67" s="343"/>
      <c r="AK67" s="1174" t="s">
        <v>2039</v>
      </c>
      <c r="AL67" s="1176" t="str">
        <f>IF(AND(CNTR_ExistSubInstEntries,COUNTIFS(AB67:AI67,2,G67:N67,"")&gt;0),EUconst_Error&amp;"FB"&amp;Q13,"")</f>
        <v/>
      </c>
      <c r="AM67" s="343"/>
    </row>
    <row r="68" spans="1:39" ht="12.75" customHeight="1" x14ac:dyDescent="0.25">
      <c r="A68" s="729" t="str">
        <f t="shared" si="4"/>
        <v/>
      </c>
      <c r="B68" s="698"/>
      <c r="C68" s="2906"/>
      <c r="D68" s="990">
        <f>D67+1</f>
        <v>2</v>
      </c>
      <c r="E68" s="1430" t="str">
        <f t="shared" si="8"/>
        <v/>
      </c>
      <c r="F68" s="273"/>
      <c r="G68" s="47"/>
      <c r="H68" s="119"/>
      <c r="I68" s="47"/>
      <c r="J68" s="119"/>
      <c r="K68" s="43"/>
      <c r="L68" s="43"/>
      <c r="M68" s="43"/>
      <c r="N68" s="43"/>
      <c r="O68" s="336"/>
      <c r="P68" s="158"/>
      <c r="Q68" s="694"/>
      <c r="R68" s="694"/>
      <c r="S68" s="694"/>
      <c r="T68" s="694"/>
      <c r="U68" s="694"/>
      <c r="V68" s="694"/>
      <c r="W68" s="694"/>
      <c r="X68" s="694"/>
      <c r="Y68" s="694"/>
      <c r="Z68" s="694"/>
      <c r="AA68" s="1431">
        <f t="shared" ref="AA68:AA76" si="10">MAX(AC68:AI68)</f>
        <v>2</v>
      </c>
      <c r="AB68" s="1432">
        <f>IF(CNTR_ExistSubInstEntries,IF(OR($M13&lt;&gt;EUconst_Relevant,$V13&gt;($H$1840-1),$E68=""),0,2),2)</f>
        <v>2</v>
      </c>
      <c r="AC68" s="1432">
        <f t="shared" ref="AC68:AI68" si="11">IF(CNTR_ExistSubInstEntries,IF(OR($M13&lt;&gt;EUconst_Relevant,AC66&gt;=CNTR_ReportingYear,AC66&lt;$V13-1,$E68=""),0,2),2)</f>
        <v>2</v>
      </c>
      <c r="AD68" s="1432">
        <f t="shared" si="11"/>
        <v>2</v>
      </c>
      <c r="AE68" s="1432">
        <f t="shared" si="11"/>
        <v>2</v>
      </c>
      <c r="AF68" s="1432">
        <f t="shared" si="11"/>
        <v>2</v>
      </c>
      <c r="AG68" s="1432">
        <f t="shared" si="11"/>
        <v>2</v>
      </c>
      <c r="AH68" s="1433">
        <f t="shared" si="11"/>
        <v>2</v>
      </c>
      <c r="AI68" s="1434">
        <f t="shared" si="11"/>
        <v>2</v>
      </c>
      <c r="AJ68" s="343"/>
      <c r="AK68" s="1174" t="s">
        <v>2039</v>
      </c>
      <c r="AL68" s="1176" t="str">
        <f>IF(AND(CNTR_ExistSubInstEntries,COUNTIFS(AB68:AI68,2,G68:N68,"")&gt;0),EUconst_Error&amp;"FB"&amp;Q13,"")</f>
        <v/>
      </c>
      <c r="AM68" s="343"/>
    </row>
    <row r="69" spans="1:39" ht="12.75" customHeight="1" x14ac:dyDescent="0.25">
      <c r="A69" s="729" t="str">
        <f t="shared" si="4"/>
        <v/>
      </c>
      <c r="B69" s="698"/>
      <c r="C69" s="2906"/>
      <c r="D69" s="990">
        <f t="shared" ref="D69:D76" si="12">D68+1</f>
        <v>3</v>
      </c>
      <c r="E69" s="1430" t="str">
        <f t="shared" si="8"/>
        <v/>
      </c>
      <c r="F69" s="273"/>
      <c r="G69" s="268"/>
      <c r="H69" s="119"/>
      <c r="I69" s="47"/>
      <c r="J69" s="119"/>
      <c r="K69" s="43"/>
      <c r="L69" s="43"/>
      <c r="M69" s="43"/>
      <c r="N69" s="43"/>
      <c r="O69" s="336"/>
      <c r="P69" s="158"/>
      <c r="Q69" s="694"/>
      <c r="R69" s="694"/>
      <c r="S69" s="694"/>
      <c r="T69" s="694"/>
      <c r="U69" s="694"/>
      <c r="V69" s="694"/>
      <c r="W69" s="694"/>
      <c r="X69" s="694"/>
      <c r="Y69" s="694"/>
      <c r="Z69" s="694"/>
      <c r="AA69" s="1431">
        <f t="shared" si="10"/>
        <v>2</v>
      </c>
      <c r="AB69" s="1432">
        <f>IF(CNTR_ExistSubInstEntries,IF(OR($M13&lt;&gt;EUconst_Relevant,$V13&gt;($H$1840-1),$E69=""),0,2),2)</f>
        <v>2</v>
      </c>
      <c r="AC69" s="1432">
        <f t="shared" ref="AC69:AI69" si="13">IF(CNTR_ExistSubInstEntries,IF(OR($M13&lt;&gt;EUconst_Relevant,AC66&gt;=CNTR_ReportingYear,AC66&lt;$V13-1,$E69=""),0,2),2)</f>
        <v>2</v>
      </c>
      <c r="AD69" s="1432">
        <f t="shared" si="13"/>
        <v>2</v>
      </c>
      <c r="AE69" s="1432">
        <f t="shared" si="13"/>
        <v>2</v>
      </c>
      <c r="AF69" s="1432">
        <f t="shared" si="13"/>
        <v>2</v>
      </c>
      <c r="AG69" s="1432">
        <f t="shared" si="13"/>
        <v>2</v>
      </c>
      <c r="AH69" s="1433">
        <f t="shared" si="13"/>
        <v>2</v>
      </c>
      <c r="AI69" s="1434">
        <f t="shared" si="13"/>
        <v>2</v>
      </c>
      <c r="AJ69" s="343"/>
      <c r="AK69" s="1174" t="s">
        <v>2039</v>
      </c>
      <c r="AL69" s="1176" t="str">
        <f>IF(AND(CNTR_ExistSubInstEntries,COUNTIFS(AB69:AI69,2,G69:N69,"")&gt;0),EUconst_Error&amp;"FB"&amp;Q13,"")</f>
        <v/>
      </c>
      <c r="AM69" s="343"/>
    </row>
    <row r="70" spans="1:39" ht="12.75" customHeight="1" x14ac:dyDescent="0.25">
      <c r="A70" s="729" t="str">
        <f t="shared" si="4"/>
        <v/>
      </c>
      <c r="B70" s="698"/>
      <c r="C70" s="2906"/>
      <c r="D70" s="990">
        <f t="shared" si="12"/>
        <v>4</v>
      </c>
      <c r="E70" s="1430" t="str">
        <f t="shared" si="8"/>
        <v/>
      </c>
      <c r="F70" s="271"/>
      <c r="G70" s="47"/>
      <c r="H70" s="119"/>
      <c r="I70" s="124"/>
      <c r="J70" s="119"/>
      <c r="K70" s="43"/>
      <c r="L70" s="43"/>
      <c r="M70" s="43"/>
      <c r="N70" s="43"/>
      <c r="O70" s="336"/>
      <c r="P70" s="158"/>
      <c r="Q70" s="694"/>
      <c r="R70" s="694"/>
      <c r="S70" s="694"/>
      <c r="T70" s="694"/>
      <c r="U70" s="729"/>
      <c r="V70" s="729"/>
      <c r="W70" s="694"/>
      <c r="X70" s="694"/>
      <c r="Y70" s="694"/>
      <c r="Z70" s="694"/>
      <c r="AA70" s="1431">
        <f t="shared" si="10"/>
        <v>2</v>
      </c>
      <c r="AB70" s="1432">
        <f>IF(CNTR_ExistSubInstEntries,IF(OR($M13&lt;&gt;EUconst_Relevant,$V13&gt;($H$1840-1),$E70=""),0,2),2)</f>
        <v>2</v>
      </c>
      <c r="AC70" s="1432">
        <f t="shared" ref="AC70:AI70" si="14">IF(CNTR_ExistSubInstEntries,IF(OR($M13&lt;&gt;EUconst_Relevant,AC66&gt;=CNTR_ReportingYear,AC66&lt;$V13-1,$E70=""),0,2),2)</f>
        <v>2</v>
      </c>
      <c r="AD70" s="1432">
        <f t="shared" si="14"/>
        <v>2</v>
      </c>
      <c r="AE70" s="1432">
        <f t="shared" si="14"/>
        <v>2</v>
      </c>
      <c r="AF70" s="1432">
        <f t="shared" si="14"/>
        <v>2</v>
      </c>
      <c r="AG70" s="1432">
        <f t="shared" si="14"/>
        <v>2</v>
      </c>
      <c r="AH70" s="1433">
        <f t="shared" si="14"/>
        <v>2</v>
      </c>
      <c r="AI70" s="1434">
        <f t="shared" si="14"/>
        <v>2</v>
      </c>
      <c r="AJ70" s="343"/>
      <c r="AK70" s="1174" t="s">
        <v>2039</v>
      </c>
      <c r="AL70" s="1176" t="str">
        <f>IF(AND(CNTR_ExistSubInstEntries,COUNTIFS(AB70:AI70,2,G70:N70,"")&gt;0),EUconst_Error&amp;"FB"&amp;Q13,"")</f>
        <v/>
      </c>
      <c r="AM70" s="343"/>
    </row>
    <row r="71" spans="1:39" ht="12.75" customHeight="1" x14ac:dyDescent="0.25">
      <c r="A71" s="729" t="str">
        <f t="shared" si="4"/>
        <v/>
      </c>
      <c r="B71" s="698"/>
      <c r="C71" s="2906"/>
      <c r="D71" s="990">
        <f t="shared" si="12"/>
        <v>5</v>
      </c>
      <c r="E71" s="1430" t="str">
        <f t="shared" si="8"/>
        <v/>
      </c>
      <c r="F71" s="271"/>
      <c r="G71" s="47"/>
      <c r="H71" s="119"/>
      <c r="I71" s="47"/>
      <c r="J71" s="119"/>
      <c r="K71" s="43"/>
      <c r="L71" s="43"/>
      <c r="M71" s="43"/>
      <c r="N71" s="43"/>
      <c r="O71" s="336"/>
      <c r="P71" s="158"/>
      <c r="Q71" s="694"/>
      <c r="R71" s="694"/>
      <c r="S71" s="694"/>
      <c r="T71" s="694"/>
      <c r="U71" s="729"/>
      <c r="V71" s="694"/>
      <c r="W71" s="694"/>
      <c r="X71" s="694"/>
      <c r="Y71" s="694"/>
      <c r="Z71" s="694"/>
      <c r="AA71" s="1431">
        <f t="shared" si="10"/>
        <v>2</v>
      </c>
      <c r="AB71" s="1432">
        <f>IF(CNTR_ExistSubInstEntries,IF(OR($M13&lt;&gt;EUconst_Relevant,$V13&gt;($H$1840-1),$E71=""),0,2),2)</f>
        <v>2</v>
      </c>
      <c r="AC71" s="1432">
        <f t="shared" ref="AC71:AI71" si="15">IF(CNTR_ExistSubInstEntries,IF(OR($M13&lt;&gt;EUconst_Relevant,AC66&gt;=CNTR_ReportingYear,AC66&lt;$V13-1,$E71=""),0,2),2)</f>
        <v>2</v>
      </c>
      <c r="AD71" s="1432">
        <f t="shared" si="15"/>
        <v>2</v>
      </c>
      <c r="AE71" s="1432">
        <f t="shared" si="15"/>
        <v>2</v>
      </c>
      <c r="AF71" s="1432">
        <f t="shared" si="15"/>
        <v>2</v>
      </c>
      <c r="AG71" s="1432">
        <f t="shared" si="15"/>
        <v>2</v>
      </c>
      <c r="AH71" s="1433">
        <f t="shared" si="15"/>
        <v>2</v>
      </c>
      <c r="AI71" s="1434">
        <f t="shared" si="15"/>
        <v>2</v>
      </c>
      <c r="AJ71" s="343"/>
      <c r="AK71" s="1174" t="s">
        <v>2039</v>
      </c>
      <c r="AL71" s="1176" t="str">
        <f>IF(AND(CNTR_ExistSubInstEntries,COUNTIFS(AB71:AI71,2,G71:N71,"")&gt;0),EUconst_Error&amp;"FB"&amp;Q13,"")</f>
        <v/>
      </c>
      <c r="AM71" s="343"/>
    </row>
    <row r="72" spans="1:39" ht="12.75" customHeight="1" x14ac:dyDescent="0.25">
      <c r="A72" s="729" t="str">
        <f t="shared" si="4"/>
        <v/>
      </c>
      <c r="B72" s="698"/>
      <c r="C72" s="2906"/>
      <c r="D72" s="990">
        <f t="shared" si="12"/>
        <v>6</v>
      </c>
      <c r="E72" s="1430" t="str">
        <f t="shared" si="8"/>
        <v/>
      </c>
      <c r="F72" s="271"/>
      <c r="G72" s="47"/>
      <c r="H72" s="119"/>
      <c r="I72" s="47"/>
      <c r="J72" s="119"/>
      <c r="K72" s="43"/>
      <c r="L72" s="43"/>
      <c r="M72" s="43"/>
      <c r="N72" s="43"/>
      <c r="O72" s="336"/>
      <c r="P72" s="158"/>
      <c r="Q72" s="694"/>
      <c r="R72" s="694"/>
      <c r="S72" s="694"/>
      <c r="T72" s="694"/>
      <c r="U72" s="694"/>
      <c r="V72" s="694"/>
      <c r="W72" s="694"/>
      <c r="X72" s="694"/>
      <c r="Y72" s="694"/>
      <c r="Z72" s="694"/>
      <c r="AA72" s="1431">
        <f t="shared" si="10"/>
        <v>2</v>
      </c>
      <c r="AB72" s="1432">
        <f>IF(CNTR_ExistSubInstEntries,IF(OR($M13&lt;&gt;EUconst_Relevant,$V13&gt;($H$1840-1),$E72=""),0,2),2)</f>
        <v>2</v>
      </c>
      <c r="AC72" s="1432">
        <f t="shared" ref="AC72:AI72" si="16">IF(CNTR_ExistSubInstEntries,IF(OR($M13&lt;&gt;EUconst_Relevant,AC66&gt;=CNTR_ReportingYear,AC66&lt;$V13-1,$E72=""),0,2),2)</f>
        <v>2</v>
      </c>
      <c r="AD72" s="1432">
        <f t="shared" si="16"/>
        <v>2</v>
      </c>
      <c r="AE72" s="1432">
        <f t="shared" si="16"/>
        <v>2</v>
      </c>
      <c r="AF72" s="1432">
        <f t="shared" si="16"/>
        <v>2</v>
      </c>
      <c r="AG72" s="1432">
        <f t="shared" si="16"/>
        <v>2</v>
      </c>
      <c r="AH72" s="1433">
        <f t="shared" si="16"/>
        <v>2</v>
      </c>
      <c r="AI72" s="1434">
        <f t="shared" si="16"/>
        <v>2</v>
      </c>
      <c r="AJ72" s="343"/>
      <c r="AK72" s="1174" t="s">
        <v>2039</v>
      </c>
      <c r="AL72" s="1176" t="str">
        <f>IF(AND(CNTR_ExistSubInstEntries,COUNTIFS(AB72:AI72,2,G72:N72,"")&gt;0),EUconst_Error&amp;"FB"&amp;Q13,"")</f>
        <v/>
      </c>
      <c r="AM72" s="343"/>
    </row>
    <row r="73" spans="1:39" ht="12.75" customHeight="1" x14ac:dyDescent="0.25">
      <c r="A73" s="729" t="str">
        <f t="shared" si="4"/>
        <v/>
      </c>
      <c r="B73" s="698"/>
      <c r="C73" s="2906"/>
      <c r="D73" s="990">
        <f t="shared" si="12"/>
        <v>7</v>
      </c>
      <c r="E73" s="1430" t="str">
        <f t="shared" si="8"/>
        <v/>
      </c>
      <c r="F73" s="271"/>
      <c r="G73" s="47"/>
      <c r="H73" s="119"/>
      <c r="I73" s="47"/>
      <c r="J73" s="119"/>
      <c r="K73" s="43"/>
      <c r="L73" s="43"/>
      <c r="M73" s="43"/>
      <c r="N73" s="43"/>
      <c r="O73" s="336"/>
      <c r="P73" s="158"/>
      <c r="Q73" s="694"/>
      <c r="R73" s="694"/>
      <c r="S73" s="694"/>
      <c r="T73" s="694"/>
      <c r="U73" s="694"/>
      <c r="V73" s="694"/>
      <c r="W73" s="694"/>
      <c r="X73" s="694"/>
      <c r="Y73" s="694"/>
      <c r="Z73" s="694"/>
      <c r="AA73" s="1431">
        <f t="shared" si="10"/>
        <v>2</v>
      </c>
      <c r="AB73" s="1432">
        <f>IF(CNTR_ExistSubInstEntries,IF(OR($M13&lt;&gt;EUconst_Relevant,$V13&gt;($H$1840-1),$E73=""),0,2),2)</f>
        <v>2</v>
      </c>
      <c r="AC73" s="1432">
        <f t="shared" ref="AC73:AI73" si="17">IF(CNTR_ExistSubInstEntries,IF(OR($M13&lt;&gt;EUconst_Relevant,AC66&gt;=CNTR_ReportingYear,AC66&lt;$V13-1,$E73=""),0,2),2)</f>
        <v>2</v>
      </c>
      <c r="AD73" s="1432">
        <f t="shared" si="17"/>
        <v>2</v>
      </c>
      <c r="AE73" s="1432">
        <f t="shared" si="17"/>
        <v>2</v>
      </c>
      <c r="AF73" s="1432">
        <f t="shared" si="17"/>
        <v>2</v>
      </c>
      <c r="AG73" s="1432">
        <f t="shared" si="17"/>
        <v>2</v>
      </c>
      <c r="AH73" s="1433">
        <f t="shared" si="17"/>
        <v>2</v>
      </c>
      <c r="AI73" s="1434">
        <f t="shared" si="17"/>
        <v>2</v>
      </c>
      <c r="AJ73" s="343"/>
      <c r="AK73" s="1174" t="s">
        <v>2039</v>
      </c>
      <c r="AL73" s="1176" t="str">
        <f>IF(AND(CNTR_ExistSubInstEntries,COUNTIFS(AB73:AI73,2,G73:N73,"")&gt;0),EUconst_Error&amp;"FB"&amp;Q13,"")</f>
        <v/>
      </c>
      <c r="AM73" s="343"/>
    </row>
    <row r="74" spans="1:39" ht="12.75" customHeight="1" x14ac:dyDescent="0.25">
      <c r="A74" s="729" t="str">
        <f t="shared" si="4"/>
        <v/>
      </c>
      <c r="B74" s="698"/>
      <c r="C74" s="2906"/>
      <c r="D74" s="990">
        <f t="shared" si="12"/>
        <v>8</v>
      </c>
      <c r="E74" s="1430" t="str">
        <f t="shared" si="8"/>
        <v/>
      </c>
      <c r="F74" s="271"/>
      <c r="G74" s="47"/>
      <c r="H74" s="119"/>
      <c r="I74" s="47"/>
      <c r="J74" s="119"/>
      <c r="K74" s="43"/>
      <c r="L74" s="43"/>
      <c r="M74" s="43"/>
      <c r="N74" s="43"/>
      <c r="O74" s="336"/>
      <c r="P74" s="158"/>
      <c r="Q74" s="694"/>
      <c r="R74" s="694"/>
      <c r="S74" s="694"/>
      <c r="T74" s="694"/>
      <c r="U74" s="694"/>
      <c r="V74" s="694"/>
      <c r="W74" s="694"/>
      <c r="X74" s="694"/>
      <c r="Y74" s="694"/>
      <c r="Z74" s="694"/>
      <c r="AA74" s="1431">
        <f t="shared" si="10"/>
        <v>2</v>
      </c>
      <c r="AB74" s="1432">
        <f>IF(CNTR_ExistSubInstEntries,IF(OR($M13&lt;&gt;EUconst_Relevant,$V13&gt;($H$1840-1),$E74=""),0,2),2)</f>
        <v>2</v>
      </c>
      <c r="AC74" s="1432">
        <f t="shared" ref="AC74:AI74" si="18">IF(CNTR_ExistSubInstEntries,IF(OR($M13&lt;&gt;EUconst_Relevant,AC66&gt;=CNTR_ReportingYear,AC66&lt;$V13-1,$E74=""),0,2),2)</f>
        <v>2</v>
      </c>
      <c r="AD74" s="1432">
        <f t="shared" si="18"/>
        <v>2</v>
      </c>
      <c r="AE74" s="1432">
        <f t="shared" si="18"/>
        <v>2</v>
      </c>
      <c r="AF74" s="1432">
        <f t="shared" si="18"/>
        <v>2</v>
      </c>
      <c r="AG74" s="1432">
        <f t="shared" si="18"/>
        <v>2</v>
      </c>
      <c r="AH74" s="1433">
        <f t="shared" si="18"/>
        <v>2</v>
      </c>
      <c r="AI74" s="1434">
        <f t="shared" si="18"/>
        <v>2</v>
      </c>
      <c r="AJ74" s="343"/>
      <c r="AK74" s="1174" t="s">
        <v>2039</v>
      </c>
      <c r="AL74" s="1176" t="str">
        <f>IF(AND(CNTR_ExistSubInstEntries,COUNTIFS(AB74:AI74,2,G74:N74,"")&gt;0),EUconst_Error&amp;"FB"&amp;Q13,"")</f>
        <v/>
      </c>
      <c r="AM74" s="343"/>
    </row>
    <row r="75" spans="1:39" ht="12.75" customHeight="1" x14ac:dyDescent="0.25">
      <c r="A75" s="729" t="str">
        <f t="shared" si="4"/>
        <v/>
      </c>
      <c r="B75" s="698"/>
      <c r="C75" s="2906"/>
      <c r="D75" s="990">
        <f t="shared" si="12"/>
        <v>9</v>
      </c>
      <c r="E75" s="1430" t="str">
        <f t="shared" si="8"/>
        <v/>
      </c>
      <c r="F75" s="271"/>
      <c r="G75" s="47"/>
      <c r="H75" s="119"/>
      <c r="I75" s="47"/>
      <c r="J75" s="119"/>
      <c r="K75" s="43"/>
      <c r="L75" s="43"/>
      <c r="M75" s="43"/>
      <c r="N75" s="43"/>
      <c r="O75" s="336"/>
      <c r="P75" s="158"/>
      <c r="Q75" s="694"/>
      <c r="R75" s="694"/>
      <c r="S75" s="694"/>
      <c r="T75" s="694"/>
      <c r="U75" s="694"/>
      <c r="V75" s="694"/>
      <c r="W75" s="694"/>
      <c r="X75" s="694"/>
      <c r="Y75" s="694"/>
      <c r="Z75" s="694"/>
      <c r="AA75" s="1431">
        <f t="shared" si="10"/>
        <v>2</v>
      </c>
      <c r="AB75" s="1432">
        <f>IF(CNTR_ExistSubInstEntries,IF(OR($M13&lt;&gt;EUconst_Relevant,$V13&gt;($H$1840-1),$E75=""),0,2),2)</f>
        <v>2</v>
      </c>
      <c r="AC75" s="1432">
        <f t="shared" ref="AC75:AI75" si="19">IF(CNTR_ExistSubInstEntries,IF(OR($M13&lt;&gt;EUconst_Relevant,AC66&gt;=CNTR_ReportingYear,AC66&lt;$V13-1,$E75=""),0,2),2)</f>
        <v>2</v>
      </c>
      <c r="AD75" s="1432">
        <f t="shared" si="19"/>
        <v>2</v>
      </c>
      <c r="AE75" s="1432">
        <f t="shared" si="19"/>
        <v>2</v>
      </c>
      <c r="AF75" s="1432">
        <f t="shared" si="19"/>
        <v>2</v>
      </c>
      <c r="AG75" s="1432">
        <f t="shared" si="19"/>
        <v>2</v>
      </c>
      <c r="AH75" s="1433">
        <f t="shared" si="19"/>
        <v>2</v>
      </c>
      <c r="AI75" s="1434">
        <f t="shared" si="19"/>
        <v>2</v>
      </c>
      <c r="AJ75" s="343"/>
      <c r="AK75" s="1174" t="s">
        <v>2039</v>
      </c>
      <c r="AL75" s="1176" t="str">
        <f>IF(AND(CNTR_ExistSubInstEntries,COUNTIFS(AB75:AI75,2,G75:N75,"")&gt;0),EUconst_Error&amp;"FB"&amp;Q13,"")</f>
        <v/>
      </c>
      <c r="AM75" s="343"/>
    </row>
    <row r="76" spans="1:39" ht="12.75" customHeight="1" thickBot="1" x14ac:dyDescent="0.3">
      <c r="A76" s="729" t="str">
        <f t="shared" si="4"/>
        <v/>
      </c>
      <c r="B76" s="698"/>
      <c r="C76" s="2906"/>
      <c r="D76" s="994">
        <f t="shared" si="12"/>
        <v>10</v>
      </c>
      <c r="E76" s="1435" t="str">
        <f t="shared" si="8"/>
        <v/>
      </c>
      <c r="F76" s="272"/>
      <c r="G76" s="48"/>
      <c r="H76" s="117"/>
      <c r="I76" s="48"/>
      <c r="J76" s="117"/>
      <c r="K76" s="38"/>
      <c r="L76" s="38"/>
      <c r="M76" s="38"/>
      <c r="N76" s="38"/>
      <c r="O76" s="336"/>
      <c r="P76" s="158"/>
      <c r="Q76" s="694"/>
      <c r="R76" s="694"/>
      <c r="S76" s="694"/>
      <c r="T76" s="694"/>
      <c r="U76" s="694"/>
      <c r="V76" s="694"/>
      <c r="W76" s="694"/>
      <c r="X76" s="694"/>
      <c r="Y76" s="694"/>
      <c r="Z76" s="694"/>
      <c r="AA76" s="1436">
        <f t="shared" si="10"/>
        <v>2</v>
      </c>
      <c r="AB76" s="1437">
        <f>IF(CNTR_ExistSubInstEntries,IF(OR($M13&lt;&gt;EUconst_Relevant,$V13&gt;($H$1840-1),$E76=""),0,2),2)</f>
        <v>2</v>
      </c>
      <c r="AC76" s="1437">
        <f t="shared" ref="AC76:AI76" si="20">IF(CNTR_ExistSubInstEntries,IF(OR($M13&lt;&gt;EUconst_Relevant,AC66&gt;=CNTR_ReportingYear,AC66&lt;$V13-1,$E76=""),0,2),2)</f>
        <v>2</v>
      </c>
      <c r="AD76" s="1437">
        <f t="shared" si="20"/>
        <v>2</v>
      </c>
      <c r="AE76" s="1437">
        <f t="shared" si="20"/>
        <v>2</v>
      </c>
      <c r="AF76" s="1437">
        <f t="shared" si="20"/>
        <v>2</v>
      </c>
      <c r="AG76" s="1437">
        <f t="shared" si="20"/>
        <v>2</v>
      </c>
      <c r="AH76" s="1438">
        <f t="shared" si="20"/>
        <v>2</v>
      </c>
      <c r="AI76" s="1439">
        <f t="shared" si="20"/>
        <v>2</v>
      </c>
      <c r="AJ76" s="343"/>
      <c r="AK76" s="1174" t="s">
        <v>2039</v>
      </c>
      <c r="AL76" s="1176" t="str">
        <f>IF(AND(CNTR_ExistSubInstEntries,COUNTIFS(AB76:AI76,2,G76:N76,"")&gt;0),EUconst_Error&amp;"FB"&amp;Q13,"")</f>
        <v/>
      </c>
      <c r="AM76" s="343"/>
    </row>
    <row r="77" spans="1:39" ht="12.75" customHeight="1" x14ac:dyDescent="0.25">
      <c r="A77" s="729" t="str">
        <f t="shared" si="4"/>
        <v/>
      </c>
      <c r="B77" s="698"/>
      <c r="C77" s="2906"/>
      <c r="D77" s="1293"/>
      <c r="E77" s="1294" t="str">
        <f>Translations!$B$501</f>
        <v>Сума на равнищата на производство</v>
      </c>
      <c r="F77" s="1440" t="str">
        <f>IF(AND(COUNTA(F67:F76)&gt;0,COUNTIF(F67:F76,F67)=COUNTA(F67:F76)),F67,"")</f>
        <v/>
      </c>
      <c r="G77" s="1296" t="str">
        <f>IF(AND($F77&lt;&gt;"",COUNT(G67:G76)&gt;0),SUMIF($S51:$S60,TRUE,G67:G76),"")</f>
        <v/>
      </c>
      <c r="H77" s="1297" t="str">
        <f t="shared" ref="H77:N77" si="21">IF(AND($F77&lt;&gt;"",COUNT(H67:H76)&gt;0),SUMIF($S51:$S60,TRUE,H67:H76),"")</f>
        <v/>
      </c>
      <c r="I77" s="1296" t="str">
        <f t="shared" si="21"/>
        <v/>
      </c>
      <c r="J77" s="1297" t="str">
        <f t="shared" si="21"/>
        <v/>
      </c>
      <c r="K77" s="1104" t="str">
        <f t="shared" si="21"/>
        <v/>
      </c>
      <c r="L77" s="1104" t="str">
        <f t="shared" si="21"/>
        <v/>
      </c>
      <c r="M77" s="1104" t="str">
        <f t="shared" si="21"/>
        <v/>
      </c>
      <c r="N77" s="1104" t="str">
        <f t="shared" si="21"/>
        <v/>
      </c>
      <c r="O77" s="336"/>
      <c r="P77" s="336"/>
      <c r="Q77" s="694"/>
      <c r="R77" s="694"/>
      <c r="S77" s="694"/>
      <c r="T77" s="694"/>
      <c r="U77" s="694"/>
      <c r="V77" s="694"/>
      <c r="W77" s="694"/>
      <c r="X77" s="694"/>
      <c r="Y77" s="694"/>
      <c r="Z77" s="694"/>
      <c r="AA77" s="694"/>
      <c r="AB77" s="729"/>
      <c r="AC77" s="729"/>
      <c r="AD77" s="729"/>
      <c r="AE77" s="729"/>
      <c r="AF77" s="729"/>
      <c r="AG77" s="729"/>
      <c r="AH77" s="729"/>
      <c r="AI77" s="729"/>
      <c r="AJ77" s="343"/>
      <c r="AK77" s="343"/>
      <c r="AL77" s="343"/>
      <c r="AM77" s="343"/>
    </row>
    <row r="78" spans="1:39" ht="5.15" customHeight="1" x14ac:dyDescent="0.25">
      <c r="A78" s="729" t="str">
        <f t="shared" si="4"/>
        <v/>
      </c>
      <c r="B78" s="698"/>
      <c r="C78" s="284"/>
      <c r="D78" s="284"/>
      <c r="E78" s="284"/>
      <c r="F78" s="284"/>
      <c r="G78" s="284"/>
      <c r="H78" s="284"/>
      <c r="I78" s="284"/>
      <c r="J78" s="284"/>
      <c r="K78" s="284"/>
      <c r="L78" s="284"/>
      <c r="M78" s="284"/>
      <c r="N78" s="284"/>
      <c r="O78" s="336"/>
      <c r="P78" s="336"/>
      <c r="Q78" s="694"/>
      <c r="R78" s="694"/>
      <c r="S78" s="694"/>
      <c r="T78" s="694"/>
      <c r="U78" s="694"/>
      <c r="V78" s="694"/>
      <c r="W78" s="694"/>
      <c r="X78" s="694"/>
      <c r="Y78" s="694"/>
      <c r="Z78" s="729"/>
      <c r="AA78" s="729"/>
      <c r="AB78" s="729"/>
      <c r="AC78" s="694"/>
      <c r="AD78" s="694"/>
      <c r="AE78" s="343"/>
      <c r="AF78" s="343"/>
      <c r="AG78" s="343"/>
      <c r="AH78" s="343"/>
      <c r="AI78" s="343"/>
      <c r="AJ78" s="343"/>
      <c r="AK78" s="343"/>
      <c r="AL78" s="343"/>
      <c r="AM78" s="343"/>
    </row>
    <row r="79" spans="1:39" ht="12.75" customHeight="1" x14ac:dyDescent="0.25">
      <c r="A79" s="729" t="str">
        <f t="shared" si="4"/>
        <v/>
      </c>
      <c r="B79" s="698"/>
      <c r="C79" s="284"/>
      <c r="D79" s="300" t="s">
        <v>1764</v>
      </c>
      <c r="E79" s="2226" t="str">
        <f>Translations!$B$1535</f>
        <v>Допустимо по СТЕ на ЕС потребление на енергия по продукти за определяне на очакваните равнища на дейност</v>
      </c>
      <c r="F79" s="2249"/>
      <c r="G79" s="2249"/>
      <c r="H79" s="2249"/>
      <c r="I79" s="2249"/>
      <c r="J79" s="2249"/>
      <c r="K79" s="2249"/>
      <c r="L79" s="2249"/>
      <c r="M79" s="2249"/>
      <c r="N79" s="2249"/>
      <c r="O79" s="336"/>
      <c r="P79" s="336"/>
      <c r="Q79" s="770"/>
      <c r="R79" s="694"/>
      <c r="S79" s="1030" t="s">
        <v>2010</v>
      </c>
      <c r="T79" s="1441" t="str">
        <f>IF(M13&lt;&gt;EUconst_Relevant,"",IF(COUNTIF(V30:Z30,TRUE)&gt;0,2,1))</f>
        <v/>
      </c>
      <c r="U79" s="729" t="s">
        <v>2006</v>
      </c>
      <c r="V79" s="694"/>
      <c r="W79" s="694"/>
      <c r="X79" s="694"/>
      <c r="Y79" s="694"/>
      <c r="Z79" s="729"/>
      <c r="AA79" s="729"/>
      <c r="AB79" s="729"/>
      <c r="AC79" s="694"/>
      <c r="AD79" s="694"/>
      <c r="AE79" s="343"/>
      <c r="AF79" s="343"/>
      <c r="AG79" s="343"/>
      <c r="AH79" s="343"/>
      <c r="AI79" s="343"/>
      <c r="AJ79" s="343"/>
      <c r="AK79" s="343"/>
      <c r="AL79" s="343"/>
      <c r="AM79" s="343"/>
    </row>
    <row r="80" spans="1:39" ht="12.75" customHeight="1" x14ac:dyDescent="0.25">
      <c r="A80" s="729" t="str">
        <f t="shared" si="4"/>
        <v/>
      </c>
      <c r="B80" s="284"/>
      <c r="C80" s="302"/>
      <c r="D80" s="302"/>
      <c r="E80" s="2358" t="str">
        <f>Translations!$B$1337</f>
        <v>Моля, въведете тук енергопотреблението, свързано с всеки продукт, изброен в буква б) по-горе, в съответствие с методиките, описани в ПММ.</v>
      </c>
      <c r="F80" s="2249"/>
      <c r="G80" s="2249"/>
      <c r="H80" s="2249"/>
      <c r="I80" s="2249"/>
      <c r="J80" s="2249"/>
      <c r="K80" s="2249"/>
      <c r="L80" s="2249"/>
      <c r="M80" s="2249"/>
      <c r="N80" s="2249"/>
      <c r="O80" s="336"/>
      <c r="P80" s="336"/>
      <c r="Q80" s="770"/>
      <c r="R80" s="770"/>
      <c r="S80" s="770"/>
      <c r="T80" s="770"/>
      <c r="U80" s="770"/>
      <c r="V80" s="770"/>
      <c r="W80" s="770"/>
      <c r="X80" s="770"/>
      <c r="Y80" s="770"/>
      <c r="Z80" s="694"/>
      <c r="AA80" s="694"/>
      <c r="AB80" s="729"/>
      <c r="AC80" s="694"/>
      <c r="AD80" s="694"/>
      <c r="AE80" s="343"/>
      <c r="AF80" s="343"/>
      <c r="AG80" s="343"/>
      <c r="AH80" s="343"/>
      <c r="AI80" s="343"/>
      <c r="AJ80" s="343"/>
      <c r="AK80" s="343"/>
      <c r="AL80" s="343"/>
      <c r="AM80" s="343"/>
    </row>
    <row r="81" spans="1:39" ht="25.5" customHeight="1" x14ac:dyDescent="0.25">
      <c r="A81" s="729" t="str">
        <f t="shared" si="4"/>
        <v/>
      </c>
      <c r="B81" s="698"/>
      <c r="C81" s="284"/>
      <c r="D81" s="284"/>
      <c r="E81" s="2459" t="str">
        <f>Translations!$B$1536</f>
        <v>Вписванията тук са задължителни за всички години, ако средното годишно равнище на дейност по буква а) се е променило с повече от 15 % за поне една година и само в този случай ще окаже пряко въздействие върху разпределянето.</v>
      </c>
      <c r="F81" s="2460"/>
      <c r="G81" s="2460"/>
      <c r="H81" s="2460"/>
      <c r="I81" s="2460"/>
      <c r="J81" s="2460"/>
      <c r="K81" s="2460"/>
      <c r="L81" s="2460"/>
      <c r="M81" s="2460"/>
      <c r="N81" s="2460"/>
      <c r="O81" s="336"/>
      <c r="P81" s="336"/>
      <c r="Q81" s="694"/>
      <c r="R81" s="694"/>
      <c r="S81" s="694"/>
      <c r="T81" s="694"/>
      <c r="U81" s="694"/>
      <c r="V81" s="694"/>
      <c r="W81" s="694"/>
      <c r="X81" s="694"/>
      <c r="Y81" s="694"/>
      <c r="Z81" s="729"/>
      <c r="AA81" s="729"/>
      <c r="AB81" s="729"/>
      <c r="AC81" s="729"/>
      <c r="AD81" s="694"/>
      <c r="AE81" s="343"/>
      <c r="AF81" s="343"/>
      <c r="AG81" s="343"/>
      <c r="AH81" s="343"/>
      <c r="AI81" s="343"/>
      <c r="AJ81" s="343"/>
      <c r="AK81" s="343"/>
      <c r="AL81" s="343"/>
      <c r="AM81" s="343"/>
    </row>
    <row r="82" spans="1:39" ht="12.75" customHeight="1" x14ac:dyDescent="0.25">
      <c r="A82" s="729"/>
      <c r="B82" s="698"/>
      <c r="C82" s="284"/>
      <c r="D82" s="284"/>
      <c r="E82" s="2358" t="str">
        <f>Translations!$B$1537</f>
        <v>Стойността в НМИ се отнася до средното потребление на топлинна енергия през историческия базов период (НМИ).</v>
      </c>
      <c r="F82" s="2249"/>
      <c r="G82" s="2249"/>
      <c r="H82" s="2249"/>
      <c r="I82" s="2249"/>
      <c r="J82" s="2249"/>
      <c r="K82" s="2249"/>
      <c r="L82" s="2249"/>
      <c r="M82" s="2249"/>
      <c r="N82" s="2249"/>
      <c r="O82" s="336"/>
      <c r="P82" s="336"/>
      <c r="Q82" s="694"/>
      <c r="R82" s="694"/>
      <c r="S82" s="694"/>
      <c r="T82" s="694"/>
      <c r="U82" s="694"/>
      <c r="V82" s="694"/>
      <c r="W82" s="694"/>
      <c r="X82" s="694"/>
      <c r="Y82" s="694"/>
      <c r="Z82" s="729"/>
      <c r="AA82" s="729"/>
      <c r="AB82" s="729"/>
      <c r="AC82" s="729"/>
      <c r="AD82" s="694"/>
      <c r="AE82" s="343"/>
      <c r="AF82" s="343"/>
      <c r="AG82" s="343"/>
      <c r="AH82" s="343"/>
      <c r="AI82" s="343"/>
      <c r="AJ82" s="343"/>
      <c r="AK82" s="343"/>
      <c r="AL82" s="343"/>
      <c r="AM82" s="343"/>
    </row>
    <row r="83" spans="1:39" ht="12.75" customHeight="1" x14ac:dyDescent="0.25">
      <c r="A83" s="729" t="str">
        <f>A81</f>
        <v/>
      </c>
      <c r="B83" s="698"/>
      <c r="C83" s="284"/>
      <c r="D83" s="284"/>
      <c r="E83" s="2358" t="str">
        <f>Translations!$B$1538</f>
        <v>Допълнителни насоки относно отнасянето по продукти за изчисляването на историческата ефективност (HistEff) могат да бъдат намерени в раздели 2.3 и 3 от Ръководство № 7.</v>
      </c>
      <c r="F83" s="2249"/>
      <c r="G83" s="2249"/>
      <c r="H83" s="2249"/>
      <c r="I83" s="2249"/>
      <c r="J83" s="2249"/>
      <c r="K83" s="2249"/>
      <c r="L83" s="2249"/>
      <c r="M83" s="2249"/>
      <c r="N83" s="2249"/>
      <c r="O83" s="336"/>
      <c r="P83" s="295"/>
      <c r="Q83" s="694"/>
      <c r="R83" s="694"/>
      <c r="S83" s="694"/>
      <c r="T83" s="694"/>
      <c r="U83" s="694"/>
      <c r="V83" s="694"/>
      <c r="W83" s="694"/>
      <c r="X83" s="694"/>
      <c r="Y83" s="694"/>
      <c r="Z83" s="729"/>
      <c r="AA83" s="729"/>
      <c r="AB83" s="729"/>
      <c r="AC83" s="729"/>
      <c r="AD83" s="694"/>
      <c r="AE83" s="343"/>
      <c r="AF83" s="343"/>
      <c r="AG83" s="343"/>
      <c r="AH83" s="343"/>
      <c r="AI83" s="343"/>
      <c r="AJ83" s="343"/>
      <c r="AK83" s="343"/>
      <c r="AL83" s="343"/>
      <c r="AM83" s="343"/>
    </row>
    <row r="84" spans="1:39" ht="5.15" customHeight="1" x14ac:dyDescent="0.25">
      <c r="A84" s="729" t="str">
        <f t="shared" si="4"/>
        <v/>
      </c>
      <c r="B84" s="698"/>
      <c r="C84" s="284"/>
      <c r="D84" s="284"/>
      <c r="E84" s="2358"/>
      <c r="F84" s="2249"/>
      <c r="G84" s="2249"/>
      <c r="H84" s="2249"/>
      <c r="I84" s="2249"/>
      <c r="J84" s="2249"/>
      <c r="K84" s="2249"/>
      <c r="L84" s="2249"/>
      <c r="M84" s="2249"/>
      <c r="N84" s="2249"/>
      <c r="O84" s="336"/>
      <c r="P84" s="295"/>
      <c r="Q84" s="694"/>
      <c r="R84" s="694"/>
      <c r="S84" s="694"/>
      <c r="T84" s="694"/>
      <c r="U84" s="694"/>
      <c r="V84" s="694"/>
      <c r="W84" s="694"/>
      <c r="X84" s="694"/>
      <c r="Y84" s="694"/>
      <c r="Z84" s="729"/>
      <c r="AA84" s="729"/>
      <c r="AB84" s="729"/>
      <c r="AC84" s="729"/>
      <c r="AD84" s="694"/>
      <c r="AE84" s="343"/>
      <c r="AF84" s="343"/>
      <c r="AG84" s="343"/>
      <c r="AH84" s="343"/>
      <c r="AI84" s="343"/>
      <c r="AJ84" s="343"/>
      <c r="AK84" s="343"/>
      <c r="AL84" s="343"/>
      <c r="AM84" s="343"/>
    </row>
    <row r="85" spans="1:39" s="1423" customFormat="1" ht="25.5" customHeight="1" thickBot="1" x14ac:dyDescent="0.35">
      <c r="A85" s="729" t="str">
        <f t="shared" si="4"/>
        <v/>
      </c>
      <c r="B85" s="1412"/>
      <c r="C85" s="1413"/>
      <c r="D85" s="1414"/>
      <c r="E85" s="1415" t="str">
        <f>Translations!$B$624</f>
        <v>Име на продукта или „топлофикационна мрежа“</v>
      </c>
      <c r="F85" s="1416" t="str">
        <f>EUconst_Unit</f>
        <v>Единица мярка</v>
      </c>
      <c r="G85" s="1417" t="str">
        <f>Translations!$B$1336</f>
        <v>Стойност в НМИ</v>
      </c>
      <c r="H85" s="1418">
        <f t="shared" ref="H85:N85" si="22">H$1840</f>
        <v>2024</v>
      </c>
      <c r="I85" s="1419">
        <f t="shared" si="22"/>
        <v>2025</v>
      </c>
      <c r="J85" s="1418">
        <f t="shared" si="22"/>
        <v>2026</v>
      </c>
      <c r="K85" s="1420">
        <f t="shared" si="22"/>
        <v>2027</v>
      </c>
      <c r="L85" s="1420">
        <f t="shared" si="22"/>
        <v>2028</v>
      </c>
      <c r="M85" s="1420">
        <f t="shared" si="22"/>
        <v>2029</v>
      </c>
      <c r="N85" s="1420">
        <f t="shared" si="22"/>
        <v>2030</v>
      </c>
      <c r="O85" s="336"/>
      <c r="P85" s="295"/>
      <c r="Q85" s="1421"/>
      <c r="R85" s="1421"/>
      <c r="S85" s="770" t="str">
        <f>Translations!$B$1341</f>
        <v>Базова стойност</v>
      </c>
      <c r="T85" s="1421">
        <f t="shared" ref="T85:Z85" si="23">H85</f>
        <v>2024</v>
      </c>
      <c r="U85" s="1421">
        <f t="shared" si="23"/>
        <v>2025</v>
      </c>
      <c r="V85" s="1421">
        <f t="shared" si="23"/>
        <v>2026</v>
      </c>
      <c r="W85" s="1421">
        <f t="shared" si="23"/>
        <v>2027</v>
      </c>
      <c r="X85" s="1421">
        <f t="shared" si="23"/>
        <v>2028</v>
      </c>
      <c r="Y85" s="1421">
        <f t="shared" si="23"/>
        <v>2029</v>
      </c>
      <c r="Z85" s="1421">
        <f t="shared" si="23"/>
        <v>2030</v>
      </c>
      <c r="AA85" s="1421"/>
      <c r="AB85" s="770" t="str">
        <f>Translations!$B$1284</f>
        <v>HAL</v>
      </c>
      <c r="AC85" s="1421">
        <f t="shared" ref="AC85:AI85" si="24">H85</f>
        <v>2024</v>
      </c>
      <c r="AD85" s="1421">
        <f t="shared" si="24"/>
        <v>2025</v>
      </c>
      <c r="AE85" s="1421">
        <f t="shared" si="24"/>
        <v>2026</v>
      </c>
      <c r="AF85" s="1421">
        <f t="shared" si="24"/>
        <v>2027</v>
      </c>
      <c r="AG85" s="1421">
        <f t="shared" si="24"/>
        <v>2028</v>
      </c>
      <c r="AH85" s="1422">
        <f t="shared" si="24"/>
        <v>2029</v>
      </c>
      <c r="AI85" s="1422">
        <f t="shared" si="24"/>
        <v>2030</v>
      </c>
      <c r="AJ85" s="1422"/>
      <c r="AK85" s="1422"/>
      <c r="AL85" s="1422"/>
      <c r="AM85" s="1422"/>
    </row>
    <row r="86" spans="1:39" ht="12.75" customHeight="1" x14ac:dyDescent="0.25">
      <c r="A86" s="729" t="str">
        <f t="shared" si="4"/>
        <v/>
      </c>
      <c r="B86" s="698"/>
      <c r="C86" s="2906" t="str">
        <f>Translations!$B$1539</f>
        <v>Топлинна енергия по СТЕ</v>
      </c>
      <c r="D86" s="981">
        <v>1</v>
      </c>
      <c r="E86" s="1424" t="str">
        <f t="shared" ref="E86:E95" si="25">E67</f>
        <v/>
      </c>
      <c r="F86" s="1259" t="str">
        <f t="shared" ref="F86:F97" si="26">EUconst_TJ</f>
        <v>TJ</v>
      </c>
      <c r="G86" s="125"/>
      <c r="H86" s="116"/>
      <c r="I86" s="46"/>
      <c r="J86" s="116"/>
      <c r="K86" s="40"/>
      <c r="L86" s="40"/>
      <c r="M86" s="40"/>
      <c r="N86" s="40"/>
      <c r="O86" s="1442"/>
      <c r="P86" s="158"/>
      <c r="Q86" s="694"/>
      <c r="R86" s="694"/>
      <c r="S86" s="1443" t="str">
        <f>IF($M13&lt;&gt;EUconst_Relevant,"",
IF($V13&gt;($J$1840-3),
              IF(INDEX(H67:N67,MATCH($V13,$T85:$Z85,0))=0,0,INDEX(H86:N86,MATCH($V13,$T85:$Z85,0))/INDEX(H67:N67,MATCH($V13,$T85:$Z85,0))),
                             IF(ISNUMBER(G67),
                                            IF(OR(G67=0,$S51=FALSE),0,G86/G67),"")))</f>
        <v/>
      </c>
      <c r="T86" s="1444" t="str">
        <f>IF($E86="","",IF(IFERROR(SUM($S86)=0,SUM($H86)),SUM(H86),SUM(H67)*SUM($S86)))</f>
        <v/>
      </c>
      <c r="U86" s="1444" t="str">
        <f t="shared" ref="U86:Z86" si="27">IF($E86="","",IF(IFERROR(SUM($S86)=0,SUM($H86)),SUM(I86),SUM(I67)*SUM($S86)))</f>
        <v/>
      </c>
      <c r="V86" s="1444" t="str">
        <f t="shared" si="27"/>
        <v/>
      </c>
      <c r="W86" s="1444" t="str">
        <f t="shared" si="27"/>
        <v/>
      </c>
      <c r="X86" s="1444" t="str">
        <f t="shared" si="27"/>
        <v/>
      </c>
      <c r="Y86" s="1444" t="str">
        <f t="shared" si="27"/>
        <v/>
      </c>
      <c r="Z86" s="1445" t="str">
        <f t="shared" si="27"/>
        <v/>
      </c>
      <c r="AA86" s="1446" t="s">
        <v>1757</v>
      </c>
      <c r="AB86" s="1447">
        <f>MAX(AC86,AD86:AI86)</f>
        <v>2</v>
      </c>
      <c r="AC86" s="1426">
        <f>IF(CNTR_ExistSubInstEntries,IF(OR($M13&lt;&gt;EUconst_Relevant,AC85&gt;=CNTR_ReportingYear,AC85&lt;$V13-1,$E86=""),0,IF(AND($T79=2,COUNTIF($V30:V30,TRUE)&gt;0,$S51),2,1)),2)</f>
        <v>2</v>
      </c>
      <c r="AD86" s="1427">
        <f>IF(CNTR_ExistSubInstEntries,IF(OR($M13&lt;&gt;EUconst_Relevant,AD85&gt;=CNTR_ReportingYear,AD85&lt;$V13-1,$E86=""),0,IF(AND($T79=2,COUNTIF($V30:W30,TRUE)&gt;0,$S51),2,1)),2)</f>
        <v>2</v>
      </c>
      <c r="AE86" s="1427">
        <f>IF(CNTR_ExistSubInstEntries,IF(OR($M13&lt;&gt;EUconst_Relevant,AE85&gt;=CNTR_ReportingYear,AE85&lt;$V13-1,$E86=""),0,IF(AND($T79=2,COUNTIF($V30:X30,TRUE)&gt;0,$S51),2,1)),2)</f>
        <v>2</v>
      </c>
      <c r="AF86" s="1427">
        <f>IF(CNTR_ExistSubInstEntries,IF(OR($M13&lt;&gt;EUconst_Relevant,AF85&gt;=CNTR_ReportingYear,AF85&lt;$V13-1,$E86=""),0,IF(AND($T79=2,COUNTIF($V30:Y30,TRUE)&gt;0,$S51),2,1)),2)</f>
        <v>2</v>
      </c>
      <c r="AG86" s="1427">
        <f>IF(CNTR_ExistSubInstEntries,IF(OR($M13&lt;&gt;EUconst_Relevant,AG85&gt;=CNTR_ReportingYear,AG85&lt;$V13-1,$E86=""),0,IF(AND($T79=2,COUNTIF($V30:Z30,TRUE)&gt;0,$S51),2,1)),2)</f>
        <v>2</v>
      </c>
      <c r="AH86" s="1428">
        <f>IF(CNTR_ExistSubInstEntries,IF(OR($M13&lt;&gt;EUconst_Relevant,AH85&gt;=CNTR_ReportingYear,AH85&lt;$V13-1,$E86=""),0,IF(AND($T79=2,COUNTIF($V30:AA30,TRUE)&gt;0,$S51),2,1)),2)</f>
        <v>2</v>
      </c>
      <c r="AI86" s="1429">
        <f>IF(CNTR_ExistSubInstEntries,IF(OR($M13&lt;&gt;EUconst_Relevant,AI85&gt;=CNTR_ReportingYear,AI85&lt;$V13-1,$E86=""),0,IF(AND($T79=2,COUNTIF($V30:AB30,TRUE)&gt;0,$S51),2,1)),2)</f>
        <v>2</v>
      </c>
      <c r="AJ86" s="343"/>
      <c r="AK86" s="1174" t="s">
        <v>2039</v>
      </c>
      <c r="AL86" s="1176" t="str">
        <f>IF(AND(CNTR_ExistSubInstEntries,COUNTIFS(AB86:AI86,2,G86:N86,"")&gt;0),EUconst_Error&amp;"FB"&amp;Q13,"")</f>
        <v/>
      </c>
      <c r="AM86" s="343"/>
    </row>
    <row r="87" spans="1:39" ht="12.75" customHeight="1" x14ac:dyDescent="0.25">
      <c r="A87" s="729" t="str">
        <f t="shared" si="4"/>
        <v/>
      </c>
      <c r="B87" s="698"/>
      <c r="C87" s="2906"/>
      <c r="D87" s="990">
        <v>2</v>
      </c>
      <c r="E87" s="1430" t="str">
        <f t="shared" si="25"/>
        <v/>
      </c>
      <c r="F87" s="1448" t="str">
        <f t="shared" si="26"/>
        <v>TJ</v>
      </c>
      <c r="G87" s="124"/>
      <c r="H87" s="119"/>
      <c r="I87" s="47"/>
      <c r="J87" s="119"/>
      <c r="K87" s="43"/>
      <c r="L87" s="43"/>
      <c r="M87" s="43"/>
      <c r="N87" s="43"/>
      <c r="O87" s="336"/>
      <c r="P87" s="158"/>
      <c r="Q87" s="694"/>
      <c r="R87" s="694"/>
      <c r="S87" s="1449" t="str">
        <f>IF($M13&lt;&gt;EUconst_Relevant,"",
IF($V13&gt;($J$1840-3),
              IF(INDEX(H68:N68,MATCH($V13,$T85:$Z85,0))=0,0,INDEX(H87:N87,MATCH($V13,$T85:$Z85,0))/INDEX(H68:N68,MATCH($V13,$T85:$Z85,0))),
                             IF(ISNUMBER(G68),
                                            IF(OR(G68=0,$S52=FALSE),0,G87/G68),"")))</f>
        <v/>
      </c>
      <c r="T87" s="1450" t="str">
        <f t="shared" ref="T87:Z87" si="28">IF($E87="","",IF(IFERROR(SUM($S87)=0,SUM($H87)),SUM(H87),SUM(H68)*SUM($S87)))</f>
        <v/>
      </c>
      <c r="U87" s="1450" t="str">
        <f t="shared" si="28"/>
        <v/>
      </c>
      <c r="V87" s="1450" t="str">
        <f t="shared" si="28"/>
        <v/>
      </c>
      <c r="W87" s="1450" t="str">
        <f t="shared" si="28"/>
        <v/>
      </c>
      <c r="X87" s="1450" t="str">
        <f t="shared" si="28"/>
        <v/>
      </c>
      <c r="Y87" s="1450" t="str">
        <f t="shared" si="28"/>
        <v/>
      </c>
      <c r="Z87" s="1451" t="str">
        <f t="shared" si="28"/>
        <v/>
      </c>
      <c r="AA87" s="694"/>
      <c r="AB87" s="1431">
        <f t="shared" ref="AB87:AB95" si="29">MAX(AC87,AD87:AI87)</f>
        <v>2</v>
      </c>
      <c r="AC87" s="1432">
        <f>IF(CNTR_ExistSubInstEntries,IF(OR($M13&lt;&gt;EUconst_Relevant,AC85&gt;=CNTR_ReportingYear,AC85&lt;$V13-1,$E87=""),0,IF(AND($T79=2,COUNTIF($V30:V30,TRUE)&gt;0,$S52),2,1)),2)</f>
        <v>2</v>
      </c>
      <c r="AD87" s="1432">
        <f>IF(CNTR_ExistSubInstEntries,IF(OR($M13&lt;&gt;EUconst_Relevant,AD85&gt;=CNTR_ReportingYear,AD85&lt;$V13-1,$E87=""),0,IF(AND($T79=2,COUNTIF($V30:W30,TRUE)&gt;0,$S52),2,1)),2)</f>
        <v>2</v>
      </c>
      <c r="AE87" s="1432">
        <f>IF(CNTR_ExistSubInstEntries,IF(OR($M13&lt;&gt;EUconst_Relevant,AE85&gt;=CNTR_ReportingYear,AE85&lt;$V13-1,$E87=""),0,IF(AND($T79=2,COUNTIF($V30:X30,TRUE)&gt;0,$S52),2,1)),2)</f>
        <v>2</v>
      </c>
      <c r="AF87" s="1432">
        <f>IF(CNTR_ExistSubInstEntries,IF(OR($M13&lt;&gt;EUconst_Relevant,AF85&gt;=CNTR_ReportingYear,AF85&lt;$V13-1,$E87=""),0,IF(AND($T79=2,COUNTIF($V30:Y30,TRUE)&gt;0,$S52),2,1)),2)</f>
        <v>2</v>
      </c>
      <c r="AG87" s="1432">
        <f>IF(CNTR_ExistSubInstEntries,IF(OR($M13&lt;&gt;EUconst_Relevant,AG85&gt;=CNTR_ReportingYear,AG85&lt;$V13-1,$E87=""),0,IF(AND($T79=2,COUNTIF($V30:Z30,TRUE)&gt;0,$S52),2,1)),2)</f>
        <v>2</v>
      </c>
      <c r="AH87" s="1432">
        <f>IF(CNTR_ExistSubInstEntries,IF(OR($M13&lt;&gt;EUconst_Relevant,AH85&gt;=CNTR_ReportingYear,AH85&lt;$V13-1,$E87=""),0,IF(AND($T79=2,COUNTIF($V30:AA30,TRUE)&gt;0,$S52),2,1)),2)</f>
        <v>2</v>
      </c>
      <c r="AI87" s="1452">
        <f>IF(CNTR_ExistSubInstEntries,IF(OR($M13&lt;&gt;EUconst_Relevant,AI85&gt;=CNTR_ReportingYear,AI85&lt;$V13-1,$E87=""),0,IF(AND($T79=2,COUNTIF($V30:AB30,TRUE)&gt;0,$S52),2,1)),2)</f>
        <v>2</v>
      </c>
      <c r="AJ87" s="343"/>
      <c r="AK87" s="1174" t="s">
        <v>2039</v>
      </c>
      <c r="AL87" s="1176" t="str">
        <f>IF(AND(CNTR_ExistSubInstEntries,COUNTIFS(AB87:AI87,2,G87:N87,"")&gt;0),EUconst_Error&amp;"FB"&amp;Q13,"")</f>
        <v/>
      </c>
      <c r="AM87" s="343"/>
    </row>
    <row r="88" spans="1:39" ht="12.75" customHeight="1" x14ac:dyDescent="0.25">
      <c r="A88" s="729" t="str">
        <f t="shared" si="4"/>
        <v/>
      </c>
      <c r="B88" s="698"/>
      <c r="C88" s="2906"/>
      <c r="D88" s="990">
        <v>3</v>
      </c>
      <c r="E88" s="1430" t="str">
        <f t="shared" si="25"/>
        <v/>
      </c>
      <c r="F88" s="1448" t="str">
        <f t="shared" si="26"/>
        <v>TJ</v>
      </c>
      <c r="G88" s="47"/>
      <c r="H88" s="119"/>
      <c r="I88" s="47"/>
      <c r="J88" s="119"/>
      <c r="K88" s="43"/>
      <c r="L88" s="43"/>
      <c r="M88" s="43"/>
      <c r="N88" s="43"/>
      <c r="O88" s="336"/>
      <c r="P88" s="158"/>
      <c r="Q88" s="694"/>
      <c r="R88" s="694"/>
      <c r="S88" s="1449" t="str">
        <f>IF($M13&lt;&gt;EUconst_Relevant,"",
IF($V13&gt;($J$1840-3),
              IF(INDEX(H69:N69,MATCH($V13,$T85:$Z85,0))=0,0,INDEX(H88:N88,MATCH($V13,$T85:$Z85,0))/INDEX(H69:N69,MATCH($V13,$T85:$Z85,0))),
                             IF(ISNUMBER(G69),
                                            IF(OR(G69=0,$S53=FALSE),0,G88/G69),"")))</f>
        <v/>
      </c>
      <c r="T88" s="1450" t="str">
        <f t="shared" ref="T88:Z88" si="30">IF($E88="","",IF(IFERROR(SUM($S88)=0,SUM($H88)),SUM(H88),SUM(H69)*SUM($S88)))</f>
        <v/>
      </c>
      <c r="U88" s="1450" t="str">
        <f t="shared" si="30"/>
        <v/>
      </c>
      <c r="V88" s="1450" t="str">
        <f t="shared" si="30"/>
        <v/>
      </c>
      <c r="W88" s="1450" t="str">
        <f t="shared" si="30"/>
        <v/>
      </c>
      <c r="X88" s="1450" t="str">
        <f t="shared" si="30"/>
        <v/>
      </c>
      <c r="Y88" s="1450" t="str">
        <f t="shared" si="30"/>
        <v/>
      </c>
      <c r="Z88" s="1451" t="str">
        <f t="shared" si="30"/>
        <v/>
      </c>
      <c r="AA88" s="694"/>
      <c r="AB88" s="1431">
        <f t="shared" si="29"/>
        <v>2</v>
      </c>
      <c r="AC88" s="1432">
        <f>IF(CNTR_ExistSubInstEntries,IF(OR($M13&lt;&gt;EUconst_Relevant,AC85&gt;=CNTR_ReportingYear,AC85&lt;$V13-1,$E88=""),0,IF(AND($T79=2,COUNTIF($V30:V30,TRUE)&gt;0,$S53),2,1)),2)</f>
        <v>2</v>
      </c>
      <c r="AD88" s="1432">
        <f>IF(CNTR_ExistSubInstEntries,IF(OR($M13&lt;&gt;EUconst_Relevant,AD85&gt;=CNTR_ReportingYear,AD85&lt;$V13-1,$E88=""),0,IF(AND($T79=2,COUNTIF($V30:W30,TRUE)&gt;0,$S53),2,1)),2)</f>
        <v>2</v>
      </c>
      <c r="AE88" s="1432">
        <f>IF(CNTR_ExistSubInstEntries,IF(OR($M13&lt;&gt;EUconst_Relevant,AE85&gt;=CNTR_ReportingYear,AE85&lt;$V13-1,$E88=""),0,IF(AND($T79=2,COUNTIF($V30:X30,TRUE)&gt;0,$S53),2,1)),2)</f>
        <v>2</v>
      </c>
      <c r="AF88" s="1432">
        <f>IF(CNTR_ExistSubInstEntries,IF(OR($M13&lt;&gt;EUconst_Relevant,AF85&gt;=CNTR_ReportingYear,AF85&lt;$V13-1,$E88=""),0,IF(AND($T79=2,COUNTIF($V30:Y30,TRUE)&gt;0,$S53),2,1)),2)</f>
        <v>2</v>
      </c>
      <c r="AG88" s="1432">
        <f>IF(CNTR_ExistSubInstEntries,IF(OR($M13&lt;&gt;EUconst_Relevant,AG85&gt;=CNTR_ReportingYear,AG85&lt;$V13-1,$E88=""),0,IF(AND($T79=2,COUNTIF($V30:Z30,TRUE)&gt;0,$S53),2,1)),2)</f>
        <v>2</v>
      </c>
      <c r="AH88" s="1432">
        <f>IF(CNTR_ExistSubInstEntries,IF(OR($M13&lt;&gt;EUconst_Relevant,AH85&gt;=CNTR_ReportingYear,AH85&lt;$V13-1,$E88=""),0,IF(AND($T79=2,COUNTIF($V30:AA30,TRUE)&gt;0,$S53),2,1)),2)</f>
        <v>2</v>
      </c>
      <c r="AI88" s="1452">
        <f>IF(CNTR_ExistSubInstEntries,IF(OR($M13&lt;&gt;EUconst_Relevant,AI85&gt;=CNTR_ReportingYear,AI85&lt;$V13-1,$E88=""),0,IF(AND($T79=2,COUNTIF($V30:AB30,TRUE)&gt;0,$S53),2,1)),2)</f>
        <v>2</v>
      </c>
      <c r="AJ88" s="343"/>
      <c r="AK88" s="1174" t="s">
        <v>2039</v>
      </c>
      <c r="AL88" s="1176" t="str">
        <f>IF(AND(CNTR_ExistSubInstEntries,COUNTIFS(AB88:AI88,2,G88:N88,"")&gt;0),EUconst_Error&amp;"FB"&amp;Q13,"")</f>
        <v/>
      </c>
      <c r="AM88" s="343"/>
    </row>
    <row r="89" spans="1:39" ht="12.75" customHeight="1" x14ac:dyDescent="0.25">
      <c r="A89" s="729" t="str">
        <f t="shared" si="4"/>
        <v/>
      </c>
      <c r="B89" s="698"/>
      <c r="C89" s="2906"/>
      <c r="D89" s="990">
        <v>4</v>
      </c>
      <c r="E89" s="1430" t="str">
        <f t="shared" si="25"/>
        <v/>
      </c>
      <c r="F89" s="1448" t="str">
        <f t="shared" si="26"/>
        <v>TJ</v>
      </c>
      <c r="G89" s="47"/>
      <c r="H89" s="119"/>
      <c r="I89" s="47"/>
      <c r="J89" s="119"/>
      <c r="K89" s="43"/>
      <c r="L89" s="43"/>
      <c r="M89" s="43"/>
      <c r="N89" s="43"/>
      <c r="O89" s="336"/>
      <c r="P89" s="158"/>
      <c r="Q89" s="694"/>
      <c r="R89" s="694"/>
      <c r="S89" s="1449" t="str">
        <f>IF($M13&lt;&gt;EUconst_Relevant,"",
IF($V13&gt;($J$1840-3),
              IF(INDEX(H70:N70,MATCH($V13,$T85:$Z85,0))=0,0,INDEX(H89:N89,MATCH($V13,$T85:$Z85,0))/INDEX(H70:N70,MATCH($V13,$T85:$Z85,0))),
                             IF(ISNUMBER(G70),
                                            IF(OR(G70=0,$S54=FALSE),0,G89/G70),"")))</f>
        <v/>
      </c>
      <c r="T89" s="1450" t="str">
        <f t="shared" ref="T89:Z89" si="31">IF($E89="","",IF(IFERROR(SUM($S89)=0,SUM($H89)),SUM(H89),SUM(H70)*SUM($S89)))</f>
        <v/>
      </c>
      <c r="U89" s="1450" t="str">
        <f t="shared" si="31"/>
        <v/>
      </c>
      <c r="V89" s="1450" t="str">
        <f t="shared" si="31"/>
        <v/>
      </c>
      <c r="W89" s="1450" t="str">
        <f t="shared" si="31"/>
        <v/>
      </c>
      <c r="X89" s="1450" t="str">
        <f t="shared" si="31"/>
        <v/>
      </c>
      <c r="Y89" s="1450" t="str">
        <f t="shared" si="31"/>
        <v/>
      </c>
      <c r="Z89" s="1451" t="str">
        <f t="shared" si="31"/>
        <v/>
      </c>
      <c r="AA89" s="694"/>
      <c r="AB89" s="1431">
        <f t="shared" si="29"/>
        <v>2</v>
      </c>
      <c r="AC89" s="1432">
        <f>IF(CNTR_ExistSubInstEntries,IF(OR($M13&lt;&gt;EUconst_Relevant,AC85&gt;=CNTR_ReportingYear,AC85&lt;$V13-1,$E89=""),0,IF(AND($T79=2,COUNTIF($V30:V30,TRUE)&gt;0,$S54),2,1)),2)</f>
        <v>2</v>
      </c>
      <c r="AD89" s="1432">
        <f>IF(CNTR_ExistSubInstEntries,IF(OR($M13&lt;&gt;EUconst_Relevant,AD85&gt;=CNTR_ReportingYear,AD85&lt;$V13-1,$E89=""),0,IF(AND($T79=2,COUNTIF($V30:W30,TRUE)&gt;0,$S54),2,1)),2)</f>
        <v>2</v>
      </c>
      <c r="AE89" s="1432">
        <f>IF(CNTR_ExistSubInstEntries,IF(OR($M13&lt;&gt;EUconst_Relevant,AE85&gt;=CNTR_ReportingYear,AE85&lt;$V13-1,$E89=""),0,IF(AND($T79=2,COUNTIF($V30:X30,TRUE)&gt;0,$S54),2,1)),2)</f>
        <v>2</v>
      </c>
      <c r="AF89" s="1432">
        <f>IF(CNTR_ExistSubInstEntries,IF(OR($M13&lt;&gt;EUconst_Relevant,AF85&gt;=CNTR_ReportingYear,AF85&lt;$V13-1,$E89=""),0,IF(AND($T79=2,COUNTIF($V30:Y30,TRUE)&gt;0,$S54),2,1)),2)</f>
        <v>2</v>
      </c>
      <c r="AG89" s="1432">
        <f>IF(CNTR_ExistSubInstEntries,IF(OR($M13&lt;&gt;EUconst_Relevant,AG85&gt;=CNTR_ReportingYear,AG85&lt;$V13-1,$E89=""),0,IF(AND($T79=2,COUNTIF($V30:Z30,TRUE)&gt;0,$S54),2,1)),2)</f>
        <v>2</v>
      </c>
      <c r="AH89" s="1432">
        <f>IF(CNTR_ExistSubInstEntries,IF(OR($M13&lt;&gt;EUconst_Relevant,AH85&gt;=CNTR_ReportingYear,AH85&lt;$V13-1,$E89=""),0,IF(AND($T79=2,COUNTIF($V30:AA30,TRUE)&gt;0,$S54),2,1)),2)</f>
        <v>2</v>
      </c>
      <c r="AI89" s="1452">
        <f>IF(CNTR_ExistSubInstEntries,IF(OR($M13&lt;&gt;EUconst_Relevant,AI85&gt;=CNTR_ReportingYear,AI85&lt;$V13-1,$E89=""),0,IF(AND($T79=2,COUNTIF($V30:AB30,TRUE)&gt;0,$S54),2,1)),2)</f>
        <v>2</v>
      </c>
      <c r="AJ89" s="343"/>
      <c r="AK89" s="1174" t="s">
        <v>2039</v>
      </c>
      <c r="AL89" s="1176" t="str">
        <f>IF(AND(CNTR_ExistSubInstEntries,COUNTIFS(AB89:AI89,2,G89:N89,"")&gt;0),EUconst_Error&amp;"FB"&amp;Q13,"")</f>
        <v/>
      </c>
      <c r="AM89" s="343"/>
    </row>
    <row r="90" spans="1:39" ht="12.75" customHeight="1" x14ac:dyDescent="0.25">
      <c r="A90" s="729" t="str">
        <f t="shared" si="4"/>
        <v/>
      </c>
      <c r="B90" s="698"/>
      <c r="C90" s="2906"/>
      <c r="D90" s="990">
        <v>5</v>
      </c>
      <c r="E90" s="1430" t="str">
        <f t="shared" si="25"/>
        <v/>
      </c>
      <c r="F90" s="1448" t="str">
        <f t="shared" si="26"/>
        <v>TJ</v>
      </c>
      <c r="G90" s="47"/>
      <c r="H90" s="119"/>
      <c r="I90" s="47"/>
      <c r="J90" s="119"/>
      <c r="K90" s="43"/>
      <c r="L90" s="43"/>
      <c r="M90" s="43"/>
      <c r="N90" s="43"/>
      <c r="O90" s="336"/>
      <c r="P90" s="158"/>
      <c r="Q90" s="694"/>
      <c r="R90" s="694"/>
      <c r="S90" s="1449" t="str">
        <f>IF($M13&lt;&gt;EUconst_Relevant,"",
IF($V13&gt;($J$1840-3),
              IF(INDEX(H71:N71,MATCH($V13,$T85:$Z85,0))=0,0,INDEX(H90:N90,MATCH($V13,$T85:$Z85,0))/INDEX(H71:N71,MATCH($V13,$T85:$Z85,0))),
                             IF(ISNUMBER(G71),
                                            IF(OR(G71=0,$S55=FALSE),0,G90/G71),"")))</f>
        <v/>
      </c>
      <c r="T90" s="1450" t="str">
        <f t="shared" ref="T90:Z90" si="32">IF($E90="","",IF(IFERROR(SUM($S90)=0,SUM($H90)),SUM(H90),SUM(H71)*SUM($S90)))</f>
        <v/>
      </c>
      <c r="U90" s="1450" t="str">
        <f t="shared" si="32"/>
        <v/>
      </c>
      <c r="V90" s="1450" t="str">
        <f t="shared" si="32"/>
        <v/>
      </c>
      <c r="W90" s="1450" t="str">
        <f t="shared" si="32"/>
        <v/>
      </c>
      <c r="X90" s="1450" t="str">
        <f t="shared" si="32"/>
        <v/>
      </c>
      <c r="Y90" s="1450" t="str">
        <f t="shared" si="32"/>
        <v/>
      </c>
      <c r="Z90" s="1451" t="str">
        <f t="shared" si="32"/>
        <v/>
      </c>
      <c r="AA90" s="694"/>
      <c r="AB90" s="1431">
        <f t="shared" si="29"/>
        <v>2</v>
      </c>
      <c r="AC90" s="1432">
        <f>IF(CNTR_ExistSubInstEntries,IF(OR($M13&lt;&gt;EUconst_Relevant,AC85&gt;=CNTR_ReportingYear,AC85&lt;$V13-1,$E90=""),0,IF(AND($T79=2,COUNTIF($V30:V30,TRUE)&gt;0,$S55),2,1)),2)</f>
        <v>2</v>
      </c>
      <c r="AD90" s="1432">
        <f>IF(CNTR_ExistSubInstEntries,IF(OR($M13&lt;&gt;EUconst_Relevant,AD85&gt;=CNTR_ReportingYear,AD85&lt;$V13-1,$E90=""),0,IF(AND($T79=2,COUNTIF($V30:W30,TRUE)&gt;0,$S55),2,1)),2)</f>
        <v>2</v>
      </c>
      <c r="AE90" s="1432">
        <f>IF(CNTR_ExistSubInstEntries,IF(OR($M13&lt;&gt;EUconst_Relevant,AE85&gt;=CNTR_ReportingYear,AE85&lt;$V13-1,$E90=""),0,IF(AND($T79=2,COUNTIF($V30:X30,TRUE)&gt;0,$S55),2,1)),2)</f>
        <v>2</v>
      </c>
      <c r="AF90" s="1432">
        <f>IF(CNTR_ExistSubInstEntries,IF(OR($M13&lt;&gt;EUconst_Relevant,AF85&gt;=CNTR_ReportingYear,AF85&lt;$V13-1,$E90=""),0,IF(AND($T79=2,COUNTIF($V30:Y30,TRUE)&gt;0,$S55),2,1)),2)</f>
        <v>2</v>
      </c>
      <c r="AG90" s="1432">
        <f>IF(CNTR_ExistSubInstEntries,IF(OR($M13&lt;&gt;EUconst_Relevant,AG85&gt;=CNTR_ReportingYear,AG85&lt;$V13-1,$E90=""),0,IF(AND($T79=2,COUNTIF($V30:Z30,TRUE)&gt;0,$S55),2,1)),2)</f>
        <v>2</v>
      </c>
      <c r="AH90" s="1432">
        <f>IF(CNTR_ExistSubInstEntries,IF(OR($M13&lt;&gt;EUconst_Relevant,AH85&gt;=CNTR_ReportingYear,AH85&lt;$V13-1,$E90=""),0,IF(AND($T79=2,COUNTIF($V30:AA30,TRUE)&gt;0,$S55),2,1)),2)</f>
        <v>2</v>
      </c>
      <c r="AI90" s="1452">
        <f>IF(CNTR_ExistSubInstEntries,IF(OR($M13&lt;&gt;EUconst_Relevant,AI85&gt;=CNTR_ReportingYear,AI85&lt;$V13-1,$E90=""),0,IF(AND($T79=2,COUNTIF($V30:AB30,TRUE)&gt;0,$S55),2,1)),2)</f>
        <v>2</v>
      </c>
      <c r="AJ90" s="343"/>
      <c r="AK90" s="1174" t="s">
        <v>2039</v>
      </c>
      <c r="AL90" s="1176" t="str">
        <f>IF(AND(CNTR_ExistSubInstEntries,COUNTIFS(AB90:AI90,2,G90:N90,"")&gt;0),EUconst_Error&amp;"FB"&amp;Q13,"")</f>
        <v/>
      </c>
      <c r="AM90" s="343"/>
    </row>
    <row r="91" spans="1:39" ht="12.75" customHeight="1" x14ac:dyDescent="0.25">
      <c r="A91" s="729" t="str">
        <f t="shared" si="4"/>
        <v/>
      </c>
      <c r="B91" s="698"/>
      <c r="C91" s="2906"/>
      <c r="D91" s="990">
        <v>6</v>
      </c>
      <c r="E91" s="1430" t="str">
        <f t="shared" si="25"/>
        <v/>
      </c>
      <c r="F91" s="1448" t="str">
        <f t="shared" si="26"/>
        <v>TJ</v>
      </c>
      <c r="G91" s="47"/>
      <c r="H91" s="119"/>
      <c r="I91" s="47"/>
      <c r="J91" s="119"/>
      <c r="K91" s="43"/>
      <c r="L91" s="43"/>
      <c r="M91" s="43"/>
      <c r="N91" s="43"/>
      <c r="O91" s="336"/>
      <c r="P91" s="158"/>
      <c r="Q91" s="694"/>
      <c r="R91" s="694"/>
      <c r="S91" s="1449" t="str">
        <f>IF($M13&lt;&gt;EUconst_Relevant,"",
IF($V13&gt;($J$1840-3),
              IF(INDEX(H72:N72,MATCH($V13,$T85:$Z85,0))=0,0,INDEX(H91:N91,MATCH($V13,$T85:$Z85,0))/INDEX(H72:N72,MATCH($V13,$T85:$Z85,0))),
                             IF(ISNUMBER(G72),
                                            IF(OR(G72=0,$S56=FALSE),0,G91/G72),"")))</f>
        <v/>
      </c>
      <c r="T91" s="1450" t="str">
        <f t="shared" ref="T91:Z91" si="33">IF($E91="","",IF(IFERROR(SUM($S91)=0,SUM($H91)),SUM(H91),SUM(H72)*SUM($S91)))</f>
        <v/>
      </c>
      <c r="U91" s="1450" t="str">
        <f t="shared" si="33"/>
        <v/>
      </c>
      <c r="V91" s="1450" t="str">
        <f t="shared" si="33"/>
        <v/>
      </c>
      <c r="W91" s="1450" t="str">
        <f t="shared" si="33"/>
        <v/>
      </c>
      <c r="X91" s="1450" t="str">
        <f t="shared" si="33"/>
        <v/>
      </c>
      <c r="Y91" s="1450" t="str">
        <f t="shared" si="33"/>
        <v/>
      </c>
      <c r="Z91" s="1451" t="str">
        <f t="shared" si="33"/>
        <v/>
      </c>
      <c r="AA91" s="694"/>
      <c r="AB91" s="1431">
        <f t="shared" si="29"/>
        <v>2</v>
      </c>
      <c r="AC91" s="1432">
        <f>IF(CNTR_ExistSubInstEntries,IF(OR($M13&lt;&gt;EUconst_Relevant,AC85&gt;=CNTR_ReportingYear,AC85&lt;$V13-1,$E91=""),0,IF(AND($T79=2,COUNTIF($V30:V30,TRUE)&gt;0,$S56),2,1)),2)</f>
        <v>2</v>
      </c>
      <c r="AD91" s="1432">
        <f>IF(CNTR_ExistSubInstEntries,IF(OR($M13&lt;&gt;EUconst_Relevant,AD85&gt;=CNTR_ReportingYear,AD85&lt;$V13-1,$E91=""),0,IF(AND($T79=2,COUNTIF($V30:W30,TRUE)&gt;0,$S56),2,1)),2)</f>
        <v>2</v>
      </c>
      <c r="AE91" s="1432">
        <f>IF(CNTR_ExistSubInstEntries,IF(OR($M13&lt;&gt;EUconst_Relevant,AE85&gt;=CNTR_ReportingYear,AE85&lt;$V13-1,$E91=""),0,IF(AND($T79=2,COUNTIF($V30:X30,TRUE)&gt;0,$S56),2,1)),2)</f>
        <v>2</v>
      </c>
      <c r="AF91" s="1432">
        <f>IF(CNTR_ExistSubInstEntries,IF(OR($M13&lt;&gt;EUconst_Relevant,AF85&gt;=CNTR_ReportingYear,AF85&lt;$V13-1,$E91=""),0,IF(AND($T79=2,COUNTIF($V30:Y30,TRUE)&gt;0,$S56),2,1)),2)</f>
        <v>2</v>
      </c>
      <c r="AG91" s="1432">
        <f>IF(CNTR_ExistSubInstEntries,IF(OR($M13&lt;&gt;EUconst_Relevant,AG85&gt;=CNTR_ReportingYear,AG85&lt;$V13-1,$E91=""),0,IF(AND($T79=2,COUNTIF($V30:Z30,TRUE)&gt;0,$S56),2,1)),2)</f>
        <v>2</v>
      </c>
      <c r="AH91" s="1432">
        <f>IF(CNTR_ExistSubInstEntries,IF(OR($M13&lt;&gt;EUconst_Relevant,AH85&gt;=CNTR_ReportingYear,AH85&lt;$V13-1,$E91=""),0,IF(AND($T79=2,COUNTIF($V30:AA30,TRUE)&gt;0,$S56),2,1)),2)</f>
        <v>2</v>
      </c>
      <c r="AI91" s="1452">
        <f>IF(CNTR_ExistSubInstEntries,IF(OR($M13&lt;&gt;EUconst_Relevant,AI85&gt;=CNTR_ReportingYear,AI85&lt;$V13-1,$E91=""),0,IF(AND($T79=2,COUNTIF($V30:AB30,TRUE)&gt;0,$S56),2,1)),2)</f>
        <v>2</v>
      </c>
      <c r="AJ91" s="343"/>
      <c r="AK91" s="1174" t="s">
        <v>2039</v>
      </c>
      <c r="AL91" s="1176" t="str">
        <f>IF(AND(CNTR_ExistSubInstEntries,COUNTIFS(AB91:AI91,2,G91:N91,"")&gt;0),EUconst_Error&amp;"FB"&amp;Q13,"")</f>
        <v/>
      </c>
      <c r="AM91" s="343"/>
    </row>
    <row r="92" spans="1:39" ht="12.75" customHeight="1" x14ac:dyDescent="0.25">
      <c r="A92" s="729" t="str">
        <f t="shared" si="4"/>
        <v/>
      </c>
      <c r="B92" s="698"/>
      <c r="C92" s="2906"/>
      <c r="D92" s="990">
        <v>7</v>
      </c>
      <c r="E92" s="1430" t="str">
        <f t="shared" si="25"/>
        <v/>
      </c>
      <c r="F92" s="1448" t="str">
        <f t="shared" si="26"/>
        <v>TJ</v>
      </c>
      <c r="G92" s="47"/>
      <c r="H92" s="119"/>
      <c r="I92" s="47"/>
      <c r="J92" s="119"/>
      <c r="K92" s="43"/>
      <c r="L92" s="43"/>
      <c r="M92" s="43"/>
      <c r="N92" s="43"/>
      <c r="O92" s="336"/>
      <c r="P92" s="158"/>
      <c r="Q92" s="694"/>
      <c r="R92" s="694"/>
      <c r="S92" s="1449" t="str">
        <f>IF($M13&lt;&gt;EUconst_Relevant,"",
IF($V13&gt;($J$1840-3),
              IF(INDEX(H73:N73,MATCH($V13,$T85:$Z85,0))=0,0,INDEX(H92:N92,MATCH($V13,$T85:$Z85,0))/INDEX(H73:N73,MATCH($V13,$T85:$Z85,0))),
                             IF(ISNUMBER(G73),
                                            IF(OR(G73=0,$S57=FALSE),0,G92/G73),"")))</f>
        <v/>
      </c>
      <c r="T92" s="1450" t="str">
        <f t="shared" ref="T92:Z92" si="34">IF($E92="","",IF(IFERROR(SUM($S92)=0,SUM($H92)),SUM(H92),SUM(H73)*SUM($S92)))</f>
        <v/>
      </c>
      <c r="U92" s="1450" t="str">
        <f t="shared" si="34"/>
        <v/>
      </c>
      <c r="V92" s="1450" t="str">
        <f t="shared" si="34"/>
        <v/>
      </c>
      <c r="W92" s="1450" t="str">
        <f t="shared" si="34"/>
        <v/>
      </c>
      <c r="X92" s="1450" t="str">
        <f t="shared" si="34"/>
        <v/>
      </c>
      <c r="Y92" s="1450" t="str">
        <f t="shared" si="34"/>
        <v/>
      </c>
      <c r="Z92" s="1451" t="str">
        <f t="shared" si="34"/>
        <v/>
      </c>
      <c r="AA92" s="694"/>
      <c r="AB92" s="1431">
        <f t="shared" si="29"/>
        <v>2</v>
      </c>
      <c r="AC92" s="1432">
        <f>IF(CNTR_ExistSubInstEntries,IF(OR($M13&lt;&gt;EUconst_Relevant,AC85&gt;=CNTR_ReportingYear,AC85&lt;$V13-1,$E92=""),0,IF(AND($T79=2,COUNTIF($V30:V30,TRUE)&gt;0,$S57),2,1)),2)</f>
        <v>2</v>
      </c>
      <c r="AD92" s="1432">
        <f>IF(CNTR_ExistSubInstEntries,IF(OR($M13&lt;&gt;EUconst_Relevant,AD85&gt;=CNTR_ReportingYear,AD85&lt;$V13-1,$E92=""),0,IF(AND($T79=2,COUNTIF($V30:W30,TRUE)&gt;0,$S57),2,1)),2)</f>
        <v>2</v>
      </c>
      <c r="AE92" s="1432">
        <f>IF(CNTR_ExistSubInstEntries,IF(OR($M13&lt;&gt;EUconst_Relevant,AE85&gt;=CNTR_ReportingYear,AE85&lt;$V13-1,$E92=""),0,IF(AND($T79=2,COUNTIF($V30:X30,TRUE)&gt;0,$S57),2,1)),2)</f>
        <v>2</v>
      </c>
      <c r="AF92" s="1432">
        <f>IF(CNTR_ExistSubInstEntries,IF(OR($M13&lt;&gt;EUconst_Relevant,AF85&gt;=CNTR_ReportingYear,AF85&lt;$V13-1,$E92=""),0,IF(AND($T79=2,COUNTIF($V30:Y30,TRUE)&gt;0,$S57),2,1)),2)</f>
        <v>2</v>
      </c>
      <c r="AG92" s="1432">
        <f>IF(CNTR_ExistSubInstEntries,IF(OR($M13&lt;&gt;EUconst_Relevant,AG85&gt;=CNTR_ReportingYear,AG85&lt;$V13-1,$E92=""),0,IF(AND($T79=2,COUNTIF($V30:Z30,TRUE)&gt;0,$S57),2,1)),2)</f>
        <v>2</v>
      </c>
      <c r="AH92" s="1432">
        <f>IF(CNTR_ExistSubInstEntries,IF(OR($M13&lt;&gt;EUconst_Relevant,AH85&gt;=CNTR_ReportingYear,AH85&lt;$V13-1,$E92=""),0,IF(AND($T79=2,COUNTIF($V30:AA30,TRUE)&gt;0,$S57),2,1)),2)</f>
        <v>2</v>
      </c>
      <c r="AI92" s="1452">
        <f>IF(CNTR_ExistSubInstEntries,IF(OR($M13&lt;&gt;EUconst_Relevant,AI85&gt;=CNTR_ReportingYear,AI85&lt;$V13-1,$E92=""),0,IF(AND($T79=2,COUNTIF($V30:AB30,TRUE)&gt;0,$S57),2,1)),2)</f>
        <v>2</v>
      </c>
      <c r="AJ92" s="343"/>
      <c r="AK92" s="1174" t="s">
        <v>2039</v>
      </c>
      <c r="AL92" s="1176" t="str">
        <f>IF(AND(CNTR_ExistSubInstEntries,COUNTIFS(AB92:AI92,2,G92:N92,"")&gt;0),EUconst_Error&amp;"FB"&amp;Q13,"")</f>
        <v/>
      </c>
      <c r="AM92" s="343"/>
    </row>
    <row r="93" spans="1:39" ht="12.75" customHeight="1" x14ac:dyDescent="0.25">
      <c r="A93" s="729" t="str">
        <f t="shared" si="4"/>
        <v/>
      </c>
      <c r="B93" s="698"/>
      <c r="C93" s="2906"/>
      <c r="D93" s="990">
        <v>8</v>
      </c>
      <c r="E93" s="1430" t="str">
        <f t="shared" si="25"/>
        <v/>
      </c>
      <c r="F93" s="1448" t="str">
        <f t="shared" si="26"/>
        <v>TJ</v>
      </c>
      <c r="G93" s="47"/>
      <c r="H93" s="119"/>
      <c r="I93" s="47"/>
      <c r="J93" s="119"/>
      <c r="K93" s="43"/>
      <c r="L93" s="43"/>
      <c r="M93" s="43"/>
      <c r="N93" s="43"/>
      <c r="O93" s="336"/>
      <c r="P93" s="158"/>
      <c r="Q93" s="694"/>
      <c r="R93" s="694"/>
      <c r="S93" s="1449" t="str">
        <f>IF($M13&lt;&gt;EUconst_Relevant,"",
IF($V13&gt;($J$1840-3),
              IF(INDEX(H74:N74,MATCH($V13,$T85:$Z85,0))=0,0,INDEX(H93:N93,MATCH($V13,$T85:$Z85,0))/INDEX(H74:N74,MATCH($V13,$T85:$Z85,0))),
                             IF(ISNUMBER(G74),
                                            IF(OR(G74=0,$S58=FALSE),0,G93/G74),"")))</f>
        <v/>
      </c>
      <c r="T93" s="1450" t="str">
        <f t="shared" ref="T93:Z93" si="35">IF($E93="","",IF(IFERROR(SUM($S93)=0,SUM($H93)),SUM(H93),SUM(H74)*SUM($S93)))</f>
        <v/>
      </c>
      <c r="U93" s="1450" t="str">
        <f t="shared" si="35"/>
        <v/>
      </c>
      <c r="V93" s="1450" t="str">
        <f t="shared" si="35"/>
        <v/>
      </c>
      <c r="W93" s="1450" t="str">
        <f t="shared" si="35"/>
        <v/>
      </c>
      <c r="X93" s="1450" t="str">
        <f t="shared" si="35"/>
        <v/>
      </c>
      <c r="Y93" s="1450" t="str">
        <f t="shared" si="35"/>
        <v/>
      </c>
      <c r="Z93" s="1451" t="str">
        <f t="shared" si="35"/>
        <v/>
      </c>
      <c r="AA93" s="694"/>
      <c r="AB93" s="1431">
        <f t="shared" si="29"/>
        <v>2</v>
      </c>
      <c r="AC93" s="1432">
        <f>IF(CNTR_ExistSubInstEntries,IF(OR($M13&lt;&gt;EUconst_Relevant,AC85&gt;=CNTR_ReportingYear,AC85&lt;$V13-1,$E93=""),0,IF(AND($T79=2,COUNTIF($V30:V30,TRUE)&gt;0,$S58),2,1)),2)</f>
        <v>2</v>
      </c>
      <c r="AD93" s="1432">
        <f>IF(CNTR_ExistSubInstEntries,IF(OR($M13&lt;&gt;EUconst_Relevant,AD85&gt;=CNTR_ReportingYear,AD85&lt;$V13-1,$E93=""),0,IF(AND($T79=2,COUNTIF($V30:W30,TRUE)&gt;0,$S58),2,1)),2)</f>
        <v>2</v>
      </c>
      <c r="AE93" s="1432">
        <f>IF(CNTR_ExistSubInstEntries,IF(OR($M13&lt;&gt;EUconst_Relevant,AE85&gt;=CNTR_ReportingYear,AE85&lt;$V13-1,$E93=""),0,IF(AND($T79=2,COUNTIF($V30:X30,TRUE)&gt;0,$S58),2,1)),2)</f>
        <v>2</v>
      </c>
      <c r="AF93" s="1432">
        <f>IF(CNTR_ExistSubInstEntries,IF(OR($M13&lt;&gt;EUconst_Relevant,AF85&gt;=CNTR_ReportingYear,AF85&lt;$V13-1,$E93=""),0,IF(AND($T79=2,COUNTIF($V30:Y30,TRUE)&gt;0,$S58),2,1)),2)</f>
        <v>2</v>
      </c>
      <c r="AG93" s="1432">
        <f>IF(CNTR_ExistSubInstEntries,IF(OR($M13&lt;&gt;EUconst_Relevant,AG85&gt;=CNTR_ReportingYear,AG85&lt;$V13-1,$E93=""),0,IF(AND($T79=2,COUNTIF($V30:Z30,TRUE)&gt;0,$S58),2,1)),2)</f>
        <v>2</v>
      </c>
      <c r="AH93" s="1432">
        <f>IF(CNTR_ExistSubInstEntries,IF(OR($M13&lt;&gt;EUconst_Relevant,AH85&gt;=CNTR_ReportingYear,AH85&lt;$V13-1,$E93=""),0,IF(AND($T79=2,COUNTIF($V30:AA30,TRUE)&gt;0,$S58),2,1)),2)</f>
        <v>2</v>
      </c>
      <c r="AI93" s="1452">
        <f>IF(CNTR_ExistSubInstEntries,IF(OR($M13&lt;&gt;EUconst_Relevant,AI85&gt;=CNTR_ReportingYear,AI85&lt;$V13-1,$E93=""),0,IF(AND($T79=2,COUNTIF($V30:AB30,TRUE)&gt;0,$S58),2,1)),2)</f>
        <v>2</v>
      </c>
      <c r="AJ93" s="343"/>
      <c r="AK93" s="1174" t="s">
        <v>2039</v>
      </c>
      <c r="AL93" s="1176" t="str">
        <f>IF(AND(CNTR_ExistSubInstEntries,COUNTIFS(AB93:AI93,2,G93:N93,"")&gt;0),EUconst_Error&amp;"FB"&amp;Q13,"")</f>
        <v/>
      </c>
      <c r="AM93" s="343"/>
    </row>
    <row r="94" spans="1:39" ht="12.75" customHeight="1" x14ac:dyDescent="0.25">
      <c r="A94" s="729" t="str">
        <f t="shared" si="4"/>
        <v/>
      </c>
      <c r="B94" s="698"/>
      <c r="C94" s="2906"/>
      <c r="D94" s="990">
        <v>9</v>
      </c>
      <c r="E94" s="1430" t="str">
        <f t="shared" si="25"/>
        <v/>
      </c>
      <c r="F94" s="1448" t="str">
        <f t="shared" si="26"/>
        <v>TJ</v>
      </c>
      <c r="G94" s="47"/>
      <c r="H94" s="119"/>
      <c r="I94" s="47"/>
      <c r="J94" s="119"/>
      <c r="K94" s="43"/>
      <c r="L94" s="43"/>
      <c r="M94" s="43"/>
      <c r="N94" s="43"/>
      <c r="O94" s="302"/>
      <c r="P94" s="158"/>
      <c r="Q94" s="694"/>
      <c r="R94" s="694"/>
      <c r="S94" s="1449" t="str">
        <f>IF($M13&lt;&gt;EUconst_Relevant,"",
IF($V13&gt;($J$1840-3),
              IF(INDEX(H75:N75,MATCH($V13,$T85:$Z85,0))=0,0,INDEX(H94:N94,MATCH($V13,$T85:$Z85,0))/INDEX(H75:N75,MATCH($V13,$T85:$Z85,0))),
                             IF(ISNUMBER(G75),
                                            IF(OR(G75=0,$S59=FALSE),0,G94/G75),"")))</f>
        <v/>
      </c>
      <c r="T94" s="1450" t="str">
        <f t="shared" ref="T94:Z94" si="36">IF($E94="","",IF(IFERROR(SUM($S94)=0,SUM($H94)),SUM(H94),SUM(H75)*SUM($S94)))</f>
        <v/>
      </c>
      <c r="U94" s="1450" t="str">
        <f t="shared" si="36"/>
        <v/>
      </c>
      <c r="V94" s="1450" t="str">
        <f t="shared" si="36"/>
        <v/>
      </c>
      <c r="W94" s="1450" t="str">
        <f t="shared" si="36"/>
        <v/>
      </c>
      <c r="X94" s="1450" t="str">
        <f t="shared" si="36"/>
        <v/>
      </c>
      <c r="Y94" s="1450" t="str">
        <f t="shared" si="36"/>
        <v/>
      </c>
      <c r="Z94" s="1451" t="str">
        <f t="shared" si="36"/>
        <v/>
      </c>
      <c r="AA94" s="694"/>
      <c r="AB94" s="1431">
        <f t="shared" si="29"/>
        <v>2</v>
      </c>
      <c r="AC94" s="1432">
        <f>IF(CNTR_ExistSubInstEntries,IF(OR($M13&lt;&gt;EUconst_Relevant,AC85&gt;=CNTR_ReportingYear,AC85&lt;$V13-1,$E94=""),0,IF(AND($T79=2,COUNTIF($V30:V30,TRUE)&gt;0,$S59),2,1)),2)</f>
        <v>2</v>
      </c>
      <c r="AD94" s="1432">
        <f>IF(CNTR_ExistSubInstEntries,IF(OR($M13&lt;&gt;EUconst_Relevant,AD85&gt;=CNTR_ReportingYear,AD85&lt;$V13-1,$E94=""),0,IF(AND($T79=2,COUNTIF($V30:W30,TRUE)&gt;0,$S59),2,1)),2)</f>
        <v>2</v>
      </c>
      <c r="AE94" s="1432">
        <f>IF(CNTR_ExistSubInstEntries,IF(OR($M13&lt;&gt;EUconst_Relevant,AE85&gt;=CNTR_ReportingYear,AE85&lt;$V13-1,$E94=""),0,IF(AND($T79=2,COUNTIF($V30:X30,TRUE)&gt;0,$S59),2,1)),2)</f>
        <v>2</v>
      </c>
      <c r="AF94" s="1432">
        <f>IF(CNTR_ExistSubInstEntries,IF(OR($M13&lt;&gt;EUconst_Relevant,AF85&gt;=CNTR_ReportingYear,AF85&lt;$V13-1,$E94=""),0,IF(AND($T79=2,COUNTIF($V30:Y30,TRUE)&gt;0,$S59),2,1)),2)</f>
        <v>2</v>
      </c>
      <c r="AG94" s="1432">
        <f>IF(CNTR_ExistSubInstEntries,IF(OR($M13&lt;&gt;EUconst_Relevant,AG85&gt;=CNTR_ReportingYear,AG85&lt;$V13-1,$E94=""),0,IF(AND($T79=2,COUNTIF($V30:Z30,TRUE)&gt;0,$S59),2,1)),2)</f>
        <v>2</v>
      </c>
      <c r="AH94" s="1432">
        <f>IF(CNTR_ExistSubInstEntries,IF(OR($M13&lt;&gt;EUconst_Relevant,AH85&gt;=CNTR_ReportingYear,AH85&lt;$V13-1,$E94=""),0,IF(AND($T79=2,COUNTIF($V30:AA30,TRUE)&gt;0,$S59),2,1)),2)</f>
        <v>2</v>
      </c>
      <c r="AI94" s="1452">
        <f>IF(CNTR_ExistSubInstEntries,IF(OR($M13&lt;&gt;EUconst_Relevant,AI85&gt;=CNTR_ReportingYear,AI85&lt;$V13-1,$E94=""),0,IF(AND($T79=2,COUNTIF($V30:AB30,TRUE)&gt;0,$S59),2,1)),2)</f>
        <v>2</v>
      </c>
      <c r="AJ94" s="343"/>
      <c r="AK94" s="1174" t="s">
        <v>2039</v>
      </c>
      <c r="AL94" s="1176" t="str">
        <f>IF(AND(CNTR_ExistSubInstEntries,COUNTIFS(AB94:AI94,2,G94:N94,"")&gt;0),EUconst_Error&amp;"FB"&amp;Q13,"")</f>
        <v/>
      </c>
      <c r="AM94" s="343"/>
    </row>
    <row r="95" spans="1:39" ht="12.75" customHeight="1" thickBot="1" x14ac:dyDescent="0.3">
      <c r="A95" s="729" t="str">
        <f t="shared" si="4"/>
        <v/>
      </c>
      <c r="B95" s="698"/>
      <c r="C95" s="2906"/>
      <c r="D95" s="994">
        <v>10</v>
      </c>
      <c r="E95" s="1435" t="str">
        <f t="shared" si="25"/>
        <v/>
      </c>
      <c r="F95" s="1453" t="str">
        <f t="shared" si="26"/>
        <v>TJ</v>
      </c>
      <c r="G95" s="48"/>
      <c r="H95" s="117"/>
      <c r="I95" s="48"/>
      <c r="J95" s="117"/>
      <c r="K95" s="38"/>
      <c r="L95" s="38"/>
      <c r="M95" s="38"/>
      <c r="N95" s="38"/>
      <c r="O95" s="302"/>
      <c r="P95" s="158"/>
      <c r="Q95" s="694"/>
      <c r="R95" s="694"/>
      <c r="S95" s="1454" t="str">
        <f>IF($M13&lt;&gt;EUconst_Relevant,"",
IF($V13&gt;($J$1840-3),
              IF(INDEX(H76:N76,MATCH($V13,$T85:$Z85,0))=0,0,INDEX(H95:N95,MATCH($V13,$T85:$Z85,0))/INDEX(H76:N76,MATCH($V13,$T85:$Z85,0))),
                             IF(ISNUMBER(G76),
                                            IF(OR(G76=0,$S60=FALSE),0,G95/G76),"")))</f>
        <v/>
      </c>
      <c r="T95" s="1455" t="str">
        <f t="shared" ref="T95:Z95" si="37">IF($E95="","",IF(IFERROR(SUM($S95)=0,SUM($H95)),SUM(H95),SUM(H76)*SUM($S95)))</f>
        <v/>
      </c>
      <c r="U95" s="1455" t="str">
        <f t="shared" si="37"/>
        <v/>
      </c>
      <c r="V95" s="1455" t="str">
        <f t="shared" si="37"/>
        <v/>
      </c>
      <c r="W95" s="1455" t="str">
        <f t="shared" si="37"/>
        <v/>
      </c>
      <c r="X95" s="1455" t="str">
        <f t="shared" si="37"/>
        <v/>
      </c>
      <c r="Y95" s="1455" t="str">
        <f t="shared" si="37"/>
        <v/>
      </c>
      <c r="Z95" s="1456" t="str">
        <f t="shared" si="37"/>
        <v/>
      </c>
      <c r="AA95" s="694"/>
      <c r="AB95" s="1436">
        <f t="shared" si="29"/>
        <v>2</v>
      </c>
      <c r="AC95" s="1437">
        <f>IF(CNTR_ExistSubInstEntries,IF(OR($M13&lt;&gt;EUconst_Relevant,AC85&gt;=CNTR_ReportingYear,AC85&lt;$V13-1,$E95=""),0,IF(AND($T79=2,COUNTIF($V30:V30,TRUE)&gt;0,$S60),2,1)),2)</f>
        <v>2</v>
      </c>
      <c r="AD95" s="1437">
        <f>IF(CNTR_ExistSubInstEntries,IF(OR($M13&lt;&gt;EUconst_Relevant,AD85&gt;=CNTR_ReportingYear,AD85&lt;$V13-1,$E95=""),0,IF(AND($T79=2,COUNTIF($V30:W30,TRUE)&gt;0,$S60),2,1)),2)</f>
        <v>2</v>
      </c>
      <c r="AE95" s="1437">
        <f>IF(CNTR_ExistSubInstEntries,IF(OR($M13&lt;&gt;EUconst_Relevant,AE85&gt;=CNTR_ReportingYear,AE85&lt;$V13-1,$E95=""),0,IF(AND($T79=2,COUNTIF($V30:X30,TRUE)&gt;0,$S60),2,1)),2)</f>
        <v>2</v>
      </c>
      <c r="AF95" s="1437">
        <f>IF(CNTR_ExistSubInstEntries,IF(OR($M13&lt;&gt;EUconst_Relevant,AF85&gt;=CNTR_ReportingYear,AF85&lt;$V13-1,$E95=""),0,IF(AND($T79=2,COUNTIF($V30:Y30,TRUE)&gt;0,$S60),2,1)),2)</f>
        <v>2</v>
      </c>
      <c r="AG95" s="1437">
        <f>IF(CNTR_ExistSubInstEntries,IF(OR($M13&lt;&gt;EUconst_Relevant,AG85&gt;=CNTR_ReportingYear,AG85&lt;$V13-1,$E95=""),0,IF(AND($T79=2,COUNTIF($V30:Z30,TRUE)&gt;0,$S60),2,1)),2)</f>
        <v>2</v>
      </c>
      <c r="AH95" s="1437">
        <f>IF(CNTR_ExistSubInstEntries,IF(OR($M13&lt;&gt;EUconst_Relevant,AH85&gt;=CNTR_ReportingYear,AH85&lt;$V13-1,$E95=""),0,IF(AND($T79=2,COUNTIF($V30:AA30,TRUE)&gt;0,$S60),2,1)),2)</f>
        <v>2</v>
      </c>
      <c r="AI95" s="1457">
        <f>IF(CNTR_ExistSubInstEntries,IF(OR($M13&lt;&gt;EUconst_Relevant,AI85&gt;=CNTR_ReportingYear,AI85&lt;$V13-1,$E95=""),0,IF(AND($T79=2,COUNTIF($V30:AB30,TRUE)&gt;0,$S60),2,1)),2)</f>
        <v>2</v>
      </c>
      <c r="AJ95" s="343"/>
      <c r="AK95" s="1174" t="s">
        <v>2039</v>
      </c>
      <c r="AL95" s="1176" t="str">
        <f>IF(AND(CNTR_ExistSubInstEntries,COUNTIFS(AB95:AI95,2,G95:N95,"")&gt;0),EUconst_Error&amp;"FB"&amp;Q13,"")</f>
        <v/>
      </c>
      <c r="AM95" s="343"/>
    </row>
    <row r="96" spans="1:39" ht="12.75" customHeight="1" thickBot="1" x14ac:dyDescent="0.3">
      <c r="A96" s="729" t="str">
        <f t="shared" si="4"/>
        <v/>
      </c>
      <c r="B96" s="698"/>
      <c r="C96" s="2906"/>
      <c r="D96" s="1293"/>
      <c r="E96" s="1458" t="str">
        <f>Translations!$B$1338</f>
        <v>Общо потребление</v>
      </c>
      <c r="F96" s="1453" t="str">
        <f t="shared" si="26"/>
        <v>TJ</v>
      </c>
      <c r="G96" s="1296" t="str">
        <f t="shared" ref="G96:N96" si="38">IF(COUNT(G86:G95)&gt;0,SUMIF($S51:$S60,TRUE,G86:G95),"")</f>
        <v/>
      </c>
      <c r="H96" s="1297" t="str">
        <f t="shared" si="38"/>
        <v/>
      </c>
      <c r="I96" s="1296" t="str">
        <f t="shared" si="38"/>
        <v/>
      </c>
      <c r="J96" s="1297" t="str">
        <f t="shared" si="38"/>
        <v/>
      </c>
      <c r="K96" s="1104" t="str">
        <f t="shared" si="38"/>
        <v/>
      </c>
      <c r="L96" s="1104" t="str">
        <f t="shared" si="38"/>
        <v/>
      </c>
      <c r="M96" s="1104" t="str">
        <f t="shared" si="38"/>
        <v/>
      </c>
      <c r="N96" s="1104" t="str">
        <f t="shared" si="38"/>
        <v/>
      </c>
      <c r="O96" s="302"/>
      <c r="P96" s="336"/>
      <c r="Q96" s="694"/>
      <c r="R96" s="694"/>
      <c r="S96" s="694"/>
      <c r="T96" s="1459">
        <f>SUM(T86:T95)</f>
        <v>0</v>
      </c>
      <c r="U96" s="1460">
        <f t="shared" ref="U96:Z96" si="39">SUM(U86:U95)</f>
        <v>0</v>
      </c>
      <c r="V96" s="1460">
        <f t="shared" si="39"/>
        <v>0</v>
      </c>
      <c r="W96" s="1460">
        <f t="shared" si="39"/>
        <v>0</v>
      </c>
      <c r="X96" s="1460">
        <f t="shared" si="39"/>
        <v>0</v>
      </c>
      <c r="Y96" s="1460">
        <f t="shared" si="39"/>
        <v>0</v>
      </c>
      <c r="Z96" s="1461">
        <f t="shared" si="39"/>
        <v>0</v>
      </c>
      <c r="AA96" s="694"/>
      <c r="AB96" s="729"/>
      <c r="AC96" s="694"/>
      <c r="AD96" s="694"/>
      <c r="AE96" s="343"/>
      <c r="AF96" s="343"/>
      <c r="AG96" s="343"/>
      <c r="AH96" s="343"/>
      <c r="AI96" s="343"/>
      <c r="AJ96" s="343"/>
      <c r="AK96" s="343"/>
      <c r="AL96" s="343"/>
      <c r="AM96" s="343"/>
    </row>
    <row r="97" spans="1:39" ht="12.75" customHeight="1" x14ac:dyDescent="0.25">
      <c r="A97" s="729" t="str">
        <f t="shared" si="4"/>
        <v/>
      </c>
      <c r="B97" s="698"/>
      <c r="C97" s="2906"/>
      <c r="D97" s="1462"/>
      <c r="E97" s="1463" t="str">
        <f>Translations!$B$1339</f>
        <v>Дял от a)</v>
      </c>
      <c r="F97" s="1464" t="str">
        <f t="shared" si="26"/>
        <v>TJ</v>
      </c>
      <c r="G97" s="274" t="str">
        <f>IF(COUNT(I29,G96)=2,IF(I29=0,EUconst_NA,G96/I29),"")</f>
        <v/>
      </c>
      <c r="H97" s="185" t="str">
        <f>IF(COUNT(H21,H96)=2,IF(H21=0,EUconst_NA,H96/H21),"")</f>
        <v/>
      </c>
      <c r="I97" s="186" t="str">
        <f t="shared" ref="I97:N97" si="40">IF(COUNT(I21,I96)=2,IF(I21=0,EUconst_NA,I96/I21),"")</f>
        <v/>
      </c>
      <c r="J97" s="185" t="str">
        <f t="shared" si="40"/>
        <v/>
      </c>
      <c r="K97" s="187" t="str">
        <f t="shared" si="40"/>
        <v/>
      </c>
      <c r="L97" s="187" t="str">
        <f t="shared" si="40"/>
        <v/>
      </c>
      <c r="M97" s="187" t="str">
        <f t="shared" si="40"/>
        <v/>
      </c>
      <c r="N97" s="187" t="str">
        <f t="shared" si="40"/>
        <v/>
      </c>
      <c r="O97" s="302"/>
      <c r="P97" s="336"/>
      <c r="Q97" s="694"/>
      <c r="R97" s="694"/>
      <c r="S97" s="694"/>
      <c r="T97" s="694"/>
      <c r="U97" s="694"/>
      <c r="V97" s="694"/>
      <c r="W97" s="694"/>
      <c r="X97" s="694"/>
      <c r="Y97" s="694"/>
      <c r="Z97" s="694"/>
      <c r="AA97" s="694"/>
      <c r="AB97" s="729"/>
      <c r="AC97" s="694"/>
      <c r="AD97" s="694"/>
      <c r="AE97" s="343"/>
      <c r="AF97" s="343"/>
      <c r="AG97" s="343"/>
      <c r="AH97" s="343"/>
      <c r="AI97" s="343"/>
      <c r="AJ97" s="343"/>
      <c r="AK97" s="343"/>
      <c r="AL97" s="343"/>
      <c r="AM97" s="343"/>
    </row>
    <row r="98" spans="1:39" ht="14.25" customHeight="1" x14ac:dyDescent="0.25">
      <c r="A98" s="729" t="str">
        <f t="shared" si="4"/>
        <v/>
      </c>
      <c r="B98" s="698"/>
      <c r="C98" s="284"/>
      <c r="D98" s="284"/>
      <c r="E98" s="284"/>
      <c r="F98" s="284"/>
      <c r="G98" s="228" t="str">
        <f>IF(G97="","",IF(AND(COUNTA(G86:G95)=0,$T79=2),EUconst_Incomplete,""))</f>
        <v/>
      </c>
      <c r="H98" s="229" t="str">
        <f t="shared" ref="H98:N98" si="41">IF(H97="","",IF(AND(OR(COUNTA(H86:H95)&gt;0,$T79=2),ABS(1-SUM(H97))&lt;0.5%),"",EUconst_Inconsistent))</f>
        <v/>
      </c>
      <c r="I98" s="230" t="str">
        <f t="shared" si="41"/>
        <v/>
      </c>
      <c r="J98" s="229" t="str">
        <f t="shared" si="41"/>
        <v/>
      </c>
      <c r="K98" s="231" t="str">
        <f t="shared" si="41"/>
        <v/>
      </c>
      <c r="L98" s="231" t="str">
        <f t="shared" si="41"/>
        <v/>
      </c>
      <c r="M98" s="231" t="str">
        <f t="shared" si="41"/>
        <v/>
      </c>
      <c r="N98" s="231" t="str">
        <f t="shared" si="41"/>
        <v/>
      </c>
      <c r="O98" s="302"/>
      <c r="P98" s="336"/>
      <c r="Q98" s="694"/>
      <c r="R98" s="694"/>
      <c r="S98" s="694"/>
      <c r="T98" s="694"/>
      <c r="U98" s="694"/>
      <c r="V98" s="694"/>
      <c r="W98" s="694"/>
      <c r="X98" s="694"/>
      <c r="Y98" s="694"/>
      <c r="Z98" s="729"/>
      <c r="AA98" s="729"/>
      <c r="AB98" s="729"/>
      <c r="AC98" s="694"/>
      <c r="AD98" s="694"/>
      <c r="AE98" s="343"/>
      <c r="AF98" s="343"/>
      <c r="AG98" s="343"/>
      <c r="AH98" s="343"/>
      <c r="AI98" s="343"/>
      <c r="AJ98" s="343"/>
      <c r="AK98" s="1174" t="s">
        <v>2148</v>
      </c>
      <c r="AL98" s="1176" t="str">
        <f>IF(COUNTIFS(G98:N98,"")&lt;COUNTA(G98:N98),EUconst_Error&amp;"FB"&amp;Q13,"")</f>
        <v/>
      </c>
      <c r="AM98" s="343"/>
    </row>
    <row r="99" spans="1:39" ht="5.15" customHeight="1" x14ac:dyDescent="0.25">
      <c r="A99" s="729" t="str">
        <f t="shared" si="4"/>
        <v/>
      </c>
      <c r="B99" s="698"/>
      <c r="C99" s="284"/>
      <c r="D99" s="284"/>
      <c r="E99" s="284"/>
      <c r="F99" s="284"/>
      <c r="G99" s="284"/>
      <c r="H99" s="284"/>
      <c r="I99" s="284"/>
      <c r="J99" s="284"/>
      <c r="K99" s="284"/>
      <c r="L99" s="284"/>
      <c r="M99" s="284"/>
      <c r="N99" s="284"/>
      <c r="O99" s="302"/>
      <c r="P99" s="336"/>
      <c r="Q99" s="694"/>
      <c r="R99" s="694"/>
      <c r="S99" s="694"/>
      <c r="T99" s="694"/>
      <c r="U99" s="694"/>
      <c r="V99" s="694"/>
      <c r="W99" s="694"/>
      <c r="X99" s="694"/>
      <c r="Y99" s="694"/>
      <c r="Z99" s="729"/>
      <c r="AA99" s="729"/>
      <c r="AB99" s="729"/>
      <c r="AC99" s="694"/>
      <c r="AD99" s="694"/>
      <c r="AE99" s="343"/>
      <c r="AF99" s="343"/>
      <c r="AG99" s="343"/>
      <c r="AH99" s="343"/>
      <c r="AI99" s="343"/>
      <c r="AJ99" s="343"/>
      <c r="AK99" s="343"/>
      <c r="AL99" s="343"/>
      <c r="AM99" s="343"/>
    </row>
    <row r="100" spans="1:39" ht="12.75" customHeight="1" x14ac:dyDescent="0.25">
      <c r="A100" s="729" t="str">
        <f t="shared" si="4"/>
        <v/>
      </c>
      <c r="B100" s="698"/>
      <c r="C100" s="284"/>
      <c r="D100" s="300" t="s">
        <v>1770</v>
      </c>
      <c r="E100" s="2226" t="str">
        <f>Translations!$B$1540</f>
        <v>Потребление на енергия извън СТЕ на ЕС по продукти за определяне на очакваните равнища на дейност</v>
      </c>
      <c r="F100" s="2249"/>
      <c r="G100" s="2249"/>
      <c r="H100" s="2249"/>
      <c r="I100" s="2249"/>
      <c r="J100" s="2249"/>
      <c r="K100" s="2249"/>
      <c r="L100" s="2249"/>
      <c r="M100" s="2249"/>
      <c r="N100" s="2249"/>
      <c r="O100" s="302"/>
      <c r="P100" s="295"/>
      <c r="Q100" s="694"/>
      <c r="R100" s="694"/>
      <c r="S100" s="729"/>
      <c r="T100" s="729"/>
      <c r="U100" s="729"/>
      <c r="V100" s="694"/>
      <c r="W100" s="694"/>
      <c r="X100" s="694"/>
      <c r="Y100" s="694"/>
      <c r="Z100" s="729"/>
      <c r="AA100" s="729"/>
      <c r="AB100" s="729"/>
      <c r="AC100" s="729"/>
      <c r="AD100" s="694"/>
      <c r="AE100" s="343"/>
      <c r="AF100" s="343"/>
      <c r="AG100" s="343"/>
      <c r="AH100" s="343"/>
      <c r="AI100" s="343"/>
      <c r="AJ100" s="343"/>
      <c r="AK100" s="343"/>
      <c r="AL100" s="343"/>
      <c r="AM100" s="343"/>
    </row>
    <row r="101" spans="1:39" ht="25.5" customHeight="1" x14ac:dyDescent="0.25">
      <c r="A101" s="729" t="str">
        <f t="shared" si="4"/>
        <v/>
      </c>
      <c r="B101" s="698"/>
      <c r="C101" s="284"/>
      <c r="D101" s="284"/>
      <c r="E101" s="2358" t="str">
        <f>Translations!$B$1541</f>
        <v>Моля, въведете тук всяко потребление на енергия извън СТЕ на ЕС (напр. топлинна енергия, получена от инсталации, които не са обхванати от СТЕ на ЕС), използвано за същите продукти, както по-горе. Числата тук ще бъдат използвани за коригиране на разпределянето за допустимия дял на енергията.</v>
      </c>
      <c r="F101" s="2249"/>
      <c r="G101" s="2249"/>
      <c r="H101" s="2249"/>
      <c r="I101" s="2249"/>
      <c r="J101" s="2249"/>
      <c r="K101" s="2249"/>
      <c r="L101" s="2249"/>
      <c r="M101" s="2249"/>
      <c r="N101" s="2249"/>
      <c r="O101" s="302"/>
      <c r="P101" s="295"/>
      <c r="Q101" s="694"/>
      <c r="R101" s="694"/>
      <c r="S101" s="694"/>
      <c r="T101" s="694"/>
      <c r="U101" s="694"/>
      <c r="V101" s="694"/>
      <c r="W101" s="694"/>
      <c r="X101" s="694"/>
      <c r="Y101" s="694"/>
      <c r="Z101" s="729"/>
      <c r="AA101" s="729"/>
      <c r="AB101" s="729"/>
      <c r="AC101" s="729"/>
      <c r="AD101" s="694"/>
      <c r="AE101" s="343"/>
      <c r="AF101" s="343"/>
      <c r="AG101" s="343"/>
      <c r="AH101" s="343"/>
      <c r="AI101" s="343"/>
      <c r="AJ101" s="343"/>
      <c r="AK101" s="343"/>
      <c r="AL101" s="343"/>
      <c r="AM101" s="343"/>
    </row>
    <row r="102" spans="1:39" ht="5.15" customHeight="1" x14ac:dyDescent="0.25">
      <c r="A102" s="729" t="str">
        <f t="shared" ref="A102:A152" si="42">A101</f>
        <v/>
      </c>
      <c r="B102" s="698"/>
      <c r="C102" s="284"/>
      <c r="D102" s="284"/>
      <c r="E102" s="2358"/>
      <c r="F102" s="2249"/>
      <c r="G102" s="2249"/>
      <c r="H102" s="2249"/>
      <c r="I102" s="2249"/>
      <c r="J102" s="2249"/>
      <c r="K102" s="2249"/>
      <c r="L102" s="2249"/>
      <c r="M102" s="2249"/>
      <c r="N102" s="2249"/>
      <c r="O102" s="302"/>
      <c r="P102" s="295"/>
      <c r="Q102" s="694"/>
      <c r="R102" s="694"/>
      <c r="S102" s="694"/>
      <c r="T102" s="694"/>
      <c r="U102" s="694"/>
      <c r="V102" s="694"/>
      <c r="W102" s="694"/>
      <c r="X102" s="694"/>
      <c r="Y102" s="694"/>
      <c r="Z102" s="729"/>
      <c r="AA102" s="729"/>
      <c r="AB102" s="729"/>
      <c r="AC102" s="729"/>
      <c r="AD102" s="694"/>
      <c r="AE102" s="343"/>
      <c r="AF102" s="343"/>
      <c r="AG102" s="343"/>
      <c r="AH102" s="343"/>
      <c r="AI102" s="343"/>
      <c r="AJ102" s="343"/>
      <c r="AK102" s="343"/>
      <c r="AL102" s="343"/>
      <c r="AM102" s="343"/>
    </row>
    <row r="103" spans="1:39" s="1423" customFormat="1" ht="25.5" customHeight="1" thickBot="1" x14ac:dyDescent="0.35">
      <c r="A103" s="729" t="str">
        <f t="shared" si="42"/>
        <v/>
      </c>
      <c r="B103" s="1412"/>
      <c r="C103" s="1413"/>
      <c r="D103" s="1414"/>
      <c r="E103" s="1415" t="str">
        <f>Translations!$B$624</f>
        <v>Име на продукта или „топлофикационна мрежа“</v>
      </c>
      <c r="F103" s="1416" t="str">
        <f>EUconst_Unit</f>
        <v>Единица мярка</v>
      </c>
      <c r="G103" s="1419" t="str">
        <f>Translations!$B$1336</f>
        <v>Стойност в НМИ</v>
      </c>
      <c r="H103" s="1418">
        <f t="shared" ref="H103:N103" si="43">H$1840</f>
        <v>2024</v>
      </c>
      <c r="I103" s="1419">
        <f t="shared" si="43"/>
        <v>2025</v>
      </c>
      <c r="J103" s="1418">
        <f t="shared" si="43"/>
        <v>2026</v>
      </c>
      <c r="K103" s="1420">
        <f t="shared" si="43"/>
        <v>2027</v>
      </c>
      <c r="L103" s="1420">
        <f t="shared" si="43"/>
        <v>2028</v>
      </c>
      <c r="M103" s="1420">
        <f t="shared" si="43"/>
        <v>2029</v>
      </c>
      <c r="N103" s="1420">
        <f t="shared" si="43"/>
        <v>2030</v>
      </c>
      <c r="O103" s="302"/>
      <c r="P103" s="295"/>
      <c r="Q103" s="1421"/>
      <c r="R103" s="1421"/>
      <c r="S103" s="694"/>
      <c r="T103" s="694"/>
      <c r="U103" s="694"/>
      <c r="V103" s="694"/>
      <c r="W103" s="694"/>
      <c r="X103" s="694"/>
      <c r="Y103" s="694"/>
      <c r="Z103" s="694"/>
      <c r="AA103" s="1421"/>
      <c r="AB103" s="770" t="str">
        <f>Translations!$B$1284</f>
        <v>HAL</v>
      </c>
      <c r="AC103" s="1421">
        <f t="shared" ref="AC103" si="44">H103</f>
        <v>2024</v>
      </c>
      <c r="AD103" s="1421">
        <f t="shared" ref="AD103" si="45">I103</f>
        <v>2025</v>
      </c>
      <c r="AE103" s="1421">
        <f t="shared" ref="AE103" si="46">J103</f>
        <v>2026</v>
      </c>
      <c r="AF103" s="1421">
        <f t="shared" ref="AF103" si="47">K103</f>
        <v>2027</v>
      </c>
      <c r="AG103" s="1421">
        <f t="shared" ref="AG103" si="48">L103</f>
        <v>2028</v>
      </c>
      <c r="AH103" s="1422">
        <f t="shared" ref="AH103" si="49">M103</f>
        <v>2029</v>
      </c>
      <c r="AI103" s="1422">
        <f t="shared" ref="AI103" si="50">N103</f>
        <v>2030</v>
      </c>
      <c r="AJ103" s="1422"/>
      <c r="AK103" s="1422"/>
      <c r="AL103" s="1422"/>
      <c r="AM103" s="1422"/>
    </row>
    <row r="104" spans="1:39" ht="12.75" customHeight="1" x14ac:dyDescent="0.25">
      <c r="A104" s="729" t="str">
        <f t="shared" si="42"/>
        <v/>
      </c>
      <c r="B104" s="698"/>
      <c r="C104" s="2906" t="str">
        <f>Translations!$B$949</f>
        <v>топл. ен. извън СТЕ</v>
      </c>
      <c r="D104" s="981">
        <v>1</v>
      </c>
      <c r="E104" s="1424" t="str">
        <f t="shared" ref="E104:E113" si="51">E86</f>
        <v/>
      </c>
      <c r="F104" s="1259" t="str">
        <f t="shared" ref="F104:F114" si="52">EUconst_TJ</f>
        <v>TJ</v>
      </c>
      <c r="G104" s="125"/>
      <c r="H104" s="116"/>
      <c r="I104" s="46"/>
      <c r="J104" s="116"/>
      <c r="K104" s="40"/>
      <c r="L104" s="40"/>
      <c r="M104" s="40"/>
      <c r="N104" s="40"/>
      <c r="O104" s="302"/>
      <c r="P104" s="158"/>
      <c r="Q104" s="694"/>
      <c r="R104" s="694"/>
      <c r="S104" s="694"/>
      <c r="T104" s="694"/>
      <c r="U104" s="694"/>
      <c r="V104" s="694"/>
      <c r="W104" s="694"/>
      <c r="X104" s="694"/>
      <c r="Y104" s="694"/>
      <c r="Z104" s="694"/>
      <c r="AA104" s="1446" t="s">
        <v>1757</v>
      </c>
      <c r="AB104" s="1447">
        <f t="shared" ref="AB104:AC104" si="53">AB86</f>
        <v>2</v>
      </c>
      <c r="AC104" s="1427">
        <f t="shared" si="53"/>
        <v>2</v>
      </c>
      <c r="AD104" s="1427">
        <f>AD86</f>
        <v>2</v>
      </c>
      <c r="AE104" s="1427">
        <f t="shared" ref="AE104:AI104" si="54">AE86</f>
        <v>2</v>
      </c>
      <c r="AF104" s="1427">
        <f t="shared" si="54"/>
        <v>2</v>
      </c>
      <c r="AG104" s="1427">
        <f t="shared" si="54"/>
        <v>2</v>
      </c>
      <c r="AH104" s="1428">
        <f t="shared" si="54"/>
        <v>2</v>
      </c>
      <c r="AI104" s="1429">
        <f t="shared" si="54"/>
        <v>2</v>
      </c>
      <c r="AJ104" s="343"/>
      <c r="AK104" s="1422"/>
      <c r="AL104" s="1422"/>
      <c r="AM104" s="343"/>
    </row>
    <row r="105" spans="1:39" ht="12.75" customHeight="1" x14ac:dyDescent="0.25">
      <c r="A105" s="729" t="str">
        <f t="shared" si="42"/>
        <v/>
      </c>
      <c r="B105" s="698"/>
      <c r="C105" s="2906"/>
      <c r="D105" s="990">
        <v>2</v>
      </c>
      <c r="E105" s="1430" t="str">
        <f t="shared" si="51"/>
        <v/>
      </c>
      <c r="F105" s="1448" t="str">
        <f t="shared" si="52"/>
        <v>TJ</v>
      </c>
      <c r="G105" s="124"/>
      <c r="H105" s="119"/>
      <c r="I105" s="47"/>
      <c r="J105" s="119"/>
      <c r="K105" s="43"/>
      <c r="L105" s="43"/>
      <c r="M105" s="43"/>
      <c r="N105" s="43"/>
      <c r="O105" s="302"/>
      <c r="P105" s="158"/>
      <c r="Q105" s="694"/>
      <c r="R105" s="694"/>
      <c r="S105" s="694"/>
      <c r="T105" s="694"/>
      <c r="U105" s="694"/>
      <c r="V105" s="694"/>
      <c r="W105" s="694"/>
      <c r="X105" s="694"/>
      <c r="Y105" s="694"/>
      <c r="Z105" s="694"/>
      <c r="AA105" s="694"/>
      <c r="AB105" s="1431">
        <f t="shared" ref="AB105:AI105" si="55">AB87</f>
        <v>2</v>
      </c>
      <c r="AC105" s="1432">
        <f t="shared" si="55"/>
        <v>2</v>
      </c>
      <c r="AD105" s="1432">
        <f t="shared" si="55"/>
        <v>2</v>
      </c>
      <c r="AE105" s="1432">
        <f t="shared" si="55"/>
        <v>2</v>
      </c>
      <c r="AF105" s="1432">
        <f t="shared" si="55"/>
        <v>2</v>
      </c>
      <c r="AG105" s="1432">
        <f t="shared" si="55"/>
        <v>2</v>
      </c>
      <c r="AH105" s="1432">
        <f t="shared" si="55"/>
        <v>2</v>
      </c>
      <c r="AI105" s="1452">
        <f t="shared" si="55"/>
        <v>2</v>
      </c>
      <c r="AJ105" s="343"/>
      <c r="AK105" s="1422"/>
      <c r="AL105" s="1422"/>
      <c r="AM105" s="343"/>
    </row>
    <row r="106" spans="1:39" ht="12.75" customHeight="1" x14ac:dyDescent="0.25">
      <c r="A106" s="729" t="str">
        <f t="shared" si="42"/>
        <v/>
      </c>
      <c r="B106" s="698"/>
      <c r="C106" s="2906"/>
      <c r="D106" s="990">
        <v>3</v>
      </c>
      <c r="E106" s="1430" t="str">
        <f t="shared" si="51"/>
        <v/>
      </c>
      <c r="F106" s="1448" t="str">
        <f t="shared" si="52"/>
        <v>TJ</v>
      </c>
      <c r="G106" s="47"/>
      <c r="H106" s="119"/>
      <c r="I106" s="47"/>
      <c r="J106" s="119"/>
      <c r="K106" s="43"/>
      <c r="L106" s="43"/>
      <c r="M106" s="43"/>
      <c r="N106" s="43"/>
      <c r="O106" s="302"/>
      <c r="P106" s="158"/>
      <c r="Q106" s="694"/>
      <c r="R106" s="694"/>
      <c r="S106" s="694"/>
      <c r="T106" s="694"/>
      <c r="U106" s="694"/>
      <c r="V106" s="694"/>
      <c r="W106" s="694"/>
      <c r="X106" s="694"/>
      <c r="Y106" s="694"/>
      <c r="Z106" s="694"/>
      <c r="AA106" s="694"/>
      <c r="AB106" s="1431">
        <f t="shared" ref="AB106:AI106" si="56">AB88</f>
        <v>2</v>
      </c>
      <c r="AC106" s="1432">
        <f t="shared" si="56"/>
        <v>2</v>
      </c>
      <c r="AD106" s="1432">
        <f t="shared" si="56"/>
        <v>2</v>
      </c>
      <c r="AE106" s="1432">
        <f t="shared" si="56"/>
        <v>2</v>
      </c>
      <c r="AF106" s="1432">
        <f t="shared" si="56"/>
        <v>2</v>
      </c>
      <c r="AG106" s="1432">
        <f t="shared" si="56"/>
        <v>2</v>
      </c>
      <c r="AH106" s="1432">
        <f t="shared" si="56"/>
        <v>2</v>
      </c>
      <c r="AI106" s="1452">
        <f t="shared" si="56"/>
        <v>2</v>
      </c>
      <c r="AJ106" s="343"/>
      <c r="AK106" s="1422"/>
      <c r="AL106" s="1422"/>
      <c r="AM106" s="343"/>
    </row>
    <row r="107" spans="1:39" ht="12.75" customHeight="1" x14ac:dyDescent="0.25">
      <c r="A107" s="729" t="str">
        <f t="shared" si="42"/>
        <v/>
      </c>
      <c r="B107" s="698"/>
      <c r="C107" s="2906"/>
      <c r="D107" s="990">
        <v>4</v>
      </c>
      <c r="E107" s="1430" t="str">
        <f t="shared" si="51"/>
        <v/>
      </c>
      <c r="F107" s="1448" t="str">
        <f t="shared" si="52"/>
        <v>TJ</v>
      </c>
      <c r="G107" s="47"/>
      <c r="H107" s="119"/>
      <c r="I107" s="47"/>
      <c r="J107" s="119"/>
      <c r="K107" s="43"/>
      <c r="L107" s="43"/>
      <c r="M107" s="43"/>
      <c r="N107" s="43"/>
      <c r="O107" s="302"/>
      <c r="P107" s="158"/>
      <c r="Q107" s="694"/>
      <c r="R107" s="694"/>
      <c r="S107" s="694"/>
      <c r="T107" s="694"/>
      <c r="U107" s="694"/>
      <c r="V107" s="694"/>
      <c r="W107" s="694"/>
      <c r="X107" s="694"/>
      <c r="Y107" s="694"/>
      <c r="Z107" s="694"/>
      <c r="AA107" s="694"/>
      <c r="AB107" s="1431">
        <f t="shared" ref="AB107:AI107" si="57">AB89</f>
        <v>2</v>
      </c>
      <c r="AC107" s="1432">
        <f t="shared" si="57"/>
        <v>2</v>
      </c>
      <c r="AD107" s="1432">
        <f t="shared" si="57"/>
        <v>2</v>
      </c>
      <c r="AE107" s="1432">
        <f t="shared" si="57"/>
        <v>2</v>
      </c>
      <c r="AF107" s="1432">
        <f t="shared" si="57"/>
        <v>2</v>
      </c>
      <c r="AG107" s="1432">
        <f t="shared" si="57"/>
        <v>2</v>
      </c>
      <c r="AH107" s="1432">
        <f t="shared" si="57"/>
        <v>2</v>
      </c>
      <c r="AI107" s="1452">
        <f t="shared" si="57"/>
        <v>2</v>
      </c>
      <c r="AJ107" s="343"/>
      <c r="AK107" s="1422"/>
      <c r="AL107" s="1422"/>
      <c r="AM107" s="343"/>
    </row>
    <row r="108" spans="1:39" ht="12.75" customHeight="1" x14ac:dyDescent="0.25">
      <c r="A108" s="729" t="str">
        <f t="shared" si="42"/>
        <v/>
      </c>
      <c r="B108" s="698"/>
      <c r="C108" s="2906"/>
      <c r="D108" s="990">
        <v>5</v>
      </c>
      <c r="E108" s="1430" t="str">
        <f t="shared" si="51"/>
        <v/>
      </c>
      <c r="F108" s="1448" t="str">
        <f t="shared" si="52"/>
        <v>TJ</v>
      </c>
      <c r="G108" s="47"/>
      <c r="H108" s="119"/>
      <c r="I108" s="47"/>
      <c r="J108" s="119"/>
      <c r="K108" s="43"/>
      <c r="L108" s="43"/>
      <c r="M108" s="43"/>
      <c r="N108" s="43"/>
      <c r="O108" s="302"/>
      <c r="P108" s="158"/>
      <c r="Q108" s="694"/>
      <c r="R108" s="694"/>
      <c r="S108" s="694"/>
      <c r="T108" s="694"/>
      <c r="U108" s="694"/>
      <c r="V108" s="694"/>
      <c r="W108" s="694"/>
      <c r="X108" s="694"/>
      <c r="Y108" s="694"/>
      <c r="Z108" s="694"/>
      <c r="AA108" s="694"/>
      <c r="AB108" s="1431">
        <f t="shared" ref="AB108:AI108" si="58">AB90</f>
        <v>2</v>
      </c>
      <c r="AC108" s="1432">
        <f t="shared" si="58"/>
        <v>2</v>
      </c>
      <c r="AD108" s="1432">
        <f t="shared" si="58"/>
        <v>2</v>
      </c>
      <c r="AE108" s="1432">
        <f t="shared" si="58"/>
        <v>2</v>
      </c>
      <c r="AF108" s="1432">
        <f t="shared" si="58"/>
        <v>2</v>
      </c>
      <c r="AG108" s="1432">
        <f t="shared" si="58"/>
        <v>2</v>
      </c>
      <c r="AH108" s="1432">
        <f t="shared" si="58"/>
        <v>2</v>
      </c>
      <c r="AI108" s="1452">
        <f t="shared" si="58"/>
        <v>2</v>
      </c>
      <c r="AJ108" s="343"/>
      <c r="AK108" s="1422"/>
      <c r="AL108" s="1422"/>
      <c r="AM108" s="343"/>
    </row>
    <row r="109" spans="1:39" ht="12.75" customHeight="1" x14ac:dyDescent="0.25">
      <c r="A109" s="729" t="str">
        <f t="shared" si="42"/>
        <v/>
      </c>
      <c r="B109" s="698"/>
      <c r="C109" s="2906"/>
      <c r="D109" s="990">
        <v>6</v>
      </c>
      <c r="E109" s="1430" t="str">
        <f t="shared" si="51"/>
        <v/>
      </c>
      <c r="F109" s="1448" t="str">
        <f t="shared" si="52"/>
        <v>TJ</v>
      </c>
      <c r="G109" s="47"/>
      <c r="H109" s="119"/>
      <c r="I109" s="47"/>
      <c r="J109" s="119"/>
      <c r="K109" s="43"/>
      <c r="L109" s="43"/>
      <c r="M109" s="43"/>
      <c r="N109" s="43"/>
      <c r="O109" s="302"/>
      <c r="P109" s="158"/>
      <c r="Q109" s="694"/>
      <c r="R109" s="694"/>
      <c r="S109" s="694"/>
      <c r="T109" s="694"/>
      <c r="U109" s="694"/>
      <c r="V109" s="694"/>
      <c r="W109" s="694"/>
      <c r="X109" s="694"/>
      <c r="Y109" s="694"/>
      <c r="Z109" s="694"/>
      <c r="AA109" s="694"/>
      <c r="AB109" s="1431">
        <f t="shared" ref="AB109:AI109" si="59">AB91</f>
        <v>2</v>
      </c>
      <c r="AC109" s="1432">
        <f t="shared" si="59"/>
        <v>2</v>
      </c>
      <c r="AD109" s="1432">
        <f t="shared" si="59"/>
        <v>2</v>
      </c>
      <c r="AE109" s="1432">
        <f t="shared" si="59"/>
        <v>2</v>
      </c>
      <c r="AF109" s="1432">
        <f t="shared" si="59"/>
        <v>2</v>
      </c>
      <c r="AG109" s="1432">
        <f t="shared" si="59"/>
        <v>2</v>
      </c>
      <c r="AH109" s="1432">
        <f t="shared" si="59"/>
        <v>2</v>
      </c>
      <c r="AI109" s="1452">
        <f t="shared" si="59"/>
        <v>2</v>
      </c>
      <c r="AJ109" s="343"/>
      <c r="AK109" s="1422"/>
      <c r="AL109" s="1422"/>
      <c r="AM109" s="343"/>
    </row>
    <row r="110" spans="1:39" ht="12.75" customHeight="1" x14ac:dyDescent="0.25">
      <c r="A110" s="729" t="str">
        <f t="shared" si="42"/>
        <v/>
      </c>
      <c r="B110" s="698"/>
      <c r="C110" s="2906"/>
      <c r="D110" s="990">
        <v>7</v>
      </c>
      <c r="E110" s="1430" t="str">
        <f t="shared" si="51"/>
        <v/>
      </c>
      <c r="F110" s="1448" t="str">
        <f t="shared" si="52"/>
        <v>TJ</v>
      </c>
      <c r="G110" s="47"/>
      <c r="H110" s="119"/>
      <c r="I110" s="47"/>
      <c r="J110" s="119"/>
      <c r="K110" s="43"/>
      <c r="L110" s="43"/>
      <c r="M110" s="43"/>
      <c r="N110" s="43"/>
      <c r="O110" s="302"/>
      <c r="P110" s="158"/>
      <c r="Q110" s="694"/>
      <c r="R110" s="694"/>
      <c r="S110" s="694"/>
      <c r="T110" s="694"/>
      <c r="U110" s="694"/>
      <c r="V110" s="694"/>
      <c r="W110" s="694"/>
      <c r="X110" s="694"/>
      <c r="Y110" s="694"/>
      <c r="Z110" s="694"/>
      <c r="AA110" s="694"/>
      <c r="AB110" s="1431">
        <f t="shared" ref="AB110:AI110" si="60">AB92</f>
        <v>2</v>
      </c>
      <c r="AC110" s="1432">
        <f t="shared" si="60"/>
        <v>2</v>
      </c>
      <c r="AD110" s="1432">
        <f t="shared" si="60"/>
        <v>2</v>
      </c>
      <c r="AE110" s="1432">
        <f t="shared" si="60"/>
        <v>2</v>
      </c>
      <c r="AF110" s="1432">
        <f t="shared" si="60"/>
        <v>2</v>
      </c>
      <c r="AG110" s="1432">
        <f t="shared" si="60"/>
        <v>2</v>
      </c>
      <c r="AH110" s="1432">
        <f t="shared" si="60"/>
        <v>2</v>
      </c>
      <c r="AI110" s="1452">
        <f t="shared" si="60"/>
        <v>2</v>
      </c>
      <c r="AJ110" s="343"/>
      <c r="AK110" s="1422"/>
      <c r="AL110" s="1422"/>
      <c r="AM110" s="343"/>
    </row>
    <row r="111" spans="1:39" ht="12.75" customHeight="1" x14ac:dyDescent="0.25">
      <c r="A111" s="729" t="str">
        <f t="shared" si="42"/>
        <v/>
      </c>
      <c r="B111" s="698"/>
      <c r="C111" s="2906"/>
      <c r="D111" s="990">
        <v>8</v>
      </c>
      <c r="E111" s="1430" t="str">
        <f t="shared" si="51"/>
        <v/>
      </c>
      <c r="F111" s="1448" t="str">
        <f t="shared" si="52"/>
        <v>TJ</v>
      </c>
      <c r="G111" s="47"/>
      <c r="H111" s="119"/>
      <c r="I111" s="47"/>
      <c r="J111" s="119"/>
      <c r="K111" s="43"/>
      <c r="L111" s="43"/>
      <c r="M111" s="43"/>
      <c r="N111" s="43"/>
      <c r="O111" s="302"/>
      <c r="P111" s="158"/>
      <c r="Q111" s="694"/>
      <c r="R111" s="694"/>
      <c r="S111" s="694"/>
      <c r="T111" s="694"/>
      <c r="U111" s="694"/>
      <c r="V111" s="694"/>
      <c r="W111" s="694"/>
      <c r="X111" s="694"/>
      <c r="Y111" s="694"/>
      <c r="Z111" s="694"/>
      <c r="AA111" s="694"/>
      <c r="AB111" s="1431">
        <f t="shared" ref="AB111:AI111" si="61">AB93</f>
        <v>2</v>
      </c>
      <c r="AC111" s="1432">
        <f t="shared" si="61"/>
        <v>2</v>
      </c>
      <c r="AD111" s="1432">
        <f t="shared" si="61"/>
        <v>2</v>
      </c>
      <c r="AE111" s="1432">
        <f t="shared" si="61"/>
        <v>2</v>
      </c>
      <c r="AF111" s="1432">
        <f t="shared" si="61"/>
        <v>2</v>
      </c>
      <c r="AG111" s="1432">
        <f t="shared" si="61"/>
        <v>2</v>
      </c>
      <c r="AH111" s="1432">
        <f t="shared" si="61"/>
        <v>2</v>
      </c>
      <c r="AI111" s="1452">
        <f t="shared" si="61"/>
        <v>2</v>
      </c>
      <c r="AJ111" s="343"/>
      <c r="AK111" s="1422"/>
      <c r="AL111" s="1422"/>
      <c r="AM111" s="343"/>
    </row>
    <row r="112" spans="1:39" ht="12.75" customHeight="1" x14ac:dyDescent="0.25">
      <c r="A112" s="729" t="str">
        <f t="shared" si="42"/>
        <v/>
      </c>
      <c r="B112" s="698"/>
      <c r="C112" s="2906"/>
      <c r="D112" s="990">
        <v>9</v>
      </c>
      <c r="E112" s="1430" t="str">
        <f t="shared" si="51"/>
        <v/>
      </c>
      <c r="F112" s="1448" t="str">
        <f t="shared" si="52"/>
        <v>TJ</v>
      </c>
      <c r="G112" s="47"/>
      <c r="H112" s="119"/>
      <c r="I112" s="47"/>
      <c r="J112" s="119"/>
      <c r="K112" s="43"/>
      <c r="L112" s="43"/>
      <c r="M112" s="43"/>
      <c r="N112" s="43"/>
      <c r="O112" s="302"/>
      <c r="P112" s="158"/>
      <c r="Q112" s="694"/>
      <c r="R112" s="694"/>
      <c r="S112" s="694"/>
      <c r="T112" s="694"/>
      <c r="U112" s="694"/>
      <c r="V112" s="694"/>
      <c r="W112" s="694"/>
      <c r="X112" s="694"/>
      <c r="Y112" s="694"/>
      <c r="Z112" s="694"/>
      <c r="AA112" s="694"/>
      <c r="AB112" s="1431">
        <f t="shared" ref="AB112:AI112" si="62">AB94</f>
        <v>2</v>
      </c>
      <c r="AC112" s="1432">
        <f t="shared" si="62"/>
        <v>2</v>
      </c>
      <c r="AD112" s="1432">
        <f t="shared" si="62"/>
        <v>2</v>
      </c>
      <c r="AE112" s="1432">
        <f t="shared" si="62"/>
        <v>2</v>
      </c>
      <c r="AF112" s="1432">
        <f t="shared" si="62"/>
        <v>2</v>
      </c>
      <c r="AG112" s="1432">
        <f t="shared" si="62"/>
        <v>2</v>
      </c>
      <c r="AH112" s="1432">
        <f t="shared" si="62"/>
        <v>2</v>
      </c>
      <c r="AI112" s="1452">
        <f t="shared" si="62"/>
        <v>2</v>
      </c>
      <c r="AJ112" s="343"/>
      <c r="AK112" s="1422"/>
      <c r="AL112" s="1422"/>
      <c r="AM112" s="343"/>
    </row>
    <row r="113" spans="1:39" ht="12.75" customHeight="1" thickBot="1" x14ac:dyDescent="0.3">
      <c r="A113" s="729" t="str">
        <f t="shared" si="42"/>
        <v/>
      </c>
      <c r="B113" s="698"/>
      <c r="C113" s="2906"/>
      <c r="D113" s="994">
        <v>10</v>
      </c>
      <c r="E113" s="1435" t="str">
        <f t="shared" si="51"/>
        <v/>
      </c>
      <c r="F113" s="1453" t="str">
        <f t="shared" si="52"/>
        <v>TJ</v>
      </c>
      <c r="G113" s="48"/>
      <c r="H113" s="117"/>
      <c r="I113" s="48"/>
      <c r="J113" s="117"/>
      <c r="K113" s="38"/>
      <c r="L113" s="38"/>
      <c r="M113" s="38"/>
      <c r="N113" s="38"/>
      <c r="O113" s="302"/>
      <c r="P113" s="158"/>
      <c r="Q113" s="694"/>
      <c r="R113" s="694"/>
      <c r="S113" s="694"/>
      <c r="T113" s="694"/>
      <c r="U113" s="694"/>
      <c r="V113" s="694"/>
      <c r="W113" s="694"/>
      <c r="X113" s="694"/>
      <c r="Y113" s="694"/>
      <c r="Z113" s="694"/>
      <c r="AA113" s="694"/>
      <c r="AB113" s="1436">
        <f t="shared" ref="AB113:AI113" si="63">AB95</f>
        <v>2</v>
      </c>
      <c r="AC113" s="1437">
        <f t="shared" si="63"/>
        <v>2</v>
      </c>
      <c r="AD113" s="1437">
        <f t="shared" si="63"/>
        <v>2</v>
      </c>
      <c r="AE113" s="1437">
        <f t="shared" si="63"/>
        <v>2</v>
      </c>
      <c r="AF113" s="1437">
        <f t="shared" si="63"/>
        <v>2</v>
      </c>
      <c r="AG113" s="1437">
        <f t="shared" si="63"/>
        <v>2</v>
      </c>
      <c r="AH113" s="1437">
        <f t="shared" si="63"/>
        <v>2</v>
      </c>
      <c r="AI113" s="1457">
        <f t="shared" si="63"/>
        <v>2</v>
      </c>
      <c r="AJ113" s="343"/>
      <c r="AK113" s="1422"/>
      <c r="AL113" s="1422"/>
      <c r="AM113" s="343"/>
    </row>
    <row r="114" spans="1:39" ht="12.75" customHeight="1" x14ac:dyDescent="0.25">
      <c r="A114" s="729" t="str">
        <f t="shared" si="42"/>
        <v/>
      </c>
      <c r="B114" s="698"/>
      <c r="C114" s="2906"/>
      <c r="D114" s="1293"/>
      <c r="E114" s="1458" t="str">
        <f>Translations!$B$1338</f>
        <v>Общо потребление</v>
      </c>
      <c r="F114" s="1453" t="str">
        <f t="shared" si="52"/>
        <v>TJ</v>
      </c>
      <c r="G114" s="1296" t="str">
        <f t="shared" ref="G114:N114" si="64">IF(COUNT(G104:G113)&gt;0,SUMIF($S51:$S60,TRUE,G104:G113),"")</f>
        <v/>
      </c>
      <c r="H114" s="1297" t="str">
        <f t="shared" si="64"/>
        <v/>
      </c>
      <c r="I114" s="1296" t="str">
        <f t="shared" si="64"/>
        <v/>
      </c>
      <c r="J114" s="1297" t="str">
        <f t="shared" si="64"/>
        <v/>
      </c>
      <c r="K114" s="1104" t="str">
        <f t="shared" si="64"/>
        <v/>
      </c>
      <c r="L114" s="1104" t="str">
        <f t="shared" si="64"/>
        <v/>
      </c>
      <c r="M114" s="1104" t="str">
        <f t="shared" si="64"/>
        <v/>
      </c>
      <c r="N114" s="1104" t="str">
        <f t="shared" si="64"/>
        <v/>
      </c>
      <c r="O114" s="302"/>
      <c r="P114" s="336"/>
      <c r="Q114" s="694"/>
      <c r="R114" s="694"/>
      <c r="S114" s="694"/>
      <c r="T114" s="694"/>
      <c r="U114" s="694"/>
      <c r="V114" s="694"/>
      <c r="W114" s="694"/>
      <c r="X114" s="694"/>
      <c r="Y114" s="694"/>
      <c r="Z114" s="694"/>
      <c r="AA114" s="694"/>
      <c r="AB114" s="729"/>
      <c r="AC114" s="694"/>
      <c r="AD114" s="694"/>
      <c r="AE114" s="343"/>
      <c r="AF114" s="343"/>
      <c r="AG114" s="343"/>
      <c r="AH114" s="343"/>
      <c r="AI114" s="343"/>
      <c r="AJ114" s="343"/>
      <c r="AK114" s="343"/>
      <c r="AL114" s="343"/>
      <c r="AM114" s="343"/>
    </row>
    <row r="115" spans="1:39" ht="5.15" customHeight="1" x14ac:dyDescent="0.25">
      <c r="A115" s="729" t="str">
        <f t="shared" si="42"/>
        <v/>
      </c>
      <c r="B115" s="698"/>
      <c r="C115" s="284"/>
      <c r="D115" s="284"/>
      <c r="E115" s="284"/>
      <c r="F115" s="284"/>
      <c r="G115" s="284"/>
      <c r="H115" s="284"/>
      <c r="I115" s="284"/>
      <c r="J115" s="284"/>
      <c r="K115" s="284"/>
      <c r="L115" s="284"/>
      <c r="M115" s="284"/>
      <c r="N115" s="284"/>
      <c r="O115" s="302"/>
      <c r="P115" s="336"/>
      <c r="Q115" s="694"/>
      <c r="R115" s="694"/>
      <c r="S115" s="694"/>
      <c r="T115" s="694"/>
      <c r="U115" s="694"/>
      <c r="V115" s="694"/>
      <c r="W115" s="694"/>
      <c r="X115" s="694"/>
      <c r="Y115" s="694"/>
      <c r="Z115" s="729"/>
      <c r="AA115" s="729"/>
      <c r="AB115" s="729"/>
      <c r="AC115" s="694"/>
      <c r="AD115" s="694"/>
      <c r="AE115" s="343"/>
      <c r="AF115" s="343"/>
      <c r="AG115" s="343"/>
      <c r="AH115" s="343"/>
      <c r="AI115" s="343"/>
      <c r="AJ115" s="343"/>
      <c r="AK115" s="343"/>
      <c r="AL115" s="343"/>
      <c r="AM115" s="343"/>
    </row>
    <row r="116" spans="1:39" ht="12.75" customHeight="1" x14ac:dyDescent="0.25">
      <c r="A116" s="729" t="str">
        <f t="shared" si="42"/>
        <v/>
      </c>
      <c r="B116" s="698"/>
      <c r="C116" s="284"/>
      <c r="D116" s="300" t="s">
        <v>1830</v>
      </c>
      <c r="E116" s="2226" t="str">
        <f>Translations!$B$1542</f>
        <v>Общо потребление на енергия по продукти за определяне на очакваните равнища на дейност</v>
      </c>
      <c r="F116" s="2249"/>
      <c r="G116" s="2249"/>
      <c r="H116" s="2249"/>
      <c r="I116" s="2249"/>
      <c r="J116" s="2249"/>
      <c r="K116" s="2249"/>
      <c r="L116" s="2249"/>
      <c r="M116" s="2249"/>
      <c r="N116" s="2249"/>
      <c r="O116" s="302"/>
      <c r="P116" s="295"/>
      <c r="Q116" s="694"/>
      <c r="R116" s="694"/>
      <c r="S116" s="694"/>
      <c r="T116" s="694"/>
      <c r="U116" s="694"/>
      <c r="V116" s="694"/>
      <c r="W116" s="694"/>
      <c r="X116" s="694"/>
      <c r="Y116" s="694"/>
      <c r="Z116" s="729"/>
      <c r="AA116" s="729"/>
      <c r="AB116" s="729"/>
      <c r="AC116" s="729"/>
      <c r="AD116" s="694"/>
      <c r="AE116" s="343"/>
      <c r="AF116" s="343"/>
      <c r="AG116" s="343"/>
      <c r="AH116" s="343"/>
      <c r="AI116" s="343"/>
      <c r="AJ116" s="343"/>
      <c r="AK116" s="343"/>
      <c r="AL116" s="343"/>
      <c r="AM116" s="343"/>
    </row>
    <row r="117" spans="1:39" ht="12.75" customHeight="1" x14ac:dyDescent="0.25">
      <c r="A117" s="729" t="str">
        <f t="shared" si="42"/>
        <v/>
      </c>
      <c r="B117" s="698"/>
      <c r="C117" s="284"/>
      <c r="D117" s="284"/>
      <c r="E117" s="2358" t="str">
        <f>Translations!$B$1543</f>
        <v>Това е сборът от вписванията по-горе b.2 + b.3. Следователно сумата може да бъде по-висока от 100 % от равнището на дейност.</v>
      </c>
      <c r="F117" s="2249"/>
      <c r="G117" s="2249"/>
      <c r="H117" s="2249"/>
      <c r="I117" s="2249"/>
      <c r="J117" s="2249"/>
      <c r="K117" s="2249"/>
      <c r="L117" s="2249"/>
      <c r="M117" s="2249"/>
      <c r="N117" s="2249"/>
      <c r="O117" s="302"/>
      <c r="P117" s="295"/>
      <c r="Q117" s="694"/>
      <c r="R117" s="694"/>
      <c r="S117" s="694"/>
      <c r="T117" s="694"/>
      <c r="U117" s="694"/>
      <c r="V117" s="694"/>
      <c r="W117" s="694"/>
      <c r="X117" s="694"/>
      <c r="Y117" s="694"/>
      <c r="Z117" s="729"/>
      <c r="AA117" s="729"/>
      <c r="AB117" s="729"/>
      <c r="AC117" s="729"/>
      <c r="AD117" s="694"/>
      <c r="AE117" s="343"/>
      <c r="AF117" s="343"/>
      <c r="AG117" s="343"/>
      <c r="AH117" s="343"/>
      <c r="AI117" s="343"/>
      <c r="AJ117" s="343"/>
      <c r="AK117" s="343"/>
      <c r="AL117" s="343"/>
      <c r="AM117" s="343"/>
    </row>
    <row r="118" spans="1:39" ht="5.15" customHeight="1" x14ac:dyDescent="0.25">
      <c r="A118" s="729" t="str">
        <f t="shared" si="42"/>
        <v/>
      </c>
      <c r="B118" s="698"/>
      <c r="C118" s="284"/>
      <c r="D118" s="284"/>
      <c r="E118" s="2358"/>
      <c r="F118" s="2249"/>
      <c r="G118" s="2249"/>
      <c r="H118" s="2249"/>
      <c r="I118" s="2249"/>
      <c r="J118" s="2249"/>
      <c r="K118" s="2249"/>
      <c r="L118" s="2249"/>
      <c r="M118" s="2249"/>
      <c r="N118" s="2249"/>
      <c r="O118" s="302"/>
      <c r="P118" s="295"/>
      <c r="Q118" s="694"/>
      <c r="R118" s="694"/>
      <c r="S118" s="694"/>
      <c r="T118" s="694"/>
      <c r="U118" s="694"/>
      <c r="V118" s="694"/>
      <c r="W118" s="694"/>
      <c r="X118" s="694"/>
      <c r="Y118" s="694"/>
      <c r="Z118" s="729"/>
      <c r="AA118" s="729"/>
      <c r="AB118" s="729"/>
      <c r="AC118" s="729"/>
      <c r="AD118" s="694"/>
      <c r="AE118" s="343"/>
      <c r="AF118" s="343"/>
      <c r="AG118" s="343"/>
      <c r="AH118" s="343"/>
      <c r="AI118" s="343"/>
      <c r="AJ118" s="343"/>
      <c r="AK118" s="343"/>
      <c r="AL118" s="343"/>
      <c r="AM118" s="343"/>
    </row>
    <row r="119" spans="1:39" s="1423" customFormat="1" ht="25.5" customHeight="1" thickBot="1" x14ac:dyDescent="0.35">
      <c r="A119" s="729" t="str">
        <f t="shared" si="42"/>
        <v/>
      </c>
      <c r="B119" s="1412"/>
      <c r="C119" s="1413"/>
      <c r="D119" s="1414"/>
      <c r="E119" s="1415" t="str">
        <f>Translations!$B$624</f>
        <v>Име на продукта или „топлофикационна мрежа“</v>
      </c>
      <c r="F119" s="1416" t="str">
        <f>EUconst_Unit</f>
        <v>Единица мярка</v>
      </c>
      <c r="G119" s="1419" t="str">
        <f>Translations!$B$1336</f>
        <v>Стойност в НМИ</v>
      </c>
      <c r="H119" s="1418">
        <f t="shared" ref="H119:N119" si="65">H$1840</f>
        <v>2024</v>
      </c>
      <c r="I119" s="1419">
        <f t="shared" si="65"/>
        <v>2025</v>
      </c>
      <c r="J119" s="1418">
        <f t="shared" si="65"/>
        <v>2026</v>
      </c>
      <c r="K119" s="1420">
        <f t="shared" si="65"/>
        <v>2027</v>
      </c>
      <c r="L119" s="1420">
        <f t="shared" si="65"/>
        <v>2028</v>
      </c>
      <c r="M119" s="1420">
        <f t="shared" si="65"/>
        <v>2029</v>
      </c>
      <c r="N119" s="1420">
        <f t="shared" si="65"/>
        <v>2030</v>
      </c>
      <c r="O119" s="302"/>
      <c r="P119" s="295"/>
      <c r="Q119" s="1421"/>
      <c r="R119" s="1421"/>
      <c r="S119" s="770" t="str">
        <f>Translations!$B$1341</f>
        <v>Базова стойност</v>
      </c>
      <c r="T119" s="1421">
        <f t="shared" ref="T119" si="66">H119</f>
        <v>2024</v>
      </c>
      <c r="U119" s="1421">
        <f t="shared" ref="U119" si="67">I119</f>
        <v>2025</v>
      </c>
      <c r="V119" s="1421">
        <f t="shared" ref="V119" si="68">J119</f>
        <v>2026</v>
      </c>
      <c r="W119" s="1421">
        <f t="shared" ref="W119" si="69">K119</f>
        <v>2027</v>
      </c>
      <c r="X119" s="1421">
        <f t="shared" ref="X119" si="70">L119</f>
        <v>2028</v>
      </c>
      <c r="Y119" s="1421">
        <f t="shared" ref="Y119" si="71">M119</f>
        <v>2029</v>
      </c>
      <c r="Z119" s="1421">
        <f t="shared" ref="Z119" si="72">N119</f>
        <v>2030</v>
      </c>
      <c r="AA119" s="1421"/>
      <c r="AB119" s="770" t="str">
        <f>Translations!$B$1284</f>
        <v>HAL</v>
      </c>
      <c r="AC119" s="1421">
        <f t="shared" ref="AC119" si="73">H119</f>
        <v>2024</v>
      </c>
      <c r="AD119" s="1421">
        <f t="shared" ref="AD119" si="74">I119</f>
        <v>2025</v>
      </c>
      <c r="AE119" s="1421">
        <f t="shared" ref="AE119" si="75">J119</f>
        <v>2026</v>
      </c>
      <c r="AF119" s="1421">
        <f t="shared" ref="AF119" si="76">K119</f>
        <v>2027</v>
      </c>
      <c r="AG119" s="1421">
        <f t="shared" ref="AG119" si="77">L119</f>
        <v>2028</v>
      </c>
      <c r="AH119" s="1422">
        <f t="shared" ref="AH119" si="78">M119</f>
        <v>2029</v>
      </c>
      <c r="AI119" s="1422">
        <f t="shared" ref="AI119" si="79">N119</f>
        <v>2030</v>
      </c>
      <c r="AJ119" s="1422"/>
      <c r="AK119" s="1422"/>
      <c r="AL119" s="1422"/>
      <c r="AM119" s="1422"/>
    </row>
    <row r="120" spans="1:39" ht="12.75" customHeight="1" x14ac:dyDescent="0.25">
      <c r="A120" s="729" t="str">
        <f t="shared" si="42"/>
        <v/>
      </c>
      <c r="B120" s="698"/>
      <c r="C120" s="2906" t="str">
        <f>Translations!$B$1544</f>
        <v>ОБЩО</v>
      </c>
      <c r="D120" s="981">
        <v>1</v>
      </c>
      <c r="E120" s="1424" t="str">
        <f t="shared" ref="E120:E129" si="80">E104</f>
        <v/>
      </c>
      <c r="F120" s="1259" t="str">
        <f t="shared" ref="F120:F131" si="81">EUconst_TJ</f>
        <v>TJ</v>
      </c>
      <c r="G120" s="1465" t="str">
        <f>IF(OR($E120="",AB120=0),"",SUM(G86,G104))</f>
        <v/>
      </c>
      <c r="H120" s="1466" t="str">
        <f t="shared" ref="H120:N120" si="82">IF(OR($E120="",AC120=0),"",SUM(H86,H104))</f>
        <v/>
      </c>
      <c r="I120" s="1467" t="str">
        <f t="shared" si="82"/>
        <v/>
      </c>
      <c r="J120" s="1466" t="str">
        <f t="shared" si="82"/>
        <v/>
      </c>
      <c r="K120" s="1126" t="str">
        <f t="shared" si="82"/>
        <v/>
      </c>
      <c r="L120" s="1126" t="str">
        <f t="shared" si="82"/>
        <v/>
      </c>
      <c r="M120" s="1126" t="str">
        <f t="shared" si="82"/>
        <v/>
      </c>
      <c r="N120" s="1126" t="str">
        <f t="shared" si="82"/>
        <v/>
      </c>
      <c r="O120" s="302"/>
      <c r="P120" s="158"/>
      <c r="Q120" s="694"/>
      <c r="R120" s="694"/>
      <c r="S120" s="1443" t="str">
        <f>IF($M13&lt;&gt;EUconst_Relevant,"",
IF($V13&gt;($J$1840-3),
              IF(INDEX(H67:N67,MATCH($V13,$T119:$Z119,0))=0,0,INDEX(H120:N120,MATCH($V13,$T119:$Z119,0))/INDEX(H67:N67,MATCH($V13,$T119:$Z119,0))),
                             IF(ISNUMBER(G67),
                                            IF(OR(G67=0,$S51=FALSE),0,G120/G67),"")))</f>
        <v/>
      </c>
      <c r="T120" s="1444" t="str">
        <f>IF($E120="","",IF(IFERROR(SUM($S120)=0,SUM(H120)),SUM(H120),SUM(H67)*SUM($S120))*IF(SUM(H120)=0,1,SUM(H86)/SUM(H120)))</f>
        <v/>
      </c>
      <c r="U120" s="1444" t="str">
        <f t="shared" ref="U120:Z120" si="83">IF($E120="","",IF(IFERROR(SUM($S120)=0,SUM(I120)),SUM(I120),SUM(I67)*SUM($S120))*IF(SUM(I120)=0,1,SUM(I86)/SUM(I120)))</f>
        <v/>
      </c>
      <c r="V120" s="1444" t="str">
        <f t="shared" si="83"/>
        <v/>
      </c>
      <c r="W120" s="1444" t="str">
        <f t="shared" si="83"/>
        <v/>
      </c>
      <c r="X120" s="1444" t="str">
        <f t="shared" si="83"/>
        <v/>
      </c>
      <c r="Y120" s="1444" t="str">
        <f t="shared" si="83"/>
        <v/>
      </c>
      <c r="Z120" s="1445" t="str">
        <f t="shared" si="83"/>
        <v/>
      </c>
      <c r="AA120" s="1446" t="s">
        <v>1757</v>
      </c>
      <c r="AB120" s="1447">
        <f t="shared" ref="AB120:AI129" si="84">AB104</f>
        <v>2</v>
      </c>
      <c r="AC120" s="1427">
        <f t="shared" si="84"/>
        <v>2</v>
      </c>
      <c r="AD120" s="1427">
        <f t="shared" si="84"/>
        <v>2</v>
      </c>
      <c r="AE120" s="1427">
        <f t="shared" si="84"/>
        <v>2</v>
      </c>
      <c r="AF120" s="1427">
        <f t="shared" si="84"/>
        <v>2</v>
      </c>
      <c r="AG120" s="1427">
        <f t="shared" si="84"/>
        <v>2</v>
      </c>
      <c r="AH120" s="1428">
        <f t="shared" si="84"/>
        <v>2</v>
      </c>
      <c r="AI120" s="1429">
        <f t="shared" si="84"/>
        <v>2</v>
      </c>
      <c r="AJ120" s="343"/>
      <c r="AK120" s="1174" t="s">
        <v>2039</v>
      </c>
      <c r="AL120" s="1176" t="str">
        <f>IF(AND(CNTR_ExistSubInstEntries,COUNTIFS(AB120:AI120,2,G120:N120,"")&gt;0),EUconst_Error&amp;"FB"&amp;Q49,"")</f>
        <v/>
      </c>
      <c r="AM120" s="343"/>
    </row>
    <row r="121" spans="1:39" ht="12.75" customHeight="1" x14ac:dyDescent="0.25">
      <c r="A121" s="729" t="str">
        <f t="shared" si="42"/>
        <v/>
      </c>
      <c r="B121" s="698"/>
      <c r="C121" s="2906"/>
      <c r="D121" s="990">
        <v>2</v>
      </c>
      <c r="E121" s="1430" t="str">
        <f t="shared" si="80"/>
        <v/>
      </c>
      <c r="F121" s="1448" t="str">
        <f t="shared" si="81"/>
        <v>TJ</v>
      </c>
      <c r="G121" s="1468" t="str">
        <f t="shared" ref="G121:N121" si="85">IF(OR($E121="",AB121=0),"",SUM(G87,G105))</f>
        <v/>
      </c>
      <c r="H121" s="1469" t="str">
        <f t="shared" si="85"/>
        <v/>
      </c>
      <c r="I121" s="1470" t="str">
        <f t="shared" si="85"/>
        <v/>
      </c>
      <c r="J121" s="1469" t="str">
        <f t="shared" si="85"/>
        <v/>
      </c>
      <c r="K121" s="1127" t="str">
        <f t="shared" si="85"/>
        <v/>
      </c>
      <c r="L121" s="1127" t="str">
        <f t="shared" si="85"/>
        <v/>
      </c>
      <c r="M121" s="1127" t="str">
        <f t="shared" si="85"/>
        <v/>
      </c>
      <c r="N121" s="1127" t="str">
        <f t="shared" si="85"/>
        <v/>
      </c>
      <c r="O121" s="302"/>
      <c r="P121" s="158"/>
      <c r="Q121" s="694"/>
      <c r="R121" s="694"/>
      <c r="S121" s="1449" t="str">
        <f>IF($M13&lt;&gt;EUconst_Relevant,"",
IF($V13&gt;($J$1840-3),
              IF(INDEX(H68:N68,MATCH($V13,$T119:$Z119,0))=0,0,INDEX(H121:N121,MATCH($V13,$T119:$Z119,0))/INDEX(H68:N68,MATCH($V13,$T119:$Z119,0))),
                             IF(ISNUMBER(G68),
                                            IF(OR(G68=0,$S52=FALSE),0,G121/G68),"")))</f>
        <v/>
      </c>
      <c r="T121" s="1450" t="str">
        <f t="shared" ref="T121:Z121" si="86">IF($E121="","",IF(IFERROR(SUM($S121)=0,SUM(H121)),SUM(H121),SUM(H68)*SUM($S121))*IF(SUM(H121)=0,1,SUM(H87)/SUM(H121)))</f>
        <v/>
      </c>
      <c r="U121" s="1450" t="str">
        <f t="shared" si="86"/>
        <v/>
      </c>
      <c r="V121" s="1450" t="str">
        <f t="shared" si="86"/>
        <v/>
      </c>
      <c r="W121" s="1450" t="str">
        <f t="shared" si="86"/>
        <v/>
      </c>
      <c r="X121" s="1450" t="str">
        <f t="shared" si="86"/>
        <v/>
      </c>
      <c r="Y121" s="1450" t="str">
        <f t="shared" si="86"/>
        <v/>
      </c>
      <c r="Z121" s="1451" t="str">
        <f t="shared" si="86"/>
        <v/>
      </c>
      <c r="AA121" s="694"/>
      <c r="AB121" s="1431">
        <f t="shared" si="84"/>
        <v>2</v>
      </c>
      <c r="AC121" s="1432">
        <f t="shared" si="84"/>
        <v>2</v>
      </c>
      <c r="AD121" s="1432">
        <f t="shared" si="84"/>
        <v>2</v>
      </c>
      <c r="AE121" s="1432">
        <f t="shared" si="84"/>
        <v>2</v>
      </c>
      <c r="AF121" s="1432">
        <f t="shared" si="84"/>
        <v>2</v>
      </c>
      <c r="AG121" s="1432">
        <f t="shared" si="84"/>
        <v>2</v>
      </c>
      <c r="AH121" s="1432">
        <f t="shared" si="84"/>
        <v>2</v>
      </c>
      <c r="AI121" s="1452">
        <f t="shared" si="84"/>
        <v>2</v>
      </c>
      <c r="AJ121" s="343"/>
      <c r="AK121" s="1174" t="s">
        <v>2039</v>
      </c>
      <c r="AL121" s="1176" t="str">
        <f>IF(AND(CNTR_ExistSubInstEntries,COUNTIFS(AB121:AI121,2,G121:N121,"")&gt;0),EUconst_Error&amp;"FB"&amp;Q49,"")</f>
        <v/>
      </c>
      <c r="AM121" s="343"/>
    </row>
    <row r="122" spans="1:39" ht="12.75" customHeight="1" x14ac:dyDescent="0.25">
      <c r="A122" s="729" t="str">
        <f t="shared" si="42"/>
        <v/>
      </c>
      <c r="B122" s="698"/>
      <c r="C122" s="2906"/>
      <c r="D122" s="990">
        <v>3</v>
      </c>
      <c r="E122" s="1430" t="str">
        <f t="shared" si="80"/>
        <v/>
      </c>
      <c r="F122" s="1448" t="str">
        <f t="shared" si="81"/>
        <v>TJ</v>
      </c>
      <c r="G122" s="1470" t="str">
        <f t="shared" ref="G122:N122" si="87">IF(OR($E122="",AB122=0),"",SUM(G88,G106))</f>
        <v/>
      </c>
      <c r="H122" s="1469" t="str">
        <f t="shared" si="87"/>
        <v/>
      </c>
      <c r="I122" s="1470" t="str">
        <f t="shared" si="87"/>
        <v/>
      </c>
      <c r="J122" s="1469" t="str">
        <f t="shared" si="87"/>
        <v/>
      </c>
      <c r="K122" s="1127" t="str">
        <f t="shared" si="87"/>
        <v/>
      </c>
      <c r="L122" s="1127" t="str">
        <f t="shared" si="87"/>
        <v/>
      </c>
      <c r="M122" s="1127" t="str">
        <f t="shared" si="87"/>
        <v/>
      </c>
      <c r="N122" s="1127" t="str">
        <f t="shared" si="87"/>
        <v/>
      </c>
      <c r="O122" s="302"/>
      <c r="P122" s="158"/>
      <c r="Q122" s="694"/>
      <c r="R122" s="694"/>
      <c r="S122" s="1449" t="str">
        <f>IF($M13&lt;&gt;EUconst_Relevant,"",
IF($V13&gt;($J$1840-3),
              IF(INDEX(H69:N69,MATCH($V13,$T119:$Z119,0))=0,0,INDEX(H122:N122,MATCH($V13,$T119:$Z119,0))/INDEX(H69:N69,MATCH($V13,$T119:$Z119,0))),
                             IF(ISNUMBER(G69),
                                            IF(OR(G69=0,$S53=FALSE),0,G122/G69),"")))</f>
        <v/>
      </c>
      <c r="T122" s="1450" t="str">
        <f t="shared" ref="T122:Z122" si="88">IF($E122="","",IF(IFERROR(SUM($S122)=0,SUM(H122)),SUM(H122),SUM(H69)*SUM($S122))*IF(SUM(H122)=0,1,SUM(H88)/SUM(H122)))</f>
        <v/>
      </c>
      <c r="U122" s="1450" t="str">
        <f t="shared" si="88"/>
        <v/>
      </c>
      <c r="V122" s="1450" t="str">
        <f t="shared" si="88"/>
        <v/>
      </c>
      <c r="W122" s="1450" t="str">
        <f t="shared" si="88"/>
        <v/>
      </c>
      <c r="X122" s="1450" t="str">
        <f t="shared" si="88"/>
        <v/>
      </c>
      <c r="Y122" s="1450" t="str">
        <f t="shared" si="88"/>
        <v/>
      </c>
      <c r="Z122" s="1451" t="str">
        <f t="shared" si="88"/>
        <v/>
      </c>
      <c r="AA122" s="694"/>
      <c r="AB122" s="1431">
        <f t="shared" si="84"/>
        <v>2</v>
      </c>
      <c r="AC122" s="1432">
        <f t="shared" si="84"/>
        <v>2</v>
      </c>
      <c r="AD122" s="1432">
        <f t="shared" si="84"/>
        <v>2</v>
      </c>
      <c r="AE122" s="1432">
        <f t="shared" si="84"/>
        <v>2</v>
      </c>
      <c r="AF122" s="1432">
        <f t="shared" si="84"/>
        <v>2</v>
      </c>
      <c r="AG122" s="1432">
        <f t="shared" si="84"/>
        <v>2</v>
      </c>
      <c r="AH122" s="1432">
        <f t="shared" si="84"/>
        <v>2</v>
      </c>
      <c r="AI122" s="1452">
        <f t="shared" si="84"/>
        <v>2</v>
      </c>
      <c r="AJ122" s="343"/>
      <c r="AK122" s="1174" t="s">
        <v>2039</v>
      </c>
      <c r="AL122" s="1176" t="str">
        <f>IF(AND(CNTR_ExistSubInstEntries,COUNTIFS(AB122:AI122,2,G122:N122,"")&gt;0),EUconst_Error&amp;"FB"&amp;Q49,"")</f>
        <v/>
      </c>
      <c r="AM122" s="343"/>
    </row>
    <row r="123" spans="1:39" ht="12.75" customHeight="1" x14ac:dyDescent="0.25">
      <c r="A123" s="729" t="str">
        <f t="shared" si="42"/>
        <v/>
      </c>
      <c r="B123" s="698"/>
      <c r="C123" s="2906"/>
      <c r="D123" s="990">
        <v>4</v>
      </c>
      <c r="E123" s="1430" t="str">
        <f t="shared" si="80"/>
        <v/>
      </c>
      <c r="F123" s="1448" t="str">
        <f t="shared" si="81"/>
        <v>TJ</v>
      </c>
      <c r="G123" s="1470" t="str">
        <f t="shared" ref="G123:N123" si="89">IF(OR($E123="",AB123=0),"",SUM(G89,G107))</f>
        <v/>
      </c>
      <c r="H123" s="1469" t="str">
        <f t="shared" si="89"/>
        <v/>
      </c>
      <c r="I123" s="1470" t="str">
        <f t="shared" si="89"/>
        <v/>
      </c>
      <c r="J123" s="1469" t="str">
        <f t="shared" si="89"/>
        <v/>
      </c>
      <c r="K123" s="1127" t="str">
        <f t="shared" si="89"/>
        <v/>
      </c>
      <c r="L123" s="1127" t="str">
        <f t="shared" si="89"/>
        <v/>
      </c>
      <c r="M123" s="1127" t="str">
        <f t="shared" si="89"/>
        <v/>
      </c>
      <c r="N123" s="1127" t="str">
        <f t="shared" si="89"/>
        <v/>
      </c>
      <c r="O123" s="302"/>
      <c r="P123" s="158"/>
      <c r="Q123" s="694"/>
      <c r="R123" s="694"/>
      <c r="S123" s="1449" t="str">
        <f>IF($M13&lt;&gt;EUconst_Relevant,"",
IF($V13&gt;($J$1840-3),
              IF(INDEX(H70:N70,MATCH($V13,$T119:$Z119,0))=0,0,INDEX(H123:N123,MATCH($V13,$T119:$Z119,0))/INDEX(H70:N70,MATCH($V13,$T119:$Z119,0))),
                             IF(ISNUMBER(G70),
                                            IF(OR(G70=0,$S54=FALSE),0,G123/G70),"")))</f>
        <v/>
      </c>
      <c r="T123" s="1450" t="str">
        <f t="shared" ref="T123:Z123" si="90">IF($E123="","",IF(IFERROR(SUM($S123)=0,SUM(H123)),SUM(H123),SUM(H70)*SUM($S123))*IF(SUM(H123)=0,1,SUM(H89)/SUM(H123)))</f>
        <v/>
      </c>
      <c r="U123" s="1450" t="str">
        <f t="shared" si="90"/>
        <v/>
      </c>
      <c r="V123" s="1450" t="str">
        <f t="shared" si="90"/>
        <v/>
      </c>
      <c r="W123" s="1450" t="str">
        <f t="shared" si="90"/>
        <v/>
      </c>
      <c r="X123" s="1450" t="str">
        <f t="shared" si="90"/>
        <v/>
      </c>
      <c r="Y123" s="1450" t="str">
        <f t="shared" si="90"/>
        <v/>
      </c>
      <c r="Z123" s="1451" t="str">
        <f t="shared" si="90"/>
        <v/>
      </c>
      <c r="AA123" s="694"/>
      <c r="AB123" s="1431">
        <f t="shared" si="84"/>
        <v>2</v>
      </c>
      <c r="AC123" s="1432">
        <f t="shared" si="84"/>
        <v>2</v>
      </c>
      <c r="AD123" s="1432">
        <f t="shared" si="84"/>
        <v>2</v>
      </c>
      <c r="AE123" s="1432">
        <f t="shared" si="84"/>
        <v>2</v>
      </c>
      <c r="AF123" s="1432">
        <f t="shared" si="84"/>
        <v>2</v>
      </c>
      <c r="AG123" s="1432">
        <f t="shared" si="84"/>
        <v>2</v>
      </c>
      <c r="AH123" s="1432">
        <f t="shared" si="84"/>
        <v>2</v>
      </c>
      <c r="AI123" s="1452">
        <f t="shared" si="84"/>
        <v>2</v>
      </c>
      <c r="AJ123" s="343"/>
      <c r="AK123" s="1174" t="s">
        <v>2039</v>
      </c>
      <c r="AL123" s="1176" t="str">
        <f>IF(AND(CNTR_ExistSubInstEntries,COUNTIFS(AB123:AI123,2,G123:N123,"")&gt;0),EUconst_Error&amp;"FB"&amp;Q49,"")</f>
        <v/>
      </c>
      <c r="AM123" s="343"/>
    </row>
    <row r="124" spans="1:39" ht="12.75" customHeight="1" x14ac:dyDescent="0.25">
      <c r="A124" s="729" t="str">
        <f t="shared" si="42"/>
        <v/>
      </c>
      <c r="B124" s="698"/>
      <c r="C124" s="2906"/>
      <c r="D124" s="990">
        <v>5</v>
      </c>
      <c r="E124" s="1430" t="str">
        <f t="shared" si="80"/>
        <v/>
      </c>
      <c r="F124" s="1448" t="str">
        <f t="shared" si="81"/>
        <v>TJ</v>
      </c>
      <c r="G124" s="1470" t="str">
        <f t="shared" ref="G124:N124" si="91">IF(OR($E124="",AB124=0),"",SUM(G90,G108))</f>
        <v/>
      </c>
      <c r="H124" s="1469" t="str">
        <f t="shared" si="91"/>
        <v/>
      </c>
      <c r="I124" s="1470" t="str">
        <f t="shared" si="91"/>
        <v/>
      </c>
      <c r="J124" s="1469" t="str">
        <f t="shared" si="91"/>
        <v/>
      </c>
      <c r="K124" s="1127" t="str">
        <f t="shared" si="91"/>
        <v/>
      </c>
      <c r="L124" s="1127" t="str">
        <f t="shared" si="91"/>
        <v/>
      </c>
      <c r="M124" s="1127" t="str">
        <f t="shared" si="91"/>
        <v/>
      </c>
      <c r="N124" s="1127" t="str">
        <f t="shared" si="91"/>
        <v/>
      </c>
      <c r="O124" s="302"/>
      <c r="P124" s="158"/>
      <c r="Q124" s="694"/>
      <c r="R124" s="694"/>
      <c r="S124" s="1449" t="str">
        <f>IF($M13&lt;&gt;EUconst_Relevant,"",
IF($V13&gt;($J$1840-3),
              IF(INDEX(H71:N71,MATCH($V13,$T119:$Z119,0))=0,0,INDEX(H124:N124,MATCH($V13,$T119:$Z119,0))/INDEX(H71:N71,MATCH($V13,$T119:$Z119,0))),
                             IF(ISNUMBER(G71),
                                            IF(OR(G71=0,$S55=FALSE),0,G124/G71),"")))</f>
        <v/>
      </c>
      <c r="T124" s="1450" t="str">
        <f t="shared" ref="T124:Z124" si="92">IF($E124="","",IF(IFERROR(SUM($S124)=0,SUM(H124)),SUM(H124),SUM(H71)*SUM($S124))*IF(SUM(H124)=0,1,SUM(H90)/SUM(H124)))</f>
        <v/>
      </c>
      <c r="U124" s="1450" t="str">
        <f t="shared" si="92"/>
        <v/>
      </c>
      <c r="V124" s="1450" t="str">
        <f t="shared" si="92"/>
        <v/>
      </c>
      <c r="W124" s="1450" t="str">
        <f t="shared" si="92"/>
        <v/>
      </c>
      <c r="X124" s="1450" t="str">
        <f t="shared" si="92"/>
        <v/>
      </c>
      <c r="Y124" s="1450" t="str">
        <f t="shared" si="92"/>
        <v/>
      </c>
      <c r="Z124" s="1451" t="str">
        <f t="shared" si="92"/>
        <v/>
      </c>
      <c r="AA124" s="694"/>
      <c r="AB124" s="1431">
        <f t="shared" si="84"/>
        <v>2</v>
      </c>
      <c r="AC124" s="1432">
        <f t="shared" si="84"/>
        <v>2</v>
      </c>
      <c r="AD124" s="1432">
        <f t="shared" si="84"/>
        <v>2</v>
      </c>
      <c r="AE124" s="1432">
        <f t="shared" si="84"/>
        <v>2</v>
      </c>
      <c r="AF124" s="1432">
        <f t="shared" si="84"/>
        <v>2</v>
      </c>
      <c r="AG124" s="1432">
        <f t="shared" si="84"/>
        <v>2</v>
      </c>
      <c r="AH124" s="1432">
        <f t="shared" si="84"/>
        <v>2</v>
      </c>
      <c r="AI124" s="1452">
        <f t="shared" si="84"/>
        <v>2</v>
      </c>
      <c r="AJ124" s="343"/>
      <c r="AK124" s="1174" t="s">
        <v>2039</v>
      </c>
      <c r="AL124" s="1176" t="str">
        <f>IF(AND(CNTR_ExistSubInstEntries,COUNTIFS(AB124:AI124,2,G124:N124,"")&gt;0),EUconst_Error&amp;"FB"&amp;Q49,"")</f>
        <v/>
      </c>
      <c r="AM124" s="343"/>
    </row>
    <row r="125" spans="1:39" ht="12.75" customHeight="1" x14ac:dyDescent="0.25">
      <c r="A125" s="729" t="str">
        <f t="shared" si="42"/>
        <v/>
      </c>
      <c r="B125" s="698"/>
      <c r="C125" s="2906"/>
      <c r="D125" s="990">
        <v>6</v>
      </c>
      <c r="E125" s="1430" t="str">
        <f t="shared" si="80"/>
        <v/>
      </c>
      <c r="F125" s="1448" t="str">
        <f t="shared" si="81"/>
        <v>TJ</v>
      </c>
      <c r="G125" s="1470" t="str">
        <f t="shared" ref="G125:N125" si="93">IF(OR($E125="",AB125=0),"",SUM(G91,G109))</f>
        <v/>
      </c>
      <c r="H125" s="1469" t="str">
        <f t="shared" si="93"/>
        <v/>
      </c>
      <c r="I125" s="1470" t="str">
        <f t="shared" si="93"/>
        <v/>
      </c>
      <c r="J125" s="1469" t="str">
        <f t="shared" si="93"/>
        <v/>
      </c>
      <c r="K125" s="1127" t="str">
        <f t="shared" si="93"/>
        <v/>
      </c>
      <c r="L125" s="1127" t="str">
        <f t="shared" si="93"/>
        <v/>
      </c>
      <c r="M125" s="1127" t="str">
        <f t="shared" si="93"/>
        <v/>
      </c>
      <c r="N125" s="1127" t="str">
        <f t="shared" si="93"/>
        <v/>
      </c>
      <c r="O125" s="302"/>
      <c r="P125" s="158"/>
      <c r="Q125" s="694"/>
      <c r="R125" s="694"/>
      <c r="S125" s="1449" t="str">
        <f>IF($M13&lt;&gt;EUconst_Relevant,"",
IF($V13&gt;($J$1840-3),
              IF(INDEX(H72:N72,MATCH($V13,$T119:$Z119,0))=0,0,INDEX(H125:N125,MATCH($V13,$T119:$Z119,0))/INDEX(H72:N72,MATCH($V13,$T119:$Z119,0))),
                             IF(ISNUMBER(G72),
                                            IF(OR(G72=0,$S56=FALSE),0,G125/G72),"")))</f>
        <v/>
      </c>
      <c r="T125" s="1450" t="str">
        <f t="shared" ref="T125:Z125" si="94">IF($E125="","",IF(IFERROR(SUM($S125)=0,SUM(H125)),SUM(H125),SUM(H72)*SUM($S125))*IF(SUM(H125)=0,1,SUM(H91)/SUM(H125)))</f>
        <v/>
      </c>
      <c r="U125" s="1450" t="str">
        <f t="shared" si="94"/>
        <v/>
      </c>
      <c r="V125" s="1450" t="str">
        <f t="shared" si="94"/>
        <v/>
      </c>
      <c r="W125" s="1450" t="str">
        <f t="shared" si="94"/>
        <v/>
      </c>
      <c r="X125" s="1450" t="str">
        <f t="shared" si="94"/>
        <v/>
      </c>
      <c r="Y125" s="1450" t="str">
        <f t="shared" si="94"/>
        <v/>
      </c>
      <c r="Z125" s="1451" t="str">
        <f t="shared" si="94"/>
        <v/>
      </c>
      <c r="AA125" s="694"/>
      <c r="AB125" s="1431">
        <f t="shared" si="84"/>
        <v>2</v>
      </c>
      <c r="AC125" s="1432">
        <f t="shared" si="84"/>
        <v>2</v>
      </c>
      <c r="AD125" s="1432">
        <f t="shared" si="84"/>
        <v>2</v>
      </c>
      <c r="AE125" s="1432">
        <f t="shared" si="84"/>
        <v>2</v>
      </c>
      <c r="AF125" s="1432">
        <f t="shared" si="84"/>
        <v>2</v>
      </c>
      <c r="AG125" s="1432">
        <f t="shared" si="84"/>
        <v>2</v>
      </c>
      <c r="AH125" s="1432">
        <f t="shared" si="84"/>
        <v>2</v>
      </c>
      <c r="AI125" s="1452">
        <f t="shared" si="84"/>
        <v>2</v>
      </c>
      <c r="AJ125" s="343"/>
      <c r="AK125" s="1174" t="s">
        <v>2039</v>
      </c>
      <c r="AL125" s="1176" t="str">
        <f>IF(AND(CNTR_ExistSubInstEntries,COUNTIFS(AB125:AI125,2,G125:N125,"")&gt;0),EUconst_Error&amp;"FB"&amp;Q49,"")</f>
        <v/>
      </c>
      <c r="AM125" s="343"/>
    </row>
    <row r="126" spans="1:39" ht="12.75" customHeight="1" x14ac:dyDescent="0.25">
      <c r="A126" s="729" t="str">
        <f t="shared" si="42"/>
        <v/>
      </c>
      <c r="B126" s="698"/>
      <c r="C126" s="2906"/>
      <c r="D126" s="990">
        <v>7</v>
      </c>
      <c r="E126" s="1430" t="str">
        <f t="shared" si="80"/>
        <v/>
      </c>
      <c r="F126" s="1448" t="str">
        <f t="shared" si="81"/>
        <v>TJ</v>
      </c>
      <c r="G126" s="1470" t="str">
        <f t="shared" ref="G126:N126" si="95">IF(OR($E126="",AB126=0),"",SUM(G92,G110))</f>
        <v/>
      </c>
      <c r="H126" s="1469" t="str">
        <f t="shared" si="95"/>
        <v/>
      </c>
      <c r="I126" s="1470" t="str">
        <f t="shared" si="95"/>
        <v/>
      </c>
      <c r="J126" s="1469" t="str">
        <f t="shared" si="95"/>
        <v/>
      </c>
      <c r="K126" s="1127" t="str">
        <f t="shared" si="95"/>
        <v/>
      </c>
      <c r="L126" s="1127" t="str">
        <f t="shared" si="95"/>
        <v/>
      </c>
      <c r="M126" s="1127" t="str">
        <f t="shared" si="95"/>
        <v/>
      </c>
      <c r="N126" s="1127" t="str">
        <f t="shared" si="95"/>
        <v/>
      </c>
      <c r="O126" s="302"/>
      <c r="P126" s="158"/>
      <c r="Q126" s="694"/>
      <c r="R126" s="694"/>
      <c r="S126" s="1449" t="str">
        <f>IF($M13&lt;&gt;EUconst_Relevant,"",
IF($V13&gt;($J$1840-3),
              IF(INDEX(H73:N73,MATCH($V13,$T119:$Z119,0))=0,0,INDEX(H126:N126,MATCH($V13,$T119:$Z119,0))/INDEX(H73:N73,MATCH($V13,$T119:$Z119,0))),
                             IF(ISNUMBER(G73),
                                            IF(OR(G73=0,$S57=FALSE),0,G126/G73),"")))</f>
        <v/>
      </c>
      <c r="T126" s="1450" t="str">
        <f t="shared" ref="T126:Z126" si="96">IF($E126="","",IF(IFERROR(SUM($S126)=0,SUM(H126)),SUM(H126),SUM(H73)*SUM($S126))*IF(SUM(H126)=0,1,SUM(H92)/SUM(H126)))</f>
        <v/>
      </c>
      <c r="U126" s="1450" t="str">
        <f t="shared" si="96"/>
        <v/>
      </c>
      <c r="V126" s="1450" t="str">
        <f t="shared" si="96"/>
        <v/>
      </c>
      <c r="W126" s="1450" t="str">
        <f t="shared" si="96"/>
        <v/>
      </c>
      <c r="X126" s="1450" t="str">
        <f t="shared" si="96"/>
        <v/>
      </c>
      <c r="Y126" s="1450" t="str">
        <f t="shared" si="96"/>
        <v/>
      </c>
      <c r="Z126" s="1451" t="str">
        <f t="shared" si="96"/>
        <v/>
      </c>
      <c r="AA126" s="694"/>
      <c r="AB126" s="1431">
        <f t="shared" si="84"/>
        <v>2</v>
      </c>
      <c r="AC126" s="1432">
        <f t="shared" si="84"/>
        <v>2</v>
      </c>
      <c r="AD126" s="1432">
        <f t="shared" si="84"/>
        <v>2</v>
      </c>
      <c r="AE126" s="1432">
        <f t="shared" si="84"/>
        <v>2</v>
      </c>
      <c r="AF126" s="1432">
        <f t="shared" si="84"/>
        <v>2</v>
      </c>
      <c r="AG126" s="1432">
        <f t="shared" si="84"/>
        <v>2</v>
      </c>
      <c r="AH126" s="1432">
        <f t="shared" si="84"/>
        <v>2</v>
      </c>
      <c r="AI126" s="1452">
        <f t="shared" si="84"/>
        <v>2</v>
      </c>
      <c r="AJ126" s="343"/>
      <c r="AK126" s="1174" t="s">
        <v>2039</v>
      </c>
      <c r="AL126" s="1176" t="str">
        <f>IF(AND(CNTR_ExistSubInstEntries,COUNTIFS(AB126:AI126,2,G126:N126,"")&gt;0),EUconst_Error&amp;"FB"&amp;Q49,"")</f>
        <v/>
      </c>
      <c r="AM126" s="343"/>
    </row>
    <row r="127" spans="1:39" ht="12.75" customHeight="1" x14ac:dyDescent="0.25">
      <c r="A127" s="729" t="str">
        <f t="shared" si="42"/>
        <v/>
      </c>
      <c r="B127" s="698"/>
      <c r="C127" s="2906"/>
      <c r="D127" s="990">
        <v>8</v>
      </c>
      <c r="E127" s="1430" t="str">
        <f t="shared" si="80"/>
        <v/>
      </c>
      <c r="F127" s="1448" t="str">
        <f t="shared" si="81"/>
        <v>TJ</v>
      </c>
      <c r="G127" s="1470" t="str">
        <f t="shared" ref="G127:N127" si="97">IF(OR($E127="",AB127=0),"",SUM(G93,G111))</f>
        <v/>
      </c>
      <c r="H127" s="1469" t="str">
        <f t="shared" si="97"/>
        <v/>
      </c>
      <c r="I127" s="1470" t="str">
        <f t="shared" si="97"/>
        <v/>
      </c>
      <c r="J127" s="1469" t="str">
        <f t="shared" si="97"/>
        <v/>
      </c>
      <c r="K127" s="1127" t="str">
        <f t="shared" si="97"/>
        <v/>
      </c>
      <c r="L127" s="1127" t="str">
        <f t="shared" si="97"/>
        <v/>
      </c>
      <c r="M127" s="1127" t="str">
        <f t="shared" si="97"/>
        <v/>
      </c>
      <c r="N127" s="1127" t="str">
        <f t="shared" si="97"/>
        <v/>
      </c>
      <c r="O127" s="302"/>
      <c r="P127" s="158"/>
      <c r="Q127" s="694"/>
      <c r="R127" s="694"/>
      <c r="S127" s="1449" t="str">
        <f>IF($M13&lt;&gt;EUconst_Relevant,"",
IF($V13&gt;($J$1840-3),
              IF(INDEX(H74:N74,MATCH($V13,$T119:$Z119,0))=0,0,INDEX(H127:N127,MATCH($V13,$T119:$Z119,0))/INDEX(H74:N74,MATCH($V13,$T119:$Z119,0))),
                             IF(ISNUMBER(G74),
                                            IF(OR(G74=0,$S58=FALSE),0,G127/G74),"")))</f>
        <v/>
      </c>
      <c r="T127" s="1450" t="str">
        <f t="shared" ref="T127:Z127" si="98">IF($E127="","",IF(IFERROR(SUM($S127)=0,SUM(H127)),SUM(H127),SUM(H74)*SUM($S127))*IF(SUM(H127)=0,1,SUM(H93)/SUM(H127)))</f>
        <v/>
      </c>
      <c r="U127" s="1450" t="str">
        <f t="shared" si="98"/>
        <v/>
      </c>
      <c r="V127" s="1450" t="str">
        <f t="shared" si="98"/>
        <v/>
      </c>
      <c r="W127" s="1450" t="str">
        <f t="shared" si="98"/>
        <v/>
      </c>
      <c r="X127" s="1450" t="str">
        <f t="shared" si="98"/>
        <v/>
      </c>
      <c r="Y127" s="1450" t="str">
        <f t="shared" si="98"/>
        <v/>
      </c>
      <c r="Z127" s="1451" t="str">
        <f t="shared" si="98"/>
        <v/>
      </c>
      <c r="AA127" s="694"/>
      <c r="AB127" s="1431">
        <f t="shared" si="84"/>
        <v>2</v>
      </c>
      <c r="AC127" s="1432">
        <f t="shared" si="84"/>
        <v>2</v>
      </c>
      <c r="AD127" s="1432">
        <f t="shared" si="84"/>
        <v>2</v>
      </c>
      <c r="AE127" s="1432">
        <f t="shared" si="84"/>
        <v>2</v>
      </c>
      <c r="AF127" s="1432">
        <f t="shared" si="84"/>
        <v>2</v>
      </c>
      <c r="AG127" s="1432">
        <f t="shared" si="84"/>
        <v>2</v>
      </c>
      <c r="AH127" s="1432">
        <f t="shared" si="84"/>
        <v>2</v>
      </c>
      <c r="AI127" s="1452">
        <f t="shared" si="84"/>
        <v>2</v>
      </c>
      <c r="AJ127" s="343"/>
      <c r="AK127" s="1174" t="s">
        <v>2039</v>
      </c>
      <c r="AL127" s="1176" t="str">
        <f>IF(AND(CNTR_ExistSubInstEntries,COUNTIFS(AB127:AI127,2,G127:N127,"")&gt;0),EUconst_Error&amp;"FB"&amp;Q49,"")</f>
        <v/>
      </c>
      <c r="AM127" s="343"/>
    </row>
    <row r="128" spans="1:39" ht="12.75" customHeight="1" x14ac:dyDescent="0.25">
      <c r="A128" s="729" t="str">
        <f t="shared" si="42"/>
        <v/>
      </c>
      <c r="B128" s="698"/>
      <c r="C128" s="2906"/>
      <c r="D128" s="990">
        <v>9</v>
      </c>
      <c r="E128" s="1430" t="str">
        <f t="shared" si="80"/>
        <v/>
      </c>
      <c r="F128" s="1448" t="str">
        <f t="shared" si="81"/>
        <v>TJ</v>
      </c>
      <c r="G128" s="1470" t="str">
        <f t="shared" ref="G128:N128" si="99">IF(OR($E128="",AB128=0),"",SUM(G94,G112))</f>
        <v/>
      </c>
      <c r="H128" s="1469" t="str">
        <f t="shared" si="99"/>
        <v/>
      </c>
      <c r="I128" s="1470" t="str">
        <f t="shared" si="99"/>
        <v/>
      </c>
      <c r="J128" s="1469" t="str">
        <f t="shared" si="99"/>
        <v/>
      </c>
      <c r="K128" s="1127" t="str">
        <f t="shared" si="99"/>
        <v/>
      </c>
      <c r="L128" s="1127" t="str">
        <f t="shared" si="99"/>
        <v/>
      </c>
      <c r="M128" s="1127" t="str">
        <f t="shared" si="99"/>
        <v/>
      </c>
      <c r="N128" s="1127" t="str">
        <f t="shared" si="99"/>
        <v/>
      </c>
      <c r="O128" s="302"/>
      <c r="P128" s="158"/>
      <c r="Q128" s="694"/>
      <c r="R128" s="694"/>
      <c r="S128" s="1449" t="str">
        <f>IF($M13&lt;&gt;EUconst_Relevant,"",
IF($V13&gt;($J$1840-3),
              IF(INDEX(H75:N75,MATCH($V13,$T119:$Z119,0))=0,0,INDEX(H128:N128,MATCH($V13,$T119:$Z119,0))/INDEX(H75:N75,MATCH($V13,$T119:$Z119,0))),
                             IF(ISNUMBER(G75),
                                            IF(OR(G75=0,$S59=FALSE),0,G128/G75),"")))</f>
        <v/>
      </c>
      <c r="T128" s="1450" t="str">
        <f t="shared" ref="T128:Z128" si="100">IF($E128="","",IF(IFERROR(SUM($S128)=0,SUM(H128)),SUM(H128),SUM(H75)*SUM($S128))*IF(SUM(H128)=0,1,SUM(H94)/SUM(H128)))</f>
        <v/>
      </c>
      <c r="U128" s="1450" t="str">
        <f t="shared" si="100"/>
        <v/>
      </c>
      <c r="V128" s="1450" t="str">
        <f t="shared" si="100"/>
        <v/>
      </c>
      <c r="W128" s="1450" t="str">
        <f t="shared" si="100"/>
        <v/>
      </c>
      <c r="X128" s="1450" t="str">
        <f t="shared" si="100"/>
        <v/>
      </c>
      <c r="Y128" s="1450" t="str">
        <f t="shared" si="100"/>
        <v/>
      </c>
      <c r="Z128" s="1451" t="str">
        <f t="shared" si="100"/>
        <v/>
      </c>
      <c r="AA128" s="694"/>
      <c r="AB128" s="1431">
        <f t="shared" si="84"/>
        <v>2</v>
      </c>
      <c r="AC128" s="1432">
        <f t="shared" si="84"/>
        <v>2</v>
      </c>
      <c r="AD128" s="1432">
        <f t="shared" si="84"/>
        <v>2</v>
      </c>
      <c r="AE128" s="1432">
        <f t="shared" si="84"/>
        <v>2</v>
      </c>
      <c r="AF128" s="1432">
        <f t="shared" si="84"/>
        <v>2</v>
      </c>
      <c r="AG128" s="1432">
        <f t="shared" si="84"/>
        <v>2</v>
      </c>
      <c r="AH128" s="1432">
        <f t="shared" si="84"/>
        <v>2</v>
      </c>
      <c r="AI128" s="1452">
        <f t="shared" si="84"/>
        <v>2</v>
      </c>
      <c r="AJ128" s="343"/>
      <c r="AK128" s="1174" t="s">
        <v>2039</v>
      </c>
      <c r="AL128" s="1176" t="str">
        <f>IF(AND(CNTR_ExistSubInstEntries,COUNTIFS(AB128:AI128,2,G128:N128,"")&gt;0),EUconst_Error&amp;"FB"&amp;Q49,"")</f>
        <v/>
      </c>
      <c r="AM128" s="343"/>
    </row>
    <row r="129" spans="1:39" ht="12.75" customHeight="1" thickBot="1" x14ac:dyDescent="0.3">
      <c r="A129" s="729" t="str">
        <f t="shared" si="42"/>
        <v/>
      </c>
      <c r="B129" s="698"/>
      <c r="C129" s="2906"/>
      <c r="D129" s="994">
        <v>10</v>
      </c>
      <c r="E129" s="1435" t="str">
        <f t="shared" si="80"/>
        <v/>
      </c>
      <c r="F129" s="1453" t="str">
        <f t="shared" si="81"/>
        <v>TJ</v>
      </c>
      <c r="G129" s="1471" t="str">
        <f t="shared" ref="G129:N129" si="101">IF(OR($E129="",AB129=0),"",SUM(G95,G113))</f>
        <v/>
      </c>
      <c r="H129" s="1472" t="str">
        <f t="shared" si="101"/>
        <v/>
      </c>
      <c r="I129" s="1471" t="str">
        <f t="shared" si="101"/>
        <v/>
      </c>
      <c r="J129" s="1472" t="str">
        <f t="shared" si="101"/>
        <v/>
      </c>
      <c r="K129" s="1128" t="str">
        <f t="shared" si="101"/>
        <v/>
      </c>
      <c r="L129" s="1128" t="str">
        <f t="shared" si="101"/>
        <v/>
      </c>
      <c r="M129" s="1128" t="str">
        <f t="shared" si="101"/>
        <v/>
      </c>
      <c r="N129" s="1128" t="str">
        <f t="shared" si="101"/>
        <v/>
      </c>
      <c r="O129" s="302"/>
      <c r="P129" s="158"/>
      <c r="Q129" s="694"/>
      <c r="R129" s="694"/>
      <c r="S129" s="1454" t="str">
        <f>IF($M13&lt;&gt;EUconst_Relevant,"",
IF($V13&gt;($J$1840-3),
              IF(INDEX(H76:N76,MATCH($V13,$T119:$Z119,0))=0,0,INDEX(H129:N129,MATCH($V13,$T119:$Z119,0))/INDEX(H76:N76,MATCH($V13,$T119:$Z119,0))),
                             IF(ISNUMBER(G76),
                                            IF(OR(G76=0,$S60=FALSE),0,G129/G76),"")))</f>
        <v/>
      </c>
      <c r="T129" s="1473" t="str">
        <f t="shared" ref="T129:Z129" si="102">IF($E129="","",IF(IFERROR(SUM($S129)=0,SUM(H129)),SUM(H129),SUM(H76)*SUM($S129))*IF(SUM(H129)=0,1,SUM(H95)/SUM(H129)))</f>
        <v/>
      </c>
      <c r="U129" s="1473" t="str">
        <f t="shared" si="102"/>
        <v/>
      </c>
      <c r="V129" s="1473" t="str">
        <f t="shared" si="102"/>
        <v/>
      </c>
      <c r="W129" s="1473" t="str">
        <f t="shared" si="102"/>
        <v/>
      </c>
      <c r="X129" s="1473" t="str">
        <f t="shared" si="102"/>
        <v/>
      </c>
      <c r="Y129" s="1473" t="str">
        <f t="shared" si="102"/>
        <v/>
      </c>
      <c r="Z129" s="1474" t="str">
        <f t="shared" si="102"/>
        <v/>
      </c>
      <c r="AA129" s="694"/>
      <c r="AB129" s="1436">
        <f t="shared" si="84"/>
        <v>2</v>
      </c>
      <c r="AC129" s="1437">
        <f t="shared" si="84"/>
        <v>2</v>
      </c>
      <c r="AD129" s="1437">
        <f t="shared" si="84"/>
        <v>2</v>
      </c>
      <c r="AE129" s="1437">
        <f t="shared" si="84"/>
        <v>2</v>
      </c>
      <c r="AF129" s="1437">
        <f t="shared" si="84"/>
        <v>2</v>
      </c>
      <c r="AG129" s="1437">
        <f t="shared" si="84"/>
        <v>2</v>
      </c>
      <c r="AH129" s="1437">
        <f t="shared" si="84"/>
        <v>2</v>
      </c>
      <c r="AI129" s="1457">
        <f t="shared" si="84"/>
        <v>2</v>
      </c>
      <c r="AJ129" s="343"/>
      <c r="AK129" s="1174" t="s">
        <v>2039</v>
      </c>
      <c r="AL129" s="1176" t="str">
        <f>IF(AND(CNTR_ExistSubInstEntries,COUNTIFS(AB129:AI129,2,G129:N129,"")&gt;0),EUconst_Error&amp;"FB"&amp;Q49,"")</f>
        <v/>
      </c>
      <c r="AM129" s="343"/>
    </row>
    <row r="130" spans="1:39" ht="12.75" customHeight="1" thickBot="1" x14ac:dyDescent="0.3">
      <c r="A130" s="729" t="str">
        <f t="shared" si="42"/>
        <v/>
      </c>
      <c r="B130" s="698"/>
      <c r="C130" s="2906"/>
      <c r="D130" s="1293"/>
      <c r="E130" s="1458" t="str">
        <f>Translations!$B$1338</f>
        <v>Общо потребление</v>
      </c>
      <c r="F130" s="1453" t="str">
        <f t="shared" si="81"/>
        <v>TJ</v>
      </c>
      <c r="G130" s="1296" t="str">
        <f t="shared" ref="G130:N130" si="103">IF(COUNT(G120:G129)&gt;0,SUMIF($S51:$S60,TRUE,G120:G129),"")</f>
        <v/>
      </c>
      <c r="H130" s="1297" t="str">
        <f t="shared" si="103"/>
        <v/>
      </c>
      <c r="I130" s="1296" t="str">
        <f t="shared" si="103"/>
        <v/>
      </c>
      <c r="J130" s="1297" t="str">
        <f t="shared" si="103"/>
        <v/>
      </c>
      <c r="K130" s="1104" t="str">
        <f t="shared" si="103"/>
        <v/>
      </c>
      <c r="L130" s="1104" t="str">
        <f t="shared" si="103"/>
        <v/>
      </c>
      <c r="M130" s="1104" t="str">
        <f t="shared" si="103"/>
        <v/>
      </c>
      <c r="N130" s="1104" t="str">
        <f t="shared" si="103"/>
        <v/>
      </c>
      <c r="O130" s="302"/>
      <c r="P130" s="336"/>
      <c r="Q130" s="694"/>
      <c r="R130" s="694"/>
      <c r="S130" s="1174" t="s">
        <v>2147</v>
      </c>
      <c r="T130" s="1459">
        <f>IFERROR(SUM(T120:T129),"")</f>
        <v>0</v>
      </c>
      <c r="U130" s="1460">
        <f t="shared" ref="U130:Z130" si="104">IFERROR(SUM(U120:U129),"")</f>
        <v>0</v>
      </c>
      <c r="V130" s="1460">
        <f t="shared" si="104"/>
        <v>0</v>
      </c>
      <c r="W130" s="1460">
        <f t="shared" si="104"/>
        <v>0</v>
      </c>
      <c r="X130" s="1460">
        <f t="shared" si="104"/>
        <v>0</v>
      </c>
      <c r="Y130" s="1460">
        <f t="shared" si="104"/>
        <v>0</v>
      </c>
      <c r="Z130" s="1461">
        <f t="shared" si="104"/>
        <v>0</v>
      </c>
      <c r="AA130" s="694"/>
      <c r="AB130" s="729"/>
      <c r="AC130" s="694"/>
      <c r="AD130" s="694"/>
      <c r="AE130" s="343"/>
      <c r="AF130" s="343"/>
      <c r="AG130" s="343"/>
      <c r="AH130" s="343"/>
      <c r="AI130" s="343"/>
      <c r="AJ130" s="343"/>
      <c r="AK130" s="343"/>
      <c r="AL130" s="343"/>
      <c r="AM130" s="343"/>
    </row>
    <row r="131" spans="1:39" ht="12.75" customHeight="1" x14ac:dyDescent="0.25">
      <c r="A131" s="729" t="str">
        <f t="shared" si="42"/>
        <v/>
      </c>
      <c r="B131" s="698"/>
      <c r="C131" s="2906"/>
      <c r="D131" s="1462"/>
      <c r="E131" s="1463" t="str">
        <f>Translations!$B$1339</f>
        <v>Дял от a)</v>
      </c>
      <c r="F131" s="1464" t="str">
        <f t="shared" si="81"/>
        <v>TJ</v>
      </c>
      <c r="G131" s="184" t="str">
        <f>IF(COUNT(I29,G130)=2,IF(I29=0,1,G130/I29),"")</f>
        <v/>
      </c>
      <c r="H131" s="185" t="str">
        <f>IF(COUNT(H21,H130)=2,IF(H21=0,1,H130/H21),"")</f>
        <v/>
      </c>
      <c r="I131" s="186" t="str">
        <f t="shared" ref="I131:N131" si="105">IF(COUNT(I21,I130)=2,IF(I21=0,1,I130/I21),"")</f>
        <v/>
      </c>
      <c r="J131" s="185" t="str">
        <f t="shared" si="105"/>
        <v/>
      </c>
      <c r="K131" s="187" t="str">
        <f t="shared" si="105"/>
        <v/>
      </c>
      <c r="L131" s="187" t="str">
        <f t="shared" si="105"/>
        <v/>
      </c>
      <c r="M131" s="187" t="str">
        <f t="shared" si="105"/>
        <v/>
      </c>
      <c r="N131" s="187" t="str">
        <f t="shared" si="105"/>
        <v/>
      </c>
      <c r="O131" s="302"/>
      <c r="P131" s="336"/>
      <c r="Q131" s="694"/>
      <c r="R131" s="694"/>
      <c r="S131" s="729"/>
      <c r="T131" s="694"/>
      <c r="U131" s="694"/>
      <c r="V131" s="694"/>
      <c r="W131" s="694"/>
      <c r="X131" s="694"/>
      <c r="Y131" s="694"/>
      <c r="Z131" s="694"/>
      <c r="AA131" s="694"/>
      <c r="AB131" s="729"/>
      <c r="AC131" s="694"/>
      <c r="AD131" s="694"/>
      <c r="AE131" s="343"/>
      <c r="AF131" s="343"/>
      <c r="AG131" s="343"/>
      <c r="AH131" s="343"/>
      <c r="AI131" s="343"/>
      <c r="AJ131" s="343"/>
      <c r="AK131" s="343"/>
      <c r="AL131" s="343"/>
      <c r="AM131" s="343"/>
    </row>
    <row r="132" spans="1:39" ht="5.15" customHeight="1" x14ac:dyDescent="0.25">
      <c r="A132" s="729" t="str">
        <f t="shared" si="42"/>
        <v/>
      </c>
      <c r="B132" s="698"/>
      <c r="C132" s="284"/>
      <c r="D132" s="284"/>
      <c r="E132" s="284"/>
      <c r="F132" s="284"/>
      <c r="G132" s="284"/>
      <c r="H132" s="284"/>
      <c r="I132" s="284"/>
      <c r="J132" s="284"/>
      <c r="K132" s="284"/>
      <c r="L132" s="284"/>
      <c r="M132" s="284"/>
      <c r="N132" s="284"/>
      <c r="O132" s="302"/>
      <c r="P132" s="336"/>
      <c r="Q132" s="694"/>
      <c r="R132" s="694"/>
      <c r="S132" s="694"/>
      <c r="T132" s="694"/>
      <c r="U132" s="694"/>
      <c r="V132" s="694"/>
      <c r="W132" s="694"/>
      <c r="X132" s="694"/>
      <c r="Y132" s="694"/>
      <c r="Z132" s="729"/>
      <c r="AA132" s="729"/>
      <c r="AB132" s="729"/>
      <c r="AC132" s="694"/>
      <c r="AD132" s="694"/>
      <c r="AE132" s="343"/>
      <c r="AF132" s="343"/>
      <c r="AG132" s="343"/>
      <c r="AH132" s="343"/>
      <c r="AI132" s="343"/>
      <c r="AJ132" s="343"/>
      <c r="AK132" s="343"/>
      <c r="AL132" s="343"/>
      <c r="AM132" s="343"/>
    </row>
    <row r="133" spans="1:39" ht="12.75" customHeight="1" x14ac:dyDescent="0.25">
      <c r="A133" s="729" t="str">
        <f t="shared" si="42"/>
        <v/>
      </c>
      <c r="B133" s="284"/>
      <c r="C133" s="300"/>
      <c r="D133" s="300" t="s">
        <v>1831</v>
      </c>
      <c r="E133" s="2226" t="str">
        <f>Translations!$B$1545</f>
        <v>Очаквани равнища на дейност</v>
      </c>
      <c r="F133" s="2249"/>
      <c r="G133" s="2249"/>
      <c r="H133" s="2249"/>
      <c r="I133" s="2249"/>
      <c r="J133" s="2249"/>
      <c r="K133" s="2249"/>
      <c r="L133" s="2249"/>
      <c r="M133" s="2249"/>
      <c r="N133" s="2249"/>
      <c r="O133" s="302"/>
      <c r="P133" s="336"/>
      <c r="Q133" s="770"/>
      <c r="R133" s="694"/>
      <c r="S133" s="694"/>
      <c r="T133" s="694"/>
      <c r="U133" s="694"/>
      <c r="V133" s="694"/>
      <c r="W133" s="694"/>
      <c r="X133" s="694"/>
      <c r="Y133" s="694"/>
      <c r="Z133" s="694"/>
      <c r="AA133" s="694"/>
      <c r="AB133" s="729"/>
      <c r="AC133" s="694"/>
      <c r="AD133" s="694"/>
      <c r="AE133" s="343"/>
      <c r="AF133" s="343"/>
      <c r="AG133" s="343"/>
      <c r="AH133" s="343"/>
      <c r="AI133" s="343"/>
      <c r="AJ133" s="343"/>
      <c r="AK133" s="343"/>
      <c r="AL133" s="343"/>
      <c r="AM133" s="343"/>
    </row>
    <row r="134" spans="1:39" ht="12.75" customHeight="1" x14ac:dyDescent="0.25">
      <c r="A134" s="729" t="str">
        <f t="shared" si="42"/>
        <v/>
      </c>
      <c r="B134" s="698"/>
      <c r="C134" s="284"/>
      <c r="D134" s="284"/>
      <c r="E134" s="2358" t="str">
        <f>Translations!$B$1340</f>
        <v>Конкретното енергопотребление се определя в съответствие с раздел 6.1 от Ръководен документ 7 за стойности, отговарящи на критериите по буква б.1) по-горе.</v>
      </c>
      <c r="F134" s="2358"/>
      <c r="G134" s="2358"/>
      <c r="H134" s="2358"/>
      <c r="I134" s="2358"/>
      <c r="J134" s="2358"/>
      <c r="K134" s="2358"/>
      <c r="L134" s="2358"/>
      <c r="M134" s="2358"/>
      <c r="N134" s="2358"/>
      <c r="O134" s="302"/>
      <c r="P134" s="336"/>
      <c r="Q134" s="694"/>
      <c r="R134" s="694"/>
      <c r="S134" s="694"/>
      <c r="T134" s="694"/>
      <c r="U134" s="694"/>
      <c r="V134" s="694"/>
      <c r="W134" s="694"/>
      <c r="X134" s="694"/>
      <c r="Y134" s="694"/>
      <c r="Z134" s="729"/>
      <c r="AA134" s="729"/>
      <c r="AB134" s="729"/>
      <c r="AC134" s="694"/>
      <c r="AD134" s="694"/>
      <c r="AE134" s="343"/>
      <c r="AF134" s="343"/>
      <c r="AG134" s="343"/>
      <c r="AH134" s="343"/>
      <c r="AI134" s="343"/>
      <c r="AJ134" s="343"/>
      <c r="AK134" s="343"/>
      <c r="AL134" s="343"/>
      <c r="AM134" s="343"/>
    </row>
    <row r="135" spans="1:39" ht="5.15" customHeight="1" thickBot="1" x14ac:dyDescent="0.3">
      <c r="A135" s="729" t="str">
        <f t="shared" si="42"/>
        <v/>
      </c>
      <c r="B135" s="698"/>
      <c r="C135" s="698"/>
      <c r="D135" s="698"/>
      <c r="E135" s="698"/>
      <c r="F135" s="698"/>
      <c r="G135" s="698"/>
      <c r="H135" s="698"/>
      <c r="I135" s="1025"/>
      <c r="J135" s="698"/>
      <c r="K135" s="698"/>
      <c r="L135" s="698"/>
      <c r="M135" s="698"/>
      <c r="N135" s="698"/>
      <c r="O135" s="302"/>
      <c r="P135" s="336"/>
      <c r="Q135" s="1263"/>
      <c r="R135" s="694"/>
      <c r="S135" s="729"/>
      <c r="T135" s="729"/>
      <c r="U135" s="694"/>
      <c r="V135" s="694"/>
      <c r="W135" s="694"/>
      <c r="X135" s="694"/>
      <c r="Y135" s="694"/>
      <c r="Z135" s="694"/>
      <c r="AA135" s="694"/>
      <c r="AB135" s="729"/>
      <c r="AC135" s="694"/>
      <c r="AD135" s="694"/>
      <c r="AE135" s="694"/>
      <c r="AF135" s="694"/>
      <c r="AG135" s="694"/>
      <c r="AH135" s="694"/>
      <c r="AI135" s="694"/>
      <c r="AJ135" s="694"/>
      <c r="AK135" s="694"/>
      <c r="AL135" s="694"/>
      <c r="AM135" s="343"/>
    </row>
    <row r="136" spans="1:39" ht="5.15" customHeight="1" thickBot="1" x14ac:dyDescent="0.3">
      <c r="A136" s="729" t="str">
        <f t="shared" si="42"/>
        <v/>
      </c>
      <c r="B136" s="698"/>
      <c r="C136" s="698"/>
      <c r="D136" s="1475"/>
      <c r="E136" s="1476"/>
      <c r="F136" s="1476"/>
      <c r="G136" s="1476"/>
      <c r="H136" s="1476"/>
      <c r="I136" s="1477"/>
      <c r="J136" s="1476"/>
      <c r="K136" s="1476"/>
      <c r="L136" s="1476"/>
      <c r="M136" s="1476"/>
      <c r="N136" s="1478"/>
      <c r="O136" s="302"/>
      <c r="P136" s="336"/>
      <c r="Q136" s="1263"/>
      <c r="R136" s="694"/>
      <c r="S136" s="729"/>
      <c r="T136" s="729"/>
      <c r="U136" s="694"/>
      <c r="V136" s="694"/>
      <c r="W136" s="694"/>
      <c r="X136" s="694"/>
      <c r="Y136" s="694"/>
      <c r="Z136" s="694"/>
      <c r="AA136" s="694"/>
      <c r="AB136" s="729"/>
      <c r="AC136" s="694"/>
      <c r="AD136" s="694"/>
      <c r="AE136" s="694"/>
      <c r="AF136" s="694"/>
      <c r="AG136" s="694"/>
      <c r="AH136" s="694"/>
      <c r="AI136" s="694"/>
      <c r="AJ136" s="694"/>
      <c r="AK136" s="694"/>
      <c r="AL136" s="694"/>
      <c r="AM136" s="343"/>
    </row>
    <row r="137" spans="1:39" ht="12.75" customHeight="1" x14ac:dyDescent="0.25">
      <c r="A137" s="729" t="str">
        <f t="shared" si="42"/>
        <v/>
      </c>
      <c r="B137" s="298"/>
      <c r="C137" s="698"/>
      <c r="D137" s="1217"/>
      <c r="E137" s="1198" t="str">
        <f>Translations!$B$1546</f>
        <v>Корекции: Промени в ефективността</v>
      </c>
      <c r="F137" s="1199"/>
      <c r="G137" s="1199"/>
      <c r="H137" s="1200" t="str">
        <f>EUconst_Unit</f>
        <v>Единица мярка</v>
      </c>
      <c r="I137" s="1201" t="str">
        <f>Translations!$B$1336</f>
        <v>Стойност в НМИ</v>
      </c>
      <c r="J137" s="1202">
        <f>J$1840</f>
        <v>2026</v>
      </c>
      <c r="K137" s="1203">
        <f>K$1840</f>
        <v>2027</v>
      </c>
      <c r="L137" s="1203">
        <f>L$1840</f>
        <v>2028</v>
      </c>
      <c r="M137" s="1203">
        <f>M$1840</f>
        <v>2029</v>
      </c>
      <c r="N137" s="1479">
        <f>N$1840</f>
        <v>2030</v>
      </c>
      <c r="O137" s="302"/>
      <c r="P137" s="336"/>
      <c r="Q137" s="729"/>
      <c r="R137" s="694"/>
      <c r="S137" s="694"/>
      <c r="T137" s="694"/>
      <c r="U137" s="1205"/>
      <c r="V137" s="1206">
        <f>J137</f>
        <v>2026</v>
      </c>
      <c r="W137" s="1206">
        <f>K137</f>
        <v>2027</v>
      </c>
      <c r="X137" s="1206">
        <f>L137</f>
        <v>2028</v>
      </c>
      <c r="Y137" s="1206">
        <f>M137</f>
        <v>2029</v>
      </c>
      <c r="Z137" s="1207">
        <f>N137</f>
        <v>2030</v>
      </c>
      <c r="AA137" s="694"/>
      <c r="AB137" s="729"/>
      <c r="AC137" s="694"/>
      <c r="AD137" s="694"/>
      <c r="AE137" s="694"/>
      <c r="AF137" s="694"/>
      <c r="AG137" s="694"/>
      <c r="AH137" s="694"/>
      <c r="AI137" s="694"/>
      <c r="AJ137" s="694"/>
      <c r="AK137" s="694"/>
      <c r="AL137" s="694"/>
      <c r="AM137" s="343"/>
    </row>
    <row r="138" spans="1:39" ht="12.75" customHeight="1" x14ac:dyDescent="0.25">
      <c r="A138" s="729" t="str">
        <f t="shared" si="42"/>
        <v/>
      </c>
      <c r="B138" s="298"/>
      <c r="C138" s="698"/>
      <c r="D138" s="1208" t="s">
        <v>6</v>
      </c>
      <c r="E138" s="2889" t="str">
        <f>Translations!$B$1547</f>
        <v>Промяна в равнището на дейност &gt; 15 %?</v>
      </c>
      <c r="F138" s="2889"/>
      <c r="G138" s="2889"/>
      <c r="H138" s="2889"/>
      <c r="I138" s="2890"/>
      <c r="J138" s="1480" t="str">
        <f>V30</f>
        <v/>
      </c>
      <c r="K138" s="1481" t="str">
        <f>W30</f>
        <v/>
      </c>
      <c r="L138" s="1481" t="str">
        <f>X30</f>
        <v/>
      </c>
      <c r="M138" s="1481" t="str">
        <f>Y30</f>
        <v/>
      </c>
      <c r="N138" s="1482" t="str">
        <f>Z30</f>
        <v/>
      </c>
      <c r="O138" s="302"/>
      <c r="P138" s="336"/>
      <c r="Q138" s="729"/>
      <c r="R138" s="694"/>
      <c r="S138" s="694"/>
      <c r="T138" s="694"/>
      <c r="U138" s="1231"/>
      <c r="V138" s="1483"/>
      <c r="W138" s="1483"/>
      <c r="X138" s="1483"/>
      <c r="Y138" s="1483"/>
      <c r="Z138" s="1484"/>
      <c r="AA138" s="694"/>
      <c r="AB138" s="729"/>
      <c r="AC138" s="694"/>
      <c r="AD138" s="694"/>
      <c r="AE138" s="694"/>
      <c r="AF138" s="694"/>
      <c r="AG138" s="694"/>
      <c r="AH138" s="694"/>
      <c r="AI138" s="694"/>
      <c r="AJ138" s="694"/>
      <c r="AK138" s="694"/>
      <c r="AL138" s="694"/>
      <c r="AM138" s="343"/>
    </row>
    <row r="139" spans="1:39" ht="12.75" customHeight="1" x14ac:dyDescent="0.25">
      <c r="A139" s="729" t="str">
        <f t="shared" si="42"/>
        <v/>
      </c>
      <c r="B139" s="298"/>
      <c r="C139" s="698"/>
      <c r="D139" s="1208" t="s">
        <v>7</v>
      </c>
      <c r="E139" s="2889" t="str">
        <f>Translations!$B$1548</f>
        <v>Средна стойност на очакваното равнище на дейност</v>
      </c>
      <c r="F139" s="2889"/>
      <c r="G139" s="2889"/>
      <c r="H139" s="1485" t="str">
        <f>G21</f>
        <v>TJ</v>
      </c>
      <c r="I139" s="1486" t="str">
        <f>IF(M13&lt;&gt;EUconst_Relevant,"",I29)</f>
        <v/>
      </c>
      <c r="J139" s="1480" t="str">
        <f>IF(AND(V139&gt;=3,COUNT(T130:U130)=2),IF(CNTR_ReportingYear&gt;J137-1,IF(J138,IF(COUNTA(H86:I95)=0,J32,AVERAGE(T130:U130)),$I142),""),"")</f>
        <v/>
      </c>
      <c r="K139" s="1481" t="str">
        <f>IF(AND(W139&gt;=3,COUNT(U130:V130)=2),IF(CNTR_ReportingYear&gt;K137-1,IF(K138,IF(COUNTA(I86:J95)=0,K32,AVERAGE(U130:V130)),$I142),""),"")</f>
        <v/>
      </c>
      <c r="L139" s="1481" t="str">
        <f>IF(AND(X139&gt;=3,COUNT(V130:W130)=2),IF(CNTR_ReportingYear&gt;L137-1,IF(L138,IF(COUNTA(J86:K95)=0,L32,AVERAGE(V130:W130)),$I142),""),"")</f>
        <v/>
      </c>
      <c r="M139" s="1481" t="str">
        <f>IF(AND(Y139&gt;=3,COUNT(W130:X130)=2),IF(CNTR_ReportingYear&gt;M137-1,IF(M138,IF(COUNTA(K86:L95)=0,M32,AVERAGE(W130:X130)),$I142),""),"")</f>
        <v/>
      </c>
      <c r="N139" s="1482" t="str">
        <f>IF(AND(Z139&gt;=3,COUNT(X130:Y130)=2),IF(CNTR_ReportingYear&gt;N137-1,IF(N138,IF(COUNTA(L86:M95)=0,N32,AVERAGE(X130:Y130)),$I142),""),"")</f>
        <v/>
      </c>
      <c r="O139" s="302"/>
      <c r="P139" s="336"/>
      <c r="Q139" s="1270"/>
      <c r="R139" s="694"/>
      <c r="S139" s="694"/>
      <c r="T139" s="694"/>
      <c r="U139" s="1365" t="s">
        <v>1710</v>
      </c>
      <c r="V139" s="834">
        <f>V29</f>
        <v>0</v>
      </c>
      <c r="W139" s="834">
        <f>W29</f>
        <v>0</v>
      </c>
      <c r="X139" s="834">
        <f>X29</f>
        <v>0</v>
      </c>
      <c r="Y139" s="834">
        <f>Y29</f>
        <v>0</v>
      </c>
      <c r="Z139" s="1403">
        <f>Z29</f>
        <v>0</v>
      </c>
      <c r="AA139" s="694"/>
      <c r="AB139" s="729"/>
      <c r="AC139" s="694"/>
      <c r="AD139" s="694"/>
      <c r="AE139" s="694"/>
      <c r="AF139" s="694"/>
      <c r="AG139" s="694"/>
      <c r="AH139" s="694"/>
      <c r="AI139" s="694"/>
      <c r="AJ139" s="694"/>
      <c r="AK139" s="694"/>
      <c r="AL139" s="694"/>
      <c r="AM139" s="343"/>
    </row>
    <row r="140" spans="1:39" ht="12.75" customHeight="1" x14ac:dyDescent="0.25">
      <c r="A140" s="729" t="str">
        <f t="shared" si="42"/>
        <v/>
      </c>
      <c r="B140" s="298"/>
      <c r="C140" s="698"/>
      <c r="D140" s="1208" t="s">
        <v>8</v>
      </c>
      <c r="E140" s="2893" t="str">
        <f>Translations!$B$1376</f>
        <v>Промяна в сравнение с HAL</v>
      </c>
      <c r="F140" s="2894"/>
      <c r="G140" s="2894"/>
      <c r="H140" s="2894"/>
      <c r="I140" s="2895"/>
      <c r="J140" s="232" t="str">
        <f t="shared" ref="J140" si="106">IF(J139="","",IF(SUM($I142)=0,IF(J139=0,0%,100%),J139/$I142-1))</f>
        <v/>
      </c>
      <c r="K140" s="233" t="str">
        <f>IF(K139="","",IF(SUM($I142)=0,IF(K139=0,0%,100%),K139/$I142-1))</f>
        <v/>
      </c>
      <c r="L140" s="233" t="str">
        <f t="shared" ref="L140:N140" si="107">IF(L139="","",IF(SUM($I142)=0,IF(L139=0,0%,100%),L139/$I142-1))</f>
        <v/>
      </c>
      <c r="M140" s="233" t="str">
        <f t="shared" si="107"/>
        <v/>
      </c>
      <c r="N140" s="234" t="str">
        <f t="shared" si="107"/>
        <v/>
      </c>
      <c r="O140" s="302"/>
      <c r="P140" s="209"/>
      <c r="Q140" s="1190" t="str">
        <f>EUconst_CNTR_EnEffPct&amp;I13</f>
        <v>EnEffPct_Подинсталация с топлинен показател (с риск от ИВЕ | извън МКВЕГ)</v>
      </c>
      <c r="R140" s="694"/>
      <c r="S140" s="694"/>
      <c r="T140" s="694"/>
      <c r="U140" s="1365" t="s">
        <v>1715</v>
      </c>
      <c r="V140" s="727" t="str">
        <f>IF(J139="","",ABS(J140)&gt;15%)</f>
        <v/>
      </c>
      <c r="W140" s="727" t="str">
        <f>IF(K139="","",ABS(K140)&gt;15%)</f>
        <v/>
      </c>
      <c r="X140" s="727" t="str">
        <f>IF(L139="","",ABS(L140)&gt;15%)</f>
        <v/>
      </c>
      <c r="Y140" s="727" t="str">
        <f>IF(M139="","",ABS(M140)&gt;15%)</f>
        <v/>
      </c>
      <c r="Z140" s="1221" t="str">
        <f>IF(N139="","",ABS(N140)&gt;15%)</f>
        <v/>
      </c>
      <c r="AA140" s="694"/>
      <c r="AB140" s="729"/>
      <c r="AC140" s="694"/>
      <c r="AD140" s="694"/>
      <c r="AE140" s="694"/>
      <c r="AF140" s="694"/>
      <c r="AG140" s="694"/>
      <c r="AH140" s="694"/>
      <c r="AI140" s="694"/>
      <c r="AJ140" s="694"/>
      <c r="AK140" s="694"/>
      <c r="AL140" s="694"/>
      <c r="AM140" s="343"/>
    </row>
    <row r="141" spans="1:39" ht="12.75" customHeight="1" x14ac:dyDescent="0.25">
      <c r="A141" s="729" t="str">
        <f t="shared" si="42"/>
        <v/>
      </c>
      <c r="B141" s="298"/>
      <c r="C141" s="698"/>
      <c r="D141" s="1208" t="s">
        <v>18</v>
      </c>
      <c r="E141" s="2896" t="str">
        <f>Translations!$B$1322</f>
        <v>Предварителна корекция (ако са надвишени относителните прагове)</v>
      </c>
      <c r="F141" s="2897"/>
      <c r="G141" s="2897"/>
      <c r="H141" s="2897"/>
      <c r="I141" s="2898"/>
      <c r="J141" s="235" t="str">
        <f>IF(J139="","",IF(OR(V30=FALSE,V140=FALSE),0%,IF(V141,J140,I141)))</f>
        <v/>
      </c>
      <c r="K141" s="236" t="str">
        <f>IF(K139="","",IF(OR(W30=FALSE,W140=FALSE),0%,IF(W141,K140,J141)))</f>
        <v/>
      </c>
      <c r="L141" s="236" t="str">
        <f>IF(L139="","",IF(OR(X30=FALSE,X140=FALSE),0%,IF(X141,L140,K141)))</f>
        <v/>
      </c>
      <c r="M141" s="236" t="str">
        <f>IF(M139="","",IF(OR(Y30=FALSE,Y140=FALSE),0%,IF(Y141,M140,L141)))</f>
        <v/>
      </c>
      <c r="N141" s="237" t="str">
        <f>IF(N139="","",IF(OR(Z30=FALSE,Z140=FALSE),0%,IF(Z141,N140,M141)))</f>
        <v/>
      </c>
      <c r="O141" s="302"/>
      <c r="P141" s="209"/>
      <c r="Q141" s="729"/>
      <c r="R141" s="694"/>
      <c r="S141" s="694"/>
      <c r="T141" s="694"/>
      <c r="U141" s="1365" t="s">
        <v>1716</v>
      </c>
      <c r="V141" s="727" t="str">
        <f>IF(J139="","",AND(V30,IF(SUM(I150)&lt;0,OR(SUM(J140)&lt;SUM(I150)-MOD(SUM(I150),5%),J140&gt;=SUM(I150)+5%-MOD(SUM(I150),5%)),OR(SUM(J140)&lt;=SUM(I150)-MOD(SUM(I150),5%),SUM(J140)&gt;SUM(I150)+5%-MOD(SUM(I150),5%)))))</f>
        <v/>
      </c>
      <c r="W141" s="727" t="str">
        <f>IF(K139="","",AND(W30,IF(SUM(J150)&lt;0,OR(SUM(K140)&lt;SUM(J150)-MOD(SUM(J150),5%),K140&gt;=SUM(J150)+5%-MOD(SUM(J150),5%)),OR(SUM(K140)&lt;=SUM(J150)-MOD(SUM(J150),5%),SUM(K140)&gt;SUM(J150)+5%-MOD(SUM(J150),5%)))))</f>
        <v/>
      </c>
      <c r="X141" s="727" t="str">
        <f>IF(L139="","",AND(X30,IF(SUM(K150)&lt;0,OR(SUM(L140)&lt;SUM(K150)-MOD(SUM(K150),5%),L140&gt;=SUM(K150)+5%-MOD(SUM(K150),5%)),OR(SUM(L140)&lt;=SUM(K150)-MOD(SUM(K150),5%),SUM(L140)&gt;SUM(K150)+5%-MOD(SUM(K150),5%)))))</f>
        <v/>
      </c>
      <c r="Y141" s="727" t="str">
        <f>IF(M139="","",AND(Y30,IF(SUM(L150)&lt;0,OR(SUM(M140)&lt;SUM(L150)-MOD(SUM(L150),5%),M140&gt;=SUM(L150)+5%-MOD(SUM(L150),5%)),OR(SUM(M140)&lt;=SUM(L150)-MOD(SUM(L150),5%),SUM(M140)&gt;SUM(L150)+5%-MOD(SUM(L150),5%)))))</f>
        <v/>
      </c>
      <c r="Z141" s="1221" t="str">
        <f>IF(N139="","",AND(Z30,IF(SUM(M150)&lt;0,OR(SUM(N140)&lt;SUM(M150)-MOD(SUM(M150),5%),N140&gt;=SUM(M150)+5%-MOD(SUM(M150),5%)),OR(SUM(N140)&lt;=SUM(M150)-MOD(SUM(M150),5%),SUM(N140)&gt;SUM(M150)+5%-MOD(SUM(M150),5%)))))</f>
        <v/>
      </c>
      <c r="AA141" s="694"/>
      <c r="AB141" s="729"/>
      <c r="AC141" s="694"/>
      <c r="AD141" s="694"/>
      <c r="AE141" s="694"/>
      <c r="AF141" s="694"/>
      <c r="AG141" s="694"/>
      <c r="AH141" s="694"/>
      <c r="AI141" s="694"/>
      <c r="AJ141" s="694"/>
      <c r="AK141" s="694"/>
      <c r="AL141" s="694"/>
      <c r="AM141" s="343"/>
    </row>
    <row r="142" spans="1:39" ht="12.75" customHeight="1" x14ac:dyDescent="0.25">
      <c r="A142" s="729" t="str">
        <f t="shared" si="42"/>
        <v/>
      </c>
      <c r="B142" s="298"/>
      <c r="C142" s="698"/>
      <c r="D142" s="1208" t="s">
        <v>810</v>
      </c>
      <c r="E142" s="2889" t="str">
        <f>Translations!$B$1377</f>
        <v>Предварителна стойност</v>
      </c>
      <c r="F142" s="2889"/>
      <c r="G142" s="2889"/>
      <c r="H142" s="1485" t="str">
        <f>H139</f>
        <v>TJ</v>
      </c>
      <c r="I142" s="1487" t="str">
        <f>IF(M13&lt;&gt;EUconst_Relevant,"",IF(AB13=FALSE,EUconst_NA,IF(V13&gt;($J$1840-3),INDEX(T130:Z130,MATCH(V13,T119:Z119,0)),SUM(I139))))</f>
        <v/>
      </c>
      <c r="J142" s="1400" t="str">
        <f>IF($M13&lt;&gt;EUconst_Relevant,"",IF(V139&lt;2,SUM(J32),IF(V139&lt;3,SUM(I32),IF(V142="",I142,V142))))</f>
        <v/>
      </c>
      <c r="K142" s="1401" t="str">
        <f>IF($M13&lt;&gt;EUconst_Relevant,"",IF(W139&lt;2,SUM(K32),IF(W139&lt;3,SUM(J32),IF(W142="",J142,W142))))</f>
        <v/>
      </c>
      <c r="L142" s="1401" t="str">
        <f>IF($M13&lt;&gt;EUconst_Relevant,"",IF(X139&lt;2,SUM(L32),IF(X139&lt;3,SUM(K32),IF(X142="",K142,X142))))</f>
        <v/>
      </c>
      <c r="M142" s="1401" t="str">
        <f>IF($M13&lt;&gt;EUconst_Relevant,"",IF(Y139&lt;2,SUM(M32),IF(Y139&lt;3,SUM(L32),IF(Y142="",L142,Y142))))</f>
        <v/>
      </c>
      <c r="N142" s="1402" t="str">
        <f>IF($M13&lt;&gt;EUconst_Relevant,"",IF(Z139&lt;2,SUM(N32),IF(Z139&lt;3,SUM(M32),IF(Z142="",M142,Z142))))</f>
        <v/>
      </c>
      <c r="O142" s="302"/>
      <c r="P142" s="336"/>
      <c r="Q142" s="1270" t="str">
        <f>EUconst_CNTR_HALprelim&amp;I13</f>
        <v>HALprelim_Подинсталация с топлинен показател (с риск от ИВЕ | извън МКВЕГ)</v>
      </c>
      <c r="R142" s="694"/>
      <c r="S142" s="694"/>
      <c r="T142" s="694"/>
      <c r="U142" s="1215" t="s">
        <v>1756</v>
      </c>
      <c r="V142" s="1227" t="str">
        <f>IF(J139="","",IF(CNTR_ReportingYear&lt;J137,I141,IF($I142=0,J139,$I142*(1+J141))))</f>
        <v/>
      </c>
      <c r="W142" s="1227" t="str">
        <f>IF(K139="","",IF(CNTR_ReportingYear&lt;K137,J141,IF($I142=0,K139,$I142*(1+K141))))</f>
        <v/>
      </c>
      <c r="X142" s="1227" t="str">
        <f>IF(L139="","",IF(CNTR_ReportingYear&lt;L137,K141,IF($I142=0,L139,$I142*(1+L141))))</f>
        <v/>
      </c>
      <c r="Y142" s="1227" t="str">
        <f>IF(M139="","",IF(CNTR_ReportingYear&lt;M137,L141,IF($I142=0,M139,$I142*(1+M141))))</f>
        <v/>
      </c>
      <c r="Z142" s="1228" t="str">
        <f>IF(N139="","",IF(CNTR_ReportingYear&lt;N137,M141,IF($I142=0,N139,$I142*(1+N141))))</f>
        <v/>
      </c>
      <c r="AA142" s="694"/>
      <c r="AB142" s="729"/>
      <c r="AC142" s="694"/>
      <c r="AD142" s="694"/>
      <c r="AE142" s="694"/>
      <c r="AF142" s="694"/>
      <c r="AG142" s="694"/>
      <c r="AH142" s="694"/>
      <c r="AI142" s="694"/>
      <c r="AJ142" s="694"/>
      <c r="AK142" s="694"/>
      <c r="AL142" s="694"/>
      <c r="AM142" s="343"/>
    </row>
    <row r="143" spans="1:39" ht="5.15" customHeight="1" x14ac:dyDescent="0.25">
      <c r="A143" s="729" t="str">
        <f t="shared" si="42"/>
        <v/>
      </c>
      <c r="B143" s="298"/>
      <c r="C143" s="698"/>
      <c r="D143" s="1217"/>
      <c r="E143" s="1199"/>
      <c r="F143" s="1199"/>
      <c r="G143" s="1199"/>
      <c r="H143" s="1199"/>
      <c r="I143" s="1199"/>
      <c r="J143" s="1199"/>
      <c r="K143" s="1199"/>
      <c r="L143" s="1199"/>
      <c r="M143" s="1199"/>
      <c r="N143" s="1238"/>
      <c r="O143" s="302"/>
      <c r="P143" s="336"/>
      <c r="Q143" s="729"/>
      <c r="R143" s="694"/>
      <c r="S143" s="694"/>
      <c r="T143" s="694"/>
      <c r="U143" s="1231"/>
      <c r="V143" s="711"/>
      <c r="W143" s="711"/>
      <c r="X143" s="711"/>
      <c r="Y143" s="711"/>
      <c r="Z143" s="1488"/>
      <c r="AA143" s="694"/>
      <c r="AB143" s="729"/>
      <c r="AC143" s="694"/>
      <c r="AD143" s="694"/>
      <c r="AE143" s="343"/>
      <c r="AF143" s="343"/>
      <c r="AG143" s="343"/>
      <c r="AH143" s="343"/>
      <c r="AI143" s="343"/>
      <c r="AJ143" s="343"/>
      <c r="AK143" s="343"/>
      <c r="AL143" s="343"/>
      <c r="AM143" s="343"/>
    </row>
    <row r="144" spans="1:39" ht="12.75" customHeight="1" x14ac:dyDescent="0.25">
      <c r="A144" s="729" t="str">
        <f t="shared" si="42"/>
        <v/>
      </c>
      <c r="B144" s="298"/>
      <c r="C144" s="698"/>
      <c r="D144" s="1197" t="s">
        <v>1961</v>
      </c>
      <c r="E144" s="2886" t="str">
        <f>Translations!$B$1342</f>
        <v>Корекции: Абсолютен праг</v>
      </c>
      <c r="F144" s="2887"/>
      <c r="G144" s="2887"/>
      <c r="H144" s="2887"/>
      <c r="I144" s="2887"/>
      <c r="J144" s="2887"/>
      <c r="K144" s="2887"/>
      <c r="L144" s="2887"/>
      <c r="M144" s="2887"/>
      <c r="N144" s="2888"/>
      <c r="O144" s="302"/>
      <c r="P144" s="336"/>
      <c r="Q144" s="729"/>
      <c r="R144" s="694"/>
      <c r="S144" s="694"/>
      <c r="T144" s="694"/>
      <c r="U144" s="1231"/>
      <c r="V144" s="729"/>
      <c r="W144" s="694"/>
      <c r="X144" s="694"/>
      <c r="Y144" s="694"/>
      <c r="Z144" s="1232"/>
      <c r="AA144" s="694"/>
      <c r="AB144" s="729"/>
      <c r="AC144" s="694"/>
      <c r="AD144" s="694"/>
      <c r="AE144" s="343"/>
      <c r="AF144" s="343"/>
      <c r="AG144" s="343"/>
      <c r="AH144" s="343"/>
      <c r="AI144" s="343"/>
      <c r="AJ144" s="343"/>
      <c r="AK144" s="343"/>
      <c r="AL144" s="343"/>
      <c r="AM144" s="343"/>
    </row>
    <row r="145" spans="1:39" ht="12.75" customHeight="1" x14ac:dyDescent="0.25">
      <c r="A145" s="729" t="str">
        <f t="shared" si="42"/>
        <v/>
      </c>
      <c r="B145" s="298"/>
      <c r="C145" s="698"/>
      <c r="D145" s="1217"/>
      <c r="E145" s="1233" t="str">
        <f>Translations!$B$1343</f>
        <v>Абсолютен праг</v>
      </c>
      <c r="F145" s="1233"/>
      <c r="G145" s="1233"/>
      <c r="H145" s="1233"/>
      <c r="I145" s="1233"/>
      <c r="J145" s="1202">
        <f>J$1840</f>
        <v>2026</v>
      </c>
      <c r="K145" s="1203">
        <f>K$1840</f>
        <v>2027</v>
      </c>
      <c r="L145" s="1203">
        <f>L$1840</f>
        <v>2028</v>
      </c>
      <c r="M145" s="1203">
        <f>M$1840</f>
        <v>2029</v>
      </c>
      <c r="N145" s="1479">
        <f>N$1840</f>
        <v>2030</v>
      </c>
      <c r="O145" s="302"/>
      <c r="P145" s="336"/>
      <c r="Q145" s="729"/>
      <c r="R145" s="694"/>
      <c r="S145" s="694"/>
      <c r="T145" s="694"/>
      <c r="U145" s="1231"/>
      <c r="V145" s="213"/>
      <c r="W145" s="214" t="s">
        <v>2101</v>
      </c>
      <c r="X145" s="215" t="str">
        <f>IF(OR($X13=0,$X13=""),"",MIN(1,1-(DATE($Z13,12,31)-$X13)/(DATE($Z13,12,31)-DATE($Z13,1,1)+1)))</f>
        <v/>
      </c>
      <c r="Y145" s="1165"/>
      <c r="Z145" s="1235"/>
      <c r="AA145" s="694"/>
      <c r="AB145" s="729"/>
      <c r="AC145" s="694"/>
      <c r="AD145" s="694"/>
      <c r="AE145" s="343"/>
      <c r="AF145" s="343"/>
      <c r="AG145" s="343"/>
      <c r="AH145" s="343"/>
      <c r="AI145" s="343"/>
      <c r="AJ145" s="343"/>
      <c r="AK145" s="343"/>
      <c r="AL145" s="343"/>
      <c r="AM145" s="343"/>
    </row>
    <row r="146" spans="1:39" ht="12.75" customHeight="1" x14ac:dyDescent="0.25">
      <c r="A146" s="729" t="str">
        <f t="shared" si="42"/>
        <v/>
      </c>
      <c r="B146" s="298"/>
      <c r="C146" s="698"/>
      <c r="D146" s="1217"/>
      <c r="E146" s="2889" t="str">
        <f>Translations!$B$1515</f>
        <v>изпълнен ли е критерият за &gt;=300 квоти за емисии?</v>
      </c>
      <c r="F146" s="2889"/>
      <c r="G146" s="2889"/>
      <c r="H146" s="2889"/>
      <c r="I146" s="2890"/>
      <c r="J146" s="1236" t="str">
        <f>IF($M13&lt;&gt;EUconst_Relevant,"",INDEX(K_Summary!J:J,MATCH($Q146,K_Summary!$P:$P,0)))</f>
        <v/>
      </c>
      <c r="K146" s="385" t="str">
        <f>IF($M13&lt;&gt;EUconst_Relevant,"",INDEX(K_Summary!K:K,MATCH($Q146,K_Summary!$P:$P,0)))</f>
        <v/>
      </c>
      <c r="L146" s="385" t="str">
        <f>IF($M13&lt;&gt;EUconst_Relevant,"",INDEX(K_Summary!L:L,MATCH($Q146,K_Summary!$P:$P,0)))</f>
        <v/>
      </c>
      <c r="M146" s="385" t="str">
        <f>IF($M13&lt;&gt;EUconst_Relevant,"",INDEX(K_Summary!M:M,MATCH($Q146,K_Summary!$P:$P,0)))</f>
        <v/>
      </c>
      <c r="N146" s="1237" t="str">
        <f>IF($M13&lt;&gt;EUconst_Relevant,"",INDEX(K_Summary!N:N,MATCH($Q146,K_Summary!$P:$P,0)))</f>
        <v/>
      </c>
      <c r="O146" s="302"/>
      <c r="P146" s="336"/>
      <c r="Q146" s="1190" t="str">
        <f>EUconst_CNTR_300EUA&amp;I13</f>
        <v>EUA300_Подинсталация с топлинен показател (с риск от ИВЕ | извън МКВЕГ)</v>
      </c>
      <c r="R146" s="694"/>
      <c r="S146" s="694"/>
      <c r="T146" s="694"/>
      <c r="U146" s="1231"/>
      <c r="V146" s="216">
        <f>IF(V137=$Z13,$X145,1)</f>
        <v>1</v>
      </c>
      <c r="W146" s="216">
        <f>IF(W137=$Z13,$X145,1)</f>
        <v>1</v>
      </c>
      <c r="X146" s="216">
        <f>IF(X137=$Z13,$X145,1)</f>
        <v>1</v>
      </c>
      <c r="Y146" s="216">
        <f>IF(Y137=$Z13,$X145,1)</f>
        <v>1</v>
      </c>
      <c r="Z146" s="217">
        <f>IF(Z137=$Z13,$X145,1)</f>
        <v>1</v>
      </c>
      <c r="AA146" s="694"/>
      <c r="AB146" s="729"/>
      <c r="AC146" s="694"/>
      <c r="AD146" s="694"/>
      <c r="AE146" s="343"/>
      <c r="AF146" s="343"/>
      <c r="AG146" s="343"/>
      <c r="AH146" s="343"/>
      <c r="AI146" s="343"/>
      <c r="AJ146" s="343"/>
      <c r="AK146" s="343"/>
      <c r="AL146" s="343"/>
      <c r="AM146" s="343"/>
    </row>
    <row r="147" spans="1:39" ht="5.15" customHeight="1" x14ac:dyDescent="0.25">
      <c r="A147" s="729" t="str">
        <f t="shared" si="42"/>
        <v/>
      </c>
      <c r="B147" s="298"/>
      <c r="C147" s="698"/>
      <c r="D147" s="1217"/>
      <c r="E147" s="1199"/>
      <c r="F147" s="1199"/>
      <c r="G147" s="1199"/>
      <c r="H147" s="1199"/>
      <c r="I147" s="1199"/>
      <c r="J147" s="1199"/>
      <c r="K147" s="1199"/>
      <c r="L147" s="1199"/>
      <c r="M147" s="1199"/>
      <c r="N147" s="1238"/>
      <c r="O147" s="302"/>
      <c r="P147" s="336"/>
      <c r="Q147" s="729"/>
      <c r="R147" s="694"/>
      <c r="S147" s="694"/>
      <c r="T147" s="694"/>
      <c r="U147" s="1231"/>
      <c r="V147" s="694"/>
      <c r="W147" s="694"/>
      <c r="X147" s="694"/>
      <c r="Y147" s="694"/>
      <c r="Z147" s="1232"/>
      <c r="AA147" s="729"/>
      <c r="AB147" s="729"/>
      <c r="AC147" s="694"/>
      <c r="AD147" s="694"/>
      <c r="AE147" s="343"/>
      <c r="AF147" s="343"/>
      <c r="AG147" s="343"/>
      <c r="AH147" s="343"/>
      <c r="AI147" s="343"/>
      <c r="AJ147" s="343"/>
      <c r="AK147" s="343"/>
      <c r="AL147" s="343"/>
      <c r="AM147" s="343"/>
    </row>
    <row r="148" spans="1:39" ht="12.75" customHeight="1" x14ac:dyDescent="0.25">
      <c r="A148" s="729" t="str">
        <f t="shared" si="42"/>
        <v/>
      </c>
      <c r="B148" s="298"/>
      <c r="C148" s="698"/>
      <c r="D148" s="1197" t="s">
        <v>2220</v>
      </c>
      <c r="E148" s="2886" t="str">
        <f>Translations!$B$1549</f>
        <v>Определяне на корекциите на очакваното равнище на дейност, включително всякакви промени в ефективността</v>
      </c>
      <c r="F148" s="2887"/>
      <c r="G148" s="2887"/>
      <c r="H148" s="2887"/>
      <c r="I148" s="2887"/>
      <c r="J148" s="2887"/>
      <c r="K148" s="2887"/>
      <c r="L148" s="2887"/>
      <c r="M148" s="2887"/>
      <c r="N148" s="2888"/>
      <c r="O148" s="302"/>
      <c r="P148" s="336"/>
      <c r="Q148" s="729"/>
      <c r="R148" s="694"/>
      <c r="S148" s="694"/>
      <c r="T148" s="694"/>
      <c r="U148" s="1231"/>
      <c r="V148" s="694"/>
      <c r="W148" s="694"/>
      <c r="X148" s="694"/>
      <c r="Y148" s="694"/>
      <c r="Z148" s="1232"/>
      <c r="AA148" s="729"/>
      <c r="AB148" s="729"/>
      <c r="AC148" s="694"/>
      <c r="AD148" s="694"/>
      <c r="AE148" s="343"/>
      <c r="AF148" s="343"/>
      <c r="AG148" s="343"/>
      <c r="AH148" s="343"/>
      <c r="AI148" s="343"/>
      <c r="AJ148" s="343"/>
      <c r="AK148" s="343"/>
      <c r="AL148" s="343"/>
      <c r="AM148" s="343"/>
    </row>
    <row r="149" spans="1:39" ht="12.75" customHeight="1" thickBot="1" x14ac:dyDescent="0.3">
      <c r="A149" s="729" t="str">
        <f t="shared" si="42"/>
        <v/>
      </c>
      <c r="B149" s="698"/>
      <c r="C149" s="698"/>
      <c r="D149" s="1489"/>
      <c r="E149" s="2891" t="str">
        <f>Translations!$B$1550</f>
        <v>Това е крайният резултат, като се вземат предвид всички промени в ефективността, ако е приложимо.</v>
      </c>
      <c r="F149" s="2887"/>
      <c r="G149" s="2887"/>
      <c r="H149" s="2887"/>
      <c r="I149" s="2887"/>
      <c r="J149" s="2887"/>
      <c r="K149" s="2887"/>
      <c r="L149" s="2887"/>
      <c r="M149" s="2887"/>
      <c r="N149" s="2888"/>
      <c r="O149" s="336"/>
      <c r="P149" s="336"/>
      <c r="Q149" s="694"/>
      <c r="R149" s="694"/>
      <c r="S149" s="694"/>
      <c r="T149" s="694"/>
      <c r="U149" s="1231"/>
      <c r="V149" s="694"/>
      <c r="W149" s="694"/>
      <c r="X149" s="694"/>
      <c r="Y149" s="694"/>
      <c r="Z149" s="1232"/>
      <c r="AA149" s="729"/>
      <c r="AB149" s="729"/>
      <c r="AC149" s="694"/>
      <c r="AD149" s="694"/>
      <c r="AE149" s="343"/>
      <c r="AF149" s="343"/>
      <c r="AG149" s="343"/>
      <c r="AH149" s="343"/>
      <c r="AI149" s="343"/>
      <c r="AJ149" s="343"/>
      <c r="AK149" s="343"/>
      <c r="AL149" s="343"/>
      <c r="AM149" s="343"/>
    </row>
    <row r="150" spans="1:39" ht="12.75" customHeight="1" thickBot="1" x14ac:dyDescent="0.3">
      <c r="A150" s="729" t="str">
        <f t="shared" si="42"/>
        <v/>
      </c>
      <c r="B150" s="298"/>
      <c r="C150" s="698"/>
      <c r="D150" s="1208"/>
      <c r="E150" s="2889" t="str">
        <f>Translations!$B$1324</f>
        <v>Действителна корекция (ако са надвишени всички прагове)</v>
      </c>
      <c r="F150" s="2889"/>
      <c r="G150" s="2889"/>
      <c r="H150" s="2889"/>
      <c r="I150" s="1490"/>
      <c r="J150" s="1240" t="str">
        <f>IF(J146="","",IF(J145&gt;$Z13,-100%,IFERROR((1+IF(OR(J146,V139&lt;1),J141,IF(J145=$Z13,SUM(I150),I150)))*V146-1,"")))</f>
        <v/>
      </c>
      <c r="K150" s="1241" t="str">
        <f>IF(K146="","",IF(K145&gt;$Z13,-100%,IFERROR((1+IF(OR(K146,W139&lt;1),K141,IF(K145=$Z13,SUM(J150),J150)))*W146-1,"")))</f>
        <v/>
      </c>
      <c r="L150" s="1241" t="str">
        <f>IF(L146="","",IF(L145&gt;$Z13,-100%,IFERROR((1+IF(OR(L146,X139&lt;1),L141,IF(L145=$Z13,SUM(K150),K150)))*X146-1,"")))</f>
        <v/>
      </c>
      <c r="M150" s="1241" t="str">
        <f>IF(M146="","",IF(M145&gt;$Z13,-100%,IFERROR((1+IF(OR(M146,Y139&lt;1),M141,IF(M145=$Z13,SUM(L150),L150)))*Y146-1,"")))</f>
        <v/>
      </c>
      <c r="N150" s="1242" t="str">
        <f>IF(N146="","",IF(N145&gt;$Z13,-100%,IFERROR((1+IF(OR(N146,Z139&lt;1),N141,IF(N145=$Z13,SUM(M150),M150)))*Z146-1,"")))</f>
        <v/>
      </c>
      <c r="O150" s="302"/>
      <c r="P150" s="336"/>
      <c r="Q150" s="1190" t="str">
        <f>EUconst_CNTR_HALAdjPct &amp; I13</f>
        <v>HALAdjPct_Подинсталация с топлинен показател (с риск от ИВЕ | извън МКВЕГ)</v>
      </c>
      <c r="R150" s="694"/>
      <c r="S150" s="694"/>
      <c r="T150" s="694"/>
      <c r="U150" s="1231" t="s">
        <v>1718</v>
      </c>
      <c r="V150" s="1243">
        <f>J145</f>
        <v>2026</v>
      </c>
      <c r="W150" s="1243">
        <f>K145</f>
        <v>2027</v>
      </c>
      <c r="X150" s="1243">
        <f>L145</f>
        <v>2028</v>
      </c>
      <c r="Y150" s="1243">
        <f>M145</f>
        <v>2029</v>
      </c>
      <c r="Z150" s="1244">
        <f>N145</f>
        <v>2030</v>
      </c>
      <c r="AA150" s="694"/>
      <c r="AB150" s="729"/>
      <c r="AC150" s="694"/>
      <c r="AD150" s="694"/>
      <c r="AE150" s="343"/>
      <c r="AF150" s="343"/>
      <c r="AG150" s="343"/>
      <c r="AH150" s="343"/>
      <c r="AI150" s="343"/>
      <c r="AJ150" s="343"/>
      <c r="AK150" s="343"/>
      <c r="AL150" s="343"/>
      <c r="AM150" s="343"/>
    </row>
    <row r="151" spans="1:39" ht="12.75" customHeight="1" thickBot="1" x14ac:dyDescent="0.3">
      <c r="A151" s="729" t="str">
        <f t="shared" si="42"/>
        <v/>
      </c>
      <c r="B151" s="298"/>
      <c r="C151" s="698"/>
      <c r="D151" s="1217"/>
      <c r="E151" s="2889" t="str">
        <f>Translations!$B$1551</f>
        <v>Действително очаквано равнище на дейност</v>
      </c>
      <c r="F151" s="2892"/>
      <c r="G151" s="2892"/>
      <c r="H151" s="1210" t="str">
        <f>H29</f>
        <v>TJ</v>
      </c>
      <c r="I151" s="1399" t="str">
        <f>I32</f>
        <v/>
      </c>
      <c r="J151" s="661" t="str">
        <f>IF($M13&lt;&gt;EUconst_Relevant,"",IF(OR(J150="",$I151=0,$I151=EUconst_NA),IF(OR(J146=TRUE,J145&lt;=$V13),J32,SUM(I151)),$I151*(1+SUM(J150))))</f>
        <v/>
      </c>
      <c r="K151" s="662" t="str">
        <f>IF($M13&lt;&gt;EUconst_Relevant,"",IF(OR(K150="",$I151=0,$I151=EUconst_NA),IF(OR(K146=TRUE,K145&lt;=$V13),K32,SUM(J151)),$I151*(1+SUM(K150))))</f>
        <v/>
      </c>
      <c r="L151" s="662" t="str">
        <f>IF($M13&lt;&gt;EUconst_Relevant,"",IF(OR(L150="",$I151=0,$I151=EUconst_NA),IF(OR(L146=TRUE,L145&lt;=$V13),L32,SUM(K151)),$I151*(1+SUM(L150))))</f>
        <v/>
      </c>
      <c r="M151" s="662" t="str">
        <f>IF($M13&lt;&gt;EUconst_Relevant,"",IF(OR(M150="",$I151=0,$I151=EUconst_NA),IF(OR(M146=TRUE,M145&lt;=$V13),M32,SUM(L151)),$I151*(1+SUM(M150))))</f>
        <v/>
      </c>
      <c r="N151" s="663" t="str">
        <f>IF($M13&lt;&gt;EUconst_Relevant,"",IF(OR(N150="",$I151=0,$I151=EUconst_NA),IF(OR(N146=TRUE,N145&lt;=$V13),N32,SUM(M151)),$I151*(1+SUM(N150))))</f>
        <v/>
      </c>
      <c r="O151" s="302"/>
      <c r="P151" s="336"/>
      <c r="Q151" s="1190" t="str">
        <f>EUconst_CNTR_HALfinal&amp;I13</f>
        <v>HALfinal_Подинсталация с топлинен показател (с риск от ИВЕ | извън МКВЕГ)</v>
      </c>
      <c r="R151" s="694"/>
      <c r="S151" s="694"/>
      <c r="T151" s="694"/>
      <c r="U151" s="1491" t="b">
        <v>0</v>
      </c>
      <c r="V151" s="1246" t="b">
        <f>IF(J146=TRUE,V30,U151)</f>
        <v>0</v>
      </c>
      <c r="W151" s="1246" t="b">
        <f>IF(K146=TRUE,W30,V151)</f>
        <v>0</v>
      </c>
      <c r="X151" s="1246" t="b">
        <f>IF(L146=TRUE,X30,W151)</f>
        <v>0</v>
      </c>
      <c r="Y151" s="1246" t="b">
        <f>IF(M146=TRUE,Y30,X151)</f>
        <v>0</v>
      </c>
      <c r="Z151" s="1247" t="b">
        <f>IF(N146=TRUE,Z30,Y151)</f>
        <v>0</v>
      </c>
      <c r="AA151" s="694"/>
      <c r="AB151" s="694"/>
      <c r="AC151" s="694"/>
      <c r="AD151" s="694"/>
      <c r="AE151" s="343"/>
      <c r="AF151" s="343"/>
      <c r="AG151" s="343"/>
      <c r="AH151" s="343"/>
      <c r="AI151" s="343"/>
      <c r="AJ151" s="343"/>
      <c r="AK151" s="1174" t="s">
        <v>2033</v>
      </c>
      <c r="AL151" s="982" t="str">
        <f>IF(OR(ISERROR(J151),ISERROR(K151),ISERROR(L151),ISERROR(M151),ISERROR(N151)),EUconst_Error&amp;"FB"&amp; Q13,"")</f>
        <v/>
      </c>
      <c r="AM151" s="343"/>
    </row>
    <row r="152" spans="1:39" ht="5.15" customHeight="1" thickBot="1" x14ac:dyDescent="0.3">
      <c r="A152" s="729" t="str">
        <f t="shared" si="42"/>
        <v/>
      </c>
      <c r="B152" s="698"/>
      <c r="C152" s="698"/>
      <c r="D152" s="1273"/>
      <c r="E152" s="1274"/>
      <c r="F152" s="1274"/>
      <c r="G152" s="1274"/>
      <c r="H152" s="1274"/>
      <c r="I152" s="1274"/>
      <c r="J152" s="1274"/>
      <c r="K152" s="1274"/>
      <c r="L152" s="1274"/>
      <c r="M152" s="1274"/>
      <c r="N152" s="1276"/>
      <c r="O152" s="336"/>
      <c r="P152" s="336"/>
      <c r="Q152" s="694"/>
      <c r="R152" s="694"/>
      <c r="S152" s="694"/>
      <c r="T152" s="694"/>
      <c r="U152" s="694"/>
      <c r="V152" s="694"/>
      <c r="W152" s="694"/>
      <c r="X152" s="694"/>
      <c r="Y152" s="694"/>
      <c r="Z152" s="694"/>
      <c r="AA152" s="694"/>
      <c r="AB152" s="729"/>
      <c r="AC152" s="694"/>
      <c r="AD152" s="694"/>
      <c r="AE152" s="343"/>
      <c r="AF152" s="343"/>
      <c r="AG152" s="343"/>
      <c r="AH152" s="343"/>
      <c r="AI152" s="343"/>
      <c r="AJ152" s="343"/>
      <c r="AK152" s="343"/>
      <c r="AL152" s="343"/>
      <c r="AM152" s="343"/>
    </row>
    <row r="153" spans="1:39" ht="12.75" customHeight="1" thickBot="1" x14ac:dyDescent="0.3">
      <c r="A153" s="694"/>
      <c r="B153" s="698"/>
      <c r="C153" s="698"/>
      <c r="D153" s="698"/>
      <c r="E153" s="698"/>
      <c r="F153" s="698"/>
      <c r="G153" s="698"/>
      <c r="H153" s="698"/>
      <c r="I153" s="698"/>
      <c r="J153" s="698"/>
      <c r="K153" s="698"/>
      <c r="L153" s="698"/>
      <c r="M153" s="698"/>
      <c r="N153" s="698"/>
      <c r="O153" s="336"/>
      <c r="P153" s="336"/>
      <c r="Q153" s="694"/>
      <c r="R153" s="694"/>
      <c r="S153" s="694"/>
      <c r="T153" s="694"/>
      <c r="U153" s="694"/>
      <c r="V153" s="694"/>
      <c r="W153" s="694"/>
      <c r="X153" s="694"/>
      <c r="Y153" s="694"/>
      <c r="Z153" s="694"/>
      <c r="AA153" s="694"/>
      <c r="AB153" s="729"/>
      <c r="AC153" s="694"/>
      <c r="AD153" s="694"/>
      <c r="AE153" s="343"/>
      <c r="AF153" s="343"/>
      <c r="AG153" s="343"/>
      <c r="AH153" s="343"/>
      <c r="AI153" s="343"/>
      <c r="AJ153" s="343"/>
      <c r="AK153" s="343"/>
      <c r="AL153" s="343"/>
      <c r="AM153" s="343"/>
    </row>
    <row r="154" spans="1:39" ht="5.15" customHeight="1" x14ac:dyDescent="0.25">
      <c r="A154" s="694"/>
      <c r="B154" s="284"/>
      <c r="C154" s="1492"/>
      <c r="D154" s="1493"/>
      <c r="E154" s="1493"/>
      <c r="F154" s="1493"/>
      <c r="G154" s="1493"/>
      <c r="H154" s="1493"/>
      <c r="I154" s="1493"/>
      <c r="J154" s="1493"/>
      <c r="K154" s="1493"/>
      <c r="L154" s="1493"/>
      <c r="M154" s="1494"/>
      <c r="N154" s="1495"/>
      <c r="O154" s="336"/>
      <c r="P154" s="336"/>
      <c r="Q154" s="770"/>
      <c r="R154" s="694"/>
      <c r="S154" s="770"/>
      <c r="T154" s="770"/>
      <c r="U154" s="694"/>
      <c r="V154" s="694"/>
      <c r="W154" s="694"/>
      <c r="X154" s="694"/>
      <c r="Y154" s="694"/>
      <c r="Z154" s="694"/>
      <c r="AA154" s="694"/>
      <c r="AB154" s="729"/>
      <c r="AC154" s="694"/>
      <c r="AD154" s="694"/>
      <c r="AE154" s="343"/>
      <c r="AF154" s="343"/>
      <c r="AG154" s="343"/>
      <c r="AH154" s="343"/>
      <c r="AI154" s="343"/>
      <c r="AJ154" s="343"/>
      <c r="AK154" s="343"/>
      <c r="AL154" s="343"/>
      <c r="AM154" s="343"/>
    </row>
    <row r="155" spans="1:39" ht="15" customHeight="1" x14ac:dyDescent="0.25">
      <c r="A155" s="694"/>
      <c r="B155" s="698"/>
      <c r="C155" s="1496"/>
      <c r="D155" s="2857" t="str">
        <f>Translations!$B$502</f>
        <v>Данни, необходими за определяне на нивото на подобрение на продуктовите показатели съгласно 10а, параграф 2 от Директивата за СТЕ на ЕС</v>
      </c>
      <c r="E155" s="2851"/>
      <c r="F155" s="2851"/>
      <c r="G155" s="2851"/>
      <c r="H155" s="2851"/>
      <c r="I155" s="2851"/>
      <c r="J155" s="2851"/>
      <c r="K155" s="2851"/>
      <c r="L155" s="2851"/>
      <c r="M155" s="2851"/>
      <c r="N155" s="2852"/>
      <c r="O155" s="336"/>
      <c r="P155" s="336"/>
      <c r="Q155" s="694"/>
      <c r="R155" s="694"/>
      <c r="S155" s="770"/>
      <c r="T155" s="770"/>
      <c r="U155" s="694"/>
      <c r="V155" s="694"/>
      <c r="W155" s="694"/>
      <c r="X155" s="694"/>
      <c r="Y155" s="694"/>
      <c r="Z155" s="694"/>
      <c r="AA155" s="694"/>
      <c r="AB155" s="729"/>
      <c r="AC155" s="694"/>
      <c r="AD155" s="694"/>
      <c r="AE155" s="343"/>
      <c r="AF155" s="343"/>
      <c r="AG155" s="343"/>
      <c r="AH155" s="343"/>
      <c r="AI155" s="343"/>
      <c r="AJ155" s="343"/>
      <c r="AK155" s="343"/>
      <c r="AL155" s="343"/>
      <c r="AM155" s="343"/>
    </row>
    <row r="156" spans="1:39" ht="5.15" customHeight="1" x14ac:dyDescent="0.25">
      <c r="A156" s="694"/>
      <c r="B156" s="698"/>
      <c r="C156" s="1303"/>
      <c r="D156" s="1304"/>
      <c r="E156" s="1304"/>
      <c r="F156" s="1304"/>
      <c r="G156" s="1304"/>
      <c r="H156" s="1304"/>
      <c r="I156" s="1304"/>
      <c r="J156" s="1304"/>
      <c r="K156" s="1304"/>
      <c r="L156" s="1304"/>
      <c r="M156" s="1304"/>
      <c r="N156" s="1305"/>
      <c r="O156" s="336"/>
      <c r="P156" s="336"/>
      <c r="Q156" s="694"/>
      <c r="R156" s="694"/>
      <c r="S156" s="770"/>
      <c r="T156" s="770"/>
      <c r="U156" s="694"/>
      <c r="V156" s="694"/>
      <c r="W156" s="694"/>
      <c r="X156" s="694"/>
      <c r="Y156" s="694"/>
      <c r="Z156" s="694"/>
      <c r="AA156" s="694"/>
      <c r="AB156" s="729"/>
      <c r="AC156" s="694"/>
      <c r="AD156" s="694"/>
      <c r="AE156" s="343"/>
      <c r="AF156" s="343"/>
      <c r="AG156" s="343"/>
      <c r="AH156" s="343"/>
      <c r="AI156" s="343"/>
      <c r="AJ156" s="343"/>
      <c r="AK156" s="343"/>
      <c r="AL156" s="343"/>
      <c r="AM156" s="343"/>
    </row>
    <row r="157" spans="1:39" ht="15" customHeight="1" x14ac:dyDescent="0.25">
      <c r="A157" s="694"/>
      <c r="B157" s="698"/>
      <c r="C157" s="1303"/>
      <c r="D157" s="2841" t="str">
        <f>EUconst_FBSubinst &amp; ":"</f>
        <v>Алтернативна подинсталация („Fall-Back sub-installation“):</v>
      </c>
      <c r="E157" s="2839"/>
      <c r="F157" s="2839"/>
      <c r="G157" s="2839"/>
      <c r="H157" s="2842"/>
      <c r="I157" s="2843" t="str">
        <f>I13</f>
        <v>Подинсталация с топлинен показател (с риск от ИВЕ | извън МКВЕГ)</v>
      </c>
      <c r="J157" s="2844"/>
      <c r="K157" s="2844"/>
      <c r="L157" s="2844"/>
      <c r="M157" s="2844"/>
      <c r="N157" s="2845"/>
      <c r="O157" s="336"/>
      <c r="P157" s="336"/>
      <c r="Q157" s="694"/>
      <c r="R157" s="694"/>
      <c r="S157" s="770"/>
      <c r="T157" s="770"/>
      <c r="U157" s="694"/>
      <c r="V157" s="694"/>
      <c r="W157" s="694"/>
      <c r="X157" s="694"/>
      <c r="Y157" s="694"/>
      <c r="Z157" s="694"/>
      <c r="AA157" s="694"/>
      <c r="AB157" s="729"/>
      <c r="AC157" s="694"/>
      <c r="AD157" s="694"/>
      <c r="AE157" s="343"/>
      <c r="AF157" s="343"/>
      <c r="AG157" s="343"/>
      <c r="AH157" s="343"/>
      <c r="AI157" s="343"/>
      <c r="AJ157" s="343"/>
      <c r="AK157" s="343"/>
      <c r="AL157" s="343"/>
      <c r="AM157" s="343"/>
    </row>
    <row r="158" spans="1:39" ht="5.15" customHeight="1" x14ac:dyDescent="0.25">
      <c r="A158" s="694"/>
      <c r="B158" s="698"/>
      <c r="C158" s="1303"/>
      <c r="D158" s="1304"/>
      <c r="E158" s="1304"/>
      <c r="F158" s="1304"/>
      <c r="G158" s="1304"/>
      <c r="H158" s="1304"/>
      <c r="I158" s="1304"/>
      <c r="J158" s="1304"/>
      <c r="K158" s="1304"/>
      <c r="L158" s="1304"/>
      <c r="M158" s="1304"/>
      <c r="N158" s="1305"/>
      <c r="O158" s="336"/>
      <c r="P158" s="336"/>
      <c r="Q158" s="694"/>
      <c r="R158" s="694"/>
      <c r="S158" s="770"/>
      <c r="T158" s="770"/>
      <c r="U158" s="694"/>
      <c r="V158" s="694"/>
      <c r="W158" s="694"/>
      <c r="X158" s="694"/>
      <c r="Y158" s="694"/>
      <c r="Z158" s="694"/>
      <c r="AA158" s="694"/>
      <c r="AB158" s="729"/>
      <c r="AC158" s="694"/>
      <c r="AD158" s="694"/>
      <c r="AE158" s="343"/>
      <c r="AF158" s="343"/>
      <c r="AG158" s="343"/>
      <c r="AH158" s="343"/>
      <c r="AI158" s="343"/>
      <c r="AJ158" s="343"/>
      <c r="AK158" s="343"/>
      <c r="AL158" s="343"/>
      <c r="AM158" s="343"/>
    </row>
    <row r="159" spans="1:39" ht="30" customHeight="1" x14ac:dyDescent="0.25">
      <c r="A159" s="694"/>
      <c r="B159" s="284"/>
      <c r="C159" s="1496"/>
      <c r="D159" s="1497"/>
      <c r="E159" s="2933" t="str">
        <f>Translations!$B$503</f>
        <v>В този подраздел се обхваща разпределението на емисии по пораждащи емисии потоци, източници на емисии, получена или подадена измерима топлинна енергия и отпадни газове, включително загубите на топлинна енергия съгласно раздел 10 от приложение VII към ПБР.</v>
      </c>
      <c r="F159" s="2933"/>
      <c r="G159" s="2933"/>
      <c r="H159" s="2933"/>
      <c r="I159" s="2933"/>
      <c r="J159" s="2933"/>
      <c r="K159" s="2933"/>
      <c r="L159" s="2933"/>
      <c r="M159" s="2933"/>
      <c r="N159" s="1498"/>
      <c r="O159" s="336"/>
      <c r="P159" s="336"/>
      <c r="Q159" s="770"/>
      <c r="R159" s="694"/>
      <c r="S159" s="694"/>
      <c r="T159" s="694"/>
      <c r="U159" s="694"/>
      <c r="V159" s="694"/>
      <c r="W159" s="694"/>
      <c r="X159" s="694"/>
      <c r="Y159" s="694"/>
      <c r="Z159" s="694"/>
      <c r="AA159" s="694"/>
      <c r="AB159" s="729"/>
      <c r="AC159" s="694"/>
      <c r="AD159" s="694"/>
      <c r="AE159" s="343"/>
      <c r="AF159" s="343"/>
      <c r="AG159" s="343"/>
      <c r="AH159" s="343"/>
      <c r="AI159" s="343"/>
      <c r="AJ159" s="343"/>
      <c r="AK159" s="343"/>
      <c r="AL159" s="343"/>
      <c r="AM159" s="343"/>
    </row>
    <row r="160" spans="1:39" ht="30" customHeight="1" x14ac:dyDescent="0.25">
      <c r="A160" s="694"/>
      <c r="B160" s="298"/>
      <c r="C160" s="1302"/>
      <c r="D160" s="1306"/>
      <c r="E160" s="2846" t="str">
        <f>Translations!$B$504</f>
        <v xml:space="preserve">Моля, имайте предвид, че въпреки дадените известни насоки по всяка от точките по-долу трябва да потърсите допълнителна информация в обяснителна бележка № 5 („Мониторинг и докладване във връзка с ПБР“), която съдържа и примери. </v>
      </c>
      <c r="F160" s="2846"/>
      <c r="G160" s="2846"/>
      <c r="H160" s="2846"/>
      <c r="I160" s="2846"/>
      <c r="J160" s="2846"/>
      <c r="K160" s="2846"/>
      <c r="L160" s="2846"/>
      <c r="M160" s="2846"/>
      <c r="N160" s="1372"/>
      <c r="O160" s="336"/>
      <c r="P160" s="336"/>
      <c r="Q160" s="729"/>
      <c r="R160" s="694"/>
      <c r="S160" s="694"/>
      <c r="T160" s="694"/>
      <c r="U160" s="694"/>
      <c r="V160" s="694"/>
      <c r="W160" s="694"/>
      <c r="X160" s="694"/>
      <c r="Y160" s="694"/>
      <c r="Z160" s="694"/>
      <c r="AA160" s="694"/>
      <c r="AB160" s="729"/>
      <c r="AC160" s="694"/>
      <c r="AD160" s="694"/>
      <c r="AE160" s="343"/>
      <c r="AF160" s="343"/>
      <c r="AG160" s="343"/>
      <c r="AH160" s="343"/>
      <c r="AI160" s="343"/>
      <c r="AJ160" s="343"/>
      <c r="AK160" s="343"/>
      <c r="AL160" s="343"/>
      <c r="AM160" s="343"/>
    </row>
    <row r="161" spans="1:39" ht="12.75" customHeight="1" x14ac:dyDescent="0.25">
      <c r="A161" s="694"/>
      <c r="B161" s="298"/>
      <c r="C161" s="1302"/>
      <c r="D161" s="1306"/>
      <c r="E161" s="2846" t="str">
        <f>Translations!$B$505</f>
        <v>Можете да изтеглите насоките на адрес: https://ec.europa.eu/clima/policies/ets/allowances_en#tab-0-1</v>
      </c>
      <c r="F161" s="2240"/>
      <c r="G161" s="2240"/>
      <c r="H161" s="2240"/>
      <c r="I161" s="2240"/>
      <c r="J161" s="2240"/>
      <c r="K161" s="2240"/>
      <c r="L161" s="2240"/>
      <c r="M161" s="2240"/>
      <c r="N161" s="1372"/>
      <c r="O161" s="336"/>
      <c r="P161" s="336"/>
      <c r="Q161" s="729"/>
      <c r="R161" s="694"/>
      <c r="S161" s="694"/>
      <c r="T161" s="694"/>
      <c r="U161" s="694"/>
      <c r="V161" s="694"/>
      <c r="W161" s="694"/>
      <c r="X161" s="694"/>
      <c r="Y161" s="694"/>
      <c r="Z161" s="694"/>
      <c r="AA161" s="694"/>
      <c r="AB161" s="729"/>
      <c r="AC161" s="694"/>
      <c r="AD161" s="694"/>
      <c r="AE161" s="343"/>
      <c r="AF161" s="343"/>
      <c r="AG161" s="343"/>
      <c r="AH161" s="343"/>
      <c r="AI161" s="343"/>
      <c r="AJ161" s="343"/>
      <c r="AK161" s="343"/>
      <c r="AL161" s="343"/>
      <c r="AM161" s="343"/>
    </row>
    <row r="162" spans="1:39" ht="15" customHeight="1" x14ac:dyDescent="0.25">
      <c r="A162" s="694"/>
      <c r="B162" s="298"/>
      <c r="C162" s="1302"/>
      <c r="D162" s="1306"/>
      <c r="E162" s="2848" t="str">
        <f>F_ProductBM!$E$674</f>
        <v>https://climate.ec.europa.eu/eu-action/carbon-markets/eu-emissions-trading-system-eu-ets/free-allocation/about-free-allocation_en</v>
      </c>
      <c r="F162" s="2848"/>
      <c r="G162" s="2848"/>
      <c r="H162" s="2848"/>
      <c r="I162" s="2848"/>
      <c r="J162" s="2848"/>
      <c r="K162" s="2848"/>
      <c r="L162" s="2848"/>
      <c r="M162" s="2848"/>
      <c r="N162" s="1372"/>
      <c r="O162" s="336"/>
      <c r="P162" s="336"/>
      <c r="Q162" s="729"/>
      <c r="R162" s="694"/>
      <c r="S162" s="694"/>
      <c r="T162" s="694"/>
      <c r="U162" s="694"/>
      <c r="V162" s="694"/>
      <c r="W162" s="694"/>
      <c r="X162" s="694"/>
      <c r="Y162" s="694"/>
      <c r="Z162" s="694"/>
      <c r="AA162" s="694"/>
      <c r="AB162" s="729"/>
      <c r="AC162" s="694"/>
      <c r="AD162" s="694"/>
      <c r="AE162" s="343"/>
      <c r="AF162" s="343"/>
      <c r="AG162" s="343"/>
      <c r="AH162" s="343"/>
      <c r="AI162" s="343"/>
      <c r="AJ162" s="343"/>
      <c r="AK162" s="343"/>
      <c r="AL162" s="343"/>
      <c r="AM162" s="343"/>
    </row>
    <row r="163" spans="1:39" ht="15" customHeight="1" x14ac:dyDescent="0.25">
      <c r="A163" s="694"/>
      <c r="B163" s="284"/>
      <c r="C163" s="1496"/>
      <c r="D163" s="1497"/>
      <c r="E163" s="2849" t="str">
        <f>Translations!$B$506</f>
        <v>При въвеждане на данните по-долу емисиите, които могат да бъдат зададени, са изчислени в раздел K.III.2 в листа за обобщение.</v>
      </c>
      <c r="F163" s="2849"/>
      <c r="G163" s="2849"/>
      <c r="H163" s="2849"/>
      <c r="I163" s="2849"/>
      <c r="J163" s="2849"/>
      <c r="K163" s="2849"/>
      <c r="L163" s="2849"/>
      <c r="M163" s="2849"/>
      <c r="N163" s="1498"/>
      <c r="O163" s="336"/>
      <c r="P163" s="336"/>
      <c r="Q163" s="770"/>
      <c r="R163" s="694"/>
      <c r="S163" s="694"/>
      <c r="T163" s="694"/>
      <c r="U163" s="694"/>
      <c r="V163" s="694"/>
      <c r="W163" s="694"/>
      <c r="X163" s="694"/>
      <c r="Y163" s="694"/>
      <c r="Z163" s="694"/>
      <c r="AA163" s="694"/>
      <c r="AB163" s="729"/>
      <c r="AC163" s="694"/>
      <c r="AD163" s="694"/>
      <c r="AE163" s="343"/>
      <c r="AF163" s="343"/>
      <c r="AG163" s="343"/>
      <c r="AH163" s="343"/>
      <c r="AI163" s="343"/>
      <c r="AJ163" s="343"/>
      <c r="AK163" s="343"/>
      <c r="AL163" s="343"/>
      <c r="AM163" s="343"/>
    </row>
    <row r="164" spans="1:39" ht="5.15" customHeight="1" x14ac:dyDescent="0.25">
      <c r="A164" s="694"/>
      <c r="B164" s="698"/>
      <c r="C164" s="1303"/>
      <c r="D164" s="1304"/>
      <c r="E164" s="1304"/>
      <c r="F164" s="1304"/>
      <c r="G164" s="1304"/>
      <c r="H164" s="1304"/>
      <c r="I164" s="1304"/>
      <c r="J164" s="1304"/>
      <c r="K164" s="1304"/>
      <c r="L164" s="1304"/>
      <c r="M164" s="1304"/>
      <c r="N164" s="1305"/>
      <c r="O164" s="336"/>
      <c r="P164" s="336"/>
      <c r="Q164" s="694"/>
      <c r="R164" s="694"/>
      <c r="S164" s="770"/>
      <c r="T164" s="770"/>
      <c r="U164" s="694"/>
      <c r="V164" s="694"/>
      <c r="W164" s="694"/>
      <c r="X164" s="694"/>
      <c r="Y164" s="694"/>
      <c r="Z164" s="694"/>
      <c r="AA164" s="694"/>
      <c r="AB164" s="729"/>
      <c r="AC164" s="694"/>
      <c r="AD164" s="694"/>
      <c r="AE164" s="343"/>
      <c r="AF164" s="343"/>
      <c r="AG164" s="343"/>
      <c r="AH164" s="343"/>
      <c r="AI164" s="343"/>
      <c r="AJ164" s="343"/>
      <c r="AK164" s="343"/>
      <c r="AL164" s="343"/>
      <c r="AM164" s="343"/>
    </row>
    <row r="165" spans="1:39" ht="12.75" customHeight="1" x14ac:dyDescent="0.25">
      <c r="A165" s="694"/>
      <c r="B165" s="284"/>
      <c r="C165" s="1496"/>
      <c r="D165" s="1307" t="s">
        <v>46</v>
      </c>
      <c r="E165" s="2850" t="str">
        <f>Translations!$B$626</f>
        <v>Емисии, които могат се зададат пряко (DirEm*) на тази подинсталация</v>
      </c>
      <c r="F165" s="2851"/>
      <c r="G165" s="2851"/>
      <c r="H165" s="2851"/>
      <c r="I165" s="2851"/>
      <c r="J165" s="2851"/>
      <c r="K165" s="2851"/>
      <c r="L165" s="2851"/>
      <c r="M165" s="2851"/>
      <c r="N165" s="2852"/>
      <c r="O165" s="336"/>
      <c r="P165" s="336"/>
      <c r="Q165" s="770"/>
      <c r="R165" s="694"/>
      <c r="S165" s="770"/>
      <c r="T165" s="770"/>
      <c r="U165" s="694"/>
      <c r="V165" s="694"/>
      <c r="W165" s="694"/>
      <c r="X165" s="694"/>
      <c r="Y165" s="694"/>
      <c r="Z165" s="694"/>
      <c r="AA165" s="694"/>
      <c r="AB165" s="729"/>
      <c r="AC165" s="694"/>
      <c r="AD165" s="694"/>
      <c r="AE165" s="343"/>
      <c r="AF165" s="343"/>
      <c r="AG165" s="343"/>
      <c r="AH165" s="343"/>
      <c r="AI165" s="343"/>
      <c r="AJ165" s="343"/>
      <c r="AK165" s="343"/>
      <c r="AL165" s="343"/>
      <c r="AM165" s="343"/>
    </row>
    <row r="166" spans="1:39" ht="12.75" customHeight="1" x14ac:dyDescent="0.25">
      <c r="A166" s="694"/>
      <c r="B166" s="284"/>
      <c r="C166" s="1496"/>
      <c r="D166" s="1307"/>
      <c r="E166" s="2927" t="str">
        <f>Translations!$B$508</f>
        <v>Посочените тук данни ще се отразят на емисиите, които могат да бъдат зададени съгласно раздел 10.1.1 от приложение VII към ПБР.</v>
      </c>
      <c r="F166" s="2927"/>
      <c r="G166" s="2927"/>
      <c r="H166" s="2927"/>
      <c r="I166" s="2927"/>
      <c r="J166" s="2927"/>
      <c r="K166" s="2927"/>
      <c r="L166" s="2927"/>
      <c r="M166" s="2927"/>
      <c r="N166" s="2928"/>
      <c r="O166" s="336"/>
      <c r="P166" s="336"/>
      <c r="Q166" s="770"/>
      <c r="R166" s="694"/>
      <c r="S166" s="770"/>
      <c r="T166" s="770"/>
      <c r="U166" s="694"/>
      <c r="V166" s="694"/>
      <c r="W166" s="694"/>
      <c r="X166" s="694"/>
      <c r="Y166" s="694"/>
      <c r="Z166" s="694"/>
      <c r="AA166" s="694"/>
      <c r="AB166" s="729"/>
      <c r="AC166" s="694"/>
      <c r="AD166" s="694"/>
      <c r="AE166" s="343"/>
      <c r="AF166" s="343"/>
      <c r="AG166" s="343"/>
      <c r="AH166" s="343"/>
      <c r="AI166" s="343"/>
      <c r="AJ166" s="343"/>
      <c r="AK166" s="343"/>
      <c r="AL166" s="343"/>
      <c r="AM166" s="343"/>
    </row>
    <row r="167" spans="1:39" ht="12.75" customHeight="1" x14ac:dyDescent="0.25">
      <c r="A167" s="694"/>
      <c r="B167" s="284"/>
      <c r="C167" s="1496"/>
      <c r="D167" s="1497"/>
      <c r="E167" s="2836" t="str">
        <f>Translations!$B$627</f>
        <v>Моля, въведете преките емисии, като вземете предвид следните уговорки:</v>
      </c>
      <c r="F167" s="2836"/>
      <c r="G167" s="2836"/>
      <c r="H167" s="2836"/>
      <c r="I167" s="2836"/>
      <c r="J167" s="2836"/>
      <c r="K167" s="2836"/>
      <c r="L167" s="2836"/>
      <c r="M167" s="2836"/>
      <c r="N167" s="2837"/>
      <c r="O167" s="336"/>
      <c r="P167" s="336"/>
      <c r="Q167" s="770"/>
      <c r="R167" s="694"/>
      <c r="S167" s="770"/>
      <c r="T167" s="694"/>
      <c r="U167" s="694"/>
      <c r="V167" s="694"/>
      <c r="W167" s="694"/>
      <c r="X167" s="694"/>
      <c r="Y167" s="694"/>
      <c r="Z167" s="694"/>
      <c r="AA167" s="694"/>
      <c r="AB167" s="729"/>
      <c r="AC167" s="694"/>
      <c r="AD167" s="694"/>
      <c r="AE167" s="343"/>
      <c r="AF167" s="343"/>
      <c r="AG167" s="343"/>
      <c r="AH167" s="343"/>
      <c r="AI167" s="343"/>
      <c r="AJ167" s="343"/>
      <c r="AK167" s="343"/>
      <c r="AL167" s="343"/>
      <c r="AM167" s="343"/>
    </row>
    <row r="168" spans="1:39" ht="25.5" customHeight="1" x14ac:dyDescent="0.25">
      <c r="A168" s="694"/>
      <c r="B168" s="284"/>
      <c r="C168" s="1496"/>
      <c r="D168" s="1497"/>
      <c r="E168" s="1308" t="s">
        <v>1052</v>
      </c>
      <c r="F168" s="2838" t="str">
        <f>Translations!$B$628</f>
        <v>За преките емисии се извършва мониторинг в съответствие с плана за мониторинг, одобрен съгласно Регламента относно мониторинга и докладването (РМД), т.е. като се отчитат емисиите, получени по методики, основани на изчисления (като се използват пораждащите емисии потоци), по базиращи се на измервания методики (БИМ), както и по подходи без подреждане („fall-backs“).</v>
      </c>
      <c r="G168" s="2838"/>
      <c r="H168" s="2838"/>
      <c r="I168" s="2838"/>
      <c r="J168" s="2838"/>
      <c r="K168" s="2838"/>
      <c r="L168" s="2838"/>
      <c r="M168" s="2838"/>
      <c r="N168" s="2931"/>
      <c r="O168" s="336"/>
      <c r="P168" s="336"/>
      <c r="Q168" s="770"/>
      <c r="R168" s="694"/>
      <c r="S168" s="770"/>
      <c r="T168" s="694"/>
      <c r="U168" s="694"/>
      <c r="V168" s="694"/>
      <c r="W168" s="694"/>
      <c r="X168" s="694"/>
      <c r="Y168" s="694"/>
      <c r="Z168" s="694"/>
      <c r="AA168" s="694"/>
      <c r="AB168" s="729"/>
      <c r="AC168" s="694"/>
      <c r="AD168" s="694"/>
      <c r="AE168" s="343"/>
      <c r="AF168" s="343"/>
      <c r="AG168" s="343"/>
      <c r="AH168" s="343"/>
      <c r="AI168" s="343"/>
      <c r="AJ168" s="343"/>
      <c r="AK168" s="343"/>
      <c r="AL168" s="343"/>
      <c r="AM168" s="343"/>
    </row>
    <row r="169" spans="1:39" ht="38.25" customHeight="1" x14ac:dyDescent="0.25">
      <c r="A169" s="694"/>
      <c r="B169" s="298"/>
      <c r="C169" s="1302"/>
      <c r="D169" s="1306"/>
      <c r="E169" s="1308"/>
      <c r="F169" s="2810" t="str">
        <f>Translations!$B$629</f>
        <v>В някои случая обаче в този раздел „преките емисии“ не са същите като отчетените съгласно РМД. Такива случаи са например пораждащи емисии потоци, използвани за производство на измерима топлинна енергия, отпадни газове и др. С други думи, моля, попълнете разделите по-долу при строго спазване на инструкциите, за да се избегнат двойно отчитане или пропуски.</v>
      </c>
      <c r="G169" s="2240"/>
      <c r="H169" s="2240"/>
      <c r="I169" s="2240"/>
      <c r="J169" s="2240"/>
      <c r="K169" s="2240"/>
      <c r="L169" s="2240"/>
      <c r="M169" s="2240"/>
      <c r="N169" s="2811"/>
      <c r="O169" s="336"/>
      <c r="P169" s="336"/>
      <c r="Q169" s="729"/>
      <c r="R169" s="694"/>
      <c r="S169" s="729"/>
      <c r="T169" s="694"/>
      <c r="U169" s="694"/>
      <c r="V169" s="694"/>
      <c r="W169" s="694"/>
      <c r="X169" s="694"/>
      <c r="Y169" s="694"/>
      <c r="Z169" s="694"/>
      <c r="AA169" s="694"/>
      <c r="AB169" s="729"/>
      <c r="AC169" s="694"/>
      <c r="AD169" s="694"/>
      <c r="AE169" s="343"/>
      <c r="AF169" s="343"/>
      <c r="AG169" s="343"/>
      <c r="AH169" s="343"/>
      <c r="AI169" s="343"/>
      <c r="AJ169" s="343"/>
      <c r="AK169" s="343"/>
      <c r="AL169" s="343"/>
      <c r="AM169" s="343"/>
    </row>
    <row r="170" spans="1:39" ht="12.75" customHeight="1" x14ac:dyDescent="0.25">
      <c r="A170" s="694"/>
      <c r="B170" s="284"/>
      <c r="C170" s="1496"/>
      <c r="D170" s="1497"/>
      <c r="E170" s="1308" t="s">
        <v>1052</v>
      </c>
      <c r="F170" s="2838" t="str">
        <f>Translations!$B$630</f>
        <v xml:space="preserve">Измерима топлинна енергия: в случай че топлинната енергия е произведена изключително за тази подинсталация, емисиите могат да се зададат пряко тук чрез емисиите от горивата. </v>
      </c>
      <c r="G170" s="2838"/>
      <c r="H170" s="2838"/>
      <c r="I170" s="2838"/>
      <c r="J170" s="2838"/>
      <c r="K170" s="2838"/>
      <c r="L170" s="2838"/>
      <c r="M170" s="2838"/>
      <c r="N170" s="2931"/>
      <c r="O170" s="336"/>
      <c r="P170" s="336"/>
      <c r="Q170" s="770"/>
      <c r="R170" s="694"/>
      <c r="S170" s="770"/>
      <c r="T170" s="694"/>
      <c r="U170" s="694"/>
      <c r="V170" s="694"/>
      <c r="W170" s="694"/>
      <c r="X170" s="694"/>
      <c r="Y170" s="694"/>
      <c r="Z170" s="694"/>
      <c r="AA170" s="694"/>
      <c r="AB170" s="729"/>
      <c r="AC170" s="694"/>
      <c r="AD170" s="694"/>
      <c r="AE170" s="343"/>
      <c r="AF170" s="343"/>
      <c r="AG170" s="343"/>
      <c r="AH170" s="343"/>
      <c r="AI170" s="343"/>
      <c r="AJ170" s="343"/>
      <c r="AK170" s="343"/>
      <c r="AL170" s="343"/>
      <c r="AM170" s="343"/>
    </row>
    <row r="171" spans="1:39" ht="26.15" customHeight="1" x14ac:dyDescent="0.25">
      <c r="A171" s="694"/>
      <c r="B171" s="284"/>
      <c r="C171" s="1496"/>
      <c r="D171" s="1497"/>
      <c r="E171" s="1308"/>
      <c r="F171" s="2838" t="str">
        <f>Translations!$B$631</f>
        <v>Когато при производството на измерима топлинна енергия, която се консумира в повече от една подинсталация (напр. централна електростанция в инсталацията или по-сложна мрежа за генериране на пара с няколко съоръжения за производство на топлинна енергия), са използвани горива, горивата не трябва да се включват в преките емисии на подинсталацията, а в точка f).i по-долу.</v>
      </c>
      <c r="G171" s="2838"/>
      <c r="H171" s="2838"/>
      <c r="I171" s="2838"/>
      <c r="J171" s="2838"/>
      <c r="K171" s="2838"/>
      <c r="L171" s="2838"/>
      <c r="M171" s="2838"/>
      <c r="N171" s="2931"/>
      <c r="O171" s="336"/>
      <c r="P171" s="336"/>
      <c r="Q171" s="770"/>
      <c r="R171" s="694"/>
      <c r="S171" s="770"/>
      <c r="T171" s="694"/>
      <c r="U171" s="694"/>
      <c r="V171" s="694"/>
      <c r="W171" s="694"/>
      <c r="X171" s="694"/>
      <c r="Y171" s="694"/>
      <c r="Z171" s="694"/>
      <c r="AA171" s="694"/>
      <c r="AB171" s="729"/>
      <c r="AC171" s="694"/>
      <c r="AD171" s="694"/>
      <c r="AE171" s="343"/>
      <c r="AF171" s="343"/>
      <c r="AG171" s="343"/>
      <c r="AH171" s="343"/>
      <c r="AI171" s="343"/>
      <c r="AJ171" s="343"/>
      <c r="AK171" s="343"/>
      <c r="AL171" s="343"/>
      <c r="AM171" s="343"/>
    </row>
    <row r="172" spans="1:39" ht="25.5" customHeight="1" thickBot="1" x14ac:dyDescent="0.3">
      <c r="A172" s="694"/>
      <c r="B172" s="284"/>
      <c r="C172" s="1496"/>
      <c r="D172" s="1497"/>
      <c r="E172" s="1308" t="s">
        <v>1052</v>
      </c>
      <c r="F172" s="2838" t="str">
        <f>Translations!$B$632</f>
        <v>Отпадни газове: емисиите, свързани с измерима топлинна енергия, произведена от отпадните газове, получени от други инсталации или подинсталации и използвани в тази подинсталация, не се включват тук, а се въвеждат в точка f).xiii по-долу.</v>
      </c>
      <c r="G172" s="2839"/>
      <c r="H172" s="2839"/>
      <c r="I172" s="2839"/>
      <c r="J172" s="2839"/>
      <c r="K172" s="2839"/>
      <c r="L172" s="2839"/>
      <c r="M172" s="2839"/>
      <c r="N172" s="2840"/>
      <c r="O172" s="336"/>
      <c r="P172" s="336"/>
      <c r="Q172" s="770"/>
      <c r="R172" s="694"/>
      <c r="S172" s="770"/>
      <c r="T172" s="694"/>
      <c r="U172" s="694"/>
      <c r="V172" s="694"/>
      <c r="W172" s="694"/>
      <c r="X172" s="694"/>
      <c r="Y172" s="694"/>
      <c r="Z172" s="694"/>
      <c r="AA172" s="694"/>
      <c r="AB172" s="729"/>
      <c r="AC172" s="694"/>
      <c r="AD172" s="694"/>
      <c r="AE172" s="343"/>
      <c r="AF172" s="343"/>
      <c r="AG172" s="343"/>
      <c r="AH172" s="343"/>
      <c r="AI172" s="343"/>
      <c r="AJ172" s="343"/>
      <c r="AK172" s="343"/>
      <c r="AL172" s="343"/>
      <c r="AM172" s="343"/>
    </row>
    <row r="173" spans="1:39" ht="12.75" customHeight="1" thickBot="1" x14ac:dyDescent="0.3">
      <c r="A173" s="694"/>
      <c r="B173" s="284"/>
      <c r="C173" s="1496"/>
      <c r="D173" s="1307"/>
      <c r="E173" s="1317" t="str">
        <f>Translations!$B$486</f>
        <v>Общо преки емисии</v>
      </c>
      <c r="F173" s="1318"/>
      <c r="G173" s="1309" t="str">
        <f>EUconst_Unit</f>
        <v>Единица мярка</v>
      </c>
      <c r="H173" s="629">
        <f t="shared" ref="H173:N173" si="108">H$1840</f>
        <v>2024</v>
      </c>
      <c r="I173" s="629">
        <f t="shared" si="108"/>
        <v>2025</v>
      </c>
      <c r="J173" s="629">
        <f t="shared" si="108"/>
        <v>2026</v>
      </c>
      <c r="K173" s="629">
        <f t="shared" si="108"/>
        <v>2027</v>
      </c>
      <c r="L173" s="629">
        <f t="shared" si="108"/>
        <v>2028</v>
      </c>
      <c r="M173" s="629">
        <f t="shared" si="108"/>
        <v>2029</v>
      </c>
      <c r="N173" s="1312">
        <f t="shared" si="108"/>
        <v>2030</v>
      </c>
      <c r="O173" s="336"/>
      <c r="P173" s="336"/>
      <c r="Q173" s="770"/>
      <c r="R173" s="694"/>
      <c r="S173" s="1499"/>
      <c r="T173" s="1313">
        <f t="shared" ref="T173:Z173" si="109">H173</f>
        <v>2024</v>
      </c>
      <c r="U173" s="1313">
        <f t="shared" si="109"/>
        <v>2025</v>
      </c>
      <c r="V173" s="1313">
        <f t="shared" si="109"/>
        <v>2026</v>
      </c>
      <c r="W173" s="1313">
        <f t="shared" si="109"/>
        <v>2027</v>
      </c>
      <c r="X173" s="1313">
        <f t="shared" si="109"/>
        <v>2028</v>
      </c>
      <c r="Y173" s="1313">
        <f t="shared" si="109"/>
        <v>2029</v>
      </c>
      <c r="Z173" s="1314">
        <f t="shared" si="109"/>
        <v>2030</v>
      </c>
      <c r="AA173" s="694"/>
      <c r="AB173" s="694"/>
      <c r="AC173" s="1178">
        <f>H$1840</f>
        <v>2024</v>
      </c>
      <c r="AD173" s="1178">
        <f t="shared" ref="AD173:AI173" si="110">I$1840</f>
        <v>2025</v>
      </c>
      <c r="AE173" s="1178">
        <f t="shared" si="110"/>
        <v>2026</v>
      </c>
      <c r="AF173" s="1178">
        <f t="shared" si="110"/>
        <v>2027</v>
      </c>
      <c r="AG173" s="1178">
        <f t="shared" si="110"/>
        <v>2028</v>
      </c>
      <c r="AH173" s="1178">
        <f t="shared" si="110"/>
        <v>2029</v>
      </c>
      <c r="AI173" s="1178">
        <f t="shared" si="110"/>
        <v>2030</v>
      </c>
      <c r="AJ173" s="343"/>
      <c r="AK173" s="343"/>
      <c r="AL173" s="343"/>
      <c r="AM173" s="343"/>
    </row>
    <row r="174" spans="1:39" ht="12.75" customHeight="1" thickBot="1" x14ac:dyDescent="0.35">
      <c r="A174" s="694"/>
      <c r="B174" s="284"/>
      <c r="C174" s="1496"/>
      <c r="D174" s="1497"/>
      <c r="E174" s="2814" t="str">
        <f>I13</f>
        <v>Подинсталация с топлинен показател (с риск от ИВЕ | извън МКВЕГ)</v>
      </c>
      <c r="F174" s="2814"/>
      <c r="G174" s="642" t="str">
        <f>EUconst_tCO2epa</f>
        <v>t CO2e/година</v>
      </c>
      <c r="H174" s="179"/>
      <c r="I174" s="179"/>
      <c r="J174" s="179"/>
      <c r="K174" s="179"/>
      <c r="L174" s="179"/>
      <c r="M174" s="179"/>
      <c r="N174" s="180"/>
      <c r="O174" s="336"/>
      <c r="P174" s="158"/>
      <c r="Q174" s="1500" t="str">
        <f>EUconst_CNTR_Emissions &amp; I13</f>
        <v>DirEmissions_Подинсталация с топлинен показател (с риск от ИВЕ | извън МКВЕГ)</v>
      </c>
      <c r="R174" s="694"/>
      <c r="S174" s="1501" t="str">
        <f>EUconst_CNTR_AttributedEmissions &amp; I13</f>
        <v>AttrEmissions_Подинсталация с топлинен показател (с риск от ИВЕ | извън МКВЕГ)</v>
      </c>
      <c r="T174" s="1290" t="str">
        <f t="shared" ref="T174:Z174" si="111">IF(T21,SUM(H174),"")</f>
        <v/>
      </c>
      <c r="U174" s="1290" t="str">
        <f t="shared" si="111"/>
        <v/>
      </c>
      <c r="V174" s="1290" t="str">
        <f t="shared" si="111"/>
        <v/>
      </c>
      <c r="W174" s="1290" t="str">
        <f t="shared" si="111"/>
        <v/>
      </c>
      <c r="X174" s="1290" t="str">
        <f t="shared" si="111"/>
        <v/>
      </c>
      <c r="Y174" s="1290" t="str">
        <f t="shared" si="111"/>
        <v/>
      </c>
      <c r="Z174" s="1291" t="str">
        <f t="shared" si="111"/>
        <v/>
      </c>
      <c r="AA174" s="694"/>
      <c r="AB174" s="1182" t="s">
        <v>737</v>
      </c>
      <c r="AC174" s="1183" t="b">
        <f t="shared" ref="AC174:AI174" si="112">IF(CNTR_ExistSubInstEntries,OR($M13&lt;&gt;EUconst_Relevant,AC173&gt;=CNTR_ReportingYear,AC173&lt;$V13-1),FALSE)</f>
        <v>0</v>
      </c>
      <c r="AD174" s="1184" t="b">
        <f t="shared" si="112"/>
        <v>0</v>
      </c>
      <c r="AE174" s="1184" t="b">
        <f t="shared" si="112"/>
        <v>0</v>
      </c>
      <c r="AF174" s="1184" t="b">
        <f t="shared" si="112"/>
        <v>0</v>
      </c>
      <c r="AG174" s="1184" t="b">
        <f t="shared" si="112"/>
        <v>0</v>
      </c>
      <c r="AH174" s="1184" t="b">
        <f t="shared" si="112"/>
        <v>0</v>
      </c>
      <c r="AI174" s="1185" t="b">
        <f t="shared" si="112"/>
        <v>0</v>
      </c>
      <c r="AJ174" s="343"/>
      <c r="AK174" s="1174" t="s">
        <v>2039</v>
      </c>
      <c r="AL174" s="1176" t="str">
        <f>IF(AND(CNTR_ExistSubInstEntries,COUNTIFS(AC174:AI174,2,H174:N174,"")&gt;0),EUconst_Error&amp;"FB"&amp;Q13,"")</f>
        <v/>
      </c>
      <c r="AM174" s="343"/>
    </row>
    <row r="175" spans="1:39" ht="5.15" customHeight="1" x14ac:dyDescent="0.25">
      <c r="A175" s="694"/>
      <c r="B175" s="284"/>
      <c r="C175" s="1496"/>
      <c r="D175" s="1497"/>
      <c r="E175" s="1497"/>
      <c r="F175" s="1497"/>
      <c r="G175" s="1497"/>
      <c r="H175" s="1497"/>
      <c r="I175" s="1497"/>
      <c r="J175" s="1497"/>
      <c r="K175" s="1497"/>
      <c r="L175" s="1497"/>
      <c r="M175" s="1502"/>
      <c r="N175" s="1503"/>
      <c r="O175" s="336"/>
      <c r="P175" s="336"/>
      <c r="Q175" s="770"/>
      <c r="R175" s="694"/>
      <c r="S175" s="770"/>
      <c r="T175" s="694"/>
      <c r="U175" s="694"/>
      <c r="V175" s="694"/>
      <c r="W175" s="694"/>
      <c r="X175" s="694"/>
      <c r="Y175" s="694"/>
      <c r="Z175" s="694"/>
      <c r="AA175" s="694"/>
      <c r="AB175" s="729"/>
      <c r="AC175" s="694"/>
      <c r="AD175" s="694"/>
      <c r="AE175" s="343"/>
      <c r="AF175" s="343"/>
      <c r="AG175" s="343"/>
      <c r="AH175" s="343"/>
      <c r="AI175" s="343"/>
      <c r="AJ175" s="343"/>
      <c r="AK175" s="343"/>
      <c r="AL175" s="343"/>
      <c r="AM175" s="343"/>
    </row>
    <row r="176" spans="1:39" ht="12.75" customHeight="1" x14ac:dyDescent="0.25">
      <c r="A176" s="694"/>
      <c r="B176" s="284"/>
      <c r="C176" s="1496"/>
      <c r="D176" s="1307" t="s">
        <v>906</v>
      </c>
      <c r="E176" s="2815" t="str">
        <f>Translations!$B$1524</f>
        <v>Вложена енергия в тази подинсталация и съответен емисионен фактор</v>
      </c>
      <c r="F176" s="2815"/>
      <c r="G176" s="2815"/>
      <c r="H176" s="2815"/>
      <c r="I176" s="2815"/>
      <c r="J176" s="2815"/>
      <c r="K176" s="2815"/>
      <c r="L176" s="2815"/>
      <c r="M176" s="2815"/>
      <c r="N176" s="2932"/>
      <c r="O176" s="336"/>
      <c r="P176" s="336"/>
      <c r="Q176" s="694"/>
      <c r="R176" s="694"/>
      <c r="S176" s="770"/>
      <c r="T176" s="694"/>
      <c r="U176" s="694"/>
      <c r="V176" s="694"/>
      <c r="W176" s="694"/>
      <c r="X176" s="694"/>
      <c r="Y176" s="694"/>
      <c r="Z176" s="694"/>
      <c r="AA176" s="694"/>
      <c r="AB176" s="729"/>
      <c r="AC176" s="694"/>
      <c r="AD176" s="694"/>
      <c r="AE176" s="343"/>
      <c r="AF176" s="343"/>
      <c r="AG176" s="343"/>
      <c r="AH176" s="343"/>
      <c r="AI176" s="343"/>
      <c r="AJ176" s="343"/>
      <c r="AK176" s="343"/>
      <c r="AL176" s="343"/>
      <c r="AM176" s="343"/>
    </row>
    <row r="177" spans="1:39" ht="25.5" customHeight="1" x14ac:dyDescent="0.25">
      <c r="A177" s="694"/>
      <c r="B177" s="284"/>
      <c r="C177" s="1496"/>
      <c r="D177" s="1497"/>
      <c r="E177" s="2838" t="str">
        <f>Translations!$B$1552</f>
        <v>Съгласно изискванията в приложение IV, раздел 2.4, буква а) към ПБР посочете вложената енергия от горива, материали (например екзотермична топлина) и електроенергия, използвана за производството на топлинна енергия, в съответствие с данните на равнище инсталация, въведени в раздел E.I.1.a, и съответния претеглен емисионен фактор, като вземете предвид съответното енергийно съдържание.</v>
      </c>
      <c r="F177" s="2851"/>
      <c r="G177" s="2851"/>
      <c r="H177" s="2851"/>
      <c r="I177" s="2851"/>
      <c r="J177" s="2851"/>
      <c r="K177" s="2851"/>
      <c r="L177" s="2851"/>
      <c r="M177" s="2851"/>
      <c r="N177" s="2852"/>
      <c r="O177" s="336"/>
      <c r="P177" s="336"/>
      <c r="Q177" s="770"/>
      <c r="R177" s="770"/>
      <c r="S177" s="770"/>
      <c r="T177" s="694"/>
      <c r="U177" s="694"/>
      <c r="V177" s="694"/>
      <c r="W177" s="694"/>
      <c r="X177" s="694"/>
      <c r="Y177" s="694"/>
      <c r="Z177" s="694"/>
      <c r="AA177" s="694"/>
      <c r="AB177" s="729"/>
      <c r="AC177" s="694"/>
      <c r="AD177" s="694"/>
      <c r="AE177" s="343"/>
      <c r="AF177" s="343"/>
      <c r="AG177" s="343"/>
      <c r="AH177" s="343"/>
      <c r="AI177" s="343"/>
      <c r="AJ177" s="343"/>
      <c r="AK177" s="343"/>
      <c r="AL177" s="343"/>
      <c r="AM177" s="343"/>
    </row>
    <row r="178" spans="1:39" ht="25.5" customHeight="1" x14ac:dyDescent="0.25">
      <c r="A178" s="694"/>
      <c r="B178" s="284"/>
      <c r="C178" s="1496"/>
      <c r="D178" s="1497"/>
      <c r="E178" s="2838" t="str">
        <f>Translations!$B$633</f>
        <v>Терминът „гориво“ следва да се тълкува като всеки запалим пораждащ емисии поток съгласно РМД, за който може да се установи долната топлина на изгаряне. Претегленият емисионен фактор съответства на натрупаните емисии от горива, включително тези, използвани за производство на измерима топлинна енергия, разделени на общото енергийно съдържание.</v>
      </c>
      <c r="F178" s="2851"/>
      <c r="G178" s="2851"/>
      <c r="H178" s="2851"/>
      <c r="I178" s="2851"/>
      <c r="J178" s="2851"/>
      <c r="K178" s="2851"/>
      <c r="L178" s="2851"/>
      <c r="M178" s="2851"/>
      <c r="N178" s="2852"/>
      <c r="O178" s="336"/>
      <c r="P178" s="336"/>
      <c r="Q178" s="770"/>
      <c r="R178" s="694"/>
      <c r="S178" s="770"/>
      <c r="T178" s="694"/>
      <c r="U178" s="694"/>
      <c r="V178" s="694"/>
      <c r="W178" s="694"/>
      <c r="X178" s="694"/>
      <c r="Y178" s="694"/>
      <c r="Z178" s="694"/>
      <c r="AA178" s="694"/>
      <c r="AB178" s="729"/>
      <c r="AC178" s="694"/>
      <c r="AD178" s="694"/>
      <c r="AE178" s="343"/>
      <c r="AF178" s="343"/>
      <c r="AG178" s="343"/>
      <c r="AH178" s="343"/>
      <c r="AI178" s="343"/>
      <c r="AJ178" s="343"/>
      <c r="AK178" s="343"/>
      <c r="AL178" s="343"/>
      <c r="AM178" s="343"/>
    </row>
    <row r="179" spans="1:39" ht="12.75" customHeight="1" x14ac:dyDescent="0.25">
      <c r="A179" s="694"/>
      <c r="B179" s="284"/>
      <c r="C179" s="1496"/>
      <c r="D179" s="1497"/>
      <c r="E179" s="2838" t="str">
        <f>Translations!$B$519</f>
        <v>Претегленият емисионен фактор следва също така да включва и емисии от съответното очистване на димни газове, ако е приложимо.</v>
      </c>
      <c r="F179" s="2851"/>
      <c r="G179" s="2851"/>
      <c r="H179" s="2851"/>
      <c r="I179" s="2851"/>
      <c r="J179" s="2851"/>
      <c r="K179" s="2851"/>
      <c r="L179" s="2851"/>
      <c r="M179" s="2851"/>
      <c r="N179" s="2852"/>
      <c r="O179" s="336"/>
      <c r="P179" s="336"/>
      <c r="Q179" s="770"/>
      <c r="R179" s="694"/>
      <c r="S179" s="770"/>
      <c r="T179" s="694"/>
      <c r="U179" s="694"/>
      <c r="V179" s="694"/>
      <c r="W179" s="694"/>
      <c r="X179" s="694"/>
      <c r="Y179" s="694"/>
      <c r="Z179" s="694"/>
      <c r="AA179" s="694"/>
      <c r="AB179" s="729"/>
      <c r="AC179" s="694"/>
      <c r="AD179" s="694"/>
      <c r="AE179" s="343"/>
      <c r="AF179" s="343"/>
      <c r="AG179" s="343"/>
      <c r="AH179" s="343"/>
      <c r="AI179" s="343"/>
      <c r="AJ179" s="343"/>
      <c r="AK179" s="343"/>
      <c r="AL179" s="343"/>
      <c r="AM179" s="343"/>
    </row>
    <row r="180" spans="1:39" ht="12.75" customHeight="1" x14ac:dyDescent="0.25">
      <c r="A180" s="694"/>
      <c r="B180" s="284"/>
      <c r="C180" s="1496"/>
      <c r="D180" s="1497"/>
      <c r="E180" s="2838" t="str">
        <f>Translations!$B$634</f>
        <v>Вложените горива от отпадни газове включват съответната вложена енергия за производство на измеримата топлинна енергия, използвана от тази подинсталация.</v>
      </c>
      <c r="F180" s="2851"/>
      <c r="G180" s="2851"/>
      <c r="H180" s="2851"/>
      <c r="I180" s="2851"/>
      <c r="J180" s="2851"/>
      <c r="K180" s="2851"/>
      <c r="L180" s="2851"/>
      <c r="M180" s="2851"/>
      <c r="N180" s="2852"/>
      <c r="O180" s="336"/>
      <c r="P180" s="336"/>
      <c r="Q180" s="770"/>
      <c r="R180" s="694"/>
      <c r="S180" s="770"/>
      <c r="T180" s="694"/>
      <c r="U180" s="694"/>
      <c r="V180" s="694"/>
      <c r="W180" s="694"/>
      <c r="X180" s="694"/>
      <c r="Y180" s="694"/>
      <c r="Z180" s="694"/>
      <c r="AA180" s="694"/>
      <c r="AB180" s="729"/>
      <c r="AC180" s="694"/>
      <c r="AD180" s="694"/>
      <c r="AE180" s="343"/>
      <c r="AF180" s="343"/>
      <c r="AG180" s="343"/>
      <c r="AH180" s="343"/>
      <c r="AI180" s="343"/>
      <c r="AJ180" s="343"/>
      <c r="AK180" s="343"/>
      <c r="AL180" s="343"/>
      <c r="AM180" s="343"/>
    </row>
    <row r="181" spans="1:39" ht="12.75" customHeight="1" x14ac:dyDescent="0.25">
      <c r="A181" s="694"/>
      <c r="B181" s="284"/>
      <c r="C181" s="1496"/>
      <c r="D181" s="1497"/>
      <c r="E181" s="2838" t="str">
        <f>Translations!$B$635</f>
        <v>Въведените тук стойности се използват при баланса на отпадните газове в раздел E.III.h.</v>
      </c>
      <c r="F181" s="2851"/>
      <c r="G181" s="2851"/>
      <c r="H181" s="2851"/>
      <c r="I181" s="2851"/>
      <c r="J181" s="2851"/>
      <c r="K181" s="2851"/>
      <c r="L181" s="2851"/>
      <c r="M181" s="2851"/>
      <c r="N181" s="2852"/>
      <c r="O181" s="336"/>
      <c r="P181" s="336"/>
      <c r="Q181" s="770"/>
      <c r="R181" s="694"/>
      <c r="S181" s="770"/>
      <c r="T181" s="694"/>
      <c r="U181" s="694"/>
      <c r="V181" s="694"/>
      <c r="W181" s="694"/>
      <c r="X181" s="694"/>
      <c r="Y181" s="694"/>
      <c r="Z181" s="694"/>
      <c r="AA181" s="694"/>
      <c r="AB181" s="729"/>
      <c r="AC181" s="694"/>
      <c r="AD181" s="694"/>
      <c r="AE181" s="343"/>
      <c r="AF181" s="343"/>
      <c r="AG181" s="343"/>
      <c r="AH181" s="343"/>
      <c r="AI181" s="343"/>
      <c r="AJ181" s="343"/>
      <c r="AK181" s="343"/>
      <c r="AL181" s="343"/>
      <c r="AM181" s="343"/>
    </row>
    <row r="182" spans="1:39" ht="12.75" customHeight="1" x14ac:dyDescent="0.25">
      <c r="A182" s="694"/>
      <c r="B182" s="284"/>
      <c r="C182" s="1496"/>
      <c r="D182" s="1497"/>
      <c r="E182" s="2853" t="str">
        <f>Translations!$B$520</f>
        <v>Посочените тук данни се използват само с цел проверка на съответствието и нямат пряко отражение върху емисиите, които могат да бъдат зададени, или на разпределението на квотите.</v>
      </c>
      <c r="F182" s="2850"/>
      <c r="G182" s="2850"/>
      <c r="H182" s="2850"/>
      <c r="I182" s="2850"/>
      <c r="J182" s="2850"/>
      <c r="K182" s="2850"/>
      <c r="L182" s="2850"/>
      <c r="M182" s="2850"/>
      <c r="N182" s="2854"/>
      <c r="O182" s="336"/>
      <c r="P182" s="336"/>
      <c r="Q182" s="770"/>
      <c r="R182" s="694"/>
      <c r="S182" s="770"/>
      <c r="T182" s="694"/>
      <c r="U182" s="694"/>
      <c r="V182" s="694"/>
      <c r="W182" s="694"/>
      <c r="X182" s="694"/>
      <c r="Y182" s="694"/>
      <c r="Z182" s="694"/>
      <c r="AA182" s="694"/>
      <c r="AB182" s="729"/>
      <c r="AC182" s="694"/>
      <c r="AD182" s="694"/>
      <c r="AE182" s="343"/>
      <c r="AF182" s="343"/>
      <c r="AG182" s="343"/>
      <c r="AH182" s="343"/>
      <c r="AI182" s="343"/>
      <c r="AJ182" s="343"/>
      <c r="AK182" s="343"/>
      <c r="AL182" s="343"/>
      <c r="AM182" s="343"/>
    </row>
    <row r="183" spans="1:39" ht="12.75" customHeight="1" x14ac:dyDescent="0.25">
      <c r="A183" s="694"/>
      <c r="B183" s="284"/>
      <c r="C183" s="1496"/>
      <c r="D183" s="1307"/>
      <c r="E183" s="1317"/>
      <c r="F183" s="1318"/>
      <c r="G183" s="1309" t="str">
        <f>EUconst_Unit</f>
        <v>Единица мярка</v>
      </c>
      <c r="H183" s="629">
        <f t="shared" ref="H183:N183" si="113">H$1840</f>
        <v>2024</v>
      </c>
      <c r="I183" s="629">
        <f t="shared" si="113"/>
        <v>2025</v>
      </c>
      <c r="J183" s="629">
        <f t="shared" si="113"/>
        <v>2026</v>
      </c>
      <c r="K183" s="629">
        <f t="shared" si="113"/>
        <v>2027</v>
      </c>
      <c r="L183" s="629">
        <f t="shared" si="113"/>
        <v>2028</v>
      </c>
      <c r="M183" s="629">
        <f t="shared" si="113"/>
        <v>2029</v>
      </c>
      <c r="N183" s="1312">
        <f t="shared" si="113"/>
        <v>2030</v>
      </c>
      <c r="O183" s="336"/>
      <c r="P183" s="336"/>
      <c r="Q183" s="770"/>
      <c r="R183" s="694"/>
      <c r="S183" s="770"/>
      <c r="T183" s="694"/>
      <c r="U183" s="694"/>
      <c r="V183" s="694"/>
      <c r="W183" s="694"/>
      <c r="X183" s="694"/>
      <c r="Y183" s="694"/>
      <c r="Z183" s="694"/>
      <c r="AA183" s="694"/>
      <c r="AB183" s="694"/>
      <c r="AC183" s="1504">
        <f t="shared" ref="AC183:AI183" si="114">H$1840</f>
        <v>2024</v>
      </c>
      <c r="AD183" s="1504">
        <f t="shared" si="114"/>
        <v>2025</v>
      </c>
      <c r="AE183" s="1504">
        <f t="shared" si="114"/>
        <v>2026</v>
      </c>
      <c r="AF183" s="1504">
        <f t="shared" si="114"/>
        <v>2027</v>
      </c>
      <c r="AG183" s="1504">
        <f t="shared" si="114"/>
        <v>2028</v>
      </c>
      <c r="AH183" s="1504">
        <f t="shared" si="114"/>
        <v>2029</v>
      </c>
      <c r="AI183" s="1504">
        <f t="shared" si="114"/>
        <v>2030</v>
      </c>
      <c r="AJ183" s="343"/>
      <c r="AK183" s="343"/>
      <c r="AL183" s="343"/>
      <c r="AM183" s="343"/>
    </row>
    <row r="184" spans="1:39" ht="12.75" customHeight="1" x14ac:dyDescent="0.25">
      <c r="A184" s="694"/>
      <c r="B184" s="284"/>
      <c r="C184" s="1496"/>
      <c r="D184" s="1505" t="s">
        <v>6</v>
      </c>
      <c r="E184" s="2818" t="str">
        <f>Translations!$B$636</f>
        <v>Общо вложени горива</v>
      </c>
      <c r="F184" s="2701"/>
      <c r="G184" s="1326" t="str">
        <f>EUconst_TJpa</f>
        <v>TJ / година</v>
      </c>
      <c r="H184" s="129"/>
      <c r="I184" s="129"/>
      <c r="J184" s="129"/>
      <c r="K184" s="129"/>
      <c r="L184" s="129"/>
      <c r="M184" s="129"/>
      <c r="N184" s="132"/>
      <c r="O184" s="336"/>
      <c r="P184" s="158"/>
      <c r="Q184" s="1500" t="str">
        <f>EUconst_CNTR_FuelInput &amp; I13</f>
        <v>FuelInput_Подинсталация с топлинен показател (с риск от ИВЕ | извън МКВЕГ)</v>
      </c>
      <c r="R184" s="694"/>
      <c r="S184" s="770"/>
      <c r="T184" s="694"/>
      <c r="U184" s="694"/>
      <c r="V184" s="694"/>
      <c r="W184" s="694"/>
      <c r="X184" s="694"/>
      <c r="Y184" s="694"/>
      <c r="Z184" s="694"/>
      <c r="AA184" s="694"/>
      <c r="AB184" s="1182" t="s">
        <v>737</v>
      </c>
      <c r="AC184" s="982" t="b">
        <f>AC174</f>
        <v>0</v>
      </c>
      <c r="AD184" s="982" t="b">
        <f t="shared" ref="AD184:AI184" si="115">AD174</f>
        <v>0</v>
      </c>
      <c r="AE184" s="982" t="b">
        <f t="shared" si="115"/>
        <v>0</v>
      </c>
      <c r="AF184" s="982" t="b">
        <f t="shared" si="115"/>
        <v>0</v>
      </c>
      <c r="AG184" s="982" t="b">
        <f t="shared" si="115"/>
        <v>0</v>
      </c>
      <c r="AH184" s="982" t="b">
        <f t="shared" si="115"/>
        <v>0</v>
      </c>
      <c r="AI184" s="982" t="b">
        <f t="shared" si="115"/>
        <v>0</v>
      </c>
      <c r="AJ184" s="343"/>
      <c r="AK184" s="343"/>
      <c r="AL184" s="1176" t="str">
        <f>IF(AND(CNTR_ExistSubInstEntries,COUNTIFS(AC184:AI184,2,H184:N184,"")&gt;0),EUconst_Error&amp;"FB"&amp;Q13,"")</f>
        <v/>
      </c>
      <c r="AM184" s="343"/>
    </row>
    <row r="185" spans="1:39" ht="12.75" customHeight="1" x14ac:dyDescent="0.25">
      <c r="A185" s="694"/>
      <c r="B185" s="284"/>
      <c r="C185" s="1496"/>
      <c r="D185" s="1505" t="s">
        <v>7</v>
      </c>
      <c r="E185" s="2819" t="str">
        <f>Translations!$B$522</f>
        <v>Претеглен емисионен фактор</v>
      </c>
      <c r="F185" s="2705"/>
      <c r="G185" s="1329" t="str">
        <f>EUconst_tCO2pTJ</f>
        <v>t CO2 / TJ</v>
      </c>
      <c r="H185" s="137"/>
      <c r="I185" s="137"/>
      <c r="J185" s="137"/>
      <c r="K185" s="137"/>
      <c r="L185" s="137"/>
      <c r="M185" s="137"/>
      <c r="N185" s="140"/>
      <c r="O185" s="336"/>
      <c r="P185" s="158"/>
      <c r="Q185" s="1500" t="str">
        <f>EUconst_CNTR_FuelEF &amp; I13</f>
        <v>FuelEF_Подинсталация с топлинен показател (с риск от ИВЕ | извън МКВЕГ)</v>
      </c>
      <c r="R185" s="694"/>
      <c r="S185" s="770"/>
      <c r="T185" s="694"/>
      <c r="U185" s="694"/>
      <c r="V185" s="694"/>
      <c r="W185" s="694"/>
      <c r="X185" s="694"/>
      <c r="Y185" s="694"/>
      <c r="Z185" s="694"/>
      <c r="AA185" s="694"/>
      <c r="AB185" s="729"/>
      <c r="AC185" s="982" t="b">
        <f>AC184</f>
        <v>0</v>
      </c>
      <c r="AD185" s="982" t="b">
        <f t="shared" ref="AD185:AI185" si="116">AD184</f>
        <v>0</v>
      </c>
      <c r="AE185" s="982" t="b">
        <f t="shared" si="116"/>
        <v>0</v>
      </c>
      <c r="AF185" s="982" t="b">
        <f t="shared" si="116"/>
        <v>0</v>
      </c>
      <c r="AG185" s="982" t="b">
        <f t="shared" si="116"/>
        <v>0</v>
      </c>
      <c r="AH185" s="982" t="b">
        <f t="shared" si="116"/>
        <v>0</v>
      </c>
      <c r="AI185" s="982" t="b">
        <f t="shared" si="116"/>
        <v>0</v>
      </c>
      <c r="AJ185" s="343"/>
      <c r="AK185" s="343"/>
      <c r="AL185" s="1176" t="str">
        <f>IF(AND(CNTR_ExistSubInstEntries,COUNTIFS(AC185:AI185,2,H185:N185,"")&gt;0),EUconst_Error&amp;"FB"&amp;Q13,"")</f>
        <v/>
      </c>
      <c r="AM185" s="343"/>
    </row>
    <row r="186" spans="1:39" ht="12.75" customHeight="1" x14ac:dyDescent="0.25">
      <c r="A186" s="694"/>
      <c r="B186" s="284"/>
      <c r="C186" s="1496"/>
      <c r="D186" s="1505" t="s">
        <v>8</v>
      </c>
      <c r="E186" s="2818" t="str">
        <f>Translations!$B$637</f>
        <v>Вложени горива от отпадни газове</v>
      </c>
      <c r="F186" s="2701"/>
      <c r="G186" s="1326" t="str">
        <f>EUconst_TJpa</f>
        <v>TJ / година</v>
      </c>
      <c r="H186" s="129"/>
      <c r="I186" s="129"/>
      <c r="J186" s="129"/>
      <c r="K186" s="129"/>
      <c r="L186" s="129"/>
      <c r="M186" s="129"/>
      <c r="N186" s="132"/>
      <c r="O186" s="336"/>
      <c r="P186" s="158"/>
      <c r="Q186" s="716" t="str">
        <f>EUconst_CNTR_WGConsumed &amp; I13</f>
        <v>WasteGasCons_Подинсталация с топлинен показател (с риск от ИВЕ | извън МКВЕГ)</v>
      </c>
      <c r="R186" s="694"/>
      <c r="S186" s="770"/>
      <c r="T186" s="694"/>
      <c r="U186" s="694"/>
      <c r="V186" s="694"/>
      <c r="W186" s="694"/>
      <c r="X186" s="694"/>
      <c r="Y186" s="694"/>
      <c r="Z186" s="694"/>
      <c r="AA186" s="694"/>
      <c r="AB186" s="729"/>
      <c r="AC186" s="982" t="b">
        <f t="shared" ref="AC186:AI187" si="117">AC184</f>
        <v>0</v>
      </c>
      <c r="AD186" s="982" t="b">
        <f t="shared" si="117"/>
        <v>0</v>
      </c>
      <c r="AE186" s="982" t="b">
        <f t="shared" si="117"/>
        <v>0</v>
      </c>
      <c r="AF186" s="982" t="b">
        <f t="shared" si="117"/>
        <v>0</v>
      </c>
      <c r="AG186" s="982" t="b">
        <f t="shared" si="117"/>
        <v>0</v>
      </c>
      <c r="AH186" s="982" t="b">
        <f t="shared" si="117"/>
        <v>0</v>
      </c>
      <c r="AI186" s="982" t="b">
        <f t="shared" si="117"/>
        <v>0</v>
      </c>
      <c r="AJ186" s="343"/>
      <c r="AK186" s="343"/>
      <c r="AL186" s="1176" t="str">
        <f>IF(AND(CNTR_ExistSubInstEntries,COUNTIFS(AC186:AI186,2,H186:N186,"")&gt;0),EUconst_Error&amp;"FB"&amp;Q13,"")</f>
        <v/>
      </c>
      <c r="AM186" s="343"/>
    </row>
    <row r="187" spans="1:39" ht="12.75" customHeight="1" x14ac:dyDescent="0.25">
      <c r="A187" s="694"/>
      <c r="B187" s="284"/>
      <c r="C187" s="1496"/>
      <c r="D187" s="1505" t="s">
        <v>18</v>
      </c>
      <c r="E187" s="2819" t="str">
        <f>Translations!$B$638</f>
        <v>Специфичен EF (отпаден газ)</v>
      </c>
      <c r="F187" s="2705"/>
      <c r="G187" s="1329" t="str">
        <f t="shared" ref="G187:G191" si="118">EUconst_tCO2pTJ</f>
        <v>t CO2 / TJ</v>
      </c>
      <c r="H187" s="137"/>
      <c r="I187" s="137"/>
      <c r="J187" s="137"/>
      <c r="K187" s="137"/>
      <c r="L187" s="137"/>
      <c r="M187" s="137"/>
      <c r="N187" s="140"/>
      <c r="O187" s="336"/>
      <c r="P187" s="158"/>
      <c r="Q187" s="1500" t="str">
        <f>EUconst_CNTR_WGConsumedEF &amp; I13</f>
        <v>WasteGasConsEF_Подинсталация с топлинен показател (с риск от ИВЕ | извън МКВЕГ)</v>
      </c>
      <c r="R187" s="694"/>
      <c r="S187" s="770"/>
      <c r="T187" s="694"/>
      <c r="U187" s="694"/>
      <c r="V187" s="694"/>
      <c r="W187" s="694"/>
      <c r="X187" s="694"/>
      <c r="Y187" s="694"/>
      <c r="Z187" s="694"/>
      <c r="AA187" s="694"/>
      <c r="AB187" s="729"/>
      <c r="AC187" s="982" t="b">
        <f t="shared" si="117"/>
        <v>0</v>
      </c>
      <c r="AD187" s="982" t="b">
        <f t="shared" si="117"/>
        <v>0</v>
      </c>
      <c r="AE187" s="982" t="b">
        <f t="shared" si="117"/>
        <v>0</v>
      </c>
      <c r="AF187" s="982" t="b">
        <f t="shared" si="117"/>
        <v>0</v>
      </c>
      <c r="AG187" s="982" t="b">
        <f t="shared" si="117"/>
        <v>0</v>
      </c>
      <c r="AH187" s="982" t="b">
        <f t="shared" si="117"/>
        <v>0</v>
      </c>
      <c r="AI187" s="982" t="b">
        <f t="shared" si="117"/>
        <v>0</v>
      </c>
      <c r="AJ187" s="343"/>
      <c r="AK187" s="343"/>
      <c r="AL187" s="1176" t="str">
        <f t="shared" ref="AL187:AL192" si="119">IF(AND(CNTR_ExistSubInstEntries,COUNTIFS(AC187:AI187,2,H187:N187,"")&gt;0),EUconst_Error&amp;"FB"&amp;Q13,"")</f>
        <v/>
      </c>
      <c r="AM187" s="343"/>
    </row>
    <row r="188" spans="1:39" ht="12.75" customHeight="1" x14ac:dyDescent="0.25">
      <c r="A188" s="694"/>
      <c r="B188" s="284"/>
      <c r="C188" s="1496"/>
      <c r="D188" s="1505" t="s">
        <v>810</v>
      </c>
      <c r="E188" s="2818" t="str">
        <f>Translations!$B$1475</f>
        <v>Вложена електроенергия за производството на топлинна енергия</v>
      </c>
      <c r="F188" s="2701"/>
      <c r="G188" s="1326" t="str">
        <f>EUconst_TJpa</f>
        <v>TJ / година</v>
      </c>
      <c r="H188" s="129"/>
      <c r="I188" s="129"/>
      <c r="J188" s="129"/>
      <c r="K188" s="129"/>
      <c r="L188" s="129"/>
      <c r="M188" s="129"/>
      <c r="N188" s="132"/>
      <c r="O188" s="336"/>
      <c r="P188" s="158"/>
      <c r="Q188" s="1500" t="str">
        <f>EUconst_CNTR_ElectricityInput&amp;I13</f>
        <v>ElectricityInput_Подинсталация с топлинен показател (с риск от ИВЕ | извън МКВЕГ)</v>
      </c>
      <c r="R188" s="694"/>
      <c r="S188" s="770"/>
      <c r="T188" s="694"/>
      <c r="U188" s="694"/>
      <c r="V188" s="694"/>
      <c r="W188" s="694"/>
      <c r="X188" s="694"/>
      <c r="Y188" s="694"/>
      <c r="Z188" s="694"/>
      <c r="AA188" s="694"/>
      <c r="AB188" s="729"/>
      <c r="AC188" s="982" t="b">
        <f t="shared" ref="AC188:AI188" si="120">AC186</f>
        <v>0</v>
      </c>
      <c r="AD188" s="982" t="b">
        <f t="shared" si="120"/>
        <v>0</v>
      </c>
      <c r="AE188" s="982" t="b">
        <f t="shared" si="120"/>
        <v>0</v>
      </c>
      <c r="AF188" s="982" t="b">
        <f t="shared" si="120"/>
        <v>0</v>
      </c>
      <c r="AG188" s="982" t="b">
        <f t="shared" si="120"/>
        <v>0</v>
      </c>
      <c r="AH188" s="982" t="b">
        <f t="shared" si="120"/>
        <v>0</v>
      </c>
      <c r="AI188" s="982" t="b">
        <f t="shared" si="120"/>
        <v>0</v>
      </c>
      <c r="AJ188" s="343"/>
      <c r="AK188" s="343"/>
      <c r="AL188" s="1176" t="str">
        <f t="shared" si="119"/>
        <v/>
      </c>
      <c r="AM188" s="343"/>
    </row>
    <row r="189" spans="1:39" ht="12.75" customHeight="1" x14ac:dyDescent="0.25">
      <c r="A189" s="694"/>
      <c r="B189" s="284"/>
      <c r="C189" s="1496"/>
      <c r="D189" s="1505" t="s">
        <v>811</v>
      </c>
      <c r="E189" s="2819" t="str">
        <f>Translations!$B$522</f>
        <v>Претеглен емисионен фактор</v>
      </c>
      <c r="F189" s="2705"/>
      <c r="G189" s="1329" t="str">
        <f t="shared" si="118"/>
        <v>t CO2 / TJ</v>
      </c>
      <c r="H189" s="137"/>
      <c r="I189" s="137"/>
      <c r="J189" s="137"/>
      <c r="K189" s="137"/>
      <c r="L189" s="137"/>
      <c r="M189" s="137"/>
      <c r="N189" s="140"/>
      <c r="O189" s="336"/>
      <c r="P189" s="158"/>
      <c r="Q189" s="1500" t="str">
        <f>EUconst_CNTR_ElectricityEF &amp; I13</f>
        <v>ElectricityEF_Подинсталация с топлинен показател (с риск от ИВЕ | извън МКВЕГ)</v>
      </c>
      <c r="R189" s="694"/>
      <c r="S189" s="770"/>
      <c r="T189" s="694"/>
      <c r="U189" s="694"/>
      <c r="V189" s="694"/>
      <c r="W189" s="694"/>
      <c r="X189" s="694"/>
      <c r="Y189" s="694"/>
      <c r="Z189" s="694"/>
      <c r="AA189" s="694"/>
      <c r="AB189" s="729"/>
      <c r="AC189" s="982" t="b">
        <f t="shared" ref="AC189:AI189" si="121">AC187</f>
        <v>0</v>
      </c>
      <c r="AD189" s="982" t="b">
        <f t="shared" si="121"/>
        <v>0</v>
      </c>
      <c r="AE189" s="982" t="b">
        <f t="shared" si="121"/>
        <v>0</v>
      </c>
      <c r="AF189" s="982" t="b">
        <f t="shared" si="121"/>
        <v>0</v>
      </c>
      <c r="AG189" s="982" t="b">
        <f t="shared" si="121"/>
        <v>0</v>
      </c>
      <c r="AH189" s="982" t="b">
        <f t="shared" si="121"/>
        <v>0</v>
      </c>
      <c r="AI189" s="982" t="b">
        <f t="shared" si="121"/>
        <v>0</v>
      </c>
      <c r="AJ189" s="343"/>
      <c r="AK189" s="343"/>
      <c r="AL189" s="1176" t="str">
        <f t="shared" si="119"/>
        <v/>
      </c>
      <c r="AM189" s="343"/>
    </row>
    <row r="190" spans="1:39" ht="12.75" customHeight="1" x14ac:dyDescent="0.25">
      <c r="A190" s="694"/>
      <c r="B190" s="284"/>
      <c r="C190" s="1496"/>
      <c r="D190" s="1505" t="s">
        <v>812</v>
      </c>
      <c r="E190" s="2818" t="str">
        <f>Translations!$B$1476</f>
        <v>Друга вложена енергия (например екзотермична топлина)</v>
      </c>
      <c r="F190" s="2701"/>
      <c r="G190" s="1326" t="str">
        <f>EUconst_TJpa</f>
        <v>TJ / година</v>
      </c>
      <c r="H190" s="129"/>
      <c r="I190" s="129"/>
      <c r="J190" s="129"/>
      <c r="K190" s="129"/>
      <c r="L190" s="129"/>
      <c r="M190" s="129"/>
      <c r="N190" s="132"/>
      <c r="O190" s="336"/>
      <c r="P190" s="158"/>
      <c r="Q190" s="1500" t="str">
        <f>EUconst_CNTR_OtherEnergyInput &amp; I13</f>
        <v>OtherEnergyInput_Подинсталация с топлинен показател (с риск от ИВЕ | извън МКВЕГ)</v>
      </c>
      <c r="R190" s="694"/>
      <c r="S190" s="770"/>
      <c r="T190" s="694"/>
      <c r="U190" s="694"/>
      <c r="V190" s="694"/>
      <c r="W190" s="694"/>
      <c r="X190" s="694"/>
      <c r="Y190" s="694"/>
      <c r="Z190" s="694"/>
      <c r="AA190" s="694"/>
      <c r="AB190" s="729"/>
      <c r="AC190" s="982" t="b">
        <f t="shared" ref="AC190:AI190" si="122">AC188</f>
        <v>0</v>
      </c>
      <c r="AD190" s="982" t="b">
        <f t="shared" si="122"/>
        <v>0</v>
      </c>
      <c r="AE190" s="982" t="b">
        <f t="shared" si="122"/>
        <v>0</v>
      </c>
      <c r="AF190" s="982" t="b">
        <f t="shared" si="122"/>
        <v>0</v>
      </c>
      <c r="AG190" s="982" t="b">
        <f t="shared" si="122"/>
        <v>0</v>
      </c>
      <c r="AH190" s="982" t="b">
        <f t="shared" si="122"/>
        <v>0</v>
      </c>
      <c r="AI190" s="982" t="b">
        <f t="shared" si="122"/>
        <v>0</v>
      </c>
      <c r="AJ190" s="343"/>
      <c r="AK190" s="343"/>
      <c r="AL190" s="1176" t="str">
        <f t="shared" si="119"/>
        <v/>
      </c>
      <c r="AM190" s="343"/>
    </row>
    <row r="191" spans="1:39" ht="12.75" customHeight="1" x14ac:dyDescent="0.25">
      <c r="A191" s="694"/>
      <c r="B191" s="284"/>
      <c r="C191" s="1496"/>
      <c r="D191" s="1505" t="s">
        <v>813</v>
      </c>
      <c r="E191" s="2819" t="str">
        <f>Translations!$B$522</f>
        <v>Претеглен емисионен фактор</v>
      </c>
      <c r="F191" s="2705"/>
      <c r="G191" s="1329" t="str">
        <f t="shared" si="118"/>
        <v>t CO2 / TJ</v>
      </c>
      <c r="H191" s="137"/>
      <c r="I191" s="137"/>
      <c r="J191" s="137"/>
      <c r="K191" s="137"/>
      <c r="L191" s="137"/>
      <c r="M191" s="137"/>
      <c r="N191" s="140"/>
      <c r="O191" s="336"/>
      <c r="P191" s="158"/>
      <c r="Q191" s="1500" t="str">
        <f>EUconst_CNTR_OtherEnergyEF &amp; I13</f>
        <v>ElectricityEF_Подинсталация с топлинен показател (с риск от ИВЕ | извън МКВЕГ)</v>
      </c>
      <c r="R191" s="694"/>
      <c r="S191" s="770"/>
      <c r="T191" s="694"/>
      <c r="U191" s="694"/>
      <c r="V191" s="694"/>
      <c r="W191" s="694"/>
      <c r="X191" s="694"/>
      <c r="Y191" s="694"/>
      <c r="Z191" s="694"/>
      <c r="AA191" s="694"/>
      <c r="AB191" s="729"/>
      <c r="AC191" s="982" t="b">
        <f t="shared" ref="AC191:AI191" si="123">AC189</f>
        <v>0</v>
      </c>
      <c r="AD191" s="982" t="b">
        <f t="shared" si="123"/>
        <v>0</v>
      </c>
      <c r="AE191" s="982" t="b">
        <f t="shared" si="123"/>
        <v>0</v>
      </c>
      <c r="AF191" s="982" t="b">
        <f t="shared" si="123"/>
        <v>0</v>
      </c>
      <c r="AG191" s="982" t="b">
        <f t="shared" si="123"/>
        <v>0</v>
      </c>
      <c r="AH191" s="982" t="b">
        <f t="shared" si="123"/>
        <v>0</v>
      </c>
      <c r="AI191" s="982" t="b">
        <f t="shared" si="123"/>
        <v>0</v>
      </c>
      <c r="AJ191" s="343"/>
      <c r="AK191" s="343"/>
      <c r="AL191" s="1176" t="str">
        <f t="shared" si="119"/>
        <v/>
      </c>
      <c r="AM191" s="343"/>
    </row>
    <row r="192" spans="1:39" ht="12.75" customHeight="1" x14ac:dyDescent="0.25">
      <c r="A192" s="694"/>
      <c r="B192" s="284"/>
      <c r="C192" s="1496"/>
      <c r="D192" s="1505" t="s">
        <v>814</v>
      </c>
      <c r="E192" s="2820" t="str">
        <f>Translations!$B$1553</f>
        <v>Обща вложена енергия (= i. + v. + vii.)</v>
      </c>
      <c r="F192" s="2258"/>
      <c r="G192" s="1320" t="str">
        <f>EUconst_TJpa</f>
        <v>TJ / година</v>
      </c>
      <c r="H192" s="1506" t="str">
        <f t="shared" ref="H192:N192" si="124">IF(OR($M13&lt;&gt;EUconst_Relevant,COUNT(H184,H188,H190)=0),"",SUM(H184,H188,H190))</f>
        <v/>
      </c>
      <c r="I192" s="1506" t="str">
        <f t="shared" si="124"/>
        <v/>
      </c>
      <c r="J192" s="1506" t="str">
        <f t="shared" si="124"/>
        <v/>
      </c>
      <c r="K192" s="1506" t="str">
        <f t="shared" si="124"/>
        <v/>
      </c>
      <c r="L192" s="1506" t="str">
        <f t="shared" si="124"/>
        <v/>
      </c>
      <c r="M192" s="1506" t="str">
        <f t="shared" si="124"/>
        <v/>
      </c>
      <c r="N192" s="1507" t="str">
        <f t="shared" si="124"/>
        <v/>
      </c>
      <c r="O192" s="336"/>
      <c r="P192" s="158"/>
      <c r="Q192" s="1500" t="str">
        <f>EUconst_CNTR_TotalEnergyInput &amp; I13</f>
        <v>TotalEnergyInput_Подинсталация с топлинен показател (с риск от ИВЕ | извън МКВЕГ)</v>
      </c>
      <c r="R192" s="694"/>
      <c r="S192" s="770"/>
      <c r="T192" s="694"/>
      <c r="U192" s="694"/>
      <c r="V192" s="694"/>
      <c r="W192" s="694"/>
      <c r="X192" s="694"/>
      <c r="Y192" s="694"/>
      <c r="Z192" s="694"/>
      <c r="AA192" s="694"/>
      <c r="AB192" s="729"/>
      <c r="AC192" s="982" t="b">
        <f t="shared" ref="AC192:AI192" si="125">AC190</f>
        <v>0</v>
      </c>
      <c r="AD192" s="982" t="b">
        <f t="shared" si="125"/>
        <v>0</v>
      </c>
      <c r="AE192" s="982" t="b">
        <f t="shared" si="125"/>
        <v>0</v>
      </c>
      <c r="AF192" s="982" t="b">
        <f t="shared" si="125"/>
        <v>0</v>
      </c>
      <c r="AG192" s="982" t="b">
        <f t="shared" si="125"/>
        <v>0</v>
      </c>
      <c r="AH192" s="982" t="b">
        <f t="shared" si="125"/>
        <v>0</v>
      </c>
      <c r="AI192" s="982" t="b">
        <f t="shared" si="125"/>
        <v>0</v>
      </c>
      <c r="AJ192" s="343"/>
      <c r="AK192" s="343"/>
      <c r="AL192" s="1176" t="str">
        <f t="shared" si="119"/>
        <v/>
      </c>
      <c r="AM192" s="343"/>
    </row>
    <row r="193" spans="1:39" ht="5.15" customHeight="1" x14ac:dyDescent="0.25">
      <c r="A193" s="694"/>
      <c r="B193" s="698"/>
      <c r="C193" s="1303"/>
      <c r="D193" s="1304"/>
      <c r="E193" s="1304"/>
      <c r="F193" s="1304"/>
      <c r="G193" s="1304"/>
      <c r="H193" s="1304"/>
      <c r="I193" s="1304"/>
      <c r="J193" s="1304"/>
      <c r="K193" s="1304"/>
      <c r="L193" s="1304"/>
      <c r="M193" s="1304"/>
      <c r="N193" s="1305"/>
      <c r="O193" s="336"/>
      <c r="P193" s="336"/>
      <c r="Q193" s="694"/>
      <c r="R193" s="694"/>
      <c r="S193" s="770"/>
      <c r="T193" s="770"/>
      <c r="U193" s="770"/>
      <c r="V193" s="770"/>
      <c r="W193" s="694"/>
      <c r="X193" s="694"/>
      <c r="Y193" s="694"/>
      <c r="Z193" s="694"/>
      <c r="AA193" s="694"/>
      <c r="AB193" s="729"/>
      <c r="AC193" s="694"/>
      <c r="AD193" s="694"/>
      <c r="AE193" s="694"/>
      <c r="AF193" s="694"/>
      <c r="AG193" s="694"/>
      <c r="AH193" s="694"/>
      <c r="AI193" s="694"/>
      <c r="AJ193" s="343"/>
      <c r="AK193" s="343"/>
      <c r="AL193" s="343"/>
      <c r="AM193" s="343"/>
    </row>
    <row r="194" spans="1:39" ht="12.75" customHeight="1" x14ac:dyDescent="0.25">
      <c r="A194" s="694"/>
      <c r="B194" s="284"/>
      <c r="C194" s="1496"/>
      <c r="D194" s="1307" t="s">
        <v>54</v>
      </c>
      <c r="E194" s="2850" t="str">
        <f>Translations!$B$349</f>
        <v>Произведена измерима топлинна енергия</v>
      </c>
      <c r="F194" s="2851"/>
      <c r="G194" s="2851"/>
      <c r="H194" s="2851"/>
      <c r="I194" s="2851"/>
      <c r="J194" s="2851"/>
      <c r="K194" s="2851"/>
      <c r="L194" s="2851"/>
      <c r="M194" s="2851"/>
      <c r="N194" s="2852"/>
      <c r="O194" s="336"/>
      <c r="P194" s="336"/>
      <c r="Q194" s="770"/>
      <c r="R194" s="694"/>
      <c r="S194" s="770"/>
      <c r="T194" s="770"/>
      <c r="U194" s="770"/>
      <c r="V194" s="770"/>
      <c r="W194" s="694"/>
      <c r="X194" s="694"/>
      <c r="Y194" s="694"/>
      <c r="Z194" s="694"/>
      <c r="AA194" s="694"/>
      <c r="AB194" s="729"/>
      <c r="AC194" s="694"/>
      <c r="AD194" s="694"/>
      <c r="AE194" s="694"/>
      <c r="AF194" s="694"/>
      <c r="AG194" s="694"/>
      <c r="AH194" s="694"/>
      <c r="AI194" s="694"/>
      <c r="AJ194" s="343"/>
      <c r="AK194" s="343"/>
      <c r="AL194" s="343"/>
      <c r="AM194" s="343"/>
    </row>
    <row r="195" spans="1:39" ht="12.75" customHeight="1" x14ac:dyDescent="0.25">
      <c r="A195" s="694"/>
      <c r="B195" s="284"/>
      <c r="C195" s="1496"/>
      <c r="D195" s="1497"/>
      <c r="E195" s="2836" t="str">
        <f>Translations!$B$639</f>
        <v xml:space="preserve">Моля, тук въведете измеримата топлинна енергия съгласно раздел 3.2, буква а) от приложение IV към ПБР. </v>
      </c>
      <c r="F195" s="2836"/>
      <c r="G195" s="2836"/>
      <c r="H195" s="2836"/>
      <c r="I195" s="2836"/>
      <c r="J195" s="2836"/>
      <c r="K195" s="2836"/>
      <c r="L195" s="2836"/>
      <c r="M195" s="2836"/>
      <c r="N195" s="2837"/>
      <c r="O195" s="336"/>
      <c r="P195" s="336"/>
      <c r="Q195" s="770"/>
      <c r="R195" s="694"/>
      <c r="S195" s="770"/>
      <c r="T195" s="694"/>
      <c r="U195" s="694"/>
      <c r="V195" s="694"/>
      <c r="W195" s="694"/>
      <c r="X195" s="694"/>
      <c r="Y195" s="694"/>
      <c r="Z195" s="694"/>
      <c r="AA195" s="694"/>
      <c r="AB195" s="729"/>
      <c r="AC195" s="694"/>
      <c r="AD195" s="694"/>
      <c r="AE195" s="694"/>
      <c r="AF195" s="694"/>
      <c r="AG195" s="694"/>
      <c r="AH195" s="694"/>
      <c r="AI195" s="694"/>
      <c r="AJ195" s="343"/>
      <c r="AK195" s="343"/>
      <c r="AL195" s="343"/>
      <c r="AM195" s="343"/>
    </row>
    <row r="196" spans="1:39" ht="25.5" customHeight="1" x14ac:dyDescent="0.25">
      <c r="A196" s="694"/>
      <c r="B196" s="284"/>
      <c r="C196" s="1496"/>
      <c r="D196" s="1497"/>
      <c r="E196" s="2836" t="str">
        <f>Translations!$B$640</f>
        <v>Обикновено стойността е различна от равнището на дейност на подинсталацията, посочено в буква a) по-горе, тъй като в него освен нетните количества на измеримата топлинна енергия, консумирана или подадена към обекти извън СТЕ, са съобразени и загубите на топлинна енергия и не се вземат предвид количествата получена топлинна енергия, които се въвеждат в буква f) по-долу.</v>
      </c>
      <c r="F196" s="2836"/>
      <c r="G196" s="2836"/>
      <c r="H196" s="2836"/>
      <c r="I196" s="2836"/>
      <c r="J196" s="2836"/>
      <c r="K196" s="2836"/>
      <c r="L196" s="2836"/>
      <c r="M196" s="2836"/>
      <c r="N196" s="2837"/>
      <c r="O196" s="336"/>
      <c r="P196" s="336"/>
      <c r="Q196" s="770"/>
      <c r="R196" s="694"/>
      <c r="S196" s="770"/>
      <c r="T196" s="770"/>
      <c r="U196" s="770"/>
      <c r="V196" s="770"/>
      <c r="W196" s="770"/>
      <c r="X196" s="770"/>
      <c r="Y196" s="770"/>
      <c r="Z196" s="770"/>
      <c r="AA196" s="694"/>
      <c r="AB196" s="729"/>
      <c r="AC196" s="694"/>
      <c r="AD196" s="694"/>
      <c r="AE196" s="694"/>
      <c r="AF196" s="694"/>
      <c r="AG196" s="694"/>
      <c r="AH196" s="694"/>
      <c r="AI196" s="694"/>
      <c r="AJ196" s="343"/>
      <c r="AK196" s="343"/>
      <c r="AL196" s="343"/>
      <c r="AM196" s="343"/>
    </row>
    <row r="197" spans="1:39" ht="12.75" customHeight="1" x14ac:dyDescent="0.25">
      <c r="A197" s="694"/>
      <c r="B197" s="284"/>
      <c r="C197" s="1496"/>
      <c r="D197" s="1307"/>
      <c r="E197" s="2803" t="str">
        <f>Translations!$B$349</f>
        <v>Произведена измерима топлинна енергия</v>
      </c>
      <c r="F197" s="2803"/>
      <c r="G197" s="1309" t="str">
        <f>EUconst_Unit</f>
        <v>Единица мярка</v>
      </c>
      <c r="H197" s="629">
        <f t="shared" ref="H197:N197" si="126">H$1840</f>
        <v>2024</v>
      </c>
      <c r="I197" s="629">
        <f t="shared" si="126"/>
        <v>2025</v>
      </c>
      <c r="J197" s="629">
        <f t="shared" si="126"/>
        <v>2026</v>
      </c>
      <c r="K197" s="629">
        <f t="shared" si="126"/>
        <v>2027</v>
      </c>
      <c r="L197" s="629">
        <f t="shared" si="126"/>
        <v>2028</v>
      </c>
      <c r="M197" s="629">
        <f t="shared" si="126"/>
        <v>2029</v>
      </c>
      <c r="N197" s="1312">
        <f t="shared" si="126"/>
        <v>2030</v>
      </c>
      <c r="O197" s="336"/>
      <c r="P197" s="336"/>
      <c r="Q197" s="770"/>
      <c r="R197" s="694"/>
      <c r="S197" s="770"/>
      <c r="T197" s="770"/>
      <c r="U197" s="770"/>
      <c r="V197" s="770"/>
      <c r="W197" s="770"/>
      <c r="X197" s="770"/>
      <c r="Y197" s="770"/>
      <c r="Z197" s="770"/>
      <c r="AA197" s="694"/>
      <c r="AB197" s="729"/>
      <c r="AC197" s="1504">
        <f t="shared" ref="AC197:AI197" si="127">H$1840</f>
        <v>2024</v>
      </c>
      <c r="AD197" s="1504">
        <f t="shared" si="127"/>
        <v>2025</v>
      </c>
      <c r="AE197" s="1504">
        <f t="shared" si="127"/>
        <v>2026</v>
      </c>
      <c r="AF197" s="1504">
        <f t="shared" si="127"/>
        <v>2027</v>
      </c>
      <c r="AG197" s="1504">
        <f t="shared" si="127"/>
        <v>2028</v>
      </c>
      <c r="AH197" s="1504">
        <f t="shared" si="127"/>
        <v>2029</v>
      </c>
      <c r="AI197" s="1504">
        <f t="shared" si="127"/>
        <v>2030</v>
      </c>
      <c r="AJ197" s="343"/>
      <c r="AK197" s="343"/>
      <c r="AL197" s="343"/>
      <c r="AM197" s="343"/>
    </row>
    <row r="198" spans="1:39" ht="12.75" customHeight="1" x14ac:dyDescent="0.25">
      <c r="A198" s="694"/>
      <c r="B198" s="284"/>
      <c r="C198" s="1496"/>
      <c r="D198" s="1508" t="s">
        <v>6</v>
      </c>
      <c r="E198" s="2820" t="str">
        <f>Translations!$B$1554</f>
        <v>Общо произведено количество (включително електроенергия)</v>
      </c>
      <c r="F198" s="2930"/>
      <c r="G198" s="642" t="str">
        <f>EUconst_TJpa</f>
        <v>TJ / година</v>
      </c>
      <c r="H198" s="179"/>
      <c r="I198" s="179"/>
      <c r="J198" s="179"/>
      <c r="K198" s="179"/>
      <c r="L198" s="179"/>
      <c r="M198" s="179"/>
      <c r="N198" s="180"/>
      <c r="O198" s="336"/>
      <c r="P198" s="158"/>
      <c r="Q198" s="1500" t="str">
        <f>EUconst_CNTR_HeatProduced &amp; I13</f>
        <v>HeatProd_Подинсталация с топлинен показател (с риск от ИВЕ | извън МКВЕГ)</v>
      </c>
      <c r="R198" s="694"/>
      <c r="S198" s="770"/>
      <c r="T198" s="770"/>
      <c r="U198" s="770"/>
      <c r="V198" s="770"/>
      <c r="W198" s="770"/>
      <c r="X198" s="770"/>
      <c r="Y198" s="770"/>
      <c r="Z198" s="770"/>
      <c r="AA198" s="694"/>
      <c r="AB198" s="1182" t="s">
        <v>737</v>
      </c>
      <c r="AC198" s="982" t="b">
        <f t="shared" ref="AC198:AI198" si="128">AC174</f>
        <v>0</v>
      </c>
      <c r="AD198" s="982" t="b">
        <f t="shared" si="128"/>
        <v>0</v>
      </c>
      <c r="AE198" s="982" t="b">
        <f t="shared" si="128"/>
        <v>0</v>
      </c>
      <c r="AF198" s="982" t="b">
        <f t="shared" si="128"/>
        <v>0</v>
      </c>
      <c r="AG198" s="982" t="b">
        <f t="shared" si="128"/>
        <v>0</v>
      </c>
      <c r="AH198" s="982" t="b">
        <f t="shared" si="128"/>
        <v>0</v>
      </c>
      <c r="AI198" s="982" t="b">
        <f t="shared" si="128"/>
        <v>0</v>
      </c>
      <c r="AJ198" s="343"/>
      <c r="AK198" s="343"/>
      <c r="AL198" s="1176" t="str">
        <f>IF(AND(CNTR_ExistSubInstEntries,COUNTIFS(AC198:AI198,2,H198:N198,"")&gt;0),EUconst_Error&amp;"FB"&amp;Q13,"")</f>
        <v/>
      </c>
      <c r="AM198" s="343"/>
    </row>
    <row r="199" spans="1:39" ht="12.75" customHeight="1" x14ac:dyDescent="0.25">
      <c r="A199" s="694"/>
      <c r="B199" s="284"/>
      <c r="C199" s="1496"/>
      <c r="D199" s="1508" t="s">
        <v>7</v>
      </c>
      <c r="E199" s="2820" t="str">
        <f>Translations!$B$1555</f>
        <v>Топлинна енергия, произведена от електроенергия</v>
      </c>
      <c r="F199" s="2930"/>
      <c r="G199" s="642" t="str">
        <f>EUconst_TJpa</f>
        <v>TJ / година</v>
      </c>
      <c r="H199" s="179"/>
      <c r="I199" s="179"/>
      <c r="J199" s="179"/>
      <c r="K199" s="179"/>
      <c r="L199" s="179"/>
      <c r="M199" s="179"/>
      <c r="N199" s="180"/>
      <c r="O199" s="336"/>
      <c r="P199" s="158"/>
      <c r="Q199" s="1500" t="str">
        <f>EUconst_CNTR_HeatProducedElectricity &amp; I13</f>
        <v>HeatProdElec_Подинсталация с топлинен показател (с риск от ИВЕ | извън МКВЕГ)</v>
      </c>
      <c r="R199" s="694"/>
      <c r="S199" s="770"/>
      <c r="T199" s="770"/>
      <c r="U199" s="770"/>
      <c r="V199" s="770"/>
      <c r="W199" s="770"/>
      <c r="X199" s="770"/>
      <c r="Y199" s="770"/>
      <c r="Z199" s="770"/>
      <c r="AA199" s="694"/>
      <c r="AB199" s="1182" t="s">
        <v>737</v>
      </c>
      <c r="AC199" s="982" t="b">
        <f>AC198</f>
        <v>0</v>
      </c>
      <c r="AD199" s="982" t="b">
        <f t="shared" ref="AD199:AI199" si="129">AD198</f>
        <v>0</v>
      </c>
      <c r="AE199" s="982" t="b">
        <f t="shared" si="129"/>
        <v>0</v>
      </c>
      <c r="AF199" s="982" t="b">
        <f t="shared" si="129"/>
        <v>0</v>
      </c>
      <c r="AG199" s="982" t="b">
        <f t="shared" si="129"/>
        <v>0</v>
      </c>
      <c r="AH199" s="982" t="b">
        <f t="shared" si="129"/>
        <v>0</v>
      </c>
      <c r="AI199" s="982" t="b">
        <f t="shared" si="129"/>
        <v>0</v>
      </c>
      <c r="AJ199" s="343"/>
      <c r="AK199" s="343"/>
      <c r="AL199" s="1176" t="str">
        <f>IF(AND(CNTR_ExistSubInstEntries,COUNTIFS(AC199:AI199,2,H199:N199,"")&gt;0),EUconst_Error&amp;"FB"&amp;Q13,"")</f>
        <v/>
      </c>
      <c r="AM199" s="343"/>
    </row>
    <row r="200" spans="1:39" ht="5.15" customHeight="1" x14ac:dyDescent="0.25">
      <c r="A200" s="694"/>
      <c r="B200" s="284"/>
      <c r="C200" s="1496"/>
      <c r="D200" s="1497"/>
      <c r="E200" s="1497"/>
      <c r="F200" s="1497"/>
      <c r="G200" s="1497"/>
      <c r="H200" s="1497"/>
      <c r="I200" s="1497"/>
      <c r="J200" s="1497"/>
      <c r="K200" s="1497"/>
      <c r="L200" s="1497"/>
      <c r="M200" s="1502"/>
      <c r="N200" s="1503"/>
      <c r="O200" s="336"/>
      <c r="P200" s="336"/>
      <c r="Q200" s="770"/>
      <c r="R200" s="694"/>
      <c r="S200" s="770"/>
      <c r="T200" s="694"/>
      <c r="U200" s="694"/>
      <c r="V200" s="694"/>
      <c r="W200" s="694"/>
      <c r="X200" s="694"/>
      <c r="Y200" s="694"/>
      <c r="Z200" s="694"/>
      <c r="AA200" s="694"/>
      <c r="AB200" s="729"/>
      <c r="AC200" s="694"/>
      <c r="AD200" s="694"/>
      <c r="AE200" s="694"/>
      <c r="AF200" s="694"/>
      <c r="AG200" s="694"/>
      <c r="AH200" s="694"/>
      <c r="AI200" s="694"/>
      <c r="AJ200" s="343"/>
      <c r="AK200" s="343"/>
      <c r="AL200" s="343"/>
      <c r="AM200" s="343"/>
    </row>
    <row r="201" spans="1:39" ht="12.75" customHeight="1" x14ac:dyDescent="0.25">
      <c r="A201" s="694"/>
      <c r="B201" s="284"/>
      <c r="C201" s="1496"/>
      <c r="D201" s="1307" t="s">
        <v>55</v>
      </c>
      <c r="E201" s="2850" t="str">
        <f>Translations!$B$641</f>
        <v>Получавана отвън измерима топлинна енергия</v>
      </c>
      <c r="F201" s="2851"/>
      <c r="G201" s="2851"/>
      <c r="H201" s="2851"/>
      <c r="I201" s="2851"/>
      <c r="J201" s="2851"/>
      <c r="K201" s="2851"/>
      <c r="L201" s="2851"/>
      <c r="M201" s="2851"/>
      <c r="N201" s="2852"/>
      <c r="O201" s="336"/>
      <c r="P201" s="336"/>
      <c r="Q201" s="770"/>
      <c r="R201" s="694"/>
      <c r="S201" s="770"/>
      <c r="T201" s="694"/>
      <c r="U201" s="694"/>
      <c r="V201" s="694"/>
      <c r="W201" s="694"/>
      <c r="X201" s="694"/>
      <c r="Y201" s="694"/>
      <c r="Z201" s="694"/>
      <c r="AA201" s="694"/>
      <c r="AB201" s="729"/>
      <c r="AC201" s="694"/>
      <c r="AD201" s="694"/>
      <c r="AE201" s="694"/>
      <c r="AF201" s="694"/>
      <c r="AG201" s="694"/>
      <c r="AH201" s="694"/>
      <c r="AI201" s="694"/>
      <c r="AJ201" s="343"/>
      <c r="AK201" s="343"/>
      <c r="AL201" s="343"/>
      <c r="AM201" s="343"/>
    </row>
    <row r="202" spans="1:39" ht="12.75" customHeight="1" x14ac:dyDescent="0.25">
      <c r="A202" s="694"/>
      <c r="B202" s="284"/>
      <c r="C202" s="1496"/>
      <c r="D202" s="1307"/>
      <c r="E202" s="2853" t="str">
        <f>Translations!$B$548</f>
        <v>Посочените тук данни ще се отразят на емисиите, които могат да бъдат зададени съгласно раздел 10.1.2 и 10.1.3 от приложение VII към ПБР.</v>
      </c>
      <c r="F202" s="2850"/>
      <c r="G202" s="2850"/>
      <c r="H202" s="2850"/>
      <c r="I202" s="2850"/>
      <c r="J202" s="2850"/>
      <c r="K202" s="2850"/>
      <c r="L202" s="2850"/>
      <c r="M202" s="2850"/>
      <c r="N202" s="2854"/>
      <c r="O202" s="336"/>
      <c r="P202" s="336"/>
      <c r="Q202" s="770"/>
      <c r="R202" s="694"/>
      <c r="S202" s="770"/>
      <c r="T202" s="694"/>
      <c r="U202" s="694"/>
      <c r="V202" s="694"/>
      <c r="W202" s="694"/>
      <c r="X202" s="694"/>
      <c r="Y202" s="694"/>
      <c r="Z202" s="694"/>
      <c r="AA202" s="694"/>
      <c r="AB202" s="729"/>
      <c r="AC202" s="694"/>
      <c r="AD202" s="694"/>
      <c r="AE202" s="694"/>
      <c r="AF202" s="694"/>
      <c r="AG202" s="694"/>
      <c r="AH202" s="694"/>
      <c r="AI202" s="694"/>
      <c r="AJ202" s="343"/>
      <c r="AK202" s="343"/>
      <c r="AL202" s="343"/>
      <c r="AM202" s="343"/>
    </row>
    <row r="203" spans="1:39" ht="12.75" customHeight="1" x14ac:dyDescent="0.25">
      <c r="A203" s="694"/>
      <c r="B203" s="284"/>
      <c r="C203" s="1496"/>
      <c r="D203" s="1497"/>
      <c r="E203" s="2838" t="str">
        <f>Translations!$B$642</f>
        <v>Моля, по-долу въведете количеството на измеримата топлинна енергия, получена от всеки от следните източници:</v>
      </c>
      <c r="F203" s="2851"/>
      <c r="G203" s="2851"/>
      <c r="H203" s="2851"/>
      <c r="I203" s="2851"/>
      <c r="J203" s="2851"/>
      <c r="K203" s="2851"/>
      <c r="L203" s="2851"/>
      <c r="M203" s="2851"/>
      <c r="N203" s="2852"/>
      <c r="O203" s="336"/>
      <c r="P203" s="336"/>
      <c r="Q203" s="770"/>
      <c r="R203" s="694"/>
      <c r="S203" s="770"/>
      <c r="T203" s="694"/>
      <c r="U203" s="694"/>
      <c r="V203" s="694"/>
      <c r="W203" s="694"/>
      <c r="X203" s="694"/>
      <c r="Y203" s="694"/>
      <c r="Z203" s="694"/>
      <c r="AA203" s="694"/>
      <c r="AB203" s="729"/>
      <c r="AC203" s="694"/>
      <c r="AD203" s="694"/>
      <c r="AE203" s="694"/>
      <c r="AF203" s="694"/>
      <c r="AG203" s="694"/>
      <c r="AH203" s="694"/>
      <c r="AI203" s="694"/>
      <c r="AJ203" s="343"/>
      <c r="AK203" s="343"/>
      <c r="AL203" s="343"/>
      <c r="AM203" s="343"/>
    </row>
    <row r="204" spans="1:39" ht="38.9" customHeight="1" x14ac:dyDescent="0.25">
      <c r="A204" s="694"/>
      <c r="B204" s="284"/>
      <c r="C204" s="1496"/>
      <c r="D204" s="1497"/>
      <c r="E204" s="1308" t="s">
        <v>1052</v>
      </c>
      <c r="F204" s="2838" t="str">
        <f>Translations!$B$643</f>
        <v>Нетно количество получена топлинна енергия (други източници): това включва топлинната енергия, получена от други инсталации или, в случай че измеримата топлинна енергия е консумирана от повече от една подинсталация — топлинната енергия, произведена в рамките на обекта и консумирана в тази подинсталация. Тук не се включва измерима топлинна енергия, получена от която и да било подинсталация с продуктов показател, от производство на пулп, измерима топлинна енергия, извлечена от подинсталации с горивен показател или от отпадни газове, защото тези данни се вписват в отделни полета.</v>
      </c>
      <c r="G204" s="2839"/>
      <c r="H204" s="2839"/>
      <c r="I204" s="2839"/>
      <c r="J204" s="2839"/>
      <c r="K204" s="2839"/>
      <c r="L204" s="2839"/>
      <c r="M204" s="2839"/>
      <c r="N204" s="2840"/>
      <c r="O204" s="336"/>
      <c r="P204" s="336"/>
      <c r="Q204" s="770"/>
      <c r="R204" s="694"/>
      <c r="S204" s="770"/>
      <c r="T204" s="694"/>
      <c r="U204" s="694"/>
      <c r="V204" s="694"/>
      <c r="W204" s="694"/>
      <c r="X204" s="694"/>
      <c r="Y204" s="694"/>
      <c r="Z204" s="694"/>
      <c r="AA204" s="694"/>
      <c r="AB204" s="729"/>
      <c r="AC204" s="694"/>
      <c r="AD204" s="694"/>
      <c r="AE204" s="694"/>
      <c r="AF204" s="694"/>
      <c r="AG204" s="694"/>
      <c r="AH204" s="694"/>
      <c r="AI204" s="694"/>
      <c r="AJ204" s="343"/>
      <c r="AK204" s="343"/>
      <c r="AL204" s="343"/>
      <c r="AM204" s="343"/>
    </row>
    <row r="205" spans="1:39" ht="25.5" customHeight="1" x14ac:dyDescent="0.25">
      <c r="A205" s="694"/>
      <c r="B205" s="284"/>
      <c r="C205" s="1496"/>
      <c r="D205" s="1497"/>
      <c r="E205" s="1308" t="s">
        <v>1052</v>
      </c>
      <c r="F205" s="2838" t="str">
        <f>Translations!$B$644</f>
        <v>Топлинна енергия от подинсталации с продуктов показател: това включва измерима топлинна енергия, подадена от подинсталации с продуктов показател освен измеримата топлинна енергия от подинсталации, които произвеждат пулп или азотна киселина.</v>
      </c>
      <c r="G205" s="2839"/>
      <c r="H205" s="2839"/>
      <c r="I205" s="2839"/>
      <c r="J205" s="2839"/>
      <c r="K205" s="2839"/>
      <c r="L205" s="2839"/>
      <c r="M205" s="2839"/>
      <c r="N205" s="2840"/>
      <c r="O205" s="336"/>
      <c r="P205" s="336"/>
      <c r="Q205" s="770"/>
      <c r="R205" s="694"/>
      <c r="S205" s="770"/>
      <c r="T205" s="694"/>
      <c r="U205" s="694"/>
      <c r="V205" s="694"/>
      <c r="W205" s="694"/>
      <c r="X205" s="694"/>
      <c r="Y205" s="694"/>
      <c r="Z205" s="694"/>
      <c r="AA205" s="694"/>
      <c r="AB205" s="729"/>
      <c r="AC205" s="694"/>
      <c r="AD205" s="694"/>
      <c r="AE205" s="694"/>
      <c r="AF205" s="694"/>
      <c r="AG205" s="694"/>
      <c r="AH205" s="694"/>
      <c r="AI205" s="694"/>
      <c r="AJ205" s="343"/>
      <c r="AK205" s="343"/>
      <c r="AL205" s="343"/>
      <c r="AM205" s="343"/>
    </row>
    <row r="206" spans="1:39" ht="12.75" customHeight="1" x14ac:dyDescent="0.25">
      <c r="A206" s="694"/>
      <c r="B206" s="284"/>
      <c r="C206" s="1496"/>
      <c r="D206" s="1497"/>
      <c r="E206" s="1308" t="s">
        <v>1052</v>
      </c>
      <c r="F206" s="2838" t="str">
        <f>Translations!$B$645</f>
        <v>Топлинна енергия от пулп: това включва топлинна енергия, получена от подинсталации за производство на пулп.</v>
      </c>
      <c r="G206" s="2839"/>
      <c r="H206" s="2839"/>
      <c r="I206" s="2839"/>
      <c r="J206" s="2839"/>
      <c r="K206" s="2839"/>
      <c r="L206" s="2839"/>
      <c r="M206" s="2839"/>
      <c r="N206" s="2840"/>
      <c r="O206" s="336"/>
      <c r="P206" s="336"/>
      <c r="Q206" s="770"/>
      <c r="R206" s="694"/>
      <c r="S206" s="770"/>
      <c r="T206" s="694"/>
      <c r="U206" s="694"/>
      <c r="V206" s="694"/>
      <c r="W206" s="694"/>
      <c r="X206" s="694"/>
      <c r="Y206" s="694"/>
      <c r="Z206" s="694"/>
      <c r="AA206" s="694"/>
      <c r="AB206" s="729"/>
      <c r="AC206" s="694"/>
      <c r="AD206" s="694"/>
      <c r="AE206" s="694"/>
      <c r="AF206" s="694"/>
      <c r="AG206" s="694"/>
      <c r="AH206" s="694"/>
      <c r="AI206" s="694"/>
      <c r="AJ206" s="343"/>
      <c r="AK206" s="343"/>
      <c r="AL206" s="343"/>
      <c r="AM206" s="343"/>
    </row>
    <row r="207" spans="1:39" ht="12.75" customHeight="1" x14ac:dyDescent="0.25">
      <c r="A207" s="694"/>
      <c r="B207" s="284"/>
      <c r="C207" s="1496"/>
      <c r="D207" s="1497"/>
      <c r="E207" s="1308" t="s">
        <v>1052</v>
      </c>
      <c r="F207" s="2838" t="str">
        <f>Translations!$B$646</f>
        <v>Топлинна енергия от подинсталации с горивен показател: това включва измерима топлинна енергия, извлечена от отпадни газове от подинсталации с горивен показател</v>
      </c>
      <c r="G207" s="2839"/>
      <c r="H207" s="2839"/>
      <c r="I207" s="2839"/>
      <c r="J207" s="2839"/>
      <c r="K207" s="2839"/>
      <c r="L207" s="2839"/>
      <c r="M207" s="2839"/>
      <c r="N207" s="2840"/>
      <c r="O207" s="336"/>
      <c r="P207" s="336"/>
      <c r="Q207" s="770"/>
      <c r="R207" s="694"/>
      <c r="S207" s="770"/>
      <c r="T207" s="694"/>
      <c r="U207" s="694"/>
      <c r="V207" s="694"/>
      <c r="W207" s="694"/>
      <c r="X207" s="694"/>
      <c r="Y207" s="694"/>
      <c r="Z207" s="694"/>
      <c r="AA207" s="694"/>
      <c r="AB207" s="729"/>
      <c r="AC207" s="694"/>
      <c r="AD207" s="694"/>
      <c r="AE207" s="694"/>
      <c r="AF207" s="694"/>
      <c r="AG207" s="694"/>
      <c r="AH207" s="694"/>
      <c r="AI207" s="694"/>
      <c r="AJ207" s="343"/>
      <c r="AK207" s="343"/>
      <c r="AL207" s="343"/>
      <c r="AM207" s="343"/>
    </row>
    <row r="208" spans="1:39" ht="12.75" customHeight="1" x14ac:dyDescent="0.25">
      <c r="A208" s="694"/>
      <c r="B208" s="284"/>
      <c r="C208" s="1496"/>
      <c r="D208" s="1497"/>
      <c r="E208" s="1308" t="s">
        <v>1052</v>
      </c>
      <c r="F208" s="2838" t="str">
        <f>Translations!$B$647</f>
        <v>Топлинна енергия от отпадни газове: това включва измерима топлинна енергия, произведена от отпадни газове.</v>
      </c>
      <c r="G208" s="2839"/>
      <c r="H208" s="2839"/>
      <c r="I208" s="2839"/>
      <c r="J208" s="2839"/>
      <c r="K208" s="2839"/>
      <c r="L208" s="2839"/>
      <c r="M208" s="2839"/>
      <c r="N208" s="2840"/>
      <c r="O208" s="336"/>
      <c r="P208" s="336"/>
      <c r="Q208" s="770"/>
      <c r="R208" s="694"/>
      <c r="S208" s="770"/>
      <c r="T208" s="694"/>
      <c r="U208" s="694"/>
      <c r="V208" s="694"/>
      <c r="W208" s="694"/>
      <c r="X208" s="694"/>
      <c r="Y208" s="694"/>
      <c r="Z208" s="694"/>
      <c r="AA208" s="694"/>
      <c r="AB208" s="729"/>
      <c r="AC208" s="694"/>
      <c r="AD208" s="694"/>
      <c r="AE208" s="694"/>
      <c r="AF208" s="694"/>
      <c r="AG208" s="694"/>
      <c r="AH208" s="694"/>
      <c r="AI208" s="694"/>
      <c r="AJ208" s="343"/>
      <c r="AK208" s="343"/>
      <c r="AL208" s="343"/>
      <c r="AM208" s="343"/>
    </row>
    <row r="209" spans="1:39" ht="12.75" customHeight="1" x14ac:dyDescent="0.25">
      <c r="A209" s="694"/>
      <c r="B209" s="284"/>
      <c r="C209" s="1496"/>
      <c r="D209" s="1497"/>
      <c r="E209" s="2836" t="str">
        <f>Translations!$B$648</f>
        <v>Тук не включвайте топлинна енергия, получена от източници „които не отговарят на условията“ т.е. инсталации, които не са обхванати от СТЕ на ЕС, или топлинна енергия, произведена в подинсталации за азотна киселина.</v>
      </c>
      <c r="F209" s="2240"/>
      <c r="G209" s="2240"/>
      <c r="H209" s="2240"/>
      <c r="I209" s="2240"/>
      <c r="J209" s="2240"/>
      <c r="K209" s="2240"/>
      <c r="L209" s="2240"/>
      <c r="M209" s="2240"/>
      <c r="N209" s="2811"/>
      <c r="O209" s="336"/>
      <c r="P209" s="336"/>
      <c r="Q209" s="770"/>
      <c r="R209" s="694"/>
      <c r="S209" s="770"/>
      <c r="T209" s="694"/>
      <c r="U209" s="694"/>
      <c r="V209" s="694"/>
      <c r="W209" s="694"/>
      <c r="X209" s="694"/>
      <c r="Y209" s="694"/>
      <c r="Z209" s="694"/>
      <c r="AA209" s="694"/>
      <c r="AB209" s="729"/>
      <c r="AC209" s="694"/>
      <c r="AD209" s="694"/>
      <c r="AE209" s="694"/>
      <c r="AF209" s="694"/>
      <c r="AG209" s="694"/>
      <c r="AH209" s="694"/>
      <c r="AI209" s="694"/>
      <c r="AJ209" s="343"/>
      <c r="AK209" s="343"/>
      <c r="AL209" s="343"/>
      <c r="AM209" s="343"/>
    </row>
    <row r="210" spans="1:39" ht="12.75" customHeight="1" x14ac:dyDescent="0.25">
      <c r="A210" s="694"/>
      <c r="B210" s="284"/>
      <c r="C210" s="1496"/>
      <c r="D210" s="1497"/>
      <c r="E210" s="2838" t="str">
        <f>Translations!$B$649</f>
        <v>При специфичните емисионни фактори (EF), свързани с топлинната енергия, трябва да се отчитат разпоредбите на раздели 8 и 10 от приложение VII към ПБР, и по-специално раздели 10.1.2 и 10.1.3.</v>
      </c>
      <c r="F210" s="2851"/>
      <c r="G210" s="2851"/>
      <c r="H210" s="2851"/>
      <c r="I210" s="2851"/>
      <c r="J210" s="2851"/>
      <c r="K210" s="2851"/>
      <c r="L210" s="2851"/>
      <c r="M210" s="2851"/>
      <c r="N210" s="2852"/>
      <c r="O210" s="336"/>
      <c r="P210" s="336"/>
      <c r="Q210" s="770"/>
      <c r="R210" s="694"/>
      <c r="S210" s="770"/>
      <c r="T210" s="694"/>
      <c r="U210" s="694"/>
      <c r="V210" s="694"/>
      <c r="W210" s="694"/>
      <c r="X210" s="694"/>
      <c r="Y210" s="694"/>
      <c r="Z210" s="694"/>
      <c r="AA210" s="694"/>
      <c r="AB210" s="729"/>
      <c r="AC210" s="694"/>
      <c r="AD210" s="694"/>
      <c r="AE210" s="694"/>
      <c r="AF210" s="694"/>
      <c r="AG210" s="694"/>
      <c r="AH210" s="694"/>
      <c r="AI210" s="694"/>
      <c r="AJ210" s="343"/>
      <c r="AK210" s="343"/>
      <c r="AL210" s="343"/>
      <c r="AM210" s="343"/>
    </row>
    <row r="211" spans="1:39" ht="12.75" customHeight="1" x14ac:dyDescent="0.25">
      <c r="A211" s="694"/>
      <c r="B211" s="284"/>
      <c r="C211" s="1496"/>
      <c r="D211" s="1497"/>
      <c r="E211" s="2825" t="str">
        <f>Translations!$B$608</f>
        <v>За задаването на емисии от комбинираното производство на енергия (КПТЕ) при производството на топлинна енергия трябва да използвате „Инструмента за КПТЕ“ от раздел D.III.</v>
      </c>
      <c r="F211" s="2825"/>
      <c r="G211" s="2825"/>
      <c r="H211" s="2825"/>
      <c r="I211" s="2825"/>
      <c r="J211" s="2825"/>
      <c r="K211" s="2825"/>
      <c r="L211" s="2825"/>
      <c r="M211" s="2825"/>
      <c r="N211" s="1348"/>
      <c r="O211" s="336"/>
      <c r="P211" s="336"/>
      <c r="Q211" s="770"/>
      <c r="R211" s="694"/>
      <c r="S211" s="694"/>
      <c r="T211" s="694"/>
      <c r="U211" s="694"/>
      <c r="V211" s="694"/>
      <c r="W211" s="694"/>
      <c r="X211" s="694"/>
      <c r="Y211" s="694"/>
      <c r="Z211" s="694"/>
      <c r="AA211" s="694"/>
      <c r="AB211" s="694"/>
      <c r="AC211" s="694"/>
      <c r="AD211" s="694"/>
      <c r="AE211" s="694"/>
      <c r="AF211" s="694"/>
      <c r="AG211" s="694"/>
      <c r="AH211" s="694"/>
      <c r="AI211" s="694"/>
      <c r="AJ211" s="343"/>
      <c r="AK211" s="343"/>
      <c r="AL211" s="343"/>
      <c r="AM211" s="343"/>
    </row>
    <row r="212" spans="1:39" ht="12.75" customHeight="1" x14ac:dyDescent="0.25">
      <c r="A212" s="694"/>
      <c r="B212" s="284"/>
      <c r="C212" s="1496"/>
      <c r="D212" s="1497"/>
      <c r="E212" s="2803" t="str">
        <f>Translations!$B$650</f>
        <v>Нетно количество получена топлинна енергия (други източници)</v>
      </c>
      <c r="F212" s="2672"/>
      <c r="G212" s="1309" t="str">
        <f>EUconst_Unit</f>
        <v>Единица мярка</v>
      </c>
      <c r="H212" s="629">
        <f t="shared" ref="H212:N212" si="130">H$1840</f>
        <v>2024</v>
      </c>
      <c r="I212" s="629">
        <f t="shared" si="130"/>
        <v>2025</v>
      </c>
      <c r="J212" s="629">
        <f t="shared" si="130"/>
        <v>2026</v>
      </c>
      <c r="K212" s="629">
        <f t="shared" si="130"/>
        <v>2027</v>
      </c>
      <c r="L212" s="629">
        <f t="shared" si="130"/>
        <v>2028</v>
      </c>
      <c r="M212" s="629">
        <f t="shared" si="130"/>
        <v>2029</v>
      </c>
      <c r="N212" s="1312">
        <f t="shared" si="130"/>
        <v>2030</v>
      </c>
      <c r="O212" s="336"/>
      <c r="P212" s="336"/>
      <c r="Q212" s="770"/>
      <c r="R212" s="694"/>
      <c r="S212" s="770"/>
      <c r="T212" s="1031">
        <f t="shared" ref="T212:Z212" si="131">H212</f>
        <v>2024</v>
      </c>
      <c r="U212" s="1031">
        <f t="shared" si="131"/>
        <v>2025</v>
      </c>
      <c r="V212" s="1031">
        <f t="shared" si="131"/>
        <v>2026</v>
      </c>
      <c r="W212" s="1031">
        <f t="shared" si="131"/>
        <v>2027</v>
      </c>
      <c r="X212" s="1031">
        <f t="shared" si="131"/>
        <v>2028</v>
      </c>
      <c r="Y212" s="1031">
        <f t="shared" si="131"/>
        <v>2029</v>
      </c>
      <c r="Z212" s="1031">
        <f t="shared" si="131"/>
        <v>2030</v>
      </c>
      <c r="AA212" s="694"/>
      <c r="AB212" s="694"/>
      <c r="AC212" s="1504">
        <f t="shared" ref="AC212:AI212" si="132">H$1840</f>
        <v>2024</v>
      </c>
      <c r="AD212" s="1504">
        <f t="shared" si="132"/>
        <v>2025</v>
      </c>
      <c r="AE212" s="1504">
        <f t="shared" si="132"/>
        <v>2026</v>
      </c>
      <c r="AF212" s="1504">
        <f t="shared" si="132"/>
        <v>2027</v>
      </c>
      <c r="AG212" s="1504">
        <f t="shared" si="132"/>
        <v>2028</v>
      </c>
      <c r="AH212" s="1504">
        <f t="shared" si="132"/>
        <v>2029</v>
      </c>
      <c r="AI212" s="1504">
        <f t="shared" si="132"/>
        <v>2030</v>
      </c>
      <c r="AJ212" s="343"/>
      <c r="AK212" s="343"/>
      <c r="AL212" s="343"/>
      <c r="AM212" s="343"/>
    </row>
    <row r="213" spans="1:39" ht="12.75" customHeight="1" x14ac:dyDescent="0.25">
      <c r="A213" s="694"/>
      <c r="B213" s="284"/>
      <c r="C213" s="1496"/>
      <c r="D213" s="1505" t="s">
        <v>6</v>
      </c>
      <c r="E213" s="2820" t="str">
        <f>Translations!$B$554</f>
        <v>Нетно количество получена топлинна енергия</v>
      </c>
      <c r="F213" s="2258"/>
      <c r="G213" s="1319" t="str">
        <f>EUconst_TJpa</f>
        <v>TJ / година</v>
      </c>
      <c r="H213" s="56"/>
      <c r="I213" s="56"/>
      <c r="J213" s="56"/>
      <c r="K213" s="56"/>
      <c r="L213" s="56"/>
      <c r="M213" s="56"/>
      <c r="N213" s="121"/>
      <c r="O213" s="336"/>
      <c r="P213" s="158"/>
      <c r="Q213" s="1500" t="str">
        <f>EUconst_CNTR_HeatImport &amp; I13</f>
        <v>HeatIm_Подинсталация с топлинен показател (с риск от ИВЕ | извън МКВЕГ)</v>
      </c>
      <c r="R213" s="694"/>
      <c r="S213" s="1509" t="str">
        <f>EUconst_ERR_AttrEmBMapplied &amp; $I13</f>
        <v>ERR_AttrEmBM_Подинсталация с топлинен показател (с риск от ИВЕ | извън МКВЕГ)</v>
      </c>
      <c r="T213" s="982">
        <f t="shared" ref="T213:Z213" si="133">IF(AND(H213&lt;&gt;0,H214="",EUconst_StatusOfDataCollection=FALSE),1,0)</f>
        <v>0</v>
      </c>
      <c r="U213" s="982">
        <f t="shared" si="133"/>
        <v>0</v>
      </c>
      <c r="V213" s="982">
        <f t="shared" si="133"/>
        <v>0</v>
      </c>
      <c r="W213" s="982">
        <f t="shared" si="133"/>
        <v>0</v>
      </c>
      <c r="X213" s="982">
        <f t="shared" si="133"/>
        <v>0</v>
      </c>
      <c r="Y213" s="982">
        <f t="shared" si="133"/>
        <v>0</v>
      </c>
      <c r="Z213" s="982">
        <f t="shared" si="133"/>
        <v>0</v>
      </c>
      <c r="AA213" s="694"/>
      <c r="AB213" s="1182" t="s">
        <v>737</v>
      </c>
      <c r="AC213" s="982" t="b">
        <f t="shared" ref="AC213:AI214" si="134">AC184</f>
        <v>0</v>
      </c>
      <c r="AD213" s="982" t="b">
        <f t="shared" si="134"/>
        <v>0</v>
      </c>
      <c r="AE213" s="982" t="b">
        <f t="shared" si="134"/>
        <v>0</v>
      </c>
      <c r="AF213" s="982" t="b">
        <f t="shared" si="134"/>
        <v>0</v>
      </c>
      <c r="AG213" s="982" t="b">
        <f t="shared" si="134"/>
        <v>0</v>
      </c>
      <c r="AH213" s="982" t="b">
        <f t="shared" si="134"/>
        <v>0</v>
      </c>
      <c r="AI213" s="982" t="b">
        <f t="shared" si="134"/>
        <v>0</v>
      </c>
      <c r="AJ213" s="343"/>
      <c r="AK213" s="343"/>
      <c r="AL213" s="1176" t="str">
        <f>IF(AND(CNTR_ExistSubInstEntries,COUNTIFS(AC213:AI213,2,H213:N213,"")&gt;0),EUconst_Error&amp;"FB"&amp;Q13,"")</f>
        <v/>
      </c>
      <c r="AM213" s="343"/>
    </row>
    <row r="214" spans="1:39" ht="12.75" customHeight="1" x14ac:dyDescent="0.3">
      <c r="A214" s="694"/>
      <c r="B214" s="284"/>
      <c r="C214" s="1496"/>
      <c r="D214" s="1505" t="s">
        <v>7</v>
      </c>
      <c r="E214" s="2820" t="str">
        <f>Translations!$B$555</f>
        <v>Специфичен EF (получена топлинна енергия)</v>
      </c>
      <c r="F214" s="2258"/>
      <c r="G214" s="1319" t="str">
        <f>EUconst_tCO2pTJ</f>
        <v>t CO2 / TJ</v>
      </c>
      <c r="H214" s="56"/>
      <c r="I214" s="56"/>
      <c r="J214" s="56"/>
      <c r="K214" s="56"/>
      <c r="L214" s="56"/>
      <c r="M214" s="56"/>
      <c r="N214" s="121"/>
      <c r="O214" s="336"/>
      <c r="P214" s="158"/>
      <c r="Q214" s="1500" t="str">
        <f>EUconst_CNTR_HeatImportEF &amp; I13</f>
        <v>HeatImEF_Подинсталация с топлинен показател (с риск от ИВЕ | извън МКВЕГ)</v>
      </c>
      <c r="R214" s="694"/>
      <c r="S214" s="1510" t="str">
        <f>EUconst_CNTR_AttributedEmissions &amp; $I13</f>
        <v>AttrEmissions_Подинсталация с топлинен показател (с риск от ИВЕ | извън МКВЕГ)</v>
      </c>
      <c r="T214" s="982" t="str">
        <f t="shared" ref="T214:Z214" si="135">IF(T21,SUM(H213)*IF(ISNUMBER(H214),H214,EUconst_HeatBMvalue),"")</f>
        <v/>
      </c>
      <c r="U214" s="982" t="str">
        <f t="shared" si="135"/>
        <v/>
      </c>
      <c r="V214" s="982" t="str">
        <f t="shared" si="135"/>
        <v/>
      </c>
      <c r="W214" s="982" t="str">
        <f t="shared" si="135"/>
        <v/>
      </c>
      <c r="X214" s="982" t="str">
        <f t="shared" si="135"/>
        <v/>
      </c>
      <c r="Y214" s="982" t="str">
        <f t="shared" si="135"/>
        <v/>
      </c>
      <c r="Z214" s="982" t="str">
        <f t="shared" si="135"/>
        <v/>
      </c>
      <c r="AA214" s="694"/>
      <c r="AB214" s="694"/>
      <c r="AC214" s="982" t="b">
        <f t="shared" si="134"/>
        <v>0</v>
      </c>
      <c r="AD214" s="982" t="b">
        <f t="shared" si="134"/>
        <v>0</v>
      </c>
      <c r="AE214" s="982" t="b">
        <f t="shared" si="134"/>
        <v>0</v>
      </c>
      <c r="AF214" s="982" t="b">
        <f t="shared" si="134"/>
        <v>0</v>
      </c>
      <c r="AG214" s="982" t="b">
        <f t="shared" si="134"/>
        <v>0</v>
      </c>
      <c r="AH214" s="982" t="b">
        <f t="shared" si="134"/>
        <v>0</v>
      </c>
      <c r="AI214" s="982" t="b">
        <f t="shared" si="134"/>
        <v>0</v>
      </c>
      <c r="AJ214" s="343"/>
      <c r="AK214" s="343"/>
      <c r="AL214" s="1176" t="str">
        <f>IF(AND(CNTR_ExistSubInstEntries,COUNTIFS(AC214:AI214,2,H214:N214,"")&gt;0),EUconst_Error&amp;"FB"&amp;Q13,"")</f>
        <v/>
      </c>
      <c r="AM214" s="343"/>
    </row>
    <row r="215" spans="1:39" ht="5.15" customHeight="1" x14ac:dyDescent="0.25">
      <c r="A215" s="694"/>
      <c r="B215" s="284"/>
      <c r="C215" s="1496"/>
      <c r="D215" s="1497"/>
      <c r="E215" s="1497"/>
      <c r="F215" s="1497"/>
      <c r="G215" s="1497"/>
      <c r="H215" s="1497"/>
      <c r="I215" s="1497"/>
      <c r="J215" s="1497"/>
      <c r="K215" s="1497"/>
      <c r="L215" s="1497"/>
      <c r="M215" s="1497"/>
      <c r="N215" s="1503"/>
      <c r="O215" s="336"/>
      <c r="P215" s="336"/>
      <c r="Q215" s="770"/>
      <c r="R215" s="694"/>
      <c r="S215" s="770"/>
      <c r="T215" s="694"/>
      <c r="U215" s="694"/>
      <c r="V215" s="694"/>
      <c r="W215" s="694"/>
      <c r="X215" s="694"/>
      <c r="Y215" s="694"/>
      <c r="Z215" s="694"/>
      <c r="AA215" s="694"/>
      <c r="AB215" s="694"/>
      <c r="AC215" s="694"/>
      <c r="AD215" s="694"/>
      <c r="AE215" s="694"/>
      <c r="AF215" s="694"/>
      <c r="AG215" s="694"/>
      <c r="AH215" s="694"/>
      <c r="AI215" s="694"/>
      <c r="AJ215" s="343"/>
      <c r="AK215" s="343"/>
      <c r="AL215" s="343"/>
      <c r="AM215" s="343"/>
    </row>
    <row r="216" spans="1:39" ht="12.75" customHeight="1" x14ac:dyDescent="0.25">
      <c r="A216" s="694"/>
      <c r="B216" s="284"/>
      <c r="C216" s="1496"/>
      <c r="D216" s="1497"/>
      <c r="E216" s="2803" t="str">
        <f>Translations!$B$651</f>
        <v>Топлинна енергия от подинсталации с продуктов показател</v>
      </c>
      <c r="F216" s="2672"/>
      <c r="G216" s="1309" t="str">
        <f>EUconst_Unit</f>
        <v>Единица мярка</v>
      </c>
      <c r="H216" s="629">
        <f t="shared" ref="H216:N216" si="136">H$1840</f>
        <v>2024</v>
      </c>
      <c r="I216" s="629">
        <f t="shared" si="136"/>
        <v>2025</v>
      </c>
      <c r="J216" s="629">
        <f t="shared" si="136"/>
        <v>2026</v>
      </c>
      <c r="K216" s="629">
        <f t="shared" si="136"/>
        <v>2027</v>
      </c>
      <c r="L216" s="629">
        <f t="shared" si="136"/>
        <v>2028</v>
      </c>
      <c r="M216" s="629">
        <f t="shared" si="136"/>
        <v>2029</v>
      </c>
      <c r="N216" s="1312">
        <f t="shared" si="136"/>
        <v>2030</v>
      </c>
      <c r="O216" s="336"/>
      <c r="P216" s="336"/>
      <c r="Q216" s="770"/>
      <c r="R216" s="694"/>
      <c r="S216" s="770"/>
      <c r="T216" s="1031">
        <f t="shared" ref="T216:Y216" si="137">H216</f>
        <v>2024</v>
      </c>
      <c r="U216" s="1031">
        <f t="shared" si="137"/>
        <v>2025</v>
      </c>
      <c r="V216" s="1031">
        <f t="shared" si="137"/>
        <v>2026</v>
      </c>
      <c r="W216" s="1031">
        <f t="shared" si="137"/>
        <v>2027</v>
      </c>
      <c r="X216" s="1031">
        <f t="shared" si="137"/>
        <v>2028</v>
      </c>
      <c r="Y216" s="1031">
        <f t="shared" si="137"/>
        <v>2029</v>
      </c>
      <c r="Z216" s="1031">
        <f>N216</f>
        <v>2030</v>
      </c>
      <c r="AA216" s="694"/>
      <c r="AB216" s="729"/>
      <c r="AC216" s="1504">
        <f t="shared" ref="AC216:AI216" si="138">H$1840</f>
        <v>2024</v>
      </c>
      <c r="AD216" s="1504">
        <f t="shared" si="138"/>
        <v>2025</v>
      </c>
      <c r="AE216" s="1504">
        <f t="shared" si="138"/>
        <v>2026</v>
      </c>
      <c r="AF216" s="1504">
        <f t="shared" si="138"/>
        <v>2027</v>
      </c>
      <c r="AG216" s="1504">
        <f t="shared" si="138"/>
        <v>2028</v>
      </c>
      <c r="AH216" s="1504">
        <f t="shared" si="138"/>
        <v>2029</v>
      </c>
      <c r="AI216" s="1504">
        <f t="shared" si="138"/>
        <v>2030</v>
      </c>
      <c r="AJ216" s="343"/>
      <c r="AK216" s="343"/>
      <c r="AL216" s="343"/>
      <c r="AM216" s="343"/>
    </row>
    <row r="217" spans="1:39" ht="12.75" customHeight="1" x14ac:dyDescent="0.25">
      <c r="A217" s="694"/>
      <c r="B217" s="284"/>
      <c r="C217" s="1496"/>
      <c r="D217" s="1505" t="s">
        <v>18</v>
      </c>
      <c r="E217" s="2820" t="str">
        <f>Translations!$B$554</f>
        <v>Нетно количество получена топлинна енергия</v>
      </c>
      <c r="F217" s="2258"/>
      <c r="G217" s="1319" t="str">
        <f>EUconst_TJpa</f>
        <v>TJ / година</v>
      </c>
      <c r="H217" s="56"/>
      <c r="I217" s="56"/>
      <c r="J217" s="56"/>
      <c r="K217" s="56"/>
      <c r="L217" s="56"/>
      <c r="M217" s="56"/>
      <c r="N217" s="121"/>
      <c r="O217" s="336"/>
      <c r="P217" s="158"/>
      <c r="Q217" s="1500" t="str">
        <f>EUconst_CNTR_HeatImportProduct &amp; I13</f>
        <v>HeatImProd_Подинсталация с топлинен показател (с риск от ИВЕ | извън МКВЕГ)</v>
      </c>
      <c r="R217" s="694"/>
      <c r="S217" s="1509" t="str">
        <f>EUconst_ERR_AttrEmBMapplied &amp; $I13</f>
        <v>ERR_AttrEmBM_Подинсталация с топлинен показател (с риск от ИВЕ | извън МКВЕГ)</v>
      </c>
      <c r="T217" s="982">
        <f t="shared" ref="T217:Z217" si="139">IF(AND(H217&lt;&gt;0,H218="",EUconst_StatusOfDataCollection=FALSE),1,0)</f>
        <v>0</v>
      </c>
      <c r="U217" s="982">
        <f t="shared" si="139"/>
        <v>0</v>
      </c>
      <c r="V217" s="982">
        <f t="shared" si="139"/>
        <v>0</v>
      </c>
      <c r="W217" s="982">
        <f t="shared" si="139"/>
        <v>0</v>
      </c>
      <c r="X217" s="982">
        <f t="shared" si="139"/>
        <v>0</v>
      </c>
      <c r="Y217" s="982">
        <f t="shared" si="139"/>
        <v>0</v>
      </c>
      <c r="Z217" s="982">
        <f t="shared" si="139"/>
        <v>0</v>
      </c>
      <c r="AA217" s="694"/>
      <c r="AB217" s="1182" t="s">
        <v>737</v>
      </c>
      <c r="AC217" s="982" t="b">
        <f>AC213</f>
        <v>0</v>
      </c>
      <c r="AD217" s="982" t="b">
        <f t="shared" ref="AD217:AI217" si="140">AD213</f>
        <v>0</v>
      </c>
      <c r="AE217" s="982" t="b">
        <f t="shared" si="140"/>
        <v>0</v>
      </c>
      <c r="AF217" s="982" t="b">
        <f t="shared" si="140"/>
        <v>0</v>
      </c>
      <c r="AG217" s="982" t="b">
        <f t="shared" si="140"/>
        <v>0</v>
      </c>
      <c r="AH217" s="982" t="b">
        <f t="shared" si="140"/>
        <v>0</v>
      </c>
      <c r="AI217" s="982" t="b">
        <f t="shared" si="140"/>
        <v>0</v>
      </c>
      <c r="AJ217" s="343"/>
      <c r="AK217" s="343"/>
      <c r="AL217" s="1176" t="str">
        <f>IF(AND(CNTR_ExistSubInstEntries,COUNTIFS(AC217:AI217,2,H217:N217,"")&gt;0),EUconst_Error&amp;"FB"&amp;Q13,"")</f>
        <v/>
      </c>
      <c r="AM217" s="343"/>
    </row>
    <row r="218" spans="1:39" ht="12.75" customHeight="1" x14ac:dyDescent="0.3">
      <c r="A218" s="694"/>
      <c r="B218" s="284"/>
      <c r="C218" s="1496"/>
      <c r="D218" s="1505" t="s">
        <v>810</v>
      </c>
      <c r="E218" s="2820" t="str">
        <f>Translations!$B$652</f>
        <v>Специфичен EF (от продуктов показател)</v>
      </c>
      <c r="F218" s="2258"/>
      <c r="G218" s="1319" t="str">
        <f>EUconst_tCO2pTJ</f>
        <v>t CO2 / TJ</v>
      </c>
      <c r="H218" s="56"/>
      <c r="I218" s="56"/>
      <c r="J218" s="56"/>
      <c r="K218" s="56"/>
      <c r="L218" s="56"/>
      <c r="M218" s="56"/>
      <c r="N218" s="121"/>
      <c r="O218" s="336"/>
      <c r="P218" s="158"/>
      <c r="Q218" s="1500" t="str">
        <f>EUconst_CNTR_HeatImportProductEF &amp; I13</f>
        <v>HeatImProdEF_Подинсталация с топлинен показател (с риск от ИВЕ | извън МКВЕГ)</v>
      </c>
      <c r="R218" s="694"/>
      <c r="S218" s="1510" t="str">
        <f>EUconst_CNTR_AttributedEmissions &amp; $I13</f>
        <v>AttrEmissions_Подинсталация с топлинен показател (с риск от ИВЕ | извън МКВЕГ)</v>
      </c>
      <c r="T218" s="982" t="str">
        <f t="shared" ref="T218:Z218" si="141">IF(T21,SUM(H217)*IF(ISNUMBER(H218),H218,EUconst_HeatBMvalue),"")</f>
        <v/>
      </c>
      <c r="U218" s="982" t="str">
        <f t="shared" si="141"/>
        <v/>
      </c>
      <c r="V218" s="982" t="str">
        <f t="shared" si="141"/>
        <v/>
      </c>
      <c r="W218" s="982" t="str">
        <f t="shared" si="141"/>
        <v/>
      </c>
      <c r="X218" s="982" t="str">
        <f t="shared" si="141"/>
        <v/>
      </c>
      <c r="Y218" s="982" t="str">
        <f t="shared" si="141"/>
        <v/>
      </c>
      <c r="Z218" s="982" t="str">
        <f t="shared" si="141"/>
        <v/>
      </c>
      <c r="AA218" s="694"/>
      <c r="AB218" s="729"/>
      <c r="AC218" s="982" t="b">
        <f>AC214</f>
        <v>0</v>
      </c>
      <c r="AD218" s="982" t="b">
        <f t="shared" ref="AD218:AI218" si="142">AD214</f>
        <v>0</v>
      </c>
      <c r="AE218" s="982" t="b">
        <f t="shared" si="142"/>
        <v>0</v>
      </c>
      <c r="AF218" s="982" t="b">
        <f t="shared" si="142"/>
        <v>0</v>
      </c>
      <c r="AG218" s="982" t="b">
        <f t="shared" si="142"/>
        <v>0</v>
      </c>
      <c r="AH218" s="982" t="b">
        <f t="shared" si="142"/>
        <v>0</v>
      </c>
      <c r="AI218" s="982" t="b">
        <f t="shared" si="142"/>
        <v>0</v>
      </c>
      <c r="AJ218" s="343"/>
      <c r="AK218" s="343"/>
      <c r="AL218" s="1176" t="str">
        <f>IF(AND(CNTR_ExistSubInstEntries,COUNTIFS(AC218:AI218,2,H218:N218,"")&gt;0),EUconst_Error&amp;"FB"&amp;Q13,"")</f>
        <v/>
      </c>
      <c r="AM218" s="343"/>
    </row>
    <row r="219" spans="1:39" ht="5.15" customHeight="1" x14ac:dyDescent="0.25">
      <c r="A219" s="694"/>
      <c r="B219" s="284"/>
      <c r="C219" s="1496"/>
      <c r="D219" s="1497"/>
      <c r="E219" s="1497"/>
      <c r="F219" s="1497"/>
      <c r="G219" s="1497"/>
      <c r="H219" s="1497"/>
      <c r="I219" s="1497"/>
      <c r="J219" s="1497"/>
      <c r="K219" s="1497"/>
      <c r="L219" s="1497"/>
      <c r="M219" s="1497"/>
      <c r="N219" s="1503"/>
      <c r="O219" s="336"/>
      <c r="P219" s="336"/>
      <c r="Q219" s="770"/>
      <c r="R219" s="694"/>
      <c r="S219" s="770"/>
      <c r="T219" s="694"/>
      <c r="U219" s="694"/>
      <c r="V219" s="694"/>
      <c r="W219" s="694"/>
      <c r="X219" s="694"/>
      <c r="Y219" s="694"/>
      <c r="Z219" s="694"/>
      <c r="AA219" s="694"/>
      <c r="AB219" s="729"/>
      <c r="AC219" s="694"/>
      <c r="AD219" s="694"/>
      <c r="AE219" s="694"/>
      <c r="AF219" s="694"/>
      <c r="AG219" s="694"/>
      <c r="AH219" s="694"/>
      <c r="AI219" s="694"/>
      <c r="AJ219" s="343"/>
      <c r="AK219" s="343"/>
      <c r="AL219" s="343"/>
      <c r="AM219" s="343"/>
    </row>
    <row r="220" spans="1:39" ht="12.75" customHeight="1" x14ac:dyDescent="0.25">
      <c r="A220" s="694"/>
      <c r="B220" s="284"/>
      <c r="C220" s="1496"/>
      <c r="D220" s="1497"/>
      <c r="E220" s="2803" t="str">
        <f>Translations!$B$653</f>
        <v>Топлинна енергия от пулп</v>
      </c>
      <c r="F220" s="2672"/>
      <c r="G220" s="1309" t="str">
        <f>EUconst_Unit</f>
        <v>Единица мярка</v>
      </c>
      <c r="H220" s="629">
        <f t="shared" ref="H220:N220" si="143">H$1840</f>
        <v>2024</v>
      </c>
      <c r="I220" s="629">
        <f t="shared" si="143"/>
        <v>2025</v>
      </c>
      <c r="J220" s="629">
        <f t="shared" si="143"/>
        <v>2026</v>
      </c>
      <c r="K220" s="629">
        <f t="shared" si="143"/>
        <v>2027</v>
      </c>
      <c r="L220" s="629">
        <f t="shared" si="143"/>
        <v>2028</v>
      </c>
      <c r="M220" s="629">
        <f t="shared" si="143"/>
        <v>2029</v>
      </c>
      <c r="N220" s="1312">
        <f t="shared" si="143"/>
        <v>2030</v>
      </c>
      <c r="O220" s="336"/>
      <c r="P220" s="336"/>
      <c r="Q220" s="770"/>
      <c r="R220" s="694"/>
      <c r="S220" s="770"/>
      <c r="T220" s="1031">
        <f t="shared" ref="T220:Y220" si="144">H220</f>
        <v>2024</v>
      </c>
      <c r="U220" s="1031">
        <f t="shared" si="144"/>
        <v>2025</v>
      </c>
      <c r="V220" s="1031">
        <f t="shared" si="144"/>
        <v>2026</v>
      </c>
      <c r="W220" s="1031">
        <f t="shared" si="144"/>
        <v>2027</v>
      </c>
      <c r="X220" s="1031">
        <f t="shared" si="144"/>
        <v>2028</v>
      </c>
      <c r="Y220" s="1031">
        <f t="shared" si="144"/>
        <v>2029</v>
      </c>
      <c r="Z220" s="1031">
        <f>N220</f>
        <v>2030</v>
      </c>
      <c r="AA220" s="694"/>
      <c r="AB220" s="729"/>
      <c r="AC220" s="1504">
        <f t="shared" ref="AC220:AI220" si="145">H$1840</f>
        <v>2024</v>
      </c>
      <c r="AD220" s="1504">
        <f t="shared" si="145"/>
        <v>2025</v>
      </c>
      <c r="AE220" s="1504">
        <f t="shared" si="145"/>
        <v>2026</v>
      </c>
      <c r="AF220" s="1504">
        <f t="shared" si="145"/>
        <v>2027</v>
      </c>
      <c r="AG220" s="1504">
        <f t="shared" si="145"/>
        <v>2028</v>
      </c>
      <c r="AH220" s="1504">
        <f t="shared" si="145"/>
        <v>2029</v>
      </c>
      <c r="AI220" s="1504">
        <f t="shared" si="145"/>
        <v>2030</v>
      </c>
      <c r="AJ220" s="343"/>
      <c r="AK220" s="343"/>
      <c r="AL220" s="343"/>
      <c r="AM220" s="343"/>
    </row>
    <row r="221" spans="1:39" ht="12.75" customHeight="1" x14ac:dyDescent="0.25">
      <c r="A221" s="694"/>
      <c r="B221" s="284"/>
      <c r="C221" s="1496"/>
      <c r="D221" s="1505" t="s">
        <v>812</v>
      </c>
      <c r="E221" s="2820" t="str">
        <f>Translations!$B$554</f>
        <v>Нетно количество получена топлинна енергия</v>
      </c>
      <c r="F221" s="2258"/>
      <c r="G221" s="1319" t="str">
        <f>EUconst_TJpa</f>
        <v>TJ / година</v>
      </c>
      <c r="H221" s="56"/>
      <c r="I221" s="56"/>
      <c r="J221" s="56"/>
      <c r="K221" s="56"/>
      <c r="L221" s="56"/>
      <c r="M221" s="56"/>
      <c r="N221" s="121"/>
      <c r="O221" s="336"/>
      <c r="P221" s="158"/>
      <c r="Q221" s="1500" t="str">
        <f>EUconst_CNTR_HeatImportPulp &amp; I13</f>
        <v>HeatImPulp_Подинсталация с топлинен показател (с риск от ИВЕ | извън МКВЕГ)</v>
      </c>
      <c r="R221" s="694"/>
      <c r="S221" s="1509" t="str">
        <f>EUconst_ERR_AttrEmBMapplied &amp; $I13</f>
        <v>ERR_AttrEmBM_Подинсталация с топлинен показател (с риск от ИВЕ | извън МКВЕГ)</v>
      </c>
      <c r="T221" s="982">
        <f t="shared" ref="T221:Z221" si="146">IF(AND(H221&lt;&gt;0,H222="",EUconst_StatusOfDataCollection=FALSE),1,0)</f>
        <v>0</v>
      </c>
      <c r="U221" s="982">
        <f t="shared" si="146"/>
        <v>0</v>
      </c>
      <c r="V221" s="982">
        <f t="shared" si="146"/>
        <v>0</v>
      </c>
      <c r="W221" s="982">
        <f t="shared" si="146"/>
        <v>0</v>
      </c>
      <c r="X221" s="982">
        <f t="shared" si="146"/>
        <v>0</v>
      </c>
      <c r="Y221" s="982">
        <f t="shared" si="146"/>
        <v>0</v>
      </c>
      <c r="Z221" s="982">
        <f t="shared" si="146"/>
        <v>0</v>
      </c>
      <c r="AA221" s="694"/>
      <c r="AB221" s="1182" t="s">
        <v>737</v>
      </c>
      <c r="AC221" s="982" t="b">
        <f>AC217</f>
        <v>0</v>
      </c>
      <c r="AD221" s="982" t="b">
        <f t="shared" ref="AD221:AI221" si="147">AD217</f>
        <v>0</v>
      </c>
      <c r="AE221" s="982" t="b">
        <f t="shared" si="147"/>
        <v>0</v>
      </c>
      <c r="AF221" s="982" t="b">
        <f t="shared" si="147"/>
        <v>0</v>
      </c>
      <c r="AG221" s="982" t="b">
        <f t="shared" si="147"/>
        <v>0</v>
      </c>
      <c r="AH221" s="982" t="b">
        <f t="shared" si="147"/>
        <v>0</v>
      </c>
      <c r="AI221" s="982" t="b">
        <f t="shared" si="147"/>
        <v>0</v>
      </c>
      <c r="AJ221" s="343"/>
      <c r="AK221" s="343"/>
      <c r="AL221" s="1176" t="str">
        <f>IF(AND(CNTR_ExistSubInstEntries,COUNTIFS(AC221:AI221,2,H221:N221,"")&gt;0),EUconst_Error&amp;"FB"&amp;Q13,"")</f>
        <v/>
      </c>
      <c r="AM221" s="343"/>
    </row>
    <row r="222" spans="1:39" ht="12.75" customHeight="1" x14ac:dyDescent="0.3">
      <c r="A222" s="694"/>
      <c r="B222" s="284"/>
      <c r="C222" s="1496"/>
      <c r="D222" s="1505" t="s">
        <v>813</v>
      </c>
      <c r="E222" s="2820" t="str">
        <f>Translations!$B$654</f>
        <v>Специфичен EF (от пулп)</v>
      </c>
      <c r="F222" s="2258"/>
      <c r="G222" s="1319" t="str">
        <f>EUconst_tCO2pTJ</f>
        <v>t CO2 / TJ</v>
      </c>
      <c r="H222" s="56"/>
      <c r="I222" s="56"/>
      <c r="J222" s="56"/>
      <c r="K222" s="56"/>
      <c r="L222" s="56"/>
      <c r="M222" s="56"/>
      <c r="N222" s="121"/>
      <c r="O222" s="336"/>
      <c r="P222" s="158"/>
      <c r="Q222" s="1500" t="str">
        <f>EUconst_CNTR_HeatImportPulpEF &amp; I13</f>
        <v>HeatImPulpEF_Подинсталация с топлинен показател (с риск от ИВЕ | извън МКВЕГ)</v>
      </c>
      <c r="R222" s="694"/>
      <c r="S222" s="1510" t="str">
        <f>EUconst_CNTR_AttributedEmissions &amp; $I13</f>
        <v>AttrEmissions_Подинсталация с топлинен показател (с риск от ИВЕ | извън МКВЕГ)</v>
      </c>
      <c r="T222" s="982" t="str">
        <f t="shared" ref="T222:Z222" si="148">IF(T21,SUM(H221)*IF(ISNUMBER(H222),H222,EUconst_HeatBMvalue),"")</f>
        <v/>
      </c>
      <c r="U222" s="982" t="str">
        <f t="shared" si="148"/>
        <v/>
      </c>
      <c r="V222" s="982" t="str">
        <f t="shared" si="148"/>
        <v/>
      </c>
      <c r="W222" s="982" t="str">
        <f t="shared" si="148"/>
        <v/>
      </c>
      <c r="X222" s="982" t="str">
        <f t="shared" si="148"/>
        <v/>
      </c>
      <c r="Y222" s="982" t="str">
        <f t="shared" si="148"/>
        <v/>
      </c>
      <c r="Z222" s="982" t="str">
        <f t="shared" si="148"/>
        <v/>
      </c>
      <c r="AA222" s="694"/>
      <c r="AB222" s="729"/>
      <c r="AC222" s="982" t="b">
        <f>AC218</f>
        <v>0</v>
      </c>
      <c r="AD222" s="982" t="b">
        <f t="shared" ref="AD222:AI222" si="149">AD218</f>
        <v>0</v>
      </c>
      <c r="AE222" s="982" t="b">
        <f t="shared" si="149"/>
        <v>0</v>
      </c>
      <c r="AF222" s="982" t="b">
        <f t="shared" si="149"/>
        <v>0</v>
      </c>
      <c r="AG222" s="982" t="b">
        <f t="shared" si="149"/>
        <v>0</v>
      </c>
      <c r="AH222" s="982" t="b">
        <f t="shared" si="149"/>
        <v>0</v>
      </c>
      <c r="AI222" s="982" t="b">
        <f t="shared" si="149"/>
        <v>0</v>
      </c>
      <c r="AJ222" s="343"/>
      <c r="AK222" s="343"/>
      <c r="AL222" s="1176" t="str">
        <f>IF(AND(CNTR_ExistSubInstEntries,COUNTIFS(AC222:AI222,2,H222:N222,"")&gt;0),EUconst_Error&amp;"FB"&amp;Q13,"")</f>
        <v/>
      </c>
      <c r="AM222" s="343"/>
    </row>
    <row r="223" spans="1:39" ht="5.15" customHeight="1" x14ac:dyDescent="0.25">
      <c r="A223" s="694"/>
      <c r="B223" s="284"/>
      <c r="C223" s="1496"/>
      <c r="D223" s="1497"/>
      <c r="E223" s="1497"/>
      <c r="F223" s="1497"/>
      <c r="G223" s="1497"/>
      <c r="H223" s="1497"/>
      <c r="I223" s="1497"/>
      <c r="J223" s="1497"/>
      <c r="K223" s="1497"/>
      <c r="L223" s="1497"/>
      <c r="M223" s="1497"/>
      <c r="N223" s="1503"/>
      <c r="O223" s="336"/>
      <c r="P223" s="336"/>
      <c r="Q223" s="770"/>
      <c r="R223" s="694"/>
      <c r="S223" s="770"/>
      <c r="T223" s="694"/>
      <c r="U223" s="694"/>
      <c r="V223" s="694"/>
      <c r="W223" s="694"/>
      <c r="X223" s="694"/>
      <c r="Y223" s="694"/>
      <c r="Z223" s="694"/>
      <c r="AA223" s="694"/>
      <c r="AB223" s="729"/>
      <c r="AC223" s="694"/>
      <c r="AD223" s="694"/>
      <c r="AE223" s="694"/>
      <c r="AF223" s="694"/>
      <c r="AG223" s="694"/>
      <c r="AH223" s="694"/>
      <c r="AI223" s="694"/>
      <c r="AJ223" s="343"/>
      <c r="AK223" s="343"/>
      <c r="AL223" s="343"/>
      <c r="AM223" s="343"/>
    </row>
    <row r="224" spans="1:39" ht="12.75" customHeight="1" x14ac:dyDescent="0.25">
      <c r="A224" s="694"/>
      <c r="B224" s="284"/>
      <c r="C224" s="1496"/>
      <c r="D224" s="1497"/>
      <c r="E224" s="2803" t="str">
        <f>Translations!$B$655</f>
        <v>Топлинна енергия от подинсталации с горивен показател</v>
      </c>
      <c r="F224" s="2672"/>
      <c r="G224" s="1309" t="str">
        <f>EUconst_Unit</f>
        <v>Единица мярка</v>
      </c>
      <c r="H224" s="629">
        <f t="shared" ref="H224:N224" si="150">H$1840</f>
        <v>2024</v>
      </c>
      <c r="I224" s="629">
        <f t="shared" si="150"/>
        <v>2025</v>
      </c>
      <c r="J224" s="629">
        <f t="shared" si="150"/>
        <v>2026</v>
      </c>
      <c r="K224" s="629">
        <f t="shared" si="150"/>
        <v>2027</v>
      </c>
      <c r="L224" s="629">
        <f t="shared" si="150"/>
        <v>2028</v>
      </c>
      <c r="M224" s="629">
        <f t="shared" si="150"/>
        <v>2029</v>
      </c>
      <c r="N224" s="1312">
        <f t="shared" si="150"/>
        <v>2030</v>
      </c>
      <c r="O224" s="336"/>
      <c r="P224" s="336"/>
      <c r="Q224" s="770"/>
      <c r="R224" s="694"/>
      <c r="S224" s="770"/>
      <c r="T224" s="1031">
        <f t="shared" ref="T224:Y224" si="151">H224</f>
        <v>2024</v>
      </c>
      <c r="U224" s="1031">
        <f t="shared" si="151"/>
        <v>2025</v>
      </c>
      <c r="V224" s="1031">
        <f t="shared" si="151"/>
        <v>2026</v>
      </c>
      <c r="W224" s="1031">
        <f t="shared" si="151"/>
        <v>2027</v>
      </c>
      <c r="X224" s="1031">
        <f t="shared" si="151"/>
        <v>2028</v>
      </c>
      <c r="Y224" s="1031">
        <f t="shared" si="151"/>
        <v>2029</v>
      </c>
      <c r="Z224" s="1031">
        <f>N224</f>
        <v>2030</v>
      </c>
      <c r="AA224" s="694"/>
      <c r="AB224" s="729"/>
      <c r="AC224" s="1504">
        <f t="shared" ref="AC224:AI224" si="152">H$1840</f>
        <v>2024</v>
      </c>
      <c r="AD224" s="1504">
        <f t="shared" si="152"/>
        <v>2025</v>
      </c>
      <c r="AE224" s="1504">
        <f t="shared" si="152"/>
        <v>2026</v>
      </c>
      <c r="AF224" s="1504">
        <f t="shared" si="152"/>
        <v>2027</v>
      </c>
      <c r="AG224" s="1504">
        <f t="shared" si="152"/>
        <v>2028</v>
      </c>
      <c r="AH224" s="1504">
        <f t="shared" si="152"/>
        <v>2029</v>
      </c>
      <c r="AI224" s="1504">
        <f t="shared" si="152"/>
        <v>2030</v>
      </c>
      <c r="AJ224" s="343"/>
      <c r="AK224" s="343"/>
      <c r="AL224" s="343"/>
      <c r="AM224" s="343"/>
    </row>
    <row r="225" spans="1:39" ht="12.75" customHeight="1" x14ac:dyDescent="0.25">
      <c r="A225" s="694"/>
      <c r="B225" s="284"/>
      <c r="C225" s="1496"/>
      <c r="D225" s="1505" t="s">
        <v>61</v>
      </c>
      <c r="E225" s="2820" t="str">
        <f>Translations!$B$554</f>
        <v>Нетно количество получена топлинна енергия</v>
      </c>
      <c r="F225" s="2258"/>
      <c r="G225" s="1319" t="str">
        <f>EUconst_TJpa</f>
        <v>TJ / година</v>
      </c>
      <c r="H225" s="56"/>
      <c r="I225" s="56"/>
      <c r="J225" s="56"/>
      <c r="K225" s="56"/>
      <c r="L225" s="56"/>
      <c r="M225" s="56"/>
      <c r="N225" s="121"/>
      <c r="O225" s="336"/>
      <c r="P225" s="158"/>
      <c r="Q225" s="1500" t="str">
        <f>EUconst_CNTR_HeatImportFuel &amp; I13</f>
        <v>HeatImFuel_Подинсталация с топлинен показател (с риск от ИВЕ | извън МКВЕГ)</v>
      </c>
      <c r="R225" s="694"/>
      <c r="S225" s="1509" t="str">
        <f>EUconst_ERR_AttrEmBMapplied &amp; $I13</f>
        <v>ERR_AttrEmBM_Подинсталация с топлинен показател (с риск от ИВЕ | извън МКВЕГ)</v>
      </c>
      <c r="T225" s="982">
        <f t="shared" ref="T225:Z225" si="153">IF(AND(H225&lt;&gt;0,H226="",EUconst_StatusOfDataCollection=FALSE),1,0)</f>
        <v>0</v>
      </c>
      <c r="U225" s="982">
        <f t="shared" si="153"/>
        <v>0</v>
      </c>
      <c r="V225" s="982">
        <f t="shared" si="153"/>
        <v>0</v>
      </c>
      <c r="W225" s="982">
        <f t="shared" si="153"/>
        <v>0</v>
      </c>
      <c r="X225" s="982">
        <f t="shared" si="153"/>
        <v>0</v>
      </c>
      <c r="Y225" s="982">
        <f t="shared" si="153"/>
        <v>0</v>
      </c>
      <c r="Z225" s="982">
        <f t="shared" si="153"/>
        <v>0</v>
      </c>
      <c r="AA225" s="694"/>
      <c r="AB225" s="1182" t="s">
        <v>737</v>
      </c>
      <c r="AC225" s="982" t="b">
        <f>AC221</f>
        <v>0</v>
      </c>
      <c r="AD225" s="982" t="b">
        <f t="shared" ref="AD225:AI225" si="154">AD221</f>
        <v>0</v>
      </c>
      <c r="AE225" s="982" t="b">
        <f t="shared" si="154"/>
        <v>0</v>
      </c>
      <c r="AF225" s="982" t="b">
        <f t="shared" si="154"/>
        <v>0</v>
      </c>
      <c r="AG225" s="982" t="b">
        <f t="shared" si="154"/>
        <v>0</v>
      </c>
      <c r="AH225" s="982" t="b">
        <f t="shared" si="154"/>
        <v>0</v>
      </c>
      <c r="AI225" s="982" t="b">
        <f t="shared" si="154"/>
        <v>0</v>
      </c>
      <c r="AJ225" s="343"/>
      <c r="AK225" s="343"/>
      <c r="AL225" s="1176" t="str">
        <f>IF(AND(CNTR_ExistSubInstEntries,COUNTIFS(AC225:AI225,2,H225:N225,"")&gt;0),EUconst_Error&amp;"FB"&amp;Q13,"")</f>
        <v/>
      </c>
      <c r="AM225" s="343"/>
    </row>
    <row r="226" spans="1:39" ht="12.75" customHeight="1" x14ac:dyDescent="0.3">
      <c r="A226" s="694"/>
      <c r="B226" s="284"/>
      <c r="C226" s="1496"/>
      <c r="D226" s="1505" t="s">
        <v>62</v>
      </c>
      <c r="E226" s="2820" t="str">
        <f>Translations!$B$656</f>
        <v>Специфичен EF (от горивен показател)</v>
      </c>
      <c r="F226" s="2258"/>
      <c r="G226" s="1319" t="str">
        <f>EUconst_tCO2pTJ</f>
        <v>t CO2 / TJ</v>
      </c>
      <c r="H226" s="56"/>
      <c r="I226" s="56"/>
      <c r="J226" s="56"/>
      <c r="K226" s="56"/>
      <c r="L226" s="56"/>
      <c r="M226" s="56"/>
      <c r="N226" s="121"/>
      <c r="O226" s="336"/>
      <c r="P226" s="158"/>
      <c r="Q226" s="1500" t="str">
        <f>EUconst_CNTR_HeatImportFuelEF &amp; I13</f>
        <v>HeatImFuelEF_Подинсталация с топлинен показател (с риск от ИВЕ | извън МКВЕГ)</v>
      </c>
      <c r="R226" s="694"/>
      <c r="S226" s="1510" t="str">
        <f>EUconst_CNTR_AttributedEmissions &amp; $I13</f>
        <v>AttrEmissions_Подинсталация с топлинен показател (с риск от ИВЕ | извън МКВЕГ)</v>
      </c>
      <c r="T226" s="982" t="str">
        <f t="shared" ref="T226:Z226" si="155">IF(T21,SUM(H225)*IF(ISNUMBER(H226),H226,EUconst_HeatBMvalue),"")</f>
        <v/>
      </c>
      <c r="U226" s="982" t="str">
        <f t="shared" si="155"/>
        <v/>
      </c>
      <c r="V226" s="982" t="str">
        <f t="shared" si="155"/>
        <v/>
      </c>
      <c r="W226" s="982" t="str">
        <f t="shared" si="155"/>
        <v/>
      </c>
      <c r="X226" s="982" t="str">
        <f t="shared" si="155"/>
        <v/>
      </c>
      <c r="Y226" s="982" t="str">
        <f t="shared" si="155"/>
        <v/>
      </c>
      <c r="Z226" s="982" t="str">
        <f t="shared" si="155"/>
        <v/>
      </c>
      <c r="AA226" s="694"/>
      <c r="AB226" s="729"/>
      <c r="AC226" s="982" t="b">
        <f>AC222</f>
        <v>0</v>
      </c>
      <c r="AD226" s="982" t="b">
        <f t="shared" ref="AD226:AI226" si="156">AD222</f>
        <v>0</v>
      </c>
      <c r="AE226" s="982" t="b">
        <f t="shared" si="156"/>
        <v>0</v>
      </c>
      <c r="AF226" s="982" t="b">
        <f t="shared" si="156"/>
        <v>0</v>
      </c>
      <c r="AG226" s="982" t="b">
        <f t="shared" si="156"/>
        <v>0</v>
      </c>
      <c r="AH226" s="982" t="b">
        <f t="shared" si="156"/>
        <v>0</v>
      </c>
      <c r="AI226" s="982" t="b">
        <f t="shared" si="156"/>
        <v>0</v>
      </c>
      <c r="AJ226" s="343"/>
      <c r="AK226" s="343"/>
      <c r="AL226" s="1176" t="str">
        <f>IF(AND(CNTR_ExistSubInstEntries,COUNTIFS(AC226:AI226,2,H226:N226,"")&gt;0),EUconst_Error&amp;"FB"&amp;Q13,"")</f>
        <v/>
      </c>
      <c r="AM226" s="343"/>
    </row>
    <row r="227" spans="1:39" ht="5.15" customHeight="1" x14ac:dyDescent="0.25">
      <c r="A227" s="694"/>
      <c r="B227" s="284"/>
      <c r="C227" s="1496"/>
      <c r="D227" s="1497"/>
      <c r="E227" s="1497"/>
      <c r="F227" s="1497"/>
      <c r="G227" s="1497"/>
      <c r="H227" s="1497"/>
      <c r="I227" s="1497"/>
      <c r="J227" s="1497"/>
      <c r="K227" s="1497"/>
      <c r="L227" s="1497"/>
      <c r="M227" s="1497"/>
      <c r="N227" s="1503"/>
      <c r="O227" s="336"/>
      <c r="P227" s="336"/>
      <c r="Q227" s="770"/>
      <c r="R227" s="694"/>
      <c r="S227" s="770"/>
      <c r="T227" s="694"/>
      <c r="U227" s="694"/>
      <c r="V227" s="694"/>
      <c r="W227" s="694"/>
      <c r="X227" s="694"/>
      <c r="Y227" s="694"/>
      <c r="Z227" s="694"/>
      <c r="AA227" s="694"/>
      <c r="AB227" s="729"/>
      <c r="AC227" s="694"/>
      <c r="AD227" s="694"/>
      <c r="AE227" s="694"/>
      <c r="AF227" s="694"/>
      <c r="AG227" s="694"/>
      <c r="AH227" s="694"/>
      <c r="AI227" s="694"/>
      <c r="AJ227" s="343"/>
      <c r="AK227" s="343"/>
      <c r="AL227" s="343"/>
      <c r="AM227" s="343"/>
    </row>
    <row r="228" spans="1:39" ht="12.75" customHeight="1" x14ac:dyDescent="0.25">
      <c r="A228" s="694"/>
      <c r="B228" s="284"/>
      <c r="C228" s="1496"/>
      <c r="D228" s="1497"/>
      <c r="E228" s="2803" t="str">
        <f>Translations!$B$657</f>
        <v>Топлинна енергия от отпадни газове</v>
      </c>
      <c r="F228" s="2672"/>
      <c r="G228" s="1309" t="str">
        <f>EUconst_Unit</f>
        <v>Единица мярка</v>
      </c>
      <c r="H228" s="629">
        <f t="shared" ref="H228:N228" si="157">H$1840</f>
        <v>2024</v>
      </c>
      <c r="I228" s="629">
        <f t="shared" si="157"/>
        <v>2025</v>
      </c>
      <c r="J228" s="629">
        <f t="shared" si="157"/>
        <v>2026</v>
      </c>
      <c r="K228" s="629">
        <f t="shared" si="157"/>
        <v>2027</v>
      </c>
      <c r="L228" s="629">
        <f t="shared" si="157"/>
        <v>2028</v>
      </c>
      <c r="M228" s="629">
        <f t="shared" si="157"/>
        <v>2029</v>
      </c>
      <c r="N228" s="1312">
        <f t="shared" si="157"/>
        <v>2030</v>
      </c>
      <c r="O228" s="336"/>
      <c r="P228" s="336"/>
      <c r="Q228" s="770"/>
      <c r="R228" s="694"/>
      <c r="S228" s="770"/>
      <c r="T228" s="1031">
        <f t="shared" ref="T228:Y228" si="158">H228</f>
        <v>2024</v>
      </c>
      <c r="U228" s="1031">
        <f t="shared" si="158"/>
        <v>2025</v>
      </c>
      <c r="V228" s="1031">
        <f t="shared" si="158"/>
        <v>2026</v>
      </c>
      <c r="W228" s="1031">
        <f t="shared" si="158"/>
        <v>2027</v>
      </c>
      <c r="X228" s="1031">
        <f t="shared" si="158"/>
        <v>2028</v>
      </c>
      <c r="Y228" s="1031">
        <f t="shared" si="158"/>
        <v>2029</v>
      </c>
      <c r="Z228" s="1031">
        <f>N228</f>
        <v>2030</v>
      </c>
      <c r="AA228" s="694"/>
      <c r="AB228" s="729"/>
      <c r="AC228" s="1504">
        <f t="shared" ref="AC228:AI228" si="159">H$1840</f>
        <v>2024</v>
      </c>
      <c r="AD228" s="1504">
        <f t="shared" si="159"/>
        <v>2025</v>
      </c>
      <c r="AE228" s="1504">
        <f t="shared" si="159"/>
        <v>2026</v>
      </c>
      <c r="AF228" s="1504">
        <f t="shared" si="159"/>
        <v>2027</v>
      </c>
      <c r="AG228" s="1504">
        <f t="shared" si="159"/>
        <v>2028</v>
      </c>
      <c r="AH228" s="1504">
        <f t="shared" si="159"/>
        <v>2029</v>
      </c>
      <c r="AI228" s="1504">
        <f t="shared" si="159"/>
        <v>2030</v>
      </c>
      <c r="AJ228" s="343"/>
      <c r="AK228" s="343"/>
      <c r="AL228" s="343"/>
      <c r="AM228" s="343"/>
    </row>
    <row r="229" spans="1:39" ht="12.75" customHeight="1" x14ac:dyDescent="0.25">
      <c r="A229" s="694"/>
      <c r="B229" s="284"/>
      <c r="C229" s="1496"/>
      <c r="D229" s="1505" t="s">
        <v>1136</v>
      </c>
      <c r="E229" s="2820" t="str">
        <f>Translations!$B$554</f>
        <v>Нетно количество получена топлинна енергия</v>
      </c>
      <c r="F229" s="2258"/>
      <c r="G229" s="1319" t="str">
        <f>EUconst_TJpa</f>
        <v>TJ / година</v>
      </c>
      <c r="H229" s="56"/>
      <c r="I229" s="56"/>
      <c r="J229" s="56"/>
      <c r="K229" s="56"/>
      <c r="L229" s="56"/>
      <c r="M229" s="56"/>
      <c r="N229" s="121"/>
      <c r="O229" s="336"/>
      <c r="P229" s="158"/>
      <c r="Q229" s="1500" t="str">
        <f>EUconst_CNTR_WGImport &amp; I13</f>
        <v>WasteGasIm_Подинсталация с топлинен показател (с риск от ИВЕ | извън МКВЕГ)</v>
      </c>
      <c r="R229" s="694"/>
      <c r="S229" s="1509" t="str">
        <f>EUconst_ERR_AttrEmBMapplied &amp; $I13</f>
        <v>ERR_AttrEmBM_Подинсталация с топлинен показател (с риск от ИВЕ | извън МКВЕГ)</v>
      </c>
      <c r="T229" s="982">
        <f t="shared" ref="T229:Z229" si="160">IF(AND(H229&lt;&gt;0,EUconst_StatusOfDataCollection=FALSE),1,0)</f>
        <v>0</v>
      </c>
      <c r="U229" s="982">
        <f t="shared" si="160"/>
        <v>0</v>
      </c>
      <c r="V229" s="982">
        <f t="shared" si="160"/>
        <v>0</v>
      </c>
      <c r="W229" s="982">
        <f t="shared" si="160"/>
        <v>0</v>
      </c>
      <c r="X229" s="982">
        <f t="shared" si="160"/>
        <v>0</v>
      </c>
      <c r="Y229" s="982">
        <f t="shared" si="160"/>
        <v>0</v>
      </c>
      <c r="Z229" s="982">
        <f t="shared" si="160"/>
        <v>0</v>
      </c>
      <c r="AA229" s="694"/>
      <c r="AB229" s="1182" t="s">
        <v>737</v>
      </c>
      <c r="AC229" s="982" t="b">
        <f>AC225</f>
        <v>0</v>
      </c>
      <c r="AD229" s="982" t="b">
        <f t="shared" ref="AD229:AI229" si="161">AD225</f>
        <v>0</v>
      </c>
      <c r="AE229" s="982" t="b">
        <f t="shared" si="161"/>
        <v>0</v>
      </c>
      <c r="AF229" s="982" t="b">
        <f t="shared" si="161"/>
        <v>0</v>
      </c>
      <c r="AG229" s="982" t="b">
        <f t="shared" si="161"/>
        <v>0</v>
      </c>
      <c r="AH229" s="982" t="b">
        <f t="shared" si="161"/>
        <v>0</v>
      </c>
      <c r="AI229" s="982" t="b">
        <f t="shared" si="161"/>
        <v>0</v>
      </c>
      <c r="AJ229" s="343"/>
      <c r="AK229" s="343"/>
      <c r="AL229" s="1176" t="str">
        <f>IF(AND(CNTR_ExistSubInstEntries,COUNTIFS(AC229:AI229,2,H229:N229,"")&gt;0),EUconst_Error&amp;"FB"&amp;Q13,"")</f>
        <v/>
      </c>
      <c r="AM229" s="343"/>
    </row>
    <row r="230" spans="1:39" ht="12.75" customHeight="1" x14ac:dyDescent="0.3">
      <c r="A230" s="694"/>
      <c r="B230" s="284"/>
      <c r="C230" s="1496"/>
      <c r="D230" s="1505" t="s">
        <v>1137</v>
      </c>
      <c r="E230" s="2820" t="str">
        <f>Translations!$B$658</f>
        <v>Специфичен EF (от отпаден газ)</v>
      </c>
      <c r="F230" s="2258"/>
      <c r="G230" s="1319" t="str">
        <f>EUconst_tCO2pTJ</f>
        <v>t CO2 / TJ</v>
      </c>
      <c r="H230" s="56"/>
      <c r="I230" s="56"/>
      <c r="J230" s="56"/>
      <c r="K230" s="56"/>
      <c r="L230" s="56"/>
      <c r="M230" s="56"/>
      <c r="N230" s="121"/>
      <c r="O230" s="336"/>
      <c r="P230" s="158"/>
      <c r="Q230" s="1500" t="str">
        <f>EUconst_CNTR_WGImportEF &amp; I13</f>
        <v>WasteGasImEF_Подинсталация с топлинен показател (с риск от ИВЕ | извън МКВЕГ)</v>
      </c>
      <c r="R230" s="694"/>
      <c r="S230" s="1510" t="str">
        <f>EUconst_CNTR_AttributedEmissions &amp; $I13</f>
        <v>AttrEmissions_Подинсталация с топлинен показател (с риск от ИВЕ | извън МКВЕГ)</v>
      </c>
      <c r="T230" s="982" t="str">
        <f t="shared" ref="T230:Z230" si="162">IF(T21,SUM(H229)*IF(ISNUMBER(H230),H230,EUconst_HeatBMvalue),"")</f>
        <v/>
      </c>
      <c r="U230" s="982" t="str">
        <f t="shared" si="162"/>
        <v/>
      </c>
      <c r="V230" s="982" t="str">
        <f t="shared" si="162"/>
        <v/>
      </c>
      <c r="W230" s="982" t="str">
        <f t="shared" si="162"/>
        <v/>
      </c>
      <c r="X230" s="982" t="str">
        <f t="shared" si="162"/>
        <v/>
      </c>
      <c r="Y230" s="982" t="str">
        <f t="shared" si="162"/>
        <v/>
      </c>
      <c r="Z230" s="982" t="str">
        <f t="shared" si="162"/>
        <v/>
      </c>
      <c r="AA230" s="694"/>
      <c r="AB230" s="694"/>
      <c r="AC230" s="982" t="b">
        <f>AC226</f>
        <v>0</v>
      </c>
      <c r="AD230" s="982" t="b">
        <f t="shared" ref="AD230:AI230" si="163">AD226</f>
        <v>0</v>
      </c>
      <c r="AE230" s="982" t="b">
        <f t="shared" si="163"/>
        <v>0</v>
      </c>
      <c r="AF230" s="982" t="b">
        <f t="shared" si="163"/>
        <v>0</v>
      </c>
      <c r="AG230" s="982" t="b">
        <f t="shared" si="163"/>
        <v>0</v>
      </c>
      <c r="AH230" s="982" t="b">
        <f t="shared" si="163"/>
        <v>0</v>
      </c>
      <c r="AI230" s="982" t="b">
        <f t="shared" si="163"/>
        <v>0</v>
      </c>
      <c r="AJ230" s="343"/>
      <c r="AK230" s="343"/>
      <c r="AL230" s="1176" t="str">
        <f>IF(AND(CNTR_ExistSubInstEntries,COUNTIFS(AC230:AI230,2,H230:N230,"")&gt;0),EUconst_Error&amp;"FB"&amp;Q13,"")</f>
        <v/>
      </c>
      <c r="AM230" s="343"/>
    </row>
    <row r="231" spans="1:39" ht="5.15" customHeight="1" x14ac:dyDescent="0.25">
      <c r="A231" s="694"/>
      <c r="B231" s="284"/>
      <c r="C231" s="1496"/>
      <c r="D231" s="1497"/>
      <c r="E231" s="1497"/>
      <c r="F231" s="1497"/>
      <c r="G231" s="1497"/>
      <c r="H231" s="1497"/>
      <c r="I231" s="1497"/>
      <c r="J231" s="1497"/>
      <c r="K231" s="1497"/>
      <c r="L231" s="1497"/>
      <c r="M231" s="1497"/>
      <c r="N231" s="1503"/>
      <c r="O231" s="336"/>
      <c r="P231" s="336"/>
      <c r="Q231" s="770"/>
      <c r="R231" s="694"/>
      <c r="S231" s="770"/>
      <c r="T231" s="770"/>
      <c r="U231" s="694"/>
      <c r="V231" s="694"/>
      <c r="W231" s="694"/>
      <c r="X231" s="694"/>
      <c r="Y231" s="694"/>
      <c r="Z231" s="694"/>
      <c r="AA231" s="694"/>
      <c r="AB231" s="694"/>
      <c r="AC231" s="694"/>
      <c r="AD231" s="694"/>
      <c r="AE231" s="343"/>
      <c r="AF231" s="343"/>
      <c r="AG231" s="343"/>
      <c r="AH231" s="343"/>
      <c r="AI231" s="343"/>
      <c r="AJ231" s="343"/>
      <c r="AK231" s="343"/>
      <c r="AL231" s="343"/>
      <c r="AM231" s="343"/>
    </row>
    <row r="232" spans="1:39" ht="12.75" customHeight="1" x14ac:dyDescent="0.25">
      <c r="A232" s="694"/>
      <c r="B232" s="284"/>
      <c r="C232" s="1496"/>
      <c r="D232" s="1505" t="s">
        <v>1139</v>
      </c>
      <c r="E232" s="2820" t="str">
        <f>Translations!$B$659</f>
        <v>Общо нетно количество получена топлинна енергия</v>
      </c>
      <c r="F232" s="2258"/>
      <c r="G232" s="1319" t="str">
        <f>EUconst_TJpa</f>
        <v>TJ / година</v>
      </c>
      <c r="H232" s="1020" t="str">
        <f t="shared" ref="H232:N232" si="164">IF(COUNT(H213,H217,H221,H225,H229)&gt;0,SUM(H213,H217,H221,H225,H229),"")</f>
        <v/>
      </c>
      <c r="I232" s="1020" t="str">
        <f t="shared" si="164"/>
        <v/>
      </c>
      <c r="J232" s="1020" t="str">
        <f t="shared" si="164"/>
        <v/>
      </c>
      <c r="K232" s="1020" t="str">
        <f t="shared" si="164"/>
        <v/>
      </c>
      <c r="L232" s="1020" t="str">
        <f t="shared" si="164"/>
        <v/>
      </c>
      <c r="M232" s="1020" t="str">
        <f t="shared" si="164"/>
        <v/>
      </c>
      <c r="N232" s="1371" t="str">
        <f t="shared" si="164"/>
        <v/>
      </c>
      <c r="O232" s="336"/>
      <c r="P232" s="336"/>
      <c r="Q232" s="694"/>
      <c r="R232" s="694"/>
      <c r="S232" s="770"/>
      <c r="T232" s="770"/>
      <c r="U232" s="694"/>
      <c r="V232" s="694"/>
      <c r="W232" s="694"/>
      <c r="X232" s="694"/>
      <c r="Y232" s="694"/>
      <c r="Z232" s="694"/>
      <c r="AA232" s="694"/>
      <c r="AB232" s="694"/>
      <c r="AC232" s="694"/>
      <c r="AD232" s="694"/>
      <c r="AE232" s="343"/>
      <c r="AF232" s="343"/>
      <c r="AG232" s="343"/>
      <c r="AH232" s="343"/>
      <c r="AI232" s="343"/>
      <c r="AJ232" s="343"/>
      <c r="AK232" s="343"/>
      <c r="AL232" s="343"/>
      <c r="AM232" s="343"/>
    </row>
    <row r="233" spans="1:39" ht="12.75" customHeight="1" thickBot="1" x14ac:dyDescent="0.3">
      <c r="A233" s="694"/>
      <c r="B233" s="284"/>
      <c r="C233" s="1511"/>
      <c r="D233" s="1512"/>
      <c r="E233" s="1512"/>
      <c r="F233" s="1512"/>
      <c r="G233" s="1512"/>
      <c r="H233" s="1512"/>
      <c r="I233" s="1512"/>
      <c r="J233" s="1512"/>
      <c r="K233" s="1512"/>
      <c r="L233" s="1512"/>
      <c r="M233" s="1513"/>
      <c r="N233" s="1514"/>
      <c r="O233" s="336"/>
      <c r="P233" s="336"/>
      <c r="Q233" s="770"/>
      <c r="R233" s="694"/>
      <c r="S233" s="770"/>
      <c r="T233" s="694"/>
      <c r="U233" s="694"/>
      <c r="V233" s="694"/>
      <c r="W233" s="694"/>
      <c r="X233" s="694"/>
      <c r="Y233" s="694"/>
      <c r="Z233" s="694"/>
      <c r="AA233" s="694"/>
      <c r="AB233" s="694"/>
      <c r="AC233" s="694"/>
      <c r="AD233" s="694"/>
      <c r="AE233" s="343"/>
      <c r="AF233" s="343"/>
      <c r="AG233" s="343"/>
      <c r="AH233" s="343"/>
      <c r="AI233" s="343"/>
      <c r="AJ233" s="343"/>
      <c r="AK233" s="343"/>
      <c r="AL233" s="343"/>
      <c r="AM233" s="343"/>
    </row>
    <row r="234" spans="1:39" ht="25.5" customHeight="1" thickBot="1" x14ac:dyDescent="0.3">
      <c r="A234" s="694"/>
      <c r="B234" s="698"/>
      <c r="C234" s="698"/>
      <c r="D234" s="698"/>
      <c r="E234" s="698"/>
      <c r="F234" s="698"/>
      <c r="G234" s="698"/>
      <c r="H234" s="698"/>
      <c r="I234" s="698"/>
      <c r="J234" s="698"/>
      <c r="K234" s="698"/>
      <c r="L234" s="698"/>
      <c r="M234" s="698"/>
      <c r="N234" s="698"/>
      <c r="O234" s="336"/>
      <c r="P234" s="336"/>
      <c r="Q234" s="694"/>
      <c r="R234" s="694"/>
      <c r="S234" s="694"/>
      <c r="T234" s="694"/>
      <c r="U234" s="694"/>
      <c r="V234" s="694"/>
      <c r="W234" s="694"/>
      <c r="X234" s="694"/>
      <c r="Y234" s="694"/>
      <c r="Z234" s="694"/>
      <c r="AA234" s="694"/>
      <c r="AB234" s="694"/>
      <c r="AC234" s="694"/>
      <c r="AD234" s="694"/>
      <c r="AE234" s="343"/>
      <c r="AF234" s="343"/>
      <c r="AG234" s="343"/>
      <c r="AH234" s="343"/>
      <c r="AI234" s="343"/>
      <c r="AJ234" s="343"/>
      <c r="AK234" s="343"/>
      <c r="AL234" s="343"/>
      <c r="AM234" s="343"/>
    </row>
    <row r="235" spans="1:39" ht="5.15" customHeight="1" thickBot="1" x14ac:dyDescent="0.3">
      <c r="A235" s="694"/>
      <c r="B235" s="284"/>
      <c r="C235" s="581"/>
      <c r="D235" s="581"/>
      <c r="E235" s="581"/>
      <c r="F235" s="581"/>
      <c r="G235" s="581"/>
      <c r="H235" s="581"/>
      <c r="I235" s="581"/>
      <c r="J235" s="581"/>
      <c r="K235" s="581"/>
      <c r="L235" s="581"/>
      <c r="M235" s="581"/>
      <c r="N235" s="581"/>
      <c r="O235" s="336"/>
      <c r="P235" s="336"/>
      <c r="Q235" s="770"/>
      <c r="R235" s="770"/>
      <c r="S235" s="770"/>
      <c r="T235" s="770"/>
      <c r="U235" s="770"/>
      <c r="V235" s="770"/>
      <c r="W235" s="770"/>
      <c r="X235" s="770"/>
      <c r="Y235" s="770"/>
      <c r="Z235" s="694"/>
      <c r="AA235" s="694"/>
      <c r="AB235" s="694"/>
      <c r="AC235" s="694"/>
      <c r="AD235" s="694"/>
      <c r="AE235" s="343"/>
      <c r="AF235" s="343"/>
      <c r="AG235" s="343"/>
      <c r="AH235" s="343"/>
      <c r="AI235" s="343"/>
      <c r="AJ235" s="343"/>
      <c r="AK235" s="343"/>
      <c r="AL235" s="343"/>
      <c r="AM235" s="343"/>
    </row>
    <row r="236" spans="1:39" ht="14.5" thickBot="1" x14ac:dyDescent="0.35">
      <c r="A236" s="694"/>
      <c r="B236" s="284"/>
      <c r="C236" s="357">
        <f>C13+1</f>
        <v>2</v>
      </c>
      <c r="D236" s="2323" t="str">
        <f>EUconst_FBSubinst &amp; ":"</f>
        <v>Алтернативна подинсталация („Fall-Back sub-installation“):</v>
      </c>
      <c r="E236" s="2249"/>
      <c r="F236" s="2249"/>
      <c r="G236" s="2249"/>
      <c r="H236" s="2295"/>
      <c r="I236" s="2843" t="str">
        <f>INDEX(EUconst_FallBackListNames,$C236)</f>
        <v>Подинсталация с топлинен показател (без риск от ИВЕ | извън МКВЕГ)</v>
      </c>
      <c r="J236" s="2844"/>
      <c r="K236" s="2844"/>
      <c r="L236" s="2845"/>
      <c r="M236" s="2919" t="str">
        <f>IF(INDEX(CNTR_FallBackSubInstRelevant,C236)="","",IF(INDEX(CNTR_FallBackSubInstRelevant,C236),EUconst_Relevant,EUconst_NotRelevant))</f>
        <v/>
      </c>
      <c r="N236" s="2920"/>
      <c r="O236" s="336"/>
      <c r="P236" s="336"/>
      <c r="Q236" s="1391">
        <f>C236</f>
        <v>2</v>
      </c>
      <c r="R236" s="694"/>
      <c r="S236" s="1174" t="str">
        <f>Translations!$B$898</f>
        <v>Дата на въвеждане в експлоатация:</v>
      </c>
      <c r="T236" s="1175" t="str">
        <f>IF(M236&lt;&gt;EUconst_Relevant,"",MAX(INDEX(CNTR_SubInstStartDate,MATCH($I236,CNTR_SubInstListNames,0)),DATE(2005,1,1)))</f>
        <v/>
      </c>
      <c r="U236" s="729" t="s">
        <v>1731</v>
      </c>
      <c r="V236" s="1176">
        <f>IF(ISNUMBER(T236),YEAR($T236-IF(YEAR(T236)&gt;=2022,0,1))+1,2005)</f>
        <v>2005</v>
      </c>
      <c r="W236" s="1174" t="s">
        <v>1734</v>
      </c>
      <c r="X236" s="1175" t="str">
        <f>IF(M236&lt;&gt;EUconst_Relevant,"",INDEX(CNTR_SubInstCessationDate,MATCH($I236,CNTR_SubInstListNames,0)))</f>
        <v/>
      </c>
      <c r="Y236" s="1174" t="s">
        <v>1735</v>
      </c>
      <c r="Z236" s="1176">
        <f>IF(SUM(X236)=0,2050,YEAR($X236))</f>
        <v>2050</v>
      </c>
      <c r="AA236" s="1174" t="s">
        <v>2009</v>
      </c>
      <c r="AB236" s="1176" t="b">
        <f>CNTR_ReportingYear&gt;V236</f>
        <v>1</v>
      </c>
      <c r="AC236" s="1174" t="s">
        <v>1395</v>
      </c>
      <c r="AD236" s="1177" t="b">
        <f>AND(CNTR_ExistSubInstEntries,M236=EUconst_NotRelevant)</f>
        <v>0</v>
      </c>
      <c r="AE236" s="343"/>
      <c r="AF236" s="343"/>
      <c r="AG236" s="343"/>
      <c r="AH236" s="343"/>
      <c r="AI236" s="343"/>
      <c r="AJ236" s="343"/>
      <c r="AK236" s="343"/>
      <c r="AL236" s="343"/>
      <c r="AM236" s="343"/>
    </row>
    <row r="237" spans="1:39" ht="12.75" customHeight="1" x14ac:dyDescent="0.25">
      <c r="A237" s="694"/>
      <c r="B237" s="698"/>
      <c r="C237" s="698"/>
      <c r="D237" s="698"/>
      <c r="E237" s="698"/>
      <c r="F237" s="698"/>
      <c r="G237" s="698"/>
      <c r="H237" s="773"/>
      <c r="I237" s="2921" t="str">
        <f>IF(M236&lt;&gt;EUconst_Relevant,"",IF(M236=EUconst_Relevant,HYPERLINK("",EUconst_MsgEnterThisSection),HYPERLINK(R237,EUconst_MsgGoToNextSubInst)))</f>
        <v/>
      </c>
      <c r="J237" s="2922"/>
      <c r="K237" s="2922"/>
      <c r="L237" s="2922"/>
      <c r="M237" s="2923"/>
      <c r="N237" s="2924"/>
      <c r="O237" s="336"/>
      <c r="P237" s="336"/>
      <c r="Q237" s="694" t="s">
        <v>450</v>
      </c>
      <c r="R237" s="875" t="str">
        <f>"#JUMP_G"&amp;Q236+1</f>
        <v>#JUMP_G3</v>
      </c>
      <c r="S237" s="694"/>
      <c r="T237" s="694"/>
      <c r="U237" s="694"/>
      <c r="V237" s="694"/>
      <c r="W237" s="694"/>
      <c r="X237" s="694"/>
      <c r="Y237" s="694"/>
      <c r="Z237" s="729"/>
      <c r="AA237" s="694"/>
      <c r="AB237" s="694"/>
      <c r="AC237" s="694"/>
      <c r="AD237" s="694"/>
      <c r="AE237" s="343"/>
      <c r="AF237" s="343"/>
      <c r="AG237" s="343"/>
      <c r="AH237" s="343"/>
      <c r="AI237" s="343"/>
      <c r="AJ237" s="343"/>
      <c r="AK237" s="343"/>
      <c r="AL237" s="343"/>
      <c r="AM237" s="343"/>
    </row>
    <row r="238" spans="1:39" ht="12.75" customHeight="1" x14ac:dyDescent="0.25">
      <c r="A238" s="694"/>
      <c r="B238" s="284"/>
      <c r="C238" s="284"/>
      <c r="D238" s="302"/>
      <c r="E238" s="2358" t="str">
        <f>Translations!$B$613</f>
        <v>Името на алтернативната подинсталация („fall-back sub-installation“) се показва автоматично въз основа на общия списък на възможните алтернативни инсталации.</v>
      </c>
      <c r="F238" s="2249"/>
      <c r="G238" s="2249"/>
      <c r="H238" s="2249"/>
      <c r="I238" s="2249"/>
      <c r="J238" s="2249"/>
      <c r="K238" s="2249"/>
      <c r="L238" s="2249"/>
      <c r="M238" s="2249"/>
      <c r="N238" s="2249"/>
      <c r="O238" s="336"/>
      <c r="P238" s="336"/>
      <c r="Q238" s="770"/>
      <c r="R238" s="770"/>
      <c r="S238" s="694"/>
      <c r="T238" s="694"/>
      <c r="U238" s="694"/>
      <c r="V238" s="694"/>
      <c r="W238" s="694"/>
      <c r="X238" s="694"/>
      <c r="Y238" s="694"/>
      <c r="Z238" s="694"/>
      <c r="AA238" s="694"/>
      <c r="AB238" s="694"/>
      <c r="AC238" s="694"/>
      <c r="AD238" s="694"/>
      <c r="AE238" s="343"/>
      <c r="AF238" s="343"/>
      <c r="AG238" s="343"/>
      <c r="AH238" s="343"/>
      <c r="AI238" s="343"/>
      <c r="AJ238" s="343"/>
      <c r="AK238" s="343"/>
      <c r="AL238" s="343"/>
      <c r="AM238" s="343"/>
    </row>
    <row r="239" spans="1:39" ht="5.15" customHeight="1" x14ac:dyDescent="0.25">
      <c r="A239" s="694"/>
      <c r="B239" s="284"/>
      <c r="C239" s="284"/>
      <c r="D239" s="284"/>
      <c r="E239" s="284"/>
      <c r="F239" s="284"/>
      <c r="G239" s="284"/>
      <c r="H239" s="284"/>
      <c r="I239" s="284"/>
      <c r="J239" s="284"/>
      <c r="K239" s="284"/>
      <c r="L239" s="284"/>
      <c r="M239" s="336"/>
      <c r="N239" s="336"/>
      <c r="O239" s="336"/>
      <c r="P239" s="336"/>
      <c r="Q239" s="770"/>
      <c r="R239" s="770"/>
      <c r="S239" s="770"/>
      <c r="T239" s="770"/>
      <c r="U239" s="770"/>
      <c r="V239" s="770"/>
      <c r="W239" s="770"/>
      <c r="X239" s="770"/>
      <c r="Y239" s="770"/>
      <c r="Z239" s="694"/>
      <c r="AA239" s="694"/>
      <c r="AB239" s="694"/>
      <c r="AC239" s="694"/>
      <c r="AD239" s="694"/>
      <c r="AE239" s="343"/>
      <c r="AF239" s="343"/>
      <c r="AG239" s="343"/>
      <c r="AH239" s="343"/>
      <c r="AI239" s="343"/>
      <c r="AJ239" s="343"/>
      <c r="AK239" s="343"/>
      <c r="AL239" s="343"/>
      <c r="AM239" s="343"/>
    </row>
    <row r="240" spans="1:39" ht="12.75" customHeight="1" x14ac:dyDescent="0.25">
      <c r="A240" s="694"/>
      <c r="B240" s="284"/>
      <c r="C240" s="300"/>
      <c r="D240" s="300" t="s">
        <v>408</v>
      </c>
      <c r="E240" s="2226" t="str">
        <f>Translations!$B$1315</f>
        <v>Равнища на дейност</v>
      </c>
      <c r="F240" s="2249"/>
      <c r="G240" s="2249"/>
      <c r="H240" s="2249"/>
      <c r="I240" s="2249"/>
      <c r="J240" s="2249"/>
      <c r="K240" s="2249"/>
      <c r="L240" s="2249"/>
      <c r="M240" s="2249"/>
      <c r="N240" s="2249"/>
      <c r="O240" s="336"/>
      <c r="P240" s="336"/>
      <c r="Q240" s="770"/>
      <c r="R240" s="770"/>
      <c r="S240" s="770"/>
      <c r="T240" s="770"/>
      <c r="U240" s="770"/>
      <c r="V240" s="770"/>
      <c r="W240" s="770"/>
      <c r="X240" s="770"/>
      <c r="Y240" s="770"/>
      <c r="Z240" s="694"/>
      <c r="AA240" s="694"/>
      <c r="AB240" s="729"/>
      <c r="AC240" s="694"/>
      <c r="AD240" s="694"/>
      <c r="AE240" s="343"/>
      <c r="AF240" s="343"/>
      <c r="AG240" s="343"/>
      <c r="AH240" s="343"/>
      <c r="AI240" s="343"/>
      <c r="AJ240" s="343"/>
      <c r="AK240" s="343"/>
      <c r="AL240" s="343"/>
      <c r="AM240" s="343"/>
    </row>
    <row r="241" spans="1:39" ht="12.75" customHeight="1" x14ac:dyDescent="0.25">
      <c r="A241" s="694" t="str">
        <f>IF(C236&gt;4,$A$1,"")</f>
        <v/>
      </c>
      <c r="B241" s="284"/>
      <c r="C241" s="302"/>
      <c r="D241" s="302"/>
      <c r="E241" s="2925" t="str">
        <f>Translations!$B$614</f>
        <v>Следните данни се вземат автоматично от раздел E.II.r на лист „E_EnergyFlows“ („E_Енергийни потоци“).Затова въвеждането на данни там е задължително.</v>
      </c>
      <c r="F241" s="2925"/>
      <c r="G241" s="2925"/>
      <c r="H241" s="2925"/>
      <c r="I241" s="2925"/>
      <c r="J241" s="2925"/>
      <c r="K241" s="2925"/>
      <c r="L241" s="2925"/>
      <c r="M241" s="2925"/>
      <c r="N241" s="2925"/>
      <c r="O241" s="336"/>
      <c r="P241" s="336"/>
      <c r="Q241" s="770"/>
      <c r="R241" s="694"/>
      <c r="S241" s="694"/>
      <c r="T241" s="694"/>
      <c r="U241" s="694"/>
      <c r="V241" s="694"/>
      <c r="W241" s="694"/>
      <c r="X241" s="694"/>
      <c r="Y241" s="694"/>
      <c r="Z241" s="694"/>
      <c r="AA241" s="694"/>
      <c r="AB241" s="694"/>
      <c r="AC241" s="694"/>
      <c r="AD241" s="694"/>
      <c r="AE241" s="343"/>
      <c r="AF241" s="343"/>
      <c r="AG241" s="343"/>
      <c r="AH241" s="343"/>
      <c r="AI241" s="343"/>
      <c r="AJ241" s="343"/>
      <c r="AK241" s="343"/>
      <c r="AL241" s="343"/>
      <c r="AM241" s="343"/>
    </row>
    <row r="242" spans="1:39" ht="12.75" customHeight="1" x14ac:dyDescent="0.25">
      <c r="A242" s="694"/>
      <c r="B242" s="284"/>
      <c r="C242" s="284"/>
      <c r="D242" s="302"/>
      <c r="E242" s="2358" t="str">
        <f>Translations!$B$1332</f>
        <v>На базата на началото на нормална експлоатация, въведено в B+C.I, HAL ще се основава или на стойността в НМИ (показана в ii.), или на първата година на пълна експлоатация за нови подинсталации (посочена в iv.).</v>
      </c>
      <c r="F242" s="2926"/>
      <c r="G242" s="2926"/>
      <c r="H242" s="2926"/>
      <c r="I242" s="2926"/>
      <c r="J242" s="2926"/>
      <c r="K242" s="2926"/>
      <c r="L242" s="2926"/>
      <c r="M242" s="2926"/>
      <c r="N242" s="2926"/>
      <c r="O242" s="336"/>
      <c r="P242" s="336"/>
      <c r="Q242" s="770"/>
      <c r="R242" s="694"/>
      <c r="S242" s="694"/>
      <c r="T242" s="694"/>
      <c r="U242" s="694"/>
      <c r="V242" s="694"/>
      <c r="W242" s="694"/>
      <c r="X242" s="694"/>
      <c r="Y242" s="694"/>
      <c r="Z242" s="694"/>
      <c r="AA242" s="729"/>
      <c r="AB242" s="729"/>
      <c r="AC242" s="694"/>
      <c r="AD242" s="694"/>
      <c r="AE242" s="343"/>
      <c r="AF242" s="343"/>
      <c r="AG242" s="343"/>
      <c r="AH242" s="343"/>
      <c r="AI242" s="343"/>
      <c r="AJ242" s="343"/>
      <c r="AK242" s="343"/>
      <c r="AL242" s="343"/>
      <c r="AM242" s="343"/>
    </row>
    <row r="243" spans="1:39" ht="12.75" customHeight="1" thickBot="1" x14ac:dyDescent="0.3">
      <c r="A243" s="694"/>
      <c r="B243" s="698"/>
      <c r="C243" s="300"/>
      <c r="D243" s="300"/>
      <c r="E243" s="389" t="str">
        <f>Translations!$B$615</f>
        <v>Основно равнище на дейност:</v>
      </c>
      <c r="F243" s="1015"/>
      <c r="G243" s="527" t="str">
        <f>EUconst_Unit</f>
        <v>Единица мярка</v>
      </c>
      <c r="H243" s="391">
        <f t="shared" ref="H243:N243" si="165">H$1840</f>
        <v>2024</v>
      </c>
      <c r="I243" s="572">
        <f t="shared" si="165"/>
        <v>2025</v>
      </c>
      <c r="J243" s="757">
        <f t="shared" si="165"/>
        <v>2026</v>
      </c>
      <c r="K243" s="391">
        <f t="shared" si="165"/>
        <v>2027</v>
      </c>
      <c r="L243" s="391">
        <f t="shared" si="165"/>
        <v>2028</v>
      </c>
      <c r="M243" s="391">
        <f t="shared" si="165"/>
        <v>2029</v>
      </c>
      <c r="N243" s="387">
        <f t="shared" si="165"/>
        <v>2030</v>
      </c>
      <c r="O243" s="336"/>
      <c r="P243" s="336"/>
      <c r="Q243" s="1033" t="s">
        <v>560</v>
      </c>
      <c r="R243" s="694"/>
      <c r="S243" s="694"/>
      <c r="T243" s="1178">
        <f t="shared" ref="T243" si="166">H243</f>
        <v>2024</v>
      </c>
      <c r="U243" s="1178">
        <f t="shared" ref="U243" si="167">I243</f>
        <v>2025</v>
      </c>
      <c r="V243" s="1178">
        <f t="shared" ref="V243" si="168">J243</f>
        <v>2026</v>
      </c>
      <c r="W243" s="1178">
        <f t="shared" ref="W243" si="169">K243</f>
        <v>2027</v>
      </c>
      <c r="X243" s="1178">
        <f t="shared" ref="X243" si="170">L243</f>
        <v>2028</v>
      </c>
      <c r="Y243" s="1178">
        <f t="shared" ref="Y243" si="171">M243</f>
        <v>2029</v>
      </c>
      <c r="Z243" s="1178">
        <f t="shared" ref="Z243" si="172">N243</f>
        <v>2030</v>
      </c>
      <c r="AA243" s="729"/>
      <c r="AB243" s="729"/>
      <c r="AC243" s="694"/>
      <c r="AD243" s="694"/>
      <c r="AE243" s="343"/>
      <c r="AF243" s="343"/>
      <c r="AG243" s="343"/>
      <c r="AH243" s="343"/>
      <c r="AI243" s="343"/>
      <c r="AJ243" s="343"/>
      <c r="AK243" s="343"/>
      <c r="AL243" s="343"/>
      <c r="AM243" s="343"/>
    </row>
    <row r="244" spans="1:39" ht="12.75" customHeight="1" thickBot="1" x14ac:dyDescent="0.3">
      <c r="A244" s="694"/>
      <c r="B244" s="698"/>
      <c r="C244" s="698"/>
      <c r="D244" s="1084" t="s">
        <v>6</v>
      </c>
      <c r="E244" s="2862" t="str">
        <f>I236</f>
        <v>Подинсталация с топлинен показател (без риск от ИВЕ | извън МКВЕГ)</v>
      </c>
      <c r="F244" s="2862"/>
      <c r="G244" s="1032" t="str">
        <f>INDEX(EUconst_FallBackListUnits,MATCH(E244,EUconst_FallBackListNames,0))</f>
        <v>TJ</v>
      </c>
      <c r="H244" s="1024" t="str">
        <f>IF($M236&lt;&gt;EUconst_Relevant,"",IF(H243&gt;=CNTR_ReportingYear,"",IF(AND(H243&gt;=$V236-1,ISNUMBER(INDEX(E_EnergyFlows!H$435:H$443,MATCH($E244,E_EnergyFlows!$E$435:$E$443,0)))),INDEX(E_EnergyFlows!H$435:H$443,MATCH($E244,E_EnergyFlows!$E$435:$E$443,0)),0)))</f>
        <v/>
      </c>
      <c r="I244" s="1392" t="str">
        <f>IF($M236&lt;&gt;EUconst_Relevant,"",IF(I243&gt;=CNTR_ReportingYear,"",IF(AND(I243&gt;=$V236-1,ISNUMBER(INDEX(E_EnergyFlows!I$435:I$443,MATCH($E244,E_EnergyFlows!$E$435:$E$443,0)))),INDEX(E_EnergyFlows!I$435:I$443,MATCH($E244,E_EnergyFlows!$E$435:$E$443,0)),0)))</f>
        <v/>
      </c>
      <c r="J244" s="1393" t="str">
        <f>IF($M236&lt;&gt;EUconst_Relevant,"",IF(J243&gt;=CNTR_ReportingYear,"",IF(AND(J243&gt;=$V236-1,ISNUMBER(INDEX(E_EnergyFlows!J$435:J$443,MATCH($E244,E_EnergyFlows!$E$435:$E$443,0)))),INDEX(E_EnergyFlows!J$435:J$443,MATCH($E244,E_EnergyFlows!$E$435:$E$443,0)),0)))</f>
        <v/>
      </c>
      <c r="K244" s="1024" t="str">
        <f>IF($M236&lt;&gt;EUconst_Relevant,"",IF(K243&gt;=CNTR_ReportingYear,"",IF(AND(K243&gt;=$V236-1,ISNUMBER(INDEX(E_EnergyFlows!K$435:K$443,MATCH($E244,E_EnergyFlows!$E$435:$E$443,0)))),INDEX(E_EnergyFlows!K$435:K$443,MATCH($E244,E_EnergyFlows!$E$435:$E$443,0)),0)))</f>
        <v/>
      </c>
      <c r="L244" s="1024" t="str">
        <f>IF($M236&lt;&gt;EUconst_Relevant,"",IF(L243&gt;=CNTR_ReportingYear,"",IF(AND(L243&gt;=$V236-1,ISNUMBER(INDEX(E_EnergyFlows!L$435:L$443,MATCH($E244,E_EnergyFlows!$E$435:$E$443,0)))),INDEX(E_EnergyFlows!L$435:L$443,MATCH($E244,E_EnergyFlows!$E$435:$E$443,0)),0)))</f>
        <v/>
      </c>
      <c r="M244" s="1024" t="str">
        <f>IF($M236&lt;&gt;EUconst_Relevant,"",IF(M243&gt;=CNTR_ReportingYear,"",IF(AND(M243&gt;=$V236-1,ISNUMBER(INDEX(E_EnergyFlows!M$435:M$443,MATCH($E244,E_EnergyFlows!$E$435:$E$443,0)))),INDEX(E_EnergyFlows!M$435:M$443,MATCH($E244,E_EnergyFlows!$E$435:$E$443,0)),0)))</f>
        <v/>
      </c>
      <c r="N244" s="1024" t="str">
        <f>IF($M236&lt;&gt;EUconst_Relevant,"",IF(N243&gt;=CNTR_ReportingYear,"",IF(AND(N243&gt;=$V236-1,ISNUMBER(INDEX(E_EnergyFlows!N$435:N$443,MATCH($E244,E_EnergyFlows!$E$435:$E$443,0)))),INDEX(E_EnergyFlows!N$435:N$443,MATCH($E244,E_EnergyFlows!$E$435:$E$443,0)),0)))</f>
        <v/>
      </c>
      <c r="O244" s="710"/>
      <c r="P244" s="336"/>
      <c r="Q244" s="1394" t="str">
        <f>EUconst_CNTR_HAL&amp;E244</f>
        <v>HAL_Подинсталация с топлинен показател (без риск от ИВЕ | извън МКВЕГ)</v>
      </c>
      <c r="R244" s="694"/>
      <c r="S244" s="1395" t="s">
        <v>1732</v>
      </c>
      <c r="T244" s="1396" t="b">
        <f t="shared" ref="T244:Z244" si="173">AND($M236=EUconst_Relevant,T243&lt;CNTR_ReportingYear,T243&gt;=$V236-1)</f>
        <v>0</v>
      </c>
      <c r="U244" s="1397" t="b">
        <f t="shared" si="173"/>
        <v>0</v>
      </c>
      <c r="V244" s="1397" t="b">
        <f t="shared" si="173"/>
        <v>0</v>
      </c>
      <c r="W244" s="1397" t="b">
        <f t="shared" si="173"/>
        <v>0</v>
      </c>
      <c r="X244" s="1397" t="b">
        <f t="shared" si="173"/>
        <v>0</v>
      </c>
      <c r="Y244" s="1397" t="b">
        <f t="shared" si="173"/>
        <v>0</v>
      </c>
      <c r="Z244" s="1398" t="b">
        <f t="shared" si="173"/>
        <v>0</v>
      </c>
      <c r="AA244" s="694"/>
      <c r="AB244" s="694"/>
      <c r="AC244" s="1395"/>
      <c r="AD244" s="694"/>
      <c r="AE244" s="343"/>
      <c r="AF244" s="343"/>
      <c r="AG244" s="343"/>
      <c r="AH244" s="343"/>
      <c r="AI244" s="343"/>
      <c r="AJ244" s="343"/>
      <c r="AK244" s="1174" t="s">
        <v>2033</v>
      </c>
      <c r="AL244" s="982" t="str">
        <f>IF(COUNTIFS(H243:N243,"&lt;"&amp;YEAR(SUM(T236)),H244:N244,"&gt;"&amp;0)&gt;0,EUconst_Error&amp;"FB"&amp;Q236,"")</f>
        <v/>
      </c>
      <c r="AM244" s="343"/>
    </row>
    <row r="245" spans="1:39" ht="5.15" customHeight="1" x14ac:dyDescent="0.25">
      <c r="A245" s="694"/>
      <c r="B245" s="298"/>
      <c r="C245" s="298"/>
      <c r="D245" s="302"/>
      <c r="E245" s="302"/>
      <c r="F245" s="302"/>
      <c r="G245" s="302"/>
      <c r="H245" s="302"/>
      <c r="I245" s="302"/>
      <c r="J245" s="302"/>
      <c r="K245" s="302"/>
      <c r="L245" s="302"/>
      <c r="M245" s="302"/>
      <c r="N245" s="302"/>
      <c r="O245" s="302"/>
      <c r="P245" s="336"/>
      <c r="Q245" s="729"/>
      <c r="R245" s="694"/>
      <c r="S245" s="729"/>
      <c r="T245" s="729"/>
      <c r="U245" s="694"/>
      <c r="V245" s="694"/>
      <c r="W245" s="694"/>
      <c r="X245" s="694"/>
      <c r="Y245" s="694"/>
      <c r="Z245" s="729"/>
      <c r="AA245" s="694"/>
      <c r="AB245" s="729"/>
      <c r="AC245" s="694"/>
      <c r="AD245" s="694"/>
      <c r="AE245" s="343"/>
      <c r="AF245" s="343"/>
      <c r="AG245" s="343"/>
      <c r="AH245" s="343"/>
      <c r="AI245" s="343"/>
      <c r="AJ245" s="343"/>
      <c r="AK245" s="343"/>
      <c r="AL245" s="343"/>
      <c r="AM245" s="343"/>
    </row>
    <row r="246" spans="1:39" ht="25.5" customHeight="1" x14ac:dyDescent="0.25">
      <c r="A246" s="694"/>
      <c r="B246" s="298"/>
      <c r="C246" s="298"/>
      <c r="D246" s="302"/>
      <c r="E246" s="2358" t="str">
        <f>Translations!$B$1333</f>
        <v>На базата на стойностите на HAL и тези по буква a) по-горе тук се определят средните равнища на дейност. Разпределението ще бъде променено само ако са надвишени всички долуизброени прагове от членове 5 и 6 от Регламента за ALC:</v>
      </c>
      <c r="F246" s="2249"/>
      <c r="G246" s="2249"/>
      <c r="H246" s="2249"/>
      <c r="I246" s="2249"/>
      <c r="J246" s="2249"/>
      <c r="K246" s="2249"/>
      <c r="L246" s="2249"/>
      <c r="M246" s="2249"/>
      <c r="N246" s="2249"/>
      <c r="O246" s="302"/>
      <c r="P246" s="336"/>
      <c r="Q246" s="729"/>
      <c r="R246" s="694"/>
      <c r="S246" s="729"/>
      <c r="T246" s="729"/>
      <c r="U246" s="729"/>
      <c r="V246" s="694"/>
      <c r="W246" s="694"/>
      <c r="X246" s="694"/>
      <c r="Y246" s="694"/>
      <c r="Z246" s="694"/>
      <c r="AA246" s="694"/>
      <c r="AB246" s="694"/>
      <c r="AC246" s="694"/>
      <c r="AD246" s="694"/>
      <c r="AE246" s="694"/>
      <c r="AF246" s="694"/>
      <c r="AG246" s="694"/>
      <c r="AH246" s="694"/>
      <c r="AI246" s="694"/>
      <c r="AJ246" s="694"/>
      <c r="AK246" s="694"/>
      <c r="AL246" s="694"/>
      <c r="AM246" s="343"/>
    </row>
    <row r="247" spans="1:39" ht="12.75" customHeight="1" x14ac:dyDescent="0.25">
      <c r="A247" s="694"/>
      <c r="B247" s="298"/>
      <c r="C247" s="298"/>
      <c r="D247" s="302"/>
      <c r="E247" s="1191" t="s">
        <v>1052</v>
      </c>
      <c r="F247" s="2358" t="str">
        <f>Translations!$B$1530</f>
        <v>относителният праг (15 %) за средното равнище на дейност в сравнение с HAL</v>
      </c>
      <c r="G247" s="2861"/>
      <c r="H247" s="2861"/>
      <c r="I247" s="2861"/>
      <c r="J247" s="2861"/>
      <c r="K247" s="2861"/>
      <c r="L247" s="2861"/>
      <c r="M247" s="2861"/>
      <c r="N247" s="2861"/>
      <c r="O247" s="302"/>
      <c r="P247" s="336"/>
      <c r="Q247" s="729"/>
      <c r="R247" s="694"/>
      <c r="S247" s="729"/>
      <c r="T247" s="729"/>
      <c r="U247" s="729"/>
      <c r="V247" s="694"/>
      <c r="W247" s="694"/>
      <c r="X247" s="694"/>
      <c r="Y247" s="694"/>
      <c r="Z247" s="694"/>
      <c r="AA247" s="694"/>
      <c r="AB247" s="694"/>
      <c r="AC247" s="694"/>
      <c r="AD247" s="694"/>
      <c r="AE247" s="694"/>
      <c r="AF247" s="694"/>
      <c r="AG247" s="694"/>
      <c r="AH247" s="694"/>
      <c r="AI247" s="694"/>
      <c r="AJ247" s="694"/>
      <c r="AK247" s="694"/>
      <c r="AL247" s="694"/>
      <c r="AM247" s="343"/>
    </row>
    <row r="248" spans="1:39" ht="12.75" customHeight="1" x14ac:dyDescent="0.25">
      <c r="A248" s="694"/>
      <c r="B248" s="298"/>
      <c r="C248" s="298"/>
      <c r="D248" s="302"/>
      <c r="E248" s="1191" t="s">
        <v>1052</v>
      </c>
      <c r="F248" s="2358" t="str">
        <f>Translations!$B$1531</f>
        <v>относителните прагове (15 % и 5 % за последващи промени) за очакваното равнище на дейност в сравнение с HAL</v>
      </c>
      <c r="G248" s="2861"/>
      <c r="H248" s="2861"/>
      <c r="I248" s="2861"/>
      <c r="J248" s="2861"/>
      <c r="K248" s="2861"/>
      <c r="L248" s="2861"/>
      <c r="M248" s="2861"/>
      <c r="N248" s="2861"/>
      <c r="O248" s="302"/>
      <c r="P248" s="336"/>
      <c r="Q248" s="729"/>
      <c r="R248" s="694"/>
      <c r="S248" s="729"/>
      <c r="T248" s="729"/>
      <c r="U248" s="729"/>
      <c r="V248" s="694"/>
      <c r="W248" s="694"/>
      <c r="X248" s="694"/>
      <c r="Y248" s="694"/>
      <c r="Z248" s="694"/>
      <c r="AA248" s="694"/>
      <c r="AB248" s="694"/>
      <c r="AC248" s="694"/>
      <c r="AD248" s="694"/>
      <c r="AE248" s="694"/>
      <c r="AF248" s="694"/>
      <c r="AG248" s="694"/>
      <c r="AH248" s="694"/>
      <c r="AI248" s="694"/>
      <c r="AJ248" s="694"/>
      <c r="AK248" s="694"/>
      <c r="AL248" s="694"/>
      <c r="AM248" s="343"/>
    </row>
    <row r="249" spans="1:39" ht="12.75" customHeight="1" thickBot="1" x14ac:dyDescent="0.3">
      <c r="A249" s="694"/>
      <c r="B249" s="298"/>
      <c r="C249" s="298"/>
      <c r="D249" s="302"/>
      <c r="E249" s="1191" t="s">
        <v>1052</v>
      </c>
      <c r="F249" s="2358" t="str">
        <f>Translations!$B$1514</f>
        <v>абсолютния праг, т.е. промяната би довела до разлика в предварителното разпределение от най-малко 300 квоти</v>
      </c>
      <c r="G249" s="2861"/>
      <c r="H249" s="2861"/>
      <c r="I249" s="2861"/>
      <c r="J249" s="2861"/>
      <c r="K249" s="2861"/>
      <c r="L249" s="2861"/>
      <c r="M249" s="2861"/>
      <c r="N249" s="2861"/>
      <c r="O249" s="302"/>
      <c r="P249" s="336"/>
      <c r="Q249" s="729"/>
      <c r="R249" s="694"/>
      <c r="S249" s="729"/>
      <c r="T249" s="729"/>
      <c r="U249" s="729"/>
      <c r="V249" s="694"/>
      <c r="W249" s="694"/>
      <c r="X249" s="694"/>
      <c r="Y249" s="694"/>
      <c r="Z249" s="694"/>
      <c r="AA249" s="694"/>
      <c r="AB249" s="694"/>
      <c r="AC249" s="694"/>
      <c r="AD249" s="694"/>
      <c r="AE249" s="694"/>
      <c r="AF249" s="694"/>
      <c r="AG249" s="694"/>
      <c r="AH249" s="694"/>
      <c r="AI249" s="694"/>
      <c r="AJ249" s="694"/>
      <c r="AK249" s="694"/>
      <c r="AL249" s="694"/>
      <c r="AM249" s="343"/>
    </row>
    <row r="250" spans="1:39" ht="5.15" customHeight="1" thickBot="1" x14ac:dyDescent="0.3">
      <c r="A250" s="694"/>
      <c r="B250" s="298"/>
      <c r="C250" s="298"/>
      <c r="D250" s="1192"/>
      <c r="E250" s="1193"/>
      <c r="F250" s="1194"/>
      <c r="G250" s="1195"/>
      <c r="H250" s="1195"/>
      <c r="I250" s="1195"/>
      <c r="J250" s="1195"/>
      <c r="K250" s="1195"/>
      <c r="L250" s="1195"/>
      <c r="M250" s="1195"/>
      <c r="N250" s="1196"/>
      <c r="O250" s="302"/>
      <c r="P250" s="336"/>
      <c r="Q250" s="729"/>
      <c r="R250" s="694"/>
      <c r="S250" s="729"/>
      <c r="T250" s="729"/>
      <c r="U250" s="729"/>
      <c r="V250" s="694"/>
      <c r="W250" s="694"/>
      <c r="X250" s="694"/>
      <c r="Y250" s="694"/>
      <c r="Z250" s="694"/>
      <c r="AA250" s="694"/>
      <c r="AB250" s="694"/>
      <c r="AC250" s="694"/>
      <c r="AD250" s="694"/>
      <c r="AE250" s="694"/>
      <c r="AF250" s="694"/>
      <c r="AG250" s="694"/>
      <c r="AH250" s="694"/>
      <c r="AI250" s="694"/>
      <c r="AJ250" s="694"/>
      <c r="AK250" s="694"/>
      <c r="AL250" s="694"/>
      <c r="AM250" s="343"/>
    </row>
    <row r="251" spans="1:39" ht="12.75" customHeight="1" x14ac:dyDescent="0.25">
      <c r="A251" s="694"/>
      <c r="B251" s="298"/>
      <c r="C251" s="298"/>
      <c r="D251" s="1217"/>
      <c r="E251" s="1198" t="str">
        <f>Translations!$B$1334</f>
        <v>Предварителна корекция</v>
      </c>
      <c r="F251" s="1199"/>
      <c r="G251" s="1199"/>
      <c r="H251" s="1200" t="str">
        <f>EUconst_Unit</f>
        <v>Единица мярка</v>
      </c>
      <c r="I251" s="1201" t="str">
        <f>Translations!$B$1320</f>
        <v>(НМИ) HAL</v>
      </c>
      <c r="J251" s="1202">
        <f>J$1840</f>
        <v>2026</v>
      </c>
      <c r="K251" s="1203">
        <f>K$1840</f>
        <v>2027</v>
      </c>
      <c r="L251" s="1203">
        <f>L$1840</f>
        <v>2028</v>
      </c>
      <c r="M251" s="1203">
        <f>M$1840</f>
        <v>2029</v>
      </c>
      <c r="N251" s="1204">
        <f>N$1840</f>
        <v>2030</v>
      </c>
      <c r="O251" s="302"/>
      <c r="P251" s="336"/>
      <c r="Q251" s="729"/>
      <c r="R251" s="694"/>
      <c r="S251" s="729"/>
      <c r="T251" s="729"/>
      <c r="U251" s="1205"/>
      <c r="V251" s="1206">
        <f>J251</f>
        <v>2026</v>
      </c>
      <c r="W251" s="1206">
        <f>K251</f>
        <v>2027</v>
      </c>
      <c r="X251" s="1206">
        <f>L251</f>
        <v>2028</v>
      </c>
      <c r="Y251" s="1206">
        <f>M251</f>
        <v>2029</v>
      </c>
      <c r="Z251" s="1207">
        <f>N251</f>
        <v>2030</v>
      </c>
      <c r="AA251" s="694"/>
      <c r="AB251" s="729"/>
      <c r="AC251" s="694"/>
      <c r="AD251" s="694"/>
      <c r="AE251" s="343"/>
      <c r="AF251" s="343"/>
      <c r="AG251" s="343"/>
      <c r="AH251" s="343"/>
      <c r="AI251" s="343"/>
      <c r="AJ251" s="343"/>
      <c r="AK251" s="343"/>
      <c r="AL251" s="343"/>
      <c r="AM251" s="343"/>
    </row>
    <row r="252" spans="1:39" ht="12.75" customHeight="1" x14ac:dyDescent="0.25">
      <c r="A252" s="694"/>
      <c r="B252" s="298"/>
      <c r="C252" s="298"/>
      <c r="D252" s="1208" t="s">
        <v>7</v>
      </c>
      <c r="E252" s="1209" t="str">
        <f>Translations!$B$1321</f>
        <v>Средно годишно равнище на дейност (стойност в НМИ)</v>
      </c>
      <c r="F252" s="1209"/>
      <c r="G252" s="1209"/>
      <c r="H252" s="1266" t="str">
        <f>G244</f>
        <v>TJ</v>
      </c>
      <c r="I252" s="1399" t="str">
        <f>IF(V236&gt;($J$1840-3),EUconst_NA,INDEX('B+C_SubInstallations'!$I:$I,MATCH(Q252,'B+C_SubInstallations'!$T:$T,0)))</f>
        <v/>
      </c>
      <c r="J252" s="1400" t="str">
        <f>IF(AND(V252&gt;=3,CNTR_ReportingYear&gt;J251-1),AVERAGE(SUM(H244),SUM(I244)),"")</f>
        <v/>
      </c>
      <c r="K252" s="1401" t="str">
        <f>IF(AND(W252&gt;=3,CNTR_ReportingYear&gt;K251-1),AVERAGE(SUM(I244),SUM(J244)),"")</f>
        <v/>
      </c>
      <c r="L252" s="1401" t="str">
        <f>IF(AND(X252&gt;=3,CNTR_ReportingYear&gt;L251-1),AVERAGE(SUM(J244),SUM(K244)),"")</f>
        <v/>
      </c>
      <c r="M252" s="1401" t="str">
        <f>IF(AND(Y252&gt;=3,CNTR_ReportingYear&gt;M251-1),AVERAGE(SUM(K244),SUM(L244)),"")</f>
        <v/>
      </c>
      <c r="N252" s="1402" t="str">
        <f>IF(AND(Z252&gt;=3,CNTR_ReportingYear&gt;N251-1),AVERAGE(SUM(L244),SUM(M244)),"")</f>
        <v/>
      </c>
      <c r="O252" s="302"/>
      <c r="P252" s="336"/>
      <c r="Q252" s="1270" t="str">
        <f>EUconst_CNTR_HALinitial&amp;I236</f>
        <v>HALini_Подинсталация с топлинен показател (без риск от ИВЕ | извън МКВЕГ)</v>
      </c>
      <c r="R252" s="694"/>
      <c r="S252" s="729"/>
      <c r="T252" s="729"/>
      <c r="U252" s="1365" t="s">
        <v>1710</v>
      </c>
      <c r="V252" s="834">
        <f>IF($M236&lt;&gt;EUconst_Relevant,0,V251-$V236+1)</f>
        <v>0</v>
      </c>
      <c r="W252" s="834">
        <f>IF($M236&lt;&gt;EUconst_Relevant,0,W251-$V236+1)</f>
        <v>0</v>
      </c>
      <c r="X252" s="834">
        <f>IF($M236&lt;&gt;EUconst_Relevant,0,X251-$V236+1)</f>
        <v>0</v>
      </c>
      <c r="Y252" s="834">
        <f>IF($M236&lt;&gt;EUconst_Relevant,0,Y251-$V236+1)</f>
        <v>0</v>
      </c>
      <c r="Z252" s="1403">
        <f>IF($M236&lt;&gt;EUconst_Relevant,0,Z251-$V236+1)</f>
        <v>0</v>
      </c>
      <c r="AA252" s="694"/>
      <c r="AB252" s="729"/>
      <c r="AC252" s="694"/>
      <c r="AD252" s="694"/>
      <c r="AE252" s="343"/>
      <c r="AF252" s="343"/>
      <c r="AG252" s="343"/>
      <c r="AH252" s="343"/>
      <c r="AI252" s="343"/>
      <c r="AJ252" s="343"/>
      <c r="AK252" s="343"/>
      <c r="AL252" s="343"/>
      <c r="AM252" s="343"/>
    </row>
    <row r="253" spans="1:39" ht="12.75" hidden="1" customHeight="1" x14ac:dyDescent="0.25">
      <c r="A253" s="729" t="s">
        <v>312</v>
      </c>
      <c r="B253" s="298"/>
      <c r="C253" s="298"/>
      <c r="D253" s="1208"/>
      <c r="E253" s="1209" t="str">
        <f>Translations!$B$1376</f>
        <v>Промяна в сравнение с HAL</v>
      </c>
      <c r="F253" s="1209"/>
      <c r="G253" s="1209"/>
      <c r="H253" s="1222"/>
      <c r="I253" s="1223"/>
      <c r="J253" s="104" t="str">
        <f>IF(J252="","",IF($I255=0,IF(J252=0,0%,100%),J252/$I255-1))</f>
        <v/>
      </c>
      <c r="K253" s="99" t="str">
        <f>IF(K252="","",IF($I255=0,IF(K252=0,0%,100%),K252/$I255-1))</f>
        <v/>
      </c>
      <c r="L253" s="99" t="str">
        <f>IF(L252="","",IF($I255=0,IF(L252=0,0%,100%),L252/$I255-1))</f>
        <v/>
      </c>
      <c r="M253" s="99" t="str">
        <f>IF(M252="","",IF($I255=0,IF(M252=0,0%,100%),M252/$I255-1))</f>
        <v/>
      </c>
      <c r="N253" s="123" t="str">
        <f>IF(N252="","",IF($I255=0,IF(N252=0,0%,100%),N252/$I255-1))</f>
        <v/>
      </c>
      <c r="O253" s="302"/>
      <c r="P253" s="336"/>
      <c r="Q253" s="1190" t="str">
        <f>EUconst_CNTR_RelThreshold &amp;I236</f>
        <v>RelThresh_Подинсталация с топлинен показател (без риск от ИВЕ | извън МКВЕГ)</v>
      </c>
      <c r="R253" s="694"/>
      <c r="S253" s="729"/>
      <c r="T253" s="729"/>
      <c r="U253" s="1365" t="s">
        <v>1715</v>
      </c>
      <c r="V253" s="727" t="str">
        <f>IF(J252="","",ABS(J253)&gt;15%)</f>
        <v/>
      </c>
      <c r="W253" s="727" t="str">
        <f>IF(K252="","",ABS(K253)&gt;15%)</f>
        <v/>
      </c>
      <c r="X253" s="727" t="str">
        <f>IF(L252="","",ABS(L253)&gt;15%)</f>
        <v/>
      </c>
      <c r="Y253" s="727" t="str">
        <f>IF(M252="","",ABS(M253)&gt;15%)</f>
        <v/>
      </c>
      <c r="Z253" s="1221" t="str">
        <f>IF(N252="","",ABS(N253)&gt;15%)</f>
        <v/>
      </c>
      <c r="AA253" s="694"/>
      <c r="AB253" s="729"/>
      <c r="AC253" s="694"/>
      <c r="AD253" s="694"/>
      <c r="AE253" s="343"/>
      <c r="AF253" s="343"/>
      <c r="AG253" s="343"/>
      <c r="AH253" s="343"/>
      <c r="AI253" s="343"/>
      <c r="AJ253" s="343"/>
      <c r="AK253" s="343"/>
      <c r="AL253" s="343"/>
      <c r="AM253" s="343"/>
    </row>
    <row r="254" spans="1:39" ht="12.75" customHeight="1" x14ac:dyDescent="0.25">
      <c r="A254" s="729"/>
      <c r="B254" s="298"/>
      <c r="C254" s="298"/>
      <c r="D254" s="1208" t="s">
        <v>8</v>
      </c>
      <c r="E254" s="1209" t="str">
        <f>Translations!$B$1322</f>
        <v>Предварителна корекция (ако са надвишени относителните прагове)</v>
      </c>
      <c r="F254" s="1209"/>
      <c r="G254" s="1209"/>
      <c r="H254" s="1222"/>
      <c r="I254" s="1223"/>
      <c r="J254" s="1224" t="str">
        <f>IF(J252="","",IF(V253=FALSE,0%,J253))</f>
        <v/>
      </c>
      <c r="K254" s="1225" t="str">
        <f t="shared" ref="K254" si="174">IF(K252="","",IF(W253=FALSE,0%,K253))</f>
        <v/>
      </c>
      <c r="L254" s="1225" t="str">
        <f t="shared" ref="L254" si="175">IF(L252="","",IF(X253=FALSE,0%,L253))</f>
        <v/>
      </c>
      <c r="M254" s="1225" t="str">
        <f t="shared" ref="M254" si="176">IF(M252="","",IF(Y253=FALSE,0%,M253))</f>
        <v/>
      </c>
      <c r="N254" s="1226" t="str">
        <f t="shared" ref="N254" si="177">IF(N252="","",IF(Z253=FALSE,0%,N253))</f>
        <v/>
      </c>
      <c r="O254" s="302"/>
      <c r="P254" s="336"/>
      <c r="Q254" s="729"/>
      <c r="R254" s="694"/>
      <c r="S254" s="729"/>
      <c r="T254" s="729"/>
      <c r="U254" s="1365" t="s">
        <v>1716</v>
      </c>
      <c r="V254" s="727" t="str">
        <f>IF(J252="","",AND(V253,IF(SUM(I373)&lt;0,OR(SUM(J253)&lt;SUM(I373)-MOD(SUM(I373),5%),J253&gt;=SUM(I373)+5%-MOD(SUM(I373),5%)),OR(SUM(J253)&lt;=SUM(I373)-MOD(SUM(I373),5%),SUM(J253)&gt;SUM(I373)+5%-MOD(SUM(I373),5%)))))</f>
        <v/>
      </c>
      <c r="W254" s="727" t="str">
        <f>IF(K252="","",AND(W253,IF(SUM(J373)&lt;0,OR(SUM(K253)&lt;SUM(J373)-MOD(SUM(J373),5%),K253&gt;=SUM(J373)+5%-MOD(SUM(J373),5%)),OR(SUM(K253)&lt;=SUM(J373)-MOD(SUM(J373),5%),SUM(K253)&gt;SUM(J373)+5%-MOD(SUM(J373),5%)))))</f>
        <v/>
      </c>
      <c r="X254" s="727" t="str">
        <f>IF(L252="","",AND(X253,IF(SUM(K373)&lt;0,OR(SUM(L253)&lt;SUM(K373)-MOD(SUM(K373),5%),L253&gt;=SUM(K373)+5%-MOD(SUM(K373),5%)),OR(SUM(L253)&lt;=SUM(K373)-MOD(SUM(K373),5%),SUM(L253)&gt;SUM(K373)+5%-MOD(SUM(K373),5%)))))</f>
        <v/>
      </c>
      <c r="Y254" s="727" t="str">
        <f>IF(M252="","",AND(Y253,IF(SUM(L373)&lt;0,OR(SUM(M253)&lt;SUM(L373)-MOD(SUM(L373),5%),M253&gt;=SUM(L373)+5%-MOD(SUM(L373),5%)),OR(SUM(M253)&lt;=SUM(L373)-MOD(SUM(L373),5%),SUM(M253)&gt;SUM(L373)+5%-MOD(SUM(L373),5%)))))</f>
        <v/>
      </c>
      <c r="Z254" s="1221" t="str">
        <f>IF(N252="","",AND(Z253,IF(SUM(M373)&lt;0,OR(SUM(N253)&lt;SUM(M373)-MOD(SUM(M373),5%),N253&gt;=SUM(M373)+5%-MOD(SUM(M373),5%)),OR(SUM(N253)&lt;=SUM(M373)-MOD(SUM(M373),5%),SUM(N253)&gt;SUM(M373)+5%-MOD(SUM(M373),5%)))))</f>
        <v/>
      </c>
      <c r="AA254" s="694"/>
      <c r="AB254" s="729"/>
      <c r="AC254" s="694"/>
      <c r="AD254" s="694"/>
      <c r="AE254" s="343"/>
      <c r="AF254" s="343"/>
      <c r="AG254" s="343"/>
      <c r="AH254" s="343"/>
      <c r="AI254" s="343"/>
      <c r="AJ254" s="343"/>
      <c r="AK254" s="343"/>
      <c r="AL254" s="343"/>
      <c r="AM254" s="343"/>
    </row>
    <row r="255" spans="1:39" ht="12.75" customHeight="1" thickBot="1" x14ac:dyDescent="0.3">
      <c r="A255" s="729"/>
      <c r="B255" s="298"/>
      <c r="C255" s="298"/>
      <c r="D255" s="1208" t="s">
        <v>18</v>
      </c>
      <c r="E255" s="1209" t="str">
        <f>Translations!$B$1377</f>
        <v>Предварителна стойност</v>
      </c>
      <c r="F255" s="1209"/>
      <c r="G255" s="1209"/>
      <c r="H255" s="1266" t="str">
        <f>H252</f>
        <v>TJ</v>
      </c>
      <c r="I255" s="1399" t="str">
        <f>IF(M236&lt;&gt;EUconst_Relevant,"",IF(AB236=FALSE,EUconst_NA,IF(V236&gt;($J$1840-3),INDEX(H244:N244,MATCH($V236,H243:N243,0)),I252)))</f>
        <v/>
      </c>
      <c r="J255" s="1400" t="str">
        <f>IF($M236&lt;&gt;EUconst_Relevant,"",IF(V252&lt;2,SUM(J244),IF(V252&lt;3,SUM(I244),IF(V255="",I255,V255))))</f>
        <v/>
      </c>
      <c r="K255" s="1401" t="str">
        <f>IF($M236&lt;&gt;EUconst_Relevant,"",IF(W252&lt;2,SUM(K244),IF(W252&lt;3,SUM(J244),IF(W255="",J255,W255))))</f>
        <v/>
      </c>
      <c r="L255" s="1401" t="str">
        <f>IF($M236&lt;&gt;EUconst_Relevant,"",IF(X252&lt;2,SUM(L244),IF(X252&lt;3,SUM(K244),IF(X255="",K255,X255))))</f>
        <v/>
      </c>
      <c r="M255" s="1401" t="str">
        <f>IF($M236&lt;&gt;EUconst_Relevant,"",IF(Y252&lt;2,SUM(M244),IF(Y252&lt;3,SUM(L244),IF(Y255="",L255,Y255))))</f>
        <v/>
      </c>
      <c r="N255" s="1402" t="str">
        <f>IF($M236&lt;&gt;EUconst_Relevant,"",IF(Z252&lt;2,SUM(N244),IF(Z252&lt;3,SUM(M244),IF(Z255="",M255,Z255))))</f>
        <v/>
      </c>
      <c r="O255" s="710"/>
      <c r="P255" s="336"/>
      <c r="Q255" s="1190" t="s">
        <v>2143</v>
      </c>
      <c r="R255" s="694"/>
      <c r="S255" s="729"/>
      <c r="T255" s="729"/>
      <c r="U255" s="1404" t="s">
        <v>1711</v>
      </c>
      <c r="V255" s="1405" t="str">
        <f>IF(J252="","",IF(CNTR_ReportingYear&lt;J251,I254,IF($I255=0,J252,$I255*(1+J254))))</f>
        <v/>
      </c>
      <c r="W255" s="1405" t="str">
        <f>IF(K252="","",IF(CNTR_ReportingYear&lt;K251,J254,IF($I255=0,K252,$I255*(1+K254))))</f>
        <v/>
      </c>
      <c r="X255" s="1405" t="str">
        <f>IF(L252="","",IF(CNTR_ReportingYear&lt;L251,K254,IF($I255=0,L252,$I255*(1+L254))))</f>
        <v/>
      </c>
      <c r="Y255" s="1405" t="str">
        <f>IF(M252="","",IF(CNTR_ReportingYear&lt;M251,L254,IF($I255=0,M252,$I255*(1+M254))))</f>
        <v/>
      </c>
      <c r="Z255" s="1406" t="str">
        <f>IF(N252="","",IF(CNTR_ReportingYear&lt;N251,M254,IF($I255=0,N252,$I255*(1+N254))))</f>
        <v/>
      </c>
      <c r="AA255" s="694"/>
      <c r="AB255" s="694"/>
      <c r="AC255" s="694"/>
      <c r="AD255" s="694"/>
      <c r="AE255" s="343"/>
      <c r="AF255" s="343"/>
      <c r="AG255" s="343"/>
      <c r="AH255" s="343"/>
      <c r="AI255" s="343"/>
      <c r="AJ255" s="343"/>
      <c r="AK255" s="343"/>
      <c r="AL255" s="343"/>
      <c r="AM255" s="343"/>
    </row>
    <row r="256" spans="1:39" ht="5.15" customHeight="1" thickBot="1" x14ac:dyDescent="0.3">
      <c r="A256" s="729"/>
      <c r="B256" s="698"/>
      <c r="C256" s="284"/>
      <c r="D256" s="1407"/>
      <c r="E256" s="1408"/>
      <c r="F256" s="1408"/>
      <c r="G256" s="1408"/>
      <c r="H256" s="1408"/>
      <c r="I256" s="1408"/>
      <c r="J256" s="1408"/>
      <c r="K256" s="1408"/>
      <c r="L256" s="1408"/>
      <c r="M256" s="1408"/>
      <c r="N256" s="1409"/>
      <c r="O256" s="336"/>
      <c r="P256" s="336"/>
      <c r="Q256" s="694"/>
      <c r="R256" s="694"/>
      <c r="S256" s="729"/>
      <c r="T256" s="729"/>
      <c r="U256" s="694"/>
      <c r="V256" s="694"/>
      <c r="W256" s="694"/>
      <c r="X256" s="694"/>
      <c r="Y256" s="694"/>
      <c r="Z256" s="729"/>
      <c r="AA256" s="729"/>
      <c r="AB256" s="729"/>
      <c r="AC256" s="694"/>
      <c r="AD256" s="694"/>
      <c r="AE256" s="343"/>
      <c r="AF256" s="343"/>
      <c r="AG256" s="343"/>
      <c r="AH256" s="343"/>
      <c r="AI256" s="343"/>
      <c r="AJ256" s="343"/>
      <c r="AK256" s="343"/>
      <c r="AL256" s="343"/>
      <c r="AM256" s="343"/>
    </row>
    <row r="257" spans="1:39" ht="5.15" customHeight="1" x14ac:dyDescent="0.25">
      <c r="A257" s="729" t="str">
        <f>A258</f>
        <v/>
      </c>
      <c r="B257" s="698"/>
      <c r="C257" s="284"/>
      <c r="D257" s="284"/>
      <c r="E257" s="284"/>
      <c r="F257" s="284"/>
      <c r="G257" s="284"/>
      <c r="H257" s="284"/>
      <c r="I257" s="284"/>
      <c r="J257" s="284"/>
      <c r="K257" s="284"/>
      <c r="L257" s="284"/>
      <c r="M257" s="284"/>
      <c r="N257" s="284"/>
      <c r="O257" s="336"/>
      <c r="P257" s="336"/>
      <c r="Q257" s="694"/>
      <c r="R257" s="694"/>
      <c r="S257" s="729"/>
      <c r="T257" s="729"/>
      <c r="U257" s="694"/>
      <c r="V257" s="694"/>
      <c r="W257" s="694"/>
      <c r="X257" s="694"/>
      <c r="Y257" s="694"/>
      <c r="Z257" s="729"/>
      <c r="AA257" s="729"/>
      <c r="AB257" s="729"/>
      <c r="AC257" s="694"/>
      <c r="AD257" s="694"/>
      <c r="AE257" s="343"/>
      <c r="AF257" s="343"/>
      <c r="AG257" s="343"/>
      <c r="AH257" s="343"/>
      <c r="AI257" s="343"/>
      <c r="AJ257" s="343"/>
      <c r="AK257" s="343"/>
      <c r="AL257" s="343"/>
      <c r="AM257" s="343"/>
    </row>
    <row r="258" spans="1:39" ht="14" x14ac:dyDescent="0.3">
      <c r="A258" s="729" t="str">
        <f>IF(MATCH(I236,EUconst_FallBackListNames,0)=4,"ausblenden","")</f>
        <v/>
      </c>
      <c r="B258" s="698"/>
      <c r="C258" s="590"/>
      <c r="D258" s="2323" t="str">
        <f>Translations!$B$495</f>
        <v>Данни за производството</v>
      </c>
      <c r="E258" s="2249"/>
      <c r="F258" s="2249"/>
      <c r="G258" s="2249"/>
      <c r="H258" s="2249"/>
      <c r="I258" s="2249"/>
      <c r="J258" s="2249"/>
      <c r="K258" s="2249"/>
      <c r="L258" s="2249"/>
      <c r="M258" s="2249"/>
      <c r="N258" s="2249"/>
      <c r="O258" s="336"/>
      <c r="P258" s="336"/>
      <c r="Q258" s="694"/>
      <c r="R258" s="694"/>
      <c r="S258" s="694"/>
      <c r="T258" s="694"/>
      <c r="U258" s="694"/>
      <c r="V258" s="694"/>
      <c r="W258" s="694"/>
      <c r="X258" s="694"/>
      <c r="Y258" s="694"/>
      <c r="Z258" s="729"/>
      <c r="AA258" s="729"/>
      <c r="AB258" s="729"/>
      <c r="AC258" s="694"/>
      <c r="AD258" s="694"/>
      <c r="AE258" s="343"/>
      <c r="AF258" s="343"/>
      <c r="AG258" s="343"/>
      <c r="AH258" s="343"/>
      <c r="AI258" s="343"/>
      <c r="AJ258" s="343"/>
      <c r="AK258" s="343"/>
      <c r="AL258" s="343"/>
      <c r="AM258" s="343"/>
    </row>
    <row r="259" spans="1:39" ht="5.15" customHeight="1" x14ac:dyDescent="0.25">
      <c r="A259" s="729" t="str">
        <f>A258</f>
        <v/>
      </c>
      <c r="B259" s="284"/>
      <c r="C259" s="284"/>
      <c r="D259" s="284"/>
      <c r="E259" s="284"/>
      <c r="F259" s="284"/>
      <c r="G259" s="284"/>
      <c r="H259" s="284"/>
      <c r="I259" s="284"/>
      <c r="J259" s="284"/>
      <c r="K259" s="284"/>
      <c r="L259" s="284"/>
      <c r="M259" s="284"/>
      <c r="N259" s="284"/>
      <c r="O259" s="336"/>
      <c r="P259" s="336"/>
      <c r="Q259" s="770"/>
      <c r="R259" s="770"/>
      <c r="S259" s="694"/>
      <c r="T259" s="694"/>
      <c r="U259" s="694"/>
      <c r="V259" s="694"/>
      <c r="W259" s="694"/>
      <c r="X259" s="694"/>
      <c r="Y259" s="694"/>
      <c r="Z259" s="729"/>
      <c r="AA259" s="729"/>
      <c r="AB259" s="729"/>
      <c r="AC259" s="694"/>
      <c r="AD259" s="694"/>
      <c r="AE259" s="343"/>
      <c r="AF259" s="343"/>
      <c r="AG259" s="343"/>
      <c r="AH259" s="343"/>
      <c r="AI259" s="343"/>
      <c r="AJ259" s="343"/>
      <c r="AK259" s="343"/>
      <c r="AL259" s="343"/>
      <c r="AM259" s="343"/>
    </row>
    <row r="260" spans="1:39" ht="12.75" customHeight="1" x14ac:dyDescent="0.25">
      <c r="A260" s="729" t="str">
        <f t="shared" ref="A260:A324" si="178">A259</f>
        <v/>
      </c>
      <c r="B260" s="284"/>
      <c r="C260" s="300"/>
      <c r="D260" s="300" t="s">
        <v>901</v>
      </c>
      <c r="E260" s="2226" t="str">
        <f>Translations!$B$616</f>
        <v>Определяне на съответните продукти или услуги, свързани с тази подинсталация</v>
      </c>
      <c r="F260" s="2249"/>
      <c r="G260" s="2249"/>
      <c r="H260" s="2249"/>
      <c r="I260" s="2249"/>
      <c r="J260" s="2249"/>
      <c r="K260" s="2249"/>
      <c r="L260" s="2249"/>
      <c r="M260" s="2249"/>
      <c r="N260" s="2249"/>
      <c r="O260" s="336"/>
      <c r="P260" s="336"/>
      <c r="Q260" s="770"/>
      <c r="R260" s="694"/>
      <c r="S260" s="694"/>
      <c r="T260" s="694"/>
      <c r="U260" s="694"/>
      <c r="V260" s="694"/>
      <c r="W260" s="694"/>
      <c r="X260" s="694"/>
      <c r="Y260" s="694"/>
      <c r="Z260" s="694"/>
      <c r="AA260" s="694"/>
      <c r="AB260" s="729"/>
      <c r="AC260" s="694"/>
      <c r="AD260" s="694"/>
      <c r="AE260" s="343"/>
      <c r="AF260" s="343"/>
      <c r="AG260" s="343"/>
      <c r="AH260" s="343"/>
      <c r="AI260" s="343"/>
      <c r="AJ260" s="343"/>
      <c r="AK260" s="343"/>
      <c r="AL260" s="343"/>
      <c r="AM260" s="343"/>
    </row>
    <row r="261" spans="1:39" ht="12.75" customHeight="1" x14ac:dyDescent="0.25">
      <c r="A261" s="729" t="str">
        <f t="shared" si="178"/>
        <v/>
      </c>
      <c r="B261" s="284"/>
      <c r="C261" s="302"/>
      <c r="D261" s="302"/>
      <c r="E261" s="2358" t="str">
        <f>Translations!$B$617</f>
        <v>Тук посочете към кои производствени процеси или услуги има отношение тази подинсталация. Това може да включва следните елементи:</v>
      </c>
      <c r="F261" s="2249"/>
      <c r="G261" s="2249"/>
      <c r="H261" s="2249"/>
      <c r="I261" s="2249"/>
      <c r="J261" s="2249"/>
      <c r="K261" s="2249"/>
      <c r="L261" s="2249"/>
      <c r="M261" s="2249"/>
      <c r="N261" s="2249"/>
      <c r="O261" s="336"/>
      <c r="P261" s="336"/>
      <c r="Q261" s="770"/>
      <c r="R261" s="770"/>
      <c r="S261" s="770"/>
      <c r="T261" s="770"/>
      <c r="U261" s="770"/>
      <c r="V261" s="770"/>
      <c r="W261" s="770"/>
      <c r="X261" s="770"/>
      <c r="Y261" s="770"/>
      <c r="Z261" s="770"/>
      <c r="AA261" s="770"/>
      <c r="AB261" s="729"/>
      <c r="AC261" s="694"/>
      <c r="AD261" s="694"/>
      <c r="AE261" s="343"/>
      <c r="AF261" s="343"/>
      <c r="AG261" s="343"/>
      <c r="AH261" s="343"/>
      <c r="AI261" s="343"/>
      <c r="AJ261" s="343"/>
      <c r="AK261" s="343"/>
      <c r="AL261" s="343"/>
      <c r="AM261" s="343"/>
    </row>
    <row r="262" spans="1:39" ht="12.75" customHeight="1" x14ac:dyDescent="0.25">
      <c r="A262" s="729" t="str">
        <f t="shared" si="178"/>
        <v/>
      </c>
      <c r="B262" s="284"/>
      <c r="C262" s="302"/>
      <c r="D262" s="302"/>
      <c r="E262" s="1410" t="s">
        <v>951</v>
      </c>
      <c r="F262" s="2358" t="str">
        <f>Translations!$B$618</f>
        <v>Производство на стоки, непопадащи в продуктовите показатели в рамките на инсталацията (посочете вида продукти);</v>
      </c>
      <c r="G262" s="2249"/>
      <c r="H262" s="2249"/>
      <c r="I262" s="2249"/>
      <c r="J262" s="2249"/>
      <c r="K262" s="2249"/>
      <c r="L262" s="2249"/>
      <c r="M262" s="2249"/>
      <c r="N262" s="2249"/>
      <c r="O262" s="336"/>
      <c r="P262" s="336"/>
      <c r="Q262" s="770"/>
      <c r="R262" s="770"/>
      <c r="S262" s="770"/>
      <c r="T262" s="770"/>
      <c r="U262" s="770"/>
      <c r="V262" s="770"/>
      <c r="W262" s="770"/>
      <c r="X262" s="770"/>
      <c r="Y262" s="770"/>
      <c r="Z262" s="770"/>
      <c r="AA262" s="770"/>
      <c r="AB262" s="729"/>
      <c r="AC262" s="694"/>
      <c r="AD262" s="694"/>
      <c r="AE262" s="343"/>
      <c r="AF262" s="343"/>
      <c r="AG262" s="343"/>
      <c r="AH262" s="343"/>
      <c r="AI262" s="343"/>
      <c r="AJ262" s="343"/>
      <c r="AK262" s="343"/>
      <c r="AL262" s="343"/>
      <c r="AM262" s="343"/>
    </row>
    <row r="263" spans="1:39" ht="12.75" customHeight="1" x14ac:dyDescent="0.25">
      <c r="A263" s="729" t="str">
        <f t="shared" si="178"/>
        <v/>
      </c>
      <c r="B263" s="284"/>
      <c r="C263" s="302"/>
      <c r="D263" s="302"/>
      <c r="E263" s="1410" t="s">
        <v>951</v>
      </c>
      <c r="F263" s="2358" t="str">
        <f>Translations!$B$619</f>
        <v>производство на механична енергия, за отопление или охлаждане (всички употреби без производство на електроенергия);</v>
      </c>
      <c r="G263" s="2249"/>
      <c r="H263" s="2249"/>
      <c r="I263" s="2249"/>
      <c r="J263" s="2249"/>
      <c r="K263" s="2249"/>
      <c r="L263" s="2249"/>
      <c r="M263" s="2249"/>
      <c r="N263" s="2249"/>
      <c r="O263" s="336"/>
      <c r="P263" s="336"/>
      <c r="Q263" s="770"/>
      <c r="R263" s="770"/>
      <c r="S263" s="770"/>
      <c r="T263" s="770"/>
      <c r="U263" s="770"/>
      <c r="V263" s="770"/>
      <c r="W263" s="770"/>
      <c r="X263" s="770"/>
      <c r="Y263" s="770"/>
      <c r="Z263" s="694"/>
      <c r="AA263" s="694"/>
      <c r="AB263" s="729"/>
      <c r="AC263" s="694"/>
      <c r="AD263" s="694"/>
      <c r="AE263" s="343"/>
      <c r="AF263" s="343"/>
      <c r="AG263" s="343"/>
      <c r="AH263" s="343"/>
      <c r="AI263" s="343"/>
      <c r="AJ263" s="343"/>
      <c r="AK263" s="343"/>
      <c r="AL263" s="343"/>
      <c r="AM263" s="343"/>
    </row>
    <row r="264" spans="1:39" ht="12.75" customHeight="1" x14ac:dyDescent="0.25">
      <c r="A264" s="729" t="str">
        <f t="shared" si="178"/>
        <v/>
      </c>
      <c r="B264" s="284"/>
      <c r="C264" s="302"/>
      <c r="D264" s="302"/>
      <c r="E264" s="1410" t="s">
        <v>951</v>
      </c>
      <c r="F264" s="2358" t="str">
        <f>Translations!$B$620</f>
        <v>подаване на топлинна енергия към инсталации или други обекти (различни от топлофикационни мрежи). В такъв случай посочете употребата на топлинната енергия в посочената инсталация или обект, ако е известна.</v>
      </c>
      <c r="G264" s="2249"/>
      <c r="H264" s="2249"/>
      <c r="I264" s="2249"/>
      <c r="J264" s="2249"/>
      <c r="K264" s="2249"/>
      <c r="L264" s="2249"/>
      <c r="M264" s="2249"/>
      <c r="N264" s="2249"/>
      <c r="O264" s="336"/>
      <c r="P264" s="336"/>
      <c r="Q264" s="770"/>
      <c r="R264" s="770"/>
      <c r="S264" s="770"/>
      <c r="T264" s="770"/>
      <c r="U264" s="770"/>
      <c r="V264" s="770"/>
      <c r="W264" s="770"/>
      <c r="X264" s="770"/>
      <c r="Y264" s="770"/>
      <c r="Z264" s="694"/>
      <c r="AA264" s="694"/>
      <c r="AB264" s="729"/>
      <c r="AC264" s="694"/>
      <c r="AD264" s="694"/>
      <c r="AE264" s="343"/>
      <c r="AF264" s="343"/>
      <c r="AG264" s="343"/>
      <c r="AH264" s="343"/>
      <c r="AI264" s="343"/>
      <c r="AJ264" s="343"/>
      <c r="AK264" s="343"/>
      <c r="AL264" s="343"/>
      <c r="AM264" s="343"/>
    </row>
    <row r="265" spans="1:39" ht="25.5" customHeight="1" x14ac:dyDescent="0.25">
      <c r="A265" s="729" t="str">
        <f t="shared" si="178"/>
        <v/>
      </c>
      <c r="B265" s="284"/>
      <c r="C265" s="302"/>
      <c r="D265" s="302"/>
      <c r="E265" s="2358" t="str">
        <f>Translations!$B$497</f>
        <v>Кодовете по Продком се въвеждат като низове във вида „nnnnnnnn“, т.е. без точки или други разделителни знаци между тях. Само когато липсва код по Продком, се посочва 4-цифрения код по статистическата класификация на икономическите дейности в Европейския съюз (NACE) във вида „nnnn“.</v>
      </c>
      <c r="F265" s="2249"/>
      <c r="G265" s="2249"/>
      <c r="H265" s="2249"/>
      <c r="I265" s="2249"/>
      <c r="J265" s="2249"/>
      <c r="K265" s="2249"/>
      <c r="L265" s="2249"/>
      <c r="M265" s="2249"/>
      <c r="N265" s="2249"/>
      <c r="O265" s="336"/>
      <c r="P265" s="336"/>
      <c r="Q265" s="770"/>
      <c r="R265" s="694"/>
      <c r="S265" s="694"/>
      <c r="T265" s="694"/>
      <c r="U265" s="694"/>
      <c r="V265" s="694"/>
      <c r="W265" s="694"/>
      <c r="X265" s="694"/>
      <c r="Y265" s="694"/>
      <c r="Z265" s="694"/>
      <c r="AA265" s="694"/>
      <c r="AB265" s="729"/>
      <c r="AC265" s="694"/>
      <c r="AD265" s="694"/>
      <c r="AE265" s="343"/>
      <c r="AF265" s="343"/>
      <c r="AG265" s="343"/>
      <c r="AH265" s="343"/>
      <c r="AI265" s="343"/>
      <c r="AJ265" s="343"/>
      <c r="AK265" s="343"/>
      <c r="AL265" s="343"/>
      <c r="AM265" s="343"/>
    </row>
    <row r="266" spans="1:39" ht="12.75" customHeight="1" x14ac:dyDescent="0.25">
      <c r="A266" s="729" t="str">
        <f t="shared" si="178"/>
        <v/>
      </c>
      <c r="B266" s="284"/>
      <c r="C266" s="302"/>
      <c r="D266" s="302"/>
      <c r="E266" s="2358" t="str">
        <f>Translations!$B$498</f>
        <v>Продком списъкът за 2010 г. може да се намери на адрес: http://ec.europa.eu/eurostat/ramon/nomenclatures/index.cfm?TargetUrl=LST_CLS_DLD&amp;StrNom=PRD_2010&amp;StrLanguageCode=EN&amp;StrLayoutCode=HIERARCHIChttp://ec.europa.eu/eurostat/ramon/nomenclatures/index.cfm?TargetUrl=LST_CLS_DLD&amp;StrNom=PRD_2010&amp;StrLanguageCode=EN&amp;StrLayoutCode=HIERARCHIC</v>
      </c>
      <c r="F266" s="2249"/>
      <c r="G266" s="2249"/>
      <c r="H266" s="2249"/>
      <c r="I266" s="2249"/>
      <c r="J266" s="2249"/>
      <c r="K266" s="2249"/>
      <c r="L266" s="2249"/>
      <c r="M266" s="2249"/>
      <c r="N266" s="2249"/>
      <c r="O266" s="336"/>
      <c r="P266" s="336"/>
      <c r="Q266" s="770"/>
      <c r="R266" s="694"/>
      <c r="S266" s="694"/>
      <c r="T266" s="694"/>
      <c r="U266" s="694"/>
      <c r="V266" s="694"/>
      <c r="W266" s="694"/>
      <c r="X266" s="694"/>
      <c r="Y266" s="694"/>
      <c r="Z266" s="694"/>
      <c r="AA266" s="694"/>
      <c r="AB266" s="729"/>
      <c r="AC266" s="694"/>
      <c r="AD266" s="694"/>
      <c r="AE266" s="343"/>
      <c r="AF266" s="343"/>
      <c r="AG266" s="343"/>
      <c r="AH266" s="343"/>
      <c r="AI266" s="343"/>
      <c r="AJ266" s="343"/>
      <c r="AK266" s="343"/>
      <c r="AL266" s="343"/>
      <c r="AM266" s="343"/>
    </row>
    <row r="267" spans="1:39" ht="12.75" customHeight="1" x14ac:dyDescent="0.25">
      <c r="A267" s="729" t="str">
        <f t="shared" si="178"/>
        <v/>
      </c>
      <c r="B267" s="284"/>
      <c r="C267" s="302"/>
      <c r="D267" s="302"/>
      <c r="E267" s="2855" t="str">
        <f>Translations!$B$1532</f>
        <v>https://eur-lex.europa.eu/eli/reg/2010/860/oj</v>
      </c>
      <c r="F267" s="2899"/>
      <c r="G267" s="2899"/>
      <c r="H267" s="2899"/>
      <c r="I267" s="2899"/>
      <c r="J267" s="2899"/>
      <c r="K267" s="2899"/>
      <c r="L267" s="2899"/>
      <c r="M267" s="2899"/>
      <c r="N267" s="2899"/>
      <c r="O267" s="336"/>
      <c r="P267" s="336"/>
      <c r="Q267" s="770"/>
      <c r="R267" s="694"/>
      <c r="S267" s="694"/>
      <c r="T267" s="694"/>
      <c r="U267" s="694"/>
      <c r="V267" s="694"/>
      <c r="W267" s="694"/>
      <c r="X267" s="694"/>
      <c r="Y267" s="694"/>
      <c r="Z267" s="694"/>
      <c r="AA267" s="694"/>
      <c r="AB267" s="729"/>
      <c r="AC267" s="694"/>
      <c r="AD267" s="694"/>
      <c r="AE267" s="343"/>
      <c r="AF267" s="343"/>
      <c r="AG267" s="343"/>
      <c r="AH267" s="343"/>
      <c r="AI267" s="343"/>
      <c r="AJ267" s="343"/>
      <c r="AK267" s="343"/>
      <c r="AL267" s="343"/>
      <c r="AM267" s="343"/>
    </row>
    <row r="268" spans="1:39" ht="12.75" customHeight="1" x14ac:dyDescent="0.25">
      <c r="A268" s="729" t="str">
        <f t="shared" si="178"/>
        <v/>
      </c>
      <c r="B268" s="284"/>
      <c r="C268" s="302"/>
      <c r="D268" s="302"/>
      <c r="E268" s="2358" t="str">
        <f>Translations!$B$621</f>
        <v>Ако са обхванати няколко подобни продукта в рамките на една група по NACE, могат да се използват кодовете по NACE вместо по Продком.</v>
      </c>
      <c r="F268" s="2249"/>
      <c r="G268" s="2249"/>
      <c r="H268" s="2249"/>
      <c r="I268" s="2249"/>
      <c r="J268" s="2249"/>
      <c r="K268" s="2249"/>
      <c r="L268" s="2249"/>
      <c r="M268" s="2249"/>
      <c r="N268" s="2249"/>
      <c r="O268" s="336"/>
      <c r="P268" s="336"/>
      <c r="Q268" s="770"/>
      <c r="R268" s="770"/>
      <c r="S268" s="770"/>
      <c r="T268" s="770"/>
      <c r="U268" s="770"/>
      <c r="V268" s="770"/>
      <c r="W268" s="770"/>
      <c r="X268" s="770"/>
      <c r="Y268" s="770"/>
      <c r="Z268" s="694"/>
      <c r="AA268" s="694"/>
      <c r="AB268" s="729"/>
      <c r="AC268" s="694"/>
      <c r="AD268" s="694"/>
      <c r="AE268" s="343"/>
      <c r="AF268" s="343"/>
      <c r="AG268" s="343"/>
      <c r="AH268" s="343"/>
      <c r="AI268" s="343"/>
      <c r="AJ268" s="343"/>
      <c r="AK268" s="343"/>
      <c r="AL268" s="343"/>
      <c r="AM268" s="343"/>
    </row>
    <row r="269" spans="1:39" ht="12.75" customHeight="1" x14ac:dyDescent="0.25">
      <c r="A269" s="729" t="str">
        <f t="shared" si="178"/>
        <v/>
      </c>
      <c r="B269" s="284"/>
      <c r="C269" s="302"/>
      <c r="D269" s="302"/>
      <c r="E269" s="2358" t="str">
        <f>Translations!$B$1335</f>
        <v>Ако топлинната енергия се подава, може да се избере свързаната инсталация или обект, въведени в раздел V на лист „A_InstallationData“(„А_Данни за инсталацията“).</v>
      </c>
      <c r="F269" s="2249"/>
      <c r="G269" s="2249"/>
      <c r="H269" s="2249"/>
      <c r="I269" s="2249"/>
      <c r="J269" s="2249"/>
      <c r="K269" s="2249"/>
      <c r="L269" s="2249"/>
      <c r="M269" s="2249"/>
      <c r="N269" s="2249"/>
      <c r="O269" s="336"/>
      <c r="P269" s="336"/>
      <c r="Q269" s="770"/>
      <c r="R269" s="770"/>
      <c r="S269" s="770"/>
      <c r="T269" s="770"/>
      <c r="U269" s="770"/>
      <c r="V269" s="770"/>
      <c r="W269" s="770"/>
      <c r="X269" s="770"/>
      <c r="Y269" s="770"/>
      <c r="Z269" s="694"/>
      <c r="AA269" s="694"/>
      <c r="AB269" s="729"/>
      <c r="AC269" s="694"/>
      <c r="AD269" s="694"/>
      <c r="AE269" s="343"/>
      <c r="AF269" s="343"/>
      <c r="AG269" s="343"/>
      <c r="AH269" s="343"/>
      <c r="AI269" s="343"/>
      <c r="AJ269" s="343"/>
      <c r="AK269" s="343"/>
      <c r="AL269" s="343"/>
      <c r="AM269" s="343"/>
    </row>
    <row r="270" spans="1:39" ht="12.75" customHeight="1" x14ac:dyDescent="0.25">
      <c r="A270" s="729" t="str">
        <f t="shared" si="178"/>
        <v/>
      </c>
      <c r="B270" s="284"/>
      <c r="C270" s="302"/>
      <c r="D270" s="302"/>
      <c r="E270" s="2358" t="str">
        <f>Translations!$B$1520</f>
        <v>Кодовете по КН са кодовете съгласно Регламент (ЕИО) № 2658/87, които са на разположение на следния адрес:</v>
      </c>
      <c r="F270" s="2249"/>
      <c r="G270" s="2249"/>
      <c r="H270" s="2249"/>
      <c r="I270" s="2249"/>
      <c r="J270" s="2249"/>
      <c r="K270" s="2249"/>
      <c r="L270" s="2249"/>
      <c r="M270" s="2249"/>
      <c r="N270" s="2249"/>
      <c r="O270" s="336"/>
      <c r="P270" s="336"/>
      <c r="Q270" s="770"/>
      <c r="R270" s="770"/>
      <c r="S270" s="770"/>
      <c r="T270" s="770"/>
      <c r="U270" s="770"/>
      <c r="V270" s="770"/>
      <c r="W270" s="770"/>
      <c r="X270" s="770"/>
      <c r="Y270" s="770"/>
      <c r="Z270" s="694"/>
      <c r="AA270" s="694"/>
      <c r="AB270" s="729"/>
      <c r="AC270" s="694"/>
      <c r="AD270" s="694"/>
      <c r="AE270" s="343"/>
      <c r="AF270" s="343"/>
      <c r="AG270" s="343"/>
      <c r="AH270" s="343"/>
      <c r="AI270" s="343"/>
      <c r="AJ270" s="343"/>
      <c r="AK270" s="343"/>
      <c r="AL270" s="343"/>
      <c r="AM270" s="343"/>
    </row>
    <row r="271" spans="1:39" ht="12.75" customHeight="1" x14ac:dyDescent="0.25">
      <c r="A271" s="729" t="str">
        <f t="shared" si="178"/>
        <v/>
      </c>
      <c r="B271" s="284"/>
      <c r="C271" s="302"/>
      <c r="D271" s="302"/>
      <c r="E271" s="2855" t="str">
        <f>Translations!$B$1521</f>
        <v>https://eur-lex.europa.eu/eli/reg/1987/2658/2023-06-17</v>
      </c>
      <c r="F271" s="2899"/>
      <c r="G271" s="2899"/>
      <c r="H271" s="2899"/>
      <c r="I271" s="2899"/>
      <c r="J271" s="2899"/>
      <c r="K271" s="2899"/>
      <c r="L271" s="2899"/>
      <c r="M271" s="2899"/>
      <c r="N271" s="2899"/>
      <c r="O271" s="336"/>
      <c r="P271" s="336"/>
      <c r="Q271" s="770"/>
      <c r="R271" s="770"/>
      <c r="S271" s="770"/>
      <c r="T271" s="770"/>
      <c r="U271" s="770"/>
      <c r="V271" s="770"/>
      <c r="W271" s="770"/>
      <c r="X271" s="770"/>
      <c r="Y271" s="770"/>
      <c r="Z271" s="694"/>
      <c r="AA271" s="694"/>
      <c r="AB271" s="729"/>
      <c r="AC271" s="694"/>
      <c r="AD271" s="694"/>
      <c r="AE271" s="343"/>
      <c r="AF271" s="343"/>
      <c r="AG271" s="343"/>
      <c r="AH271" s="343"/>
      <c r="AI271" s="343"/>
      <c r="AJ271" s="343"/>
      <c r="AK271" s="343"/>
      <c r="AL271" s="343"/>
      <c r="AM271" s="343"/>
    </row>
    <row r="272" spans="1:39" ht="5.15" customHeight="1" x14ac:dyDescent="0.25">
      <c r="A272" s="729" t="str">
        <f t="shared" si="178"/>
        <v/>
      </c>
      <c r="B272" s="284"/>
      <c r="C272" s="302"/>
      <c r="D272" s="302"/>
      <c r="E272" s="460"/>
      <c r="F272" s="460"/>
      <c r="G272" s="460"/>
      <c r="H272" s="460"/>
      <c r="I272" s="460"/>
      <c r="J272" s="329"/>
      <c r="K272" s="329"/>
      <c r="L272" s="329"/>
      <c r="M272" s="336"/>
      <c r="N272" s="336"/>
      <c r="O272" s="336"/>
      <c r="P272" s="336"/>
      <c r="Q272" s="770"/>
      <c r="R272" s="694"/>
      <c r="S272" s="694"/>
      <c r="T272" s="694"/>
      <c r="U272" s="694"/>
      <c r="V272" s="694"/>
      <c r="W272" s="694"/>
      <c r="X272" s="694"/>
      <c r="Y272" s="694"/>
      <c r="Z272" s="694"/>
      <c r="AA272" s="694"/>
      <c r="AB272" s="729"/>
      <c r="AC272" s="694"/>
      <c r="AD272" s="694"/>
      <c r="AE272" s="343"/>
      <c r="AF272" s="343"/>
      <c r="AG272" s="343"/>
      <c r="AH272" s="343"/>
      <c r="AI272" s="343"/>
      <c r="AJ272" s="343"/>
      <c r="AK272" s="343"/>
      <c r="AL272" s="343"/>
      <c r="AM272" s="343"/>
    </row>
    <row r="273" spans="1:39" ht="26" x14ac:dyDescent="0.25">
      <c r="A273" s="729" t="str">
        <f t="shared" si="178"/>
        <v/>
      </c>
      <c r="B273" s="698"/>
      <c r="C273" s="300"/>
      <c r="D273" s="1014"/>
      <c r="E273" s="2900" t="str">
        <f>Translations!$B$622</f>
        <v>Вид употреба</v>
      </c>
      <c r="F273" s="2901"/>
      <c r="G273" s="2900" t="str">
        <f>Translations!$B$623</f>
        <v>В рамките на инсталацията или за подаване?</v>
      </c>
      <c r="H273" s="2901"/>
      <c r="I273" s="2900" t="str">
        <f>Translations!$B$624</f>
        <v>Име на продукта или „топлофикационна мрежа“</v>
      </c>
      <c r="J273" s="2256"/>
      <c r="K273" s="2256"/>
      <c r="L273" s="2901"/>
      <c r="M273" s="1277" t="str">
        <f>Translations!$B$1522</f>
        <v>ПРОДКОМ за 2010 г.</v>
      </c>
      <c r="N273" s="1277" t="str">
        <f>Translations!$B$1523</f>
        <v>Код по КН</v>
      </c>
      <c r="O273" s="336"/>
      <c r="P273" s="336"/>
      <c r="Q273" s="694"/>
      <c r="R273" s="694"/>
      <c r="S273" s="1390" t="s">
        <v>1990</v>
      </c>
      <c r="T273" s="694"/>
      <c r="U273" s="694"/>
      <c r="V273" s="694"/>
      <c r="W273" s="694"/>
      <c r="X273" s="694"/>
      <c r="Y273" s="694"/>
      <c r="Z273" s="770"/>
      <c r="AA273" s="770"/>
      <c r="AB273" s="729"/>
      <c r="AC273" s="694"/>
      <c r="AD273" s="694"/>
      <c r="AE273" s="343"/>
      <c r="AF273" s="343"/>
      <c r="AG273" s="343"/>
      <c r="AH273" s="343"/>
      <c r="AI273" s="343"/>
      <c r="AJ273" s="343"/>
      <c r="AK273" s="343"/>
      <c r="AL273" s="343"/>
      <c r="AM273" s="343"/>
    </row>
    <row r="274" spans="1:39" ht="12.75" customHeight="1" x14ac:dyDescent="0.25">
      <c r="A274" s="729" t="str">
        <f t="shared" si="178"/>
        <v/>
      </c>
      <c r="B274" s="698"/>
      <c r="C274" s="773"/>
      <c r="D274" s="981">
        <v>1</v>
      </c>
      <c r="E274" s="2420"/>
      <c r="F274" s="2421"/>
      <c r="G274" s="2943"/>
      <c r="H274" s="2944"/>
      <c r="I274" s="2945"/>
      <c r="J274" s="2946"/>
      <c r="K274" s="2946"/>
      <c r="L274" s="2947"/>
      <c r="M274" s="221"/>
      <c r="N274" s="221"/>
      <c r="O274" s="336"/>
      <c r="P274" s="158"/>
      <c r="Q274" s="694"/>
      <c r="R274" s="1174"/>
      <c r="S274" s="982" t="b">
        <f>TRUE</f>
        <v>1</v>
      </c>
      <c r="T274" s="1411" t="s">
        <v>2078</v>
      </c>
      <c r="U274" s="694"/>
      <c r="V274" s="694"/>
      <c r="W274" s="694"/>
      <c r="X274" s="694"/>
      <c r="Y274" s="694"/>
      <c r="Z274" s="694"/>
      <c r="AA274" s="694"/>
      <c r="AB274" s="729"/>
      <c r="AC274" s="694"/>
      <c r="AD274" s="694"/>
      <c r="AE274" s="343"/>
      <c r="AF274" s="343"/>
      <c r="AG274" s="343"/>
      <c r="AH274" s="343"/>
      <c r="AI274" s="343"/>
      <c r="AJ274" s="343"/>
      <c r="AK274" s="1174" t="s">
        <v>2039</v>
      </c>
      <c r="AL274" s="1176" t="str">
        <f>IF(AND($M236=EUconst_Relevant,COUNTA(E274:N274)&lt;IF(OR(C236=2,C236=4),3,5)),EUconst_Error&amp;"FB"&amp;Q236,"")</f>
        <v/>
      </c>
      <c r="AM274" s="343"/>
    </row>
    <row r="275" spans="1:39" ht="12.75" customHeight="1" x14ac:dyDescent="0.25">
      <c r="A275" s="729" t="str">
        <f t="shared" si="178"/>
        <v/>
      </c>
      <c r="B275" s="698"/>
      <c r="C275" s="773"/>
      <c r="D275" s="990">
        <f>D274+1</f>
        <v>2</v>
      </c>
      <c r="E275" s="2406"/>
      <c r="F275" s="2405"/>
      <c r="G275" s="2938"/>
      <c r="H275" s="2939"/>
      <c r="I275" s="2942"/>
      <c r="J275" s="2940"/>
      <c r="K275" s="2940"/>
      <c r="L275" s="2941"/>
      <c r="M275" s="224"/>
      <c r="N275" s="224"/>
      <c r="O275" s="336"/>
      <c r="P275" s="158"/>
      <c r="Q275" s="694"/>
      <c r="R275" s="694"/>
      <c r="S275" s="982" t="b">
        <f>TRUE</f>
        <v>1</v>
      </c>
      <c r="T275" s="694"/>
      <c r="U275" s="694"/>
      <c r="V275" s="694"/>
      <c r="W275" s="694"/>
      <c r="X275" s="694"/>
      <c r="Y275" s="694"/>
      <c r="Z275" s="694"/>
      <c r="AA275" s="694"/>
      <c r="AB275" s="729"/>
      <c r="AC275" s="694"/>
      <c r="AD275" s="694"/>
      <c r="AE275" s="343"/>
      <c r="AF275" s="343"/>
      <c r="AG275" s="343"/>
      <c r="AH275" s="343"/>
      <c r="AI275" s="343"/>
      <c r="AJ275" s="343"/>
      <c r="AK275" s="343"/>
      <c r="AL275" s="343"/>
      <c r="AM275" s="343"/>
    </row>
    <row r="276" spans="1:39" ht="12.75" customHeight="1" x14ac:dyDescent="0.25">
      <c r="A276" s="729" t="str">
        <f t="shared" si="178"/>
        <v/>
      </c>
      <c r="B276" s="698"/>
      <c r="C276" s="773"/>
      <c r="D276" s="990">
        <f t="shared" ref="D276:D283" si="179">D275+1</f>
        <v>3</v>
      </c>
      <c r="E276" s="2406"/>
      <c r="F276" s="2405"/>
      <c r="G276" s="2938"/>
      <c r="H276" s="2939"/>
      <c r="I276" s="2942"/>
      <c r="J276" s="2940"/>
      <c r="K276" s="2940"/>
      <c r="L276" s="2941"/>
      <c r="M276" s="224"/>
      <c r="N276" s="224"/>
      <c r="O276" s="336"/>
      <c r="P276" s="158"/>
      <c r="Q276" s="694"/>
      <c r="R276" s="694"/>
      <c r="S276" s="982" t="b">
        <f>TRUE</f>
        <v>1</v>
      </c>
      <c r="T276" s="694"/>
      <c r="U276" s="694"/>
      <c r="V276" s="694"/>
      <c r="W276" s="694"/>
      <c r="X276" s="694"/>
      <c r="Y276" s="694"/>
      <c r="Z276" s="694"/>
      <c r="AA276" s="694"/>
      <c r="AB276" s="729"/>
      <c r="AC276" s="694"/>
      <c r="AD276" s="694"/>
      <c r="AE276" s="343"/>
      <c r="AF276" s="343"/>
      <c r="AG276" s="343"/>
      <c r="AH276" s="343"/>
      <c r="AI276" s="343"/>
      <c r="AJ276" s="343"/>
      <c r="AK276" s="343"/>
      <c r="AL276" s="343"/>
      <c r="AM276" s="343"/>
    </row>
    <row r="277" spans="1:39" ht="12.75" customHeight="1" x14ac:dyDescent="0.25">
      <c r="A277" s="729" t="str">
        <f t="shared" si="178"/>
        <v/>
      </c>
      <c r="B277" s="698"/>
      <c r="C277" s="773"/>
      <c r="D277" s="990">
        <f t="shared" si="179"/>
        <v>4</v>
      </c>
      <c r="E277" s="2406"/>
      <c r="F277" s="2405"/>
      <c r="G277" s="2938"/>
      <c r="H277" s="2939"/>
      <c r="I277" s="2942"/>
      <c r="J277" s="2940"/>
      <c r="K277" s="2940"/>
      <c r="L277" s="2941"/>
      <c r="M277" s="222"/>
      <c r="N277" s="222"/>
      <c r="O277" s="336"/>
      <c r="P277" s="158"/>
      <c r="Q277" s="694"/>
      <c r="R277" s="694"/>
      <c r="S277" s="982" t="b">
        <f>TRUE</f>
        <v>1</v>
      </c>
      <c r="T277" s="694"/>
      <c r="U277" s="694"/>
      <c r="V277" s="694"/>
      <c r="W277" s="694"/>
      <c r="X277" s="694"/>
      <c r="Y277" s="694"/>
      <c r="Z277" s="694"/>
      <c r="AA277" s="694"/>
      <c r="AB277" s="729"/>
      <c r="AC277" s="694"/>
      <c r="AD277" s="694"/>
      <c r="AE277" s="343"/>
      <c r="AF277" s="343"/>
      <c r="AG277" s="343"/>
      <c r="AH277" s="343"/>
      <c r="AI277" s="343"/>
      <c r="AJ277" s="343"/>
      <c r="AK277" s="343"/>
      <c r="AL277" s="343"/>
      <c r="AM277" s="343"/>
    </row>
    <row r="278" spans="1:39" ht="12.75" customHeight="1" x14ac:dyDescent="0.25">
      <c r="A278" s="729" t="str">
        <f t="shared" si="178"/>
        <v/>
      </c>
      <c r="B278" s="698"/>
      <c r="C278" s="773"/>
      <c r="D278" s="990">
        <f t="shared" si="179"/>
        <v>5</v>
      </c>
      <c r="E278" s="2406"/>
      <c r="F278" s="2405"/>
      <c r="G278" s="2938"/>
      <c r="H278" s="2939"/>
      <c r="I278" s="2942"/>
      <c r="J278" s="2940"/>
      <c r="K278" s="2940"/>
      <c r="L278" s="2941"/>
      <c r="M278" s="222"/>
      <c r="N278" s="222"/>
      <c r="O278" s="336"/>
      <c r="P278" s="158"/>
      <c r="Q278" s="694"/>
      <c r="R278" s="694"/>
      <c r="S278" s="982" t="b">
        <f>TRUE</f>
        <v>1</v>
      </c>
      <c r="T278" s="694"/>
      <c r="U278" s="694"/>
      <c r="V278" s="694"/>
      <c r="W278" s="694"/>
      <c r="X278" s="694"/>
      <c r="Y278" s="694"/>
      <c r="Z278" s="770"/>
      <c r="AA278" s="770"/>
      <c r="AB278" s="729"/>
      <c r="AC278" s="694"/>
      <c r="AD278" s="694"/>
      <c r="AE278" s="343"/>
      <c r="AF278" s="343"/>
      <c r="AG278" s="343"/>
      <c r="AH278" s="343"/>
      <c r="AI278" s="343"/>
      <c r="AJ278" s="343"/>
      <c r="AK278" s="343"/>
      <c r="AL278" s="343"/>
      <c r="AM278" s="343"/>
    </row>
    <row r="279" spans="1:39" ht="12.75" customHeight="1" x14ac:dyDescent="0.25">
      <c r="A279" s="729" t="str">
        <f t="shared" si="178"/>
        <v/>
      </c>
      <c r="B279" s="698"/>
      <c r="C279" s="773"/>
      <c r="D279" s="990">
        <f t="shared" si="179"/>
        <v>6</v>
      </c>
      <c r="E279" s="2406"/>
      <c r="F279" s="2405"/>
      <c r="G279" s="2938"/>
      <c r="H279" s="2939"/>
      <c r="I279" s="2409"/>
      <c r="J279" s="2940"/>
      <c r="K279" s="2940"/>
      <c r="L279" s="2941"/>
      <c r="M279" s="222"/>
      <c r="N279" s="222"/>
      <c r="O279" s="336"/>
      <c r="P279" s="158"/>
      <c r="Q279" s="694"/>
      <c r="R279" s="694"/>
      <c r="S279" s="982" t="b">
        <f>TRUE</f>
        <v>1</v>
      </c>
      <c r="T279" s="694"/>
      <c r="U279" s="694"/>
      <c r="V279" s="694"/>
      <c r="W279" s="694"/>
      <c r="X279" s="694"/>
      <c r="Y279" s="694"/>
      <c r="Z279" s="694"/>
      <c r="AA279" s="694"/>
      <c r="AB279" s="729"/>
      <c r="AC279" s="694"/>
      <c r="AD279" s="694"/>
      <c r="AE279" s="343"/>
      <c r="AF279" s="343"/>
      <c r="AG279" s="343"/>
      <c r="AH279" s="343"/>
      <c r="AI279" s="343"/>
      <c r="AJ279" s="343"/>
      <c r="AK279" s="343"/>
      <c r="AL279" s="343"/>
      <c r="AM279" s="343"/>
    </row>
    <row r="280" spans="1:39" ht="12.75" customHeight="1" x14ac:dyDescent="0.25">
      <c r="A280" s="729" t="str">
        <f t="shared" si="178"/>
        <v/>
      </c>
      <c r="B280" s="698"/>
      <c r="C280" s="773"/>
      <c r="D280" s="990">
        <f t="shared" si="179"/>
        <v>7</v>
      </c>
      <c r="E280" s="2406"/>
      <c r="F280" s="2405"/>
      <c r="G280" s="2938"/>
      <c r="H280" s="2939"/>
      <c r="I280" s="2409"/>
      <c r="J280" s="2940"/>
      <c r="K280" s="2940"/>
      <c r="L280" s="2941"/>
      <c r="M280" s="222"/>
      <c r="N280" s="222"/>
      <c r="O280" s="336"/>
      <c r="P280" s="158"/>
      <c r="Q280" s="694"/>
      <c r="R280" s="694"/>
      <c r="S280" s="982" t="b">
        <f>TRUE</f>
        <v>1</v>
      </c>
      <c r="T280" s="694"/>
      <c r="U280" s="694"/>
      <c r="V280" s="694"/>
      <c r="W280" s="694"/>
      <c r="X280" s="694"/>
      <c r="Y280" s="694"/>
      <c r="Z280" s="694"/>
      <c r="AA280" s="694"/>
      <c r="AB280" s="729"/>
      <c r="AC280" s="694"/>
      <c r="AD280" s="694"/>
      <c r="AE280" s="343"/>
      <c r="AF280" s="343"/>
      <c r="AG280" s="343"/>
      <c r="AH280" s="343"/>
      <c r="AI280" s="343"/>
      <c r="AJ280" s="343"/>
      <c r="AK280" s="343"/>
      <c r="AL280" s="343"/>
      <c r="AM280" s="343"/>
    </row>
    <row r="281" spans="1:39" ht="12.75" customHeight="1" x14ac:dyDescent="0.25">
      <c r="A281" s="729" t="str">
        <f t="shared" si="178"/>
        <v/>
      </c>
      <c r="B281" s="698"/>
      <c r="C281" s="773"/>
      <c r="D281" s="990">
        <f t="shared" si="179"/>
        <v>8</v>
      </c>
      <c r="E281" s="2406"/>
      <c r="F281" s="2405"/>
      <c r="G281" s="2938"/>
      <c r="H281" s="2939"/>
      <c r="I281" s="2409"/>
      <c r="J281" s="2940"/>
      <c r="K281" s="2940"/>
      <c r="L281" s="2941"/>
      <c r="M281" s="222"/>
      <c r="N281" s="222"/>
      <c r="O281" s="336"/>
      <c r="P281" s="158"/>
      <c r="Q281" s="694"/>
      <c r="R281" s="694"/>
      <c r="S281" s="982" t="b">
        <f>TRUE</f>
        <v>1</v>
      </c>
      <c r="T281" s="694"/>
      <c r="U281" s="694"/>
      <c r="V281" s="694"/>
      <c r="W281" s="694"/>
      <c r="X281" s="694"/>
      <c r="Y281" s="694"/>
      <c r="Z281" s="694"/>
      <c r="AA281" s="694"/>
      <c r="AB281" s="729"/>
      <c r="AC281" s="694"/>
      <c r="AD281" s="694"/>
      <c r="AE281" s="343"/>
      <c r="AF281" s="343"/>
      <c r="AG281" s="343"/>
      <c r="AH281" s="343"/>
      <c r="AI281" s="343"/>
      <c r="AJ281" s="343"/>
      <c r="AK281" s="343"/>
      <c r="AL281" s="343"/>
      <c r="AM281" s="343"/>
    </row>
    <row r="282" spans="1:39" ht="12.75" customHeight="1" x14ac:dyDescent="0.25">
      <c r="A282" s="729" t="str">
        <f t="shared" si="178"/>
        <v/>
      </c>
      <c r="B282" s="698"/>
      <c r="C282" s="773"/>
      <c r="D282" s="990">
        <f t="shared" si="179"/>
        <v>9</v>
      </c>
      <c r="E282" s="2406"/>
      <c r="F282" s="2405"/>
      <c r="G282" s="2938"/>
      <c r="H282" s="2939"/>
      <c r="I282" s="2409"/>
      <c r="J282" s="2940"/>
      <c r="K282" s="2940"/>
      <c r="L282" s="2941"/>
      <c r="M282" s="222"/>
      <c r="N282" s="222"/>
      <c r="O282" s="336"/>
      <c r="P282" s="158"/>
      <c r="Q282" s="694"/>
      <c r="R282" s="694"/>
      <c r="S282" s="982" t="b">
        <f>TRUE</f>
        <v>1</v>
      </c>
      <c r="T282" s="694"/>
      <c r="U282" s="694"/>
      <c r="V282" s="694"/>
      <c r="W282" s="694"/>
      <c r="X282" s="694"/>
      <c r="Y282" s="694"/>
      <c r="Z282" s="694"/>
      <c r="AA282" s="694"/>
      <c r="AB282" s="729"/>
      <c r="AC282" s="694"/>
      <c r="AD282" s="694"/>
      <c r="AE282" s="343"/>
      <c r="AF282" s="343"/>
      <c r="AG282" s="343"/>
      <c r="AH282" s="343"/>
      <c r="AI282" s="343"/>
      <c r="AJ282" s="343"/>
      <c r="AK282" s="343"/>
      <c r="AL282" s="343"/>
      <c r="AM282" s="343"/>
    </row>
    <row r="283" spans="1:39" ht="12.75" customHeight="1" x14ac:dyDescent="0.25">
      <c r="A283" s="729" t="str">
        <f t="shared" si="178"/>
        <v/>
      </c>
      <c r="B283" s="698"/>
      <c r="C283" s="773"/>
      <c r="D283" s="994">
        <f t="shared" si="179"/>
        <v>10</v>
      </c>
      <c r="E283" s="2417"/>
      <c r="F283" s="2403"/>
      <c r="G283" s="2934"/>
      <c r="H283" s="2935"/>
      <c r="I283" s="2581"/>
      <c r="J283" s="2936"/>
      <c r="K283" s="2936"/>
      <c r="L283" s="2937"/>
      <c r="M283" s="223"/>
      <c r="N283" s="223"/>
      <c r="O283" s="336"/>
      <c r="P283" s="158"/>
      <c r="Q283" s="694"/>
      <c r="R283" s="694"/>
      <c r="S283" s="982" t="b">
        <f>TRUE</f>
        <v>1</v>
      </c>
      <c r="T283" s="694"/>
      <c r="U283" s="694"/>
      <c r="V283" s="694"/>
      <c r="W283" s="694"/>
      <c r="X283" s="694"/>
      <c r="Y283" s="694"/>
      <c r="Z283" s="770"/>
      <c r="AA283" s="770"/>
      <c r="AB283" s="729"/>
      <c r="AC283" s="694"/>
      <c r="AD283" s="694"/>
      <c r="AE283" s="343"/>
      <c r="AF283" s="343"/>
      <c r="AG283" s="343"/>
      <c r="AH283" s="343"/>
      <c r="AI283" s="343"/>
      <c r="AJ283" s="343"/>
      <c r="AK283" s="343"/>
      <c r="AL283" s="343"/>
      <c r="AM283" s="343"/>
    </row>
    <row r="284" spans="1:39" ht="5.15" customHeight="1" x14ac:dyDescent="0.25">
      <c r="A284" s="729" t="str">
        <f t="shared" si="178"/>
        <v/>
      </c>
      <c r="B284" s="284"/>
      <c r="C284" s="284"/>
      <c r="D284" s="284"/>
      <c r="E284" s="284"/>
      <c r="F284" s="284"/>
      <c r="G284" s="284"/>
      <c r="H284" s="284"/>
      <c r="I284" s="284"/>
      <c r="J284" s="284"/>
      <c r="K284" s="284"/>
      <c r="L284" s="284"/>
      <c r="M284" s="284"/>
      <c r="N284" s="284"/>
      <c r="O284" s="336"/>
      <c r="P284" s="336"/>
      <c r="Q284" s="770"/>
      <c r="R284" s="770"/>
      <c r="S284" s="694"/>
      <c r="T284" s="694"/>
      <c r="U284" s="694"/>
      <c r="V284" s="694"/>
      <c r="W284" s="694"/>
      <c r="X284" s="694"/>
      <c r="Y284" s="694"/>
      <c r="Z284" s="694"/>
      <c r="AA284" s="694"/>
      <c r="AB284" s="729"/>
      <c r="AC284" s="694"/>
      <c r="AD284" s="694"/>
      <c r="AE284" s="343"/>
      <c r="AF284" s="343"/>
      <c r="AG284" s="343"/>
      <c r="AH284" s="343"/>
      <c r="AI284" s="343"/>
      <c r="AJ284" s="343"/>
      <c r="AK284" s="343"/>
      <c r="AL284" s="343"/>
      <c r="AM284" s="343"/>
    </row>
    <row r="285" spans="1:39" ht="12.75" customHeight="1" x14ac:dyDescent="0.25">
      <c r="A285" s="729" t="str">
        <f t="shared" si="178"/>
        <v/>
      </c>
      <c r="B285" s="284"/>
      <c r="C285" s="300"/>
      <c r="D285" s="300"/>
      <c r="E285" s="2226" t="str">
        <f>Translations!$B$625</f>
        <v>Равнища на производство:</v>
      </c>
      <c r="F285" s="2249"/>
      <c r="G285" s="2249"/>
      <c r="H285" s="2249"/>
      <c r="I285" s="2249"/>
      <c r="J285" s="2249"/>
      <c r="K285" s="2249"/>
      <c r="L285" s="2249"/>
      <c r="M285" s="2249"/>
      <c r="N285" s="2249"/>
      <c r="O285" s="336"/>
      <c r="P285" s="336"/>
      <c r="Q285" s="770"/>
      <c r="R285" s="694"/>
      <c r="S285" s="694"/>
      <c r="T285" s="694"/>
      <c r="U285" s="694"/>
      <c r="V285" s="694"/>
      <c r="W285" s="694"/>
      <c r="X285" s="694"/>
      <c r="Y285" s="694"/>
      <c r="Z285" s="694"/>
      <c r="AA285" s="694"/>
      <c r="AB285" s="729"/>
      <c r="AC285" s="694"/>
      <c r="AD285" s="694"/>
      <c r="AE285" s="343"/>
      <c r="AF285" s="343"/>
      <c r="AG285" s="343"/>
      <c r="AH285" s="343"/>
      <c r="AI285" s="343"/>
      <c r="AJ285" s="343"/>
      <c r="AK285" s="343"/>
      <c r="AL285" s="343"/>
      <c r="AM285" s="343"/>
    </row>
    <row r="286" spans="1:39" ht="25.5" customHeight="1" x14ac:dyDescent="0.25">
      <c r="A286" s="729" t="str">
        <f t="shared" si="178"/>
        <v/>
      </c>
      <c r="B286" s="284"/>
      <c r="C286" s="300"/>
      <c r="D286" s="300"/>
      <c r="E286" s="2358" t="str">
        <f>Translations!$B$1533</f>
        <v>Следва да се отбележи, че правилото за енергийната ефективност може да се приложи само в случай на производството на конкретен продукт. Следователно, ако за даден продукт не може да бъде определен код по ПРОДКОМ, това правило не може да се прилага и очакваните равнища на дейност ще бъдат равни на действителните равнища на дейност (т.е. ще се отчитат спрямо оставащото AL), без никаква корекция.</v>
      </c>
      <c r="F286" s="2249"/>
      <c r="G286" s="2249"/>
      <c r="H286" s="2249"/>
      <c r="I286" s="2249"/>
      <c r="J286" s="2249"/>
      <c r="K286" s="2249"/>
      <c r="L286" s="2249"/>
      <c r="M286" s="2249"/>
      <c r="N286" s="2249"/>
      <c r="O286" s="336"/>
      <c r="P286" s="336"/>
      <c r="Q286" s="770"/>
      <c r="R286" s="694"/>
      <c r="S286" s="694"/>
      <c r="T286" s="694"/>
      <c r="U286" s="694"/>
      <c r="V286" s="694"/>
      <c r="W286" s="694"/>
      <c r="X286" s="694"/>
      <c r="Y286" s="694"/>
      <c r="Z286" s="694"/>
      <c r="AA286" s="694"/>
      <c r="AB286" s="729"/>
      <c r="AC286" s="694"/>
      <c r="AD286" s="694"/>
      <c r="AE286" s="343"/>
      <c r="AF286" s="343"/>
      <c r="AG286" s="343"/>
      <c r="AH286" s="343"/>
      <c r="AI286" s="343"/>
      <c r="AJ286" s="343"/>
      <c r="AK286" s="343"/>
      <c r="AL286" s="343"/>
      <c r="AM286" s="343"/>
    </row>
    <row r="287" spans="1:39" ht="12.75" customHeight="1" x14ac:dyDescent="0.25">
      <c r="A287" s="729" t="str">
        <f t="shared" si="178"/>
        <v/>
      </c>
      <c r="B287" s="284"/>
      <c r="C287" s="300"/>
      <c r="D287" s="300"/>
      <c r="E287" s="2358" t="str">
        <f>Translations!$B$1534</f>
        <v>Стойността в НМИ се отнася до средното производство през историческия базов период, както е обяснено в раздели 2.3 и 3 от Ръководство № 7.</v>
      </c>
      <c r="F287" s="2249"/>
      <c r="G287" s="2249"/>
      <c r="H287" s="2249"/>
      <c r="I287" s="2249"/>
      <c r="J287" s="2249"/>
      <c r="K287" s="2249"/>
      <c r="L287" s="2249"/>
      <c r="M287" s="2249"/>
      <c r="N287" s="2249"/>
      <c r="O287" s="336"/>
      <c r="P287" s="336"/>
      <c r="Q287" s="770"/>
      <c r="R287" s="694"/>
      <c r="S287" s="694"/>
      <c r="T287" s="694"/>
      <c r="U287" s="694"/>
      <c r="V287" s="694"/>
      <c r="W287" s="694"/>
      <c r="X287" s="694"/>
      <c r="Y287" s="694"/>
      <c r="Z287" s="694"/>
      <c r="AA287" s="694"/>
      <c r="AB287" s="729"/>
      <c r="AC287" s="694"/>
      <c r="AD287" s="694"/>
      <c r="AE287" s="343"/>
      <c r="AF287" s="343"/>
      <c r="AG287" s="343"/>
      <c r="AH287" s="343"/>
      <c r="AI287" s="343"/>
      <c r="AJ287" s="343"/>
      <c r="AK287" s="343"/>
      <c r="AL287" s="343"/>
      <c r="AM287" s="343"/>
    </row>
    <row r="288" spans="1:39" ht="5.15" customHeight="1" x14ac:dyDescent="0.25">
      <c r="A288" s="729" t="str">
        <f t="shared" si="178"/>
        <v/>
      </c>
      <c r="B288" s="284"/>
      <c r="C288" s="302"/>
      <c r="D288" s="302"/>
      <c r="E288" s="460"/>
      <c r="F288" s="460"/>
      <c r="G288" s="460"/>
      <c r="H288" s="460"/>
      <c r="I288" s="460"/>
      <c r="J288" s="329"/>
      <c r="K288" s="329"/>
      <c r="L288" s="329"/>
      <c r="M288" s="336"/>
      <c r="N288" s="336"/>
      <c r="O288" s="336"/>
      <c r="P288" s="336"/>
      <c r="Q288" s="770"/>
      <c r="R288" s="694"/>
      <c r="S288" s="694"/>
      <c r="T288" s="694"/>
      <c r="U288" s="694"/>
      <c r="V288" s="694"/>
      <c r="W288" s="694"/>
      <c r="X288" s="694"/>
      <c r="Y288" s="694"/>
      <c r="Z288" s="694"/>
      <c r="AA288" s="694"/>
      <c r="AB288" s="729"/>
      <c r="AC288" s="694"/>
      <c r="AD288" s="694"/>
      <c r="AE288" s="343"/>
      <c r="AF288" s="343"/>
      <c r="AG288" s="343"/>
      <c r="AH288" s="343"/>
      <c r="AI288" s="343"/>
      <c r="AJ288" s="343"/>
      <c r="AK288" s="343"/>
      <c r="AL288" s="343"/>
      <c r="AM288" s="343"/>
    </row>
    <row r="289" spans="1:39" s="1423" customFormat="1" ht="25.5" customHeight="1" thickBot="1" x14ac:dyDescent="0.35">
      <c r="A289" s="729" t="str">
        <f t="shared" si="178"/>
        <v/>
      </c>
      <c r="B289" s="1412"/>
      <c r="C289" s="1413"/>
      <c r="D289" s="1414"/>
      <c r="E289" s="1415" t="str">
        <f>I273</f>
        <v>Име на продукта или „топлофикационна мрежа“</v>
      </c>
      <c r="F289" s="1416" t="str">
        <f>EUconst_Unit</f>
        <v>Единица мярка</v>
      </c>
      <c r="G289" s="1419" t="str">
        <f>Translations!$B$1336</f>
        <v>Стойност в НМИ</v>
      </c>
      <c r="H289" s="1418">
        <f t="shared" ref="H289:N289" si="180">H$1840</f>
        <v>2024</v>
      </c>
      <c r="I289" s="1419">
        <f t="shared" si="180"/>
        <v>2025</v>
      </c>
      <c r="J289" s="1418">
        <f t="shared" si="180"/>
        <v>2026</v>
      </c>
      <c r="K289" s="1420">
        <f t="shared" si="180"/>
        <v>2027</v>
      </c>
      <c r="L289" s="1420">
        <f t="shared" si="180"/>
        <v>2028</v>
      </c>
      <c r="M289" s="1420">
        <f t="shared" si="180"/>
        <v>2029</v>
      </c>
      <c r="N289" s="1420">
        <f t="shared" si="180"/>
        <v>2030</v>
      </c>
      <c r="O289" s="336"/>
      <c r="P289" s="336"/>
      <c r="Q289" s="1421"/>
      <c r="R289" s="1421"/>
      <c r="S289" s="1421"/>
      <c r="T289" s="1421"/>
      <c r="U289" s="1421"/>
      <c r="V289" s="1421"/>
      <c r="W289" s="1421"/>
      <c r="X289" s="1421"/>
      <c r="Y289" s="1421"/>
      <c r="Z289" s="1421"/>
      <c r="AA289" s="1421"/>
      <c r="AB289" s="770" t="str">
        <f>Translations!$B$1284</f>
        <v>HAL</v>
      </c>
      <c r="AC289" s="1421">
        <f t="shared" ref="AC289" si="181">H289</f>
        <v>2024</v>
      </c>
      <c r="AD289" s="1421">
        <f t="shared" ref="AD289" si="182">I289</f>
        <v>2025</v>
      </c>
      <c r="AE289" s="1421">
        <f t="shared" ref="AE289" si="183">J289</f>
        <v>2026</v>
      </c>
      <c r="AF289" s="1421">
        <f t="shared" ref="AF289" si="184">K289</f>
        <v>2027</v>
      </c>
      <c r="AG289" s="1421">
        <f t="shared" ref="AG289" si="185">L289</f>
        <v>2028</v>
      </c>
      <c r="AH289" s="1422">
        <f t="shared" ref="AH289" si="186">M289</f>
        <v>2029</v>
      </c>
      <c r="AI289" s="1422">
        <f t="shared" ref="AI289" si="187">N289</f>
        <v>2030</v>
      </c>
      <c r="AJ289" s="1422"/>
      <c r="AK289" s="1422"/>
      <c r="AL289" s="1422"/>
      <c r="AM289" s="1422"/>
    </row>
    <row r="290" spans="1:39" ht="12.75" customHeight="1" x14ac:dyDescent="0.25">
      <c r="A290" s="729" t="str">
        <f t="shared" si="178"/>
        <v/>
      </c>
      <c r="B290" s="698"/>
      <c r="C290" s="2906" t="str">
        <f>Translations!$B$625</f>
        <v>Равнища на производство:</v>
      </c>
      <c r="D290" s="981">
        <v>1</v>
      </c>
      <c r="E290" s="1424" t="str">
        <f t="shared" ref="E290:E299" si="188">IF(ISBLANK(I274),"",I274)</f>
        <v/>
      </c>
      <c r="F290" s="177"/>
      <c r="G290" s="46"/>
      <c r="H290" s="116"/>
      <c r="I290" s="46"/>
      <c r="J290" s="116"/>
      <c r="K290" s="40"/>
      <c r="L290" s="40"/>
      <c r="M290" s="40"/>
      <c r="N290" s="40"/>
      <c r="O290" s="336"/>
      <c r="P290" s="158"/>
      <c r="Q290" s="694"/>
      <c r="R290" s="694"/>
      <c r="S290" s="694"/>
      <c r="T290" s="694"/>
      <c r="U290" s="694"/>
      <c r="V290" s="694"/>
      <c r="W290" s="694"/>
      <c r="X290" s="694"/>
      <c r="Y290" s="694"/>
      <c r="Z290" s="1182" t="s">
        <v>1757</v>
      </c>
      <c r="AA290" s="1425">
        <f>MAX(AC290:AI290)</f>
        <v>2</v>
      </c>
      <c r="AB290" s="1426">
        <f>IF(CNTR_ExistSubInstEntries,IF(OR($M236&lt;&gt;EUconst_Relevant,$V236&gt;($H$1840-1),$E290=""),0,2),2)</f>
        <v>2</v>
      </c>
      <c r="AC290" s="1426">
        <f t="shared" ref="AC290:AI290" si="189">IF(CNTR_ExistSubInstEntries,IF(OR($M236&lt;&gt;EUconst_Relevant,AC289&gt;=CNTR_ReportingYear,AC289&lt;$V236-1,$E290=""),0,2),2)</f>
        <v>2</v>
      </c>
      <c r="AD290" s="1427">
        <f t="shared" si="189"/>
        <v>2</v>
      </c>
      <c r="AE290" s="1427">
        <f t="shared" si="189"/>
        <v>2</v>
      </c>
      <c r="AF290" s="1427">
        <f t="shared" si="189"/>
        <v>2</v>
      </c>
      <c r="AG290" s="1427">
        <f t="shared" si="189"/>
        <v>2</v>
      </c>
      <c r="AH290" s="1428">
        <f t="shared" si="189"/>
        <v>2</v>
      </c>
      <c r="AI290" s="1429">
        <f t="shared" si="189"/>
        <v>2</v>
      </c>
      <c r="AJ290" s="343"/>
      <c r="AK290" s="1174" t="s">
        <v>2039</v>
      </c>
      <c r="AL290" s="1176" t="str">
        <f>IF(AND(CNTR_ExistSubInstEntries,COUNTIFS(AB290:AI290,2,G290:N290,"")&gt;0),EUconst_Error&amp;"FB"&amp;Q236,"")</f>
        <v/>
      </c>
      <c r="AM290" s="343"/>
    </row>
    <row r="291" spans="1:39" ht="12.75" customHeight="1" x14ac:dyDescent="0.25">
      <c r="A291" s="729" t="str">
        <f t="shared" si="178"/>
        <v/>
      </c>
      <c r="B291" s="698"/>
      <c r="C291" s="2906"/>
      <c r="D291" s="990">
        <f>D290+1</f>
        <v>2</v>
      </c>
      <c r="E291" s="1430" t="str">
        <f t="shared" si="188"/>
        <v/>
      </c>
      <c r="F291" s="273"/>
      <c r="G291" s="47"/>
      <c r="H291" s="119"/>
      <c r="I291" s="47"/>
      <c r="J291" s="119"/>
      <c r="K291" s="43"/>
      <c r="L291" s="43"/>
      <c r="M291" s="43"/>
      <c r="N291" s="43"/>
      <c r="O291" s="336"/>
      <c r="P291" s="158"/>
      <c r="Q291" s="694"/>
      <c r="R291" s="694"/>
      <c r="S291" s="694"/>
      <c r="T291" s="694"/>
      <c r="U291" s="694"/>
      <c r="V291" s="694"/>
      <c r="W291" s="694"/>
      <c r="X291" s="694"/>
      <c r="Y291" s="694"/>
      <c r="Z291" s="694"/>
      <c r="AA291" s="1431">
        <f t="shared" ref="AA291:AA299" si="190">MAX(AC291:AI291)</f>
        <v>2</v>
      </c>
      <c r="AB291" s="1432">
        <f>IF(CNTR_ExistSubInstEntries,IF(OR($M236&lt;&gt;EUconst_Relevant,$V236&gt;($H$1840-1),$E291=""),0,2),2)</f>
        <v>2</v>
      </c>
      <c r="AC291" s="1432">
        <f t="shared" ref="AC291:AI291" si="191">IF(CNTR_ExistSubInstEntries,IF(OR($M236&lt;&gt;EUconst_Relevant,AC289&gt;=CNTR_ReportingYear,AC289&lt;$V236-1,$E291=""),0,2),2)</f>
        <v>2</v>
      </c>
      <c r="AD291" s="1432">
        <f t="shared" si="191"/>
        <v>2</v>
      </c>
      <c r="AE291" s="1432">
        <f t="shared" si="191"/>
        <v>2</v>
      </c>
      <c r="AF291" s="1432">
        <f t="shared" si="191"/>
        <v>2</v>
      </c>
      <c r="AG291" s="1432">
        <f t="shared" si="191"/>
        <v>2</v>
      </c>
      <c r="AH291" s="1433">
        <f t="shared" si="191"/>
        <v>2</v>
      </c>
      <c r="AI291" s="1434">
        <f t="shared" si="191"/>
        <v>2</v>
      </c>
      <c r="AJ291" s="343"/>
      <c r="AK291" s="1174" t="s">
        <v>2039</v>
      </c>
      <c r="AL291" s="1176" t="str">
        <f>IF(AND(CNTR_ExistSubInstEntries,COUNTIFS(AB291:AI291,2,G291:N291,"")&gt;0),EUconst_Error&amp;"FB"&amp;Q236,"")</f>
        <v/>
      </c>
      <c r="AM291" s="343"/>
    </row>
    <row r="292" spans="1:39" ht="12.75" customHeight="1" x14ac:dyDescent="0.25">
      <c r="A292" s="729" t="str">
        <f t="shared" si="178"/>
        <v/>
      </c>
      <c r="B292" s="698"/>
      <c r="C292" s="2906"/>
      <c r="D292" s="990">
        <f t="shared" ref="D292:D299" si="192">D291+1</f>
        <v>3</v>
      </c>
      <c r="E292" s="1430" t="str">
        <f t="shared" si="188"/>
        <v/>
      </c>
      <c r="F292" s="273"/>
      <c r="G292" s="268"/>
      <c r="H292" s="119"/>
      <c r="I292" s="47"/>
      <c r="J292" s="119"/>
      <c r="K292" s="43"/>
      <c r="L292" s="43"/>
      <c r="M292" s="43"/>
      <c r="N292" s="43"/>
      <c r="O292" s="336"/>
      <c r="P292" s="158"/>
      <c r="Q292" s="694"/>
      <c r="R292" s="694"/>
      <c r="S292" s="694"/>
      <c r="T292" s="694"/>
      <c r="U292" s="694"/>
      <c r="V292" s="694"/>
      <c r="W292" s="694"/>
      <c r="X292" s="694"/>
      <c r="Y292" s="694"/>
      <c r="Z292" s="694"/>
      <c r="AA292" s="1431">
        <f t="shared" si="190"/>
        <v>2</v>
      </c>
      <c r="AB292" s="1432">
        <f>IF(CNTR_ExistSubInstEntries,IF(OR($M236&lt;&gt;EUconst_Relevant,$V236&gt;($H$1840-1),$E292=""),0,2),2)</f>
        <v>2</v>
      </c>
      <c r="AC292" s="1432">
        <f t="shared" ref="AC292:AI292" si="193">IF(CNTR_ExistSubInstEntries,IF(OR($M236&lt;&gt;EUconst_Relevant,AC289&gt;=CNTR_ReportingYear,AC289&lt;$V236-1,$E292=""),0,2),2)</f>
        <v>2</v>
      </c>
      <c r="AD292" s="1432">
        <f t="shared" si="193"/>
        <v>2</v>
      </c>
      <c r="AE292" s="1432">
        <f t="shared" si="193"/>
        <v>2</v>
      </c>
      <c r="AF292" s="1432">
        <f t="shared" si="193"/>
        <v>2</v>
      </c>
      <c r="AG292" s="1432">
        <f t="shared" si="193"/>
        <v>2</v>
      </c>
      <c r="AH292" s="1433">
        <f t="shared" si="193"/>
        <v>2</v>
      </c>
      <c r="AI292" s="1434">
        <f t="shared" si="193"/>
        <v>2</v>
      </c>
      <c r="AJ292" s="343"/>
      <c r="AK292" s="1174" t="s">
        <v>2039</v>
      </c>
      <c r="AL292" s="1176" t="str">
        <f>IF(AND(CNTR_ExistSubInstEntries,COUNTIFS(AB292:AI292,2,G292:N292,"")&gt;0),EUconst_Error&amp;"FB"&amp;Q236,"")</f>
        <v/>
      </c>
      <c r="AM292" s="343"/>
    </row>
    <row r="293" spans="1:39" ht="12.75" customHeight="1" x14ac:dyDescent="0.25">
      <c r="A293" s="729" t="str">
        <f t="shared" si="178"/>
        <v/>
      </c>
      <c r="B293" s="698"/>
      <c r="C293" s="2906"/>
      <c r="D293" s="990">
        <f t="shared" si="192"/>
        <v>4</v>
      </c>
      <c r="E293" s="1430" t="str">
        <f t="shared" si="188"/>
        <v/>
      </c>
      <c r="F293" s="271"/>
      <c r="G293" s="47"/>
      <c r="H293" s="119"/>
      <c r="I293" s="124"/>
      <c r="J293" s="119"/>
      <c r="K293" s="43"/>
      <c r="L293" s="43"/>
      <c r="M293" s="43"/>
      <c r="N293" s="43"/>
      <c r="O293" s="336"/>
      <c r="P293" s="158"/>
      <c r="Q293" s="694"/>
      <c r="R293" s="694"/>
      <c r="S293" s="694"/>
      <c r="T293" s="694"/>
      <c r="U293" s="729"/>
      <c r="V293" s="729"/>
      <c r="W293" s="694"/>
      <c r="X293" s="694"/>
      <c r="Y293" s="694"/>
      <c r="Z293" s="694"/>
      <c r="AA293" s="1431">
        <f t="shared" si="190"/>
        <v>2</v>
      </c>
      <c r="AB293" s="1432">
        <f>IF(CNTR_ExistSubInstEntries,IF(OR($M236&lt;&gt;EUconst_Relevant,$V236&gt;($H$1840-1),$E293=""),0,2),2)</f>
        <v>2</v>
      </c>
      <c r="AC293" s="1432">
        <f t="shared" ref="AC293:AI293" si="194">IF(CNTR_ExistSubInstEntries,IF(OR($M236&lt;&gt;EUconst_Relevant,AC289&gt;=CNTR_ReportingYear,AC289&lt;$V236-1,$E293=""),0,2),2)</f>
        <v>2</v>
      </c>
      <c r="AD293" s="1432">
        <f t="shared" si="194"/>
        <v>2</v>
      </c>
      <c r="AE293" s="1432">
        <f t="shared" si="194"/>
        <v>2</v>
      </c>
      <c r="AF293" s="1432">
        <f t="shared" si="194"/>
        <v>2</v>
      </c>
      <c r="AG293" s="1432">
        <f t="shared" si="194"/>
        <v>2</v>
      </c>
      <c r="AH293" s="1433">
        <f t="shared" si="194"/>
        <v>2</v>
      </c>
      <c r="AI293" s="1434">
        <f t="shared" si="194"/>
        <v>2</v>
      </c>
      <c r="AJ293" s="343"/>
      <c r="AK293" s="1174" t="s">
        <v>2039</v>
      </c>
      <c r="AL293" s="1176" t="str">
        <f>IF(AND(CNTR_ExistSubInstEntries,COUNTIFS(AB293:AI293,2,G293:N293,"")&gt;0),EUconst_Error&amp;"FB"&amp;Q236,"")</f>
        <v/>
      </c>
      <c r="AM293" s="343"/>
    </row>
    <row r="294" spans="1:39" ht="12.75" customHeight="1" x14ac:dyDescent="0.25">
      <c r="A294" s="729" t="str">
        <f t="shared" si="178"/>
        <v/>
      </c>
      <c r="B294" s="698"/>
      <c r="C294" s="2906"/>
      <c r="D294" s="990">
        <f t="shared" si="192"/>
        <v>5</v>
      </c>
      <c r="E294" s="1430" t="str">
        <f t="shared" si="188"/>
        <v/>
      </c>
      <c r="F294" s="271"/>
      <c r="G294" s="47"/>
      <c r="H294" s="119"/>
      <c r="I294" s="47"/>
      <c r="J294" s="119"/>
      <c r="K294" s="43"/>
      <c r="L294" s="43"/>
      <c r="M294" s="43"/>
      <c r="N294" s="43"/>
      <c r="O294" s="336"/>
      <c r="P294" s="158"/>
      <c r="Q294" s="694"/>
      <c r="R294" s="694"/>
      <c r="S294" s="694"/>
      <c r="T294" s="694"/>
      <c r="U294" s="729"/>
      <c r="V294" s="694"/>
      <c r="W294" s="694"/>
      <c r="X294" s="694"/>
      <c r="Y294" s="694"/>
      <c r="Z294" s="694"/>
      <c r="AA294" s="1431">
        <f t="shared" si="190"/>
        <v>2</v>
      </c>
      <c r="AB294" s="1432">
        <f>IF(CNTR_ExistSubInstEntries,IF(OR($M236&lt;&gt;EUconst_Relevant,$V236&gt;($H$1840-1),$E294=""),0,2),2)</f>
        <v>2</v>
      </c>
      <c r="AC294" s="1432">
        <f t="shared" ref="AC294:AI294" si="195">IF(CNTR_ExistSubInstEntries,IF(OR($M236&lt;&gt;EUconst_Relevant,AC289&gt;=CNTR_ReportingYear,AC289&lt;$V236-1,$E294=""),0,2),2)</f>
        <v>2</v>
      </c>
      <c r="AD294" s="1432">
        <f t="shared" si="195"/>
        <v>2</v>
      </c>
      <c r="AE294" s="1432">
        <f t="shared" si="195"/>
        <v>2</v>
      </c>
      <c r="AF294" s="1432">
        <f t="shared" si="195"/>
        <v>2</v>
      </c>
      <c r="AG294" s="1432">
        <f t="shared" si="195"/>
        <v>2</v>
      </c>
      <c r="AH294" s="1433">
        <f t="shared" si="195"/>
        <v>2</v>
      </c>
      <c r="AI294" s="1434">
        <f t="shared" si="195"/>
        <v>2</v>
      </c>
      <c r="AJ294" s="343"/>
      <c r="AK294" s="1174" t="s">
        <v>2039</v>
      </c>
      <c r="AL294" s="1176" t="str">
        <f>IF(AND(CNTR_ExistSubInstEntries,COUNTIFS(AB294:AI294,2,G294:N294,"")&gt;0),EUconst_Error&amp;"FB"&amp;Q236,"")</f>
        <v/>
      </c>
      <c r="AM294" s="343"/>
    </row>
    <row r="295" spans="1:39" ht="12.75" customHeight="1" x14ac:dyDescent="0.25">
      <c r="A295" s="729" t="str">
        <f t="shared" si="178"/>
        <v/>
      </c>
      <c r="B295" s="698"/>
      <c r="C295" s="2906"/>
      <c r="D295" s="990">
        <f t="shared" si="192"/>
        <v>6</v>
      </c>
      <c r="E295" s="1430" t="str">
        <f t="shared" si="188"/>
        <v/>
      </c>
      <c r="F295" s="271"/>
      <c r="G295" s="47"/>
      <c r="H295" s="119"/>
      <c r="I295" s="47"/>
      <c r="J295" s="119"/>
      <c r="K295" s="43"/>
      <c r="L295" s="43"/>
      <c r="M295" s="43"/>
      <c r="N295" s="43"/>
      <c r="O295" s="336"/>
      <c r="P295" s="158"/>
      <c r="Q295" s="694"/>
      <c r="R295" s="694"/>
      <c r="S295" s="694"/>
      <c r="T295" s="694"/>
      <c r="U295" s="694"/>
      <c r="V295" s="694"/>
      <c r="W295" s="694"/>
      <c r="X295" s="694"/>
      <c r="Y295" s="694"/>
      <c r="Z295" s="694"/>
      <c r="AA295" s="1431">
        <f t="shared" si="190"/>
        <v>2</v>
      </c>
      <c r="AB295" s="1432">
        <f>IF(CNTR_ExistSubInstEntries,IF(OR($M236&lt;&gt;EUconst_Relevant,$V236&gt;($H$1840-1),$E295=""),0,2),2)</f>
        <v>2</v>
      </c>
      <c r="AC295" s="1432">
        <f t="shared" ref="AC295:AI295" si="196">IF(CNTR_ExistSubInstEntries,IF(OR($M236&lt;&gt;EUconst_Relevant,AC289&gt;=CNTR_ReportingYear,AC289&lt;$V236-1,$E295=""),0,2),2)</f>
        <v>2</v>
      </c>
      <c r="AD295" s="1432">
        <f t="shared" si="196"/>
        <v>2</v>
      </c>
      <c r="AE295" s="1432">
        <f t="shared" si="196"/>
        <v>2</v>
      </c>
      <c r="AF295" s="1432">
        <f t="shared" si="196"/>
        <v>2</v>
      </c>
      <c r="AG295" s="1432">
        <f t="shared" si="196"/>
        <v>2</v>
      </c>
      <c r="AH295" s="1433">
        <f t="shared" si="196"/>
        <v>2</v>
      </c>
      <c r="AI295" s="1434">
        <f t="shared" si="196"/>
        <v>2</v>
      </c>
      <c r="AJ295" s="343"/>
      <c r="AK295" s="1174" t="s">
        <v>2039</v>
      </c>
      <c r="AL295" s="1176" t="str">
        <f>IF(AND(CNTR_ExistSubInstEntries,COUNTIFS(AB295:AI295,2,G295:N295,"")&gt;0),EUconst_Error&amp;"FB"&amp;Q236,"")</f>
        <v/>
      </c>
      <c r="AM295" s="343"/>
    </row>
    <row r="296" spans="1:39" ht="12.75" customHeight="1" x14ac:dyDescent="0.25">
      <c r="A296" s="729" t="str">
        <f t="shared" si="178"/>
        <v/>
      </c>
      <c r="B296" s="698"/>
      <c r="C296" s="2906"/>
      <c r="D296" s="990">
        <f t="shared" si="192"/>
        <v>7</v>
      </c>
      <c r="E296" s="1430" t="str">
        <f t="shared" si="188"/>
        <v/>
      </c>
      <c r="F296" s="271"/>
      <c r="G296" s="47"/>
      <c r="H296" s="119"/>
      <c r="I296" s="47"/>
      <c r="J296" s="119"/>
      <c r="K296" s="43"/>
      <c r="L296" s="43"/>
      <c r="M296" s="43"/>
      <c r="N296" s="43"/>
      <c r="O296" s="336"/>
      <c r="P296" s="158"/>
      <c r="Q296" s="694"/>
      <c r="R296" s="694"/>
      <c r="S296" s="694"/>
      <c r="T296" s="694"/>
      <c r="U296" s="694"/>
      <c r="V296" s="694"/>
      <c r="W296" s="694"/>
      <c r="X296" s="694"/>
      <c r="Y296" s="694"/>
      <c r="Z296" s="694"/>
      <c r="AA296" s="1431">
        <f t="shared" si="190"/>
        <v>2</v>
      </c>
      <c r="AB296" s="1432">
        <f>IF(CNTR_ExistSubInstEntries,IF(OR($M236&lt;&gt;EUconst_Relevant,$V236&gt;($H$1840-1),$E296=""),0,2),2)</f>
        <v>2</v>
      </c>
      <c r="AC296" s="1432">
        <f t="shared" ref="AC296:AI296" si="197">IF(CNTR_ExistSubInstEntries,IF(OR($M236&lt;&gt;EUconst_Relevant,AC289&gt;=CNTR_ReportingYear,AC289&lt;$V236-1,$E296=""),0,2),2)</f>
        <v>2</v>
      </c>
      <c r="AD296" s="1432">
        <f t="shared" si="197"/>
        <v>2</v>
      </c>
      <c r="AE296" s="1432">
        <f t="shared" si="197"/>
        <v>2</v>
      </c>
      <c r="AF296" s="1432">
        <f t="shared" si="197"/>
        <v>2</v>
      </c>
      <c r="AG296" s="1432">
        <f t="shared" si="197"/>
        <v>2</v>
      </c>
      <c r="AH296" s="1433">
        <f t="shared" si="197"/>
        <v>2</v>
      </c>
      <c r="AI296" s="1434">
        <f t="shared" si="197"/>
        <v>2</v>
      </c>
      <c r="AJ296" s="343"/>
      <c r="AK296" s="1174" t="s">
        <v>2039</v>
      </c>
      <c r="AL296" s="1176" t="str">
        <f>IF(AND(CNTR_ExistSubInstEntries,COUNTIFS(AB296:AI296,2,G296:N296,"")&gt;0),EUconst_Error&amp;"FB"&amp;Q236,"")</f>
        <v/>
      </c>
      <c r="AM296" s="343"/>
    </row>
    <row r="297" spans="1:39" ht="12.75" customHeight="1" x14ac:dyDescent="0.25">
      <c r="A297" s="729" t="str">
        <f t="shared" si="178"/>
        <v/>
      </c>
      <c r="B297" s="698"/>
      <c r="C297" s="2906"/>
      <c r="D297" s="990">
        <f t="shared" si="192"/>
        <v>8</v>
      </c>
      <c r="E297" s="1430" t="str">
        <f t="shared" si="188"/>
        <v/>
      </c>
      <c r="F297" s="271"/>
      <c r="G297" s="47"/>
      <c r="H297" s="119"/>
      <c r="I297" s="47"/>
      <c r="J297" s="119"/>
      <c r="K297" s="43"/>
      <c r="L297" s="43"/>
      <c r="M297" s="43"/>
      <c r="N297" s="43"/>
      <c r="O297" s="336"/>
      <c r="P297" s="158"/>
      <c r="Q297" s="694"/>
      <c r="R297" s="694"/>
      <c r="S297" s="694"/>
      <c r="T297" s="694"/>
      <c r="U297" s="694"/>
      <c r="V297" s="694"/>
      <c r="W297" s="694"/>
      <c r="X297" s="694"/>
      <c r="Y297" s="694"/>
      <c r="Z297" s="694"/>
      <c r="AA297" s="1431">
        <f t="shared" si="190"/>
        <v>2</v>
      </c>
      <c r="AB297" s="1432">
        <f>IF(CNTR_ExistSubInstEntries,IF(OR($M236&lt;&gt;EUconst_Relevant,$V236&gt;($H$1840-1),$E297=""),0,2),2)</f>
        <v>2</v>
      </c>
      <c r="AC297" s="1432">
        <f t="shared" ref="AC297:AI297" si="198">IF(CNTR_ExistSubInstEntries,IF(OR($M236&lt;&gt;EUconst_Relevant,AC289&gt;=CNTR_ReportingYear,AC289&lt;$V236-1,$E297=""),0,2),2)</f>
        <v>2</v>
      </c>
      <c r="AD297" s="1432">
        <f t="shared" si="198"/>
        <v>2</v>
      </c>
      <c r="AE297" s="1432">
        <f t="shared" si="198"/>
        <v>2</v>
      </c>
      <c r="AF297" s="1432">
        <f t="shared" si="198"/>
        <v>2</v>
      </c>
      <c r="AG297" s="1432">
        <f t="shared" si="198"/>
        <v>2</v>
      </c>
      <c r="AH297" s="1433">
        <f t="shared" si="198"/>
        <v>2</v>
      </c>
      <c r="AI297" s="1434">
        <f t="shared" si="198"/>
        <v>2</v>
      </c>
      <c r="AJ297" s="343"/>
      <c r="AK297" s="1174" t="s">
        <v>2039</v>
      </c>
      <c r="AL297" s="1176" t="str">
        <f>IF(AND(CNTR_ExistSubInstEntries,COUNTIFS(AB297:AI297,2,G297:N297,"")&gt;0),EUconst_Error&amp;"FB"&amp;Q236,"")</f>
        <v/>
      </c>
      <c r="AM297" s="343"/>
    </row>
    <row r="298" spans="1:39" ht="12.75" customHeight="1" x14ac:dyDescent="0.25">
      <c r="A298" s="729" t="str">
        <f t="shared" si="178"/>
        <v/>
      </c>
      <c r="B298" s="698"/>
      <c r="C298" s="2906"/>
      <c r="D298" s="990">
        <f t="shared" si="192"/>
        <v>9</v>
      </c>
      <c r="E298" s="1430" t="str">
        <f t="shared" si="188"/>
        <v/>
      </c>
      <c r="F298" s="271"/>
      <c r="G298" s="47"/>
      <c r="H298" s="119"/>
      <c r="I298" s="47"/>
      <c r="J298" s="119"/>
      <c r="K298" s="43"/>
      <c r="L298" s="43"/>
      <c r="M298" s="43"/>
      <c r="N298" s="43"/>
      <c r="O298" s="336"/>
      <c r="P298" s="158"/>
      <c r="Q298" s="694"/>
      <c r="R298" s="694"/>
      <c r="S298" s="694"/>
      <c r="T298" s="694"/>
      <c r="U298" s="694"/>
      <c r="V298" s="694"/>
      <c r="W298" s="694"/>
      <c r="X298" s="694"/>
      <c r="Y298" s="694"/>
      <c r="Z298" s="694"/>
      <c r="AA298" s="1431">
        <f t="shared" si="190"/>
        <v>2</v>
      </c>
      <c r="AB298" s="1432">
        <f>IF(CNTR_ExistSubInstEntries,IF(OR($M236&lt;&gt;EUconst_Relevant,$V236&gt;($H$1840-1),$E298=""),0,2),2)</f>
        <v>2</v>
      </c>
      <c r="AC298" s="1432">
        <f t="shared" ref="AC298:AI298" si="199">IF(CNTR_ExistSubInstEntries,IF(OR($M236&lt;&gt;EUconst_Relevant,AC289&gt;=CNTR_ReportingYear,AC289&lt;$V236-1,$E298=""),0,2),2)</f>
        <v>2</v>
      </c>
      <c r="AD298" s="1432">
        <f t="shared" si="199"/>
        <v>2</v>
      </c>
      <c r="AE298" s="1432">
        <f t="shared" si="199"/>
        <v>2</v>
      </c>
      <c r="AF298" s="1432">
        <f t="shared" si="199"/>
        <v>2</v>
      </c>
      <c r="AG298" s="1432">
        <f t="shared" si="199"/>
        <v>2</v>
      </c>
      <c r="AH298" s="1433">
        <f t="shared" si="199"/>
        <v>2</v>
      </c>
      <c r="AI298" s="1434">
        <f t="shared" si="199"/>
        <v>2</v>
      </c>
      <c r="AJ298" s="343"/>
      <c r="AK298" s="1174" t="s">
        <v>2039</v>
      </c>
      <c r="AL298" s="1176" t="str">
        <f>IF(AND(CNTR_ExistSubInstEntries,COUNTIFS(AB298:AI298,2,G298:N298,"")&gt;0),EUconst_Error&amp;"FB"&amp;Q236,"")</f>
        <v/>
      </c>
      <c r="AM298" s="343"/>
    </row>
    <row r="299" spans="1:39" ht="12.75" customHeight="1" thickBot="1" x14ac:dyDescent="0.3">
      <c r="A299" s="729" t="str">
        <f t="shared" si="178"/>
        <v/>
      </c>
      <c r="B299" s="698"/>
      <c r="C299" s="2906"/>
      <c r="D299" s="994">
        <f t="shared" si="192"/>
        <v>10</v>
      </c>
      <c r="E299" s="1435" t="str">
        <f t="shared" si="188"/>
        <v/>
      </c>
      <c r="F299" s="272"/>
      <c r="G299" s="48"/>
      <c r="H299" s="117"/>
      <c r="I299" s="48"/>
      <c r="J299" s="117"/>
      <c r="K299" s="38"/>
      <c r="L299" s="38"/>
      <c r="M299" s="38"/>
      <c r="N299" s="38"/>
      <c r="O299" s="336"/>
      <c r="P299" s="158"/>
      <c r="Q299" s="694"/>
      <c r="R299" s="694"/>
      <c r="S299" s="694"/>
      <c r="T299" s="694"/>
      <c r="U299" s="694"/>
      <c r="V299" s="694"/>
      <c r="W299" s="694"/>
      <c r="X299" s="694"/>
      <c r="Y299" s="694"/>
      <c r="Z299" s="694"/>
      <c r="AA299" s="1436">
        <f t="shared" si="190"/>
        <v>2</v>
      </c>
      <c r="AB299" s="1437">
        <f>IF(CNTR_ExistSubInstEntries,IF(OR($M236&lt;&gt;EUconst_Relevant,$V236&gt;($H$1840-1),$E299=""),0,2),2)</f>
        <v>2</v>
      </c>
      <c r="AC299" s="1437">
        <f t="shared" ref="AC299:AI299" si="200">IF(CNTR_ExistSubInstEntries,IF(OR($M236&lt;&gt;EUconst_Relevant,AC289&gt;=CNTR_ReportingYear,AC289&lt;$V236-1,$E299=""),0,2),2)</f>
        <v>2</v>
      </c>
      <c r="AD299" s="1437">
        <f t="shared" si="200"/>
        <v>2</v>
      </c>
      <c r="AE299" s="1437">
        <f t="shared" si="200"/>
        <v>2</v>
      </c>
      <c r="AF299" s="1437">
        <f t="shared" si="200"/>
        <v>2</v>
      </c>
      <c r="AG299" s="1437">
        <f t="shared" si="200"/>
        <v>2</v>
      </c>
      <c r="AH299" s="1438">
        <f t="shared" si="200"/>
        <v>2</v>
      </c>
      <c r="AI299" s="1439">
        <f t="shared" si="200"/>
        <v>2</v>
      </c>
      <c r="AJ299" s="343"/>
      <c r="AK299" s="1174" t="s">
        <v>2039</v>
      </c>
      <c r="AL299" s="1176" t="str">
        <f>IF(AND(CNTR_ExistSubInstEntries,COUNTIFS(AB299:AI299,2,G299:N299,"")&gt;0),EUconst_Error&amp;"FB"&amp;Q236,"")</f>
        <v/>
      </c>
      <c r="AM299" s="343"/>
    </row>
    <row r="300" spans="1:39" ht="12.75" customHeight="1" x14ac:dyDescent="0.25">
      <c r="A300" s="729" t="str">
        <f t="shared" si="178"/>
        <v/>
      </c>
      <c r="B300" s="698"/>
      <c r="C300" s="2906"/>
      <c r="D300" s="1293"/>
      <c r="E300" s="1294" t="str">
        <f>Translations!$B$501</f>
        <v>Сума на равнищата на производство</v>
      </c>
      <c r="F300" s="1440" t="str">
        <f>IF(AND(COUNTA(F290:F299)&gt;0,COUNTIF(F290:F299,F290)=COUNTA(F290:F299)),F290,"")</f>
        <v/>
      </c>
      <c r="G300" s="1296" t="str">
        <f>IF(AND($F300&lt;&gt;"",COUNT(G290:G299)&gt;0),SUMIF($S274:$S283,TRUE,G290:G299),"")</f>
        <v/>
      </c>
      <c r="H300" s="1297" t="str">
        <f t="shared" ref="H300" si="201">IF(AND($F300&lt;&gt;"",COUNT(H290:H299)&gt;0),SUMIF($S274:$S283,TRUE,H290:H299),"")</f>
        <v/>
      </c>
      <c r="I300" s="1296" t="str">
        <f t="shared" ref="I300" si="202">IF(AND($F300&lt;&gt;"",COUNT(I290:I299)&gt;0),SUMIF($S274:$S283,TRUE,I290:I299),"")</f>
        <v/>
      </c>
      <c r="J300" s="1297" t="str">
        <f t="shared" ref="J300" si="203">IF(AND($F300&lt;&gt;"",COUNT(J290:J299)&gt;0),SUMIF($S274:$S283,TRUE,J290:J299),"")</f>
        <v/>
      </c>
      <c r="K300" s="1104" t="str">
        <f t="shared" ref="K300" si="204">IF(AND($F300&lt;&gt;"",COUNT(K290:K299)&gt;0),SUMIF($S274:$S283,TRUE,K290:K299),"")</f>
        <v/>
      </c>
      <c r="L300" s="1104" t="str">
        <f t="shared" ref="L300" si="205">IF(AND($F300&lt;&gt;"",COUNT(L290:L299)&gt;0),SUMIF($S274:$S283,TRUE,L290:L299),"")</f>
        <v/>
      </c>
      <c r="M300" s="1104" t="str">
        <f t="shared" ref="M300" si="206">IF(AND($F300&lt;&gt;"",COUNT(M290:M299)&gt;0),SUMIF($S274:$S283,TRUE,M290:M299),"")</f>
        <v/>
      </c>
      <c r="N300" s="1104" t="str">
        <f t="shared" ref="N300" si="207">IF(AND($F300&lt;&gt;"",COUNT(N290:N299)&gt;0),SUMIF($S274:$S283,TRUE,N290:N299),"")</f>
        <v/>
      </c>
      <c r="O300" s="336"/>
      <c r="P300" s="336"/>
      <c r="Q300" s="694"/>
      <c r="R300" s="694"/>
      <c r="S300" s="694"/>
      <c r="T300" s="694"/>
      <c r="U300" s="694"/>
      <c r="V300" s="694"/>
      <c r="W300" s="694"/>
      <c r="X300" s="694"/>
      <c r="Y300" s="694"/>
      <c r="Z300" s="694"/>
      <c r="AA300" s="694"/>
      <c r="AB300" s="729"/>
      <c r="AC300" s="729"/>
      <c r="AD300" s="729"/>
      <c r="AE300" s="729"/>
      <c r="AF300" s="729"/>
      <c r="AG300" s="729"/>
      <c r="AH300" s="729"/>
      <c r="AI300" s="729"/>
      <c r="AJ300" s="343"/>
      <c r="AK300" s="343"/>
      <c r="AL300" s="343"/>
      <c r="AM300" s="343"/>
    </row>
    <row r="301" spans="1:39" ht="5.15" customHeight="1" x14ac:dyDescent="0.25">
      <c r="A301" s="729" t="str">
        <f t="shared" si="178"/>
        <v/>
      </c>
      <c r="B301" s="698"/>
      <c r="C301" s="284"/>
      <c r="D301" s="284"/>
      <c r="E301" s="284"/>
      <c r="F301" s="284"/>
      <c r="G301" s="284"/>
      <c r="H301" s="284"/>
      <c r="I301" s="284"/>
      <c r="J301" s="284"/>
      <c r="K301" s="284"/>
      <c r="L301" s="284"/>
      <c r="M301" s="284"/>
      <c r="N301" s="284"/>
      <c r="O301" s="336"/>
      <c r="P301" s="336"/>
      <c r="Q301" s="694"/>
      <c r="R301" s="694"/>
      <c r="S301" s="694"/>
      <c r="T301" s="694"/>
      <c r="U301" s="694"/>
      <c r="V301" s="694"/>
      <c r="W301" s="694"/>
      <c r="X301" s="694"/>
      <c r="Y301" s="694"/>
      <c r="Z301" s="729"/>
      <c r="AA301" s="729"/>
      <c r="AB301" s="729"/>
      <c r="AC301" s="694"/>
      <c r="AD301" s="694"/>
      <c r="AE301" s="343"/>
      <c r="AF301" s="343"/>
      <c r="AG301" s="343"/>
      <c r="AH301" s="343"/>
      <c r="AI301" s="343"/>
      <c r="AJ301" s="343"/>
      <c r="AK301" s="343"/>
      <c r="AL301" s="343"/>
      <c r="AM301" s="343"/>
    </row>
    <row r="302" spans="1:39" ht="12.75" customHeight="1" x14ac:dyDescent="0.25">
      <c r="A302" s="729" t="str">
        <f t="shared" si="178"/>
        <v/>
      </c>
      <c r="B302" s="698"/>
      <c r="C302" s="284"/>
      <c r="D302" s="300" t="s">
        <v>1764</v>
      </c>
      <c r="E302" s="2226" t="str">
        <f>Translations!$B$1535</f>
        <v>Допустимо по СТЕ на ЕС потребление на енергия по продукти за определяне на очакваните равнища на дейност</v>
      </c>
      <c r="F302" s="2249"/>
      <c r="G302" s="2249"/>
      <c r="H302" s="2249"/>
      <c r="I302" s="2249"/>
      <c r="J302" s="2249"/>
      <c r="K302" s="2249"/>
      <c r="L302" s="2249"/>
      <c r="M302" s="2249"/>
      <c r="N302" s="2249"/>
      <c r="O302" s="336"/>
      <c r="P302" s="336"/>
      <c r="Q302" s="770"/>
      <c r="R302" s="694"/>
      <c r="S302" s="1030" t="s">
        <v>2010</v>
      </c>
      <c r="T302" s="1441" t="str">
        <f>IF(M236&lt;&gt;EUconst_Relevant,"",IF(COUNTIF(V253:Z253,TRUE)&gt;0,2,1))</f>
        <v/>
      </c>
      <c r="U302" s="729" t="s">
        <v>2006</v>
      </c>
      <c r="V302" s="694"/>
      <c r="W302" s="694"/>
      <c r="X302" s="694"/>
      <c r="Y302" s="694"/>
      <c r="Z302" s="729"/>
      <c r="AA302" s="729"/>
      <c r="AB302" s="729"/>
      <c r="AC302" s="694"/>
      <c r="AD302" s="694"/>
      <c r="AE302" s="343"/>
      <c r="AF302" s="343"/>
      <c r="AG302" s="343"/>
      <c r="AH302" s="343"/>
      <c r="AI302" s="343"/>
      <c r="AJ302" s="343"/>
      <c r="AK302" s="343"/>
      <c r="AL302" s="343"/>
      <c r="AM302" s="343"/>
    </row>
    <row r="303" spans="1:39" ht="12.75" customHeight="1" x14ac:dyDescent="0.25">
      <c r="A303" s="729" t="str">
        <f t="shared" si="178"/>
        <v/>
      </c>
      <c r="B303" s="284"/>
      <c r="C303" s="302"/>
      <c r="D303" s="302"/>
      <c r="E303" s="2358" t="str">
        <f>Translations!$B$1337</f>
        <v>Моля, въведете тук енергопотреблението, свързано с всеки продукт, изброен в буква б) по-горе, в съответствие с методиките, описани в ПММ.</v>
      </c>
      <c r="F303" s="2249"/>
      <c r="G303" s="2249"/>
      <c r="H303" s="2249"/>
      <c r="I303" s="2249"/>
      <c r="J303" s="2249"/>
      <c r="K303" s="2249"/>
      <c r="L303" s="2249"/>
      <c r="M303" s="2249"/>
      <c r="N303" s="2249"/>
      <c r="O303" s="336"/>
      <c r="P303" s="336"/>
      <c r="Q303" s="770"/>
      <c r="R303" s="770"/>
      <c r="S303" s="770"/>
      <c r="T303" s="770"/>
      <c r="U303" s="770"/>
      <c r="V303" s="770"/>
      <c r="W303" s="770"/>
      <c r="X303" s="770"/>
      <c r="Y303" s="770"/>
      <c r="Z303" s="694"/>
      <c r="AA303" s="694"/>
      <c r="AB303" s="729"/>
      <c r="AC303" s="694"/>
      <c r="AD303" s="694"/>
      <c r="AE303" s="343"/>
      <c r="AF303" s="343"/>
      <c r="AG303" s="343"/>
      <c r="AH303" s="343"/>
      <c r="AI303" s="343"/>
      <c r="AJ303" s="343"/>
      <c r="AK303" s="343"/>
      <c r="AL303" s="343"/>
      <c r="AM303" s="343"/>
    </row>
    <row r="304" spans="1:39" ht="25.5" customHeight="1" x14ac:dyDescent="0.25">
      <c r="A304" s="729" t="str">
        <f t="shared" si="178"/>
        <v/>
      </c>
      <c r="B304" s="698"/>
      <c r="C304" s="284"/>
      <c r="D304" s="284"/>
      <c r="E304" s="2459" t="str">
        <f>Translations!$B$1536</f>
        <v>Вписванията тук са задължителни за всички години, ако средното годишно равнище на дейност по буква а) се е променило с повече от 15 % за поне една година и само в този случай ще окаже пряко въздействие върху разпределянето.</v>
      </c>
      <c r="F304" s="2460"/>
      <c r="G304" s="2460"/>
      <c r="H304" s="2460"/>
      <c r="I304" s="2460"/>
      <c r="J304" s="2460"/>
      <c r="K304" s="2460"/>
      <c r="L304" s="2460"/>
      <c r="M304" s="2460"/>
      <c r="N304" s="2460"/>
      <c r="O304" s="336"/>
      <c r="P304" s="336"/>
      <c r="Q304" s="694"/>
      <c r="R304" s="694"/>
      <c r="S304" s="694"/>
      <c r="T304" s="694"/>
      <c r="U304" s="694"/>
      <c r="V304" s="694"/>
      <c r="W304" s="694"/>
      <c r="X304" s="694"/>
      <c r="Y304" s="694"/>
      <c r="Z304" s="729"/>
      <c r="AA304" s="729"/>
      <c r="AB304" s="729"/>
      <c r="AC304" s="729"/>
      <c r="AD304" s="694"/>
      <c r="AE304" s="343"/>
      <c r="AF304" s="343"/>
      <c r="AG304" s="343"/>
      <c r="AH304" s="343"/>
      <c r="AI304" s="343"/>
      <c r="AJ304" s="343"/>
      <c r="AK304" s="343"/>
      <c r="AL304" s="343"/>
      <c r="AM304" s="343"/>
    </row>
    <row r="305" spans="1:39" ht="12.75" customHeight="1" x14ac:dyDescent="0.25">
      <c r="A305" s="729"/>
      <c r="B305" s="698"/>
      <c r="C305" s="284"/>
      <c r="D305" s="284"/>
      <c r="E305" s="2358" t="str">
        <f>Translations!$B$1537</f>
        <v>Стойността в НМИ се отнася до средното потребление на топлинна енергия през историческия базов период (НМИ).</v>
      </c>
      <c r="F305" s="2249"/>
      <c r="G305" s="2249"/>
      <c r="H305" s="2249"/>
      <c r="I305" s="2249"/>
      <c r="J305" s="2249"/>
      <c r="K305" s="2249"/>
      <c r="L305" s="2249"/>
      <c r="M305" s="2249"/>
      <c r="N305" s="2249"/>
      <c r="O305" s="336"/>
      <c r="P305" s="336"/>
      <c r="Q305" s="694"/>
      <c r="R305" s="694"/>
      <c r="S305" s="694"/>
      <c r="T305" s="694"/>
      <c r="U305" s="694"/>
      <c r="V305" s="694"/>
      <c r="W305" s="694"/>
      <c r="X305" s="694"/>
      <c r="Y305" s="694"/>
      <c r="Z305" s="729"/>
      <c r="AA305" s="729"/>
      <c r="AB305" s="729"/>
      <c r="AC305" s="729"/>
      <c r="AD305" s="694"/>
      <c r="AE305" s="343"/>
      <c r="AF305" s="343"/>
      <c r="AG305" s="343"/>
      <c r="AH305" s="343"/>
      <c r="AI305" s="343"/>
      <c r="AJ305" s="343"/>
      <c r="AK305" s="343"/>
      <c r="AL305" s="343"/>
      <c r="AM305" s="343"/>
    </row>
    <row r="306" spans="1:39" ht="12.75" customHeight="1" x14ac:dyDescent="0.25">
      <c r="A306" s="729" t="str">
        <f>A304</f>
        <v/>
      </c>
      <c r="B306" s="698"/>
      <c r="C306" s="284"/>
      <c r="D306" s="284"/>
      <c r="E306" s="2358" t="str">
        <f>Translations!$B$1538</f>
        <v>Допълнителни насоки относно отнасянето по продукти за изчисляването на историческата ефективност (HistEff) могат да бъдат намерени в раздели 2.3 и 3 от Ръководство № 7.</v>
      </c>
      <c r="F306" s="2249"/>
      <c r="G306" s="2249"/>
      <c r="H306" s="2249"/>
      <c r="I306" s="2249"/>
      <c r="J306" s="2249"/>
      <c r="K306" s="2249"/>
      <c r="L306" s="2249"/>
      <c r="M306" s="2249"/>
      <c r="N306" s="2249"/>
      <c r="O306" s="336"/>
      <c r="P306" s="295"/>
      <c r="Q306" s="694"/>
      <c r="R306" s="694"/>
      <c r="S306" s="694"/>
      <c r="T306" s="694"/>
      <c r="U306" s="694"/>
      <c r="V306" s="694"/>
      <c r="W306" s="694"/>
      <c r="X306" s="694"/>
      <c r="Y306" s="694"/>
      <c r="Z306" s="729"/>
      <c r="AA306" s="729"/>
      <c r="AB306" s="729"/>
      <c r="AC306" s="729"/>
      <c r="AD306" s="694"/>
      <c r="AE306" s="343"/>
      <c r="AF306" s="343"/>
      <c r="AG306" s="343"/>
      <c r="AH306" s="343"/>
      <c r="AI306" s="343"/>
      <c r="AJ306" s="343"/>
      <c r="AK306" s="343"/>
      <c r="AL306" s="343"/>
      <c r="AM306" s="343"/>
    </row>
    <row r="307" spans="1:39" ht="5.15" customHeight="1" x14ac:dyDescent="0.25">
      <c r="A307" s="729" t="str">
        <f t="shared" si="178"/>
        <v/>
      </c>
      <c r="B307" s="698"/>
      <c r="C307" s="284"/>
      <c r="D307" s="284"/>
      <c r="E307" s="2358"/>
      <c r="F307" s="2249"/>
      <c r="G307" s="2249"/>
      <c r="H307" s="2249"/>
      <c r="I307" s="2249"/>
      <c r="J307" s="2249"/>
      <c r="K307" s="2249"/>
      <c r="L307" s="2249"/>
      <c r="M307" s="2249"/>
      <c r="N307" s="2249"/>
      <c r="O307" s="336"/>
      <c r="P307" s="295"/>
      <c r="Q307" s="694"/>
      <c r="R307" s="694"/>
      <c r="S307" s="694"/>
      <c r="T307" s="694"/>
      <c r="U307" s="694"/>
      <c r="V307" s="694"/>
      <c r="W307" s="694"/>
      <c r="X307" s="694"/>
      <c r="Y307" s="694"/>
      <c r="Z307" s="729"/>
      <c r="AA307" s="729"/>
      <c r="AB307" s="729"/>
      <c r="AC307" s="729"/>
      <c r="AD307" s="694"/>
      <c r="AE307" s="343"/>
      <c r="AF307" s="343"/>
      <c r="AG307" s="343"/>
      <c r="AH307" s="343"/>
      <c r="AI307" s="343"/>
      <c r="AJ307" s="343"/>
      <c r="AK307" s="343"/>
      <c r="AL307" s="343"/>
      <c r="AM307" s="343"/>
    </row>
    <row r="308" spans="1:39" s="1423" customFormat="1" ht="25.5" customHeight="1" thickBot="1" x14ac:dyDescent="0.35">
      <c r="A308" s="729" t="str">
        <f t="shared" si="178"/>
        <v/>
      </c>
      <c r="B308" s="1412"/>
      <c r="C308" s="1413"/>
      <c r="D308" s="1414"/>
      <c r="E308" s="1415" t="str">
        <f>Translations!$B$624</f>
        <v>Име на продукта или „топлофикационна мрежа“</v>
      </c>
      <c r="F308" s="1416" t="str">
        <f>EUconst_Unit</f>
        <v>Единица мярка</v>
      </c>
      <c r="G308" s="1419" t="str">
        <f>Translations!$B$1336</f>
        <v>Стойност в НМИ</v>
      </c>
      <c r="H308" s="1418">
        <f t="shared" ref="H308:N308" si="208">H$1840</f>
        <v>2024</v>
      </c>
      <c r="I308" s="1419">
        <f t="shared" si="208"/>
        <v>2025</v>
      </c>
      <c r="J308" s="1418">
        <f t="shared" si="208"/>
        <v>2026</v>
      </c>
      <c r="K308" s="1420">
        <f t="shared" si="208"/>
        <v>2027</v>
      </c>
      <c r="L308" s="1420">
        <f t="shared" si="208"/>
        <v>2028</v>
      </c>
      <c r="M308" s="1420">
        <f t="shared" si="208"/>
        <v>2029</v>
      </c>
      <c r="N308" s="1420">
        <f t="shared" si="208"/>
        <v>2030</v>
      </c>
      <c r="O308" s="336"/>
      <c r="P308" s="295"/>
      <c r="Q308" s="1421"/>
      <c r="R308" s="1421"/>
      <c r="S308" s="770" t="str">
        <f>Translations!$B$1341</f>
        <v>Базова стойност</v>
      </c>
      <c r="T308" s="1421">
        <f t="shared" ref="T308" si="209">H308</f>
        <v>2024</v>
      </c>
      <c r="U308" s="1421">
        <f t="shared" ref="U308" si="210">I308</f>
        <v>2025</v>
      </c>
      <c r="V308" s="1421">
        <f t="shared" ref="V308" si="211">J308</f>
        <v>2026</v>
      </c>
      <c r="W308" s="1421">
        <f t="shared" ref="W308" si="212">K308</f>
        <v>2027</v>
      </c>
      <c r="X308" s="1421">
        <f t="shared" ref="X308" si="213">L308</f>
        <v>2028</v>
      </c>
      <c r="Y308" s="1421">
        <f t="shared" ref="Y308" si="214">M308</f>
        <v>2029</v>
      </c>
      <c r="Z308" s="1421">
        <f t="shared" ref="Z308" si="215">N308</f>
        <v>2030</v>
      </c>
      <c r="AA308" s="1421"/>
      <c r="AB308" s="770" t="str">
        <f>Translations!$B$1284</f>
        <v>HAL</v>
      </c>
      <c r="AC308" s="1421">
        <f t="shared" ref="AC308" si="216">H308</f>
        <v>2024</v>
      </c>
      <c r="AD308" s="1421">
        <f t="shared" ref="AD308" si="217">I308</f>
        <v>2025</v>
      </c>
      <c r="AE308" s="1421">
        <f t="shared" ref="AE308" si="218">J308</f>
        <v>2026</v>
      </c>
      <c r="AF308" s="1421">
        <f t="shared" ref="AF308" si="219">K308</f>
        <v>2027</v>
      </c>
      <c r="AG308" s="1421">
        <f t="shared" ref="AG308" si="220">L308</f>
        <v>2028</v>
      </c>
      <c r="AH308" s="1422">
        <f t="shared" ref="AH308" si="221">M308</f>
        <v>2029</v>
      </c>
      <c r="AI308" s="1422">
        <f t="shared" ref="AI308" si="222">N308</f>
        <v>2030</v>
      </c>
      <c r="AJ308" s="1422"/>
      <c r="AK308" s="1422"/>
      <c r="AL308" s="1422"/>
      <c r="AM308" s="1422"/>
    </row>
    <row r="309" spans="1:39" ht="12.75" customHeight="1" x14ac:dyDescent="0.25">
      <c r="A309" s="729" t="str">
        <f t="shared" si="178"/>
        <v/>
      </c>
      <c r="B309" s="698"/>
      <c r="C309" s="2906" t="str">
        <f>Translations!$B$1539</f>
        <v>Топлинна енергия по СТЕ</v>
      </c>
      <c r="D309" s="981">
        <v>1</v>
      </c>
      <c r="E309" s="1424" t="str">
        <f t="shared" ref="E309:E318" si="223">E290</f>
        <v/>
      </c>
      <c r="F309" s="1259" t="str">
        <f t="shared" ref="F309:F320" si="224">EUconst_TJ</f>
        <v>TJ</v>
      </c>
      <c r="G309" s="125"/>
      <c r="H309" s="116"/>
      <c r="I309" s="46"/>
      <c r="J309" s="116"/>
      <c r="K309" s="40"/>
      <c r="L309" s="40"/>
      <c r="M309" s="40"/>
      <c r="N309" s="40"/>
      <c r="O309" s="1442"/>
      <c r="P309" s="158"/>
      <c r="Q309" s="694"/>
      <c r="R309" s="694"/>
      <c r="S309" s="1443" t="str">
        <f>IF($M236&lt;&gt;EUconst_Relevant,"",
IF($V236&gt;($J$1840-3),
              IF(INDEX(H290:N290,MATCH($V236,$T308:$Z308,0))=0,0,INDEX(H309:N309,MATCH($V236,$T308:$Z308,0))/INDEX(H290:N290,MATCH($V236,$T308:$Z308,0))),
                             IF(ISNUMBER(G290),
                                            IF(OR(G290=0,$S274=FALSE),0,G309/G290),"")))</f>
        <v/>
      </c>
      <c r="T309" s="1444" t="str">
        <f t="shared" ref="T309:T318" si="225">IF($E309="","",IF(IFERROR(SUM($S309)=0,SUM($H309)),SUM(H309),SUM(H290)*SUM($S309)))</f>
        <v/>
      </c>
      <c r="U309" s="1444" t="str">
        <f t="shared" ref="U309" si="226">IF($E309="","",IF(IFERROR(SUM($S309)=0,SUM($H309)),SUM(I309),SUM(I290)*SUM($S309)))</f>
        <v/>
      </c>
      <c r="V309" s="1444" t="str">
        <f t="shared" ref="V309" si="227">IF($E309="","",IF(IFERROR(SUM($S309)=0,SUM($H309)),SUM(J309),SUM(J290)*SUM($S309)))</f>
        <v/>
      </c>
      <c r="W309" s="1444" t="str">
        <f t="shared" ref="W309" si="228">IF($E309="","",IF(IFERROR(SUM($S309)=0,SUM($H309)),SUM(K309),SUM(K290)*SUM($S309)))</f>
        <v/>
      </c>
      <c r="X309" s="1444" t="str">
        <f t="shared" ref="X309" si="229">IF($E309="","",IF(IFERROR(SUM($S309)=0,SUM($H309)),SUM(L309),SUM(L290)*SUM($S309)))</f>
        <v/>
      </c>
      <c r="Y309" s="1444" t="str">
        <f t="shared" ref="Y309" si="230">IF($E309="","",IF(IFERROR(SUM($S309)=0,SUM($H309)),SUM(M309),SUM(M290)*SUM($S309)))</f>
        <v/>
      </c>
      <c r="Z309" s="1445" t="str">
        <f t="shared" ref="Z309" si="231">IF($E309="","",IF(IFERROR(SUM($S309)=0,SUM($H309)),SUM(N309),SUM(N290)*SUM($S309)))</f>
        <v/>
      </c>
      <c r="AA309" s="1446" t="s">
        <v>1757</v>
      </c>
      <c r="AB309" s="1447">
        <f>MAX(AC309,AD309:AI309)</f>
        <v>2</v>
      </c>
      <c r="AC309" s="1426">
        <f>IF(CNTR_ExistSubInstEntries,IF(OR($M236&lt;&gt;EUconst_Relevant,AC308&gt;=CNTR_ReportingYear,AC308&lt;$V236-1,$E309=""),0,IF(AND($T302=2,COUNTIF($V253:V253,TRUE)&gt;0,$S274),2,1)),2)</f>
        <v>2</v>
      </c>
      <c r="AD309" s="1427">
        <f>IF(CNTR_ExistSubInstEntries,IF(OR($M236&lt;&gt;EUconst_Relevant,AD308&gt;=CNTR_ReportingYear,AD308&lt;$V236-1,$E309=""),0,IF(AND($T302=2,COUNTIF($V253:W253,TRUE)&gt;0,$S274),2,1)),2)</f>
        <v>2</v>
      </c>
      <c r="AE309" s="1427">
        <f>IF(CNTR_ExistSubInstEntries,IF(OR($M236&lt;&gt;EUconst_Relevant,AE308&gt;=CNTR_ReportingYear,AE308&lt;$V236-1,$E309=""),0,IF(AND($T302=2,COUNTIF($V253:X253,TRUE)&gt;0,$S274),2,1)),2)</f>
        <v>2</v>
      </c>
      <c r="AF309" s="1427">
        <f>IF(CNTR_ExistSubInstEntries,IF(OR($M236&lt;&gt;EUconst_Relevant,AF308&gt;=CNTR_ReportingYear,AF308&lt;$V236-1,$E309=""),0,IF(AND($T302=2,COUNTIF($V253:Y253,TRUE)&gt;0,$S274),2,1)),2)</f>
        <v>2</v>
      </c>
      <c r="AG309" s="1427">
        <f>IF(CNTR_ExistSubInstEntries,IF(OR($M236&lt;&gt;EUconst_Relevant,AG308&gt;=CNTR_ReportingYear,AG308&lt;$V236-1,$E309=""),0,IF(AND($T302=2,COUNTIF($V253:Z253,TRUE)&gt;0,$S274),2,1)),2)</f>
        <v>2</v>
      </c>
      <c r="AH309" s="1428">
        <f>IF(CNTR_ExistSubInstEntries,IF(OR($M236&lt;&gt;EUconst_Relevant,AH308&gt;=CNTR_ReportingYear,AH308&lt;$V236-1,$E309=""),0,IF(AND($T302=2,COUNTIF($V253:AA253,TRUE)&gt;0,$S274),2,1)),2)</f>
        <v>2</v>
      </c>
      <c r="AI309" s="1429">
        <f>IF(CNTR_ExistSubInstEntries,IF(OR($M236&lt;&gt;EUconst_Relevant,AI308&gt;=CNTR_ReportingYear,AI308&lt;$V236-1,$E309=""),0,IF(AND($T302=2,COUNTIF($V253:AB253,TRUE)&gt;0,$S274),2,1)),2)</f>
        <v>2</v>
      </c>
      <c r="AJ309" s="343"/>
      <c r="AK309" s="1174" t="s">
        <v>2039</v>
      </c>
      <c r="AL309" s="1176" t="str">
        <f>IF(AND(CNTR_ExistSubInstEntries,COUNTIFS(AB309:AI309,2,G309:N309,"")&gt;0),EUconst_Error&amp;"FB"&amp;Q236,"")</f>
        <v/>
      </c>
      <c r="AM309" s="343"/>
    </row>
    <row r="310" spans="1:39" ht="12.75" customHeight="1" x14ac:dyDescent="0.25">
      <c r="A310" s="729" t="str">
        <f t="shared" si="178"/>
        <v/>
      </c>
      <c r="B310" s="698"/>
      <c r="C310" s="2906"/>
      <c r="D310" s="990">
        <v>2</v>
      </c>
      <c r="E310" s="1430" t="str">
        <f t="shared" si="223"/>
        <v/>
      </c>
      <c r="F310" s="1448" t="str">
        <f t="shared" si="224"/>
        <v>TJ</v>
      </c>
      <c r="G310" s="124"/>
      <c r="H310" s="119"/>
      <c r="I310" s="47"/>
      <c r="J310" s="119"/>
      <c r="K310" s="43"/>
      <c r="L310" s="43"/>
      <c r="M310" s="43"/>
      <c r="N310" s="43"/>
      <c r="O310" s="336"/>
      <c r="P310" s="158"/>
      <c r="Q310" s="694"/>
      <c r="R310" s="694"/>
      <c r="S310" s="1449" t="str">
        <f>IF($M236&lt;&gt;EUconst_Relevant,"",
IF($V236&gt;($J$1840-3),
              IF(INDEX(H291:N291,MATCH($V236,$T308:$Z308,0))=0,0,INDEX(H310:N310,MATCH($V236,$T308:$Z308,0))/INDEX(H291:N291,MATCH($V236,$T308:$Z308,0))),
                             IF(ISNUMBER(G291),
                                            IF(OR(G291=0,$S275=FALSE),0,G310/G291),"")))</f>
        <v/>
      </c>
      <c r="T310" s="1450" t="str">
        <f t="shared" si="225"/>
        <v/>
      </c>
      <c r="U310" s="1450" t="str">
        <f t="shared" ref="U310:U318" si="232">IF($E310="","",IF(IFERROR(SUM($S310)=0,SUM($H310)),SUM(I310),SUM(I291)*SUM($S310)))</f>
        <v/>
      </c>
      <c r="V310" s="1450" t="str">
        <f t="shared" ref="V310:V318" si="233">IF($E310="","",IF(IFERROR(SUM($S310)=0,SUM($H310)),SUM(J310),SUM(J291)*SUM($S310)))</f>
        <v/>
      </c>
      <c r="W310" s="1450" t="str">
        <f t="shared" ref="W310:W318" si="234">IF($E310="","",IF(IFERROR(SUM($S310)=0,SUM($H310)),SUM(K310),SUM(K291)*SUM($S310)))</f>
        <v/>
      </c>
      <c r="X310" s="1450" t="str">
        <f t="shared" ref="X310:X318" si="235">IF($E310="","",IF(IFERROR(SUM($S310)=0,SUM($H310)),SUM(L310),SUM(L291)*SUM($S310)))</f>
        <v/>
      </c>
      <c r="Y310" s="1450" t="str">
        <f t="shared" ref="Y310:Y318" si="236">IF($E310="","",IF(IFERROR(SUM($S310)=0,SUM($H310)),SUM(M310),SUM(M291)*SUM($S310)))</f>
        <v/>
      </c>
      <c r="Z310" s="1451" t="str">
        <f t="shared" ref="Z310:Z318" si="237">IF($E310="","",IF(IFERROR(SUM($S310)=0,SUM($H310)),SUM(N310),SUM(N291)*SUM($S310)))</f>
        <v/>
      </c>
      <c r="AA310" s="694"/>
      <c r="AB310" s="1431">
        <f t="shared" ref="AB310:AB318" si="238">MAX(AC310,AD310:AI310)</f>
        <v>2</v>
      </c>
      <c r="AC310" s="1432">
        <f>IF(CNTR_ExistSubInstEntries,IF(OR($M236&lt;&gt;EUconst_Relevant,AC308&gt;=CNTR_ReportingYear,AC308&lt;$V236-1,$E310=""),0,IF(AND($T302=2,COUNTIF($V253:V253,TRUE)&gt;0,$S275),2,1)),2)</f>
        <v>2</v>
      </c>
      <c r="AD310" s="1432">
        <f>IF(CNTR_ExistSubInstEntries,IF(OR($M236&lt;&gt;EUconst_Relevant,AD308&gt;=CNTR_ReportingYear,AD308&lt;$V236-1,$E310=""),0,IF(AND($T302=2,COUNTIF($V253:W253,TRUE)&gt;0,$S275),2,1)),2)</f>
        <v>2</v>
      </c>
      <c r="AE310" s="1432">
        <f>IF(CNTR_ExistSubInstEntries,IF(OR($M236&lt;&gt;EUconst_Relevant,AE308&gt;=CNTR_ReportingYear,AE308&lt;$V236-1,$E310=""),0,IF(AND($T302=2,COUNTIF($V253:X253,TRUE)&gt;0,$S275),2,1)),2)</f>
        <v>2</v>
      </c>
      <c r="AF310" s="1432">
        <f>IF(CNTR_ExistSubInstEntries,IF(OR($M236&lt;&gt;EUconst_Relevant,AF308&gt;=CNTR_ReportingYear,AF308&lt;$V236-1,$E310=""),0,IF(AND($T302=2,COUNTIF($V253:Y253,TRUE)&gt;0,$S275),2,1)),2)</f>
        <v>2</v>
      </c>
      <c r="AG310" s="1432">
        <f>IF(CNTR_ExistSubInstEntries,IF(OR($M236&lt;&gt;EUconst_Relevant,AG308&gt;=CNTR_ReportingYear,AG308&lt;$V236-1,$E310=""),0,IF(AND($T302=2,COUNTIF($V253:Z253,TRUE)&gt;0,$S275),2,1)),2)</f>
        <v>2</v>
      </c>
      <c r="AH310" s="1432">
        <f>IF(CNTR_ExistSubInstEntries,IF(OR($M236&lt;&gt;EUconst_Relevant,AH308&gt;=CNTR_ReportingYear,AH308&lt;$V236-1,$E310=""),0,IF(AND($T302=2,COUNTIF($V253:AA253,TRUE)&gt;0,$S275),2,1)),2)</f>
        <v>2</v>
      </c>
      <c r="AI310" s="1452">
        <f>IF(CNTR_ExistSubInstEntries,IF(OR($M236&lt;&gt;EUconst_Relevant,AI308&gt;=CNTR_ReportingYear,AI308&lt;$V236-1,$E310=""),0,IF(AND($T302=2,COUNTIF($V253:AB253,TRUE)&gt;0,$S275),2,1)),2)</f>
        <v>2</v>
      </c>
      <c r="AJ310" s="343"/>
      <c r="AK310" s="1174" t="s">
        <v>2039</v>
      </c>
      <c r="AL310" s="1176" t="str">
        <f>IF(AND(CNTR_ExistSubInstEntries,COUNTIFS(AB310:AI310,2,G310:N310,"")&gt;0),EUconst_Error&amp;"FB"&amp;Q236,"")</f>
        <v/>
      </c>
      <c r="AM310" s="343"/>
    </row>
    <row r="311" spans="1:39" ht="12.75" customHeight="1" x14ac:dyDescent="0.25">
      <c r="A311" s="729" t="str">
        <f t="shared" si="178"/>
        <v/>
      </c>
      <c r="B311" s="698"/>
      <c r="C311" s="2906"/>
      <c r="D311" s="990">
        <v>3</v>
      </c>
      <c r="E311" s="1430" t="str">
        <f t="shared" si="223"/>
        <v/>
      </c>
      <c r="F311" s="1448" t="str">
        <f t="shared" si="224"/>
        <v>TJ</v>
      </c>
      <c r="G311" s="47"/>
      <c r="H311" s="119"/>
      <c r="I311" s="47"/>
      <c r="J311" s="119"/>
      <c r="K311" s="43"/>
      <c r="L311" s="43"/>
      <c r="M311" s="43"/>
      <c r="N311" s="43"/>
      <c r="O311" s="336"/>
      <c r="P311" s="158"/>
      <c r="Q311" s="694"/>
      <c r="R311" s="694"/>
      <c r="S311" s="1449" t="str">
        <f>IF($M236&lt;&gt;EUconst_Relevant,"",
IF($V236&gt;($J$1840-3),
              IF(INDEX(H292:N292,MATCH($V236,$T308:$Z308,0))=0,0,INDEX(H311:N311,MATCH($V236,$T308:$Z308,0))/INDEX(H292:N292,MATCH($V236,$T308:$Z308,0))),
                             IF(ISNUMBER(G292),
                                            IF(OR(G292=0,$S276=FALSE),0,G311/G292),"")))</f>
        <v/>
      </c>
      <c r="T311" s="1450" t="str">
        <f t="shared" si="225"/>
        <v/>
      </c>
      <c r="U311" s="1450" t="str">
        <f t="shared" si="232"/>
        <v/>
      </c>
      <c r="V311" s="1450" t="str">
        <f t="shared" si="233"/>
        <v/>
      </c>
      <c r="W311" s="1450" t="str">
        <f t="shared" si="234"/>
        <v/>
      </c>
      <c r="X311" s="1450" t="str">
        <f t="shared" si="235"/>
        <v/>
      </c>
      <c r="Y311" s="1450" t="str">
        <f t="shared" si="236"/>
        <v/>
      </c>
      <c r="Z311" s="1451" t="str">
        <f t="shared" si="237"/>
        <v/>
      </c>
      <c r="AA311" s="694"/>
      <c r="AB311" s="1431">
        <f t="shared" si="238"/>
        <v>2</v>
      </c>
      <c r="AC311" s="1432">
        <f>IF(CNTR_ExistSubInstEntries,IF(OR($M236&lt;&gt;EUconst_Relevant,AC308&gt;=CNTR_ReportingYear,AC308&lt;$V236-1,$E311=""),0,IF(AND($T302=2,COUNTIF($V253:V253,TRUE)&gt;0,$S276),2,1)),2)</f>
        <v>2</v>
      </c>
      <c r="AD311" s="1432">
        <f>IF(CNTR_ExistSubInstEntries,IF(OR($M236&lt;&gt;EUconst_Relevant,AD308&gt;=CNTR_ReportingYear,AD308&lt;$V236-1,$E311=""),0,IF(AND($T302=2,COUNTIF($V253:W253,TRUE)&gt;0,$S276),2,1)),2)</f>
        <v>2</v>
      </c>
      <c r="AE311" s="1432">
        <f>IF(CNTR_ExistSubInstEntries,IF(OR($M236&lt;&gt;EUconst_Relevant,AE308&gt;=CNTR_ReportingYear,AE308&lt;$V236-1,$E311=""),0,IF(AND($T302=2,COUNTIF($V253:X253,TRUE)&gt;0,$S276),2,1)),2)</f>
        <v>2</v>
      </c>
      <c r="AF311" s="1432">
        <f>IF(CNTR_ExistSubInstEntries,IF(OR($M236&lt;&gt;EUconst_Relevant,AF308&gt;=CNTR_ReportingYear,AF308&lt;$V236-1,$E311=""),0,IF(AND($T302=2,COUNTIF($V253:Y253,TRUE)&gt;0,$S276),2,1)),2)</f>
        <v>2</v>
      </c>
      <c r="AG311" s="1432">
        <f>IF(CNTR_ExistSubInstEntries,IF(OR($M236&lt;&gt;EUconst_Relevant,AG308&gt;=CNTR_ReportingYear,AG308&lt;$V236-1,$E311=""),0,IF(AND($T302=2,COUNTIF($V253:Z253,TRUE)&gt;0,$S276),2,1)),2)</f>
        <v>2</v>
      </c>
      <c r="AH311" s="1432">
        <f>IF(CNTR_ExistSubInstEntries,IF(OR($M236&lt;&gt;EUconst_Relevant,AH308&gt;=CNTR_ReportingYear,AH308&lt;$V236-1,$E311=""),0,IF(AND($T302=2,COUNTIF($V253:AA253,TRUE)&gt;0,$S276),2,1)),2)</f>
        <v>2</v>
      </c>
      <c r="AI311" s="1452">
        <f>IF(CNTR_ExistSubInstEntries,IF(OR($M236&lt;&gt;EUconst_Relevant,AI308&gt;=CNTR_ReportingYear,AI308&lt;$V236-1,$E311=""),0,IF(AND($T302=2,COUNTIF($V253:AB253,TRUE)&gt;0,$S276),2,1)),2)</f>
        <v>2</v>
      </c>
      <c r="AJ311" s="343"/>
      <c r="AK311" s="1174" t="s">
        <v>2039</v>
      </c>
      <c r="AL311" s="1176" t="str">
        <f>IF(AND(CNTR_ExistSubInstEntries,COUNTIFS(AB311:AI311,2,G311:N311,"")&gt;0),EUconst_Error&amp;"FB"&amp;Q236,"")</f>
        <v/>
      </c>
      <c r="AM311" s="343"/>
    </row>
    <row r="312" spans="1:39" ht="12.75" customHeight="1" x14ac:dyDescent="0.25">
      <c r="A312" s="729" t="str">
        <f t="shared" si="178"/>
        <v/>
      </c>
      <c r="B312" s="698"/>
      <c r="C312" s="2906"/>
      <c r="D312" s="990">
        <v>4</v>
      </c>
      <c r="E312" s="1430" t="str">
        <f t="shared" si="223"/>
        <v/>
      </c>
      <c r="F312" s="1448" t="str">
        <f t="shared" si="224"/>
        <v>TJ</v>
      </c>
      <c r="G312" s="47"/>
      <c r="H312" s="119"/>
      <c r="I312" s="47"/>
      <c r="J312" s="119"/>
      <c r="K312" s="43"/>
      <c r="L312" s="43"/>
      <c r="M312" s="43"/>
      <c r="N312" s="43"/>
      <c r="O312" s="336"/>
      <c r="P312" s="158"/>
      <c r="Q312" s="694"/>
      <c r="R312" s="694"/>
      <c r="S312" s="1449" t="str">
        <f>IF($M236&lt;&gt;EUconst_Relevant,"",
IF($V236&gt;($J$1840-3),
              IF(INDEX(H293:N293,MATCH($V236,$T308:$Z308,0))=0,0,INDEX(H312:N312,MATCH($V236,$T308:$Z308,0))/INDEX(H293:N293,MATCH($V236,$T308:$Z308,0))),
                             IF(ISNUMBER(G293),
                                            IF(OR(G293=0,$S277=FALSE),0,G312/G293),"")))</f>
        <v/>
      </c>
      <c r="T312" s="1450" t="str">
        <f t="shared" si="225"/>
        <v/>
      </c>
      <c r="U312" s="1450" t="str">
        <f t="shared" si="232"/>
        <v/>
      </c>
      <c r="V312" s="1450" t="str">
        <f t="shared" si="233"/>
        <v/>
      </c>
      <c r="W312" s="1450" t="str">
        <f t="shared" si="234"/>
        <v/>
      </c>
      <c r="X312" s="1450" t="str">
        <f t="shared" si="235"/>
        <v/>
      </c>
      <c r="Y312" s="1450" t="str">
        <f t="shared" si="236"/>
        <v/>
      </c>
      <c r="Z312" s="1451" t="str">
        <f t="shared" si="237"/>
        <v/>
      </c>
      <c r="AA312" s="694"/>
      <c r="AB312" s="1431">
        <f t="shared" si="238"/>
        <v>2</v>
      </c>
      <c r="AC312" s="1432">
        <f>IF(CNTR_ExistSubInstEntries,IF(OR($M236&lt;&gt;EUconst_Relevant,AC308&gt;=CNTR_ReportingYear,AC308&lt;$V236-1,$E312=""),0,IF(AND($T302=2,COUNTIF($V253:V253,TRUE)&gt;0,$S277),2,1)),2)</f>
        <v>2</v>
      </c>
      <c r="AD312" s="1432">
        <f>IF(CNTR_ExistSubInstEntries,IF(OR($M236&lt;&gt;EUconst_Relevant,AD308&gt;=CNTR_ReportingYear,AD308&lt;$V236-1,$E312=""),0,IF(AND($T302=2,COUNTIF($V253:W253,TRUE)&gt;0,$S277),2,1)),2)</f>
        <v>2</v>
      </c>
      <c r="AE312" s="1432">
        <f>IF(CNTR_ExistSubInstEntries,IF(OR($M236&lt;&gt;EUconst_Relevant,AE308&gt;=CNTR_ReportingYear,AE308&lt;$V236-1,$E312=""),0,IF(AND($T302=2,COUNTIF($V253:X253,TRUE)&gt;0,$S277),2,1)),2)</f>
        <v>2</v>
      </c>
      <c r="AF312" s="1432">
        <f>IF(CNTR_ExistSubInstEntries,IF(OR($M236&lt;&gt;EUconst_Relevant,AF308&gt;=CNTR_ReportingYear,AF308&lt;$V236-1,$E312=""),0,IF(AND($T302=2,COUNTIF($V253:Y253,TRUE)&gt;0,$S277),2,1)),2)</f>
        <v>2</v>
      </c>
      <c r="AG312" s="1432">
        <f>IF(CNTR_ExistSubInstEntries,IF(OR($M236&lt;&gt;EUconst_Relevant,AG308&gt;=CNTR_ReportingYear,AG308&lt;$V236-1,$E312=""),0,IF(AND($T302=2,COUNTIF($V253:Z253,TRUE)&gt;0,$S277),2,1)),2)</f>
        <v>2</v>
      </c>
      <c r="AH312" s="1432">
        <f>IF(CNTR_ExistSubInstEntries,IF(OR($M236&lt;&gt;EUconst_Relevant,AH308&gt;=CNTR_ReportingYear,AH308&lt;$V236-1,$E312=""),0,IF(AND($T302=2,COUNTIF($V253:AA253,TRUE)&gt;0,$S277),2,1)),2)</f>
        <v>2</v>
      </c>
      <c r="AI312" s="1452">
        <f>IF(CNTR_ExistSubInstEntries,IF(OR($M236&lt;&gt;EUconst_Relevant,AI308&gt;=CNTR_ReportingYear,AI308&lt;$V236-1,$E312=""),0,IF(AND($T302=2,COUNTIF($V253:AB253,TRUE)&gt;0,$S277),2,1)),2)</f>
        <v>2</v>
      </c>
      <c r="AJ312" s="343"/>
      <c r="AK312" s="1174" t="s">
        <v>2039</v>
      </c>
      <c r="AL312" s="1176" t="str">
        <f>IF(AND(CNTR_ExistSubInstEntries,COUNTIFS(AB312:AI312,2,G312:N312,"")&gt;0),EUconst_Error&amp;"FB"&amp;Q236,"")</f>
        <v/>
      </c>
      <c r="AM312" s="343"/>
    </row>
    <row r="313" spans="1:39" ht="12.75" customHeight="1" x14ac:dyDescent="0.25">
      <c r="A313" s="729" t="str">
        <f t="shared" si="178"/>
        <v/>
      </c>
      <c r="B313" s="698"/>
      <c r="C313" s="2906"/>
      <c r="D313" s="990">
        <v>5</v>
      </c>
      <c r="E313" s="1430" t="str">
        <f t="shared" si="223"/>
        <v/>
      </c>
      <c r="F313" s="1448" t="str">
        <f t="shared" si="224"/>
        <v>TJ</v>
      </c>
      <c r="G313" s="47"/>
      <c r="H313" s="119"/>
      <c r="I313" s="47"/>
      <c r="J313" s="119"/>
      <c r="K313" s="43"/>
      <c r="L313" s="43"/>
      <c r="M313" s="43"/>
      <c r="N313" s="43"/>
      <c r="O313" s="336"/>
      <c r="P313" s="158"/>
      <c r="Q313" s="694"/>
      <c r="R313" s="694"/>
      <c r="S313" s="1449" t="str">
        <f>IF($M236&lt;&gt;EUconst_Relevant,"",
IF($V236&gt;($J$1840-3),
              IF(INDEX(H294:N294,MATCH($V236,$T308:$Z308,0))=0,0,INDEX(H313:N313,MATCH($V236,$T308:$Z308,0))/INDEX(H294:N294,MATCH($V236,$T308:$Z308,0))),
                             IF(ISNUMBER(G294),
                                            IF(OR(G294=0,$S278=FALSE),0,G313/G294),"")))</f>
        <v/>
      </c>
      <c r="T313" s="1450" t="str">
        <f t="shared" si="225"/>
        <v/>
      </c>
      <c r="U313" s="1450" t="str">
        <f t="shared" si="232"/>
        <v/>
      </c>
      <c r="V313" s="1450" t="str">
        <f t="shared" si="233"/>
        <v/>
      </c>
      <c r="W313" s="1450" t="str">
        <f t="shared" si="234"/>
        <v/>
      </c>
      <c r="X313" s="1450" t="str">
        <f t="shared" si="235"/>
        <v/>
      </c>
      <c r="Y313" s="1450" t="str">
        <f t="shared" si="236"/>
        <v/>
      </c>
      <c r="Z313" s="1451" t="str">
        <f t="shared" si="237"/>
        <v/>
      </c>
      <c r="AA313" s="694"/>
      <c r="AB313" s="1431">
        <f t="shared" si="238"/>
        <v>2</v>
      </c>
      <c r="AC313" s="1432">
        <f>IF(CNTR_ExistSubInstEntries,IF(OR($M236&lt;&gt;EUconst_Relevant,AC308&gt;=CNTR_ReportingYear,AC308&lt;$V236-1,$E313=""),0,IF(AND($T302=2,COUNTIF($V253:V253,TRUE)&gt;0,$S278),2,1)),2)</f>
        <v>2</v>
      </c>
      <c r="AD313" s="1432">
        <f>IF(CNTR_ExistSubInstEntries,IF(OR($M236&lt;&gt;EUconst_Relevant,AD308&gt;=CNTR_ReportingYear,AD308&lt;$V236-1,$E313=""),0,IF(AND($T302=2,COUNTIF($V253:W253,TRUE)&gt;0,$S278),2,1)),2)</f>
        <v>2</v>
      </c>
      <c r="AE313" s="1432">
        <f>IF(CNTR_ExistSubInstEntries,IF(OR($M236&lt;&gt;EUconst_Relevant,AE308&gt;=CNTR_ReportingYear,AE308&lt;$V236-1,$E313=""),0,IF(AND($T302=2,COUNTIF($V253:X253,TRUE)&gt;0,$S278),2,1)),2)</f>
        <v>2</v>
      </c>
      <c r="AF313" s="1432">
        <f>IF(CNTR_ExistSubInstEntries,IF(OR($M236&lt;&gt;EUconst_Relevant,AF308&gt;=CNTR_ReportingYear,AF308&lt;$V236-1,$E313=""),0,IF(AND($T302=2,COUNTIF($V253:Y253,TRUE)&gt;0,$S278),2,1)),2)</f>
        <v>2</v>
      </c>
      <c r="AG313" s="1432">
        <f>IF(CNTR_ExistSubInstEntries,IF(OR($M236&lt;&gt;EUconst_Relevant,AG308&gt;=CNTR_ReportingYear,AG308&lt;$V236-1,$E313=""),0,IF(AND($T302=2,COUNTIF($V253:Z253,TRUE)&gt;0,$S278),2,1)),2)</f>
        <v>2</v>
      </c>
      <c r="AH313" s="1432">
        <f>IF(CNTR_ExistSubInstEntries,IF(OR($M236&lt;&gt;EUconst_Relevant,AH308&gt;=CNTR_ReportingYear,AH308&lt;$V236-1,$E313=""),0,IF(AND($T302=2,COUNTIF($V253:AA253,TRUE)&gt;0,$S278),2,1)),2)</f>
        <v>2</v>
      </c>
      <c r="AI313" s="1452">
        <f>IF(CNTR_ExistSubInstEntries,IF(OR($M236&lt;&gt;EUconst_Relevant,AI308&gt;=CNTR_ReportingYear,AI308&lt;$V236-1,$E313=""),0,IF(AND($T302=2,COUNTIF($V253:AB253,TRUE)&gt;0,$S278),2,1)),2)</f>
        <v>2</v>
      </c>
      <c r="AJ313" s="343"/>
      <c r="AK313" s="1174" t="s">
        <v>2039</v>
      </c>
      <c r="AL313" s="1176" t="str">
        <f>IF(AND(CNTR_ExistSubInstEntries,COUNTIFS(AB313:AI313,2,G313:N313,"")&gt;0),EUconst_Error&amp;"FB"&amp;Q236,"")</f>
        <v/>
      </c>
      <c r="AM313" s="343"/>
    </row>
    <row r="314" spans="1:39" ht="12.75" customHeight="1" x14ac:dyDescent="0.25">
      <c r="A314" s="729" t="str">
        <f t="shared" si="178"/>
        <v/>
      </c>
      <c r="B314" s="698"/>
      <c r="C314" s="2906"/>
      <c r="D314" s="990">
        <v>6</v>
      </c>
      <c r="E314" s="1430" t="str">
        <f t="shared" si="223"/>
        <v/>
      </c>
      <c r="F314" s="1448" t="str">
        <f t="shared" si="224"/>
        <v>TJ</v>
      </c>
      <c r="G314" s="47"/>
      <c r="H314" s="119"/>
      <c r="I314" s="47"/>
      <c r="J314" s="119"/>
      <c r="K314" s="43"/>
      <c r="L314" s="43"/>
      <c r="M314" s="43"/>
      <c r="N314" s="43"/>
      <c r="O314" s="336"/>
      <c r="P314" s="158"/>
      <c r="Q314" s="694"/>
      <c r="R314" s="694"/>
      <c r="S314" s="1449" t="str">
        <f>IF($M236&lt;&gt;EUconst_Relevant,"",
IF($V236&gt;($J$1840-3),
              IF(INDEX(H295:N295,MATCH($V236,$T308:$Z308,0))=0,0,INDEX(H314:N314,MATCH($V236,$T308:$Z308,0))/INDEX(H295:N295,MATCH($V236,$T308:$Z308,0))),
                             IF(ISNUMBER(G295),
                                            IF(OR(G295=0,$S279=FALSE),0,G314/G295),"")))</f>
        <v/>
      </c>
      <c r="T314" s="1450" t="str">
        <f t="shared" si="225"/>
        <v/>
      </c>
      <c r="U314" s="1450" t="str">
        <f t="shared" si="232"/>
        <v/>
      </c>
      <c r="V314" s="1450" t="str">
        <f t="shared" si="233"/>
        <v/>
      </c>
      <c r="W314" s="1450" t="str">
        <f t="shared" si="234"/>
        <v/>
      </c>
      <c r="X314" s="1450" t="str">
        <f t="shared" si="235"/>
        <v/>
      </c>
      <c r="Y314" s="1450" t="str">
        <f t="shared" si="236"/>
        <v/>
      </c>
      <c r="Z314" s="1451" t="str">
        <f t="shared" si="237"/>
        <v/>
      </c>
      <c r="AA314" s="694"/>
      <c r="AB314" s="1431">
        <f t="shared" si="238"/>
        <v>2</v>
      </c>
      <c r="AC314" s="1432">
        <f>IF(CNTR_ExistSubInstEntries,IF(OR($M236&lt;&gt;EUconst_Relevant,AC308&gt;=CNTR_ReportingYear,AC308&lt;$V236-1,$E314=""),0,IF(AND($T302=2,COUNTIF($V253:V253,TRUE)&gt;0,$S279),2,1)),2)</f>
        <v>2</v>
      </c>
      <c r="AD314" s="1432">
        <f>IF(CNTR_ExistSubInstEntries,IF(OR($M236&lt;&gt;EUconst_Relevant,AD308&gt;=CNTR_ReportingYear,AD308&lt;$V236-1,$E314=""),0,IF(AND($T302=2,COUNTIF($V253:W253,TRUE)&gt;0,$S279),2,1)),2)</f>
        <v>2</v>
      </c>
      <c r="AE314" s="1432">
        <f>IF(CNTR_ExistSubInstEntries,IF(OR($M236&lt;&gt;EUconst_Relevant,AE308&gt;=CNTR_ReportingYear,AE308&lt;$V236-1,$E314=""),0,IF(AND($T302=2,COUNTIF($V253:X253,TRUE)&gt;0,$S279),2,1)),2)</f>
        <v>2</v>
      </c>
      <c r="AF314" s="1432">
        <f>IF(CNTR_ExistSubInstEntries,IF(OR($M236&lt;&gt;EUconst_Relevant,AF308&gt;=CNTR_ReportingYear,AF308&lt;$V236-1,$E314=""),0,IF(AND($T302=2,COUNTIF($V253:Y253,TRUE)&gt;0,$S279),2,1)),2)</f>
        <v>2</v>
      </c>
      <c r="AG314" s="1432">
        <f>IF(CNTR_ExistSubInstEntries,IF(OR($M236&lt;&gt;EUconst_Relevant,AG308&gt;=CNTR_ReportingYear,AG308&lt;$V236-1,$E314=""),0,IF(AND($T302=2,COUNTIF($V253:Z253,TRUE)&gt;0,$S279),2,1)),2)</f>
        <v>2</v>
      </c>
      <c r="AH314" s="1432">
        <f>IF(CNTR_ExistSubInstEntries,IF(OR($M236&lt;&gt;EUconst_Relevant,AH308&gt;=CNTR_ReportingYear,AH308&lt;$V236-1,$E314=""),0,IF(AND($T302=2,COUNTIF($V253:AA253,TRUE)&gt;0,$S279),2,1)),2)</f>
        <v>2</v>
      </c>
      <c r="AI314" s="1452">
        <f>IF(CNTR_ExistSubInstEntries,IF(OR($M236&lt;&gt;EUconst_Relevant,AI308&gt;=CNTR_ReportingYear,AI308&lt;$V236-1,$E314=""),0,IF(AND($T302=2,COUNTIF($V253:AB253,TRUE)&gt;0,$S279),2,1)),2)</f>
        <v>2</v>
      </c>
      <c r="AJ314" s="343"/>
      <c r="AK314" s="1174" t="s">
        <v>2039</v>
      </c>
      <c r="AL314" s="1176" t="str">
        <f>IF(AND(CNTR_ExistSubInstEntries,COUNTIFS(AB314:AI314,2,G314:N314,"")&gt;0),EUconst_Error&amp;"FB"&amp;Q236,"")</f>
        <v/>
      </c>
      <c r="AM314" s="343"/>
    </row>
    <row r="315" spans="1:39" ht="12.75" customHeight="1" x14ac:dyDescent="0.25">
      <c r="A315" s="729" t="str">
        <f t="shared" si="178"/>
        <v/>
      </c>
      <c r="B315" s="698"/>
      <c r="C315" s="2906"/>
      <c r="D315" s="990">
        <v>7</v>
      </c>
      <c r="E315" s="1430" t="str">
        <f t="shared" si="223"/>
        <v/>
      </c>
      <c r="F315" s="1448" t="str">
        <f t="shared" si="224"/>
        <v>TJ</v>
      </c>
      <c r="G315" s="47"/>
      <c r="H315" s="119"/>
      <c r="I315" s="47"/>
      <c r="J315" s="119"/>
      <c r="K315" s="43"/>
      <c r="L315" s="43"/>
      <c r="M315" s="43"/>
      <c r="N315" s="43"/>
      <c r="O315" s="336"/>
      <c r="P315" s="158"/>
      <c r="Q315" s="694"/>
      <c r="R315" s="694"/>
      <c r="S315" s="1449" t="str">
        <f>IF($M236&lt;&gt;EUconst_Relevant,"",
IF($V236&gt;($J$1840-3),
              IF(INDEX(H296:N296,MATCH($V236,$T308:$Z308,0))=0,0,INDEX(H315:N315,MATCH($V236,$T308:$Z308,0))/INDEX(H296:N296,MATCH($V236,$T308:$Z308,0))),
                             IF(ISNUMBER(G296),
                                            IF(OR(G296=0,$S280=FALSE),0,G315/G296),"")))</f>
        <v/>
      </c>
      <c r="T315" s="1450" t="str">
        <f t="shared" si="225"/>
        <v/>
      </c>
      <c r="U315" s="1450" t="str">
        <f t="shared" si="232"/>
        <v/>
      </c>
      <c r="V315" s="1450" t="str">
        <f t="shared" si="233"/>
        <v/>
      </c>
      <c r="W315" s="1450" t="str">
        <f t="shared" si="234"/>
        <v/>
      </c>
      <c r="X315" s="1450" t="str">
        <f t="shared" si="235"/>
        <v/>
      </c>
      <c r="Y315" s="1450" t="str">
        <f t="shared" si="236"/>
        <v/>
      </c>
      <c r="Z315" s="1451" t="str">
        <f t="shared" si="237"/>
        <v/>
      </c>
      <c r="AA315" s="694"/>
      <c r="AB315" s="1431">
        <f t="shared" si="238"/>
        <v>2</v>
      </c>
      <c r="AC315" s="1432">
        <f>IF(CNTR_ExistSubInstEntries,IF(OR($M236&lt;&gt;EUconst_Relevant,AC308&gt;=CNTR_ReportingYear,AC308&lt;$V236-1,$E315=""),0,IF(AND($T302=2,COUNTIF($V253:V253,TRUE)&gt;0,$S280),2,1)),2)</f>
        <v>2</v>
      </c>
      <c r="AD315" s="1432">
        <f>IF(CNTR_ExistSubInstEntries,IF(OR($M236&lt;&gt;EUconst_Relevant,AD308&gt;=CNTR_ReportingYear,AD308&lt;$V236-1,$E315=""),0,IF(AND($T302=2,COUNTIF($V253:W253,TRUE)&gt;0,$S280),2,1)),2)</f>
        <v>2</v>
      </c>
      <c r="AE315" s="1432">
        <f>IF(CNTR_ExistSubInstEntries,IF(OR($M236&lt;&gt;EUconst_Relevant,AE308&gt;=CNTR_ReportingYear,AE308&lt;$V236-1,$E315=""),0,IF(AND($T302=2,COUNTIF($V253:X253,TRUE)&gt;0,$S280),2,1)),2)</f>
        <v>2</v>
      </c>
      <c r="AF315" s="1432">
        <f>IF(CNTR_ExistSubInstEntries,IF(OR($M236&lt;&gt;EUconst_Relevant,AF308&gt;=CNTR_ReportingYear,AF308&lt;$V236-1,$E315=""),0,IF(AND($T302=2,COUNTIF($V253:Y253,TRUE)&gt;0,$S280),2,1)),2)</f>
        <v>2</v>
      </c>
      <c r="AG315" s="1432">
        <f>IF(CNTR_ExistSubInstEntries,IF(OR($M236&lt;&gt;EUconst_Relevant,AG308&gt;=CNTR_ReportingYear,AG308&lt;$V236-1,$E315=""),0,IF(AND($T302=2,COUNTIF($V253:Z253,TRUE)&gt;0,$S280),2,1)),2)</f>
        <v>2</v>
      </c>
      <c r="AH315" s="1432">
        <f>IF(CNTR_ExistSubInstEntries,IF(OR($M236&lt;&gt;EUconst_Relevant,AH308&gt;=CNTR_ReportingYear,AH308&lt;$V236-1,$E315=""),0,IF(AND($T302=2,COUNTIF($V253:AA253,TRUE)&gt;0,$S280),2,1)),2)</f>
        <v>2</v>
      </c>
      <c r="AI315" s="1452">
        <f>IF(CNTR_ExistSubInstEntries,IF(OR($M236&lt;&gt;EUconst_Relevant,AI308&gt;=CNTR_ReportingYear,AI308&lt;$V236-1,$E315=""),0,IF(AND($T302=2,COUNTIF($V253:AB253,TRUE)&gt;0,$S280),2,1)),2)</f>
        <v>2</v>
      </c>
      <c r="AJ315" s="343"/>
      <c r="AK315" s="1174" t="s">
        <v>2039</v>
      </c>
      <c r="AL315" s="1176" t="str">
        <f>IF(AND(CNTR_ExistSubInstEntries,COUNTIFS(AB315:AI315,2,G315:N315,"")&gt;0),EUconst_Error&amp;"FB"&amp;Q236,"")</f>
        <v/>
      </c>
      <c r="AM315" s="343"/>
    </row>
    <row r="316" spans="1:39" ht="12.75" customHeight="1" x14ac:dyDescent="0.25">
      <c r="A316" s="729" t="str">
        <f t="shared" si="178"/>
        <v/>
      </c>
      <c r="B316" s="698"/>
      <c r="C316" s="2906"/>
      <c r="D316" s="990">
        <v>8</v>
      </c>
      <c r="E316" s="1430" t="str">
        <f t="shared" si="223"/>
        <v/>
      </c>
      <c r="F316" s="1448" t="str">
        <f t="shared" si="224"/>
        <v>TJ</v>
      </c>
      <c r="G316" s="47"/>
      <c r="H316" s="119"/>
      <c r="I316" s="47"/>
      <c r="J316" s="119"/>
      <c r="K316" s="43"/>
      <c r="L316" s="43"/>
      <c r="M316" s="43"/>
      <c r="N316" s="43"/>
      <c r="O316" s="336"/>
      <c r="P316" s="158"/>
      <c r="Q316" s="694"/>
      <c r="R316" s="694"/>
      <c r="S316" s="1449" t="str">
        <f>IF($M236&lt;&gt;EUconst_Relevant,"",
IF($V236&gt;($J$1840-3),
              IF(INDEX(H297:N297,MATCH($V236,$T308:$Z308,0))=0,0,INDEX(H316:N316,MATCH($V236,$T308:$Z308,0))/INDEX(H297:N297,MATCH($V236,$T308:$Z308,0))),
                             IF(ISNUMBER(G297),
                                            IF(OR(G297=0,$S281=FALSE),0,G316/G297),"")))</f>
        <v/>
      </c>
      <c r="T316" s="1450" t="str">
        <f t="shared" si="225"/>
        <v/>
      </c>
      <c r="U316" s="1450" t="str">
        <f t="shared" si="232"/>
        <v/>
      </c>
      <c r="V316" s="1450" t="str">
        <f t="shared" si="233"/>
        <v/>
      </c>
      <c r="W316" s="1450" t="str">
        <f t="shared" si="234"/>
        <v/>
      </c>
      <c r="X316" s="1450" t="str">
        <f t="shared" si="235"/>
        <v/>
      </c>
      <c r="Y316" s="1450" t="str">
        <f t="shared" si="236"/>
        <v/>
      </c>
      <c r="Z316" s="1451" t="str">
        <f t="shared" si="237"/>
        <v/>
      </c>
      <c r="AA316" s="694"/>
      <c r="AB316" s="1431">
        <f t="shared" si="238"/>
        <v>2</v>
      </c>
      <c r="AC316" s="1432">
        <f>IF(CNTR_ExistSubInstEntries,IF(OR($M236&lt;&gt;EUconst_Relevant,AC308&gt;=CNTR_ReportingYear,AC308&lt;$V236-1,$E316=""),0,IF(AND($T302=2,COUNTIF($V253:V253,TRUE)&gt;0,$S281),2,1)),2)</f>
        <v>2</v>
      </c>
      <c r="AD316" s="1432">
        <f>IF(CNTR_ExistSubInstEntries,IF(OR($M236&lt;&gt;EUconst_Relevant,AD308&gt;=CNTR_ReportingYear,AD308&lt;$V236-1,$E316=""),0,IF(AND($T302=2,COUNTIF($V253:W253,TRUE)&gt;0,$S281),2,1)),2)</f>
        <v>2</v>
      </c>
      <c r="AE316" s="1432">
        <f>IF(CNTR_ExistSubInstEntries,IF(OR($M236&lt;&gt;EUconst_Relevant,AE308&gt;=CNTR_ReportingYear,AE308&lt;$V236-1,$E316=""),0,IF(AND($T302=2,COUNTIF($V253:X253,TRUE)&gt;0,$S281),2,1)),2)</f>
        <v>2</v>
      </c>
      <c r="AF316" s="1432">
        <f>IF(CNTR_ExistSubInstEntries,IF(OR($M236&lt;&gt;EUconst_Relevant,AF308&gt;=CNTR_ReportingYear,AF308&lt;$V236-1,$E316=""),0,IF(AND($T302=2,COUNTIF($V253:Y253,TRUE)&gt;0,$S281),2,1)),2)</f>
        <v>2</v>
      </c>
      <c r="AG316" s="1432">
        <f>IF(CNTR_ExistSubInstEntries,IF(OR($M236&lt;&gt;EUconst_Relevant,AG308&gt;=CNTR_ReportingYear,AG308&lt;$V236-1,$E316=""),0,IF(AND($T302=2,COUNTIF($V253:Z253,TRUE)&gt;0,$S281),2,1)),2)</f>
        <v>2</v>
      </c>
      <c r="AH316" s="1432">
        <f>IF(CNTR_ExistSubInstEntries,IF(OR($M236&lt;&gt;EUconst_Relevant,AH308&gt;=CNTR_ReportingYear,AH308&lt;$V236-1,$E316=""),0,IF(AND($T302=2,COUNTIF($V253:AA253,TRUE)&gt;0,$S281),2,1)),2)</f>
        <v>2</v>
      </c>
      <c r="AI316" s="1452">
        <f>IF(CNTR_ExistSubInstEntries,IF(OR($M236&lt;&gt;EUconst_Relevant,AI308&gt;=CNTR_ReportingYear,AI308&lt;$V236-1,$E316=""),0,IF(AND($T302=2,COUNTIF($V253:AB253,TRUE)&gt;0,$S281),2,1)),2)</f>
        <v>2</v>
      </c>
      <c r="AJ316" s="343"/>
      <c r="AK316" s="1174" t="s">
        <v>2039</v>
      </c>
      <c r="AL316" s="1176" t="str">
        <f>IF(AND(CNTR_ExistSubInstEntries,COUNTIFS(AB316:AI316,2,G316:N316,"")&gt;0),EUconst_Error&amp;"FB"&amp;Q236,"")</f>
        <v/>
      </c>
      <c r="AM316" s="343"/>
    </row>
    <row r="317" spans="1:39" ht="12.75" customHeight="1" x14ac:dyDescent="0.25">
      <c r="A317" s="729" t="str">
        <f t="shared" si="178"/>
        <v/>
      </c>
      <c r="B317" s="698"/>
      <c r="C317" s="2906"/>
      <c r="D317" s="990">
        <v>9</v>
      </c>
      <c r="E317" s="1430" t="str">
        <f t="shared" si="223"/>
        <v/>
      </c>
      <c r="F317" s="1448" t="str">
        <f t="shared" si="224"/>
        <v>TJ</v>
      </c>
      <c r="G317" s="47"/>
      <c r="H317" s="119"/>
      <c r="I317" s="47"/>
      <c r="J317" s="119"/>
      <c r="K317" s="43"/>
      <c r="L317" s="43"/>
      <c r="M317" s="43"/>
      <c r="N317" s="43"/>
      <c r="O317" s="302"/>
      <c r="P317" s="158"/>
      <c r="Q317" s="694"/>
      <c r="R317" s="694"/>
      <c r="S317" s="1449" t="str">
        <f>IF($M236&lt;&gt;EUconst_Relevant,"",
IF($V236&gt;($J$1840-3),
              IF(INDEX(H298:N298,MATCH($V236,$T308:$Z308,0))=0,0,INDEX(H317:N317,MATCH($V236,$T308:$Z308,0))/INDEX(H298:N298,MATCH($V236,$T308:$Z308,0))),
                             IF(ISNUMBER(G298),
                                            IF(OR(G298=0,$S282=FALSE),0,G317/G298),"")))</f>
        <v/>
      </c>
      <c r="T317" s="1450" t="str">
        <f t="shared" si="225"/>
        <v/>
      </c>
      <c r="U317" s="1450" t="str">
        <f t="shared" si="232"/>
        <v/>
      </c>
      <c r="V317" s="1450" t="str">
        <f t="shared" si="233"/>
        <v/>
      </c>
      <c r="W317" s="1450" t="str">
        <f t="shared" si="234"/>
        <v/>
      </c>
      <c r="X317" s="1450" t="str">
        <f t="shared" si="235"/>
        <v/>
      </c>
      <c r="Y317" s="1450" t="str">
        <f t="shared" si="236"/>
        <v/>
      </c>
      <c r="Z317" s="1451" t="str">
        <f t="shared" si="237"/>
        <v/>
      </c>
      <c r="AA317" s="694"/>
      <c r="AB317" s="1431">
        <f t="shared" si="238"/>
        <v>2</v>
      </c>
      <c r="AC317" s="1432">
        <f>IF(CNTR_ExistSubInstEntries,IF(OR($M236&lt;&gt;EUconst_Relevant,AC308&gt;=CNTR_ReportingYear,AC308&lt;$V236-1,$E317=""),0,IF(AND($T302=2,COUNTIF($V253:V253,TRUE)&gt;0,$S282),2,1)),2)</f>
        <v>2</v>
      </c>
      <c r="AD317" s="1432">
        <f>IF(CNTR_ExistSubInstEntries,IF(OR($M236&lt;&gt;EUconst_Relevant,AD308&gt;=CNTR_ReportingYear,AD308&lt;$V236-1,$E317=""),0,IF(AND($T302=2,COUNTIF($V253:W253,TRUE)&gt;0,$S282),2,1)),2)</f>
        <v>2</v>
      </c>
      <c r="AE317" s="1432">
        <f>IF(CNTR_ExistSubInstEntries,IF(OR($M236&lt;&gt;EUconst_Relevant,AE308&gt;=CNTR_ReportingYear,AE308&lt;$V236-1,$E317=""),0,IF(AND($T302=2,COUNTIF($V253:X253,TRUE)&gt;0,$S282),2,1)),2)</f>
        <v>2</v>
      </c>
      <c r="AF317" s="1432">
        <f>IF(CNTR_ExistSubInstEntries,IF(OR($M236&lt;&gt;EUconst_Relevant,AF308&gt;=CNTR_ReportingYear,AF308&lt;$V236-1,$E317=""),0,IF(AND($T302=2,COUNTIF($V253:Y253,TRUE)&gt;0,$S282),2,1)),2)</f>
        <v>2</v>
      </c>
      <c r="AG317" s="1432">
        <f>IF(CNTR_ExistSubInstEntries,IF(OR($M236&lt;&gt;EUconst_Relevant,AG308&gt;=CNTR_ReportingYear,AG308&lt;$V236-1,$E317=""),0,IF(AND($T302=2,COUNTIF($V253:Z253,TRUE)&gt;0,$S282),2,1)),2)</f>
        <v>2</v>
      </c>
      <c r="AH317" s="1432">
        <f>IF(CNTR_ExistSubInstEntries,IF(OR($M236&lt;&gt;EUconst_Relevant,AH308&gt;=CNTR_ReportingYear,AH308&lt;$V236-1,$E317=""),0,IF(AND($T302=2,COUNTIF($V253:AA253,TRUE)&gt;0,$S282),2,1)),2)</f>
        <v>2</v>
      </c>
      <c r="AI317" s="1452">
        <f>IF(CNTR_ExistSubInstEntries,IF(OR($M236&lt;&gt;EUconst_Relevant,AI308&gt;=CNTR_ReportingYear,AI308&lt;$V236-1,$E317=""),0,IF(AND($T302=2,COUNTIF($V253:AB253,TRUE)&gt;0,$S282),2,1)),2)</f>
        <v>2</v>
      </c>
      <c r="AJ317" s="343"/>
      <c r="AK317" s="1174" t="s">
        <v>2039</v>
      </c>
      <c r="AL317" s="1176" t="str">
        <f>IF(AND(CNTR_ExistSubInstEntries,COUNTIFS(AB317:AI317,2,G317:N317,"")&gt;0),EUconst_Error&amp;"FB"&amp;Q236,"")</f>
        <v/>
      </c>
      <c r="AM317" s="343"/>
    </row>
    <row r="318" spans="1:39" ht="12.75" customHeight="1" thickBot="1" x14ac:dyDescent="0.3">
      <c r="A318" s="729" t="str">
        <f t="shared" si="178"/>
        <v/>
      </c>
      <c r="B318" s="698"/>
      <c r="C318" s="2906"/>
      <c r="D318" s="994">
        <v>10</v>
      </c>
      <c r="E318" s="1435" t="str">
        <f t="shared" si="223"/>
        <v/>
      </c>
      <c r="F318" s="1453" t="str">
        <f t="shared" si="224"/>
        <v>TJ</v>
      </c>
      <c r="G318" s="48"/>
      <c r="H318" s="117"/>
      <c r="I318" s="48"/>
      <c r="J318" s="117"/>
      <c r="K318" s="38"/>
      <c r="L318" s="38"/>
      <c r="M318" s="38"/>
      <c r="N318" s="38"/>
      <c r="O318" s="302"/>
      <c r="P318" s="158"/>
      <c r="Q318" s="694"/>
      <c r="R318" s="694"/>
      <c r="S318" s="1454" t="str">
        <f>IF($M236&lt;&gt;EUconst_Relevant,"",
IF($V236&gt;($J$1840-3),
              IF(INDEX(H299:N299,MATCH($V236,$T308:$Z308,0))=0,0,INDEX(H318:N318,MATCH($V236,$T308:$Z308,0))/INDEX(H299:N299,MATCH($V236,$T308:$Z308,0))),
                             IF(ISNUMBER(G299),
                                            IF(OR(G299=0,$S283=FALSE),0,G318/G299),"")))</f>
        <v/>
      </c>
      <c r="T318" s="1455" t="str">
        <f t="shared" si="225"/>
        <v/>
      </c>
      <c r="U318" s="1455" t="str">
        <f t="shared" si="232"/>
        <v/>
      </c>
      <c r="V318" s="1455" t="str">
        <f t="shared" si="233"/>
        <v/>
      </c>
      <c r="W318" s="1455" t="str">
        <f t="shared" si="234"/>
        <v/>
      </c>
      <c r="X318" s="1455" t="str">
        <f t="shared" si="235"/>
        <v/>
      </c>
      <c r="Y318" s="1455" t="str">
        <f t="shared" si="236"/>
        <v/>
      </c>
      <c r="Z318" s="1456" t="str">
        <f t="shared" si="237"/>
        <v/>
      </c>
      <c r="AA318" s="694"/>
      <c r="AB318" s="1436">
        <f t="shared" si="238"/>
        <v>2</v>
      </c>
      <c r="AC318" s="1437">
        <f>IF(CNTR_ExistSubInstEntries,IF(OR($M236&lt;&gt;EUconst_Relevant,AC308&gt;=CNTR_ReportingYear,AC308&lt;$V236-1,$E318=""),0,IF(AND($T302=2,COUNTIF($V253:V253,TRUE)&gt;0,$S283),2,1)),2)</f>
        <v>2</v>
      </c>
      <c r="AD318" s="1437">
        <f>IF(CNTR_ExistSubInstEntries,IF(OR($M236&lt;&gt;EUconst_Relevant,AD308&gt;=CNTR_ReportingYear,AD308&lt;$V236-1,$E318=""),0,IF(AND($T302=2,COUNTIF($V253:W253,TRUE)&gt;0,$S283),2,1)),2)</f>
        <v>2</v>
      </c>
      <c r="AE318" s="1437">
        <f>IF(CNTR_ExistSubInstEntries,IF(OR($M236&lt;&gt;EUconst_Relevant,AE308&gt;=CNTR_ReportingYear,AE308&lt;$V236-1,$E318=""),0,IF(AND($T302=2,COUNTIF($V253:X253,TRUE)&gt;0,$S283),2,1)),2)</f>
        <v>2</v>
      </c>
      <c r="AF318" s="1437">
        <f>IF(CNTR_ExistSubInstEntries,IF(OR($M236&lt;&gt;EUconst_Relevant,AF308&gt;=CNTR_ReportingYear,AF308&lt;$V236-1,$E318=""),0,IF(AND($T302=2,COUNTIF($V253:Y253,TRUE)&gt;0,$S283),2,1)),2)</f>
        <v>2</v>
      </c>
      <c r="AG318" s="1437">
        <f>IF(CNTR_ExistSubInstEntries,IF(OR($M236&lt;&gt;EUconst_Relevant,AG308&gt;=CNTR_ReportingYear,AG308&lt;$V236-1,$E318=""),0,IF(AND($T302=2,COUNTIF($V253:Z253,TRUE)&gt;0,$S283),2,1)),2)</f>
        <v>2</v>
      </c>
      <c r="AH318" s="1437">
        <f>IF(CNTR_ExistSubInstEntries,IF(OR($M236&lt;&gt;EUconst_Relevant,AH308&gt;=CNTR_ReportingYear,AH308&lt;$V236-1,$E318=""),0,IF(AND($T302=2,COUNTIF($V253:AA253,TRUE)&gt;0,$S283),2,1)),2)</f>
        <v>2</v>
      </c>
      <c r="AI318" s="1457">
        <f>IF(CNTR_ExistSubInstEntries,IF(OR($M236&lt;&gt;EUconst_Relevant,AI308&gt;=CNTR_ReportingYear,AI308&lt;$V236-1,$E318=""),0,IF(AND($T302=2,COUNTIF($V253:AB253,TRUE)&gt;0,$S283),2,1)),2)</f>
        <v>2</v>
      </c>
      <c r="AJ318" s="343"/>
      <c r="AK318" s="1174" t="s">
        <v>2039</v>
      </c>
      <c r="AL318" s="1176" t="str">
        <f>IF(AND(CNTR_ExistSubInstEntries,COUNTIFS(AB318:AI318,2,G318:N318,"")&gt;0),EUconst_Error&amp;"FB"&amp;Q236,"")</f>
        <v/>
      </c>
      <c r="AM318" s="343"/>
    </row>
    <row r="319" spans="1:39" ht="12.75" customHeight="1" thickBot="1" x14ac:dyDescent="0.3">
      <c r="A319" s="729" t="str">
        <f t="shared" si="178"/>
        <v/>
      </c>
      <c r="B319" s="698"/>
      <c r="C319" s="2906"/>
      <c r="D319" s="1293"/>
      <c r="E319" s="1458" t="str">
        <f>Translations!$B$1338</f>
        <v>Общо потребление</v>
      </c>
      <c r="F319" s="1453" t="str">
        <f t="shared" si="224"/>
        <v>TJ</v>
      </c>
      <c r="G319" s="1296" t="str">
        <f t="shared" ref="G319:N319" si="239">IF(COUNT(G309:G318)&gt;0,SUMIF($S274:$S283,TRUE,G309:G318),"")</f>
        <v/>
      </c>
      <c r="H319" s="1297" t="str">
        <f t="shared" si="239"/>
        <v/>
      </c>
      <c r="I319" s="1296" t="str">
        <f t="shared" si="239"/>
        <v/>
      </c>
      <c r="J319" s="1297" t="str">
        <f t="shared" si="239"/>
        <v/>
      </c>
      <c r="K319" s="1104" t="str">
        <f t="shared" si="239"/>
        <v/>
      </c>
      <c r="L319" s="1104" t="str">
        <f t="shared" si="239"/>
        <v/>
      </c>
      <c r="M319" s="1104" t="str">
        <f t="shared" si="239"/>
        <v/>
      </c>
      <c r="N319" s="1104" t="str">
        <f t="shared" si="239"/>
        <v/>
      </c>
      <c r="O319" s="302"/>
      <c r="P319" s="336"/>
      <c r="Q319" s="694"/>
      <c r="R319" s="694"/>
      <c r="S319" s="694"/>
      <c r="T319" s="1459">
        <f>SUM(T309:T318)</f>
        <v>0</v>
      </c>
      <c r="U319" s="1460">
        <f t="shared" ref="U319:Z319" si="240">SUM(U309:U318)</f>
        <v>0</v>
      </c>
      <c r="V319" s="1460">
        <f t="shared" si="240"/>
        <v>0</v>
      </c>
      <c r="W319" s="1460">
        <f t="shared" si="240"/>
        <v>0</v>
      </c>
      <c r="X319" s="1460">
        <f t="shared" si="240"/>
        <v>0</v>
      </c>
      <c r="Y319" s="1460">
        <f t="shared" si="240"/>
        <v>0</v>
      </c>
      <c r="Z319" s="1461">
        <f t="shared" si="240"/>
        <v>0</v>
      </c>
      <c r="AA319" s="694"/>
      <c r="AB319" s="729"/>
      <c r="AC319" s="694"/>
      <c r="AD319" s="694"/>
      <c r="AE319" s="343"/>
      <c r="AF319" s="343"/>
      <c r="AG319" s="343"/>
      <c r="AH319" s="343"/>
      <c r="AI319" s="343"/>
      <c r="AJ319" s="343"/>
      <c r="AK319" s="343"/>
      <c r="AL319" s="343"/>
      <c r="AM319" s="343"/>
    </row>
    <row r="320" spans="1:39" ht="12.75" customHeight="1" x14ac:dyDescent="0.25">
      <c r="A320" s="729" t="str">
        <f t="shared" si="178"/>
        <v/>
      </c>
      <c r="B320" s="698"/>
      <c r="C320" s="2906"/>
      <c r="D320" s="1462"/>
      <c r="E320" s="1463" t="str">
        <f>Translations!$B$1339</f>
        <v>Дял от a)</v>
      </c>
      <c r="F320" s="1464" t="str">
        <f t="shared" si="224"/>
        <v>TJ</v>
      </c>
      <c r="G320" s="274" t="str">
        <f>IF(COUNT(I252,G319)=2,IF(I252=0,EUconst_NA,G319/I252),"")</f>
        <v/>
      </c>
      <c r="H320" s="185" t="str">
        <f>IF(COUNT(H244,H319)=2,IF(H244=0,EUconst_NA,H319/H244),"")</f>
        <v/>
      </c>
      <c r="I320" s="186" t="str">
        <f t="shared" ref="I320:N320" si="241">IF(COUNT(I244,I319)=2,IF(I244=0,EUconst_NA,I319/I244),"")</f>
        <v/>
      </c>
      <c r="J320" s="185" t="str">
        <f t="shared" si="241"/>
        <v/>
      </c>
      <c r="K320" s="187" t="str">
        <f t="shared" si="241"/>
        <v/>
      </c>
      <c r="L320" s="187" t="str">
        <f t="shared" si="241"/>
        <v/>
      </c>
      <c r="M320" s="187" t="str">
        <f t="shared" si="241"/>
        <v/>
      </c>
      <c r="N320" s="187" t="str">
        <f t="shared" si="241"/>
        <v/>
      </c>
      <c r="O320" s="302"/>
      <c r="P320" s="336"/>
      <c r="Q320" s="694"/>
      <c r="R320" s="694"/>
      <c r="S320" s="694"/>
      <c r="T320" s="694"/>
      <c r="U320" s="694"/>
      <c r="V320" s="694"/>
      <c r="W320" s="694"/>
      <c r="X320" s="694"/>
      <c r="Y320" s="694"/>
      <c r="Z320" s="694"/>
      <c r="AA320" s="694"/>
      <c r="AB320" s="729"/>
      <c r="AC320" s="694"/>
      <c r="AD320" s="694"/>
      <c r="AE320" s="343"/>
      <c r="AF320" s="343"/>
      <c r="AG320" s="343"/>
      <c r="AH320" s="343"/>
      <c r="AI320" s="343"/>
      <c r="AJ320" s="343"/>
      <c r="AK320" s="343"/>
      <c r="AL320" s="343"/>
      <c r="AM320" s="343"/>
    </row>
    <row r="321" spans="1:39" ht="14.25" customHeight="1" x14ac:dyDescent="0.25">
      <c r="A321" s="729" t="str">
        <f t="shared" si="178"/>
        <v/>
      </c>
      <c r="B321" s="698"/>
      <c r="C321" s="284"/>
      <c r="D321" s="284"/>
      <c r="E321" s="284"/>
      <c r="F321" s="284"/>
      <c r="G321" s="228" t="str">
        <f>IF(G320="","",IF(AND(COUNTA(G309:G318)=0,$T302=2),EUconst_Incomplete,""))</f>
        <v/>
      </c>
      <c r="H321" s="229" t="str">
        <f t="shared" ref="H321:N321" si="242">IF(H320="","",IF(AND(OR(COUNTA(H309:H318)&gt;0,$T302=2),ABS(1-SUM(H320))&lt;0.5%),"",EUconst_Inconsistent))</f>
        <v/>
      </c>
      <c r="I321" s="230" t="str">
        <f t="shared" si="242"/>
        <v/>
      </c>
      <c r="J321" s="229" t="str">
        <f t="shared" si="242"/>
        <v/>
      </c>
      <c r="K321" s="231" t="str">
        <f t="shared" si="242"/>
        <v/>
      </c>
      <c r="L321" s="231" t="str">
        <f t="shared" si="242"/>
        <v/>
      </c>
      <c r="M321" s="231" t="str">
        <f t="shared" si="242"/>
        <v/>
      </c>
      <c r="N321" s="231" t="str">
        <f t="shared" si="242"/>
        <v/>
      </c>
      <c r="O321" s="302"/>
      <c r="P321" s="336"/>
      <c r="Q321" s="694"/>
      <c r="R321" s="694"/>
      <c r="S321" s="694"/>
      <c r="T321" s="694"/>
      <c r="U321" s="694"/>
      <c r="V321" s="694"/>
      <c r="W321" s="694"/>
      <c r="X321" s="694"/>
      <c r="Y321" s="694"/>
      <c r="Z321" s="729"/>
      <c r="AA321" s="729"/>
      <c r="AB321" s="729"/>
      <c r="AC321" s="694"/>
      <c r="AD321" s="694"/>
      <c r="AE321" s="343"/>
      <c r="AF321" s="343"/>
      <c r="AG321" s="343"/>
      <c r="AH321" s="343"/>
      <c r="AI321" s="343"/>
      <c r="AJ321" s="343"/>
      <c r="AK321" s="1174" t="s">
        <v>2148</v>
      </c>
      <c r="AL321" s="1176" t="str">
        <f>IF(COUNTIFS(G321:N321,"")&lt;COUNTA(G321:N321),EUconst_Error&amp;"FB"&amp;Q236,"")</f>
        <v/>
      </c>
      <c r="AM321" s="343"/>
    </row>
    <row r="322" spans="1:39" ht="5.15" customHeight="1" x14ac:dyDescent="0.25">
      <c r="A322" s="729" t="str">
        <f t="shared" si="178"/>
        <v/>
      </c>
      <c r="B322" s="698"/>
      <c r="C322" s="284"/>
      <c r="D322" s="284"/>
      <c r="E322" s="284"/>
      <c r="F322" s="284"/>
      <c r="G322" s="284"/>
      <c r="H322" s="284"/>
      <c r="I322" s="284"/>
      <c r="J322" s="284"/>
      <c r="K322" s="284"/>
      <c r="L322" s="284"/>
      <c r="M322" s="284"/>
      <c r="N322" s="284"/>
      <c r="O322" s="302"/>
      <c r="P322" s="336"/>
      <c r="Q322" s="694"/>
      <c r="R322" s="694"/>
      <c r="S322" s="694"/>
      <c r="T322" s="694"/>
      <c r="U322" s="694"/>
      <c r="V322" s="694"/>
      <c r="W322" s="694"/>
      <c r="X322" s="694"/>
      <c r="Y322" s="694"/>
      <c r="Z322" s="729"/>
      <c r="AA322" s="729"/>
      <c r="AB322" s="729"/>
      <c r="AC322" s="694"/>
      <c r="AD322" s="694"/>
      <c r="AE322" s="343"/>
      <c r="AF322" s="343"/>
      <c r="AG322" s="343"/>
      <c r="AH322" s="343"/>
      <c r="AI322" s="343"/>
      <c r="AJ322" s="343"/>
      <c r="AK322" s="343"/>
      <c r="AL322" s="343"/>
      <c r="AM322" s="343"/>
    </row>
    <row r="323" spans="1:39" ht="12.75" customHeight="1" x14ac:dyDescent="0.25">
      <c r="A323" s="729" t="str">
        <f t="shared" si="178"/>
        <v/>
      </c>
      <c r="B323" s="698"/>
      <c r="C323" s="284"/>
      <c r="D323" s="300" t="s">
        <v>1770</v>
      </c>
      <c r="E323" s="2226" t="str">
        <f>Translations!$B$1540</f>
        <v>Потребление на енергия извън СТЕ на ЕС по продукти за определяне на очакваните равнища на дейност</v>
      </c>
      <c r="F323" s="2249"/>
      <c r="G323" s="2249"/>
      <c r="H323" s="2249"/>
      <c r="I323" s="2249"/>
      <c r="J323" s="2249"/>
      <c r="K323" s="2249"/>
      <c r="L323" s="2249"/>
      <c r="M323" s="2249"/>
      <c r="N323" s="2249"/>
      <c r="O323" s="302"/>
      <c r="P323" s="295"/>
      <c r="Q323" s="694"/>
      <c r="R323" s="694"/>
      <c r="S323" s="729"/>
      <c r="T323" s="729"/>
      <c r="U323" s="729"/>
      <c r="V323" s="694"/>
      <c r="W323" s="694"/>
      <c r="X323" s="694"/>
      <c r="Y323" s="694"/>
      <c r="Z323" s="729"/>
      <c r="AA323" s="729"/>
      <c r="AB323" s="729"/>
      <c r="AC323" s="729"/>
      <c r="AD323" s="694"/>
      <c r="AE323" s="343"/>
      <c r="AF323" s="343"/>
      <c r="AG323" s="343"/>
      <c r="AH323" s="343"/>
      <c r="AI323" s="343"/>
      <c r="AJ323" s="343"/>
      <c r="AK323" s="343"/>
      <c r="AL323" s="343"/>
      <c r="AM323" s="343"/>
    </row>
    <row r="324" spans="1:39" ht="25.5" customHeight="1" x14ac:dyDescent="0.25">
      <c r="A324" s="729" t="str">
        <f t="shared" si="178"/>
        <v/>
      </c>
      <c r="B324" s="698"/>
      <c r="C324" s="284"/>
      <c r="D324" s="284"/>
      <c r="E324" s="2358" t="str">
        <f>Translations!$B$1541</f>
        <v>Моля, въведете тук всяко потребление на енергия извън СТЕ на ЕС (напр. топлинна енергия, получена от инсталации, които не са обхванати от СТЕ на ЕС), използвано за същите продукти, както по-горе. Числата тук ще бъдат използвани за коригиране на разпределянето за допустимия дял на енергията.</v>
      </c>
      <c r="F324" s="2249"/>
      <c r="G324" s="2249"/>
      <c r="H324" s="2249"/>
      <c r="I324" s="2249"/>
      <c r="J324" s="2249"/>
      <c r="K324" s="2249"/>
      <c r="L324" s="2249"/>
      <c r="M324" s="2249"/>
      <c r="N324" s="2249"/>
      <c r="O324" s="302"/>
      <c r="P324" s="295"/>
      <c r="Q324" s="694"/>
      <c r="R324" s="694"/>
      <c r="S324" s="694"/>
      <c r="T324" s="694"/>
      <c r="U324" s="694"/>
      <c r="V324" s="694"/>
      <c r="W324" s="694"/>
      <c r="X324" s="694"/>
      <c r="Y324" s="694"/>
      <c r="Z324" s="729"/>
      <c r="AA324" s="729"/>
      <c r="AB324" s="729"/>
      <c r="AC324" s="729"/>
      <c r="AD324" s="694"/>
      <c r="AE324" s="343"/>
      <c r="AF324" s="343"/>
      <c r="AG324" s="343"/>
      <c r="AH324" s="343"/>
      <c r="AI324" s="343"/>
      <c r="AJ324" s="343"/>
      <c r="AK324" s="343"/>
      <c r="AL324" s="343"/>
      <c r="AM324" s="343"/>
    </row>
    <row r="325" spans="1:39" ht="5.15" customHeight="1" x14ac:dyDescent="0.25">
      <c r="A325" s="729" t="str">
        <f t="shared" ref="A325:A375" si="243">A324</f>
        <v/>
      </c>
      <c r="B325" s="698"/>
      <c r="C325" s="284"/>
      <c r="D325" s="284"/>
      <c r="E325" s="2358"/>
      <c r="F325" s="2249"/>
      <c r="G325" s="2249"/>
      <c r="H325" s="2249"/>
      <c r="I325" s="2249"/>
      <c r="J325" s="2249"/>
      <c r="K325" s="2249"/>
      <c r="L325" s="2249"/>
      <c r="M325" s="2249"/>
      <c r="N325" s="2249"/>
      <c r="O325" s="302"/>
      <c r="P325" s="295"/>
      <c r="Q325" s="694"/>
      <c r="R325" s="694"/>
      <c r="S325" s="694"/>
      <c r="T325" s="694"/>
      <c r="U325" s="694"/>
      <c r="V325" s="694"/>
      <c r="W325" s="694"/>
      <c r="X325" s="694"/>
      <c r="Y325" s="694"/>
      <c r="Z325" s="729"/>
      <c r="AA325" s="729"/>
      <c r="AB325" s="729"/>
      <c r="AC325" s="729"/>
      <c r="AD325" s="694"/>
      <c r="AE325" s="343"/>
      <c r="AF325" s="343"/>
      <c r="AG325" s="343"/>
      <c r="AH325" s="343"/>
      <c r="AI325" s="343"/>
      <c r="AJ325" s="343"/>
      <c r="AK325" s="343"/>
      <c r="AL325" s="343"/>
      <c r="AM325" s="343"/>
    </row>
    <row r="326" spans="1:39" s="1423" customFormat="1" ht="25.5" customHeight="1" thickBot="1" x14ac:dyDescent="0.35">
      <c r="A326" s="729" t="str">
        <f t="shared" si="243"/>
        <v/>
      </c>
      <c r="B326" s="1412"/>
      <c r="C326" s="1413"/>
      <c r="D326" s="1414"/>
      <c r="E326" s="1415" t="str">
        <f>Translations!$B$624</f>
        <v>Име на продукта или „топлофикационна мрежа“</v>
      </c>
      <c r="F326" s="1416" t="str">
        <f>EUconst_Unit</f>
        <v>Единица мярка</v>
      </c>
      <c r="G326" s="1419" t="str">
        <f>Translations!$B$1336</f>
        <v>Стойност в НМИ</v>
      </c>
      <c r="H326" s="1418">
        <f t="shared" ref="H326:N326" si="244">H$1840</f>
        <v>2024</v>
      </c>
      <c r="I326" s="1419">
        <f t="shared" si="244"/>
        <v>2025</v>
      </c>
      <c r="J326" s="1418">
        <f t="shared" si="244"/>
        <v>2026</v>
      </c>
      <c r="K326" s="1420">
        <f t="shared" si="244"/>
        <v>2027</v>
      </c>
      <c r="L326" s="1420">
        <f t="shared" si="244"/>
        <v>2028</v>
      </c>
      <c r="M326" s="1420">
        <f t="shared" si="244"/>
        <v>2029</v>
      </c>
      <c r="N326" s="1420">
        <f t="shared" si="244"/>
        <v>2030</v>
      </c>
      <c r="O326" s="302"/>
      <c r="P326" s="295"/>
      <c r="Q326" s="1421"/>
      <c r="R326" s="1421"/>
      <c r="S326" s="694"/>
      <c r="T326" s="694"/>
      <c r="U326" s="694"/>
      <c r="V326" s="694"/>
      <c r="W326" s="694"/>
      <c r="X326" s="694"/>
      <c r="Y326" s="694"/>
      <c r="Z326" s="694"/>
      <c r="AA326" s="1421"/>
      <c r="AB326" s="770" t="str">
        <f>Translations!$B$1284</f>
        <v>HAL</v>
      </c>
      <c r="AC326" s="1421">
        <f t="shared" ref="AC326" si="245">H326</f>
        <v>2024</v>
      </c>
      <c r="AD326" s="1421">
        <f t="shared" ref="AD326" si="246">I326</f>
        <v>2025</v>
      </c>
      <c r="AE326" s="1421">
        <f t="shared" ref="AE326" si="247">J326</f>
        <v>2026</v>
      </c>
      <c r="AF326" s="1421">
        <f t="shared" ref="AF326" si="248">K326</f>
        <v>2027</v>
      </c>
      <c r="AG326" s="1421">
        <f t="shared" ref="AG326" si="249">L326</f>
        <v>2028</v>
      </c>
      <c r="AH326" s="1422">
        <f t="shared" ref="AH326" si="250">M326</f>
        <v>2029</v>
      </c>
      <c r="AI326" s="1422">
        <f t="shared" ref="AI326" si="251">N326</f>
        <v>2030</v>
      </c>
      <c r="AJ326" s="1422"/>
      <c r="AK326" s="1422"/>
      <c r="AL326" s="1422"/>
      <c r="AM326" s="1422"/>
    </row>
    <row r="327" spans="1:39" ht="12.75" customHeight="1" x14ac:dyDescent="0.25">
      <c r="A327" s="729" t="str">
        <f t="shared" si="243"/>
        <v/>
      </c>
      <c r="B327" s="698"/>
      <c r="C327" s="2906" t="str">
        <f>Translations!$B$949</f>
        <v>топл. ен. извън СТЕ</v>
      </c>
      <c r="D327" s="981">
        <v>1</v>
      </c>
      <c r="E327" s="1424" t="str">
        <f t="shared" ref="E327:E336" si="252">E309</f>
        <v/>
      </c>
      <c r="F327" s="1259" t="str">
        <f t="shared" ref="F327:F337" si="253">EUconst_TJ</f>
        <v>TJ</v>
      </c>
      <c r="G327" s="125"/>
      <c r="H327" s="116"/>
      <c r="I327" s="46"/>
      <c r="J327" s="116"/>
      <c r="K327" s="40"/>
      <c r="L327" s="40"/>
      <c r="M327" s="40"/>
      <c r="N327" s="40"/>
      <c r="O327" s="302"/>
      <c r="P327" s="158"/>
      <c r="Q327" s="694"/>
      <c r="R327" s="694"/>
      <c r="S327" s="694"/>
      <c r="T327" s="694"/>
      <c r="U327" s="694"/>
      <c r="V327" s="694"/>
      <c r="W327" s="694"/>
      <c r="X327" s="694"/>
      <c r="Y327" s="694"/>
      <c r="Z327" s="694"/>
      <c r="AA327" s="1446" t="s">
        <v>1757</v>
      </c>
      <c r="AB327" s="1447">
        <f t="shared" ref="AB327:AC327" si="254">AB309</f>
        <v>2</v>
      </c>
      <c r="AC327" s="1427">
        <f t="shared" si="254"/>
        <v>2</v>
      </c>
      <c r="AD327" s="1427">
        <f>AD309</f>
        <v>2</v>
      </c>
      <c r="AE327" s="1427">
        <f t="shared" ref="AE327:AI327" si="255">AE309</f>
        <v>2</v>
      </c>
      <c r="AF327" s="1427">
        <f t="shared" si="255"/>
        <v>2</v>
      </c>
      <c r="AG327" s="1427">
        <f t="shared" si="255"/>
        <v>2</v>
      </c>
      <c r="AH327" s="1428">
        <f t="shared" si="255"/>
        <v>2</v>
      </c>
      <c r="AI327" s="1429">
        <f t="shared" si="255"/>
        <v>2</v>
      </c>
      <c r="AJ327" s="343"/>
      <c r="AK327" s="1422"/>
      <c r="AL327" s="1422"/>
      <c r="AM327" s="343"/>
    </row>
    <row r="328" spans="1:39" ht="12.75" customHeight="1" x14ac:dyDescent="0.25">
      <c r="A328" s="729" t="str">
        <f t="shared" si="243"/>
        <v/>
      </c>
      <c r="B328" s="698"/>
      <c r="C328" s="2906"/>
      <c r="D328" s="990">
        <v>2</v>
      </c>
      <c r="E328" s="1430" t="str">
        <f t="shared" si="252"/>
        <v/>
      </c>
      <c r="F328" s="1448" t="str">
        <f t="shared" si="253"/>
        <v>TJ</v>
      </c>
      <c r="G328" s="124"/>
      <c r="H328" s="119"/>
      <c r="I328" s="47"/>
      <c r="J328" s="119"/>
      <c r="K328" s="43"/>
      <c r="L328" s="43"/>
      <c r="M328" s="43"/>
      <c r="N328" s="43"/>
      <c r="O328" s="302"/>
      <c r="P328" s="158"/>
      <c r="Q328" s="694"/>
      <c r="R328" s="694"/>
      <c r="S328" s="694"/>
      <c r="T328" s="694"/>
      <c r="U328" s="694"/>
      <c r="V328" s="694"/>
      <c r="W328" s="694"/>
      <c r="X328" s="694"/>
      <c r="Y328" s="694"/>
      <c r="Z328" s="694"/>
      <c r="AA328" s="694"/>
      <c r="AB328" s="1431">
        <f t="shared" ref="AB328:AI328" si="256">AB310</f>
        <v>2</v>
      </c>
      <c r="AC328" s="1432">
        <f t="shared" si="256"/>
        <v>2</v>
      </c>
      <c r="AD328" s="1432">
        <f t="shared" si="256"/>
        <v>2</v>
      </c>
      <c r="AE328" s="1432">
        <f t="shared" si="256"/>
        <v>2</v>
      </c>
      <c r="AF328" s="1432">
        <f t="shared" si="256"/>
        <v>2</v>
      </c>
      <c r="AG328" s="1432">
        <f t="shared" si="256"/>
        <v>2</v>
      </c>
      <c r="AH328" s="1432">
        <f t="shared" si="256"/>
        <v>2</v>
      </c>
      <c r="AI328" s="1452">
        <f t="shared" si="256"/>
        <v>2</v>
      </c>
      <c r="AJ328" s="343"/>
      <c r="AK328" s="1422"/>
      <c r="AL328" s="1422"/>
      <c r="AM328" s="343"/>
    </row>
    <row r="329" spans="1:39" ht="12.75" customHeight="1" x14ac:dyDescent="0.25">
      <c r="A329" s="729" t="str">
        <f t="shared" si="243"/>
        <v/>
      </c>
      <c r="B329" s="698"/>
      <c r="C329" s="2906"/>
      <c r="D329" s="990">
        <v>3</v>
      </c>
      <c r="E329" s="1430" t="str">
        <f t="shared" si="252"/>
        <v/>
      </c>
      <c r="F329" s="1448" t="str">
        <f t="shared" si="253"/>
        <v>TJ</v>
      </c>
      <c r="G329" s="47"/>
      <c r="H329" s="119"/>
      <c r="I329" s="47"/>
      <c r="J329" s="119"/>
      <c r="K329" s="43"/>
      <c r="L329" s="43"/>
      <c r="M329" s="43"/>
      <c r="N329" s="43"/>
      <c r="O329" s="302"/>
      <c r="P329" s="158"/>
      <c r="Q329" s="694"/>
      <c r="R329" s="694"/>
      <c r="S329" s="694"/>
      <c r="T329" s="694"/>
      <c r="U329" s="694"/>
      <c r="V329" s="694"/>
      <c r="W329" s="694"/>
      <c r="X329" s="694"/>
      <c r="Y329" s="694"/>
      <c r="Z329" s="694"/>
      <c r="AA329" s="694"/>
      <c r="AB329" s="1431">
        <f t="shared" ref="AB329:AI329" si="257">AB311</f>
        <v>2</v>
      </c>
      <c r="AC329" s="1432">
        <f t="shared" si="257"/>
        <v>2</v>
      </c>
      <c r="AD329" s="1432">
        <f t="shared" si="257"/>
        <v>2</v>
      </c>
      <c r="AE329" s="1432">
        <f t="shared" si="257"/>
        <v>2</v>
      </c>
      <c r="AF329" s="1432">
        <f t="shared" si="257"/>
        <v>2</v>
      </c>
      <c r="AG329" s="1432">
        <f t="shared" si="257"/>
        <v>2</v>
      </c>
      <c r="AH329" s="1432">
        <f t="shared" si="257"/>
        <v>2</v>
      </c>
      <c r="AI329" s="1452">
        <f t="shared" si="257"/>
        <v>2</v>
      </c>
      <c r="AJ329" s="343"/>
      <c r="AK329" s="1422"/>
      <c r="AL329" s="1422"/>
      <c r="AM329" s="343"/>
    </row>
    <row r="330" spans="1:39" ht="12.75" customHeight="1" x14ac:dyDescent="0.25">
      <c r="A330" s="729" t="str">
        <f t="shared" si="243"/>
        <v/>
      </c>
      <c r="B330" s="698"/>
      <c r="C330" s="2906"/>
      <c r="D330" s="990">
        <v>4</v>
      </c>
      <c r="E330" s="1430" t="str">
        <f t="shared" si="252"/>
        <v/>
      </c>
      <c r="F330" s="1448" t="str">
        <f t="shared" si="253"/>
        <v>TJ</v>
      </c>
      <c r="G330" s="47"/>
      <c r="H330" s="119"/>
      <c r="I330" s="47"/>
      <c r="J330" s="119"/>
      <c r="K330" s="43"/>
      <c r="L330" s="43"/>
      <c r="M330" s="43"/>
      <c r="N330" s="43"/>
      <c r="O330" s="302"/>
      <c r="P330" s="158"/>
      <c r="Q330" s="694"/>
      <c r="R330" s="694"/>
      <c r="S330" s="694"/>
      <c r="T330" s="694"/>
      <c r="U330" s="694"/>
      <c r="V330" s="694"/>
      <c r="W330" s="694"/>
      <c r="X330" s="694"/>
      <c r="Y330" s="694"/>
      <c r="Z330" s="694"/>
      <c r="AA330" s="694"/>
      <c r="AB330" s="1431">
        <f t="shared" ref="AB330:AI330" si="258">AB312</f>
        <v>2</v>
      </c>
      <c r="AC330" s="1432">
        <f t="shared" si="258"/>
        <v>2</v>
      </c>
      <c r="AD330" s="1432">
        <f t="shared" si="258"/>
        <v>2</v>
      </c>
      <c r="AE330" s="1432">
        <f t="shared" si="258"/>
        <v>2</v>
      </c>
      <c r="AF330" s="1432">
        <f t="shared" si="258"/>
        <v>2</v>
      </c>
      <c r="AG330" s="1432">
        <f t="shared" si="258"/>
        <v>2</v>
      </c>
      <c r="AH330" s="1432">
        <f t="shared" si="258"/>
        <v>2</v>
      </c>
      <c r="AI330" s="1452">
        <f t="shared" si="258"/>
        <v>2</v>
      </c>
      <c r="AJ330" s="343"/>
      <c r="AK330" s="1422"/>
      <c r="AL330" s="1422"/>
      <c r="AM330" s="343"/>
    </row>
    <row r="331" spans="1:39" ht="12.75" customHeight="1" x14ac:dyDescent="0.25">
      <c r="A331" s="729" t="str">
        <f t="shared" si="243"/>
        <v/>
      </c>
      <c r="B331" s="698"/>
      <c r="C331" s="2906"/>
      <c r="D331" s="990">
        <v>5</v>
      </c>
      <c r="E331" s="1430" t="str">
        <f t="shared" si="252"/>
        <v/>
      </c>
      <c r="F331" s="1448" t="str">
        <f t="shared" si="253"/>
        <v>TJ</v>
      </c>
      <c r="G331" s="47"/>
      <c r="H331" s="119"/>
      <c r="I331" s="47"/>
      <c r="J331" s="119"/>
      <c r="K331" s="43"/>
      <c r="L331" s="43"/>
      <c r="M331" s="43"/>
      <c r="N331" s="43"/>
      <c r="O331" s="302"/>
      <c r="P331" s="158"/>
      <c r="Q331" s="694"/>
      <c r="R331" s="694"/>
      <c r="S331" s="694"/>
      <c r="T331" s="694"/>
      <c r="U331" s="694"/>
      <c r="V331" s="694"/>
      <c r="W331" s="694"/>
      <c r="X331" s="694"/>
      <c r="Y331" s="694"/>
      <c r="Z331" s="694"/>
      <c r="AA331" s="694"/>
      <c r="AB331" s="1431">
        <f t="shared" ref="AB331:AI331" si="259">AB313</f>
        <v>2</v>
      </c>
      <c r="AC331" s="1432">
        <f t="shared" si="259"/>
        <v>2</v>
      </c>
      <c r="AD331" s="1432">
        <f t="shared" si="259"/>
        <v>2</v>
      </c>
      <c r="AE331" s="1432">
        <f t="shared" si="259"/>
        <v>2</v>
      </c>
      <c r="AF331" s="1432">
        <f t="shared" si="259"/>
        <v>2</v>
      </c>
      <c r="AG331" s="1432">
        <f t="shared" si="259"/>
        <v>2</v>
      </c>
      <c r="AH331" s="1432">
        <f t="shared" si="259"/>
        <v>2</v>
      </c>
      <c r="AI331" s="1452">
        <f t="shared" si="259"/>
        <v>2</v>
      </c>
      <c r="AJ331" s="343"/>
      <c r="AK331" s="1422"/>
      <c r="AL331" s="1422"/>
      <c r="AM331" s="343"/>
    </row>
    <row r="332" spans="1:39" ht="12.75" customHeight="1" x14ac:dyDescent="0.25">
      <c r="A332" s="729" t="str">
        <f t="shared" si="243"/>
        <v/>
      </c>
      <c r="B332" s="698"/>
      <c r="C332" s="2906"/>
      <c r="D332" s="990">
        <v>6</v>
      </c>
      <c r="E332" s="1430" t="str">
        <f t="shared" si="252"/>
        <v/>
      </c>
      <c r="F332" s="1448" t="str">
        <f t="shared" si="253"/>
        <v>TJ</v>
      </c>
      <c r="G332" s="47"/>
      <c r="H332" s="119"/>
      <c r="I332" s="47"/>
      <c r="J332" s="119"/>
      <c r="K332" s="43"/>
      <c r="L332" s="43"/>
      <c r="M332" s="43"/>
      <c r="N332" s="43"/>
      <c r="O332" s="302"/>
      <c r="P332" s="158"/>
      <c r="Q332" s="694"/>
      <c r="R332" s="694"/>
      <c r="S332" s="694"/>
      <c r="T332" s="694"/>
      <c r="U332" s="694"/>
      <c r="V332" s="694"/>
      <c r="W332" s="694"/>
      <c r="X332" s="694"/>
      <c r="Y332" s="694"/>
      <c r="Z332" s="694"/>
      <c r="AA332" s="694"/>
      <c r="AB332" s="1431">
        <f t="shared" ref="AB332:AI332" si="260">AB314</f>
        <v>2</v>
      </c>
      <c r="AC332" s="1432">
        <f t="shared" si="260"/>
        <v>2</v>
      </c>
      <c r="AD332" s="1432">
        <f t="shared" si="260"/>
        <v>2</v>
      </c>
      <c r="AE332" s="1432">
        <f t="shared" si="260"/>
        <v>2</v>
      </c>
      <c r="AF332" s="1432">
        <f t="shared" si="260"/>
        <v>2</v>
      </c>
      <c r="AG332" s="1432">
        <f t="shared" si="260"/>
        <v>2</v>
      </c>
      <c r="AH332" s="1432">
        <f t="shared" si="260"/>
        <v>2</v>
      </c>
      <c r="AI332" s="1452">
        <f t="shared" si="260"/>
        <v>2</v>
      </c>
      <c r="AJ332" s="343"/>
      <c r="AK332" s="1422"/>
      <c r="AL332" s="1422"/>
      <c r="AM332" s="343"/>
    </row>
    <row r="333" spans="1:39" ht="12.75" customHeight="1" x14ac:dyDescent="0.25">
      <c r="A333" s="729" t="str">
        <f t="shared" si="243"/>
        <v/>
      </c>
      <c r="B333" s="698"/>
      <c r="C333" s="2906"/>
      <c r="D333" s="990">
        <v>7</v>
      </c>
      <c r="E333" s="1430" t="str">
        <f t="shared" si="252"/>
        <v/>
      </c>
      <c r="F333" s="1448" t="str">
        <f t="shared" si="253"/>
        <v>TJ</v>
      </c>
      <c r="G333" s="47"/>
      <c r="H333" s="119"/>
      <c r="I333" s="47"/>
      <c r="J333" s="119"/>
      <c r="K333" s="43"/>
      <c r="L333" s="43"/>
      <c r="M333" s="43"/>
      <c r="N333" s="43"/>
      <c r="O333" s="302"/>
      <c r="P333" s="158"/>
      <c r="Q333" s="694"/>
      <c r="R333" s="694"/>
      <c r="S333" s="694"/>
      <c r="T333" s="694"/>
      <c r="U333" s="694"/>
      <c r="V333" s="694"/>
      <c r="W333" s="694"/>
      <c r="X333" s="694"/>
      <c r="Y333" s="694"/>
      <c r="Z333" s="694"/>
      <c r="AA333" s="694"/>
      <c r="AB333" s="1431">
        <f t="shared" ref="AB333:AI333" si="261">AB315</f>
        <v>2</v>
      </c>
      <c r="AC333" s="1432">
        <f t="shared" si="261"/>
        <v>2</v>
      </c>
      <c r="AD333" s="1432">
        <f t="shared" si="261"/>
        <v>2</v>
      </c>
      <c r="AE333" s="1432">
        <f t="shared" si="261"/>
        <v>2</v>
      </c>
      <c r="AF333" s="1432">
        <f t="shared" si="261"/>
        <v>2</v>
      </c>
      <c r="AG333" s="1432">
        <f t="shared" si="261"/>
        <v>2</v>
      </c>
      <c r="AH333" s="1432">
        <f t="shared" si="261"/>
        <v>2</v>
      </c>
      <c r="AI333" s="1452">
        <f t="shared" si="261"/>
        <v>2</v>
      </c>
      <c r="AJ333" s="343"/>
      <c r="AK333" s="1422"/>
      <c r="AL333" s="1422"/>
      <c r="AM333" s="343"/>
    </row>
    <row r="334" spans="1:39" ht="12.75" customHeight="1" x14ac:dyDescent="0.25">
      <c r="A334" s="729" t="str">
        <f t="shared" si="243"/>
        <v/>
      </c>
      <c r="B334" s="698"/>
      <c r="C334" s="2906"/>
      <c r="D334" s="990">
        <v>8</v>
      </c>
      <c r="E334" s="1430" t="str">
        <f t="shared" si="252"/>
        <v/>
      </c>
      <c r="F334" s="1448" t="str">
        <f t="shared" si="253"/>
        <v>TJ</v>
      </c>
      <c r="G334" s="47"/>
      <c r="H334" s="119"/>
      <c r="I334" s="47"/>
      <c r="J334" s="119"/>
      <c r="K334" s="43"/>
      <c r="L334" s="43"/>
      <c r="M334" s="43"/>
      <c r="N334" s="43"/>
      <c r="O334" s="302"/>
      <c r="P334" s="158"/>
      <c r="Q334" s="694"/>
      <c r="R334" s="694"/>
      <c r="S334" s="694"/>
      <c r="T334" s="694"/>
      <c r="U334" s="694"/>
      <c r="V334" s="694"/>
      <c r="W334" s="694"/>
      <c r="X334" s="694"/>
      <c r="Y334" s="694"/>
      <c r="Z334" s="694"/>
      <c r="AA334" s="694"/>
      <c r="AB334" s="1431">
        <f t="shared" ref="AB334:AI334" si="262">AB316</f>
        <v>2</v>
      </c>
      <c r="AC334" s="1432">
        <f t="shared" si="262"/>
        <v>2</v>
      </c>
      <c r="AD334" s="1432">
        <f t="shared" si="262"/>
        <v>2</v>
      </c>
      <c r="AE334" s="1432">
        <f t="shared" si="262"/>
        <v>2</v>
      </c>
      <c r="AF334" s="1432">
        <f t="shared" si="262"/>
        <v>2</v>
      </c>
      <c r="AG334" s="1432">
        <f t="shared" si="262"/>
        <v>2</v>
      </c>
      <c r="AH334" s="1432">
        <f t="shared" si="262"/>
        <v>2</v>
      </c>
      <c r="AI334" s="1452">
        <f t="shared" si="262"/>
        <v>2</v>
      </c>
      <c r="AJ334" s="343"/>
      <c r="AK334" s="1422"/>
      <c r="AL334" s="1422"/>
      <c r="AM334" s="343"/>
    </row>
    <row r="335" spans="1:39" ht="12.75" customHeight="1" x14ac:dyDescent="0.25">
      <c r="A335" s="729" t="str">
        <f t="shared" si="243"/>
        <v/>
      </c>
      <c r="B335" s="698"/>
      <c r="C335" s="2906"/>
      <c r="D335" s="990">
        <v>9</v>
      </c>
      <c r="E335" s="1430" t="str">
        <f t="shared" si="252"/>
        <v/>
      </c>
      <c r="F335" s="1448" t="str">
        <f t="shared" si="253"/>
        <v>TJ</v>
      </c>
      <c r="G335" s="47"/>
      <c r="H335" s="119"/>
      <c r="I335" s="47"/>
      <c r="J335" s="119"/>
      <c r="K335" s="43"/>
      <c r="L335" s="43"/>
      <c r="M335" s="43"/>
      <c r="N335" s="43"/>
      <c r="O335" s="302"/>
      <c r="P335" s="158"/>
      <c r="Q335" s="694"/>
      <c r="R335" s="694"/>
      <c r="S335" s="694"/>
      <c r="T335" s="694"/>
      <c r="U335" s="694"/>
      <c r="V335" s="694"/>
      <c r="W335" s="694"/>
      <c r="X335" s="694"/>
      <c r="Y335" s="694"/>
      <c r="Z335" s="694"/>
      <c r="AA335" s="694"/>
      <c r="AB335" s="1431">
        <f t="shared" ref="AB335:AI335" si="263">AB317</f>
        <v>2</v>
      </c>
      <c r="AC335" s="1432">
        <f t="shared" si="263"/>
        <v>2</v>
      </c>
      <c r="AD335" s="1432">
        <f t="shared" si="263"/>
        <v>2</v>
      </c>
      <c r="AE335" s="1432">
        <f t="shared" si="263"/>
        <v>2</v>
      </c>
      <c r="AF335" s="1432">
        <f t="shared" si="263"/>
        <v>2</v>
      </c>
      <c r="AG335" s="1432">
        <f t="shared" si="263"/>
        <v>2</v>
      </c>
      <c r="AH335" s="1432">
        <f t="shared" si="263"/>
        <v>2</v>
      </c>
      <c r="AI335" s="1452">
        <f t="shared" si="263"/>
        <v>2</v>
      </c>
      <c r="AJ335" s="343"/>
      <c r="AK335" s="1422"/>
      <c r="AL335" s="1422"/>
      <c r="AM335" s="343"/>
    </row>
    <row r="336" spans="1:39" ht="12.75" customHeight="1" thickBot="1" x14ac:dyDescent="0.3">
      <c r="A336" s="729" t="str">
        <f t="shared" si="243"/>
        <v/>
      </c>
      <c r="B336" s="698"/>
      <c r="C336" s="2906"/>
      <c r="D336" s="994">
        <v>10</v>
      </c>
      <c r="E336" s="1435" t="str">
        <f t="shared" si="252"/>
        <v/>
      </c>
      <c r="F336" s="1453" t="str">
        <f t="shared" si="253"/>
        <v>TJ</v>
      </c>
      <c r="G336" s="48"/>
      <c r="H336" s="117"/>
      <c r="I336" s="48"/>
      <c r="J336" s="117"/>
      <c r="K336" s="38"/>
      <c r="L336" s="38"/>
      <c r="M336" s="38"/>
      <c r="N336" s="38"/>
      <c r="O336" s="302"/>
      <c r="P336" s="158"/>
      <c r="Q336" s="694"/>
      <c r="R336" s="694"/>
      <c r="S336" s="694"/>
      <c r="T336" s="694"/>
      <c r="U336" s="694"/>
      <c r="V336" s="694"/>
      <c r="W336" s="694"/>
      <c r="X336" s="694"/>
      <c r="Y336" s="694"/>
      <c r="Z336" s="694"/>
      <c r="AA336" s="694"/>
      <c r="AB336" s="1436">
        <f t="shared" ref="AB336:AI336" si="264">AB318</f>
        <v>2</v>
      </c>
      <c r="AC336" s="1437">
        <f t="shared" si="264"/>
        <v>2</v>
      </c>
      <c r="AD336" s="1437">
        <f t="shared" si="264"/>
        <v>2</v>
      </c>
      <c r="AE336" s="1437">
        <f t="shared" si="264"/>
        <v>2</v>
      </c>
      <c r="AF336" s="1437">
        <f t="shared" si="264"/>
        <v>2</v>
      </c>
      <c r="AG336" s="1437">
        <f t="shared" si="264"/>
        <v>2</v>
      </c>
      <c r="AH336" s="1437">
        <f t="shared" si="264"/>
        <v>2</v>
      </c>
      <c r="AI336" s="1457">
        <f t="shared" si="264"/>
        <v>2</v>
      </c>
      <c r="AJ336" s="343"/>
      <c r="AK336" s="1422"/>
      <c r="AL336" s="1422"/>
      <c r="AM336" s="343"/>
    </row>
    <row r="337" spans="1:39" ht="12.75" customHeight="1" x14ac:dyDescent="0.25">
      <c r="A337" s="729" t="str">
        <f t="shared" si="243"/>
        <v/>
      </c>
      <c r="B337" s="698"/>
      <c r="C337" s="2906"/>
      <c r="D337" s="1293"/>
      <c r="E337" s="1458" t="str">
        <f>Translations!$B$1338</f>
        <v>Общо потребление</v>
      </c>
      <c r="F337" s="1453" t="str">
        <f t="shared" si="253"/>
        <v>TJ</v>
      </c>
      <c r="G337" s="1296" t="str">
        <f t="shared" ref="G337:N337" si="265">IF(COUNT(G327:G336)&gt;0,SUMIF($S274:$S283,TRUE,G327:G336),"")</f>
        <v/>
      </c>
      <c r="H337" s="1297" t="str">
        <f t="shared" si="265"/>
        <v/>
      </c>
      <c r="I337" s="1296" t="str">
        <f t="shared" si="265"/>
        <v/>
      </c>
      <c r="J337" s="1297" t="str">
        <f t="shared" si="265"/>
        <v/>
      </c>
      <c r="K337" s="1104" t="str">
        <f t="shared" si="265"/>
        <v/>
      </c>
      <c r="L337" s="1104" t="str">
        <f t="shared" si="265"/>
        <v/>
      </c>
      <c r="M337" s="1104" t="str">
        <f t="shared" si="265"/>
        <v/>
      </c>
      <c r="N337" s="1104" t="str">
        <f t="shared" si="265"/>
        <v/>
      </c>
      <c r="O337" s="302"/>
      <c r="P337" s="336"/>
      <c r="Q337" s="694"/>
      <c r="R337" s="694"/>
      <c r="S337" s="694"/>
      <c r="T337" s="694"/>
      <c r="U337" s="694"/>
      <c r="V337" s="694"/>
      <c r="W337" s="694"/>
      <c r="X337" s="694"/>
      <c r="Y337" s="694"/>
      <c r="Z337" s="694"/>
      <c r="AA337" s="694"/>
      <c r="AB337" s="729"/>
      <c r="AC337" s="694"/>
      <c r="AD337" s="694"/>
      <c r="AE337" s="343"/>
      <c r="AF337" s="343"/>
      <c r="AG337" s="343"/>
      <c r="AH337" s="343"/>
      <c r="AI337" s="343"/>
      <c r="AJ337" s="343"/>
      <c r="AK337" s="343"/>
      <c r="AL337" s="343"/>
      <c r="AM337" s="343"/>
    </row>
    <row r="338" spans="1:39" ht="5.15" customHeight="1" x14ac:dyDescent="0.25">
      <c r="A338" s="729" t="str">
        <f t="shared" si="243"/>
        <v/>
      </c>
      <c r="B338" s="698"/>
      <c r="C338" s="284"/>
      <c r="D338" s="284"/>
      <c r="E338" s="284"/>
      <c r="F338" s="284"/>
      <c r="G338" s="284"/>
      <c r="H338" s="284"/>
      <c r="I338" s="284"/>
      <c r="J338" s="284"/>
      <c r="K338" s="284"/>
      <c r="L338" s="284"/>
      <c r="M338" s="284"/>
      <c r="N338" s="284"/>
      <c r="O338" s="302"/>
      <c r="P338" s="336"/>
      <c r="Q338" s="694"/>
      <c r="R338" s="694"/>
      <c r="S338" s="694"/>
      <c r="T338" s="694"/>
      <c r="U338" s="694"/>
      <c r="V338" s="694"/>
      <c r="W338" s="694"/>
      <c r="X338" s="694"/>
      <c r="Y338" s="694"/>
      <c r="Z338" s="729"/>
      <c r="AA338" s="729"/>
      <c r="AB338" s="729"/>
      <c r="AC338" s="694"/>
      <c r="AD338" s="694"/>
      <c r="AE338" s="343"/>
      <c r="AF338" s="343"/>
      <c r="AG338" s="343"/>
      <c r="AH338" s="343"/>
      <c r="AI338" s="343"/>
      <c r="AJ338" s="343"/>
      <c r="AK338" s="343"/>
      <c r="AL338" s="343"/>
      <c r="AM338" s="343"/>
    </row>
    <row r="339" spans="1:39" ht="12.75" customHeight="1" x14ac:dyDescent="0.25">
      <c r="A339" s="729" t="str">
        <f t="shared" si="243"/>
        <v/>
      </c>
      <c r="B339" s="698"/>
      <c r="C339" s="284"/>
      <c r="D339" s="300" t="s">
        <v>1830</v>
      </c>
      <c r="E339" s="2226" t="str">
        <f>Translations!$B$1542</f>
        <v>Общо потребление на енергия по продукти за определяне на очакваните равнища на дейност</v>
      </c>
      <c r="F339" s="2249"/>
      <c r="G339" s="2249"/>
      <c r="H339" s="2249"/>
      <c r="I339" s="2249"/>
      <c r="J339" s="2249"/>
      <c r="K339" s="2249"/>
      <c r="L339" s="2249"/>
      <c r="M339" s="2249"/>
      <c r="N339" s="2249"/>
      <c r="O339" s="302"/>
      <c r="P339" s="295"/>
      <c r="Q339" s="694"/>
      <c r="R339" s="694"/>
      <c r="S339" s="694"/>
      <c r="T339" s="694"/>
      <c r="U339" s="694"/>
      <c r="V339" s="694"/>
      <c r="W339" s="694"/>
      <c r="X339" s="694"/>
      <c r="Y339" s="694"/>
      <c r="Z339" s="729"/>
      <c r="AA339" s="729"/>
      <c r="AB339" s="729"/>
      <c r="AC339" s="729"/>
      <c r="AD339" s="694"/>
      <c r="AE339" s="343"/>
      <c r="AF339" s="343"/>
      <c r="AG339" s="343"/>
      <c r="AH339" s="343"/>
      <c r="AI339" s="343"/>
      <c r="AJ339" s="343"/>
      <c r="AK339" s="343"/>
      <c r="AL339" s="343"/>
      <c r="AM339" s="343"/>
    </row>
    <row r="340" spans="1:39" ht="12.75" customHeight="1" x14ac:dyDescent="0.25">
      <c r="A340" s="729" t="str">
        <f t="shared" si="243"/>
        <v/>
      </c>
      <c r="B340" s="698"/>
      <c r="C340" s="284"/>
      <c r="D340" s="284"/>
      <c r="E340" s="2358" t="str">
        <f>Translations!$B$1543</f>
        <v>Това е сборът от вписванията по-горе b.2 + b.3. Следователно сумата може да бъде по-висока от 100 % от равнището на дейност.</v>
      </c>
      <c r="F340" s="2249"/>
      <c r="G340" s="2249"/>
      <c r="H340" s="2249"/>
      <c r="I340" s="2249"/>
      <c r="J340" s="2249"/>
      <c r="K340" s="2249"/>
      <c r="L340" s="2249"/>
      <c r="M340" s="2249"/>
      <c r="N340" s="2249"/>
      <c r="O340" s="302"/>
      <c r="P340" s="295"/>
      <c r="Q340" s="694"/>
      <c r="R340" s="694"/>
      <c r="S340" s="694"/>
      <c r="T340" s="694"/>
      <c r="U340" s="694"/>
      <c r="V340" s="694"/>
      <c r="W340" s="694"/>
      <c r="X340" s="694"/>
      <c r="Y340" s="694"/>
      <c r="Z340" s="729"/>
      <c r="AA340" s="729"/>
      <c r="AB340" s="729"/>
      <c r="AC340" s="729"/>
      <c r="AD340" s="694"/>
      <c r="AE340" s="343"/>
      <c r="AF340" s="343"/>
      <c r="AG340" s="343"/>
      <c r="AH340" s="343"/>
      <c r="AI340" s="343"/>
      <c r="AJ340" s="343"/>
      <c r="AK340" s="343"/>
      <c r="AL340" s="343"/>
      <c r="AM340" s="343"/>
    </row>
    <row r="341" spans="1:39" ht="5.15" customHeight="1" x14ac:dyDescent="0.25">
      <c r="A341" s="729" t="str">
        <f t="shared" si="243"/>
        <v/>
      </c>
      <c r="B341" s="698"/>
      <c r="C341" s="284"/>
      <c r="D341" s="284"/>
      <c r="E341" s="2358"/>
      <c r="F341" s="2249"/>
      <c r="G341" s="2249"/>
      <c r="H341" s="2249"/>
      <c r="I341" s="2249"/>
      <c r="J341" s="2249"/>
      <c r="K341" s="2249"/>
      <c r="L341" s="2249"/>
      <c r="M341" s="2249"/>
      <c r="N341" s="2249"/>
      <c r="O341" s="302"/>
      <c r="P341" s="295"/>
      <c r="Q341" s="694"/>
      <c r="R341" s="694"/>
      <c r="S341" s="694"/>
      <c r="T341" s="694"/>
      <c r="U341" s="694"/>
      <c r="V341" s="694"/>
      <c r="W341" s="694"/>
      <c r="X341" s="694"/>
      <c r="Y341" s="694"/>
      <c r="Z341" s="729"/>
      <c r="AA341" s="729"/>
      <c r="AB341" s="729"/>
      <c r="AC341" s="729"/>
      <c r="AD341" s="694"/>
      <c r="AE341" s="343"/>
      <c r="AF341" s="343"/>
      <c r="AG341" s="343"/>
      <c r="AH341" s="343"/>
      <c r="AI341" s="343"/>
      <c r="AJ341" s="343"/>
      <c r="AK341" s="343"/>
      <c r="AL341" s="343"/>
      <c r="AM341" s="343"/>
    </row>
    <row r="342" spans="1:39" s="1423" customFormat="1" ht="25.5" customHeight="1" thickBot="1" x14ac:dyDescent="0.35">
      <c r="A342" s="729" t="str">
        <f t="shared" si="243"/>
        <v/>
      </c>
      <c r="B342" s="1412"/>
      <c r="C342" s="1413"/>
      <c r="D342" s="1414"/>
      <c r="E342" s="1415" t="str">
        <f>Translations!$B$624</f>
        <v>Име на продукта или „топлофикационна мрежа“</v>
      </c>
      <c r="F342" s="1416" t="str">
        <f>EUconst_Unit</f>
        <v>Единица мярка</v>
      </c>
      <c r="G342" s="1419" t="str">
        <f>Translations!$B$1336</f>
        <v>Стойност в НМИ</v>
      </c>
      <c r="H342" s="1418">
        <f t="shared" ref="H342:N342" si="266">H$1840</f>
        <v>2024</v>
      </c>
      <c r="I342" s="1419">
        <f t="shared" si="266"/>
        <v>2025</v>
      </c>
      <c r="J342" s="1418">
        <f t="shared" si="266"/>
        <v>2026</v>
      </c>
      <c r="K342" s="1420">
        <f t="shared" si="266"/>
        <v>2027</v>
      </c>
      <c r="L342" s="1420">
        <f t="shared" si="266"/>
        <v>2028</v>
      </c>
      <c r="M342" s="1420">
        <f t="shared" si="266"/>
        <v>2029</v>
      </c>
      <c r="N342" s="1420">
        <f t="shared" si="266"/>
        <v>2030</v>
      </c>
      <c r="O342" s="302"/>
      <c r="P342" s="295"/>
      <c r="Q342" s="1421"/>
      <c r="R342" s="1421"/>
      <c r="S342" s="770" t="str">
        <f>Translations!$B$1341</f>
        <v>Базова стойност</v>
      </c>
      <c r="T342" s="1421">
        <f t="shared" ref="T342" si="267">H342</f>
        <v>2024</v>
      </c>
      <c r="U342" s="1421">
        <f t="shared" ref="U342" si="268">I342</f>
        <v>2025</v>
      </c>
      <c r="V342" s="1421">
        <f t="shared" ref="V342" si="269">J342</f>
        <v>2026</v>
      </c>
      <c r="W342" s="1421">
        <f t="shared" ref="W342" si="270">K342</f>
        <v>2027</v>
      </c>
      <c r="X342" s="1421">
        <f t="shared" ref="X342" si="271">L342</f>
        <v>2028</v>
      </c>
      <c r="Y342" s="1421">
        <f t="shared" ref="Y342" si="272">M342</f>
        <v>2029</v>
      </c>
      <c r="Z342" s="1421">
        <f t="shared" ref="Z342" si="273">N342</f>
        <v>2030</v>
      </c>
      <c r="AA342" s="1421"/>
      <c r="AB342" s="770" t="str">
        <f>Translations!$B$1284</f>
        <v>HAL</v>
      </c>
      <c r="AC342" s="1421">
        <f t="shared" ref="AC342" si="274">H342</f>
        <v>2024</v>
      </c>
      <c r="AD342" s="1421">
        <f t="shared" ref="AD342" si="275">I342</f>
        <v>2025</v>
      </c>
      <c r="AE342" s="1421">
        <f t="shared" ref="AE342" si="276">J342</f>
        <v>2026</v>
      </c>
      <c r="AF342" s="1421">
        <f t="shared" ref="AF342" si="277">K342</f>
        <v>2027</v>
      </c>
      <c r="AG342" s="1421">
        <f t="shared" ref="AG342" si="278">L342</f>
        <v>2028</v>
      </c>
      <c r="AH342" s="1422">
        <f t="shared" ref="AH342" si="279">M342</f>
        <v>2029</v>
      </c>
      <c r="AI342" s="1422">
        <f t="shared" ref="AI342" si="280">N342</f>
        <v>2030</v>
      </c>
      <c r="AJ342" s="1422"/>
      <c r="AK342" s="1422"/>
      <c r="AL342" s="1422"/>
      <c r="AM342" s="1422"/>
    </row>
    <row r="343" spans="1:39" ht="12.75" customHeight="1" x14ac:dyDescent="0.25">
      <c r="A343" s="729" t="str">
        <f t="shared" si="243"/>
        <v/>
      </c>
      <c r="B343" s="698"/>
      <c r="C343" s="2906" t="str">
        <f>Translations!$B$1544</f>
        <v>ОБЩО</v>
      </c>
      <c r="D343" s="981">
        <v>1</v>
      </c>
      <c r="E343" s="1424" t="str">
        <f t="shared" ref="E343:E352" si="281">E327</f>
        <v/>
      </c>
      <c r="F343" s="1259" t="str">
        <f t="shared" ref="F343:F354" si="282">EUconst_TJ</f>
        <v>TJ</v>
      </c>
      <c r="G343" s="1465" t="str">
        <f>IF(OR($E343="",AB343=0),"",SUM(G309,G327))</f>
        <v/>
      </c>
      <c r="H343" s="1466" t="str">
        <f t="shared" ref="H343:H352" si="283">IF(OR($E343="",AC343=0),"",SUM(H309,H327))</f>
        <v/>
      </c>
      <c r="I343" s="1467" t="str">
        <f t="shared" ref="I343:I352" si="284">IF(OR($E343="",AD343=0),"",SUM(I309,I327))</f>
        <v/>
      </c>
      <c r="J343" s="1466" t="str">
        <f t="shared" ref="J343:J352" si="285">IF(OR($E343="",AE343=0),"",SUM(J309,J327))</f>
        <v/>
      </c>
      <c r="K343" s="1126" t="str">
        <f t="shared" ref="K343:K352" si="286">IF(OR($E343="",AF343=0),"",SUM(K309,K327))</f>
        <v/>
      </c>
      <c r="L343" s="1126" t="str">
        <f t="shared" ref="L343:L352" si="287">IF(OR($E343="",AG343=0),"",SUM(L309,L327))</f>
        <v/>
      </c>
      <c r="M343" s="1126" t="str">
        <f t="shared" ref="M343:M352" si="288">IF(OR($E343="",AH343=0),"",SUM(M309,M327))</f>
        <v/>
      </c>
      <c r="N343" s="1126" t="str">
        <f t="shared" ref="N343:N352" si="289">IF(OR($E343="",AI343=0),"",SUM(N309,N327))</f>
        <v/>
      </c>
      <c r="O343" s="302"/>
      <c r="P343" s="158"/>
      <c r="Q343" s="694"/>
      <c r="R343" s="694"/>
      <c r="S343" s="1443" t="str">
        <f>IF($M236&lt;&gt;EUconst_Relevant,"",
IF($V236&gt;($J$1840-3),
              IF(INDEX(H290:N290,MATCH($V236,$T342:$Z342,0))=0,0,INDEX(H343:N343,MATCH($V236,$T342:$Z342,0))/INDEX(H290:N290,MATCH($V236,$T342:$Z342,0))),
                             IF(ISNUMBER(G290),
                                            IF(OR(G290=0,$S274=FALSE),0,G343/G290),"")))</f>
        <v/>
      </c>
      <c r="T343" s="1444" t="str">
        <f>IF($E343="","",IF(IFERROR(SUM($S343)=0,SUM(H343)),SUM(H343),SUM(H290)*SUM($S343))*IF(SUM(H343)=0,1,SUM(H309)/SUM(H343)))</f>
        <v/>
      </c>
      <c r="U343" s="1444" t="str">
        <f t="shared" ref="U343" si="290">IF($E343="","",IF(IFERROR(SUM($S343)=0,SUM(I343)),SUM(I343),SUM(I290)*SUM($S343))*IF(SUM(I343)=0,1,SUM(I309)/SUM(I343)))</f>
        <v/>
      </c>
      <c r="V343" s="1444" t="str">
        <f t="shared" ref="V343" si="291">IF($E343="","",IF(IFERROR(SUM($S343)=0,SUM(J343)),SUM(J343),SUM(J290)*SUM($S343))*IF(SUM(J343)=0,1,SUM(J309)/SUM(J343)))</f>
        <v/>
      </c>
      <c r="W343" s="1444" t="str">
        <f t="shared" ref="W343" si="292">IF($E343="","",IF(IFERROR(SUM($S343)=0,SUM(K343)),SUM(K343),SUM(K290)*SUM($S343))*IF(SUM(K343)=0,1,SUM(K309)/SUM(K343)))</f>
        <v/>
      </c>
      <c r="X343" s="1444" t="str">
        <f t="shared" ref="X343" si="293">IF($E343="","",IF(IFERROR(SUM($S343)=0,SUM(L343)),SUM(L343),SUM(L290)*SUM($S343))*IF(SUM(L343)=0,1,SUM(L309)/SUM(L343)))</f>
        <v/>
      </c>
      <c r="Y343" s="1444" t="str">
        <f t="shared" ref="Y343" si="294">IF($E343="","",IF(IFERROR(SUM($S343)=0,SUM(M343)),SUM(M343),SUM(M290)*SUM($S343))*IF(SUM(M343)=0,1,SUM(M309)/SUM(M343)))</f>
        <v/>
      </c>
      <c r="Z343" s="1445" t="str">
        <f t="shared" ref="Z343" si="295">IF($E343="","",IF(IFERROR(SUM($S343)=0,SUM(N343)),SUM(N343),SUM(N290)*SUM($S343))*IF(SUM(N343)=0,1,SUM(N309)/SUM(N343)))</f>
        <v/>
      </c>
      <c r="AA343" s="1446" t="s">
        <v>1757</v>
      </c>
      <c r="AB343" s="1447">
        <f t="shared" ref="AB343:AI343" si="296">AB327</f>
        <v>2</v>
      </c>
      <c r="AC343" s="1427">
        <f t="shared" si="296"/>
        <v>2</v>
      </c>
      <c r="AD343" s="1427">
        <f t="shared" si="296"/>
        <v>2</v>
      </c>
      <c r="AE343" s="1427">
        <f t="shared" si="296"/>
        <v>2</v>
      </c>
      <c r="AF343" s="1427">
        <f t="shared" si="296"/>
        <v>2</v>
      </c>
      <c r="AG343" s="1427">
        <f t="shared" si="296"/>
        <v>2</v>
      </c>
      <c r="AH343" s="1428">
        <f t="shared" si="296"/>
        <v>2</v>
      </c>
      <c r="AI343" s="1429">
        <f t="shared" si="296"/>
        <v>2</v>
      </c>
      <c r="AJ343" s="343"/>
      <c r="AK343" s="1174" t="s">
        <v>2039</v>
      </c>
      <c r="AL343" s="1176" t="str">
        <f>IF(AND(CNTR_ExistSubInstEntries,COUNTIFS(AB343:AI343,2,G343:N343,"")&gt;0),EUconst_Error&amp;"FB"&amp;Q272,"")</f>
        <v/>
      </c>
      <c r="AM343" s="343"/>
    </row>
    <row r="344" spans="1:39" ht="12.75" customHeight="1" x14ac:dyDescent="0.25">
      <c r="A344" s="729" t="str">
        <f t="shared" si="243"/>
        <v/>
      </c>
      <c r="B344" s="698"/>
      <c r="C344" s="2906"/>
      <c r="D344" s="990">
        <v>2</v>
      </c>
      <c r="E344" s="1430" t="str">
        <f t="shared" si="281"/>
        <v/>
      </c>
      <c r="F344" s="1448" t="str">
        <f t="shared" si="282"/>
        <v>TJ</v>
      </c>
      <c r="G344" s="1468" t="str">
        <f t="shared" ref="G344:G352" si="297">IF(OR($E344="",AB344=0),"",SUM(G310,G328))</f>
        <v/>
      </c>
      <c r="H344" s="1469" t="str">
        <f t="shared" si="283"/>
        <v/>
      </c>
      <c r="I344" s="1470" t="str">
        <f t="shared" si="284"/>
        <v/>
      </c>
      <c r="J344" s="1469" t="str">
        <f t="shared" si="285"/>
        <v/>
      </c>
      <c r="K344" s="1127" t="str">
        <f t="shared" si="286"/>
        <v/>
      </c>
      <c r="L344" s="1127" t="str">
        <f t="shared" si="287"/>
        <v/>
      </c>
      <c r="M344" s="1127" t="str">
        <f t="shared" si="288"/>
        <v/>
      </c>
      <c r="N344" s="1127" t="str">
        <f t="shared" si="289"/>
        <v/>
      </c>
      <c r="O344" s="302"/>
      <c r="P344" s="158"/>
      <c r="Q344" s="694"/>
      <c r="R344" s="694"/>
      <c r="S344" s="1449" t="str">
        <f>IF($M236&lt;&gt;EUconst_Relevant,"",
IF($V236&gt;($J$1840-3),
              IF(INDEX(H291:N291,MATCH($V236,$T342:$Z342,0))=0,0,INDEX(H344:N344,MATCH($V236,$T342:$Z342,0))/INDEX(H291:N291,MATCH($V236,$T342:$Z342,0))),
                             IF(ISNUMBER(G291),
                                            IF(OR(G291=0,$S275=FALSE),0,G344/G291),"")))</f>
        <v/>
      </c>
      <c r="T344" s="1450" t="str">
        <f t="shared" ref="T344" si="298">IF($E344="","",IF(IFERROR(SUM($S344)=0,SUM(H344)),SUM(H344),SUM(H291)*SUM($S344))*IF(SUM(H344)=0,1,SUM(H310)/SUM(H344)))</f>
        <v/>
      </c>
      <c r="U344" s="1450" t="str">
        <f t="shared" ref="U344" si="299">IF($E344="","",IF(IFERROR(SUM($S344)=0,SUM(I344)),SUM(I344),SUM(I291)*SUM($S344))*IF(SUM(I344)=0,1,SUM(I310)/SUM(I344)))</f>
        <v/>
      </c>
      <c r="V344" s="1450" t="str">
        <f t="shared" ref="V344" si="300">IF($E344="","",IF(IFERROR(SUM($S344)=0,SUM(J344)),SUM(J344),SUM(J291)*SUM($S344))*IF(SUM(J344)=0,1,SUM(J310)/SUM(J344)))</f>
        <v/>
      </c>
      <c r="W344" s="1450" t="str">
        <f t="shared" ref="W344" si="301">IF($E344="","",IF(IFERROR(SUM($S344)=0,SUM(K344)),SUM(K344),SUM(K291)*SUM($S344))*IF(SUM(K344)=0,1,SUM(K310)/SUM(K344)))</f>
        <v/>
      </c>
      <c r="X344" s="1450" t="str">
        <f t="shared" ref="X344" si="302">IF($E344="","",IF(IFERROR(SUM($S344)=0,SUM(L344)),SUM(L344),SUM(L291)*SUM($S344))*IF(SUM(L344)=0,1,SUM(L310)/SUM(L344)))</f>
        <v/>
      </c>
      <c r="Y344" s="1450" t="str">
        <f t="shared" ref="Y344" si="303">IF($E344="","",IF(IFERROR(SUM($S344)=0,SUM(M344)),SUM(M344),SUM(M291)*SUM($S344))*IF(SUM(M344)=0,1,SUM(M310)/SUM(M344)))</f>
        <v/>
      </c>
      <c r="Z344" s="1451" t="str">
        <f t="shared" ref="Z344" si="304">IF($E344="","",IF(IFERROR(SUM($S344)=0,SUM(N344)),SUM(N344),SUM(N291)*SUM($S344))*IF(SUM(N344)=0,1,SUM(N310)/SUM(N344)))</f>
        <v/>
      </c>
      <c r="AA344" s="694"/>
      <c r="AB344" s="1431">
        <f t="shared" ref="AB344:AI344" si="305">AB328</f>
        <v>2</v>
      </c>
      <c r="AC344" s="1432">
        <f t="shared" si="305"/>
        <v>2</v>
      </c>
      <c r="AD344" s="1432">
        <f t="shared" si="305"/>
        <v>2</v>
      </c>
      <c r="AE344" s="1432">
        <f t="shared" si="305"/>
        <v>2</v>
      </c>
      <c r="AF344" s="1432">
        <f t="shared" si="305"/>
        <v>2</v>
      </c>
      <c r="AG344" s="1432">
        <f t="shared" si="305"/>
        <v>2</v>
      </c>
      <c r="AH344" s="1432">
        <f t="shared" si="305"/>
        <v>2</v>
      </c>
      <c r="AI344" s="1452">
        <f t="shared" si="305"/>
        <v>2</v>
      </c>
      <c r="AJ344" s="343"/>
      <c r="AK344" s="1174" t="s">
        <v>2039</v>
      </c>
      <c r="AL344" s="1176" t="str">
        <f>IF(AND(CNTR_ExistSubInstEntries,COUNTIFS(AB344:AI344,2,G344:N344,"")&gt;0),EUconst_Error&amp;"FB"&amp;Q272,"")</f>
        <v/>
      </c>
      <c r="AM344" s="343"/>
    </row>
    <row r="345" spans="1:39" ht="12.75" customHeight="1" x14ac:dyDescent="0.25">
      <c r="A345" s="729" t="str">
        <f t="shared" si="243"/>
        <v/>
      </c>
      <c r="B345" s="698"/>
      <c r="C345" s="2906"/>
      <c r="D345" s="990">
        <v>3</v>
      </c>
      <c r="E345" s="1430" t="str">
        <f t="shared" si="281"/>
        <v/>
      </c>
      <c r="F345" s="1448" t="str">
        <f t="shared" si="282"/>
        <v>TJ</v>
      </c>
      <c r="G345" s="1470" t="str">
        <f t="shared" si="297"/>
        <v/>
      </c>
      <c r="H345" s="1469" t="str">
        <f t="shared" si="283"/>
        <v/>
      </c>
      <c r="I345" s="1470" t="str">
        <f t="shared" si="284"/>
        <v/>
      </c>
      <c r="J345" s="1469" t="str">
        <f t="shared" si="285"/>
        <v/>
      </c>
      <c r="K345" s="1127" t="str">
        <f t="shared" si="286"/>
        <v/>
      </c>
      <c r="L345" s="1127" t="str">
        <f t="shared" si="287"/>
        <v/>
      </c>
      <c r="M345" s="1127" t="str">
        <f t="shared" si="288"/>
        <v/>
      </c>
      <c r="N345" s="1127" t="str">
        <f t="shared" si="289"/>
        <v/>
      </c>
      <c r="O345" s="302"/>
      <c r="P345" s="158"/>
      <c r="Q345" s="694"/>
      <c r="R345" s="694"/>
      <c r="S345" s="1449" t="str">
        <f>IF($M236&lt;&gt;EUconst_Relevant,"",
IF($V236&gt;($J$1840-3),
              IF(INDEX(H292:N292,MATCH($V236,$T342:$Z342,0))=0,0,INDEX(H345:N345,MATCH($V236,$T342:$Z342,0))/INDEX(H292:N292,MATCH($V236,$T342:$Z342,0))),
                             IF(ISNUMBER(G292),
                                            IF(OR(G292=0,$S276=FALSE),0,G345/G292),"")))</f>
        <v/>
      </c>
      <c r="T345" s="1450" t="str">
        <f t="shared" ref="T345" si="306">IF($E345="","",IF(IFERROR(SUM($S345)=0,SUM(H345)),SUM(H345),SUM(H292)*SUM($S345))*IF(SUM(H345)=0,1,SUM(H311)/SUM(H345)))</f>
        <v/>
      </c>
      <c r="U345" s="1450" t="str">
        <f t="shared" ref="U345" si="307">IF($E345="","",IF(IFERROR(SUM($S345)=0,SUM(I345)),SUM(I345),SUM(I292)*SUM($S345))*IF(SUM(I345)=0,1,SUM(I311)/SUM(I345)))</f>
        <v/>
      </c>
      <c r="V345" s="1450" t="str">
        <f t="shared" ref="V345" si="308">IF($E345="","",IF(IFERROR(SUM($S345)=0,SUM(J345)),SUM(J345),SUM(J292)*SUM($S345))*IF(SUM(J345)=0,1,SUM(J311)/SUM(J345)))</f>
        <v/>
      </c>
      <c r="W345" s="1450" t="str">
        <f t="shared" ref="W345" si="309">IF($E345="","",IF(IFERROR(SUM($S345)=0,SUM(K345)),SUM(K345),SUM(K292)*SUM($S345))*IF(SUM(K345)=0,1,SUM(K311)/SUM(K345)))</f>
        <v/>
      </c>
      <c r="X345" s="1450" t="str">
        <f t="shared" ref="X345" si="310">IF($E345="","",IF(IFERROR(SUM($S345)=0,SUM(L345)),SUM(L345),SUM(L292)*SUM($S345))*IF(SUM(L345)=0,1,SUM(L311)/SUM(L345)))</f>
        <v/>
      </c>
      <c r="Y345" s="1450" t="str">
        <f t="shared" ref="Y345" si="311">IF($E345="","",IF(IFERROR(SUM($S345)=0,SUM(M345)),SUM(M345),SUM(M292)*SUM($S345))*IF(SUM(M345)=0,1,SUM(M311)/SUM(M345)))</f>
        <v/>
      </c>
      <c r="Z345" s="1451" t="str">
        <f t="shared" ref="Z345" si="312">IF($E345="","",IF(IFERROR(SUM($S345)=0,SUM(N345)),SUM(N345),SUM(N292)*SUM($S345))*IF(SUM(N345)=0,1,SUM(N311)/SUM(N345)))</f>
        <v/>
      </c>
      <c r="AA345" s="694"/>
      <c r="AB345" s="1431">
        <f t="shared" ref="AB345:AI345" si="313">AB329</f>
        <v>2</v>
      </c>
      <c r="AC345" s="1432">
        <f t="shared" si="313"/>
        <v>2</v>
      </c>
      <c r="AD345" s="1432">
        <f t="shared" si="313"/>
        <v>2</v>
      </c>
      <c r="AE345" s="1432">
        <f t="shared" si="313"/>
        <v>2</v>
      </c>
      <c r="AF345" s="1432">
        <f t="shared" si="313"/>
        <v>2</v>
      </c>
      <c r="AG345" s="1432">
        <f t="shared" si="313"/>
        <v>2</v>
      </c>
      <c r="AH345" s="1432">
        <f t="shared" si="313"/>
        <v>2</v>
      </c>
      <c r="AI345" s="1452">
        <f t="shared" si="313"/>
        <v>2</v>
      </c>
      <c r="AJ345" s="343"/>
      <c r="AK345" s="1174" t="s">
        <v>2039</v>
      </c>
      <c r="AL345" s="1176" t="str">
        <f>IF(AND(CNTR_ExistSubInstEntries,COUNTIFS(AB345:AI345,2,G345:N345,"")&gt;0),EUconst_Error&amp;"FB"&amp;Q272,"")</f>
        <v/>
      </c>
      <c r="AM345" s="343"/>
    </row>
    <row r="346" spans="1:39" ht="12.75" customHeight="1" x14ac:dyDescent="0.25">
      <c r="A346" s="729" t="str">
        <f t="shared" si="243"/>
        <v/>
      </c>
      <c r="B346" s="698"/>
      <c r="C346" s="2906"/>
      <c r="D346" s="990">
        <v>4</v>
      </c>
      <c r="E346" s="1430" t="str">
        <f t="shared" si="281"/>
        <v/>
      </c>
      <c r="F346" s="1448" t="str">
        <f t="shared" si="282"/>
        <v>TJ</v>
      </c>
      <c r="G346" s="1470" t="str">
        <f t="shared" si="297"/>
        <v/>
      </c>
      <c r="H346" s="1469" t="str">
        <f t="shared" si="283"/>
        <v/>
      </c>
      <c r="I346" s="1470" t="str">
        <f t="shared" si="284"/>
        <v/>
      </c>
      <c r="J346" s="1469" t="str">
        <f t="shared" si="285"/>
        <v/>
      </c>
      <c r="K346" s="1127" t="str">
        <f t="shared" si="286"/>
        <v/>
      </c>
      <c r="L346" s="1127" t="str">
        <f t="shared" si="287"/>
        <v/>
      </c>
      <c r="M346" s="1127" t="str">
        <f t="shared" si="288"/>
        <v/>
      </c>
      <c r="N346" s="1127" t="str">
        <f t="shared" si="289"/>
        <v/>
      </c>
      <c r="O346" s="302"/>
      <c r="P346" s="158"/>
      <c r="Q346" s="694"/>
      <c r="R346" s="694"/>
      <c r="S346" s="1449" t="str">
        <f>IF($M236&lt;&gt;EUconst_Relevant,"",
IF($V236&gt;($J$1840-3),
              IF(INDEX(H293:N293,MATCH($V236,$T342:$Z342,0))=0,0,INDEX(H346:N346,MATCH($V236,$T342:$Z342,0))/INDEX(H293:N293,MATCH($V236,$T342:$Z342,0))),
                             IF(ISNUMBER(G293),
                                            IF(OR(G293=0,$S277=FALSE),0,G346/G293),"")))</f>
        <v/>
      </c>
      <c r="T346" s="1450" t="str">
        <f t="shared" ref="T346" si="314">IF($E346="","",IF(IFERROR(SUM($S346)=0,SUM(H346)),SUM(H346),SUM(H293)*SUM($S346))*IF(SUM(H346)=0,1,SUM(H312)/SUM(H346)))</f>
        <v/>
      </c>
      <c r="U346" s="1450" t="str">
        <f t="shared" ref="U346" si="315">IF($E346="","",IF(IFERROR(SUM($S346)=0,SUM(I346)),SUM(I346),SUM(I293)*SUM($S346))*IF(SUM(I346)=0,1,SUM(I312)/SUM(I346)))</f>
        <v/>
      </c>
      <c r="V346" s="1450" t="str">
        <f t="shared" ref="V346" si="316">IF($E346="","",IF(IFERROR(SUM($S346)=0,SUM(J346)),SUM(J346),SUM(J293)*SUM($S346))*IF(SUM(J346)=0,1,SUM(J312)/SUM(J346)))</f>
        <v/>
      </c>
      <c r="W346" s="1450" t="str">
        <f t="shared" ref="W346" si="317">IF($E346="","",IF(IFERROR(SUM($S346)=0,SUM(K346)),SUM(K346),SUM(K293)*SUM($S346))*IF(SUM(K346)=0,1,SUM(K312)/SUM(K346)))</f>
        <v/>
      </c>
      <c r="X346" s="1450" t="str">
        <f t="shared" ref="X346" si="318">IF($E346="","",IF(IFERROR(SUM($S346)=0,SUM(L346)),SUM(L346),SUM(L293)*SUM($S346))*IF(SUM(L346)=0,1,SUM(L312)/SUM(L346)))</f>
        <v/>
      </c>
      <c r="Y346" s="1450" t="str">
        <f t="shared" ref="Y346" si="319">IF($E346="","",IF(IFERROR(SUM($S346)=0,SUM(M346)),SUM(M346),SUM(M293)*SUM($S346))*IF(SUM(M346)=0,1,SUM(M312)/SUM(M346)))</f>
        <v/>
      </c>
      <c r="Z346" s="1451" t="str">
        <f t="shared" ref="Z346" si="320">IF($E346="","",IF(IFERROR(SUM($S346)=0,SUM(N346)),SUM(N346),SUM(N293)*SUM($S346))*IF(SUM(N346)=0,1,SUM(N312)/SUM(N346)))</f>
        <v/>
      </c>
      <c r="AA346" s="694"/>
      <c r="AB346" s="1431">
        <f t="shared" ref="AB346:AI346" si="321">AB330</f>
        <v>2</v>
      </c>
      <c r="AC346" s="1432">
        <f t="shared" si="321"/>
        <v>2</v>
      </c>
      <c r="AD346" s="1432">
        <f t="shared" si="321"/>
        <v>2</v>
      </c>
      <c r="AE346" s="1432">
        <f t="shared" si="321"/>
        <v>2</v>
      </c>
      <c r="AF346" s="1432">
        <f t="shared" si="321"/>
        <v>2</v>
      </c>
      <c r="AG346" s="1432">
        <f t="shared" si="321"/>
        <v>2</v>
      </c>
      <c r="AH346" s="1432">
        <f t="shared" si="321"/>
        <v>2</v>
      </c>
      <c r="AI346" s="1452">
        <f t="shared" si="321"/>
        <v>2</v>
      </c>
      <c r="AJ346" s="343"/>
      <c r="AK346" s="1174" t="s">
        <v>2039</v>
      </c>
      <c r="AL346" s="1176" t="str">
        <f>IF(AND(CNTR_ExistSubInstEntries,COUNTIFS(AB346:AI346,2,G346:N346,"")&gt;0),EUconst_Error&amp;"FB"&amp;Q272,"")</f>
        <v/>
      </c>
      <c r="AM346" s="343"/>
    </row>
    <row r="347" spans="1:39" ht="12.75" customHeight="1" x14ac:dyDescent="0.25">
      <c r="A347" s="729" t="str">
        <f t="shared" si="243"/>
        <v/>
      </c>
      <c r="B347" s="698"/>
      <c r="C347" s="2906"/>
      <c r="D347" s="990">
        <v>5</v>
      </c>
      <c r="E347" s="1430" t="str">
        <f t="shared" si="281"/>
        <v/>
      </c>
      <c r="F347" s="1448" t="str">
        <f t="shared" si="282"/>
        <v>TJ</v>
      </c>
      <c r="G347" s="1470" t="str">
        <f t="shared" si="297"/>
        <v/>
      </c>
      <c r="H347" s="1469" t="str">
        <f t="shared" si="283"/>
        <v/>
      </c>
      <c r="I347" s="1470" t="str">
        <f t="shared" si="284"/>
        <v/>
      </c>
      <c r="J347" s="1469" t="str">
        <f t="shared" si="285"/>
        <v/>
      </c>
      <c r="K347" s="1127" t="str">
        <f t="shared" si="286"/>
        <v/>
      </c>
      <c r="L347" s="1127" t="str">
        <f t="shared" si="287"/>
        <v/>
      </c>
      <c r="M347" s="1127" t="str">
        <f t="shared" si="288"/>
        <v/>
      </c>
      <c r="N347" s="1127" t="str">
        <f t="shared" si="289"/>
        <v/>
      </c>
      <c r="O347" s="302"/>
      <c r="P347" s="158"/>
      <c r="Q347" s="694"/>
      <c r="R347" s="694"/>
      <c r="S347" s="1449" t="str">
        <f>IF($M236&lt;&gt;EUconst_Relevant,"",
IF($V236&gt;($J$1840-3),
              IF(INDEX(H294:N294,MATCH($V236,$T342:$Z342,0))=0,0,INDEX(H347:N347,MATCH($V236,$T342:$Z342,0))/INDEX(H294:N294,MATCH($V236,$T342:$Z342,0))),
                             IF(ISNUMBER(G294),
                                            IF(OR(G294=0,$S278=FALSE),0,G347/G294),"")))</f>
        <v/>
      </c>
      <c r="T347" s="1450" t="str">
        <f t="shared" ref="T347" si="322">IF($E347="","",IF(IFERROR(SUM($S347)=0,SUM(H347)),SUM(H347),SUM(H294)*SUM($S347))*IF(SUM(H347)=0,1,SUM(H313)/SUM(H347)))</f>
        <v/>
      </c>
      <c r="U347" s="1450" t="str">
        <f t="shared" ref="U347" si="323">IF($E347="","",IF(IFERROR(SUM($S347)=0,SUM(I347)),SUM(I347),SUM(I294)*SUM($S347))*IF(SUM(I347)=0,1,SUM(I313)/SUM(I347)))</f>
        <v/>
      </c>
      <c r="V347" s="1450" t="str">
        <f t="shared" ref="V347" si="324">IF($E347="","",IF(IFERROR(SUM($S347)=0,SUM(J347)),SUM(J347),SUM(J294)*SUM($S347))*IF(SUM(J347)=0,1,SUM(J313)/SUM(J347)))</f>
        <v/>
      </c>
      <c r="W347" s="1450" t="str">
        <f t="shared" ref="W347" si="325">IF($E347="","",IF(IFERROR(SUM($S347)=0,SUM(K347)),SUM(K347),SUM(K294)*SUM($S347))*IF(SUM(K347)=0,1,SUM(K313)/SUM(K347)))</f>
        <v/>
      </c>
      <c r="X347" s="1450" t="str">
        <f t="shared" ref="X347" si="326">IF($E347="","",IF(IFERROR(SUM($S347)=0,SUM(L347)),SUM(L347),SUM(L294)*SUM($S347))*IF(SUM(L347)=0,1,SUM(L313)/SUM(L347)))</f>
        <v/>
      </c>
      <c r="Y347" s="1450" t="str">
        <f t="shared" ref="Y347" si="327">IF($E347="","",IF(IFERROR(SUM($S347)=0,SUM(M347)),SUM(M347),SUM(M294)*SUM($S347))*IF(SUM(M347)=0,1,SUM(M313)/SUM(M347)))</f>
        <v/>
      </c>
      <c r="Z347" s="1451" t="str">
        <f t="shared" ref="Z347" si="328">IF($E347="","",IF(IFERROR(SUM($S347)=0,SUM(N347)),SUM(N347),SUM(N294)*SUM($S347))*IF(SUM(N347)=0,1,SUM(N313)/SUM(N347)))</f>
        <v/>
      </c>
      <c r="AA347" s="694"/>
      <c r="AB347" s="1431">
        <f t="shared" ref="AB347:AI347" si="329">AB331</f>
        <v>2</v>
      </c>
      <c r="AC347" s="1432">
        <f t="shared" si="329"/>
        <v>2</v>
      </c>
      <c r="AD347" s="1432">
        <f t="shared" si="329"/>
        <v>2</v>
      </c>
      <c r="AE347" s="1432">
        <f t="shared" si="329"/>
        <v>2</v>
      </c>
      <c r="AF347" s="1432">
        <f t="shared" si="329"/>
        <v>2</v>
      </c>
      <c r="AG347" s="1432">
        <f t="shared" si="329"/>
        <v>2</v>
      </c>
      <c r="AH347" s="1432">
        <f t="shared" si="329"/>
        <v>2</v>
      </c>
      <c r="AI347" s="1452">
        <f t="shared" si="329"/>
        <v>2</v>
      </c>
      <c r="AJ347" s="343"/>
      <c r="AK347" s="1174" t="s">
        <v>2039</v>
      </c>
      <c r="AL347" s="1176" t="str">
        <f>IF(AND(CNTR_ExistSubInstEntries,COUNTIFS(AB347:AI347,2,G347:N347,"")&gt;0),EUconst_Error&amp;"FB"&amp;Q272,"")</f>
        <v/>
      </c>
      <c r="AM347" s="343"/>
    </row>
    <row r="348" spans="1:39" ht="12.75" customHeight="1" x14ac:dyDescent="0.25">
      <c r="A348" s="729" t="str">
        <f t="shared" si="243"/>
        <v/>
      </c>
      <c r="B348" s="698"/>
      <c r="C348" s="2906"/>
      <c r="D348" s="990">
        <v>6</v>
      </c>
      <c r="E348" s="1430" t="str">
        <f t="shared" si="281"/>
        <v/>
      </c>
      <c r="F348" s="1448" t="str">
        <f t="shared" si="282"/>
        <v>TJ</v>
      </c>
      <c r="G348" s="1470" t="str">
        <f t="shared" si="297"/>
        <v/>
      </c>
      <c r="H348" s="1469" t="str">
        <f t="shared" si="283"/>
        <v/>
      </c>
      <c r="I348" s="1470" t="str">
        <f t="shared" si="284"/>
        <v/>
      </c>
      <c r="J348" s="1469" t="str">
        <f t="shared" si="285"/>
        <v/>
      </c>
      <c r="K348" s="1127" t="str">
        <f t="shared" si="286"/>
        <v/>
      </c>
      <c r="L348" s="1127" t="str">
        <f t="shared" si="287"/>
        <v/>
      </c>
      <c r="M348" s="1127" t="str">
        <f t="shared" si="288"/>
        <v/>
      </c>
      <c r="N348" s="1127" t="str">
        <f t="shared" si="289"/>
        <v/>
      </c>
      <c r="O348" s="302"/>
      <c r="P348" s="158"/>
      <c r="Q348" s="694"/>
      <c r="R348" s="694"/>
      <c r="S348" s="1449" t="str">
        <f>IF($M236&lt;&gt;EUconst_Relevant,"",
IF($V236&gt;($J$1840-3),
              IF(INDEX(H295:N295,MATCH($V236,$T342:$Z342,0))=0,0,INDEX(H348:N348,MATCH($V236,$T342:$Z342,0))/INDEX(H295:N295,MATCH($V236,$T342:$Z342,0))),
                             IF(ISNUMBER(G295),
                                            IF(OR(G295=0,$S279=FALSE),0,G348/G295),"")))</f>
        <v/>
      </c>
      <c r="T348" s="1450" t="str">
        <f t="shared" ref="T348" si="330">IF($E348="","",IF(IFERROR(SUM($S348)=0,SUM(H348)),SUM(H348),SUM(H295)*SUM($S348))*IF(SUM(H348)=0,1,SUM(H314)/SUM(H348)))</f>
        <v/>
      </c>
      <c r="U348" s="1450" t="str">
        <f t="shared" ref="U348" si="331">IF($E348="","",IF(IFERROR(SUM($S348)=0,SUM(I348)),SUM(I348),SUM(I295)*SUM($S348))*IF(SUM(I348)=0,1,SUM(I314)/SUM(I348)))</f>
        <v/>
      </c>
      <c r="V348" s="1450" t="str">
        <f t="shared" ref="V348" si="332">IF($E348="","",IF(IFERROR(SUM($S348)=0,SUM(J348)),SUM(J348),SUM(J295)*SUM($S348))*IF(SUM(J348)=0,1,SUM(J314)/SUM(J348)))</f>
        <v/>
      </c>
      <c r="W348" s="1450" t="str">
        <f t="shared" ref="W348" si="333">IF($E348="","",IF(IFERROR(SUM($S348)=0,SUM(K348)),SUM(K348),SUM(K295)*SUM($S348))*IF(SUM(K348)=0,1,SUM(K314)/SUM(K348)))</f>
        <v/>
      </c>
      <c r="X348" s="1450" t="str">
        <f t="shared" ref="X348" si="334">IF($E348="","",IF(IFERROR(SUM($S348)=0,SUM(L348)),SUM(L348),SUM(L295)*SUM($S348))*IF(SUM(L348)=0,1,SUM(L314)/SUM(L348)))</f>
        <v/>
      </c>
      <c r="Y348" s="1450" t="str">
        <f t="shared" ref="Y348" si="335">IF($E348="","",IF(IFERROR(SUM($S348)=0,SUM(M348)),SUM(M348),SUM(M295)*SUM($S348))*IF(SUM(M348)=0,1,SUM(M314)/SUM(M348)))</f>
        <v/>
      </c>
      <c r="Z348" s="1451" t="str">
        <f t="shared" ref="Z348" si="336">IF($E348="","",IF(IFERROR(SUM($S348)=0,SUM(N348)),SUM(N348),SUM(N295)*SUM($S348))*IF(SUM(N348)=0,1,SUM(N314)/SUM(N348)))</f>
        <v/>
      </c>
      <c r="AA348" s="694"/>
      <c r="AB348" s="1431">
        <f t="shared" ref="AB348:AI348" si="337">AB332</f>
        <v>2</v>
      </c>
      <c r="AC348" s="1432">
        <f t="shared" si="337"/>
        <v>2</v>
      </c>
      <c r="AD348" s="1432">
        <f t="shared" si="337"/>
        <v>2</v>
      </c>
      <c r="AE348" s="1432">
        <f t="shared" si="337"/>
        <v>2</v>
      </c>
      <c r="AF348" s="1432">
        <f t="shared" si="337"/>
        <v>2</v>
      </c>
      <c r="AG348" s="1432">
        <f t="shared" si="337"/>
        <v>2</v>
      </c>
      <c r="AH348" s="1432">
        <f t="shared" si="337"/>
        <v>2</v>
      </c>
      <c r="AI348" s="1452">
        <f t="shared" si="337"/>
        <v>2</v>
      </c>
      <c r="AJ348" s="343"/>
      <c r="AK348" s="1174" t="s">
        <v>2039</v>
      </c>
      <c r="AL348" s="1176" t="str">
        <f>IF(AND(CNTR_ExistSubInstEntries,COUNTIFS(AB348:AI348,2,G348:N348,"")&gt;0),EUconst_Error&amp;"FB"&amp;Q272,"")</f>
        <v/>
      </c>
      <c r="AM348" s="343"/>
    </row>
    <row r="349" spans="1:39" ht="12.75" customHeight="1" x14ac:dyDescent="0.25">
      <c r="A349" s="729" t="str">
        <f t="shared" si="243"/>
        <v/>
      </c>
      <c r="B349" s="698"/>
      <c r="C349" s="2906"/>
      <c r="D349" s="990">
        <v>7</v>
      </c>
      <c r="E349" s="1430" t="str">
        <f t="shared" si="281"/>
        <v/>
      </c>
      <c r="F349" s="1448" t="str">
        <f t="shared" si="282"/>
        <v>TJ</v>
      </c>
      <c r="G349" s="1470" t="str">
        <f t="shared" si="297"/>
        <v/>
      </c>
      <c r="H349" s="1469" t="str">
        <f t="shared" si="283"/>
        <v/>
      </c>
      <c r="I349" s="1470" t="str">
        <f t="shared" si="284"/>
        <v/>
      </c>
      <c r="J349" s="1469" t="str">
        <f t="shared" si="285"/>
        <v/>
      </c>
      <c r="K349" s="1127" t="str">
        <f t="shared" si="286"/>
        <v/>
      </c>
      <c r="L349" s="1127" t="str">
        <f t="shared" si="287"/>
        <v/>
      </c>
      <c r="M349" s="1127" t="str">
        <f t="shared" si="288"/>
        <v/>
      </c>
      <c r="N349" s="1127" t="str">
        <f t="shared" si="289"/>
        <v/>
      </c>
      <c r="O349" s="302"/>
      <c r="P349" s="158"/>
      <c r="Q349" s="694"/>
      <c r="R349" s="694"/>
      <c r="S349" s="1449" t="str">
        <f>IF($M236&lt;&gt;EUconst_Relevant,"",
IF($V236&gt;($J$1840-3),
              IF(INDEX(H296:N296,MATCH($V236,$T342:$Z342,0))=0,0,INDEX(H349:N349,MATCH($V236,$T342:$Z342,0))/INDEX(H296:N296,MATCH($V236,$T342:$Z342,0))),
                             IF(ISNUMBER(G296),
                                            IF(OR(G296=0,$S280=FALSE),0,G349/G296),"")))</f>
        <v/>
      </c>
      <c r="T349" s="1450" t="str">
        <f t="shared" ref="T349" si="338">IF($E349="","",IF(IFERROR(SUM($S349)=0,SUM(H349)),SUM(H349),SUM(H296)*SUM($S349))*IF(SUM(H349)=0,1,SUM(H315)/SUM(H349)))</f>
        <v/>
      </c>
      <c r="U349" s="1450" t="str">
        <f t="shared" ref="U349" si="339">IF($E349="","",IF(IFERROR(SUM($S349)=0,SUM(I349)),SUM(I349),SUM(I296)*SUM($S349))*IF(SUM(I349)=0,1,SUM(I315)/SUM(I349)))</f>
        <v/>
      </c>
      <c r="V349" s="1450" t="str">
        <f t="shared" ref="V349" si="340">IF($E349="","",IF(IFERROR(SUM($S349)=0,SUM(J349)),SUM(J349),SUM(J296)*SUM($S349))*IF(SUM(J349)=0,1,SUM(J315)/SUM(J349)))</f>
        <v/>
      </c>
      <c r="W349" s="1450" t="str">
        <f t="shared" ref="W349" si="341">IF($E349="","",IF(IFERROR(SUM($S349)=0,SUM(K349)),SUM(K349),SUM(K296)*SUM($S349))*IF(SUM(K349)=0,1,SUM(K315)/SUM(K349)))</f>
        <v/>
      </c>
      <c r="X349" s="1450" t="str">
        <f t="shared" ref="X349" si="342">IF($E349="","",IF(IFERROR(SUM($S349)=0,SUM(L349)),SUM(L349),SUM(L296)*SUM($S349))*IF(SUM(L349)=0,1,SUM(L315)/SUM(L349)))</f>
        <v/>
      </c>
      <c r="Y349" s="1450" t="str">
        <f t="shared" ref="Y349" si="343">IF($E349="","",IF(IFERROR(SUM($S349)=0,SUM(M349)),SUM(M349),SUM(M296)*SUM($S349))*IF(SUM(M349)=0,1,SUM(M315)/SUM(M349)))</f>
        <v/>
      </c>
      <c r="Z349" s="1451" t="str">
        <f t="shared" ref="Z349" si="344">IF($E349="","",IF(IFERROR(SUM($S349)=0,SUM(N349)),SUM(N349),SUM(N296)*SUM($S349))*IF(SUM(N349)=0,1,SUM(N315)/SUM(N349)))</f>
        <v/>
      </c>
      <c r="AA349" s="694"/>
      <c r="AB349" s="1431">
        <f t="shared" ref="AB349:AI349" si="345">AB333</f>
        <v>2</v>
      </c>
      <c r="AC349" s="1432">
        <f t="shared" si="345"/>
        <v>2</v>
      </c>
      <c r="AD349" s="1432">
        <f t="shared" si="345"/>
        <v>2</v>
      </c>
      <c r="AE349" s="1432">
        <f t="shared" si="345"/>
        <v>2</v>
      </c>
      <c r="AF349" s="1432">
        <f t="shared" si="345"/>
        <v>2</v>
      </c>
      <c r="AG349" s="1432">
        <f t="shared" si="345"/>
        <v>2</v>
      </c>
      <c r="AH349" s="1432">
        <f t="shared" si="345"/>
        <v>2</v>
      </c>
      <c r="AI349" s="1452">
        <f t="shared" si="345"/>
        <v>2</v>
      </c>
      <c r="AJ349" s="343"/>
      <c r="AK349" s="1174" t="s">
        <v>2039</v>
      </c>
      <c r="AL349" s="1176" t="str">
        <f>IF(AND(CNTR_ExistSubInstEntries,COUNTIFS(AB349:AI349,2,G349:N349,"")&gt;0),EUconst_Error&amp;"FB"&amp;Q272,"")</f>
        <v/>
      </c>
      <c r="AM349" s="343"/>
    </row>
    <row r="350" spans="1:39" ht="12.75" customHeight="1" x14ac:dyDescent="0.25">
      <c r="A350" s="729" t="str">
        <f t="shared" si="243"/>
        <v/>
      </c>
      <c r="B350" s="698"/>
      <c r="C350" s="2906"/>
      <c r="D350" s="990">
        <v>8</v>
      </c>
      <c r="E350" s="1430" t="str">
        <f t="shared" si="281"/>
        <v/>
      </c>
      <c r="F350" s="1448" t="str">
        <f t="shared" si="282"/>
        <v>TJ</v>
      </c>
      <c r="G350" s="1470" t="str">
        <f t="shared" si="297"/>
        <v/>
      </c>
      <c r="H350" s="1469" t="str">
        <f t="shared" si="283"/>
        <v/>
      </c>
      <c r="I350" s="1470" t="str">
        <f t="shared" si="284"/>
        <v/>
      </c>
      <c r="J350" s="1469" t="str">
        <f t="shared" si="285"/>
        <v/>
      </c>
      <c r="K350" s="1127" t="str">
        <f t="shared" si="286"/>
        <v/>
      </c>
      <c r="L350" s="1127" t="str">
        <f t="shared" si="287"/>
        <v/>
      </c>
      <c r="M350" s="1127" t="str">
        <f t="shared" si="288"/>
        <v/>
      </c>
      <c r="N350" s="1127" t="str">
        <f t="shared" si="289"/>
        <v/>
      </c>
      <c r="O350" s="302"/>
      <c r="P350" s="158"/>
      <c r="Q350" s="694"/>
      <c r="R350" s="694"/>
      <c r="S350" s="1449" t="str">
        <f>IF($M236&lt;&gt;EUconst_Relevant,"",
IF($V236&gt;($J$1840-3),
              IF(INDEX(H297:N297,MATCH($V236,$T342:$Z342,0))=0,0,INDEX(H350:N350,MATCH($V236,$T342:$Z342,0))/INDEX(H297:N297,MATCH($V236,$T342:$Z342,0))),
                             IF(ISNUMBER(G297),
                                            IF(OR(G297=0,$S281=FALSE),0,G350/G297),"")))</f>
        <v/>
      </c>
      <c r="T350" s="1450" t="str">
        <f t="shared" ref="T350" si="346">IF($E350="","",IF(IFERROR(SUM($S350)=0,SUM(H350)),SUM(H350),SUM(H297)*SUM($S350))*IF(SUM(H350)=0,1,SUM(H316)/SUM(H350)))</f>
        <v/>
      </c>
      <c r="U350" s="1450" t="str">
        <f t="shared" ref="U350" si="347">IF($E350="","",IF(IFERROR(SUM($S350)=0,SUM(I350)),SUM(I350),SUM(I297)*SUM($S350))*IF(SUM(I350)=0,1,SUM(I316)/SUM(I350)))</f>
        <v/>
      </c>
      <c r="V350" s="1450" t="str">
        <f t="shared" ref="V350" si="348">IF($E350="","",IF(IFERROR(SUM($S350)=0,SUM(J350)),SUM(J350),SUM(J297)*SUM($S350))*IF(SUM(J350)=0,1,SUM(J316)/SUM(J350)))</f>
        <v/>
      </c>
      <c r="W350" s="1450" t="str">
        <f t="shared" ref="W350" si="349">IF($E350="","",IF(IFERROR(SUM($S350)=0,SUM(K350)),SUM(K350),SUM(K297)*SUM($S350))*IF(SUM(K350)=0,1,SUM(K316)/SUM(K350)))</f>
        <v/>
      </c>
      <c r="X350" s="1450" t="str">
        <f t="shared" ref="X350" si="350">IF($E350="","",IF(IFERROR(SUM($S350)=0,SUM(L350)),SUM(L350),SUM(L297)*SUM($S350))*IF(SUM(L350)=0,1,SUM(L316)/SUM(L350)))</f>
        <v/>
      </c>
      <c r="Y350" s="1450" t="str">
        <f t="shared" ref="Y350" si="351">IF($E350="","",IF(IFERROR(SUM($S350)=0,SUM(M350)),SUM(M350),SUM(M297)*SUM($S350))*IF(SUM(M350)=0,1,SUM(M316)/SUM(M350)))</f>
        <v/>
      </c>
      <c r="Z350" s="1451" t="str">
        <f t="shared" ref="Z350" si="352">IF($E350="","",IF(IFERROR(SUM($S350)=0,SUM(N350)),SUM(N350),SUM(N297)*SUM($S350))*IF(SUM(N350)=0,1,SUM(N316)/SUM(N350)))</f>
        <v/>
      </c>
      <c r="AA350" s="694"/>
      <c r="AB350" s="1431">
        <f t="shared" ref="AB350:AI350" si="353">AB334</f>
        <v>2</v>
      </c>
      <c r="AC350" s="1432">
        <f t="shared" si="353"/>
        <v>2</v>
      </c>
      <c r="AD350" s="1432">
        <f t="shared" si="353"/>
        <v>2</v>
      </c>
      <c r="AE350" s="1432">
        <f t="shared" si="353"/>
        <v>2</v>
      </c>
      <c r="AF350" s="1432">
        <f t="shared" si="353"/>
        <v>2</v>
      </c>
      <c r="AG350" s="1432">
        <f t="shared" si="353"/>
        <v>2</v>
      </c>
      <c r="AH350" s="1432">
        <f t="shared" si="353"/>
        <v>2</v>
      </c>
      <c r="AI350" s="1452">
        <f t="shared" si="353"/>
        <v>2</v>
      </c>
      <c r="AJ350" s="343"/>
      <c r="AK350" s="1174" t="s">
        <v>2039</v>
      </c>
      <c r="AL350" s="1176" t="str">
        <f>IF(AND(CNTR_ExistSubInstEntries,COUNTIFS(AB350:AI350,2,G350:N350,"")&gt;0),EUconst_Error&amp;"FB"&amp;Q272,"")</f>
        <v/>
      </c>
      <c r="AM350" s="343"/>
    </row>
    <row r="351" spans="1:39" ht="12.75" customHeight="1" x14ac:dyDescent="0.25">
      <c r="A351" s="729" t="str">
        <f t="shared" si="243"/>
        <v/>
      </c>
      <c r="B351" s="698"/>
      <c r="C351" s="2906"/>
      <c r="D351" s="990">
        <v>9</v>
      </c>
      <c r="E351" s="1430" t="str">
        <f t="shared" si="281"/>
        <v/>
      </c>
      <c r="F351" s="1448" t="str">
        <f t="shared" si="282"/>
        <v>TJ</v>
      </c>
      <c r="G351" s="1470" t="str">
        <f t="shared" si="297"/>
        <v/>
      </c>
      <c r="H351" s="1469" t="str">
        <f t="shared" si="283"/>
        <v/>
      </c>
      <c r="I351" s="1470" t="str">
        <f t="shared" si="284"/>
        <v/>
      </c>
      <c r="J351" s="1469" t="str">
        <f t="shared" si="285"/>
        <v/>
      </c>
      <c r="K351" s="1127" t="str">
        <f t="shared" si="286"/>
        <v/>
      </c>
      <c r="L351" s="1127" t="str">
        <f t="shared" si="287"/>
        <v/>
      </c>
      <c r="M351" s="1127" t="str">
        <f t="shared" si="288"/>
        <v/>
      </c>
      <c r="N351" s="1127" t="str">
        <f t="shared" si="289"/>
        <v/>
      </c>
      <c r="O351" s="302"/>
      <c r="P351" s="158"/>
      <c r="Q351" s="694"/>
      <c r="R351" s="694"/>
      <c r="S351" s="1449" t="str">
        <f>IF($M236&lt;&gt;EUconst_Relevant,"",
IF($V236&gt;($J$1840-3),
              IF(INDEX(H298:N298,MATCH($V236,$T342:$Z342,0))=0,0,INDEX(H351:N351,MATCH($V236,$T342:$Z342,0))/INDEX(H298:N298,MATCH($V236,$T342:$Z342,0))),
                             IF(ISNUMBER(G298),
                                            IF(OR(G298=0,$S282=FALSE),0,G351/G298),"")))</f>
        <v/>
      </c>
      <c r="T351" s="1450" t="str">
        <f t="shared" ref="T351" si="354">IF($E351="","",IF(IFERROR(SUM($S351)=0,SUM(H351)),SUM(H351),SUM(H298)*SUM($S351))*IF(SUM(H351)=0,1,SUM(H317)/SUM(H351)))</f>
        <v/>
      </c>
      <c r="U351" s="1450" t="str">
        <f t="shared" ref="U351" si="355">IF($E351="","",IF(IFERROR(SUM($S351)=0,SUM(I351)),SUM(I351),SUM(I298)*SUM($S351))*IF(SUM(I351)=0,1,SUM(I317)/SUM(I351)))</f>
        <v/>
      </c>
      <c r="V351" s="1450" t="str">
        <f t="shared" ref="V351" si="356">IF($E351="","",IF(IFERROR(SUM($S351)=0,SUM(J351)),SUM(J351),SUM(J298)*SUM($S351))*IF(SUM(J351)=0,1,SUM(J317)/SUM(J351)))</f>
        <v/>
      </c>
      <c r="W351" s="1450" t="str">
        <f t="shared" ref="W351" si="357">IF($E351="","",IF(IFERROR(SUM($S351)=0,SUM(K351)),SUM(K351),SUM(K298)*SUM($S351))*IF(SUM(K351)=0,1,SUM(K317)/SUM(K351)))</f>
        <v/>
      </c>
      <c r="X351" s="1450" t="str">
        <f t="shared" ref="X351" si="358">IF($E351="","",IF(IFERROR(SUM($S351)=0,SUM(L351)),SUM(L351),SUM(L298)*SUM($S351))*IF(SUM(L351)=0,1,SUM(L317)/SUM(L351)))</f>
        <v/>
      </c>
      <c r="Y351" s="1450" t="str">
        <f t="shared" ref="Y351" si="359">IF($E351="","",IF(IFERROR(SUM($S351)=0,SUM(M351)),SUM(M351),SUM(M298)*SUM($S351))*IF(SUM(M351)=0,1,SUM(M317)/SUM(M351)))</f>
        <v/>
      </c>
      <c r="Z351" s="1451" t="str">
        <f t="shared" ref="Z351" si="360">IF($E351="","",IF(IFERROR(SUM($S351)=0,SUM(N351)),SUM(N351),SUM(N298)*SUM($S351))*IF(SUM(N351)=0,1,SUM(N317)/SUM(N351)))</f>
        <v/>
      </c>
      <c r="AA351" s="694"/>
      <c r="AB351" s="1431">
        <f t="shared" ref="AB351:AI351" si="361">AB335</f>
        <v>2</v>
      </c>
      <c r="AC351" s="1432">
        <f t="shared" si="361"/>
        <v>2</v>
      </c>
      <c r="AD351" s="1432">
        <f t="shared" si="361"/>
        <v>2</v>
      </c>
      <c r="AE351" s="1432">
        <f t="shared" si="361"/>
        <v>2</v>
      </c>
      <c r="AF351" s="1432">
        <f t="shared" si="361"/>
        <v>2</v>
      </c>
      <c r="AG351" s="1432">
        <f t="shared" si="361"/>
        <v>2</v>
      </c>
      <c r="AH351" s="1432">
        <f t="shared" si="361"/>
        <v>2</v>
      </c>
      <c r="AI351" s="1452">
        <f t="shared" si="361"/>
        <v>2</v>
      </c>
      <c r="AJ351" s="343"/>
      <c r="AK351" s="1174" t="s">
        <v>2039</v>
      </c>
      <c r="AL351" s="1176" t="str">
        <f>IF(AND(CNTR_ExistSubInstEntries,COUNTIFS(AB351:AI351,2,G351:N351,"")&gt;0),EUconst_Error&amp;"FB"&amp;Q272,"")</f>
        <v/>
      </c>
      <c r="AM351" s="343"/>
    </row>
    <row r="352" spans="1:39" ht="12.75" customHeight="1" thickBot="1" x14ac:dyDescent="0.3">
      <c r="A352" s="729" t="str">
        <f t="shared" si="243"/>
        <v/>
      </c>
      <c r="B352" s="698"/>
      <c r="C352" s="2906"/>
      <c r="D352" s="994">
        <v>10</v>
      </c>
      <c r="E352" s="1435" t="str">
        <f t="shared" si="281"/>
        <v/>
      </c>
      <c r="F352" s="1453" t="str">
        <f t="shared" si="282"/>
        <v>TJ</v>
      </c>
      <c r="G352" s="1471" t="str">
        <f t="shared" si="297"/>
        <v/>
      </c>
      <c r="H352" s="1472" t="str">
        <f t="shared" si="283"/>
        <v/>
      </c>
      <c r="I352" s="1471" t="str">
        <f t="shared" si="284"/>
        <v/>
      </c>
      <c r="J352" s="1472" t="str">
        <f t="shared" si="285"/>
        <v/>
      </c>
      <c r="K352" s="1128" t="str">
        <f t="shared" si="286"/>
        <v/>
      </c>
      <c r="L352" s="1128" t="str">
        <f t="shared" si="287"/>
        <v/>
      </c>
      <c r="M352" s="1128" t="str">
        <f t="shared" si="288"/>
        <v/>
      </c>
      <c r="N352" s="1128" t="str">
        <f t="shared" si="289"/>
        <v/>
      </c>
      <c r="O352" s="302"/>
      <c r="P352" s="158"/>
      <c r="Q352" s="694"/>
      <c r="R352" s="694"/>
      <c r="S352" s="1454" t="str">
        <f>IF($M236&lt;&gt;EUconst_Relevant,"",
IF($V236&gt;($J$1840-3),
              IF(INDEX(H299:N299,MATCH($V236,$T342:$Z342,0))=0,0,INDEX(H352:N352,MATCH($V236,$T342:$Z342,0))/INDEX(H299:N299,MATCH($V236,$T342:$Z342,0))),
                             IF(ISNUMBER(G299),
                                            IF(OR(G299=0,$S283=FALSE),0,G352/G299),"")))</f>
        <v/>
      </c>
      <c r="T352" s="1473" t="str">
        <f t="shared" ref="T352" si="362">IF($E352="","",IF(IFERROR(SUM($S352)=0,SUM(H352)),SUM(H352),SUM(H299)*SUM($S352))*IF(SUM(H352)=0,1,SUM(H318)/SUM(H352)))</f>
        <v/>
      </c>
      <c r="U352" s="1473" t="str">
        <f t="shared" ref="U352" si="363">IF($E352="","",IF(IFERROR(SUM($S352)=0,SUM(I352)),SUM(I352),SUM(I299)*SUM($S352))*IF(SUM(I352)=0,1,SUM(I318)/SUM(I352)))</f>
        <v/>
      </c>
      <c r="V352" s="1473" t="str">
        <f t="shared" ref="V352" si="364">IF($E352="","",IF(IFERROR(SUM($S352)=0,SUM(J352)),SUM(J352),SUM(J299)*SUM($S352))*IF(SUM(J352)=0,1,SUM(J318)/SUM(J352)))</f>
        <v/>
      </c>
      <c r="W352" s="1473" t="str">
        <f t="shared" ref="W352" si="365">IF($E352="","",IF(IFERROR(SUM($S352)=0,SUM(K352)),SUM(K352),SUM(K299)*SUM($S352))*IF(SUM(K352)=0,1,SUM(K318)/SUM(K352)))</f>
        <v/>
      </c>
      <c r="X352" s="1473" t="str">
        <f t="shared" ref="X352" si="366">IF($E352="","",IF(IFERROR(SUM($S352)=0,SUM(L352)),SUM(L352),SUM(L299)*SUM($S352))*IF(SUM(L352)=0,1,SUM(L318)/SUM(L352)))</f>
        <v/>
      </c>
      <c r="Y352" s="1473" t="str">
        <f t="shared" ref="Y352" si="367">IF($E352="","",IF(IFERROR(SUM($S352)=0,SUM(M352)),SUM(M352),SUM(M299)*SUM($S352))*IF(SUM(M352)=0,1,SUM(M318)/SUM(M352)))</f>
        <v/>
      </c>
      <c r="Z352" s="1474" t="str">
        <f t="shared" ref="Z352" si="368">IF($E352="","",IF(IFERROR(SUM($S352)=0,SUM(N352)),SUM(N352),SUM(N299)*SUM($S352))*IF(SUM(N352)=0,1,SUM(N318)/SUM(N352)))</f>
        <v/>
      </c>
      <c r="AA352" s="694"/>
      <c r="AB352" s="1436">
        <f t="shared" ref="AB352:AI352" si="369">AB336</f>
        <v>2</v>
      </c>
      <c r="AC352" s="1437">
        <f t="shared" si="369"/>
        <v>2</v>
      </c>
      <c r="AD352" s="1437">
        <f t="shared" si="369"/>
        <v>2</v>
      </c>
      <c r="AE352" s="1437">
        <f t="shared" si="369"/>
        <v>2</v>
      </c>
      <c r="AF352" s="1437">
        <f t="shared" si="369"/>
        <v>2</v>
      </c>
      <c r="AG352" s="1437">
        <f t="shared" si="369"/>
        <v>2</v>
      </c>
      <c r="AH352" s="1437">
        <f t="shared" si="369"/>
        <v>2</v>
      </c>
      <c r="AI352" s="1457">
        <f t="shared" si="369"/>
        <v>2</v>
      </c>
      <c r="AJ352" s="343"/>
      <c r="AK352" s="1174" t="s">
        <v>2039</v>
      </c>
      <c r="AL352" s="1176" t="str">
        <f>IF(AND(CNTR_ExistSubInstEntries,COUNTIFS(AB352:AI352,2,G352:N352,"")&gt;0),EUconst_Error&amp;"FB"&amp;Q272,"")</f>
        <v/>
      </c>
      <c r="AM352" s="343"/>
    </row>
    <row r="353" spans="1:39" ht="12.75" customHeight="1" thickBot="1" x14ac:dyDescent="0.3">
      <c r="A353" s="729" t="str">
        <f t="shared" si="243"/>
        <v/>
      </c>
      <c r="B353" s="698"/>
      <c r="C353" s="2906"/>
      <c r="D353" s="1293"/>
      <c r="E353" s="1458" t="str">
        <f>Translations!$B$1338</f>
        <v>Общо потребление</v>
      </c>
      <c r="F353" s="1453" t="str">
        <f t="shared" si="282"/>
        <v>TJ</v>
      </c>
      <c r="G353" s="1296" t="str">
        <f t="shared" ref="G353:N353" si="370">IF(COUNT(G343:G352)&gt;0,SUMIF($S274:$S283,TRUE,G343:G352),"")</f>
        <v/>
      </c>
      <c r="H353" s="1297" t="str">
        <f t="shared" si="370"/>
        <v/>
      </c>
      <c r="I353" s="1296" t="str">
        <f t="shared" si="370"/>
        <v/>
      </c>
      <c r="J353" s="1297" t="str">
        <f t="shared" si="370"/>
        <v/>
      </c>
      <c r="K353" s="1104" t="str">
        <f t="shared" si="370"/>
        <v/>
      </c>
      <c r="L353" s="1104" t="str">
        <f t="shared" si="370"/>
        <v/>
      </c>
      <c r="M353" s="1104" t="str">
        <f t="shared" si="370"/>
        <v/>
      </c>
      <c r="N353" s="1104" t="str">
        <f t="shared" si="370"/>
        <v/>
      </c>
      <c r="O353" s="302"/>
      <c r="P353" s="336"/>
      <c r="Q353" s="694"/>
      <c r="R353" s="694"/>
      <c r="S353" s="1174" t="s">
        <v>2147</v>
      </c>
      <c r="T353" s="1459">
        <f>IFERROR(SUM(T343:T352),"")</f>
        <v>0</v>
      </c>
      <c r="U353" s="1460">
        <f t="shared" ref="U353:Z353" si="371">IFERROR(SUM(U343:U352),"")</f>
        <v>0</v>
      </c>
      <c r="V353" s="1460">
        <f t="shared" si="371"/>
        <v>0</v>
      </c>
      <c r="W353" s="1460">
        <f t="shared" si="371"/>
        <v>0</v>
      </c>
      <c r="X353" s="1460">
        <f t="shared" si="371"/>
        <v>0</v>
      </c>
      <c r="Y353" s="1460">
        <f t="shared" si="371"/>
        <v>0</v>
      </c>
      <c r="Z353" s="1461">
        <f t="shared" si="371"/>
        <v>0</v>
      </c>
      <c r="AA353" s="694"/>
      <c r="AB353" s="729"/>
      <c r="AC353" s="694"/>
      <c r="AD353" s="694"/>
      <c r="AE353" s="343"/>
      <c r="AF353" s="343"/>
      <c r="AG353" s="343"/>
      <c r="AH353" s="343"/>
      <c r="AI353" s="343"/>
      <c r="AJ353" s="343"/>
      <c r="AK353" s="343"/>
      <c r="AL353" s="343"/>
      <c r="AM353" s="343"/>
    </row>
    <row r="354" spans="1:39" ht="12.75" customHeight="1" x14ac:dyDescent="0.25">
      <c r="A354" s="729" t="str">
        <f t="shared" si="243"/>
        <v/>
      </c>
      <c r="B354" s="698"/>
      <c r="C354" s="2906"/>
      <c r="D354" s="1462"/>
      <c r="E354" s="1463" t="str">
        <f>Translations!$B$1339</f>
        <v>Дял от a)</v>
      </c>
      <c r="F354" s="1464" t="str">
        <f t="shared" si="282"/>
        <v>TJ</v>
      </c>
      <c r="G354" s="184" t="str">
        <f>IF(COUNT(I252,G353)=2,IF(I252=0,1,G353/I252),"")</f>
        <v/>
      </c>
      <c r="H354" s="185" t="str">
        <f>IF(COUNT(H244,H353)=2,IF(H244=0,1,H353/H244),"")</f>
        <v/>
      </c>
      <c r="I354" s="186" t="str">
        <f t="shared" ref="I354" si="372">IF(COUNT(I244,I353)=2,IF(I244=0,1,I353/I244),"")</f>
        <v/>
      </c>
      <c r="J354" s="185" t="str">
        <f t="shared" ref="J354" si="373">IF(COUNT(J244,J353)=2,IF(J244=0,1,J353/J244),"")</f>
        <v/>
      </c>
      <c r="K354" s="187" t="str">
        <f t="shared" ref="K354" si="374">IF(COUNT(K244,K353)=2,IF(K244=0,1,K353/K244),"")</f>
        <v/>
      </c>
      <c r="L354" s="187" t="str">
        <f t="shared" ref="L354" si="375">IF(COUNT(L244,L353)=2,IF(L244=0,1,L353/L244),"")</f>
        <v/>
      </c>
      <c r="M354" s="187" t="str">
        <f t="shared" ref="M354" si="376">IF(COUNT(M244,M353)=2,IF(M244=0,1,M353/M244),"")</f>
        <v/>
      </c>
      <c r="N354" s="187" t="str">
        <f t="shared" ref="N354" si="377">IF(COUNT(N244,N353)=2,IF(N244=0,1,N353/N244),"")</f>
        <v/>
      </c>
      <c r="O354" s="302"/>
      <c r="P354" s="336"/>
      <c r="Q354" s="694"/>
      <c r="R354" s="694"/>
      <c r="S354" s="729"/>
      <c r="T354" s="694"/>
      <c r="U354" s="694"/>
      <c r="V354" s="694"/>
      <c r="W354" s="694"/>
      <c r="X354" s="694"/>
      <c r="Y354" s="694"/>
      <c r="Z354" s="694"/>
      <c r="AA354" s="694"/>
      <c r="AB354" s="729"/>
      <c r="AC354" s="694"/>
      <c r="AD354" s="694"/>
      <c r="AE354" s="343"/>
      <c r="AF354" s="343"/>
      <c r="AG354" s="343"/>
      <c r="AH354" s="343"/>
      <c r="AI354" s="343"/>
      <c r="AJ354" s="343"/>
      <c r="AK354" s="343"/>
      <c r="AL354" s="343"/>
      <c r="AM354" s="343"/>
    </row>
    <row r="355" spans="1:39" ht="5.15" customHeight="1" x14ac:dyDescent="0.25">
      <c r="A355" s="729" t="str">
        <f t="shared" si="243"/>
        <v/>
      </c>
      <c r="B355" s="698"/>
      <c r="C355" s="284"/>
      <c r="D355" s="284"/>
      <c r="E355" s="284"/>
      <c r="F355" s="284"/>
      <c r="G355" s="284"/>
      <c r="H355" s="284"/>
      <c r="I355" s="284"/>
      <c r="J355" s="284"/>
      <c r="K355" s="284"/>
      <c r="L355" s="284"/>
      <c r="M355" s="284"/>
      <c r="N355" s="284"/>
      <c r="O355" s="302"/>
      <c r="P355" s="336"/>
      <c r="Q355" s="694"/>
      <c r="R355" s="694"/>
      <c r="S355" s="694"/>
      <c r="T355" s="694"/>
      <c r="U355" s="694"/>
      <c r="V355" s="694"/>
      <c r="W355" s="694"/>
      <c r="X355" s="694"/>
      <c r="Y355" s="694"/>
      <c r="Z355" s="729"/>
      <c r="AA355" s="729"/>
      <c r="AB355" s="729"/>
      <c r="AC355" s="694"/>
      <c r="AD355" s="694"/>
      <c r="AE355" s="343"/>
      <c r="AF355" s="343"/>
      <c r="AG355" s="343"/>
      <c r="AH355" s="343"/>
      <c r="AI355" s="343"/>
      <c r="AJ355" s="343"/>
      <c r="AK355" s="343"/>
      <c r="AL355" s="343"/>
      <c r="AM355" s="343"/>
    </row>
    <row r="356" spans="1:39" ht="12.75" customHeight="1" x14ac:dyDescent="0.25">
      <c r="A356" s="729" t="str">
        <f t="shared" si="243"/>
        <v/>
      </c>
      <c r="B356" s="284"/>
      <c r="C356" s="300"/>
      <c r="D356" s="300" t="s">
        <v>1831</v>
      </c>
      <c r="E356" s="2226" t="str">
        <f>Translations!$B$1545</f>
        <v>Очаквани равнища на дейност</v>
      </c>
      <c r="F356" s="2249"/>
      <c r="G356" s="2249"/>
      <c r="H356" s="2249"/>
      <c r="I356" s="2249"/>
      <c r="J356" s="2249"/>
      <c r="K356" s="2249"/>
      <c r="L356" s="2249"/>
      <c r="M356" s="2249"/>
      <c r="N356" s="2249"/>
      <c r="O356" s="302"/>
      <c r="P356" s="336"/>
      <c r="Q356" s="770"/>
      <c r="R356" s="694"/>
      <c r="S356" s="694"/>
      <c r="T356" s="694"/>
      <c r="U356" s="694"/>
      <c r="V356" s="694"/>
      <c r="W356" s="694"/>
      <c r="X356" s="694"/>
      <c r="Y356" s="694"/>
      <c r="Z356" s="694"/>
      <c r="AA356" s="694"/>
      <c r="AB356" s="729"/>
      <c r="AC356" s="694"/>
      <c r="AD356" s="694"/>
      <c r="AE356" s="343"/>
      <c r="AF356" s="343"/>
      <c r="AG356" s="343"/>
      <c r="AH356" s="343"/>
      <c r="AI356" s="343"/>
      <c r="AJ356" s="343"/>
      <c r="AK356" s="343"/>
      <c r="AL356" s="343"/>
      <c r="AM356" s="343"/>
    </row>
    <row r="357" spans="1:39" ht="12.75" customHeight="1" x14ac:dyDescent="0.25">
      <c r="A357" s="729" t="str">
        <f t="shared" si="243"/>
        <v/>
      </c>
      <c r="B357" s="698"/>
      <c r="C357" s="284"/>
      <c r="D357" s="284"/>
      <c r="E357" s="2358" t="str">
        <f>Translations!$B$1340</f>
        <v>Конкретното енергопотребление се определя в съответствие с раздел 6.1 от Ръководен документ 7 за стойности, отговарящи на критериите по буква б.1) по-горе.</v>
      </c>
      <c r="F357" s="2358"/>
      <c r="G357" s="2358"/>
      <c r="H357" s="2358"/>
      <c r="I357" s="2358"/>
      <c r="J357" s="2358"/>
      <c r="K357" s="2358"/>
      <c r="L357" s="2358"/>
      <c r="M357" s="2358"/>
      <c r="N357" s="2358"/>
      <c r="O357" s="302"/>
      <c r="P357" s="336"/>
      <c r="Q357" s="694"/>
      <c r="R357" s="694"/>
      <c r="S357" s="694"/>
      <c r="T357" s="694"/>
      <c r="U357" s="694"/>
      <c r="V357" s="694"/>
      <c r="W357" s="694"/>
      <c r="X357" s="694"/>
      <c r="Y357" s="694"/>
      <c r="Z357" s="729"/>
      <c r="AA357" s="729"/>
      <c r="AB357" s="729"/>
      <c r="AC357" s="694"/>
      <c r="AD357" s="694"/>
      <c r="AE357" s="343"/>
      <c r="AF357" s="343"/>
      <c r="AG357" s="343"/>
      <c r="AH357" s="343"/>
      <c r="AI357" s="343"/>
      <c r="AJ357" s="343"/>
      <c r="AK357" s="343"/>
      <c r="AL357" s="343"/>
      <c r="AM357" s="343"/>
    </row>
    <row r="358" spans="1:39" ht="5.15" customHeight="1" thickBot="1" x14ac:dyDescent="0.3">
      <c r="A358" s="729" t="str">
        <f t="shared" si="243"/>
        <v/>
      </c>
      <c r="B358" s="698"/>
      <c r="C358" s="698"/>
      <c r="D358" s="698"/>
      <c r="E358" s="698"/>
      <c r="F358" s="698"/>
      <c r="G358" s="698"/>
      <c r="H358" s="698"/>
      <c r="I358" s="1025"/>
      <c r="J358" s="698"/>
      <c r="K358" s="698"/>
      <c r="L358" s="698"/>
      <c r="M358" s="698"/>
      <c r="N358" s="698"/>
      <c r="O358" s="302"/>
      <c r="P358" s="336"/>
      <c r="Q358" s="1263"/>
      <c r="R358" s="694"/>
      <c r="S358" s="729"/>
      <c r="T358" s="729"/>
      <c r="U358" s="694"/>
      <c r="V358" s="694"/>
      <c r="W358" s="694"/>
      <c r="X358" s="694"/>
      <c r="Y358" s="694"/>
      <c r="Z358" s="694"/>
      <c r="AA358" s="694"/>
      <c r="AB358" s="729"/>
      <c r="AC358" s="694"/>
      <c r="AD358" s="694"/>
      <c r="AE358" s="694"/>
      <c r="AF358" s="694"/>
      <c r="AG358" s="694"/>
      <c r="AH358" s="694"/>
      <c r="AI358" s="694"/>
      <c r="AJ358" s="694"/>
      <c r="AK358" s="694"/>
      <c r="AL358" s="694"/>
      <c r="AM358" s="343"/>
    </row>
    <row r="359" spans="1:39" ht="5.15" customHeight="1" thickBot="1" x14ac:dyDescent="0.3">
      <c r="A359" s="729" t="str">
        <f t="shared" si="243"/>
        <v/>
      </c>
      <c r="B359" s="698"/>
      <c r="C359" s="698"/>
      <c r="D359" s="1475"/>
      <c r="E359" s="1476"/>
      <c r="F359" s="1476"/>
      <c r="G359" s="1476"/>
      <c r="H359" s="1476"/>
      <c r="I359" s="1477"/>
      <c r="J359" s="1476"/>
      <c r="K359" s="1476"/>
      <c r="L359" s="1476"/>
      <c r="M359" s="1476"/>
      <c r="N359" s="1478"/>
      <c r="O359" s="302"/>
      <c r="P359" s="336"/>
      <c r="Q359" s="1263"/>
      <c r="R359" s="694"/>
      <c r="S359" s="729"/>
      <c r="T359" s="729"/>
      <c r="U359" s="694"/>
      <c r="V359" s="694"/>
      <c r="W359" s="694"/>
      <c r="X359" s="694"/>
      <c r="Y359" s="694"/>
      <c r="Z359" s="694"/>
      <c r="AA359" s="694"/>
      <c r="AB359" s="729"/>
      <c r="AC359" s="694"/>
      <c r="AD359" s="694"/>
      <c r="AE359" s="694"/>
      <c r="AF359" s="694"/>
      <c r="AG359" s="694"/>
      <c r="AH359" s="694"/>
      <c r="AI359" s="694"/>
      <c r="AJ359" s="694"/>
      <c r="AK359" s="694"/>
      <c r="AL359" s="694"/>
      <c r="AM359" s="343"/>
    </row>
    <row r="360" spans="1:39" ht="12.75" customHeight="1" x14ac:dyDescent="0.25">
      <c r="A360" s="729" t="str">
        <f t="shared" si="243"/>
        <v/>
      </c>
      <c r="B360" s="298"/>
      <c r="C360" s="698"/>
      <c r="D360" s="1217"/>
      <c r="E360" s="1198" t="str">
        <f>Translations!$B$1546</f>
        <v>Корекции: Промени в ефективността</v>
      </c>
      <c r="F360" s="1199"/>
      <c r="G360" s="1199"/>
      <c r="H360" s="1200" t="str">
        <f>EUconst_Unit</f>
        <v>Единица мярка</v>
      </c>
      <c r="I360" s="1201" t="str">
        <f>Translations!$B$1336</f>
        <v>Стойност в НМИ</v>
      </c>
      <c r="J360" s="1202">
        <f>J$1840</f>
        <v>2026</v>
      </c>
      <c r="K360" s="1203">
        <f>K$1840</f>
        <v>2027</v>
      </c>
      <c r="L360" s="1203">
        <f>L$1840</f>
        <v>2028</v>
      </c>
      <c r="M360" s="1203">
        <f>M$1840</f>
        <v>2029</v>
      </c>
      <c r="N360" s="1479">
        <f>N$1840</f>
        <v>2030</v>
      </c>
      <c r="O360" s="302"/>
      <c r="P360" s="336"/>
      <c r="Q360" s="729"/>
      <c r="R360" s="694"/>
      <c r="S360" s="694"/>
      <c r="T360" s="694"/>
      <c r="U360" s="1205"/>
      <c r="V360" s="1206">
        <f>J360</f>
        <v>2026</v>
      </c>
      <c r="W360" s="1206">
        <f>K360</f>
        <v>2027</v>
      </c>
      <c r="X360" s="1206">
        <f>L360</f>
        <v>2028</v>
      </c>
      <c r="Y360" s="1206">
        <f>M360</f>
        <v>2029</v>
      </c>
      <c r="Z360" s="1207">
        <f>N360</f>
        <v>2030</v>
      </c>
      <c r="AA360" s="694"/>
      <c r="AB360" s="729"/>
      <c r="AC360" s="694"/>
      <c r="AD360" s="694"/>
      <c r="AE360" s="694"/>
      <c r="AF360" s="694"/>
      <c r="AG360" s="694"/>
      <c r="AH360" s="694"/>
      <c r="AI360" s="694"/>
      <c r="AJ360" s="694"/>
      <c r="AK360" s="694"/>
      <c r="AL360" s="694"/>
      <c r="AM360" s="343"/>
    </row>
    <row r="361" spans="1:39" ht="12.75" customHeight="1" x14ac:dyDescent="0.25">
      <c r="A361" s="729" t="str">
        <f t="shared" si="243"/>
        <v/>
      </c>
      <c r="B361" s="298"/>
      <c r="C361" s="698"/>
      <c r="D361" s="1208" t="s">
        <v>6</v>
      </c>
      <c r="E361" s="2889" t="str">
        <f>Translations!$B$1547</f>
        <v>Промяна в равнището на дейност &gt; 15 %?</v>
      </c>
      <c r="F361" s="2889"/>
      <c r="G361" s="2889"/>
      <c r="H361" s="2889"/>
      <c r="I361" s="2890"/>
      <c r="J361" s="1480" t="str">
        <f>V253</f>
        <v/>
      </c>
      <c r="K361" s="1481" t="str">
        <f>W253</f>
        <v/>
      </c>
      <c r="L361" s="1481" t="str">
        <f>X253</f>
        <v/>
      </c>
      <c r="M361" s="1481" t="str">
        <f>Y253</f>
        <v/>
      </c>
      <c r="N361" s="1482" t="str">
        <f>Z253</f>
        <v/>
      </c>
      <c r="O361" s="302"/>
      <c r="P361" s="336"/>
      <c r="Q361" s="729"/>
      <c r="R361" s="694"/>
      <c r="S361" s="694"/>
      <c r="T361" s="694"/>
      <c r="U361" s="1231"/>
      <c r="V361" s="1483"/>
      <c r="W361" s="1483"/>
      <c r="X361" s="1483"/>
      <c r="Y361" s="1483"/>
      <c r="Z361" s="1484"/>
      <c r="AA361" s="694"/>
      <c r="AB361" s="729"/>
      <c r="AC361" s="694"/>
      <c r="AD361" s="694"/>
      <c r="AE361" s="694"/>
      <c r="AF361" s="694"/>
      <c r="AG361" s="694"/>
      <c r="AH361" s="694"/>
      <c r="AI361" s="694"/>
      <c r="AJ361" s="694"/>
      <c r="AK361" s="694"/>
      <c r="AL361" s="694"/>
      <c r="AM361" s="343"/>
    </row>
    <row r="362" spans="1:39" ht="12.75" customHeight="1" x14ac:dyDescent="0.25">
      <c r="A362" s="729" t="str">
        <f t="shared" si="243"/>
        <v/>
      </c>
      <c r="B362" s="298"/>
      <c r="C362" s="698"/>
      <c r="D362" s="1208" t="s">
        <v>7</v>
      </c>
      <c r="E362" s="2889" t="str">
        <f>Translations!$B$1548</f>
        <v>Средна стойност на очакваното равнище на дейност</v>
      </c>
      <c r="F362" s="2889"/>
      <c r="G362" s="2889"/>
      <c r="H362" s="1485" t="str">
        <f>G244</f>
        <v>TJ</v>
      </c>
      <c r="I362" s="1486" t="str">
        <f>IF(M236&lt;&gt;EUconst_Relevant,"",I252)</f>
        <v/>
      </c>
      <c r="J362" s="1480" t="str">
        <f>IF(AND(V362&gt;=3,COUNT(T353:U353)=2),IF(CNTR_ReportingYear&gt;J360-1,IF(J361,IF(COUNTA(H309:I318)=0,J255,AVERAGE(T353:U353)),$I365),""),"")</f>
        <v/>
      </c>
      <c r="K362" s="1481" t="str">
        <f>IF(AND(W362&gt;=3,COUNT(U353:V353)=2),IF(CNTR_ReportingYear&gt;K360-1,IF(K361,IF(COUNTA(I309:J318)=0,K255,AVERAGE(U353:V353)),$I365),""),"")</f>
        <v/>
      </c>
      <c r="L362" s="1481" t="str">
        <f>IF(AND(X362&gt;=3,COUNT(V353:W353)=2),IF(CNTR_ReportingYear&gt;L360-1,IF(L361,IF(COUNTA(J309:K318)=0,L255,AVERAGE(V353:W353)),$I365),""),"")</f>
        <v/>
      </c>
      <c r="M362" s="1481" t="str">
        <f>IF(AND(Y362&gt;=3,COUNT(W353:X353)=2),IF(CNTR_ReportingYear&gt;M360-1,IF(M361,IF(COUNTA(K309:L318)=0,M255,AVERAGE(W353:X353)),$I365),""),"")</f>
        <v/>
      </c>
      <c r="N362" s="1482" t="str">
        <f>IF(AND(Z362&gt;=3,COUNT(X353:Y353)=2),IF(CNTR_ReportingYear&gt;N360-1,IF(N361,IF(COUNTA(L309:M318)=0,N255,AVERAGE(X353:Y353)),$I365),""),"")</f>
        <v/>
      </c>
      <c r="O362" s="302"/>
      <c r="P362" s="336"/>
      <c r="Q362" s="1270"/>
      <c r="R362" s="694"/>
      <c r="S362" s="694"/>
      <c r="T362" s="694"/>
      <c r="U362" s="1365" t="s">
        <v>1710</v>
      </c>
      <c r="V362" s="834">
        <f>V252</f>
        <v>0</v>
      </c>
      <c r="W362" s="834">
        <f>W252</f>
        <v>0</v>
      </c>
      <c r="X362" s="834">
        <f>X252</f>
        <v>0</v>
      </c>
      <c r="Y362" s="834">
        <f>Y252</f>
        <v>0</v>
      </c>
      <c r="Z362" s="1403">
        <f>Z252</f>
        <v>0</v>
      </c>
      <c r="AA362" s="694"/>
      <c r="AB362" s="729"/>
      <c r="AC362" s="694"/>
      <c r="AD362" s="694"/>
      <c r="AE362" s="694"/>
      <c r="AF362" s="694"/>
      <c r="AG362" s="694"/>
      <c r="AH362" s="694"/>
      <c r="AI362" s="694"/>
      <c r="AJ362" s="694"/>
      <c r="AK362" s="694"/>
      <c r="AL362" s="694"/>
      <c r="AM362" s="343"/>
    </row>
    <row r="363" spans="1:39" ht="12.75" customHeight="1" x14ac:dyDescent="0.25">
      <c r="A363" s="729" t="str">
        <f t="shared" si="243"/>
        <v/>
      </c>
      <c r="B363" s="298"/>
      <c r="C363" s="698"/>
      <c r="D363" s="1208" t="s">
        <v>8</v>
      </c>
      <c r="E363" s="2893" t="str">
        <f>Translations!$B$1376</f>
        <v>Промяна в сравнение с HAL</v>
      </c>
      <c r="F363" s="2894"/>
      <c r="G363" s="2894"/>
      <c r="H363" s="2894"/>
      <c r="I363" s="2895"/>
      <c r="J363" s="232" t="str">
        <f t="shared" ref="J363" si="378">IF(J362="","",IF(SUM($I365)=0,IF(J362=0,0%,100%),J362/$I365-1))</f>
        <v/>
      </c>
      <c r="K363" s="233" t="str">
        <f>IF(K362="","",IF(SUM($I365)=0,IF(K362=0,0%,100%),K362/$I365-1))</f>
        <v/>
      </c>
      <c r="L363" s="233" t="str">
        <f t="shared" ref="L363:N363" si="379">IF(L362="","",IF(SUM($I365)=0,IF(L362=0,0%,100%),L362/$I365-1))</f>
        <v/>
      </c>
      <c r="M363" s="233" t="str">
        <f t="shared" si="379"/>
        <v/>
      </c>
      <c r="N363" s="234" t="str">
        <f t="shared" si="379"/>
        <v/>
      </c>
      <c r="O363" s="302"/>
      <c r="P363" s="209"/>
      <c r="Q363" s="1190" t="str">
        <f>EUconst_CNTR_EnEffPct&amp;I236</f>
        <v>EnEffPct_Подинсталация с топлинен показател (без риск от ИВЕ | извън МКВЕГ)</v>
      </c>
      <c r="R363" s="694"/>
      <c r="S363" s="694"/>
      <c r="T363" s="694"/>
      <c r="U363" s="1365" t="s">
        <v>1715</v>
      </c>
      <c r="V363" s="727" t="str">
        <f>IF(J362="","",ABS(J363)&gt;15%)</f>
        <v/>
      </c>
      <c r="W363" s="727" t="str">
        <f>IF(K362="","",ABS(K363)&gt;15%)</f>
        <v/>
      </c>
      <c r="X363" s="727" t="str">
        <f>IF(L362="","",ABS(L363)&gt;15%)</f>
        <v/>
      </c>
      <c r="Y363" s="727" t="str">
        <f>IF(M362="","",ABS(M363)&gt;15%)</f>
        <v/>
      </c>
      <c r="Z363" s="1221" t="str">
        <f>IF(N362="","",ABS(N363)&gt;15%)</f>
        <v/>
      </c>
      <c r="AA363" s="694"/>
      <c r="AB363" s="729"/>
      <c r="AC363" s="694"/>
      <c r="AD363" s="694"/>
      <c r="AE363" s="694"/>
      <c r="AF363" s="694"/>
      <c r="AG363" s="694"/>
      <c r="AH363" s="694"/>
      <c r="AI363" s="694"/>
      <c r="AJ363" s="694"/>
      <c r="AK363" s="694"/>
      <c r="AL363" s="694"/>
      <c r="AM363" s="343"/>
    </row>
    <row r="364" spans="1:39" ht="12.75" customHeight="1" x14ac:dyDescent="0.25">
      <c r="A364" s="729" t="str">
        <f t="shared" si="243"/>
        <v/>
      </c>
      <c r="B364" s="298"/>
      <c r="C364" s="698"/>
      <c r="D364" s="1208" t="s">
        <v>18</v>
      </c>
      <c r="E364" s="2896" t="str">
        <f>Translations!$B$1322</f>
        <v>Предварителна корекция (ако са надвишени относителните прагове)</v>
      </c>
      <c r="F364" s="2897"/>
      <c r="G364" s="2897"/>
      <c r="H364" s="2897"/>
      <c r="I364" s="2898"/>
      <c r="J364" s="235" t="str">
        <f>IF(J362="","",IF(OR(V253=FALSE,V363=FALSE),0%,IF(V364,J363,I364)))</f>
        <v/>
      </c>
      <c r="K364" s="236" t="str">
        <f>IF(K362="","",IF(OR(W253=FALSE,W363=FALSE),0%,IF(W364,K363,J364)))</f>
        <v/>
      </c>
      <c r="L364" s="236" t="str">
        <f>IF(L362="","",IF(OR(X253=FALSE,X363=FALSE),0%,IF(X364,L363,K364)))</f>
        <v/>
      </c>
      <c r="M364" s="236" t="str">
        <f>IF(M362="","",IF(OR(Y253=FALSE,Y363=FALSE),0%,IF(Y364,M363,L364)))</f>
        <v/>
      </c>
      <c r="N364" s="237" t="str">
        <f>IF(N362="","",IF(OR(Z253=FALSE,Z363=FALSE),0%,IF(Z364,N363,M364)))</f>
        <v/>
      </c>
      <c r="O364" s="302"/>
      <c r="P364" s="209"/>
      <c r="Q364" s="729"/>
      <c r="R364" s="694"/>
      <c r="S364" s="694"/>
      <c r="T364" s="694"/>
      <c r="U364" s="1365" t="s">
        <v>1716</v>
      </c>
      <c r="V364" s="727" t="str">
        <f>IF(J362="","",AND(V253,IF(SUM(I373)&lt;0,OR(SUM(J363)&lt;SUM(I373)-MOD(SUM(I373),5%),J363&gt;=SUM(I373)+5%-MOD(SUM(I373),5%)),OR(SUM(J363)&lt;=SUM(I373)-MOD(SUM(I373),5%),SUM(J363)&gt;SUM(I373)+5%-MOD(SUM(I373),5%)))))</f>
        <v/>
      </c>
      <c r="W364" s="727" t="str">
        <f>IF(K362="","",AND(W253,IF(SUM(J373)&lt;0,OR(SUM(K363)&lt;SUM(J373)-MOD(SUM(J373),5%),K363&gt;=SUM(J373)+5%-MOD(SUM(J373),5%)),OR(SUM(K363)&lt;=SUM(J373)-MOD(SUM(J373),5%),SUM(K363)&gt;SUM(J373)+5%-MOD(SUM(J373),5%)))))</f>
        <v/>
      </c>
      <c r="X364" s="727" t="str">
        <f>IF(L362="","",AND(X253,IF(SUM(K373)&lt;0,OR(SUM(L363)&lt;SUM(K373)-MOD(SUM(K373),5%),L363&gt;=SUM(K373)+5%-MOD(SUM(K373),5%)),OR(SUM(L363)&lt;=SUM(K373)-MOD(SUM(K373),5%),SUM(L363)&gt;SUM(K373)+5%-MOD(SUM(K373),5%)))))</f>
        <v/>
      </c>
      <c r="Y364" s="727" t="str">
        <f>IF(M362="","",AND(Y253,IF(SUM(L373)&lt;0,OR(SUM(M363)&lt;SUM(L373)-MOD(SUM(L373),5%),M363&gt;=SUM(L373)+5%-MOD(SUM(L373),5%)),OR(SUM(M363)&lt;=SUM(L373)-MOD(SUM(L373),5%),SUM(M363)&gt;SUM(L373)+5%-MOD(SUM(L373),5%)))))</f>
        <v/>
      </c>
      <c r="Z364" s="1221" t="str">
        <f>IF(N362="","",AND(Z253,IF(SUM(M373)&lt;0,OR(SUM(N363)&lt;SUM(M373)-MOD(SUM(M373),5%),N363&gt;=SUM(M373)+5%-MOD(SUM(M373),5%)),OR(SUM(N363)&lt;=SUM(M373)-MOD(SUM(M373),5%),SUM(N363)&gt;SUM(M373)+5%-MOD(SUM(M373),5%)))))</f>
        <v/>
      </c>
      <c r="AA364" s="694"/>
      <c r="AB364" s="729"/>
      <c r="AC364" s="694"/>
      <c r="AD364" s="694"/>
      <c r="AE364" s="694"/>
      <c r="AF364" s="694"/>
      <c r="AG364" s="694"/>
      <c r="AH364" s="694"/>
      <c r="AI364" s="694"/>
      <c r="AJ364" s="694"/>
      <c r="AK364" s="694"/>
      <c r="AL364" s="694"/>
      <c r="AM364" s="343"/>
    </row>
    <row r="365" spans="1:39" ht="12.75" customHeight="1" x14ac:dyDescent="0.25">
      <c r="A365" s="729" t="str">
        <f t="shared" si="243"/>
        <v/>
      </c>
      <c r="B365" s="298"/>
      <c r="C365" s="698"/>
      <c r="D365" s="1208" t="s">
        <v>810</v>
      </c>
      <c r="E365" s="2889" t="str">
        <f>Translations!$B$1377</f>
        <v>Предварителна стойност</v>
      </c>
      <c r="F365" s="2889"/>
      <c r="G365" s="2889"/>
      <c r="H365" s="1485" t="str">
        <f>H362</f>
        <v>TJ</v>
      </c>
      <c r="I365" s="1487" t="str">
        <f>IF(M236&lt;&gt;EUconst_Relevant,"",IF(AB236=FALSE,EUconst_NA,IF(V236&gt;($J$1840-3),INDEX(T353:Z353,MATCH(V236,T342:Z342,0)),SUM(I362))))</f>
        <v/>
      </c>
      <c r="J365" s="1400" t="str">
        <f>IF($M236&lt;&gt;EUconst_Relevant,"",IF(V362&lt;2,SUM(J255),IF(V362&lt;3,SUM(I255),IF(V365="",I365,V365))))</f>
        <v/>
      </c>
      <c r="K365" s="1401" t="str">
        <f>IF($M236&lt;&gt;EUconst_Relevant,"",IF(W362&lt;2,SUM(K255),IF(W362&lt;3,SUM(J255),IF(W365="",J365,W365))))</f>
        <v/>
      </c>
      <c r="L365" s="1401" t="str">
        <f>IF($M236&lt;&gt;EUconst_Relevant,"",IF(X362&lt;2,SUM(L255),IF(X362&lt;3,SUM(K255),IF(X365="",K365,X365))))</f>
        <v/>
      </c>
      <c r="M365" s="1401" t="str">
        <f>IF($M236&lt;&gt;EUconst_Relevant,"",IF(Y362&lt;2,SUM(M255),IF(Y362&lt;3,SUM(L255),IF(Y365="",L365,Y365))))</f>
        <v/>
      </c>
      <c r="N365" s="1402" t="str">
        <f>IF($M236&lt;&gt;EUconst_Relevant,"",IF(Z362&lt;2,SUM(N255),IF(Z362&lt;3,SUM(M255),IF(Z365="",M365,Z365))))</f>
        <v/>
      </c>
      <c r="O365" s="302"/>
      <c r="P365" s="336"/>
      <c r="Q365" s="1270" t="str">
        <f>EUconst_CNTR_HALprelim&amp;I236</f>
        <v>HALprelim_Подинсталация с топлинен показател (без риск от ИВЕ | извън МКВЕГ)</v>
      </c>
      <c r="R365" s="694"/>
      <c r="S365" s="694"/>
      <c r="T365" s="694"/>
      <c r="U365" s="1215" t="s">
        <v>1756</v>
      </c>
      <c r="V365" s="1227" t="str">
        <f>IF(J362="","",IF(CNTR_ReportingYear&lt;J360,I364,IF($I365=0,J362,$I365*(1+J364))))</f>
        <v/>
      </c>
      <c r="W365" s="1227" t="str">
        <f>IF(K362="","",IF(CNTR_ReportingYear&lt;K360,J364,IF($I365=0,K362,$I365*(1+K364))))</f>
        <v/>
      </c>
      <c r="X365" s="1227" t="str">
        <f>IF(L362="","",IF(CNTR_ReportingYear&lt;L360,K364,IF($I365=0,L362,$I365*(1+L364))))</f>
        <v/>
      </c>
      <c r="Y365" s="1227" t="str">
        <f>IF(M362="","",IF(CNTR_ReportingYear&lt;M360,L364,IF($I365=0,M362,$I365*(1+M364))))</f>
        <v/>
      </c>
      <c r="Z365" s="1228" t="str">
        <f>IF(N362="","",IF(CNTR_ReportingYear&lt;N360,M364,IF($I365=0,N362,$I365*(1+N364))))</f>
        <v/>
      </c>
      <c r="AA365" s="694"/>
      <c r="AB365" s="729"/>
      <c r="AC365" s="694"/>
      <c r="AD365" s="694"/>
      <c r="AE365" s="694"/>
      <c r="AF365" s="694"/>
      <c r="AG365" s="694"/>
      <c r="AH365" s="694"/>
      <c r="AI365" s="694"/>
      <c r="AJ365" s="694"/>
      <c r="AK365" s="694"/>
      <c r="AL365" s="694"/>
      <c r="AM365" s="343"/>
    </row>
    <row r="366" spans="1:39" ht="5.15" customHeight="1" x14ac:dyDescent="0.25">
      <c r="A366" s="729" t="str">
        <f t="shared" si="243"/>
        <v/>
      </c>
      <c r="B366" s="298"/>
      <c r="C366" s="698"/>
      <c r="D366" s="1217"/>
      <c r="E366" s="1199"/>
      <c r="F366" s="1199"/>
      <c r="G366" s="1199"/>
      <c r="H366" s="1199"/>
      <c r="I366" s="1199"/>
      <c r="J366" s="1199"/>
      <c r="K366" s="1199"/>
      <c r="L366" s="1199"/>
      <c r="M366" s="1199"/>
      <c r="N366" s="1238"/>
      <c r="O366" s="302"/>
      <c r="P366" s="336"/>
      <c r="Q366" s="729"/>
      <c r="R366" s="694"/>
      <c r="S366" s="694"/>
      <c r="T366" s="694"/>
      <c r="U366" s="1231"/>
      <c r="V366" s="711"/>
      <c r="W366" s="711"/>
      <c r="X366" s="711"/>
      <c r="Y366" s="711"/>
      <c r="Z366" s="1488"/>
      <c r="AA366" s="694"/>
      <c r="AB366" s="729"/>
      <c r="AC366" s="694"/>
      <c r="AD366" s="694"/>
      <c r="AE366" s="343"/>
      <c r="AF366" s="343"/>
      <c r="AG366" s="343"/>
      <c r="AH366" s="343"/>
      <c r="AI366" s="343"/>
      <c r="AJ366" s="343"/>
      <c r="AK366" s="343"/>
      <c r="AL366" s="343"/>
      <c r="AM366" s="343"/>
    </row>
    <row r="367" spans="1:39" ht="12.75" customHeight="1" x14ac:dyDescent="0.25">
      <c r="A367" s="729" t="str">
        <f t="shared" si="243"/>
        <v/>
      </c>
      <c r="B367" s="298"/>
      <c r="C367" s="698"/>
      <c r="D367" s="1197" t="s">
        <v>1961</v>
      </c>
      <c r="E367" s="2886" t="str">
        <f>Translations!$B$1342</f>
        <v>Корекции: Абсолютен праг</v>
      </c>
      <c r="F367" s="2887"/>
      <c r="G367" s="2887"/>
      <c r="H367" s="2887"/>
      <c r="I367" s="2887"/>
      <c r="J367" s="2887"/>
      <c r="K367" s="2887"/>
      <c r="L367" s="2887"/>
      <c r="M367" s="2887"/>
      <c r="N367" s="2888"/>
      <c r="O367" s="302"/>
      <c r="P367" s="336"/>
      <c r="Q367" s="729"/>
      <c r="R367" s="694"/>
      <c r="S367" s="694"/>
      <c r="T367" s="694"/>
      <c r="U367" s="1231"/>
      <c r="V367" s="729"/>
      <c r="W367" s="694"/>
      <c r="X367" s="694"/>
      <c r="Y367" s="694"/>
      <c r="Z367" s="1232"/>
      <c r="AA367" s="694"/>
      <c r="AB367" s="729"/>
      <c r="AC367" s="694"/>
      <c r="AD367" s="694"/>
      <c r="AE367" s="343"/>
      <c r="AF367" s="343"/>
      <c r="AG367" s="343"/>
      <c r="AH367" s="343"/>
      <c r="AI367" s="343"/>
      <c r="AJ367" s="343"/>
      <c r="AK367" s="343"/>
      <c r="AL367" s="343"/>
      <c r="AM367" s="343"/>
    </row>
    <row r="368" spans="1:39" ht="12.75" customHeight="1" x14ac:dyDescent="0.25">
      <c r="A368" s="729" t="str">
        <f t="shared" si="243"/>
        <v/>
      </c>
      <c r="B368" s="298"/>
      <c r="C368" s="698"/>
      <c r="D368" s="1217"/>
      <c r="E368" s="1233" t="str">
        <f>Translations!$B$1343</f>
        <v>Абсолютен праг</v>
      </c>
      <c r="F368" s="1233"/>
      <c r="G368" s="1233"/>
      <c r="H368" s="1233"/>
      <c r="I368" s="1233"/>
      <c r="J368" s="1202">
        <f>J$1840</f>
        <v>2026</v>
      </c>
      <c r="K368" s="1203">
        <f>K$1840</f>
        <v>2027</v>
      </c>
      <c r="L368" s="1203">
        <f>L$1840</f>
        <v>2028</v>
      </c>
      <c r="M368" s="1203">
        <f>M$1840</f>
        <v>2029</v>
      </c>
      <c r="N368" s="1479">
        <f>N$1840</f>
        <v>2030</v>
      </c>
      <c r="O368" s="302"/>
      <c r="P368" s="336"/>
      <c r="Q368" s="729"/>
      <c r="R368" s="694"/>
      <c r="S368" s="694"/>
      <c r="T368" s="694"/>
      <c r="U368" s="1231"/>
      <c r="V368" s="213"/>
      <c r="W368" s="214" t="s">
        <v>2101</v>
      </c>
      <c r="X368" s="215" t="str">
        <f>IF(OR($X236=0,$X236=""),"",MIN(1,1-(DATE($Z236,12,31)-$X236)/(DATE($Z236,12,31)-DATE($Z236,1,1)+1)))</f>
        <v/>
      </c>
      <c r="Y368" s="1165"/>
      <c r="Z368" s="1235"/>
      <c r="AA368" s="694"/>
      <c r="AB368" s="729"/>
      <c r="AC368" s="694"/>
      <c r="AD368" s="694"/>
      <c r="AE368" s="343"/>
      <c r="AF368" s="343"/>
      <c r="AG368" s="343"/>
      <c r="AH368" s="343"/>
      <c r="AI368" s="343"/>
      <c r="AJ368" s="343"/>
      <c r="AK368" s="343"/>
      <c r="AL368" s="343"/>
      <c r="AM368" s="343"/>
    </row>
    <row r="369" spans="1:39" ht="12.75" customHeight="1" x14ac:dyDescent="0.25">
      <c r="A369" s="729" t="str">
        <f t="shared" si="243"/>
        <v/>
      </c>
      <c r="B369" s="298"/>
      <c r="C369" s="698"/>
      <c r="D369" s="1217"/>
      <c r="E369" s="2889" t="str">
        <f>Translations!$B$1515</f>
        <v>изпълнен ли е критерият за &gt;=300 квоти за емисии?</v>
      </c>
      <c r="F369" s="2889"/>
      <c r="G369" s="2889"/>
      <c r="H369" s="2889"/>
      <c r="I369" s="2890"/>
      <c r="J369" s="1236" t="str">
        <f>IF($M236&lt;&gt;EUconst_Relevant,"",INDEX(K_Summary!J:J,MATCH($Q369,K_Summary!$P:$P,0)))</f>
        <v/>
      </c>
      <c r="K369" s="385" t="str">
        <f>IF($M236&lt;&gt;EUconst_Relevant,"",INDEX(K_Summary!K:K,MATCH($Q369,K_Summary!$P:$P,0)))</f>
        <v/>
      </c>
      <c r="L369" s="385" t="str">
        <f>IF($M236&lt;&gt;EUconst_Relevant,"",INDEX(K_Summary!L:L,MATCH($Q369,K_Summary!$P:$P,0)))</f>
        <v/>
      </c>
      <c r="M369" s="385" t="str">
        <f>IF($M236&lt;&gt;EUconst_Relevant,"",INDEX(K_Summary!M:M,MATCH($Q369,K_Summary!$P:$P,0)))</f>
        <v/>
      </c>
      <c r="N369" s="1237" t="str">
        <f>IF($M236&lt;&gt;EUconst_Relevant,"",INDEX(K_Summary!N:N,MATCH($Q369,K_Summary!$P:$P,0)))</f>
        <v/>
      </c>
      <c r="O369" s="302"/>
      <c r="P369" s="336"/>
      <c r="Q369" s="1190" t="str">
        <f>EUconst_CNTR_300EUA&amp;I236</f>
        <v>EUA300_Подинсталация с топлинен показател (без риск от ИВЕ | извън МКВЕГ)</v>
      </c>
      <c r="R369" s="694"/>
      <c r="S369" s="694"/>
      <c r="T369" s="694"/>
      <c r="U369" s="1231"/>
      <c r="V369" s="216">
        <f>IF(V360=$Z236,$X368,1)</f>
        <v>1</v>
      </c>
      <c r="W369" s="216">
        <f>IF(W360=$Z236,$X368,1)</f>
        <v>1</v>
      </c>
      <c r="X369" s="216">
        <f>IF(X360=$Z236,$X368,1)</f>
        <v>1</v>
      </c>
      <c r="Y369" s="216">
        <f>IF(Y360=$Z236,$X368,1)</f>
        <v>1</v>
      </c>
      <c r="Z369" s="217">
        <f>IF(Z360=$Z236,$X368,1)</f>
        <v>1</v>
      </c>
      <c r="AA369" s="694"/>
      <c r="AB369" s="729"/>
      <c r="AC369" s="694"/>
      <c r="AD369" s="694"/>
      <c r="AE369" s="343"/>
      <c r="AF369" s="343"/>
      <c r="AG369" s="343"/>
      <c r="AH369" s="343"/>
      <c r="AI369" s="343"/>
      <c r="AJ369" s="343"/>
      <c r="AK369" s="343"/>
      <c r="AL369" s="343"/>
      <c r="AM369" s="343"/>
    </row>
    <row r="370" spans="1:39" ht="5.15" customHeight="1" x14ac:dyDescent="0.25">
      <c r="A370" s="729" t="str">
        <f t="shared" si="243"/>
        <v/>
      </c>
      <c r="B370" s="298"/>
      <c r="C370" s="698"/>
      <c r="D370" s="1217"/>
      <c r="E370" s="1199"/>
      <c r="F370" s="1199"/>
      <c r="G370" s="1199"/>
      <c r="H370" s="1199"/>
      <c r="I370" s="1199"/>
      <c r="J370" s="1199"/>
      <c r="K370" s="1199"/>
      <c r="L370" s="1199"/>
      <c r="M370" s="1199"/>
      <c r="N370" s="1238"/>
      <c r="O370" s="302"/>
      <c r="P370" s="336"/>
      <c r="Q370" s="729"/>
      <c r="R370" s="694"/>
      <c r="S370" s="694"/>
      <c r="T370" s="694"/>
      <c r="U370" s="1231"/>
      <c r="V370" s="694"/>
      <c r="W370" s="694"/>
      <c r="X370" s="694"/>
      <c r="Y370" s="694"/>
      <c r="Z370" s="1232"/>
      <c r="AA370" s="729"/>
      <c r="AB370" s="729"/>
      <c r="AC370" s="694"/>
      <c r="AD370" s="694"/>
      <c r="AE370" s="343"/>
      <c r="AF370" s="343"/>
      <c r="AG370" s="343"/>
      <c r="AH370" s="343"/>
      <c r="AI370" s="343"/>
      <c r="AJ370" s="343"/>
      <c r="AK370" s="343"/>
      <c r="AL370" s="343"/>
      <c r="AM370" s="343"/>
    </row>
    <row r="371" spans="1:39" ht="12.75" customHeight="1" x14ac:dyDescent="0.25">
      <c r="A371" s="729" t="str">
        <f t="shared" si="243"/>
        <v/>
      </c>
      <c r="B371" s="298"/>
      <c r="C371" s="698"/>
      <c r="D371" s="1197" t="s">
        <v>2220</v>
      </c>
      <c r="E371" s="2886" t="str">
        <f>Translations!$B$1549</f>
        <v>Определяне на корекциите на очакваното равнище на дейност, включително всякакви промени в ефективността</v>
      </c>
      <c r="F371" s="2887"/>
      <c r="G371" s="2887"/>
      <c r="H371" s="2887"/>
      <c r="I371" s="2887"/>
      <c r="J371" s="2887"/>
      <c r="K371" s="2887"/>
      <c r="L371" s="2887"/>
      <c r="M371" s="2887"/>
      <c r="N371" s="2888"/>
      <c r="O371" s="302"/>
      <c r="P371" s="336"/>
      <c r="Q371" s="729"/>
      <c r="R371" s="694"/>
      <c r="S371" s="694"/>
      <c r="T371" s="694"/>
      <c r="U371" s="1231"/>
      <c r="V371" s="694"/>
      <c r="W371" s="694"/>
      <c r="X371" s="694"/>
      <c r="Y371" s="694"/>
      <c r="Z371" s="1232"/>
      <c r="AA371" s="729"/>
      <c r="AB371" s="729"/>
      <c r="AC371" s="694"/>
      <c r="AD371" s="694"/>
      <c r="AE371" s="343"/>
      <c r="AF371" s="343"/>
      <c r="AG371" s="343"/>
      <c r="AH371" s="343"/>
      <c r="AI371" s="343"/>
      <c r="AJ371" s="343"/>
      <c r="AK371" s="343"/>
      <c r="AL371" s="343"/>
      <c r="AM371" s="343"/>
    </row>
    <row r="372" spans="1:39" ht="12.75" customHeight="1" thickBot="1" x14ac:dyDescent="0.3">
      <c r="A372" s="729" t="str">
        <f t="shared" si="243"/>
        <v/>
      </c>
      <c r="B372" s="698"/>
      <c r="C372" s="698"/>
      <c r="D372" s="1489"/>
      <c r="E372" s="2891" t="str">
        <f>Translations!$B$1550</f>
        <v>Това е крайният резултат, като се вземат предвид всички промени в ефективността, ако е приложимо.</v>
      </c>
      <c r="F372" s="2887"/>
      <c r="G372" s="2887"/>
      <c r="H372" s="2887"/>
      <c r="I372" s="2887"/>
      <c r="J372" s="2887"/>
      <c r="K372" s="2887"/>
      <c r="L372" s="2887"/>
      <c r="M372" s="2887"/>
      <c r="N372" s="2888"/>
      <c r="O372" s="336"/>
      <c r="P372" s="336"/>
      <c r="Q372" s="694"/>
      <c r="R372" s="694"/>
      <c r="S372" s="694"/>
      <c r="T372" s="694"/>
      <c r="U372" s="1231"/>
      <c r="V372" s="694"/>
      <c r="W372" s="694"/>
      <c r="X372" s="694"/>
      <c r="Y372" s="694"/>
      <c r="Z372" s="1232"/>
      <c r="AA372" s="729"/>
      <c r="AB372" s="729"/>
      <c r="AC372" s="694"/>
      <c r="AD372" s="694"/>
      <c r="AE372" s="343"/>
      <c r="AF372" s="343"/>
      <c r="AG372" s="343"/>
      <c r="AH372" s="343"/>
      <c r="AI372" s="343"/>
      <c r="AJ372" s="343"/>
      <c r="AK372" s="343"/>
      <c r="AL372" s="343"/>
      <c r="AM372" s="343"/>
    </row>
    <row r="373" spans="1:39" ht="12.75" customHeight="1" thickBot="1" x14ac:dyDescent="0.3">
      <c r="A373" s="729" t="str">
        <f t="shared" si="243"/>
        <v/>
      </c>
      <c r="B373" s="298"/>
      <c r="C373" s="698"/>
      <c r="D373" s="1208"/>
      <c r="E373" s="2889" t="str">
        <f>Translations!$B$1324</f>
        <v>Действителна корекция (ако са надвишени всички прагове)</v>
      </c>
      <c r="F373" s="2889"/>
      <c r="G373" s="2889"/>
      <c r="H373" s="2889"/>
      <c r="I373" s="1490"/>
      <c r="J373" s="1240" t="str">
        <f>IF(J369="","",IF(J368&gt;$Z236,-100%,IFERROR((1+IF(OR(J369,V362&lt;1),J364,IF(J368=$Z236,SUM(I373),I373)))*V369-1,"")))</f>
        <v/>
      </c>
      <c r="K373" s="1241" t="str">
        <f>IF(K369="","",IF(K368&gt;$Z236,-100%,IFERROR((1+IF(OR(K369,W362&lt;1),K364,IF(K368=$Z236,SUM(J373),J373)))*W369-1,"")))</f>
        <v/>
      </c>
      <c r="L373" s="1241" t="str">
        <f>IF(L369="","",IF(L368&gt;$Z236,-100%,IFERROR((1+IF(OR(L369,X362&lt;1),L364,IF(L368=$Z236,SUM(K373),K373)))*X369-1,"")))</f>
        <v/>
      </c>
      <c r="M373" s="1241" t="str">
        <f>IF(M369="","",IF(M368&gt;$Z236,-100%,IFERROR((1+IF(OR(M369,Y362&lt;1),M364,IF(M368=$Z236,SUM(L373),L373)))*Y369-1,"")))</f>
        <v/>
      </c>
      <c r="N373" s="1242" t="str">
        <f>IF(N369="","",IF(N368&gt;$Z236,-100%,IFERROR((1+IF(OR(N369,Z362&lt;1),N364,IF(N368=$Z236,SUM(M373),M373)))*Z369-1,"")))</f>
        <v/>
      </c>
      <c r="O373" s="302"/>
      <c r="P373" s="336"/>
      <c r="Q373" s="1190" t="str">
        <f>EUconst_CNTR_HALAdjPct &amp; I236</f>
        <v>HALAdjPct_Подинсталация с топлинен показател (без риск от ИВЕ | извън МКВЕГ)</v>
      </c>
      <c r="R373" s="694"/>
      <c r="S373" s="694"/>
      <c r="T373" s="694"/>
      <c r="U373" s="1231" t="s">
        <v>1718</v>
      </c>
      <c r="V373" s="1243">
        <f>J368</f>
        <v>2026</v>
      </c>
      <c r="W373" s="1243">
        <f>K368</f>
        <v>2027</v>
      </c>
      <c r="X373" s="1243">
        <f>L368</f>
        <v>2028</v>
      </c>
      <c r="Y373" s="1243">
        <f>M368</f>
        <v>2029</v>
      </c>
      <c r="Z373" s="1244">
        <f>N368</f>
        <v>2030</v>
      </c>
      <c r="AA373" s="694"/>
      <c r="AB373" s="729"/>
      <c r="AC373" s="694"/>
      <c r="AD373" s="694"/>
      <c r="AE373" s="343"/>
      <c r="AF373" s="343"/>
      <c r="AG373" s="343"/>
      <c r="AH373" s="343"/>
      <c r="AI373" s="343"/>
      <c r="AJ373" s="343"/>
      <c r="AK373" s="343"/>
      <c r="AL373" s="343"/>
      <c r="AM373" s="343"/>
    </row>
    <row r="374" spans="1:39" ht="12.75" customHeight="1" thickBot="1" x14ac:dyDescent="0.3">
      <c r="A374" s="729" t="str">
        <f t="shared" si="243"/>
        <v/>
      </c>
      <c r="B374" s="298"/>
      <c r="C374" s="698"/>
      <c r="D374" s="1217"/>
      <c r="E374" s="2889" t="str">
        <f>Translations!$B$1551</f>
        <v>Действително очаквано равнище на дейност</v>
      </c>
      <c r="F374" s="2892"/>
      <c r="G374" s="2892"/>
      <c r="H374" s="1210" t="str">
        <f>H252</f>
        <v>TJ</v>
      </c>
      <c r="I374" s="1399" t="str">
        <f>I255</f>
        <v/>
      </c>
      <c r="J374" s="661" t="str">
        <f>IF($M236&lt;&gt;EUconst_Relevant,"",IF(OR(J373="",$I374=0,$I374=EUconst_NA),IF(OR(J369=TRUE,J368&lt;=$V236),J255,SUM(I374)),$I374*(1+SUM(J373))))</f>
        <v/>
      </c>
      <c r="K374" s="662" t="str">
        <f>IF($M236&lt;&gt;EUconst_Relevant,"",IF(OR(K373="",$I374=0,$I374=EUconst_NA),IF(OR(K369=TRUE,K368&lt;=$V236),K255,SUM(J374)),$I374*(1+SUM(K373))))</f>
        <v/>
      </c>
      <c r="L374" s="662" t="str">
        <f>IF($M236&lt;&gt;EUconst_Relevant,"",IF(OR(L373="",$I374=0,$I374=EUconst_NA),IF(OR(L369=TRUE,L368&lt;=$V236),L255,SUM(K374)),$I374*(1+SUM(L373))))</f>
        <v/>
      </c>
      <c r="M374" s="662" t="str">
        <f>IF($M236&lt;&gt;EUconst_Relevant,"",IF(OR(M373="",$I374=0,$I374=EUconst_NA),IF(OR(M369=TRUE,M368&lt;=$V236),M255,SUM(L374)),$I374*(1+SUM(M373))))</f>
        <v/>
      </c>
      <c r="N374" s="663" t="str">
        <f>IF($M236&lt;&gt;EUconst_Relevant,"",IF(OR(N373="",$I374=0,$I374=EUconst_NA),IF(OR(N369=TRUE,N368&lt;=$V236),N255,SUM(M374)),$I374*(1+SUM(N373))))</f>
        <v/>
      </c>
      <c r="O374" s="302"/>
      <c r="P374" s="336"/>
      <c r="Q374" s="1190" t="str">
        <f>EUconst_CNTR_HALfinal&amp;I236</f>
        <v>HALfinal_Подинсталация с топлинен показател (без риск от ИВЕ | извън МКВЕГ)</v>
      </c>
      <c r="R374" s="694"/>
      <c r="S374" s="694"/>
      <c r="T374" s="694"/>
      <c r="U374" s="1491" t="b">
        <v>0</v>
      </c>
      <c r="V374" s="1246" t="b">
        <f>IF(J369=TRUE,V253,U374)</f>
        <v>0</v>
      </c>
      <c r="W374" s="1246" t="b">
        <f>IF(K369=TRUE,W253,V374)</f>
        <v>0</v>
      </c>
      <c r="X374" s="1246" t="b">
        <f>IF(L369=TRUE,X253,W374)</f>
        <v>0</v>
      </c>
      <c r="Y374" s="1246" t="b">
        <f>IF(M369=TRUE,Y253,X374)</f>
        <v>0</v>
      </c>
      <c r="Z374" s="1247" t="b">
        <f>IF(N369=TRUE,Z253,Y374)</f>
        <v>0</v>
      </c>
      <c r="AA374" s="694"/>
      <c r="AB374" s="694"/>
      <c r="AC374" s="694"/>
      <c r="AD374" s="694"/>
      <c r="AE374" s="343"/>
      <c r="AF374" s="343"/>
      <c r="AG374" s="343"/>
      <c r="AH374" s="343"/>
      <c r="AI374" s="343"/>
      <c r="AJ374" s="343"/>
      <c r="AK374" s="1174" t="s">
        <v>2033</v>
      </c>
      <c r="AL374" s="982" t="str">
        <f>IF(OR(ISERROR(J374),ISERROR(K374),ISERROR(L374),ISERROR(M374),ISERROR(N374)),EUconst_Error&amp;"FB"&amp; Q236,"")</f>
        <v/>
      </c>
      <c r="AM374" s="343"/>
    </row>
    <row r="375" spans="1:39" ht="5.15" customHeight="1" thickBot="1" x14ac:dyDescent="0.3">
      <c r="A375" s="729" t="str">
        <f t="shared" si="243"/>
        <v/>
      </c>
      <c r="B375" s="698"/>
      <c r="C375" s="698"/>
      <c r="D375" s="1273"/>
      <c r="E375" s="1274"/>
      <c r="F375" s="1274"/>
      <c r="G375" s="1274"/>
      <c r="H375" s="1274"/>
      <c r="I375" s="1274"/>
      <c r="J375" s="1274"/>
      <c r="K375" s="1274"/>
      <c r="L375" s="1274"/>
      <c r="M375" s="1274"/>
      <c r="N375" s="1276"/>
      <c r="O375" s="336"/>
      <c r="P375" s="336"/>
      <c r="Q375" s="694"/>
      <c r="R375" s="694"/>
      <c r="S375" s="694"/>
      <c r="T375" s="694"/>
      <c r="U375" s="694"/>
      <c r="V375" s="694"/>
      <c r="W375" s="694"/>
      <c r="X375" s="694"/>
      <c r="Y375" s="694"/>
      <c r="Z375" s="694"/>
      <c r="AA375" s="694"/>
      <c r="AB375" s="729"/>
      <c r="AC375" s="694"/>
      <c r="AD375" s="694"/>
      <c r="AE375" s="343"/>
      <c r="AF375" s="343"/>
      <c r="AG375" s="343"/>
      <c r="AH375" s="343"/>
      <c r="AI375" s="343"/>
      <c r="AJ375" s="343"/>
      <c r="AK375" s="343"/>
      <c r="AL375" s="343"/>
      <c r="AM375" s="343"/>
    </row>
    <row r="376" spans="1:39" ht="12.75" customHeight="1" thickBot="1" x14ac:dyDescent="0.3">
      <c r="A376" s="694"/>
      <c r="B376" s="698"/>
      <c r="C376" s="698"/>
      <c r="D376" s="698"/>
      <c r="E376" s="698"/>
      <c r="F376" s="698"/>
      <c r="G376" s="698"/>
      <c r="H376" s="698"/>
      <c r="I376" s="698"/>
      <c r="J376" s="698"/>
      <c r="K376" s="698"/>
      <c r="L376" s="698"/>
      <c r="M376" s="698"/>
      <c r="N376" s="698"/>
      <c r="O376" s="336"/>
      <c r="P376" s="336"/>
      <c r="Q376" s="694"/>
      <c r="R376" s="694"/>
      <c r="S376" s="694"/>
      <c r="T376" s="694"/>
      <c r="U376" s="694"/>
      <c r="V376" s="694"/>
      <c r="W376" s="694"/>
      <c r="X376" s="694"/>
      <c r="Y376" s="694"/>
      <c r="Z376" s="694"/>
      <c r="AA376" s="694"/>
      <c r="AB376" s="729"/>
      <c r="AC376" s="694"/>
      <c r="AD376" s="694"/>
      <c r="AE376" s="343"/>
      <c r="AF376" s="343"/>
      <c r="AG376" s="343"/>
      <c r="AH376" s="343"/>
      <c r="AI376" s="343"/>
      <c r="AJ376" s="343"/>
      <c r="AK376" s="343"/>
      <c r="AL376" s="343"/>
      <c r="AM376" s="343"/>
    </row>
    <row r="377" spans="1:39" ht="5.15" customHeight="1" x14ac:dyDescent="0.25">
      <c r="A377" s="694"/>
      <c r="B377" s="284"/>
      <c r="C377" s="1492"/>
      <c r="D377" s="1493"/>
      <c r="E377" s="1493"/>
      <c r="F377" s="1493"/>
      <c r="G377" s="1493"/>
      <c r="H377" s="1493"/>
      <c r="I377" s="1493"/>
      <c r="J377" s="1493"/>
      <c r="K377" s="1493"/>
      <c r="L377" s="1493"/>
      <c r="M377" s="1494"/>
      <c r="N377" s="1495"/>
      <c r="O377" s="336"/>
      <c r="P377" s="336"/>
      <c r="Q377" s="770"/>
      <c r="R377" s="694"/>
      <c r="S377" s="770"/>
      <c r="T377" s="770"/>
      <c r="U377" s="694"/>
      <c r="V377" s="694"/>
      <c r="W377" s="694"/>
      <c r="X377" s="694"/>
      <c r="Y377" s="694"/>
      <c r="Z377" s="694"/>
      <c r="AA377" s="694"/>
      <c r="AB377" s="729"/>
      <c r="AC377" s="694"/>
      <c r="AD377" s="694"/>
      <c r="AE377" s="343"/>
      <c r="AF377" s="343"/>
      <c r="AG377" s="343"/>
      <c r="AH377" s="343"/>
      <c r="AI377" s="343"/>
      <c r="AJ377" s="343"/>
      <c r="AK377" s="343"/>
      <c r="AL377" s="343"/>
      <c r="AM377" s="343"/>
    </row>
    <row r="378" spans="1:39" ht="15" customHeight="1" x14ac:dyDescent="0.25">
      <c r="A378" s="694"/>
      <c r="B378" s="698"/>
      <c r="C378" s="1496"/>
      <c r="D378" s="2857" t="str">
        <f>Translations!$B$502</f>
        <v>Данни, необходими за определяне на нивото на подобрение на продуктовите показатели съгласно 10а, параграф 2 от Директивата за СТЕ на ЕС</v>
      </c>
      <c r="E378" s="2851"/>
      <c r="F378" s="2851"/>
      <c r="G378" s="2851"/>
      <c r="H378" s="2851"/>
      <c r="I378" s="2851"/>
      <c r="J378" s="2851"/>
      <c r="K378" s="2851"/>
      <c r="L378" s="2851"/>
      <c r="M378" s="2851"/>
      <c r="N378" s="2852"/>
      <c r="O378" s="336"/>
      <c r="P378" s="336"/>
      <c r="Q378" s="694"/>
      <c r="R378" s="694"/>
      <c r="S378" s="770"/>
      <c r="T378" s="770"/>
      <c r="U378" s="694"/>
      <c r="V378" s="694"/>
      <c r="W378" s="694"/>
      <c r="X378" s="694"/>
      <c r="Y378" s="694"/>
      <c r="Z378" s="694"/>
      <c r="AA378" s="694"/>
      <c r="AB378" s="729"/>
      <c r="AC378" s="694"/>
      <c r="AD378" s="694"/>
      <c r="AE378" s="343"/>
      <c r="AF378" s="343"/>
      <c r="AG378" s="343"/>
      <c r="AH378" s="343"/>
      <c r="AI378" s="343"/>
      <c r="AJ378" s="343"/>
      <c r="AK378" s="343"/>
      <c r="AL378" s="343"/>
      <c r="AM378" s="343"/>
    </row>
    <row r="379" spans="1:39" ht="5.15" customHeight="1" x14ac:dyDescent="0.25">
      <c r="A379" s="694"/>
      <c r="B379" s="698"/>
      <c r="C379" s="1303"/>
      <c r="D379" s="1304"/>
      <c r="E379" s="1304"/>
      <c r="F379" s="1304"/>
      <c r="G379" s="1304"/>
      <c r="H379" s="1304"/>
      <c r="I379" s="1304"/>
      <c r="J379" s="1304"/>
      <c r="K379" s="1304"/>
      <c r="L379" s="1304"/>
      <c r="M379" s="1304"/>
      <c r="N379" s="1305"/>
      <c r="O379" s="336"/>
      <c r="P379" s="336"/>
      <c r="Q379" s="694"/>
      <c r="R379" s="694"/>
      <c r="S379" s="770"/>
      <c r="T379" s="770"/>
      <c r="U379" s="694"/>
      <c r="V379" s="694"/>
      <c r="W379" s="694"/>
      <c r="X379" s="694"/>
      <c r="Y379" s="694"/>
      <c r="Z379" s="694"/>
      <c r="AA379" s="694"/>
      <c r="AB379" s="729"/>
      <c r="AC379" s="694"/>
      <c r="AD379" s="694"/>
      <c r="AE379" s="343"/>
      <c r="AF379" s="343"/>
      <c r="AG379" s="343"/>
      <c r="AH379" s="343"/>
      <c r="AI379" s="343"/>
      <c r="AJ379" s="343"/>
      <c r="AK379" s="343"/>
      <c r="AL379" s="343"/>
      <c r="AM379" s="343"/>
    </row>
    <row r="380" spans="1:39" ht="15" customHeight="1" x14ac:dyDescent="0.25">
      <c r="A380" s="694"/>
      <c r="B380" s="698"/>
      <c r="C380" s="1303"/>
      <c r="D380" s="2841" t="str">
        <f>EUconst_FBSubinst &amp; ":"</f>
        <v>Алтернативна подинсталация („Fall-Back sub-installation“):</v>
      </c>
      <c r="E380" s="2839"/>
      <c r="F380" s="2839"/>
      <c r="G380" s="2839"/>
      <c r="H380" s="2842"/>
      <c r="I380" s="2843" t="str">
        <f>I236</f>
        <v>Подинсталация с топлинен показател (без риск от ИВЕ | извън МКВЕГ)</v>
      </c>
      <c r="J380" s="2844"/>
      <c r="K380" s="2844"/>
      <c r="L380" s="2844"/>
      <c r="M380" s="2844"/>
      <c r="N380" s="2845"/>
      <c r="O380" s="336"/>
      <c r="P380" s="336"/>
      <c r="Q380" s="694"/>
      <c r="R380" s="694"/>
      <c r="S380" s="770"/>
      <c r="T380" s="770"/>
      <c r="U380" s="694"/>
      <c r="V380" s="694"/>
      <c r="W380" s="694"/>
      <c r="X380" s="694"/>
      <c r="Y380" s="694"/>
      <c r="Z380" s="694"/>
      <c r="AA380" s="694"/>
      <c r="AB380" s="729"/>
      <c r="AC380" s="694"/>
      <c r="AD380" s="694"/>
      <c r="AE380" s="343"/>
      <c r="AF380" s="343"/>
      <c r="AG380" s="343"/>
      <c r="AH380" s="343"/>
      <c r="AI380" s="343"/>
      <c r="AJ380" s="343"/>
      <c r="AK380" s="343"/>
      <c r="AL380" s="343"/>
      <c r="AM380" s="343"/>
    </row>
    <row r="381" spans="1:39" ht="5.15" customHeight="1" x14ac:dyDescent="0.25">
      <c r="A381" s="694"/>
      <c r="B381" s="698"/>
      <c r="C381" s="1303"/>
      <c r="D381" s="1304"/>
      <c r="E381" s="1304"/>
      <c r="F381" s="1304"/>
      <c r="G381" s="1304"/>
      <c r="H381" s="1304"/>
      <c r="I381" s="1304"/>
      <c r="J381" s="1304"/>
      <c r="K381" s="1304"/>
      <c r="L381" s="1304"/>
      <c r="M381" s="1304"/>
      <c r="N381" s="1305"/>
      <c r="O381" s="336"/>
      <c r="P381" s="336"/>
      <c r="Q381" s="694"/>
      <c r="R381" s="694"/>
      <c r="S381" s="770"/>
      <c r="T381" s="770"/>
      <c r="U381" s="694"/>
      <c r="V381" s="694"/>
      <c r="W381" s="694"/>
      <c r="X381" s="694"/>
      <c r="Y381" s="694"/>
      <c r="Z381" s="694"/>
      <c r="AA381" s="694"/>
      <c r="AB381" s="729"/>
      <c r="AC381" s="694"/>
      <c r="AD381" s="694"/>
      <c r="AE381" s="343"/>
      <c r="AF381" s="343"/>
      <c r="AG381" s="343"/>
      <c r="AH381" s="343"/>
      <c r="AI381" s="343"/>
      <c r="AJ381" s="343"/>
      <c r="AK381" s="343"/>
      <c r="AL381" s="343"/>
      <c r="AM381" s="343"/>
    </row>
    <row r="382" spans="1:39" ht="30" customHeight="1" x14ac:dyDescent="0.25">
      <c r="A382" s="694"/>
      <c r="B382" s="284"/>
      <c r="C382" s="1496"/>
      <c r="D382" s="1497"/>
      <c r="E382" s="2933" t="str">
        <f>Translations!$B$503</f>
        <v>В този подраздел се обхваща разпределението на емисии по пораждащи емисии потоци, източници на емисии, получена или подадена измерима топлинна енергия и отпадни газове, включително загубите на топлинна енергия съгласно раздел 10 от приложение VII към ПБР.</v>
      </c>
      <c r="F382" s="2933"/>
      <c r="G382" s="2933"/>
      <c r="H382" s="2933"/>
      <c r="I382" s="2933"/>
      <c r="J382" s="2933"/>
      <c r="K382" s="2933"/>
      <c r="L382" s="2933"/>
      <c r="M382" s="2933"/>
      <c r="N382" s="1498"/>
      <c r="O382" s="336"/>
      <c r="P382" s="336"/>
      <c r="Q382" s="770"/>
      <c r="R382" s="694"/>
      <c r="S382" s="694"/>
      <c r="T382" s="694"/>
      <c r="U382" s="694"/>
      <c r="V382" s="694"/>
      <c r="W382" s="694"/>
      <c r="X382" s="694"/>
      <c r="Y382" s="694"/>
      <c r="Z382" s="694"/>
      <c r="AA382" s="694"/>
      <c r="AB382" s="729"/>
      <c r="AC382" s="694"/>
      <c r="AD382" s="694"/>
      <c r="AE382" s="343"/>
      <c r="AF382" s="343"/>
      <c r="AG382" s="343"/>
      <c r="AH382" s="343"/>
      <c r="AI382" s="343"/>
      <c r="AJ382" s="343"/>
      <c r="AK382" s="343"/>
      <c r="AL382" s="343"/>
      <c r="AM382" s="343"/>
    </row>
    <row r="383" spans="1:39" ht="30" customHeight="1" x14ac:dyDescent="0.25">
      <c r="A383" s="694"/>
      <c r="B383" s="298"/>
      <c r="C383" s="1302"/>
      <c r="D383" s="1306"/>
      <c r="E383" s="2846" t="str">
        <f>Translations!$B$504</f>
        <v xml:space="preserve">Моля, имайте предвид, че въпреки дадените известни насоки по всяка от точките по-долу трябва да потърсите допълнителна информация в обяснителна бележка № 5 („Мониторинг и докладване във връзка с ПБР“), която съдържа и примери. </v>
      </c>
      <c r="F383" s="2846"/>
      <c r="G383" s="2846"/>
      <c r="H383" s="2846"/>
      <c r="I383" s="2846"/>
      <c r="J383" s="2846"/>
      <c r="K383" s="2846"/>
      <c r="L383" s="2846"/>
      <c r="M383" s="2846"/>
      <c r="N383" s="1372"/>
      <c r="O383" s="336"/>
      <c r="P383" s="336"/>
      <c r="Q383" s="729"/>
      <c r="R383" s="694"/>
      <c r="S383" s="694"/>
      <c r="T383" s="694"/>
      <c r="U383" s="694"/>
      <c r="V383" s="694"/>
      <c r="W383" s="694"/>
      <c r="X383" s="694"/>
      <c r="Y383" s="694"/>
      <c r="Z383" s="694"/>
      <c r="AA383" s="694"/>
      <c r="AB383" s="729"/>
      <c r="AC383" s="694"/>
      <c r="AD383" s="694"/>
      <c r="AE383" s="343"/>
      <c r="AF383" s="343"/>
      <c r="AG383" s="343"/>
      <c r="AH383" s="343"/>
      <c r="AI383" s="343"/>
      <c r="AJ383" s="343"/>
      <c r="AK383" s="343"/>
      <c r="AL383" s="343"/>
      <c r="AM383" s="343"/>
    </row>
    <row r="384" spans="1:39" ht="12.75" customHeight="1" x14ac:dyDescent="0.25">
      <c r="A384" s="694"/>
      <c r="B384" s="298"/>
      <c r="C384" s="1302"/>
      <c r="D384" s="1306"/>
      <c r="E384" s="2846" t="str">
        <f>Translations!$B$505</f>
        <v>Можете да изтеглите насоките на адрес: https://ec.europa.eu/clima/policies/ets/allowances_en#tab-0-1</v>
      </c>
      <c r="F384" s="2240"/>
      <c r="G384" s="2240"/>
      <c r="H384" s="2240"/>
      <c r="I384" s="2240"/>
      <c r="J384" s="2240"/>
      <c r="K384" s="2240"/>
      <c r="L384" s="2240"/>
      <c r="M384" s="2240"/>
      <c r="N384" s="1372"/>
      <c r="O384" s="336"/>
      <c r="P384" s="336"/>
      <c r="Q384" s="729"/>
      <c r="R384" s="694"/>
      <c r="S384" s="694"/>
      <c r="T384" s="694"/>
      <c r="U384" s="694"/>
      <c r="V384" s="694"/>
      <c r="W384" s="694"/>
      <c r="X384" s="694"/>
      <c r="Y384" s="694"/>
      <c r="Z384" s="694"/>
      <c r="AA384" s="694"/>
      <c r="AB384" s="729"/>
      <c r="AC384" s="694"/>
      <c r="AD384" s="694"/>
      <c r="AE384" s="343"/>
      <c r="AF384" s="343"/>
      <c r="AG384" s="343"/>
      <c r="AH384" s="343"/>
      <c r="AI384" s="343"/>
      <c r="AJ384" s="343"/>
      <c r="AK384" s="343"/>
      <c r="AL384" s="343"/>
      <c r="AM384" s="343"/>
    </row>
    <row r="385" spans="1:39" ht="15" customHeight="1" x14ac:dyDescent="0.25">
      <c r="A385" s="694"/>
      <c r="B385" s="298"/>
      <c r="C385" s="1302"/>
      <c r="D385" s="1306"/>
      <c r="E385" s="2848" t="str">
        <f>F_ProductBM!$E$674</f>
        <v>https://climate.ec.europa.eu/eu-action/carbon-markets/eu-emissions-trading-system-eu-ets/free-allocation/about-free-allocation_en</v>
      </c>
      <c r="F385" s="2848"/>
      <c r="G385" s="2848"/>
      <c r="H385" s="2848"/>
      <c r="I385" s="2848"/>
      <c r="J385" s="2848"/>
      <c r="K385" s="2848"/>
      <c r="L385" s="2848"/>
      <c r="M385" s="2848"/>
      <c r="N385" s="1372"/>
      <c r="O385" s="336"/>
      <c r="P385" s="336"/>
      <c r="Q385" s="729"/>
      <c r="R385" s="694"/>
      <c r="S385" s="694"/>
      <c r="T385" s="694"/>
      <c r="U385" s="694"/>
      <c r="V385" s="694"/>
      <c r="W385" s="694"/>
      <c r="X385" s="694"/>
      <c r="Y385" s="694"/>
      <c r="Z385" s="694"/>
      <c r="AA385" s="694"/>
      <c r="AB385" s="729"/>
      <c r="AC385" s="694"/>
      <c r="AD385" s="694"/>
      <c r="AE385" s="343"/>
      <c r="AF385" s="343"/>
      <c r="AG385" s="343"/>
      <c r="AH385" s="343"/>
      <c r="AI385" s="343"/>
      <c r="AJ385" s="343"/>
      <c r="AK385" s="343"/>
      <c r="AL385" s="343"/>
      <c r="AM385" s="343"/>
    </row>
    <row r="386" spans="1:39" ht="15" customHeight="1" x14ac:dyDescent="0.25">
      <c r="A386" s="694"/>
      <c r="B386" s="284"/>
      <c r="C386" s="1496"/>
      <c r="D386" s="1497"/>
      <c r="E386" s="2849" t="str">
        <f>Translations!$B$506</f>
        <v>При въвеждане на данните по-долу емисиите, които могат да бъдат зададени, са изчислени в раздел K.III.2 в листа за обобщение.</v>
      </c>
      <c r="F386" s="2849"/>
      <c r="G386" s="2849"/>
      <c r="H386" s="2849"/>
      <c r="I386" s="2849"/>
      <c r="J386" s="2849"/>
      <c r="K386" s="2849"/>
      <c r="L386" s="2849"/>
      <c r="M386" s="2849"/>
      <c r="N386" s="1498"/>
      <c r="O386" s="336"/>
      <c r="P386" s="336"/>
      <c r="Q386" s="770"/>
      <c r="R386" s="694"/>
      <c r="S386" s="694"/>
      <c r="T386" s="694"/>
      <c r="U386" s="694"/>
      <c r="V386" s="694"/>
      <c r="W386" s="694"/>
      <c r="X386" s="694"/>
      <c r="Y386" s="694"/>
      <c r="Z386" s="694"/>
      <c r="AA386" s="694"/>
      <c r="AB386" s="729"/>
      <c r="AC386" s="694"/>
      <c r="AD386" s="694"/>
      <c r="AE386" s="343"/>
      <c r="AF386" s="343"/>
      <c r="AG386" s="343"/>
      <c r="AH386" s="343"/>
      <c r="AI386" s="343"/>
      <c r="AJ386" s="343"/>
      <c r="AK386" s="343"/>
      <c r="AL386" s="343"/>
      <c r="AM386" s="343"/>
    </row>
    <row r="387" spans="1:39" ht="5.15" customHeight="1" x14ac:dyDescent="0.25">
      <c r="A387" s="694"/>
      <c r="B387" s="698"/>
      <c r="C387" s="1303"/>
      <c r="D387" s="1304"/>
      <c r="E387" s="1304"/>
      <c r="F387" s="1304"/>
      <c r="G387" s="1304"/>
      <c r="H387" s="1304"/>
      <c r="I387" s="1304"/>
      <c r="J387" s="1304"/>
      <c r="K387" s="1304"/>
      <c r="L387" s="1304"/>
      <c r="M387" s="1304"/>
      <c r="N387" s="1305"/>
      <c r="O387" s="336"/>
      <c r="P387" s="336"/>
      <c r="Q387" s="694"/>
      <c r="R387" s="694"/>
      <c r="S387" s="770"/>
      <c r="T387" s="770"/>
      <c r="U387" s="694"/>
      <c r="V387" s="694"/>
      <c r="W387" s="694"/>
      <c r="X387" s="694"/>
      <c r="Y387" s="694"/>
      <c r="Z387" s="694"/>
      <c r="AA387" s="694"/>
      <c r="AB387" s="729"/>
      <c r="AC387" s="694"/>
      <c r="AD387" s="694"/>
      <c r="AE387" s="343"/>
      <c r="AF387" s="343"/>
      <c r="AG387" s="343"/>
      <c r="AH387" s="343"/>
      <c r="AI387" s="343"/>
      <c r="AJ387" s="343"/>
      <c r="AK387" s="343"/>
      <c r="AL387" s="343"/>
      <c r="AM387" s="343"/>
    </row>
    <row r="388" spans="1:39" ht="12.75" customHeight="1" x14ac:dyDescent="0.25">
      <c r="A388" s="694"/>
      <c r="B388" s="284"/>
      <c r="C388" s="1496"/>
      <c r="D388" s="1307" t="s">
        <v>46</v>
      </c>
      <c r="E388" s="2850" t="str">
        <f>Translations!$B$626</f>
        <v>Емисии, които могат се зададат пряко (DirEm*) на тази подинсталация</v>
      </c>
      <c r="F388" s="2851"/>
      <c r="G388" s="2851"/>
      <c r="H388" s="2851"/>
      <c r="I388" s="2851"/>
      <c r="J388" s="2851"/>
      <c r="K388" s="2851"/>
      <c r="L388" s="2851"/>
      <c r="M388" s="2851"/>
      <c r="N388" s="2852"/>
      <c r="O388" s="336"/>
      <c r="P388" s="336"/>
      <c r="Q388" s="770"/>
      <c r="R388" s="694"/>
      <c r="S388" s="770"/>
      <c r="T388" s="770"/>
      <c r="U388" s="694"/>
      <c r="V388" s="694"/>
      <c r="W388" s="694"/>
      <c r="X388" s="694"/>
      <c r="Y388" s="694"/>
      <c r="Z388" s="694"/>
      <c r="AA388" s="694"/>
      <c r="AB388" s="729"/>
      <c r="AC388" s="694"/>
      <c r="AD388" s="694"/>
      <c r="AE388" s="343"/>
      <c r="AF388" s="343"/>
      <c r="AG388" s="343"/>
      <c r="AH388" s="343"/>
      <c r="AI388" s="343"/>
      <c r="AJ388" s="343"/>
      <c r="AK388" s="343"/>
      <c r="AL388" s="343"/>
      <c r="AM388" s="343"/>
    </row>
    <row r="389" spans="1:39" ht="12.75" customHeight="1" x14ac:dyDescent="0.25">
      <c r="A389" s="694"/>
      <c r="B389" s="284"/>
      <c r="C389" s="1496"/>
      <c r="D389" s="1307"/>
      <c r="E389" s="2927" t="str">
        <f>Translations!$B$508</f>
        <v>Посочените тук данни ще се отразят на емисиите, които могат да бъдат зададени съгласно раздел 10.1.1 от приложение VII към ПБР.</v>
      </c>
      <c r="F389" s="2927"/>
      <c r="G389" s="2927"/>
      <c r="H389" s="2927"/>
      <c r="I389" s="2927"/>
      <c r="J389" s="2927"/>
      <c r="K389" s="2927"/>
      <c r="L389" s="2927"/>
      <c r="M389" s="2927"/>
      <c r="N389" s="2928"/>
      <c r="O389" s="336"/>
      <c r="P389" s="336"/>
      <c r="Q389" s="770"/>
      <c r="R389" s="694"/>
      <c r="S389" s="770"/>
      <c r="T389" s="770"/>
      <c r="U389" s="694"/>
      <c r="V389" s="694"/>
      <c r="W389" s="694"/>
      <c r="X389" s="694"/>
      <c r="Y389" s="694"/>
      <c r="Z389" s="694"/>
      <c r="AA389" s="694"/>
      <c r="AB389" s="729"/>
      <c r="AC389" s="694"/>
      <c r="AD389" s="694"/>
      <c r="AE389" s="343"/>
      <c r="AF389" s="343"/>
      <c r="AG389" s="343"/>
      <c r="AH389" s="343"/>
      <c r="AI389" s="343"/>
      <c r="AJ389" s="343"/>
      <c r="AK389" s="343"/>
      <c r="AL389" s="343"/>
      <c r="AM389" s="343"/>
    </row>
    <row r="390" spans="1:39" ht="12.75" customHeight="1" x14ac:dyDescent="0.25">
      <c r="A390" s="694"/>
      <c r="B390" s="284"/>
      <c r="C390" s="1496"/>
      <c r="D390" s="1497"/>
      <c r="E390" s="2836" t="str">
        <f>Translations!$B$627</f>
        <v>Моля, въведете преките емисии, като вземете предвид следните уговорки:</v>
      </c>
      <c r="F390" s="2836"/>
      <c r="G390" s="2836"/>
      <c r="H390" s="2836"/>
      <c r="I390" s="2836"/>
      <c r="J390" s="2836"/>
      <c r="K390" s="2836"/>
      <c r="L390" s="2836"/>
      <c r="M390" s="2836"/>
      <c r="N390" s="2837"/>
      <c r="O390" s="336"/>
      <c r="P390" s="336"/>
      <c r="Q390" s="770"/>
      <c r="R390" s="694"/>
      <c r="S390" s="770"/>
      <c r="T390" s="694"/>
      <c r="U390" s="694"/>
      <c r="V390" s="694"/>
      <c r="W390" s="694"/>
      <c r="X390" s="694"/>
      <c r="Y390" s="694"/>
      <c r="Z390" s="694"/>
      <c r="AA390" s="694"/>
      <c r="AB390" s="729"/>
      <c r="AC390" s="694"/>
      <c r="AD390" s="694"/>
      <c r="AE390" s="343"/>
      <c r="AF390" s="343"/>
      <c r="AG390" s="343"/>
      <c r="AH390" s="343"/>
      <c r="AI390" s="343"/>
      <c r="AJ390" s="343"/>
      <c r="AK390" s="343"/>
      <c r="AL390" s="343"/>
      <c r="AM390" s="343"/>
    </row>
    <row r="391" spans="1:39" ht="25.5" customHeight="1" x14ac:dyDescent="0.25">
      <c r="A391" s="694"/>
      <c r="B391" s="284"/>
      <c r="C391" s="1496"/>
      <c r="D391" s="1497"/>
      <c r="E391" s="1308" t="s">
        <v>1052</v>
      </c>
      <c r="F391" s="2838" t="str">
        <f>Translations!$B$628</f>
        <v>За преките емисии се извършва мониторинг в съответствие с плана за мониторинг, одобрен съгласно Регламента относно мониторинга и докладването (РМД), т.е. като се отчитат емисиите, получени по методики, основани на изчисления (като се използват пораждащите емисии потоци), по базиращи се на измервания методики (БИМ), както и по подходи без подреждане („fall-backs“).</v>
      </c>
      <c r="G391" s="2838"/>
      <c r="H391" s="2838"/>
      <c r="I391" s="2838"/>
      <c r="J391" s="2838"/>
      <c r="K391" s="2838"/>
      <c r="L391" s="2838"/>
      <c r="M391" s="2838"/>
      <c r="N391" s="2931"/>
      <c r="O391" s="336"/>
      <c r="P391" s="336"/>
      <c r="Q391" s="770"/>
      <c r="R391" s="694"/>
      <c r="S391" s="770"/>
      <c r="T391" s="694"/>
      <c r="U391" s="694"/>
      <c r="V391" s="694"/>
      <c r="W391" s="694"/>
      <c r="X391" s="694"/>
      <c r="Y391" s="694"/>
      <c r="Z391" s="694"/>
      <c r="AA391" s="694"/>
      <c r="AB391" s="729"/>
      <c r="AC391" s="694"/>
      <c r="AD391" s="694"/>
      <c r="AE391" s="343"/>
      <c r="AF391" s="343"/>
      <c r="AG391" s="343"/>
      <c r="AH391" s="343"/>
      <c r="AI391" s="343"/>
      <c r="AJ391" s="343"/>
      <c r="AK391" s="343"/>
      <c r="AL391" s="343"/>
      <c r="AM391" s="343"/>
    </row>
    <row r="392" spans="1:39" ht="38.25" customHeight="1" x14ac:dyDescent="0.25">
      <c r="A392" s="694"/>
      <c r="B392" s="298"/>
      <c r="C392" s="1302"/>
      <c r="D392" s="1306"/>
      <c r="E392" s="1308"/>
      <c r="F392" s="2810" t="str">
        <f>Translations!$B$629</f>
        <v>В някои случая обаче в този раздел „преките емисии“ не са същите като отчетените съгласно РМД. Такива случаи са например пораждащи емисии потоци, използвани за производство на измерима топлинна енергия, отпадни газове и др. С други думи, моля, попълнете разделите по-долу при строго спазване на инструкциите, за да се избегнат двойно отчитане или пропуски.</v>
      </c>
      <c r="G392" s="2240"/>
      <c r="H392" s="2240"/>
      <c r="I392" s="2240"/>
      <c r="J392" s="2240"/>
      <c r="K392" s="2240"/>
      <c r="L392" s="2240"/>
      <c r="M392" s="2240"/>
      <c r="N392" s="2811"/>
      <c r="O392" s="336"/>
      <c r="P392" s="336"/>
      <c r="Q392" s="729"/>
      <c r="R392" s="694"/>
      <c r="S392" s="729"/>
      <c r="T392" s="694"/>
      <c r="U392" s="694"/>
      <c r="V392" s="694"/>
      <c r="W392" s="694"/>
      <c r="X392" s="694"/>
      <c r="Y392" s="694"/>
      <c r="Z392" s="694"/>
      <c r="AA392" s="694"/>
      <c r="AB392" s="729"/>
      <c r="AC392" s="694"/>
      <c r="AD392" s="694"/>
      <c r="AE392" s="343"/>
      <c r="AF392" s="343"/>
      <c r="AG392" s="343"/>
      <c r="AH392" s="343"/>
      <c r="AI392" s="343"/>
      <c r="AJ392" s="343"/>
      <c r="AK392" s="343"/>
      <c r="AL392" s="343"/>
      <c r="AM392" s="343"/>
    </row>
    <row r="393" spans="1:39" ht="12.75" customHeight="1" x14ac:dyDescent="0.25">
      <c r="A393" s="694"/>
      <c r="B393" s="284"/>
      <c r="C393" s="1496"/>
      <c r="D393" s="1497"/>
      <c r="E393" s="1308" t="s">
        <v>1052</v>
      </c>
      <c r="F393" s="2838" t="str">
        <f>Translations!$B$630</f>
        <v xml:space="preserve">Измерима топлинна енергия: в случай че топлинната енергия е произведена изключително за тази подинсталация, емисиите могат да се зададат пряко тук чрез емисиите от горивата. </v>
      </c>
      <c r="G393" s="2838"/>
      <c r="H393" s="2838"/>
      <c r="I393" s="2838"/>
      <c r="J393" s="2838"/>
      <c r="K393" s="2838"/>
      <c r="L393" s="2838"/>
      <c r="M393" s="2838"/>
      <c r="N393" s="2931"/>
      <c r="O393" s="336"/>
      <c r="P393" s="336"/>
      <c r="Q393" s="770"/>
      <c r="R393" s="694"/>
      <c r="S393" s="770"/>
      <c r="T393" s="694"/>
      <c r="U393" s="694"/>
      <c r="V393" s="694"/>
      <c r="W393" s="694"/>
      <c r="X393" s="694"/>
      <c r="Y393" s="694"/>
      <c r="Z393" s="694"/>
      <c r="AA393" s="694"/>
      <c r="AB393" s="729"/>
      <c r="AC393" s="694"/>
      <c r="AD393" s="694"/>
      <c r="AE393" s="343"/>
      <c r="AF393" s="343"/>
      <c r="AG393" s="343"/>
      <c r="AH393" s="343"/>
      <c r="AI393" s="343"/>
      <c r="AJ393" s="343"/>
      <c r="AK393" s="343"/>
      <c r="AL393" s="343"/>
      <c r="AM393" s="343"/>
    </row>
    <row r="394" spans="1:39" ht="26.15" customHeight="1" x14ac:dyDescent="0.25">
      <c r="A394" s="694"/>
      <c r="B394" s="284"/>
      <c r="C394" s="1496"/>
      <c r="D394" s="1497"/>
      <c r="E394" s="1308"/>
      <c r="F394" s="2838" t="str">
        <f>Translations!$B$631</f>
        <v>Когато при производството на измерима топлинна енергия, която се консумира в повече от една подинсталация (напр. централна електростанция в инсталацията или по-сложна мрежа за генериране на пара с няколко съоръжения за производство на топлинна енергия), са използвани горива, горивата не трябва да се включват в преките емисии на подинсталацията, а в точка f).i по-долу.</v>
      </c>
      <c r="G394" s="2838"/>
      <c r="H394" s="2838"/>
      <c r="I394" s="2838"/>
      <c r="J394" s="2838"/>
      <c r="K394" s="2838"/>
      <c r="L394" s="2838"/>
      <c r="M394" s="2838"/>
      <c r="N394" s="2931"/>
      <c r="O394" s="336"/>
      <c r="P394" s="336"/>
      <c r="Q394" s="770"/>
      <c r="R394" s="694"/>
      <c r="S394" s="770"/>
      <c r="T394" s="694"/>
      <c r="U394" s="694"/>
      <c r="V394" s="694"/>
      <c r="W394" s="694"/>
      <c r="X394" s="694"/>
      <c r="Y394" s="694"/>
      <c r="Z394" s="694"/>
      <c r="AA394" s="694"/>
      <c r="AB394" s="729"/>
      <c r="AC394" s="694"/>
      <c r="AD394" s="694"/>
      <c r="AE394" s="343"/>
      <c r="AF394" s="343"/>
      <c r="AG394" s="343"/>
      <c r="AH394" s="343"/>
      <c r="AI394" s="343"/>
      <c r="AJ394" s="343"/>
      <c r="AK394" s="343"/>
      <c r="AL394" s="343"/>
      <c r="AM394" s="343"/>
    </row>
    <row r="395" spans="1:39" ht="25.5" customHeight="1" thickBot="1" x14ac:dyDescent="0.3">
      <c r="A395" s="694"/>
      <c r="B395" s="284"/>
      <c r="C395" s="1496"/>
      <c r="D395" s="1497"/>
      <c r="E395" s="1308" t="s">
        <v>1052</v>
      </c>
      <c r="F395" s="2838" t="str">
        <f>Translations!$B$632</f>
        <v>Отпадни газове: емисиите, свързани с измерима топлинна енергия, произведена от отпадните газове, получени от други инсталации или подинсталации и използвани в тази подинсталация, не се включват тук, а се въвеждат в точка f).xiii по-долу.</v>
      </c>
      <c r="G395" s="2839"/>
      <c r="H395" s="2839"/>
      <c r="I395" s="2839"/>
      <c r="J395" s="2839"/>
      <c r="K395" s="2839"/>
      <c r="L395" s="2839"/>
      <c r="M395" s="2839"/>
      <c r="N395" s="2840"/>
      <c r="O395" s="336"/>
      <c r="P395" s="336"/>
      <c r="Q395" s="770"/>
      <c r="R395" s="694"/>
      <c r="S395" s="770"/>
      <c r="T395" s="694"/>
      <c r="U395" s="694"/>
      <c r="V395" s="694"/>
      <c r="W395" s="694"/>
      <c r="X395" s="694"/>
      <c r="Y395" s="694"/>
      <c r="Z395" s="694"/>
      <c r="AA395" s="694"/>
      <c r="AB395" s="729"/>
      <c r="AC395" s="694"/>
      <c r="AD395" s="694"/>
      <c r="AE395" s="343"/>
      <c r="AF395" s="343"/>
      <c r="AG395" s="343"/>
      <c r="AH395" s="343"/>
      <c r="AI395" s="343"/>
      <c r="AJ395" s="343"/>
      <c r="AK395" s="343"/>
      <c r="AL395" s="343"/>
      <c r="AM395" s="343"/>
    </row>
    <row r="396" spans="1:39" ht="12.75" customHeight="1" thickBot="1" x14ac:dyDescent="0.3">
      <c r="A396" s="694"/>
      <c r="B396" s="284"/>
      <c r="C396" s="1496"/>
      <c r="D396" s="1307"/>
      <c r="E396" s="1317" t="str">
        <f>Translations!$B$486</f>
        <v>Общо преки емисии</v>
      </c>
      <c r="F396" s="1318"/>
      <c r="G396" s="1309" t="str">
        <f>EUconst_Unit</f>
        <v>Единица мярка</v>
      </c>
      <c r="H396" s="629">
        <f t="shared" ref="H396:N396" si="380">H$1840</f>
        <v>2024</v>
      </c>
      <c r="I396" s="629">
        <f t="shared" si="380"/>
        <v>2025</v>
      </c>
      <c r="J396" s="629">
        <f t="shared" si="380"/>
        <v>2026</v>
      </c>
      <c r="K396" s="629">
        <f t="shared" si="380"/>
        <v>2027</v>
      </c>
      <c r="L396" s="629">
        <f t="shared" si="380"/>
        <v>2028</v>
      </c>
      <c r="M396" s="629">
        <f t="shared" si="380"/>
        <v>2029</v>
      </c>
      <c r="N396" s="1312">
        <f t="shared" si="380"/>
        <v>2030</v>
      </c>
      <c r="O396" s="336"/>
      <c r="P396" s="336"/>
      <c r="Q396" s="770"/>
      <c r="R396" s="694"/>
      <c r="S396" s="1499"/>
      <c r="T396" s="1313">
        <f t="shared" ref="T396" si="381">H396</f>
        <v>2024</v>
      </c>
      <c r="U396" s="1313">
        <f t="shared" ref="U396" si="382">I396</f>
        <v>2025</v>
      </c>
      <c r="V396" s="1313">
        <f t="shared" ref="V396" si="383">J396</f>
        <v>2026</v>
      </c>
      <c r="W396" s="1313">
        <f t="shared" ref="W396" si="384">K396</f>
        <v>2027</v>
      </c>
      <c r="X396" s="1313">
        <f t="shared" ref="X396" si="385">L396</f>
        <v>2028</v>
      </c>
      <c r="Y396" s="1313">
        <f t="shared" ref="Y396" si="386">M396</f>
        <v>2029</v>
      </c>
      <c r="Z396" s="1314">
        <f t="shared" ref="Z396" si="387">N396</f>
        <v>2030</v>
      </c>
      <c r="AA396" s="694"/>
      <c r="AB396" s="694"/>
      <c r="AC396" s="1178">
        <f>H$1840</f>
        <v>2024</v>
      </c>
      <c r="AD396" s="1178">
        <f t="shared" ref="AD396" si="388">I$1840</f>
        <v>2025</v>
      </c>
      <c r="AE396" s="1178">
        <f t="shared" ref="AE396" si="389">J$1840</f>
        <v>2026</v>
      </c>
      <c r="AF396" s="1178">
        <f t="shared" ref="AF396" si="390">K$1840</f>
        <v>2027</v>
      </c>
      <c r="AG396" s="1178">
        <f t="shared" ref="AG396" si="391">L$1840</f>
        <v>2028</v>
      </c>
      <c r="AH396" s="1178">
        <f t="shared" ref="AH396" si="392">M$1840</f>
        <v>2029</v>
      </c>
      <c r="AI396" s="1178">
        <f t="shared" ref="AI396" si="393">N$1840</f>
        <v>2030</v>
      </c>
      <c r="AJ396" s="343"/>
      <c r="AK396" s="343"/>
      <c r="AL396" s="343"/>
      <c r="AM396" s="343"/>
    </row>
    <row r="397" spans="1:39" ht="12.75" customHeight="1" thickBot="1" x14ac:dyDescent="0.35">
      <c r="A397" s="694"/>
      <c r="B397" s="284"/>
      <c r="C397" s="1496"/>
      <c r="D397" s="1497"/>
      <c r="E397" s="2814" t="str">
        <f>I236</f>
        <v>Подинсталация с топлинен показател (без риск от ИВЕ | извън МКВЕГ)</v>
      </c>
      <c r="F397" s="2814"/>
      <c r="G397" s="642" t="str">
        <f>EUconst_tCO2epa</f>
        <v>t CO2e/година</v>
      </c>
      <c r="H397" s="179"/>
      <c r="I397" s="179"/>
      <c r="J397" s="179"/>
      <c r="K397" s="179"/>
      <c r="L397" s="179"/>
      <c r="M397" s="179"/>
      <c r="N397" s="180"/>
      <c r="O397" s="336"/>
      <c r="P397" s="158"/>
      <c r="Q397" s="1500" t="str">
        <f>EUconst_CNTR_Emissions &amp; I236</f>
        <v>DirEmissions_Подинсталация с топлинен показател (без риск от ИВЕ | извън МКВЕГ)</v>
      </c>
      <c r="R397" s="694"/>
      <c r="S397" s="1501" t="str">
        <f>EUconst_CNTR_AttributedEmissions &amp; I236</f>
        <v>AttrEmissions_Подинсталация с топлинен показател (без риск от ИВЕ | извън МКВЕГ)</v>
      </c>
      <c r="T397" s="1290" t="str">
        <f t="shared" ref="T397" si="394">IF(T244,SUM(H397),"")</f>
        <v/>
      </c>
      <c r="U397" s="1290" t="str">
        <f t="shared" ref="U397" si="395">IF(U244,SUM(I397),"")</f>
        <v/>
      </c>
      <c r="V397" s="1290" t="str">
        <f t="shared" ref="V397" si="396">IF(V244,SUM(J397),"")</f>
        <v/>
      </c>
      <c r="W397" s="1290" t="str">
        <f t="shared" ref="W397" si="397">IF(W244,SUM(K397),"")</f>
        <v/>
      </c>
      <c r="X397" s="1290" t="str">
        <f t="shared" ref="X397" si="398">IF(X244,SUM(L397),"")</f>
        <v/>
      </c>
      <c r="Y397" s="1290" t="str">
        <f t="shared" ref="Y397" si="399">IF(Y244,SUM(M397),"")</f>
        <v/>
      </c>
      <c r="Z397" s="1291" t="str">
        <f t="shared" ref="Z397" si="400">IF(Z244,SUM(N397),"")</f>
        <v/>
      </c>
      <c r="AA397" s="694"/>
      <c r="AB397" s="1182" t="s">
        <v>737</v>
      </c>
      <c r="AC397" s="1183" t="b">
        <f t="shared" ref="AC397:AI397" si="401">IF(CNTR_ExistSubInstEntries,OR($M236&lt;&gt;EUconst_Relevant,AC396&gt;=CNTR_ReportingYear,AC396&lt;$V236-1),FALSE)</f>
        <v>0</v>
      </c>
      <c r="AD397" s="1184" t="b">
        <f t="shared" si="401"/>
        <v>0</v>
      </c>
      <c r="AE397" s="1184" t="b">
        <f t="shared" si="401"/>
        <v>0</v>
      </c>
      <c r="AF397" s="1184" t="b">
        <f t="shared" si="401"/>
        <v>0</v>
      </c>
      <c r="AG397" s="1184" t="b">
        <f t="shared" si="401"/>
        <v>0</v>
      </c>
      <c r="AH397" s="1184" t="b">
        <f t="shared" si="401"/>
        <v>0</v>
      </c>
      <c r="AI397" s="1185" t="b">
        <f t="shared" si="401"/>
        <v>0</v>
      </c>
      <c r="AJ397" s="343"/>
      <c r="AK397" s="1174" t="s">
        <v>2039</v>
      </c>
      <c r="AL397" s="1176" t="str">
        <f>IF(AND(CNTR_ExistSubInstEntries,COUNTIFS(AC397:AI397,2,H397:N397,"")&gt;0),EUconst_Error&amp;"FB"&amp;Q236,"")</f>
        <v/>
      </c>
      <c r="AM397" s="343"/>
    </row>
    <row r="398" spans="1:39" ht="5.15" customHeight="1" x14ac:dyDescent="0.25">
      <c r="A398" s="694"/>
      <c r="B398" s="284"/>
      <c r="C398" s="1496"/>
      <c r="D398" s="1497"/>
      <c r="E398" s="1497"/>
      <c r="F398" s="1497"/>
      <c r="G398" s="1497"/>
      <c r="H398" s="1497"/>
      <c r="I398" s="1497"/>
      <c r="J398" s="1497"/>
      <c r="K398" s="1497"/>
      <c r="L398" s="1497"/>
      <c r="M398" s="1502"/>
      <c r="N398" s="1503"/>
      <c r="O398" s="336"/>
      <c r="P398" s="336"/>
      <c r="Q398" s="770"/>
      <c r="R398" s="694"/>
      <c r="S398" s="770"/>
      <c r="T398" s="694"/>
      <c r="U398" s="694"/>
      <c r="V398" s="694"/>
      <c r="W398" s="694"/>
      <c r="X398" s="694"/>
      <c r="Y398" s="694"/>
      <c r="Z398" s="694"/>
      <c r="AA398" s="694"/>
      <c r="AB398" s="729"/>
      <c r="AC398" s="694"/>
      <c r="AD398" s="694"/>
      <c r="AE398" s="343"/>
      <c r="AF398" s="343"/>
      <c r="AG398" s="343"/>
      <c r="AH398" s="343"/>
      <c r="AI398" s="343"/>
      <c r="AJ398" s="343"/>
      <c r="AK398" s="343"/>
      <c r="AL398" s="343"/>
      <c r="AM398" s="343"/>
    </row>
    <row r="399" spans="1:39" ht="12.75" customHeight="1" x14ac:dyDescent="0.25">
      <c r="A399" s="694"/>
      <c r="B399" s="284"/>
      <c r="C399" s="1496"/>
      <c r="D399" s="1307" t="s">
        <v>906</v>
      </c>
      <c r="E399" s="2815" t="str">
        <f>Translations!$B$1524</f>
        <v>Вложена енергия в тази подинсталация и съответен емисионен фактор</v>
      </c>
      <c r="F399" s="2815"/>
      <c r="G399" s="2815"/>
      <c r="H399" s="2815"/>
      <c r="I399" s="2815"/>
      <c r="J399" s="2815"/>
      <c r="K399" s="2815"/>
      <c r="L399" s="2815"/>
      <c r="M399" s="2815"/>
      <c r="N399" s="2932"/>
      <c r="O399" s="336"/>
      <c r="P399" s="336"/>
      <c r="Q399" s="694"/>
      <c r="R399" s="694"/>
      <c r="S399" s="770"/>
      <c r="T399" s="694"/>
      <c r="U399" s="694"/>
      <c r="V399" s="694"/>
      <c r="W399" s="694"/>
      <c r="X399" s="694"/>
      <c r="Y399" s="694"/>
      <c r="Z399" s="694"/>
      <c r="AA399" s="694"/>
      <c r="AB399" s="729"/>
      <c r="AC399" s="694"/>
      <c r="AD399" s="694"/>
      <c r="AE399" s="343"/>
      <c r="AF399" s="343"/>
      <c r="AG399" s="343"/>
      <c r="AH399" s="343"/>
      <c r="AI399" s="343"/>
      <c r="AJ399" s="343"/>
      <c r="AK399" s="343"/>
      <c r="AL399" s="343"/>
      <c r="AM399" s="343"/>
    </row>
    <row r="400" spans="1:39" ht="25.5" customHeight="1" x14ac:dyDescent="0.25">
      <c r="A400" s="694"/>
      <c r="B400" s="284"/>
      <c r="C400" s="1496"/>
      <c r="D400" s="1497"/>
      <c r="E400" s="2838" t="str">
        <f>Translations!$B$1552</f>
        <v>Съгласно изискванията в приложение IV, раздел 2.4, буква а) към ПБР посочете вложената енергия от горива, материали (например екзотермична топлина) и електроенергия, използвана за производството на топлинна енергия, в съответствие с данните на равнище инсталация, въведени в раздел E.I.1.a, и съответния претеглен емисионен фактор, като вземете предвид съответното енергийно съдържание.</v>
      </c>
      <c r="F400" s="2851"/>
      <c r="G400" s="2851"/>
      <c r="H400" s="2851"/>
      <c r="I400" s="2851"/>
      <c r="J400" s="2851"/>
      <c r="K400" s="2851"/>
      <c r="L400" s="2851"/>
      <c r="M400" s="2851"/>
      <c r="N400" s="2852"/>
      <c r="O400" s="336"/>
      <c r="P400" s="336"/>
      <c r="Q400" s="770"/>
      <c r="R400" s="770"/>
      <c r="S400" s="770"/>
      <c r="T400" s="694"/>
      <c r="U400" s="694"/>
      <c r="V400" s="694"/>
      <c r="W400" s="694"/>
      <c r="X400" s="694"/>
      <c r="Y400" s="694"/>
      <c r="Z400" s="694"/>
      <c r="AA400" s="694"/>
      <c r="AB400" s="729"/>
      <c r="AC400" s="694"/>
      <c r="AD400" s="694"/>
      <c r="AE400" s="343"/>
      <c r="AF400" s="343"/>
      <c r="AG400" s="343"/>
      <c r="AH400" s="343"/>
      <c r="AI400" s="343"/>
      <c r="AJ400" s="343"/>
      <c r="AK400" s="343"/>
      <c r="AL400" s="343"/>
      <c r="AM400" s="343"/>
    </row>
    <row r="401" spans="1:39" ht="25.5" customHeight="1" x14ac:dyDescent="0.25">
      <c r="A401" s="694"/>
      <c r="B401" s="284"/>
      <c r="C401" s="1496"/>
      <c r="D401" s="1497"/>
      <c r="E401" s="2838" t="str">
        <f>Translations!$B$633</f>
        <v>Терминът „гориво“ следва да се тълкува като всеки запалим пораждащ емисии поток съгласно РМД, за който може да се установи долната топлина на изгаряне. Претегленият емисионен фактор съответства на натрупаните емисии от горива, включително тези, използвани за производство на измерима топлинна енергия, разделени на общото енергийно съдържание.</v>
      </c>
      <c r="F401" s="2851"/>
      <c r="G401" s="2851"/>
      <c r="H401" s="2851"/>
      <c r="I401" s="2851"/>
      <c r="J401" s="2851"/>
      <c r="K401" s="2851"/>
      <c r="L401" s="2851"/>
      <c r="M401" s="2851"/>
      <c r="N401" s="2852"/>
      <c r="O401" s="336"/>
      <c r="P401" s="336"/>
      <c r="Q401" s="770"/>
      <c r="R401" s="694"/>
      <c r="S401" s="770"/>
      <c r="T401" s="694"/>
      <c r="U401" s="694"/>
      <c r="V401" s="694"/>
      <c r="W401" s="694"/>
      <c r="X401" s="694"/>
      <c r="Y401" s="694"/>
      <c r="Z401" s="694"/>
      <c r="AA401" s="694"/>
      <c r="AB401" s="729"/>
      <c r="AC401" s="694"/>
      <c r="AD401" s="694"/>
      <c r="AE401" s="343"/>
      <c r="AF401" s="343"/>
      <c r="AG401" s="343"/>
      <c r="AH401" s="343"/>
      <c r="AI401" s="343"/>
      <c r="AJ401" s="343"/>
      <c r="AK401" s="343"/>
      <c r="AL401" s="343"/>
      <c r="AM401" s="343"/>
    </row>
    <row r="402" spans="1:39" ht="12.75" customHeight="1" x14ac:dyDescent="0.25">
      <c r="A402" s="694"/>
      <c r="B402" s="284"/>
      <c r="C402" s="1496"/>
      <c r="D402" s="1497"/>
      <c r="E402" s="2838" t="str">
        <f>Translations!$B$519</f>
        <v>Претегленият емисионен фактор следва също така да включва и емисии от съответното очистване на димни газове, ако е приложимо.</v>
      </c>
      <c r="F402" s="2851"/>
      <c r="G402" s="2851"/>
      <c r="H402" s="2851"/>
      <c r="I402" s="2851"/>
      <c r="J402" s="2851"/>
      <c r="K402" s="2851"/>
      <c r="L402" s="2851"/>
      <c r="M402" s="2851"/>
      <c r="N402" s="2852"/>
      <c r="O402" s="336"/>
      <c r="P402" s="336"/>
      <c r="Q402" s="770"/>
      <c r="R402" s="694"/>
      <c r="S402" s="770"/>
      <c r="T402" s="694"/>
      <c r="U402" s="694"/>
      <c r="V402" s="694"/>
      <c r="W402" s="694"/>
      <c r="X402" s="694"/>
      <c r="Y402" s="694"/>
      <c r="Z402" s="694"/>
      <c r="AA402" s="694"/>
      <c r="AB402" s="729"/>
      <c r="AC402" s="694"/>
      <c r="AD402" s="694"/>
      <c r="AE402" s="343"/>
      <c r="AF402" s="343"/>
      <c r="AG402" s="343"/>
      <c r="AH402" s="343"/>
      <c r="AI402" s="343"/>
      <c r="AJ402" s="343"/>
      <c r="AK402" s="343"/>
      <c r="AL402" s="343"/>
      <c r="AM402" s="343"/>
    </row>
    <row r="403" spans="1:39" ht="12.75" customHeight="1" x14ac:dyDescent="0.25">
      <c r="A403" s="694"/>
      <c r="B403" s="284"/>
      <c r="C403" s="1496"/>
      <c r="D403" s="1497"/>
      <c r="E403" s="2838" t="str">
        <f>Translations!$B$634</f>
        <v>Вложените горива от отпадни газове включват съответната вложена енергия за производство на измеримата топлинна енергия, използвана от тази подинсталация.</v>
      </c>
      <c r="F403" s="2851"/>
      <c r="G403" s="2851"/>
      <c r="H403" s="2851"/>
      <c r="I403" s="2851"/>
      <c r="J403" s="2851"/>
      <c r="K403" s="2851"/>
      <c r="L403" s="2851"/>
      <c r="M403" s="2851"/>
      <c r="N403" s="2852"/>
      <c r="O403" s="336"/>
      <c r="P403" s="336"/>
      <c r="Q403" s="770"/>
      <c r="R403" s="694"/>
      <c r="S403" s="770"/>
      <c r="T403" s="694"/>
      <c r="U403" s="694"/>
      <c r="V403" s="694"/>
      <c r="W403" s="694"/>
      <c r="X403" s="694"/>
      <c r="Y403" s="694"/>
      <c r="Z403" s="694"/>
      <c r="AA403" s="694"/>
      <c r="AB403" s="729"/>
      <c r="AC403" s="694"/>
      <c r="AD403" s="694"/>
      <c r="AE403" s="343"/>
      <c r="AF403" s="343"/>
      <c r="AG403" s="343"/>
      <c r="AH403" s="343"/>
      <c r="AI403" s="343"/>
      <c r="AJ403" s="343"/>
      <c r="AK403" s="343"/>
      <c r="AL403" s="343"/>
      <c r="AM403" s="343"/>
    </row>
    <row r="404" spans="1:39" ht="12.75" customHeight="1" x14ac:dyDescent="0.25">
      <c r="A404" s="694"/>
      <c r="B404" s="284"/>
      <c r="C404" s="1496"/>
      <c r="D404" s="1497"/>
      <c r="E404" s="2838" t="str">
        <f>Translations!$B$635</f>
        <v>Въведените тук стойности се използват при баланса на отпадните газове в раздел E.III.h.</v>
      </c>
      <c r="F404" s="2851"/>
      <c r="G404" s="2851"/>
      <c r="H404" s="2851"/>
      <c r="I404" s="2851"/>
      <c r="J404" s="2851"/>
      <c r="K404" s="2851"/>
      <c r="L404" s="2851"/>
      <c r="M404" s="2851"/>
      <c r="N404" s="2852"/>
      <c r="O404" s="336"/>
      <c r="P404" s="336"/>
      <c r="Q404" s="770"/>
      <c r="R404" s="694"/>
      <c r="S404" s="770"/>
      <c r="T404" s="694"/>
      <c r="U404" s="694"/>
      <c r="V404" s="694"/>
      <c r="W404" s="694"/>
      <c r="X404" s="694"/>
      <c r="Y404" s="694"/>
      <c r="Z404" s="694"/>
      <c r="AA404" s="694"/>
      <c r="AB404" s="729"/>
      <c r="AC404" s="694"/>
      <c r="AD404" s="694"/>
      <c r="AE404" s="343"/>
      <c r="AF404" s="343"/>
      <c r="AG404" s="343"/>
      <c r="AH404" s="343"/>
      <c r="AI404" s="343"/>
      <c r="AJ404" s="343"/>
      <c r="AK404" s="343"/>
      <c r="AL404" s="343"/>
      <c r="AM404" s="343"/>
    </row>
    <row r="405" spans="1:39" ht="12.75" customHeight="1" x14ac:dyDescent="0.25">
      <c r="A405" s="694"/>
      <c r="B405" s="284"/>
      <c r="C405" s="1496"/>
      <c r="D405" s="1497"/>
      <c r="E405" s="2853" t="str">
        <f>Translations!$B$520</f>
        <v>Посочените тук данни се използват само с цел проверка на съответствието и нямат пряко отражение върху емисиите, които могат да бъдат зададени, или на разпределението на квотите.</v>
      </c>
      <c r="F405" s="2850"/>
      <c r="G405" s="2850"/>
      <c r="H405" s="2850"/>
      <c r="I405" s="2850"/>
      <c r="J405" s="2850"/>
      <c r="K405" s="2850"/>
      <c r="L405" s="2850"/>
      <c r="M405" s="2850"/>
      <c r="N405" s="2854"/>
      <c r="O405" s="336"/>
      <c r="P405" s="336"/>
      <c r="Q405" s="770"/>
      <c r="R405" s="694"/>
      <c r="S405" s="770"/>
      <c r="T405" s="694"/>
      <c r="U405" s="694"/>
      <c r="V405" s="694"/>
      <c r="W405" s="694"/>
      <c r="X405" s="694"/>
      <c r="Y405" s="694"/>
      <c r="Z405" s="694"/>
      <c r="AA405" s="694"/>
      <c r="AB405" s="729"/>
      <c r="AC405" s="694"/>
      <c r="AD405" s="694"/>
      <c r="AE405" s="343"/>
      <c r="AF405" s="343"/>
      <c r="AG405" s="343"/>
      <c r="AH405" s="343"/>
      <c r="AI405" s="343"/>
      <c r="AJ405" s="343"/>
      <c r="AK405" s="343"/>
      <c r="AL405" s="343"/>
      <c r="AM405" s="343"/>
    </row>
    <row r="406" spans="1:39" ht="12.75" customHeight="1" x14ac:dyDescent="0.25">
      <c r="A406" s="694"/>
      <c r="B406" s="284"/>
      <c r="C406" s="1496"/>
      <c r="D406" s="1307"/>
      <c r="E406" s="1317"/>
      <c r="F406" s="1318"/>
      <c r="G406" s="1309" t="str">
        <f>EUconst_Unit</f>
        <v>Единица мярка</v>
      </c>
      <c r="H406" s="629">
        <f t="shared" ref="H406:N406" si="402">H$1840</f>
        <v>2024</v>
      </c>
      <c r="I406" s="629">
        <f t="shared" si="402"/>
        <v>2025</v>
      </c>
      <c r="J406" s="629">
        <f t="shared" si="402"/>
        <v>2026</v>
      </c>
      <c r="K406" s="629">
        <f t="shared" si="402"/>
        <v>2027</v>
      </c>
      <c r="L406" s="629">
        <f t="shared" si="402"/>
        <v>2028</v>
      </c>
      <c r="M406" s="629">
        <f t="shared" si="402"/>
        <v>2029</v>
      </c>
      <c r="N406" s="1312">
        <f t="shared" si="402"/>
        <v>2030</v>
      </c>
      <c r="O406" s="336"/>
      <c r="P406" s="336"/>
      <c r="Q406" s="770"/>
      <c r="R406" s="694"/>
      <c r="S406" s="770"/>
      <c r="T406" s="694"/>
      <c r="U406" s="694"/>
      <c r="V406" s="694"/>
      <c r="W406" s="694"/>
      <c r="X406" s="694"/>
      <c r="Y406" s="694"/>
      <c r="Z406" s="694"/>
      <c r="AA406" s="694"/>
      <c r="AB406" s="694"/>
      <c r="AC406" s="1504">
        <f t="shared" ref="AC406" si="403">H$1840</f>
        <v>2024</v>
      </c>
      <c r="AD406" s="1504">
        <f t="shared" ref="AD406" si="404">I$1840</f>
        <v>2025</v>
      </c>
      <c r="AE406" s="1504">
        <f t="shared" ref="AE406" si="405">J$1840</f>
        <v>2026</v>
      </c>
      <c r="AF406" s="1504">
        <f t="shared" ref="AF406" si="406">K$1840</f>
        <v>2027</v>
      </c>
      <c r="AG406" s="1504">
        <f t="shared" ref="AG406" si="407">L$1840</f>
        <v>2028</v>
      </c>
      <c r="AH406" s="1504">
        <f t="shared" ref="AH406" si="408">M$1840</f>
        <v>2029</v>
      </c>
      <c r="AI406" s="1504">
        <f t="shared" ref="AI406" si="409">N$1840</f>
        <v>2030</v>
      </c>
      <c r="AJ406" s="343"/>
      <c r="AK406" s="343"/>
      <c r="AL406" s="343"/>
      <c r="AM406" s="343"/>
    </row>
    <row r="407" spans="1:39" ht="12.75" customHeight="1" x14ac:dyDescent="0.25">
      <c r="A407" s="694"/>
      <c r="B407" s="284"/>
      <c r="C407" s="1496"/>
      <c r="D407" s="1505" t="s">
        <v>6</v>
      </c>
      <c r="E407" s="2818" t="str">
        <f>Translations!$B$636</f>
        <v>Общо вложени горива</v>
      </c>
      <c r="F407" s="2701"/>
      <c r="G407" s="1326" t="str">
        <f>EUconst_TJpa</f>
        <v>TJ / година</v>
      </c>
      <c r="H407" s="129"/>
      <c r="I407" s="129"/>
      <c r="J407" s="129"/>
      <c r="K407" s="129"/>
      <c r="L407" s="129"/>
      <c r="M407" s="129"/>
      <c r="N407" s="132"/>
      <c r="O407" s="336"/>
      <c r="P407" s="158"/>
      <c r="Q407" s="1500" t="str">
        <f>EUconst_CNTR_FuelInput &amp; I236</f>
        <v>FuelInput_Подинсталация с топлинен показател (без риск от ИВЕ | извън МКВЕГ)</v>
      </c>
      <c r="R407" s="694"/>
      <c r="S407" s="770"/>
      <c r="T407" s="694"/>
      <c r="U407" s="694"/>
      <c r="V407" s="694"/>
      <c r="W407" s="694"/>
      <c r="X407" s="694"/>
      <c r="Y407" s="694"/>
      <c r="Z407" s="694"/>
      <c r="AA407" s="694"/>
      <c r="AB407" s="1182" t="s">
        <v>737</v>
      </c>
      <c r="AC407" s="982" t="b">
        <f>AC397</f>
        <v>0</v>
      </c>
      <c r="AD407" s="982" t="b">
        <f t="shared" ref="AD407:AI407" si="410">AD397</f>
        <v>0</v>
      </c>
      <c r="AE407" s="982" t="b">
        <f t="shared" si="410"/>
        <v>0</v>
      </c>
      <c r="AF407" s="982" t="b">
        <f t="shared" si="410"/>
        <v>0</v>
      </c>
      <c r="AG407" s="982" t="b">
        <f t="shared" si="410"/>
        <v>0</v>
      </c>
      <c r="AH407" s="982" t="b">
        <f t="shared" si="410"/>
        <v>0</v>
      </c>
      <c r="AI407" s="982" t="b">
        <f t="shared" si="410"/>
        <v>0</v>
      </c>
      <c r="AJ407" s="343"/>
      <c r="AK407" s="343"/>
      <c r="AL407" s="1176" t="str">
        <f>IF(AND(CNTR_ExistSubInstEntries,COUNTIFS(AC407:AI407,2,H407:N407,"")&gt;0),EUconst_Error&amp;"FB"&amp;Q236,"")</f>
        <v/>
      </c>
      <c r="AM407" s="343"/>
    </row>
    <row r="408" spans="1:39" ht="12.75" customHeight="1" x14ac:dyDescent="0.25">
      <c r="A408" s="694"/>
      <c r="B408" s="284"/>
      <c r="C408" s="1496"/>
      <c r="D408" s="1505" t="s">
        <v>7</v>
      </c>
      <c r="E408" s="2819" t="str">
        <f>Translations!$B$522</f>
        <v>Претеглен емисионен фактор</v>
      </c>
      <c r="F408" s="2705"/>
      <c r="G408" s="1329" t="str">
        <f>EUconst_tCO2pTJ</f>
        <v>t CO2 / TJ</v>
      </c>
      <c r="H408" s="137"/>
      <c r="I408" s="137"/>
      <c r="J408" s="137"/>
      <c r="K408" s="137"/>
      <c r="L408" s="137"/>
      <c r="M408" s="137"/>
      <c r="N408" s="140"/>
      <c r="O408" s="336"/>
      <c r="P408" s="158"/>
      <c r="Q408" s="1500" t="str">
        <f>EUconst_CNTR_FuelEF &amp; I236</f>
        <v>FuelEF_Подинсталация с топлинен показател (без риск от ИВЕ | извън МКВЕГ)</v>
      </c>
      <c r="R408" s="694"/>
      <c r="S408" s="770"/>
      <c r="T408" s="694"/>
      <c r="U408" s="694"/>
      <c r="V408" s="694"/>
      <c r="W408" s="694"/>
      <c r="X408" s="694"/>
      <c r="Y408" s="694"/>
      <c r="Z408" s="694"/>
      <c r="AA408" s="694"/>
      <c r="AB408" s="729"/>
      <c r="AC408" s="982" t="b">
        <f>AC407</f>
        <v>0</v>
      </c>
      <c r="AD408" s="982" t="b">
        <f t="shared" ref="AD408:AI408" si="411">AD407</f>
        <v>0</v>
      </c>
      <c r="AE408" s="982" t="b">
        <f t="shared" si="411"/>
        <v>0</v>
      </c>
      <c r="AF408" s="982" t="b">
        <f t="shared" si="411"/>
        <v>0</v>
      </c>
      <c r="AG408" s="982" t="b">
        <f t="shared" si="411"/>
        <v>0</v>
      </c>
      <c r="AH408" s="982" t="b">
        <f t="shared" si="411"/>
        <v>0</v>
      </c>
      <c r="AI408" s="982" t="b">
        <f t="shared" si="411"/>
        <v>0</v>
      </c>
      <c r="AJ408" s="343"/>
      <c r="AK408" s="343"/>
      <c r="AL408" s="1176" t="str">
        <f>IF(AND(CNTR_ExistSubInstEntries,COUNTIFS(AC408:AI408,2,H408:N408,"")&gt;0),EUconst_Error&amp;"FB"&amp;Q236,"")</f>
        <v/>
      </c>
      <c r="AM408" s="343"/>
    </row>
    <row r="409" spans="1:39" ht="12.75" customHeight="1" x14ac:dyDescent="0.25">
      <c r="A409" s="694"/>
      <c r="B409" s="284"/>
      <c r="C409" s="1496"/>
      <c r="D409" s="1505" t="s">
        <v>8</v>
      </c>
      <c r="E409" s="2818" t="str">
        <f>Translations!$B$637</f>
        <v>Вложени горива от отпадни газове</v>
      </c>
      <c r="F409" s="2701"/>
      <c r="G409" s="1326" t="str">
        <f>EUconst_TJpa</f>
        <v>TJ / година</v>
      </c>
      <c r="H409" s="129"/>
      <c r="I409" s="129"/>
      <c r="J409" s="129"/>
      <c r="K409" s="129"/>
      <c r="L409" s="129"/>
      <c r="M409" s="129"/>
      <c r="N409" s="132"/>
      <c r="O409" s="336"/>
      <c r="P409" s="158"/>
      <c r="Q409" s="716" t="str">
        <f>EUconst_CNTR_WGConsumed &amp; I236</f>
        <v>WasteGasCons_Подинсталация с топлинен показател (без риск от ИВЕ | извън МКВЕГ)</v>
      </c>
      <c r="R409" s="694"/>
      <c r="S409" s="770"/>
      <c r="T409" s="694"/>
      <c r="U409" s="694"/>
      <c r="V409" s="694"/>
      <c r="W409" s="694"/>
      <c r="X409" s="694"/>
      <c r="Y409" s="694"/>
      <c r="Z409" s="694"/>
      <c r="AA409" s="694"/>
      <c r="AB409" s="729"/>
      <c r="AC409" s="982" t="b">
        <f t="shared" ref="AC409:AI409" si="412">AC407</f>
        <v>0</v>
      </c>
      <c r="AD409" s="982" t="b">
        <f t="shared" si="412"/>
        <v>0</v>
      </c>
      <c r="AE409" s="982" t="b">
        <f t="shared" si="412"/>
        <v>0</v>
      </c>
      <c r="AF409" s="982" t="b">
        <f t="shared" si="412"/>
        <v>0</v>
      </c>
      <c r="AG409" s="982" t="b">
        <f t="shared" si="412"/>
        <v>0</v>
      </c>
      <c r="AH409" s="982" t="b">
        <f t="shared" si="412"/>
        <v>0</v>
      </c>
      <c r="AI409" s="982" t="b">
        <f t="shared" si="412"/>
        <v>0</v>
      </c>
      <c r="AJ409" s="343"/>
      <c r="AK409" s="343"/>
      <c r="AL409" s="1176" t="str">
        <f>IF(AND(CNTR_ExistSubInstEntries,COUNTIFS(AC409:AI409,2,H409:N409,"")&gt;0),EUconst_Error&amp;"FB"&amp;Q236,"")</f>
        <v/>
      </c>
      <c r="AM409" s="343"/>
    </row>
    <row r="410" spans="1:39" ht="12.75" customHeight="1" x14ac:dyDescent="0.25">
      <c r="A410" s="694"/>
      <c r="B410" s="284"/>
      <c r="C410" s="1496"/>
      <c r="D410" s="1505" t="s">
        <v>18</v>
      </c>
      <c r="E410" s="2819" t="str">
        <f>Translations!$B$638</f>
        <v>Специфичен EF (отпаден газ)</v>
      </c>
      <c r="F410" s="2705"/>
      <c r="G410" s="1329" t="str">
        <f t="shared" ref="G410:G414" si="413">EUconst_tCO2pTJ</f>
        <v>t CO2 / TJ</v>
      </c>
      <c r="H410" s="137"/>
      <c r="I410" s="137"/>
      <c r="J410" s="137"/>
      <c r="K410" s="137"/>
      <c r="L410" s="137"/>
      <c r="M410" s="137"/>
      <c r="N410" s="140"/>
      <c r="O410" s="336"/>
      <c r="P410" s="158"/>
      <c r="Q410" s="1500" t="str">
        <f>EUconst_CNTR_WGConsumedEF &amp; I236</f>
        <v>WasteGasConsEF_Подинсталация с топлинен показател (без риск от ИВЕ | извън МКВЕГ)</v>
      </c>
      <c r="R410" s="694"/>
      <c r="S410" s="770"/>
      <c r="T410" s="694"/>
      <c r="U410" s="694"/>
      <c r="V410" s="694"/>
      <c r="W410" s="694"/>
      <c r="X410" s="694"/>
      <c r="Y410" s="694"/>
      <c r="Z410" s="694"/>
      <c r="AA410" s="694"/>
      <c r="AB410" s="729"/>
      <c r="AC410" s="982" t="b">
        <f t="shared" ref="AC410:AI410" si="414">AC408</f>
        <v>0</v>
      </c>
      <c r="AD410" s="982" t="b">
        <f t="shared" si="414"/>
        <v>0</v>
      </c>
      <c r="AE410" s="982" t="b">
        <f t="shared" si="414"/>
        <v>0</v>
      </c>
      <c r="AF410" s="982" t="b">
        <f t="shared" si="414"/>
        <v>0</v>
      </c>
      <c r="AG410" s="982" t="b">
        <f t="shared" si="414"/>
        <v>0</v>
      </c>
      <c r="AH410" s="982" t="b">
        <f t="shared" si="414"/>
        <v>0</v>
      </c>
      <c r="AI410" s="982" t="b">
        <f t="shared" si="414"/>
        <v>0</v>
      </c>
      <c r="AJ410" s="343"/>
      <c r="AK410" s="343"/>
      <c r="AL410" s="1176" t="str">
        <f t="shared" ref="AL410:AL415" si="415">IF(AND(CNTR_ExistSubInstEntries,COUNTIFS(AC410:AI410,2,H410:N410,"")&gt;0),EUconst_Error&amp;"FB"&amp;Q236,"")</f>
        <v/>
      </c>
      <c r="AM410" s="343"/>
    </row>
    <row r="411" spans="1:39" ht="12.75" customHeight="1" x14ac:dyDescent="0.25">
      <c r="A411" s="694"/>
      <c r="B411" s="284"/>
      <c r="C411" s="1496"/>
      <c r="D411" s="1505" t="s">
        <v>810</v>
      </c>
      <c r="E411" s="2818" t="str">
        <f>Translations!$B$1475</f>
        <v>Вложена електроенергия за производството на топлинна енергия</v>
      </c>
      <c r="F411" s="2701"/>
      <c r="G411" s="1326" t="str">
        <f>EUconst_TJpa</f>
        <v>TJ / година</v>
      </c>
      <c r="H411" s="129"/>
      <c r="I411" s="129"/>
      <c r="J411" s="129"/>
      <c r="K411" s="129"/>
      <c r="L411" s="129"/>
      <c r="M411" s="129"/>
      <c r="N411" s="132"/>
      <c r="O411" s="336"/>
      <c r="P411" s="158"/>
      <c r="Q411" s="1500" t="str">
        <f>EUconst_CNTR_ElectricityInput&amp;I236</f>
        <v>ElectricityInput_Подинсталация с топлинен показател (без риск от ИВЕ | извън МКВЕГ)</v>
      </c>
      <c r="R411" s="694"/>
      <c r="S411" s="770"/>
      <c r="T411" s="694"/>
      <c r="U411" s="694"/>
      <c r="V411" s="694"/>
      <c r="W411" s="694"/>
      <c r="X411" s="694"/>
      <c r="Y411" s="694"/>
      <c r="Z411" s="694"/>
      <c r="AA411" s="694"/>
      <c r="AB411" s="729"/>
      <c r="AC411" s="982" t="b">
        <f t="shared" ref="AC411:AI411" si="416">AC409</f>
        <v>0</v>
      </c>
      <c r="AD411" s="982" t="b">
        <f t="shared" si="416"/>
        <v>0</v>
      </c>
      <c r="AE411" s="982" t="b">
        <f t="shared" si="416"/>
        <v>0</v>
      </c>
      <c r="AF411" s="982" t="b">
        <f t="shared" si="416"/>
        <v>0</v>
      </c>
      <c r="AG411" s="982" t="b">
        <f t="shared" si="416"/>
        <v>0</v>
      </c>
      <c r="AH411" s="982" t="b">
        <f t="shared" si="416"/>
        <v>0</v>
      </c>
      <c r="AI411" s="982" t="b">
        <f t="shared" si="416"/>
        <v>0</v>
      </c>
      <c r="AJ411" s="343"/>
      <c r="AK411" s="343"/>
      <c r="AL411" s="1176" t="str">
        <f t="shared" si="415"/>
        <v/>
      </c>
      <c r="AM411" s="343"/>
    </row>
    <row r="412" spans="1:39" ht="12.75" customHeight="1" x14ac:dyDescent="0.25">
      <c r="A412" s="694"/>
      <c r="B412" s="284"/>
      <c r="C412" s="1496"/>
      <c r="D412" s="1505" t="s">
        <v>811</v>
      </c>
      <c r="E412" s="2819" t="str">
        <f>Translations!$B$522</f>
        <v>Претеглен емисионен фактор</v>
      </c>
      <c r="F412" s="2705"/>
      <c r="G412" s="1329" t="str">
        <f t="shared" si="413"/>
        <v>t CO2 / TJ</v>
      </c>
      <c r="H412" s="137"/>
      <c r="I412" s="137"/>
      <c r="J412" s="137"/>
      <c r="K412" s="137"/>
      <c r="L412" s="137"/>
      <c r="M412" s="137"/>
      <c r="N412" s="140"/>
      <c r="O412" s="336"/>
      <c r="P412" s="158"/>
      <c r="Q412" s="1500" t="str">
        <f>EUconst_CNTR_ElectricityEF &amp; I236</f>
        <v>ElectricityEF_Подинсталация с топлинен показател (без риск от ИВЕ | извън МКВЕГ)</v>
      </c>
      <c r="R412" s="694"/>
      <c r="S412" s="770"/>
      <c r="T412" s="694"/>
      <c r="U412" s="694"/>
      <c r="V412" s="694"/>
      <c r="W412" s="694"/>
      <c r="X412" s="694"/>
      <c r="Y412" s="694"/>
      <c r="Z412" s="694"/>
      <c r="AA412" s="694"/>
      <c r="AB412" s="729"/>
      <c r="AC412" s="982" t="b">
        <f t="shared" ref="AC412:AI412" si="417">AC410</f>
        <v>0</v>
      </c>
      <c r="AD412" s="982" t="b">
        <f t="shared" si="417"/>
        <v>0</v>
      </c>
      <c r="AE412" s="982" t="b">
        <f t="shared" si="417"/>
        <v>0</v>
      </c>
      <c r="AF412" s="982" t="b">
        <f t="shared" si="417"/>
        <v>0</v>
      </c>
      <c r="AG412" s="982" t="b">
        <f t="shared" si="417"/>
        <v>0</v>
      </c>
      <c r="AH412" s="982" t="b">
        <f t="shared" si="417"/>
        <v>0</v>
      </c>
      <c r="AI412" s="982" t="b">
        <f t="shared" si="417"/>
        <v>0</v>
      </c>
      <c r="AJ412" s="343"/>
      <c r="AK412" s="343"/>
      <c r="AL412" s="1176" t="str">
        <f t="shared" si="415"/>
        <v/>
      </c>
      <c r="AM412" s="343"/>
    </row>
    <row r="413" spans="1:39" ht="12.75" customHeight="1" x14ac:dyDescent="0.25">
      <c r="A413" s="694"/>
      <c r="B413" s="284"/>
      <c r="C413" s="1496"/>
      <c r="D413" s="1505" t="s">
        <v>812</v>
      </c>
      <c r="E413" s="2818" t="str">
        <f>Translations!$B$1476</f>
        <v>Друга вложена енергия (например екзотермична топлина)</v>
      </c>
      <c r="F413" s="2701"/>
      <c r="G413" s="1326" t="str">
        <f>EUconst_TJpa</f>
        <v>TJ / година</v>
      </c>
      <c r="H413" s="129"/>
      <c r="I413" s="129"/>
      <c r="J413" s="129"/>
      <c r="K413" s="129"/>
      <c r="L413" s="129"/>
      <c r="M413" s="129"/>
      <c r="N413" s="132"/>
      <c r="O413" s="336"/>
      <c r="P413" s="158"/>
      <c r="Q413" s="1500" t="str">
        <f>EUconst_CNTR_OtherEnergyInput &amp; I236</f>
        <v>OtherEnergyInput_Подинсталация с топлинен показател (без риск от ИВЕ | извън МКВЕГ)</v>
      </c>
      <c r="R413" s="694"/>
      <c r="S413" s="770"/>
      <c r="T413" s="694"/>
      <c r="U413" s="694"/>
      <c r="V413" s="694"/>
      <c r="W413" s="694"/>
      <c r="X413" s="694"/>
      <c r="Y413" s="694"/>
      <c r="Z413" s="694"/>
      <c r="AA413" s="694"/>
      <c r="AB413" s="729"/>
      <c r="AC413" s="982" t="b">
        <f t="shared" ref="AC413:AI413" si="418">AC411</f>
        <v>0</v>
      </c>
      <c r="AD413" s="982" t="b">
        <f t="shared" si="418"/>
        <v>0</v>
      </c>
      <c r="AE413" s="982" t="b">
        <f t="shared" si="418"/>
        <v>0</v>
      </c>
      <c r="AF413" s="982" t="b">
        <f t="shared" si="418"/>
        <v>0</v>
      </c>
      <c r="AG413" s="982" t="b">
        <f t="shared" si="418"/>
        <v>0</v>
      </c>
      <c r="AH413" s="982" t="b">
        <f t="shared" si="418"/>
        <v>0</v>
      </c>
      <c r="AI413" s="982" t="b">
        <f t="shared" si="418"/>
        <v>0</v>
      </c>
      <c r="AJ413" s="343"/>
      <c r="AK413" s="343"/>
      <c r="AL413" s="1176" t="str">
        <f t="shared" si="415"/>
        <v/>
      </c>
      <c r="AM413" s="343"/>
    </row>
    <row r="414" spans="1:39" ht="12.75" customHeight="1" x14ac:dyDescent="0.25">
      <c r="A414" s="694"/>
      <c r="B414" s="284"/>
      <c r="C414" s="1496"/>
      <c r="D414" s="1505" t="s">
        <v>813</v>
      </c>
      <c r="E414" s="2819" t="str">
        <f>Translations!$B$522</f>
        <v>Претеглен емисионен фактор</v>
      </c>
      <c r="F414" s="2705"/>
      <c r="G414" s="1329" t="str">
        <f t="shared" si="413"/>
        <v>t CO2 / TJ</v>
      </c>
      <c r="H414" s="137"/>
      <c r="I414" s="137"/>
      <c r="J414" s="137"/>
      <c r="K414" s="137"/>
      <c r="L414" s="137"/>
      <c r="M414" s="137"/>
      <c r="N414" s="140"/>
      <c r="O414" s="336"/>
      <c r="P414" s="158"/>
      <c r="Q414" s="1500" t="str">
        <f>EUconst_CNTR_OtherEnergyEF &amp; I236</f>
        <v>ElectricityEF_Подинсталация с топлинен показател (без риск от ИВЕ | извън МКВЕГ)</v>
      </c>
      <c r="R414" s="694"/>
      <c r="S414" s="770"/>
      <c r="T414" s="694"/>
      <c r="U414" s="694"/>
      <c r="V414" s="694"/>
      <c r="W414" s="694"/>
      <c r="X414" s="694"/>
      <c r="Y414" s="694"/>
      <c r="Z414" s="694"/>
      <c r="AA414" s="694"/>
      <c r="AB414" s="729"/>
      <c r="AC414" s="982" t="b">
        <f t="shared" ref="AC414:AI414" si="419">AC412</f>
        <v>0</v>
      </c>
      <c r="AD414" s="982" t="b">
        <f t="shared" si="419"/>
        <v>0</v>
      </c>
      <c r="AE414" s="982" t="b">
        <f t="shared" si="419"/>
        <v>0</v>
      </c>
      <c r="AF414" s="982" t="b">
        <f t="shared" si="419"/>
        <v>0</v>
      </c>
      <c r="AG414" s="982" t="b">
        <f t="shared" si="419"/>
        <v>0</v>
      </c>
      <c r="AH414" s="982" t="b">
        <f t="shared" si="419"/>
        <v>0</v>
      </c>
      <c r="AI414" s="982" t="b">
        <f t="shared" si="419"/>
        <v>0</v>
      </c>
      <c r="AJ414" s="343"/>
      <c r="AK414" s="343"/>
      <c r="AL414" s="1176" t="str">
        <f t="shared" si="415"/>
        <v/>
      </c>
      <c r="AM414" s="343"/>
    </row>
    <row r="415" spans="1:39" ht="12.75" customHeight="1" x14ac:dyDescent="0.25">
      <c r="A415" s="694"/>
      <c r="B415" s="284"/>
      <c r="C415" s="1496"/>
      <c r="D415" s="1505" t="s">
        <v>814</v>
      </c>
      <c r="E415" s="2820" t="str">
        <f>Translations!$B$1553</f>
        <v>Обща вложена енергия (= i. + v. + vii.)</v>
      </c>
      <c r="F415" s="2258"/>
      <c r="G415" s="1320" t="str">
        <f>EUconst_TJpa</f>
        <v>TJ / година</v>
      </c>
      <c r="H415" s="1506" t="str">
        <f t="shared" ref="H415:N415" si="420">IF(OR($M236&lt;&gt;EUconst_Relevant,COUNT(H407,H411,H413)=0),"",SUM(H407,H411,H413))</f>
        <v/>
      </c>
      <c r="I415" s="1506" t="str">
        <f t="shared" si="420"/>
        <v/>
      </c>
      <c r="J415" s="1506" t="str">
        <f t="shared" si="420"/>
        <v/>
      </c>
      <c r="K415" s="1506" t="str">
        <f t="shared" si="420"/>
        <v/>
      </c>
      <c r="L415" s="1506" t="str">
        <f t="shared" si="420"/>
        <v/>
      </c>
      <c r="M415" s="1506" t="str">
        <f t="shared" si="420"/>
        <v/>
      </c>
      <c r="N415" s="1507" t="str">
        <f t="shared" si="420"/>
        <v/>
      </c>
      <c r="O415" s="336"/>
      <c r="P415" s="158"/>
      <c r="Q415" s="1500" t="str">
        <f>EUconst_CNTR_TotalEnergyInput &amp; I236</f>
        <v>TotalEnergyInput_Подинсталация с топлинен показател (без риск от ИВЕ | извън МКВЕГ)</v>
      </c>
      <c r="R415" s="694"/>
      <c r="S415" s="770"/>
      <c r="T415" s="694"/>
      <c r="U415" s="694"/>
      <c r="V415" s="694"/>
      <c r="W415" s="694"/>
      <c r="X415" s="694"/>
      <c r="Y415" s="694"/>
      <c r="Z415" s="694"/>
      <c r="AA415" s="694"/>
      <c r="AB415" s="729"/>
      <c r="AC415" s="982" t="b">
        <f t="shared" ref="AC415:AI415" si="421">AC413</f>
        <v>0</v>
      </c>
      <c r="AD415" s="982" t="b">
        <f t="shared" si="421"/>
        <v>0</v>
      </c>
      <c r="AE415" s="982" t="b">
        <f t="shared" si="421"/>
        <v>0</v>
      </c>
      <c r="AF415" s="982" t="b">
        <f t="shared" si="421"/>
        <v>0</v>
      </c>
      <c r="AG415" s="982" t="b">
        <f t="shared" si="421"/>
        <v>0</v>
      </c>
      <c r="AH415" s="982" t="b">
        <f t="shared" si="421"/>
        <v>0</v>
      </c>
      <c r="AI415" s="982" t="b">
        <f t="shared" si="421"/>
        <v>0</v>
      </c>
      <c r="AJ415" s="343"/>
      <c r="AK415" s="343"/>
      <c r="AL415" s="1176" t="str">
        <f t="shared" si="415"/>
        <v/>
      </c>
      <c r="AM415" s="343"/>
    </row>
    <row r="416" spans="1:39" ht="5.15" customHeight="1" x14ac:dyDescent="0.25">
      <c r="A416" s="694"/>
      <c r="B416" s="698"/>
      <c r="C416" s="1303"/>
      <c r="D416" s="1304"/>
      <c r="E416" s="1304"/>
      <c r="F416" s="1304"/>
      <c r="G416" s="1304"/>
      <c r="H416" s="1304"/>
      <c r="I416" s="1304"/>
      <c r="J416" s="1304"/>
      <c r="K416" s="1304"/>
      <c r="L416" s="1304"/>
      <c r="M416" s="1304"/>
      <c r="N416" s="1305"/>
      <c r="O416" s="336"/>
      <c r="P416" s="336"/>
      <c r="Q416" s="694"/>
      <c r="R416" s="694"/>
      <c r="S416" s="770"/>
      <c r="T416" s="770"/>
      <c r="U416" s="770"/>
      <c r="V416" s="770"/>
      <c r="W416" s="694"/>
      <c r="X416" s="694"/>
      <c r="Y416" s="694"/>
      <c r="Z416" s="694"/>
      <c r="AA416" s="694"/>
      <c r="AB416" s="729"/>
      <c r="AC416" s="694"/>
      <c r="AD416" s="694"/>
      <c r="AE416" s="694"/>
      <c r="AF416" s="694"/>
      <c r="AG416" s="694"/>
      <c r="AH416" s="694"/>
      <c r="AI416" s="694"/>
      <c r="AJ416" s="343"/>
      <c r="AK416" s="343"/>
      <c r="AL416" s="343"/>
      <c r="AM416" s="343"/>
    </row>
    <row r="417" spans="1:39" ht="12.75" customHeight="1" x14ac:dyDescent="0.25">
      <c r="A417" s="694"/>
      <c r="B417" s="284"/>
      <c r="C417" s="1496"/>
      <c r="D417" s="1307" t="s">
        <v>54</v>
      </c>
      <c r="E417" s="2850" t="str">
        <f>Translations!$B$349</f>
        <v>Произведена измерима топлинна енергия</v>
      </c>
      <c r="F417" s="2851"/>
      <c r="G417" s="2851"/>
      <c r="H417" s="2851"/>
      <c r="I417" s="2851"/>
      <c r="J417" s="2851"/>
      <c r="K417" s="2851"/>
      <c r="L417" s="2851"/>
      <c r="M417" s="2851"/>
      <c r="N417" s="2852"/>
      <c r="O417" s="336"/>
      <c r="P417" s="336"/>
      <c r="Q417" s="770"/>
      <c r="R417" s="694"/>
      <c r="S417" s="770"/>
      <c r="T417" s="770"/>
      <c r="U417" s="770"/>
      <c r="V417" s="770"/>
      <c r="W417" s="694"/>
      <c r="X417" s="694"/>
      <c r="Y417" s="694"/>
      <c r="Z417" s="694"/>
      <c r="AA417" s="694"/>
      <c r="AB417" s="729"/>
      <c r="AC417" s="694"/>
      <c r="AD417" s="694"/>
      <c r="AE417" s="694"/>
      <c r="AF417" s="694"/>
      <c r="AG417" s="694"/>
      <c r="AH417" s="694"/>
      <c r="AI417" s="694"/>
      <c r="AJ417" s="343"/>
      <c r="AK417" s="343"/>
      <c r="AL417" s="343"/>
      <c r="AM417" s="343"/>
    </row>
    <row r="418" spans="1:39" ht="12.75" customHeight="1" x14ac:dyDescent="0.25">
      <c r="A418" s="694"/>
      <c r="B418" s="284"/>
      <c r="C418" s="1496"/>
      <c r="D418" s="1497"/>
      <c r="E418" s="2836" t="str">
        <f>Translations!$B$639</f>
        <v xml:space="preserve">Моля, тук въведете измеримата топлинна енергия съгласно раздел 3.2, буква а) от приложение IV към ПБР. </v>
      </c>
      <c r="F418" s="2836"/>
      <c r="G418" s="2836"/>
      <c r="H418" s="2836"/>
      <c r="I418" s="2836"/>
      <c r="J418" s="2836"/>
      <c r="K418" s="2836"/>
      <c r="L418" s="2836"/>
      <c r="M418" s="2836"/>
      <c r="N418" s="2837"/>
      <c r="O418" s="336"/>
      <c r="P418" s="336"/>
      <c r="Q418" s="770"/>
      <c r="R418" s="694"/>
      <c r="S418" s="770"/>
      <c r="T418" s="694"/>
      <c r="U418" s="694"/>
      <c r="V418" s="694"/>
      <c r="W418" s="694"/>
      <c r="X418" s="694"/>
      <c r="Y418" s="694"/>
      <c r="Z418" s="694"/>
      <c r="AA418" s="694"/>
      <c r="AB418" s="729"/>
      <c r="AC418" s="694"/>
      <c r="AD418" s="694"/>
      <c r="AE418" s="694"/>
      <c r="AF418" s="694"/>
      <c r="AG418" s="694"/>
      <c r="AH418" s="694"/>
      <c r="AI418" s="694"/>
      <c r="AJ418" s="343"/>
      <c r="AK418" s="343"/>
      <c r="AL418" s="343"/>
      <c r="AM418" s="343"/>
    </row>
    <row r="419" spans="1:39" ht="25.5" customHeight="1" x14ac:dyDescent="0.25">
      <c r="A419" s="694"/>
      <c r="B419" s="284"/>
      <c r="C419" s="1496"/>
      <c r="D419" s="1497"/>
      <c r="E419" s="2836" t="str">
        <f>Translations!$B$640</f>
        <v>Обикновено стойността е различна от равнището на дейност на подинсталацията, посочено в буква a) по-горе, тъй като в него освен нетните количества на измеримата топлинна енергия, консумирана или подадена към обекти извън СТЕ, са съобразени и загубите на топлинна енергия и не се вземат предвид количествата получена топлинна енергия, които се въвеждат в буква f) по-долу.</v>
      </c>
      <c r="F419" s="2836"/>
      <c r="G419" s="2836"/>
      <c r="H419" s="2836"/>
      <c r="I419" s="2836"/>
      <c r="J419" s="2836"/>
      <c r="K419" s="2836"/>
      <c r="L419" s="2836"/>
      <c r="M419" s="2836"/>
      <c r="N419" s="2837"/>
      <c r="O419" s="336"/>
      <c r="P419" s="336"/>
      <c r="Q419" s="770"/>
      <c r="R419" s="694"/>
      <c r="S419" s="770"/>
      <c r="T419" s="770"/>
      <c r="U419" s="770"/>
      <c r="V419" s="770"/>
      <c r="W419" s="770"/>
      <c r="X419" s="770"/>
      <c r="Y419" s="770"/>
      <c r="Z419" s="770"/>
      <c r="AA419" s="694"/>
      <c r="AB419" s="729"/>
      <c r="AC419" s="694"/>
      <c r="AD419" s="694"/>
      <c r="AE419" s="694"/>
      <c r="AF419" s="694"/>
      <c r="AG419" s="694"/>
      <c r="AH419" s="694"/>
      <c r="AI419" s="694"/>
      <c r="AJ419" s="343"/>
      <c r="AK419" s="343"/>
      <c r="AL419" s="343"/>
      <c r="AM419" s="343"/>
    </row>
    <row r="420" spans="1:39" ht="12.75" customHeight="1" x14ac:dyDescent="0.25">
      <c r="A420" s="694"/>
      <c r="B420" s="284"/>
      <c r="C420" s="1496"/>
      <c r="D420" s="1307"/>
      <c r="E420" s="2803" t="str">
        <f>Translations!$B$349</f>
        <v>Произведена измерима топлинна енергия</v>
      </c>
      <c r="F420" s="2803"/>
      <c r="G420" s="1309" t="str">
        <f>EUconst_Unit</f>
        <v>Единица мярка</v>
      </c>
      <c r="H420" s="629">
        <f t="shared" ref="H420:N420" si="422">H$1840</f>
        <v>2024</v>
      </c>
      <c r="I420" s="629">
        <f t="shared" si="422"/>
        <v>2025</v>
      </c>
      <c r="J420" s="629">
        <f t="shared" si="422"/>
        <v>2026</v>
      </c>
      <c r="K420" s="629">
        <f t="shared" si="422"/>
        <v>2027</v>
      </c>
      <c r="L420" s="629">
        <f t="shared" si="422"/>
        <v>2028</v>
      </c>
      <c r="M420" s="629">
        <f t="shared" si="422"/>
        <v>2029</v>
      </c>
      <c r="N420" s="1312">
        <f t="shared" si="422"/>
        <v>2030</v>
      </c>
      <c r="O420" s="336"/>
      <c r="P420" s="336"/>
      <c r="Q420" s="770"/>
      <c r="R420" s="694"/>
      <c r="S420" s="770"/>
      <c r="T420" s="770"/>
      <c r="U420" s="770"/>
      <c r="V420" s="770"/>
      <c r="W420" s="770"/>
      <c r="X420" s="770"/>
      <c r="Y420" s="770"/>
      <c r="Z420" s="770"/>
      <c r="AA420" s="694"/>
      <c r="AB420" s="729"/>
      <c r="AC420" s="1504">
        <f t="shared" ref="AC420" si="423">H$1840</f>
        <v>2024</v>
      </c>
      <c r="AD420" s="1504">
        <f t="shared" ref="AD420" si="424">I$1840</f>
        <v>2025</v>
      </c>
      <c r="AE420" s="1504">
        <f t="shared" ref="AE420" si="425">J$1840</f>
        <v>2026</v>
      </c>
      <c r="AF420" s="1504">
        <f t="shared" ref="AF420" si="426">K$1840</f>
        <v>2027</v>
      </c>
      <c r="AG420" s="1504">
        <f t="shared" ref="AG420" si="427">L$1840</f>
        <v>2028</v>
      </c>
      <c r="AH420" s="1504">
        <f t="shared" ref="AH420" si="428">M$1840</f>
        <v>2029</v>
      </c>
      <c r="AI420" s="1504">
        <f t="shared" ref="AI420" si="429">N$1840</f>
        <v>2030</v>
      </c>
      <c r="AJ420" s="343"/>
      <c r="AK420" s="343"/>
      <c r="AL420" s="343"/>
      <c r="AM420" s="343"/>
    </row>
    <row r="421" spans="1:39" ht="12.75" customHeight="1" x14ac:dyDescent="0.25">
      <c r="A421" s="694"/>
      <c r="B421" s="284"/>
      <c r="C421" s="1496"/>
      <c r="D421" s="1508" t="s">
        <v>6</v>
      </c>
      <c r="E421" s="2820" t="str">
        <f>Translations!$B$1554</f>
        <v>Общо произведено количество (включително електроенергия)</v>
      </c>
      <c r="F421" s="2930"/>
      <c r="G421" s="642" t="str">
        <f>EUconst_TJpa</f>
        <v>TJ / година</v>
      </c>
      <c r="H421" s="179"/>
      <c r="I421" s="179"/>
      <c r="J421" s="179"/>
      <c r="K421" s="179"/>
      <c r="L421" s="179"/>
      <c r="M421" s="179"/>
      <c r="N421" s="180"/>
      <c r="O421" s="336"/>
      <c r="P421" s="158"/>
      <c r="Q421" s="1500" t="str">
        <f>EUconst_CNTR_HeatProduced &amp; I236</f>
        <v>HeatProd_Подинсталация с топлинен показател (без риск от ИВЕ | извън МКВЕГ)</v>
      </c>
      <c r="R421" s="694"/>
      <c r="S421" s="770"/>
      <c r="T421" s="770"/>
      <c r="U421" s="770"/>
      <c r="V421" s="770"/>
      <c r="W421" s="770"/>
      <c r="X421" s="770"/>
      <c r="Y421" s="770"/>
      <c r="Z421" s="770"/>
      <c r="AA421" s="694"/>
      <c r="AB421" s="1182" t="s">
        <v>737</v>
      </c>
      <c r="AC421" s="982" t="b">
        <f t="shared" ref="AC421:AI421" si="430">AC397</f>
        <v>0</v>
      </c>
      <c r="AD421" s="982" t="b">
        <f t="shared" si="430"/>
        <v>0</v>
      </c>
      <c r="AE421" s="982" t="b">
        <f t="shared" si="430"/>
        <v>0</v>
      </c>
      <c r="AF421" s="982" t="b">
        <f t="shared" si="430"/>
        <v>0</v>
      </c>
      <c r="AG421" s="982" t="b">
        <f t="shared" si="430"/>
        <v>0</v>
      </c>
      <c r="AH421" s="982" t="b">
        <f t="shared" si="430"/>
        <v>0</v>
      </c>
      <c r="AI421" s="982" t="b">
        <f t="shared" si="430"/>
        <v>0</v>
      </c>
      <c r="AJ421" s="343"/>
      <c r="AK421" s="343"/>
      <c r="AL421" s="1176" t="str">
        <f>IF(AND(CNTR_ExistSubInstEntries,COUNTIFS(AC421:AI421,2,H421:N421,"")&gt;0),EUconst_Error&amp;"FB"&amp;Q236,"")</f>
        <v/>
      </c>
      <c r="AM421" s="343"/>
    </row>
    <row r="422" spans="1:39" ht="12.75" customHeight="1" x14ac:dyDescent="0.25">
      <c r="A422" s="694"/>
      <c r="B422" s="284"/>
      <c r="C422" s="1496"/>
      <c r="D422" s="1508" t="s">
        <v>7</v>
      </c>
      <c r="E422" s="2820" t="str">
        <f>Translations!$B$1555</f>
        <v>Топлинна енергия, произведена от електроенергия</v>
      </c>
      <c r="F422" s="2930"/>
      <c r="G422" s="642" t="str">
        <f>EUconst_TJpa</f>
        <v>TJ / година</v>
      </c>
      <c r="H422" s="179"/>
      <c r="I422" s="179"/>
      <c r="J422" s="179"/>
      <c r="K422" s="179"/>
      <c r="L422" s="179"/>
      <c r="M422" s="179"/>
      <c r="N422" s="180"/>
      <c r="O422" s="336"/>
      <c r="P422" s="158"/>
      <c r="Q422" s="1500" t="str">
        <f>EUconst_CNTR_HeatProducedElectricity &amp; I236</f>
        <v>HeatProdElec_Подинсталация с топлинен показател (без риск от ИВЕ | извън МКВЕГ)</v>
      </c>
      <c r="R422" s="694"/>
      <c r="S422" s="770"/>
      <c r="T422" s="770"/>
      <c r="U422" s="770"/>
      <c r="V422" s="770"/>
      <c r="W422" s="770"/>
      <c r="X422" s="770"/>
      <c r="Y422" s="770"/>
      <c r="Z422" s="770"/>
      <c r="AA422" s="694"/>
      <c r="AB422" s="1182" t="s">
        <v>737</v>
      </c>
      <c r="AC422" s="982" t="b">
        <f>AC421</f>
        <v>0</v>
      </c>
      <c r="AD422" s="982" t="b">
        <f t="shared" ref="AD422:AI422" si="431">AD421</f>
        <v>0</v>
      </c>
      <c r="AE422" s="982" t="b">
        <f t="shared" si="431"/>
        <v>0</v>
      </c>
      <c r="AF422" s="982" t="b">
        <f t="shared" si="431"/>
        <v>0</v>
      </c>
      <c r="AG422" s="982" t="b">
        <f t="shared" si="431"/>
        <v>0</v>
      </c>
      <c r="AH422" s="982" t="b">
        <f t="shared" si="431"/>
        <v>0</v>
      </c>
      <c r="AI422" s="982" t="b">
        <f t="shared" si="431"/>
        <v>0</v>
      </c>
      <c r="AJ422" s="343"/>
      <c r="AK422" s="343"/>
      <c r="AL422" s="1176" t="str">
        <f>IF(AND(CNTR_ExistSubInstEntries,COUNTIFS(AC422:AI422,2,H422:N422,"")&gt;0),EUconst_Error&amp;"FB"&amp;Q236,"")</f>
        <v/>
      </c>
      <c r="AM422" s="343"/>
    </row>
    <row r="423" spans="1:39" ht="5.15" customHeight="1" x14ac:dyDescent="0.25">
      <c r="A423" s="694"/>
      <c r="B423" s="284"/>
      <c r="C423" s="1496"/>
      <c r="D423" s="1497"/>
      <c r="E423" s="1497"/>
      <c r="F423" s="1497"/>
      <c r="G423" s="1497"/>
      <c r="H423" s="1497"/>
      <c r="I423" s="1497"/>
      <c r="J423" s="1497"/>
      <c r="K423" s="1497"/>
      <c r="L423" s="1497"/>
      <c r="M423" s="1502"/>
      <c r="N423" s="1503"/>
      <c r="O423" s="336"/>
      <c r="P423" s="336"/>
      <c r="Q423" s="770"/>
      <c r="R423" s="694"/>
      <c r="S423" s="770"/>
      <c r="T423" s="694"/>
      <c r="U423" s="694"/>
      <c r="V423" s="694"/>
      <c r="W423" s="694"/>
      <c r="X423" s="694"/>
      <c r="Y423" s="694"/>
      <c r="Z423" s="694"/>
      <c r="AA423" s="694"/>
      <c r="AB423" s="729"/>
      <c r="AC423" s="694"/>
      <c r="AD423" s="694"/>
      <c r="AE423" s="694"/>
      <c r="AF423" s="694"/>
      <c r="AG423" s="694"/>
      <c r="AH423" s="694"/>
      <c r="AI423" s="694"/>
      <c r="AJ423" s="343"/>
      <c r="AK423" s="343"/>
      <c r="AL423" s="343"/>
      <c r="AM423" s="343"/>
    </row>
    <row r="424" spans="1:39" ht="12.75" customHeight="1" x14ac:dyDescent="0.25">
      <c r="A424" s="694"/>
      <c r="B424" s="284"/>
      <c r="C424" s="1496"/>
      <c r="D424" s="1307" t="s">
        <v>55</v>
      </c>
      <c r="E424" s="2850" t="str">
        <f>Translations!$B$641</f>
        <v>Получавана отвън измерима топлинна енергия</v>
      </c>
      <c r="F424" s="2851"/>
      <c r="G424" s="2851"/>
      <c r="H424" s="2851"/>
      <c r="I424" s="2851"/>
      <c r="J424" s="2851"/>
      <c r="K424" s="2851"/>
      <c r="L424" s="2851"/>
      <c r="M424" s="2851"/>
      <c r="N424" s="2852"/>
      <c r="O424" s="336"/>
      <c r="P424" s="336"/>
      <c r="Q424" s="770"/>
      <c r="R424" s="694"/>
      <c r="S424" s="770"/>
      <c r="T424" s="694"/>
      <c r="U424" s="694"/>
      <c r="V424" s="694"/>
      <c r="W424" s="694"/>
      <c r="X424" s="694"/>
      <c r="Y424" s="694"/>
      <c r="Z424" s="694"/>
      <c r="AA424" s="694"/>
      <c r="AB424" s="729"/>
      <c r="AC424" s="694"/>
      <c r="AD424" s="694"/>
      <c r="AE424" s="694"/>
      <c r="AF424" s="694"/>
      <c r="AG424" s="694"/>
      <c r="AH424" s="694"/>
      <c r="AI424" s="694"/>
      <c r="AJ424" s="343"/>
      <c r="AK424" s="343"/>
      <c r="AL424" s="343"/>
      <c r="AM424" s="343"/>
    </row>
    <row r="425" spans="1:39" ht="12.75" customHeight="1" x14ac:dyDescent="0.25">
      <c r="A425" s="694"/>
      <c r="B425" s="284"/>
      <c r="C425" s="1496"/>
      <c r="D425" s="1307"/>
      <c r="E425" s="2853" t="str">
        <f>Translations!$B$548</f>
        <v>Посочените тук данни ще се отразят на емисиите, които могат да бъдат зададени съгласно раздел 10.1.2 и 10.1.3 от приложение VII към ПБР.</v>
      </c>
      <c r="F425" s="2850"/>
      <c r="G425" s="2850"/>
      <c r="H425" s="2850"/>
      <c r="I425" s="2850"/>
      <c r="J425" s="2850"/>
      <c r="K425" s="2850"/>
      <c r="L425" s="2850"/>
      <c r="M425" s="2850"/>
      <c r="N425" s="2854"/>
      <c r="O425" s="336"/>
      <c r="P425" s="336"/>
      <c r="Q425" s="770"/>
      <c r="R425" s="694"/>
      <c r="S425" s="770"/>
      <c r="T425" s="694"/>
      <c r="U425" s="694"/>
      <c r="V425" s="694"/>
      <c r="W425" s="694"/>
      <c r="X425" s="694"/>
      <c r="Y425" s="694"/>
      <c r="Z425" s="694"/>
      <c r="AA425" s="694"/>
      <c r="AB425" s="729"/>
      <c r="AC425" s="694"/>
      <c r="AD425" s="694"/>
      <c r="AE425" s="694"/>
      <c r="AF425" s="694"/>
      <c r="AG425" s="694"/>
      <c r="AH425" s="694"/>
      <c r="AI425" s="694"/>
      <c r="AJ425" s="343"/>
      <c r="AK425" s="343"/>
      <c r="AL425" s="343"/>
      <c r="AM425" s="343"/>
    </row>
    <row r="426" spans="1:39" ht="12.75" customHeight="1" x14ac:dyDescent="0.25">
      <c r="A426" s="694"/>
      <c r="B426" s="284"/>
      <c r="C426" s="1496"/>
      <c r="D426" s="1497"/>
      <c r="E426" s="2838" t="str">
        <f>Translations!$B$642</f>
        <v>Моля, по-долу въведете количеството на измеримата топлинна енергия, получена от всеки от следните източници:</v>
      </c>
      <c r="F426" s="2851"/>
      <c r="G426" s="2851"/>
      <c r="H426" s="2851"/>
      <c r="I426" s="2851"/>
      <c r="J426" s="2851"/>
      <c r="K426" s="2851"/>
      <c r="L426" s="2851"/>
      <c r="M426" s="2851"/>
      <c r="N426" s="2852"/>
      <c r="O426" s="336"/>
      <c r="P426" s="336"/>
      <c r="Q426" s="770"/>
      <c r="R426" s="694"/>
      <c r="S426" s="770"/>
      <c r="T426" s="694"/>
      <c r="U426" s="694"/>
      <c r="V426" s="694"/>
      <c r="W426" s="694"/>
      <c r="X426" s="694"/>
      <c r="Y426" s="694"/>
      <c r="Z426" s="694"/>
      <c r="AA426" s="694"/>
      <c r="AB426" s="729"/>
      <c r="AC426" s="694"/>
      <c r="AD426" s="694"/>
      <c r="AE426" s="694"/>
      <c r="AF426" s="694"/>
      <c r="AG426" s="694"/>
      <c r="AH426" s="694"/>
      <c r="AI426" s="694"/>
      <c r="AJ426" s="343"/>
      <c r="AK426" s="343"/>
      <c r="AL426" s="343"/>
      <c r="AM426" s="343"/>
    </row>
    <row r="427" spans="1:39" ht="38.9" customHeight="1" x14ac:dyDescent="0.25">
      <c r="A427" s="694"/>
      <c r="B427" s="284"/>
      <c r="C427" s="1496"/>
      <c r="D427" s="1497"/>
      <c r="E427" s="1308" t="s">
        <v>1052</v>
      </c>
      <c r="F427" s="2838" t="str">
        <f>Translations!$B$643</f>
        <v>Нетно количество получена топлинна енергия (други източници): това включва топлинната енергия, получена от други инсталации или, в случай че измеримата топлинна енергия е консумирана от повече от една подинсталация — топлинната енергия, произведена в рамките на обекта и консумирана в тази подинсталация. Тук не се включва измерима топлинна енергия, получена от която и да било подинсталация с продуктов показател, от производство на пулп, измерима топлинна енергия, извлечена от подинсталации с горивен показател или от отпадни газове, защото тези данни се вписват в отделни полета.</v>
      </c>
      <c r="G427" s="2839"/>
      <c r="H427" s="2839"/>
      <c r="I427" s="2839"/>
      <c r="J427" s="2839"/>
      <c r="K427" s="2839"/>
      <c r="L427" s="2839"/>
      <c r="M427" s="2839"/>
      <c r="N427" s="2840"/>
      <c r="O427" s="336"/>
      <c r="P427" s="336"/>
      <c r="Q427" s="770"/>
      <c r="R427" s="694"/>
      <c r="S427" s="770"/>
      <c r="T427" s="694"/>
      <c r="U427" s="694"/>
      <c r="V427" s="694"/>
      <c r="W427" s="694"/>
      <c r="X427" s="694"/>
      <c r="Y427" s="694"/>
      <c r="Z427" s="694"/>
      <c r="AA427" s="694"/>
      <c r="AB427" s="729"/>
      <c r="AC427" s="694"/>
      <c r="AD427" s="694"/>
      <c r="AE427" s="694"/>
      <c r="AF427" s="694"/>
      <c r="AG427" s="694"/>
      <c r="AH427" s="694"/>
      <c r="AI427" s="694"/>
      <c r="AJ427" s="343"/>
      <c r="AK427" s="343"/>
      <c r="AL427" s="343"/>
      <c r="AM427" s="343"/>
    </row>
    <row r="428" spans="1:39" ht="25.5" customHeight="1" x14ac:dyDescent="0.25">
      <c r="A428" s="694"/>
      <c r="B428" s="284"/>
      <c r="C428" s="1496"/>
      <c r="D428" s="1497"/>
      <c r="E428" s="1308" t="s">
        <v>1052</v>
      </c>
      <c r="F428" s="2838" t="str">
        <f>Translations!$B$644</f>
        <v>Топлинна енергия от подинсталации с продуктов показател: това включва измерима топлинна енергия, подадена от подинсталации с продуктов показател освен измеримата топлинна енергия от подинсталации, които произвеждат пулп или азотна киселина.</v>
      </c>
      <c r="G428" s="2839"/>
      <c r="H428" s="2839"/>
      <c r="I428" s="2839"/>
      <c r="J428" s="2839"/>
      <c r="K428" s="2839"/>
      <c r="L428" s="2839"/>
      <c r="M428" s="2839"/>
      <c r="N428" s="2840"/>
      <c r="O428" s="336"/>
      <c r="P428" s="336"/>
      <c r="Q428" s="770"/>
      <c r="R428" s="694"/>
      <c r="S428" s="770"/>
      <c r="T428" s="694"/>
      <c r="U428" s="694"/>
      <c r="V428" s="694"/>
      <c r="W428" s="694"/>
      <c r="X428" s="694"/>
      <c r="Y428" s="694"/>
      <c r="Z428" s="694"/>
      <c r="AA428" s="694"/>
      <c r="AB428" s="729"/>
      <c r="AC428" s="694"/>
      <c r="AD428" s="694"/>
      <c r="AE428" s="694"/>
      <c r="AF428" s="694"/>
      <c r="AG428" s="694"/>
      <c r="AH428" s="694"/>
      <c r="AI428" s="694"/>
      <c r="AJ428" s="343"/>
      <c r="AK428" s="343"/>
      <c r="AL428" s="343"/>
      <c r="AM428" s="343"/>
    </row>
    <row r="429" spans="1:39" ht="12.75" customHeight="1" x14ac:dyDescent="0.25">
      <c r="A429" s="694"/>
      <c r="B429" s="284"/>
      <c r="C429" s="1496"/>
      <c r="D429" s="1497"/>
      <c r="E429" s="1308" t="s">
        <v>1052</v>
      </c>
      <c r="F429" s="2838" t="str">
        <f>Translations!$B$645</f>
        <v>Топлинна енергия от пулп: това включва топлинна енергия, получена от подинсталации за производство на пулп.</v>
      </c>
      <c r="G429" s="2839"/>
      <c r="H429" s="2839"/>
      <c r="I429" s="2839"/>
      <c r="J429" s="2839"/>
      <c r="K429" s="2839"/>
      <c r="L429" s="2839"/>
      <c r="M429" s="2839"/>
      <c r="N429" s="2840"/>
      <c r="O429" s="336"/>
      <c r="P429" s="336"/>
      <c r="Q429" s="770"/>
      <c r="R429" s="694"/>
      <c r="S429" s="770"/>
      <c r="T429" s="694"/>
      <c r="U429" s="694"/>
      <c r="V429" s="694"/>
      <c r="W429" s="694"/>
      <c r="X429" s="694"/>
      <c r="Y429" s="694"/>
      <c r="Z429" s="694"/>
      <c r="AA429" s="694"/>
      <c r="AB429" s="729"/>
      <c r="AC429" s="694"/>
      <c r="AD429" s="694"/>
      <c r="AE429" s="694"/>
      <c r="AF429" s="694"/>
      <c r="AG429" s="694"/>
      <c r="AH429" s="694"/>
      <c r="AI429" s="694"/>
      <c r="AJ429" s="343"/>
      <c r="AK429" s="343"/>
      <c r="AL429" s="343"/>
      <c r="AM429" s="343"/>
    </row>
    <row r="430" spans="1:39" ht="12.75" customHeight="1" x14ac:dyDescent="0.25">
      <c r="A430" s="694"/>
      <c r="B430" s="284"/>
      <c r="C430" s="1496"/>
      <c r="D430" s="1497"/>
      <c r="E430" s="1308" t="s">
        <v>1052</v>
      </c>
      <c r="F430" s="2838" t="str">
        <f>Translations!$B$646</f>
        <v>Топлинна енергия от подинсталации с горивен показател: това включва измерима топлинна енергия, извлечена от отпадни газове от подинсталации с горивен показател</v>
      </c>
      <c r="G430" s="2839"/>
      <c r="H430" s="2839"/>
      <c r="I430" s="2839"/>
      <c r="J430" s="2839"/>
      <c r="K430" s="2839"/>
      <c r="L430" s="2839"/>
      <c r="M430" s="2839"/>
      <c r="N430" s="2840"/>
      <c r="O430" s="336"/>
      <c r="P430" s="336"/>
      <c r="Q430" s="770"/>
      <c r="R430" s="694"/>
      <c r="S430" s="770"/>
      <c r="T430" s="694"/>
      <c r="U430" s="694"/>
      <c r="V430" s="694"/>
      <c r="W430" s="694"/>
      <c r="X430" s="694"/>
      <c r="Y430" s="694"/>
      <c r="Z430" s="694"/>
      <c r="AA430" s="694"/>
      <c r="AB430" s="729"/>
      <c r="AC430" s="694"/>
      <c r="AD430" s="694"/>
      <c r="AE430" s="694"/>
      <c r="AF430" s="694"/>
      <c r="AG430" s="694"/>
      <c r="AH430" s="694"/>
      <c r="AI430" s="694"/>
      <c r="AJ430" s="343"/>
      <c r="AK430" s="343"/>
      <c r="AL430" s="343"/>
      <c r="AM430" s="343"/>
    </row>
    <row r="431" spans="1:39" ht="12.75" customHeight="1" x14ac:dyDescent="0.25">
      <c r="A431" s="694"/>
      <c r="B431" s="284"/>
      <c r="C431" s="1496"/>
      <c r="D431" s="1497"/>
      <c r="E431" s="1308" t="s">
        <v>1052</v>
      </c>
      <c r="F431" s="2838" t="str">
        <f>Translations!$B$647</f>
        <v>Топлинна енергия от отпадни газове: това включва измерима топлинна енергия, произведена от отпадни газове.</v>
      </c>
      <c r="G431" s="2839"/>
      <c r="H431" s="2839"/>
      <c r="I431" s="2839"/>
      <c r="J431" s="2839"/>
      <c r="K431" s="2839"/>
      <c r="L431" s="2839"/>
      <c r="M431" s="2839"/>
      <c r="N431" s="2840"/>
      <c r="O431" s="336"/>
      <c r="P431" s="336"/>
      <c r="Q431" s="770"/>
      <c r="R431" s="694"/>
      <c r="S431" s="770"/>
      <c r="T431" s="694"/>
      <c r="U431" s="694"/>
      <c r="V431" s="694"/>
      <c r="W431" s="694"/>
      <c r="X431" s="694"/>
      <c r="Y431" s="694"/>
      <c r="Z431" s="694"/>
      <c r="AA431" s="694"/>
      <c r="AB431" s="729"/>
      <c r="AC431" s="694"/>
      <c r="AD431" s="694"/>
      <c r="AE431" s="694"/>
      <c r="AF431" s="694"/>
      <c r="AG431" s="694"/>
      <c r="AH431" s="694"/>
      <c r="AI431" s="694"/>
      <c r="AJ431" s="343"/>
      <c r="AK431" s="343"/>
      <c r="AL431" s="343"/>
      <c r="AM431" s="343"/>
    </row>
    <row r="432" spans="1:39" ht="12.75" customHeight="1" x14ac:dyDescent="0.25">
      <c r="A432" s="694"/>
      <c r="B432" s="284"/>
      <c r="C432" s="1496"/>
      <c r="D432" s="1497"/>
      <c r="E432" s="2836" t="str">
        <f>Translations!$B$648</f>
        <v>Тук не включвайте топлинна енергия, получена от източници „които не отговарят на условията“ т.е. инсталации, които не са обхванати от СТЕ на ЕС, или топлинна енергия, произведена в подинсталации за азотна киселина.</v>
      </c>
      <c r="F432" s="2240"/>
      <c r="G432" s="2240"/>
      <c r="H432" s="2240"/>
      <c r="I432" s="2240"/>
      <c r="J432" s="2240"/>
      <c r="K432" s="2240"/>
      <c r="L432" s="2240"/>
      <c r="M432" s="2240"/>
      <c r="N432" s="2811"/>
      <c r="O432" s="336"/>
      <c r="P432" s="336"/>
      <c r="Q432" s="770"/>
      <c r="R432" s="694"/>
      <c r="S432" s="770"/>
      <c r="T432" s="694"/>
      <c r="U432" s="694"/>
      <c r="V432" s="694"/>
      <c r="W432" s="694"/>
      <c r="X432" s="694"/>
      <c r="Y432" s="694"/>
      <c r="Z432" s="694"/>
      <c r="AA432" s="694"/>
      <c r="AB432" s="729"/>
      <c r="AC432" s="694"/>
      <c r="AD432" s="694"/>
      <c r="AE432" s="694"/>
      <c r="AF432" s="694"/>
      <c r="AG432" s="694"/>
      <c r="AH432" s="694"/>
      <c r="AI432" s="694"/>
      <c r="AJ432" s="343"/>
      <c r="AK432" s="343"/>
      <c r="AL432" s="343"/>
      <c r="AM432" s="343"/>
    </row>
    <row r="433" spans="1:39" ht="12.75" customHeight="1" x14ac:dyDescent="0.25">
      <c r="A433" s="694"/>
      <c r="B433" s="284"/>
      <c r="C433" s="1496"/>
      <c r="D433" s="1497"/>
      <c r="E433" s="2838" t="str">
        <f>Translations!$B$649</f>
        <v>При специфичните емисионни фактори (EF), свързани с топлинната енергия, трябва да се отчитат разпоредбите на раздели 8 и 10 от приложение VII към ПБР, и по-специално раздели 10.1.2 и 10.1.3.</v>
      </c>
      <c r="F433" s="2851"/>
      <c r="G433" s="2851"/>
      <c r="H433" s="2851"/>
      <c r="I433" s="2851"/>
      <c r="J433" s="2851"/>
      <c r="K433" s="2851"/>
      <c r="L433" s="2851"/>
      <c r="M433" s="2851"/>
      <c r="N433" s="2852"/>
      <c r="O433" s="336"/>
      <c r="P433" s="336"/>
      <c r="Q433" s="770"/>
      <c r="R433" s="694"/>
      <c r="S433" s="770"/>
      <c r="T433" s="694"/>
      <c r="U433" s="694"/>
      <c r="V433" s="694"/>
      <c r="W433" s="694"/>
      <c r="X433" s="694"/>
      <c r="Y433" s="694"/>
      <c r="Z433" s="694"/>
      <c r="AA433" s="694"/>
      <c r="AB433" s="729"/>
      <c r="AC433" s="694"/>
      <c r="AD433" s="694"/>
      <c r="AE433" s="694"/>
      <c r="AF433" s="694"/>
      <c r="AG433" s="694"/>
      <c r="AH433" s="694"/>
      <c r="AI433" s="694"/>
      <c r="AJ433" s="343"/>
      <c r="AK433" s="343"/>
      <c r="AL433" s="343"/>
      <c r="AM433" s="343"/>
    </row>
    <row r="434" spans="1:39" ht="12.75" customHeight="1" x14ac:dyDescent="0.25">
      <c r="A434" s="694"/>
      <c r="B434" s="284"/>
      <c r="C434" s="1496"/>
      <c r="D434" s="1497"/>
      <c r="E434" s="2825" t="str">
        <f>Translations!$B$608</f>
        <v>За задаването на емисии от комбинираното производство на енергия (КПТЕ) при производството на топлинна енергия трябва да използвате „Инструмента за КПТЕ“ от раздел D.III.</v>
      </c>
      <c r="F434" s="2825"/>
      <c r="G434" s="2825"/>
      <c r="H434" s="2825"/>
      <c r="I434" s="2825"/>
      <c r="J434" s="2825"/>
      <c r="K434" s="2825"/>
      <c r="L434" s="2825"/>
      <c r="M434" s="2825"/>
      <c r="N434" s="1348"/>
      <c r="O434" s="336"/>
      <c r="P434" s="336"/>
      <c r="Q434" s="770"/>
      <c r="R434" s="694"/>
      <c r="S434" s="694"/>
      <c r="T434" s="694"/>
      <c r="U434" s="694"/>
      <c r="V434" s="694"/>
      <c r="W434" s="694"/>
      <c r="X434" s="694"/>
      <c r="Y434" s="694"/>
      <c r="Z434" s="694"/>
      <c r="AA434" s="694"/>
      <c r="AB434" s="694"/>
      <c r="AC434" s="694"/>
      <c r="AD434" s="694"/>
      <c r="AE434" s="694"/>
      <c r="AF434" s="694"/>
      <c r="AG434" s="694"/>
      <c r="AH434" s="694"/>
      <c r="AI434" s="694"/>
      <c r="AJ434" s="343"/>
      <c r="AK434" s="343"/>
      <c r="AL434" s="343"/>
      <c r="AM434" s="343"/>
    </row>
    <row r="435" spans="1:39" ht="12.75" customHeight="1" x14ac:dyDescent="0.25">
      <c r="A435" s="694"/>
      <c r="B435" s="284"/>
      <c r="C435" s="1496"/>
      <c r="D435" s="1497"/>
      <c r="E435" s="2803" t="str">
        <f>Translations!$B$650</f>
        <v>Нетно количество получена топлинна енергия (други източници)</v>
      </c>
      <c r="F435" s="2672"/>
      <c r="G435" s="1309" t="str">
        <f>EUconst_Unit</f>
        <v>Единица мярка</v>
      </c>
      <c r="H435" s="629">
        <f t="shared" ref="H435:N435" si="432">H$1840</f>
        <v>2024</v>
      </c>
      <c r="I435" s="629">
        <f t="shared" si="432"/>
        <v>2025</v>
      </c>
      <c r="J435" s="629">
        <f t="shared" si="432"/>
        <v>2026</v>
      </c>
      <c r="K435" s="629">
        <f t="shared" si="432"/>
        <v>2027</v>
      </c>
      <c r="L435" s="629">
        <f t="shared" si="432"/>
        <v>2028</v>
      </c>
      <c r="M435" s="629">
        <f t="shared" si="432"/>
        <v>2029</v>
      </c>
      <c r="N435" s="1312">
        <f t="shared" si="432"/>
        <v>2030</v>
      </c>
      <c r="O435" s="336"/>
      <c r="P435" s="336"/>
      <c r="Q435" s="770"/>
      <c r="R435" s="694"/>
      <c r="S435" s="770"/>
      <c r="T435" s="1031">
        <f t="shared" ref="T435" si="433">H435</f>
        <v>2024</v>
      </c>
      <c r="U435" s="1031">
        <f t="shared" ref="U435" si="434">I435</f>
        <v>2025</v>
      </c>
      <c r="V435" s="1031">
        <f t="shared" ref="V435" si="435">J435</f>
        <v>2026</v>
      </c>
      <c r="W435" s="1031">
        <f t="shared" ref="W435" si="436">K435</f>
        <v>2027</v>
      </c>
      <c r="X435" s="1031">
        <f t="shared" ref="X435" si="437">L435</f>
        <v>2028</v>
      </c>
      <c r="Y435" s="1031">
        <f t="shared" ref="Y435" si="438">M435</f>
        <v>2029</v>
      </c>
      <c r="Z435" s="1031">
        <f t="shared" ref="Z435" si="439">N435</f>
        <v>2030</v>
      </c>
      <c r="AA435" s="694"/>
      <c r="AB435" s="694"/>
      <c r="AC435" s="1504">
        <f t="shared" ref="AC435" si="440">H$1840</f>
        <v>2024</v>
      </c>
      <c r="AD435" s="1504">
        <f t="shared" ref="AD435" si="441">I$1840</f>
        <v>2025</v>
      </c>
      <c r="AE435" s="1504">
        <f t="shared" ref="AE435" si="442">J$1840</f>
        <v>2026</v>
      </c>
      <c r="AF435" s="1504">
        <f t="shared" ref="AF435" si="443">K$1840</f>
        <v>2027</v>
      </c>
      <c r="AG435" s="1504">
        <f t="shared" ref="AG435" si="444">L$1840</f>
        <v>2028</v>
      </c>
      <c r="AH435" s="1504">
        <f t="shared" ref="AH435" si="445">M$1840</f>
        <v>2029</v>
      </c>
      <c r="AI435" s="1504">
        <f t="shared" ref="AI435" si="446">N$1840</f>
        <v>2030</v>
      </c>
      <c r="AJ435" s="343"/>
      <c r="AK435" s="343"/>
      <c r="AL435" s="343"/>
      <c r="AM435" s="343"/>
    </row>
    <row r="436" spans="1:39" ht="12.75" customHeight="1" x14ac:dyDescent="0.25">
      <c r="A436" s="694"/>
      <c r="B436" s="284"/>
      <c r="C436" s="1496"/>
      <c r="D436" s="1505" t="s">
        <v>6</v>
      </c>
      <c r="E436" s="2820" t="str">
        <f>Translations!$B$554</f>
        <v>Нетно количество получена топлинна енергия</v>
      </c>
      <c r="F436" s="2258"/>
      <c r="G436" s="1319" t="str">
        <f>EUconst_TJpa</f>
        <v>TJ / година</v>
      </c>
      <c r="H436" s="56"/>
      <c r="I436" s="56"/>
      <c r="J436" s="56"/>
      <c r="K436" s="56"/>
      <c r="L436" s="56"/>
      <c r="M436" s="56"/>
      <c r="N436" s="121"/>
      <c r="O436" s="336"/>
      <c r="P436" s="158"/>
      <c r="Q436" s="1500" t="str">
        <f>EUconst_CNTR_HeatImport &amp; I236</f>
        <v>HeatIm_Подинсталация с топлинен показател (без риск от ИВЕ | извън МКВЕГ)</v>
      </c>
      <c r="R436" s="694"/>
      <c r="S436" s="1509" t="str">
        <f>EUconst_ERR_AttrEmBMapplied &amp; $I236</f>
        <v>ERR_AttrEmBM_Подинсталация с топлинен показател (без риск от ИВЕ | извън МКВЕГ)</v>
      </c>
      <c r="T436" s="982">
        <f t="shared" ref="T436" si="447">IF(AND(H436&lt;&gt;0,H437="",EUconst_StatusOfDataCollection=FALSE),1,0)</f>
        <v>0</v>
      </c>
      <c r="U436" s="982">
        <f t="shared" ref="U436" si="448">IF(AND(I436&lt;&gt;0,I437="",EUconst_StatusOfDataCollection=FALSE),1,0)</f>
        <v>0</v>
      </c>
      <c r="V436" s="982">
        <f t="shared" ref="V436" si="449">IF(AND(J436&lt;&gt;0,J437="",EUconst_StatusOfDataCollection=FALSE),1,0)</f>
        <v>0</v>
      </c>
      <c r="W436" s="982">
        <f t="shared" ref="W436" si="450">IF(AND(K436&lt;&gt;0,K437="",EUconst_StatusOfDataCollection=FALSE),1,0)</f>
        <v>0</v>
      </c>
      <c r="X436" s="982">
        <f t="shared" ref="X436" si="451">IF(AND(L436&lt;&gt;0,L437="",EUconst_StatusOfDataCollection=FALSE),1,0)</f>
        <v>0</v>
      </c>
      <c r="Y436" s="982">
        <f t="shared" ref="Y436" si="452">IF(AND(M436&lt;&gt;0,M437="",EUconst_StatusOfDataCollection=FALSE),1,0)</f>
        <v>0</v>
      </c>
      <c r="Z436" s="982">
        <f t="shared" ref="Z436" si="453">IF(AND(N436&lt;&gt;0,N437="",EUconst_StatusOfDataCollection=FALSE),1,0)</f>
        <v>0</v>
      </c>
      <c r="AA436" s="694"/>
      <c r="AB436" s="1182" t="s">
        <v>737</v>
      </c>
      <c r="AC436" s="982" t="b">
        <f t="shared" ref="AC436:AI436" si="454">AC407</f>
        <v>0</v>
      </c>
      <c r="AD436" s="982" t="b">
        <f t="shared" si="454"/>
        <v>0</v>
      </c>
      <c r="AE436" s="982" t="b">
        <f t="shared" si="454"/>
        <v>0</v>
      </c>
      <c r="AF436" s="982" t="b">
        <f t="shared" si="454"/>
        <v>0</v>
      </c>
      <c r="AG436" s="982" t="b">
        <f t="shared" si="454"/>
        <v>0</v>
      </c>
      <c r="AH436" s="982" t="b">
        <f t="shared" si="454"/>
        <v>0</v>
      </c>
      <c r="AI436" s="982" t="b">
        <f t="shared" si="454"/>
        <v>0</v>
      </c>
      <c r="AJ436" s="343"/>
      <c r="AK436" s="343"/>
      <c r="AL436" s="1176" t="str">
        <f>IF(AND(CNTR_ExistSubInstEntries,COUNTIFS(AC436:AI436,2,H436:N436,"")&gt;0),EUconst_Error&amp;"FB"&amp;Q236,"")</f>
        <v/>
      </c>
      <c r="AM436" s="343"/>
    </row>
    <row r="437" spans="1:39" ht="12.75" customHeight="1" x14ac:dyDescent="0.3">
      <c r="A437" s="694"/>
      <c r="B437" s="284"/>
      <c r="C437" s="1496"/>
      <c r="D437" s="1505" t="s">
        <v>7</v>
      </c>
      <c r="E437" s="2820" t="str">
        <f>Translations!$B$555</f>
        <v>Специфичен EF (получена топлинна енергия)</v>
      </c>
      <c r="F437" s="2258"/>
      <c r="G437" s="1319" t="str">
        <f>EUconst_tCO2pTJ</f>
        <v>t CO2 / TJ</v>
      </c>
      <c r="H437" s="56"/>
      <c r="I437" s="56"/>
      <c r="J437" s="56"/>
      <c r="K437" s="56"/>
      <c r="L437" s="56"/>
      <c r="M437" s="56"/>
      <c r="N437" s="121"/>
      <c r="O437" s="336"/>
      <c r="P437" s="158"/>
      <c r="Q437" s="1500" t="str">
        <f>EUconst_CNTR_HeatImportEF &amp; I236</f>
        <v>HeatImEF_Подинсталация с топлинен показател (без риск от ИВЕ | извън МКВЕГ)</v>
      </c>
      <c r="R437" s="694"/>
      <c r="S437" s="1510" t="str">
        <f>EUconst_CNTR_AttributedEmissions &amp; $I236</f>
        <v>AttrEmissions_Подинсталация с топлинен показател (без риск от ИВЕ | извън МКВЕГ)</v>
      </c>
      <c r="T437" s="982" t="str">
        <f t="shared" ref="T437" si="455">IF(T244,SUM(H436)*IF(ISNUMBER(H437),H437,EUconst_HeatBMvalue),"")</f>
        <v/>
      </c>
      <c r="U437" s="982" t="str">
        <f t="shared" ref="U437" si="456">IF(U244,SUM(I436)*IF(ISNUMBER(I437),I437,EUconst_HeatBMvalue),"")</f>
        <v/>
      </c>
      <c r="V437" s="982" t="str">
        <f t="shared" ref="V437" si="457">IF(V244,SUM(J436)*IF(ISNUMBER(J437),J437,EUconst_HeatBMvalue),"")</f>
        <v/>
      </c>
      <c r="W437" s="982" t="str">
        <f t="shared" ref="W437" si="458">IF(W244,SUM(K436)*IF(ISNUMBER(K437),K437,EUconst_HeatBMvalue),"")</f>
        <v/>
      </c>
      <c r="X437" s="982" t="str">
        <f t="shared" ref="X437" si="459">IF(X244,SUM(L436)*IF(ISNUMBER(L437),L437,EUconst_HeatBMvalue),"")</f>
        <v/>
      </c>
      <c r="Y437" s="982" t="str">
        <f t="shared" ref="Y437" si="460">IF(Y244,SUM(M436)*IF(ISNUMBER(M437),M437,EUconst_HeatBMvalue),"")</f>
        <v/>
      </c>
      <c r="Z437" s="982" t="str">
        <f t="shared" ref="Z437" si="461">IF(Z244,SUM(N436)*IF(ISNUMBER(N437),N437,EUconst_HeatBMvalue),"")</f>
        <v/>
      </c>
      <c r="AA437" s="694"/>
      <c r="AB437" s="694"/>
      <c r="AC437" s="982" t="b">
        <f t="shared" ref="AC437:AI437" si="462">AC408</f>
        <v>0</v>
      </c>
      <c r="AD437" s="982" t="b">
        <f t="shared" si="462"/>
        <v>0</v>
      </c>
      <c r="AE437" s="982" t="b">
        <f t="shared" si="462"/>
        <v>0</v>
      </c>
      <c r="AF437" s="982" t="b">
        <f t="shared" si="462"/>
        <v>0</v>
      </c>
      <c r="AG437" s="982" t="b">
        <f t="shared" si="462"/>
        <v>0</v>
      </c>
      <c r="AH437" s="982" t="b">
        <f t="shared" si="462"/>
        <v>0</v>
      </c>
      <c r="AI437" s="982" t="b">
        <f t="shared" si="462"/>
        <v>0</v>
      </c>
      <c r="AJ437" s="343"/>
      <c r="AK437" s="343"/>
      <c r="AL437" s="1176" t="str">
        <f>IF(AND(CNTR_ExistSubInstEntries,COUNTIFS(AC437:AI437,2,H437:N437,"")&gt;0),EUconst_Error&amp;"FB"&amp;Q236,"")</f>
        <v/>
      </c>
      <c r="AM437" s="343"/>
    </row>
    <row r="438" spans="1:39" ht="5.15" customHeight="1" x14ac:dyDescent="0.25">
      <c r="A438" s="694"/>
      <c r="B438" s="284"/>
      <c r="C438" s="1496"/>
      <c r="D438" s="1497"/>
      <c r="E438" s="1497"/>
      <c r="F438" s="1497"/>
      <c r="G438" s="1497"/>
      <c r="H438" s="1497"/>
      <c r="I438" s="1497"/>
      <c r="J438" s="1497"/>
      <c r="K438" s="1497"/>
      <c r="L438" s="1497"/>
      <c r="M438" s="1497"/>
      <c r="N438" s="1503"/>
      <c r="O438" s="336"/>
      <c r="P438" s="336"/>
      <c r="Q438" s="770"/>
      <c r="R438" s="694"/>
      <c r="S438" s="770"/>
      <c r="T438" s="694"/>
      <c r="U438" s="694"/>
      <c r="V438" s="694"/>
      <c r="W438" s="694"/>
      <c r="X438" s="694"/>
      <c r="Y438" s="694"/>
      <c r="Z438" s="694"/>
      <c r="AA438" s="694"/>
      <c r="AB438" s="694"/>
      <c r="AC438" s="694"/>
      <c r="AD438" s="694"/>
      <c r="AE438" s="694"/>
      <c r="AF438" s="694"/>
      <c r="AG438" s="694"/>
      <c r="AH438" s="694"/>
      <c r="AI438" s="694"/>
      <c r="AJ438" s="343"/>
      <c r="AK438" s="343"/>
      <c r="AL438" s="343"/>
      <c r="AM438" s="343"/>
    </row>
    <row r="439" spans="1:39" ht="12.75" customHeight="1" x14ac:dyDescent="0.25">
      <c r="A439" s="694"/>
      <c r="B439" s="284"/>
      <c r="C439" s="1496"/>
      <c r="D439" s="1497"/>
      <c r="E439" s="2803" t="str">
        <f>Translations!$B$651</f>
        <v>Топлинна енергия от подинсталации с продуктов показател</v>
      </c>
      <c r="F439" s="2672"/>
      <c r="G439" s="1309" t="str">
        <f>EUconst_Unit</f>
        <v>Единица мярка</v>
      </c>
      <c r="H439" s="629">
        <f t="shared" ref="H439:N439" si="463">H$1840</f>
        <v>2024</v>
      </c>
      <c r="I439" s="629">
        <f t="shared" si="463"/>
        <v>2025</v>
      </c>
      <c r="J439" s="629">
        <f t="shared" si="463"/>
        <v>2026</v>
      </c>
      <c r="K439" s="629">
        <f t="shared" si="463"/>
        <v>2027</v>
      </c>
      <c r="L439" s="629">
        <f t="shared" si="463"/>
        <v>2028</v>
      </c>
      <c r="M439" s="629">
        <f t="shared" si="463"/>
        <v>2029</v>
      </c>
      <c r="N439" s="1312">
        <f t="shared" si="463"/>
        <v>2030</v>
      </c>
      <c r="O439" s="336"/>
      <c r="P439" s="336"/>
      <c r="Q439" s="770"/>
      <c r="R439" s="694"/>
      <c r="S439" s="770"/>
      <c r="T439" s="1031">
        <f t="shared" ref="T439" si="464">H439</f>
        <v>2024</v>
      </c>
      <c r="U439" s="1031">
        <f t="shared" ref="U439" si="465">I439</f>
        <v>2025</v>
      </c>
      <c r="V439" s="1031">
        <f t="shared" ref="V439" si="466">J439</f>
        <v>2026</v>
      </c>
      <c r="W439" s="1031">
        <f t="shared" ref="W439" si="467">K439</f>
        <v>2027</v>
      </c>
      <c r="X439" s="1031">
        <f t="shared" ref="X439" si="468">L439</f>
        <v>2028</v>
      </c>
      <c r="Y439" s="1031">
        <f t="shared" ref="Y439" si="469">M439</f>
        <v>2029</v>
      </c>
      <c r="Z439" s="1031">
        <f>N439</f>
        <v>2030</v>
      </c>
      <c r="AA439" s="694"/>
      <c r="AB439" s="729"/>
      <c r="AC439" s="1504">
        <f t="shared" ref="AC439" si="470">H$1840</f>
        <v>2024</v>
      </c>
      <c r="AD439" s="1504">
        <f t="shared" ref="AD439" si="471">I$1840</f>
        <v>2025</v>
      </c>
      <c r="AE439" s="1504">
        <f t="shared" ref="AE439" si="472">J$1840</f>
        <v>2026</v>
      </c>
      <c r="AF439" s="1504">
        <f t="shared" ref="AF439" si="473">K$1840</f>
        <v>2027</v>
      </c>
      <c r="AG439" s="1504">
        <f t="shared" ref="AG439" si="474">L$1840</f>
        <v>2028</v>
      </c>
      <c r="AH439" s="1504">
        <f t="shared" ref="AH439" si="475">M$1840</f>
        <v>2029</v>
      </c>
      <c r="AI439" s="1504">
        <f t="shared" ref="AI439" si="476">N$1840</f>
        <v>2030</v>
      </c>
      <c r="AJ439" s="343"/>
      <c r="AK439" s="343"/>
      <c r="AL439" s="343"/>
      <c r="AM439" s="343"/>
    </row>
    <row r="440" spans="1:39" ht="12.75" customHeight="1" x14ac:dyDescent="0.25">
      <c r="A440" s="694"/>
      <c r="B440" s="284"/>
      <c r="C440" s="1496"/>
      <c r="D440" s="1505" t="s">
        <v>18</v>
      </c>
      <c r="E440" s="2820" t="str">
        <f>Translations!$B$554</f>
        <v>Нетно количество получена топлинна енергия</v>
      </c>
      <c r="F440" s="2258"/>
      <c r="G440" s="1319" t="str">
        <f>EUconst_TJpa</f>
        <v>TJ / година</v>
      </c>
      <c r="H440" s="56"/>
      <c r="I440" s="56"/>
      <c r="J440" s="56"/>
      <c r="K440" s="56"/>
      <c r="L440" s="56"/>
      <c r="M440" s="56"/>
      <c r="N440" s="121"/>
      <c r="O440" s="336"/>
      <c r="P440" s="158"/>
      <c r="Q440" s="1500" t="str">
        <f>EUconst_CNTR_HeatImportProduct &amp; I236</f>
        <v>HeatImProd_Подинсталация с топлинен показател (без риск от ИВЕ | извън МКВЕГ)</v>
      </c>
      <c r="R440" s="694"/>
      <c r="S440" s="1509" t="str">
        <f>EUconst_ERR_AttrEmBMapplied &amp; $I236</f>
        <v>ERR_AttrEmBM_Подинсталация с топлинен показател (без риск от ИВЕ | извън МКВЕГ)</v>
      </c>
      <c r="T440" s="982">
        <f t="shared" ref="T440" si="477">IF(AND(H440&lt;&gt;0,H441="",EUconst_StatusOfDataCollection=FALSE),1,0)</f>
        <v>0</v>
      </c>
      <c r="U440" s="982">
        <f t="shared" ref="U440" si="478">IF(AND(I440&lt;&gt;0,I441="",EUconst_StatusOfDataCollection=FALSE),1,0)</f>
        <v>0</v>
      </c>
      <c r="V440" s="982">
        <f t="shared" ref="V440" si="479">IF(AND(J440&lt;&gt;0,J441="",EUconst_StatusOfDataCollection=FALSE),1,0)</f>
        <v>0</v>
      </c>
      <c r="W440" s="982">
        <f t="shared" ref="W440" si="480">IF(AND(K440&lt;&gt;0,K441="",EUconst_StatusOfDataCollection=FALSE),1,0)</f>
        <v>0</v>
      </c>
      <c r="X440" s="982">
        <f t="shared" ref="X440" si="481">IF(AND(L440&lt;&gt;0,L441="",EUconst_StatusOfDataCollection=FALSE),1,0)</f>
        <v>0</v>
      </c>
      <c r="Y440" s="982">
        <f t="shared" ref="Y440" si="482">IF(AND(M440&lt;&gt;0,M441="",EUconst_StatusOfDataCollection=FALSE),1,0)</f>
        <v>0</v>
      </c>
      <c r="Z440" s="982">
        <f t="shared" ref="Z440" si="483">IF(AND(N440&lt;&gt;0,N441="",EUconst_StatusOfDataCollection=FALSE),1,0)</f>
        <v>0</v>
      </c>
      <c r="AA440" s="694"/>
      <c r="AB440" s="1182" t="s">
        <v>737</v>
      </c>
      <c r="AC440" s="982" t="b">
        <f>AC436</f>
        <v>0</v>
      </c>
      <c r="AD440" s="982" t="b">
        <f t="shared" ref="AD440:AI440" si="484">AD436</f>
        <v>0</v>
      </c>
      <c r="AE440" s="982" t="b">
        <f t="shared" si="484"/>
        <v>0</v>
      </c>
      <c r="AF440" s="982" t="b">
        <f t="shared" si="484"/>
        <v>0</v>
      </c>
      <c r="AG440" s="982" t="b">
        <f t="shared" si="484"/>
        <v>0</v>
      </c>
      <c r="AH440" s="982" t="b">
        <f t="shared" si="484"/>
        <v>0</v>
      </c>
      <c r="AI440" s="982" t="b">
        <f t="shared" si="484"/>
        <v>0</v>
      </c>
      <c r="AJ440" s="343"/>
      <c r="AK440" s="343"/>
      <c r="AL440" s="1176" t="str">
        <f>IF(AND(CNTR_ExistSubInstEntries,COUNTIFS(AC440:AI440,2,H440:N440,"")&gt;0),EUconst_Error&amp;"FB"&amp;Q236,"")</f>
        <v/>
      </c>
      <c r="AM440" s="343"/>
    </row>
    <row r="441" spans="1:39" ht="12.75" customHeight="1" x14ac:dyDescent="0.3">
      <c r="A441" s="694"/>
      <c r="B441" s="284"/>
      <c r="C441" s="1496"/>
      <c r="D441" s="1505" t="s">
        <v>810</v>
      </c>
      <c r="E441" s="2820" t="str">
        <f>Translations!$B$652</f>
        <v>Специфичен EF (от продуктов показател)</v>
      </c>
      <c r="F441" s="2258"/>
      <c r="G441" s="1319" t="str">
        <f>EUconst_tCO2pTJ</f>
        <v>t CO2 / TJ</v>
      </c>
      <c r="H441" s="56"/>
      <c r="I441" s="56"/>
      <c r="J441" s="56"/>
      <c r="K441" s="56"/>
      <c r="L441" s="56"/>
      <c r="M441" s="56"/>
      <c r="N441" s="121"/>
      <c r="O441" s="336"/>
      <c r="P441" s="158"/>
      <c r="Q441" s="1500" t="str">
        <f>EUconst_CNTR_HeatImportProductEF &amp; I236</f>
        <v>HeatImProdEF_Подинсталация с топлинен показател (без риск от ИВЕ | извън МКВЕГ)</v>
      </c>
      <c r="R441" s="694"/>
      <c r="S441" s="1510" t="str">
        <f>EUconst_CNTR_AttributedEmissions &amp; $I236</f>
        <v>AttrEmissions_Подинсталация с топлинен показател (без риск от ИВЕ | извън МКВЕГ)</v>
      </c>
      <c r="T441" s="982" t="str">
        <f t="shared" ref="T441" si="485">IF(T244,SUM(H440)*IF(ISNUMBER(H441),H441,EUconst_HeatBMvalue),"")</f>
        <v/>
      </c>
      <c r="U441" s="982" t="str">
        <f t="shared" ref="U441" si="486">IF(U244,SUM(I440)*IF(ISNUMBER(I441),I441,EUconst_HeatBMvalue),"")</f>
        <v/>
      </c>
      <c r="V441" s="982" t="str">
        <f t="shared" ref="V441" si="487">IF(V244,SUM(J440)*IF(ISNUMBER(J441),J441,EUconst_HeatBMvalue),"")</f>
        <v/>
      </c>
      <c r="W441" s="982" t="str">
        <f t="shared" ref="W441" si="488">IF(W244,SUM(K440)*IF(ISNUMBER(K441),K441,EUconst_HeatBMvalue),"")</f>
        <v/>
      </c>
      <c r="X441" s="982" t="str">
        <f t="shared" ref="X441" si="489">IF(X244,SUM(L440)*IF(ISNUMBER(L441),L441,EUconst_HeatBMvalue),"")</f>
        <v/>
      </c>
      <c r="Y441" s="982" t="str">
        <f t="shared" ref="Y441" si="490">IF(Y244,SUM(M440)*IF(ISNUMBER(M441),M441,EUconst_HeatBMvalue),"")</f>
        <v/>
      </c>
      <c r="Z441" s="982" t="str">
        <f t="shared" ref="Z441" si="491">IF(Z244,SUM(N440)*IF(ISNUMBER(N441),N441,EUconst_HeatBMvalue),"")</f>
        <v/>
      </c>
      <c r="AA441" s="694"/>
      <c r="AB441" s="729"/>
      <c r="AC441" s="982" t="b">
        <f>AC437</f>
        <v>0</v>
      </c>
      <c r="AD441" s="982" t="b">
        <f t="shared" ref="AD441:AI441" si="492">AD437</f>
        <v>0</v>
      </c>
      <c r="AE441" s="982" t="b">
        <f t="shared" si="492"/>
        <v>0</v>
      </c>
      <c r="AF441" s="982" t="b">
        <f t="shared" si="492"/>
        <v>0</v>
      </c>
      <c r="AG441" s="982" t="b">
        <f t="shared" si="492"/>
        <v>0</v>
      </c>
      <c r="AH441" s="982" t="b">
        <f t="shared" si="492"/>
        <v>0</v>
      </c>
      <c r="AI441" s="982" t="b">
        <f t="shared" si="492"/>
        <v>0</v>
      </c>
      <c r="AJ441" s="343"/>
      <c r="AK441" s="343"/>
      <c r="AL441" s="1176" t="str">
        <f>IF(AND(CNTR_ExistSubInstEntries,COUNTIFS(AC441:AI441,2,H441:N441,"")&gt;0),EUconst_Error&amp;"FB"&amp;Q236,"")</f>
        <v/>
      </c>
      <c r="AM441" s="343"/>
    </row>
    <row r="442" spans="1:39" ht="5.15" customHeight="1" x14ac:dyDescent="0.25">
      <c r="A442" s="694"/>
      <c r="B442" s="284"/>
      <c r="C442" s="1496"/>
      <c r="D442" s="1497"/>
      <c r="E442" s="1497"/>
      <c r="F442" s="1497"/>
      <c r="G442" s="1497"/>
      <c r="H442" s="1497"/>
      <c r="I442" s="1497"/>
      <c r="J442" s="1497"/>
      <c r="K442" s="1497"/>
      <c r="L442" s="1497"/>
      <c r="M442" s="1497"/>
      <c r="N442" s="1503"/>
      <c r="O442" s="336"/>
      <c r="P442" s="336"/>
      <c r="Q442" s="770"/>
      <c r="R442" s="694"/>
      <c r="S442" s="770"/>
      <c r="T442" s="694"/>
      <c r="U442" s="694"/>
      <c r="V442" s="694"/>
      <c r="W442" s="694"/>
      <c r="X442" s="694"/>
      <c r="Y442" s="694"/>
      <c r="Z442" s="694"/>
      <c r="AA442" s="694"/>
      <c r="AB442" s="729"/>
      <c r="AC442" s="694"/>
      <c r="AD442" s="694"/>
      <c r="AE442" s="694"/>
      <c r="AF442" s="694"/>
      <c r="AG442" s="694"/>
      <c r="AH442" s="694"/>
      <c r="AI442" s="694"/>
      <c r="AJ442" s="343"/>
      <c r="AK442" s="343"/>
      <c r="AL442" s="343"/>
      <c r="AM442" s="343"/>
    </row>
    <row r="443" spans="1:39" ht="12.75" customHeight="1" x14ac:dyDescent="0.25">
      <c r="A443" s="694"/>
      <c r="B443" s="284"/>
      <c r="C443" s="1496"/>
      <c r="D443" s="1497"/>
      <c r="E443" s="2803" t="str">
        <f>Translations!$B$653</f>
        <v>Топлинна енергия от пулп</v>
      </c>
      <c r="F443" s="2672"/>
      <c r="G443" s="1309" t="str">
        <f>EUconst_Unit</f>
        <v>Единица мярка</v>
      </c>
      <c r="H443" s="629">
        <f t="shared" ref="H443:N443" si="493">H$1840</f>
        <v>2024</v>
      </c>
      <c r="I443" s="629">
        <f t="shared" si="493"/>
        <v>2025</v>
      </c>
      <c r="J443" s="629">
        <f t="shared" si="493"/>
        <v>2026</v>
      </c>
      <c r="K443" s="629">
        <f t="shared" si="493"/>
        <v>2027</v>
      </c>
      <c r="L443" s="629">
        <f t="shared" si="493"/>
        <v>2028</v>
      </c>
      <c r="M443" s="629">
        <f t="shared" si="493"/>
        <v>2029</v>
      </c>
      <c r="N443" s="1312">
        <f t="shared" si="493"/>
        <v>2030</v>
      </c>
      <c r="O443" s="336"/>
      <c r="P443" s="336"/>
      <c r="Q443" s="770"/>
      <c r="R443" s="694"/>
      <c r="S443" s="770"/>
      <c r="T443" s="1031">
        <f t="shared" ref="T443" si="494">H443</f>
        <v>2024</v>
      </c>
      <c r="U443" s="1031">
        <f t="shared" ref="U443" si="495">I443</f>
        <v>2025</v>
      </c>
      <c r="V443" s="1031">
        <f t="shared" ref="V443" si="496">J443</f>
        <v>2026</v>
      </c>
      <c r="W443" s="1031">
        <f t="shared" ref="W443" si="497">K443</f>
        <v>2027</v>
      </c>
      <c r="X443" s="1031">
        <f t="shared" ref="X443" si="498">L443</f>
        <v>2028</v>
      </c>
      <c r="Y443" s="1031">
        <f t="shared" ref="Y443" si="499">M443</f>
        <v>2029</v>
      </c>
      <c r="Z443" s="1031">
        <f>N443</f>
        <v>2030</v>
      </c>
      <c r="AA443" s="694"/>
      <c r="AB443" s="729"/>
      <c r="AC443" s="1504">
        <f t="shared" ref="AC443" si="500">H$1840</f>
        <v>2024</v>
      </c>
      <c r="AD443" s="1504">
        <f t="shared" ref="AD443" si="501">I$1840</f>
        <v>2025</v>
      </c>
      <c r="AE443" s="1504">
        <f t="shared" ref="AE443" si="502">J$1840</f>
        <v>2026</v>
      </c>
      <c r="AF443" s="1504">
        <f t="shared" ref="AF443" si="503">K$1840</f>
        <v>2027</v>
      </c>
      <c r="AG443" s="1504">
        <f t="shared" ref="AG443" si="504">L$1840</f>
        <v>2028</v>
      </c>
      <c r="AH443" s="1504">
        <f t="shared" ref="AH443" si="505">M$1840</f>
        <v>2029</v>
      </c>
      <c r="AI443" s="1504">
        <f t="shared" ref="AI443" si="506">N$1840</f>
        <v>2030</v>
      </c>
      <c r="AJ443" s="343"/>
      <c r="AK443" s="343"/>
      <c r="AL443" s="343"/>
      <c r="AM443" s="343"/>
    </row>
    <row r="444" spans="1:39" ht="12.75" customHeight="1" x14ac:dyDescent="0.25">
      <c r="A444" s="694"/>
      <c r="B444" s="284"/>
      <c r="C444" s="1496"/>
      <c r="D444" s="1505" t="s">
        <v>812</v>
      </c>
      <c r="E444" s="2820" t="str">
        <f>Translations!$B$554</f>
        <v>Нетно количество получена топлинна енергия</v>
      </c>
      <c r="F444" s="2258"/>
      <c r="G444" s="1319" t="str">
        <f>EUconst_TJpa</f>
        <v>TJ / година</v>
      </c>
      <c r="H444" s="56"/>
      <c r="I444" s="56"/>
      <c r="J444" s="56"/>
      <c r="K444" s="56"/>
      <c r="L444" s="56"/>
      <c r="M444" s="56"/>
      <c r="N444" s="121"/>
      <c r="O444" s="336"/>
      <c r="P444" s="158"/>
      <c r="Q444" s="1500" t="str">
        <f>EUconst_CNTR_HeatImportPulp &amp; I236</f>
        <v>HeatImPulp_Подинсталация с топлинен показател (без риск от ИВЕ | извън МКВЕГ)</v>
      </c>
      <c r="R444" s="694"/>
      <c r="S444" s="1509" t="str">
        <f>EUconst_ERR_AttrEmBMapplied &amp; $I236</f>
        <v>ERR_AttrEmBM_Подинсталация с топлинен показател (без риск от ИВЕ | извън МКВЕГ)</v>
      </c>
      <c r="T444" s="982">
        <f t="shared" ref="T444" si="507">IF(AND(H444&lt;&gt;0,H445="",EUconst_StatusOfDataCollection=FALSE),1,0)</f>
        <v>0</v>
      </c>
      <c r="U444" s="982">
        <f t="shared" ref="U444" si="508">IF(AND(I444&lt;&gt;0,I445="",EUconst_StatusOfDataCollection=FALSE),1,0)</f>
        <v>0</v>
      </c>
      <c r="V444" s="982">
        <f t="shared" ref="V444" si="509">IF(AND(J444&lt;&gt;0,J445="",EUconst_StatusOfDataCollection=FALSE),1,0)</f>
        <v>0</v>
      </c>
      <c r="W444" s="982">
        <f t="shared" ref="W444" si="510">IF(AND(K444&lt;&gt;0,K445="",EUconst_StatusOfDataCollection=FALSE),1,0)</f>
        <v>0</v>
      </c>
      <c r="X444" s="982">
        <f t="shared" ref="X444" si="511">IF(AND(L444&lt;&gt;0,L445="",EUconst_StatusOfDataCollection=FALSE),1,0)</f>
        <v>0</v>
      </c>
      <c r="Y444" s="982">
        <f t="shared" ref="Y444" si="512">IF(AND(M444&lt;&gt;0,M445="",EUconst_StatusOfDataCollection=FALSE),1,0)</f>
        <v>0</v>
      </c>
      <c r="Z444" s="982">
        <f t="shared" ref="Z444" si="513">IF(AND(N444&lt;&gt;0,N445="",EUconst_StatusOfDataCollection=FALSE),1,0)</f>
        <v>0</v>
      </c>
      <c r="AA444" s="694"/>
      <c r="AB444" s="1182" t="s">
        <v>737</v>
      </c>
      <c r="AC444" s="982" t="b">
        <f>AC440</f>
        <v>0</v>
      </c>
      <c r="AD444" s="982" t="b">
        <f t="shared" ref="AD444:AI444" si="514">AD440</f>
        <v>0</v>
      </c>
      <c r="AE444" s="982" t="b">
        <f t="shared" si="514"/>
        <v>0</v>
      </c>
      <c r="AF444" s="982" t="b">
        <f t="shared" si="514"/>
        <v>0</v>
      </c>
      <c r="AG444" s="982" t="b">
        <f t="shared" si="514"/>
        <v>0</v>
      </c>
      <c r="AH444" s="982" t="b">
        <f t="shared" si="514"/>
        <v>0</v>
      </c>
      <c r="AI444" s="982" t="b">
        <f t="shared" si="514"/>
        <v>0</v>
      </c>
      <c r="AJ444" s="343"/>
      <c r="AK444" s="343"/>
      <c r="AL444" s="1176" t="str">
        <f>IF(AND(CNTR_ExistSubInstEntries,COUNTIFS(AC444:AI444,2,H444:N444,"")&gt;0),EUconst_Error&amp;"FB"&amp;Q236,"")</f>
        <v/>
      </c>
      <c r="AM444" s="343"/>
    </row>
    <row r="445" spans="1:39" ht="12.75" customHeight="1" x14ac:dyDescent="0.3">
      <c r="A445" s="694"/>
      <c r="B445" s="284"/>
      <c r="C445" s="1496"/>
      <c r="D445" s="1505" t="s">
        <v>813</v>
      </c>
      <c r="E445" s="2820" t="str">
        <f>Translations!$B$654</f>
        <v>Специфичен EF (от пулп)</v>
      </c>
      <c r="F445" s="2258"/>
      <c r="G445" s="1319" t="str">
        <f>EUconst_tCO2pTJ</f>
        <v>t CO2 / TJ</v>
      </c>
      <c r="H445" s="56"/>
      <c r="I445" s="56"/>
      <c r="J445" s="56"/>
      <c r="K445" s="56"/>
      <c r="L445" s="56"/>
      <c r="M445" s="56"/>
      <c r="N445" s="121"/>
      <c r="O445" s="336"/>
      <c r="P445" s="158"/>
      <c r="Q445" s="1500" t="str">
        <f>EUconst_CNTR_HeatImportPulpEF &amp; I236</f>
        <v>HeatImPulpEF_Подинсталация с топлинен показател (без риск от ИВЕ | извън МКВЕГ)</v>
      </c>
      <c r="R445" s="694"/>
      <c r="S445" s="1510" t="str">
        <f>EUconst_CNTR_AttributedEmissions &amp; $I236</f>
        <v>AttrEmissions_Подинсталация с топлинен показател (без риск от ИВЕ | извън МКВЕГ)</v>
      </c>
      <c r="T445" s="982" t="str">
        <f t="shared" ref="T445" si="515">IF(T244,SUM(H444)*IF(ISNUMBER(H445),H445,EUconst_HeatBMvalue),"")</f>
        <v/>
      </c>
      <c r="U445" s="982" t="str">
        <f t="shared" ref="U445" si="516">IF(U244,SUM(I444)*IF(ISNUMBER(I445),I445,EUconst_HeatBMvalue),"")</f>
        <v/>
      </c>
      <c r="V445" s="982" t="str">
        <f t="shared" ref="V445" si="517">IF(V244,SUM(J444)*IF(ISNUMBER(J445),J445,EUconst_HeatBMvalue),"")</f>
        <v/>
      </c>
      <c r="W445" s="982" t="str">
        <f t="shared" ref="W445" si="518">IF(W244,SUM(K444)*IF(ISNUMBER(K445),K445,EUconst_HeatBMvalue),"")</f>
        <v/>
      </c>
      <c r="X445" s="982" t="str">
        <f t="shared" ref="X445" si="519">IF(X244,SUM(L444)*IF(ISNUMBER(L445),L445,EUconst_HeatBMvalue),"")</f>
        <v/>
      </c>
      <c r="Y445" s="982" t="str">
        <f t="shared" ref="Y445" si="520">IF(Y244,SUM(M444)*IF(ISNUMBER(M445),M445,EUconst_HeatBMvalue),"")</f>
        <v/>
      </c>
      <c r="Z445" s="982" t="str">
        <f t="shared" ref="Z445" si="521">IF(Z244,SUM(N444)*IF(ISNUMBER(N445),N445,EUconst_HeatBMvalue),"")</f>
        <v/>
      </c>
      <c r="AA445" s="694"/>
      <c r="AB445" s="729"/>
      <c r="AC445" s="982" t="b">
        <f>AC441</f>
        <v>0</v>
      </c>
      <c r="AD445" s="982" t="b">
        <f t="shared" ref="AD445:AI445" si="522">AD441</f>
        <v>0</v>
      </c>
      <c r="AE445" s="982" t="b">
        <f t="shared" si="522"/>
        <v>0</v>
      </c>
      <c r="AF445" s="982" t="b">
        <f t="shared" si="522"/>
        <v>0</v>
      </c>
      <c r="AG445" s="982" t="b">
        <f t="shared" si="522"/>
        <v>0</v>
      </c>
      <c r="AH445" s="982" t="b">
        <f t="shared" si="522"/>
        <v>0</v>
      </c>
      <c r="AI445" s="982" t="b">
        <f t="shared" si="522"/>
        <v>0</v>
      </c>
      <c r="AJ445" s="343"/>
      <c r="AK445" s="343"/>
      <c r="AL445" s="1176" t="str">
        <f>IF(AND(CNTR_ExistSubInstEntries,COUNTIFS(AC445:AI445,2,H445:N445,"")&gt;0),EUconst_Error&amp;"FB"&amp;Q236,"")</f>
        <v/>
      </c>
      <c r="AM445" s="343"/>
    </row>
    <row r="446" spans="1:39" ht="5.15" customHeight="1" x14ac:dyDescent="0.25">
      <c r="A446" s="694"/>
      <c r="B446" s="284"/>
      <c r="C446" s="1496"/>
      <c r="D446" s="1497"/>
      <c r="E446" s="1497"/>
      <c r="F446" s="1497"/>
      <c r="G446" s="1497"/>
      <c r="H446" s="1497"/>
      <c r="I446" s="1497"/>
      <c r="J446" s="1497"/>
      <c r="K446" s="1497"/>
      <c r="L446" s="1497"/>
      <c r="M446" s="1497"/>
      <c r="N446" s="1503"/>
      <c r="O446" s="336"/>
      <c r="P446" s="336"/>
      <c r="Q446" s="770"/>
      <c r="R446" s="694"/>
      <c r="S446" s="770"/>
      <c r="T446" s="694"/>
      <c r="U446" s="694"/>
      <c r="V446" s="694"/>
      <c r="W446" s="694"/>
      <c r="X446" s="694"/>
      <c r="Y446" s="694"/>
      <c r="Z446" s="694"/>
      <c r="AA446" s="694"/>
      <c r="AB446" s="729"/>
      <c r="AC446" s="694"/>
      <c r="AD446" s="694"/>
      <c r="AE446" s="694"/>
      <c r="AF446" s="694"/>
      <c r="AG446" s="694"/>
      <c r="AH446" s="694"/>
      <c r="AI446" s="694"/>
      <c r="AJ446" s="343"/>
      <c r="AK446" s="343"/>
      <c r="AL446" s="343"/>
      <c r="AM446" s="343"/>
    </row>
    <row r="447" spans="1:39" ht="12.75" customHeight="1" x14ac:dyDescent="0.25">
      <c r="A447" s="694"/>
      <c r="B447" s="284"/>
      <c r="C447" s="1496"/>
      <c r="D447" s="1497"/>
      <c r="E447" s="2803" t="str">
        <f>Translations!$B$655</f>
        <v>Топлинна енергия от подинсталации с горивен показател</v>
      </c>
      <c r="F447" s="2672"/>
      <c r="G447" s="1309" t="str">
        <f>EUconst_Unit</f>
        <v>Единица мярка</v>
      </c>
      <c r="H447" s="629">
        <f t="shared" ref="H447:N447" si="523">H$1840</f>
        <v>2024</v>
      </c>
      <c r="I447" s="629">
        <f t="shared" si="523"/>
        <v>2025</v>
      </c>
      <c r="J447" s="629">
        <f t="shared" si="523"/>
        <v>2026</v>
      </c>
      <c r="K447" s="629">
        <f t="shared" si="523"/>
        <v>2027</v>
      </c>
      <c r="L447" s="629">
        <f t="shared" si="523"/>
        <v>2028</v>
      </c>
      <c r="M447" s="629">
        <f t="shared" si="523"/>
        <v>2029</v>
      </c>
      <c r="N447" s="1312">
        <f t="shared" si="523"/>
        <v>2030</v>
      </c>
      <c r="O447" s="336"/>
      <c r="P447" s="336"/>
      <c r="Q447" s="770"/>
      <c r="R447" s="694"/>
      <c r="S447" s="770"/>
      <c r="T447" s="1031">
        <f t="shared" ref="T447" si="524">H447</f>
        <v>2024</v>
      </c>
      <c r="U447" s="1031">
        <f t="shared" ref="U447" si="525">I447</f>
        <v>2025</v>
      </c>
      <c r="V447" s="1031">
        <f t="shared" ref="V447" si="526">J447</f>
        <v>2026</v>
      </c>
      <c r="W447" s="1031">
        <f t="shared" ref="W447" si="527">K447</f>
        <v>2027</v>
      </c>
      <c r="X447" s="1031">
        <f t="shared" ref="X447" si="528">L447</f>
        <v>2028</v>
      </c>
      <c r="Y447" s="1031">
        <f t="shared" ref="Y447" si="529">M447</f>
        <v>2029</v>
      </c>
      <c r="Z447" s="1031">
        <f>N447</f>
        <v>2030</v>
      </c>
      <c r="AA447" s="694"/>
      <c r="AB447" s="729"/>
      <c r="AC447" s="1504">
        <f t="shared" ref="AC447" si="530">H$1840</f>
        <v>2024</v>
      </c>
      <c r="AD447" s="1504">
        <f t="shared" ref="AD447" si="531">I$1840</f>
        <v>2025</v>
      </c>
      <c r="AE447" s="1504">
        <f t="shared" ref="AE447" si="532">J$1840</f>
        <v>2026</v>
      </c>
      <c r="AF447" s="1504">
        <f t="shared" ref="AF447" si="533">K$1840</f>
        <v>2027</v>
      </c>
      <c r="AG447" s="1504">
        <f t="shared" ref="AG447" si="534">L$1840</f>
        <v>2028</v>
      </c>
      <c r="AH447" s="1504">
        <f t="shared" ref="AH447" si="535">M$1840</f>
        <v>2029</v>
      </c>
      <c r="AI447" s="1504">
        <f t="shared" ref="AI447" si="536">N$1840</f>
        <v>2030</v>
      </c>
      <c r="AJ447" s="343"/>
      <c r="AK447" s="343"/>
      <c r="AL447" s="343"/>
      <c r="AM447" s="343"/>
    </row>
    <row r="448" spans="1:39" ht="12.75" customHeight="1" x14ac:dyDescent="0.25">
      <c r="A448" s="694"/>
      <c r="B448" s="284"/>
      <c r="C448" s="1496"/>
      <c r="D448" s="1505" t="s">
        <v>61</v>
      </c>
      <c r="E448" s="2820" t="str">
        <f>Translations!$B$554</f>
        <v>Нетно количество получена топлинна енергия</v>
      </c>
      <c r="F448" s="2258"/>
      <c r="G448" s="1319" t="str">
        <f>EUconst_TJpa</f>
        <v>TJ / година</v>
      </c>
      <c r="H448" s="56"/>
      <c r="I448" s="56"/>
      <c r="J448" s="56"/>
      <c r="K448" s="56"/>
      <c r="L448" s="56"/>
      <c r="M448" s="56"/>
      <c r="N448" s="121"/>
      <c r="O448" s="336"/>
      <c r="P448" s="158"/>
      <c r="Q448" s="1500" t="str">
        <f>EUconst_CNTR_HeatImportFuel &amp; I236</f>
        <v>HeatImFuel_Подинсталация с топлинен показател (без риск от ИВЕ | извън МКВЕГ)</v>
      </c>
      <c r="R448" s="694"/>
      <c r="S448" s="1509" t="str">
        <f>EUconst_ERR_AttrEmBMapplied &amp; $I236</f>
        <v>ERR_AttrEmBM_Подинсталация с топлинен показател (без риск от ИВЕ | извън МКВЕГ)</v>
      </c>
      <c r="T448" s="982">
        <f t="shared" ref="T448" si="537">IF(AND(H448&lt;&gt;0,H449="",EUconst_StatusOfDataCollection=FALSE),1,0)</f>
        <v>0</v>
      </c>
      <c r="U448" s="982">
        <f t="shared" ref="U448" si="538">IF(AND(I448&lt;&gt;0,I449="",EUconst_StatusOfDataCollection=FALSE),1,0)</f>
        <v>0</v>
      </c>
      <c r="V448" s="982">
        <f t="shared" ref="V448" si="539">IF(AND(J448&lt;&gt;0,J449="",EUconst_StatusOfDataCollection=FALSE),1,0)</f>
        <v>0</v>
      </c>
      <c r="W448" s="982">
        <f t="shared" ref="W448" si="540">IF(AND(K448&lt;&gt;0,K449="",EUconst_StatusOfDataCollection=FALSE),1,0)</f>
        <v>0</v>
      </c>
      <c r="X448" s="982">
        <f t="shared" ref="X448" si="541">IF(AND(L448&lt;&gt;0,L449="",EUconst_StatusOfDataCollection=FALSE),1,0)</f>
        <v>0</v>
      </c>
      <c r="Y448" s="982">
        <f t="shared" ref="Y448" si="542">IF(AND(M448&lt;&gt;0,M449="",EUconst_StatusOfDataCollection=FALSE),1,0)</f>
        <v>0</v>
      </c>
      <c r="Z448" s="982">
        <f t="shared" ref="Z448" si="543">IF(AND(N448&lt;&gt;0,N449="",EUconst_StatusOfDataCollection=FALSE),1,0)</f>
        <v>0</v>
      </c>
      <c r="AA448" s="694"/>
      <c r="AB448" s="1182" t="s">
        <v>737</v>
      </c>
      <c r="AC448" s="982" t="b">
        <f>AC444</f>
        <v>0</v>
      </c>
      <c r="AD448" s="982" t="b">
        <f t="shared" ref="AD448:AI448" si="544">AD444</f>
        <v>0</v>
      </c>
      <c r="AE448" s="982" t="b">
        <f t="shared" si="544"/>
        <v>0</v>
      </c>
      <c r="AF448" s="982" t="b">
        <f t="shared" si="544"/>
        <v>0</v>
      </c>
      <c r="AG448" s="982" t="b">
        <f t="shared" si="544"/>
        <v>0</v>
      </c>
      <c r="AH448" s="982" t="b">
        <f t="shared" si="544"/>
        <v>0</v>
      </c>
      <c r="AI448" s="982" t="b">
        <f t="shared" si="544"/>
        <v>0</v>
      </c>
      <c r="AJ448" s="343"/>
      <c r="AK448" s="343"/>
      <c r="AL448" s="1176" t="str">
        <f>IF(AND(CNTR_ExistSubInstEntries,COUNTIFS(AC448:AI448,2,H448:N448,"")&gt;0),EUconst_Error&amp;"FB"&amp;Q236,"")</f>
        <v/>
      </c>
      <c r="AM448" s="343"/>
    </row>
    <row r="449" spans="1:39" ht="12.75" customHeight="1" x14ac:dyDescent="0.3">
      <c r="A449" s="694"/>
      <c r="B449" s="284"/>
      <c r="C449" s="1496"/>
      <c r="D449" s="1505" t="s">
        <v>62</v>
      </c>
      <c r="E449" s="2820" t="str">
        <f>Translations!$B$656</f>
        <v>Специфичен EF (от горивен показател)</v>
      </c>
      <c r="F449" s="2258"/>
      <c r="G449" s="1319" t="str">
        <f>EUconst_tCO2pTJ</f>
        <v>t CO2 / TJ</v>
      </c>
      <c r="H449" s="56"/>
      <c r="I449" s="56"/>
      <c r="J449" s="56"/>
      <c r="K449" s="56"/>
      <c r="L449" s="56"/>
      <c r="M449" s="56"/>
      <c r="N449" s="121"/>
      <c r="O449" s="336"/>
      <c r="P449" s="158"/>
      <c r="Q449" s="1500" t="str">
        <f>EUconst_CNTR_HeatImportFuelEF &amp; I236</f>
        <v>HeatImFuelEF_Подинсталация с топлинен показател (без риск от ИВЕ | извън МКВЕГ)</v>
      </c>
      <c r="R449" s="694"/>
      <c r="S449" s="1510" t="str">
        <f>EUconst_CNTR_AttributedEmissions &amp; $I236</f>
        <v>AttrEmissions_Подинсталация с топлинен показател (без риск от ИВЕ | извън МКВЕГ)</v>
      </c>
      <c r="T449" s="982" t="str">
        <f t="shared" ref="T449" si="545">IF(T244,SUM(H448)*IF(ISNUMBER(H449),H449,EUconst_HeatBMvalue),"")</f>
        <v/>
      </c>
      <c r="U449" s="982" t="str">
        <f t="shared" ref="U449" si="546">IF(U244,SUM(I448)*IF(ISNUMBER(I449),I449,EUconst_HeatBMvalue),"")</f>
        <v/>
      </c>
      <c r="V449" s="982" t="str">
        <f t="shared" ref="V449" si="547">IF(V244,SUM(J448)*IF(ISNUMBER(J449),J449,EUconst_HeatBMvalue),"")</f>
        <v/>
      </c>
      <c r="W449" s="982" t="str">
        <f t="shared" ref="W449" si="548">IF(W244,SUM(K448)*IF(ISNUMBER(K449),K449,EUconst_HeatBMvalue),"")</f>
        <v/>
      </c>
      <c r="X449" s="982" t="str">
        <f t="shared" ref="X449" si="549">IF(X244,SUM(L448)*IF(ISNUMBER(L449),L449,EUconst_HeatBMvalue),"")</f>
        <v/>
      </c>
      <c r="Y449" s="982" t="str">
        <f t="shared" ref="Y449" si="550">IF(Y244,SUM(M448)*IF(ISNUMBER(M449),M449,EUconst_HeatBMvalue),"")</f>
        <v/>
      </c>
      <c r="Z449" s="982" t="str">
        <f t="shared" ref="Z449" si="551">IF(Z244,SUM(N448)*IF(ISNUMBER(N449),N449,EUconst_HeatBMvalue),"")</f>
        <v/>
      </c>
      <c r="AA449" s="694"/>
      <c r="AB449" s="729"/>
      <c r="AC449" s="982" t="b">
        <f>AC445</f>
        <v>0</v>
      </c>
      <c r="AD449" s="982" t="b">
        <f t="shared" ref="AD449:AI449" si="552">AD445</f>
        <v>0</v>
      </c>
      <c r="AE449" s="982" t="b">
        <f t="shared" si="552"/>
        <v>0</v>
      </c>
      <c r="AF449" s="982" t="b">
        <f t="shared" si="552"/>
        <v>0</v>
      </c>
      <c r="AG449" s="982" t="b">
        <f t="shared" si="552"/>
        <v>0</v>
      </c>
      <c r="AH449" s="982" t="b">
        <f t="shared" si="552"/>
        <v>0</v>
      </c>
      <c r="AI449" s="982" t="b">
        <f t="shared" si="552"/>
        <v>0</v>
      </c>
      <c r="AJ449" s="343"/>
      <c r="AK449" s="343"/>
      <c r="AL449" s="1176" t="str">
        <f>IF(AND(CNTR_ExistSubInstEntries,COUNTIFS(AC449:AI449,2,H449:N449,"")&gt;0),EUconst_Error&amp;"FB"&amp;Q236,"")</f>
        <v/>
      </c>
      <c r="AM449" s="343"/>
    </row>
    <row r="450" spans="1:39" ht="5.15" customHeight="1" x14ac:dyDescent="0.25">
      <c r="A450" s="694"/>
      <c r="B450" s="284"/>
      <c r="C450" s="1496"/>
      <c r="D450" s="1497"/>
      <c r="E450" s="1497"/>
      <c r="F450" s="1497"/>
      <c r="G450" s="1497"/>
      <c r="H450" s="1497"/>
      <c r="I450" s="1497"/>
      <c r="J450" s="1497"/>
      <c r="K450" s="1497"/>
      <c r="L450" s="1497"/>
      <c r="M450" s="1497"/>
      <c r="N450" s="1503"/>
      <c r="O450" s="336"/>
      <c r="P450" s="336"/>
      <c r="Q450" s="770"/>
      <c r="R450" s="694"/>
      <c r="S450" s="770"/>
      <c r="T450" s="694"/>
      <c r="U450" s="694"/>
      <c r="V450" s="694"/>
      <c r="W450" s="694"/>
      <c r="X450" s="694"/>
      <c r="Y450" s="694"/>
      <c r="Z450" s="694"/>
      <c r="AA450" s="694"/>
      <c r="AB450" s="729"/>
      <c r="AC450" s="694"/>
      <c r="AD450" s="694"/>
      <c r="AE450" s="694"/>
      <c r="AF450" s="694"/>
      <c r="AG450" s="694"/>
      <c r="AH450" s="694"/>
      <c r="AI450" s="694"/>
      <c r="AJ450" s="343"/>
      <c r="AK450" s="343"/>
      <c r="AL450" s="343"/>
      <c r="AM450" s="343"/>
    </row>
    <row r="451" spans="1:39" ht="12.75" customHeight="1" x14ac:dyDescent="0.25">
      <c r="A451" s="694"/>
      <c r="B451" s="284"/>
      <c r="C451" s="1496"/>
      <c r="D451" s="1497"/>
      <c r="E451" s="2803" t="str">
        <f>Translations!$B$657</f>
        <v>Топлинна енергия от отпадни газове</v>
      </c>
      <c r="F451" s="2672"/>
      <c r="G451" s="1309" t="str">
        <f>EUconst_Unit</f>
        <v>Единица мярка</v>
      </c>
      <c r="H451" s="629">
        <f t="shared" ref="H451:N451" si="553">H$1840</f>
        <v>2024</v>
      </c>
      <c r="I451" s="629">
        <f t="shared" si="553"/>
        <v>2025</v>
      </c>
      <c r="J451" s="629">
        <f t="shared" si="553"/>
        <v>2026</v>
      </c>
      <c r="K451" s="629">
        <f t="shared" si="553"/>
        <v>2027</v>
      </c>
      <c r="L451" s="629">
        <f t="shared" si="553"/>
        <v>2028</v>
      </c>
      <c r="M451" s="629">
        <f t="shared" si="553"/>
        <v>2029</v>
      </c>
      <c r="N451" s="1312">
        <f t="shared" si="553"/>
        <v>2030</v>
      </c>
      <c r="O451" s="336"/>
      <c r="P451" s="336"/>
      <c r="Q451" s="770"/>
      <c r="R451" s="694"/>
      <c r="S451" s="770"/>
      <c r="T451" s="1031">
        <f t="shared" ref="T451" si="554">H451</f>
        <v>2024</v>
      </c>
      <c r="U451" s="1031">
        <f t="shared" ref="U451" si="555">I451</f>
        <v>2025</v>
      </c>
      <c r="V451" s="1031">
        <f t="shared" ref="V451" si="556">J451</f>
        <v>2026</v>
      </c>
      <c r="W451" s="1031">
        <f t="shared" ref="W451" si="557">K451</f>
        <v>2027</v>
      </c>
      <c r="X451" s="1031">
        <f t="shared" ref="X451" si="558">L451</f>
        <v>2028</v>
      </c>
      <c r="Y451" s="1031">
        <f t="shared" ref="Y451" si="559">M451</f>
        <v>2029</v>
      </c>
      <c r="Z451" s="1031">
        <f>N451</f>
        <v>2030</v>
      </c>
      <c r="AA451" s="694"/>
      <c r="AB451" s="729"/>
      <c r="AC451" s="1504">
        <f t="shared" ref="AC451" si="560">H$1840</f>
        <v>2024</v>
      </c>
      <c r="AD451" s="1504">
        <f t="shared" ref="AD451" si="561">I$1840</f>
        <v>2025</v>
      </c>
      <c r="AE451" s="1504">
        <f t="shared" ref="AE451" si="562">J$1840</f>
        <v>2026</v>
      </c>
      <c r="AF451" s="1504">
        <f t="shared" ref="AF451" si="563">K$1840</f>
        <v>2027</v>
      </c>
      <c r="AG451" s="1504">
        <f t="shared" ref="AG451" si="564">L$1840</f>
        <v>2028</v>
      </c>
      <c r="AH451" s="1504">
        <f t="shared" ref="AH451" si="565">M$1840</f>
        <v>2029</v>
      </c>
      <c r="AI451" s="1504">
        <f t="shared" ref="AI451" si="566">N$1840</f>
        <v>2030</v>
      </c>
      <c r="AJ451" s="343"/>
      <c r="AK451" s="343"/>
      <c r="AL451" s="343"/>
      <c r="AM451" s="343"/>
    </row>
    <row r="452" spans="1:39" ht="12.75" customHeight="1" x14ac:dyDescent="0.25">
      <c r="A452" s="694"/>
      <c r="B452" s="284"/>
      <c r="C452" s="1496"/>
      <c r="D452" s="1505" t="s">
        <v>1136</v>
      </c>
      <c r="E452" s="2820" t="str">
        <f>Translations!$B$554</f>
        <v>Нетно количество получена топлинна енергия</v>
      </c>
      <c r="F452" s="2258"/>
      <c r="G452" s="1319" t="str">
        <f>EUconst_TJpa</f>
        <v>TJ / година</v>
      </c>
      <c r="H452" s="56"/>
      <c r="I452" s="56"/>
      <c r="J452" s="56"/>
      <c r="K452" s="56"/>
      <c r="L452" s="56"/>
      <c r="M452" s="56"/>
      <c r="N452" s="121"/>
      <c r="O452" s="336"/>
      <c r="P452" s="158"/>
      <c r="Q452" s="1500" t="str">
        <f>EUconst_CNTR_WGImport &amp; I236</f>
        <v>WasteGasIm_Подинсталация с топлинен показател (без риск от ИВЕ | извън МКВЕГ)</v>
      </c>
      <c r="R452" s="694"/>
      <c r="S452" s="1509" t="str">
        <f>EUconst_ERR_AttrEmBMapplied &amp; $I236</f>
        <v>ERR_AttrEmBM_Подинсталация с топлинен показател (без риск от ИВЕ | извън МКВЕГ)</v>
      </c>
      <c r="T452" s="982">
        <f t="shared" ref="T452" si="567">IF(AND(H452&lt;&gt;0,EUconst_StatusOfDataCollection=FALSE),1,0)</f>
        <v>0</v>
      </c>
      <c r="U452" s="982">
        <f t="shared" ref="U452" si="568">IF(AND(I452&lt;&gt;0,EUconst_StatusOfDataCollection=FALSE),1,0)</f>
        <v>0</v>
      </c>
      <c r="V452" s="982">
        <f t="shared" ref="V452" si="569">IF(AND(J452&lt;&gt;0,EUconst_StatusOfDataCollection=FALSE),1,0)</f>
        <v>0</v>
      </c>
      <c r="W452" s="982">
        <f t="shared" ref="W452" si="570">IF(AND(K452&lt;&gt;0,EUconst_StatusOfDataCollection=FALSE),1,0)</f>
        <v>0</v>
      </c>
      <c r="X452" s="982">
        <f t="shared" ref="X452" si="571">IF(AND(L452&lt;&gt;0,EUconst_StatusOfDataCollection=FALSE),1,0)</f>
        <v>0</v>
      </c>
      <c r="Y452" s="982">
        <f t="shared" ref="Y452" si="572">IF(AND(M452&lt;&gt;0,EUconst_StatusOfDataCollection=FALSE),1,0)</f>
        <v>0</v>
      </c>
      <c r="Z452" s="982">
        <f t="shared" ref="Z452" si="573">IF(AND(N452&lt;&gt;0,EUconst_StatusOfDataCollection=FALSE),1,0)</f>
        <v>0</v>
      </c>
      <c r="AA452" s="694"/>
      <c r="AB452" s="1182" t="s">
        <v>737</v>
      </c>
      <c r="AC452" s="982" t="b">
        <f>AC448</f>
        <v>0</v>
      </c>
      <c r="AD452" s="982" t="b">
        <f t="shared" ref="AD452:AI452" si="574">AD448</f>
        <v>0</v>
      </c>
      <c r="AE452" s="982" t="b">
        <f t="shared" si="574"/>
        <v>0</v>
      </c>
      <c r="AF452" s="982" t="b">
        <f t="shared" si="574"/>
        <v>0</v>
      </c>
      <c r="AG452" s="982" t="b">
        <f t="shared" si="574"/>
        <v>0</v>
      </c>
      <c r="AH452" s="982" t="b">
        <f t="shared" si="574"/>
        <v>0</v>
      </c>
      <c r="AI452" s="982" t="b">
        <f t="shared" si="574"/>
        <v>0</v>
      </c>
      <c r="AJ452" s="343"/>
      <c r="AK452" s="343"/>
      <c r="AL452" s="1176" t="str">
        <f>IF(AND(CNTR_ExistSubInstEntries,COUNTIFS(AC452:AI452,2,H452:N452,"")&gt;0),EUconst_Error&amp;"FB"&amp;Q236,"")</f>
        <v/>
      </c>
      <c r="AM452" s="343"/>
    </row>
    <row r="453" spans="1:39" ht="12.75" customHeight="1" x14ac:dyDescent="0.3">
      <c r="A453" s="694"/>
      <c r="B453" s="284"/>
      <c r="C453" s="1496"/>
      <c r="D453" s="1505" t="s">
        <v>1137</v>
      </c>
      <c r="E453" s="2820" t="str">
        <f>Translations!$B$658</f>
        <v>Специфичен EF (от отпаден газ)</v>
      </c>
      <c r="F453" s="2258"/>
      <c r="G453" s="1319" t="str">
        <f>EUconst_tCO2pTJ</f>
        <v>t CO2 / TJ</v>
      </c>
      <c r="H453" s="56"/>
      <c r="I453" s="56"/>
      <c r="J453" s="56"/>
      <c r="K453" s="56"/>
      <c r="L453" s="56"/>
      <c r="M453" s="56"/>
      <c r="N453" s="121"/>
      <c r="O453" s="336"/>
      <c r="P453" s="158"/>
      <c r="Q453" s="1500" t="str">
        <f>EUconst_CNTR_WGImportEF &amp; I236</f>
        <v>WasteGasImEF_Подинсталация с топлинен показател (без риск от ИВЕ | извън МКВЕГ)</v>
      </c>
      <c r="R453" s="694"/>
      <c r="S453" s="1510" t="str">
        <f>EUconst_CNTR_AttributedEmissions &amp; $I236</f>
        <v>AttrEmissions_Подинсталация с топлинен показател (без риск от ИВЕ | извън МКВЕГ)</v>
      </c>
      <c r="T453" s="982" t="str">
        <f t="shared" ref="T453" si="575">IF(T244,SUM(H452)*IF(ISNUMBER(H453),H453,EUconst_HeatBMvalue),"")</f>
        <v/>
      </c>
      <c r="U453" s="982" t="str">
        <f t="shared" ref="U453" si="576">IF(U244,SUM(I452)*IF(ISNUMBER(I453),I453,EUconst_HeatBMvalue),"")</f>
        <v/>
      </c>
      <c r="V453" s="982" t="str">
        <f t="shared" ref="V453" si="577">IF(V244,SUM(J452)*IF(ISNUMBER(J453),J453,EUconst_HeatBMvalue),"")</f>
        <v/>
      </c>
      <c r="W453" s="982" t="str">
        <f t="shared" ref="W453" si="578">IF(W244,SUM(K452)*IF(ISNUMBER(K453),K453,EUconst_HeatBMvalue),"")</f>
        <v/>
      </c>
      <c r="X453" s="982" t="str">
        <f t="shared" ref="X453" si="579">IF(X244,SUM(L452)*IF(ISNUMBER(L453),L453,EUconst_HeatBMvalue),"")</f>
        <v/>
      </c>
      <c r="Y453" s="982" t="str">
        <f t="shared" ref="Y453" si="580">IF(Y244,SUM(M452)*IF(ISNUMBER(M453),M453,EUconst_HeatBMvalue),"")</f>
        <v/>
      </c>
      <c r="Z453" s="982" t="str">
        <f t="shared" ref="Z453" si="581">IF(Z244,SUM(N452)*IF(ISNUMBER(N453),N453,EUconst_HeatBMvalue),"")</f>
        <v/>
      </c>
      <c r="AA453" s="694"/>
      <c r="AB453" s="694"/>
      <c r="AC453" s="982" t="b">
        <f>AC449</f>
        <v>0</v>
      </c>
      <c r="AD453" s="982" t="b">
        <f t="shared" ref="AD453:AI453" si="582">AD449</f>
        <v>0</v>
      </c>
      <c r="AE453" s="982" t="b">
        <f t="shared" si="582"/>
        <v>0</v>
      </c>
      <c r="AF453" s="982" t="b">
        <f t="shared" si="582"/>
        <v>0</v>
      </c>
      <c r="AG453" s="982" t="b">
        <f t="shared" si="582"/>
        <v>0</v>
      </c>
      <c r="AH453" s="982" t="b">
        <f t="shared" si="582"/>
        <v>0</v>
      </c>
      <c r="AI453" s="982" t="b">
        <f t="shared" si="582"/>
        <v>0</v>
      </c>
      <c r="AJ453" s="343"/>
      <c r="AK453" s="343"/>
      <c r="AL453" s="1176" t="str">
        <f>IF(AND(CNTR_ExistSubInstEntries,COUNTIFS(AC453:AI453,2,H453:N453,"")&gt;0),EUconst_Error&amp;"FB"&amp;Q236,"")</f>
        <v/>
      </c>
      <c r="AM453" s="343"/>
    </row>
    <row r="454" spans="1:39" ht="5.15" customHeight="1" x14ac:dyDescent="0.25">
      <c r="A454" s="694"/>
      <c r="B454" s="284"/>
      <c r="C454" s="1496"/>
      <c r="D454" s="1497"/>
      <c r="E454" s="1497"/>
      <c r="F454" s="1497"/>
      <c r="G454" s="1497"/>
      <c r="H454" s="1497"/>
      <c r="I454" s="1497"/>
      <c r="J454" s="1497"/>
      <c r="K454" s="1497"/>
      <c r="L454" s="1497"/>
      <c r="M454" s="1497"/>
      <c r="N454" s="1503"/>
      <c r="O454" s="336"/>
      <c r="P454" s="336"/>
      <c r="Q454" s="770"/>
      <c r="R454" s="694"/>
      <c r="S454" s="770"/>
      <c r="T454" s="770"/>
      <c r="U454" s="694"/>
      <c r="V454" s="694"/>
      <c r="W454" s="694"/>
      <c r="X454" s="694"/>
      <c r="Y454" s="694"/>
      <c r="Z454" s="694"/>
      <c r="AA454" s="694"/>
      <c r="AB454" s="694"/>
      <c r="AC454" s="694"/>
      <c r="AD454" s="694"/>
      <c r="AE454" s="343"/>
      <c r="AF454" s="343"/>
      <c r="AG454" s="343"/>
      <c r="AH454" s="343"/>
      <c r="AI454" s="343"/>
      <c r="AJ454" s="343"/>
      <c r="AK454" s="343"/>
      <c r="AL454" s="343"/>
      <c r="AM454" s="343"/>
    </row>
    <row r="455" spans="1:39" ht="12.75" customHeight="1" x14ac:dyDescent="0.25">
      <c r="A455" s="694"/>
      <c r="B455" s="284"/>
      <c r="C455" s="1496"/>
      <c r="D455" s="1505" t="s">
        <v>1139</v>
      </c>
      <c r="E455" s="2820" t="str">
        <f>Translations!$B$659</f>
        <v>Общо нетно количество получена топлинна енергия</v>
      </c>
      <c r="F455" s="2258"/>
      <c r="G455" s="1319" t="str">
        <f>EUconst_TJpa</f>
        <v>TJ / година</v>
      </c>
      <c r="H455" s="1020" t="str">
        <f t="shared" ref="H455:N455" si="583">IF(COUNT(H436,H440,H444,H448,H452)&gt;0,SUM(H436,H440,H444,H448,H452),"")</f>
        <v/>
      </c>
      <c r="I455" s="1020" t="str">
        <f t="shared" si="583"/>
        <v/>
      </c>
      <c r="J455" s="1020" t="str">
        <f t="shared" si="583"/>
        <v/>
      </c>
      <c r="K455" s="1020" t="str">
        <f t="shared" si="583"/>
        <v/>
      </c>
      <c r="L455" s="1020" t="str">
        <f t="shared" si="583"/>
        <v/>
      </c>
      <c r="M455" s="1020" t="str">
        <f t="shared" si="583"/>
        <v/>
      </c>
      <c r="N455" s="1371" t="str">
        <f t="shared" si="583"/>
        <v/>
      </c>
      <c r="O455" s="336"/>
      <c r="P455" s="336"/>
      <c r="Q455" s="694"/>
      <c r="R455" s="694"/>
      <c r="S455" s="770"/>
      <c r="T455" s="770"/>
      <c r="U455" s="694"/>
      <c r="V455" s="694"/>
      <c r="W455" s="694"/>
      <c r="X455" s="694"/>
      <c r="Y455" s="694"/>
      <c r="Z455" s="694"/>
      <c r="AA455" s="694"/>
      <c r="AB455" s="694"/>
      <c r="AC455" s="694"/>
      <c r="AD455" s="694"/>
      <c r="AE455" s="343"/>
      <c r="AF455" s="343"/>
      <c r="AG455" s="343"/>
      <c r="AH455" s="343"/>
      <c r="AI455" s="343"/>
      <c r="AJ455" s="343"/>
      <c r="AK455" s="343"/>
      <c r="AL455" s="343"/>
      <c r="AM455" s="343"/>
    </row>
    <row r="456" spans="1:39" ht="12.75" customHeight="1" thickBot="1" x14ac:dyDescent="0.3">
      <c r="A456" s="694"/>
      <c r="B456" s="284"/>
      <c r="C456" s="1511"/>
      <c r="D456" s="1512"/>
      <c r="E456" s="1512"/>
      <c r="F456" s="1512"/>
      <c r="G456" s="1512"/>
      <c r="H456" s="1512"/>
      <c r="I456" s="1512"/>
      <c r="J456" s="1512"/>
      <c r="K456" s="1512"/>
      <c r="L456" s="1512"/>
      <c r="M456" s="1513"/>
      <c r="N456" s="1514"/>
      <c r="O456" s="336"/>
      <c r="P456" s="336"/>
      <c r="Q456" s="770"/>
      <c r="R456" s="694"/>
      <c r="S456" s="770"/>
      <c r="T456" s="694"/>
      <c r="U456" s="694"/>
      <c r="V456" s="694"/>
      <c r="W456" s="694"/>
      <c r="X456" s="694"/>
      <c r="Y456" s="694"/>
      <c r="Z456" s="694"/>
      <c r="AA456" s="694"/>
      <c r="AB456" s="694"/>
      <c r="AC456" s="694"/>
      <c r="AD456" s="694"/>
      <c r="AE456" s="343"/>
      <c r="AF456" s="343"/>
      <c r="AG456" s="343"/>
      <c r="AH456" s="343"/>
      <c r="AI456" s="343"/>
      <c r="AJ456" s="343"/>
      <c r="AK456" s="343"/>
      <c r="AL456" s="343"/>
      <c r="AM456" s="343"/>
    </row>
    <row r="457" spans="1:39" ht="25.5" customHeight="1" thickBot="1" x14ac:dyDescent="0.3">
      <c r="A457" s="694"/>
      <c r="B457" s="698"/>
      <c r="C457" s="698"/>
      <c r="D457" s="698"/>
      <c r="E457" s="698"/>
      <c r="F457" s="698"/>
      <c r="G457" s="698"/>
      <c r="H457" s="698"/>
      <c r="I457" s="698"/>
      <c r="J457" s="698"/>
      <c r="K457" s="698"/>
      <c r="L457" s="698"/>
      <c r="M457" s="698"/>
      <c r="N457" s="698"/>
      <c r="O457" s="336"/>
      <c r="P457" s="336"/>
      <c r="Q457" s="694"/>
      <c r="R457" s="694"/>
      <c r="S457" s="694"/>
      <c r="T457" s="694"/>
      <c r="U457" s="694"/>
      <c r="V457" s="694"/>
      <c r="W457" s="694"/>
      <c r="X457" s="694"/>
      <c r="Y457" s="694"/>
      <c r="Z457" s="694"/>
      <c r="AA457" s="694"/>
      <c r="AB457" s="694"/>
      <c r="AC457" s="694"/>
      <c r="AD457" s="694"/>
      <c r="AE457" s="343"/>
      <c r="AF457" s="343"/>
      <c r="AG457" s="343"/>
      <c r="AH457" s="343"/>
      <c r="AI457" s="343"/>
      <c r="AJ457" s="343"/>
      <c r="AK457" s="343"/>
      <c r="AL457" s="343"/>
      <c r="AM457" s="343"/>
    </row>
    <row r="458" spans="1:39" ht="5.15" customHeight="1" thickBot="1" x14ac:dyDescent="0.3">
      <c r="A458" s="694"/>
      <c r="B458" s="284"/>
      <c r="C458" s="581"/>
      <c r="D458" s="581"/>
      <c r="E458" s="581"/>
      <c r="F458" s="581"/>
      <c r="G458" s="581"/>
      <c r="H458" s="581"/>
      <c r="I458" s="581"/>
      <c r="J458" s="581"/>
      <c r="K458" s="581"/>
      <c r="L458" s="581"/>
      <c r="M458" s="581"/>
      <c r="N458" s="581"/>
      <c r="O458" s="336"/>
      <c r="P458" s="336"/>
      <c r="Q458" s="770"/>
      <c r="R458" s="770"/>
      <c r="S458" s="770"/>
      <c r="T458" s="770"/>
      <c r="U458" s="770"/>
      <c r="V458" s="770"/>
      <c r="W458" s="770"/>
      <c r="X458" s="770"/>
      <c r="Y458" s="770"/>
      <c r="Z458" s="694"/>
      <c r="AA458" s="694"/>
      <c r="AB458" s="694"/>
      <c r="AC458" s="694"/>
      <c r="AD458" s="694"/>
      <c r="AE458" s="343"/>
      <c r="AF458" s="343"/>
      <c r="AG458" s="343"/>
      <c r="AH458" s="343"/>
      <c r="AI458" s="343"/>
      <c r="AJ458" s="343"/>
      <c r="AK458" s="343"/>
      <c r="AL458" s="343"/>
      <c r="AM458" s="343"/>
    </row>
    <row r="459" spans="1:39" ht="14.5" thickBot="1" x14ac:dyDescent="0.35">
      <c r="A459" s="694"/>
      <c r="B459" s="284"/>
      <c r="C459" s="357">
        <f>C236+1</f>
        <v>3</v>
      </c>
      <c r="D459" s="2323" t="str">
        <f>EUconst_FBSubinst &amp; ":"</f>
        <v>Алтернативна подинсталация („Fall-Back sub-installation“):</v>
      </c>
      <c r="E459" s="2249"/>
      <c r="F459" s="2249"/>
      <c r="G459" s="2249"/>
      <c r="H459" s="2295"/>
      <c r="I459" s="2843" t="str">
        <f>INDEX(EUconst_FallBackListNames,$C459)</f>
        <v>Подинсталация с топлинен показател (с риск от ИВЕ | в рамките на МКВЕГ)</v>
      </c>
      <c r="J459" s="2844"/>
      <c r="K459" s="2844"/>
      <c r="L459" s="2845"/>
      <c r="M459" s="2919" t="str">
        <f>IF(INDEX(CNTR_FallBackSubInstRelevant,C459)="","",IF(INDEX(CNTR_FallBackSubInstRelevant,C459),EUconst_Relevant,EUconst_NotRelevant))</f>
        <v/>
      </c>
      <c r="N459" s="2920"/>
      <c r="O459" s="336"/>
      <c r="P459" s="336"/>
      <c r="Q459" s="1391">
        <f>C459</f>
        <v>3</v>
      </c>
      <c r="R459" s="694"/>
      <c r="S459" s="1174" t="str">
        <f>Translations!$B$898</f>
        <v>Дата на въвеждане в експлоатация:</v>
      </c>
      <c r="T459" s="1175" t="str">
        <f>IF(M459&lt;&gt;EUconst_Relevant,"",MAX(INDEX(CNTR_SubInstStartDate,MATCH($I459,CNTR_SubInstListNames,0)),DATE(2005,1,1)))</f>
        <v/>
      </c>
      <c r="U459" s="729" t="s">
        <v>1731</v>
      </c>
      <c r="V459" s="1176">
        <f>IF(ISNUMBER(T459),YEAR($T459-IF(YEAR(T459)&gt;=2022,0,1))+1,2005)</f>
        <v>2005</v>
      </c>
      <c r="W459" s="1174" t="s">
        <v>1734</v>
      </c>
      <c r="X459" s="1175" t="str">
        <f>IF(M459&lt;&gt;EUconst_Relevant,"",INDEX(CNTR_SubInstCessationDate,MATCH($I459,CNTR_SubInstListNames,0)))</f>
        <v/>
      </c>
      <c r="Y459" s="1174" t="s">
        <v>1735</v>
      </c>
      <c r="Z459" s="1176">
        <f>IF(SUM(X459)=0,2050,YEAR($X459))</f>
        <v>2050</v>
      </c>
      <c r="AA459" s="1174" t="s">
        <v>2009</v>
      </c>
      <c r="AB459" s="1176" t="b">
        <f>CNTR_ReportingYear&gt;V459</f>
        <v>1</v>
      </c>
      <c r="AC459" s="1174" t="s">
        <v>1395</v>
      </c>
      <c r="AD459" s="1177" t="b">
        <f>AND(CNTR_ExistSubInstEntries,M459=EUconst_NotRelevant)</f>
        <v>0</v>
      </c>
      <c r="AE459" s="343"/>
      <c r="AF459" s="343"/>
      <c r="AG459" s="343"/>
      <c r="AH459" s="343"/>
      <c r="AI459" s="343"/>
      <c r="AJ459" s="343"/>
      <c r="AK459" s="343"/>
      <c r="AL459" s="343"/>
      <c r="AM459" s="343"/>
    </row>
    <row r="460" spans="1:39" ht="12.75" customHeight="1" x14ac:dyDescent="0.25">
      <c r="A460" s="694"/>
      <c r="B460" s="698"/>
      <c r="C460" s="698"/>
      <c r="D460" s="698"/>
      <c r="E460" s="698"/>
      <c r="F460" s="698"/>
      <c r="G460" s="698"/>
      <c r="H460" s="773"/>
      <c r="I460" s="2921" t="str">
        <f>IF(M459&lt;&gt;EUconst_Relevant,"",IF(M459=EUconst_Relevant,HYPERLINK("",EUconst_MsgEnterThisSection),HYPERLINK(R460,EUconst_MsgGoToNextSubInst)))</f>
        <v/>
      </c>
      <c r="J460" s="2922"/>
      <c r="K460" s="2922"/>
      <c r="L460" s="2922"/>
      <c r="M460" s="2923"/>
      <c r="N460" s="2924"/>
      <c r="O460" s="336"/>
      <c r="P460" s="336"/>
      <c r="Q460" s="694" t="s">
        <v>450</v>
      </c>
      <c r="R460" s="875" t="str">
        <f>"#JUMP_G"&amp;Q459+1</f>
        <v>#JUMP_G4</v>
      </c>
      <c r="S460" s="694"/>
      <c r="T460" s="694"/>
      <c r="U460" s="694"/>
      <c r="V460" s="694"/>
      <c r="W460" s="694"/>
      <c r="X460" s="694"/>
      <c r="Y460" s="694"/>
      <c r="Z460" s="729"/>
      <c r="AA460" s="694"/>
      <c r="AB460" s="694"/>
      <c r="AC460" s="694"/>
      <c r="AD460" s="694"/>
      <c r="AE460" s="343"/>
      <c r="AF460" s="343"/>
      <c r="AG460" s="343"/>
      <c r="AH460" s="343"/>
      <c r="AI460" s="343"/>
      <c r="AJ460" s="343"/>
      <c r="AK460" s="343"/>
      <c r="AL460" s="343"/>
      <c r="AM460" s="343"/>
    </row>
    <row r="461" spans="1:39" ht="12.75" customHeight="1" x14ac:dyDescent="0.25">
      <c r="A461" s="694"/>
      <c r="B461" s="284"/>
      <c r="C461" s="284"/>
      <c r="D461" s="302"/>
      <c r="E461" s="2358" t="str">
        <f>Translations!$B$613</f>
        <v>Името на алтернативната подинсталация („fall-back sub-installation“) се показва автоматично въз основа на общия списък на възможните алтернативни инсталации.</v>
      </c>
      <c r="F461" s="2249"/>
      <c r="G461" s="2249"/>
      <c r="H461" s="2249"/>
      <c r="I461" s="2249"/>
      <c r="J461" s="2249"/>
      <c r="K461" s="2249"/>
      <c r="L461" s="2249"/>
      <c r="M461" s="2249"/>
      <c r="N461" s="2249"/>
      <c r="O461" s="336"/>
      <c r="P461" s="336"/>
      <c r="Q461" s="770"/>
      <c r="R461" s="770"/>
      <c r="S461" s="694"/>
      <c r="T461" s="694"/>
      <c r="U461" s="694"/>
      <c r="V461" s="694"/>
      <c r="W461" s="694"/>
      <c r="X461" s="694"/>
      <c r="Y461" s="694"/>
      <c r="Z461" s="694"/>
      <c r="AA461" s="694"/>
      <c r="AB461" s="694"/>
      <c r="AC461" s="694"/>
      <c r="AD461" s="694"/>
      <c r="AE461" s="343"/>
      <c r="AF461" s="343"/>
      <c r="AG461" s="343"/>
      <c r="AH461" s="343"/>
      <c r="AI461" s="343"/>
      <c r="AJ461" s="343"/>
      <c r="AK461" s="343"/>
      <c r="AL461" s="343"/>
      <c r="AM461" s="343"/>
    </row>
    <row r="462" spans="1:39" ht="5.15" customHeight="1" x14ac:dyDescent="0.25">
      <c r="A462" s="694"/>
      <c r="B462" s="284"/>
      <c r="C462" s="284"/>
      <c r="D462" s="284"/>
      <c r="E462" s="284"/>
      <c r="F462" s="284"/>
      <c r="G462" s="284"/>
      <c r="H462" s="284"/>
      <c r="I462" s="284"/>
      <c r="J462" s="284"/>
      <c r="K462" s="284"/>
      <c r="L462" s="284"/>
      <c r="M462" s="336"/>
      <c r="N462" s="336"/>
      <c r="O462" s="336"/>
      <c r="P462" s="336"/>
      <c r="Q462" s="770"/>
      <c r="R462" s="770"/>
      <c r="S462" s="770"/>
      <c r="T462" s="770"/>
      <c r="U462" s="770"/>
      <c r="V462" s="770"/>
      <c r="W462" s="770"/>
      <c r="X462" s="770"/>
      <c r="Y462" s="770"/>
      <c r="Z462" s="694"/>
      <c r="AA462" s="694"/>
      <c r="AB462" s="694"/>
      <c r="AC462" s="694"/>
      <c r="AD462" s="694"/>
      <c r="AE462" s="343"/>
      <c r="AF462" s="343"/>
      <c r="AG462" s="343"/>
      <c r="AH462" s="343"/>
      <c r="AI462" s="343"/>
      <c r="AJ462" s="343"/>
      <c r="AK462" s="343"/>
      <c r="AL462" s="343"/>
      <c r="AM462" s="343"/>
    </row>
    <row r="463" spans="1:39" ht="12.75" customHeight="1" x14ac:dyDescent="0.25">
      <c r="A463" s="694"/>
      <c r="B463" s="284"/>
      <c r="C463" s="300"/>
      <c r="D463" s="300" t="s">
        <v>408</v>
      </c>
      <c r="E463" s="2226" t="str">
        <f>Translations!$B$1315</f>
        <v>Равнища на дейност</v>
      </c>
      <c r="F463" s="2249"/>
      <c r="G463" s="2249"/>
      <c r="H463" s="2249"/>
      <c r="I463" s="2249"/>
      <c r="J463" s="2249"/>
      <c r="K463" s="2249"/>
      <c r="L463" s="2249"/>
      <c r="M463" s="2249"/>
      <c r="N463" s="2249"/>
      <c r="O463" s="336"/>
      <c r="P463" s="336"/>
      <c r="Q463" s="770"/>
      <c r="R463" s="770"/>
      <c r="S463" s="770"/>
      <c r="T463" s="770"/>
      <c r="U463" s="770"/>
      <c r="V463" s="770"/>
      <c r="W463" s="770"/>
      <c r="X463" s="770"/>
      <c r="Y463" s="770"/>
      <c r="Z463" s="694"/>
      <c r="AA463" s="694"/>
      <c r="AB463" s="729"/>
      <c r="AC463" s="694"/>
      <c r="AD463" s="694"/>
      <c r="AE463" s="343"/>
      <c r="AF463" s="343"/>
      <c r="AG463" s="343"/>
      <c r="AH463" s="343"/>
      <c r="AI463" s="343"/>
      <c r="AJ463" s="343"/>
      <c r="AK463" s="343"/>
      <c r="AL463" s="343"/>
      <c r="AM463" s="343"/>
    </row>
    <row r="464" spans="1:39" ht="12.75" customHeight="1" x14ac:dyDescent="0.25">
      <c r="A464" s="694" t="str">
        <f>IF(C459&gt;4,$A$1,"")</f>
        <v/>
      </c>
      <c r="B464" s="284"/>
      <c r="C464" s="302"/>
      <c r="D464" s="302"/>
      <c r="E464" s="2925" t="str">
        <f>Translations!$B$614</f>
        <v>Следните данни се вземат автоматично от раздел E.II.r на лист „E_EnergyFlows“ („E_Енергийни потоци“).Затова въвеждането на данни там е задължително.</v>
      </c>
      <c r="F464" s="2925"/>
      <c r="G464" s="2925"/>
      <c r="H464" s="2925"/>
      <c r="I464" s="2925"/>
      <c r="J464" s="2925"/>
      <c r="K464" s="2925"/>
      <c r="L464" s="2925"/>
      <c r="M464" s="2925"/>
      <c r="N464" s="2925"/>
      <c r="O464" s="336"/>
      <c r="P464" s="336"/>
      <c r="Q464" s="770"/>
      <c r="R464" s="694"/>
      <c r="S464" s="694"/>
      <c r="T464" s="694"/>
      <c r="U464" s="694"/>
      <c r="V464" s="694"/>
      <c r="W464" s="694"/>
      <c r="X464" s="694"/>
      <c r="Y464" s="694"/>
      <c r="Z464" s="694"/>
      <c r="AA464" s="694"/>
      <c r="AB464" s="694"/>
      <c r="AC464" s="694"/>
      <c r="AD464" s="694"/>
      <c r="AE464" s="343"/>
      <c r="AF464" s="343"/>
      <c r="AG464" s="343"/>
      <c r="AH464" s="343"/>
      <c r="AI464" s="343"/>
      <c r="AJ464" s="343"/>
      <c r="AK464" s="343"/>
      <c r="AL464" s="343"/>
      <c r="AM464" s="343"/>
    </row>
    <row r="465" spans="1:39" ht="12.75" customHeight="1" x14ac:dyDescent="0.25">
      <c r="A465" s="694"/>
      <c r="B465" s="284"/>
      <c r="C465" s="284"/>
      <c r="D465" s="302"/>
      <c r="E465" s="2358" t="str">
        <f>Translations!$B$1332</f>
        <v>На базата на началото на нормална експлоатация, въведено в B+C.I, HAL ще се основава или на стойността в НМИ (показана в ii.), или на първата година на пълна експлоатация за нови подинсталации (посочена в iv.).</v>
      </c>
      <c r="F465" s="2926"/>
      <c r="G465" s="2926"/>
      <c r="H465" s="2926"/>
      <c r="I465" s="2926"/>
      <c r="J465" s="2926"/>
      <c r="K465" s="2926"/>
      <c r="L465" s="2926"/>
      <c r="M465" s="2926"/>
      <c r="N465" s="2926"/>
      <c r="O465" s="336"/>
      <c r="P465" s="336"/>
      <c r="Q465" s="770"/>
      <c r="R465" s="694"/>
      <c r="S465" s="694"/>
      <c r="T465" s="694"/>
      <c r="U465" s="694"/>
      <c r="V465" s="694"/>
      <c r="W465" s="694"/>
      <c r="X465" s="694"/>
      <c r="Y465" s="694"/>
      <c r="Z465" s="694"/>
      <c r="AA465" s="729"/>
      <c r="AB465" s="729"/>
      <c r="AC465" s="694"/>
      <c r="AD465" s="694"/>
      <c r="AE465" s="343"/>
      <c r="AF465" s="343"/>
      <c r="AG465" s="343"/>
      <c r="AH465" s="343"/>
      <c r="AI465" s="343"/>
      <c r="AJ465" s="343"/>
      <c r="AK465" s="343"/>
      <c r="AL465" s="343"/>
      <c r="AM465" s="343"/>
    </row>
    <row r="466" spans="1:39" ht="12.75" customHeight="1" thickBot="1" x14ac:dyDescent="0.3">
      <c r="A466" s="694"/>
      <c r="B466" s="698"/>
      <c r="C466" s="300"/>
      <c r="D466" s="300"/>
      <c r="E466" s="389" t="str">
        <f>Translations!$B$615</f>
        <v>Основно равнище на дейност:</v>
      </c>
      <c r="F466" s="1015"/>
      <c r="G466" s="527" t="str">
        <f>EUconst_Unit</f>
        <v>Единица мярка</v>
      </c>
      <c r="H466" s="391">
        <f t="shared" ref="H466:N466" si="584">H$1840</f>
        <v>2024</v>
      </c>
      <c r="I466" s="572">
        <f t="shared" si="584"/>
        <v>2025</v>
      </c>
      <c r="J466" s="757">
        <f t="shared" si="584"/>
        <v>2026</v>
      </c>
      <c r="K466" s="391">
        <f t="shared" si="584"/>
        <v>2027</v>
      </c>
      <c r="L466" s="391">
        <f t="shared" si="584"/>
        <v>2028</v>
      </c>
      <c r="M466" s="391">
        <f t="shared" si="584"/>
        <v>2029</v>
      </c>
      <c r="N466" s="387">
        <f t="shared" si="584"/>
        <v>2030</v>
      </c>
      <c r="O466" s="336"/>
      <c r="P466" s="336"/>
      <c r="Q466" s="1033" t="s">
        <v>560</v>
      </c>
      <c r="R466" s="694"/>
      <c r="S466" s="694"/>
      <c r="T466" s="1178">
        <f t="shared" ref="T466" si="585">H466</f>
        <v>2024</v>
      </c>
      <c r="U466" s="1178">
        <f t="shared" ref="U466" si="586">I466</f>
        <v>2025</v>
      </c>
      <c r="V466" s="1178">
        <f t="shared" ref="V466" si="587">J466</f>
        <v>2026</v>
      </c>
      <c r="W466" s="1178">
        <f t="shared" ref="W466" si="588">K466</f>
        <v>2027</v>
      </c>
      <c r="X466" s="1178">
        <f t="shared" ref="X466" si="589">L466</f>
        <v>2028</v>
      </c>
      <c r="Y466" s="1178">
        <f t="shared" ref="Y466" si="590">M466</f>
        <v>2029</v>
      </c>
      <c r="Z466" s="1178">
        <f t="shared" ref="Z466" si="591">N466</f>
        <v>2030</v>
      </c>
      <c r="AA466" s="729"/>
      <c r="AB466" s="729"/>
      <c r="AC466" s="694"/>
      <c r="AD466" s="694"/>
      <c r="AE466" s="343"/>
      <c r="AF466" s="343"/>
      <c r="AG466" s="343"/>
      <c r="AH466" s="343"/>
      <c r="AI466" s="343"/>
      <c r="AJ466" s="343"/>
      <c r="AK466" s="343"/>
      <c r="AL466" s="343"/>
      <c r="AM466" s="343"/>
    </row>
    <row r="467" spans="1:39" ht="12.75" customHeight="1" thickBot="1" x14ac:dyDescent="0.3">
      <c r="A467" s="694"/>
      <c r="B467" s="698"/>
      <c r="C467" s="698"/>
      <c r="D467" s="1084" t="s">
        <v>6</v>
      </c>
      <c r="E467" s="2862" t="str">
        <f>I459</f>
        <v>Подинсталация с топлинен показател (с риск от ИВЕ | в рамките на МКВЕГ)</v>
      </c>
      <c r="F467" s="2862"/>
      <c r="G467" s="1032" t="str">
        <f>INDEX(EUconst_FallBackListUnits,MATCH(E467,EUconst_FallBackListNames,0))</f>
        <v>TJ</v>
      </c>
      <c r="H467" s="1024" t="str">
        <f>IF($M459&lt;&gt;EUconst_Relevant,"",IF(H466&gt;=CNTR_ReportingYear,"",IF(AND(H466&gt;=$V459-1,ISNUMBER(INDEX(E_EnergyFlows!H$435:H$443,MATCH($E467,E_EnergyFlows!$E$435:$E$443,0)))),INDEX(E_EnergyFlows!H$435:H$443,MATCH($E467,E_EnergyFlows!$E$435:$E$443,0)),0)))</f>
        <v/>
      </c>
      <c r="I467" s="1392" t="str">
        <f>IF($M459&lt;&gt;EUconst_Relevant,"",IF(I466&gt;=CNTR_ReportingYear,"",IF(AND(I466&gt;=$V459-1,ISNUMBER(INDEX(E_EnergyFlows!I$435:I$443,MATCH($E467,E_EnergyFlows!$E$435:$E$443,0)))),INDEX(E_EnergyFlows!I$435:I$443,MATCH($E467,E_EnergyFlows!$E$435:$E$443,0)),0)))</f>
        <v/>
      </c>
      <c r="J467" s="1393" t="str">
        <f>IF($M459&lt;&gt;EUconst_Relevant,"",IF(J466&gt;=CNTR_ReportingYear,"",IF(AND(J466&gt;=$V459-1,ISNUMBER(INDEX(E_EnergyFlows!J$435:J$443,MATCH($E467,E_EnergyFlows!$E$435:$E$443,0)))),INDEX(E_EnergyFlows!J$435:J$443,MATCH($E467,E_EnergyFlows!$E$435:$E$443,0)),0)))</f>
        <v/>
      </c>
      <c r="K467" s="1024" t="str">
        <f>IF($M459&lt;&gt;EUconst_Relevant,"",IF(K466&gt;=CNTR_ReportingYear,"",IF(AND(K466&gt;=$V459-1,ISNUMBER(INDEX(E_EnergyFlows!K$435:K$443,MATCH($E467,E_EnergyFlows!$E$435:$E$443,0)))),INDEX(E_EnergyFlows!K$435:K$443,MATCH($E467,E_EnergyFlows!$E$435:$E$443,0)),0)))</f>
        <v/>
      </c>
      <c r="L467" s="1024" t="str">
        <f>IF($M459&lt;&gt;EUconst_Relevant,"",IF(L466&gt;=CNTR_ReportingYear,"",IF(AND(L466&gt;=$V459-1,ISNUMBER(INDEX(E_EnergyFlows!L$435:L$443,MATCH($E467,E_EnergyFlows!$E$435:$E$443,0)))),INDEX(E_EnergyFlows!L$435:L$443,MATCH($E467,E_EnergyFlows!$E$435:$E$443,0)),0)))</f>
        <v/>
      </c>
      <c r="M467" s="1024" t="str">
        <f>IF($M459&lt;&gt;EUconst_Relevant,"",IF(M466&gt;=CNTR_ReportingYear,"",IF(AND(M466&gt;=$V459-1,ISNUMBER(INDEX(E_EnergyFlows!M$435:M$443,MATCH($E467,E_EnergyFlows!$E$435:$E$443,0)))),INDEX(E_EnergyFlows!M$435:M$443,MATCH($E467,E_EnergyFlows!$E$435:$E$443,0)),0)))</f>
        <v/>
      </c>
      <c r="N467" s="1024" t="str">
        <f>IF($M459&lt;&gt;EUconst_Relevant,"",IF(N466&gt;=CNTR_ReportingYear,"",IF(AND(N466&gt;=$V459-1,ISNUMBER(INDEX(E_EnergyFlows!N$435:N$443,MATCH($E467,E_EnergyFlows!$E$435:$E$443,0)))),INDEX(E_EnergyFlows!N$435:N$443,MATCH($E467,E_EnergyFlows!$E$435:$E$443,0)),0)))</f>
        <v/>
      </c>
      <c r="O467" s="710"/>
      <c r="P467" s="336"/>
      <c r="Q467" s="1394" t="str">
        <f>EUconst_CNTR_HAL&amp;E467</f>
        <v>HAL_Подинсталация с топлинен показател (с риск от ИВЕ | в рамките на МКВЕГ)</v>
      </c>
      <c r="R467" s="694"/>
      <c r="S467" s="1395" t="s">
        <v>1732</v>
      </c>
      <c r="T467" s="1396" t="b">
        <f t="shared" ref="T467:Z467" si="592">AND($M459=EUconst_Relevant,T466&lt;CNTR_ReportingYear,T466&gt;=$V459-1)</f>
        <v>0</v>
      </c>
      <c r="U467" s="1397" t="b">
        <f t="shared" si="592"/>
        <v>0</v>
      </c>
      <c r="V467" s="1397" t="b">
        <f t="shared" si="592"/>
        <v>0</v>
      </c>
      <c r="W467" s="1397" t="b">
        <f t="shared" si="592"/>
        <v>0</v>
      </c>
      <c r="X467" s="1397" t="b">
        <f t="shared" si="592"/>
        <v>0</v>
      </c>
      <c r="Y467" s="1397" t="b">
        <f t="shared" si="592"/>
        <v>0</v>
      </c>
      <c r="Z467" s="1398" t="b">
        <f t="shared" si="592"/>
        <v>0</v>
      </c>
      <c r="AA467" s="694"/>
      <c r="AB467" s="694"/>
      <c r="AC467" s="1395"/>
      <c r="AD467" s="694"/>
      <c r="AE467" s="343"/>
      <c r="AF467" s="343"/>
      <c r="AG467" s="343"/>
      <c r="AH467" s="343"/>
      <c r="AI467" s="343"/>
      <c r="AJ467" s="343"/>
      <c r="AK467" s="1174" t="s">
        <v>2033</v>
      </c>
      <c r="AL467" s="982" t="str">
        <f>IF(COUNTIFS(H466:N466,"&lt;"&amp;YEAR(SUM(T459)),H467:N467,"&gt;"&amp;0)&gt;0,EUconst_Error&amp;"FB"&amp;Q459,"")</f>
        <v/>
      </c>
      <c r="AM467" s="343"/>
    </row>
    <row r="468" spans="1:39" ht="5.15" customHeight="1" x14ac:dyDescent="0.25">
      <c r="A468" s="694"/>
      <c r="B468" s="298"/>
      <c r="C468" s="298"/>
      <c r="D468" s="302"/>
      <c r="E468" s="302"/>
      <c r="F468" s="302"/>
      <c r="G468" s="302"/>
      <c r="H468" s="302"/>
      <c r="I468" s="302"/>
      <c r="J468" s="302"/>
      <c r="K468" s="302"/>
      <c r="L468" s="302"/>
      <c r="M468" s="302"/>
      <c r="N468" s="302"/>
      <c r="O468" s="302"/>
      <c r="P468" s="336"/>
      <c r="Q468" s="729"/>
      <c r="R468" s="694"/>
      <c r="S468" s="729"/>
      <c r="T468" s="729"/>
      <c r="U468" s="694"/>
      <c r="V468" s="694"/>
      <c r="W468" s="694"/>
      <c r="X468" s="694"/>
      <c r="Y468" s="694"/>
      <c r="Z468" s="729"/>
      <c r="AA468" s="694"/>
      <c r="AB468" s="729"/>
      <c r="AC468" s="694"/>
      <c r="AD468" s="694"/>
      <c r="AE468" s="343"/>
      <c r="AF468" s="343"/>
      <c r="AG468" s="343"/>
      <c r="AH468" s="343"/>
      <c r="AI468" s="343"/>
      <c r="AJ468" s="343"/>
      <c r="AK468" s="343"/>
      <c r="AL468" s="343"/>
      <c r="AM468" s="343"/>
    </row>
    <row r="469" spans="1:39" ht="25.5" customHeight="1" x14ac:dyDescent="0.25">
      <c r="A469" s="694"/>
      <c r="B469" s="298"/>
      <c r="C469" s="298"/>
      <c r="D469" s="302"/>
      <c r="E469" s="2358" t="str">
        <f>Translations!$B$1333</f>
        <v>На базата на стойностите на HAL и тези по буква a) по-горе тук се определят средните равнища на дейност. Разпределението ще бъде променено само ако са надвишени всички долуизброени прагове от членове 5 и 6 от Регламента за ALC:</v>
      </c>
      <c r="F469" s="2249"/>
      <c r="G469" s="2249"/>
      <c r="H469" s="2249"/>
      <c r="I469" s="2249"/>
      <c r="J469" s="2249"/>
      <c r="K469" s="2249"/>
      <c r="L469" s="2249"/>
      <c r="M469" s="2249"/>
      <c r="N469" s="2249"/>
      <c r="O469" s="302"/>
      <c r="P469" s="336"/>
      <c r="Q469" s="729"/>
      <c r="R469" s="694"/>
      <c r="S469" s="729"/>
      <c r="T469" s="729"/>
      <c r="U469" s="729"/>
      <c r="V469" s="694"/>
      <c r="W469" s="694"/>
      <c r="X469" s="694"/>
      <c r="Y469" s="694"/>
      <c r="Z469" s="694"/>
      <c r="AA469" s="694"/>
      <c r="AB469" s="694"/>
      <c r="AC469" s="694"/>
      <c r="AD469" s="694"/>
      <c r="AE469" s="694"/>
      <c r="AF469" s="694"/>
      <c r="AG469" s="694"/>
      <c r="AH469" s="694"/>
      <c r="AI469" s="694"/>
      <c r="AJ469" s="694"/>
      <c r="AK469" s="694"/>
      <c r="AL469" s="694"/>
      <c r="AM469" s="343"/>
    </row>
    <row r="470" spans="1:39" ht="12.75" customHeight="1" x14ac:dyDescent="0.25">
      <c r="A470" s="694"/>
      <c r="B470" s="298"/>
      <c r="C470" s="298"/>
      <c r="D470" s="302"/>
      <c r="E470" s="1191" t="s">
        <v>1052</v>
      </c>
      <c r="F470" s="2358" t="str">
        <f>Translations!$B$1530</f>
        <v>относителният праг (15 %) за средното равнище на дейност в сравнение с HAL</v>
      </c>
      <c r="G470" s="2861"/>
      <c r="H470" s="2861"/>
      <c r="I470" s="2861"/>
      <c r="J470" s="2861"/>
      <c r="K470" s="2861"/>
      <c r="L470" s="2861"/>
      <c r="M470" s="2861"/>
      <c r="N470" s="2861"/>
      <c r="O470" s="302"/>
      <c r="P470" s="336"/>
      <c r="Q470" s="729"/>
      <c r="R470" s="694"/>
      <c r="S470" s="729"/>
      <c r="T470" s="729"/>
      <c r="U470" s="729"/>
      <c r="V470" s="694"/>
      <c r="W470" s="694"/>
      <c r="X470" s="694"/>
      <c r="Y470" s="694"/>
      <c r="Z470" s="694"/>
      <c r="AA470" s="694"/>
      <c r="AB470" s="694"/>
      <c r="AC470" s="694"/>
      <c r="AD470" s="694"/>
      <c r="AE470" s="694"/>
      <c r="AF470" s="694"/>
      <c r="AG470" s="694"/>
      <c r="AH470" s="694"/>
      <c r="AI470" s="694"/>
      <c r="AJ470" s="694"/>
      <c r="AK470" s="694"/>
      <c r="AL470" s="694"/>
      <c r="AM470" s="343"/>
    </row>
    <row r="471" spans="1:39" ht="12.75" customHeight="1" x14ac:dyDescent="0.25">
      <c r="A471" s="694"/>
      <c r="B471" s="298"/>
      <c r="C471" s="298"/>
      <c r="D471" s="302"/>
      <c r="E471" s="1191" t="s">
        <v>1052</v>
      </c>
      <c r="F471" s="2358" t="str">
        <f>Translations!$B$1531</f>
        <v>относителните прагове (15 % и 5 % за последващи промени) за очакваното равнище на дейност в сравнение с HAL</v>
      </c>
      <c r="G471" s="2861"/>
      <c r="H471" s="2861"/>
      <c r="I471" s="2861"/>
      <c r="J471" s="2861"/>
      <c r="K471" s="2861"/>
      <c r="L471" s="2861"/>
      <c r="M471" s="2861"/>
      <c r="N471" s="2861"/>
      <c r="O471" s="302"/>
      <c r="P471" s="336"/>
      <c r="Q471" s="729"/>
      <c r="R471" s="694"/>
      <c r="S471" s="729"/>
      <c r="T471" s="729"/>
      <c r="U471" s="729"/>
      <c r="V471" s="694"/>
      <c r="W471" s="694"/>
      <c r="X471" s="694"/>
      <c r="Y471" s="694"/>
      <c r="Z471" s="694"/>
      <c r="AA471" s="694"/>
      <c r="AB471" s="694"/>
      <c r="AC471" s="694"/>
      <c r="AD471" s="694"/>
      <c r="AE471" s="694"/>
      <c r="AF471" s="694"/>
      <c r="AG471" s="694"/>
      <c r="AH471" s="694"/>
      <c r="AI471" s="694"/>
      <c r="AJ471" s="694"/>
      <c r="AK471" s="694"/>
      <c r="AL471" s="694"/>
      <c r="AM471" s="343"/>
    </row>
    <row r="472" spans="1:39" ht="12.75" customHeight="1" thickBot="1" x14ac:dyDescent="0.3">
      <c r="A472" s="694"/>
      <c r="B472" s="298"/>
      <c r="C472" s="298"/>
      <c r="D472" s="302"/>
      <c r="E472" s="1191" t="s">
        <v>1052</v>
      </c>
      <c r="F472" s="2358" t="str">
        <f>Translations!$B$1514</f>
        <v>абсолютния праг, т.е. промяната би довела до разлика в предварителното разпределение от най-малко 300 квоти</v>
      </c>
      <c r="G472" s="2861"/>
      <c r="H472" s="2861"/>
      <c r="I472" s="2861"/>
      <c r="J472" s="2861"/>
      <c r="K472" s="2861"/>
      <c r="L472" s="2861"/>
      <c r="M472" s="2861"/>
      <c r="N472" s="2861"/>
      <c r="O472" s="302"/>
      <c r="P472" s="336"/>
      <c r="Q472" s="729"/>
      <c r="R472" s="694"/>
      <c r="S472" s="729"/>
      <c r="T472" s="729"/>
      <c r="U472" s="729"/>
      <c r="V472" s="694"/>
      <c r="W472" s="694"/>
      <c r="X472" s="694"/>
      <c r="Y472" s="694"/>
      <c r="Z472" s="694"/>
      <c r="AA472" s="694"/>
      <c r="AB472" s="694"/>
      <c r="AC472" s="694"/>
      <c r="AD472" s="694"/>
      <c r="AE472" s="694"/>
      <c r="AF472" s="694"/>
      <c r="AG472" s="694"/>
      <c r="AH472" s="694"/>
      <c r="AI472" s="694"/>
      <c r="AJ472" s="694"/>
      <c r="AK472" s="694"/>
      <c r="AL472" s="694"/>
      <c r="AM472" s="343"/>
    </row>
    <row r="473" spans="1:39" ht="5.15" customHeight="1" thickBot="1" x14ac:dyDescent="0.3">
      <c r="A473" s="694"/>
      <c r="B473" s="298"/>
      <c r="C473" s="298"/>
      <c r="D473" s="1192"/>
      <c r="E473" s="1193"/>
      <c r="F473" s="1194"/>
      <c r="G473" s="1195"/>
      <c r="H473" s="1195"/>
      <c r="I473" s="1195"/>
      <c r="J473" s="1195"/>
      <c r="K473" s="1195"/>
      <c r="L473" s="1195"/>
      <c r="M473" s="1195"/>
      <c r="N473" s="1196"/>
      <c r="O473" s="302"/>
      <c r="P473" s="336"/>
      <c r="Q473" s="729"/>
      <c r="R473" s="694"/>
      <c r="S473" s="729"/>
      <c r="T473" s="729"/>
      <c r="U473" s="729"/>
      <c r="V473" s="694"/>
      <c r="W473" s="694"/>
      <c r="X473" s="694"/>
      <c r="Y473" s="694"/>
      <c r="Z473" s="694"/>
      <c r="AA473" s="694"/>
      <c r="AB473" s="694"/>
      <c r="AC473" s="694"/>
      <c r="AD473" s="694"/>
      <c r="AE473" s="694"/>
      <c r="AF473" s="694"/>
      <c r="AG473" s="694"/>
      <c r="AH473" s="694"/>
      <c r="AI473" s="694"/>
      <c r="AJ473" s="694"/>
      <c r="AK473" s="694"/>
      <c r="AL473" s="694"/>
      <c r="AM473" s="343"/>
    </row>
    <row r="474" spans="1:39" ht="12.75" customHeight="1" x14ac:dyDescent="0.25">
      <c r="A474" s="694"/>
      <c r="B474" s="298"/>
      <c r="C474" s="298"/>
      <c r="D474" s="1217"/>
      <c r="E474" s="1198" t="str">
        <f>Translations!$B$1334</f>
        <v>Предварителна корекция</v>
      </c>
      <c r="F474" s="1199"/>
      <c r="G474" s="1199"/>
      <c r="H474" s="1200" t="str">
        <f>EUconst_Unit</f>
        <v>Единица мярка</v>
      </c>
      <c r="I474" s="1201" t="str">
        <f>Translations!$B$1320</f>
        <v>(НМИ) HAL</v>
      </c>
      <c r="J474" s="1202">
        <f>J$1840</f>
        <v>2026</v>
      </c>
      <c r="K474" s="1203">
        <f>K$1840</f>
        <v>2027</v>
      </c>
      <c r="L474" s="1203">
        <f>L$1840</f>
        <v>2028</v>
      </c>
      <c r="M474" s="1203">
        <f>M$1840</f>
        <v>2029</v>
      </c>
      <c r="N474" s="1204">
        <f>N$1840</f>
        <v>2030</v>
      </c>
      <c r="O474" s="302"/>
      <c r="P474" s="336"/>
      <c r="Q474" s="729"/>
      <c r="R474" s="694"/>
      <c r="S474" s="729"/>
      <c r="T474" s="729"/>
      <c r="U474" s="1205"/>
      <c r="V474" s="1206">
        <f>J474</f>
        <v>2026</v>
      </c>
      <c r="W474" s="1206">
        <f>K474</f>
        <v>2027</v>
      </c>
      <c r="X474" s="1206">
        <f>L474</f>
        <v>2028</v>
      </c>
      <c r="Y474" s="1206">
        <f>M474</f>
        <v>2029</v>
      </c>
      <c r="Z474" s="1207">
        <f>N474</f>
        <v>2030</v>
      </c>
      <c r="AA474" s="694"/>
      <c r="AB474" s="729"/>
      <c r="AC474" s="694"/>
      <c r="AD474" s="694"/>
      <c r="AE474" s="343"/>
      <c r="AF474" s="343"/>
      <c r="AG474" s="343"/>
      <c r="AH474" s="343"/>
      <c r="AI474" s="343"/>
      <c r="AJ474" s="343"/>
      <c r="AK474" s="343"/>
      <c r="AL474" s="343"/>
      <c r="AM474" s="343"/>
    </row>
    <row r="475" spans="1:39" ht="12.75" customHeight="1" x14ac:dyDescent="0.25">
      <c r="A475" s="694"/>
      <c r="B475" s="298"/>
      <c r="C475" s="298"/>
      <c r="D475" s="1208" t="s">
        <v>7</v>
      </c>
      <c r="E475" s="1209" t="str">
        <f>Translations!$B$1321</f>
        <v>Средно годишно равнище на дейност (стойност в НМИ)</v>
      </c>
      <c r="F475" s="1209"/>
      <c r="G475" s="1209"/>
      <c r="H475" s="1266" t="str">
        <f>G467</f>
        <v>TJ</v>
      </c>
      <c r="I475" s="1399" t="str">
        <f>IF(V459&gt;($J$1840-3),EUconst_NA,INDEX('B+C_SubInstallations'!$I:$I,MATCH(Q475,'B+C_SubInstallations'!$T:$T,0)))</f>
        <v/>
      </c>
      <c r="J475" s="1400" t="str">
        <f>IF(AND(V475&gt;=3,CNTR_ReportingYear&gt;J474-1),AVERAGE(SUM(H467),SUM(I467)),"")</f>
        <v/>
      </c>
      <c r="K475" s="1401" t="str">
        <f>IF(AND(W475&gt;=3,CNTR_ReportingYear&gt;K474-1),AVERAGE(SUM(I467),SUM(J467)),"")</f>
        <v/>
      </c>
      <c r="L475" s="1401" t="str">
        <f>IF(AND(X475&gt;=3,CNTR_ReportingYear&gt;L474-1),AVERAGE(SUM(J467),SUM(K467)),"")</f>
        <v/>
      </c>
      <c r="M475" s="1401" t="str">
        <f>IF(AND(Y475&gt;=3,CNTR_ReportingYear&gt;M474-1),AVERAGE(SUM(K467),SUM(L467)),"")</f>
        <v/>
      </c>
      <c r="N475" s="1402" t="str">
        <f>IF(AND(Z475&gt;=3,CNTR_ReportingYear&gt;N474-1),AVERAGE(SUM(L467),SUM(M467)),"")</f>
        <v/>
      </c>
      <c r="O475" s="302"/>
      <c r="P475" s="336"/>
      <c r="Q475" s="1270" t="str">
        <f>EUconst_CNTR_HALinitial&amp;I459</f>
        <v>HALini_Подинсталация с топлинен показател (с риск от ИВЕ | в рамките на МКВЕГ)</v>
      </c>
      <c r="R475" s="694"/>
      <c r="S475" s="729"/>
      <c r="T475" s="729"/>
      <c r="U475" s="1365" t="s">
        <v>1710</v>
      </c>
      <c r="V475" s="834">
        <f>IF($M459&lt;&gt;EUconst_Relevant,0,V474-$V459+1)</f>
        <v>0</v>
      </c>
      <c r="W475" s="834">
        <f>IF($M459&lt;&gt;EUconst_Relevant,0,W474-$V459+1)</f>
        <v>0</v>
      </c>
      <c r="X475" s="834">
        <f>IF($M459&lt;&gt;EUconst_Relevant,0,X474-$V459+1)</f>
        <v>0</v>
      </c>
      <c r="Y475" s="834">
        <f>IF($M459&lt;&gt;EUconst_Relevant,0,Y474-$V459+1)</f>
        <v>0</v>
      </c>
      <c r="Z475" s="1403">
        <f>IF($M459&lt;&gt;EUconst_Relevant,0,Z474-$V459+1)</f>
        <v>0</v>
      </c>
      <c r="AA475" s="694"/>
      <c r="AB475" s="729"/>
      <c r="AC475" s="694"/>
      <c r="AD475" s="694"/>
      <c r="AE475" s="343"/>
      <c r="AF475" s="343"/>
      <c r="AG475" s="343"/>
      <c r="AH475" s="343"/>
      <c r="AI475" s="343"/>
      <c r="AJ475" s="343"/>
      <c r="AK475" s="343"/>
      <c r="AL475" s="343"/>
      <c r="AM475" s="343"/>
    </row>
    <row r="476" spans="1:39" ht="12.75" hidden="1" customHeight="1" x14ac:dyDescent="0.25">
      <c r="A476" s="729" t="s">
        <v>312</v>
      </c>
      <c r="B476" s="298"/>
      <c r="C476" s="298"/>
      <c r="D476" s="1208"/>
      <c r="E476" s="1209" t="str">
        <f>Translations!$B$1376</f>
        <v>Промяна в сравнение с HAL</v>
      </c>
      <c r="F476" s="1209"/>
      <c r="G476" s="1209"/>
      <c r="H476" s="1222"/>
      <c r="I476" s="1223"/>
      <c r="J476" s="104" t="str">
        <f>IF(J475="","",IF($I478=0,IF(J475=0,0%,100%),J475/$I478-1))</f>
        <v/>
      </c>
      <c r="K476" s="99" t="str">
        <f>IF(K475="","",IF($I478=0,IF(K475=0,0%,100%),K475/$I478-1))</f>
        <v/>
      </c>
      <c r="L476" s="99" t="str">
        <f>IF(L475="","",IF($I478=0,IF(L475=0,0%,100%),L475/$I478-1))</f>
        <v/>
      </c>
      <c r="M476" s="99" t="str">
        <f>IF(M475="","",IF($I478=0,IF(M475=0,0%,100%),M475/$I478-1))</f>
        <v/>
      </c>
      <c r="N476" s="123" t="str">
        <f>IF(N475="","",IF($I478=0,IF(N475=0,0%,100%),N475/$I478-1))</f>
        <v/>
      </c>
      <c r="O476" s="302"/>
      <c r="P476" s="336"/>
      <c r="Q476" s="1190" t="str">
        <f>EUconst_CNTR_RelThreshold &amp;I459</f>
        <v>RelThresh_Подинсталация с топлинен показател (с риск от ИВЕ | в рамките на МКВЕГ)</v>
      </c>
      <c r="R476" s="694"/>
      <c r="S476" s="729"/>
      <c r="T476" s="729"/>
      <c r="U476" s="1365" t="s">
        <v>1715</v>
      </c>
      <c r="V476" s="727" t="str">
        <f>IF(J475="","",ABS(J476)&gt;15%)</f>
        <v/>
      </c>
      <c r="W476" s="727" t="str">
        <f>IF(K475="","",ABS(K476)&gt;15%)</f>
        <v/>
      </c>
      <c r="X476" s="727" t="str">
        <f>IF(L475="","",ABS(L476)&gt;15%)</f>
        <v/>
      </c>
      <c r="Y476" s="727" t="str">
        <f>IF(M475="","",ABS(M476)&gt;15%)</f>
        <v/>
      </c>
      <c r="Z476" s="1221" t="str">
        <f>IF(N475="","",ABS(N476)&gt;15%)</f>
        <v/>
      </c>
      <c r="AA476" s="694"/>
      <c r="AB476" s="729"/>
      <c r="AC476" s="694"/>
      <c r="AD476" s="694"/>
      <c r="AE476" s="343"/>
      <c r="AF476" s="343"/>
      <c r="AG476" s="343"/>
      <c r="AH476" s="343"/>
      <c r="AI476" s="343"/>
      <c r="AJ476" s="343"/>
      <c r="AK476" s="343"/>
      <c r="AL476" s="343"/>
      <c r="AM476" s="343"/>
    </row>
    <row r="477" spans="1:39" ht="12.75" customHeight="1" x14ac:dyDescent="0.25">
      <c r="A477" s="729"/>
      <c r="B477" s="298"/>
      <c r="C477" s="298"/>
      <c r="D477" s="1208" t="s">
        <v>8</v>
      </c>
      <c r="E477" s="1209" t="str">
        <f>Translations!$B$1322</f>
        <v>Предварителна корекция (ако са надвишени относителните прагове)</v>
      </c>
      <c r="F477" s="1209"/>
      <c r="G477" s="1209"/>
      <c r="H477" s="1222"/>
      <c r="I477" s="1223"/>
      <c r="J477" s="1224" t="str">
        <f>IF(J475="","",IF(V476=FALSE,0%,J476))</f>
        <v/>
      </c>
      <c r="K477" s="1225" t="str">
        <f t="shared" ref="K477" si="593">IF(K475="","",IF(W476=FALSE,0%,K476))</f>
        <v/>
      </c>
      <c r="L477" s="1225" t="str">
        <f t="shared" ref="L477" si="594">IF(L475="","",IF(X476=FALSE,0%,L476))</f>
        <v/>
      </c>
      <c r="M477" s="1225" t="str">
        <f t="shared" ref="M477" si="595">IF(M475="","",IF(Y476=FALSE,0%,M476))</f>
        <v/>
      </c>
      <c r="N477" s="1226" t="str">
        <f t="shared" ref="N477" si="596">IF(N475="","",IF(Z476=FALSE,0%,N476))</f>
        <v/>
      </c>
      <c r="O477" s="302"/>
      <c r="P477" s="336"/>
      <c r="Q477" s="729"/>
      <c r="R477" s="694"/>
      <c r="S477" s="729"/>
      <c r="T477" s="729"/>
      <c r="U477" s="1365" t="s">
        <v>1716</v>
      </c>
      <c r="V477" s="727" t="str">
        <f>IF(J475="","",AND(V476,IF(SUM(I596)&lt;0,OR(SUM(J476)&lt;SUM(I596)-MOD(SUM(I596),5%),J476&gt;=SUM(I596)+5%-MOD(SUM(I596),5%)),OR(SUM(J476)&lt;=SUM(I596)-MOD(SUM(I596),5%),SUM(J476)&gt;SUM(I596)+5%-MOD(SUM(I596),5%)))))</f>
        <v/>
      </c>
      <c r="W477" s="727" t="str">
        <f>IF(K475="","",AND(W476,IF(SUM(J596)&lt;0,OR(SUM(K476)&lt;SUM(J596)-MOD(SUM(J596),5%),K476&gt;=SUM(J596)+5%-MOD(SUM(J596),5%)),OR(SUM(K476)&lt;=SUM(J596)-MOD(SUM(J596),5%),SUM(K476)&gt;SUM(J596)+5%-MOD(SUM(J596),5%)))))</f>
        <v/>
      </c>
      <c r="X477" s="727" t="str">
        <f>IF(L475="","",AND(X476,IF(SUM(K596)&lt;0,OR(SUM(L476)&lt;SUM(K596)-MOD(SUM(K596),5%),L476&gt;=SUM(K596)+5%-MOD(SUM(K596),5%)),OR(SUM(L476)&lt;=SUM(K596)-MOD(SUM(K596),5%),SUM(L476)&gt;SUM(K596)+5%-MOD(SUM(K596),5%)))))</f>
        <v/>
      </c>
      <c r="Y477" s="727" t="str">
        <f>IF(M475="","",AND(Y476,IF(SUM(L596)&lt;0,OR(SUM(M476)&lt;SUM(L596)-MOD(SUM(L596),5%),M476&gt;=SUM(L596)+5%-MOD(SUM(L596),5%)),OR(SUM(M476)&lt;=SUM(L596)-MOD(SUM(L596),5%),SUM(M476)&gt;SUM(L596)+5%-MOD(SUM(L596),5%)))))</f>
        <v/>
      </c>
      <c r="Z477" s="1221" t="str">
        <f>IF(N475="","",AND(Z476,IF(SUM(M596)&lt;0,OR(SUM(N476)&lt;SUM(M596)-MOD(SUM(M596),5%),N476&gt;=SUM(M596)+5%-MOD(SUM(M596),5%)),OR(SUM(N476)&lt;=SUM(M596)-MOD(SUM(M596),5%),SUM(N476)&gt;SUM(M596)+5%-MOD(SUM(M596),5%)))))</f>
        <v/>
      </c>
      <c r="AA477" s="694"/>
      <c r="AB477" s="729"/>
      <c r="AC477" s="694"/>
      <c r="AD477" s="694"/>
      <c r="AE477" s="343"/>
      <c r="AF477" s="343"/>
      <c r="AG477" s="343"/>
      <c r="AH477" s="343"/>
      <c r="AI477" s="343"/>
      <c r="AJ477" s="343"/>
      <c r="AK477" s="343"/>
      <c r="AL477" s="343"/>
      <c r="AM477" s="343"/>
    </row>
    <row r="478" spans="1:39" ht="12.75" customHeight="1" thickBot="1" x14ac:dyDescent="0.3">
      <c r="A478" s="729"/>
      <c r="B478" s="298"/>
      <c r="C478" s="298"/>
      <c r="D478" s="1208" t="s">
        <v>18</v>
      </c>
      <c r="E478" s="1209" t="str">
        <f>Translations!$B$1377</f>
        <v>Предварителна стойност</v>
      </c>
      <c r="F478" s="1209"/>
      <c r="G478" s="1209"/>
      <c r="H478" s="1266" t="str">
        <f>H475</f>
        <v>TJ</v>
      </c>
      <c r="I478" s="1399" t="str">
        <f>IF(M459&lt;&gt;EUconst_Relevant,"",IF(AB459=FALSE,EUconst_NA,IF(V459&gt;($J$1840-3),INDEX(H467:N467,MATCH($V459,H466:N466,0)),I475)))</f>
        <v/>
      </c>
      <c r="J478" s="1400" t="str">
        <f>IF($M459&lt;&gt;EUconst_Relevant,"",IF(V475&lt;2,SUM(J467),IF(V475&lt;3,SUM(I467),IF(V478="",I478,V478))))</f>
        <v/>
      </c>
      <c r="K478" s="1401" t="str">
        <f>IF($M459&lt;&gt;EUconst_Relevant,"",IF(W475&lt;2,SUM(K467),IF(W475&lt;3,SUM(J467),IF(W478="",J478,W478))))</f>
        <v/>
      </c>
      <c r="L478" s="1401" t="str">
        <f>IF($M459&lt;&gt;EUconst_Relevant,"",IF(X475&lt;2,SUM(L467),IF(X475&lt;3,SUM(K467),IF(X478="",K478,X478))))</f>
        <v/>
      </c>
      <c r="M478" s="1401" t="str">
        <f>IF($M459&lt;&gt;EUconst_Relevant,"",IF(Y475&lt;2,SUM(M467),IF(Y475&lt;3,SUM(L467),IF(Y478="",L478,Y478))))</f>
        <v/>
      </c>
      <c r="N478" s="1402" t="str">
        <f>IF($M459&lt;&gt;EUconst_Relevant,"",IF(Z475&lt;2,SUM(N467),IF(Z475&lt;3,SUM(M467),IF(Z478="",M478,Z478))))</f>
        <v/>
      </c>
      <c r="O478" s="710"/>
      <c r="P478" s="336"/>
      <c r="Q478" s="1190" t="s">
        <v>2143</v>
      </c>
      <c r="R478" s="694"/>
      <c r="S478" s="729"/>
      <c r="T478" s="729"/>
      <c r="U478" s="1404" t="s">
        <v>1711</v>
      </c>
      <c r="V478" s="1405" t="str">
        <f>IF(J475="","",IF(CNTR_ReportingYear&lt;J474,I477,IF($I478=0,J475,$I478*(1+J477))))</f>
        <v/>
      </c>
      <c r="W478" s="1405" t="str">
        <f>IF(K475="","",IF(CNTR_ReportingYear&lt;K474,J477,IF($I478=0,K475,$I478*(1+K477))))</f>
        <v/>
      </c>
      <c r="X478" s="1405" t="str">
        <f>IF(L475="","",IF(CNTR_ReportingYear&lt;L474,K477,IF($I478=0,L475,$I478*(1+L477))))</f>
        <v/>
      </c>
      <c r="Y478" s="1405" t="str">
        <f>IF(M475="","",IF(CNTR_ReportingYear&lt;M474,L477,IF($I478=0,M475,$I478*(1+M477))))</f>
        <v/>
      </c>
      <c r="Z478" s="1406" t="str">
        <f>IF(N475="","",IF(CNTR_ReportingYear&lt;N474,M477,IF($I478=0,N475,$I478*(1+N477))))</f>
        <v/>
      </c>
      <c r="AA478" s="694"/>
      <c r="AB478" s="694"/>
      <c r="AC478" s="694"/>
      <c r="AD478" s="694"/>
      <c r="AE478" s="343"/>
      <c r="AF478" s="343"/>
      <c r="AG478" s="343"/>
      <c r="AH478" s="343"/>
      <c r="AI478" s="343"/>
      <c r="AJ478" s="343"/>
      <c r="AK478" s="343"/>
      <c r="AL478" s="343"/>
      <c r="AM478" s="343"/>
    </row>
    <row r="479" spans="1:39" ht="5.15" customHeight="1" thickBot="1" x14ac:dyDescent="0.3">
      <c r="A479" s="729"/>
      <c r="B479" s="698"/>
      <c r="C479" s="284"/>
      <c r="D479" s="1407"/>
      <c r="E479" s="1408"/>
      <c r="F479" s="1408"/>
      <c r="G479" s="1408"/>
      <c r="H479" s="1408"/>
      <c r="I479" s="1408"/>
      <c r="J479" s="1408"/>
      <c r="K479" s="1408"/>
      <c r="L479" s="1408"/>
      <c r="M479" s="1408"/>
      <c r="N479" s="1409"/>
      <c r="O479" s="336"/>
      <c r="P479" s="336"/>
      <c r="Q479" s="694"/>
      <c r="R479" s="694"/>
      <c r="S479" s="729"/>
      <c r="T479" s="729"/>
      <c r="U479" s="694"/>
      <c r="V479" s="694"/>
      <c r="W479" s="694"/>
      <c r="X479" s="694"/>
      <c r="Y479" s="694"/>
      <c r="Z479" s="729"/>
      <c r="AA479" s="729"/>
      <c r="AB479" s="729"/>
      <c r="AC479" s="694"/>
      <c r="AD479" s="694"/>
      <c r="AE479" s="343"/>
      <c r="AF479" s="343"/>
      <c r="AG479" s="343"/>
      <c r="AH479" s="343"/>
      <c r="AI479" s="343"/>
      <c r="AJ479" s="343"/>
      <c r="AK479" s="343"/>
      <c r="AL479" s="343"/>
      <c r="AM479" s="343"/>
    </row>
    <row r="480" spans="1:39" ht="5.15" customHeight="1" x14ac:dyDescent="0.25">
      <c r="A480" s="729" t="str">
        <f>A481</f>
        <v/>
      </c>
      <c r="B480" s="698"/>
      <c r="C480" s="284"/>
      <c r="D480" s="284"/>
      <c r="E480" s="284"/>
      <c r="F480" s="284"/>
      <c r="G480" s="284"/>
      <c r="H480" s="284"/>
      <c r="I480" s="284"/>
      <c r="J480" s="284"/>
      <c r="K480" s="284"/>
      <c r="L480" s="284"/>
      <c r="M480" s="284"/>
      <c r="N480" s="284"/>
      <c r="O480" s="336"/>
      <c r="P480" s="336"/>
      <c r="Q480" s="694"/>
      <c r="R480" s="694"/>
      <c r="S480" s="729"/>
      <c r="T480" s="729"/>
      <c r="U480" s="694"/>
      <c r="V480" s="694"/>
      <c r="W480" s="694"/>
      <c r="X480" s="694"/>
      <c r="Y480" s="694"/>
      <c r="Z480" s="729"/>
      <c r="AA480" s="729"/>
      <c r="AB480" s="729"/>
      <c r="AC480" s="694"/>
      <c r="AD480" s="694"/>
      <c r="AE480" s="343"/>
      <c r="AF480" s="343"/>
      <c r="AG480" s="343"/>
      <c r="AH480" s="343"/>
      <c r="AI480" s="343"/>
      <c r="AJ480" s="343"/>
      <c r="AK480" s="343"/>
      <c r="AL480" s="343"/>
      <c r="AM480" s="343"/>
    </row>
    <row r="481" spans="1:39" ht="14" x14ac:dyDescent="0.3">
      <c r="A481" s="729" t="str">
        <f>IF(MATCH(I459,EUconst_FallBackListNames,0)=4,"ausblenden","")</f>
        <v/>
      </c>
      <c r="B481" s="698"/>
      <c r="C481" s="590"/>
      <c r="D481" s="2323" t="str">
        <f>Translations!$B$495</f>
        <v>Данни за производството</v>
      </c>
      <c r="E481" s="2249"/>
      <c r="F481" s="2249"/>
      <c r="G481" s="2249"/>
      <c r="H481" s="2249"/>
      <c r="I481" s="2249"/>
      <c r="J481" s="2249"/>
      <c r="K481" s="2249"/>
      <c r="L481" s="2249"/>
      <c r="M481" s="2249"/>
      <c r="N481" s="2249"/>
      <c r="O481" s="336"/>
      <c r="P481" s="336"/>
      <c r="Q481" s="694"/>
      <c r="R481" s="694"/>
      <c r="S481" s="694"/>
      <c r="T481" s="694"/>
      <c r="U481" s="694"/>
      <c r="V481" s="694"/>
      <c r="W481" s="694"/>
      <c r="X481" s="694"/>
      <c r="Y481" s="694"/>
      <c r="Z481" s="729"/>
      <c r="AA481" s="729"/>
      <c r="AB481" s="729"/>
      <c r="AC481" s="694"/>
      <c r="AD481" s="694"/>
      <c r="AE481" s="343"/>
      <c r="AF481" s="343"/>
      <c r="AG481" s="343"/>
      <c r="AH481" s="343"/>
      <c r="AI481" s="343"/>
      <c r="AJ481" s="343"/>
      <c r="AK481" s="343"/>
      <c r="AL481" s="343"/>
      <c r="AM481" s="343"/>
    </row>
    <row r="482" spans="1:39" ht="5.15" customHeight="1" x14ac:dyDescent="0.25">
      <c r="A482" s="729" t="str">
        <f>A481</f>
        <v/>
      </c>
      <c r="B482" s="284"/>
      <c r="C482" s="284"/>
      <c r="D482" s="284"/>
      <c r="E482" s="284"/>
      <c r="F482" s="284"/>
      <c r="G482" s="284"/>
      <c r="H482" s="284"/>
      <c r="I482" s="284"/>
      <c r="J482" s="284"/>
      <c r="K482" s="284"/>
      <c r="L482" s="284"/>
      <c r="M482" s="284"/>
      <c r="N482" s="284"/>
      <c r="O482" s="336"/>
      <c r="P482" s="336"/>
      <c r="Q482" s="770"/>
      <c r="R482" s="770"/>
      <c r="S482" s="694"/>
      <c r="T482" s="694"/>
      <c r="U482" s="694"/>
      <c r="V482" s="694"/>
      <c r="W482" s="694"/>
      <c r="X482" s="694"/>
      <c r="Y482" s="694"/>
      <c r="Z482" s="729"/>
      <c r="AA482" s="729"/>
      <c r="AB482" s="729"/>
      <c r="AC482" s="694"/>
      <c r="AD482" s="694"/>
      <c r="AE482" s="343"/>
      <c r="AF482" s="343"/>
      <c r="AG482" s="343"/>
      <c r="AH482" s="343"/>
      <c r="AI482" s="343"/>
      <c r="AJ482" s="343"/>
      <c r="AK482" s="343"/>
      <c r="AL482" s="343"/>
      <c r="AM482" s="343"/>
    </row>
    <row r="483" spans="1:39" ht="12.75" customHeight="1" x14ac:dyDescent="0.25">
      <c r="A483" s="729" t="str">
        <f t="shared" ref="A483:A547" si="597">A482</f>
        <v/>
      </c>
      <c r="B483" s="284"/>
      <c r="C483" s="300"/>
      <c r="D483" s="300" t="s">
        <v>901</v>
      </c>
      <c r="E483" s="2226" t="str">
        <f>Translations!$B$616</f>
        <v>Определяне на съответните продукти или услуги, свързани с тази подинсталация</v>
      </c>
      <c r="F483" s="2249"/>
      <c r="G483" s="2249"/>
      <c r="H483" s="2249"/>
      <c r="I483" s="2249"/>
      <c r="J483" s="2249"/>
      <c r="K483" s="2249"/>
      <c r="L483" s="2249"/>
      <c r="M483" s="2249"/>
      <c r="N483" s="2249"/>
      <c r="O483" s="336"/>
      <c r="P483" s="336"/>
      <c r="Q483" s="770"/>
      <c r="R483" s="694"/>
      <c r="S483" s="694"/>
      <c r="T483" s="694"/>
      <c r="U483" s="694"/>
      <c r="V483" s="694"/>
      <c r="W483" s="694"/>
      <c r="X483" s="694"/>
      <c r="Y483" s="694"/>
      <c r="Z483" s="694"/>
      <c r="AA483" s="694"/>
      <c r="AB483" s="729"/>
      <c r="AC483" s="694"/>
      <c r="AD483" s="694"/>
      <c r="AE483" s="343"/>
      <c r="AF483" s="343"/>
      <c r="AG483" s="343"/>
      <c r="AH483" s="343"/>
      <c r="AI483" s="343"/>
      <c r="AJ483" s="343"/>
      <c r="AK483" s="343"/>
      <c r="AL483" s="343"/>
      <c r="AM483" s="343"/>
    </row>
    <row r="484" spans="1:39" ht="12.75" customHeight="1" x14ac:dyDescent="0.25">
      <c r="A484" s="729" t="str">
        <f t="shared" si="597"/>
        <v/>
      </c>
      <c r="B484" s="284"/>
      <c r="C484" s="302"/>
      <c r="D484" s="302"/>
      <c r="E484" s="2358" t="str">
        <f>Translations!$B$617</f>
        <v>Тук посочете към кои производствени процеси или услуги има отношение тази подинсталация. Това може да включва следните елементи:</v>
      </c>
      <c r="F484" s="2249"/>
      <c r="G484" s="2249"/>
      <c r="H484" s="2249"/>
      <c r="I484" s="2249"/>
      <c r="J484" s="2249"/>
      <c r="K484" s="2249"/>
      <c r="L484" s="2249"/>
      <c r="M484" s="2249"/>
      <c r="N484" s="2249"/>
      <c r="O484" s="336"/>
      <c r="P484" s="336"/>
      <c r="Q484" s="770"/>
      <c r="R484" s="770"/>
      <c r="S484" s="770"/>
      <c r="T484" s="770"/>
      <c r="U484" s="770"/>
      <c r="V484" s="770"/>
      <c r="W484" s="770"/>
      <c r="X484" s="770"/>
      <c r="Y484" s="770"/>
      <c r="Z484" s="770"/>
      <c r="AA484" s="770"/>
      <c r="AB484" s="729"/>
      <c r="AC484" s="694"/>
      <c r="AD484" s="694"/>
      <c r="AE484" s="343"/>
      <c r="AF484" s="343"/>
      <c r="AG484" s="343"/>
      <c r="AH484" s="343"/>
      <c r="AI484" s="343"/>
      <c r="AJ484" s="343"/>
      <c r="AK484" s="343"/>
      <c r="AL484" s="343"/>
      <c r="AM484" s="343"/>
    </row>
    <row r="485" spans="1:39" ht="12.75" customHeight="1" x14ac:dyDescent="0.25">
      <c r="A485" s="729" t="str">
        <f t="shared" si="597"/>
        <v/>
      </c>
      <c r="B485" s="284"/>
      <c r="C485" s="302"/>
      <c r="D485" s="302"/>
      <c r="E485" s="1410" t="s">
        <v>951</v>
      </c>
      <c r="F485" s="2358" t="str">
        <f>Translations!$B$618</f>
        <v>Производство на стоки, непопадащи в продуктовите показатели в рамките на инсталацията (посочете вида продукти);</v>
      </c>
      <c r="G485" s="2249"/>
      <c r="H485" s="2249"/>
      <c r="I485" s="2249"/>
      <c r="J485" s="2249"/>
      <c r="K485" s="2249"/>
      <c r="L485" s="2249"/>
      <c r="M485" s="2249"/>
      <c r="N485" s="2249"/>
      <c r="O485" s="336"/>
      <c r="P485" s="336"/>
      <c r="Q485" s="770"/>
      <c r="R485" s="770"/>
      <c r="S485" s="770"/>
      <c r="T485" s="770"/>
      <c r="U485" s="770"/>
      <c r="V485" s="770"/>
      <c r="W485" s="770"/>
      <c r="X485" s="770"/>
      <c r="Y485" s="770"/>
      <c r="Z485" s="770"/>
      <c r="AA485" s="770"/>
      <c r="AB485" s="729"/>
      <c r="AC485" s="694"/>
      <c r="AD485" s="694"/>
      <c r="AE485" s="343"/>
      <c r="AF485" s="343"/>
      <c r="AG485" s="343"/>
      <c r="AH485" s="343"/>
      <c r="AI485" s="343"/>
      <c r="AJ485" s="343"/>
      <c r="AK485" s="343"/>
      <c r="AL485" s="343"/>
      <c r="AM485" s="343"/>
    </row>
    <row r="486" spans="1:39" ht="12.75" customHeight="1" x14ac:dyDescent="0.25">
      <c r="A486" s="729" t="str">
        <f t="shared" si="597"/>
        <v/>
      </c>
      <c r="B486" s="284"/>
      <c r="C486" s="302"/>
      <c r="D486" s="302"/>
      <c r="E486" s="1410" t="s">
        <v>951</v>
      </c>
      <c r="F486" s="2358" t="str">
        <f>Translations!$B$619</f>
        <v>производство на механична енергия, за отопление или охлаждане (всички употреби без производство на електроенергия);</v>
      </c>
      <c r="G486" s="2249"/>
      <c r="H486" s="2249"/>
      <c r="I486" s="2249"/>
      <c r="J486" s="2249"/>
      <c r="K486" s="2249"/>
      <c r="L486" s="2249"/>
      <c r="M486" s="2249"/>
      <c r="N486" s="2249"/>
      <c r="O486" s="336"/>
      <c r="P486" s="336"/>
      <c r="Q486" s="770"/>
      <c r="R486" s="770"/>
      <c r="S486" s="770"/>
      <c r="T486" s="770"/>
      <c r="U486" s="770"/>
      <c r="V486" s="770"/>
      <c r="W486" s="770"/>
      <c r="X486" s="770"/>
      <c r="Y486" s="770"/>
      <c r="Z486" s="694"/>
      <c r="AA486" s="694"/>
      <c r="AB486" s="729"/>
      <c r="AC486" s="694"/>
      <c r="AD486" s="694"/>
      <c r="AE486" s="343"/>
      <c r="AF486" s="343"/>
      <c r="AG486" s="343"/>
      <c r="AH486" s="343"/>
      <c r="AI486" s="343"/>
      <c r="AJ486" s="343"/>
      <c r="AK486" s="343"/>
      <c r="AL486" s="343"/>
      <c r="AM486" s="343"/>
    </row>
    <row r="487" spans="1:39" ht="12.75" customHeight="1" x14ac:dyDescent="0.25">
      <c r="A487" s="729" t="str">
        <f t="shared" si="597"/>
        <v/>
      </c>
      <c r="B487" s="284"/>
      <c r="C487" s="302"/>
      <c r="D487" s="302"/>
      <c r="E487" s="1410" t="s">
        <v>951</v>
      </c>
      <c r="F487" s="2358" t="str">
        <f>Translations!$B$620</f>
        <v>подаване на топлинна енергия към инсталации или други обекти (различни от топлофикационни мрежи). В такъв случай посочете употребата на топлинната енергия в посочената инсталация или обект, ако е известна.</v>
      </c>
      <c r="G487" s="2249"/>
      <c r="H487" s="2249"/>
      <c r="I487" s="2249"/>
      <c r="J487" s="2249"/>
      <c r="K487" s="2249"/>
      <c r="L487" s="2249"/>
      <c r="M487" s="2249"/>
      <c r="N487" s="2249"/>
      <c r="O487" s="336"/>
      <c r="P487" s="336"/>
      <c r="Q487" s="770"/>
      <c r="R487" s="770"/>
      <c r="S487" s="770"/>
      <c r="T487" s="770"/>
      <c r="U487" s="770"/>
      <c r="V487" s="770"/>
      <c r="W487" s="770"/>
      <c r="X487" s="770"/>
      <c r="Y487" s="770"/>
      <c r="Z487" s="694"/>
      <c r="AA487" s="694"/>
      <c r="AB487" s="729"/>
      <c r="AC487" s="694"/>
      <c r="AD487" s="694"/>
      <c r="AE487" s="343"/>
      <c r="AF487" s="343"/>
      <c r="AG487" s="343"/>
      <c r="AH487" s="343"/>
      <c r="AI487" s="343"/>
      <c r="AJ487" s="343"/>
      <c r="AK487" s="343"/>
      <c r="AL487" s="343"/>
      <c r="AM487" s="343"/>
    </row>
    <row r="488" spans="1:39" ht="25.5" customHeight="1" x14ac:dyDescent="0.25">
      <c r="A488" s="729" t="str">
        <f t="shared" si="597"/>
        <v/>
      </c>
      <c r="B488" s="284"/>
      <c r="C488" s="302"/>
      <c r="D488" s="302"/>
      <c r="E488" s="2358" t="str">
        <f>Translations!$B$497</f>
        <v>Кодовете по Продком се въвеждат като низове във вида „nnnnnnnn“, т.е. без точки или други разделителни знаци между тях. Само когато липсва код по Продком, се посочва 4-цифрения код по статистическата класификация на икономическите дейности в Европейския съюз (NACE) във вида „nnnn“.</v>
      </c>
      <c r="F488" s="2249"/>
      <c r="G488" s="2249"/>
      <c r="H488" s="2249"/>
      <c r="I488" s="2249"/>
      <c r="J488" s="2249"/>
      <c r="K488" s="2249"/>
      <c r="L488" s="2249"/>
      <c r="M488" s="2249"/>
      <c r="N488" s="2249"/>
      <c r="O488" s="336"/>
      <c r="P488" s="336"/>
      <c r="Q488" s="770"/>
      <c r="R488" s="694"/>
      <c r="S488" s="694"/>
      <c r="T488" s="694"/>
      <c r="U488" s="694"/>
      <c r="V488" s="694"/>
      <c r="W488" s="694"/>
      <c r="X488" s="694"/>
      <c r="Y488" s="694"/>
      <c r="Z488" s="694"/>
      <c r="AA488" s="694"/>
      <c r="AB488" s="729"/>
      <c r="AC488" s="694"/>
      <c r="AD488" s="694"/>
      <c r="AE488" s="343"/>
      <c r="AF488" s="343"/>
      <c r="AG488" s="343"/>
      <c r="AH488" s="343"/>
      <c r="AI488" s="343"/>
      <c r="AJ488" s="343"/>
      <c r="AK488" s="343"/>
      <c r="AL488" s="343"/>
      <c r="AM488" s="343"/>
    </row>
    <row r="489" spans="1:39" ht="12.75" customHeight="1" x14ac:dyDescent="0.25">
      <c r="A489" s="729" t="str">
        <f t="shared" si="597"/>
        <v/>
      </c>
      <c r="B489" s="284"/>
      <c r="C489" s="302"/>
      <c r="D489" s="302"/>
      <c r="E489" s="2358" t="str">
        <f>Translations!$B$498</f>
        <v>Продком списъкът за 2010 г. може да се намери на адрес: http://ec.europa.eu/eurostat/ramon/nomenclatures/index.cfm?TargetUrl=LST_CLS_DLD&amp;StrNom=PRD_2010&amp;StrLanguageCode=EN&amp;StrLayoutCode=HIERARCHIChttp://ec.europa.eu/eurostat/ramon/nomenclatures/index.cfm?TargetUrl=LST_CLS_DLD&amp;StrNom=PRD_2010&amp;StrLanguageCode=EN&amp;StrLayoutCode=HIERARCHIC</v>
      </c>
      <c r="F489" s="2249"/>
      <c r="G489" s="2249"/>
      <c r="H489" s="2249"/>
      <c r="I489" s="2249"/>
      <c r="J489" s="2249"/>
      <c r="K489" s="2249"/>
      <c r="L489" s="2249"/>
      <c r="M489" s="2249"/>
      <c r="N489" s="2249"/>
      <c r="O489" s="336"/>
      <c r="P489" s="336"/>
      <c r="Q489" s="770"/>
      <c r="R489" s="694"/>
      <c r="S489" s="694"/>
      <c r="T489" s="694"/>
      <c r="U489" s="694"/>
      <c r="V489" s="694"/>
      <c r="W489" s="694"/>
      <c r="X489" s="694"/>
      <c r="Y489" s="694"/>
      <c r="Z489" s="694"/>
      <c r="AA489" s="694"/>
      <c r="AB489" s="729"/>
      <c r="AC489" s="694"/>
      <c r="AD489" s="694"/>
      <c r="AE489" s="343"/>
      <c r="AF489" s="343"/>
      <c r="AG489" s="343"/>
      <c r="AH489" s="343"/>
      <c r="AI489" s="343"/>
      <c r="AJ489" s="343"/>
      <c r="AK489" s="343"/>
      <c r="AL489" s="343"/>
      <c r="AM489" s="343"/>
    </row>
    <row r="490" spans="1:39" ht="12.75" customHeight="1" x14ac:dyDescent="0.25">
      <c r="A490" s="729" t="str">
        <f t="shared" si="597"/>
        <v/>
      </c>
      <c r="B490" s="284"/>
      <c r="C490" s="302"/>
      <c r="D490" s="302"/>
      <c r="E490" s="2855" t="str">
        <f>Translations!$B$1532</f>
        <v>https://eur-lex.europa.eu/eli/reg/2010/860/oj</v>
      </c>
      <c r="F490" s="2899"/>
      <c r="G490" s="2899"/>
      <c r="H490" s="2899"/>
      <c r="I490" s="2899"/>
      <c r="J490" s="2899"/>
      <c r="K490" s="2899"/>
      <c r="L490" s="2899"/>
      <c r="M490" s="2899"/>
      <c r="N490" s="2899"/>
      <c r="O490" s="336"/>
      <c r="P490" s="336"/>
      <c r="Q490" s="770"/>
      <c r="R490" s="694"/>
      <c r="S490" s="694"/>
      <c r="T490" s="694"/>
      <c r="U490" s="694"/>
      <c r="V490" s="694"/>
      <c r="W490" s="694"/>
      <c r="X490" s="694"/>
      <c r="Y490" s="694"/>
      <c r="Z490" s="694"/>
      <c r="AA490" s="694"/>
      <c r="AB490" s="729"/>
      <c r="AC490" s="694"/>
      <c r="AD490" s="694"/>
      <c r="AE490" s="343"/>
      <c r="AF490" s="343"/>
      <c r="AG490" s="343"/>
      <c r="AH490" s="343"/>
      <c r="AI490" s="343"/>
      <c r="AJ490" s="343"/>
      <c r="AK490" s="343"/>
      <c r="AL490" s="343"/>
      <c r="AM490" s="343"/>
    </row>
    <row r="491" spans="1:39" ht="12.75" customHeight="1" x14ac:dyDescent="0.25">
      <c r="A491" s="729" t="str">
        <f t="shared" si="597"/>
        <v/>
      </c>
      <c r="B491" s="284"/>
      <c r="C491" s="302"/>
      <c r="D491" s="302"/>
      <c r="E491" s="2358" t="str">
        <f>Translations!$B$621</f>
        <v>Ако са обхванати няколко подобни продукта в рамките на една група по NACE, могат да се използват кодовете по NACE вместо по Продком.</v>
      </c>
      <c r="F491" s="2249"/>
      <c r="G491" s="2249"/>
      <c r="H491" s="2249"/>
      <c r="I491" s="2249"/>
      <c r="J491" s="2249"/>
      <c r="K491" s="2249"/>
      <c r="L491" s="2249"/>
      <c r="M491" s="2249"/>
      <c r="N491" s="2249"/>
      <c r="O491" s="336"/>
      <c r="P491" s="336"/>
      <c r="Q491" s="770"/>
      <c r="R491" s="770"/>
      <c r="S491" s="770"/>
      <c r="T491" s="770"/>
      <c r="U491" s="770"/>
      <c r="V491" s="770"/>
      <c r="W491" s="770"/>
      <c r="X491" s="770"/>
      <c r="Y491" s="770"/>
      <c r="Z491" s="694"/>
      <c r="AA491" s="694"/>
      <c r="AB491" s="729"/>
      <c r="AC491" s="694"/>
      <c r="AD491" s="694"/>
      <c r="AE491" s="343"/>
      <c r="AF491" s="343"/>
      <c r="AG491" s="343"/>
      <c r="AH491" s="343"/>
      <c r="AI491" s="343"/>
      <c r="AJ491" s="343"/>
      <c r="AK491" s="343"/>
      <c r="AL491" s="343"/>
      <c r="AM491" s="343"/>
    </row>
    <row r="492" spans="1:39" ht="12.75" customHeight="1" x14ac:dyDescent="0.25">
      <c r="A492" s="729" t="str">
        <f t="shared" si="597"/>
        <v/>
      </c>
      <c r="B492" s="284"/>
      <c r="C492" s="302"/>
      <c r="D492" s="302"/>
      <c r="E492" s="2358" t="str">
        <f>Translations!$B$1335</f>
        <v>Ако топлинната енергия се подава, може да се избере свързаната инсталация или обект, въведени в раздел V на лист „A_InstallationData“(„А_Данни за инсталацията“).</v>
      </c>
      <c r="F492" s="2249"/>
      <c r="G492" s="2249"/>
      <c r="H492" s="2249"/>
      <c r="I492" s="2249"/>
      <c r="J492" s="2249"/>
      <c r="K492" s="2249"/>
      <c r="L492" s="2249"/>
      <c r="M492" s="2249"/>
      <c r="N492" s="2249"/>
      <c r="O492" s="336"/>
      <c r="P492" s="336"/>
      <c r="Q492" s="770"/>
      <c r="R492" s="770"/>
      <c r="S492" s="770"/>
      <c r="T492" s="770"/>
      <c r="U492" s="770"/>
      <c r="V492" s="770"/>
      <c r="W492" s="770"/>
      <c r="X492" s="770"/>
      <c r="Y492" s="770"/>
      <c r="Z492" s="694"/>
      <c r="AA492" s="694"/>
      <c r="AB492" s="729"/>
      <c r="AC492" s="694"/>
      <c r="AD492" s="694"/>
      <c r="AE492" s="343"/>
      <c r="AF492" s="343"/>
      <c r="AG492" s="343"/>
      <c r="AH492" s="343"/>
      <c r="AI492" s="343"/>
      <c r="AJ492" s="343"/>
      <c r="AK492" s="343"/>
      <c r="AL492" s="343"/>
      <c r="AM492" s="343"/>
    </row>
    <row r="493" spans="1:39" ht="12.75" customHeight="1" x14ac:dyDescent="0.25">
      <c r="A493" s="729" t="str">
        <f t="shared" si="597"/>
        <v/>
      </c>
      <c r="B493" s="284"/>
      <c r="C493" s="302"/>
      <c r="D493" s="302"/>
      <c r="E493" s="2358" t="str">
        <f>Translations!$B$1520</f>
        <v>Кодовете по КН са кодовете съгласно Регламент (ЕИО) № 2658/87, които са на разположение на следния адрес:</v>
      </c>
      <c r="F493" s="2249"/>
      <c r="G493" s="2249"/>
      <c r="H493" s="2249"/>
      <c r="I493" s="2249"/>
      <c r="J493" s="2249"/>
      <c r="K493" s="2249"/>
      <c r="L493" s="2249"/>
      <c r="M493" s="2249"/>
      <c r="N493" s="2249"/>
      <c r="O493" s="336"/>
      <c r="P493" s="336"/>
      <c r="Q493" s="770"/>
      <c r="R493" s="770"/>
      <c r="S493" s="770"/>
      <c r="T493" s="770"/>
      <c r="U493" s="770"/>
      <c r="V493" s="770"/>
      <c r="W493" s="770"/>
      <c r="X493" s="770"/>
      <c r="Y493" s="770"/>
      <c r="Z493" s="694"/>
      <c r="AA493" s="694"/>
      <c r="AB493" s="729"/>
      <c r="AC493" s="694"/>
      <c r="AD493" s="694"/>
      <c r="AE493" s="343"/>
      <c r="AF493" s="343"/>
      <c r="AG493" s="343"/>
      <c r="AH493" s="343"/>
      <c r="AI493" s="343"/>
      <c r="AJ493" s="343"/>
      <c r="AK493" s="343"/>
      <c r="AL493" s="343"/>
      <c r="AM493" s="343"/>
    </row>
    <row r="494" spans="1:39" ht="12.75" customHeight="1" x14ac:dyDescent="0.25">
      <c r="A494" s="729" t="str">
        <f t="shared" si="597"/>
        <v/>
      </c>
      <c r="B494" s="284"/>
      <c r="C494" s="302"/>
      <c r="D494" s="302"/>
      <c r="E494" s="2855" t="str">
        <f>Translations!$B$1521</f>
        <v>https://eur-lex.europa.eu/eli/reg/1987/2658/2023-06-17</v>
      </c>
      <c r="F494" s="2899"/>
      <c r="G494" s="2899"/>
      <c r="H494" s="2899"/>
      <c r="I494" s="2899"/>
      <c r="J494" s="2899"/>
      <c r="K494" s="2899"/>
      <c r="L494" s="2899"/>
      <c r="M494" s="2899"/>
      <c r="N494" s="2899"/>
      <c r="O494" s="336"/>
      <c r="P494" s="336"/>
      <c r="Q494" s="770"/>
      <c r="R494" s="770"/>
      <c r="S494" s="770"/>
      <c r="T494" s="770"/>
      <c r="U494" s="770"/>
      <c r="V494" s="770"/>
      <c r="W494" s="770"/>
      <c r="X494" s="770"/>
      <c r="Y494" s="770"/>
      <c r="Z494" s="694"/>
      <c r="AA494" s="694"/>
      <c r="AB494" s="729"/>
      <c r="AC494" s="694"/>
      <c r="AD494" s="694"/>
      <c r="AE494" s="343"/>
      <c r="AF494" s="343"/>
      <c r="AG494" s="343"/>
      <c r="AH494" s="343"/>
      <c r="AI494" s="343"/>
      <c r="AJ494" s="343"/>
      <c r="AK494" s="343"/>
      <c r="AL494" s="343"/>
      <c r="AM494" s="343"/>
    </row>
    <row r="495" spans="1:39" ht="5.15" customHeight="1" x14ac:dyDescent="0.25">
      <c r="A495" s="729" t="str">
        <f t="shared" si="597"/>
        <v/>
      </c>
      <c r="B495" s="284"/>
      <c r="C495" s="302"/>
      <c r="D495" s="302"/>
      <c r="E495" s="460"/>
      <c r="F495" s="460"/>
      <c r="G495" s="460"/>
      <c r="H495" s="460"/>
      <c r="I495" s="460"/>
      <c r="J495" s="329"/>
      <c r="K495" s="329"/>
      <c r="L495" s="329"/>
      <c r="M495" s="336"/>
      <c r="N495" s="336"/>
      <c r="O495" s="336"/>
      <c r="P495" s="336"/>
      <c r="Q495" s="770"/>
      <c r="R495" s="694"/>
      <c r="S495" s="694"/>
      <c r="T495" s="694"/>
      <c r="U495" s="694"/>
      <c r="V495" s="694"/>
      <c r="W495" s="694"/>
      <c r="X495" s="694"/>
      <c r="Y495" s="694"/>
      <c r="Z495" s="694"/>
      <c r="AA495" s="694"/>
      <c r="AB495" s="729"/>
      <c r="AC495" s="694"/>
      <c r="AD495" s="694"/>
      <c r="AE495" s="343"/>
      <c r="AF495" s="343"/>
      <c r="AG495" s="343"/>
      <c r="AH495" s="343"/>
      <c r="AI495" s="343"/>
      <c r="AJ495" s="343"/>
      <c r="AK495" s="343"/>
      <c r="AL495" s="343"/>
      <c r="AM495" s="343"/>
    </row>
    <row r="496" spans="1:39" ht="26" x14ac:dyDescent="0.25">
      <c r="A496" s="729" t="str">
        <f t="shared" si="597"/>
        <v/>
      </c>
      <c r="B496" s="698"/>
      <c r="C496" s="300"/>
      <c r="D496" s="1014"/>
      <c r="E496" s="2900" t="str">
        <f>Translations!$B$622</f>
        <v>Вид употреба</v>
      </c>
      <c r="F496" s="2901"/>
      <c r="G496" s="2900" t="str">
        <f>Translations!$B$623</f>
        <v>В рамките на инсталацията или за подаване?</v>
      </c>
      <c r="H496" s="2901"/>
      <c r="I496" s="2900" t="str">
        <f>Translations!$B$624</f>
        <v>Име на продукта или „топлофикационна мрежа“</v>
      </c>
      <c r="J496" s="2256"/>
      <c r="K496" s="2256"/>
      <c r="L496" s="2901"/>
      <c r="M496" s="1277" t="str">
        <f>Translations!$B$1522</f>
        <v>ПРОДКОМ за 2010 г.</v>
      </c>
      <c r="N496" s="1277" t="str">
        <f>Translations!$B$1523</f>
        <v>Код по КН</v>
      </c>
      <c r="O496" s="336"/>
      <c r="P496" s="336"/>
      <c r="Q496" s="694"/>
      <c r="R496" s="694"/>
      <c r="S496" s="1390" t="s">
        <v>1990</v>
      </c>
      <c r="T496" s="694"/>
      <c r="U496" s="694"/>
      <c r="V496" s="694"/>
      <c r="W496" s="694"/>
      <c r="X496" s="694"/>
      <c r="Y496" s="694"/>
      <c r="Z496" s="770"/>
      <c r="AA496" s="770"/>
      <c r="AB496" s="729"/>
      <c r="AC496" s="694"/>
      <c r="AD496" s="694"/>
      <c r="AE496" s="343"/>
      <c r="AF496" s="343"/>
      <c r="AG496" s="343"/>
      <c r="AH496" s="343"/>
      <c r="AI496" s="343"/>
      <c r="AJ496" s="343"/>
      <c r="AK496" s="343"/>
      <c r="AL496" s="343"/>
      <c r="AM496" s="343"/>
    </row>
    <row r="497" spans="1:39" ht="12.75" customHeight="1" x14ac:dyDescent="0.25">
      <c r="A497" s="729" t="str">
        <f t="shared" si="597"/>
        <v/>
      </c>
      <c r="B497" s="698"/>
      <c r="C497" s="773"/>
      <c r="D497" s="981">
        <v>1</v>
      </c>
      <c r="E497" s="2420"/>
      <c r="F497" s="2421"/>
      <c r="G497" s="2943"/>
      <c r="H497" s="2944"/>
      <c r="I497" s="2945"/>
      <c r="J497" s="2946"/>
      <c r="K497" s="2946"/>
      <c r="L497" s="2947"/>
      <c r="M497" s="221"/>
      <c r="N497" s="221"/>
      <c r="O497" s="336"/>
      <c r="P497" s="158"/>
      <c r="Q497" s="694"/>
      <c r="R497" s="1174"/>
      <c r="S497" s="982" t="b">
        <f>TRUE</f>
        <v>1</v>
      </c>
      <c r="T497" s="1411" t="s">
        <v>2078</v>
      </c>
      <c r="U497" s="694"/>
      <c r="V497" s="694"/>
      <c r="W497" s="694"/>
      <c r="X497" s="694"/>
      <c r="Y497" s="694"/>
      <c r="Z497" s="694"/>
      <c r="AA497" s="694"/>
      <c r="AB497" s="729"/>
      <c r="AC497" s="694"/>
      <c r="AD497" s="694"/>
      <c r="AE497" s="343"/>
      <c r="AF497" s="343"/>
      <c r="AG497" s="343"/>
      <c r="AH497" s="343"/>
      <c r="AI497" s="343"/>
      <c r="AJ497" s="343"/>
      <c r="AK497" s="1174" t="s">
        <v>2039</v>
      </c>
      <c r="AL497" s="1176" t="str">
        <f>IF(AND($M459=EUconst_Relevant,COUNTA(E497:N497)&lt;IF(OR(C459=2,C459=4),3,5)),EUconst_Error&amp;"FB"&amp;Q459,"")</f>
        <v/>
      </c>
      <c r="AM497" s="343"/>
    </row>
    <row r="498" spans="1:39" ht="12.75" customHeight="1" x14ac:dyDescent="0.25">
      <c r="A498" s="729" t="str">
        <f t="shared" si="597"/>
        <v/>
      </c>
      <c r="B498" s="698"/>
      <c r="C498" s="773"/>
      <c r="D498" s="990">
        <f>D497+1</f>
        <v>2</v>
      </c>
      <c r="E498" s="2406"/>
      <c r="F498" s="2405"/>
      <c r="G498" s="2938"/>
      <c r="H498" s="2939"/>
      <c r="I498" s="2942"/>
      <c r="J498" s="2940"/>
      <c r="K498" s="2940"/>
      <c r="L498" s="2941"/>
      <c r="M498" s="224"/>
      <c r="N498" s="224"/>
      <c r="O498" s="336"/>
      <c r="P498" s="158"/>
      <c r="Q498" s="694"/>
      <c r="R498" s="694"/>
      <c r="S498" s="982" t="b">
        <f>TRUE</f>
        <v>1</v>
      </c>
      <c r="T498" s="694"/>
      <c r="U498" s="694"/>
      <c r="V498" s="694"/>
      <c r="W498" s="694"/>
      <c r="X498" s="694"/>
      <c r="Y498" s="694"/>
      <c r="Z498" s="694"/>
      <c r="AA498" s="694"/>
      <c r="AB498" s="729"/>
      <c r="AC498" s="694"/>
      <c r="AD498" s="694"/>
      <c r="AE498" s="343"/>
      <c r="AF498" s="343"/>
      <c r="AG498" s="343"/>
      <c r="AH498" s="343"/>
      <c r="AI498" s="343"/>
      <c r="AJ498" s="343"/>
      <c r="AK498" s="343"/>
      <c r="AL498" s="343"/>
      <c r="AM498" s="343"/>
    </row>
    <row r="499" spans="1:39" ht="12.75" customHeight="1" x14ac:dyDescent="0.25">
      <c r="A499" s="729" t="str">
        <f t="shared" si="597"/>
        <v/>
      </c>
      <c r="B499" s="698"/>
      <c r="C499" s="773"/>
      <c r="D499" s="990">
        <f t="shared" ref="D499:D506" si="598">D498+1</f>
        <v>3</v>
      </c>
      <c r="E499" s="2406"/>
      <c r="F499" s="2405"/>
      <c r="G499" s="2938"/>
      <c r="H499" s="2939"/>
      <c r="I499" s="2942"/>
      <c r="J499" s="2940"/>
      <c r="K499" s="2940"/>
      <c r="L499" s="2941"/>
      <c r="M499" s="224"/>
      <c r="N499" s="224"/>
      <c r="O499" s="336"/>
      <c r="P499" s="158"/>
      <c r="Q499" s="694"/>
      <c r="R499" s="694"/>
      <c r="S499" s="982" t="b">
        <f>TRUE</f>
        <v>1</v>
      </c>
      <c r="T499" s="694"/>
      <c r="U499" s="694"/>
      <c r="V499" s="694"/>
      <c r="W499" s="694"/>
      <c r="X499" s="694"/>
      <c r="Y499" s="694"/>
      <c r="Z499" s="694"/>
      <c r="AA499" s="694"/>
      <c r="AB499" s="729"/>
      <c r="AC499" s="694"/>
      <c r="AD499" s="694"/>
      <c r="AE499" s="343"/>
      <c r="AF499" s="343"/>
      <c r="AG499" s="343"/>
      <c r="AH499" s="343"/>
      <c r="AI499" s="343"/>
      <c r="AJ499" s="343"/>
      <c r="AK499" s="343"/>
      <c r="AL499" s="343"/>
      <c r="AM499" s="343"/>
    </row>
    <row r="500" spans="1:39" ht="12.75" customHeight="1" x14ac:dyDescent="0.25">
      <c r="A500" s="729" t="str">
        <f t="shared" si="597"/>
        <v/>
      </c>
      <c r="B500" s="698"/>
      <c r="C500" s="773"/>
      <c r="D500" s="990">
        <f t="shared" si="598"/>
        <v>4</v>
      </c>
      <c r="E500" s="2406"/>
      <c r="F500" s="2405"/>
      <c r="G500" s="2938"/>
      <c r="H500" s="2939"/>
      <c r="I500" s="2942"/>
      <c r="J500" s="2940"/>
      <c r="K500" s="2940"/>
      <c r="L500" s="2941"/>
      <c r="M500" s="222"/>
      <c r="N500" s="222"/>
      <c r="O500" s="336"/>
      <c r="P500" s="158"/>
      <c r="Q500" s="694"/>
      <c r="R500" s="694"/>
      <c r="S500" s="982" t="b">
        <f>TRUE</f>
        <v>1</v>
      </c>
      <c r="T500" s="694"/>
      <c r="U500" s="694"/>
      <c r="V500" s="694"/>
      <c r="W500" s="694"/>
      <c r="X500" s="694"/>
      <c r="Y500" s="694"/>
      <c r="Z500" s="694"/>
      <c r="AA500" s="694"/>
      <c r="AB500" s="729"/>
      <c r="AC500" s="694"/>
      <c r="AD500" s="694"/>
      <c r="AE500" s="343"/>
      <c r="AF500" s="343"/>
      <c r="AG500" s="343"/>
      <c r="AH500" s="343"/>
      <c r="AI500" s="343"/>
      <c r="AJ500" s="343"/>
      <c r="AK500" s="343"/>
      <c r="AL500" s="343"/>
      <c r="AM500" s="343"/>
    </row>
    <row r="501" spans="1:39" ht="12.75" customHeight="1" x14ac:dyDescent="0.25">
      <c r="A501" s="729" t="str">
        <f t="shared" si="597"/>
        <v/>
      </c>
      <c r="B501" s="698"/>
      <c r="C501" s="773"/>
      <c r="D501" s="990">
        <f t="shared" si="598"/>
        <v>5</v>
      </c>
      <c r="E501" s="2406"/>
      <c r="F501" s="2405"/>
      <c r="G501" s="2938"/>
      <c r="H501" s="2939"/>
      <c r="I501" s="2942"/>
      <c r="J501" s="2940"/>
      <c r="K501" s="2940"/>
      <c r="L501" s="2941"/>
      <c r="M501" s="222"/>
      <c r="N501" s="222"/>
      <c r="O501" s="336"/>
      <c r="P501" s="158"/>
      <c r="Q501" s="694"/>
      <c r="R501" s="694"/>
      <c r="S501" s="982" t="b">
        <f>TRUE</f>
        <v>1</v>
      </c>
      <c r="T501" s="694"/>
      <c r="U501" s="694"/>
      <c r="V501" s="694"/>
      <c r="W501" s="694"/>
      <c r="X501" s="694"/>
      <c r="Y501" s="694"/>
      <c r="Z501" s="770"/>
      <c r="AA501" s="770"/>
      <c r="AB501" s="729"/>
      <c r="AC501" s="694"/>
      <c r="AD501" s="694"/>
      <c r="AE501" s="343"/>
      <c r="AF501" s="343"/>
      <c r="AG501" s="343"/>
      <c r="AH501" s="343"/>
      <c r="AI501" s="343"/>
      <c r="AJ501" s="343"/>
      <c r="AK501" s="343"/>
      <c r="AL501" s="343"/>
      <c r="AM501" s="343"/>
    </row>
    <row r="502" spans="1:39" ht="12.75" customHeight="1" x14ac:dyDescent="0.25">
      <c r="A502" s="729" t="str">
        <f t="shared" si="597"/>
        <v/>
      </c>
      <c r="B502" s="698"/>
      <c r="C502" s="773"/>
      <c r="D502" s="990">
        <f t="shared" si="598"/>
        <v>6</v>
      </c>
      <c r="E502" s="2406"/>
      <c r="F502" s="2405"/>
      <c r="G502" s="2938"/>
      <c r="H502" s="2939"/>
      <c r="I502" s="2409"/>
      <c r="J502" s="2940"/>
      <c r="K502" s="2940"/>
      <c r="L502" s="2941"/>
      <c r="M502" s="222"/>
      <c r="N502" s="222"/>
      <c r="O502" s="336"/>
      <c r="P502" s="158"/>
      <c r="Q502" s="694"/>
      <c r="R502" s="694"/>
      <c r="S502" s="982" t="b">
        <f>TRUE</f>
        <v>1</v>
      </c>
      <c r="T502" s="694"/>
      <c r="U502" s="694"/>
      <c r="V502" s="694"/>
      <c r="W502" s="694"/>
      <c r="X502" s="694"/>
      <c r="Y502" s="694"/>
      <c r="Z502" s="694"/>
      <c r="AA502" s="694"/>
      <c r="AB502" s="729"/>
      <c r="AC502" s="694"/>
      <c r="AD502" s="694"/>
      <c r="AE502" s="343"/>
      <c r="AF502" s="343"/>
      <c r="AG502" s="343"/>
      <c r="AH502" s="343"/>
      <c r="AI502" s="343"/>
      <c r="AJ502" s="343"/>
      <c r="AK502" s="343"/>
      <c r="AL502" s="343"/>
      <c r="AM502" s="343"/>
    </row>
    <row r="503" spans="1:39" ht="12.75" customHeight="1" x14ac:dyDescent="0.25">
      <c r="A503" s="729" t="str">
        <f t="shared" si="597"/>
        <v/>
      </c>
      <c r="B503" s="698"/>
      <c r="C503" s="773"/>
      <c r="D503" s="990">
        <f t="shared" si="598"/>
        <v>7</v>
      </c>
      <c r="E503" s="2406"/>
      <c r="F503" s="2405"/>
      <c r="G503" s="2938"/>
      <c r="H503" s="2939"/>
      <c r="I503" s="2409"/>
      <c r="J503" s="2940"/>
      <c r="K503" s="2940"/>
      <c r="L503" s="2941"/>
      <c r="M503" s="222"/>
      <c r="N503" s="222"/>
      <c r="O503" s="336"/>
      <c r="P503" s="158"/>
      <c r="Q503" s="694"/>
      <c r="R503" s="694"/>
      <c r="S503" s="982" t="b">
        <f>TRUE</f>
        <v>1</v>
      </c>
      <c r="T503" s="694"/>
      <c r="U503" s="694"/>
      <c r="V503" s="694"/>
      <c r="W503" s="694"/>
      <c r="X503" s="694"/>
      <c r="Y503" s="694"/>
      <c r="Z503" s="694"/>
      <c r="AA503" s="694"/>
      <c r="AB503" s="729"/>
      <c r="AC503" s="694"/>
      <c r="AD503" s="694"/>
      <c r="AE503" s="343"/>
      <c r="AF503" s="343"/>
      <c r="AG503" s="343"/>
      <c r="AH503" s="343"/>
      <c r="AI503" s="343"/>
      <c r="AJ503" s="343"/>
      <c r="AK503" s="343"/>
      <c r="AL503" s="343"/>
      <c r="AM503" s="343"/>
    </row>
    <row r="504" spans="1:39" ht="12.75" customHeight="1" x14ac:dyDescent="0.25">
      <c r="A504" s="729" t="str">
        <f t="shared" si="597"/>
        <v/>
      </c>
      <c r="B504" s="698"/>
      <c r="C504" s="773"/>
      <c r="D504" s="990">
        <f t="shared" si="598"/>
        <v>8</v>
      </c>
      <c r="E504" s="2406"/>
      <c r="F504" s="2405"/>
      <c r="G504" s="2938"/>
      <c r="H504" s="2939"/>
      <c r="I504" s="2409"/>
      <c r="J504" s="2940"/>
      <c r="K504" s="2940"/>
      <c r="L504" s="2941"/>
      <c r="M504" s="222"/>
      <c r="N504" s="222"/>
      <c r="O504" s="336"/>
      <c r="P504" s="158"/>
      <c r="Q504" s="694"/>
      <c r="R504" s="694"/>
      <c r="S504" s="982" t="b">
        <f>TRUE</f>
        <v>1</v>
      </c>
      <c r="T504" s="694"/>
      <c r="U504" s="694"/>
      <c r="V504" s="694"/>
      <c r="W504" s="694"/>
      <c r="X504" s="694"/>
      <c r="Y504" s="694"/>
      <c r="Z504" s="694"/>
      <c r="AA504" s="694"/>
      <c r="AB504" s="729"/>
      <c r="AC504" s="694"/>
      <c r="AD504" s="694"/>
      <c r="AE504" s="343"/>
      <c r="AF504" s="343"/>
      <c r="AG504" s="343"/>
      <c r="AH504" s="343"/>
      <c r="AI504" s="343"/>
      <c r="AJ504" s="343"/>
      <c r="AK504" s="343"/>
      <c r="AL504" s="343"/>
      <c r="AM504" s="343"/>
    </row>
    <row r="505" spans="1:39" ht="12.75" customHeight="1" x14ac:dyDescent="0.25">
      <c r="A505" s="729" t="str">
        <f t="shared" si="597"/>
        <v/>
      </c>
      <c r="B505" s="698"/>
      <c r="C505" s="773"/>
      <c r="D505" s="990">
        <f t="shared" si="598"/>
        <v>9</v>
      </c>
      <c r="E505" s="2406"/>
      <c r="F505" s="2405"/>
      <c r="G505" s="2938"/>
      <c r="H505" s="2939"/>
      <c r="I505" s="2409"/>
      <c r="J505" s="2940"/>
      <c r="K505" s="2940"/>
      <c r="L505" s="2941"/>
      <c r="M505" s="222"/>
      <c r="N505" s="222"/>
      <c r="O505" s="336"/>
      <c r="P505" s="158"/>
      <c r="Q505" s="694"/>
      <c r="R505" s="694"/>
      <c r="S505" s="982" t="b">
        <f>TRUE</f>
        <v>1</v>
      </c>
      <c r="T505" s="694"/>
      <c r="U505" s="694"/>
      <c r="V505" s="694"/>
      <c r="W505" s="694"/>
      <c r="X505" s="694"/>
      <c r="Y505" s="694"/>
      <c r="Z505" s="694"/>
      <c r="AA505" s="694"/>
      <c r="AB505" s="729"/>
      <c r="AC505" s="694"/>
      <c r="AD505" s="694"/>
      <c r="AE505" s="343"/>
      <c r="AF505" s="343"/>
      <c r="AG505" s="343"/>
      <c r="AH505" s="343"/>
      <c r="AI505" s="343"/>
      <c r="AJ505" s="343"/>
      <c r="AK505" s="343"/>
      <c r="AL505" s="343"/>
      <c r="AM505" s="343"/>
    </row>
    <row r="506" spans="1:39" ht="12.75" customHeight="1" x14ac:dyDescent="0.25">
      <c r="A506" s="729" t="str">
        <f t="shared" si="597"/>
        <v/>
      </c>
      <c r="B506" s="698"/>
      <c r="C506" s="773"/>
      <c r="D506" s="994">
        <f t="shared" si="598"/>
        <v>10</v>
      </c>
      <c r="E506" s="2417"/>
      <c r="F506" s="2403"/>
      <c r="G506" s="2934"/>
      <c r="H506" s="2935"/>
      <c r="I506" s="2581"/>
      <c r="J506" s="2936"/>
      <c r="K506" s="2936"/>
      <c r="L506" s="2937"/>
      <c r="M506" s="223"/>
      <c r="N506" s="223"/>
      <c r="O506" s="336"/>
      <c r="P506" s="158"/>
      <c r="Q506" s="694"/>
      <c r="R506" s="694"/>
      <c r="S506" s="982" t="b">
        <f>TRUE</f>
        <v>1</v>
      </c>
      <c r="T506" s="694"/>
      <c r="U506" s="694"/>
      <c r="V506" s="694"/>
      <c r="W506" s="694"/>
      <c r="X506" s="694"/>
      <c r="Y506" s="694"/>
      <c r="Z506" s="770"/>
      <c r="AA506" s="770"/>
      <c r="AB506" s="729"/>
      <c r="AC506" s="694"/>
      <c r="AD506" s="694"/>
      <c r="AE506" s="343"/>
      <c r="AF506" s="343"/>
      <c r="AG506" s="343"/>
      <c r="AH506" s="343"/>
      <c r="AI506" s="343"/>
      <c r="AJ506" s="343"/>
      <c r="AK506" s="343"/>
      <c r="AL506" s="343"/>
      <c r="AM506" s="343"/>
    </row>
    <row r="507" spans="1:39" ht="5.15" customHeight="1" x14ac:dyDescent="0.25">
      <c r="A507" s="729" t="str">
        <f t="shared" si="597"/>
        <v/>
      </c>
      <c r="B507" s="284"/>
      <c r="C507" s="284"/>
      <c r="D507" s="284"/>
      <c r="E507" s="284"/>
      <c r="F507" s="284"/>
      <c r="G507" s="284"/>
      <c r="H507" s="284"/>
      <c r="I507" s="284"/>
      <c r="J507" s="284"/>
      <c r="K507" s="284"/>
      <c r="L507" s="284"/>
      <c r="M507" s="284"/>
      <c r="N507" s="284"/>
      <c r="O507" s="336"/>
      <c r="P507" s="336"/>
      <c r="Q507" s="770"/>
      <c r="R507" s="770"/>
      <c r="S507" s="694"/>
      <c r="T507" s="694"/>
      <c r="U507" s="694"/>
      <c r="V507" s="694"/>
      <c r="W507" s="694"/>
      <c r="X507" s="694"/>
      <c r="Y507" s="694"/>
      <c r="Z507" s="694"/>
      <c r="AA507" s="694"/>
      <c r="AB507" s="729"/>
      <c r="AC507" s="694"/>
      <c r="AD507" s="694"/>
      <c r="AE507" s="343"/>
      <c r="AF507" s="343"/>
      <c r="AG507" s="343"/>
      <c r="AH507" s="343"/>
      <c r="AI507" s="343"/>
      <c r="AJ507" s="343"/>
      <c r="AK507" s="343"/>
      <c r="AL507" s="343"/>
      <c r="AM507" s="343"/>
    </row>
    <row r="508" spans="1:39" ht="12.75" customHeight="1" x14ac:dyDescent="0.25">
      <c r="A508" s="729" t="str">
        <f t="shared" si="597"/>
        <v/>
      </c>
      <c r="B508" s="284"/>
      <c r="C508" s="300"/>
      <c r="D508" s="300"/>
      <c r="E508" s="2226" t="str">
        <f>Translations!$B$625</f>
        <v>Равнища на производство:</v>
      </c>
      <c r="F508" s="2249"/>
      <c r="G508" s="2249"/>
      <c r="H508" s="2249"/>
      <c r="I508" s="2249"/>
      <c r="J508" s="2249"/>
      <c r="K508" s="2249"/>
      <c r="L508" s="2249"/>
      <c r="M508" s="2249"/>
      <c r="N508" s="2249"/>
      <c r="O508" s="336"/>
      <c r="P508" s="336"/>
      <c r="Q508" s="770"/>
      <c r="R508" s="694"/>
      <c r="S508" s="694"/>
      <c r="T508" s="694"/>
      <c r="U508" s="694"/>
      <c r="V508" s="694"/>
      <c r="W508" s="694"/>
      <c r="X508" s="694"/>
      <c r="Y508" s="694"/>
      <c r="Z508" s="694"/>
      <c r="AA508" s="694"/>
      <c r="AB508" s="729"/>
      <c r="AC508" s="694"/>
      <c r="AD508" s="694"/>
      <c r="AE508" s="343"/>
      <c r="AF508" s="343"/>
      <c r="AG508" s="343"/>
      <c r="AH508" s="343"/>
      <c r="AI508" s="343"/>
      <c r="AJ508" s="343"/>
      <c r="AK508" s="343"/>
      <c r="AL508" s="343"/>
      <c r="AM508" s="343"/>
    </row>
    <row r="509" spans="1:39" ht="25.5" customHeight="1" x14ac:dyDescent="0.25">
      <c r="A509" s="729" t="str">
        <f t="shared" si="597"/>
        <v/>
      </c>
      <c r="B509" s="284"/>
      <c r="C509" s="300"/>
      <c r="D509" s="300"/>
      <c r="E509" s="2358" t="str">
        <f>Translations!$B$1533</f>
        <v>Следва да се отбележи, че правилото за енергийната ефективност може да се приложи само в случай на производството на конкретен продукт. Следователно, ако за даден продукт не може да бъде определен код по ПРОДКОМ, това правило не може да се прилага и очакваните равнища на дейност ще бъдат равни на действителните равнища на дейност (т.е. ще се отчитат спрямо оставащото AL), без никаква корекция.</v>
      </c>
      <c r="F509" s="2249"/>
      <c r="G509" s="2249"/>
      <c r="H509" s="2249"/>
      <c r="I509" s="2249"/>
      <c r="J509" s="2249"/>
      <c r="K509" s="2249"/>
      <c r="L509" s="2249"/>
      <c r="M509" s="2249"/>
      <c r="N509" s="2249"/>
      <c r="O509" s="336"/>
      <c r="P509" s="336"/>
      <c r="Q509" s="770"/>
      <c r="R509" s="694"/>
      <c r="S509" s="694"/>
      <c r="T509" s="694"/>
      <c r="U509" s="694"/>
      <c r="V509" s="694"/>
      <c r="W509" s="694"/>
      <c r="X509" s="694"/>
      <c r="Y509" s="694"/>
      <c r="Z509" s="694"/>
      <c r="AA509" s="694"/>
      <c r="AB509" s="729"/>
      <c r="AC509" s="694"/>
      <c r="AD509" s="694"/>
      <c r="AE509" s="343"/>
      <c r="AF509" s="343"/>
      <c r="AG509" s="343"/>
      <c r="AH509" s="343"/>
      <c r="AI509" s="343"/>
      <c r="AJ509" s="343"/>
      <c r="AK509" s="343"/>
      <c r="AL509" s="343"/>
      <c r="AM509" s="343"/>
    </row>
    <row r="510" spans="1:39" ht="12.75" customHeight="1" x14ac:dyDescent="0.25">
      <c r="A510" s="729" t="str">
        <f t="shared" si="597"/>
        <v/>
      </c>
      <c r="B510" s="284"/>
      <c r="C510" s="300"/>
      <c r="D510" s="300"/>
      <c r="E510" s="2358" t="str">
        <f>Translations!$B$1534</f>
        <v>Стойността в НМИ се отнася до средното производство през историческия базов период, както е обяснено в раздели 2.3 и 3 от Ръководство № 7.</v>
      </c>
      <c r="F510" s="2249"/>
      <c r="G510" s="2249"/>
      <c r="H510" s="2249"/>
      <c r="I510" s="2249"/>
      <c r="J510" s="2249"/>
      <c r="K510" s="2249"/>
      <c r="L510" s="2249"/>
      <c r="M510" s="2249"/>
      <c r="N510" s="2249"/>
      <c r="O510" s="336"/>
      <c r="P510" s="336"/>
      <c r="Q510" s="770"/>
      <c r="R510" s="694"/>
      <c r="S510" s="694"/>
      <c r="T510" s="694"/>
      <c r="U510" s="694"/>
      <c r="V510" s="694"/>
      <c r="W510" s="694"/>
      <c r="X510" s="694"/>
      <c r="Y510" s="694"/>
      <c r="Z510" s="694"/>
      <c r="AA510" s="694"/>
      <c r="AB510" s="729"/>
      <c r="AC510" s="694"/>
      <c r="AD510" s="694"/>
      <c r="AE510" s="343"/>
      <c r="AF510" s="343"/>
      <c r="AG510" s="343"/>
      <c r="AH510" s="343"/>
      <c r="AI510" s="343"/>
      <c r="AJ510" s="343"/>
      <c r="AK510" s="343"/>
      <c r="AL510" s="343"/>
      <c r="AM510" s="343"/>
    </row>
    <row r="511" spans="1:39" ht="5.15" customHeight="1" x14ac:dyDescent="0.25">
      <c r="A511" s="729" t="str">
        <f t="shared" si="597"/>
        <v/>
      </c>
      <c r="B511" s="284"/>
      <c r="C511" s="302"/>
      <c r="D511" s="302"/>
      <c r="E511" s="460"/>
      <c r="F511" s="460"/>
      <c r="G511" s="460"/>
      <c r="H511" s="460"/>
      <c r="I511" s="460"/>
      <c r="J511" s="329"/>
      <c r="K511" s="329"/>
      <c r="L511" s="329"/>
      <c r="M511" s="336"/>
      <c r="N511" s="336"/>
      <c r="O511" s="336"/>
      <c r="P511" s="336"/>
      <c r="Q511" s="770"/>
      <c r="R511" s="694"/>
      <c r="S511" s="694"/>
      <c r="T511" s="694"/>
      <c r="U511" s="694"/>
      <c r="V511" s="694"/>
      <c r="W511" s="694"/>
      <c r="X511" s="694"/>
      <c r="Y511" s="694"/>
      <c r="Z511" s="694"/>
      <c r="AA511" s="694"/>
      <c r="AB511" s="729"/>
      <c r="AC511" s="694"/>
      <c r="AD511" s="694"/>
      <c r="AE511" s="343"/>
      <c r="AF511" s="343"/>
      <c r="AG511" s="343"/>
      <c r="AH511" s="343"/>
      <c r="AI511" s="343"/>
      <c r="AJ511" s="343"/>
      <c r="AK511" s="343"/>
      <c r="AL511" s="343"/>
      <c r="AM511" s="343"/>
    </row>
    <row r="512" spans="1:39" s="1423" customFormat="1" ht="25.5" customHeight="1" thickBot="1" x14ac:dyDescent="0.35">
      <c r="A512" s="729" t="str">
        <f t="shared" si="597"/>
        <v/>
      </c>
      <c r="B512" s="1412"/>
      <c r="C512" s="1413"/>
      <c r="D512" s="1414"/>
      <c r="E512" s="1415" t="str">
        <f>I496</f>
        <v>Име на продукта или „топлофикационна мрежа“</v>
      </c>
      <c r="F512" s="1416" t="str">
        <f>EUconst_Unit</f>
        <v>Единица мярка</v>
      </c>
      <c r="G512" s="1419" t="str">
        <f>Translations!$B$1336</f>
        <v>Стойност в НМИ</v>
      </c>
      <c r="H512" s="1418">
        <f t="shared" ref="H512:N512" si="599">H$1840</f>
        <v>2024</v>
      </c>
      <c r="I512" s="1419">
        <f t="shared" si="599"/>
        <v>2025</v>
      </c>
      <c r="J512" s="1418">
        <f t="shared" si="599"/>
        <v>2026</v>
      </c>
      <c r="K512" s="1420">
        <f t="shared" si="599"/>
        <v>2027</v>
      </c>
      <c r="L512" s="1420">
        <f t="shared" si="599"/>
        <v>2028</v>
      </c>
      <c r="M512" s="1420">
        <f t="shared" si="599"/>
        <v>2029</v>
      </c>
      <c r="N512" s="1420">
        <f t="shared" si="599"/>
        <v>2030</v>
      </c>
      <c r="O512" s="336"/>
      <c r="P512" s="336"/>
      <c r="Q512" s="1421"/>
      <c r="R512" s="1421"/>
      <c r="S512" s="1421"/>
      <c r="T512" s="1421"/>
      <c r="U512" s="1421"/>
      <c r="V512" s="1421"/>
      <c r="W512" s="1421"/>
      <c r="X512" s="1421"/>
      <c r="Y512" s="1421"/>
      <c r="Z512" s="1421"/>
      <c r="AA512" s="1421"/>
      <c r="AB512" s="770" t="str">
        <f>Translations!$B$1284</f>
        <v>HAL</v>
      </c>
      <c r="AC512" s="1421">
        <f t="shared" ref="AC512" si="600">H512</f>
        <v>2024</v>
      </c>
      <c r="AD512" s="1421">
        <f t="shared" ref="AD512" si="601">I512</f>
        <v>2025</v>
      </c>
      <c r="AE512" s="1421">
        <f t="shared" ref="AE512" si="602">J512</f>
        <v>2026</v>
      </c>
      <c r="AF512" s="1421">
        <f t="shared" ref="AF512" si="603">K512</f>
        <v>2027</v>
      </c>
      <c r="AG512" s="1421">
        <f t="shared" ref="AG512" si="604">L512</f>
        <v>2028</v>
      </c>
      <c r="AH512" s="1422">
        <f t="shared" ref="AH512" si="605">M512</f>
        <v>2029</v>
      </c>
      <c r="AI512" s="1422">
        <f t="shared" ref="AI512" si="606">N512</f>
        <v>2030</v>
      </c>
      <c r="AJ512" s="1422"/>
      <c r="AK512" s="1422"/>
      <c r="AL512" s="1422"/>
      <c r="AM512" s="1422"/>
    </row>
    <row r="513" spans="1:39" ht="12.75" customHeight="1" x14ac:dyDescent="0.25">
      <c r="A513" s="729" t="str">
        <f t="shared" si="597"/>
        <v/>
      </c>
      <c r="B513" s="698"/>
      <c r="C513" s="2906" t="str">
        <f>Translations!$B$625</f>
        <v>Равнища на производство:</v>
      </c>
      <c r="D513" s="981">
        <v>1</v>
      </c>
      <c r="E513" s="1424" t="str">
        <f t="shared" ref="E513:E522" si="607">IF(ISBLANK(I497),"",I497)</f>
        <v/>
      </c>
      <c r="F513" s="177"/>
      <c r="G513" s="46"/>
      <c r="H513" s="116"/>
      <c r="I513" s="46"/>
      <c r="J513" s="116"/>
      <c r="K513" s="40"/>
      <c r="L513" s="40"/>
      <c r="M513" s="40"/>
      <c r="N513" s="40"/>
      <c r="O513" s="336"/>
      <c r="P513" s="158"/>
      <c r="Q513" s="694"/>
      <c r="R513" s="694"/>
      <c r="S513" s="694"/>
      <c r="T513" s="694"/>
      <c r="U513" s="694"/>
      <c r="V513" s="694"/>
      <c r="W513" s="694"/>
      <c r="X513" s="694"/>
      <c r="Y513" s="694"/>
      <c r="Z513" s="1182" t="s">
        <v>1757</v>
      </c>
      <c r="AA513" s="1425">
        <f>MAX(AC513:AI513)</f>
        <v>2</v>
      </c>
      <c r="AB513" s="1426">
        <f>IF(CNTR_ExistSubInstEntries,IF(OR($M459&lt;&gt;EUconst_Relevant,$V459&gt;($H$1840-1),$E513=""),0,2),2)</f>
        <v>2</v>
      </c>
      <c r="AC513" s="1426">
        <f t="shared" ref="AC513:AI513" si="608">IF(CNTR_ExistSubInstEntries,IF(OR($M459&lt;&gt;EUconst_Relevant,AC512&gt;=CNTR_ReportingYear,AC512&lt;$V459-1,$E513=""),0,2),2)</f>
        <v>2</v>
      </c>
      <c r="AD513" s="1427">
        <f t="shared" si="608"/>
        <v>2</v>
      </c>
      <c r="AE513" s="1427">
        <f t="shared" si="608"/>
        <v>2</v>
      </c>
      <c r="AF513" s="1427">
        <f t="shared" si="608"/>
        <v>2</v>
      </c>
      <c r="AG513" s="1427">
        <f t="shared" si="608"/>
        <v>2</v>
      </c>
      <c r="AH513" s="1428">
        <f t="shared" si="608"/>
        <v>2</v>
      </c>
      <c r="AI513" s="1429">
        <f t="shared" si="608"/>
        <v>2</v>
      </c>
      <c r="AJ513" s="343"/>
      <c r="AK513" s="1174" t="s">
        <v>2039</v>
      </c>
      <c r="AL513" s="1176" t="str">
        <f>IF(AND(CNTR_ExistSubInstEntries,COUNTIFS(AB513:AI513,2,G513:N513,"")&gt;0),EUconst_Error&amp;"FB"&amp;Q459,"")</f>
        <v/>
      </c>
      <c r="AM513" s="343"/>
    </row>
    <row r="514" spans="1:39" ht="12.75" customHeight="1" x14ac:dyDescent="0.25">
      <c r="A514" s="729" t="str">
        <f t="shared" si="597"/>
        <v/>
      </c>
      <c r="B514" s="698"/>
      <c r="C514" s="2906"/>
      <c r="D514" s="990">
        <f>D513+1</f>
        <v>2</v>
      </c>
      <c r="E514" s="1430" t="str">
        <f t="shared" si="607"/>
        <v/>
      </c>
      <c r="F514" s="273"/>
      <c r="G514" s="47"/>
      <c r="H514" s="119"/>
      <c r="I514" s="47"/>
      <c r="J514" s="119"/>
      <c r="K514" s="43"/>
      <c r="L514" s="43"/>
      <c r="M514" s="43"/>
      <c r="N514" s="43"/>
      <c r="O514" s="336"/>
      <c r="P514" s="158"/>
      <c r="Q514" s="694"/>
      <c r="R514" s="694"/>
      <c r="S514" s="694"/>
      <c r="T514" s="694"/>
      <c r="U514" s="694"/>
      <c r="V514" s="694"/>
      <c r="W514" s="694"/>
      <c r="X514" s="694"/>
      <c r="Y514" s="694"/>
      <c r="Z514" s="694"/>
      <c r="AA514" s="1431">
        <f t="shared" ref="AA514:AA522" si="609">MAX(AC514:AI514)</f>
        <v>2</v>
      </c>
      <c r="AB514" s="1432">
        <f>IF(CNTR_ExistSubInstEntries,IF(OR($M459&lt;&gt;EUconst_Relevant,$V459&gt;($H$1840-1),$E514=""),0,2),2)</f>
        <v>2</v>
      </c>
      <c r="AC514" s="1432">
        <f t="shared" ref="AC514:AI514" si="610">IF(CNTR_ExistSubInstEntries,IF(OR($M459&lt;&gt;EUconst_Relevant,AC512&gt;=CNTR_ReportingYear,AC512&lt;$V459-1,$E514=""),0,2),2)</f>
        <v>2</v>
      </c>
      <c r="AD514" s="1432">
        <f t="shared" si="610"/>
        <v>2</v>
      </c>
      <c r="AE514" s="1432">
        <f t="shared" si="610"/>
        <v>2</v>
      </c>
      <c r="AF514" s="1432">
        <f t="shared" si="610"/>
        <v>2</v>
      </c>
      <c r="AG514" s="1432">
        <f t="shared" si="610"/>
        <v>2</v>
      </c>
      <c r="AH514" s="1433">
        <f t="shared" si="610"/>
        <v>2</v>
      </c>
      <c r="AI514" s="1434">
        <f t="shared" si="610"/>
        <v>2</v>
      </c>
      <c r="AJ514" s="343"/>
      <c r="AK514" s="1174" t="s">
        <v>2039</v>
      </c>
      <c r="AL514" s="1176" t="str">
        <f>IF(AND(CNTR_ExistSubInstEntries,COUNTIFS(AB514:AI514,2,G514:N514,"")&gt;0),EUconst_Error&amp;"FB"&amp;Q459,"")</f>
        <v/>
      </c>
      <c r="AM514" s="343"/>
    </row>
    <row r="515" spans="1:39" ht="12.75" customHeight="1" x14ac:dyDescent="0.25">
      <c r="A515" s="729" t="str">
        <f t="shared" si="597"/>
        <v/>
      </c>
      <c r="B515" s="698"/>
      <c r="C515" s="2906"/>
      <c r="D515" s="990">
        <f t="shared" ref="D515:D522" si="611">D514+1</f>
        <v>3</v>
      </c>
      <c r="E515" s="1430" t="str">
        <f t="shared" si="607"/>
        <v/>
      </c>
      <c r="F515" s="273"/>
      <c r="G515" s="268"/>
      <c r="H515" s="119"/>
      <c r="I515" s="47"/>
      <c r="J515" s="119"/>
      <c r="K515" s="43"/>
      <c r="L515" s="43"/>
      <c r="M515" s="43"/>
      <c r="N515" s="43"/>
      <c r="O515" s="336"/>
      <c r="P515" s="158"/>
      <c r="Q515" s="694"/>
      <c r="R515" s="694"/>
      <c r="S515" s="694"/>
      <c r="T515" s="694"/>
      <c r="U515" s="694"/>
      <c r="V515" s="694"/>
      <c r="W515" s="694"/>
      <c r="X515" s="694"/>
      <c r="Y515" s="694"/>
      <c r="Z515" s="694"/>
      <c r="AA515" s="1431">
        <f t="shared" si="609"/>
        <v>2</v>
      </c>
      <c r="AB515" s="1432">
        <f>IF(CNTR_ExistSubInstEntries,IF(OR($M459&lt;&gt;EUconst_Relevant,$V459&gt;($H$1840-1),$E515=""),0,2),2)</f>
        <v>2</v>
      </c>
      <c r="AC515" s="1432">
        <f t="shared" ref="AC515:AI515" si="612">IF(CNTR_ExistSubInstEntries,IF(OR($M459&lt;&gt;EUconst_Relevant,AC512&gt;=CNTR_ReportingYear,AC512&lt;$V459-1,$E515=""),0,2),2)</f>
        <v>2</v>
      </c>
      <c r="AD515" s="1432">
        <f t="shared" si="612"/>
        <v>2</v>
      </c>
      <c r="AE515" s="1432">
        <f t="shared" si="612"/>
        <v>2</v>
      </c>
      <c r="AF515" s="1432">
        <f t="shared" si="612"/>
        <v>2</v>
      </c>
      <c r="AG515" s="1432">
        <f t="shared" si="612"/>
        <v>2</v>
      </c>
      <c r="AH515" s="1433">
        <f t="shared" si="612"/>
        <v>2</v>
      </c>
      <c r="AI515" s="1434">
        <f t="shared" si="612"/>
        <v>2</v>
      </c>
      <c r="AJ515" s="343"/>
      <c r="AK515" s="1174" t="s">
        <v>2039</v>
      </c>
      <c r="AL515" s="1176" t="str">
        <f>IF(AND(CNTR_ExistSubInstEntries,COUNTIFS(AB515:AI515,2,G515:N515,"")&gt;0),EUconst_Error&amp;"FB"&amp;Q459,"")</f>
        <v/>
      </c>
      <c r="AM515" s="343"/>
    </row>
    <row r="516" spans="1:39" ht="12.75" customHeight="1" x14ac:dyDescent="0.25">
      <c r="A516" s="729" t="str">
        <f t="shared" si="597"/>
        <v/>
      </c>
      <c r="B516" s="698"/>
      <c r="C516" s="2906"/>
      <c r="D516" s="990">
        <f t="shared" si="611"/>
        <v>4</v>
      </c>
      <c r="E516" s="1430" t="str">
        <f t="shared" si="607"/>
        <v/>
      </c>
      <c r="F516" s="271"/>
      <c r="G516" s="47"/>
      <c r="H516" s="119"/>
      <c r="I516" s="124"/>
      <c r="J516" s="119"/>
      <c r="K516" s="43"/>
      <c r="L516" s="43"/>
      <c r="M516" s="43"/>
      <c r="N516" s="43"/>
      <c r="O516" s="336"/>
      <c r="P516" s="158"/>
      <c r="Q516" s="694"/>
      <c r="R516" s="694"/>
      <c r="S516" s="694"/>
      <c r="T516" s="694"/>
      <c r="U516" s="729"/>
      <c r="V516" s="729"/>
      <c r="W516" s="694"/>
      <c r="X516" s="694"/>
      <c r="Y516" s="694"/>
      <c r="Z516" s="694"/>
      <c r="AA516" s="1431">
        <f t="shared" si="609"/>
        <v>2</v>
      </c>
      <c r="AB516" s="1432">
        <f>IF(CNTR_ExistSubInstEntries,IF(OR($M459&lt;&gt;EUconst_Relevant,$V459&gt;($H$1840-1),$E516=""),0,2),2)</f>
        <v>2</v>
      </c>
      <c r="AC516" s="1432">
        <f t="shared" ref="AC516:AI516" si="613">IF(CNTR_ExistSubInstEntries,IF(OR($M459&lt;&gt;EUconst_Relevant,AC512&gt;=CNTR_ReportingYear,AC512&lt;$V459-1,$E516=""),0,2),2)</f>
        <v>2</v>
      </c>
      <c r="AD516" s="1432">
        <f t="shared" si="613"/>
        <v>2</v>
      </c>
      <c r="AE516" s="1432">
        <f t="shared" si="613"/>
        <v>2</v>
      </c>
      <c r="AF516" s="1432">
        <f t="shared" si="613"/>
        <v>2</v>
      </c>
      <c r="AG516" s="1432">
        <f t="shared" si="613"/>
        <v>2</v>
      </c>
      <c r="AH516" s="1433">
        <f t="shared" si="613"/>
        <v>2</v>
      </c>
      <c r="AI516" s="1434">
        <f t="shared" si="613"/>
        <v>2</v>
      </c>
      <c r="AJ516" s="343"/>
      <c r="AK516" s="1174" t="s">
        <v>2039</v>
      </c>
      <c r="AL516" s="1176" t="str">
        <f>IF(AND(CNTR_ExistSubInstEntries,COUNTIFS(AB516:AI516,2,G516:N516,"")&gt;0),EUconst_Error&amp;"FB"&amp;Q459,"")</f>
        <v/>
      </c>
      <c r="AM516" s="343"/>
    </row>
    <row r="517" spans="1:39" ht="12.75" customHeight="1" x14ac:dyDescent="0.25">
      <c r="A517" s="729" t="str">
        <f t="shared" si="597"/>
        <v/>
      </c>
      <c r="B517" s="698"/>
      <c r="C517" s="2906"/>
      <c r="D517" s="990">
        <f t="shared" si="611"/>
        <v>5</v>
      </c>
      <c r="E517" s="1430" t="str">
        <f t="shared" si="607"/>
        <v/>
      </c>
      <c r="F517" s="271"/>
      <c r="G517" s="47"/>
      <c r="H517" s="119"/>
      <c r="I517" s="47"/>
      <c r="J517" s="119"/>
      <c r="K517" s="43"/>
      <c r="L517" s="43"/>
      <c r="M517" s="43"/>
      <c r="N517" s="43"/>
      <c r="O517" s="336"/>
      <c r="P517" s="158"/>
      <c r="Q517" s="694"/>
      <c r="R517" s="694"/>
      <c r="S517" s="694"/>
      <c r="T517" s="694"/>
      <c r="U517" s="729"/>
      <c r="V517" s="694"/>
      <c r="W517" s="694"/>
      <c r="X517" s="694"/>
      <c r="Y517" s="694"/>
      <c r="Z517" s="694"/>
      <c r="AA517" s="1431">
        <f t="shared" si="609"/>
        <v>2</v>
      </c>
      <c r="AB517" s="1432">
        <f>IF(CNTR_ExistSubInstEntries,IF(OR($M459&lt;&gt;EUconst_Relevant,$V459&gt;($H$1840-1),$E517=""),0,2),2)</f>
        <v>2</v>
      </c>
      <c r="AC517" s="1432">
        <f t="shared" ref="AC517:AI517" si="614">IF(CNTR_ExistSubInstEntries,IF(OR($M459&lt;&gt;EUconst_Relevant,AC512&gt;=CNTR_ReportingYear,AC512&lt;$V459-1,$E517=""),0,2),2)</f>
        <v>2</v>
      </c>
      <c r="AD517" s="1432">
        <f t="shared" si="614"/>
        <v>2</v>
      </c>
      <c r="AE517" s="1432">
        <f t="shared" si="614"/>
        <v>2</v>
      </c>
      <c r="AF517" s="1432">
        <f t="shared" si="614"/>
        <v>2</v>
      </c>
      <c r="AG517" s="1432">
        <f t="shared" si="614"/>
        <v>2</v>
      </c>
      <c r="AH517" s="1433">
        <f t="shared" si="614"/>
        <v>2</v>
      </c>
      <c r="AI517" s="1434">
        <f t="shared" si="614"/>
        <v>2</v>
      </c>
      <c r="AJ517" s="343"/>
      <c r="AK517" s="1174" t="s">
        <v>2039</v>
      </c>
      <c r="AL517" s="1176" t="str">
        <f>IF(AND(CNTR_ExistSubInstEntries,COUNTIFS(AB517:AI517,2,G517:N517,"")&gt;0),EUconst_Error&amp;"FB"&amp;Q459,"")</f>
        <v/>
      </c>
      <c r="AM517" s="343"/>
    </row>
    <row r="518" spans="1:39" ht="12.75" customHeight="1" x14ac:dyDescent="0.25">
      <c r="A518" s="729" t="str">
        <f t="shared" si="597"/>
        <v/>
      </c>
      <c r="B518" s="698"/>
      <c r="C518" s="2906"/>
      <c r="D518" s="990">
        <f t="shared" si="611"/>
        <v>6</v>
      </c>
      <c r="E518" s="1430" t="str">
        <f t="shared" si="607"/>
        <v/>
      </c>
      <c r="F518" s="271"/>
      <c r="G518" s="47"/>
      <c r="H518" s="119"/>
      <c r="I518" s="47"/>
      <c r="J518" s="119"/>
      <c r="K518" s="43"/>
      <c r="L518" s="43"/>
      <c r="M518" s="43"/>
      <c r="N518" s="43"/>
      <c r="O518" s="336"/>
      <c r="P518" s="158"/>
      <c r="Q518" s="694"/>
      <c r="R518" s="694"/>
      <c r="S518" s="694"/>
      <c r="T518" s="694"/>
      <c r="U518" s="694"/>
      <c r="V518" s="694"/>
      <c r="W518" s="694"/>
      <c r="X518" s="694"/>
      <c r="Y518" s="694"/>
      <c r="Z518" s="694"/>
      <c r="AA518" s="1431">
        <f t="shared" si="609"/>
        <v>2</v>
      </c>
      <c r="AB518" s="1432">
        <f>IF(CNTR_ExistSubInstEntries,IF(OR($M459&lt;&gt;EUconst_Relevant,$V459&gt;($H$1840-1),$E518=""),0,2),2)</f>
        <v>2</v>
      </c>
      <c r="AC518" s="1432">
        <f t="shared" ref="AC518:AI518" si="615">IF(CNTR_ExistSubInstEntries,IF(OR($M459&lt;&gt;EUconst_Relevant,AC512&gt;=CNTR_ReportingYear,AC512&lt;$V459-1,$E518=""),0,2),2)</f>
        <v>2</v>
      </c>
      <c r="AD518" s="1432">
        <f t="shared" si="615"/>
        <v>2</v>
      </c>
      <c r="AE518" s="1432">
        <f t="shared" si="615"/>
        <v>2</v>
      </c>
      <c r="AF518" s="1432">
        <f t="shared" si="615"/>
        <v>2</v>
      </c>
      <c r="AG518" s="1432">
        <f t="shared" si="615"/>
        <v>2</v>
      </c>
      <c r="AH518" s="1433">
        <f t="shared" si="615"/>
        <v>2</v>
      </c>
      <c r="AI518" s="1434">
        <f t="shared" si="615"/>
        <v>2</v>
      </c>
      <c r="AJ518" s="343"/>
      <c r="AK518" s="1174" t="s">
        <v>2039</v>
      </c>
      <c r="AL518" s="1176" t="str">
        <f>IF(AND(CNTR_ExistSubInstEntries,COUNTIFS(AB518:AI518,2,G518:N518,"")&gt;0),EUconst_Error&amp;"FB"&amp;Q459,"")</f>
        <v/>
      </c>
      <c r="AM518" s="343"/>
    </row>
    <row r="519" spans="1:39" ht="12.75" customHeight="1" x14ac:dyDescent="0.25">
      <c r="A519" s="729" t="str">
        <f t="shared" si="597"/>
        <v/>
      </c>
      <c r="B519" s="698"/>
      <c r="C519" s="2906"/>
      <c r="D519" s="990">
        <f t="shared" si="611"/>
        <v>7</v>
      </c>
      <c r="E519" s="1430" t="str">
        <f t="shared" si="607"/>
        <v/>
      </c>
      <c r="F519" s="271"/>
      <c r="G519" s="47"/>
      <c r="H519" s="119"/>
      <c r="I519" s="47"/>
      <c r="J519" s="119"/>
      <c r="K519" s="43"/>
      <c r="L519" s="43"/>
      <c r="M519" s="43"/>
      <c r="N519" s="43"/>
      <c r="O519" s="336"/>
      <c r="P519" s="158"/>
      <c r="Q519" s="694"/>
      <c r="R519" s="694"/>
      <c r="S519" s="694"/>
      <c r="T519" s="694"/>
      <c r="U519" s="694"/>
      <c r="V519" s="694"/>
      <c r="W519" s="694"/>
      <c r="X519" s="694"/>
      <c r="Y519" s="694"/>
      <c r="Z519" s="694"/>
      <c r="AA519" s="1431">
        <f t="shared" si="609"/>
        <v>2</v>
      </c>
      <c r="AB519" s="1432">
        <f>IF(CNTR_ExistSubInstEntries,IF(OR($M459&lt;&gt;EUconst_Relevant,$V459&gt;($H$1840-1),$E519=""),0,2),2)</f>
        <v>2</v>
      </c>
      <c r="AC519" s="1432">
        <f t="shared" ref="AC519:AI519" si="616">IF(CNTR_ExistSubInstEntries,IF(OR($M459&lt;&gt;EUconst_Relevant,AC512&gt;=CNTR_ReportingYear,AC512&lt;$V459-1,$E519=""),0,2),2)</f>
        <v>2</v>
      </c>
      <c r="AD519" s="1432">
        <f t="shared" si="616"/>
        <v>2</v>
      </c>
      <c r="AE519" s="1432">
        <f t="shared" si="616"/>
        <v>2</v>
      </c>
      <c r="AF519" s="1432">
        <f t="shared" si="616"/>
        <v>2</v>
      </c>
      <c r="AG519" s="1432">
        <f t="shared" si="616"/>
        <v>2</v>
      </c>
      <c r="AH519" s="1433">
        <f t="shared" si="616"/>
        <v>2</v>
      </c>
      <c r="AI519" s="1434">
        <f t="shared" si="616"/>
        <v>2</v>
      </c>
      <c r="AJ519" s="343"/>
      <c r="AK519" s="1174" t="s">
        <v>2039</v>
      </c>
      <c r="AL519" s="1176" t="str">
        <f>IF(AND(CNTR_ExistSubInstEntries,COUNTIFS(AB519:AI519,2,G519:N519,"")&gt;0),EUconst_Error&amp;"FB"&amp;Q459,"")</f>
        <v/>
      </c>
      <c r="AM519" s="343"/>
    </row>
    <row r="520" spans="1:39" ht="12.75" customHeight="1" x14ac:dyDescent="0.25">
      <c r="A520" s="729" t="str">
        <f t="shared" si="597"/>
        <v/>
      </c>
      <c r="B520" s="698"/>
      <c r="C520" s="2906"/>
      <c r="D520" s="990">
        <f t="shared" si="611"/>
        <v>8</v>
      </c>
      <c r="E520" s="1430" t="str">
        <f t="shared" si="607"/>
        <v/>
      </c>
      <c r="F520" s="271"/>
      <c r="G520" s="47"/>
      <c r="H520" s="119"/>
      <c r="I520" s="47"/>
      <c r="J520" s="119"/>
      <c r="K520" s="43"/>
      <c r="L520" s="43"/>
      <c r="M520" s="43"/>
      <c r="N520" s="43"/>
      <c r="O520" s="336"/>
      <c r="P520" s="158"/>
      <c r="Q520" s="694"/>
      <c r="R520" s="694"/>
      <c r="S520" s="694"/>
      <c r="T520" s="694"/>
      <c r="U520" s="694"/>
      <c r="V520" s="694"/>
      <c r="W520" s="694"/>
      <c r="X520" s="694"/>
      <c r="Y520" s="694"/>
      <c r="Z520" s="694"/>
      <c r="AA520" s="1431">
        <f t="shared" si="609"/>
        <v>2</v>
      </c>
      <c r="AB520" s="1432">
        <f>IF(CNTR_ExistSubInstEntries,IF(OR($M459&lt;&gt;EUconst_Relevant,$V459&gt;($H$1840-1),$E520=""),0,2),2)</f>
        <v>2</v>
      </c>
      <c r="AC520" s="1432">
        <f t="shared" ref="AC520:AI520" si="617">IF(CNTR_ExistSubInstEntries,IF(OR($M459&lt;&gt;EUconst_Relevant,AC512&gt;=CNTR_ReportingYear,AC512&lt;$V459-1,$E520=""),0,2),2)</f>
        <v>2</v>
      </c>
      <c r="AD520" s="1432">
        <f t="shared" si="617"/>
        <v>2</v>
      </c>
      <c r="AE520" s="1432">
        <f t="shared" si="617"/>
        <v>2</v>
      </c>
      <c r="AF520" s="1432">
        <f t="shared" si="617"/>
        <v>2</v>
      </c>
      <c r="AG520" s="1432">
        <f t="shared" si="617"/>
        <v>2</v>
      </c>
      <c r="AH520" s="1433">
        <f t="shared" si="617"/>
        <v>2</v>
      </c>
      <c r="AI520" s="1434">
        <f t="shared" si="617"/>
        <v>2</v>
      </c>
      <c r="AJ520" s="343"/>
      <c r="AK520" s="1174" t="s">
        <v>2039</v>
      </c>
      <c r="AL520" s="1176" t="str">
        <f>IF(AND(CNTR_ExistSubInstEntries,COUNTIFS(AB520:AI520,2,G520:N520,"")&gt;0),EUconst_Error&amp;"FB"&amp;Q459,"")</f>
        <v/>
      </c>
      <c r="AM520" s="343"/>
    </row>
    <row r="521" spans="1:39" ht="12.75" customHeight="1" x14ac:dyDescent="0.25">
      <c r="A521" s="729" t="str">
        <f t="shared" si="597"/>
        <v/>
      </c>
      <c r="B521" s="698"/>
      <c r="C521" s="2906"/>
      <c r="D521" s="990">
        <f t="shared" si="611"/>
        <v>9</v>
      </c>
      <c r="E521" s="1430" t="str">
        <f t="shared" si="607"/>
        <v/>
      </c>
      <c r="F521" s="271"/>
      <c r="G521" s="47"/>
      <c r="H521" s="119"/>
      <c r="I521" s="47"/>
      <c r="J521" s="119"/>
      <c r="K521" s="43"/>
      <c r="L521" s="43"/>
      <c r="M521" s="43"/>
      <c r="N521" s="43"/>
      <c r="O521" s="336"/>
      <c r="P521" s="158"/>
      <c r="Q521" s="694"/>
      <c r="R521" s="694"/>
      <c r="S521" s="694"/>
      <c r="T521" s="694"/>
      <c r="U521" s="694"/>
      <c r="V521" s="694"/>
      <c r="W521" s="694"/>
      <c r="X521" s="694"/>
      <c r="Y521" s="694"/>
      <c r="Z521" s="694"/>
      <c r="AA521" s="1431">
        <f t="shared" si="609"/>
        <v>2</v>
      </c>
      <c r="AB521" s="1432">
        <f>IF(CNTR_ExistSubInstEntries,IF(OR($M459&lt;&gt;EUconst_Relevant,$V459&gt;($H$1840-1),$E521=""),0,2),2)</f>
        <v>2</v>
      </c>
      <c r="AC521" s="1432">
        <f t="shared" ref="AC521:AI521" si="618">IF(CNTR_ExistSubInstEntries,IF(OR($M459&lt;&gt;EUconst_Relevant,AC512&gt;=CNTR_ReportingYear,AC512&lt;$V459-1,$E521=""),0,2),2)</f>
        <v>2</v>
      </c>
      <c r="AD521" s="1432">
        <f t="shared" si="618"/>
        <v>2</v>
      </c>
      <c r="AE521" s="1432">
        <f t="shared" si="618"/>
        <v>2</v>
      </c>
      <c r="AF521" s="1432">
        <f t="shared" si="618"/>
        <v>2</v>
      </c>
      <c r="AG521" s="1432">
        <f t="shared" si="618"/>
        <v>2</v>
      </c>
      <c r="AH521" s="1433">
        <f t="shared" si="618"/>
        <v>2</v>
      </c>
      <c r="AI521" s="1434">
        <f t="shared" si="618"/>
        <v>2</v>
      </c>
      <c r="AJ521" s="343"/>
      <c r="AK521" s="1174" t="s">
        <v>2039</v>
      </c>
      <c r="AL521" s="1176" t="str">
        <f>IF(AND(CNTR_ExistSubInstEntries,COUNTIFS(AB521:AI521,2,G521:N521,"")&gt;0),EUconst_Error&amp;"FB"&amp;Q459,"")</f>
        <v/>
      </c>
      <c r="AM521" s="343"/>
    </row>
    <row r="522" spans="1:39" ht="12.75" customHeight="1" thickBot="1" x14ac:dyDescent="0.3">
      <c r="A522" s="729" t="str">
        <f t="shared" si="597"/>
        <v/>
      </c>
      <c r="B522" s="698"/>
      <c r="C522" s="2906"/>
      <c r="D522" s="994">
        <f t="shared" si="611"/>
        <v>10</v>
      </c>
      <c r="E522" s="1435" t="str">
        <f t="shared" si="607"/>
        <v/>
      </c>
      <c r="F522" s="272"/>
      <c r="G522" s="48"/>
      <c r="H522" s="117"/>
      <c r="I522" s="48"/>
      <c r="J522" s="117"/>
      <c r="K522" s="38"/>
      <c r="L522" s="38"/>
      <c r="M522" s="38"/>
      <c r="N522" s="38"/>
      <c r="O522" s="336"/>
      <c r="P522" s="158"/>
      <c r="Q522" s="694"/>
      <c r="R522" s="694"/>
      <c r="S522" s="694"/>
      <c r="T522" s="694"/>
      <c r="U522" s="694"/>
      <c r="V522" s="694"/>
      <c r="W522" s="694"/>
      <c r="X522" s="694"/>
      <c r="Y522" s="694"/>
      <c r="Z522" s="694"/>
      <c r="AA522" s="1436">
        <f t="shared" si="609"/>
        <v>2</v>
      </c>
      <c r="AB522" s="1437">
        <f>IF(CNTR_ExistSubInstEntries,IF(OR($M459&lt;&gt;EUconst_Relevant,$V459&gt;($H$1840-1),$E522=""),0,2),2)</f>
        <v>2</v>
      </c>
      <c r="AC522" s="1437">
        <f t="shared" ref="AC522:AI522" si="619">IF(CNTR_ExistSubInstEntries,IF(OR($M459&lt;&gt;EUconst_Relevant,AC512&gt;=CNTR_ReportingYear,AC512&lt;$V459-1,$E522=""),0,2),2)</f>
        <v>2</v>
      </c>
      <c r="AD522" s="1437">
        <f t="shared" si="619"/>
        <v>2</v>
      </c>
      <c r="AE522" s="1437">
        <f t="shared" si="619"/>
        <v>2</v>
      </c>
      <c r="AF522" s="1437">
        <f t="shared" si="619"/>
        <v>2</v>
      </c>
      <c r="AG522" s="1437">
        <f t="shared" si="619"/>
        <v>2</v>
      </c>
      <c r="AH522" s="1438">
        <f t="shared" si="619"/>
        <v>2</v>
      </c>
      <c r="AI522" s="1439">
        <f t="shared" si="619"/>
        <v>2</v>
      </c>
      <c r="AJ522" s="343"/>
      <c r="AK522" s="1174" t="s">
        <v>2039</v>
      </c>
      <c r="AL522" s="1176" t="str">
        <f>IF(AND(CNTR_ExistSubInstEntries,COUNTIFS(AB522:AI522,2,G522:N522,"")&gt;0),EUconst_Error&amp;"FB"&amp;Q459,"")</f>
        <v/>
      </c>
      <c r="AM522" s="343"/>
    </row>
    <row r="523" spans="1:39" ht="12.75" customHeight="1" x14ac:dyDescent="0.25">
      <c r="A523" s="729" t="str">
        <f t="shared" si="597"/>
        <v/>
      </c>
      <c r="B523" s="698"/>
      <c r="C523" s="2906"/>
      <c r="D523" s="1293"/>
      <c r="E523" s="1294" t="str">
        <f>Translations!$B$501</f>
        <v>Сума на равнищата на производство</v>
      </c>
      <c r="F523" s="1440" t="str">
        <f>IF(AND(COUNTA(F513:F522)&gt;0,COUNTIF(F513:F522,F513)=COUNTA(F513:F522)),F513,"")</f>
        <v/>
      </c>
      <c r="G523" s="1296" t="str">
        <f>IF(AND($F523&lt;&gt;"",COUNT(G513:G522)&gt;0),SUMIF($S497:$S506,TRUE,G513:G522),"")</f>
        <v/>
      </c>
      <c r="H523" s="1297" t="str">
        <f t="shared" ref="H523" si="620">IF(AND($F523&lt;&gt;"",COUNT(H513:H522)&gt;0),SUMIF($S497:$S506,TRUE,H513:H522),"")</f>
        <v/>
      </c>
      <c r="I523" s="1296" t="str">
        <f t="shared" ref="I523" si="621">IF(AND($F523&lt;&gt;"",COUNT(I513:I522)&gt;0),SUMIF($S497:$S506,TRUE,I513:I522),"")</f>
        <v/>
      </c>
      <c r="J523" s="1297" t="str">
        <f t="shared" ref="J523" si="622">IF(AND($F523&lt;&gt;"",COUNT(J513:J522)&gt;0),SUMIF($S497:$S506,TRUE,J513:J522),"")</f>
        <v/>
      </c>
      <c r="K523" s="1104" t="str">
        <f t="shared" ref="K523" si="623">IF(AND($F523&lt;&gt;"",COUNT(K513:K522)&gt;0),SUMIF($S497:$S506,TRUE,K513:K522),"")</f>
        <v/>
      </c>
      <c r="L523" s="1104" t="str">
        <f t="shared" ref="L523" si="624">IF(AND($F523&lt;&gt;"",COUNT(L513:L522)&gt;0),SUMIF($S497:$S506,TRUE,L513:L522),"")</f>
        <v/>
      </c>
      <c r="M523" s="1104" t="str">
        <f t="shared" ref="M523" si="625">IF(AND($F523&lt;&gt;"",COUNT(M513:M522)&gt;0),SUMIF($S497:$S506,TRUE,M513:M522),"")</f>
        <v/>
      </c>
      <c r="N523" s="1104" t="str">
        <f t="shared" ref="N523" si="626">IF(AND($F523&lt;&gt;"",COUNT(N513:N522)&gt;0),SUMIF($S497:$S506,TRUE,N513:N522),"")</f>
        <v/>
      </c>
      <c r="O523" s="336"/>
      <c r="P523" s="336"/>
      <c r="Q523" s="694"/>
      <c r="R523" s="694"/>
      <c r="S523" s="694"/>
      <c r="T523" s="694"/>
      <c r="U523" s="694"/>
      <c r="V523" s="694"/>
      <c r="W523" s="694"/>
      <c r="X523" s="694"/>
      <c r="Y523" s="694"/>
      <c r="Z523" s="694"/>
      <c r="AA523" s="694"/>
      <c r="AB523" s="729"/>
      <c r="AC523" s="729"/>
      <c r="AD523" s="729"/>
      <c r="AE523" s="729"/>
      <c r="AF523" s="729"/>
      <c r="AG523" s="729"/>
      <c r="AH523" s="729"/>
      <c r="AI523" s="729"/>
      <c r="AJ523" s="343"/>
      <c r="AK523" s="343"/>
      <c r="AL523" s="343"/>
      <c r="AM523" s="343"/>
    </row>
    <row r="524" spans="1:39" ht="5.15" customHeight="1" x14ac:dyDescent="0.25">
      <c r="A524" s="729" t="str">
        <f t="shared" si="597"/>
        <v/>
      </c>
      <c r="B524" s="698"/>
      <c r="C524" s="284"/>
      <c r="D524" s="284"/>
      <c r="E524" s="284"/>
      <c r="F524" s="284"/>
      <c r="G524" s="284"/>
      <c r="H524" s="284"/>
      <c r="I524" s="284"/>
      <c r="J524" s="284"/>
      <c r="K524" s="284"/>
      <c r="L524" s="284"/>
      <c r="M524" s="284"/>
      <c r="N524" s="284"/>
      <c r="O524" s="336"/>
      <c r="P524" s="336"/>
      <c r="Q524" s="694"/>
      <c r="R524" s="694"/>
      <c r="S524" s="694"/>
      <c r="T524" s="694"/>
      <c r="U524" s="694"/>
      <c r="V524" s="694"/>
      <c r="W524" s="694"/>
      <c r="X524" s="694"/>
      <c r="Y524" s="694"/>
      <c r="Z524" s="729"/>
      <c r="AA524" s="729"/>
      <c r="AB524" s="729"/>
      <c r="AC524" s="694"/>
      <c r="AD524" s="694"/>
      <c r="AE524" s="343"/>
      <c r="AF524" s="343"/>
      <c r="AG524" s="343"/>
      <c r="AH524" s="343"/>
      <c r="AI524" s="343"/>
      <c r="AJ524" s="343"/>
      <c r="AK524" s="343"/>
      <c r="AL524" s="343"/>
      <c r="AM524" s="343"/>
    </row>
    <row r="525" spans="1:39" ht="12.75" customHeight="1" x14ac:dyDescent="0.25">
      <c r="A525" s="729" t="str">
        <f t="shared" si="597"/>
        <v/>
      </c>
      <c r="B525" s="698"/>
      <c r="C525" s="284"/>
      <c r="D525" s="300" t="s">
        <v>1764</v>
      </c>
      <c r="E525" s="2226" t="str">
        <f>Translations!$B$1535</f>
        <v>Допустимо по СТЕ на ЕС потребление на енергия по продукти за определяне на очакваните равнища на дейност</v>
      </c>
      <c r="F525" s="2249"/>
      <c r="G525" s="2249"/>
      <c r="H525" s="2249"/>
      <c r="I525" s="2249"/>
      <c r="J525" s="2249"/>
      <c r="K525" s="2249"/>
      <c r="L525" s="2249"/>
      <c r="M525" s="2249"/>
      <c r="N525" s="2249"/>
      <c r="O525" s="336"/>
      <c r="P525" s="336"/>
      <c r="Q525" s="770"/>
      <c r="R525" s="694"/>
      <c r="S525" s="1030" t="s">
        <v>2010</v>
      </c>
      <c r="T525" s="1441" t="str">
        <f>IF(M459&lt;&gt;EUconst_Relevant,"",IF(COUNTIF(V476:Z476,TRUE)&gt;0,2,1))</f>
        <v/>
      </c>
      <c r="U525" s="729" t="s">
        <v>2006</v>
      </c>
      <c r="V525" s="694"/>
      <c r="W525" s="694"/>
      <c r="X525" s="694"/>
      <c r="Y525" s="694"/>
      <c r="Z525" s="729"/>
      <c r="AA525" s="729"/>
      <c r="AB525" s="729"/>
      <c r="AC525" s="694"/>
      <c r="AD525" s="694"/>
      <c r="AE525" s="343"/>
      <c r="AF525" s="343"/>
      <c r="AG525" s="343"/>
      <c r="AH525" s="343"/>
      <c r="AI525" s="343"/>
      <c r="AJ525" s="343"/>
      <c r="AK525" s="343"/>
      <c r="AL525" s="343"/>
      <c r="AM525" s="343"/>
    </row>
    <row r="526" spans="1:39" ht="12.75" customHeight="1" x14ac:dyDescent="0.25">
      <c r="A526" s="729" t="str">
        <f t="shared" si="597"/>
        <v/>
      </c>
      <c r="B526" s="284"/>
      <c r="C526" s="302"/>
      <c r="D526" s="302"/>
      <c r="E526" s="2358" t="str">
        <f>Translations!$B$1337</f>
        <v>Моля, въведете тук енергопотреблението, свързано с всеки продукт, изброен в буква б) по-горе, в съответствие с методиките, описани в ПММ.</v>
      </c>
      <c r="F526" s="2249"/>
      <c r="G526" s="2249"/>
      <c r="H526" s="2249"/>
      <c r="I526" s="2249"/>
      <c r="J526" s="2249"/>
      <c r="K526" s="2249"/>
      <c r="L526" s="2249"/>
      <c r="M526" s="2249"/>
      <c r="N526" s="2249"/>
      <c r="O526" s="336"/>
      <c r="P526" s="336"/>
      <c r="Q526" s="770"/>
      <c r="R526" s="770"/>
      <c r="S526" s="770"/>
      <c r="T526" s="770"/>
      <c r="U526" s="770"/>
      <c r="V526" s="770"/>
      <c r="W526" s="770"/>
      <c r="X526" s="770"/>
      <c r="Y526" s="770"/>
      <c r="Z526" s="694"/>
      <c r="AA526" s="694"/>
      <c r="AB526" s="729"/>
      <c r="AC526" s="694"/>
      <c r="AD526" s="694"/>
      <c r="AE526" s="343"/>
      <c r="AF526" s="343"/>
      <c r="AG526" s="343"/>
      <c r="AH526" s="343"/>
      <c r="AI526" s="343"/>
      <c r="AJ526" s="343"/>
      <c r="AK526" s="343"/>
      <c r="AL526" s="343"/>
      <c r="AM526" s="343"/>
    </row>
    <row r="527" spans="1:39" ht="25.5" customHeight="1" x14ac:dyDescent="0.25">
      <c r="A527" s="729" t="str">
        <f t="shared" si="597"/>
        <v/>
      </c>
      <c r="B527" s="698"/>
      <c r="C527" s="284"/>
      <c r="D527" s="284"/>
      <c r="E527" s="2459" t="str">
        <f>Translations!$B$1536</f>
        <v>Вписванията тук са задължителни за всички години, ако средното годишно равнище на дейност по буква а) се е променило с повече от 15 % за поне една година и само в този случай ще окаже пряко въздействие върху разпределянето.</v>
      </c>
      <c r="F527" s="2460"/>
      <c r="G527" s="2460"/>
      <c r="H527" s="2460"/>
      <c r="I527" s="2460"/>
      <c r="J527" s="2460"/>
      <c r="K527" s="2460"/>
      <c r="L527" s="2460"/>
      <c r="M527" s="2460"/>
      <c r="N527" s="2460"/>
      <c r="O527" s="336"/>
      <c r="P527" s="336"/>
      <c r="Q527" s="694"/>
      <c r="R527" s="694"/>
      <c r="S527" s="694"/>
      <c r="T527" s="694"/>
      <c r="U527" s="694"/>
      <c r="V527" s="694"/>
      <c r="W527" s="694"/>
      <c r="X527" s="694"/>
      <c r="Y527" s="694"/>
      <c r="Z527" s="729"/>
      <c r="AA527" s="729"/>
      <c r="AB527" s="729"/>
      <c r="AC527" s="729"/>
      <c r="AD527" s="694"/>
      <c r="AE527" s="343"/>
      <c r="AF527" s="343"/>
      <c r="AG527" s="343"/>
      <c r="AH527" s="343"/>
      <c r="AI527" s="343"/>
      <c r="AJ527" s="343"/>
      <c r="AK527" s="343"/>
      <c r="AL527" s="343"/>
      <c r="AM527" s="343"/>
    </row>
    <row r="528" spans="1:39" ht="12.75" customHeight="1" x14ac:dyDescent="0.25">
      <c r="A528" s="729" t="str">
        <f t="shared" si="597"/>
        <v/>
      </c>
      <c r="B528" s="698"/>
      <c r="C528" s="284"/>
      <c r="D528" s="284"/>
      <c r="E528" s="2358" t="str">
        <f>Translations!$B$1537</f>
        <v>Стойността в НМИ се отнася до средното потребление на топлинна енергия през историческия базов период (НМИ).</v>
      </c>
      <c r="F528" s="2249"/>
      <c r="G528" s="2249"/>
      <c r="H528" s="2249"/>
      <c r="I528" s="2249"/>
      <c r="J528" s="2249"/>
      <c r="K528" s="2249"/>
      <c r="L528" s="2249"/>
      <c r="M528" s="2249"/>
      <c r="N528" s="2249"/>
      <c r="O528" s="336"/>
      <c r="P528" s="295"/>
      <c r="Q528" s="694"/>
      <c r="R528" s="694"/>
      <c r="S528" s="694"/>
      <c r="T528" s="694"/>
      <c r="U528" s="694"/>
      <c r="V528" s="694"/>
      <c r="W528" s="694"/>
      <c r="X528" s="694"/>
      <c r="Y528" s="694"/>
      <c r="Z528" s="729"/>
      <c r="AA528" s="729"/>
      <c r="AB528" s="729"/>
      <c r="AC528" s="729"/>
      <c r="AD528" s="694"/>
      <c r="AE528" s="343"/>
      <c r="AF528" s="343"/>
      <c r="AG528" s="343"/>
      <c r="AH528" s="343"/>
      <c r="AI528" s="343"/>
      <c r="AJ528" s="343"/>
      <c r="AK528" s="343"/>
      <c r="AL528" s="343"/>
      <c r="AM528" s="343"/>
    </row>
    <row r="529" spans="1:39" ht="12.75" customHeight="1" x14ac:dyDescent="0.25">
      <c r="A529" s="729"/>
      <c r="B529" s="698"/>
      <c r="C529" s="284"/>
      <c r="D529" s="284"/>
      <c r="E529" s="2358" t="str">
        <f>Translations!$B$1538</f>
        <v>Допълнителни насоки относно отнасянето по продукти за изчисляването на историческата ефективност (HistEff) могат да бъдат намерени в раздели 2.3 и 3 от Ръководство № 7.</v>
      </c>
      <c r="F529" s="2249"/>
      <c r="G529" s="2249"/>
      <c r="H529" s="2249"/>
      <c r="I529" s="2249"/>
      <c r="J529" s="2249"/>
      <c r="K529" s="2249"/>
      <c r="L529" s="2249"/>
      <c r="M529" s="2249"/>
      <c r="N529" s="2249"/>
      <c r="O529" s="336"/>
      <c r="P529" s="295"/>
      <c r="Q529" s="694"/>
      <c r="R529" s="694"/>
      <c r="S529" s="694"/>
      <c r="T529" s="694"/>
      <c r="U529" s="694"/>
      <c r="V529" s="694"/>
      <c r="W529" s="694"/>
      <c r="X529" s="694"/>
      <c r="Y529" s="694"/>
      <c r="Z529" s="729"/>
      <c r="AA529" s="729"/>
      <c r="AB529" s="729"/>
      <c r="AC529" s="729"/>
      <c r="AD529" s="694"/>
      <c r="AE529" s="343"/>
      <c r="AF529" s="343"/>
      <c r="AG529" s="343"/>
      <c r="AH529" s="343"/>
      <c r="AI529" s="343"/>
      <c r="AJ529" s="343"/>
      <c r="AK529" s="343"/>
      <c r="AL529" s="343"/>
      <c r="AM529" s="343"/>
    </row>
    <row r="530" spans="1:39" ht="5.15" customHeight="1" x14ac:dyDescent="0.25">
      <c r="A530" s="729" t="str">
        <f>A528</f>
        <v/>
      </c>
      <c r="B530" s="698"/>
      <c r="C530" s="284"/>
      <c r="D530" s="284"/>
      <c r="E530" s="2358"/>
      <c r="F530" s="2249"/>
      <c r="G530" s="2249"/>
      <c r="H530" s="2249"/>
      <c r="I530" s="2249"/>
      <c r="J530" s="2249"/>
      <c r="K530" s="2249"/>
      <c r="L530" s="2249"/>
      <c r="M530" s="2249"/>
      <c r="N530" s="2249"/>
      <c r="O530" s="336"/>
      <c r="P530" s="295"/>
      <c r="Q530" s="694"/>
      <c r="R530" s="694"/>
      <c r="S530" s="694"/>
      <c r="T530" s="694"/>
      <c r="U530" s="694"/>
      <c r="V530" s="694"/>
      <c r="W530" s="694"/>
      <c r="X530" s="694"/>
      <c r="Y530" s="694"/>
      <c r="Z530" s="729"/>
      <c r="AA530" s="729"/>
      <c r="AB530" s="729"/>
      <c r="AC530" s="729"/>
      <c r="AD530" s="694"/>
      <c r="AE530" s="343"/>
      <c r="AF530" s="343"/>
      <c r="AG530" s="343"/>
      <c r="AH530" s="343"/>
      <c r="AI530" s="343"/>
      <c r="AJ530" s="343"/>
      <c r="AK530" s="343"/>
      <c r="AL530" s="343"/>
      <c r="AM530" s="343"/>
    </row>
    <row r="531" spans="1:39" s="1423" customFormat="1" ht="25.5" customHeight="1" thickBot="1" x14ac:dyDescent="0.35">
      <c r="A531" s="729" t="str">
        <f t="shared" si="597"/>
        <v/>
      </c>
      <c r="B531" s="1412"/>
      <c r="C531" s="1413"/>
      <c r="D531" s="1414"/>
      <c r="E531" s="1415" t="str">
        <f>Translations!$B$624</f>
        <v>Име на продукта или „топлофикационна мрежа“</v>
      </c>
      <c r="F531" s="1416" t="str">
        <f>EUconst_Unit</f>
        <v>Единица мярка</v>
      </c>
      <c r="G531" s="1419" t="str">
        <f>Translations!$B$1336</f>
        <v>Стойност в НМИ</v>
      </c>
      <c r="H531" s="1418">
        <f t="shared" ref="H531:N531" si="627">H$1840</f>
        <v>2024</v>
      </c>
      <c r="I531" s="1419">
        <f t="shared" si="627"/>
        <v>2025</v>
      </c>
      <c r="J531" s="1418">
        <f t="shared" si="627"/>
        <v>2026</v>
      </c>
      <c r="K531" s="1420">
        <f t="shared" si="627"/>
        <v>2027</v>
      </c>
      <c r="L531" s="1420">
        <f t="shared" si="627"/>
        <v>2028</v>
      </c>
      <c r="M531" s="1420">
        <f t="shared" si="627"/>
        <v>2029</v>
      </c>
      <c r="N531" s="1420">
        <f t="shared" si="627"/>
        <v>2030</v>
      </c>
      <c r="O531" s="336"/>
      <c r="P531" s="295"/>
      <c r="Q531" s="1421"/>
      <c r="R531" s="1421"/>
      <c r="S531" s="770" t="str">
        <f>Translations!$B$1341</f>
        <v>Базова стойност</v>
      </c>
      <c r="T531" s="1421">
        <f t="shared" ref="T531" si="628">H531</f>
        <v>2024</v>
      </c>
      <c r="U531" s="1421">
        <f t="shared" ref="U531" si="629">I531</f>
        <v>2025</v>
      </c>
      <c r="V531" s="1421">
        <f t="shared" ref="V531" si="630">J531</f>
        <v>2026</v>
      </c>
      <c r="W531" s="1421">
        <f t="shared" ref="W531" si="631">K531</f>
        <v>2027</v>
      </c>
      <c r="X531" s="1421">
        <f t="shared" ref="X531" si="632">L531</f>
        <v>2028</v>
      </c>
      <c r="Y531" s="1421">
        <f t="shared" ref="Y531" si="633">M531</f>
        <v>2029</v>
      </c>
      <c r="Z531" s="1421">
        <f t="shared" ref="Z531" si="634">N531</f>
        <v>2030</v>
      </c>
      <c r="AA531" s="1421"/>
      <c r="AB531" s="770" t="str">
        <f>Translations!$B$1284</f>
        <v>HAL</v>
      </c>
      <c r="AC531" s="1421">
        <f t="shared" ref="AC531" si="635">H531</f>
        <v>2024</v>
      </c>
      <c r="AD531" s="1421">
        <f t="shared" ref="AD531" si="636">I531</f>
        <v>2025</v>
      </c>
      <c r="AE531" s="1421">
        <f t="shared" ref="AE531" si="637">J531</f>
        <v>2026</v>
      </c>
      <c r="AF531" s="1421">
        <f t="shared" ref="AF531" si="638">K531</f>
        <v>2027</v>
      </c>
      <c r="AG531" s="1421">
        <f t="shared" ref="AG531" si="639">L531</f>
        <v>2028</v>
      </c>
      <c r="AH531" s="1422">
        <f t="shared" ref="AH531" si="640">M531</f>
        <v>2029</v>
      </c>
      <c r="AI531" s="1422">
        <f t="shared" ref="AI531" si="641">N531</f>
        <v>2030</v>
      </c>
      <c r="AJ531" s="1422"/>
      <c r="AK531" s="1422"/>
      <c r="AL531" s="1422"/>
      <c r="AM531" s="1422"/>
    </row>
    <row r="532" spans="1:39" ht="12.75" customHeight="1" x14ac:dyDescent="0.25">
      <c r="A532" s="729" t="str">
        <f t="shared" si="597"/>
        <v/>
      </c>
      <c r="B532" s="698"/>
      <c r="C532" s="2906" t="str">
        <f>Translations!$B$1539</f>
        <v>Топлинна енергия по СТЕ</v>
      </c>
      <c r="D532" s="981">
        <v>1</v>
      </c>
      <c r="E532" s="1424" t="str">
        <f t="shared" ref="E532:E541" si="642">E513</f>
        <v/>
      </c>
      <c r="F532" s="1259" t="str">
        <f t="shared" ref="F532:F543" si="643">EUconst_TJ</f>
        <v>TJ</v>
      </c>
      <c r="G532" s="125"/>
      <c r="H532" s="116"/>
      <c r="I532" s="46"/>
      <c r="J532" s="116"/>
      <c r="K532" s="40"/>
      <c r="L532" s="40"/>
      <c r="M532" s="40"/>
      <c r="N532" s="40"/>
      <c r="O532" s="1442"/>
      <c r="P532" s="158"/>
      <c r="Q532" s="694"/>
      <c r="R532" s="694"/>
      <c r="S532" s="1443" t="str">
        <f>IF($M459&lt;&gt;EUconst_Relevant,"",
IF($V459&gt;($J$1840-3),
              IF(INDEX(H513:N513,MATCH($V459,$T531:$Z531,0))=0,0,INDEX(H532:N532,MATCH($V459,$T531:$Z531,0))/INDEX(H513:N513,MATCH($V459,$T531:$Z531,0))),
                             IF(ISNUMBER(G513),
                                            IF(OR(G513=0,$S497=FALSE),0,G532/G513),"")))</f>
        <v/>
      </c>
      <c r="T532" s="1444" t="str">
        <f t="shared" ref="T532:T541" si="644">IF($E532="","",IF(IFERROR(SUM($S532)=0,SUM($H532)),SUM(H532),SUM(H513)*SUM($S532)))</f>
        <v/>
      </c>
      <c r="U532" s="1444" t="str">
        <f t="shared" ref="U532" si="645">IF($E532="","",IF(IFERROR(SUM($S532)=0,SUM($H532)),SUM(I532),SUM(I513)*SUM($S532)))</f>
        <v/>
      </c>
      <c r="V532" s="1444" t="str">
        <f t="shared" ref="V532" si="646">IF($E532="","",IF(IFERROR(SUM($S532)=0,SUM($H532)),SUM(J532),SUM(J513)*SUM($S532)))</f>
        <v/>
      </c>
      <c r="W532" s="1444" t="str">
        <f t="shared" ref="W532" si="647">IF($E532="","",IF(IFERROR(SUM($S532)=0,SUM($H532)),SUM(K532),SUM(K513)*SUM($S532)))</f>
        <v/>
      </c>
      <c r="X532" s="1444" t="str">
        <f t="shared" ref="X532" si="648">IF($E532="","",IF(IFERROR(SUM($S532)=0,SUM($H532)),SUM(L532),SUM(L513)*SUM($S532)))</f>
        <v/>
      </c>
      <c r="Y532" s="1444" t="str">
        <f t="shared" ref="Y532" si="649">IF($E532="","",IF(IFERROR(SUM($S532)=0,SUM($H532)),SUM(M532),SUM(M513)*SUM($S532)))</f>
        <v/>
      </c>
      <c r="Z532" s="1445" t="str">
        <f t="shared" ref="Z532" si="650">IF($E532="","",IF(IFERROR(SUM($S532)=0,SUM($H532)),SUM(N532),SUM(N513)*SUM($S532)))</f>
        <v/>
      </c>
      <c r="AA532" s="1446" t="s">
        <v>1757</v>
      </c>
      <c r="AB532" s="1447">
        <f>MAX(AC532,AD532:AI532)</f>
        <v>2</v>
      </c>
      <c r="AC532" s="1426">
        <f>IF(CNTR_ExistSubInstEntries,IF(OR($M459&lt;&gt;EUconst_Relevant,AC531&gt;=CNTR_ReportingYear,AC531&lt;$V459-1,$E532=""),0,IF(AND($T525=2,COUNTIF($V476:V476,TRUE)&gt;0,$S497),2,1)),2)</f>
        <v>2</v>
      </c>
      <c r="AD532" s="1427">
        <f>IF(CNTR_ExistSubInstEntries,IF(OR($M459&lt;&gt;EUconst_Relevant,AD531&gt;=CNTR_ReportingYear,AD531&lt;$V459-1,$E532=""),0,IF(AND($T525=2,COUNTIF($V476:W476,TRUE)&gt;0,$S497),2,1)),2)</f>
        <v>2</v>
      </c>
      <c r="AE532" s="1427">
        <f>IF(CNTR_ExistSubInstEntries,IF(OR($M459&lt;&gt;EUconst_Relevant,AE531&gt;=CNTR_ReportingYear,AE531&lt;$V459-1,$E532=""),0,IF(AND($T525=2,COUNTIF($V476:X476,TRUE)&gt;0,$S497),2,1)),2)</f>
        <v>2</v>
      </c>
      <c r="AF532" s="1427">
        <f>IF(CNTR_ExistSubInstEntries,IF(OR($M459&lt;&gt;EUconst_Relevant,AF531&gt;=CNTR_ReportingYear,AF531&lt;$V459-1,$E532=""),0,IF(AND($T525=2,COUNTIF($V476:Y476,TRUE)&gt;0,$S497),2,1)),2)</f>
        <v>2</v>
      </c>
      <c r="AG532" s="1427">
        <f>IF(CNTR_ExistSubInstEntries,IF(OR($M459&lt;&gt;EUconst_Relevant,AG531&gt;=CNTR_ReportingYear,AG531&lt;$V459-1,$E532=""),0,IF(AND($T525=2,COUNTIF($V476:Z476,TRUE)&gt;0,$S497),2,1)),2)</f>
        <v>2</v>
      </c>
      <c r="AH532" s="1428">
        <f>IF(CNTR_ExistSubInstEntries,IF(OR($M459&lt;&gt;EUconst_Relevant,AH531&gt;=CNTR_ReportingYear,AH531&lt;$V459-1,$E532=""),0,IF(AND($T525=2,COUNTIF($V476:AA476,TRUE)&gt;0,$S497),2,1)),2)</f>
        <v>2</v>
      </c>
      <c r="AI532" s="1429">
        <f>IF(CNTR_ExistSubInstEntries,IF(OR($M459&lt;&gt;EUconst_Relevant,AI531&gt;=CNTR_ReportingYear,AI531&lt;$V459-1,$E532=""),0,IF(AND($T525=2,COUNTIF($V476:AB476,TRUE)&gt;0,$S497),2,1)),2)</f>
        <v>2</v>
      </c>
      <c r="AJ532" s="343"/>
      <c r="AK532" s="1174" t="s">
        <v>2039</v>
      </c>
      <c r="AL532" s="1176" t="str">
        <f>IF(AND(CNTR_ExistSubInstEntries,COUNTIFS(AB532:AI532,2,G532:N532,"")&gt;0),EUconst_Error&amp;"FB"&amp;Q459,"")</f>
        <v/>
      </c>
      <c r="AM532" s="343"/>
    </row>
    <row r="533" spans="1:39" ht="12.75" customHeight="1" x14ac:dyDescent="0.25">
      <c r="A533" s="729" t="str">
        <f t="shared" si="597"/>
        <v/>
      </c>
      <c r="B533" s="698"/>
      <c r="C533" s="2906"/>
      <c r="D533" s="990">
        <v>2</v>
      </c>
      <c r="E533" s="1430" t="str">
        <f t="shared" si="642"/>
        <v/>
      </c>
      <c r="F533" s="1448" t="str">
        <f t="shared" si="643"/>
        <v>TJ</v>
      </c>
      <c r="G533" s="124"/>
      <c r="H533" s="119"/>
      <c r="I533" s="47"/>
      <c r="J533" s="119"/>
      <c r="K533" s="43"/>
      <c r="L533" s="43"/>
      <c r="M533" s="43"/>
      <c r="N533" s="43"/>
      <c r="O533" s="336"/>
      <c r="P533" s="158"/>
      <c r="Q533" s="694"/>
      <c r="R533" s="694"/>
      <c r="S533" s="1449" t="str">
        <f>IF($M459&lt;&gt;EUconst_Relevant,"",
IF($V459&gt;($J$1840-3),
              IF(INDEX(H514:N514,MATCH($V459,$T531:$Z531,0))=0,0,INDEX(H533:N533,MATCH($V459,$T531:$Z531,0))/INDEX(H514:N514,MATCH($V459,$T531:$Z531,0))),
                             IF(ISNUMBER(G514),
                                            IF(OR(G514=0,$S498=FALSE),0,G533/G514),"")))</f>
        <v/>
      </c>
      <c r="T533" s="1450" t="str">
        <f t="shared" si="644"/>
        <v/>
      </c>
      <c r="U533" s="1450" t="str">
        <f t="shared" ref="U533:U541" si="651">IF($E533="","",IF(IFERROR(SUM($S533)=0,SUM($H533)),SUM(I533),SUM(I514)*SUM($S533)))</f>
        <v/>
      </c>
      <c r="V533" s="1450" t="str">
        <f t="shared" ref="V533:V541" si="652">IF($E533="","",IF(IFERROR(SUM($S533)=0,SUM($H533)),SUM(J533),SUM(J514)*SUM($S533)))</f>
        <v/>
      </c>
      <c r="W533" s="1450" t="str">
        <f t="shared" ref="W533:W541" si="653">IF($E533="","",IF(IFERROR(SUM($S533)=0,SUM($H533)),SUM(K533),SUM(K514)*SUM($S533)))</f>
        <v/>
      </c>
      <c r="X533" s="1450" t="str">
        <f t="shared" ref="X533:X541" si="654">IF($E533="","",IF(IFERROR(SUM($S533)=0,SUM($H533)),SUM(L533),SUM(L514)*SUM($S533)))</f>
        <v/>
      </c>
      <c r="Y533" s="1450" t="str">
        <f t="shared" ref="Y533:Y541" si="655">IF($E533="","",IF(IFERROR(SUM($S533)=0,SUM($H533)),SUM(M533),SUM(M514)*SUM($S533)))</f>
        <v/>
      </c>
      <c r="Z533" s="1451" t="str">
        <f t="shared" ref="Z533:Z541" si="656">IF($E533="","",IF(IFERROR(SUM($S533)=0,SUM($H533)),SUM(N533),SUM(N514)*SUM($S533)))</f>
        <v/>
      </c>
      <c r="AA533" s="694"/>
      <c r="AB533" s="1431">
        <f t="shared" ref="AB533:AB541" si="657">MAX(AC533,AD533:AI533)</f>
        <v>2</v>
      </c>
      <c r="AC533" s="1432">
        <f>IF(CNTR_ExistSubInstEntries,IF(OR($M459&lt;&gt;EUconst_Relevant,AC531&gt;=CNTR_ReportingYear,AC531&lt;$V459-1,$E533=""),0,IF(AND($T525=2,COUNTIF($V476:V476,TRUE)&gt;0,$S498),2,1)),2)</f>
        <v>2</v>
      </c>
      <c r="AD533" s="1432">
        <f>IF(CNTR_ExistSubInstEntries,IF(OR($M459&lt;&gt;EUconst_Relevant,AD531&gt;=CNTR_ReportingYear,AD531&lt;$V459-1,$E533=""),0,IF(AND($T525=2,COUNTIF($V476:W476,TRUE)&gt;0,$S498),2,1)),2)</f>
        <v>2</v>
      </c>
      <c r="AE533" s="1432">
        <f>IF(CNTR_ExistSubInstEntries,IF(OR($M459&lt;&gt;EUconst_Relevant,AE531&gt;=CNTR_ReportingYear,AE531&lt;$V459-1,$E533=""),0,IF(AND($T525=2,COUNTIF($V476:X476,TRUE)&gt;0,$S498),2,1)),2)</f>
        <v>2</v>
      </c>
      <c r="AF533" s="1432">
        <f>IF(CNTR_ExistSubInstEntries,IF(OR($M459&lt;&gt;EUconst_Relevant,AF531&gt;=CNTR_ReportingYear,AF531&lt;$V459-1,$E533=""),0,IF(AND($T525=2,COUNTIF($V476:Y476,TRUE)&gt;0,$S498),2,1)),2)</f>
        <v>2</v>
      </c>
      <c r="AG533" s="1432">
        <f>IF(CNTR_ExistSubInstEntries,IF(OR($M459&lt;&gt;EUconst_Relevant,AG531&gt;=CNTR_ReportingYear,AG531&lt;$V459-1,$E533=""),0,IF(AND($T525=2,COUNTIF($V476:Z476,TRUE)&gt;0,$S498),2,1)),2)</f>
        <v>2</v>
      </c>
      <c r="AH533" s="1432">
        <f>IF(CNTR_ExistSubInstEntries,IF(OR($M459&lt;&gt;EUconst_Relevant,AH531&gt;=CNTR_ReportingYear,AH531&lt;$V459-1,$E533=""),0,IF(AND($T525=2,COUNTIF($V476:AA476,TRUE)&gt;0,$S498),2,1)),2)</f>
        <v>2</v>
      </c>
      <c r="AI533" s="1452">
        <f>IF(CNTR_ExistSubInstEntries,IF(OR($M459&lt;&gt;EUconst_Relevant,AI531&gt;=CNTR_ReportingYear,AI531&lt;$V459-1,$E533=""),0,IF(AND($T525=2,COUNTIF($V476:AB476,TRUE)&gt;0,$S498),2,1)),2)</f>
        <v>2</v>
      </c>
      <c r="AJ533" s="343"/>
      <c r="AK533" s="1174" t="s">
        <v>2039</v>
      </c>
      <c r="AL533" s="1176" t="str">
        <f>IF(AND(CNTR_ExistSubInstEntries,COUNTIFS(AB533:AI533,2,G533:N533,"")&gt;0),EUconst_Error&amp;"FB"&amp;Q459,"")</f>
        <v/>
      </c>
      <c r="AM533" s="343"/>
    </row>
    <row r="534" spans="1:39" ht="12.75" customHeight="1" x14ac:dyDescent="0.25">
      <c r="A534" s="729" t="str">
        <f t="shared" si="597"/>
        <v/>
      </c>
      <c r="B534" s="698"/>
      <c r="C534" s="2906"/>
      <c r="D534" s="990">
        <v>3</v>
      </c>
      <c r="E534" s="1430" t="str">
        <f t="shared" si="642"/>
        <v/>
      </c>
      <c r="F534" s="1448" t="str">
        <f t="shared" si="643"/>
        <v>TJ</v>
      </c>
      <c r="G534" s="47"/>
      <c r="H534" s="119"/>
      <c r="I534" s="47"/>
      <c r="J534" s="119"/>
      <c r="K534" s="43"/>
      <c r="L534" s="43"/>
      <c r="M534" s="43"/>
      <c r="N534" s="43"/>
      <c r="O534" s="336"/>
      <c r="P534" s="158"/>
      <c r="Q534" s="694"/>
      <c r="R534" s="694"/>
      <c r="S534" s="1449" t="str">
        <f>IF($M459&lt;&gt;EUconst_Relevant,"",
IF($V459&gt;($J$1840-3),
              IF(INDEX(H515:N515,MATCH($V459,$T531:$Z531,0))=0,0,INDEX(H534:N534,MATCH($V459,$T531:$Z531,0))/INDEX(H515:N515,MATCH($V459,$T531:$Z531,0))),
                             IF(ISNUMBER(G515),
                                            IF(OR(G515=0,$S499=FALSE),0,G534/G515),"")))</f>
        <v/>
      </c>
      <c r="T534" s="1450" t="str">
        <f t="shared" si="644"/>
        <v/>
      </c>
      <c r="U534" s="1450" t="str">
        <f t="shared" si="651"/>
        <v/>
      </c>
      <c r="V534" s="1450" t="str">
        <f t="shared" si="652"/>
        <v/>
      </c>
      <c r="W534" s="1450" t="str">
        <f t="shared" si="653"/>
        <v/>
      </c>
      <c r="X534" s="1450" t="str">
        <f t="shared" si="654"/>
        <v/>
      </c>
      <c r="Y534" s="1450" t="str">
        <f t="shared" si="655"/>
        <v/>
      </c>
      <c r="Z534" s="1451" t="str">
        <f t="shared" si="656"/>
        <v/>
      </c>
      <c r="AA534" s="694"/>
      <c r="AB534" s="1431">
        <f t="shared" si="657"/>
        <v>2</v>
      </c>
      <c r="AC534" s="1432">
        <f>IF(CNTR_ExistSubInstEntries,IF(OR($M459&lt;&gt;EUconst_Relevant,AC531&gt;=CNTR_ReportingYear,AC531&lt;$V459-1,$E534=""),0,IF(AND($T525=2,COUNTIF($V476:V476,TRUE)&gt;0,$S499),2,1)),2)</f>
        <v>2</v>
      </c>
      <c r="AD534" s="1432">
        <f>IF(CNTR_ExistSubInstEntries,IF(OR($M459&lt;&gt;EUconst_Relevant,AD531&gt;=CNTR_ReportingYear,AD531&lt;$V459-1,$E534=""),0,IF(AND($T525=2,COUNTIF($V476:W476,TRUE)&gt;0,$S499),2,1)),2)</f>
        <v>2</v>
      </c>
      <c r="AE534" s="1432">
        <f>IF(CNTR_ExistSubInstEntries,IF(OR($M459&lt;&gt;EUconst_Relevant,AE531&gt;=CNTR_ReportingYear,AE531&lt;$V459-1,$E534=""),0,IF(AND($T525=2,COUNTIF($V476:X476,TRUE)&gt;0,$S499),2,1)),2)</f>
        <v>2</v>
      </c>
      <c r="AF534" s="1432">
        <f>IF(CNTR_ExistSubInstEntries,IF(OR($M459&lt;&gt;EUconst_Relevant,AF531&gt;=CNTR_ReportingYear,AF531&lt;$V459-1,$E534=""),0,IF(AND($T525=2,COUNTIF($V476:Y476,TRUE)&gt;0,$S499),2,1)),2)</f>
        <v>2</v>
      </c>
      <c r="AG534" s="1432">
        <f>IF(CNTR_ExistSubInstEntries,IF(OR($M459&lt;&gt;EUconst_Relevant,AG531&gt;=CNTR_ReportingYear,AG531&lt;$V459-1,$E534=""),0,IF(AND($T525=2,COUNTIF($V476:Z476,TRUE)&gt;0,$S499),2,1)),2)</f>
        <v>2</v>
      </c>
      <c r="AH534" s="1432">
        <f>IF(CNTR_ExistSubInstEntries,IF(OR($M459&lt;&gt;EUconst_Relevant,AH531&gt;=CNTR_ReportingYear,AH531&lt;$V459-1,$E534=""),0,IF(AND($T525=2,COUNTIF($V476:AA476,TRUE)&gt;0,$S499),2,1)),2)</f>
        <v>2</v>
      </c>
      <c r="AI534" s="1452">
        <f>IF(CNTR_ExistSubInstEntries,IF(OR($M459&lt;&gt;EUconst_Relevant,AI531&gt;=CNTR_ReportingYear,AI531&lt;$V459-1,$E534=""),0,IF(AND($T525=2,COUNTIF($V476:AB476,TRUE)&gt;0,$S499),2,1)),2)</f>
        <v>2</v>
      </c>
      <c r="AJ534" s="343"/>
      <c r="AK534" s="1174" t="s">
        <v>2039</v>
      </c>
      <c r="AL534" s="1176" t="str">
        <f>IF(AND(CNTR_ExistSubInstEntries,COUNTIFS(AB534:AI534,2,G534:N534,"")&gt;0),EUconst_Error&amp;"FB"&amp;Q459,"")</f>
        <v/>
      </c>
      <c r="AM534" s="343"/>
    </row>
    <row r="535" spans="1:39" ht="12.75" customHeight="1" x14ac:dyDescent="0.25">
      <c r="A535" s="729" t="str">
        <f t="shared" si="597"/>
        <v/>
      </c>
      <c r="B535" s="698"/>
      <c r="C535" s="2906"/>
      <c r="D535" s="990">
        <v>4</v>
      </c>
      <c r="E535" s="1430" t="str">
        <f t="shared" si="642"/>
        <v/>
      </c>
      <c r="F535" s="1448" t="str">
        <f t="shared" si="643"/>
        <v>TJ</v>
      </c>
      <c r="G535" s="47"/>
      <c r="H535" s="119"/>
      <c r="I535" s="47"/>
      <c r="J535" s="119"/>
      <c r="K535" s="43"/>
      <c r="L535" s="43"/>
      <c r="M535" s="43"/>
      <c r="N535" s="43"/>
      <c r="O535" s="336"/>
      <c r="P535" s="158"/>
      <c r="Q535" s="694"/>
      <c r="R535" s="694"/>
      <c r="S535" s="1449" t="str">
        <f>IF($M459&lt;&gt;EUconst_Relevant,"",
IF($V459&gt;($J$1840-3),
              IF(INDEX(H516:N516,MATCH($V459,$T531:$Z531,0))=0,0,INDEX(H535:N535,MATCH($V459,$T531:$Z531,0))/INDEX(H516:N516,MATCH($V459,$T531:$Z531,0))),
                             IF(ISNUMBER(G516),
                                            IF(OR(G516=0,$S500=FALSE),0,G535/G516),"")))</f>
        <v/>
      </c>
      <c r="T535" s="1450" t="str">
        <f t="shared" si="644"/>
        <v/>
      </c>
      <c r="U535" s="1450" t="str">
        <f t="shared" si="651"/>
        <v/>
      </c>
      <c r="V535" s="1450" t="str">
        <f t="shared" si="652"/>
        <v/>
      </c>
      <c r="W535" s="1450" t="str">
        <f t="shared" si="653"/>
        <v/>
      </c>
      <c r="X535" s="1450" t="str">
        <f t="shared" si="654"/>
        <v/>
      </c>
      <c r="Y535" s="1450" t="str">
        <f t="shared" si="655"/>
        <v/>
      </c>
      <c r="Z535" s="1451" t="str">
        <f t="shared" si="656"/>
        <v/>
      </c>
      <c r="AA535" s="694"/>
      <c r="AB535" s="1431">
        <f t="shared" si="657"/>
        <v>2</v>
      </c>
      <c r="AC535" s="1432">
        <f>IF(CNTR_ExistSubInstEntries,IF(OR($M459&lt;&gt;EUconst_Relevant,AC531&gt;=CNTR_ReportingYear,AC531&lt;$V459-1,$E535=""),0,IF(AND($T525=2,COUNTIF($V476:V476,TRUE)&gt;0,$S500),2,1)),2)</f>
        <v>2</v>
      </c>
      <c r="AD535" s="1432">
        <f>IF(CNTR_ExistSubInstEntries,IF(OR($M459&lt;&gt;EUconst_Relevant,AD531&gt;=CNTR_ReportingYear,AD531&lt;$V459-1,$E535=""),0,IF(AND($T525=2,COUNTIF($V476:W476,TRUE)&gt;0,$S500),2,1)),2)</f>
        <v>2</v>
      </c>
      <c r="AE535" s="1432">
        <f>IF(CNTR_ExistSubInstEntries,IF(OR($M459&lt;&gt;EUconst_Relevant,AE531&gt;=CNTR_ReportingYear,AE531&lt;$V459-1,$E535=""),0,IF(AND($T525=2,COUNTIF($V476:X476,TRUE)&gt;0,$S500),2,1)),2)</f>
        <v>2</v>
      </c>
      <c r="AF535" s="1432">
        <f>IF(CNTR_ExistSubInstEntries,IF(OR($M459&lt;&gt;EUconst_Relevant,AF531&gt;=CNTR_ReportingYear,AF531&lt;$V459-1,$E535=""),0,IF(AND($T525=2,COUNTIF($V476:Y476,TRUE)&gt;0,$S500),2,1)),2)</f>
        <v>2</v>
      </c>
      <c r="AG535" s="1432">
        <f>IF(CNTR_ExistSubInstEntries,IF(OR($M459&lt;&gt;EUconst_Relevant,AG531&gt;=CNTR_ReportingYear,AG531&lt;$V459-1,$E535=""),0,IF(AND($T525=2,COUNTIF($V476:Z476,TRUE)&gt;0,$S500),2,1)),2)</f>
        <v>2</v>
      </c>
      <c r="AH535" s="1432">
        <f>IF(CNTR_ExistSubInstEntries,IF(OR($M459&lt;&gt;EUconst_Relevant,AH531&gt;=CNTR_ReportingYear,AH531&lt;$V459-1,$E535=""),0,IF(AND($T525=2,COUNTIF($V476:AA476,TRUE)&gt;0,$S500),2,1)),2)</f>
        <v>2</v>
      </c>
      <c r="AI535" s="1452">
        <f>IF(CNTR_ExistSubInstEntries,IF(OR($M459&lt;&gt;EUconst_Relevant,AI531&gt;=CNTR_ReportingYear,AI531&lt;$V459-1,$E535=""),0,IF(AND($T525=2,COUNTIF($V476:AB476,TRUE)&gt;0,$S500),2,1)),2)</f>
        <v>2</v>
      </c>
      <c r="AJ535" s="343"/>
      <c r="AK535" s="1174" t="s">
        <v>2039</v>
      </c>
      <c r="AL535" s="1176" t="str">
        <f>IF(AND(CNTR_ExistSubInstEntries,COUNTIFS(AB535:AI535,2,G535:N535,"")&gt;0),EUconst_Error&amp;"FB"&amp;Q459,"")</f>
        <v/>
      </c>
      <c r="AM535" s="343"/>
    </row>
    <row r="536" spans="1:39" ht="12.75" customHeight="1" x14ac:dyDescent="0.25">
      <c r="A536" s="729" t="str">
        <f t="shared" si="597"/>
        <v/>
      </c>
      <c r="B536" s="698"/>
      <c r="C536" s="2906"/>
      <c r="D536" s="990">
        <v>5</v>
      </c>
      <c r="E536" s="1430" t="str">
        <f t="shared" si="642"/>
        <v/>
      </c>
      <c r="F536" s="1448" t="str">
        <f t="shared" si="643"/>
        <v>TJ</v>
      </c>
      <c r="G536" s="47"/>
      <c r="H536" s="119"/>
      <c r="I536" s="47"/>
      <c r="J536" s="119"/>
      <c r="K536" s="43"/>
      <c r="L536" s="43"/>
      <c r="M536" s="43"/>
      <c r="N536" s="43"/>
      <c r="O536" s="336"/>
      <c r="P536" s="158"/>
      <c r="Q536" s="694"/>
      <c r="R536" s="694"/>
      <c r="S536" s="1449" t="str">
        <f>IF($M459&lt;&gt;EUconst_Relevant,"",
IF($V459&gt;($J$1840-3),
              IF(INDEX(H517:N517,MATCH($V459,$T531:$Z531,0))=0,0,INDEX(H536:N536,MATCH($V459,$T531:$Z531,0))/INDEX(H517:N517,MATCH($V459,$T531:$Z531,0))),
                             IF(ISNUMBER(G517),
                                            IF(OR(G517=0,$S501=FALSE),0,G536/G517),"")))</f>
        <v/>
      </c>
      <c r="T536" s="1450" t="str">
        <f t="shared" si="644"/>
        <v/>
      </c>
      <c r="U536" s="1450" t="str">
        <f t="shared" si="651"/>
        <v/>
      </c>
      <c r="V536" s="1450" t="str">
        <f t="shared" si="652"/>
        <v/>
      </c>
      <c r="W536" s="1450" t="str">
        <f t="shared" si="653"/>
        <v/>
      </c>
      <c r="X536" s="1450" t="str">
        <f t="shared" si="654"/>
        <v/>
      </c>
      <c r="Y536" s="1450" t="str">
        <f t="shared" si="655"/>
        <v/>
      </c>
      <c r="Z536" s="1451" t="str">
        <f t="shared" si="656"/>
        <v/>
      </c>
      <c r="AA536" s="694"/>
      <c r="AB536" s="1431">
        <f t="shared" si="657"/>
        <v>2</v>
      </c>
      <c r="AC536" s="1432">
        <f>IF(CNTR_ExistSubInstEntries,IF(OR($M459&lt;&gt;EUconst_Relevant,AC531&gt;=CNTR_ReportingYear,AC531&lt;$V459-1,$E536=""),0,IF(AND($T525=2,COUNTIF($V476:V476,TRUE)&gt;0,$S501),2,1)),2)</f>
        <v>2</v>
      </c>
      <c r="AD536" s="1432">
        <f>IF(CNTR_ExistSubInstEntries,IF(OR($M459&lt;&gt;EUconst_Relevant,AD531&gt;=CNTR_ReportingYear,AD531&lt;$V459-1,$E536=""),0,IF(AND($T525=2,COUNTIF($V476:W476,TRUE)&gt;0,$S501),2,1)),2)</f>
        <v>2</v>
      </c>
      <c r="AE536" s="1432">
        <f>IF(CNTR_ExistSubInstEntries,IF(OR($M459&lt;&gt;EUconst_Relevant,AE531&gt;=CNTR_ReportingYear,AE531&lt;$V459-1,$E536=""),0,IF(AND($T525=2,COUNTIF($V476:X476,TRUE)&gt;0,$S501),2,1)),2)</f>
        <v>2</v>
      </c>
      <c r="AF536" s="1432">
        <f>IF(CNTR_ExistSubInstEntries,IF(OR($M459&lt;&gt;EUconst_Relevant,AF531&gt;=CNTR_ReportingYear,AF531&lt;$V459-1,$E536=""),0,IF(AND($T525=2,COUNTIF($V476:Y476,TRUE)&gt;0,$S501),2,1)),2)</f>
        <v>2</v>
      </c>
      <c r="AG536" s="1432">
        <f>IF(CNTR_ExistSubInstEntries,IF(OR($M459&lt;&gt;EUconst_Relevant,AG531&gt;=CNTR_ReportingYear,AG531&lt;$V459-1,$E536=""),0,IF(AND($T525=2,COUNTIF($V476:Z476,TRUE)&gt;0,$S501),2,1)),2)</f>
        <v>2</v>
      </c>
      <c r="AH536" s="1432">
        <f>IF(CNTR_ExistSubInstEntries,IF(OR($M459&lt;&gt;EUconst_Relevant,AH531&gt;=CNTR_ReportingYear,AH531&lt;$V459-1,$E536=""),0,IF(AND($T525=2,COUNTIF($V476:AA476,TRUE)&gt;0,$S501),2,1)),2)</f>
        <v>2</v>
      </c>
      <c r="AI536" s="1452">
        <f>IF(CNTR_ExistSubInstEntries,IF(OR($M459&lt;&gt;EUconst_Relevant,AI531&gt;=CNTR_ReportingYear,AI531&lt;$V459-1,$E536=""),0,IF(AND($T525=2,COUNTIF($V476:AB476,TRUE)&gt;0,$S501),2,1)),2)</f>
        <v>2</v>
      </c>
      <c r="AJ536" s="343"/>
      <c r="AK536" s="1174" t="s">
        <v>2039</v>
      </c>
      <c r="AL536" s="1176" t="str">
        <f>IF(AND(CNTR_ExistSubInstEntries,COUNTIFS(AB536:AI536,2,G536:N536,"")&gt;0),EUconst_Error&amp;"FB"&amp;Q459,"")</f>
        <v/>
      </c>
      <c r="AM536" s="343"/>
    </row>
    <row r="537" spans="1:39" ht="12.75" customHeight="1" x14ac:dyDescent="0.25">
      <c r="A537" s="729" t="str">
        <f t="shared" si="597"/>
        <v/>
      </c>
      <c r="B537" s="698"/>
      <c r="C537" s="2906"/>
      <c r="D537" s="990">
        <v>6</v>
      </c>
      <c r="E537" s="1430" t="str">
        <f t="shared" si="642"/>
        <v/>
      </c>
      <c r="F537" s="1448" t="str">
        <f t="shared" si="643"/>
        <v>TJ</v>
      </c>
      <c r="G537" s="47"/>
      <c r="H537" s="119"/>
      <c r="I537" s="47"/>
      <c r="J537" s="119"/>
      <c r="K537" s="43"/>
      <c r="L537" s="43"/>
      <c r="M537" s="43"/>
      <c r="N537" s="43"/>
      <c r="O537" s="336"/>
      <c r="P537" s="158"/>
      <c r="Q537" s="694"/>
      <c r="R537" s="694"/>
      <c r="S537" s="1449" t="str">
        <f>IF($M459&lt;&gt;EUconst_Relevant,"",
IF($V459&gt;($J$1840-3),
              IF(INDEX(H518:N518,MATCH($V459,$T531:$Z531,0))=0,0,INDEX(H537:N537,MATCH($V459,$T531:$Z531,0))/INDEX(H518:N518,MATCH($V459,$T531:$Z531,0))),
                             IF(ISNUMBER(G518),
                                            IF(OR(G518=0,$S502=FALSE),0,G537/G518),"")))</f>
        <v/>
      </c>
      <c r="T537" s="1450" t="str">
        <f t="shared" si="644"/>
        <v/>
      </c>
      <c r="U537" s="1450" t="str">
        <f t="shared" si="651"/>
        <v/>
      </c>
      <c r="V537" s="1450" t="str">
        <f t="shared" si="652"/>
        <v/>
      </c>
      <c r="W537" s="1450" t="str">
        <f t="shared" si="653"/>
        <v/>
      </c>
      <c r="X537" s="1450" t="str">
        <f t="shared" si="654"/>
        <v/>
      </c>
      <c r="Y537" s="1450" t="str">
        <f t="shared" si="655"/>
        <v/>
      </c>
      <c r="Z537" s="1451" t="str">
        <f t="shared" si="656"/>
        <v/>
      </c>
      <c r="AA537" s="694"/>
      <c r="AB537" s="1431">
        <f t="shared" si="657"/>
        <v>2</v>
      </c>
      <c r="AC537" s="1432">
        <f>IF(CNTR_ExistSubInstEntries,IF(OR($M459&lt;&gt;EUconst_Relevant,AC531&gt;=CNTR_ReportingYear,AC531&lt;$V459-1,$E537=""),0,IF(AND($T525=2,COUNTIF($V476:V476,TRUE)&gt;0,$S502),2,1)),2)</f>
        <v>2</v>
      </c>
      <c r="AD537" s="1432">
        <f>IF(CNTR_ExistSubInstEntries,IF(OR($M459&lt;&gt;EUconst_Relevant,AD531&gt;=CNTR_ReportingYear,AD531&lt;$V459-1,$E537=""),0,IF(AND($T525=2,COUNTIF($V476:W476,TRUE)&gt;0,$S502),2,1)),2)</f>
        <v>2</v>
      </c>
      <c r="AE537" s="1432">
        <f>IF(CNTR_ExistSubInstEntries,IF(OR($M459&lt;&gt;EUconst_Relevant,AE531&gt;=CNTR_ReportingYear,AE531&lt;$V459-1,$E537=""),0,IF(AND($T525=2,COUNTIF($V476:X476,TRUE)&gt;0,$S502),2,1)),2)</f>
        <v>2</v>
      </c>
      <c r="AF537" s="1432">
        <f>IF(CNTR_ExistSubInstEntries,IF(OR($M459&lt;&gt;EUconst_Relevant,AF531&gt;=CNTR_ReportingYear,AF531&lt;$V459-1,$E537=""),0,IF(AND($T525=2,COUNTIF($V476:Y476,TRUE)&gt;0,$S502),2,1)),2)</f>
        <v>2</v>
      </c>
      <c r="AG537" s="1432">
        <f>IF(CNTR_ExistSubInstEntries,IF(OR($M459&lt;&gt;EUconst_Relevant,AG531&gt;=CNTR_ReportingYear,AG531&lt;$V459-1,$E537=""),0,IF(AND($T525=2,COUNTIF($V476:Z476,TRUE)&gt;0,$S502),2,1)),2)</f>
        <v>2</v>
      </c>
      <c r="AH537" s="1432">
        <f>IF(CNTR_ExistSubInstEntries,IF(OR($M459&lt;&gt;EUconst_Relevant,AH531&gt;=CNTR_ReportingYear,AH531&lt;$V459-1,$E537=""),0,IF(AND($T525=2,COUNTIF($V476:AA476,TRUE)&gt;0,$S502),2,1)),2)</f>
        <v>2</v>
      </c>
      <c r="AI537" s="1452">
        <f>IF(CNTR_ExistSubInstEntries,IF(OR($M459&lt;&gt;EUconst_Relevant,AI531&gt;=CNTR_ReportingYear,AI531&lt;$V459-1,$E537=""),0,IF(AND($T525=2,COUNTIF($V476:AB476,TRUE)&gt;0,$S502),2,1)),2)</f>
        <v>2</v>
      </c>
      <c r="AJ537" s="343"/>
      <c r="AK537" s="1174" t="s">
        <v>2039</v>
      </c>
      <c r="AL537" s="1176" t="str">
        <f>IF(AND(CNTR_ExistSubInstEntries,COUNTIFS(AB537:AI537,2,G537:N537,"")&gt;0),EUconst_Error&amp;"FB"&amp;Q459,"")</f>
        <v/>
      </c>
      <c r="AM537" s="343"/>
    </row>
    <row r="538" spans="1:39" ht="12.75" customHeight="1" x14ac:dyDescent="0.25">
      <c r="A538" s="729" t="str">
        <f t="shared" si="597"/>
        <v/>
      </c>
      <c r="B538" s="698"/>
      <c r="C538" s="2906"/>
      <c r="D538" s="990">
        <v>7</v>
      </c>
      <c r="E538" s="1430" t="str">
        <f t="shared" si="642"/>
        <v/>
      </c>
      <c r="F538" s="1448" t="str">
        <f t="shared" si="643"/>
        <v>TJ</v>
      </c>
      <c r="G538" s="47"/>
      <c r="H538" s="119"/>
      <c r="I538" s="47"/>
      <c r="J538" s="119"/>
      <c r="K538" s="43"/>
      <c r="L538" s="43"/>
      <c r="M538" s="43"/>
      <c r="N538" s="43"/>
      <c r="O538" s="336"/>
      <c r="P538" s="158"/>
      <c r="Q538" s="694"/>
      <c r="R538" s="694"/>
      <c r="S538" s="1449" t="str">
        <f>IF($M459&lt;&gt;EUconst_Relevant,"",
IF($V459&gt;($J$1840-3),
              IF(INDEX(H519:N519,MATCH($V459,$T531:$Z531,0))=0,0,INDEX(H538:N538,MATCH($V459,$T531:$Z531,0))/INDEX(H519:N519,MATCH($V459,$T531:$Z531,0))),
                             IF(ISNUMBER(G519),
                                            IF(OR(G519=0,$S503=FALSE),0,G538/G519),"")))</f>
        <v/>
      </c>
      <c r="T538" s="1450" t="str">
        <f t="shared" si="644"/>
        <v/>
      </c>
      <c r="U538" s="1450" t="str">
        <f t="shared" si="651"/>
        <v/>
      </c>
      <c r="V538" s="1450" t="str">
        <f t="shared" si="652"/>
        <v/>
      </c>
      <c r="W538" s="1450" t="str">
        <f t="shared" si="653"/>
        <v/>
      </c>
      <c r="X538" s="1450" t="str">
        <f t="shared" si="654"/>
        <v/>
      </c>
      <c r="Y538" s="1450" t="str">
        <f t="shared" si="655"/>
        <v/>
      </c>
      <c r="Z538" s="1451" t="str">
        <f t="shared" si="656"/>
        <v/>
      </c>
      <c r="AA538" s="694"/>
      <c r="AB538" s="1431">
        <f t="shared" si="657"/>
        <v>2</v>
      </c>
      <c r="AC538" s="1432">
        <f>IF(CNTR_ExistSubInstEntries,IF(OR($M459&lt;&gt;EUconst_Relevant,AC531&gt;=CNTR_ReportingYear,AC531&lt;$V459-1,$E538=""),0,IF(AND($T525=2,COUNTIF($V476:V476,TRUE)&gt;0,$S503),2,1)),2)</f>
        <v>2</v>
      </c>
      <c r="AD538" s="1432">
        <f>IF(CNTR_ExistSubInstEntries,IF(OR($M459&lt;&gt;EUconst_Relevant,AD531&gt;=CNTR_ReportingYear,AD531&lt;$V459-1,$E538=""),0,IF(AND($T525=2,COUNTIF($V476:W476,TRUE)&gt;0,$S503),2,1)),2)</f>
        <v>2</v>
      </c>
      <c r="AE538" s="1432">
        <f>IF(CNTR_ExistSubInstEntries,IF(OR($M459&lt;&gt;EUconst_Relevant,AE531&gt;=CNTR_ReportingYear,AE531&lt;$V459-1,$E538=""),0,IF(AND($T525=2,COUNTIF($V476:X476,TRUE)&gt;0,$S503),2,1)),2)</f>
        <v>2</v>
      </c>
      <c r="AF538" s="1432">
        <f>IF(CNTR_ExistSubInstEntries,IF(OR($M459&lt;&gt;EUconst_Relevant,AF531&gt;=CNTR_ReportingYear,AF531&lt;$V459-1,$E538=""),0,IF(AND($T525=2,COUNTIF($V476:Y476,TRUE)&gt;0,$S503),2,1)),2)</f>
        <v>2</v>
      </c>
      <c r="AG538" s="1432">
        <f>IF(CNTR_ExistSubInstEntries,IF(OR($M459&lt;&gt;EUconst_Relevant,AG531&gt;=CNTR_ReportingYear,AG531&lt;$V459-1,$E538=""),0,IF(AND($T525=2,COUNTIF($V476:Z476,TRUE)&gt;0,$S503),2,1)),2)</f>
        <v>2</v>
      </c>
      <c r="AH538" s="1432">
        <f>IF(CNTR_ExistSubInstEntries,IF(OR($M459&lt;&gt;EUconst_Relevant,AH531&gt;=CNTR_ReportingYear,AH531&lt;$V459-1,$E538=""),0,IF(AND($T525=2,COUNTIF($V476:AA476,TRUE)&gt;0,$S503),2,1)),2)</f>
        <v>2</v>
      </c>
      <c r="AI538" s="1452">
        <f>IF(CNTR_ExistSubInstEntries,IF(OR($M459&lt;&gt;EUconst_Relevant,AI531&gt;=CNTR_ReportingYear,AI531&lt;$V459-1,$E538=""),0,IF(AND($T525=2,COUNTIF($V476:AB476,TRUE)&gt;0,$S503),2,1)),2)</f>
        <v>2</v>
      </c>
      <c r="AJ538" s="343"/>
      <c r="AK538" s="1174" t="s">
        <v>2039</v>
      </c>
      <c r="AL538" s="1176" t="str">
        <f>IF(AND(CNTR_ExistSubInstEntries,COUNTIFS(AB538:AI538,2,G538:N538,"")&gt;0),EUconst_Error&amp;"FB"&amp;Q459,"")</f>
        <v/>
      </c>
      <c r="AM538" s="343"/>
    </row>
    <row r="539" spans="1:39" ht="12.75" customHeight="1" x14ac:dyDescent="0.25">
      <c r="A539" s="729" t="str">
        <f t="shared" si="597"/>
        <v/>
      </c>
      <c r="B539" s="698"/>
      <c r="C539" s="2906"/>
      <c r="D539" s="990">
        <v>8</v>
      </c>
      <c r="E539" s="1430" t="str">
        <f t="shared" si="642"/>
        <v/>
      </c>
      <c r="F539" s="1448" t="str">
        <f t="shared" si="643"/>
        <v>TJ</v>
      </c>
      <c r="G539" s="47"/>
      <c r="H539" s="119"/>
      <c r="I539" s="47"/>
      <c r="J539" s="119"/>
      <c r="K539" s="43"/>
      <c r="L539" s="43"/>
      <c r="M539" s="43"/>
      <c r="N539" s="43"/>
      <c r="O539" s="336"/>
      <c r="P539" s="158"/>
      <c r="Q539" s="694"/>
      <c r="R539" s="694"/>
      <c r="S539" s="1449" t="str">
        <f>IF($M459&lt;&gt;EUconst_Relevant,"",
IF($V459&gt;($J$1840-3),
              IF(INDEX(H520:N520,MATCH($V459,$T531:$Z531,0))=0,0,INDEX(H539:N539,MATCH($V459,$T531:$Z531,0))/INDEX(H520:N520,MATCH($V459,$T531:$Z531,0))),
                             IF(ISNUMBER(G520),
                                            IF(OR(G520=0,$S504=FALSE),0,G539/G520),"")))</f>
        <v/>
      </c>
      <c r="T539" s="1450" t="str">
        <f t="shared" si="644"/>
        <v/>
      </c>
      <c r="U539" s="1450" t="str">
        <f t="shared" si="651"/>
        <v/>
      </c>
      <c r="V539" s="1450" t="str">
        <f t="shared" si="652"/>
        <v/>
      </c>
      <c r="W539" s="1450" t="str">
        <f t="shared" si="653"/>
        <v/>
      </c>
      <c r="X539" s="1450" t="str">
        <f t="shared" si="654"/>
        <v/>
      </c>
      <c r="Y539" s="1450" t="str">
        <f t="shared" si="655"/>
        <v/>
      </c>
      <c r="Z539" s="1451" t="str">
        <f t="shared" si="656"/>
        <v/>
      </c>
      <c r="AA539" s="694"/>
      <c r="AB539" s="1431">
        <f t="shared" si="657"/>
        <v>2</v>
      </c>
      <c r="AC539" s="1432">
        <f>IF(CNTR_ExistSubInstEntries,IF(OR($M459&lt;&gt;EUconst_Relevant,AC531&gt;=CNTR_ReportingYear,AC531&lt;$V459-1,$E539=""),0,IF(AND($T525=2,COUNTIF($V476:V476,TRUE)&gt;0,$S504),2,1)),2)</f>
        <v>2</v>
      </c>
      <c r="AD539" s="1432">
        <f>IF(CNTR_ExistSubInstEntries,IF(OR($M459&lt;&gt;EUconst_Relevant,AD531&gt;=CNTR_ReportingYear,AD531&lt;$V459-1,$E539=""),0,IF(AND($T525=2,COUNTIF($V476:W476,TRUE)&gt;0,$S504),2,1)),2)</f>
        <v>2</v>
      </c>
      <c r="AE539" s="1432">
        <f>IF(CNTR_ExistSubInstEntries,IF(OR($M459&lt;&gt;EUconst_Relevant,AE531&gt;=CNTR_ReportingYear,AE531&lt;$V459-1,$E539=""),0,IF(AND($T525=2,COUNTIF($V476:X476,TRUE)&gt;0,$S504),2,1)),2)</f>
        <v>2</v>
      </c>
      <c r="AF539" s="1432">
        <f>IF(CNTR_ExistSubInstEntries,IF(OR($M459&lt;&gt;EUconst_Relevant,AF531&gt;=CNTR_ReportingYear,AF531&lt;$V459-1,$E539=""),0,IF(AND($T525=2,COUNTIF($V476:Y476,TRUE)&gt;0,$S504),2,1)),2)</f>
        <v>2</v>
      </c>
      <c r="AG539" s="1432">
        <f>IF(CNTR_ExistSubInstEntries,IF(OR($M459&lt;&gt;EUconst_Relevant,AG531&gt;=CNTR_ReportingYear,AG531&lt;$V459-1,$E539=""),0,IF(AND($T525=2,COUNTIF($V476:Z476,TRUE)&gt;0,$S504),2,1)),2)</f>
        <v>2</v>
      </c>
      <c r="AH539" s="1432">
        <f>IF(CNTR_ExistSubInstEntries,IF(OR($M459&lt;&gt;EUconst_Relevant,AH531&gt;=CNTR_ReportingYear,AH531&lt;$V459-1,$E539=""),0,IF(AND($T525=2,COUNTIF($V476:AA476,TRUE)&gt;0,$S504),2,1)),2)</f>
        <v>2</v>
      </c>
      <c r="AI539" s="1452">
        <f>IF(CNTR_ExistSubInstEntries,IF(OR($M459&lt;&gt;EUconst_Relevant,AI531&gt;=CNTR_ReportingYear,AI531&lt;$V459-1,$E539=""),0,IF(AND($T525=2,COUNTIF($V476:AB476,TRUE)&gt;0,$S504),2,1)),2)</f>
        <v>2</v>
      </c>
      <c r="AJ539" s="343"/>
      <c r="AK539" s="1174" t="s">
        <v>2039</v>
      </c>
      <c r="AL539" s="1176" t="str">
        <f>IF(AND(CNTR_ExistSubInstEntries,COUNTIFS(AB539:AI539,2,G539:N539,"")&gt;0),EUconst_Error&amp;"FB"&amp;Q459,"")</f>
        <v/>
      </c>
      <c r="AM539" s="343"/>
    </row>
    <row r="540" spans="1:39" ht="12.75" customHeight="1" x14ac:dyDescent="0.25">
      <c r="A540" s="729" t="str">
        <f t="shared" si="597"/>
        <v/>
      </c>
      <c r="B540" s="698"/>
      <c r="C540" s="2906"/>
      <c r="D540" s="990">
        <v>9</v>
      </c>
      <c r="E540" s="1430" t="str">
        <f t="shared" si="642"/>
        <v/>
      </c>
      <c r="F540" s="1448" t="str">
        <f t="shared" si="643"/>
        <v>TJ</v>
      </c>
      <c r="G540" s="47"/>
      <c r="H540" s="119"/>
      <c r="I540" s="47"/>
      <c r="J540" s="119"/>
      <c r="K540" s="43"/>
      <c r="L540" s="43"/>
      <c r="M540" s="43"/>
      <c r="N540" s="43"/>
      <c r="O540" s="302"/>
      <c r="P540" s="158"/>
      <c r="Q540" s="694"/>
      <c r="R540" s="694"/>
      <c r="S540" s="1449" t="str">
        <f>IF($M459&lt;&gt;EUconst_Relevant,"",
IF($V459&gt;($J$1840-3),
              IF(INDEX(H521:N521,MATCH($V459,$T531:$Z531,0))=0,0,INDEX(H540:N540,MATCH($V459,$T531:$Z531,0))/INDEX(H521:N521,MATCH($V459,$T531:$Z531,0))),
                             IF(ISNUMBER(G521),
                                            IF(OR(G521=0,$S505=FALSE),0,G540/G521),"")))</f>
        <v/>
      </c>
      <c r="T540" s="1450" t="str">
        <f t="shared" si="644"/>
        <v/>
      </c>
      <c r="U540" s="1450" t="str">
        <f t="shared" si="651"/>
        <v/>
      </c>
      <c r="V540" s="1450" t="str">
        <f t="shared" si="652"/>
        <v/>
      </c>
      <c r="W540" s="1450" t="str">
        <f t="shared" si="653"/>
        <v/>
      </c>
      <c r="X540" s="1450" t="str">
        <f t="shared" si="654"/>
        <v/>
      </c>
      <c r="Y540" s="1450" t="str">
        <f t="shared" si="655"/>
        <v/>
      </c>
      <c r="Z540" s="1451" t="str">
        <f t="shared" si="656"/>
        <v/>
      </c>
      <c r="AA540" s="694"/>
      <c r="AB540" s="1431">
        <f t="shared" si="657"/>
        <v>2</v>
      </c>
      <c r="AC540" s="1432">
        <f>IF(CNTR_ExistSubInstEntries,IF(OR($M459&lt;&gt;EUconst_Relevant,AC531&gt;=CNTR_ReportingYear,AC531&lt;$V459-1,$E540=""),0,IF(AND($T525=2,COUNTIF($V476:V476,TRUE)&gt;0,$S505),2,1)),2)</f>
        <v>2</v>
      </c>
      <c r="AD540" s="1432">
        <f>IF(CNTR_ExistSubInstEntries,IF(OR($M459&lt;&gt;EUconst_Relevant,AD531&gt;=CNTR_ReportingYear,AD531&lt;$V459-1,$E540=""),0,IF(AND($T525=2,COUNTIF($V476:W476,TRUE)&gt;0,$S505),2,1)),2)</f>
        <v>2</v>
      </c>
      <c r="AE540" s="1432">
        <f>IF(CNTR_ExistSubInstEntries,IF(OR($M459&lt;&gt;EUconst_Relevant,AE531&gt;=CNTR_ReportingYear,AE531&lt;$V459-1,$E540=""),0,IF(AND($T525=2,COUNTIF($V476:X476,TRUE)&gt;0,$S505),2,1)),2)</f>
        <v>2</v>
      </c>
      <c r="AF540" s="1432">
        <f>IF(CNTR_ExistSubInstEntries,IF(OR($M459&lt;&gt;EUconst_Relevant,AF531&gt;=CNTR_ReportingYear,AF531&lt;$V459-1,$E540=""),0,IF(AND($T525=2,COUNTIF($V476:Y476,TRUE)&gt;0,$S505),2,1)),2)</f>
        <v>2</v>
      </c>
      <c r="AG540" s="1432">
        <f>IF(CNTR_ExistSubInstEntries,IF(OR($M459&lt;&gt;EUconst_Relevant,AG531&gt;=CNTR_ReportingYear,AG531&lt;$V459-1,$E540=""),0,IF(AND($T525=2,COUNTIF($V476:Z476,TRUE)&gt;0,$S505),2,1)),2)</f>
        <v>2</v>
      </c>
      <c r="AH540" s="1432">
        <f>IF(CNTR_ExistSubInstEntries,IF(OR($M459&lt;&gt;EUconst_Relevant,AH531&gt;=CNTR_ReportingYear,AH531&lt;$V459-1,$E540=""),0,IF(AND($T525=2,COUNTIF($V476:AA476,TRUE)&gt;0,$S505),2,1)),2)</f>
        <v>2</v>
      </c>
      <c r="AI540" s="1452">
        <f>IF(CNTR_ExistSubInstEntries,IF(OR($M459&lt;&gt;EUconst_Relevant,AI531&gt;=CNTR_ReportingYear,AI531&lt;$V459-1,$E540=""),0,IF(AND($T525=2,COUNTIF($V476:AB476,TRUE)&gt;0,$S505),2,1)),2)</f>
        <v>2</v>
      </c>
      <c r="AJ540" s="343"/>
      <c r="AK540" s="1174" t="s">
        <v>2039</v>
      </c>
      <c r="AL540" s="1176" t="str">
        <f>IF(AND(CNTR_ExistSubInstEntries,COUNTIFS(AB540:AI540,2,G540:N540,"")&gt;0),EUconst_Error&amp;"FB"&amp;Q459,"")</f>
        <v/>
      </c>
      <c r="AM540" s="343"/>
    </row>
    <row r="541" spans="1:39" ht="12.75" customHeight="1" thickBot="1" x14ac:dyDescent="0.3">
      <c r="A541" s="729" t="str">
        <f t="shared" si="597"/>
        <v/>
      </c>
      <c r="B541" s="698"/>
      <c r="C541" s="2906"/>
      <c r="D541" s="994">
        <v>10</v>
      </c>
      <c r="E541" s="1435" t="str">
        <f t="shared" si="642"/>
        <v/>
      </c>
      <c r="F541" s="1453" t="str">
        <f t="shared" si="643"/>
        <v>TJ</v>
      </c>
      <c r="G541" s="48"/>
      <c r="H541" s="117"/>
      <c r="I541" s="48"/>
      <c r="J541" s="117"/>
      <c r="K541" s="38"/>
      <c r="L541" s="38"/>
      <c r="M541" s="38"/>
      <c r="N541" s="38"/>
      <c r="O541" s="302"/>
      <c r="P541" s="158"/>
      <c r="Q541" s="694"/>
      <c r="R541" s="694"/>
      <c r="S541" s="1454" t="str">
        <f>IF($M459&lt;&gt;EUconst_Relevant,"",
IF($V459&gt;($J$1840-3),
              IF(INDEX(H522:N522,MATCH($V459,$T531:$Z531,0))=0,0,INDEX(H541:N541,MATCH($V459,$T531:$Z531,0))/INDEX(H522:N522,MATCH($V459,$T531:$Z531,0))),
                             IF(ISNUMBER(G522),
                                            IF(OR(G522=0,$S506=FALSE),0,G541/G522),"")))</f>
        <v/>
      </c>
      <c r="T541" s="1455" t="str">
        <f t="shared" si="644"/>
        <v/>
      </c>
      <c r="U541" s="1455" t="str">
        <f t="shared" si="651"/>
        <v/>
      </c>
      <c r="V541" s="1455" t="str">
        <f t="shared" si="652"/>
        <v/>
      </c>
      <c r="W541" s="1455" t="str">
        <f t="shared" si="653"/>
        <v/>
      </c>
      <c r="X541" s="1455" t="str">
        <f t="shared" si="654"/>
        <v/>
      </c>
      <c r="Y541" s="1455" t="str">
        <f t="shared" si="655"/>
        <v/>
      </c>
      <c r="Z541" s="1456" t="str">
        <f t="shared" si="656"/>
        <v/>
      </c>
      <c r="AA541" s="694"/>
      <c r="AB541" s="1436">
        <f t="shared" si="657"/>
        <v>2</v>
      </c>
      <c r="AC541" s="1437">
        <f>IF(CNTR_ExistSubInstEntries,IF(OR($M459&lt;&gt;EUconst_Relevant,AC531&gt;=CNTR_ReportingYear,AC531&lt;$V459-1,$E541=""),0,IF(AND($T525=2,COUNTIF($V476:V476,TRUE)&gt;0,$S506),2,1)),2)</f>
        <v>2</v>
      </c>
      <c r="AD541" s="1437">
        <f>IF(CNTR_ExistSubInstEntries,IF(OR($M459&lt;&gt;EUconst_Relevant,AD531&gt;=CNTR_ReportingYear,AD531&lt;$V459-1,$E541=""),0,IF(AND($T525=2,COUNTIF($V476:W476,TRUE)&gt;0,$S506),2,1)),2)</f>
        <v>2</v>
      </c>
      <c r="AE541" s="1437">
        <f>IF(CNTR_ExistSubInstEntries,IF(OR($M459&lt;&gt;EUconst_Relevant,AE531&gt;=CNTR_ReportingYear,AE531&lt;$V459-1,$E541=""),0,IF(AND($T525=2,COUNTIF($V476:X476,TRUE)&gt;0,$S506),2,1)),2)</f>
        <v>2</v>
      </c>
      <c r="AF541" s="1437">
        <f>IF(CNTR_ExistSubInstEntries,IF(OR($M459&lt;&gt;EUconst_Relevant,AF531&gt;=CNTR_ReportingYear,AF531&lt;$V459-1,$E541=""),0,IF(AND($T525=2,COUNTIF($V476:Y476,TRUE)&gt;0,$S506),2,1)),2)</f>
        <v>2</v>
      </c>
      <c r="AG541" s="1437">
        <f>IF(CNTR_ExistSubInstEntries,IF(OR($M459&lt;&gt;EUconst_Relevant,AG531&gt;=CNTR_ReportingYear,AG531&lt;$V459-1,$E541=""),0,IF(AND($T525=2,COUNTIF($V476:Z476,TRUE)&gt;0,$S506),2,1)),2)</f>
        <v>2</v>
      </c>
      <c r="AH541" s="1437">
        <f>IF(CNTR_ExistSubInstEntries,IF(OR($M459&lt;&gt;EUconst_Relevant,AH531&gt;=CNTR_ReportingYear,AH531&lt;$V459-1,$E541=""),0,IF(AND($T525=2,COUNTIF($V476:AA476,TRUE)&gt;0,$S506),2,1)),2)</f>
        <v>2</v>
      </c>
      <c r="AI541" s="1457">
        <f>IF(CNTR_ExistSubInstEntries,IF(OR($M459&lt;&gt;EUconst_Relevant,AI531&gt;=CNTR_ReportingYear,AI531&lt;$V459-1,$E541=""),0,IF(AND($T525=2,COUNTIF($V476:AB476,TRUE)&gt;0,$S506),2,1)),2)</f>
        <v>2</v>
      </c>
      <c r="AJ541" s="343"/>
      <c r="AK541" s="1174" t="s">
        <v>2039</v>
      </c>
      <c r="AL541" s="1176" t="str">
        <f>IF(AND(CNTR_ExistSubInstEntries,COUNTIFS(AB541:AI541,2,G541:N541,"")&gt;0),EUconst_Error&amp;"FB"&amp;Q459,"")</f>
        <v/>
      </c>
      <c r="AM541" s="343"/>
    </row>
    <row r="542" spans="1:39" ht="12.75" customHeight="1" thickBot="1" x14ac:dyDescent="0.3">
      <c r="A542" s="729" t="str">
        <f t="shared" si="597"/>
        <v/>
      </c>
      <c r="B542" s="698"/>
      <c r="C542" s="2906"/>
      <c r="D542" s="1293"/>
      <c r="E542" s="1458" t="str">
        <f>Translations!$B$1338</f>
        <v>Общо потребление</v>
      </c>
      <c r="F542" s="1453" t="str">
        <f t="shared" si="643"/>
        <v>TJ</v>
      </c>
      <c r="G542" s="1296" t="str">
        <f t="shared" ref="G542:N542" si="658">IF(COUNT(G532:G541)&gt;0,SUMIF($S497:$S506,TRUE,G532:G541),"")</f>
        <v/>
      </c>
      <c r="H542" s="1297" t="str">
        <f t="shared" si="658"/>
        <v/>
      </c>
      <c r="I542" s="1296" t="str">
        <f t="shared" si="658"/>
        <v/>
      </c>
      <c r="J542" s="1297" t="str">
        <f t="shared" si="658"/>
        <v/>
      </c>
      <c r="K542" s="1104" t="str">
        <f t="shared" si="658"/>
        <v/>
      </c>
      <c r="L542" s="1104" t="str">
        <f t="shared" si="658"/>
        <v/>
      </c>
      <c r="M542" s="1104" t="str">
        <f t="shared" si="658"/>
        <v/>
      </c>
      <c r="N542" s="1104" t="str">
        <f t="shared" si="658"/>
        <v/>
      </c>
      <c r="O542" s="302"/>
      <c r="P542" s="336"/>
      <c r="Q542" s="694"/>
      <c r="R542" s="694"/>
      <c r="S542" s="694"/>
      <c r="T542" s="1459">
        <f>SUM(T532:T541)</f>
        <v>0</v>
      </c>
      <c r="U542" s="1460">
        <f t="shared" ref="U542:Z542" si="659">SUM(U532:U541)</f>
        <v>0</v>
      </c>
      <c r="V542" s="1460">
        <f t="shared" si="659"/>
        <v>0</v>
      </c>
      <c r="W542" s="1460">
        <f t="shared" si="659"/>
        <v>0</v>
      </c>
      <c r="X542" s="1460">
        <f t="shared" si="659"/>
        <v>0</v>
      </c>
      <c r="Y542" s="1460">
        <f t="shared" si="659"/>
        <v>0</v>
      </c>
      <c r="Z542" s="1461">
        <f t="shared" si="659"/>
        <v>0</v>
      </c>
      <c r="AA542" s="694"/>
      <c r="AB542" s="729"/>
      <c r="AC542" s="694"/>
      <c r="AD542" s="694"/>
      <c r="AE542" s="343"/>
      <c r="AF542" s="343"/>
      <c r="AG542" s="343"/>
      <c r="AH542" s="343"/>
      <c r="AI542" s="343"/>
      <c r="AJ542" s="343"/>
      <c r="AK542" s="343"/>
      <c r="AL542" s="343"/>
      <c r="AM542" s="343"/>
    </row>
    <row r="543" spans="1:39" ht="12.75" customHeight="1" x14ac:dyDescent="0.25">
      <c r="A543" s="729" t="str">
        <f t="shared" si="597"/>
        <v/>
      </c>
      <c r="B543" s="698"/>
      <c r="C543" s="2906"/>
      <c r="D543" s="1462"/>
      <c r="E543" s="1463" t="str">
        <f>Translations!$B$1339</f>
        <v>Дял от a)</v>
      </c>
      <c r="F543" s="1464" t="str">
        <f t="shared" si="643"/>
        <v>TJ</v>
      </c>
      <c r="G543" s="274" t="str">
        <f>IF(COUNT(I475,G542)=2,IF(I475=0,EUconst_NA,G542/I475),"")</f>
        <v/>
      </c>
      <c r="H543" s="185" t="str">
        <f>IF(COUNT(H467,H542)=2,IF(H467=0,EUconst_NA,H542/H467),"")</f>
        <v/>
      </c>
      <c r="I543" s="186" t="str">
        <f t="shared" ref="I543:N543" si="660">IF(COUNT(I467,I542)=2,IF(I467=0,EUconst_NA,I542/I467),"")</f>
        <v/>
      </c>
      <c r="J543" s="185" t="str">
        <f t="shared" si="660"/>
        <v/>
      </c>
      <c r="K543" s="187" t="str">
        <f t="shared" si="660"/>
        <v/>
      </c>
      <c r="L543" s="187" t="str">
        <f t="shared" si="660"/>
        <v/>
      </c>
      <c r="M543" s="187" t="str">
        <f t="shared" si="660"/>
        <v/>
      </c>
      <c r="N543" s="187" t="str">
        <f t="shared" si="660"/>
        <v/>
      </c>
      <c r="O543" s="302"/>
      <c r="P543" s="336"/>
      <c r="Q543" s="694"/>
      <c r="R543" s="694"/>
      <c r="S543" s="694"/>
      <c r="T543" s="694"/>
      <c r="U543" s="694"/>
      <c r="V543" s="694"/>
      <c r="W543" s="694"/>
      <c r="X543" s="694"/>
      <c r="Y543" s="694"/>
      <c r="Z543" s="694"/>
      <c r="AA543" s="694"/>
      <c r="AB543" s="729"/>
      <c r="AC543" s="694"/>
      <c r="AD543" s="694"/>
      <c r="AE543" s="343"/>
      <c r="AF543" s="343"/>
      <c r="AG543" s="343"/>
      <c r="AH543" s="343"/>
      <c r="AI543" s="343"/>
      <c r="AJ543" s="343"/>
      <c r="AK543" s="343"/>
      <c r="AL543" s="343"/>
      <c r="AM543" s="343"/>
    </row>
    <row r="544" spans="1:39" ht="14.25" customHeight="1" x14ac:dyDescent="0.25">
      <c r="A544" s="729" t="str">
        <f t="shared" si="597"/>
        <v/>
      </c>
      <c r="B544" s="698"/>
      <c r="C544" s="284"/>
      <c r="D544" s="284"/>
      <c r="E544" s="284"/>
      <c r="F544" s="284"/>
      <c r="G544" s="228" t="str">
        <f>IF(G543="","",IF(AND(COUNTA(G532:G541)=0,$T525=2),EUconst_Incomplete,""))</f>
        <v/>
      </c>
      <c r="H544" s="229" t="str">
        <f t="shared" ref="H544:N544" si="661">IF(H543="","",IF(AND(OR(COUNTA(H532:H541)&gt;0,$T525=2),ABS(1-SUM(H543))&lt;0.5%),"",EUconst_Inconsistent))</f>
        <v/>
      </c>
      <c r="I544" s="230" t="str">
        <f t="shared" si="661"/>
        <v/>
      </c>
      <c r="J544" s="229" t="str">
        <f t="shared" si="661"/>
        <v/>
      </c>
      <c r="K544" s="231" t="str">
        <f t="shared" si="661"/>
        <v/>
      </c>
      <c r="L544" s="231" t="str">
        <f t="shared" si="661"/>
        <v/>
      </c>
      <c r="M544" s="231" t="str">
        <f t="shared" si="661"/>
        <v/>
      </c>
      <c r="N544" s="231" t="str">
        <f t="shared" si="661"/>
        <v/>
      </c>
      <c r="O544" s="302"/>
      <c r="P544" s="336"/>
      <c r="Q544" s="694"/>
      <c r="R544" s="694"/>
      <c r="S544" s="694"/>
      <c r="T544" s="694"/>
      <c r="U544" s="694"/>
      <c r="V544" s="694"/>
      <c r="W544" s="694"/>
      <c r="X544" s="694"/>
      <c r="Y544" s="694"/>
      <c r="Z544" s="729"/>
      <c r="AA544" s="729"/>
      <c r="AB544" s="729"/>
      <c r="AC544" s="694"/>
      <c r="AD544" s="694"/>
      <c r="AE544" s="343"/>
      <c r="AF544" s="343"/>
      <c r="AG544" s="343"/>
      <c r="AH544" s="343"/>
      <c r="AI544" s="343"/>
      <c r="AJ544" s="343"/>
      <c r="AK544" s="1174" t="s">
        <v>2148</v>
      </c>
      <c r="AL544" s="1176" t="str">
        <f>IF(COUNTIFS(G544:N544,"")&lt;COUNTA(G544:N544),EUconst_Error&amp;"FB"&amp;Q459,"")</f>
        <v/>
      </c>
      <c r="AM544" s="343"/>
    </row>
    <row r="545" spans="1:39" ht="5.15" customHeight="1" x14ac:dyDescent="0.25">
      <c r="A545" s="729" t="str">
        <f t="shared" si="597"/>
        <v/>
      </c>
      <c r="B545" s="698"/>
      <c r="C545" s="284"/>
      <c r="D545" s="284"/>
      <c r="E545" s="284"/>
      <c r="F545" s="284"/>
      <c r="G545" s="284"/>
      <c r="H545" s="284"/>
      <c r="I545" s="284"/>
      <c r="J545" s="284"/>
      <c r="K545" s="284"/>
      <c r="L545" s="284"/>
      <c r="M545" s="284"/>
      <c r="N545" s="284"/>
      <c r="O545" s="302"/>
      <c r="P545" s="336"/>
      <c r="Q545" s="694"/>
      <c r="R545" s="694"/>
      <c r="S545" s="694"/>
      <c r="T545" s="694"/>
      <c r="U545" s="694"/>
      <c r="V545" s="694"/>
      <c r="W545" s="694"/>
      <c r="X545" s="694"/>
      <c r="Y545" s="694"/>
      <c r="Z545" s="729"/>
      <c r="AA545" s="729"/>
      <c r="AB545" s="729"/>
      <c r="AC545" s="694"/>
      <c r="AD545" s="694"/>
      <c r="AE545" s="343"/>
      <c r="AF545" s="343"/>
      <c r="AG545" s="343"/>
      <c r="AH545" s="343"/>
      <c r="AI545" s="343"/>
      <c r="AJ545" s="343"/>
      <c r="AK545" s="343"/>
      <c r="AL545" s="343"/>
      <c r="AM545" s="343"/>
    </row>
    <row r="546" spans="1:39" ht="12.75" customHeight="1" x14ac:dyDescent="0.25">
      <c r="A546" s="729" t="str">
        <f t="shared" si="597"/>
        <v/>
      </c>
      <c r="B546" s="698"/>
      <c r="C546" s="284"/>
      <c r="D546" s="300" t="s">
        <v>1770</v>
      </c>
      <c r="E546" s="2226" t="str">
        <f>Translations!$B$1540</f>
        <v>Потребление на енергия извън СТЕ на ЕС по продукти за определяне на очакваните равнища на дейност</v>
      </c>
      <c r="F546" s="2249"/>
      <c r="G546" s="2249"/>
      <c r="H546" s="2249"/>
      <c r="I546" s="2249"/>
      <c r="J546" s="2249"/>
      <c r="K546" s="2249"/>
      <c r="L546" s="2249"/>
      <c r="M546" s="2249"/>
      <c r="N546" s="2249"/>
      <c r="O546" s="302"/>
      <c r="P546" s="295"/>
      <c r="Q546" s="694"/>
      <c r="R546" s="694"/>
      <c r="S546" s="729"/>
      <c r="T546" s="729"/>
      <c r="U546" s="729"/>
      <c r="V546" s="694"/>
      <c r="W546" s="694"/>
      <c r="X546" s="694"/>
      <c r="Y546" s="694"/>
      <c r="Z546" s="729"/>
      <c r="AA546" s="729"/>
      <c r="AB546" s="729"/>
      <c r="AC546" s="729"/>
      <c r="AD546" s="694"/>
      <c r="AE546" s="343"/>
      <c r="AF546" s="343"/>
      <c r="AG546" s="343"/>
      <c r="AH546" s="343"/>
      <c r="AI546" s="343"/>
      <c r="AJ546" s="343"/>
      <c r="AK546" s="343"/>
      <c r="AL546" s="343"/>
      <c r="AM546" s="343"/>
    </row>
    <row r="547" spans="1:39" ht="25.5" customHeight="1" x14ac:dyDescent="0.25">
      <c r="A547" s="729" t="str">
        <f t="shared" si="597"/>
        <v/>
      </c>
      <c r="B547" s="698"/>
      <c r="C547" s="284"/>
      <c r="D547" s="284"/>
      <c r="E547" s="2358" t="str">
        <f>Translations!$B$1541</f>
        <v>Моля, въведете тук всяко потребление на енергия извън СТЕ на ЕС (напр. топлинна енергия, получена от инсталации, които не са обхванати от СТЕ на ЕС), използвано за същите продукти, както по-горе. Числата тук ще бъдат използвани за коригиране на разпределянето за допустимия дял на енергията.</v>
      </c>
      <c r="F547" s="2249"/>
      <c r="G547" s="2249"/>
      <c r="H547" s="2249"/>
      <c r="I547" s="2249"/>
      <c r="J547" s="2249"/>
      <c r="K547" s="2249"/>
      <c r="L547" s="2249"/>
      <c r="M547" s="2249"/>
      <c r="N547" s="2249"/>
      <c r="O547" s="302"/>
      <c r="P547" s="295"/>
      <c r="Q547" s="694"/>
      <c r="R547" s="694"/>
      <c r="S547" s="694"/>
      <c r="T547" s="694"/>
      <c r="U547" s="694"/>
      <c r="V547" s="694"/>
      <c r="W547" s="694"/>
      <c r="X547" s="694"/>
      <c r="Y547" s="694"/>
      <c r="Z547" s="729"/>
      <c r="AA547" s="729"/>
      <c r="AB547" s="729"/>
      <c r="AC547" s="729"/>
      <c r="AD547" s="694"/>
      <c r="AE547" s="343"/>
      <c r="AF547" s="343"/>
      <c r="AG547" s="343"/>
      <c r="AH547" s="343"/>
      <c r="AI547" s="343"/>
      <c r="AJ547" s="343"/>
      <c r="AK547" s="343"/>
      <c r="AL547" s="343"/>
      <c r="AM547" s="343"/>
    </row>
    <row r="548" spans="1:39" ht="5.15" customHeight="1" x14ac:dyDescent="0.25">
      <c r="A548" s="729" t="str">
        <f t="shared" ref="A548:A598" si="662">A547</f>
        <v/>
      </c>
      <c r="B548" s="698"/>
      <c r="C548" s="284"/>
      <c r="D548" s="284"/>
      <c r="E548" s="2358"/>
      <c r="F548" s="2249"/>
      <c r="G548" s="2249"/>
      <c r="H548" s="2249"/>
      <c r="I548" s="2249"/>
      <c r="J548" s="2249"/>
      <c r="K548" s="2249"/>
      <c r="L548" s="2249"/>
      <c r="M548" s="2249"/>
      <c r="N548" s="2249"/>
      <c r="O548" s="302"/>
      <c r="P548" s="295"/>
      <c r="Q548" s="694"/>
      <c r="R548" s="694"/>
      <c r="S548" s="694"/>
      <c r="T548" s="694"/>
      <c r="U548" s="694"/>
      <c r="V548" s="694"/>
      <c r="W548" s="694"/>
      <c r="X548" s="694"/>
      <c r="Y548" s="694"/>
      <c r="Z548" s="729"/>
      <c r="AA548" s="729"/>
      <c r="AB548" s="729"/>
      <c r="AC548" s="729"/>
      <c r="AD548" s="694"/>
      <c r="AE548" s="343"/>
      <c r="AF548" s="343"/>
      <c r="AG548" s="343"/>
      <c r="AH548" s="343"/>
      <c r="AI548" s="343"/>
      <c r="AJ548" s="343"/>
      <c r="AK548" s="343"/>
      <c r="AL548" s="343"/>
      <c r="AM548" s="343"/>
    </row>
    <row r="549" spans="1:39" s="1423" customFormat="1" ht="25.5" customHeight="1" thickBot="1" x14ac:dyDescent="0.35">
      <c r="A549" s="729" t="str">
        <f t="shared" si="662"/>
        <v/>
      </c>
      <c r="B549" s="1412"/>
      <c r="C549" s="1413"/>
      <c r="D549" s="1414"/>
      <c r="E549" s="1415" t="str">
        <f>Translations!$B$624</f>
        <v>Име на продукта или „топлофикационна мрежа“</v>
      </c>
      <c r="F549" s="1416" t="str">
        <f>EUconst_Unit</f>
        <v>Единица мярка</v>
      </c>
      <c r="G549" s="1419" t="str">
        <f>Translations!$B$1336</f>
        <v>Стойност в НМИ</v>
      </c>
      <c r="H549" s="1418">
        <f t="shared" ref="H549:N549" si="663">H$1840</f>
        <v>2024</v>
      </c>
      <c r="I549" s="1419">
        <f t="shared" si="663"/>
        <v>2025</v>
      </c>
      <c r="J549" s="1418">
        <f t="shared" si="663"/>
        <v>2026</v>
      </c>
      <c r="K549" s="1420">
        <f t="shared" si="663"/>
        <v>2027</v>
      </c>
      <c r="L549" s="1420">
        <f t="shared" si="663"/>
        <v>2028</v>
      </c>
      <c r="M549" s="1420">
        <f t="shared" si="663"/>
        <v>2029</v>
      </c>
      <c r="N549" s="1420">
        <f t="shared" si="663"/>
        <v>2030</v>
      </c>
      <c r="O549" s="302"/>
      <c r="P549" s="295"/>
      <c r="Q549" s="1421"/>
      <c r="R549" s="1421"/>
      <c r="S549" s="694"/>
      <c r="T549" s="694"/>
      <c r="U549" s="694"/>
      <c r="V549" s="694"/>
      <c r="W549" s="694"/>
      <c r="X549" s="694"/>
      <c r="Y549" s="694"/>
      <c r="Z549" s="694"/>
      <c r="AA549" s="1421"/>
      <c r="AB549" s="770" t="str">
        <f>Translations!$B$1284</f>
        <v>HAL</v>
      </c>
      <c r="AC549" s="1421">
        <f t="shared" ref="AC549" si="664">H549</f>
        <v>2024</v>
      </c>
      <c r="AD549" s="1421">
        <f t="shared" ref="AD549" si="665">I549</f>
        <v>2025</v>
      </c>
      <c r="AE549" s="1421">
        <f t="shared" ref="AE549" si="666">J549</f>
        <v>2026</v>
      </c>
      <c r="AF549" s="1421">
        <f t="shared" ref="AF549" si="667">K549</f>
        <v>2027</v>
      </c>
      <c r="AG549" s="1421">
        <f t="shared" ref="AG549" si="668">L549</f>
        <v>2028</v>
      </c>
      <c r="AH549" s="1422">
        <f t="shared" ref="AH549" si="669">M549</f>
        <v>2029</v>
      </c>
      <c r="AI549" s="1422">
        <f t="shared" ref="AI549" si="670">N549</f>
        <v>2030</v>
      </c>
      <c r="AJ549" s="1422"/>
      <c r="AK549" s="1422"/>
      <c r="AL549" s="1422"/>
      <c r="AM549" s="1422"/>
    </row>
    <row r="550" spans="1:39" ht="12.75" customHeight="1" x14ac:dyDescent="0.25">
      <c r="A550" s="729" t="str">
        <f t="shared" si="662"/>
        <v/>
      </c>
      <c r="B550" s="698"/>
      <c r="C550" s="2906" t="str">
        <f>Translations!$B$949</f>
        <v>топл. ен. извън СТЕ</v>
      </c>
      <c r="D550" s="981">
        <v>1</v>
      </c>
      <c r="E550" s="1424" t="str">
        <f t="shared" ref="E550:E559" si="671">E532</f>
        <v/>
      </c>
      <c r="F550" s="1259" t="str">
        <f t="shared" ref="F550:F560" si="672">EUconst_TJ</f>
        <v>TJ</v>
      </c>
      <c r="G550" s="125"/>
      <c r="H550" s="116"/>
      <c r="I550" s="46"/>
      <c r="J550" s="116"/>
      <c r="K550" s="40"/>
      <c r="L550" s="40"/>
      <c r="M550" s="40"/>
      <c r="N550" s="40"/>
      <c r="O550" s="302"/>
      <c r="P550" s="158"/>
      <c r="Q550" s="694"/>
      <c r="R550" s="694"/>
      <c r="S550" s="694"/>
      <c r="T550" s="694"/>
      <c r="U550" s="694"/>
      <c r="V550" s="694"/>
      <c r="W550" s="694"/>
      <c r="X550" s="694"/>
      <c r="Y550" s="694"/>
      <c r="Z550" s="694"/>
      <c r="AA550" s="1446" t="s">
        <v>1757</v>
      </c>
      <c r="AB550" s="1447">
        <f t="shared" ref="AB550:AC550" si="673">AB532</f>
        <v>2</v>
      </c>
      <c r="AC550" s="1427">
        <f t="shared" si="673"/>
        <v>2</v>
      </c>
      <c r="AD550" s="1427">
        <f>AD532</f>
        <v>2</v>
      </c>
      <c r="AE550" s="1427">
        <f t="shared" ref="AE550:AI550" si="674">AE532</f>
        <v>2</v>
      </c>
      <c r="AF550" s="1427">
        <f t="shared" si="674"/>
        <v>2</v>
      </c>
      <c r="AG550" s="1427">
        <f t="shared" si="674"/>
        <v>2</v>
      </c>
      <c r="AH550" s="1428">
        <f t="shared" si="674"/>
        <v>2</v>
      </c>
      <c r="AI550" s="1429">
        <f t="shared" si="674"/>
        <v>2</v>
      </c>
      <c r="AJ550" s="343"/>
      <c r="AK550" s="1422"/>
      <c r="AL550" s="1422"/>
      <c r="AM550" s="343"/>
    </row>
    <row r="551" spans="1:39" ht="12.75" customHeight="1" x14ac:dyDescent="0.25">
      <c r="A551" s="729" t="str">
        <f t="shared" si="662"/>
        <v/>
      </c>
      <c r="B551" s="698"/>
      <c r="C551" s="2906"/>
      <c r="D551" s="990">
        <v>2</v>
      </c>
      <c r="E551" s="1430" t="str">
        <f t="shared" si="671"/>
        <v/>
      </c>
      <c r="F551" s="1448" t="str">
        <f t="shared" si="672"/>
        <v>TJ</v>
      </c>
      <c r="G551" s="124"/>
      <c r="H551" s="119"/>
      <c r="I551" s="47"/>
      <c r="J551" s="119"/>
      <c r="K551" s="43"/>
      <c r="L551" s="43"/>
      <c r="M551" s="43"/>
      <c r="N551" s="43"/>
      <c r="O551" s="302"/>
      <c r="P551" s="158"/>
      <c r="Q551" s="694"/>
      <c r="R551" s="694"/>
      <c r="S551" s="694"/>
      <c r="T551" s="694"/>
      <c r="U551" s="694"/>
      <c r="V551" s="694"/>
      <c r="W551" s="694"/>
      <c r="X551" s="694"/>
      <c r="Y551" s="694"/>
      <c r="Z551" s="694"/>
      <c r="AA551" s="694"/>
      <c r="AB551" s="1431">
        <f t="shared" ref="AB551:AI551" si="675">AB533</f>
        <v>2</v>
      </c>
      <c r="AC551" s="1432">
        <f t="shared" si="675"/>
        <v>2</v>
      </c>
      <c r="AD551" s="1432">
        <f t="shared" si="675"/>
        <v>2</v>
      </c>
      <c r="AE551" s="1432">
        <f t="shared" si="675"/>
        <v>2</v>
      </c>
      <c r="AF551" s="1432">
        <f t="shared" si="675"/>
        <v>2</v>
      </c>
      <c r="AG551" s="1432">
        <f t="shared" si="675"/>
        <v>2</v>
      </c>
      <c r="AH551" s="1432">
        <f t="shared" si="675"/>
        <v>2</v>
      </c>
      <c r="AI551" s="1452">
        <f t="shared" si="675"/>
        <v>2</v>
      </c>
      <c r="AJ551" s="343"/>
      <c r="AK551" s="1422"/>
      <c r="AL551" s="1422"/>
      <c r="AM551" s="343"/>
    </row>
    <row r="552" spans="1:39" ht="12.75" customHeight="1" x14ac:dyDescent="0.25">
      <c r="A552" s="729" t="str">
        <f t="shared" si="662"/>
        <v/>
      </c>
      <c r="B552" s="698"/>
      <c r="C552" s="2906"/>
      <c r="D552" s="990">
        <v>3</v>
      </c>
      <c r="E552" s="1430" t="str">
        <f t="shared" si="671"/>
        <v/>
      </c>
      <c r="F552" s="1448" t="str">
        <f t="shared" si="672"/>
        <v>TJ</v>
      </c>
      <c r="G552" s="47"/>
      <c r="H552" s="119"/>
      <c r="I552" s="47"/>
      <c r="J552" s="119"/>
      <c r="K552" s="43"/>
      <c r="L552" s="43"/>
      <c r="M552" s="43"/>
      <c r="N552" s="43"/>
      <c r="O552" s="302"/>
      <c r="P552" s="158"/>
      <c r="Q552" s="694"/>
      <c r="R552" s="694"/>
      <c r="S552" s="694"/>
      <c r="T552" s="694"/>
      <c r="U552" s="694"/>
      <c r="V552" s="694"/>
      <c r="W552" s="694"/>
      <c r="X552" s="694"/>
      <c r="Y552" s="694"/>
      <c r="Z552" s="694"/>
      <c r="AA552" s="694"/>
      <c r="AB552" s="1431">
        <f t="shared" ref="AB552:AI552" si="676">AB534</f>
        <v>2</v>
      </c>
      <c r="AC552" s="1432">
        <f t="shared" si="676"/>
        <v>2</v>
      </c>
      <c r="AD552" s="1432">
        <f t="shared" si="676"/>
        <v>2</v>
      </c>
      <c r="AE552" s="1432">
        <f t="shared" si="676"/>
        <v>2</v>
      </c>
      <c r="AF552" s="1432">
        <f t="shared" si="676"/>
        <v>2</v>
      </c>
      <c r="AG552" s="1432">
        <f t="shared" si="676"/>
        <v>2</v>
      </c>
      <c r="AH552" s="1432">
        <f t="shared" si="676"/>
        <v>2</v>
      </c>
      <c r="AI552" s="1452">
        <f t="shared" si="676"/>
        <v>2</v>
      </c>
      <c r="AJ552" s="343"/>
      <c r="AK552" s="1422"/>
      <c r="AL552" s="1422"/>
      <c r="AM552" s="343"/>
    </row>
    <row r="553" spans="1:39" ht="12.75" customHeight="1" x14ac:dyDescent="0.25">
      <c r="A553" s="729" t="str">
        <f t="shared" si="662"/>
        <v/>
      </c>
      <c r="B553" s="698"/>
      <c r="C553" s="2906"/>
      <c r="D553" s="990">
        <v>4</v>
      </c>
      <c r="E553" s="1430" t="str">
        <f t="shared" si="671"/>
        <v/>
      </c>
      <c r="F553" s="1448" t="str">
        <f t="shared" si="672"/>
        <v>TJ</v>
      </c>
      <c r="G553" s="47"/>
      <c r="H553" s="119"/>
      <c r="I553" s="47"/>
      <c r="J553" s="119"/>
      <c r="K553" s="43"/>
      <c r="L553" s="43"/>
      <c r="M553" s="43"/>
      <c r="N553" s="43"/>
      <c r="O553" s="302"/>
      <c r="P553" s="158"/>
      <c r="Q553" s="694"/>
      <c r="R553" s="694"/>
      <c r="S553" s="694"/>
      <c r="T553" s="694"/>
      <c r="U553" s="694"/>
      <c r="V553" s="694"/>
      <c r="W553" s="694"/>
      <c r="X553" s="694"/>
      <c r="Y553" s="694"/>
      <c r="Z553" s="694"/>
      <c r="AA553" s="694"/>
      <c r="AB553" s="1431">
        <f t="shared" ref="AB553:AI553" si="677">AB535</f>
        <v>2</v>
      </c>
      <c r="AC553" s="1432">
        <f t="shared" si="677"/>
        <v>2</v>
      </c>
      <c r="AD553" s="1432">
        <f t="shared" si="677"/>
        <v>2</v>
      </c>
      <c r="AE553" s="1432">
        <f t="shared" si="677"/>
        <v>2</v>
      </c>
      <c r="AF553" s="1432">
        <f t="shared" si="677"/>
        <v>2</v>
      </c>
      <c r="AG553" s="1432">
        <f t="shared" si="677"/>
        <v>2</v>
      </c>
      <c r="AH553" s="1432">
        <f t="shared" si="677"/>
        <v>2</v>
      </c>
      <c r="AI553" s="1452">
        <f t="shared" si="677"/>
        <v>2</v>
      </c>
      <c r="AJ553" s="343"/>
      <c r="AK553" s="1422"/>
      <c r="AL553" s="1422"/>
      <c r="AM553" s="343"/>
    </row>
    <row r="554" spans="1:39" ht="12.75" customHeight="1" x14ac:dyDescent="0.25">
      <c r="A554" s="729" t="str">
        <f t="shared" si="662"/>
        <v/>
      </c>
      <c r="B554" s="698"/>
      <c r="C554" s="2906"/>
      <c r="D554" s="990">
        <v>5</v>
      </c>
      <c r="E554" s="1430" t="str">
        <f t="shared" si="671"/>
        <v/>
      </c>
      <c r="F554" s="1448" t="str">
        <f t="shared" si="672"/>
        <v>TJ</v>
      </c>
      <c r="G554" s="47"/>
      <c r="H554" s="119"/>
      <c r="I554" s="47"/>
      <c r="J554" s="119"/>
      <c r="K554" s="43"/>
      <c r="L554" s="43"/>
      <c r="M554" s="43"/>
      <c r="N554" s="43"/>
      <c r="O554" s="302"/>
      <c r="P554" s="158"/>
      <c r="Q554" s="694"/>
      <c r="R554" s="694"/>
      <c r="S554" s="694"/>
      <c r="T554" s="694"/>
      <c r="U554" s="694"/>
      <c r="V554" s="694"/>
      <c r="W554" s="694"/>
      <c r="X554" s="694"/>
      <c r="Y554" s="694"/>
      <c r="Z554" s="694"/>
      <c r="AA554" s="694"/>
      <c r="AB554" s="1431">
        <f t="shared" ref="AB554:AI554" si="678">AB536</f>
        <v>2</v>
      </c>
      <c r="AC554" s="1432">
        <f t="shared" si="678"/>
        <v>2</v>
      </c>
      <c r="AD554" s="1432">
        <f t="shared" si="678"/>
        <v>2</v>
      </c>
      <c r="AE554" s="1432">
        <f t="shared" si="678"/>
        <v>2</v>
      </c>
      <c r="AF554" s="1432">
        <f t="shared" si="678"/>
        <v>2</v>
      </c>
      <c r="AG554" s="1432">
        <f t="shared" si="678"/>
        <v>2</v>
      </c>
      <c r="AH554" s="1432">
        <f t="shared" si="678"/>
        <v>2</v>
      </c>
      <c r="AI554" s="1452">
        <f t="shared" si="678"/>
        <v>2</v>
      </c>
      <c r="AJ554" s="343"/>
      <c r="AK554" s="1422"/>
      <c r="AL554" s="1422"/>
      <c r="AM554" s="343"/>
    </row>
    <row r="555" spans="1:39" ht="12.75" customHeight="1" x14ac:dyDescent="0.25">
      <c r="A555" s="729" t="str">
        <f t="shared" si="662"/>
        <v/>
      </c>
      <c r="B555" s="698"/>
      <c r="C555" s="2906"/>
      <c r="D555" s="990">
        <v>6</v>
      </c>
      <c r="E555" s="1430" t="str">
        <f t="shared" si="671"/>
        <v/>
      </c>
      <c r="F555" s="1448" t="str">
        <f t="shared" si="672"/>
        <v>TJ</v>
      </c>
      <c r="G555" s="47"/>
      <c r="H555" s="119"/>
      <c r="I555" s="47"/>
      <c r="J555" s="119"/>
      <c r="K555" s="43"/>
      <c r="L555" s="43"/>
      <c r="M555" s="43"/>
      <c r="N555" s="43"/>
      <c r="O555" s="302"/>
      <c r="P555" s="158"/>
      <c r="Q555" s="694"/>
      <c r="R555" s="694"/>
      <c r="S555" s="694"/>
      <c r="T555" s="694"/>
      <c r="U555" s="694"/>
      <c r="V555" s="694"/>
      <c r="W555" s="694"/>
      <c r="X555" s="694"/>
      <c r="Y555" s="694"/>
      <c r="Z555" s="694"/>
      <c r="AA555" s="694"/>
      <c r="AB555" s="1431">
        <f t="shared" ref="AB555:AI555" si="679">AB537</f>
        <v>2</v>
      </c>
      <c r="AC555" s="1432">
        <f t="shared" si="679"/>
        <v>2</v>
      </c>
      <c r="AD555" s="1432">
        <f t="shared" si="679"/>
        <v>2</v>
      </c>
      <c r="AE555" s="1432">
        <f t="shared" si="679"/>
        <v>2</v>
      </c>
      <c r="AF555" s="1432">
        <f t="shared" si="679"/>
        <v>2</v>
      </c>
      <c r="AG555" s="1432">
        <f t="shared" si="679"/>
        <v>2</v>
      </c>
      <c r="AH555" s="1432">
        <f t="shared" si="679"/>
        <v>2</v>
      </c>
      <c r="AI555" s="1452">
        <f t="shared" si="679"/>
        <v>2</v>
      </c>
      <c r="AJ555" s="343"/>
      <c r="AK555" s="1422"/>
      <c r="AL555" s="1422"/>
      <c r="AM555" s="343"/>
    </row>
    <row r="556" spans="1:39" ht="12.75" customHeight="1" x14ac:dyDescent="0.25">
      <c r="A556" s="729" t="str">
        <f t="shared" si="662"/>
        <v/>
      </c>
      <c r="B556" s="698"/>
      <c r="C556" s="2906"/>
      <c r="D556" s="990">
        <v>7</v>
      </c>
      <c r="E556" s="1430" t="str">
        <f t="shared" si="671"/>
        <v/>
      </c>
      <c r="F556" s="1448" t="str">
        <f t="shared" si="672"/>
        <v>TJ</v>
      </c>
      <c r="G556" s="47"/>
      <c r="H556" s="119"/>
      <c r="I556" s="47"/>
      <c r="J556" s="119"/>
      <c r="K556" s="43"/>
      <c r="L556" s="43"/>
      <c r="M556" s="43"/>
      <c r="N556" s="43"/>
      <c r="O556" s="302"/>
      <c r="P556" s="158"/>
      <c r="Q556" s="694"/>
      <c r="R556" s="694"/>
      <c r="S556" s="694"/>
      <c r="T556" s="694"/>
      <c r="U556" s="694"/>
      <c r="V556" s="694"/>
      <c r="W556" s="694"/>
      <c r="X556" s="694"/>
      <c r="Y556" s="694"/>
      <c r="Z556" s="694"/>
      <c r="AA556" s="694"/>
      <c r="AB556" s="1431">
        <f t="shared" ref="AB556:AI556" si="680">AB538</f>
        <v>2</v>
      </c>
      <c r="AC556" s="1432">
        <f t="shared" si="680"/>
        <v>2</v>
      </c>
      <c r="AD556" s="1432">
        <f t="shared" si="680"/>
        <v>2</v>
      </c>
      <c r="AE556" s="1432">
        <f t="shared" si="680"/>
        <v>2</v>
      </c>
      <c r="AF556" s="1432">
        <f t="shared" si="680"/>
        <v>2</v>
      </c>
      <c r="AG556" s="1432">
        <f t="shared" si="680"/>
        <v>2</v>
      </c>
      <c r="AH556" s="1432">
        <f t="shared" si="680"/>
        <v>2</v>
      </c>
      <c r="AI556" s="1452">
        <f t="shared" si="680"/>
        <v>2</v>
      </c>
      <c r="AJ556" s="343"/>
      <c r="AK556" s="1422"/>
      <c r="AL556" s="1422"/>
      <c r="AM556" s="343"/>
    </row>
    <row r="557" spans="1:39" ht="12.75" customHeight="1" x14ac:dyDescent="0.25">
      <c r="A557" s="729" t="str">
        <f t="shared" si="662"/>
        <v/>
      </c>
      <c r="B557" s="698"/>
      <c r="C557" s="2906"/>
      <c r="D557" s="990">
        <v>8</v>
      </c>
      <c r="E557" s="1430" t="str">
        <f t="shared" si="671"/>
        <v/>
      </c>
      <c r="F557" s="1448" t="str">
        <f t="shared" si="672"/>
        <v>TJ</v>
      </c>
      <c r="G557" s="47"/>
      <c r="H557" s="119"/>
      <c r="I557" s="47"/>
      <c r="J557" s="119"/>
      <c r="K557" s="43"/>
      <c r="L557" s="43"/>
      <c r="M557" s="43"/>
      <c r="N557" s="43"/>
      <c r="O557" s="302"/>
      <c r="P557" s="158"/>
      <c r="Q557" s="694"/>
      <c r="R557" s="694"/>
      <c r="S557" s="694"/>
      <c r="T557" s="694"/>
      <c r="U557" s="694"/>
      <c r="V557" s="694"/>
      <c r="W557" s="694"/>
      <c r="X557" s="694"/>
      <c r="Y557" s="694"/>
      <c r="Z557" s="694"/>
      <c r="AA557" s="694"/>
      <c r="AB557" s="1431">
        <f t="shared" ref="AB557:AI557" si="681">AB539</f>
        <v>2</v>
      </c>
      <c r="AC557" s="1432">
        <f t="shared" si="681"/>
        <v>2</v>
      </c>
      <c r="AD557" s="1432">
        <f t="shared" si="681"/>
        <v>2</v>
      </c>
      <c r="AE557" s="1432">
        <f t="shared" si="681"/>
        <v>2</v>
      </c>
      <c r="AF557" s="1432">
        <f t="shared" si="681"/>
        <v>2</v>
      </c>
      <c r="AG557" s="1432">
        <f t="shared" si="681"/>
        <v>2</v>
      </c>
      <c r="AH557" s="1432">
        <f t="shared" si="681"/>
        <v>2</v>
      </c>
      <c r="AI557" s="1452">
        <f t="shared" si="681"/>
        <v>2</v>
      </c>
      <c r="AJ557" s="343"/>
      <c r="AK557" s="1422"/>
      <c r="AL557" s="1422"/>
      <c r="AM557" s="343"/>
    </row>
    <row r="558" spans="1:39" ht="12.75" customHeight="1" x14ac:dyDescent="0.25">
      <c r="A558" s="729" t="str">
        <f t="shared" si="662"/>
        <v/>
      </c>
      <c r="B558" s="698"/>
      <c r="C558" s="2906"/>
      <c r="D558" s="990">
        <v>9</v>
      </c>
      <c r="E558" s="1430" t="str">
        <f t="shared" si="671"/>
        <v/>
      </c>
      <c r="F558" s="1448" t="str">
        <f t="shared" si="672"/>
        <v>TJ</v>
      </c>
      <c r="G558" s="47"/>
      <c r="H558" s="119"/>
      <c r="I558" s="47"/>
      <c r="J558" s="119"/>
      <c r="K558" s="43"/>
      <c r="L558" s="43"/>
      <c r="M558" s="43"/>
      <c r="N558" s="43"/>
      <c r="O558" s="302"/>
      <c r="P558" s="158"/>
      <c r="Q558" s="694"/>
      <c r="R558" s="694"/>
      <c r="S558" s="694"/>
      <c r="T558" s="694"/>
      <c r="U558" s="694"/>
      <c r="V558" s="694"/>
      <c r="W558" s="694"/>
      <c r="X558" s="694"/>
      <c r="Y558" s="694"/>
      <c r="Z558" s="694"/>
      <c r="AA558" s="694"/>
      <c r="AB558" s="1431">
        <f t="shared" ref="AB558:AI558" si="682">AB540</f>
        <v>2</v>
      </c>
      <c r="AC558" s="1432">
        <f t="shared" si="682"/>
        <v>2</v>
      </c>
      <c r="AD558" s="1432">
        <f t="shared" si="682"/>
        <v>2</v>
      </c>
      <c r="AE558" s="1432">
        <f t="shared" si="682"/>
        <v>2</v>
      </c>
      <c r="AF558" s="1432">
        <f t="shared" si="682"/>
        <v>2</v>
      </c>
      <c r="AG558" s="1432">
        <f t="shared" si="682"/>
        <v>2</v>
      </c>
      <c r="AH558" s="1432">
        <f t="shared" si="682"/>
        <v>2</v>
      </c>
      <c r="AI558" s="1452">
        <f t="shared" si="682"/>
        <v>2</v>
      </c>
      <c r="AJ558" s="343"/>
      <c r="AK558" s="1422"/>
      <c r="AL558" s="1422"/>
      <c r="AM558" s="343"/>
    </row>
    <row r="559" spans="1:39" ht="12.75" customHeight="1" thickBot="1" x14ac:dyDescent="0.3">
      <c r="A559" s="729" t="str">
        <f t="shared" si="662"/>
        <v/>
      </c>
      <c r="B559" s="698"/>
      <c r="C559" s="2906"/>
      <c r="D559" s="994">
        <v>10</v>
      </c>
      <c r="E559" s="1435" t="str">
        <f t="shared" si="671"/>
        <v/>
      </c>
      <c r="F559" s="1453" t="str">
        <f t="shared" si="672"/>
        <v>TJ</v>
      </c>
      <c r="G559" s="48"/>
      <c r="H559" s="117"/>
      <c r="I559" s="48"/>
      <c r="J559" s="117"/>
      <c r="K559" s="38"/>
      <c r="L559" s="38"/>
      <c r="M559" s="38"/>
      <c r="N559" s="38"/>
      <c r="O559" s="302"/>
      <c r="P559" s="158"/>
      <c r="Q559" s="694"/>
      <c r="R559" s="694"/>
      <c r="S559" s="694"/>
      <c r="T559" s="694"/>
      <c r="U559" s="694"/>
      <c r="V559" s="694"/>
      <c r="W559" s="694"/>
      <c r="X559" s="694"/>
      <c r="Y559" s="694"/>
      <c r="Z559" s="694"/>
      <c r="AA559" s="694"/>
      <c r="AB559" s="1436">
        <f t="shared" ref="AB559:AI559" si="683">AB541</f>
        <v>2</v>
      </c>
      <c r="AC559" s="1437">
        <f t="shared" si="683"/>
        <v>2</v>
      </c>
      <c r="AD559" s="1437">
        <f t="shared" si="683"/>
        <v>2</v>
      </c>
      <c r="AE559" s="1437">
        <f t="shared" si="683"/>
        <v>2</v>
      </c>
      <c r="AF559" s="1437">
        <f t="shared" si="683"/>
        <v>2</v>
      </c>
      <c r="AG559" s="1437">
        <f t="shared" si="683"/>
        <v>2</v>
      </c>
      <c r="AH559" s="1437">
        <f t="shared" si="683"/>
        <v>2</v>
      </c>
      <c r="AI559" s="1457">
        <f t="shared" si="683"/>
        <v>2</v>
      </c>
      <c r="AJ559" s="343"/>
      <c r="AK559" s="1422"/>
      <c r="AL559" s="1422"/>
      <c r="AM559" s="343"/>
    </row>
    <row r="560" spans="1:39" ht="12.75" customHeight="1" x14ac:dyDescent="0.25">
      <c r="A560" s="729" t="str">
        <f t="shared" si="662"/>
        <v/>
      </c>
      <c r="B560" s="698"/>
      <c r="C560" s="2906"/>
      <c r="D560" s="1293"/>
      <c r="E560" s="1458" t="str">
        <f>Translations!$B$1338</f>
        <v>Общо потребление</v>
      </c>
      <c r="F560" s="1453" t="str">
        <f t="shared" si="672"/>
        <v>TJ</v>
      </c>
      <c r="G560" s="1296" t="str">
        <f t="shared" ref="G560:N560" si="684">IF(COUNT(G550:G559)&gt;0,SUMIF($S497:$S506,TRUE,G550:G559),"")</f>
        <v/>
      </c>
      <c r="H560" s="1297" t="str">
        <f t="shared" si="684"/>
        <v/>
      </c>
      <c r="I560" s="1296" t="str">
        <f t="shared" si="684"/>
        <v/>
      </c>
      <c r="J560" s="1297" t="str">
        <f t="shared" si="684"/>
        <v/>
      </c>
      <c r="K560" s="1104" t="str">
        <f t="shared" si="684"/>
        <v/>
      </c>
      <c r="L560" s="1104" t="str">
        <f t="shared" si="684"/>
        <v/>
      </c>
      <c r="M560" s="1104" t="str">
        <f t="shared" si="684"/>
        <v/>
      </c>
      <c r="N560" s="1104" t="str">
        <f t="shared" si="684"/>
        <v/>
      </c>
      <c r="O560" s="302"/>
      <c r="P560" s="336"/>
      <c r="Q560" s="694"/>
      <c r="R560" s="694"/>
      <c r="S560" s="694"/>
      <c r="T560" s="694"/>
      <c r="U560" s="694"/>
      <c r="V560" s="694"/>
      <c r="W560" s="694"/>
      <c r="X560" s="694"/>
      <c r="Y560" s="694"/>
      <c r="Z560" s="694"/>
      <c r="AA560" s="694"/>
      <c r="AB560" s="729"/>
      <c r="AC560" s="694"/>
      <c r="AD560" s="694"/>
      <c r="AE560" s="343"/>
      <c r="AF560" s="343"/>
      <c r="AG560" s="343"/>
      <c r="AH560" s="343"/>
      <c r="AI560" s="343"/>
      <c r="AJ560" s="343"/>
      <c r="AK560" s="343"/>
      <c r="AL560" s="343"/>
      <c r="AM560" s="343"/>
    </row>
    <row r="561" spans="1:39" ht="5.15" customHeight="1" x14ac:dyDescent="0.25">
      <c r="A561" s="729" t="str">
        <f t="shared" si="662"/>
        <v/>
      </c>
      <c r="B561" s="698"/>
      <c r="C561" s="284"/>
      <c r="D561" s="284"/>
      <c r="E561" s="284"/>
      <c r="F561" s="284"/>
      <c r="G561" s="284"/>
      <c r="H561" s="284"/>
      <c r="I561" s="284"/>
      <c r="J561" s="284"/>
      <c r="K561" s="284"/>
      <c r="L561" s="284"/>
      <c r="M561" s="284"/>
      <c r="N561" s="284"/>
      <c r="O561" s="302"/>
      <c r="P561" s="336"/>
      <c r="Q561" s="694"/>
      <c r="R561" s="694"/>
      <c r="S561" s="694"/>
      <c r="T561" s="694"/>
      <c r="U561" s="694"/>
      <c r="V561" s="694"/>
      <c r="W561" s="694"/>
      <c r="X561" s="694"/>
      <c r="Y561" s="694"/>
      <c r="Z561" s="729"/>
      <c r="AA561" s="729"/>
      <c r="AB561" s="729"/>
      <c r="AC561" s="694"/>
      <c r="AD561" s="694"/>
      <c r="AE561" s="343"/>
      <c r="AF561" s="343"/>
      <c r="AG561" s="343"/>
      <c r="AH561" s="343"/>
      <c r="AI561" s="343"/>
      <c r="AJ561" s="343"/>
      <c r="AK561" s="343"/>
      <c r="AL561" s="343"/>
      <c r="AM561" s="343"/>
    </row>
    <row r="562" spans="1:39" ht="12.75" customHeight="1" x14ac:dyDescent="0.25">
      <c r="A562" s="729" t="str">
        <f t="shared" si="662"/>
        <v/>
      </c>
      <c r="B562" s="698"/>
      <c r="C562" s="284"/>
      <c r="D562" s="300" t="s">
        <v>1830</v>
      </c>
      <c r="E562" s="2226" t="str">
        <f>Translations!$B$1542</f>
        <v>Общо потребление на енергия по продукти за определяне на очакваните равнища на дейност</v>
      </c>
      <c r="F562" s="2249"/>
      <c r="G562" s="2249"/>
      <c r="H562" s="2249"/>
      <c r="I562" s="2249"/>
      <c r="J562" s="2249"/>
      <c r="K562" s="2249"/>
      <c r="L562" s="2249"/>
      <c r="M562" s="2249"/>
      <c r="N562" s="2249"/>
      <c r="O562" s="302"/>
      <c r="P562" s="295"/>
      <c r="Q562" s="694"/>
      <c r="R562" s="694"/>
      <c r="S562" s="694"/>
      <c r="T562" s="694"/>
      <c r="U562" s="694"/>
      <c r="V562" s="694"/>
      <c r="W562" s="694"/>
      <c r="X562" s="694"/>
      <c r="Y562" s="694"/>
      <c r="Z562" s="729"/>
      <c r="AA562" s="729"/>
      <c r="AB562" s="729"/>
      <c r="AC562" s="729"/>
      <c r="AD562" s="694"/>
      <c r="AE562" s="343"/>
      <c r="AF562" s="343"/>
      <c r="AG562" s="343"/>
      <c r="AH562" s="343"/>
      <c r="AI562" s="343"/>
      <c r="AJ562" s="343"/>
      <c r="AK562" s="343"/>
      <c r="AL562" s="343"/>
      <c r="AM562" s="343"/>
    </row>
    <row r="563" spans="1:39" ht="12.75" customHeight="1" x14ac:dyDescent="0.25">
      <c r="A563" s="729" t="str">
        <f t="shared" si="662"/>
        <v/>
      </c>
      <c r="B563" s="698"/>
      <c r="C563" s="284"/>
      <c r="D563" s="284"/>
      <c r="E563" s="2358" t="str">
        <f>Translations!$B$1543</f>
        <v>Това е сборът от вписванията по-горе b.2 + b.3. Следователно сумата може да бъде по-висока от 100 % от равнището на дейност.</v>
      </c>
      <c r="F563" s="2249"/>
      <c r="G563" s="2249"/>
      <c r="H563" s="2249"/>
      <c r="I563" s="2249"/>
      <c r="J563" s="2249"/>
      <c r="K563" s="2249"/>
      <c r="L563" s="2249"/>
      <c r="M563" s="2249"/>
      <c r="N563" s="2249"/>
      <c r="O563" s="302"/>
      <c r="P563" s="295"/>
      <c r="Q563" s="694"/>
      <c r="R563" s="694"/>
      <c r="S563" s="694"/>
      <c r="T563" s="694"/>
      <c r="U563" s="694"/>
      <c r="V563" s="694"/>
      <c r="W563" s="694"/>
      <c r="X563" s="694"/>
      <c r="Y563" s="694"/>
      <c r="Z563" s="729"/>
      <c r="AA563" s="729"/>
      <c r="AB563" s="729"/>
      <c r="AC563" s="729"/>
      <c r="AD563" s="694"/>
      <c r="AE563" s="343"/>
      <c r="AF563" s="343"/>
      <c r="AG563" s="343"/>
      <c r="AH563" s="343"/>
      <c r="AI563" s="343"/>
      <c r="AJ563" s="343"/>
      <c r="AK563" s="343"/>
      <c r="AL563" s="343"/>
      <c r="AM563" s="343"/>
    </row>
    <row r="564" spans="1:39" ht="5.15" customHeight="1" x14ac:dyDescent="0.25">
      <c r="A564" s="729" t="str">
        <f t="shared" si="662"/>
        <v/>
      </c>
      <c r="B564" s="698"/>
      <c r="C564" s="284"/>
      <c r="D564" s="284"/>
      <c r="E564" s="2358"/>
      <c r="F564" s="2249"/>
      <c r="G564" s="2249"/>
      <c r="H564" s="2249"/>
      <c r="I564" s="2249"/>
      <c r="J564" s="2249"/>
      <c r="K564" s="2249"/>
      <c r="L564" s="2249"/>
      <c r="M564" s="2249"/>
      <c r="N564" s="2249"/>
      <c r="O564" s="302"/>
      <c r="P564" s="295"/>
      <c r="Q564" s="694"/>
      <c r="R564" s="694"/>
      <c r="S564" s="694"/>
      <c r="T564" s="694"/>
      <c r="U564" s="694"/>
      <c r="V564" s="694"/>
      <c r="W564" s="694"/>
      <c r="X564" s="694"/>
      <c r="Y564" s="694"/>
      <c r="Z564" s="729"/>
      <c r="AA564" s="729"/>
      <c r="AB564" s="729"/>
      <c r="AC564" s="729"/>
      <c r="AD564" s="694"/>
      <c r="AE564" s="343"/>
      <c r="AF564" s="343"/>
      <c r="AG564" s="343"/>
      <c r="AH564" s="343"/>
      <c r="AI564" s="343"/>
      <c r="AJ564" s="343"/>
      <c r="AK564" s="343"/>
      <c r="AL564" s="343"/>
      <c r="AM564" s="343"/>
    </row>
    <row r="565" spans="1:39" s="1423" customFormat="1" ht="25.5" customHeight="1" thickBot="1" x14ac:dyDescent="0.35">
      <c r="A565" s="729" t="str">
        <f t="shared" si="662"/>
        <v/>
      </c>
      <c r="B565" s="1412"/>
      <c r="C565" s="1413"/>
      <c r="D565" s="1414"/>
      <c r="E565" s="1415" t="str">
        <f>Translations!$B$624</f>
        <v>Име на продукта или „топлофикационна мрежа“</v>
      </c>
      <c r="F565" s="1416" t="str">
        <f>EUconst_Unit</f>
        <v>Единица мярка</v>
      </c>
      <c r="G565" s="1419" t="str">
        <f>Translations!$B$1336</f>
        <v>Стойност в НМИ</v>
      </c>
      <c r="H565" s="1418">
        <f t="shared" ref="H565:N565" si="685">H$1840</f>
        <v>2024</v>
      </c>
      <c r="I565" s="1419">
        <f t="shared" si="685"/>
        <v>2025</v>
      </c>
      <c r="J565" s="1418">
        <f t="shared" si="685"/>
        <v>2026</v>
      </c>
      <c r="K565" s="1420">
        <f t="shared" si="685"/>
        <v>2027</v>
      </c>
      <c r="L565" s="1420">
        <f t="shared" si="685"/>
        <v>2028</v>
      </c>
      <c r="M565" s="1420">
        <f t="shared" si="685"/>
        <v>2029</v>
      </c>
      <c r="N565" s="1420">
        <f t="shared" si="685"/>
        <v>2030</v>
      </c>
      <c r="O565" s="302"/>
      <c r="P565" s="295"/>
      <c r="Q565" s="1421"/>
      <c r="R565" s="1421"/>
      <c r="S565" s="770" t="str">
        <f>Translations!$B$1341</f>
        <v>Базова стойност</v>
      </c>
      <c r="T565" s="1421">
        <f t="shared" ref="T565" si="686">H565</f>
        <v>2024</v>
      </c>
      <c r="U565" s="1421">
        <f t="shared" ref="U565" si="687">I565</f>
        <v>2025</v>
      </c>
      <c r="V565" s="1421">
        <f t="shared" ref="V565" si="688">J565</f>
        <v>2026</v>
      </c>
      <c r="W565" s="1421">
        <f t="shared" ref="W565" si="689">K565</f>
        <v>2027</v>
      </c>
      <c r="X565" s="1421">
        <f t="shared" ref="X565" si="690">L565</f>
        <v>2028</v>
      </c>
      <c r="Y565" s="1421">
        <f t="shared" ref="Y565" si="691">M565</f>
        <v>2029</v>
      </c>
      <c r="Z565" s="1421">
        <f t="shared" ref="Z565" si="692">N565</f>
        <v>2030</v>
      </c>
      <c r="AA565" s="1421"/>
      <c r="AB565" s="770" t="str">
        <f>Translations!$B$1284</f>
        <v>HAL</v>
      </c>
      <c r="AC565" s="1421">
        <f t="shared" ref="AC565" si="693">H565</f>
        <v>2024</v>
      </c>
      <c r="AD565" s="1421">
        <f t="shared" ref="AD565" si="694">I565</f>
        <v>2025</v>
      </c>
      <c r="AE565" s="1421">
        <f t="shared" ref="AE565" si="695">J565</f>
        <v>2026</v>
      </c>
      <c r="AF565" s="1421">
        <f t="shared" ref="AF565" si="696">K565</f>
        <v>2027</v>
      </c>
      <c r="AG565" s="1421">
        <f t="shared" ref="AG565" si="697">L565</f>
        <v>2028</v>
      </c>
      <c r="AH565" s="1422">
        <f t="shared" ref="AH565" si="698">M565</f>
        <v>2029</v>
      </c>
      <c r="AI565" s="1422">
        <f t="shared" ref="AI565" si="699">N565</f>
        <v>2030</v>
      </c>
      <c r="AJ565" s="1422"/>
      <c r="AK565" s="1422"/>
      <c r="AL565" s="1422"/>
      <c r="AM565" s="1422"/>
    </row>
    <row r="566" spans="1:39" ht="12.75" customHeight="1" x14ac:dyDescent="0.25">
      <c r="A566" s="729" t="str">
        <f t="shared" si="662"/>
        <v/>
      </c>
      <c r="B566" s="698"/>
      <c r="C566" s="2906" t="str">
        <f>Translations!$B$1544</f>
        <v>ОБЩО</v>
      </c>
      <c r="D566" s="981">
        <v>1</v>
      </c>
      <c r="E566" s="1424" t="str">
        <f t="shared" ref="E566:E575" si="700">E550</f>
        <v/>
      </c>
      <c r="F566" s="1259" t="str">
        <f t="shared" ref="F566:F577" si="701">EUconst_TJ</f>
        <v>TJ</v>
      </c>
      <c r="G566" s="1465" t="str">
        <f>IF(OR($E566="",AB566=0),"",SUM(G532,G550))</f>
        <v/>
      </c>
      <c r="H566" s="1466" t="str">
        <f t="shared" ref="H566:H575" si="702">IF(OR($E566="",AC566=0),"",SUM(H532,H550))</f>
        <v/>
      </c>
      <c r="I566" s="1467" t="str">
        <f t="shared" ref="I566:I575" si="703">IF(OR($E566="",AD566=0),"",SUM(I532,I550))</f>
        <v/>
      </c>
      <c r="J566" s="1466" t="str">
        <f t="shared" ref="J566:J575" si="704">IF(OR($E566="",AE566=0),"",SUM(J532,J550))</f>
        <v/>
      </c>
      <c r="K566" s="1126" t="str">
        <f t="shared" ref="K566:K575" si="705">IF(OR($E566="",AF566=0),"",SUM(K532,K550))</f>
        <v/>
      </c>
      <c r="L566" s="1126" t="str">
        <f t="shared" ref="L566:L575" si="706">IF(OR($E566="",AG566=0),"",SUM(L532,L550))</f>
        <v/>
      </c>
      <c r="M566" s="1126" t="str">
        <f t="shared" ref="M566:M575" si="707">IF(OR($E566="",AH566=0),"",SUM(M532,M550))</f>
        <v/>
      </c>
      <c r="N566" s="1126" t="str">
        <f t="shared" ref="N566:N575" si="708">IF(OR($E566="",AI566=0),"",SUM(N532,N550))</f>
        <v/>
      </c>
      <c r="O566" s="302"/>
      <c r="P566" s="158"/>
      <c r="Q566" s="694"/>
      <c r="R566" s="694"/>
      <c r="S566" s="1443" t="str">
        <f>IF($M459&lt;&gt;EUconst_Relevant,"",
IF($V459&gt;($J$1840-3),
              IF(INDEX(H513:N513,MATCH($V459,$T565:$Z565,0))=0,0,INDEX(H566:N566,MATCH($V459,$T565:$Z565,0))/INDEX(H513:N513,MATCH($V459,$T565:$Z565,0))),
                             IF(ISNUMBER(G513),
                                            IF(OR(G513=0,$S497=FALSE),0,G566/G513),"")))</f>
        <v/>
      </c>
      <c r="T566" s="1444" t="str">
        <f>IF($E566="","",IF(IFERROR(SUM($S566)=0,SUM(H566)),SUM(H566),SUM(H513)*SUM($S566))*IF(SUM(H566)=0,1,SUM(H532)/SUM(H566)))</f>
        <v/>
      </c>
      <c r="U566" s="1444" t="str">
        <f t="shared" ref="U566" si="709">IF($E566="","",IF(IFERROR(SUM($S566)=0,SUM(I566)),SUM(I566),SUM(I513)*SUM($S566))*IF(SUM(I566)=0,1,SUM(I532)/SUM(I566)))</f>
        <v/>
      </c>
      <c r="V566" s="1444" t="str">
        <f t="shared" ref="V566" si="710">IF($E566="","",IF(IFERROR(SUM($S566)=0,SUM(J566)),SUM(J566),SUM(J513)*SUM($S566))*IF(SUM(J566)=0,1,SUM(J532)/SUM(J566)))</f>
        <v/>
      </c>
      <c r="W566" s="1444" t="str">
        <f t="shared" ref="W566" si="711">IF($E566="","",IF(IFERROR(SUM($S566)=0,SUM(K566)),SUM(K566),SUM(K513)*SUM($S566))*IF(SUM(K566)=0,1,SUM(K532)/SUM(K566)))</f>
        <v/>
      </c>
      <c r="X566" s="1444" t="str">
        <f t="shared" ref="X566" si="712">IF($E566="","",IF(IFERROR(SUM($S566)=0,SUM(L566)),SUM(L566),SUM(L513)*SUM($S566))*IF(SUM(L566)=0,1,SUM(L532)/SUM(L566)))</f>
        <v/>
      </c>
      <c r="Y566" s="1444" t="str">
        <f t="shared" ref="Y566" si="713">IF($E566="","",IF(IFERROR(SUM($S566)=0,SUM(M566)),SUM(M566),SUM(M513)*SUM($S566))*IF(SUM(M566)=0,1,SUM(M532)/SUM(M566)))</f>
        <v/>
      </c>
      <c r="Z566" s="1445" t="str">
        <f t="shared" ref="Z566" si="714">IF($E566="","",IF(IFERROR(SUM($S566)=0,SUM(N566)),SUM(N566),SUM(N513)*SUM($S566))*IF(SUM(N566)=0,1,SUM(N532)/SUM(N566)))</f>
        <v/>
      </c>
      <c r="AA566" s="1446" t="s">
        <v>1757</v>
      </c>
      <c r="AB566" s="1447">
        <f t="shared" ref="AB566:AI566" si="715">AB550</f>
        <v>2</v>
      </c>
      <c r="AC566" s="1427">
        <f t="shared" si="715"/>
        <v>2</v>
      </c>
      <c r="AD566" s="1427">
        <f t="shared" si="715"/>
        <v>2</v>
      </c>
      <c r="AE566" s="1427">
        <f t="shared" si="715"/>
        <v>2</v>
      </c>
      <c r="AF566" s="1427">
        <f t="shared" si="715"/>
        <v>2</v>
      </c>
      <c r="AG566" s="1427">
        <f t="shared" si="715"/>
        <v>2</v>
      </c>
      <c r="AH566" s="1428">
        <f t="shared" si="715"/>
        <v>2</v>
      </c>
      <c r="AI566" s="1429">
        <f t="shared" si="715"/>
        <v>2</v>
      </c>
      <c r="AJ566" s="343"/>
      <c r="AK566" s="1174" t="s">
        <v>2039</v>
      </c>
      <c r="AL566" s="1176" t="str">
        <f>IF(AND(CNTR_ExistSubInstEntries,COUNTIFS(AB566:AI566,2,G566:N566,"")&gt;0),EUconst_Error&amp;"FB"&amp;Q495,"")</f>
        <v/>
      </c>
      <c r="AM566" s="343"/>
    </row>
    <row r="567" spans="1:39" ht="12.75" customHeight="1" x14ac:dyDescent="0.25">
      <c r="A567" s="729" t="str">
        <f t="shared" si="662"/>
        <v/>
      </c>
      <c r="B567" s="698"/>
      <c r="C567" s="2906"/>
      <c r="D567" s="990">
        <v>2</v>
      </c>
      <c r="E567" s="1430" t="str">
        <f t="shared" si="700"/>
        <v/>
      </c>
      <c r="F567" s="1448" t="str">
        <f t="shared" si="701"/>
        <v>TJ</v>
      </c>
      <c r="G567" s="1468" t="str">
        <f t="shared" ref="G567:G575" si="716">IF(OR($E567="",AB567=0),"",SUM(G533,G551))</f>
        <v/>
      </c>
      <c r="H567" s="1469" t="str">
        <f t="shared" si="702"/>
        <v/>
      </c>
      <c r="I567" s="1470" t="str">
        <f t="shared" si="703"/>
        <v/>
      </c>
      <c r="J567" s="1469" t="str">
        <f t="shared" si="704"/>
        <v/>
      </c>
      <c r="K567" s="1127" t="str">
        <f t="shared" si="705"/>
        <v/>
      </c>
      <c r="L567" s="1127" t="str">
        <f t="shared" si="706"/>
        <v/>
      </c>
      <c r="M567" s="1127" t="str">
        <f t="shared" si="707"/>
        <v/>
      </c>
      <c r="N567" s="1127" t="str">
        <f t="shared" si="708"/>
        <v/>
      </c>
      <c r="O567" s="302"/>
      <c r="P567" s="158"/>
      <c r="Q567" s="694"/>
      <c r="R567" s="694"/>
      <c r="S567" s="1449" t="str">
        <f>IF($M459&lt;&gt;EUconst_Relevant,"",
IF($V459&gt;($J$1840-3),
              IF(INDEX(H514:N514,MATCH($V459,$T565:$Z565,0))=0,0,INDEX(H567:N567,MATCH($V459,$T565:$Z565,0))/INDEX(H514:N514,MATCH($V459,$T565:$Z565,0))),
                             IF(ISNUMBER(G514),
                                            IF(OR(G514=0,$S498=FALSE),0,G567/G514),"")))</f>
        <v/>
      </c>
      <c r="T567" s="1450" t="str">
        <f t="shared" ref="T567" si="717">IF($E567="","",IF(IFERROR(SUM($S567)=0,SUM(H567)),SUM(H567),SUM(H514)*SUM($S567))*IF(SUM(H567)=0,1,SUM(H533)/SUM(H567)))</f>
        <v/>
      </c>
      <c r="U567" s="1450" t="str">
        <f t="shared" ref="U567" si="718">IF($E567="","",IF(IFERROR(SUM($S567)=0,SUM(I567)),SUM(I567),SUM(I514)*SUM($S567))*IF(SUM(I567)=0,1,SUM(I533)/SUM(I567)))</f>
        <v/>
      </c>
      <c r="V567" s="1450" t="str">
        <f t="shared" ref="V567" si="719">IF($E567="","",IF(IFERROR(SUM($S567)=0,SUM(J567)),SUM(J567),SUM(J514)*SUM($S567))*IF(SUM(J567)=0,1,SUM(J533)/SUM(J567)))</f>
        <v/>
      </c>
      <c r="W567" s="1450" t="str">
        <f t="shared" ref="W567" si="720">IF($E567="","",IF(IFERROR(SUM($S567)=0,SUM(K567)),SUM(K567),SUM(K514)*SUM($S567))*IF(SUM(K567)=0,1,SUM(K533)/SUM(K567)))</f>
        <v/>
      </c>
      <c r="X567" s="1450" t="str">
        <f t="shared" ref="X567" si="721">IF($E567="","",IF(IFERROR(SUM($S567)=0,SUM(L567)),SUM(L567),SUM(L514)*SUM($S567))*IF(SUM(L567)=0,1,SUM(L533)/SUM(L567)))</f>
        <v/>
      </c>
      <c r="Y567" s="1450" t="str">
        <f t="shared" ref="Y567" si="722">IF($E567="","",IF(IFERROR(SUM($S567)=0,SUM(M567)),SUM(M567),SUM(M514)*SUM($S567))*IF(SUM(M567)=0,1,SUM(M533)/SUM(M567)))</f>
        <v/>
      </c>
      <c r="Z567" s="1451" t="str">
        <f t="shared" ref="Z567" si="723">IF($E567="","",IF(IFERROR(SUM($S567)=0,SUM(N567)),SUM(N567),SUM(N514)*SUM($S567))*IF(SUM(N567)=0,1,SUM(N533)/SUM(N567)))</f>
        <v/>
      </c>
      <c r="AA567" s="694"/>
      <c r="AB567" s="1431">
        <f t="shared" ref="AB567:AI567" si="724">AB551</f>
        <v>2</v>
      </c>
      <c r="AC567" s="1432">
        <f t="shared" si="724"/>
        <v>2</v>
      </c>
      <c r="AD567" s="1432">
        <f t="shared" si="724"/>
        <v>2</v>
      </c>
      <c r="AE567" s="1432">
        <f t="shared" si="724"/>
        <v>2</v>
      </c>
      <c r="AF567" s="1432">
        <f t="shared" si="724"/>
        <v>2</v>
      </c>
      <c r="AG567" s="1432">
        <f t="shared" si="724"/>
        <v>2</v>
      </c>
      <c r="AH567" s="1432">
        <f t="shared" si="724"/>
        <v>2</v>
      </c>
      <c r="AI567" s="1452">
        <f t="shared" si="724"/>
        <v>2</v>
      </c>
      <c r="AJ567" s="343"/>
      <c r="AK567" s="1174" t="s">
        <v>2039</v>
      </c>
      <c r="AL567" s="1176" t="str">
        <f>IF(AND(CNTR_ExistSubInstEntries,COUNTIFS(AB567:AI567,2,G567:N567,"")&gt;0),EUconst_Error&amp;"FB"&amp;Q495,"")</f>
        <v/>
      </c>
      <c r="AM567" s="343"/>
    </row>
    <row r="568" spans="1:39" ht="12.75" customHeight="1" x14ac:dyDescent="0.25">
      <c r="A568" s="729" t="str">
        <f t="shared" si="662"/>
        <v/>
      </c>
      <c r="B568" s="698"/>
      <c r="C568" s="2906"/>
      <c r="D568" s="990">
        <v>3</v>
      </c>
      <c r="E568" s="1430" t="str">
        <f t="shared" si="700"/>
        <v/>
      </c>
      <c r="F568" s="1448" t="str">
        <f t="shared" si="701"/>
        <v>TJ</v>
      </c>
      <c r="G568" s="1470" t="str">
        <f t="shared" si="716"/>
        <v/>
      </c>
      <c r="H568" s="1469" t="str">
        <f t="shared" si="702"/>
        <v/>
      </c>
      <c r="I568" s="1470" t="str">
        <f t="shared" si="703"/>
        <v/>
      </c>
      <c r="J568" s="1469" t="str">
        <f t="shared" si="704"/>
        <v/>
      </c>
      <c r="K568" s="1127" t="str">
        <f t="shared" si="705"/>
        <v/>
      </c>
      <c r="L568" s="1127" t="str">
        <f t="shared" si="706"/>
        <v/>
      </c>
      <c r="M568" s="1127" t="str">
        <f t="shared" si="707"/>
        <v/>
      </c>
      <c r="N568" s="1127" t="str">
        <f t="shared" si="708"/>
        <v/>
      </c>
      <c r="O568" s="302"/>
      <c r="P568" s="158"/>
      <c r="Q568" s="694"/>
      <c r="R568" s="694"/>
      <c r="S568" s="1449" t="str">
        <f>IF($M459&lt;&gt;EUconst_Relevant,"",
IF($V459&gt;($J$1840-3),
              IF(INDEX(H515:N515,MATCH($V459,$T565:$Z565,0))=0,0,INDEX(H568:N568,MATCH($V459,$T565:$Z565,0))/INDEX(H515:N515,MATCH($V459,$T565:$Z565,0))),
                             IF(ISNUMBER(G515),
                                            IF(OR(G515=0,$S499=FALSE),0,G568/G515),"")))</f>
        <v/>
      </c>
      <c r="T568" s="1450" t="str">
        <f t="shared" ref="T568" si="725">IF($E568="","",IF(IFERROR(SUM($S568)=0,SUM(H568)),SUM(H568),SUM(H515)*SUM($S568))*IF(SUM(H568)=0,1,SUM(H534)/SUM(H568)))</f>
        <v/>
      </c>
      <c r="U568" s="1450" t="str">
        <f t="shared" ref="U568" si="726">IF($E568="","",IF(IFERROR(SUM($S568)=0,SUM(I568)),SUM(I568),SUM(I515)*SUM($S568))*IF(SUM(I568)=0,1,SUM(I534)/SUM(I568)))</f>
        <v/>
      </c>
      <c r="V568" s="1450" t="str">
        <f t="shared" ref="V568" si="727">IF($E568="","",IF(IFERROR(SUM($S568)=0,SUM(J568)),SUM(J568),SUM(J515)*SUM($S568))*IF(SUM(J568)=0,1,SUM(J534)/SUM(J568)))</f>
        <v/>
      </c>
      <c r="W568" s="1450" t="str">
        <f t="shared" ref="W568" si="728">IF($E568="","",IF(IFERROR(SUM($S568)=0,SUM(K568)),SUM(K568),SUM(K515)*SUM($S568))*IF(SUM(K568)=0,1,SUM(K534)/SUM(K568)))</f>
        <v/>
      </c>
      <c r="X568" s="1450" t="str">
        <f t="shared" ref="X568" si="729">IF($E568="","",IF(IFERROR(SUM($S568)=0,SUM(L568)),SUM(L568),SUM(L515)*SUM($S568))*IF(SUM(L568)=0,1,SUM(L534)/SUM(L568)))</f>
        <v/>
      </c>
      <c r="Y568" s="1450" t="str">
        <f t="shared" ref="Y568" si="730">IF($E568="","",IF(IFERROR(SUM($S568)=0,SUM(M568)),SUM(M568),SUM(M515)*SUM($S568))*IF(SUM(M568)=0,1,SUM(M534)/SUM(M568)))</f>
        <v/>
      </c>
      <c r="Z568" s="1451" t="str">
        <f t="shared" ref="Z568" si="731">IF($E568="","",IF(IFERROR(SUM($S568)=0,SUM(N568)),SUM(N568),SUM(N515)*SUM($S568))*IF(SUM(N568)=0,1,SUM(N534)/SUM(N568)))</f>
        <v/>
      </c>
      <c r="AA568" s="694"/>
      <c r="AB568" s="1431">
        <f t="shared" ref="AB568:AI568" si="732">AB552</f>
        <v>2</v>
      </c>
      <c r="AC568" s="1432">
        <f t="shared" si="732"/>
        <v>2</v>
      </c>
      <c r="AD568" s="1432">
        <f t="shared" si="732"/>
        <v>2</v>
      </c>
      <c r="AE568" s="1432">
        <f t="shared" si="732"/>
        <v>2</v>
      </c>
      <c r="AF568" s="1432">
        <f t="shared" si="732"/>
        <v>2</v>
      </c>
      <c r="AG568" s="1432">
        <f t="shared" si="732"/>
        <v>2</v>
      </c>
      <c r="AH568" s="1432">
        <f t="shared" si="732"/>
        <v>2</v>
      </c>
      <c r="AI568" s="1452">
        <f t="shared" si="732"/>
        <v>2</v>
      </c>
      <c r="AJ568" s="343"/>
      <c r="AK568" s="1174" t="s">
        <v>2039</v>
      </c>
      <c r="AL568" s="1176" t="str">
        <f>IF(AND(CNTR_ExistSubInstEntries,COUNTIFS(AB568:AI568,2,G568:N568,"")&gt;0),EUconst_Error&amp;"FB"&amp;Q495,"")</f>
        <v/>
      </c>
      <c r="AM568" s="343"/>
    </row>
    <row r="569" spans="1:39" ht="12.75" customHeight="1" x14ac:dyDescent="0.25">
      <c r="A569" s="729" t="str">
        <f t="shared" si="662"/>
        <v/>
      </c>
      <c r="B569" s="698"/>
      <c r="C569" s="2906"/>
      <c r="D569" s="990">
        <v>4</v>
      </c>
      <c r="E569" s="1430" t="str">
        <f t="shared" si="700"/>
        <v/>
      </c>
      <c r="F569" s="1448" t="str">
        <f t="shared" si="701"/>
        <v>TJ</v>
      </c>
      <c r="G569" s="1470" t="str">
        <f t="shared" si="716"/>
        <v/>
      </c>
      <c r="H569" s="1469" t="str">
        <f t="shared" si="702"/>
        <v/>
      </c>
      <c r="I569" s="1470" t="str">
        <f t="shared" si="703"/>
        <v/>
      </c>
      <c r="J569" s="1469" t="str">
        <f t="shared" si="704"/>
        <v/>
      </c>
      <c r="K569" s="1127" t="str">
        <f t="shared" si="705"/>
        <v/>
      </c>
      <c r="L569" s="1127" t="str">
        <f t="shared" si="706"/>
        <v/>
      </c>
      <c r="M569" s="1127" t="str">
        <f t="shared" si="707"/>
        <v/>
      </c>
      <c r="N569" s="1127" t="str">
        <f t="shared" si="708"/>
        <v/>
      </c>
      <c r="O569" s="302"/>
      <c r="P569" s="158"/>
      <c r="Q569" s="694"/>
      <c r="R569" s="694"/>
      <c r="S569" s="1449" t="str">
        <f>IF($M459&lt;&gt;EUconst_Relevant,"",
IF($V459&gt;($J$1840-3),
              IF(INDEX(H516:N516,MATCH($V459,$T565:$Z565,0))=0,0,INDEX(H569:N569,MATCH($V459,$T565:$Z565,0))/INDEX(H516:N516,MATCH($V459,$T565:$Z565,0))),
                             IF(ISNUMBER(G516),
                                            IF(OR(G516=0,$S500=FALSE),0,G569/G516),"")))</f>
        <v/>
      </c>
      <c r="T569" s="1450" t="str">
        <f t="shared" ref="T569" si="733">IF($E569="","",IF(IFERROR(SUM($S569)=0,SUM(H569)),SUM(H569),SUM(H516)*SUM($S569))*IF(SUM(H569)=0,1,SUM(H535)/SUM(H569)))</f>
        <v/>
      </c>
      <c r="U569" s="1450" t="str">
        <f t="shared" ref="U569" si="734">IF($E569="","",IF(IFERROR(SUM($S569)=0,SUM(I569)),SUM(I569),SUM(I516)*SUM($S569))*IF(SUM(I569)=0,1,SUM(I535)/SUM(I569)))</f>
        <v/>
      </c>
      <c r="V569" s="1450" t="str">
        <f t="shared" ref="V569" si="735">IF($E569="","",IF(IFERROR(SUM($S569)=0,SUM(J569)),SUM(J569),SUM(J516)*SUM($S569))*IF(SUM(J569)=0,1,SUM(J535)/SUM(J569)))</f>
        <v/>
      </c>
      <c r="W569" s="1450" t="str">
        <f t="shared" ref="W569" si="736">IF($E569="","",IF(IFERROR(SUM($S569)=0,SUM(K569)),SUM(K569),SUM(K516)*SUM($S569))*IF(SUM(K569)=0,1,SUM(K535)/SUM(K569)))</f>
        <v/>
      </c>
      <c r="X569" s="1450" t="str">
        <f t="shared" ref="X569" si="737">IF($E569="","",IF(IFERROR(SUM($S569)=0,SUM(L569)),SUM(L569),SUM(L516)*SUM($S569))*IF(SUM(L569)=0,1,SUM(L535)/SUM(L569)))</f>
        <v/>
      </c>
      <c r="Y569" s="1450" t="str">
        <f t="shared" ref="Y569" si="738">IF($E569="","",IF(IFERROR(SUM($S569)=0,SUM(M569)),SUM(M569),SUM(M516)*SUM($S569))*IF(SUM(M569)=0,1,SUM(M535)/SUM(M569)))</f>
        <v/>
      </c>
      <c r="Z569" s="1451" t="str">
        <f t="shared" ref="Z569" si="739">IF($E569="","",IF(IFERROR(SUM($S569)=0,SUM(N569)),SUM(N569),SUM(N516)*SUM($S569))*IF(SUM(N569)=0,1,SUM(N535)/SUM(N569)))</f>
        <v/>
      </c>
      <c r="AA569" s="694"/>
      <c r="AB569" s="1431">
        <f t="shared" ref="AB569:AI569" si="740">AB553</f>
        <v>2</v>
      </c>
      <c r="AC569" s="1432">
        <f t="shared" si="740"/>
        <v>2</v>
      </c>
      <c r="AD569" s="1432">
        <f t="shared" si="740"/>
        <v>2</v>
      </c>
      <c r="AE569" s="1432">
        <f t="shared" si="740"/>
        <v>2</v>
      </c>
      <c r="AF569" s="1432">
        <f t="shared" si="740"/>
        <v>2</v>
      </c>
      <c r="AG569" s="1432">
        <f t="shared" si="740"/>
        <v>2</v>
      </c>
      <c r="AH569" s="1432">
        <f t="shared" si="740"/>
        <v>2</v>
      </c>
      <c r="AI569" s="1452">
        <f t="shared" si="740"/>
        <v>2</v>
      </c>
      <c r="AJ569" s="343"/>
      <c r="AK569" s="1174" t="s">
        <v>2039</v>
      </c>
      <c r="AL569" s="1176" t="str">
        <f>IF(AND(CNTR_ExistSubInstEntries,COUNTIFS(AB569:AI569,2,G569:N569,"")&gt;0),EUconst_Error&amp;"FB"&amp;Q495,"")</f>
        <v/>
      </c>
      <c r="AM569" s="343"/>
    </row>
    <row r="570" spans="1:39" ht="12.75" customHeight="1" x14ac:dyDescent="0.25">
      <c r="A570" s="729" t="str">
        <f t="shared" si="662"/>
        <v/>
      </c>
      <c r="B570" s="698"/>
      <c r="C570" s="2906"/>
      <c r="D570" s="990">
        <v>5</v>
      </c>
      <c r="E570" s="1430" t="str">
        <f t="shared" si="700"/>
        <v/>
      </c>
      <c r="F570" s="1448" t="str">
        <f t="shared" si="701"/>
        <v>TJ</v>
      </c>
      <c r="G570" s="1470" t="str">
        <f t="shared" si="716"/>
        <v/>
      </c>
      <c r="H570" s="1469" t="str">
        <f t="shared" si="702"/>
        <v/>
      </c>
      <c r="I570" s="1470" t="str">
        <f t="shared" si="703"/>
        <v/>
      </c>
      <c r="J570" s="1469" t="str">
        <f t="shared" si="704"/>
        <v/>
      </c>
      <c r="K570" s="1127" t="str">
        <f t="shared" si="705"/>
        <v/>
      </c>
      <c r="L570" s="1127" t="str">
        <f t="shared" si="706"/>
        <v/>
      </c>
      <c r="M570" s="1127" t="str">
        <f t="shared" si="707"/>
        <v/>
      </c>
      <c r="N570" s="1127" t="str">
        <f t="shared" si="708"/>
        <v/>
      </c>
      <c r="O570" s="302"/>
      <c r="P570" s="158"/>
      <c r="Q570" s="694"/>
      <c r="R570" s="694"/>
      <c r="S570" s="1449" t="str">
        <f>IF($M459&lt;&gt;EUconst_Relevant,"",
IF($V459&gt;($J$1840-3),
              IF(INDEX(H517:N517,MATCH($V459,$T565:$Z565,0))=0,0,INDEX(H570:N570,MATCH($V459,$T565:$Z565,0))/INDEX(H517:N517,MATCH($V459,$T565:$Z565,0))),
                             IF(ISNUMBER(G517),
                                            IF(OR(G517=0,$S501=FALSE),0,G570/G517),"")))</f>
        <v/>
      </c>
      <c r="T570" s="1450" t="str">
        <f t="shared" ref="T570" si="741">IF($E570="","",IF(IFERROR(SUM($S570)=0,SUM(H570)),SUM(H570),SUM(H517)*SUM($S570))*IF(SUM(H570)=0,1,SUM(H536)/SUM(H570)))</f>
        <v/>
      </c>
      <c r="U570" s="1450" t="str">
        <f t="shared" ref="U570" si="742">IF($E570="","",IF(IFERROR(SUM($S570)=0,SUM(I570)),SUM(I570),SUM(I517)*SUM($S570))*IF(SUM(I570)=0,1,SUM(I536)/SUM(I570)))</f>
        <v/>
      </c>
      <c r="V570" s="1450" t="str">
        <f t="shared" ref="V570" si="743">IF($E570="","",IF(IFERROR(SUM($S570)=0,SUM(J570)),SUM(J570),SUM(J517)*SUM($S570))*IF(SUM(J570)=0,1,SUM(J536)/SUM(J570)))</f>
        <v/>
      </c>
      <c r="W570" s="1450" t="str">
        <f t="shared" ref="W570" si="744">IF($E570="","",IF(IFERROR(SUM($S570)=0,SUM(K570)),SUM(K570),SUM(K517)*SUM($S570))*IF(SUM(K570)=0,1,SUM(K536)/SUM(K570)))</f>
        <v/>
      </c>
      <c r="X570" s="1450" t="str">
        <f t="shared" ref="X570" si="745">IF($E570="","",IF(IFERROR(SUM($S570)=0,SUM(L570)),SUM(L570),SUM(L517)*SUM($S570))*IF(SUM(L570)=0,1,SUM(L536)/SUM(L570)))</f>
        <v/>
      </c>
      <c r="Y570" s="1450" t="str">
        <f t="shared" ref="Y570" si="746">IF($E570="","",IF(IFERROR(SUM($S570)=0,SUM(M570)),SUM(M570),SUM(M517)*SUM($S570))*IF(SUM(M570)=0,1,SUM(M536)/SUM(M570)))</f>
        <v/>
      </c>
      <c r="Z570" s="1451" t="str">
        <f t="shared" ref="Z570" si="747">IF($E570="","",IF(IFERROR(SUM($S570)=0,SUM(N570)),SUM(N570),SUM(N517)*SUM($S570))*IF(SUM(N570)=0,1,SUM(N536)/SUM(N570)))</f>
        <v/>
      </c>
      <c r="AA570" s="694"/>
      <c r="AB570" s="1431">
        <f t="shared" ref="AB570:AI570" si="748">AB554</f>
        <v>2</v>
      </c>
      <c r="AC570" s="1432">
        <f t="shared" si="748"/>
        <v>2</v>
      </c>
      <c r="AD570" s="1432">
        <f t="shared" si="748"/>
        <v>2</v>
      </c>
      <c r="AE570" s="1432">
        <f t="shared" si="748"/>
        <v>2</v>
      </c>
      <c r="AF570" s="1432">
        <f t="shared" si="748"/>
        <v>2</v>
      </c>
      <c r="AG570" s="1432">
        <f t="shared" si="748"/>
        <v>2</v>
      </c>
      <c r="AH570" s="1432">
        <f t="shared" si="748"/>
        <v>2</v>
      </c>
      <c r="AI570" s="1452">
        <f t="shared" si="748"/>
        <v>2</v>
      </c>
      <c r="AJ570" s="343"/>
      <c r="AK570" s="1174" t="s">
        <v>2039</v>
      </c>
      <c r="AL570" s="1176" t="str">
        <f>IF(AND(CNTR_ExistSubInstEntries,COUNTIFS(AB570:AI570,2,G570:N570,"")&gt;0),EUconst_Error&amp;"FB"&amp;Q495,"")</f>
        <v/>
      </c>
      <c r="AM570" s="343"/>
    </row>
    <row r="571" spans="1:39" ht="12.75" customHeight="1" x14ac:dyDescent="0.25">
      <c r="A571" s="729" t="str">
        <f t="shared" si="662"/>
        <v/>
      </c>
      <c r="B571" s="698"/>
      <c r="C571" s="2906"/>
      <c r="D571" s="990">
        <v>6</v>
      </c>
      <c r="E571" s="1430" t="str">
        <f t="shared" si="700"/>
        <v/>
      </c>
      <c r="F571" s="1448" t="str">
        <f t="shared" si="701"/>
        <v>TJ</v>
      </c>
      <c r="G571" s="1470" t="str">
        <f t="shared" si="716"/>
        <v/>
      </c>
      <c r="H571" s="1469" t="str">
        <f t="shared" si="702"/>
        <v/>
      </c>
      <c r="I571" s="1470" t="str">
        <f t="shared" si="703"/>
        <v/>
      </c>
      <c r="J571" s="1469" t="str">
        <f t="shared" si="704"/>
        <v/>
      </c>
      <c r="K571" s="1127" t="str">
        <f t="shared" si="705"/>
        <v/>
      </c>
      <c r="L571" s="1127" t="str">
        <f t="shared" si="706"/>
        <v/>
      </c>
      <c r="M571" s="1127" t="str">
        <f t="shared" si="707"/>
        <v/>
      </c>
      <c r="N571" s="1127" t="str">
        <f t="shared" si="708"/>
        <v/>
      </c>
      <c r="O571" s="302"/>
      <c r="P571" s="158"/>
      <c r="Q571" s="694"/>
      <c r="R571" s="694"/>
      <c r="S571" s="1449" t="str">
        <f>IF($M459&lt;&gt;EUconst_Relevant,"",
IF($V459&gt;($J$1840-3),
              IF(INDEX(H518:N518,MATCH($V459,$T565:$Z565,0))=0,0,INDEX(H571:N571,MATCH($V459,$T565:$Z565,0))/INDEX(H518:N518,MATCH($V459,$T565:$Z565,0))),
                             IF(ISNUMBER(G518),
                                            IF(OR(G518=0,$S502=FALSE),0,G571/G518),"")))</f>
        <v/>
      </c>
      <c r="T571" s="1450" t="str">
        <f t="shared" ref="T571" si="749">IF($E571="","",IF(IFERROR(SUM($S571)=0,SUM(H571)),SUM(H571),SUM(H518)*SUM($S571))*IF(SUM(H571)=0,1,SUM(H537)/SUM(H571)))</f>
        <v/>
      </c>
      <c r="U571" s="1450" t="str">
        <f t="shared" ref="U571" si="750">IF($E571="","",IF(IFERROR(SUM($S571)=0,SUM(I571)),SUM(I571),SUM(I518)*SUM($S571))*IF(SUM(I571)=0,1,SUM(I537)/SUM(I571)))</f>
        <v/>
      </c>
      <c r="V571" s="1450" t="str">
        <f t="shared" ref="V571" si="751">IF($E571="","",IF(IFERROR(SUM($S571)=0,SUM(J571)),SUM(J571),SUM(J518)*SUM($S571))*IF(SUM(J571)=0,1,SUM(J537)/SUM(J571)))</f>
        <v/>
      </c>
      <c r="W571" s="1450" t="str">
        <f t="shared" ref="W571" si="752">IF($E571="","",IF(IFERROR(SUM($S571)=0,SUM(K571)),SUM(K571),SUM(K518)*SUM($S571))*IF(SUM(K571)=0,1,SUM(K537)/SUM(K571)))</f>
        <v/>
      </c>
      <c r="X571" s="1450" t="str">
        <f t="shared" ref="X571" si="753">IF($E571="","",IF(IFERROR(SUM($S571)=0,SUM(L571)),SUM(L571),SUM(L518)*SUM($S571))*IF(SUM(L571)=0,1,SUM(L537)/SUM(L571)))</f>
        <v/>
      </c>
      <c r="Y571" s="1450" t="str">
        <f t="shared" ref="Y571" si="754">IF($E571="","",IF(IFERROR(SUM($S571)=0,SUM(M571)),SUM(M571),SUM(M518)*SUM($S571))*IF(SUM(M571)=0,1,SUM(M537)/SUM(M571)))</f>
        <v/>
      </c>
      <c r="Z571" s="1451" t="str">
        <f t="shared" ref="Z571" si="755">IF($E571="","",IF(IFERROR(SUM($S571)=0,SUM(N571)),SUM(N571),SUM(N518)*SUM($S571))*IF(SUM(N571)=0,1,SUM(N537)/SUM(N571)))</f>
        <v/>
      </c>
      <c r="AA571" s="694"/>
      <c r="AB571" s="1431">
        <f t="shared" ref="AB571:AI571" si="756">AB555</f>
        <v>2</v>
      </c>
      <c r="AC571" s="1432">
        <f t="shared" si="756"/>
        <v>2</v>
      </c>
      <c r="AD571" s="1432">
        <f t="shared" si="756"/>
        <v>2</v>
      </c>
      <c r="AE571" s="1432">
        <f t="shared" si="756"/>
        <v>2</v>
      </c>
      <c r="AF571" s="1432">
        <f t="shared" si="756"/>
        <v>2</v>
      </c>
      <c r="AG571" s="1432">
        <f t="shared" si="756"/>
        <v>2</v>
      </c>
      <c r="AH571" s="1432">
        <f t="shared" si="756"/>
        <v>2</v>
      </c>
      <c r="AI571" s="1452">
        <f t="shared" si="756"/>
        <v>2</v>
      </c>
      <c r="AJ571" s="343"/>
      <c r="AK571" s="1174" t="s">
        <v>2039</v>
      </c>
      <c r="AL571" s="1176" t="str">
        <f>IF(AND(CNTR_ExistSubInstEntries,COUNTIFS(AB571:AI571,2,G571:N571,"")&gt;0),EUconst_Error&amp;"FB"&amp;Q495,"")</f>
        <v/>
      </c>
      <c r="AM571" s="343"/>
    </row>
    <row r="572" spans="1:39" ht="12.75" customHeight="1" x14ac:dyDescent="0.25">
      <c r="A572" s="729" t="str">
        <f t="shared" si="662"/>
        <v/>
      </c>
      <c r="B572" s="698"/>
      <c r="C572" s="2906"/>
      <c r="D572" s="990">
        <v>7</v>
      </c>
      <c r="E572" s="1430" t="str">
        <f t="shared" si="700"/>
        <v/>
      </c>
      <c r="F572" s="1448" t="str">
        <f t="shared" si="701"/>
        <v>TJ</v>
      </c>
      <c r="G572" s="1470" t="str">
        <f t="shared" si="716"/>
        <v/>
      </c>
      <c r="H572" s="1469" t="str">
        <f t="shared" si="702"/>
        <v/>
      </c>
      <c r="I572" s="1470" t="str">
        <f t="shared" si="703"/>
        <v/>
      </c>
      <c r="J572" s="1469" t="str">
        <f t="shared" si="704"/>
        <v/>
      </c>
      <c r="K572" s="1127" t="str">
        <f t="shared" si="705"/>
        <v/>
      </c>
      <c r="L572" s="1127" t="str">
        <f t="shared" si="706"/>
        <v/>
      </c>
      <c r="M572" s="1127" t="str">
        <f t="shared" si="707"/>
        <v/>
      </c>
      <c r="N572" s="1127" t="str">
        <f t="shared" si="708"/>
        <v/>
      </c>
      <c r="O572" s="302"/>
      <c r="P572" s="158"/>
      <c r="Q572" s="694"/>
      <c r="R572" s="694"/>
      <c r="S572" s="1449" t="str">
        <f>IF($M459&lt;&gt;EUconst_Relevant,"",
IF($V459&gt;($J$1840-3),
              IF(INDEX(H519:N519,MATCH($V459,$T565:$Z565,0))=0,0,INDEX(H572:N572,MATCH($V459,$T565:$Z565,0))/INDEX(H519:N519,MATCH($V459,$T565:$Z565,0))),
                             IF(ISNUMBER(G519),
                                            IF(OR(G519=0,$S503=FALSE),0,G572/G519),"")))</f>
        <v/>
      </c>
      <c r="T572" s="1450" t="str">
        <f t="shared" ref="T572" si="757">IF($E572="","",IF(IFERROR(SUM($S572)=0,SUM(H572)),SUM(H572),SUM(H519)*SUM($S572))*IF(SUM(H572)=0,1,SUM(H538)/SUM(H572)))</f>
        <v/>
      </c>
      <c r="U572" s="1450" t="str">
        <f t="shared" ref="U572" si="758">IF($E572="","",IF(IFERROR(SUM($S572)=0,SUM(I572)),SUM(I572),SUM(I519)*SUM($S572))*IF(SUM(I572)=0,1,SUM(I538)/SUM(I572)))</f>
        <v/>
      </c>
      <c r="V572" s="1450" t="str">
        <f t="shared" ref="V572" si="759">IF($E572="","",IF(IFERROR(SUM($S572)=0,SUM(J572)),SUM(J572),SUM(J519)*SUM($S572))*IF(SUM(J572)=0,1,SUM(J538)/SUM(J572)))</f>
        <v/>
      </c>
      <c r="W572" s="1450" t="str">
        <f t="shared" ref="W572" si="760">IF($E572="","",IF(IFERROR(SUM($S572)=0,SUM(K572)),SUM(K572),SUM(K519)*SUM($S572))*IF(SUM(K572)=0,1,SUM(K538)/SUM(K572)))</f>
        <v/>
      </c>
      <c r="X572" s="1450" t="str">
        <f t="shared" ref="X572" si="761">IF($E572="","",IF(IFERROR(SUM($S572)=0,SUM(L572)),SUM(L572),SUM(L519)*SUM($S572))*IF(SUM(L572)=0,1,SUM(L538)/SUM(L572)))</f>
        <v/>
      </c>
      <c r="Y572" s="1450" t="str">
        <f t="shared" ref="Y572" si="762">IF($E572="","",IF(IFERROR(SUM($S572)=0,SUM(M572)),SUM(M572),SUM(M519)*SUM($S572))*IF(SUM(M572)=0,1,SUM(M538)/SUM(M572)))</f>
        <v/>
      </c>
      <c r="Z572" s="1451" t="str">
        <f t="shared" ref="Z572" si="763">IF($E572="","",IF(IFERROR(SUM($S572)=0,SUM(N572)),SUM(N572),SUM(N519)*SUM($S572))*IF(SUM(N572)=0,1,SUM(N538)/SUM(N572)))</f>
        <v/>
      </c>
      <c r="AA572" s="694"/>
      <c r="AB572" s="1431">
        <f t="shared" ref="AB572:AI572" si="764">AB556</f>
        <v>2</v>
      </c>
      <c r="AC572" s="1432">
        <f t="shared" si="764"/>
        <v>2</v>
      </c>
      <c r="AD572" s="1432">
        <f t="shared" si="764"/>
        <v>2</v>
      </c>
      <c r="AE572" s="1432">
        <f t="shared" si="764"/>
        <v>2</v>
      </c>
      <c r="AF572" s="1432">
        <f t="shared" si="764"/>
        <v>2</v>
      </c>
      <c r="AG572" s="1432">
        <f t="shared" si="764"/>
        <v>2</v>
      </c>
      <c r="AH572" s="1432">
        <f t="shared" si="764"/>
        <v>2</v>
      </c>
      <c r="AI572" s="1452">
        <f t="shared" si="764"/>
        <v>2</v>
      </c>
      <c r="AJ572" s="343"/>
      <c r="AK572" s="1174" t="s">
        <v>2039</v>
      </c>
      <c r="AL572" s="1176" t="str">
        <f>IF(AND(CNTR_ExistSubInstEntries,COUNTIFS(AB572:AI572,2,G572:N572,"")&gt;0),EUconst_Error&amp;"FB"&amp;Q495,"")</f>
        <v/>
      </c>
      <c r="AM572" s="343"/>
    </row>
    <row r="573" spans="1:39" ht="12.75" customHeight="1" x14ac:dyDescent="0.25">
      <c r="A573" s="729" t="str">
        <f t="shared" si="662"/>
        <v/>
      </c>
      <c r="B573" s="698"/>
      <c r="C573" s="2906"/>
      <c r="D573" s="990">
        <v>8</v>
      </c>
      <c r="E573" s="1430" t="str">
        <f t="shared" si="700"/>
        <v/>
      </c>
      <c r="F573" s="1448" t="str">
        <f t="shared" si="701"/>
        <v>TJ</v>
      </c>
      <c r="G573" s="1470" t="str">
        <f t="shared" si="716"/>
        <v/>
      </c>
      <c r="H573" s="1469" t="str">
        <f t="shared" si="702"/>
        <v/>
      </c>
      <c r="I573" s="1470" t="str">
        <f t="shared" si="703"/>
        <v/>
      </c>
      <c r="J573" s="1469" t="str">
        <f t="shared" si="704"/>
        <v/>
      </c>
      <c r="K573" s="1127" t="str">
        <f t="shared" si="705"/>
        <v/>
      </c>
      <c r="L573" s="1127" t="str">
        <f t="shared" si="706"/>
        <v/>
      </c>
      <c r="M573" s="1127" t="str">
        <f t="shared" si="707"/>
        <v/>
      </c>
      <c r="N573" s="1127" t="str">
        <f t="shared" si="708"/>
        <v/>
      </c>
      <c r="O573" s="302"/>
      <c r="P573" s="158"/>
      <c r="Q573" s="694"/>
      <c r="R573" s="694"/>
      <c r="S573" s="1449" t="str">
        <f>IF($M459&lt;&gt;EUconst_Relevant,"",
IF($V459&gt;($J$1840-3),
              IF(INDEX(H520:N520,MATCH($V459,$T565:$Z565,0))=0,0,INDEX(H573:N573,MATCH($V459,$T565:$Z565,0))/INDEX(H520:N520,MATCH($V459,$T565:$Z565,0))),
                             IF(ISNUMBER(G520),
                                            IF(OR(G520=0,$S504=FALSE),0,G573/G520),"")))</f>
        <v/>
      </c>
      <c r="T573" s="1450" t="str">
        <f t="shared" ref="T573" si="765">IF($E573="","",IF(IFERROR(SUM($S573)=0,SUM(H573)),SUM(H573),SUM(H520)*SUM($S573))*IF(SUM(H573)=0,1,SUM(H539)/SUM(H573)))</f>
        <v/>
      </c>
      <c r="U573" s="1450" t="str">
        <f t="shared" ref="U573" si="766">IF($E573="","",IF(IFERROR(SUM($S573)=0,SUM(I573)),SUM(I573),SUM(I520)*SUM($S573))*IF(SUM(I573)=0,1,SUM(I539)/SUM(I573)))</f>
        <v/>
      </c>
      <c r="V573" s="1450" t="str">
        <f t="shared" ref="V573" si="767">IF($E573="","",IF(IFERROR(SUM($S573)=0,SUM(J573)),SUM(J573),SUM(J520)*SUM($S573))*IF(SUM(J573)=0,1,SUM(J539)/SUM(J573)))</f>
        <v/>
      </c>
      <c r="W573" s="1450" t="str">
        <f t="shared" ref="W573" si="768">IF($E573="","",IF(IFERROR(SUM($S573)=0,SUM(K573)),SUM(K573),SUM(K520)*SUM($S573))*IF(SUM(K573)=0,1,SUM(K539)/SUM(K573)))</f>
        <v/>
      </c>
      <c r="X573" s="1450" t="str">
        <f t="shared" ref="X573" si="769">IF($E573="","",IF(IFERROR(SUM($S573)=0,SUM(L573)),SUM(L573),SUM(L520)*SUM($S573))*IF(SUM(L573)=0,1,SUM(L539)/SUM(L573)))</f>
        <v/>
      </c>
      <c r="Y573" s="1450" t="str">
        <f t="shared" ref="Y573" si="770">IF($E573="","",IF(IFERROR(SUM($S573)=0,SUM(M573)),SUM(M573),SUM(M520)*SUM($S573))*IF(SUM(M573)=0,1,SUM(M539)/SUM(M573)))</f>
        <v/>
      </c>
      <c r="Z573" s="1451" t="str">
        <f t="shared" ref="Z573" si="771">IF($E573="","",IF(IFERROR(SUM($S573)=0,SUM(N573)),SUM(N573),SUM(N520)*SUM($S573))*IF(SUM(N573)=0,1,SUM(N539)/SUM(N573)))</f>
        <v/>
      </c>
      <c r="AA573" s="694"/>
      <c r="AB573" s="1431">
        <f t="shared" ref="AB573:AI573" si="772">AB557</f>
        <v>2</v>
      </c>
      <c r="AC573" s="1432">
        <f t="shared" si="772"/>
        <v>2</v>
      </c>
      <c r="AD573" s="1432">
        <f t="shared" si="772"/>
        <v>2</v>
      </c>
      <c r="AE573" s="1432">
        <f t="shared" si="772"/>
        <v>2</v>
      </c>
      <c r="AF573" s="1432">
        <f t="shared" si="772"/>
        <v>2</v>
      </c>
      <c r="AG573" s="1432">
        <f t="shared" si="772"/>
        <v>2</v>
      </c>
      <c r="AH573" s="1432">
        <f t="shared" si="772"/>
        <v>2</v>
      </c>
      <c r="AI573" s="1452">
        <f t="shared" si="772"/>
        <v>2</v>
      </c>
      <c r="AJ573" s="343"/>
      <c r="AK573" s="1174" t="s">
        <v>2039</v>
      </c>
      <c r="AL573" s="1176" t="str">
        <f>IF(AND(CNTR_ExistSubInstEntries,COUNTIFS(AB573:AI573,2,G573:N573,"")&gt;0),EUconst_Error&amp;"FB"&amp;Q495,"")</f>
        <v/>
      </c>
      <c r="AM573" s="343"/>
    </row>
    <row r="574" spans="1:39" ht="12.75" customHeight="1" x14ac:dyDescent="0.25">
      <c r="A574" s="729" t="str">
        <f t="shared" si="662"/>
        <v/>
      </c>
      <c r="B574" s="698"/>
      <c r="C574" s="2906"/>
      <c r="D574" s="990">
        <v>9</v>
      </c>
      <c r="E574" s="1430" t="str">
        <f t="shared" si="700"/>
        <v/>
      </c>
      <c r="F574" s="1448" t="str">
        <f t="shared" si="701"/>
        <v>TJ</v>
      </c>
      <c r="G574" s="1470" t="str">
        <f t="shared" si="716"/>
        <v/>
      </c>
      <c r="H574" s="1469" t="str">
        <f t="shared" si="702"/>
        <v/>
      </c>
      <c r="I574" s="1470" t="str">
        <f t="shared" si="703"/>
        <v/>
      </c>
      <c r="J574" s="1469" t="str">
        <f t="shared" si="704"/>
        <v/>
      </c>
      <c r="K574" s="1127" t="str">
        <f t="shared" si="705"/>
        <v/>
      </c>
      <c r="L574" s="1127" t="str">
        <f t="shared" si="706"/>
        <v/>
      </c>
      <c r="M574" s="1127" t="str">
        <f t="shared" si="707"/>
        <v/>
      </c>
      <c r="N574" s="1127" t="str">
        <f t="shared" si="708"/>
        <v/>
      </c>
      <c r="O574" s="302"/>
      <c r="P574" s="158"/>
      <c r="Q574" s="694"/>
      <c r="R574" s="694"/>
      <c r="S574" s="1449" t="str">
        <f>IF($M459&lt;&gt;EUconst_Relevant,"",
IF($V459&gt;($J$1840-3),
              IF(INDEX(H521:N521,MATCH($V459,$T565:$Z565,0))=0,0,INDEX(H574:N574,MATCH($V459,$T565:$Z565,0))/INDEX(H521:N521,MATCH($V459,$T565:$Z565,0))),
                             IF(ISNUMBER(G521),
                                            IF(OR(G521=0,$S505=FALSE),0,G574/G521),"")))</f>
        <v/>
      </c>
      <c r="T574" s="1450" t="str">
        <f t="shared" ref="T574" si="773">IF($E574="","",IF(IFERROR(SUM($S574)=0,SUM(H574)),SUM(H574),SUM(H521)*SUM($S574))*IF(SUM(H574)=0,1,SUM(H540)/SUM(H574)))</f>
        <v/>
      </c>
      <c r="U574" s="1450" t="str">
        <f t="shared" ref="U574" si="774">IF($E574="","",IF(IFERROR(SUM($S574)=0,SUM(I574)),SUM(I574),SUM(I521)*SUM($S574))*IF(SUM(I574)=0,1,SUM(I540)/SUM(I574)))</f>
        <v/>
      </c>
      <c r="V574" s="1450" t="str">
        <f t="shared" ref="V574" si="775">IF($E574="","",IF(IFERROR(SUM($S574)=0,SUM(J574)),SUM(J574),SUM(J521)*SUM($S574))*IF(SUM(J574)=0,1,SUM(J540)/SUM(J574)))</f>
        <v/>
      </c>
      <c r="W574" s="1450" t="str">
        <f t="shared" ref="W574" si="776">IF($E574="","",IF(IFERROR(SUM($S574)=0,SUM(K574)),SUM(K574),SUM(K521)*SUM($S574))*IF(SUM(K574)=0,1,SUM(K540)/SUM(K574)))</f>
        <v/>
      </c>
      <c r="X574" s="1450" t="str">
        <f t="shared" ref="X574" si="777">IF($E574="","",IF(IFERROR(SUM($S574)=0,SUM(L574)),SUM(L574),SUM(L521)*SUM($S574))*IF(SUM(L574)=0,1,SUM(L540)/SUM(L574)))</f>
        <v/>
      </c>
      <c r="Y574" s="1450" t="str">
        <f t="shared" ref="Y574" si="778">IF($E574="","",IF(IFERROR(SUM($S574)=0,SUM(M574)),SUM(M574),SUM(M521)*SUM($S574))*IF(SUM(M574)=0,1,SUM(M540)/SUM(M574)))</f>
        <v/>
      </c>
      <c r="Z574" s="1451" t="str">
        <f t="shared" ref="Z574" si="779">IF($E574="","",IF(IFERROR(SUM($S574)=0,SUM(N574)),SUM(N574),SUM(N521)*SUM($S574))*IF(SUM(N574)=0,1,SUM(N540)/SUM(N574)))</f>
        <v/>
      </c>
      <c r="AA574" s="694"/>
      <c r="AB574" s="1431">
        <f t="shared" ref="AB574:AI574" si="780">AB558</f>
        <v>2</v>
      </c>
      <c r="AC574" s="1432">
        <f t="shared" si="780"/>
        <v>2</v>
      </c>
      <c r="AD574" s="1432">
        <f t="shared" si="780"/>
        <v>2</v>
      </c>
      <c r="AE574" s="1432">
        <f t="shared" si="780"/>
        <v>2</v>
      </c>
      <c r="AF574" s="1432">
        <f t="shared" si="780"/>
        <v>2</v>
      </c>
      <c r="AG574" s="1432">
        <f t="shared" si="780"/>
        <v>2</v>
      </c>
      <c r="AH574" s="1432">
        <f t="shared" si="780"/>
        <v>2</v>
      </c>
      <c r="AI574" s="1452">
        <f t="shared" si="780"/>
        <v>2</v>
      </c>
      <c r="AJ574" s="343"/>
      <c r="AK574" s="1174" t="s">
        <v>2039</v>
      </c>
      <c r="AL574" s="1176" t="str">
        <f>IF(AND(CNTR_ExistSubInstEntries,COUNTIFS(AB574:AI574,2,G574:N574,"")&gt;0),EUconst_Error&amp;"FB"&amp;Q495,"")</f>
        <v/>
      </c>
      <c r="AM574" s="343"/>
    </row>
    <row r="575" spans="1:39" ht="12.75" customHeight="1" thickBot="1" x14ac:dyDescent="0.3">
      <c r="A575" s="729" t="str">
        <f t="shared" si="662"/>
        <v/>
      </c>
      <c r="B575" s="698"/>
      <c r="C575" s="2906"/>
      <c r="D575" s="994">
        <v>10</v>
      </c>
      <c r="E575" s="1435" t="str">
        <f t="shared" si="700"/>
        <v/>
      </c>
      <c r="F575" s="1453" t="str">
        <f t="shared" si="701"/>
        <v>TJ</v>
      </c>
      <c r="G575" s="1471" t="str">
        <f t="shared" si="716"/>
        <v/>
      </c>
      <c r="H575" s="1472" t="str">
        <f t="shared" si="702"/>
        <v/>
      </c>
      <c r="I575" s="1471" t="str">
        <f t="shared" si="703"/>
        <v/>
      </c>
      <c r="J575" s="1472" t="str">
        <f t="shared" si="704"/>
        <v/>
      </c>
      <c r="K575" s="1128" t="str">
        <f t="shared" si="705"/>
        <v/>
      </c>
      <c r="L575" s="1128" t="str">
        <f t="shared" si="706"/>
        <v/>
      </c>
      <c r="M575" s="1128" t="str">
        <f t="shared" si="707"/>
        <v/>
      </c>
      <c r="N575" s="1128" t="str">
        <f t="shared" si="708"/>
        <v/>
      </c>
      <c r="O575" s="302"/>
      <c r="P575" s="158"/>
      <c r="Q575" s="694"/>
      <c r="R575" s="694"/>
      <c r="S575" s="1454" t="str">
        <f>IF($M459&lt;&gt;EUconst_Relevant,"",
IF($V459&gt;($J$1840-3),
              IF(INDEX(H522:N522,MATCH($V459,$T565:$Z565,0))=0,0,INDEX(H575:N575,MATCH($V459,$T565:$Z565,0))/INDEX(H522:N522,MATCH($V459,$T565:$Z565,0))),
                             IF(ISNUMBER(G522),
                                            IF(OR(G522=0,$S506=FALSE),0,G575/G522),"")))</f>
        <v/>
      </c>
      <c r="T575" s="1473" t="str">
        <f t="shared" ref="T575" si="781">IF($E575="","",IF(IFERROR(SUM($S575)=0,SUM(H575)),SUM(H575),SUM(H522)*SUM($S575))*IF(SUM(H575)=0,1,SUM(H541)/SUM(H575)))</f>
        <v/>
      </c>
      <c r="U575" s="1473" t="str">
        <f t="shared" ref="U575" si="782">IF($E575="","",IF(IFERROR(SUM($S575)=0,SUM(I575)),SUM(I575),SUM(I522)*SUM($S575))*IF(SUM(I575)=0,1,SUM(I541)/SUM(I575)))</f>
        <v/>
      </c>
      <c r="V575" s="1473" t="str">
        <f t="shared" ref="V575" si="783">IF($E575="","",IF(IFERROR(SUM($S575)=0,SUM(J575)),SUM(J575),SUM(J522)*SUM($S575))*IF(SUM(J575)=0,1,SUM(J541)/SUM(J575)))</f>
        <v/>
      </c>
      <c r="W575" s="1473" t="str">
        <f t="shared" ref="W575" si="784">IF($E575="","",IF(IFERROR(SUM($S575)=0,SUM(K575)),SUM(K575),SUM(K522)*SUM($S575))*IF(SUM(K575)=0,1,SUM(K541)/SUM(K575)))</f>
        <v/>
      </c>
      <c r="X575" s="1473" t="str">
        <f t="shared" ref="X575" si="785">IF($E575="","",IF(IFERROR(SUM($S575)=0,SUM(L575)),SUM(L575),SUM(L522)*SUM($S575))*IF(SUM(L575)=0,1,SUM(L541)/SUM(L575)))</f>
        <v/>
      </c>
      <c r="Y575" s="1473" t="str">
        <f t="shared" ref="Y575" si="786">IF($E575="","",IF(IFERROR(SUM($S575)=0,SUM(M575)),SUM(M575),SUM(M522)*SUM($S575))*IF(SUM(M575)=0,1,SUM(M541)/SUM(M575)))</f>
        <v/>
      </c>
      <c r="Z575" s="1474" t="str">
        <f t="shared" ref="Z575" si="787">IF($E575="","",IF(IFERROR(SUM($S575)=0,SUM(N575)),SUM(N575),SUM(N522)*SUM($S575))*IF(SUM(N575)=0,1,SUM(N541)/SUM(N575)))</f>
        <v/>
      </c>
      <c r="AA575" s="694"/>
      <c r="AB575" s="1436">
        <f t="shared" ref="AB575:AI575" si="788">AB559</f>
        <v>2</v>
      </c>
      <c r="AC575" s="1437">
        <f t="shared" si="788"/>
        <v>2</v>
      </c>
      <c r="AD575" s="1437">
        <f t="shared" si="788"/>
        <v>2</v>
      </c>
      <c r="AE575" s="1437">
        <f t="shared" si="788"/>
        <v>2</v>
      </c>
      <c r="AF575" s="1437">
        <f t="shared" si="788"/>
        <v>2</v>
      </c>
      <c r="AG575" s="1437">
        <f t="shared" si="788"/>
        <v>2</v>
      </c>
      <c r="AH575" s="1437">
        <f t="shared" si="788"/>
        <v>2</v>
      </c>
      <c r="AI575" s="1457">
        <f t="shared" si="788"/>
        <v>2</v>
      </c>
      <c r="AJ575" s="343"/>
      <c r="AK575" s="1174" t="s">
        <v>2039</v>
      </c>
      <c r="AL575" s="1176" t="str">
        <f>IF(AND(CNTR_ExistSubInstEntries,COUNTIFS(AB575:AI575,2,G575:N575,"")&gt;0),EUconst_Error&amp;"FB"&amp;Q495,"")</f>
        <v/>
      </c>
      <c r="AM575" s="343"/>
    </row>
    <row r="576" spans="1:39" ht="12.75" customHeight="1" thickBot="1" x14ac:dyDescent="0.3">
      <c r="A576" s="729" t="str">
        <f t="shared" si="662"/>
        <v/>
      </c>
      <c r="B576" s="698"/>
      <c r="C576" s="2906"/>
      <c r="D576" s="1293"/>
      <c r="E576" s="1458" t="str">
        <f>Translations!$B$1338</f>
        <v>Общо потребление</v>
      </c>
      <c r="F576" s="1453" t="str">
        <f t="shared" si="701"/>
        <v>TJ</v>
      </c>
      <c r="G576" s="1296" t="str">
        <f t="shared" ref="G576:N576" si="789">IF(COUNT(G566:G575)&gt;0,SUMIF($S497:$S506,TRUE,G566:G575),"")</f>
        <v/>
      </c>
      <c r="H576" s="1297" t="str">
        <f t="shared" si="789"/>
        <v/>
      </c>
      <c r="I576" s="1296" t="str">
        <f t="shared" si="789"/>
        <v/>
      </c>
      <c r="J576" s="1297" t="str">
        <f t="shared" si="789"/>
        <v/>
      </c>
      <c r="K576" s="1104" t="str">
        <f t="shared" si="789"/>
        <v/>
      </c>
      <c r="L576" s="1104" t="str">
        <f t="shared" si="789"/>
        <v/>
      </c>
      <c r="M576" s="1104" t="str">
        <f t="shared" si="789"/>
        <v/>
      </c>
      <c r="N576" s="1104" t="str">
        <f t="shared" si="789"/>
        <v/>
      </c>
      <c r="O576" s="302"/>
      <c r="P576" s="336"/>
      <c r="Q576" s="694"/>
      <c r="R576" s="694"/>
      <c r="S576" s="1174" t="s">
        <v>2147</v>
      </c>
      <c r="T576" s="1459">
        <f>IFERROR(SUM(T566:T575),"")</f>
        <v>0</v>
      </c>
      <c r="U576" s="1460">
        <f t="shared" ref="U576:Z576" si="790">IFERROR(SUM(U566:U575),"")</f>
        <v>0</v>
      </c>
      <c r="V576" s="1460">
        <f t="shared" si="790"/>
        <v>0</v>
      </c>
      <c r="W576" s="1460">
        <f t="shared" si="790"/>
        <v>0</v>
      </c>
      <c r="X576" s="1460">
        <f t="shared" si="790"/>
        <v>0</v>
      </c>
      <c r="Y576" s="1460">
        <f t="shared" si="790"/>
        <v>0</v>
      </c>
      <c r="Z576" s="1461">
        <f t="shared" si="790"/>
        <v>0</v>
      </c>
      <c r="AA576" s="694"/>
      <c r="AB576" s="729"/>
      <c r="AC576" s="694"/>
      <c r="AD576" s="694"/>
      <c r="AE576" s="343"/>
      <c r="AF576" s="343"/>
      <c r="AG576" s="343"/>
      <c r="AH576" s="343"/>
      <c r="AI576" s="343"/>
      <c r="AJ576" s="343"/>
      <c r="AK576" s="343"/>
      <c r="AL576" s="343"/>
      <c r="AM576" s="343"/>
    </row>
    <row r="577" spans="1:39" ht="12.75" customHeight="1" x14ac:dyDescent="0.25">
      <c r="A577" s="729" t="str">
        <f t="shared" si="662"/>
        <v/>
      </c>
      <c r="B577" s="698"/>
      <c r="C577" s="2906"/>
      <c r="D577" s="1462"/>
      <c r="E577" s="1463" t="str">
        <f>Translations!$B$1339</f>
        <v>Дял от a)</v>
      </c>
      <c r="F577" s="1464" t="str">
        <f t="shared" si="701"/>
        <v>TJ</v>
      </c>
      <c r="G577" s="184" t="str">
        <f>IF(COUNT(I475,G576)=2,IF(I475=0,1,G576/I475),"")</f>
        <v/>
      </c>
      <c r="H577" s="185" t="str">
        <f>IF(COUNT(H467,H576)=2,IF(H467=0,1,H576/H467),"")</f>
        <v/>
      </c>
      <c r="I577" s="186" t="str">
        <f t="shared" ref="I577" si="791">IF(COUNT(I467,I576)=2,IF(I467=0,1,I576/I467),"")</f>
        <v/>
      </c>
      <c r="J577" s="185" t="str">
        <f t="shared" ref="J577" si="792">IF(COUNT(J467,J576)=2,IF(J467=0,1,J576/J467),"")</f>
        <v/>
      </c>
      <c r="K577" s="187" t="str">
        <f t="shared" ref="K577" si="793">IF(COUNT(K467,K576)=2,IF(K467=0,1,K576/K467),"")</f>
        <v/>
      </c>
      <c r="L577" s="187" t="str">
        <f t="shared" ref="L577" si="794">IF(COUNT(L467,L576)=2,IF(L467=0,1,L576/L467),"")</f>
        <v/>
      </c>
      <c r="M577" s="187" t="str">
        <f t="shared" ref="M577" si="795">IF(COUNT(M467,M576)=2,IF(M467=0,1,M576/M467),"")</f>
        <v/>
      </c>
      <c r="N577" s="187" t="str">
        <f t="shared" ref="N577" si="796">IF(COUNT(N467,N576)=2,IF(N467=0,1,N576/N467),"")</f>
        <v/>
      </c>
      <c r="O577" s="302"/>
      <c r="P577" s="336"/>
      <c r="Q577" s="694"/>
      <c r="R577" s="694"/>
      <c r="S577" s="729"/>
      <c r="T577" s="694"/>
      <c r="U577" s="694"/>
      <c r="V577" s="694"/>
      <c r="W577" s="694"/>
      <c r="X577" s="694"/>
      <c r="Y577" s="694"/>
      <c r="Z577" s="694"/>
      <c r="AA577" s="694"/>
      <c r="AB577" s="729"/>
      <c r="AC577" s="694"/>
      <c r="AD577" s="694"/>
      <c r="AE577" s="343"/>
      <c r="AF577" s="343"/>
      <c r="AG577" s="343"/>
      <c r="AH577" s="343"/>
      <c r="AI577" s="343"/>
      <c r="AJ577" s="343"/>
      <c r="AK577" s="343"/>
      <c r="AL577" s="343"/>
      <c r="AM577" s="343"/>
    </row>
    <row r="578" spans="1:39" ht="5.15" customHeight="1" x14ac:dyDescent="0.25">
      <c r="A578" s="729" t="str">
        <f t="shared" si="662"/>
        <v/>
      </c>
      <c r="B578" s="698"/>
      <c r="C578" s="284"/>
      <c r="D578" s="284"/>
      <c r="E578" s="284"/>
      <c r="F578" s="284"/>
      <c r="G578" s="284"/>
      <c r="H578" s="284"/>
      <c r="I578" s="284"/>
      <c r="J578" s="284"/>
      <c r="K578" s="284"/>
      <c r="L578" s="284"/>
      <c r="M578" s="284"/>
      <c r="N578" s="284"/>
      <c r="O578" s="302"/>
      <c r="P578" s="336"/>
      <c r="Q578" s="694"/>
      <c r="R578" s="694"/>
      <c r="S578" s="694"/>
      <c r="T578" s="694"/>
      <c r="U578" s="694"/>
      <c r="V578" s="694"/>
      <c r="W578" s="694"/>
      <c r="X578" s="694"/>
      <c r="Y578" s="694"/>
      <c r="Z578" s="729"/>
      <c r="AA578" s="729"/>
      <c r="AB578" s="729"/>
      <c r="AC578" s="694"/>
      <c r="AD578" s="694"/>
      <c r="AE578" s="343"/>
      <c r="AF578" s="343"/>
      <c r="AG578" s="343"/>
      <c r="AH578" s="343"/>
      <c r="AI578" s="343"/>
      <c r="AJ578" s="343"/>
      <c r="AK578" s="343"/>
      <c r="AL578" s="343"/>
      <c r="AM578" s="343"/>
    </row>
    <row r="579" spans="1:39" ht="12.75" customHeight="1" x14ac:dyDescent="0.25">
      <c r="A579" s="729" t="str">
        <f t="shared" si="662"/>
        <v/>
      </c>
      <c r="B579" s="284"/>
      <c r="C579" s="300"/>
      <c r="D579" s="300" t="s">
        <v>1831</v>
      </c>
      <c r="E579" s="2226" t="str">
        <f>Translations!$B$1545</f>
        <v>Очаквани равнища на дейност</v>
      </c>
      <c r="F579" s="2249"/>
      <c r="G579" s="2249"/>
      <c r="H579" s="2249"/>
      <c r="I579" s="2249"/>
      <c r="J579" s="2249"/>
      <c r="K579" s="2249"/>
      <c r="L579" s="2249"/>
      <c r="M579" s="2249"/>
      <c r="N579" s="2249"/>
      <c r="O579" s="302"/>
      <c r="P579" s="336"/>
      <c r="Q579" s="770"/>
      <c r="R579" s="694"/>
      <c r="S579" s="694"/>
      <c r="T579" s="694"/>
      <c r="U579" s="694"/>
      <c r="V579" s="694"/>
      <c r="W579" s="694"/>
      <c r="X579" s="694"/>
      <c r="Y579" s="694"/>
      <c r="Z579" s="694"/>
      <c r="AA579" s="694"/>
      <c r="AB579" s="729"/>
      <c r="AC579" s="694"/>
      <c r="AD579" s="694"/>
      <c r="AE579" s="343"/>
      <c r="AF579" s="343"/>
      <c r="AG579" s="343"/>
      <c r="AH579" s="343"/>
      <c r="AI579" s="343"/>
      <c r="AJ579" s="343"/>
      <c r="AK579" s="343"/>
      <c r="AL579" s="343"/>
      <c r="AM579" s="343"/>
    </row>
    <row r="580" spans="1:39" ht="12.75" customHeight="1" x14ac:dyDescent="0.25">
      <c r="A580" s="729" t="str">
        <f t="shared" si="662"/>
        <v/>
      </c>
      <c r="B580" s="698"/>
      <c r="C580" s="284"/>
      <c r="D580" s="284"/>
      <c r="E580" s="2358" t="str">
        <f>Translations!$B$1340</f>
        <v>Конкретното енергопотребление се определя в съответствие с раздел 6.1 от Ръководен документ 7 за стойности, отговарящи на критериите по буква б.1) по-горе.</v>
      </c>
      <c r="F580" s="2358"/>
      <c r="G580" s="2358"/>
      <c r="H580" s="2358"/>
      <c r="I580" s="2358"/>
      <c r="J580" s="2358"/>
      <c r="K580" s="2358"/>
      <c r="L580" s="2358"/>
      <c r="M580" s="2358"/>
      <c r="N580" s="2358"/>
      <c r="O580" s="302"/>
      <c r="P580" s="336"/>
      <c r="Q580" s="694"/>
      <c r="R580" s="694"/>
      <c r="S580" s="694"/>
      <c r="T580" s="694"/>
      <c r="U580" s="694"/>
      <c r="V580" s="694"/>
      <c r="W580" s="694"/>
      <c r="X580" s="694"/>
      <c r="Y580" s="694"/>
      <c r="Z580" s="729"/>
      <c r="AA580" s="729"/>
      <c r="AB580" s="729"/>
      <c r="AC580" s="694"/>
      <c r="AD580" s="694"/>
      <c r="AE580" s="343"/>
      <c r="AF580" s="343"/>
      <c r="AG580" s="343"/>
      <c r="AH580" s="343"/>
      <c r="AI580" s="343"/>
      <c r="AJ580" s="343"/>
      <c r="AK580" s="343"/>
      <c r="AL580" s="343"/>
      <c r="AM580" s="343"/>
    </row>
    <row r="581" spans="1:39" ht="5.15" customHeight="1" thickBot="1" x14ac:dyDescent="0.3">
      <c r="A581" s="729" t="str">
        <f t="shared" si="662"/>
        <v/>
      </c>
      <c r="B581" s="698"/>
      <c r="C581" s="698"/>
      <c r="D581" s="698"/>
      <c r="E581" s="698"/>
      <c r="F581" s="698"/>
      <c r="G581" s="698"/>
      <c r="H581" s="698"/>
      <c r="I581" s="1025"/>
      <c r="J581" s="698"/>
      <c r="K581" s="698"/>
      <c r="L581" s="698"/>
      <c r="M581" s="698"/>
      <c r="N581" s="698"/>
      <c r="O581" s="302"/>
      <c r="P581" s="336"/>
      <c r="Q581" s="1263"/>
      <c r="R581" s="694"/>
      <c r="S581" s="729"/>
      <c r="T581" s="729"/>
      <c r="U581" s="694"/>
      <c r="V581" s="694"/>
      <c r="W581" s="694"/>
      <c r="X581" s="694"/>
      <c r="Y581" s="694"/>
      <c r="Z581" s="694"/>
      <c r="AA581" s="694"/>
      <c r="AB581" s="729"/>
      <c r="AC581" s="694"/>
      <c r="AD581" s="694"/>
      <c r="AE581" s="694"/>
      <c r="AF581" s="694"/>
      <c r="AG581" s="694"/>
      <c r="AH581" s="694"/>
      <c r="AI581" s="694"/>
      <c r="AJ581" s="694"/>
      <c r="AK581" s="694"/>
      <c r="AL581" s="694"/>
      <c r="AM581" s="343"/>
    </row>
    <row r="582" spans="1:39" ht="5.15" customHeight="1" thickBot="1" x14ac:dyDescent="0.3">
      <c r="A582" s="729" t="str">
        <f t="shared" si="662"/>
        <v/>
      </c>
      <c r="B582" s="698"/>
      <c r="C582" s="698"/>
      <c r="D582" s="1475"/>
      <c r="E582" s="1476"/>
      <c r="F582" s="1476"/>
      <c r="G582" s="1476"/>
      <c r="H582" s="1476"/>
      <c r="I582" s="1477"/>
      <c r="J582" s="1476"/>
      <c r="K582" s="1476"/>
      <c r="L582" s="1476"/>
      <c r="M582" s="1476"/>
      <c r="N582" s="1478"/>
      <c r="O582" s="302"/>
      <c r="P582" s="336"/>
      <c r="Q582" s="1263"/>
      <c r="R582" s="694"/>
      <c r="S582" s="729"/>
      <c r="T582" s="729"/>
      <c r="U582" s="694"/>
      <c r="V582" s="694"/>
      <c r="W582" s="694"/>
      <c r="X582" s="694"/>
      <c r="Y582" s="694"/>
      <c r="Z582" s="694"/>
      <c r="AA582" s="694"/>
      <c r="AB582" s="729"/>
      <c r="AC582" s="694"/>
      <c r="AD582" s="694"/>
      <c r="AE582" s="694"/>
      <c r="AF582" s="694"/>
      <c r="AG582" s="694"/>
      <c r="AH582" s="694"/>
      <c r="AI582" s="694"/>
      <c r="AJ582" s="694"/>
      <c r="AK582" s="694"/>
      <c r="AL582" s="694"/>
      <c r="AM582" s="343"/>
    </row>
    <row r="583" spans="1:39" ht="12.75" customHeight="1" x14ac:dyDescent="0.25">
      <c r="A583" s="729" t="str">
        <f t="shared" si="662"/>
        <v/>
      </c>
      <c r="B583" s="298"/>
      <c r="C583" s="698"/>
      <c r="D583" s="1217"/>
      <c r="E583" s="1198" t="str">
        <f>Translations!$B$1546</f>
        <v>Корекции: Промени в ефективността</v>
      </c>
      <c r="F583" s="1199"/>
      <c r="G583" s="1199"/>
      <c r="H583" s="1200" t="str">
        <f>EUconst_Unit</f>
        <v>Единица мярка</v>
      </c>
      <c r="I583" s="1201" t="str">
        <f>Translations!$B$1336</f>
        <v>Стойност в НМИ</v>
      </c>
      <c r="J583" s="1202">
        <f>J$1840</f>
        <v>2026</v>
      </c>
      <c r="K583" s="1203">
        <f>K$1840</f>
        <v>2027</v>
      </c>
      <c r="L583" s="1203">
        <f>L$1840</f>
        <v>2028</v>
      </c>
      <c r="M583" s="1203">
        <f>M$1840</f>
        <v>2029</v>
      </c>
      <c r="N583" s="1479">
        <f>N$1840</f>
        <v>2030</v>
      </c>
      <c r="O583" s="302"/>
      <c r="P583" s="336"/>
      <c r="Q583" s="729"/>
      <c r="R583" s="694"/>
      <c r="S583" s="694"/>
      <c r="T583" s="694"/>
      <c r="U583" s="1205"/>
      <c r="V583" s="1206">
        <f>J583</f>
        <v>2026</v>
      </c>
      <c r="W583" s="1206">
        <f>K583</f>
        <v>2027</v>
      </c>
      <c r="X583" s="1206">
        <f>L583</f>
        <v>2028</v>
      </c>
      <c r="Y583" s="1206">
        <f>M583</f>
        <v>2029</v>
      </c>
      <c r="Z583" s="1207">
        <f>N583</f>
        <v>2030</v>
      </c>
      <c r="AA583" s="694"/>
      <c r="AB583" s="729"/>
      <c r="AC583" s="694"/>
      <c r="AD583" s="694"/>
      <c r="AE583" s="694"/>
      <c r="AF583" s="694"/>
      <c r="AG583" s="694"/>
      <c r="AH583" s="694"/>
      <c r="AI583" s="694"/>
      <c r="AJ583" s="694"/>
      <c r="AK583" s="694"/>
      <c r="AL583" s="694"/>
      <c r="AM583" s="343"/>
    </row>
    <row r="584" spans="1:39" ht="12.75" customHeight="1" x14ac:dyDescent="0.25">
      <c r="A584" s="729" t="str">
        <f t="shared" si="662"/>
        <v/>
      </c>
      <c r="B584" s="298"/>
      <c r="C584" s="698"/>
      <c r="D584" s="1208" t="s">
        <v>6</v>
      </c>
      <c r="E584" s="2889" t="str">
        <f>Translations!$B$1547</f>
        <v>Промяна в равнището на дейност &gt; 15 %?</v>
      </c>
      <c r="F584" s="2889"/>
      <c r="G584" s="2889"/>
      <c r="H584" s="2889"/>
      <c r="I584" s="2890"/>
      <c r="J584" s="1480" t="str">
        <f>V476</f>
        <v/>
      </c>
      <c r="K584" s="1481" t="str">
        <f>W476</f>
        <v/>
      </c>
      <c r="L584" s="1481" t="str">
        <f>X476</f>
        <v/>
      </c>
      <c r="M584" s="1481" t="str">
        <f>Y476</f>
        <v/>
      </c>
      <c r="N584" s="1482" t="str">
        <f>Z476</f>
        <v/>
      </c>
      <c r="O584" s="302"/>
      <c r="P584" s="336"/>
      <c r="Q584" s="729"/>
      <c r="R584" s="694"/>
      <c r="S584" s="694"/>
      <c r="T584" s="694"/>
      <c r="U584" s="1231"/>
      <c r="V584" s="1483"/>
      <c r="W584" s="1483"/>
      <c r="X584" s="1483"/>
      <c r="Y584" s="1483"/>
      <c r="Z584" s="1484"/>
      <c r="AA584" s="694"/>
      <c r="AB584" s="729"/>
      <c r="AC584" s="694"/>
      <c r="AD584" s="694"/>
      <c r="AE584" s="694"/>
      <c r="AF584" s="694"/>
      <c r="AG584" s="694"/>
      <c r="AH584" s="694"/>
      <c r="AI584" s="694"/>
      <c r="AJ584" s="694"/>
      <c r="AK584" s="694"/>
      <c r="AL584" s="694"/>
      <c r="AM584" s="343"/>
    </row>
    <row r="585" spans="1:39" ht="12.75" customHeight="1" x14ac:dyDescent="0.25">
      <c r="A585" s="729" t="str">
        <f t="shared" si="662"/>
        <v/>
      </c>
      <c r="B585" s="298"/>
      <c r="C585" s="698"/>
      <c r="D585" s="1208" t="s">
        <v>7</v>
      </c>
      <c r="E585" s="2889" t="str">
        <f>Translations!$B$1548</f>
        <v>Средна стойност на очакваното равнище на дейност</v>
      </c>
      <c r="F585" s="2889"/>
      <c r="G585" s="2889"/>
      <c r="H585" s="1485" t="str">
        <f>G467</f>
        <v>TJ</v>
      </c>
      <c r="I585" s="1486" t="str">
        <f>IF(M459&lt;&gt;EUconst_Relevant,"",I475)</f>
        <v/>
      </c>
      <c r="J585" s="1480" t="str">
        <f>IF(AND(V585&gt;=3,COUNT(T576:U576)=2),IF(CNTR_ReportingYear&gt;J583-1,IF(J584,IF(COUNTA(H532:I541)=0,J478,AVERAGE(T576:U576)),$I588),""),"")</f>
        <v/>
      </c>
      <c r="K585" s="1481" t="str">
        <f>IF(AND(W585&gt;=3,COUNT(U576:V576)=2),IF(CNTR_ReportingYear&gt;K583-1,IF(K584,IF(COUNTA(I532:J541)=0,K478,AVERAGE(U576:V576)),$I588),""),"")</f>
        <v/>
      </c>
      <c r="L585" s="1481" t="str">
        <f>IF(AND(X585&gt;=3,COUNT(V576:W576)=2),IF(CNTR_ReportingYear&gt;L583-1,IF(L584,IF(COUNTA(J532:K541)=0,L478,AVERAGE(V576:W576)),$I588),""),"")</f>
        <v/>
      </c>
      <c r="M585" s="1481" t="str">
        <f>IF(AND(Y585&gt;=3,COUNT(W576:X576)=2),IF(CNTR_ReportingYear&gt;M583-1,IF(M584,IF(COUNTA(K532:L541)=0,M478,AVERAGE(W576:X576)),$I588),""),"")</f>
        <v/>
      </c>
      <c r="N585" s="1482" t="str">
        <f>IF(AND(Z585&gt;=3,COUNT(X576:Y576)=2),IF(CNTR_ReportingYear&gt;N583-1,IF(N584,IF(COUNTA(L532:M541)=0,N478,AVERAGE(X576:Y576)),$I588),""),"")</f>
        <v/>
      </c>
      <c r="O585" s="302"/>
      <c r="P585" s="336"/>
      <c r="Q585" s="1270"/>
      <c r="R585" s="694"/>
      <c r="S585" s="694"/>
      <c r="T585" s="694"/>
      <c r="U585" s="1365" t="s">
        <v>1710</v>
      </c>
      <c r="V585" s="834">
        <f>V475</f>
        <v>0</v>
      </c>
      <c r="W585" s="834">
        <f>W475</f>
        <v>0</v>
      </c>
      <c r="X585" s="834">
        <f>X475</f>
        <v>0</v>
      </c>
      <c r="Y585" s="834">
        <f>Y475</f>
        <v>0</v>
      </c>
      <c r="Z585" s="1403">
        <f>Z475</f>
        <v>0</v>
      </c>
      <c r="AA585" s="694"/>
      <c r="AB585" s="729"/>
      <c r="AC585" s="694"/>
      <c r="AD585" s="694"/>
      <c r="AE585" s="694"/>
      <c r="AF585" s="694"/>
      <c r="AG585" s="694"/>
      <c r="AH585" s="694"/>
      <c r="AI585" s="694"/>
      <c r="AJ585" s="694"/>
      <c r="AK585" s="694"/>
      <c r="AL585" s="694"/>
      <c r="AM585" s="343"/>
    </row>
    <row r="586" spans="1:39" ht="12.75" customHeight="1" x14ac:dyDescent="0.25">
      <c r="A586" s="729" t="str">
        <f t="shared" si="662"/>
        <v/>
      </c>
      <c r="B586" s="298"/>
      <c r="C586" s="698"/>
      <c r="D586" s="1208" t="s">
        <v>8</v>
      </c>
      <c r="E586" s="2893" t="str">
        <f>Translations!$B$1376</f>
        <v>Промяна в сравнение с HAL</v>
      </c>
      <c r="F586" s="2894"/>
      <c r="G586" s="2894"/>
      <c r="H586" s="2894"/>
      <c r="I586" s="2895"/>
      <c r="J586" s="232" t="str">
        <f t="shared" ref="J586" si="797">IF(J585="","",IF(SUM($I588)=0,IF(J585=0,0%,100%),J585/$I588-1))</f>
        <v/>
      </c>
      <c r="K586" s="233" t="str">
        <f>IF(K585="","",IF(SUM($I588)=0,IF(K585=0,0%,100%),K585/$I588-1))</f>
        <v/>
      </c>
      <c r="L586" s="233" t="str">
        <f t="shared" ref="L586:N586" si="798">IF(L585="","",IF(SUM($I588)=0,IF(L585=0,0%,100%),L585/$I588-1))</f>
        <v/>
      </c>
      <c r="M586" s="233" t="str">
        <f t="shared" si="798"/>
        <v/>
      </c>
      <c r="N586" s="234" t="str">
        <f t="shared" si="798"/>
        <v/>
      </c>
      <c r="O586" s="302"/>
      <c r="P586" s="209"/>
      <c r="Q586" s="1190" t="str">
        <f>EUconst_CNTR_EnEffPct&amp;I459</f>
        <v>EnEffPct_Подинсталация с топлинен показател (с риск от ИВЕ | в рамките на МКВЕГ)</v>
      </c>
      <c r="R586" s="694"/>
      <c r="S586" s="694"/>
      <c r="T586" s="694"/>
      <c r="U586" s="1365" t="s">
        <v>1715</v>
      </c>
      <c r="V586" s="727" t="str">
        <f>IF(J585="","",ABS(J586)&gt;15%)</f>
        <v/>
      </c>
      <c r="W586" s="727" t="str">
        <f>IF(K585="","",ABS(K586)&gt;15%)</f>
        <v/>
      </c>
      <c r="X586" s="727" t="str">
        <f>IF(L585="","",ABS(L586)&gt;15%)</f>
        <v/>
      </c>
      <c r="Y586" s="727" t="str">
        <f>IF(M585="","",ABS(M586)&gt;15%)</f>
        <v/>
      </c>
      <c r="Z586" s="1221" t="str">
        <f>IF(N585="","",ABS(N586)&gt;15%)</f>
        <v/>
      </c>
      <c r="AA586" s="694"/>
      <c r="AB586" s="729"/>
      <c r="AC586" s="694"/>
      <c r="AD586" s="694"/>
      <c r="AE586" s="694"/>
      <c r="AF586" s="694"/>
      <c r="AG586" s="694"/>
      <c r="AH586" s="694"/>
      <c r="AI586" s="694"/>
      <c r="AJ586" s="694"/>
      <c r="AK586" s="694"/>
      <c r="AL586" s="694"/>
      <c r="AM586" s="343"/>
    </row>
    <row r="587" spans="1:39" ht="12.75" customHeight="1" x14ac:dyDescent="0.25">
      <c r="A587" s="729" t="str">
        <f t="shared" si="662"/>
        <v/>
      </c>
      <c r="B587" s="298"/>
      <c r="C587" s="698"/>
      <c r="D587" s="1208" t="s">
        <v>18</v>
      </c>
      <c r="E587" s="2896" t="str">
        <f>Translations!$B$1322</f>
        <v>Предварителна корекция (ако са надвишени относителните прагове)</v>
      </c>
      <c r="F587" s="2897"/>
      <c r="G587" s="2897"/>
      <c r="H587" s="2897"/>
      <c r="I587" s="2898"/>
      <c r="J587" s="235" t="str">
        <f>IF(J585="","",IF(OR(V476=FALSE,V586=FALSE),0%,IF(V587,J586,I587)))</f>
        <v/>
      </c>
      <c r="K587" s="236" t="str">
        <f>IF(K585="","",IF(OR(W476=FALSE,W586=FALSE),0%,IF(W587,K586,J587)))</f>
        <v/>
      </c>
      <c r="L587" s="236" t="str">
        <f>IF(L585="","",IF(OR(X476=FALSE,X586=FALSE),0%,IF(X587,L586,K587)))</f>
        <v/>
      </c>
      <c r="M587" s="236" t="str">
        <f>IF(M585="","",IF(OR(Y476=FALSE,Y586=FALSE),0%,IF(Y587,M586,L587)))</f>
        <v/>
      </c>
      <c r="N587" s="237" t="str">
        <f>IF(N585="","",IF(OR(Z476=FALSE,Z586=FALSE),0%,IF(Z587,N586,M587)))</f>
        <v/>
      </c>
      <c r="O587" s="302"/>
      <c r="P587" s="209"/>
      <c r="Q587" s="729"/>
      <c r="R587" s="694"/>
      <c r="S587" s="694"/>
      <c r="T587" s="694"/>
      <c r="U587" s="1365" t="s">
        <v>1716</v>
      </c>
      <c r="V587" s="727" t="str">
        <f>IF(J585="","",AND(V476,IF(SUM(I596)&lt;0,OR(SUM(J586)&lt;SUM(I596)-MOD(SUM(I596),5%),J586&gt;=SUM(I596)+5%-MOD(SUM(I596),5%)),OR(SUM(J586)&lt;=SUM(I596)-MOD(SUM(I596),5%),SUM(J586)&gt;SUM(I596)+5%-MOD(SUM(I596),5%)))))</f>
        <v/>
      </c>
      <c r="W587" s="727" t="str">
        <f>IF(K585="","",AND(W476,IF(SUM(J596)&lt;0,OR(SUM(K586)&lt;SUM(J596)-MOD(SUM(J596),5%),K586&gt;=SUM(J596)+5%-MOD(SUM(J596),5%)),OR(SUM(K586)&lt;=SUM(J596)-MOD(SUM(J596),5%),SUM(K586)&gt;SUM(J596)+5%-MOD(SUM(J596),5%)))))</f>
        <v/>
      </c>
      <c r="X587" s="727" t="str">
        <f>IF(L585="","",AND(X476,IF(SUM(K596)&lt;0,OR(SUM(L586)&lt;SUM(K596)-MOD(SUM(K596),5%),L586&gt;=SUM(K596)+5%-MOD(SUM(K596),5%)),OR(SUM(L586)&lt;=SUM(K596)-MOD(SUM(K596),5%),SUM(L586)&gt;SUM(K596)+5%-MOD(SUM(K596),5%)))))</f>
        <v/>
      </c>
      <c r="Y587" s="727" t="str">
        <f>IF(M585="","",AND(Y476,IF(SUM(L596)&lt;0,OR(SUM(M586)&lt;SUM(L596)-MOD(SUM(L596),5%),M586&gt;=SUM(L596)+5%-MOD(SUM(L596),5%)),OR(SUM(M586)&lt;=SUM(L596)-MOD(SUM(L596),5%),SUM(M586)&gt;SUM(L596)+5%-MOD(SUM(L596),5%)))))</f>
        <v/>
      </c>
      <c r="Z587" s="1221" t="str">
        <f>IF(N585="","",AND(Z476,IF(SUM(M596)&lt;0,OR(SUM(N586)&lt;SUM(M596)-MOD(SUM(M596),5%),N586&gt;=SUM(M596)+5%-MOD(SUM(M596),5%)),OR(SUM(N586)&lt;=SUM(M596)-MOD(SUM(M596),5%),SUM(N586)&gt;SUM(M596)+5%-MOD(SUM(M596),5%)))))</f>
        <v/>
      </c>
      <c r="AA587" s="694"/>
      <c r="AB587" s="729"/>
      <c r="AC587" s="694"/>
      <c r="AD587" s="694"/>
      <c r="AE587" s="694"/>
      <c r="AF587" s="694"/>
      <c r="AG587" s="694"/>
      <c r="AH587" s="694"/>
      <c r="AI587" s="694"/>
      <c r="AJ587" s="694"/>
      <c r="AK587" s="694"/>
      <c r="AL587" s="694"/>
      <c r="AM587" s="343"/>
    </row>
    <row r="588" spans="1:39" ht="12.75" customHeight="1" x14ac:dyDescent="0.25">
      <c r="A588" s="729" t="str">
        <f t="shared" si="662"/>
        <v/>
      </c>
      <c r="B588" s="298"/>
      <c r="C588" s="698"/>
      <c r="D588" s="1208" t="s">
        <v>810</v>
      </c>
      <c r="E588" s="2889" t="str">
        <f>Translations!$B$1377</f>
        <v>Предварителна стойност</v>
      </c>
      <c r="F588" s="2889"/>
      <c r="G588" s="2889"/>
      <c r="H588" s="1485" t="str">
        <f>H585</f>
        <v>TJ</v>
      </c>
      <c r="I588" s="1487" t="str">
        <f>IF(M459&lt;&gt;EUconst_Relevant,"",IF(AB459=FALSE,EUconst_NA,IF(V459&gt;($J$1840-3),INDEX(T576:Z576,MATCH(V459,T565:Z565,0)),SUM(I585))))</f>
        <v/>
      </c>
      <c r="J588" s="1400" t="str">
        <f>IF($M459&lt;&gt;EUconst_Relevant,"",IF(V585&lt;2,SUM(J478),IF(V585&lt;3,SUM(I478),IF(V588="",I588,V588))))</f>
        <v/>
      </c>
      <c r="K588" s="1401" t="str">
        <f>IF($M459&lt;&gt;EUconst_Relevant,"",IF(W585&lt;2,SUM(K478),IF(W585&lt;3,SUM(J478),IF(W588="",J588,W588))))</f>
        <v/>
      </c>
      <c r="L588" s="1401" t="str">
        <f>IF($M459&lt;&gt;EUconst_Relevant,"",IF(X585&lt;2,SUM(L478),IF(X585&lt;3,SUM(K478),IF(X588="",K588,X588))))</f>
        <v/>
      </c>
      <c r="M588" s="1401" t="str">
        <f>IF($M459&lt;&gt;EUconst_Relevant,"",IF(Y585&lt;2,SUM(M478),IF(Y585&lt;3,SUM(L478),IF(Y588="",L588,Y588))))</f>
        <v/>
      </c>
      <c r="N588" s="1402" t="str">
        <f>IF($M459&lt;&gt;EUconst_Relevant,"",IF(Z585&lt;2,SUM(N478),IF(Z585&lt;3,SUM(M478),IF(Z588="",M588,Z588))))</f>
        <v/>
      </c>
      <c r="O588" s="302"/>
      <c r="P588" s="336"/>
      <c r="Q588" s="1270" t="str">
        <f>EUconst_CNTR_HALprelim&amp;I459</f>
        <v>HALprelim_Подинсталация с топлинен показател (с риск от ИВЕ | в рамките на МКВЕГ)</v>
      </c>
      <c r="R588" s="694"/>
      <c r="S588" s="694"/>
      <c r="T588" s="694"/>
      <c r="U588" s="1215" t="s">
        <v>1756</v>
      </c>
      <c r="V588" s="1227" t="str">
        <f>IF(J585="","",IF(CNTR_ReportingYear&lt;J583,I587,IF($I588=0,J585,$I588*(1+J587))))</f>
        <v/>
      </c>
      <c r="W588" s="1227" t="str">
        <f>IF(K585="","",IF(CNTR_ReportingYear&lt;K583,J587,IF($I588=0,K585,$I588*(1+K587))))</f>
        <v/>
      </c>
      <c r="X588" s="1227" t="str">
        <f>IF(L585="","",IF(CNTR_ReportingYear&lt;L583,K587,IF($I588=0,L585,$I588*(1+L587))))</f>
        <v/>
      </c>
      <c r="Y588" s="1227" t="str">
        <f>IF(M585="","",IF(CNTR_ReportingYear&lt;M583,L587,IF($I588=0,M585,$I588*(1+M587))))</f>
        <v/>
      </c>
      <c r="Z588" s="1228" t="str">
        <f>IF(N585="","",IF(CNTR_ReportingYear&lt;N583,M587,IF($I588=0,N585,$I588*(1+N587))))</f>
        <v/>
      </c>
      <c r="AA588" s="694"/>
      <c r="AB588" s="729"/>
      <c r="AC588" s="694"/>
      <c r="AD588" s="694"/>
      <c r="AE588" s="694"/>
      <c r="AF588" s="694"/>
      <c r="AG588" s="694"/>
      <c r="AH588" s="694"/>
      <c r="AI588" s="694"/>
      <c r="AJ588" s="694"/>
      <c r="AK588" s="694"/>
      <c r="AL588" s="694"/>
      <c r="AM588" s="343"/>
    </row>
    <row r="589" spans="1:39" ht="5.15" customHeight="1" x14ac:dyDescent="0.25">
      <c r="A589" s="729" t="str">
        <f t="shared" si="662"/>
        <v/>
      </c>
      <c r="B589" s="298"/>
      <c r="C589" s="698"/>
      <c r="D589" s="1217"/>
      <c r="E589" s="1199"/>
      <c r="F589" s="1199"/>
      <c r="G589" s="1199"/>
      <c r="H589" s="1199"/>
      <c r="I589" s="1199"/>
      <c r="J589" s="1199"/>
      <c r="K589" s="1199"/>
      <c r="L589" s="1199"/>
      <c r="M589" s="1199"/>
      <c r="N589" s="1238"/>
      <c r="O589" s="302"/>
      <c r="P589" s="336"/>
      <c r="Q589" s="729"/>
      <c r="R589" s="694"/>
      <c r="S589" s="694"/>
      <c r="T589" s="694"/>
      <c r="U589" s="1231"/>
      <c r="V589" s="711"/>
      <c r="W589" s="711"/>
      <c r="X589" s="711"/>
      <c r="Y589" s="711"/>
      <c r="Z589" s="1488"/>
      <c r="AA589" s="694"/>
      <c r="AB589" s="729"/>
      <c r="AC589" s="694"/>
      <c r="AD589" s="694"/>
      <c r="AE589" s="343"/>
      <c r="AF589" s="343"/>
      <c r="AG589" s="343"/>
      <c r="AH589" s="343"/>
      <c r="AI589" s="343"/>
      <c r="AJ589" s="343"/>
      <c r="AK589" s="343"/>
      <c r="AL589" s="343"/>
      <c r="AM589" s="343"/>
    </row>
    <row r="590" spans="1:39" ht="12.75" customHeight="1" x14ac:dyDescent="0.25">
      <c r="A590" s="729" t="str">
        <f t="shared" si="662"/>
        <v/>
      </c>
      <c r="B590" s="298"/>
      <c r="C590" s="698"/>
      <c r="D590" s="1197" t="s">
        <v>1961</v>
      </c>
      <c r="E590" s="2886" t="str">
        <f>Translations!$B$1342</f>
        <v>Корекции: Абсолютен праг</v>
      </c>
      <c r="F590" s="2887"/>
      <c r="G590" s="2887"/>
      <c r="H590" s="2887"/>
      <c r="I590" s="2887"/>
      <c r="J590" s="2887"/>
      <c r="K590" s="2887"/>
      <c r="L590" s="2887"/>
      <c r="M590" s="2887"/>
      <c r="N590" s="2888"/>
      <c r="O590" s="302"/>
      <c r="P590" s="336"/>
      <c r="Q590" s="729"/>
      <c r="R590" s="694"/>
      <c r="S590" s="694"/>
      <c r="T590" s="694"/>
      <c r="U590" s="1231"/>
      <c r="V590" s="729"/>
      <c r="W590" s="694"/>
      <c r="X590" s="694"/>
      <c r="Y590" s="694"/>
      <c r="Z590" s="1232"/>
      <c r="AA590" s="694"/>
      <c r="AB590" s="729"/>
      <c r="AC590" s="694"/>
      <c r="AD590" s="694"/>
      <c r="AE590" s="343"/>
      <c r="AF590" s="343"/>
      <c r="AG590" s="343"/>
      <c r="AH590" s="343"/>
      <c r="AI590" s="343"/>
      <c r="AJ590" s="343"/>
      <c r="AK590" s="343"/>
      <c r="AL590" s="343"/>
      <c r="AM590" s="343"/>
    </row>
    <row r="591" spans="1:39" ht="12.75" customHeight="1" x14ac:dyDescent="0.25">
      <c r="A591" s="729" t="str">
        <f t="shared" si="662"/>
        <v/>
      </c>
      <c r="B591" s="298"/>
      <c r="C591" s="698"/>
      <c r="D591" s="1217"/>
      <c r="E591" s="1233" t="str">
        <f>Translations!$B$1343</f>
        <v>Абсолютен праг</v>
      </c>
      <c r="F591" s="1233"/>
      <c r="G591" s="1233"/>
      <c r="H591" s="1233"/>
      <c r="I591" s="1233"/>
      <c r="J591" s="1202">
        <f>J$1840</f>
        <v>2026</v>
      </c>
      <c r="K591" s="1203">
        <f>K$1840</f>
        <v>2027</v>
      </c>
      <c r="L591" s="1203">
        <f>L$1840</f>
        <v>2028</v>
      </c>
      <c r="M591" s="1203">
        <f>M$1840</f>
        <v>2029</v>
      </c>
      <c r="N591" s="1479">
        <f>N$1840</f>
        <v>2030</v>
      </c>
      <c r="O591" s="302"/>
      <c r="P591" s="336"/>
      <c r="Q591" s="729"/>
      <c r="R591" s="694"/>
      <c r="S591" s="694"/>
      <c r="T591" s="694"/>
      <c r="U591" s="1231"/>
      <c r="V591" s="213"/>
      <c r="W591" s="214" t="s">
        <v>2101</v>
      </c>
      <c r="X591" s="215" t="str">
        <f>IF(OR($X459=0,$X459=""),"",MIN(1,1-(DATE($Z459,12,31)-$X459)/(DATE($Z459,12,31)-DATE($Z459,1,1)+1)))</f>
        <v/>
      </c>
      <c r="Y591" s="1165"/>
      <c r="Z591" s="1235"/>
      <c r="AA591" s="694"/>
      <c r="AB591" s="729"/>
      <c r="AC591" s="694"/>
      <c r="AD591" s="694"/>
      <c r="AE591" s="343"/>
      <c r="AF591" s="343"/>
      <c r="AG591" s="343"/>
      <c r="AH591" s="343"/>
      <c r="AI591" s="343"/>
      <c r="AJ591" s="343"/>
      <c r="AK591" s="343"/>
      <c r="AL591" s="343"/>
      <c r="AM591" s="343"/>
    </row>
    <row r="592" spans="1:39" ht="12.75" customHeight="1" x14ac:dyDescent="0.25">
      <c r="A592" s="729" t="str">
        <f t="shared" si="662"/>
        <v/>
      </c>
      <c r="B592" s="298"/>
      <c r="C592" s="698"/>
      <c r="D592" s="1217"/>
      <c r="E592" s="2889" t="str">
        <f>Translations!$B$1515</f>
        <v>изпълнен ли е критерият за &gt;=300 квоти за емисии?</v>
      </c>
      <c r="F592" s="2889"/>
      <c r="G592" s="2889"/>
      <c r="H592" s="2889"/>
      <c r="I592" s="2890"/>
      <c r="J592" s="1236" t="str">
        <f>IF($M459&lt;&gt;EUconst_Relevant,"",INDEX(K_Summary!J:J,MATCH($Q592,K_Summary!$P:$P,0)))</f>
        <v/>
      </c>
      <c r="K592" s="385" t="str">
        <f>IF($M459&lt;&gt;EUconst_Relevant,"",INDEX(K_Summary!K:K,MATCH($Q592,K_Summary!$P:$P,0)))</f>
        <v/>
      </c>
      <c r="L592" s="385" t="str">
        <f>IF($M459&lt;&gt;EUconst_Relevant,"",INDEX(K_Summary!L:L,MATCH($Q592,K_Summary!$P:$P,0)))</f>
        <v/>
      </c>
      <c r="M592" s="385" t="str">
        <f>IF($M459&lt;&gt;EUconst_Relevant,"",INDEX(K_Summary!M:M,MATCH($Q592,K_Summary!$P:$P,0)))</f>
        <v/>
      </c>
      <c r="N592" s="1237" t="str">
        <f>IF($M459&lt;&gt;EUconst_Relevant,"",INDEX(K_Summary!N:N,MATCH($Q592,K_Summary!$P:$P,0)))</f>
        <v/>
      </c>
      <c r="O592" s="302"/>
      <c r="P592" s="336"/>
      <c r="Q592" s="1190" t="str">
        <f>EUconst_CNTR_300EUA&amp;I459</f>
        <v>EUA300_Подинсталация с топлинен показател (с риск от ИВЕ | в рамките на МКВЕГ)</v>
      </c>
      <c r="R592" s="694"/>
      <c r="S592" s="694"/>
      <c r="T592" s="694"/>
      <c r="U592" s="1231"/>
      <c r="V592" s="216">
        <f>IF(V583=$Z459,$X591,1)</f>
        <v>1</v>
      </c>
      <c r="W592" s="216">
        <f>IF(W583=$Z459,$X591,1)</f>
        <v>1</v>
      </c>
      <c r="X592" s="216">
        <f>IF(X583=$Z459,$X591,1)</f>
        <v>1</v>
      </c>
      <c r="Y592" s="216">
        <f>IF(Y583=$Z459,$X591,1)</f>
        <v>1</v>
      </c>
      <c r="Z592" s="217">
        <f>IF(Z583=$Z459,$X591,1)</f>
        <v>1</v>
      </c>
      <c r="AA592" s="694"/>
      <c r="AB592" s="729"/>
      <c r="AC592" s="694"/>
      <c r="AD592" s="694"/>
      <c r="AE592" s="343"/>
      <c r="AF592" s="343"/>
      <c r="AG592" s="343"/>
      <c r="AH592" s="343"/>
      <c r="AI592" s="343"/>
      <c r="AJ592" s="343"/>
      <c r="AK592" s="343"/>
      <c r="AL592" s="343"/>
      <c r="AM592" s="343"/>
    </row>
    <row r="593" spans="1:39" ht="5.15" customHeight="1" x14ac:dyDescent="0.25">
      <c r="A593" s="729" t="str">
        <f t="shared" si="662"/>
        <v/>
      </c>
      <c r="B593" s="298"/>
      <c r="C593" s="698"/>
      <c r="D593" s="1217"/>
      <c r="E593" s="1199"/>
      <c r="F593" s="1199"/>
      <c r="G593" s="1199"/>
      <c r="H593" s="1199"/>
      <c r="I593" s="1199"/>
      <c r="J593" s="1199"/>
      <c r="K593" s="1199"/>
      <c r="L593" s="1199"/>
      <c r="M593" s="1199"/>
      <c r="N593" s="1238"/>
      <c r="O593" s="302"/>
      <c r="P593" s="336"/>
      <c r="Q593" s="729"/>
      <c r="R593" s="694"/>
      <c r="S593" s="694"/>
      <c r="T593" s="694"/>
      <c r="U593" s="1231"/>
      <c r="V593" s="694"/>
      <c r="W593" s="694"/>
      <c r="X593" s="694"/>
      <c r="Y593" s="694"/>
      <c r="Z593" s="1232"/>
      <c r="AA593" s="729"/>
      <c r="AB593" s="729"/>
      <c r="AC593" s="694"/>
      <c r="AD593" s="694"/>
      <c r="AE593" s="343"/>
      <c r="AF593" s="343"/>
      <c r="AG593" s="343"/>
      <c r="AH593" s="343"/>
      <c r="AI593" s="343"/>
      <c r="AJ593" s="343"/>
      <c r="AK593" s="343"/>
      <c r="AL593" s="343"/>
      <c r="AM593" s="343"/>
    </row>
    <row r="594" spans="1:39" ht="12.75" customHeight="1" x14ac:dyDescent="0.25">
      <c r="A594" s="729" t="str">
        <f t="shared" si="662"/>
        <v/>
      </c>
      <c r="B594" s="298"/>
      <c r="C594" s="698"/>
      <c r="D594" s="1197" t="s">
        <v>2220</v>
      </c>
      <c r="E594" s="2886" t="str">
        <f>Translations!$B$1549</f>
        <v>Определяне на корекциите на очакваното равнище на дейност, включително всякакви промени в ефективността</v>
      </c>
      <c r="F594" s="2887"/>
      <c r="G594" s="2887"/>
      <c r="H594" s="2887"/>
      <c r="I594" s="2887"/>
      <c r="J594" s="2887"/>
      <c r="K594" s="2887"/>
      <c r="L594" s="2887"/>
      <c r="M594" s="2887"/>
      <c r="N594" s="2888"/>
      <c r="O594" s="302"/>
      <c r="P594" s="336"/>
      <c r="Q594" s="729"/>
      <c r="R594" s="694"/>
      <c r="S594" s="694"/>
      <c r="T594" s="694"/>
      <c r="U594" s="1231"/>
      <c r="V594" s="694"/>
      <c r="W594" s="694"/>
      <c r="X594" s="694"/>
      <c r="Y594" s="694"/>
      <c r="Z594" s="1232"/>
      <c r="AA594" s="729"/>
      <c r="AB594" s="729"/>
      <c r="AC594" s="694"/>
      <c r="AD594" s="694"/>
      <c r="AE594" s="343"/>
      <c r="AF594" s="343"/>
      <c r="AG594" s="343"/>
      <c r="AH594" s="343"/>
      <c r="AI594" s="343"/>
      <c r="AJ594" s="343"/>
      <c r="AK594" s="343"/>
      <c r="AL594" s="343"/>
      <c r="AM594" s="343"/>
    </row>
    <row r="595" spans="1:39" ht="12.75" customHeight="1" thickBot="1" x14ac:dyDescent="0.3">
      <c r="A595" s="729" t="str">
        <f t="shared" si="662"/>
        <v/>
      </c>
      <c r="B595" s="698"/>
      <c r="C595" s="698"/>
      <c r="D595" s="1489"/>
      <c r="E595" s="2891" t="str">
        <f>Translations!$B$1550</f>
        <v>Това е крайният резултат, като се вземат предвид всички промени в ефективността, ако е приложимо.</v>
      </c>
      <c r="F595" s="2887"/>
      <c r="G595" s="2887"/>
      <c r="H595" s="2887"/>
      <c r="I595" s="2887"/>
      <c r="J595" s="2887"/>
      <c r="K595" s="2887"/>
      <c r="L595" s="2887"/>
      <c r="M595" s="2887"/>
      <c r="N595" s="2888"/>
      <c r="O595" s="336"/>
      <c r="P595" s="336"/>
      <c r="Q595" s="694"/>
      <c r="R595" s="694"/>
      <c r="S595" s="694"/>
      <c r="T595" s="694"/>
      <c r="U595" s="1231"/>
      <c r="V595" s="694"/>
      <c r="W595" s="694"/>
      <c r="X595" s="694"/>
      <c r="Y595" s="694"/>
      <c r="Z595" s="1232"/>
      <c r="AA595" s="729"/>
      <c r="AB595" s="729"/>
      <c r="AC595" s="694"/>
      <c r="AD595" s="694"/>
      <c r="AE595" s="343"/>
      <c r="AF595" s="343"/>
      <c r="AG595" s="343"/>
      <c r="AH595" s="343"/>
      <c r="AI595" s="343"/>
      <c r="AJ595" s="343"/>
      <c r="AK595" s="343"/>
      <c r="AL595" s="343"/>
      <c r="AM595" s="343"/>
    </row>
    <row r="596" spans="1:39" ht="12.75" customHeight="1" thickBot="1" x14ac:dyDescent="0.3">
      <c r="A596" s="729" t="str">
        <f t="shared" si="662"/>
        <v/>
      </c>
      <c r="B596" s="298"/>
      <c r="C596" s="698"/>
      <c r="D596" s="1208"/>
      <c r="E596" s="2889" t="str">
        <f>Translations!$B$1324</f>
        <v>Действителна корекция (ако са надвишени всички прагове)</v>
      </c>
      <c r="F596" s="2889"/>
      <c r="G596" s="2889"/>
      <c r="H596" s="2889"/>
      <c r="I596" s="1490"/>
      <c r="J596" s="1240" t="str">
        <f>IF(J592="","",IF(J591&gt;$Z459,-100%,IFERROR((1+IF(OR(J592,V585&lt;1),J587,IF(J591=$Z459,SUM(I596),I596)))*V592-1,"")))</f>
        <v/>
      </c>
      <c r="K596" s="1241" t="str">
        <f>IF(K592="","",IF(K591&gt;$Z459,-100%,IFERROR((1+IF(OR(K592,W585&lt;1),K587,IF(K591=$Z459,SUM(J596),J596)))*W592-1,"")))</f>
        <v/>
      </c>
      <c r="L596" s="1241" t="str">
        <f>IF(L592="","",IF(L591&gt;$Z459,-100%,IFERROR((1+IF(OR(L592,X585&lt;1),L587,IF(L591=$Z459,SUM(K596),K596)))*X592-1,"")))</f>
        <v/>
      </c>
      <c r="M596" s="1241" t="str">
        <f>IF(M592="","",IF(M591&gt;$Z459,-100%,IFERROR((1+IF(OR(M592,Y585&lt;1),M587,IF(M591=$Z459,SUM(L596),L596)))*Y592-1,"")))</f>
        <v/>
      </c>
      <c r="N596" s="1242" t="str">
        <f>IF(N592="","",IF(N591&gt;$Z459,-100%,IFERROR((1+IF(OR(N592,Z585&lt;1),N587,IF(N591=$Z459,SUM(M596),M596)))*Z592-1,"")))</f>
        <v/>
      </c>
      <c r="O596" s="302"/>
      <c r="P596" s="336"/>
      <c r="Q596" s="1190" t="str">
        <f>EUconst_CNTR_HALAdjPct &amp; I459</f>
        <v>HALAdjPct_Подинсталация с топлинен показател (с риск от ИВЕ | в рамките на МКВЕГ)</v>
      </c>
      <c r="R596" s="694"/>
      <c r="S596" s="694"/>
      <c r="T596" s="694"/>
      <c r="U596" s="1231" t="s">
        <v>1718</v>
      </c>
      <c r="V596" s="1243">
        <f>J591</f>
        <v>2026</v>
      </c>
      <c r="W596" s="1243">
        <f>K591</f>
        <v>2027</v>
      </c>
      <c r="X596" s="1243">
        <f>L591</f>
        <v>2028</v>
      </c>
      <c r="Y596" s="1243">
        <f>M591</f>
        <v>2029</v>
      </c>
      <c r="Z596" s="1244">
        <f>N591</f>
        <v>2030</v>
      </c>
      <c r="AA596" s="694"/>
      <c r="AB596" s="729"/>
      <c r="AC596" s="694"/>
      <c r="AD596" s="694"/>
      <c r="AE596" s="343"/>
      <c r="AF596" s="343"/>
      <c r="AG596" s="343"/>
      <c r="AH596" s="343"/>
      <c r="AI596" s="343"/>
      <c r="AJ596" s="343"/>
      <c r="AK596" s="343"/>
      <c r="AL596" s="343"/>
      <c r="AM596" s="343"/>
    </row>
    <row r="597" spans="1:39" ht="12.75" customHeight="1" thickBot="1" x14ac:dyDescent="0.3">
      <c r="A597" s="729" t="str">
        <f t="shared" si="662"/>
        <v/>
      </c>
      <c r="B597" s="298"/>
      <c r="C597" s="698"/>
      <c r="D597" s="1217"/>
      <c r="E597" s="2889" t="str">
        <f>Translations!$B$1551</f>
        <v>Действително очаквано равнище на дейност</v>
      </c>
      <c r="F597" s="2892"/>
      <c r="G597" s="2892"/>
      <c r="H597" s="1210" t="str">
        <f>H475</f>
        <v>TJ</v>
      </c>
      <c r="I597" s="1399" t="str">
        <f>I478</f>
        <v/>
      </c>
      <c r="J597" s="661" t="str">
        <f>IF($M459&lt;&gt;EUconst_Relevant,"",IF(OR(J596="",$I597=0,$I597=EUconst_NA),IF(OR(J592=TRUE,J591&lt;=$V459),J478,SUM(I597)),$I597*(1+SUM(J596))))</f>
        <v/>
      </c>
      <c r="K597" s="662" t="str">
        <f>IF($M459&lt;&gt;EUconst_Relevant,"",IF(OR(K596="",$I597=0,$I597=EUconst_NA),IF(OR(K592=TRUE,K591&lt;=$V459),K478,SUM(J597)),$I597*(1+SUM(K596))))</f>
        <v/>
      </c>
      <c r="L597" s="662" t="str">
        <f>IF($M459&lt;&gt;EUconst_Relevant,"",IF(OR(L596="",$I597=0,$I597=EUconst_NA),IF(OR(L592=TRUE,L591&lt;=$V459),L478,SUM(K597)),$I597*(1+SUM(L596))))</f>
        <v/>
      </c>
      <c r="M597" s="662" t="str">
        <f>IF($M459&lt;&gt;EUconst_Relevant,"",IF(OR(M596="",$I597=0,$I597=EUconst_NA),IF(OR(M592=TRUE,M591&lt;=$V459),M478,SUM(L597)),$I597*(1+SUM(M596))))</f>
        <v/>
      </c>
      <c r="N597" s="663" t="str">
        <f>IF($M459&lt;&gt;EUconst_Relevant,"",IF(OR(N596="",$I597=0,$I597=EUconst_NA),IF(OR(N592=TRUE,N591&lt;=$V459),N478,SUM(M597)),$I597*(1+SUM(N596))))</f>
        <v/>
      </c>
      <c r="O597" s="302"/>
      <c r="P597" s="336"/>
      <c r="Q597" s="1190" t="str">
        <f>EUconst_CNTR_HALfinal&amp;I459</f>
        <v>HALfinal_Подинсталация с топлинен показател (с риск от ИВЕ | в рамките на МКВЕГ)</v>
      </c>
      <c r="R597" s="694"/>
      <c r="S597" s="694"/>
      <c r="T597" s="694"/>
      <c r="U597" s="1491" t="b">
        <v>0</v>
      </c>
      <c r="V597" s="1246" t="b">
        <f>IF(J592=TRUE,V476,U597)</f>
        <v>0</v>
      </c>
      <c r="W597" s="1246" t="b">
        <f>IF(K592=TRUE,W476,V597)</f>
        <v>0</v>
      </c>
      <c r="X597" s="1246" t="b">
        <f>IF(L592=TRUE,X476,W597)</f>
        <v>0</v>
      </c>
      <c r="Y597" s="1246" t="b">
        <f>IF(M592=TRUE,Y476,X597)</f>
        <v>0</v>
      </c>
      <c r="Z597" s="1247" t="b">
        <f>IF(N592=TRUE,Z476,Y597)</f>
        <v>0</v>
      </c>
      <c r="AA597" s="694"/>
      <c r="AB597" s="694"/>
      <c r="AC597" s="694"/>
      <c r="AD597" s="694"/>
      <c r="AE597" s="343"/>
      <c r="AF597" s="343"/>
      <c r="AG597" s="343"/>
      <c r="AH597" s="343"/>
      <c r="AI597" s="343"/>
      <c r="AJ597" s="343"/>
      <c r="AK597" s="1174" t="s">
        <v>2033</v>
      </c>
      <c r="AL597" s="982" t="str">
        <f>IF(OR(ISERROR(J597),ISERROR(K597),ISERROR(L597),ISERROR(M597),ISERROR(N597)),EUconst_Error&amp;"FB"&amp; Q459,"")</f>
        <v/>
      </c>
      <c r="AM597" s="343"/>
    </row>
    <row r="598" spans="1:39" ht="5.15" customHeight="1" thickBot="1" x14ac:dyDescent="0.3">
      <c r="A598" s="729" t="str">
        <f t="shared" si="662"/>
        <v/>
      </c>
      <c r="B598" s="698"/>
      <c r="C598" s="698"/>
      <c r="D598" s="1273"/>
      <c r="E598" s="1274"/>
      <c r="F598" s="1274"/>
      <c r="G598" s="1274"/>
      <c r="H598" s="1274"/>
      <c r="I598" s="1274"/>
      <c r="J598" s="1274"/>
      <c r="K598" s="1274"/>
      <c r="L598" s="1274"/>
      <c r="M598" s="1274"/>
      <c r="N598" s="1276"/>
      <c r="O598" s="336"/>
      <c r="P598" s="336"/>
      <c r="Q598" s="694"/>
      <c r="R598" s="694"/>
      <c r="S598" s="694"/>
      <c r="T598" s="694"/>
      <c r="U598" s="694"/>
      <c r="V598" s="694"/>
      <c r="W598" s="694"/>
      <c r="X598" s="694"/>
      <c r="Y598" s="694"/>
      <c r="Z598" s="694"/>
      <c r="AA598" s="694"/>
      <c r="AB598" s="729"/>
      <c r="AC598" s="694"/>
      <c r="AD598" s="694"/>
      <c r="AE598" s="343"/>
      <c r="AF598" s="343"/>
      <c r="AG598" s="343"/>
      <c r="AH598" s="343"/>
      <c r="AI598" s="343"/>
      <c r="AJ598" s="343"/>
      <c r="AK598" s="343"/>
      <c r="AL598" s="343"/>
      <c r="AM598" s="343"/>
    </row>
    <row r="599" spans="1:39" ht="12.75" customHeight="1" thickBot="1" x14ac:dyDescent="0.3">
      <c r="A599" s="694"/>
      <c r="B599" s="698"/>
      <c r="C599" s="698"/>
      <c r="D599" s="698"/>
      <c r="E599" s="698"/>
      <c r="F599" s="698"/>
      <c r="G599" s="698"/>
      <c r="H599" s="698"/>
      <c r="I599" s="698"/>
      <c r="J599" s="698"/>
      <c r="K599" s="698"/>
      <c r="L599" s="698"/>
      <c r="M599" s="698"/>
      <c r="N599" s="698"/>
      <c r="O599" s="336"/>
      <c r="P599" s="336"/>
      <c r="Q599" s="694"/>
      <c r="R599" s="694"/>
      <c r="S599" s="694"/>
      <c r="T599" s="694"/>
      <c r="U599" s="694"/>
      <c r="V599" s="694"/>
      <c r="W599" s="694"/>
      <c r="X599" s="694"/>
      <c r="Y599" s="694"/>
      <c r="Z599" s="694"/>
      <c r="AA599" s="694"/>
      <c r="AB599" s="729"/>
      <c r="AC599" s="694"/>
      <c r="AD599" s="694"/>
      <c r="AE599" s="343"/>
      <c r="AF599" s="343"/>
      <c r="AG599" s="343"/>
      <c r="AH599" s="343"/>
      <c r="AI599" s="343"/>
      <c r="AJ599" s="343"/>
      <c r="AK599" s="343"/>
      <c r="AL599" s="343"/>
      <c r="AM599" s="343"/>
    </row>
    <row r="600" spans="1:39" ht="5.15" customHeight="1" x14ac:dyDescent="0.25">
      <c r="A600" s="694"/>
      <c r="B600" s="284"/>
      <c r="C600" s="1492"/>
      <c r="D600" s="1493"/>
      <c r="E600" s="1493"/>
      <c r="F600" s="1493"/>
      <c r="G600" s="1493"/>
      <c r="H600" s="1493"/>
      <c r="I600" s="1493"/>
      <c r="J600" s="1493"/>
      <c r="K600" s="1493"/>
      <c r="L600" s="1493"/>
      <c r="M600" s="1494"/>
      <c r="N600" s="1495"/>
      <c r="O600" s="336"/>
      <c r="P600" s="336"/>
      <c r="Q600" s="770"/>
      <c r="R600" s="694"/>
      <c r="S600" s="770"/>
      <c r="T600" s="770"/>
      <c r="U600" s="694"/>
      <c r="V600" s="694"/>
      <c r="W600" s="694"/>
      <c r="X600" s="694"/>
      <c r="Y600" s="694"/>
      <c r="Z600" s="694"/>
      <c r="AA600" s="694"/>
      <c r="AB600" s="729"/>
      <c r="AC600" s="694"/>
      <c r="AD600" s="694"/>
      <c r="AE600" s="343"/>
      <c r="AF600" s="343"/>
      <c r="AG600" s="343"/>
      <c r="AH600" s="343"/>
      <c r="AI600" s="343"/>
      <c r="AJ600" s="343"/>
      <c r="AK600" s="343"/>
      <c r="AL600" s="343"/>
      <c r="AM600" s="343"/>
    </row>
    <row r="601" spans="1:39" ht="15" customHeight="1" x14ac:dyDescent="0.25">
      <c r="A601" s="694"/>
      <c r="B601" s="698"/>
      <c r="C601" s="1496"/>
      <c r="D601" s="2857" t="str">
        <f>Translations!$B$502</f>
        <v>Данни, необходими за определяне на нивото на подобрение на продуктовите показатели съгласно 10а, параграф 2 от Директивата за СТЕ на ЕС</v>
      </c>
      <c r="E601" s="2851"/>
      <c r="F601" s="2851"/>
      <c r="G601" s="2851"/>
      <c r="H601" s="2851"/>
      <c r="I601" s="2851"/>
      <c r="J601" s="2851"/>
      <c r="K601" s="2851"/>
      <c r="L601" s="2851"/>
      <c r="M601" s="2851"/>
      <c r="N601" s="2852"/>
      <c r="O601" s="336"/>
      <c r="P601" s="336"/>
      <c r="Q601" s="694"/>
      <c r="R601" s="694"/>
      <c r="S601" s="770"/>
      <c r="T601" s="770"/>
      <c r="U601" s="694"/>
      <c r="V601" s="694"/>
      <c r="W601" s="694"/>
      <c r="X601" s="694"/>
      <c r="Y601" s="694"/>
      <c r="Z601" s="694"/>
      <c r="AA601" s="694"/>
      <c r="AB601" s="729"/>
      <c r="AC601" s="694"/>
      <c r="AD601" s="694"/>
      <c r="AE601" s="343"/>
      <c r="AF601" s="343"/>
      <c r="AG601" s="343"/>
      <c r="AH601" s="343"/>
      <c r="AI601" s="343"/>
      <c r="AJ601" s="343"/>
      <c r="AK601" s="343"/>
      <c r="AL601" s="343"/>
      <c r="AM601" s="343"/>
    </row>
    <row r="602" spans="1:39" ht="5.15" customHeight="1" x14ac:dyDescent="0.25">
      <c r="A602" s="694"/>
      <c r="B602" s="698"/>
      <c r="C602" s="1303"/>
      <c r="D602" s="1304"/>
      <c r="E602" s="1304"/>
      <c r="F602" s="1304"/>
      <c r="G602" s="1304"/>
      <c r="H602" s="1304"/>
      <c r="I602" s="1304"/>
      <c r="J602" s="1304"/>
      <c r="K602" s="1304"/>
      <c r="L602" s="1304"/>
      <c r="M602" s="1304"/>
      <c r="N602" s="1305"/>
      <c r="O602" s="336"/>
      <c r="P602" s="336"/>
      <c r="Q602" s="694"/>
      <c r="R602" s="694"/>
      <c r="S602" s="770"/>
      <c r="T602" s="770"/>
      <c r="U602" s="694"/>
      <c r="V602" s="694"/>
      <c r="W602" s="694"/>
      <c r="X602" s="694"/>
      <c r="Y602" s="694"/>
      <c r="Z602" s="694"/>
      <c r="AA602" s="694"/>
      <c r="AB602" s="729"/>
      <c r="AC602" s="694"/>
      <c r="AD602" s="694"/>
      <c r="AE602" s="343"/>
      <c r="AF602" s="343"/>
      <c r="AG602" s="343"/>
      <c r="AH602" s="343"/>
      <c r="AI602" s="343"/>
      <c r="AJ602" s="343"/>
      <c r="AK602" s="343"/>
      <c r="AL602" s="343"/>
      <c r="AM602" s="343"/>
    </row>
    <row r="603" spans="1:39" ht="15" customHeight="1" x14ac:dyDescent="0.25">
      <c r="A603" s="694"/>
      <c r="B603" s="698"/>
      <c r="C603" s="1303"/>
      <c r="D603" s="2841" t="str">
        <f>EUconst_FBSubinst &amp; ":"</f>
        <v>Алтернативна подинсталация („Fall-Back sub-installation“):</v>
      </c>
      <c r="E603" s="2839"/>
      <c r="F603" s="2839"/>
      <c r="G603" s="2839"/>
      <c r="H603" s="2842"/>
      <c r="I603" s="2843" t="str">
        <f>I459</f>
        <v>Подинсталация с топлинен показател (с риск от ИВЕ | в рамките на МКВЕГ)</v>
      </c>
      <c r="J603" s="2844"/>
      <c r="K603" s="2844"/>
      <c r="L603" s="2844"/>
      <c r="M603" s="2844"/>
      <c r="N603" s="2845"/>
      <c r="O603" s="336"/>
      <c r="P603" s="336"/>
      <c r="Q603" s="694"/>
      <c r="R603" s="694"/>
      <c r="S603" s="770"/>
      <c r="T603" s="770"/>
      <c r="U603" s="694"/>
      <c r="V603" s="694"/>
      <c r="W603" s="694"/>
      <c r="X603" s="694"/>
      <c r="Y603" s="694"/>
      <c r="Z603" s="694"/>
      <c r="AA603" s="694"/>
      <c r="AB603" s="729"/>
      <c r="AC603" s="694"/>
      <c r="AD603" s="694"/>
      <c r="AE603" s="343"/>
      <c r="AF603" s="343"/>
      <c r="AG603" s="343"/>
      <c r="AH603" s="343"/>
      <c r="AI603" s="343"/>
      <c r="AJ603" s="343"/>
      <c r="AK603" s="343"/>
      <c r="AL603" s="343"/>
      <c r="AM603" s="343"/>
    </row>
    <row r="604" spans="1:39" ht="5.15" customHeight="1" x14ac:dyDescent="0.25">
      <c r="A604" s="694"/>
      <c r="B604" s="698"/>
      <c r="C604" s="1303"/>
      <c r="D604" s="1304"/>
      <c r="E604" s="1304"/>
      <c r="F604" s="1304"/>
      <c r="G604" s="1304"/>
      <c r="H604" s="1304"/>
      <c r="I604" s="1304"/>
      <c r="J604" s="1304"/>
      <c r="K604" s="1304"/>
      <c r="L604" s="1304"/>
      <c r="M604" s="1304"/>
      <c r="N604" s="1305"/>
      <c r="O604" s="336"/>
      <c r="P604" s="336"/>
      <c r="Q604" s="694"/>
      <c r="R604" s="694"/>
      <c r="S604" s="770"/>
      <c r="T604" s="770"/>
      <c r="U604" s="694"/>
      <c r="V604" s="694"/>
      <c r="W604" s="694"/>
      <c r="X604" s="694"/>
      <c r="Y604" s="694"/>
      <c r="Z604" s="694"/>
      <c r="AA604" s="694"/>
      <c r="AB604" s="729"/>
      <c r="AC604" s="694"/>
      <c r="AD604" s="694"/>
      <c r="AE604" s="343"/>
      <c r="AF604" s="343"/>
      <c r="AG604" s="343"/>
      <c r="AH604" s="343"/>
      <c r="AI604" s="343"/>
      <c r="AJ604" s="343"/>
      <c r="AK604" s="343"/>
      <c r="AL604" s="343"/>
      <c r="AM604" s="343"/>
    </row>
    <row r="605" spans="1:39" ht="30" customHeight="1" x14ac:dyDescent="0.25">
      <c r="A605" s="694"/>
      <c r="B605" s="284"/>
      <c r="C605" s="1496"/>
      <c r="D605" s="1497"/>
      <c r="E605" s="2933" t="str">
        <f>Translations!$B$503</f>
        <v>В този подраздел се обхваща разпределението на емисии по пораждащи емисии потоци, източници на емисии, получена или подадена измерима топлинна енергия и отпадни газове, включително загубите на топлинна енергия съгласно раздел 10 от приложение VII към ПБР.</v>
      </c>
      <c r="F605" s="2933"/>
      <c r="G605" s="2933"/>
      <c r="H605" s="2933"/>
      <c r="I605" s="2933"/>
      <c r="J605" s="2933"/>
      <c r="K605" s="2933"/>
      <c r="L605" s="2933"/>
      <c r="M605" s="2933"/>
      <c r="N605" s="1498"/>
      <c r="O605" s="336"/>
      <c r="P605" s="336"/>
      <c r="Q605" s="770"/>
      <c r="R605" s="694"/>
      <c r="S605" s="694"/>
      <c r="T605" s="694"/>
      <c r="U605" s="694"/>
      <c r="V605" s="694"/>
      <c r="W605" s="694"/>
      <c r="X605" s="694"/>
      <c r="Y605" s="694"/>
      <c r="Z605" s="694"/>
      <c r="AA605" s="694"/>
      <c r="AB605" s="729"/>
      <c r="AC605" s="694"/>
      <c r="AD605" s="694"/>
      <c r="AE605" s="343"/>
      <c r="AF605" s="343"/>
      <c r="AG605" s="343"/>
      <c r="AH605" s="343"/>
      <c r="AI605" s="343"/>
      <c r="AJ605" s="343"/>
      <c r="AK605" s="343"/>
      <c r="AL605" s="343"/>
      <c r="AM605" s="343"/>
    </row>
    <row r="606" spans="1:39" ht="30" customHeight="1" x14ac:dyDescent="0.25">
      <c r="A606" s="694"/>
      <c r="B606" s="298"/>
      <c r="C606" s="1302"/>
      <c r="D606" s="1306"/>
      <c r="E606" s="2846" t="str">
        <f>Translations!$B$504</f>
        <v xml:space="preserve">Моля, имайте предвид, че въпреки дадените известни насоки по всяка от точките по-долу трябва да потърсите допълнителна информация в обяснителна бележка № 5 („Мониторинг и докладване във връзка с ПБР“), която съдържа и примери. </v>
      </c>
      <c r="F606" s="2846"/>
      <c r="G606" s="2846"/>
      <c r="H606" s="2846"/>
      <c r="I606" s="2846"/>
      <c r="J606" s="2846"/>
      <c r="K606" s="2846"/>
      <c r="L606" s="2846"/>
      <c r="M606" s="2846"/>
      <c r="N606" s="1372"/>
      <c r="O606" s="336"/>
      <c r="P606" s="336"/>
      <c r="Q606" s="729"/>
      <c r="R606" s="694"/>
      <c r="S606" s="694"/>
      <c r="T606" s="694"/>
      <c r="U606" s="694"/>
      <c r="V606" s="694"/>
      <c r="W606" s="694"/>
      <c r="X606" s="694"/>
      <c r="Y606" s="694"/>
      <c r="Z606" s="694"/>
      <c r="AA606" s="694"/>
      <c r="AB606" s="729"/>
      <c r="AC606" s="694"/>
      <c r="AD606" s="694"/>
      <c r="AE606" s="343"/>
      <c r="AF606" s="343"/>
      <c r="AG606" s="343"/>
      <c r="AH606" s="343"/>
      <c r="AI606" s="343"/>
      <c r="AJ606" s="343"/>
      <c r="AK606" s="343"/>
      <c r="AL606" s="343"/>
      <c r="AM606" s="343"/>
    </row>
    <row r="607" spans="1:39" ht="12.75" customHeight="1" x14ac:dyDescent="0.25">
      <c r="A607" s="694"/>
      <c r="B607" s="298"/>
      <c r="C607" s="1302"/>
      <c r="D607" s="1306"/>
      <c r="E607" s="2846" t="str">
        <f>Translations!$B$505</f>
        <v>Можете да изтеглите насоките на адрес: https://ec.europa.eu/clima/policies/ets/allowances_en#tab-0-1</v>
      </c>
      <c r="F607" s="2240"/>
      <c r="G607" s="2240"/>
      <c r="H607" s="2240"/>
      <c r="I607" s="2240"/>
      <c r="J607" s="2240"/>
      <c r="K607" s="2240"/>
      <c r="L607" s="2240"/>
      <c r="M607" s="2240"/>
      <c r="N607" s="1372"/>
      <c r="O607" s="336"/>
      <c r="P607" s="336"/>
      <c r="Q607" s="729"/>
      <c r="R607" s="694"/>
      <c r="S607" s="694"/>
      <c r="T607" s="694"/>
      <c r="U607" s="694"/>
      <c r="V607" s="694"/>
      <c r="W607" s="694"/>
      <c r="X607" s="694"/>
      <c r="Y607" s="694"/>
      <c r="Z607" s="694"/>
      <c r="AA607" s="694"/>
      <c r="AB607" s="729"/>
      <c r="AC607" s="694"/>
      <c r="AD607" s="694"/>
      <c r="AE607" s="343"/>
      <c r="AF607" s="343"/>
      <c r="AG607" s="343"/>
      <c r="AH607" s="343"/>
      <c r="AI607" s="343"/>
      <c r="AJ607" s="343"/>
      <c r="AK607" s="343"/>
      <c r="AL607" s="343"/>
      <c r="AM607" s="343"/>
    </row>
    <row r="608" spans="1:39" ht="15" customHeight="1" x14ac:dyDescent="0.25">
      <c r="A608" s="694"/>
      <c r="B608" s="298"/>
      <c r="C608" s="1302"/>
      <c r="D608" s="1306"/>
      <c r="E608" s="2848" t="str">
        <f>F_ProductBM!$E$674</f>
        <v>https://climate.ec.europa.eu/eu-action/carbon-markets/eu-emissions-trading-system-eu-ets/free-allocation/about-free-allocation_en</v>
      </c>
      <c r="F608" s="2848"/>
      <c r="G608" s="2848"/>
      <c r="H608" s="2848"/>
      <c r="I608" s="2848"/>
      <c r="J608" s="2848"/>
      <c r="K608" s="2848"/>
      <c r="L608" s="2848"/>
      <c r="M608" s="2848"/>
      <c r="N608" s="1372"/>
      <c r="O608" s="336"/>
      <c r="P608" s="336"/>
      <c r="Q608" s="729"/>
      <c r="R608" s="694"/>
      <c r="S608" s="694"/>
      <c r="T608" s="694"/>
      <c r="U608" s="694"/>
      <c r="V608" s="694"/>
      <c r="W608" s="694"/>
      <c r="X608" s="694"/>
      <c r="Y608" s="694"/>
      <c r="Z608" s="694"/>
      <c r="AA608" s="694"/>
      <c r="AB608" s="729"/>
      <c r="AC608" s="694"/>
      <c r="AD608" s="694"/>
      <c r="AE608" s="343"/>
      <c r="AF608" s="343"/>
      <c r="AG608" s="343"/>
      <c r="AH608" s="343"/>
      <c r="AI608" s="343"/>
      <c r="AJ608" s="343"/>
      <c r="AK608" s="343"/>
      <c r="AL608" s="343"/>
      <c r="AM608" s="343"/>
    </row>
    <row r="609" spans="1:39" ht="15" customHeight="1" x14ac:dyDescent="0.25">
      <c r="A609" s="694"/>
      <c r="B609" s="284"/>
      <c r="C609" s="1496"/>
      <c r="D609" s="1497"/>
      <c r="E609" s="2849" t="str">
        <f>Translations!$B$506</f>
        <v>При въвеждане на данните по-долу емисиите, които могат да бъдат зададени, са изчислени в раздел K.III.2 в листа за обобщение.</v>
      </c>
      <c r="F609" s="2849"/>
      <c r="G609" s="2849"/>
      <c r="H609" s="2849"/>
      <c r="I609" s="2849"/>
      <c r="J609" s="2849"/>
      <c r="K609" s="2849"/>
      <c r="L609" s="2849"/>
      <c r="M609" s="2849"/>
      <c r="N609" s="1498"/>
      <c r="O609" s="336"/>
      <c r="P609" s="336"/>
      <c r="Q609" s="770"/>
      <c r="R609" s="694"/>
      <c r="S609" s="694"/>
      <c r="T609" s="694"/>
      <c r="U609" s="694"/>
      <c r="V609" s="694"/>
      <c r="W609" s="694"/>
      <c r="X609" s="694"/>
      <c r="Y609" s="694"/>
      <c r="Z609" s="694"/>
      <c r="AA609" s="694"/>
      <c r="AB609" s="729"/>
      <c r="AC609" s="694"/>
      <c r="AD609" s="694"/>
      <c r="AE609" s="343"/>
      <c r="AF609" s="343"/>
      <c r="AG609" s="343"/>
      <c r="AH609" s="343"/>
      <c r="AI609" s="343"/>
      <c r="AJ609" s="343"/>
      <c r="AK609" s="343"/>
      <c r="AL609" s="343"/>
      <c r="AM609" s="343"/>
    </row>
    <row r="610" spans="1:39" ht="5.15" customHeight="1" x14ac:dyDescent="0.25">
      <c r="A610" s="694"/>
      <c r="B610" s="698"/>
      <c r="C610" s="1303"/>
      <c r="D610" s="1304"/>
      <c r="E610" s="1304"/>
      <c r="F610" s="1304"/>
      <c r="G610" s="1304"/>
      <c r="H610" s="1304"/>
      <c r="I610" s="1304"/>
      <c r="J610" s="1304"/>
      <c r="K610" s="1304"/>
      <c r="L610" s="1304"/>
      <c r="M610" s="1304"/>
      <c r="N610" s="1305"/>
      <c r="O610" s="336"/>
      <c r="P610" s="336"/>
      <c r="Q610" s="694"/>
      <c r="R610" s="694"/>
      <c r="S610" s="770"/>
      <c r="T610" s="770"/>
      <c r="U610" s="694"/>
      <c r="V610" s="694"/>
      <c r="W610" s="694"/>
      <c r="X610" s="694"/>
      <c r="Y610" s="694"/>
      <c r="Z610" s="694"/>
      <c r="AA610" s="694"/>
      <c r="AB610" s="729"/>
      <c r="AC610" s="694"/>
      <c r="AD610" s="694"/>
      <c r="AE610" s="343"/>
      <c r="AF610" s="343"/>
      <c r="AG610" s="343"/>
      <c r="AH610" s="343"/>
      <c r="AI610" s="343"/>
      <c r="AJ610" s="343"/>
      <c r="AK610" s="343"/>
      <c r="AL610" s="343"/>
      <c r="AM610" s="343"/>
    </row>
    <row r="611" spans="1:39" ht="12.75" customHeight="1" x14ac:dyDescent="0.25">
      <c r="A611" s="694"/>
      <c r="B611" s="284"/>
      <c r="C611" s="1496"/>
      <c r="D611" s="1307" t="s">
        <v>46</v>
      </c>
      <c r="E611" s="2850" t="str">
        <f>Translations!$B$626</f>
        <v>Емисии, които могат се зададат пряко (DirEm*) на тази подинсталация</v>
      </c>
      <c r="F611" s="2851"/>
      <c r="G611" s="2851"/>
      <c r="H611" s="2851"/>
      <c r="I611" s="2851"/>
      <c r="J611" s="2851"/>
      <c r="K611" s="2851"/>
      <c r="L611" s="2851"/>
      <c r="M611" s="2851"/>
      <c r="N611" s="2852"/>
      <c r="O611" s="336"/>
      <c r="P611" s="336"/>
      <c r="Q611" s="770"/>
      <c r="R611" s="694"/>
      <c r="S611" s="770"/>
      <c r="T611" s="770"/>
      <c r="U611" s="694"/>
      <c r="V611" s="694"/>
      <c r="W611" s="694"/>
      <c r="X611" s="694"/>
      <c r="Y611" s="694"/>
      <c r="Z611" s="694"/>
      <c r="AA611" s="694"/>
      <c r="AB611" s="729"/>
      <c r="AC611" s="694"/>
      <c r="AD611" s="694"/>
      <c r="AE611" s="343"/>
      <c r="AF611" s="343"/>
      <c r="AG611" s="343"/>
      <c r="AH611" s="343"/>
      <c r="AI611" s="343"/>
      <c r="AJ611" s="343"/>
      <c r="AK611" s="343"/>
      <c r="AL611" s="343"/>
      <c r="AM611" s="343"/>
    </row>
    <row r="612" spans="1:39" ht="12.75" customHeight="1" x14ac:dyDescent="0.25">
      <c r="A612" s="694"/>
      <c r="B612" s="284"/>
      <c r="C612" s="1496"/>
      <c r="D612" s="1307"/>
      <c r="E612" s="2927" t="str">
        <f>Translations!$B$508</f>
        <v>Посочените тук данни ще се отразят на емисиите, които могат да бъдат зададени съгласно раздел 10.1.1 от приложение VII към ПБР.</v>
      </c>
      <c r="F612" s="2927"/>
      <c r="G612" s="2927"/>
      <c r="H612" s="2927"/>
      <c r="I612" s="2927"/>
      <c r="J612" s="2927"/>
      <c r="K612" s="2927"/>
      <c r="L612" s="2927"/>
      <c r="M612" s="2927"/>
      <c r="N612" s="2928"/>
      <c r="O612" s="336"/>
      <c r="P612" s="336"/>
      <c r="Q612" s="770"/>
      <c r="R612" s="694"/>
      <c r="S612" s="770"/>
      <c r="T612" s="770"/>
      <c r="U612" s="694"/>
      <c r="V612" s="694"/>
      <c r="W612" s="694"/>
      <c r="X612" s="694"/>
      <c r="Y612" s="694"/>
      <c r="Z612" s="694"/>
      <c r="AA612" s="694"/>
      <c r="AB612" s="729"/>
      <c r="AC612" s="694"/>
      <c r="AD612" s="694"/>
      <c r="AE612" s="343"/>
      <c r="AF612" s="343"/>
      <c r="AG612" s="343"/>
      <c r="AH612" s="343"/>
      <c r="AI612" s="343"/>
      <c r="AJ612" s="343"/>
      <c r="AK612" s="343"/>
      <c r="AL612" s="343"/>
      <c r="AM612" s="343"/>
    </row>
    <row r="613" spans="1:39" ht="12.75" customHeight="1" x14ac:dyDescent="0.25">
      <c r="A613" s="694"/>
      <c r="B613" s="284"/>
      <c r="C613" s="1496"/>
      <c r="D613" s="1497"/>
      <c r="E613" s="2836" t="str">
        <f>Translations!$B$627</f>
        <v>Моля, въведете преките емисии, като вземете предвид следните уговорки:</v>
      </c>
      <c r="F613" s="2836"/>
      <c r="G613" s="2836"/>
      <c r="H613" s="2836"/>
      <c r="I613" s="2836"/>
      <c r="J613" s="2836"/>
      <c r="K613" s="2836"/>
      <c r="L613" s="2836"/>
      <c r="M613" s="2836"/>
      <c r="N613" s="2837"/>
      <c r="O613" s="336"/>
      <c r="P613" s="336"/>
      <c r="Q613" s="770"/>
      <c r="R613" s="694"/>
      <c r="S613" s="770"/>
      <c r="T613" s="694"/>
      <c r="U613" s="694"/>
      <c r="V613" s="694"/>
      <c r="W613" s="694"/>
      <c r="X613" s="694"/>
      <c r="Y613" s="694"/>
      <c r="Z613" s="694"/>
      <c r="AA613" s="694"/>
      <c r="AB613" s="729"/>
      <c r="AC613" s="694"/>
      <c r="AD613" s="694"/>
      <c r="AE613" s="343"/>
      <c r="AF613" s="343"/>
      <c r="AG613" s="343"/>
      <c r="AH613" s="343"/>
      <c r="AI613" s="343"/>
      <c r="AJ613" s="343"/>
      <c r="AK613" s="343"/>
      <c r="AL613" s="343"/>
      <c r="AM613" s="343"/>
    </row>
    <row r="614" spans="1:39" ht="25.5" customHeight="1" x14ac:dyDescent="0.25">
      <c r="A614" s="694"/>
      <c r="B614" s="284"/>
      <c r="C614" s="1496"/>
      <c r="D614" s="1497"/>
      <c r="E614" s="1308" t="s">
        <v>1052</v>
      </c>
      <c r="F614" s="2838" t="str">
        <f>Translations!$B$628</f>
        <v>За преките емисии се извършва мониторинг в съответствие с плана за мониторинг, одобрен съгласно Регламента относно мониторинга и докладването (РМД), т.е. като се отчитат емисиите, получени по методики, основани на изчисления (като се използват пораждащите емисии потоци), по базиращи се на измервания методики (БИМ), както и по подходи без подреждане („fall-backs“).</v>
      </c>
      <c r="G614" s="2838"/>
      <c r="H614" s="2838"/>
      <c r="I614" s="2838"/>
      <c r="J614" s="2838"/>
      <c r="K614" s="2838"/>
      <c r="L614" s="2838"/>
      <c r="M614" s="2838"/>
      <c r="N614" s="2931"/>
      <c r="O614" s="336"/>
      <c r="P614" s="336"/>
      <c r="Q614" s="770"/>
      <c r="R614" s="694"/>
      <c r="S614" s="770"/>
      <c r="T614" s="694"/>
      <c r="U614" s="694"/>
      <c r="V614" s="694"/>
      <c r="W614" s="694"/>
      <c r="X614" s="694"/>
      <c r="Y614" s="694"/>
      <c r="Z614" s="694"/>
      <c r="AA614" s="694"/>
      <c r="AB614" s="729"/>
      <c r="AC614" s="694"/>
      <c r="AD614" s="694"/>
      <c r="AE614" s="343"/>
      <c r="AF614" s="343"/>
      <c r="AG614" s="343"/>
      <c r="AH614" s="343"/>
      <c r="AI614" s="343"/>
      <c r="AJ614" s="343"/>
      <c r="AK614" s="343"/>
      <c r="AL614" s="343"/>
      <c r="AM614" s="343"/>
    </row>
    <row r="615" spans="1:39" ht="38.25" customHeight="1" x14ac:dyDescent="0.25">
      <c r="A615" s="694"/>
      <c r="B615" s="298"/>
      <c r="C615" s="1302"/>
      <c r="D615" s="1306"/>
      <c r="E615" s="1308"/>
      <c r="F615" s="2810" t="str">
        <f>Translations!$B$629</f>
        <v>В някои случая обаче в този раздел „преките емисии“ не са същите като отчетените съгласно РМД. Такива случаи са например пораждащи емисии потоци, използвани за производство на измерима топлинна енергия, отпадни газове и др. С други думи, моля, попълнете разделите по-долу при строго спазване на инструкциите, за да се избегнат двойно отчитане или пропуски.</v>
      </c>
      <c r="G615" s="2240"/>
      <c r="H615" s="2240"/>
      <c r="I615" s="2240"/>
      <c r="J615" s="2240"/>
      <c r="K615" s="2240"/>
      <c r="L615" s="2240"/>
      <c r="M615" s="2240"/>
      <c r="N615" s="2811"/>
      <c r="O615" s="336"/>
      <c r="P615" s="336"/>
      <c r="Q615" s="729"/>
      <c r="R615" s="694"/>
      <c r="S615" s="729"/>
      <c r="T615" s="694"/>
      <c r="U615" s="694"/>
      <c r="V615" s="694"/>
      <c r="W615" s="694"/>
      <c r="X615" s="694"/>
      <c r="Y615" s="694"/>
      <c r="Z615" s="694"/>
      <c r="AA615" s="694"/>
      <c r="AB615" s="729"/>
      <c r="AC615" s="694"/>
      <c r="AD615" s="694"/>
      <c r="AE615" s="343"/>
      <c r="AF615" s="343"/>
      <c r="AG615" s="343"/>
      <c r="AH615" s="343"/>
      <c r="AI615" s="343"/>
      <c r="AJ615" s="343"/>
      <c r="AK615" s="343"/>
      <c r="AL615" s="343"/>
      <c r="AM615" s="343"/>
    </row>
    <row r="616" spans="1:39" ht="12.75" customHeight="1" x14ac:dyDescent="0.25">
      <c r="A616" s="694"/>
      <c r="B616" s="284"/>
      <c r="C616" s="1496"/>
      <c r="D616" s="1497"/>
      <c r="E616" s="1308" t="s">
        <v>1052</v>
      </c>
      <c r="F616" s="2838" t="str">
        <f>Translations!$B$630</f>
        <v xml:space="preserve">Измерима топлинна енергия: в случай че топлинната енергия е произведена изключително за тази подинсталация, емисиите могат да се зададат пряко тук чрез емисиите от горивата. </v>
      </c>
      <c r="G616" s="2838"/>
      <c r="H616" s="2838"/>
      <c r="I616" s="2838"/>
      <c r="J616" s="2838"/>
      <c r="K616" s="2838"/>
      <c r="L616" s="2838"/>
      <c r="M616" s="2838"/>
      <c r="N616" s="2931"/>
      <c r="O616" s="336"/>
      <c r="P616" s="336"/>
      <c r="Q616" s="770"/>
      <c r="R616" s="694"/>
      <c r="S616" s="770"/>
      <c r="T616" s="694"/>
      <c r="U616" s="694"/>
      <c r="V616" s="694"/>
      <c r="W616" s="694"/>
      <c r="X616" s="694"/>
      <c r="Y616" s="694"/>
      <c r="Z616" s="694"/>
      <c r="AA616" s="694"/>
      <c r="AB616" s="729"/>
      <c r="AC616" s="694"/>
      <c r="AD616" s="694"/>
      <c r="AE616" s="343"/>
      <c r="AF616" s="343"/>
      <c r="AG616" s="343"/>
      <c r="AH616" s="343"/>
      <c r="AI616" s="343"/>
      <c r="AJ616" s="343"/>
      <c r="AK616" s="343"/>
      <c r="AL616" s="343"/>
      <c r="AM616" s="343"/>
    </row>
    <row r="617" spans="1:39" ht="26.15" customHeight="1" x14ac:dyDescent="0.25">
      <c r="A617" s="694"/>
      <c r="B617" s="284"/>
      <c r="C617" s="1496"/>
      <c r="D617" s="1497"/>
      <c r="E617" s="1308"/>
      <c r="F617" s="2838" t="str">
        <f>Translations!$B$631</f>
        <v>Когато при производството на измерима топлинна енергия, която се консумира в повече от една подинсталация (напр. централна електростанция в инсталацията или по-сложна мрежа за генериране на пара с няколко съоръжения за производство на топлинна енергия), са използвани горива, горивата не трябва да се включват в преките емисии на подинсталацията, а в точка f).i по-долу.</v>
      </c>
      <c r="G617" s="2838"/>
      <c r="H617" s="2838"/>
      <c r="I617" s="2838"/>
      <c r="J617" s="2838"/>
      <c r="K617" s="2838"/>
      <c r="L617" s="2838"/>
      <c r="M617" s="2838"/>
      <c r="N617" s="2931"/>
      <c r="O617" s="336"/>
      <c r="P617" s="336"/>
      <c r="Q617" s="770"/>
      <c r="R617" s="694"/>
      <c r="S617" s="770"/>
      <c r="T617" s="694"/>
      <c r="U617" s="694"/>
      <c r="V617" s="694"/>
      <c r="W617" s="694"/>
      <c r="X617" s="694"/>
      <c r="Y617" s="694"/>
      <c r="Z617" s="694"/>
      <c r="AA617" s="694"/>
      <c r="AB617" s="729"/>
      <c r="AC617" s="694"/>
      <c r="AD617" s="694"/>
      <c r="AE617" s="343"/>
      <c r="AF617" s="343"/>
      <c r="AG617" s="343"/>
      <c r="AH617" s="343"/>
      <c r="AI617" s="343"/>
      <c r="AJ617" s="343"/>
      <c r="AK617" s="343"/>
      <c r="AL617" s="343"/>
      <c r="AM617" s="343"/>
    </row>
    <row r="618" spans="1:39" ht="25.5" customHeight="1" thickBot="1" x14ac:dyDescent="0.3">
      <c r="A618" s="694"/>
      <c r="B618" s="284"/>
      <c r="C618" s="1496"/>
      <c r="D618" s="1497"/>
      <c r="E618" s="1308" t="s">
        <v>1052</v>
      </c>
      <c r="F618" s="2838" t="str">
        <f>Translations!$B$632</f>
        <v>Отпадни газове: емисиите, свързани с измерима топлинна енергия, произведена от отпадните газове, получени от други инсталации или подинсталации и използвани в тази подинсталация, не се включват тук, а се въвеждат в точка f).xiii по-долу.</v>
      </c>
      <c r="G618" s="2839"/>
      <c r="H618" s="2839"/>
      <c r="I618" s="2839"/>
      <c r="J618" s="2839"/>
      <c r="K618" s="2839"/>
      <c r="L618" s="2839"/>
      <c r="M618" s="2839"/>
      <c r="N618" s="2840"/>
      <c r="O618" s="336"/>
      <c r="P618" s="336"/>
      <c r="Q618" s="770"/>
      <c r="R618" s="694"/>
      <c r="S618" s="770"/>
      <c r="T618" s="694"/>
      <c r="U618" s="694"/>
      <c r="V618" s="694"/>
      <c r="W618" s="694"/>
      <c r="X618" s="694"/>
      <c r="Y618" s="694"/>
      <c r="Z618" s="694"/>
      <c r="AA618" s="694"/>
      <c r="AB618" s="729"/>
      <c r="AC618" s="694"/>
      <c r="AD618" s="694"/>
      <c r="AE618" s="343"/>
      <c r="AF618" s="343"/>
      <c r="AG618" s="343"/>
      <c r="AH618" s="343"/>
      <c r="AI618" s="343"/>
      <c r="AJ618" s="343"/>
      <c r="AK618" s="343"/>
      <c r="AL618" s="343"/>
      <c r="AM618" s="343"/>
    </row>
    <row r="619" spans="1:39" ht="12.75" customHeight="1" thickBot="1" x14ac:dyDescent="0.3">
      <c r="A619" s="694"/>
      <c r="B619" s="284"/>
      <c r="C619" s="1496"/>
      <c r="D619" s="1307"/>
      <c r="E619" s="1317" t="str">
        <f>Translations!$B$486</f>
        <v>Общо преки емисии</v>
      </c>
      <c r="F619" s="1318"/>
      <c r="G619" s="1309" t="str">
        <f>EUconst_Unit</f>
        <v>Единица мярка</v>
      </c>
      <c r="H619" s="629">
        <f t="shared" ref="H619:N619" si="799">H$1840</f>
        <v>2024</v>
      </c>
      <c r="I619" s="629">
        <f t="shared" si="799"/>
        <v>2025</v>
      </c>
      <c r="J619" s="629">
        <f t="shared" si="799"/>
        <v>2026</v>
      </c>
      <c r="K619" s="629">
        <f t="shared" si="799"/>
        <v>2027</v>
      </c>
      <c r="L619" s="629">
        <f t="shared" si="799"/>
        <v>2028</v>
      </c>
      <c r="M619" s="629">
        <f t="shared" si="799"/>
        <v>2029</v>
      </c>
      <c r="N619" s="1312">
        <f t="shared" si="799"/>
        <v>2030</v>
      </c>
      <c r="O619" s="336"/>
      <c r="P619" s="336"/>
      <c r="Q619" s="770"/>
      <c r="R619" s="694"/>
      <c r="S619" s="1499"/>
      <c r="T619" s="1313">
        <f t="shared" ref="T619" si="800">H619</f>
        <v>2024</v>
      </c>
      <c r="U619" s="1313">
        <f t="shared" ref="U619" si="801">I619</f>
        <v>2025</v>
      </c>
      <c r="V619" s="1313">
        <f t="shared" ref="V619" si="802">J619</f>
        <v>2026</v>
      </c>
      <c r="W619" s="1313">
        <f t="shared" ref="W619" si="803">K619</f>
        <v>2027</v>
      </c>
      <c r="X619" s="1313">
        <f t="shared" ref="X619" si="804">L619</f>
        <v>2028</v>
      </c>
      <c r="Y619" s="1313">
        <f t="shared" ref="Y619" si="805">M619</f>
        <v>2029</v>
      </c>
      <c r="Z619" s="1314">
        <f t="shared" ref="Z619" si="806">N619</f>
        <v>2030</v>
      </c>
      <c r="AA619" s="694"/>
      <c r="AB619" s="694"/>
      <c r="AC619" s="1178">
        <f>H$1840</f>
        <v>2024</v>
      </c>
      <c r="AD619" s="1178">
        <f t="shared" ref="AD619" si="807">I$1840</f>
        <v>2025</v>
      </c>
      <c r="AE619" s="1178">
        <f t="shared" ref="AE619" si="808">J$1840</f>
        <v>2026</v>
      </c>
      <c r="AF619" s="1178">
        <f t="shared" ref="AF619" si="809">K$1840</f>
        <v>2027</v>
      </c>
      <c r="AG619" s="1178">
        <f t="shared" ref="AG619" si="810">L$1840</f>
        <v>2028</v>
      </c>
      <c r="AH619" s="1178">
        <f t="shared" ref="AH619" si="811">M$1840</f>
        <v>2029</v>
      </c>
      <c r="AI619" s="1178">
        <f t="shared" ref="AI619" si="812">N$1840</f>
        <v>2030</v>
      </c>
      <c r="AJ619" s="343"/>
      <c r="AK619" s="343"/>
      <c r="AL619" s="343"/>
      <c r="AM619" s="343"/>
    </row>
    <row r="620" spans="1:39" ht="12.75" customHeight="1" thickBot="1" x14ac:dyDescent="0.35">
      <c r="A620" s="694"/>
      <c r="B620" s="284"/>
      <c r="C620" s="1496"/>
      <c r="D620" s="1497"/>
      <c r="E620" s="2814" t="str">
        <f>I459</f>
        <v>Подинсталация с топлинен показател (с риск от ИВЕ | в рамките на МКВЕГ)</v>
      </c>
      <c r="F620" s="2814"/>
      <c r="G620" s="642" t="str">
        <f>EUconst_tCO2epa</f>
        <v>t CO2e/година</v>
      </c>
      <c r="H620" s="179"/>
      <c r="I620" s="179"/>
      <c r="J620" s="179"/>
      <c r="K620" s="179"/>
      <c r="L620" s="179"/>
      <c r="M620" s="179"/>
      <c r="N620" s="180"/>
      <c r="O620" s="336"/>
      <c r="P620" s="158"/>
      <c r="Q620" s="1500" t="str">
        <f>EUconst_CNTR_Emissions &amp; I459</f>
        <v>DirEmissions_Подинсталация с топлинен показател (с риск от ИВЕ | в рамките на МКВЕГ)</v>
      </c>
      <c r="R620" s="694"/>
      <c r="S620" s="1501" t="str">
        <f>EUconst_CNTR_AttributedEmissions &amp; I459</f>
        <v>AttrEmissions_Подинсталация с топлинен показател (с риск от ИВЕ | в рамките на МКВЕГ)</v>
      </c>
      <c r="T620" s="1290" t="str">
        <f t="shared" ref="T620" si="813">IF(T467,SUM(H620),"")</f>
        <v/>
      </c>
      <c r="U620" s="1290" t="str">
        <f t="shared" ref="U620" si="814">IF(U467,SUM(I620),"")</f>
        <v/>
      </c>
      <c r="V620" s="1290" t="str">
        <f t="shared" ref="V620" si="815">IF(V467,SUM(J620),"")</f>
        <v/>
      </c>
      <c r="W620" s="1290" t="str">
        <f t="shared" ref="W620" si="816">IF(W467,SUM(K620),"")</f>
        <v/>
      </c>
      <c r="X620" s="1290" t="str">
        <f t="shared" ref="X620" si="817">IF(X467,SUM(L620),"")</f>
        <v/>
      </c>
      <c r="Y620" s="1290" t="str">
        <f t="shared" ref="Y620" si="818">IF(Y467,SUM(M620),"")</f>
        <v/>
      </c>
      <c r="Z620" s="1291" t="str">
        <f t="shared" ref="Z620" si="819">IF(Z467,SUM(N620),"")</f>
        <v/>
      </c>
      <c r="AA620" s="694"/>
      <c r="AB620" s="1182" t="s">
        <v>737</v>
      </c>
      <c r="AC620" s="1183" t="b">
        <f t="shared" ref="AC620:AI620" si="820">IF(CNTR_ExistSubInstEntries,OR($M459&lt;&gt;EUconst_Relevant,AC619&gt;=CNTR_ReportingYear,AC619&lt;$V459-1),FALSE)</f>
        <v>0</v>
      </c>
      <c r="AD620" s="1184" t="b">
        <f t="shared" si="820"/>
        <v>0</v>
      </c>
      <c r="AE620" s="1184" t="b">
        <f t="shared" si="820"/>
        <v>0</v>
      </c>
      <c r="AF620" s="1184" t="b">
        <f t="shared" si="820"/>
        <v>0</v>
      </c>
      <c r="AG620" s="1184" t="b">
        <f t="shared" si="820"/>
        <v>0</v>
      </c>
      <c r="AH620" s="1184" t="b">
        <f t="shared" si="820"/>
        <v>0</v>
      </c>
      <c r="AI620" s="1185" t="b">
        <f t="shared" si="820"/>
        <v>0</v>
      </c>
      <c r="AJ620" s="343"/>
      <c r="AK620" s="1174" t="s">
        <v>2039</v>
      </c>
      <c r="AL620" s="1176" t="str">
        <f>IF(AND(CNTR_ExistSubInstEntries,COUNTIFS(AC620:AI620,2,H620:N620,"")&gt;0),EUconst_Error&amp;"FB"&amp;Q459,"")</f>
        <v/>
      </c>
      <c r="AM620" s="343"/>
    </row>
    <row r="621" spans="1:39" ht="5.15" customHeight="1" x14ac:dyDescent="0.25">
      <c r="A621" s="694"/>
      <c r="B621" s="284"/>
      <c r="C621" s="1496"/>
      <c r="D621" s="1497"/>
      <c r="E621" s="1497"/>
      <c r="F621" s="1497"/>
      <c r="G621" s="1497"/>
      <c r="H621" s="1497"/>
      <c r="I621" s="1497"/>
      <c r="J621" s="1497"/>
      <c r="K621" s="1497"/>
      <c r="L621" s="1497"/>
      <c r="M621" s="1502"/>
      <c r="N621" s="1503"/>
      <c r="O621" s="336"/>
      <c r="P621" s="336"/>
      <c r="Q621" s="770"/>
      <c r="R621" s="694"/>
      <c r="S621" s="770"/>
      <c r="T621" s="694"/>
      <c r="U621" s="694"/>
      <c r="V621" s="694"/>
      <c r="W621" s="694"/>
      <c r="X621" s="694"/>
      <c r="Y621" s="694"/>
      <c r="Z621" s="694"/>
      <c r="AA621" s="694"/>
      <c r="AB621" s="729"/>
      <c r="AC621" s="694"/>
      <c r="AD621" s="694"/>
      <c r="AE621" s="343"/>
      <c r="AF621" s="343"/>
      <c r="AG621" s="343"/>
      <c r="AH621" s="343"/>
      <c r="AI621" s="343"/>
      <c r="AJ621" s="343"/>
      <c r="AK621" s="343"/>
      <c r="AL621" s="343"/>
      <c r="AM621" s="343"/>
    </row>
    <row r="622" spans="1:39" ht="12.75" customHeight="1" x14ac:dyDescent="0.25">
      <c r="A622" s="694"/>
      <c r="B622" s="284"/>
      <c r="C622" s="1496"/>
      <c r="D622" s="1307" t="s">
        <v>906</v>
      </c>
      <c r="E622" s="2815" t="str">
        <f>Translations!$B$1524</f>
        <v>Вложена енергия в тази подинсталация и съответен емисионен фактор</v>
      </c>
      <c r="F622" s="2815"/>
      <c r="G622" s="2815"/>
      <c r="H622" s="2815"/>
      <c r="I622" s="2815"/>
      <c r="J622" s="2815"/>
      <c r="K622" s="2815"/>
      <c r="L622" s="2815"/>
      <c r="M622" s="2815"/>
      <c r="N622" s="2932"/>
      <c r="O622" s="336"/>
      <c r="P622" s="336"/>
      <c r="Q622" s="694"/>
      <c r="R622" s="694"/>
      <c r="S622" s="770"/>
      <c r="T622" s="694"/>
      <c r="U622" s="694"/>
      <c r="V622" s="694"/>
      <c r="W622" s="694"/>
      <c r="X622" s="694"/>
      <c r="Y622" s="694"/>
      <c r="Z622" s="694"/>
      <c r="AA622" s="694"/>
      <c r="AB622" s="729"/>
      <c r="AC622" s="694"/>
      <c r="AD622" s="694"/>
      <c r="AE622" s="343"/>
      <c r="AF622" s="343"/>
      <c r="AG622" s="343"/>
      <c r="AH622" s="343"/>
      <c r="AI622" s="343"/>
      <c r="AJ622" s="343"/>
      <c r="AK622" s="343"/>
      <c r="AL622" s="343"/>
      <c r="AM622" s="343"/>
    </row>
    <row r="623" spans="1:39" ht="25.5" customHeight="1" x14ac:dyDescent="0.25">
      <c r="A623" s="694"/>
      <c r="B623" s="284"/>
      <c r="C623" s="1496"/>
      <c r="D623" s="1497"/>
      <c r="E623" s="2838" t="str">
        <f>Translations!$B$1552</f>
        <v>Съгласно изискванията в приложение IV, раздел 2.4, буква а) към ПБР посочете вложената енергия от горива, материали (например екзотермична топлина) и електроенергия, използвана за производството на топлинна енергия, в съответствие с данните на равнище инсталация, въведени в раздел E.I.1.a, и съответния претеглен емисионен фактор, като вземете предвид съответното енергийно съдържание.</v>
      </c>
      <c r="F623" s="2851"/>
      <c r="G623" s="2851"/>
      <c r="H623" s="2851"/>
      <c r="I623" s="2851"/>
      <c r="J623" s="2851"/>
      <c r="K623" s="2851"/>
      <c r="L623" s="2851"/>
      <c r="M623" s="2851"/>
      <c r="N623" s="2852"/>
      <c r="O623" s="336"/>
      <c r="P623" s="336"/>
      <c r="Q623" s="770"/>
      <c r="R623" s="770"/>
      <c r="S623" s="770"/>
      <c r="T623" s="694"/>
      <c r="U623" s="694"/>
      <c r="V623" s="694"/>
      <c r="W623" s="694"/>
      <c r="X623" s="694"/>
      <c r="Y623" s="694"/>
      <c r="Z623" s="694"/>
      <c r="AA623" s="694"/>
      <c r="AB623" s="729"/>
      <c r="AC623" s="694"/>
      <c r="AD623" s="694"/>
      <c r="AE623" s="343"/>
      <c r="AF623" s="343"/>
      <c r="AG623" s="343"/>
      <c r="AH623" s="343"/>
      <c r="AI623" s="343"/>
      <c r="AJ623" s="343"/>
      <c r="AK623" s="343"/>
      <c r="AL623" s="343"/>
      <c r="AM623" s="343"/>
    </row>
    <row r="624" spans="1:39" ht="25.5" customHeight="1" x14ac:dyDescent="0.25">
      <c r="A624" s="694"/>
      <c r="B624" s="284"/>
      <c r="C624" s="1496"/>
      <c r="D624" s="1497"/>
      <c r="E624" s="2838" t="str">
        <f>Translations!$B$633</f>
        <v>Терминът „гориво“ следва да се тълкува като всеки запалим пораждащ емисии поток съгласно РМД, за който може да се установи долната топлина на изгаряне. Претегленият емисионен фактор съответства на натрупаните емисии от горива, включително тези, използвани за производство на измерима топлинна енергия, разделени на общото енергийно съдържание.</v>
      </c>
      <c r="F624" s="2851"/>
      <c r="G624" s="2851"/>
      <c r="H624" s="2851"/>
      <c r="I624" s="2851"/>
      <c r="J624" s="2851"/>
      <c r="K624" s="2851"/>
      <c r="L624" s="2851"/>
      <c r="M624" s="2851"/>
      <c r="N624" s="2852"/>
      <c r="O624" s="336"/>
      <c r="P624" s="336"/>
      <c r="Q624" s="770"/>
      <c r="R624" s="694"/>
      <c r="S624" s="770"/>
      <c r="T624" s="694"/>
      <c r="U624" s="694"/>
      <c r="V624" s="694"/>
      <c r="W624" s="694"/>
      <c r="X624" s="694"/>
      <c r="Y624" s="694"/>
      <c r="Z624" s="694"/>
      <c r="AA624" s="694"/>
      <c r="AB624" s="729"/>
      <c r="AC624" s="694"/>
      <c r="AD624" s="694"/>
      <c r="AE624" s="343"/>
      <c r="AF624" s="343"/>
      <c r="AG624" s="343"/>
      <c r="AH624" s="343"/>
      <c r="AI624" s="343"/>
      <c r="AJ624" s="343"/>
      <c r="AK624" s="343"/>
      <c r="AL624" s="343"/>
      <c r="AM624" s="343"/>
    </row>
    <row r="625" spans="1:39" ht="12.75" customHeight="1" x14ac:dyDescent="0.25">
      <c r="A625" s="694"/>
      <c r="B625" s="284"/>
      <c r="C625" s="1496"/>
      <c r="D625" s="1497"/>
      <c r="E625" s="2838" t="str">
        <f>Translations!$B$519</f>
        <v>Претегленият емисионен фактор следва също така да включва и емисии от съответното очистване на димни газове, ако е приложимо.</v>
      </c>
      <c r="F625" s="2851"/>
      <c r="G625" s="2851"/>
      <c r="H625" s="2851"/>
      <c r="I625" s="2851"/>
      <c r="J625" s="2851"/>
      <c r="K625" s="2851"/>
      <c r="L625" s="2851"/>
      <c r="M625" s="2851"/>
      <c r="N625" s="2852"/>
      <c r="O625" s="336"/>
      <c r="P625" s="336"/>
      <c r="Q625" s="770"/>
      <c r="R625" s="694"/>
      <c r="S625" s="770"/>
      <c r="T625" s="694"/>
      <c r="U625" s="694"/>
      <c r="V625" s="694"/>
      <c r="W625" s="694"/>
      <c r="X625" s="694"/>
      <c r="Y625" s="694"/>
      <c r="Z625" s="694"/>
      <c r="AA625" s="694"/>
      <c r="AB625" s="729"/>
      <c r="AC625" s="694"/>
      <c r="AD625" s="694"/>
      <c r="AE625" s="343"/>
      <c r="AF625" s="343"/>
      <c r="AG625" s="343"/>
      <c r="AH625" s="343"/>
      <c r="AI625" s="343"/>
      <c r="AJ625" s="343"/>
      <c r="AK625" s="343"/>
      <c r="AL625" s="343"/>
      <c r="AM625" s="343"/>
    </row>
    <row r="626" spans="1:39" ht="12.75" customHeight="1" x14ac:dyDescent="0.25">
      <c r="A626" s="694"/>
      <c r="B626" s="284"/>
      <c r="C626" s="1496"/>
      <c r="D626" s="1497"/>
      <c r="E626" s="2838" t="str">
        <f>Translations!$B$634</f>
        <v>Вложените горива от отпадни газове включват съответната вложена енергия за производство на измеримата топлинна енергия, използвана от тази подинсталация.</v>
      </c>
      <c r="F626" s="2851"/>
      <c r="G626" s="2851"/>
      <c r="H626" s="2851"/>
      <c r="I626" s="2851"/>
      <c r="J626" s="2851"/>
      <c r="K626" s="2851"/>
      <c r="L626" s="2851"/>
      <c r="M626" s="2851"/>
      <c r="N626" s="2852"/>
      <c r="O626" s="336"/>
      <c r="P626" s="336"/>
      <c r="Q626" s="770"/>
      <c r="R626" s="694"/>
      <c r="S626" s="770"/>
      <c r="T626" s="694"/>
      <c r="U626" s="694"/>
      <c r="V626" s="694"/>
      <c r="W626" s="694"/>
      <c r="X626" s="694"/>
      <c r="Y626" s="694"/>
      <c r="Z626" s="694"/>
      <c r="AA626" s="694"/>
      <c r="AB626" s="729"/>
      <c r="AC626" s="694"/>
      <c r="AD626" s="694"/>
      <c r="AE626" s="343"/>
      <c r="AF626" s="343"/>
      <c r="AG626" s="343"/>
      <c r="AH626" s="343"/>
      <c r="AI626" s="343"/>
      <c r="AJ626" s="343"/>
      <c r="AK626" s="343"/>
      <c r="AL626" s="343"/>
      <c r="AM626" s="343"/>
    </row>
    <row r="627" spans="1:39" ht="12.75" customHeight="1" x14ac:dyDescent="0.25">
      <c r="A627" s="694"/>
      <c r="B627" s="284"/>
      <c r="C627" s="1496"/>
      <c r="D627" s="1497"/>
      <c r="E627" s="2838" t="str">
        <f>Translations!$B$635</f>
        <v>Въведените тук стойности се използват при баланса на отпадните газове в раздел E.III.h.</v>
      </c>
      <c r="F627" s="2851"/>
      <c r="G627" s="2851"/>
      <c r="H627" s="2851"/>
      <c r="I627" s="2851"/>
      <c r="J627" s="2851"/>
      <c r="K627" s="2851"/>
      <c r="L627" s="2851"/>
      <c r="M627" s="2851"/>
      <c r="N627" s="2852"/>
      <c r="O627" s="336"/>
      <c r="P627" s="336"/>
      <c r="Q627" s="770"/>
      <c r="R627" s="694"/>
      <c r="S627" s="770"/>
      <c r="T627" s="694"/>
      <c r="U627" s="694"/>
      <c r="V627" s="694"/>
      <c r="W627" s="694"/>
      <c r="X627" s="694"/>
      <c r="Y627" s="694"/>
      <c r="Z627" s="694"/>
      <c r="AA627" s="694"/>
      <c r="AB627" s="729"/>
      <c r="AC627" s="694"/>
      <c r="AD627" s="694"/>
      <c r="AE627" s="343"/>
      <c r="AF627" s="343"/>
      <c r="AG627" s="343"/>
      <c r="AH627" s="343"/>
      <c r="AI627" s="343"/>
      <c r="AJ627" s="343"/>
      <c r="AK627" s="343"/>
      <c r="AL627" s="343"/>
      <c r="AM627" s="343"/>
    </row>
    <row r="628" spans="1:39" ht="12.75" customHeight="1" x14ac:dyDescent="0.25">
      <c r="A628" s="694"/>
      <c r="B628" s="284"/>
      <c r="C628" s="1496"/>
      <c r="D628" s="1497"/>
      <c r="E628" s="2853" t="str">
        <f>Translations!$B$520</f>
        <v>Посочените тук данни се използват само с цел проверка на съответствието и нямат пряко отражение върху емисиите, които могат да бъдат зададени, или на разпределението на квотите.</v>
      </c>
      <c r="F628" s="2850"/>
      <c r="G628" s="2850"/>
      <c r="H628" s="2850"/>
      <c r="I628" s="2850"/>
      <c r="J628" s="2850"/>
      <c r="K628" s="2850"/>
      <c r="L628" s="2850"/>
      <c r="M628" s="2850"/>
      <c r="N628" s="2854"/>
      <c r="O628" s="336"/>
      <c r="P628" s="336"/>
      <c r="Q628" s="770"/>
      <c r="R628" s="694"/>
      <c r="S628" s="770"/>
      <c r="T628" s="694"/>
      <c r="U628" s="694"/>
      <c r="V628" s="694"/>
      <c r="W628" s="694"/>
      <c r="X628" s="694"/>
      <c r="Y628" s="694"/>
      <c r="Z628" s="694"/>
      <c r="AA628" s="694"/>
      <c r="AB628" s="729"/>
      <c r="AC628" s="694"/>
      <c r="AD628" s="694"/>
      <c r="AE628" s="343"/>
      <c r="AF628" s="343"/>
      <c r="AG628" s="343"/>
      <c r="AH628" s="343"/>
      <c r="AI628" s="343"/>
      <c r="AJ628" s="343"/>
      <c r="AK628" s="343"/>
      <c r="AL628" s="343"/>
      <c r="AM628" s="343"/>
    </row>
    <row r="629" spans="1:39" ht="12.75" customHeight="1" x14ac:dyDescent="0.25">
      <c r="A629" s="694"/>
      <c r="B629" s="284"/>
      <c r="C629" s="1496"/>
      <c r="D629" s="1307"/>
      <c r="E629" s="1317"/>
      <c r="F629" s="1318"/>
      <c r="G629" s="1309" t="str">
        <f>EUconst_Unit</f>
        <v>Единица мярка</v>
      </c>
      <c r="H629" s="629">
        <f t="shared" ref="H629:N629" si="821">H$1840</f>
        <v>2024</v>
      </c>
      <c r="I629" s="629">
        <f t="shared" si="821"/>
        <v>2025</v>
      </c>
      <c r="J629" s="629">
        <f t="shared" si="821"/>
        <v>2026</v>
      </c>
      <c r="K629" s="629">
        <f t="shared" si="821"/>
        <v>2027</v>
      </c>
      <c r="L629" s="629">
        <f t="shared" si="821"/>
        <v>2028</v>
      </c>
      <c r="M629" s="629">
        <f t="shared" si="821"/>
        <v>2029</v>
      </c>
      <c r="N629" s="1312">
        <f t="shared" si="821"/>
        <v>2030</v>
      </c>
      <c r="O629" s="336"/>
      <c r="P629" s="336"/>
      <c r="Q629" s="770"/>
      <c r="R629" s="694"/>
      <c r="S629" s="770"/>
      <c r="T629" s="694"/>
      <c r="U629" s="694"/>
      <c r="V629" s="694"/>
      <c r="W629" s="694"/>
      <c r="X629" s="694"/>
      <c r="Y629" s="694"/>
      <c r="Z629" s="694"/>
      <c r="AA629" s="694"/>
      <c r="AB629" s="694"/>
      <c r="AC629" s="1504">
        <f t="shared" ref="AC629" si="822">H$1840</f>
        <v>2024</v>
      </c>
      <c r="AD629" s="1504">
        <f t="shared" ref="AD629" si="823">I$1840</f>
        <v>2025</v>
      </c>
      <c r="AE629" s="1504">
        <f t="shared" ref="AE629" si="824">J$1840</f>
        <v>2026</v>
      </c>
      <c r="AF629" s="1504">
        <f t="shared" ref="AF629" si="825">K$1840</f>
        <v>2027</v>
      </c>
      <c r="AG629" s="1504">
        <f t="shared" ref="AG629" si="826">L$1840</f>
        <v>2028</v>
      </c>
      <c r="AH629" s="1504">
        <f t="shared" ref="AH629" si="827">M$1840</f>
        <v>2029</v>
      </c>
      <c r="AI629" s="1504">
        <f t="shared" ref="AI629" si="828">N$1840</f>
        <v>2030</v>
      </c>
      <c r="AJ629" s="343"/>
      <c r="AK629" s="343"/>
      <c r="AL629" s="343"/>
      <c r="AM629" s="343"/>
    </row>
    <row r="630" spans="1:39" ht="12.75" customHeight="1" x14ac:dyDescent="0.25">
      <c r="A630" s="694"/>
      <c r="B630" s="284"/>
      <c r="C630" s="1496"/>
      <c r="D630" s="1505" t="s">
        <v>6</v>
      </c>
      <c r="E630" s="2818" t="str">
        <f>Translations!$B$636</f>
        <v>Общо вложени горива</v>
      </c>
      <c r="F630" s="2701"/>
      <c r="G630" s="1326" t="str">
        <f>EUconst_TJpa</f>
        <v>TJ / година</v>
      </c>
      <c r="H630" s="129"/>
      <c r="I630" s="129"/>
      <c r="J630" s="129"/>
      <c r="K630" s="129"/>
      <c r="L630" s="129"/>
      <c r="M630" s="129"/>
      <c r="N630" s="132"/>
      <c r="O630" s="336"/>
      <c r="P630" s="158"/>
      <c r="Q630" s="1500" t="str">
        <f>EUconst_CNTR_FuelInput &amp; I459</f>
        <v>FuelInput_Подинсталация с топлинен показател (с риск от ИВЕ | в рамките на МКВЕГ)</v>
      </c>
      <c r="R630" s="694"/>
      <c r="S630" s="770"/>
      <c r="T630" s="694"/>
      <c r="U630" s="694"/>
      <c r="V630" s="694"/>
      <c r="W630" s="694"/>
      <c r="X630" s="694"/>
      <c r="Y630" s="694"/>
      <c r="Z630" s="694"/>
      <c r="AA630" s="694"/>
      <c r="AB630" s="1182" t="s">
        <v>737</v>
      </c>
      <c r="AC630" s="982" t="b">
        <f>AC620</f>
        <v>0</v>
      </c>
      <c r="AD630" s="982" t="b">
        <f t="shared" ref="AD630:AI630" si="829">AD620</f>
        <v>0</v>
      </c>
      <c r="AE630" s="982" t="b">
        <f t="shared" si="829"/>
        <v>0</v>
      </c>
      <c r="AF630" s="982" t="b">
        <f t="shared" si="829"/>
        <v>0</v>
      </c>
      <c r="AG630" s="982" t="b">
        <f t="shared" si="829"/>
        <v>0</v>
      </c>
      <c r="AH630" s="982" t="b">
        <f t="shared" si="829"/>
        <v>0</v>
      </c>
      <c r="AI630" s="982" t="b">
        <f t="shared" si="829"/>
        <v>0</v>
      </c>
      <c r="AJ630" s="343"/>
      <c r="AK630" s="343"/>
      <c r="AL630" s="1176" t="str">
        <f>IF(AND(CNTR_ExistSubInstEntries,COUNTIFS(AC630:AI630,2,H630:N630,"")&gt;0),EUconst_Error&amp;"FB"&amp;Q459,"")</f>
        <v/>
      </c>
      <c r="AM630" s="343"/>
    </row>
    <row r="631" spans="1:39" ht="12.75" customHeight="1" x14ac:dyDescent="0.25">
      <c r="A631" s="694"/>
      <c r="B631" s="284"/>
      <c r="C631" s="1496"/>
      <c r="D631" s="1505" t="s">
        <v>7</v>
      </c>
      <c r="E631" s="2819" t="str">
        <f>Translations!$B$522</f>
        <v>Претеглен емисионен фактор</v>
      </c>
      <c r="F631" s="2705"/>
      <c r="G631" s="1329" t="str">
        <f>EUconst_tCO2pTJ</f>
        <v>t CO2 / TJ</v>
      </c>
      <c r="H631" s="137"/>
      <c r="I631" s="137"/>
      <c r="J631" s="137"/>
      <c r="K631" s="137"/>
      <c r="L631" s="137"/>
      <c r="M631" s="137"/>
      <c r="N631" s="140"/>
      <c r="O631" s="336"/>
      <c r="P631" s="158"/>
      <c r="Q631" s="1500" t="str">
        <f>EUconst_CNTR_FuelEF &amp; I459</f>
        <v>FuelEF_Подинсталация с топлинен показател (с риск от ИВЕ | в рамките на МКВЕГ)</v>
      </c>
      <c r="R631" s="694"/>
      <c r="S631" s="770"/>
      <c r="T631" s="694"/>
      <c r="U631" s="694"/>
      <c r="V631" s="694"/>
      <c r="W631" s="694"/>
      <c r="X631" s="694"/>
      <c r="Y631" s="694"/>
      <c r="Z631" s="694"/>
      <c r="AA631" s="694"/>
      <c r="AB631" s="729"/>
      <c r="AC631" s="982" t="b">
        <f>AC630</f>
        <v>0</v>
      </c>
      <c r="AD631" s="982" t="b">
        <f t="shared" ref="AD631:AI631" si="830">AD630</f>
        <v>0</v>
      </c>
      <c r="AE631" s="982" t="b">
        <f t="shared" si="830"/>
        <v>0</v>
      </c>
      <c r="AF631" s="982" t="b">
        <f t="shared" si="830"/>
        <v>0</v>
      </c>
      <c r="AG631" s="982" t="b">
        <f t="shared" si="830"/>
        <v>0</v>
      </c>
      <c r="AH631" s="982" t="b">
        <f t="shared" si="830"/>
        <v>0</v>
      </c>
      <c r="AI631" s="982" t="b">
        <f t="shared" si="830"/>
        <v>0</v>
      </c>
      <c r="AJ631" s="343"/>
      <c r="AK631" s="343"/>
      <c r="AL631" s="1176" t="str">
        <f>IF(AND(CNTR_ExistSubInstEntries,COUNTIFS(AC631:AI631,2,H631:N631,"")&gt;0),EUconst_Error&amp;"FB"&amp;Q459,"")</f>
        <v/>
      </c>
      <c r="AM631" s="343"/>
    </row>
    <row r="632" spans="1:39" ht="12.75" customHeight="1" x14ac:dyDescent="0.25">
      <c r="A632" s="694"/>
      <c r="B632" s="284"/>
      <c r="C632" s="1496"/>
      <c r="D632" s="1505" t="s">
        <v>8</v>
      </c>
      <c r="E632" s="2818" t="str">
        <f>Translations!$B$637</f>
        <v>Вложени горива от отпадни газове</v>
      </c>
      <c r="F632" s="2701"/>
      <c r="G632" s="1326" t="str">
        <f>EUconst_TJpa</f>
        <v>TJ / година</v>
      </c>
      <c r="H632" s="129"/>
      <c r="I632" s="129"/>
      <c r="J632" s="129"/>
      <c r="K632" s="129"/>
      <c r="L632" s="129"/>
      <c r="M632" s="129"/>
      <c r="N632" s="132"/>
      <c r="O632" s="336"/>
      <c r="P632" s="158"/>
      <c r="Q632" s="716" t="str">
        <f>EUconst_CNTR_WGConsumed &amp; I459</f>
        <v>WasteGasCons_Подинсталация с топлинен показател (с риск от ИВЕ | в рамките на МКВЕГ)</v>
      </c>
      <c r="R632" s="694"/>
      <c r="S632" s="770"/>
      <c r="T632" s="694"/>
      <c r="U632" s="694"/>
      <c r="V632" s="694"/>
      <c r="W632" s="694"/>
      <c r="X632" s="694"/>
      <c r="Y632" s="694"/>
      <c r="Z632" s="694"/>
      <c r="AA632" s="694"/>
      <c r="AB632" s="729"/>
      <c r="AC632" s="982" t="b">
        <f t="shared" ref="AC632:AI632" si="831">AC630</f>
        <v>0</v>
      </c>
      <c r="AD632" s="982" t="b">
        <f t="shared" si="831"/>
        <v>0</v>
      </c>
      <c r="AE632" s="982" t="b">
        <f t="shared" si="831"/>
        <v>0</v>
      </c>
      <c r="AF632" s="982" t="b">
        <f t="shared" si="831"/>
        <v>0</v>
      </c>
      <c r="AG632" s="982" t="b">
        <f t="shared" si="831"/>
        <v>0</v>
      </c>
      <c r="AH632" s="982" t="b">
        <f t="shared" si="831"/>
        <v>0</v>
      </c>
      <c r="AI632" s="982" t="b">
        <f t="shared" si="831"/>
        <v>0</v>
      </c>
      <c r="AJ632" s="343"/>
      <c r="AK632" s="343"/>
      <c r="AL632" s="1176" t="str">
        <f>IF(AND(CNTR_ExistSubInstEntries,COUNTIFS(AC632:AI632,2,H632:N632,"")&gt;0),EUconst_Error&amp;"FB"&amp;Q459,"")</f>
        <v/>
      </c>
      <c r="AM632" s="343"/>
    </row>
    <row r="633" spans="1:39" ht="12.75" customHeight="1" x14ac:dyDescent="0.25">
      <c r="A633" s="694"/>
      <c r="B633" s="284"/>
      <c r="C633" s="1496"/>
      <c r="D633" s="1505" t="s">
        <v>18</v>
      </c>
      <c r="E633" s="2819" t="str">
        <f>Translations!$B$638</f>
        <v>Специфичен EF (отпаден газ)</v>
      </c>
      <c r="F633" s="2705"/>
      <c r="G633" s="1329" t="str">
        <f t="shared" ref="G633:G637" si="832">EUconst_tCO2pTJ</f>
        <v>t CO2 / TJ</v>
      </c>
      <c r="H633" s="137"/>
      <c r="I633" s="137"/>
      <c r="J633" s="137"/>
      <c r="K633" s="137"/>
      <c r="L633" s="137"/>
      <c r="M633" s="137"/>
      <c r="N633" s="140"/>
      <c r="O633" s="336"/>
      <c r="P633" s="158"/>
      <c r="Q633" s="1500" t="str">
        <f>EUconst_CNTR_WGConsumedEF &amp; I459</f>
        <v>WasteGasConsEF_Подинсталация с топлинен показател (с риск от ИВЕ | в рамките на МКВЕГ)</v>
      </c>
      <c r="R633" s="694"/>
      <c r="S633" s="770"/>
      <c r="T633" s="694"/>
      <c r="U633" s="694"/>
      <c r="V633" s="694"/>
      <c r="W633" s="694"/>
      <c r="X633" s="694"/>
      <c r="Y633" s="694"/>
      <c r="Z633" s="694"/>
      <c r="AA633" s="694"/>
      <c r="AB633" s="729"/>
      <c r="AC633" s="982" t="b">
        <f t="shared" ref="AC633:AI633" si="833">AC631</f>
        <v>0</v>
      </c>
      <c r="AD633" s="982" t="b">
        <f t="shared" si="833"/>
        <v>0</v>
      </c>
      <c r="AE633" s="982" t="b">
        <f t="shared" si="833"/>
        <v>0</v>
      </c>
      <c r="AF633" s="982" t="b">
        <f t="shared" si="833"/>
        <v>0</v>
      </c>
      <c r="AG633" s="982" t="b">
        <f t="shared" si="833"/>
        <v>0</v>
      </c>
      <c r="AH633" s="982" t="b">
        <f t="shared" si="833"/>
        <v>0</v>
      </c>
      <c r="AI633" s="982" t="b">
        <f t="shared" si="833"/>
        <v>0</v>
      </c>
      <c r="AJ633" s="343"/>
      <c r="AK633" s="343"/>
      <c r="AL633" s="1176" t="str">
        <f t="shared" ref="AL633:AL638" si="834">IF(AND(CNTR_ExistSubInstEntries,COUNTIFS(AC633:AI633,2,H633:N633,"")&gt;0),EUconst_Error&amp;"FB"&amp;Q459,"")</f>
        <v/>
      </c>
      <c r="AM633" s="343"/>
    </row>
    <row r="634" spans="1:39" ht="12.75" customHeight="1" x14ac:dyDescent="0.25">
      <c r="A634" s="694"/>
      <c r="B634" s="284"/>
      <c r="C634" s="1496"/>
      <c r="D634" s="1505" t="s">
        <v>810</v>
      </c>
      <c r="E634" s="2818" t="str">
        <f>Translations!$B$1475</f>
        <v>Вложена електроенергия за производството на топлинна енергия</v>
      </c>
      <c r="F634" s="2701"/>
      <c r="G634" s="1326" t="str">
        <f>EUconst_TJpa</f>
        <v>TJ / година</v>
      </c>
      <c r="H634" s="129"/>
      <c r="I634" s="129"/>
      <c r="J634" s="129"/>
      <c r="K634" s="129"/>
      <c r="L634" s="129"/>
      <c r="M634" s="129"/>
      <c r="N634" s="132"/>
      <c r="O634" s="336"/>
      <c r="P634" s="158"/>
      <c r="Q634" s="1500" t="str">
        <f>EUconst_CNTR_ElectricityInput&amp;I459</f>
        <v>ElectricityInput_Подинсталация с топлинен показател (с риск от ИВЕ | в рамките на МКВЕГ)</v>
      </c>
      <c r="R634" s="694"/>
      <c r="S634" s="770"/>
      <c r="T634" s="694"/>
      <c r="U634" s="694"/>
      <c r="V634" s="694"/>
      <c r="W634" s="694"/>
      <c r="X634" s="694"/>
      <c r="Y634" s="694"/>
      <c r="Z634" s="694"/>
      <c r="AA634" s="694"/>
      <c r="AB634" s="729"/>
      <c r="AC634" s="982" t="b">
        <f t="shared" ref="AC634:AI634" si="835">AC632</f>
        <v>0</v>
      </c>
      <c r="AD634" s="982" t="b">
        <f t="shared" si="835"/>
        <v>0</v>
      </c>
      <c r="AE634" s="982" t="b">
        <f t="shared" si="835"/>
        <v>0</v>
      </c>
      <c r="AF634" s="982" t="b">
        <f t="shared" si="835"/>
        <v>0</v>
      </c>
      <c r="AG634" s="982" t="b">
        <f t="shared" si="835"/>
        <v>0</v>
      </c>
      <c r="AH634" s="982" t="b">
        <f t="shared" si="835"/>
        <v>0</v>
      </c>
      <c r="AI634" s="982" t="b">
        <f t="shared" si="835"/>
        <v>0</v>
      </c>
      <c r="AJ634" s="343"/>
      <c r="AK634" s="343"/>
      <c r="AL634" s="1176" t="str">
        <f t="shared" si="834"/>
        <v/>
      </c>
      <c r="AM634" s="343"/>
    </row>
    <row r="635" spans="1:39" ht="12.75" customHeight="1" x14ac:dyDescent="0.25">
      <c r="A635" s="694"/>
      <c r="B635" s="284"/>
      <c r="C635" s="1496"/>
      <c r="D635" s="1505" t="s">
        <v>811</v>
      </c>
      <c r="E635" s="2819" t="str">
        <f>Translations!$B$522</f>
        <v>Претеглен емисионен фактор</v>
      </c>
      <c r="F635" s="2705"/>
      <c r="G635" s="1329" t="str">
        <f t="shared" si="832"/>
        <v>t CO2 / TJ</v>
      </c>
      <c r="H635" s="137"/>
      <c r="I635" s="137"/>
      <c r="J635" s="137"/>
      <c r="K635" s="137"/>
      <c r="L635" s="137"/>
      <c r="M635" s="137"/>
      <c r="N635" s="140"/>
      <c r="O635" s="336"/>
      <c r="P635" s="158"/>
      <c r="Q635" s="1500" t="str">
        <f>EUconst_CNTR_ElectricityEF &amp; I459</f>
        <v>ElectricityEF_Подинсталация с топлинен показател (с риск от ИВЕ | в рамките на МКВЕГ)</v>
      </c>
      <c r="R635" s="694"/>
      <c r="S635" s="770"/>
      <c r="T635" s="694"/>
      <c r="U635" s="694"/>
      <c r="V635" s="694"/>
      <c r="W635" s="694"/>
      <c r="X635" s="694"/>
      <c r="Y635" s="694"/>
      <c r="Z635" s="694"/>
      <c r="AA635" s="694"/>
      <c r="AB635" s="729"/>
      <c r="AC635" s="982" t="b">
        <f t="shared" ref="AC635:AI635" si="836">AC633</f>
        <v>0</v>
      </c>
      <c r="AD635" s="982" t="b">
        <f t="shared" si="836"/>
        <v>0</v>
      </c>
      <c r="AE635" s="982" t="b">
        <f t="shared" si="836"/>
        <v>0</v>
      </c>
      <c r="AF635" s="982" t="b">
        <f t="shared" si="836"/>
        <v>0</v>
      </c>
      <c r="AG635" s="982" t="b">
        <f t="shared" si="836"/>
        <v>0</v>
      </c>
      <c r="AH635" s="982" t="b">
        <f t="shared" si="836"/>
        <v>0</v>
      </c>
      <c r="AI635" s="982" t="b">
        <f t="shared" si="836"/>
        <v>0</v>
      </c>
      <c r="AJ635" s="343"/>
      <c r="AK635" s="343"/>
      <c r="AL635" s="1176" t="str">
        <f t="shared" si="834"/>
        <v/>
      </c>
      <c r="AM635" s="343"/>
    </row>
    <row r="636" spans="1:39" ht="12.75" customHeight="1" x14ac:dyDescent="0.25">
      <c r="A636" s="694"/>
      <c r="B636" s="284"/>
      <c r="C636" s="1496"/>
      <c r="D636" s="1505" t="s">
        <v>812</v>
      </c>
      <c r="E636" s="2818" t="str">
        <f>Translations!$B$1476</f>
        <v>Друга вложена енергия (например екзотермична топлина)</v>
      </c>
      <c r="F636" s="2701"/>
      <c r="G636" s="1326" t="str">
        <f>EUconst_TJpa</f>
        <v>TJ / година</v>
      </c>
      <c r="H636" s="129"/>
      <c r="I636" s="129"/>
      <c r="J636" s="129"/>
      <c r="K636" s="129"/>
      <c r="L636" s="129"/>
      <c r="M636" s="129"/>
      <c r="N636" s="132"/>
      <c r="O636" s="336"/>
      <c r="P636" s="158"/>
      <c r="Q636" s="1500" t="str">
        <f>EUconst_CNTR_OtherEnergyInput &amp; I459</f>
        <v>OtherEnergyInput_Подинсталация с топлинен показател (с риск от ИВЕ | в рамките на МКВЕГ)</v>
      </c>
      <c r="R636" s="694"/>
      <c r="S636" s="770"/>
      <c r="T636" s="694"/>
      <c r="U636" s="694"/>
      <c r="V636" s="694"/>
      <c r="W636" s="694"/>
      <c r="X636" s="694"/>
      <c r="Y636" s="694"/>
      <c r="Z636" s="694"/>
      <c r="AA636" s="694"/>
      <c r="AB636" s="729"/>
      <c r="AC636" s="982" t="b">
        <f t="shared" ref="AC636:AI636" si="837">AC634</f>
        <v>0</v>
      </c>
      <c r="AD636" s="982" t="b">
        <f t="shared" si="837"/>
        <v>0</v>
      </c>
      <c r="AE636" s="982" t="b">
        <f t="shared" si="837"/>
        <v>0</v>
      </c>
      <c r="AF636" s="982" t="b">
        <f t="shared" si="837"/>
        <v>0</v>
      </c>
      <c r="AG636" s="982" t="b">
        <f t="shared" si="837"/>
        <v>0</v>
      </c>
      <c r="AH636" s="982" t="b">
        <f t="shared" si="837"/>
        <v>0</v>
      </c>
      <c r="AI636" s="982" t="b">
        <f t="shared" si="837"/>
        <v>0</v>
      </c>
      <c r="AJ636" s="343"/>
      <c r="AK636" s="343"/>
      <c r="AL636" s="1176" t="str">
        <f t="shared" si="834"/>
        <v/>
      </c>
      <c r="AM636" s="343"/>
    </row>
    <row r="637" spans="1:39" ht="12.75" customHeight="1" x14ac:dyDescent="0.25">
      <c r="A637" s="694"/>
      <c r="B637" s="284"/>
      <c r="C637" s="1496"/>
      <c r="D637" s="1505" t="s">
        <v>813</v>
      </c>
      <c r="E637" s="2819" t="str">
        <f>Translations!$B$522</f>
        <v>Претеглен емисионен фактор</v>
      </c>
      <c r="F637" s="2705"/>
      <c r="G637" s="1329" t="str">
        <f t="shared" si="832"/>
        <v>t CO2 / TJ</v>
      </c>
      <c r="H637" s="137"/>
      <c r="I637" s="137"/>
      <c r="J637" s="137"/>
      <c r="K637" s="137"/>
      <c r="L637" s="137"/>
      <c r="M637" s="137"/>
      <c r="N637" s="140"/>
      <c r="O637" s="336"/>
      <c r="P637" s="158"/>
      <c r="Q637" s="1500" t="str">
        <f>EUconst_CNTR_OtherEnergyEF &amp; I459</f>
        <v>ElectricityEF_Подинсталация с топлинен показател (с риск от ИВЕ | в рамките на МКВЕГ)</v>
      </c>
      <c r="R637" s="694"/>
      <c r="S637" s="770"/>
      <c r="T637" s="694"/>
      <c r="U637" s="694"/>
      <c r="V637" s="694"/>
      <c r="W637" s="694"/>
      <c r="X637" s="694"/>
      <c r="Y637" s="694"/>
      <c r="Z637" s="694"/>
      <c r="AA637" s="694"/>
      <c r="AB637" s="729"/>
      <c r="AC637" s="982" t="b">
        <f t="shared" ref="AC637:AI637" si="838">AC635</f>
        <v>0</v>
      </c>
      <c r="AD637" s="982" t="b">
        <f t="shared" si="838"/>
        <v>0</v>
      </c>
      <c r="AE637" s="982" t="b">
        <f t="shared" si="838"/>
        <v>0</v>
      </c>
      <c r="AF637" s="982" t="b">
        <f t="shared" si="838"/>
        <v>0</v>
      </c>
      <c r="AG637" s="982" t="b">
        <f t="shared" si="838"/>
        <v>0</v>
      </c>
      <c r="AH637" s="982" t="b">
        <f t="shared" si="838"/>
        <v>0</v>
      </c>
      <c r="AI637" s="982" t="b">
        <f t="shared" si="838"/>
        <v>0</v>
      </c>
      <c r="AJ637" s="343"/>
      <c r="AK637" s="343"/>
      <c r="AL637" s="1176" t="str">
        <f t="shared" si="834"/>
        <v/>
      </c>
      <c r="AM637" s="343"/>
    </row>
    <row r="638" spans="1:39" ht="12.75" customHeight="1" x14ac:dyDescent="0.25">
      <c r="A638" s="694"/>
      <c r="B638" s="284"/>
      <c r="C638" s="1496"/>
      <c r="D638" s="1505" t="s">
        <v>814</v>
      </c>
      <c r="E638" s="2820" t="str">
        <f>Translations!$B$1553</f>
        <v>Обща вложена енергия (= i. + v. + vii.)</v>
      </c>
      <c r="F638" s="2258"/>
      <c r="G638" s="1320" t="str">
        <f>EUconst_TJpa</f>
        <v>TJ / година</v>
      </c>
      <c r="H638" s="1506" t="str">
        <f t="shared" ref="H638:N638" si="839">IF(OR($M459&lt;&gt;EUconst_Relevant,COUNT(H630,H634,H636)=0),"",SUM(H630,H634,H636))</f>
        <v/>
      </c>
      <c r="I638" s="1506" t="str">
        <f t="shared" si="839"/>
        <v/>
      </c>
      <c r="J638" s="1506" t="str">
        <f t="shared" si="839"/>
        <v/>
      </c>
      <c r="K638" s="1506" t="str">
        <f t="shared" si="839"/>
        <v/>
      </c>
      <c r="L638" s="1506" t="str">
        <f t="shared" si="839"/>
        <v/>
      </c>
      <c r="M638" s="1506" t="str">
        <f t="shared" si="839"/>
        <v/>
      </c>
      <c r="N638" s="1507" t="str">
        <f t="shared" si="839"/>
        <v/>
      </c>
      <c r="O638" s="336"/>
      <c r="P638" s="158"/>
      <c r="Q638" s="1500" t="str">
        <f>EUconst_CNTR_TotalEnergyInput &amp; I459</f>
        <v>TotalEnergyInput_Подинсталация с топлинен показател (с риск от ИВЕ | в рамките на МКВЕГ)</v>
      </c>
      <c r="R638" s="694"/>
      <c r="S638" s="770"/>
      <c r="T638" s="694"/>
      <c r="U638" s="694"/>
      <c r="V638" s="694"/>
      <c r="W638" s="694"/>
      <c r="X638" s="694"/>
      <c r="Y638" s="694"/>
      <c r="Z638" s="694"/>
      <c r="AA638" s="694"/>
      <c r="AB638" s="729"/>
      <c r="AC638" s="982" t="b">
        <f t="shared" ref="AC638:AI638" si="840">AC636</f>
        <v>0</v>
      </c>
      <c r="AD638" s="982" t="b">
        <f t="shared" si="840"/>
        <v>0</v>
      </c>
      <c r="AE638" s="982" t="b">
        <f t="shared" si="840"/>
        <v>0</v>
      </c>
      <c r="AF638" s="982" t="b">
        <f t="shared" si="840"/>
        <v>0</v>
      </c>
      <c r="AG638" s="982" t="b">
        <f t="shared" si="840"/>
        <v>0</v>
      </c>
      <c r="AH638" s="982" t="b">
        <f t="shared" si="840"/>
        <v>0</v>
      </c>
      <c r="AI638" s="982" t="b">
        <f t="shared" si="840"/>
        <v>0</v>
      </c>
      <c r="AJ638" s="343"/>
      <c r="AK638" s="343"/>
      <c r="AL638" s="1176" t="str">
        <f t="shared" si="834"/>
        <v/>
      </c>
      <c r="AM638" s="343"/>
    </row>
    <row r="639" spans="1:39" ht="5.15" customHeight="1" x14ac:dyDescent="0.25">
      <c r="A639" s="694"/>
      <c r="B639" s="698"/>
      <c r="C639" s="1303"/>
      <c r="D639" s="1304"/>
      <c r="E639" s="1304"/>
      <c r="F639" s="1304"/>
      <c r="G639" s="1304"/>
      <c r="H639" s="1304"/>
      <c r="I639" s="1304"/>
      <c r="J639" s="1304"/>
      <c r="K639" s="1304"/>
      <c r="L639" s="1304"/>
      <c r="M639" s="1304"/>
      <c r="N639" s="1305"/>
      <c r="O639" s="336"/>
      <c r="P639" s="336"/>
      <c r="Q639" s="694"/>
      <c r="R639" s="694"/>
      <c r="S639" s="770"/>
      <c r="T639" s="770"/>
      <c r="U639" s="770"/>
      <c r="V639" s="770"/>
      <c r="W639" s="694"/>
      <c r="X639" s="694"/>
      <c r="Y639" s="694"/>
      <c r="Z639" s="694"/>
      <c r="AA639" s="694"/>
      <c r="AB639" s="729"/>
      <c r="AC639" s="694"/>
      <c r="AD639" s="694"/>
      <c r="AE639" s="694"/>
      <c r="AF639" s="694"/>
      <c r="AG639" s="694"/>
      <c r="AH639" s="694"/>
      <c r="AI639" s="694"/>
      <c r="AJ639" s="343"/>
      <c r="AK639" s="343"/>
      <c r="AL639" s="343"/>
      <c r="AM639" s="343"/>
    </row>
    <row r="640" spans="1:39" ht="12.75" customHeight="1" x14ac:dyDescent="0.25">
      <c r="A640" s="694"/>
      <c r="B640" s="284"/>
      <c r="C640" s="1496"/>
      <c r="D640" s="1307" t="s">
        <v>54</v>
      </c>
      <c r="E640" s="2850" t="str">
        <f>Translations!$B$349</f>
        <v>Произведена измерима топлинна енергия</v>
      </c>
      <c r="F640" s="2851"/>
      <c r="G640" s="2851"/>
      <c r="H640" s="2851"/>
      <c r="I640" s="2851"/>
      <c r="J640" s="2851"/>
      <c r="K640" s="2851"/>
      <c r="L640" s="2851"/>
      <c r="M640" s="2851"/>
      <c r="N640" s="2852"/>
      <c r="O640" s="336"/>
      <c r="P640" s="336"/>
      <c r="Q640" s="770"/>
      <c r="R640" s="694"/>
      <c r="S640" s="770"/>
      <c r="T640" s="770"/>
      <c r="U640" s="770"/>
      <c r="V640" s="770"/>
      <c r="W640" s="694"/>
      <c r="X640" s="694"/>
      <c r="Y640" s="694"/>
      <c r="Z640" s="694"/>
      <c r="AA640" s="694"/>
      <c r="AB640" s="729"/>
      <c r="AC640" s="694"/>
      <c r="AD640" s="694"/>
      <c r="AE640" s="694"/>
      <c r="AF640" s="694"/>
      <c r="AG640" s="694"/>
      <c r="AH640" s="694"/>
      <c r="AI640" s="694"/>
      <c r="AJ640" s="343"/>
      <c r="AK640" s="343"/>
      <c r="AL640" s="343"/>
      <c r="AM640" s="343"/>
    </row>
    <row r="641" spans="1:39" ht="12.75" customHeight="1" x14ac:dyDescent="0.25">
      <c r="A641" s="694"/>
      <c r="B641" s="284"/>
      <c r="C641" s="1496"/>
      <c r="D641" s="1497"/>
      <c r="E641" s="2836" t="str">
        <f>Translations!$B$639</f>
        <v xml:space="preserve">Моля, тук въведете измеримата топлинна енергия съгласно раздел 3.2, буква а) от приложение IV към ПБР. </v>
      </c>
      <c r="F641" s="2836"/>
      <c r="G641" s="2836"/>
      <c r="H641" s="2836"/>
      <c r="I641" s="2836"/>
      <c r="J641" s="2836"/>
      <c r="K641" s="2836"/>
      <c r="L641" s="2836"/>
      <c r="M641" s="2836"/>
      <c r="N641" s="2837"/>
      <c r="O641" s="336"/>
      <c r="P641" s="336"/>
      <c r="Q641" s="770"/>
      <c r="R641" s="694"/>
      <c r="S641" s="770"/>
      <c r="T641" s="694"/>
      <c r="U641" s="694"/>
      <c r="V641" s="694"/>
      <c r="W641" s="694"/>
      <c r="X641" s="694"/>
      <c r="Y641" s="694"/>
      <c r="Z641" s="694"/>
      <c r="AA641" s="694"/>
      <c r="AB641" s="729"/>
      <c r="AC641" s="694"/>
      <c r="AD641" s="694"/>
      <c r="AE641" s="694"/>
      <c r="AF641" s="694"/>
      <c r="AG641" s="694"/>
      <c r="AH641" s="694"/>
      <c r="AI641" s="694"/>
      <c r="AJ641" s="343"/>
      <c r="AK641" s="343"/>
      <c r="AL641" s="343"/>
      <c r="AM641" s="343"/>
    </row>
    <row r="642" spans="1:39" ht="25.5" customHeight="1" x14ac:dyDescent="0.25">
      <c r="A642" s="694"/>
      <c r="B642" s="284"/>
      <c r="C642" s="1496"/>
      <c r="D642" s="1497"/>
      <c r="E642" s="2836" t="str">
        <f>Translations!$B$640</f>
        <v>Обикновено стойността е различна от равнището на дейност на подинсталацията, посочено в буква a) по-горе, тъй като в него освен нетните количества на измеримата топлинна енергия, консумирана или подадена към обекти извън СТЕ, са съобразени и загубите на топлинна енергия и не се вземат предвид количествата получена топлинна енергия, които се въвеждат в буква f) по-долу.</v>
      </c>
      <c r="F642" s="2836"/>
      <c r="G642" s="2836"/>
      <c r="H642" s="2836"/>
      <c r="I642" s="2836"/>
      <c r="J642" s="2836"/>
      <c r="K642" s="2836"/>
      <c r="L642" s="2836"/>
      <c r="M642" s="2836"/>
      <c r="N642" s="2837"/>
      <c r="O642" s="336"/>
      <c r="P642" s="336"/>
      <c r="Q642" s="770"/>
      <c r="R642" s="694"/>
      <c r="S642" s="770"/>
      <c r="T642" s="770"/>
      <c r="U642" s="770"/>
      <c r="V642" s="770"/>
      <c r="W642" s="770"/>
      <c r="X642" s="770"/>
      <c r="Y642" s="770"/>
      <c r="Z642" s="770"/>
      <c r="AA642" s="694"/>
      <c r="AB642" s="729"/>
      <c r="AC642" s="694"/>
      <c r="AD642" s="694"/>
      <c r="AE642" s="694"/>
      <c r="AF642" s="694"/>
      <c r="AG642" s="694"/>
      <c r="AH642" s="694"/>
      <c r="AI642" s="694"/>
      <c r="AJ642" s="343"/>
      <c r="AK642" s="343"/>
      <c r="AL642" s="343"/>
      <c r="AM642" s="343"/>
    </row>
    <row r="643" spans="1:39" ht="12.75" customHeight="1" x14ac:dyDescent="0.25">
      <c r="A643" s="694"/>
      <c r="B643" s="284"/>
      <c r="C643" s="1496"/>
      <c r="D643" s="1307"/>
      <c r="E643" s="2803" t="str">
        <f>Translations!$B$349</f>
        <v>Произведена измерима топлинна енергия</v>
      </c>
      <c r="F643" s="2803"/>
      <c r="G643" s="1309" t="str">
        <f>EUconst_Unit</f>
        <v>Единица мярка</v>
      </c>
      <c r="H643" s="629">
        <f t="shared" ref="H643:N643" si="841">H$1840</f>
        <v>2024</v>
      </c>
      <c r="I643" s="629">
        <f t="shared" si="841"/>
        <v>2025</v>
      </c>
      <c r="J643" s="629">
        <f t="shared" si="841"/>
        <v>2026</v>
      </c>
      <c r="K643" s="629">
        <f t="shared" si="841"/>
        <v>2027</v>
      </c>
      <c r="L643" s="629">
        <f t="shared" si="841"/>
        <v>2028</v>
      </c>
      <c r="M643" s="629">
        <f t="shared" si="841"/>
        <v>2029</v>
      </c>
      <c r="N643" s="1312">
        <f t="shared" si="841"/>
        <v>2030</v>
      </c>
      <c r="O643" s="336"/>
      <c r="P643" s="336"/>
      <c r="Q643" s="770"/>
      <c r="R643" s="694"/>
      <c r="S643" s="770"/>
      <c r="T643" s="770"/>
      <c r="U643" s="770"/>
      <c r="V643" s="770"/>
      <c r="W643" s="770"/>
      <c r="X643" s="770"/>
      <c r="Y643" s="770"/>
      <c r="Z643" s="770"/>
      <c r="AA643" s="694"/>
      <c r="AB643" s="729"/>
      <c r="AC643" s="1504">
        <f t="shared" ref="AC643" si="842">H$1840</f>
        <v>2024</v>
      </c>
      <c r="AD643" s="1504">
        <f t="shared" ref="AD643" si="843">I$1840</f>
        <v>2025</v>
      </c>
      <c r="AE643" s="1504">
        <f t="shared" ref="AE643" si="844">J$1840</f>
        <v>2026</v>
      </c>
      <c r="AF643" s="1504">
        <f t="shared" ref="AF643" si="845">K$1840</f>
        <v>2027</v>
      </c>
      <c r="AG643" s="1504">
        <f t="shared" ref="AG643" si="846">L$1840</f>
        <v>2028</v>
      </c>
      <c r="AH643" s="1504">
        <f t="shared" ref="AH643" si="847">M$1840</f>
        <v>2029</v>
      </c>
      <c r="AI643" s="1504">
        <f t="shared" ref="AI643" si="848">N$1840</f>
        <v>2030</v>
      </c>
      <c r="AJ643" s="343"/>
      <c r="AK643" s="343"/>
      <c r="AL643" s="343"/>
      <c r="AM643" s="343"/>
    </row>
    <row r="644" spans="1:39" ht="12.75" customHeight="1" x14ac:dyDescent="0.25">
      <c r="A644" s="694"/>
      <c r="B644" s="284"/>
      <c r="C644" s="1496"/>
      <c r="D644" s="1508" t="s">
        <v>6</v>
      </c>
      <c r="E644" s="2820" t="str">
        <f>Translations!$B$1554</f>
        <v>Общо произведено количество (включително електроенергия)</v>
      </c>
      <c r="F644" s="2930"/>
      <c r="G644" s="642" t="str">
        <f>EUconst_TJpa</f>
        <v>TJ / година</v>
      </c>
      <c r="H644" s="179"/>
      <c r="I644" s="179"/>
      <c r="J644" s="179"/>
      <c r="K644" s="179"/>
      <c r="L644" s="179"/>
      <c r="M644" s="179"/>
      <c r="N644" s="180"/>
      <c r="O644" s="336"/>
      <c r="P644" s="158"/>
      <c r="Q644" s="1500" t="str">
        <f>EUconst_CNTR_HeatProduced &amp; I459</f>
        <v>HeatProd_Подинсталация с топлинен показател (с риск от ИВЕ | в рамките на МКВЕГ)</v>
      </c>
      <c r="R644" s="694"/>
      <c r="S644" s="770"/>
      <c r="T644" s="770"/>
      <c r="U644" s="770"/>
      <c r="V644" s="770"/>
      <c r="W644" s="770"/>
      <c r="X644" s="770"/>
      <c r="Y644" s="770"/>
      <c r="Z644" s="770"/>
      <c r="AA644" s="694"/>
      <c r="AB644" s="1182" t="s">
        <v>737</v>
      </c>
      <c r="AC644" s="982" t="b">
        <f t="shared" ref="AC644:AI644" si="849">AC620</f>
        <v>0</v>
      </c>
      <c r="AD644" s="982" t="b">
        <f t="shared" si="849"/>
        <v>0</v>
      </c>
      <c r="AE644" s="982" t="b">
        <f t="shared" si="849"/>
        <v>0</v>
      </c>
      <c r="AF644" s="982" t="b">
        <f t="shared" si="849"/>
        <v>0</v>
      </c>
      <c r="AG644" s="982" t="b">
        <f t="shared" si="849"/>
        <v>0</v>
      </c>
      <c r="AH644" s="982" t="b">
        <f t="shared" si="849"/>
        <v>0</v>
      </c>
      <c r="AI644" s="982" t="b">
        <f t="shared" si="849"/>
        <v>0</v>
      </c>
      <c r="AJ644" s="343"/>
      <c r="AK644" s="343"/>
      <c r="AL644" s="1176" t="str">
        <f>IF(AND(CNTR_ExistSubInstEntries,COUNTIFS(AC644:AI644,2,H644:N644,"")&gt;0),EUconst_Error&amp;"FB"&amp;Q459,"")</f>
        <v/>
      </c>
      <c r="AM644" s="343"/>
    </row>
    <row r="645" spans="1:39" ht="12.75" customHeight="1" x14ac:dyDescent="0.25">
      <c r="A645" s="694"/>
      <c r="B645" s="284"/>
      <c r="C645" s="1496"/>
      <c r="D645" s="1508" t="s">
        <v>7</v>
      </c>
      <c r="E645" s="2820" t="str">
        <f>Translations!$B$1555</f>
        <v>Топлинна енергия, произведена от електроенергия</v>
      </c>
      <c r="F645" s="2930"/>
      <c r="G645" s="642" t="str">
        <f>EUconst_TJpa</f>
        <v>TJ / година</v>
      </c>
      <c r="H645" s="179"/>
      <c r="I645" s="179"/>
      <c r="J645" s="179"/>
      <c r="K645" s="179"/>
      <c r="L645" s="179"/>
      <c r="M645" s="179"/>
      <c r="N645" s="180"/>
      <c r="O645" s="336"/>
      <c r="P645" s="158"/>
      <c r="Q645" s="1500" t="str">
        <f>EUconst_CNTR_HeatProducedElectricity &amp; I459</f>
        <v>HeatProdElec_Подинсталация с топлинен показател (с риск от ИВЕ | в рамките на МКВЕГ)</v>
      </c>
      <c r="R645" s="694"/>
      <c r="S645" s="770"/>
      <c r="T645" s="770"/>
      <c r="U645" s="770"/>
      <c r="V645" s="770"/>
      <c r="W645" s="770"/>
      <c r="X645" s="770"/>
      <c r="Y645" s="770"/>
      <c r="Z645" s="770"/>
      <c r="AA645" s="694"/>
      <c r="AB645" s="1182" t="s">
        <v>737</v>
      </c>
      <c r="AC645" s="982" t="b">
        <f>AC644</f>
        <v>0</v>
      </c>
      <c r="AD645" s="982" t="b">
        <f t="shared" ref="AD645:AI645" si="850">AD644</f>
        <v>0</v>
      </c>
      <c r="AE645" s="982" t="b">
        <f t="shared" si="850"/>
        <v>0</v>
      </c>
      <c r="AF645" s="982" t="b">
        <f t="shared" si="850"/>
        <v>0</v>
      </c>
      <c r="AG645" s="982" t="b">
        <f t="shared" si="850"/>
        <v>0</v>
      </c>
      <c r="AH645" s="982" t="b">
        <f t="shared" si="850"/>
        <v>0</v>
      </c>
      <c r="AI645" s="982" t="b">
        <f t="shared" si="850"/>
        <v>0</v>
      </c>
      <c r="AJ645" s="343"/>
      <c r="AK645" s="343"/>
      <c r="AL645" s="1176" t="str">
        <f>IF(AND(CNTR_ExistSubInstEntries,COUNTIFS(AC645:AI645,2,H645:N645,"")&gt;0),EUconst_Error&amp;"FB"&amp;Q459,"")</f>
        <v/>
      </c>
      <c r="AM645" s="343"/>
    </row>
    <row r="646" spans="1:39" ht="5.15" customHeight="1" x14ac:dyDescent="0.25">
      <c r="A646" s="694"/>
      <c r="B646" s="284"/>
      <c r="C646" s="1496"/>
      <c r="D646" s="1497"/>
      <c r="E646" s="1497"/>
      <c r="F646" s="1497"/>
      <c r="G646" s="1497"/>
      <c r="H646" s="1497"/>
      <c r="I646" s="1497"/>
      <c r="J646" s="1497"/>
      <c r="K646" s="1497"/>
      <c r="L646" s="1497"/>
      <c r="M646" s="1502"/>
      <c r="N646" s="1503"/>
      <c r="O646" s="336"/>
      <c r="P646" s="336"/>
      <c r="Q646" s="770"/>
      <c r="R646" s="694"/>
      <c r="S646" s="770"/>
      <c r="T646" s="694"/>
      <c r="U646" s="694"/>
      <c r="V646" s="694"/>
      <c r="W646" s="694"/>
      <c r="X646" s="694"/>
      <c r="Y646" s="694"/>
      <c r="Z646" s="694"/>
      <c r="AA646" s="694"/>
      <c r="AB646" s="729"/>
      <c r="AC646" s="694"/>
      <c r="AD646" s="694"/>
      <c r="AE646" s="694"/>
      <c r="AF646" s="694"/>
      <c r="AG646" s="694"/>
      <c r="AH646" s="694"/>
      <c r="AI646" s="694"/>
      <c r="AJ646" s="343"/>
      <c r="AK646" s="343"/>
      <c r="AL646" s="343"/>
      <c r="AM646" s="343"/>
    </row>
    <row r="647" spans="1:39" ht="12.75" customHeight="1" x14ac:dyDescent="0.25">
      <c r="A647" s="694"/>
      <c r="B647" s="284"/>
      <c r="C647" s="1496"/>
      <c r="D647" s="1307" t="s">
        <v>55</v>
      </c>
      <c r="E647" s="2850" t="str">
        <f>Translations!$B$641</f>
        <v>Получавана отвън измерима топлинна енергия</v>
      </c>
      <c r="F647" s="2851"/>
      <c r="G647" s="2851"/>
      <c r="H647" s="2851"/>
      <c r="I647" s="2851"/>
      <c r="J647" s="2851"/>
      <c r="K647" s="2851"/>
      <c r="L647" s="2851"/>
      <c r="M647" s="2851"/>
      <c r="N647" s="2852"/>
      <c r="O647" s="336"/>
      <c r="P647" s="336"/>
      <c r="Q647" s="770"/>
      <c r="R647" s="694"/>
      <c r="S647" s="770"/>
      <c r="T647" s="694"/>
      <c r="U647" s="694"/>
      <c r="V647" s="694"/>
      <c r="W647" s="694"/>
      <c r="X647" s="694"/>
      <c r="Y647" s="694"/>
      <c r="Z647" s="694"/>
      <c r="AA647" s="694"/>
      <c r="AB647" s="729"/>
      <c r="AC647" s="694"/>
      <c r="AD647" s="694"/>
      <c r="AE647" s="694"/>
      <c r="AF647" s="694"/>
      <c r="AG647" s="694"/>
      <c r="AH647" s="694"/>
      <c r="AI647" s="694"/>
      <c r="AJ647" s="343"/>
      <c r="AK647" s="343"/>
      <c r="AL647" s="343"/>
      <c r="AM647" s="343"/>
    </row>
    <row r="648" spans="1:39" ht="12.75" customHeight="1" x14ac:dyDescent="0.25">
      <c r="A648" s="694"/>
      <c r="B648" s="284"/>
      <c r="C648" s="1496"/>
      <c r="D648" s="1307"/>
      <c r="E648" s="2853" t="str">
        <f>Translations!$B$548</f>
        <v>Посочените тук данни ще се отразят на емисиите, които могат да бъдат зададени съгласно раздел 10.1.2 и 10.1.3 от приложение VII към ПБР.</v>
      </c>
      <c r="F648" s="2850"/>
      <c r="G648" s="2850"/>
      <c r="H648" s="2850"/>
      <c r="I648" s="2850"/>
      <c r="J648" s="2850"/>
      <c r="K648" s="2850"/>
      <c r="L648" s="2850"/>
      <c r="M648" s="2850"/>
      <c r="N648" s="2854"/>
      <c r="O648" s="336"/>
      <c r="P648" s="336"/>
      <c r="Q648" s="770"/>
      <c r="R648" s="694"/>
      <c r="S648" s="770"/>
      <c r="T648" s="694"/>
      <c r="U648" s="694"/>
      <c r="V648" s="694"/>
      <c r="W648" s="694"/>
      <c r="X648" s="694"/>
      <c r="Y648" s="694"/>
      <c r="Z648" s="694"/>
      <c r="AA648" s="694"/>
      <c r="AB648" s="729"/>
      <c r="AC648" s="694"/>
      <c r="AD648" s="694"/>
      <c r="AE648" s="694"/>
      <c r="AF648" s="694"/>
      <c r="AG648" s="694"/>
      <c r="AH648" s="694"/>
      <c r="AI648" s="694"/>
      <c r="AJ648" s="343"/>
      <c r="AK648" s="343"/>
      <c r="AL648" s="343"/>
      <c r="AM648" s="343"/>
    </row>
    <row r="649" spans="1:39" ht="12.75" customHeight="1" x14ac:dyDescent="0.25">
      <c r="A649" s="694"/>
      <c r="B649" s="284"/>
      <c r="C649" s="1496"/>
      <c r="D649" s="1497"/>
      <c r="E649" s="2838" t="str">
        <f>Translations!$B$642</f>
        <v>Моля, по-долу въведете количеството на измеримата топлинна енергия, получена от всеки от следните източници:</v>
      </c>
      <c r="F649" s="2851"/>
      <c r="G649" s="2851"/>
      <c r="H649" s="2851"/>
      <c r="I649" s="2851"/>
      <c r="J649" s="2851"/>
      <c r="K649" s="2851"/>
      <c r="L649" s="2851"/>
      <c r="M649" s="2851"/>
      <c r="N649" s="2852"/>
      <c r="O649" s="336"/>
      <c r="P649" s="336"/>
      <c r="Q649" s="770"/>
      <c r="R649" s="694"/>
      <c r="S649" s="770"/>
      <c r="T649" s="694"/>
      <c r="U649" s="694"/>
      <c r="V649" s="694"/>
      <c r="W649" s="694"/>
      <c r="X649" s="694"/>
      <c r="Y649" s="694"/>
      <c r="Z649" s="694"/>
      <c r="AA649" s="694"/>
      <c r="AB649" s="729"/>
      <c r="AC649" s="694"/>
      <c r="AD649" s="694"/>
      <c r="AE649" s="694"/>
      <c r="AF649" s="694"/>
      <c r="AG649" s="694"/>
      <c r="AH649" s="694"/>
      <c r="AI649" s="694"/>
      <c r="AJ649" s="343"/>
      <c r="AK649" s="343"/>
      <c r="AL649" s="343"/>
      <c r="AM649" s="343"/>
    </row>
    <row r="650" spans="1:39" ht="38.9" customHeight="1" x14ac:dyDescent="0.25">
      <c r="A650" s="694"/>
      <c r="B650" s="284"/>
      <c r="C650" s="1496"/>
      <c r="D650" s="1497"/>
      <c r="E650" s="1308" t="s">
        <v>1052</v>
      </c>
      <c r="F650" s="2838" t="str">
        <f>Translations!$B$643</f>
        <v>Нетно количество получена топлинна енергия (други източници): това включва топлинната енергия, получена от други инсталации или, в случай че измеримата топлинна енергия е консумирана от повече от една подинсталация — топлинната енергия, произведена в рамките на обекта и консумирана в тази подинсталация. Тук не се включва измерима топлинна енергия, получена от която и да било подинсталация с продуктов показател, от производство на пулп, измерима топлинна енергия, извлечена от подинсталации с горивен показател или от отпадни газове, защото тези данни се вписват в отделни полета.</v>
      </c>
      <c r="G650" s="2839"/>
      <c r="H650" s="2839"/>
      <c r="I650" s="2839"/>
      <c r="J650" s="2839"/>
      <c r="K650" s="2839"/>
      <c r="L650" s="2839"/>
      <c r="M650" s="2839"/>
      <c r="N650" s="2840"/>
      <c r="O650" s="336"/>
      <c r="P650" s="336"/>
      <c r="Q650" s="770"/>
      <c r="R650" s="694"/>
      <c r="S650" s="770"/>
      <c r="T650" s="694"/>
      <c r="U650" s="694"/>
      <c r="V650" s="694"/>
      <c r="W650" s="694"/>
      <c r="X650" s="694"/>
      <c r="Y650" s="694"/>
      <c r="Z650" s="694"/>
      <c r="AA650" s="694"/>
      <c r="AB650" s="729"/>
      <c r="AC650" s="694"/>
      <c r="AD650" s="694"/>
      <c r="AE650" s="694"/>
      <c r="AF650" s="694"/>
      <c r="AG650" s="694"/>
      <c r="AH650" s="694"/>
      <c r="AI650" s="694"/>
      <c r="AJ650" s="343"/>
      <c r="AK650" s="343"/>
      <c r="AL650" s="343"/>
      <c r="AM650" s="343"/>
    </row>
    <row r="651" spans="1:39" ht="25.5" customHeight="1" x14ac:dyDescent="0.25">
      <c r="A651" s="694"/>
      <c r="B651" s="284"/>
      <c r="C651" s="1496"/>
      <c r="D651" s="1497"/>
      <c r="E651" s="1308" t="s">
        <v>1052</v>
      </c>
      <c r="F651" s="2838" t="str">
        <f>Translations!$B$644</f>
        <v>Топлинна енергия от подинсталации с продуктов показател: това включва измерима топлинна енергия, подадена от подинсталации с продуктов показател освен измеримата топлинна енергия от подинсталации, които произвеждат пулп или азотна киселина.</v>
      </c>
      <c r="G651" s="2839"/>
      <c r="H651" s="2839"/>
      <c r="I651" s="2839"/>
      <c r="J651" s="2839"/>
      <c r="K651" s="2839"/>
      <c r="L651" s="2839"/>
      <c r="M651" s="2839"/>
      <c r="N651" s="2840"/>
      <c r="O651" s="336"/>
      <c r="P651" s="336"/>
      <c r="Q651" s="770"/>
      <c r="R651" s="694"/>
      <c r="S651" s="770"/>
      <c r="T651" s="694"/>
      <c r="U651" s="694"/>
      <c r="V651" s="694"/>
      <c r="W651" s="694"/>
      <c r="X651" s="694"/>
      <c r="Y651" s="694"/>
      <c r="Z651" s="694"/>
      <c r="AA651" s="694"/>
      <c r="AB651" s="729"/>
      <c r="AC651" s="694"/>
      <c r="AD651" s="694"/>
      <c r="AE651" s="694"/>
      <c r="AF651" s="694"/>
      <c r="AG651" s="694"/>
      <c r="AH651" s="694"/>
      <c r="AI651" s="694"/>
      <c r="AJ651" s="343"/>
      <c r="AK651" s="343"/>
      <c r="AL651" s="343"/>
      <c r="AM651" s="343"/>
    </row>
    <row r="652" spans="1:39" ht="12.75" customHeight="1" x14ac:dyDescent="0.25">
      <c r="A652" s="694"/>
      <c r="B652" s="284"/>
      <c r="C652" s="1496"/>
      <c r="D652" s="1497"/>
      <c r="E652" s="1308" t="s">
        <v>1052</v>
      </c>
      <c r="F652" s="2838" t="str">
        <f>Translations!$B$645</f>
        <v>Топлинна енергия от пулп: това включва топлинна енергия, получена от подинсталации за производство на пулп.</v>
      </c>
      <c r="G652" s="2839"/>
      <c r="H652" s="2839"/>
      <c r="I652" s="2839"/>
      <c r="J652" s="2839"/>
      <c r="K652" s="2839"/>
      <c r="L652" s="2839"/>
      <c r="M652" s="2839"/>
      <c r="N652" s="2840"/>
      <c r="O652" s="336"/>
      <c r="P652" s="336"/>
      <c r="Q652" s="770"/>
      <c r="R652" s="694"/>
      <c r="S652" s="770"/>
      <c r="T652" s="694"/>
      <c r="U652" s="694"/>
      <c r="V652" s="694"/>
      <c r="W652" s="694"/>
      <c r="X652" s="694"/>
      <c r="Y652" s="694"/>
      <c r="Z652" s="694"/>
      <c r="AA652" s="694"/>
      <c r="AB652" s="729"/>
      <c r="AC652" s="694"/>
      <c r="AD652" s="694"/>
      <c r="AE652" s="694"/>
      <c r="AF652" s="694"/>
      <c r="AG652" s="694"/>
      <c r="AH652" s="694"/>
      <c r="AI652" s="694"/>
      <c r="AJ652" s="343"/>
      <c r="AK652" s="343"/>
      <c r="AL652" s="343"/>
      <c r="AM652" s="343"/>
    </row>
    <row r="653" spans="1:39" ht="12.75" customHeight="1" x14ac:dyDescent="0.25">
      <c r="A653" s="694"/>
      <c r="B653" s="284"/>
      <c r="C653" s="1496"/>
      <c r="D653" s="1497"/>
      <c r="E653" s="1308" t="s">
        <v>1052</v>
      </c>
      <c r="F653" s="2838" t="str">
        <f>Translations!$B$646</f>
        <v>Топлинна енергия от подинсталации с горивен показател: това включва измерима топлинна енергия, извлечена от отпадни газове от подинсталации с горивен показател</v>
      </c>
      <c r="G653" s="2839"/>
      <c r="H653" s="2839"/>
      <c r="I653" s="2839"/>
      <c r="J653" s="2839"/>
      <c r="K653" s="2839"/>
      <c r="L653" s="2839"/>
      <c r="M653" s="2839"/>
      <c r="N653" s="2840"/>
      <c r="O653" s="336"/>
      <c r="P653" s="336"/>
      <c r="Q653" s="770"/>
      <c r="R653" s="694"/>
      <c r="S653" s="770"/>
      <c r="T653" s="694"/>
      <c r="U653" s="694"/>
      <c r="V653" s="694"/>
      <c r="W653" s="694"/>
      <c r="X653" s="694"/>
      <c r="Y653" s="694"/>
      <c r="Z653" s="694"/>
      <c r="AA653" s="694"/>
      <c r="AB653" s="729"/>
      <c r="AC653" s="694"/>
      <c r="AD653" s="694"/>
      <c r="AE653" s="694"/>
      <c r="AF653" s="694"/>
      <c r="AG653" s="694"/>
      <c r="AH653" s="694"/>
      <c r="AI653" s="694"/>
      <c r="AJ653" s="343"/>
      <c r="AK653" s="343"/>
      <c r="AL653" s="343"/>
      <c r="AM653" s="343"/>
    </row>
    <row r="654" spans="1:39" ht="12.75" customHeight="1" x14ac:dyDescent="0.25">
      <c r="A654" s="694"/>
      <c r="B654" s="284"/>
      <c r="C654" s="1496"/>
      <c r="D654" s="1497"/>
      <c r="E654" s="1308" t="s">
        <v>1052</v>
      </c>
      <c r="F654" s="2838" t="str">
        <f>Translations!$B$647</f>
        <v>Топлинна енергия от отпадни газове: това включва измерима топлинна енергия, произведена от отпадни газове.</v>
      </c>
      <c r="G654" s="2839"/>
      <c r="H654" s="2839"/>
      <c r="I654" s="2839"/>
      <c r="J654" s="2839"/>
      <c r="K654" s="2839"/>
      <c r="L654" s="2839"/>
      <c r="M654" s="2839"/>
      <c r="N654" s="2840"/>
      <c r="O654" s="336"/>
      <c r="P654" s="336"/>
      <c r="Q654" s="770"/>
      <c r="R654" s="694"/>
      <c r="S654" s="770"/>
      <c r="T654" s="694"/>
      <c r="U654" s="694"/>
      <c r="V654" s="694"/>
      <c r="W654" s="694"/>
      <c r="X654" s="694"/>
      <c r="Y654" s="694"/>
      <c r="Z654" s="694"/>
      <c r="AA654" s="694"/>
      <c r="AB654" s="729"/>
      <c r="AC654" s="694"/>
      <c r="AD654" s="694"/>
      <c r="AE654" s="694"/>
      <c r="AF654" s="694"/>
      <c r="AG654" s="694"/>
      <c r="AH654" s="694"/>
      <c r="AI654" s="694"/>
      <c r="AJ654" s="343"/>
      <c r="AK654" s="343"/>
      <c r="AL654" s="343"/>
      <c r="AM654" s="343"/>
    </row>
    <row r="655" spans="1:39" ht="12.75" customHeight="1" x14ac:dyDescent="0.25">
      <c r="A655" s="694"/>
      <c r="B655" s="284"/>
      <c r="C655" s="1496"/>
      <c r="D655" s="1497"/>
      <c r="E655" s="2836" t="str">
        <f>Translations!$B$648</f>
        <v>Тук не включвайте топлинна енергия, получена от източници „които не отговарят на условията“ т.е. инсталации, които не са обхванати от СТЕ на ЕС, или топлинна енергия, произведена в подинсталации за азотна киселина.</v>
      </c>
      <c r="F655" s="2240"/>
      <c r="G655" s="2240"/>
      <c r="H655" s="2240"/>
      <c r="I655" s="2240"/>
      <c r="J655" s="2240"/>
      <c r="K655" s="2240"/>
      <c r="L655" s="2240"/>
      <c r="M655" s="2240"/>
      <c r="N655" s="2811"/>
      <c r="O655" s="336"/>
      <c r="P655" s="336"/>
      <c r="Q655" s="770"/>
      <c r="R655" s="694"/>
      <c r="S655" s="770"/>
      <c r="T655" s="694"/>
      <c r="U655" s="694"/>
      <c r="V655" s="694"/>
      <c r="W655" s="694"/>
      <c r="X655" s="694"/>
      <c r="Y655" s="694"/>
      <c r="Z655" s="694"/>
      <c r="AA655" s="694"/>
      <c r="AB655" s="729"/>
      <c r="AC655" s="694"/>
      <c r="AD655" s="694"/>
      <c r="AE655" s="694"/>
      <c r="AF655" s="694"/>
      <c r="AG655" s="694"/>
      <c r="AH655" s="694"/>
      <c r="AI655" s="694"/>
      <c r="AJ655" s="343"/>
      <c r="AK655" s="343"/>
      <c r="AL655" s="343"/>
      <c r="AM655" s="343"/>
    </row>
    <row r="656" spans="1:39" ht="12.75" customHeight="1" x14ac:dyDescent="0.25">
      <c r="A656" s="694"/>
      <c r="B656" s="284"/>
      <c r="C656" s="1496"/>
      <c r="D656" s="1497"/>
      <c r="E656" s="2838" t="str">
        <f>Translations!$B$649</f>
        <v>При специфичните емисионни фактори (EF), свързани с топлинната енергия, трябва да се отчитат разпоредбите на раздели 8 и 10 от приложение VII към ПБР, и по-специално раздели 10.1.2 и 10.1.3.</v>
      </c>
      <c r="F656" s="2851"/>
      <c r="G656" s="2851"/>
      <c r="H656" s="2851"/>
      <c r="I656" s="2851"/>
      <c r="J656" s="2851"/>
      <c r="K656" s="2851"/>
      <c r="L656" s="2851"/>
      <c r="M656" s="2851"/>
      <c r="N656" s="2852"/>
      <c r="O656" s="336"/>
      <c r="P656" s="336"/>
      <c r="Q656" s="770"/>
      <c r="R656" s="694"/>
      <c r="S656" s="770"/>
      <c r="T656" s="694"/>
      <c r="U656" s="694"/>
      <c r="V656" s="694"/>
      <c r="W656" s="694"/>
      <c r="X656" s="694"/>
      <c r="Y656" s="694"/>
      <c r="Z656" s="694"/>
      <c r="AA656" s="694"/>
      <c r="AB656" s="729"/>
      <c r="AC656" s="694"/>
      <c r="AD656" s="694"/>
      <c r="AE656" s="694"/>
      <c r="AF656" s="694"/>
      <c r="AG656" s="694"/>
      <c r="AH656" s="694"/>
      <c r="AI656" s="694"/>
      <c r="AJ656" s="343"/>
      <c r="AK656" s="343"/>
      <c r="AL656" s="343"/>
      <c r="AM656" s="343"/>
    </row>
    <row r="657" spans="1:39" ht="12.75" customHeight="1" x14ac:dyDescent="0.25">
      <c r="A657" s="694"/>
      <c r="B657" s="284"/>
      <c r="C657" s="1496"/>
      <c r="D657" s="1497"/>
      <c r="E657" s="2825" t="str">
        <f>Translations!$B$608</f>
        <v>За задаването на емисии от комбинираното производство на енергия (КПТЕ) при производството на топлинна енергия трябва да използвате „Инструмента за КПТЕ“ от раздел D.III.</v>
      </c>
      <c r="F657" s="2825"/>
      <c r="G657" s="2825"/>
      <c r="H657" s="2825"/>
      <c r="I657" s="2825"/>
      <c r="J657" s="2825"/>
      <c r="K657" s="2825"/>
      <c r="L657" s="2825"/>
      <c r="M657" s="2825"/>
      <c r="N657" s="1348"/>
      <c r="O657" s="336"/>
      <c r="P657" s="336"/>
      <c r="Q657" s="770"/>
      <c r="R657" s="694"/>
      <c r="S657" s="694"/>
      <c r="T657" s="694"/>
      <c r="U657" s="694"/>
      <c r="V657" s="694"/>
      <c r="W657" s="694"/>
      <c r="X657" s="694"/>
      <c r="Y657" s="694"/>
      <c r="Z657" s="694"/>
      <c r="AA657" s="694"/>
      <c r="AB657" s="694"/>
      <c r="AC657" s="694"/>
      <c r="AD657" s="694"/>
      <c r="AE657" s="694"/>
      <c r="AF657" s="694"/>
      <c r="AG657" s="694"/>
      <c r="AH657" s="694"/>
      <c r="AI657" s="694"/>
      <c r="AJ657" s="343"/>
      <c r="AK657" s="343"/>
      <c r="AL657" s="343"/>
      <c r="AM657" s="343"/>
    </row>
    <row r="658" spans="1:39" ht="12.75" customHeight="1" x14ac:dyDescent="0.25">
      <c r="A658" s="694"/>
      <c r="B658" s="284"/>
      <c r="C658" s="1496"/>
      <c r="D658" s="1497"/>
      <c r="E658" s="2803" t="str">
        <f>Translations!$B$650</f>
        <v>Нетно количество получена топлинна енергия (други източници)</v>
      </c>
      <c r="F658" s="2672"/>
      <c r="G658" s="1309" t="str">
        <f>EUconst_Unit</f>
        <v>Единица мярка</v>
      </c>
      <c r="H658" s="629">
        <f t="shared" ref="H658:N658" si="851">H$1840</f>
        <v>2024</v>
      </c>
      <c r="I658" s="629">
        <f t="shared" si="851"/>
        <v>2025</v>
      </c>
      <c r="J658" s="629">
        <f t="shared" si="851"/>
        <v>2026</v>
      </c>
      <c r="K658" s="629">
        <f t="shared" si="851"/>
        <v>2027</v>
      </c>
      <c r="L658" s="629">
        <f t="shared" si="851"/>
        <v>2028</v>
      </c>
      <c r="M658" s="629">
        <f t="shared" si="851"/>
        <v>2029</v>
      </c>
      <c r="N658" s="1312">
        <f t="shared" si="851"/>
        <v>2030</v>
      </c>
      <c r="O658" s="336"/>
      <c r="P658" s="336"/>
      <c r="Q658" s="770"/>
      <c r="R658" s="694"/>
      <c r="S658" s="770"/>
      <c r="T658" s="1031">
        <f t="shared" ref="T658" si="852">H658</f>
        <v>2024</v>
      </c>
      <c r="U658" s="1031">
        <f t="shared" ref="U658" si="853">I658</f>
        <v>2025</v>
      </c>
      <c r="V658" s="1031">
        <f t="shared" ref="V658" si="854">J658</f>
        <v>2026</v>
      </c>
      <c r="W658" s="1031">
        <f t="shared" ref="W658" si="855">K658</f>
        <v>2027</v>
      </c>
      <c r="X658" s="1031">
        <f t="shared" ref="X658" si="856">L658</f>
        <v>2028</v>
      </c>
      <c r="Y658" s="1031">
        <f t="shared" ref="Y658" si="857">M658</f>
        <v>2029</v>
      </c>
      <c r="Z658" s="1031">
        <f t="shared" ref="Z658" si="858">N658</f>
        <v>2030</v>
      </c>
      <c r="AA658" s="694"/>
      <c r="AB658" s="694"/>
      <c r="AC658" s="1504">
        <f t="shared" ref="AC658" si="859">H$1840</f>
        <v>2024</v>
      </c>
      <c r="AD658" s="1504">
        <f t="shared" ref="AD658" si="860">I$1840</f>
        <v>2025</v>
      </c>
      <c r="AE658" s="1504">
        <f t="shared" ref="AE658" si="861">J$1840</f>
        <v>2026</v>
      </c>
      <c r="AF658" s="1504">
        <f t="shared" ref="AF658" si="862">K$1840</f>
        <v>2027</v>
      </c>
      <c r="AG658" s="1504">
        <f t="shared" ref="AG658" si="863">L$1840</f>
        <v>2028</v>
      </c>
      <c r="AH658" s="1504">
        <f t="shared" ref="AH658" si="864">M$1840</f>
        <v>2029</v>
      </c>
      <c r="AI658" s="1504">
        <f t="shared" ref="AI658" si="865">N$1840</f>
        <v>2030</v>
      </c>
      <c r="AJ658" s="343"/>
      <c r="AK658" s="343"/>
      <c r="AL658" s="343"/>
      <c r="AM658" s="343"/>
    </row>
    <row r="659" spans="1:39" ht="12.75" customHeight="1" x14ac:dyDescent="0.25">
      <c r="A659" s="694"/>
      <c r="B659" s="284"/>
      <c r="C659" s="1496"/>
      <c r="D659" s="1505" t="s">
        <v>6</v>
      </c>
      <c r="E659" s="2820" t="str">
        <f>Translations!$B$554</f>
        <v>Нетно количество получена топлинна енергия</v>
      </c>
      <c r="F659" s="2258"/>
      <c r="G659" s="1319" t="str">
        <f>EUconst_TJpa</f>
        <v>TJ / година</v>
      </c>
      <c r="H659" s="56"/>
      <c r="I659" s="56"/>
      <c r="J659" s="56"/>
      <c r="K659" s="56"/>
      <c r="L659" s="56"/>
      <c r="M659" s="56"/>
      <c r="N659" s="121"/>
      <c r="O659" s="336"/>
      <c r="P659" s="158"/>
      <c r="Q659" s="1500" t="str">
        <f>EUconst_CNTR_HeatImport &amp; I459</f>
        <v>HeatIm_Подинсталация с топлинен показател (с риск от ИВЕ | в рамките на МКВЕГ)</v>
      </c>
      <c r="R659" s="694"/>
      <c r="S659" s="1509" t="str">
        <f>EUconst_ERR_AttrEmBMapplied &amp; $I459</f>
        <v>ERR_AttrEmBM_Подинсталация с топлинен показател (с риск от ИВЕ | в рамките на МКВЕГ)</v>
      </c>
      <c r="T659" s="982">
        <f t="shared" ref="T659" si="866">IF(AND(H659&lt;&gt;0,H660="",EUconst_StatusOfDataCollection=FALSE),1,0)</f>
        <v>0</v>
      </c>
      <c r="U659" s="982">
        <f t="shared" ref="U659" si="867">IF(AND(I659&lt;&gt;0,I660="",EUconst_StatusOfDataCollection=FALSE),1,0)</f>
        <v>0</v>
      </c>
      <c r="V659" s="982">
        <f t="shared" ref="V659" si="868">IF(AND(J659&lt;&gt;0,J660="",EUconst_StatusOfDataCollection=FALSE),1,0)</f>
        <v>0</v>
      </c>
      <c r="W659" s="982">
        <f t="shared" ref="W659" si="869">IF(AND(K659&lt;&gt;0,K660="",EUconst_StatusOfDataCollection=FALSE),1,0)</f>
        <v>0</v>
      </c>
      <c r="X659" s="982">
        <f t="shared" ref="X659" si="870">IF(AND(L659&lt;&gt;0,L660="",EUconst_StatusOfDataCollection=FALSE),1,0)</f>
        <v>0</v>
      </c>
      <c r="Y659" s="982">
        <f t="shared" ref="Y659" si="871">IF(AND(M659&lt;&gt;0,M660="",EUconst_StatusOfDataCollection=FALSE),1,0)</f>
        <v>0</v>
      </c>
      <c r="Z659" s="982">
        <f t="shared" ref="Z659" si="872">IF(AND(N659&lt;&gt;0,N660="",EUconst_StatusOfDataCollection=FALSE),1,0)</f>
        <v>0</v>
      </c>
      <c r="AA659" s="694"/>
      <c r="AB659" s="1182" t="s">
        <v>737</v>
      </c>
      <c r="AC659" s="982" t="b">
        <f t="shared" ref="AC659:AI659" si="873">AC630</f>
        <v>0</v>
      </c>
      <c r="AD659" s="982" t="b">
        <f t="shared" si="873"/>
        <v>0</v>
      </c>
      <c r="AE659" s="982" t="b">
        <f t="shared" si="873"/>
        <v>0</v>
      </c>
      <c r="AF659" s="982" t="b">
        <f t="shared" si="873"/>
        <v>0</v>
      </c>
      <c r="AG659" s="982" t="b">
        <f t="shared" si="873"/>
        <v>0</v>
      </c>
      <c r="AH659" s="982" t="b">
        <f t="shared" si="873"/>
        <v>0</v>
      </c>
      <c r="AI659" s="982" t="b">
        <f t="shared" si="873"/>
        <v>0</v>
      </c>
      <c r="AJ659" s="343"/>
      <c r="AK659" s="343"/>
      <c r="AL659" s="1176" t="str">
        <f>IF(AND(CNTR_ExistSubInstEntries,COUNTIFS(AC659:AI659,2,H659:N659,"")&gt;0),EUconst_Error&amp;"FB"&amp;Q459,"")</f>
        <v/>
      </c>
      <c r="AM659" s="343"/>
    </row>
    <row r="660" spans="1:39" ht="12.75" customHeight="1" x14ac:dyDescent="0.3">
      <c r="A660" s="694"/>
      <c r="B660" s="284"/>
      <c r="C660" s="1496"/>
      <c r="D660" s="1505" t="s">
        <v>7</v>
      </c>
      <c r="E660" s="2820" t="str">
        <f>Translations!$B$555</f>
        <v>Специфичен EF (получена топлинна енергия)</v>
      </c>
      <c r="F660" s="2258"/>
      <c r="G660" s="1319" t="str">
        <f>EUconst_tCO2pTJ</f>
        <v>t CO2 / TJ</v>
      </c>
      <c r="H660" s="56"/>
      <c r="I660" s="56"/>
      <c r="J660" s="56"/>
      <c r="K660" s="56"/>
      <c r="L660" s="56"/>
      <c r="M660" s="56"/>
      <c r="N660" s="121"/>
      <c r="O660" s="336"/>
      <c r="P660" s="158"/>
      <c r="Q660" s="1500" t="str">
        <f>EUconst_CNTR_HeatImportEF &amp; I459</f>
        <v>HeatImEF_Подинсталация с топлинен показател (с риск от ИВЕ | в рамките на МКВЕГ)</v>
      </c>
      <c r="R660" s="694"/>
      <c r="S660" s="1510" t="str">
        <f>EUconst_CNTR_AttributedEmissions &amp; $I459</f>
        <v>AttrEmissions_Подинсталация с топлинен показател (с риск от ИВЕ | в рамките на МКВЕГ)</v>
      </c>
      <c r="T660" s="982" t="str">
        <f t="shared" ref="T660" si="874">IF(T467,SUM(H659)*IF(ISNUMBER(H660),H660,EUconst_HeatBMvalue),"")</f>
        <v/>
      </c>
      <c r="U660" s="982" t="str">
        <f t="shared" ref="U660" si="875">IF(U467,SUM(I659)*IF(ISNUMBER(I660),I660,EUconst_HeatBMvalue),"")</f>
        <v/>
      </c>
      <c r="V660" s="982" t="str">
        <f t="shared" ref="V660" si="876">IF(V467,SUM(J659)*IF(ISNUMBER(J660),J660,EUconst_HeatBMvalue),"")</f>
        <v/>
      </c>
      <c r="W660" s="982" t="str">
        <f t="shared" ref="W660" si="877">IF(W467,SUM(K659)*IF(ISNUMBER(K660),K660,EUconst_HeatBMvalue),"")</f>
        <v/>
      </c>
      <c r="X660" s="982" t="str">
        <f t="shared" ref="X660" si="878">IF(X467,SUM(L659)*IF(ISNUMBER(L660),L660,EUconst_HeatBMvalue),"")</f>
        <v/>
      </c>
      <c r="Y660" s="982" t="str">
        <f t="shared" ref="Y660" si="879">IF(Y467,SUM(M659)*IF(ISNUMBER(M660),M660,EUconst_HeatBMvalue),"")</f>
        <v/>
      </c>
      <c r="Z660" s="982" t="str">
        <f t="shared" ref="Z660" si="880">IF(Z467,SUM(N659)*IF(ISNUMBER(N660),N660,EUconst_HeatBMvalue),"")</f>
        <v/>
      </c>
      <c r="AA660" s="694"/>
      <c r="AB660" s="694"/>
      <c r="AC660" s="982" t="b">
        <f t="shared" ref="AC660:AI660" si="881">AC631</f>
        <v>0</v>
      </c>
      <c r="AD660" s="982" t="b">
        <f t="shared" si="881"/>
        <v>0</v>
      </c>
      <c r="AE660" s="982" t="b">
        <f t="shared" si="881"/>
        <v>0</v>
      </c>
      <c r="AF660" s="982" t="b">
        <f t="shared" si="881"/>
        <v>0</v>
      </c>
      <c r="AG660" s="982" t="b">
        <f t="shared" si="881"/>
        <v>0</v>
      </c>
      <c r="AH660" s="982" t="b">
        <f t="shared" si="881"/>
        <v>0</v>
      </c>
      <c r="AI660" s="982" t="b">
        <f t="shared" si="881"/>
        <v>0</v>
      </c>
      <c r="AJ660" s="343"/>
      <c r="AK660" s="343"/>
      <c r="AL660" s="1176" t="str">
        <f>IF(AND(CNTR_ExistSubInstEntries,COUNTIFS(AC660:AI660,2,H660:N660,"")&gt;0),EUconst_Error&amp;"FB"&amp;Q459,"")</f>
        <v/>
      </c>
      <c r="AM660" s="343"/>
    </row>
    <row r="661" spans="1:39" ht="5.15" customHeight="1" x14ac:dyDescent="0.25">
      <c r="A661" s="694"/>
      <c r="B661" s="284"/>
      <c r="C661" s="1496"/>
      <c r="D661" s="1497"/>
      <c r="E661" s="1497"/>
      <c r="F661" s="1497"/>
      <c r="G661" s="1497"/>
      <c r="H661" s="1497"/>
      <c r="I661" s="1497"/>
      <c r="J661" s="1497"/>
      <c r="K661" s="1497"/>
      <c r="L661" s="1497"/>
      <c r="M661" s="1497"/>
      <c r="N661" s="1503"/>
      <c r="O661" s="336"/>
      <c r="P661" s="336"/>
      <c r="Q661" s="770"/>
      <c r="R661" s="694"/>
      <c r="S661" s="770"/>
      <c r="T661" s="694"/>
      <c r="U661" s="694"/>
      <c r="V661" s="694"/>
      <c r="W661" s="694"/>
      <c r="X661" s="694"/>
      <c r="Y661" s="694"/>
      <c r="Z661" s="694"/>
      <c r="AA661" s="694"/>
      <c r="AB661" s="694"/>
      <c r="AC661" s="694"/>
      <c r="AD661" s="694"/>
      <c r="AE661" s="694"/>
      <c r="AF661" s="694"/>
      <c r="AG661" s="694"/>
      <c r="AH661" s="694"/>
      <c r="AI661" s="694"/>
      <c r="AJ661" s="343"/>
      <c r="AK661" s="343"/>
      <c r="AL661" s="343"/>
      <c r="AM661" s="343"/>
    </row>
    <row r="662" spans="1:39" ht="12.75" customHeight="1" x14ac:dyDescent="0.25">
      <c r="A662" s="694"/>
      <c r="B662" s="284"/>
      <c r="C662" s="1496"/>
      <c r="D662" s="1497"/>
      <c r="E662" s="2803" t="str">
        <f>Translations!$B$651</f>
        <v>Топлинна енергия от подинсталации с продуктов показател</v>
      </c>
      <c r="F662" s="2672"/>
      <c r="G662" s="1309" t="str">
        <f>EUconst_Unit</f>
        <v>Единица мярка</v>
      </c>
      <c r="H662" s="629">
        <f t="shared" ref="H662:N662" si="882">H$1840</f>
        <v>2024</v>
      </c>
      <c r="I662" s="629">
        <f t="shared" si="882"/>
        <v>2025</v>
      </c>
      <c r="J662" s="629">
        <f t="shared" si="882"/>
        <v>2026</v>
      </c>
      <c r="K662" s="629">
        <f t="shared" si="882"/>
        <v>2027</v>
      </c>
      <c r="L662" s="629">
        <f t="shared" si="882"/>
        <v>2028</v>
      </c>
      <c r="M662" s="629">
        <f t="shared" si="882"/>
        <v>2029</v>
      </c>
      <c r="N662" s="1312">
        <f t="shared" si="882"/>
        <v>2030</v>
      </c>
      <c r="O662" s="336"/>
      <c r="P662" s="336"/>
      <c r="Q662" s="770"/>
      <c r="R662" s="694"/>
      <c r="S662" s="770"/>
      <c r="T662" s="1031">
        <f t="shared" ref="T662" si="883">H662</f>
        <v>2024</v>
      </c>
      <c r="U662" s="1031">
        <f t="shared" ref="U662" si="884">I662</f>
        <v>2025</v>
      </c>
      <c r="V662" s="1031">
        <f t="shared" ref="V662" si="885">J662</f>
        <v>2026</v>
      </c>
      <c r="W662" s="1031">
        <f t="shared" ref="W662" si="886">K662</f>
        <v>2027</v>
      </c>
      <c r="X662" s="1031">
        <f t="shared" ref="X662" si="887">L662</f>
        <v>2028</v>
      </c>
      <c r="Y662" s="1031">
        <f t="shared" ref="Y662" si="888">M662</f>
        <v>2029</v>
      </c>
      <c r="Z662" s="1031">
        <f>N662</f>
        <v>2030</v>
      </c>
      <c r="AA662" s="694"/>
      <c r="AB662" s="729"/>
      <c r="AC662" s="1504">
        <f t="shared" ref="AC662" si="889">H$1840</f>
        <v>2024</v>
      </c>
      <c r="AD662" s="1504">
        <f t="shared" ref="AD662" si="890">I$1840</f>
        <v>2025</v>
      </c>
      <c r="AE662" s="1504">
        <f t="shared" ref="AE662" si="891">J$1840</f>
        <v>2026</v>
      </c>
      <c r="AF662" s="1504">
        <f t="shared" ref="AF662" si="892">K$1840</f>
        <v>2027</v>
      </c>
      <c r="AG662" s="1504">
        <f t="shared" ref="AG662" si="893">L$1840</f>
        <v>2028</v>
      </c>
      <c r="AH662" s="1504">
        <f t="shared" ref="AH662" si="894">M$1840</f>
        <v>2029</v>
      </c>
      <c r="AI662" s="1504">
        <f t="shared" ref="AI662" si="895">N$1840</f>
        <v>2030</v>
      </c>
      <c r="AJ662" s="343"/>
      <c r="AK662" s="343"/>
      <c r="AL662" s="343"/>
      <c r="AM662" s="343"/>
    </row>
    <row r="663" spans="1:39" ht="12.75" customHeight="1" x14ac:dyDescent="0.25">
      <c r="A663" s="694"/>
      <c r="B663" s="284"/>
      <c r="C663" s="1496"/>
      <c r="D663" s="1505" t="s">
        <v>18</v>
      </c>
      <c r="E663" s="2820" t="str">
        <f>Translations!$B$554</f>
        <v>Нетно количество получена топлинна енергия</v>
      </c>
      <c r="F663" s="2258"/>
      <c r="G663" s="1319" t="str">
        <f>EUconst_TJpa</f>
        <v>TJ / година</v>
      </c>
      <c r="H663" s="56"/>
      <c r="I663" s="56"/>
      <c r="J663" s="56"/>
      <c r="K663" s="56"/>
      <c r="L663" s="56"/>
      <c r="M663" s="56"/>
      <c r="N663" s="121"/>
      <c r="O663" s="336"/>
      <c r="P663" s="158"/>
      <c r="Q663" s="1500" t="str">
        <f>EUconst_CNTR_HeatImportProduct &amp; I459</f>
        <v>HeatImProd_Подинсталация с топлинен показател (с риск от ИВЕ | в рамките на МКВЕГ)</v>
      </c>
      <c r="R663" s="694"/>
      <c r="S663" s="1509" t="str">
        <f>EUconst_ERR_AttrEmBMapplied &amp; $I459</f>
        <v>ERR_AttrEmBM_Подинсталация с топлинен показател (с риск от ИВЕ | в рамките на МКВЕГ)</v>
      </c>
      <c r="T663" s="982">
        <f t="shared" ref="T663" si="896">IF(AND(H663&lt;&gt;0,H664="",EUconst_StatusOfDataCollection=FALSE),1,0)</f>
        <v>0</v>
      </c>
      <c r="U663" s="982">
        <f t="shared" ref="U663" si="897">IF(AND(I663&lt;&gt;0,I664="",EUconst_StatusOfDataCollection=FALSE),1,0)</f>
        <v>0</v>
      </c>
      <c r="V663" s="982">
        <f t="shared" ref="V663" si="898">IF(AND(J663&lt;&gt;0,J664="",EUconst_StatusOfDataCollection=FALSE),1,0)</f>
        <v>0</v>
      </c>
      <c r="W663" s="982">
        <f t="shared" ref="W663" si="899">IF(AND(K663&lt;&gt;0,K664="",EUconst_StatusOfDataCollection=FALSE),1,0)</f>
        <v>0</v>
      </c>
      <c r="X663" s="982">
        <f t="shared" ref="X663" si="900">IF(AND(L663&lt;&gt;0,L664="",EUconst_StatusOfDataCollection=FALSE),1,0)</f>
        <v>0</v>
      </c>
      <c r="Y663" s="982">
        <f t="shared" ref="Y663" si="901">IF(AND(M663&lt;&gt;0,M664="",EUconst_StatusOfDataCollection=FALSE),1,0)</f>
        <v>0</v>
      </c>
      <c r="Z663" s="982">
        <f t="shared" ref="Z663" si="902">IF(AND(N663&lt;&gt;0,N664="",EUconst_StatusOfDataCollection=FALSE),1,0)</f>
        <v>0</v>
      </c>
      <c r="AA663" s="694"/>
      <c r="AB663" s="1182" t="s">
        <v>737</v>
      </c>
      <c r="AC663" s="982" t="b">
        <f>AC659</f>
        <v>0</v>
      </c>
      <c r="AD663" s="982" t="b">
        <f t="shared" ref="AD663:AI663" si="903">AD659</f>
        <v>0</v>
      </c>
      <c r="AE663" s="982" t="b">
        <f t="shared" si="903"/>
        <v>0</v>
      </c>
      <c r="AF663" s="982" t="b">
        <f t="shared" si="903"/>
        <v>0</v>
      </c>
      <c r="AG663" s="982" t="b">
        <f t="shared" si="903"/>
        <v>0</v>
      </c>
      <c r="AH663" s="982" t="b">
        <f t="shared" si="903"/>
        <v>0</v>
      </c>
      <c r="AI663" s="982" t="b">
        <f t="shared" si="903"/>
        <v>0</v>
      </c>
      <c r="AJ663" s="343"/>
      <c r="AK663" s="343"/>
      <c r="AL663" s="1176" t="str">
        <f>IF(AND(CNTR_ExistSubInstEntries,COUNTIFS(AC663:AI663,2,H663:N663,"")&gt;0),EUconst_Error&amp;"FB"&amp;Q459,"")</f>
        <v/>
      </c>
      <c r="AM663" s="343"/>
    </row>
    <row r="664" spans="1:39" ht="12.75" customHeight="1" x14ac:dyDescent="0.3">
      <c r="A664" s="694"/>
      <c r="B664" s="284"/>
      <c r="C664" s="1496"/>
      <c r="D664" s="1505" t="s">
        <v>810</v>
      </c>
      <c r="E664" s="2820" t="str">
        <f>Translations!$B$652</f>
        <v>Специфичен EF (от продуктов показател)</v>
      </c>
      <c r="F664" s="2258"/>
      <c r="G664" s="1319" t="str">
        <f>EUconst_tCO2pTJ</f>
        <v>t CO2 / TJ</v>
      </c>
      <c r="H664" s="56"/>
      <c r="I664" s="56"/>
      <c r="J664" s="56"/>
      <c r="K664" s="56"/>
      <c r="L664" s="56"/>
      <c r="M664" s="56"/>
      <c r="N664" s="121"/>
      <c r="O664" s="336"/>
      <c r="P664" s="158"/>
      <c r="Q664" s="1500" t="str">
        <f>EUconst_CNTR_HeatImportProductEF &amp; I459</f>
        <v>HeatImProdEF_Подинсталация с топлинен показател (с риск от ИВЕ | в рамките на МКВЕГ)</v>
      </c>
      <c r="R664" s="694"/>
      <c r="S664" s="1510" t="str">
        <f>EUconst_CNTR_AttributedEmissions &amp; $I459</f>
        <v>AttrEmissions_Подинсталация с топлинен показател (с риск от ИВЕ | в рамките на МКВЕГ)</v>
      </c>
      <c r="T664" s="982" t="str">
        <f t="shared" ref="T664" si="904">IF(T467,SUM(H663)*IF(ISNUMBER(H664),H664,EUconst_HeatBMvalue),"")</f>
        <v/>
      </c>
      <c r="U664" s="982" t="str">
        <f t="shared" ref="U664" si="905">IF(U467,SUM(I663)*IF(ISNUMBER(I664),I664,EUconst_HeatBMvalue),"")</f>
        <v/>
      </c>
      <c r="V664" s="982" t="str">
        <f t="shared" ref="V664" si="906">IF(V467,SUM(J663)*IF(ISNUMBER(J664),J664,EUconst_HeatBMvalue),"")</f>
        <v/>
      </c>
      <c r="W664" s="982" t="str">
        <f t="shared" ref="W664" si="907">IF(W467,SUM(K663)*IF(ISNUMBER(K664),K664,EUconst_HeatBMvalue),"")</f>
        <v/>
      </c>
      <c r="X664" s="982" t="str">
        <f t="shared" ref="X664" si="908">IF(X467,SUM(L663)*IF(ISNUMBER(L664),L664,EUconst_HeatBMvalue),"")</f>
        <v/>
      </c>
      <c r="Y664" s="982" t="str">
        <f t="shared" ref="Y664" si="909">IF(Y467,SUM(M663)*IF(ISNUMBER(M664),M664,EUconst_HeatBMvalue),"")</f>
        <v/>
      </c>
      <c r="Z664" s="982" t="str">
        <f t="shared" ref="Z664" si="910">IF(Z467,SUM(N663)*IF(ISNUMBER(N664),N664,EUconst_HeatBMvalue),"")</f>
        <v/>
      </c>
      <c r="AA664" s="694"/>
      <c r="AB664" s="729"/>
      <c r="AC664" s="982" t="b">
        <f>AC660</f>
        <v>0</v>
      </c>
      <c r="AD664" s="982" t="b">
        <f t="shared" ref="AD664:AI664" si="911">AD660</f>
        <v>0</v>
      </c>
      <c r="AE664" s="982" t="b">
        <f t="shared" si="911"/>
        <v>0</v>
      </c>
      <c r="AF664" s="982" t="b">
        <f t="shared" si="911"/>
        <v>0</v>
      </c>
      <c r="AG664" s="982" t="b">
        <f t="shared" si="911"/>
        <v>0</v>
      </c>
      <c r="AH664" s="982" t="b">
        <f t="shared" si="911"/>
        <v>0</v>
      </c>
      <c r="AI664" s="982" t="b">
        <f t="shared" si="911"/>
        <v>0</v>
      </c>
      <c r="AJ664" s="343"/>
      <c r="AK664" s="343"/>
      <c r="AL664" s="1176" t="str">
        <f>IF(AND(CNTR_ExistSubInstEntries,COUNTIFS(AC664:AI664,2,H664:N664,"")&gt;0),EUconst_Error&amp;"FB"&amp;Q459,"")</f>
        <v/>
      </c>
      <c r="AM664" s="343"/>
    </row>
    <row r="665" spans="1:39" ht="5.15" customHeight="1" x14ac:dyDescent="0.25">
      <c r="A665" s="694"/>
      <c r="B665" s="284"/>
      <c r="C665" s="1496"/>
      <c r="D665" s="1497"/>
      <c r="E665" s="1497"/>
      <c r="F665" s="1497"/>
      <c r="G665" s="1497"/>
      <c r="H665" s="1497"/>
      <c r="I665" s="1497"/>
      <c r="J665" s="1497"/>
      <c r="K665" s="1497"/>
      <c r="L665" s="1497"/>
      <c r="M665" s="1497"/>
      <c r="N665" s="1503"/>
      <c r="O665" s="336"/>
      <c r="P665" s="336"/>
      <c r="Q665" s="770"/>
      <c r="R665" s="694"/>
      <c r="S665" s="770"/>
      <c r="T665" s="694"/>
      <c r="U665" s="694"/>
      <c r="V665" s="694"/>
      <c r="W665" s="694"/>
      <c r="X665" s="694"/>
      <c r="Y665" s="694"/>
      <c r="Z665" s="694"/>
      <c r="AA665" s="694"/>
      <c r="AB665" s="729"/>
      <c r="AC665" s="694"/>
      <c r="AD665" s="694"/>
      <c r="AE665" s="694"/>
      <c r="AF665" s="694"/>
      <c r="AG665" s="694"/>
      <c r="AH665" s="694"/>
      <c r="AI665" s="694"/>
      <c r="AJ665" s="343"/>
      <c r="AK665" s="343"/>
      <c r="AL665" s="343"/>
      <c r="AM665" s="343"/>
    </row>
    <row r="666" spans="1:39" ht="12.75" customHeight="1" x14ac:dyDescent="0.25">
      <c r="A666" s="694"/>
      <c r="B666" s="284"/>
      <c r="C666" s="1496"/>
      <c r="D666" s="1497"/>
      <c r="E666" s="2803" t="str">
        <f>Translations!$B$653</f>
        <v>Топлинна енергия от пулп</v>
      </c>
      <c r="F666" s="2672"/>
      <c r="G666" s="1309" t="str">
        <f>EUconst_Unit</f>
        <v>Единица мярка</v>
      </c>
      <c r="H666" s="629">
        <f t="shared" ref="H666:N666" si="912">H$1840</f>
        <v>2024</v>
      </c>
      <c r="I666" s="629">
        <f t="shared" si="912"/>
        <v>2025</v>
      </c>
      <c r="J666" s="629">
        <f t="shared" si="912"/>
        <v>2026</v>
      </c>
      <c r="K666" s="629">
        <f t="shared" si="912"/>
        <v>2027</v>
      </c>
      <c r="L666" s="629">
        <f t="shared" si="912"/>
        <v>2028</v>
      </c>
      <c r="M666" s="629">
        <f t="shared" si="912"/>
        <v>2029</v>
      </c>
      <c r="N666" s="1312">
        <f t="shared" si="912"/>
        <v>2030</v>
      </c>
      <c r="O666" s="336"/>
      <c r="P666" s="336"/>
      <c r="Q666" s="770"/>
      <c r="R666" s="694"/>
      <c r="S666" s="770"/>
      <c r="T666" s="1031">
        <f t="shared" ref="T666" si="913">H666</f>
        <v>2024</v>
      </c>
      <c r="U666" s="1031">
        <f t="shared" ref="U666" si="914">I666</f>
        <v>2025</v>
      </c>
      <c r="V666" s="1031">
        <f t="shared" ref="V666" si="915">J666</f>
        <v>2026</v>
      </c>
      <c r="W666" s="1031">
        <f t="shared" ref="W666" si="916">K666</f>
        <v>2027</v>
      </c>
      <c r="X666" s="1031">
        <f t="shared" ref="X666" si="917">L666</f>
        <v>2028</v>
      </c>
      <c r="Y666" s="1031">
        <f t="shared" ref="Y666" si="918">M666</f>
        <v>2029</v>
      </c>
      <c r="Z666" s="1031">
        <f>N666</f>
        <v>2030</v>
      </c>
      <c r="AA666" s="694"/>
      <c r="AB666" s="729"/>
      <c r="AC666" s="1504">
        <f t="shared" ref="AC666" si="919">H$1840</f>
        <v>2024</v>
      </c>
      <c r="AD666" s="1504">
        <f t="shared" ref="AD666" si="920">I$1840</f>
        <v>2025</v>
      </c>
      <c r="AE666" s="1504">
        <f t="shared" ref="AE666" si="921">J$1840</f>
        <v>2026</v>
      </c>
      <c r="AF666" s="1504">
        <f t="shared" ref="AF666" si="922">K$1840</f>
        <v>2027</v>
      </c>
      <c r="AG666" s="1504">
        <f t="shared" ref="AG666" si="923">L$1840</f>
        <v>2028</v>
      </c>
      <c r="AH666" s="1504">
        <f t="shared" ref="AH666" si="924">M$1840</f>
        <v>2029</v>
      </c>
      <c r="AI666" s="1504">
        <f t="shared" ref="AI666" si="925">N$1840</f>
        <v>2030</v>
      </c>
      <c r="AJ666" s="343"/>
      <c r="AK666" s="343"/>
      <c r="AL666" s="343"/>
      <c r="AM666" s="343"/>
    </row>
    <row r="667" spans="1:39" ht="12.75" customHeight="1" x14ac:dyDescent="0.25">
      <c r="A667" s="694"/>
      <c r="B667" s="284"/>
      <c r="C667" s="1496"/>
      <c r="D667" s="1505" t="s">
        <v>812</v>
      </c>
      <c r="E667" s="2820" t="str">
        <f>Translations!$B$554</f>
        <v>Нетно количество получена топлинна енергия</v>
      </c>
      <c r="F667" s="2258"/>
      <c r="G667" s="1319" t="str">
        <f>EUconst_TJpa</f>
        <v>TJ / година</v>
      </c>
      <c r="H667" s="56"/>
      <c r="I667" s="56"/>
      <c r="J667" s="56"/>
      <c r="K667" s="56"/>
      <c r="L667" s="56"/>
      <c r="M667" s="56"/>
      <c r="N667" s="121"/>
      <c r="O667" s="336"/>
      <c r="P667" s="158"/>
      <c r="Q667" s="1500" t="str">
        <f>EUconst_CNTR_HeatImportPulp &amp; I459</f>
        <v>HeatImPulp_Подинсталация с топлинен показател (с риск от ИВЕ | в рамките на МКВЕГ)</v>
      </c>
      <c r="R667" s="694"/>
      <c r="S667" s="1509" t="str">
        <f>EUconst_ERR_AttrEmBMapplied &amp; $I459</f>
        <v>ERR_AttrEmBM_Подинсталация с топлинен показател (с риск от ИВЕ | в рамките на МКВЕГ)</v>
      </c>
      <c r="T667" s="982">
        <f t="shared" ref="T667" si="926">IF(AND(H667&lt;&gt;0,H668="",EUconst_StatusOfDataCollection=FALSE),1,0)</f>
        <v>0</v>
      </c>
      <c r="U667" s="982">
        <f t="shared" ref="U667" si="927">IF(AND(I667&lt;&gt;0,I668="",EUconst_StatusOfDataCollection=FALSE),1,0)</f>
        <v>0</v>
      </c>
      <c r="V667" s="982">
        <f t="shared" ref="V667" si="928">IF(AND(J667&lt;&gt;0,J668="",EUconst_StatusOfDataCollection=FALSE),1,0)</f>
        <v>0</v>
      </c>
      <c r="W667" s="982">
        <f t="shared" ref="W667" si="929">IF(AND(K667&lt;&gt;0,K668="",EUconst_StatusOfDataCollection=FALSE),1,0)</f>
        <v>0</v>
      </c>
      <c r="X667" s="982">
        <f t="shared" ref="X667" si="930">IF(AND(L667&lt;&gt;0,L668="",EUconst_StatusOfDataCollection=FALSE),1,0)</f>
        <v>0</v>
      </c>
      <c r="Y667" s="982">
        <f t="shared" ref="Y667" si="931">IF(AND(M667&lt;&gt;0,M668="",EUconst_StatusOfDataCollection=FALSE),1,0)</f>
        <v>0</v>
      </c>
      <c r="Z667" s="982">
        <f t="shared" ref="Z667" si="932">IF(AND(N667&lt;&gt;0,N668="",EUconst_StatusOfDataCollection=FALSE),1,0)</f>
        <v>0</v>
      </c>
      <c r="AA667" s="694"/>
      <c r="AB667" s="1182" t="s">
        <v>737</v>
      </c>
      <c r="AC667" s="982" t="b">
        <f>AC663</f>
        <v>0</v>
      </c>
      <c r="AD667" s="982" t="b">
        <f t="shared" ref="AD667:AI667" si="933">AD663</f>
        <v>0</v>
      </c>
      <c r="AE667" s="982" t="b">
        <f t="shared" si="933"/>
        <v>0</v>
      </c>
      <c r="AF667" s="982" t="b">
        <f t="shared" si="933"/>
        <v>0</v>
      </c>
      <c r="AG667" s="982" t="b">
        <f t="shared" si="933"/>
        <v>0</v>
      </c>
      <c r="AH667" s="982" t="b">
        <f t="shared" si="933"/>
        <v>0</v>
      </c>
      <c r="AI667" s="982" t="b">
        <f t="shared" si="933"/>
        <v>0</v>
      </c>
      <c r="AJ667" s="343"/>
      <c r="AK667" s="343"/>
      <c r="AL667" s="1176" t="str">
        <f>IF(AND(CNTR_ExistSubInstEntries,COUNTIFS(AC667:AI667,2,H667:N667,"")&gt;0),EUconst_Error&amp;"FB"&amp;Q459,"")</f>
        <v/>
      </c>
      <c r="AM667" s="343"/>
    </row>
    <row r="668" spans="1:39" ht="12.75" customHeight="1" x14ac:dyDescent="0.3">
      <c r="A668" s="694"/>
      <c r="B668" s="284"/>
      <c r="C668" s="1496"/>
      <c r="D668" s="1505" t="s">
        <v>813</v>
      </c>
      <c r="E668" s="2820" t="str">
        <f>Translations!$B$654</f>
        <v>Специфичен EF (от пулп)</v>
      </c>
      <c r="F668" s="2258"/>
      <c r="G668" s="1319" t="str">
        <f>EUconst_tCO2pTJ</f>
        <v>t CO2 / TJ</v>
      </c>
      <c r="H668" s="56"/>
      <c r="I668" s="56"/>
      <c r="J668" s="56"/>
      <c r="K668" s="56"/>
      <c r="L668" s="56"/>
      <c r="M668" s="56"/>
      <c r="N668" s="121"/>
      <c r="O668" s="336"/>
      <c r="P668" s="158"/>
      <c r="Q668" s="1500" t="str">
        <f>EUconst_CNTR_HeatImportPulpEF &amp; I459</f>
        <v>HeatImPulpEF_Подинсталация с топлинен показател (с риск от ИВЕ | в рамките на МКВЕГ)</v>
      </c>
      <c r="R668" s="694"/>
      <c r="S668" s="1510" t="str">
        <f>EUconst_CNTR_AttributedEmissions &amp; $I459</f>
        <v>AttrEmissions_Подинсталация с топлинен показател (с риск от ИВЕ | в рамките на МКВЕГ)</v>
      </c>
      <c r="T668" s="982" t="str">
        <f t="shared" ref="T668" si="934">IF(T467,SUM(H667)*IF(ISNUMBER(H668),H668,EUconst_HeatBMvalue),"")</f>
        <v/>
      </c>
      <c r="U668" s="982" t="str">
        <f t="shared" ref="U668" si="935">IF(U467,SUM(I667)*IF(ISNUMBER(I668),I668,EUconst_HeatBMvalue),"")</f>
        <v/>
      </c>
      <c r="V668" s="982" t="str">
        <f t="shared" ref="V668" si="936">IF(V467,SUM(J667)*IF(ISNUMBER(J668),J668,EUconst_HeatBMvalue),"")</f>
        <v/>
      </c>
      <c r="W668" s="982" t="str">
        <f t="shared" ref="W668" si="937">IF(W467,SUM(K667)*IF(ISNUMBER(K668),K668,EUconst_HeatBMvalue),"")</f>
        <v/>
      </c>
      <c r="X668" s="982" t="str">
        <f t="shared" ref="X668" si="938">IF(X467,SUM(L667)*IF(ISNUMBER(L668),L668,EUconst_HeatBMvalue),"")</f>
        <v/>
      </c>
      <c r="Y668" s="982" t="str">
        <f t="shared" ref="Y668" si="939">IF(Y467,SUM(M667)*IF(ISNUMBER(M668),M668,EUconst_HeatBMvalue),"")</f>
        <v/>
      </c>
      <c r="Z668" s="982" t="str">
        <f t="shared" ref="Z668" si="940">IF(Z467,SUM(N667)*IF(ISNUMBER(N668),N668,EUconst_HeatBMvalue),"")</f>
        <v/>
      </c>
      <c r="AA668" s="694"/>
      <c r="AB668" s="729"/>
      <c r="AC668" s="982" t="b">
        <f>AC664</f>
        <v>0</v>
      </c>
      <c r="AD668" s="982" t="b">
        <f t="shared" ref="AD668:AI668" si="941">AD664</f>
        <v>0</v>
      </c>
      <c r="AE668" s="982" t="b">
        <f t="shared" si="941"/>
        <v>0</v>
      </c>
      <c r="AF668" s="982" t="b">
        <f t="shared" si="941"/>
        <v>0</v>
      </c>
      <c r="AG668" s="982" t="b">
        <f t="shared" si="941"/>
        <v>0</v>
      </c>
      <c r="AH668" s="982" t="b">
        <f t="shared" si="941"/>
        <v>0</v>
      </c>
      <c r="AI668" s="982" t="b">
        <f t="shared" si="941"/>
        <v>0</v>
      </c>
      <c r="AJ668" s="343"/>
      <c r="AK668" s="343"/>
      <c r="AL668" s="1176" t="str">
        <f>IF(AND(CNTR_ExistSubInstEntries,COUNTIFS(AC668:AI668,2,H668:N668,"")&gt;0),EUconst_Error&amp;"FB"&amp;Q459,"")</f>
        <v/>
      </c>
      <c r="AM668" s="343"/>
    </row>
    <row r="669" spans="1:39" ht="5.15" customHeight="1" x14ac:dyDescent="0.25">
      <c r="A669" s="694"/>
      <c r="B669" s="284"/>
      <c r="C669" s="1496"/>
      <c r="D669" s="1497"/>
      <c r="E669" s="1497"/>
      <c r="F669" s="1497"/>
      <c r="G669" s="1497"/>
      <c r="H669" s="1497"/>
      <c r="I669" s="1497"/>
      <c r="J669" s="1497"/>
      <c r="K669" s="1497"/>
      <c r="L669" s="1497"/>
      <c r="M669" s="1497"/>
      <c r="N669" s="1503"/>
      <c r="O669" s="336"/>
      <c r="P669" s="336"/>
      <c r="Q669" s="770"/>
      <c r="R669" s="694"/>
      <c r="S669" s="770"/>
      <c r="T669" s="694"/>
      <c r="U669" s="694"/>
      <c r="V669" s="694"/>
      <c r="W669" s="694"/>
      <c r="X669" s="694"/>
      <c r="Y669" s="694"/>
      <c r="Z669" s="694"/>
      <c r="AA669" s="694"/>
      <c r="AB669" s="729"/>
      <c r="AC669" s="694"/>
      <c r="AD669" s="694"/>
      <c r="AE669" s="694"/>
      <c r="AF669" s="694"/>
      <c r="AG669" s="694"/>
      <c r="AH669" s="694"/>
      <c r="AI669" s="694"/>
      <c r="AJ669" s="343"/>
      <c r="AK669" s="343"/>
      <c r="AL669" s="343"/>
      <c r="AM669" s="343"/>
    </row>
    <row r="670" spans="1:39" ht="12.75" customHeight="1" x14ac:dyDescent="0.25">
      <c r="A670" s="694"/>
      <c r="B670" s="284"/>
      <c r="C670" s="1496"/>
      <c r="D670" s="1497"/>
      <c r="E670" s="2803" t="str">
        <f>Translations!$B$655</f>
        <v>Топлинна енергия от подинсталации с горивен показател</v>
      </c>
      <c r="F670" s="2672"/>
      <c r="G670" s="1309" t="str">
        <f>EUconst_Unit</f>
        <v>Единица мярка</v>
      </c>
      <c r="H670" s="629">
        <f t="shared" ref="H670:N670" si="942">H$1840</f>
        <v>2024</v>
      </c>
      <c r="I670" s="629">
        <f t="shared" si="942"/>
        <v>2025</v>
      </c>
      <c r="J670" s="629">
        <f t="shared" si="942"/>
        <v>2026</v>
      </c>
      <c r="K670" s="629">
        <f t="shared" si="942"/>
        <v>2027</v>
      </c>
      <c r="L670" s="629">
        <f t="shared" si="942"/>
        <v>2028</v>
      </c>
      <c r="M670" s="629">
        <f t="shared" si="942"/>
        <v>2029</v>
      </c>
      <c r="N670" s="1312">
        <f t="shared" si="942"/>
        <v>2030</v>
      </c>
      <c r="O670" s="336"/>
      <c r="P670" s="336"/>
      <c r="Q670" s="770"/>
      <c r="R670" s="694"/>
      <c r="S670" s="770"/>
      <c r="T670" s="1031">
        <f t="shared" ref="T670" si="943">H670</f>
        <v>2024</v>
      </c>
      <c r="U670" s="1031">
        <f t="shared" ref="U670" si="944">I670</f>
        <v>2025</v>
      </c>
      <c r="V670" s="1031">
        <f t="shared" ref="V670" si="945">J670</f>
        <v>2026</v>
      </c>
      <c r="W670" s="1031">
        <f t="shared" ref="W670" si="946">K670</f>
        <v>2027</v>
      </c>
      <c r="X670" s="1031">
        <f t="shared" ref="X670" si="947">L670</f>
        <v>2028</v>
      </c>
      <c r="Y670" s="1031">
        <f t="shared" ref="Y670" si="948">M670</f>
        <v>2029</v>
      </c>
      <c r="Z670" s="1031">
        <f>N670</f>
        <v>2030</v>
      </c>
      <c r="AA670" s="694"/>
      <c r="AB670" s="729"/>
      <c r="AC670" s="1504">
        <f t="shared" ref="AC670" si="949">H$1840</f>
        <v>2024</v>
      </c>
      <c r="AD670" s="1504">
        <f t="shared" ref="AD670" si="950">I$1840</f>
        <v>2025</v>
      </c>
      <c r="AE670" s="1504">
        <f t="shared" ref="AE670" si="951">J$1840</f>
        <v>2026</v>
      </c>
      <c r="AF670" s="1504">
        <f t="shared" ref="AF670" si="952">K$1840</f>
        <v>2027</v>
      </c>
      <c r="AG670" s="1504">
        <f t="shared" ref="AG670" si="953">L$1840</f>
        <v>2028</v>
      </c>
      <c r="AH670" s="1504">
        <f t="shared" ref="AH670" si="954">M$1840</f>
        <v>2029</v>
      </c>
      <c r="AI670" s="1504">
        <f t="shared" ref="AI670" si="955">N$1840</f>
        <v>2030</v>
      </c>
      <c r="AJ670" s="343"/>
      <c r="AK670" s="343"/>
      <c r="AL670" s="343"/>
      <c r="AM670" s="343"/>
    </row>
    <row r="671" spans="1:39" ht="12.75" customHeight="1" x14ac:dyDescent="0.25">
      <c r="A671" s="694"/>
      <c r="B671" s="284"/>
      <c r="C671" s="1496"/>
      <c r="D671" s="1505" t="s">
        <v>61</v>
      </c>
      <c r="E671" s="2820" t="str">
        <f>Translations!$B$554</f>
        <v>Нетно количество получена топлинна енергия</v>
      </c>
      <c r="F671" s="2258"/>
      <c r="G671" s="1319" t="str">
        <f>EUconst_TJpa</f>
        <v>TJ / година</v>
      </c>
      <c r="H671" s="56"/>
      <c r="I671" s="56"/>
      <c r="J671" s="56"/>
      <c r="K671" s="56"/>
      <c r="L671" s="56"/>
      <c r="M671" s="56"/>
      <c r="N671" s="121"/>
      <c r="O671" s="336"/>
      <c r="P671" s="158"/>
      <c r="Q671" s="1500" t="str">
        <f>EUconst_CNTR_HeatImportFuel &amp; I459</f>
        <v>HeatImFuel_Подинсталация с топлинен показател (с риск от ИВЕ | в рамките на МКВЕГ)</v>
      </c>
      <c r="R671" s="694"/>
      <c r="S671" s="1509" t="str">
        <f>EUconst_ERR_AttrEmBMapplied &amp; $I459</f>
        <v>ERR_AttrEmBM_Подинсталация с топлинен показател (с риск от ИВЕ | в рамките на МКВЕГ)</v>
      </c>
      <c r="T671" s="982">
        <f t="shared" ref="T671" si="956">IF(AND(H671&lt;&gt;0,H672="",EUconst_StatusOfDataCollection=FALSE),1,0)</f>
        <v>0</v>
      </c>
      <c r="U671" s="982">
        <f t="shared" ref="U671" si="957">IF(AND(I671&lt;&gt;0,I672="",EUconst_StatusOfDataCollection=FALSE),1,0)</f>
        <v>0</v>
      </c>
      <c r="V671" s="982">
        <f t="shared" ref="V671" si="958">IF(AND(J671&lt;&gt;0,J672="",EUconst_StatusOfDataCollection=FALSE),1,0)</f>
        <v>0</v>
      </c>
      <c r="W671" s="982">
        <f t="shared" ref="W671" si="959">IF(AND(K671&lt;&gt;0,K672="",EUconst_StatusOfDataCollection=FALSE),1,0)</f>
        <v>0</v>
      </c>
      <c r="X671" s="982">
        <f t="shared" ref="X671" si="960">IF(AND(L671&lt;&gt;0,L672="",EUconst_StatusOfDataCollection=FALSE),1,0)</f>
        <v>0</v>
      </c>
      <c r="Y671" s="982">
        <f t="shared" ref="Y671" si="961">IF(AND(M671&lt;&gt;0,M672="",EUconst_StatusOfDataCollection=FALSE),1,0)</f>
        <v>0</v>
      </c>
      <c r="Z671" s="982">
        <f t="shared" ref="Z671" si="962">IF(AND(N671&lt;&gt;0,N672="",EUconst_StatusOfDataCollection=FALSE),1,0)</f>
        <v>0</v>
      </c>
      <c r="AA671" s="694"/>
      <c r="AB671" s="1182" t="s">
        <v>737</v>
      </c>
      <c r="AC671" s="982" t="b">
        <f>AC667</f>
        <v>0</v>
      </c>
      <c r="AD671" s="982" t="b">
        <f t="shared" ref="AD671:AI671" si="963">AD667</f>
        <v>0</v>
      </c>
      <c r="AE671" s="982" t="b">
        <f t="shared" si="963"/>
        <v>0</v>
      </c>
      <c r="AF671" s="982" t="b">
        <f t="shared" si="963"/>
        <v>0</v>
      </c>
      <c r="AG671" s="982" t="b">
        <f t="shared" si="963"/>
        <v>0</v>
      </c>
      <c r="AH671" s="982" t="b">
        <f t="shared" si="963"/>
        <v>0</v>
      </c>
      <c r="AI671" s="982" t="b">
        <f t="shared" si="963"/>
        <v>0</v>
      </c>
      <c r="AJ671" s="343"/>
      <c r="AK671" s="343"/>
      <c r="AL671" s="1176" t="str">
        <f>IF(AND(CNTR_ExistSubInstEntries,COUNTIFS(AC671:AI671,2,H671:N671,"")&gt;0),EUconst_Error&amp;"FB"&amp;Q459,"")</f>
        <v/>
      </c>
      <c r="AM671" s="343"/>
    </row>
    <row r="672" spans="1:39" ht="12.75" customHeight="1" x14ac:dyDescent="0.3">
      <c r="A672" s="694"/>
      <c r="B672" s="284"/>
      <c r="C672" s="1496"/>
      <c r="D672" s="1505" t="s">
        <v>62</v>
      </c>
      <c r="E672" s="2820" t="str">
        <f>Translations!$B$656</f>
        <v>Специфичен EF (от горивен показател)</v>
      </c>
      <c r="F672" s="2258"/>
      <c r="G672" s="1319" t="str">
        <f>EUconst_tCO2pTJ</f>
        <v>t CO2 / TJ</v>
      </c>
      <c r="H672" s="56"/>
      <c r="I672" s="56"/>
      <c r="J672" s="56"/>
      <c r="K672" s="56"/>
      <c r="L672" s="56"/>
      <c r="M672" s="56"/>
      <c r="N672" s="121"/>
      <c r="O672" s="336"/>
      <c r="P672" s="158"/>
      <c r="Q672" s="1500" t="str">
        <f>EUconst_CNTR_HeatImportFuelEF &amp; I459</f>
        <v>HeatImFuelEF_Подинсталация с топлинен показател (с риск от ИВЕ | в рамките на МКВЕГ)</v>
      </c>
      <c r="R672" s="694"/>
      <c r="S672" s="1510" t="str">
        <f>EUconst_CNTR_AttributedEmissions &amp; $I459</f>
        <v>AttrEmissions_Подинсталация с топлинен показател (с риск от ИВЕ | в рамките на МКВЕГ)</v>
      </c>
      <c r="T672" s="982" t="str">
        <f t="shared" ref="T672" si="964">IF(T467,SUM(H671)*IF(ISNUMBER(H672),H672,EUconst_HeatBMvalue),"")</f>
        <v/>
      </c>
      <c r="U672" s="982" t="str">
        <f t="shared" ref="U672" si="965">IF(U467,SUM(I671)*IF(ISNUMBER(I672),I672,EUconst_HeatBMvalue),"")</f>
        <v/>
      </c>
      <c r="V672" s="982" t="str">
        <f t="shared" ref="V672" si="966">IF(V467,SUM(J671)*IF(ISNUMBER(J672),J672,EUconst_HeatBMvalue),"")</f>
        <v/>
      </c>
      <c r="W672" s="982" t="str">
        <f t="shared" ref="W672" si="967">IF(W467,SUM(K671)*IF(ISNUMBER(K672),K672,EUconst_HeatBMvalue),"")</f>
        <v/>
      </c>
      <c r="X672" s="982" t="str">
        <f t="shared" ref="X672" si="968">IF(X467,SUM(L671)*IF(ISNUMBER(L672),L672,EUconst_HeatBMvalue),"")</f>
        <v/>
      </c>
      <c r="Y672" s="982" t="str">
        <f t="shared" ref="Y672" si="969">IF(Y467,SUM(M671)*IF(ISNUMBER(M672),M672,EUconst_HeatBMvalue),"")</f>
        <v/>
      </c>
      <c r="Z672" s="982" t="str">
        <f t="shared" ref="Z672" si="970">IF(Z467,SUM(N671)*IF(ISNUMBER(N672),N672,EUconst_HeatBMvalue),"")</f>
        <v/>
      </c>
      <c r="AA672" s="694"/>
      <c r="AB672" s="729"/>
      <c r="AC672" s="982" t="b">
        <f>AC668</f>
        <v>0</v>
      </c>
      <c r="AD672" s="982" t="b">
        <f t="shared" ref="AD672:AI672" si="971">AD668</f>
        <v>0</v>
      </c>
      <c r="AE672" s="982" t="b">
        <f t="shared" si="971"/>
        <v>0</v>
      </c>
      <c r="AF672" s="982" t="b">
        <f t="shared" si="971"/>
        <v>0</v>
      </c>
      <c r="AG672" s="982" t="b">
        <f t="shared" si="971"/>
        <v>0</v>
      </c>
      <c r="AH672" s="982" t="b">
        <f t="shared" si="971"/>
        <v>0</v>
      </c>
      <c r="AI672" s="982" t="b">
        <f t="shared" si="971"/>
        <v>0</v>
      </c>
      <c r="AJ672" s="343"/>
      <c r="AK672" s="343"/>
      <c r="AL672" s="1176" t="str">
        <f>IF(AND(CNTR_ExistSubInstEntries,COUNTIFS(AC672:AI672,2,H672:N672,"")&gt;0),EUconst_Error&amp;"FB"&amp;Q459,"")</f>
        <v/>
      </c>
      <c r="AM672" s="343"/>
    </row>
    <row r="673" spans="1:39" ht="5.15" customHeight="1" x14ac:dyDescent="0.25">
      <c r="A673" s="694"/>
      <c r="B673" s="284"/>
      <c r="C673" s="1496"/>
      <c r="D673" s="1497"/>
      <c r="E673" s="1497"/>
      <c r="F673" s="1497"/>
      <c r="G673" s="1497"/>
      <c r="H673" s="1497"/>
      <c r="I673" s="1497"/>
      <c r="J673" s="1497"/>
      <c r="K673" s="1497"/>
      <c r="L673" s="1497"/>
      <c r="M673" s="1497"/>
      <c r="N673" s="1503"/>
      <c r="O673" s="336"/>
      <c r="P673" s="336"/>
      <c r="Q673" s="770"/>
      <c r="R673" s="694"/>
      <c r="S673" s="770"/>
      <c r="T673" s="694"/>
      <c r="U673" s="694"/>
      <c r="V673" s="694"/>
      <c r="W673" s="694"/>
      <c r="X673" s="694"/>
      <c r="Y673" s="694"/>
      <c r="Z673" s="694"/>
      <c r="AA673" s="694"/>
      <c r="AB673" s="729"/>
      <c r="AC673" s="694"/>
      <c r="AD673" s="694"/>
      <c r="AE673" s="694"/>
      <c r="AF673" s="694"/>
      <c r="AG673" s="694"/>
      <c r="AH673" s="694"/>
      <c r="AI673" s="694"/>
      <c r="AJ673" s="343"/>
      <c r="AK673" s="343"/>
      <c r="AL673" s="343"/>
      <c r="AM673" s="343"/>
    </row>
    <row r="674" spans="1:39" ht="12.75" customHeight="1" x14ac:dyDescent="0.25">
      <c r="A674" s="694"/>
      <c r="B674" s="284"/>
      <c r="C674" s="1496"/>
      <c r="D674" s="1497"/>
      <c r="E674" s="2803" t="str">
        <f>Translations!$B$657</f>
        <v>Топлинна енергия от отпадни газове</v>
      </c>
      <c r="F674" s="2672"/>
      <c r="G674" s="1309" t="str">
        <f>EUconst_Unit</f>
        <v>Единица мярка</v>
      </c>
      <c r="H674" s="629">
        <f t="shared" ref="H674:N674" si="972">H$1840</f>
        <v>2024</v>
      </c>
      <c r="I674" s="629">
        <f t="shared" si="972"/>
        <v>2025</v>
      </c>
      <c r="J674" s="629">
        <f t="shared" si="972"/>
        <v>2026</v>
      </c>
      <c r="K674" s="629">
        <f t="shared" si="972"/>
        <v>2027</v>
      </c>
      <c r="L674" s="629">
        <f t="shared" si="972"/>
        <v>2028</v>
      </c>
      <c r="M674" s="629">
        <f t="shared" si="972"/>
        <v>2029</v>
      </c>
      <c r="N674" s="1312">
        <f t="shared" si="972"/>
        <v>2030</v>
      </c>
      <c r="O674" s="336"/>
      <c r="P674" s="336"/>
      <c r="Q674" s="770"/>
      <c r="R674" s="694"/>
      <c r="S674" s="770"/>
      <c r="T674" s="1031">
        <f t="shared" ref="T674" si="973">H674</f>
        <v>2024</v>
      </c>
      <c r="U674" s="1031">
        <f t="shared" ref="U674" si="974">I674</f>
        <v>2025</v>
      </c>
      <c r="V674" s="1031">
        <f t="shared" ref="V674" si="975">J674</f>
        <v>2026</v>
      </c>
      <c r="W674" s="1031">
        <f t="shared" ref="W674" si="976">K674</f>
        <v>2027</v>
      </c>
      <c r="X674" s="1031">
        <f t="shared" ref="X674" si="977">L674</f>
        <v>2028</v>
      </c>
      <c r="Y674" s="1031">
        <f t="shared" ref="Y674" si="978">M674</f>
        <v>2029</v>
      </c>
      <c r="Z674" s="1031">
        <f>N674</f>
        <v>2030</v>
      </c>
      <c r="AA674" s="694"/>
      <c r="AB674" s="729"/>
      <c r="AC674" s="1504">
        <f t="shared" ref="AC674" si="979">H$1840</f>
        <v>2024</v>
      </c>
      <c r="AD674" s="1504">
        <f t="shared" ref="AD674" si="980">I$1840</f>
        <v>2025</v>
      </c>
      <c r="AE674" s="1504">
        <f t="shared" ref="AE674" si="981">J$1840</f>
        <v>2026</v>
      </c>
      <c r="AF674" s="1504">
        <f t="shared" ref="AF674" si="982">K$1840</f>
        <v>2027</v>
      </c>
      <c r="AG674" s="1504">
        <f t="shared" ref="AG674" si="983">L$1840</f>
        <v>2028</v>
      </c>
      <c r="AH674" s="1504">
        <f t="shared" ref="AH674" si="984">M$1840</f>
        <v>2029</v>
      </c>
      <c r="AI674" s="1504">
        <f t="shared" ref="AI674" si="985">N$1840</f>
        <v>2030</v>
      </c>
      <c r="AJ674" s="343"/>
      <c r="AK674" s="343"/>
      <c r="AL674" s="343"/>
      <c r="AM674" s="343"/>
    </row>
    <row r="675" spans="1:39" ht="12.75" customHeight="1" x14ac:dyDescent="0.25">
      <c r="A675" s="694"/>
      <c r="B675" s="284"/>
      <c r="C675" s="1496"/>
      <c r="D675" s="1505" t="s">
        <v>1136</v>
      </c>
      <c r="E675" s="2820" t="str">
        <f>Translations!$B$554</f>
        <v>Нетно количество получена топлинна енергия</v>
      </c>
      <c r="F675" s="2258"/>
      <c r="G675" s="1319" t="str">
        <f>EUconst_TJpa</f>
        <v>TJ / година</v>
      </c>
      <c r="H675" s="56"/>
      <c r="I675" s="56"/>
      <c r="J675" s="56"/>
      <c r="K675" s="56"/>
      <c r="L675" s="56"/>
      <c r="M675" s="56"/>
      <c r="N675" s="121"/>
      <c r="O675" s="336"/>
      <c r="P675" s="158"/>
      <c r="Q675" s="1500" t="str">
        <f>EUconst_CNTR_WGImport &amp; I459</f>
        <v>WasteGasIm_Подинсталация с топлинен показател (с риск от ИВЕ | в рамките на МКВЕГ)</v>
      </c>
      <c r="R675" s="694"/>
      <c r="S675" s="1509" t="str">
        <f>EUconst_ERR_AttrEmBMapplied &amp; $I459</f>
        <v>ERR_AttrEmBM_Подинсталация с топлинен показател (с риск от ИВЕ | в рамките на МКВЕГ)</v>
      </c>
      <c r="T675" s="982">
        <f t="shared" ref="T675" si="986">IF(AND(H675&lt;&gt;0,EUconst_StatusOfDataCollection=FALSE),1,0)</f>
        <v>0</v>
      </c>
      <c r="U675" s="982">
        <f t="shared" ref="U675" si="987">IF(AND(I675&lt;&gt;0,EUconst_StatusOfDataCollection=FALSE),1,0)</f>
        <v>0</v>
      </c>
      <c r="V675" s="982">
        <f t="shared" ref="V675" si="988">IF(AND(J675&lt;&gt;0,EUconst_StatusOfDataCollection=FALSE),1,0)</f>
        <v>0</v>
      </c>
      <c r="W675" s="982">
        <f t="shared" ref="W675" si="989">IF(AND(K675&lt;&gt;0,EUconst_StatusOfDataCollection=FALSE),1,0)</f>
        <v>0</v>
      </c>
      <c r="X675" s="982">
        <f t="shared" ref="X675" si="990">IF(AND(L675&lt;&gt;0,EUconst_StatusOfDataCollection=FALSE),1,0)</f>
        <v>0</v>
      </c>
      <c r="Y675" s="982">
        <f t="shared" ref="Y675" si="991">IF(AND(M675&lt;&gt;0,EUconst_StatusOfDataCollection=FALSE),1,0)</f>
        <v>0</v>
      </c>
      <c r="Z675" s="982">
        <f t="shared" ref="Z675" si="992">IF(AND(N675&lt;&gt;0,EUconst_StatusOfDataCollection=FALSE),1,0)</f>
        <v>0</v>
      </c>
      <c r="AA675" s="694"/>
      <c r="AB675" s="1182" t="s">
        <v>737</v>
      </c>
      <c r="AC675" s="982" t="b">
        <f>AC671</f>
        <v>0</v>
      </c>
      <c r="AD675" s="982" t="b">
        <f t="shared" ref="AD675:AI675" si="993">AD671</f>
        <v>0</v>
      </c>
      <c r="AE675" s="982" t="b">
        <f t="shared" si="993"/>
        <v>0</v>
      </c>
      <c r="AF675" s="982" t="b">
        <f t="shared" si="993"/>
        <v>0</v>
      </c>
      <c r="AG675" s="982" t="b">
        <f t="shared" si="993"/>
        <v>0</v>
      </c>
      <c r="AH675" s="982" t="b">
        <f t="shared" si="993"/>
        <v>0</v>
      </c>
      <c r="AI675" s="982" t="b">
        <f t="shared" si="993"/>
        <v>0</v>
      </c>
      <c r="AJ675" s="343"/>
      <c r="AK675" s="343"/>
      <c r="AL675" s="1176" t="str">
        <f>IF(AND(CNTR_ExistSubInstEntries,COUNTIFS(AC675:AI675,2,H675:N675,"")&gt;0),EUconst_Error&amp;"FB"&amp;Q459,"")</f>
        <v/>
      </c>
      <c r="AM675" s="343"/>
    </row>
    <row r="676" spans="1:39" ht="12.75" customHeight="1" x14ac:dyDescent="0.3">
      <c r="A676" s="694"/>
      <c r="B676" s="284"/>
      <c r="C676" s="1496"/>
      <c r="D676" s="1505" t="s">
        <v>1137</v>
      </c>
      <c r="E676" s="2820" t="str">
        <f>Translations!$B$658</f>
        <v>Специфичен EF (от отпаден газ)</v>
      </c>
      <c r="F676" s="2258"/>
      <c r="G676" s="1319" t="str">
        <f>EUconst_tCO2pTJ</f>
        <v>t CO2 / TJ</v>
      </c>
      <c r="H676" s="56"/>
      <c r="I676" s="56"/>
      <c r="J676" s="56"/>
      <c r="K676" s="56"/>
      <c r="L676" s="56"/>
      <c r="M676" s="56"/>
      <c r="N676" s="121"/>
      <c r="O676" s="336"/>
      <c r="P676" s="158"/>
      <c r="Q676" s="1500" t="str">
        <f>EUconst_CNTR_WGImportEF &amp; I459</f>
        <v>WasteGasImEF_Подинсталация с топлинен показател (с риск от ИВЕ | в рамките на МКВЕГ)</v>
      </c>
      <c r="R676" s="694"/>
      <c r="S676" s="1510" t="str">
        <f>EUconst_CNTR_AttributedEmissions &amp; $I459</f>
        <v>AttrEmissions_Подинсталация с топлинен показател (с риск от ИВЕ | в рамките на МКВЕГ)</v>
      </c>
      <c r="T676" s="982" t="str">
        <f t="shared" ref="T676" si="994">IF(T467,SUM(H675)*IF(ISNUMBER(H676),H676,EUconst_HeatBMvalue),"")</f>
        <v/>
      </c>
      <c r="U676" s="982" t="str">
        <f t="shared" ref="U676" si="995">IF(U467,SUM(I675)*IF(ISNUMBER(I676),I676,EUconst_HeatBMvalue),"")</f>
        <v/>
      </c>
      <c r="V676" s="982" t="str">
        <f t="shared" ref="V676" si="996">IF(V467,SUM(J675)*IF(ISNUMBER(J676),J676,EUconst_HeatBMvalue),"")</f>
        <v/>
      </c>
      <c r="W676" s="982" t="str">
        <f t="shared" ref="W676" si="997">IF(W467,SUM(K675)*IF(ISNUMBER(K676),K676,EUconst_HeatBMvalue),"")</f>
        <v/>
      </c>
      <c r="X676" s="982" t="str">
        <f t="shared" ref="X676" si="998">IF(X467,SUM(L675)*IF(ISNUMBER(L676),L676,EUconst_HeatBMvalue),"")</f>
        <v/>
      </c>
      <c r="Y676" s="982" t="str">
        <f t="shared" ref="Y676" si="999">IF(Y467,SUM(M675)*IF(ISNUMBER(M676),M676,EUconst_HeatBMvalue),"")</f>
        <v/>
      </c>
      <c r="Z676" s="982" t="str">
        <f t="shared" ref="Z676" si="1000">IF(Z467,SUM(N675)*IF(ISNUMBER(N676),N676,EUconst_HeatBMvalue),"")</f>
        <v/>
      </c>
      <c r="AA676" s="694"/>
      <c r="AB676" s="694"/>
      <c r="AC676" s="982" t="b">
        <f>AC672</f>
        <v>0</v>
      </c>
      <c r="AD676" s="982" t="b">
        <f t="shared" ref="AD676:AI676" si="1001">AD672</f>
        <v>0</v>
      </c>
      <c r="AE676" s="982" t="b">
        <f t="shared" si="1001"/>
        <v>0</v>
      </c>
      <c r="AF676" s="982" t="b">
        <f t="shared" si="1001"/>
        <v>0</v>
      </c>
      <c r="AG676" s="982" t="b">
        <f t="shared" si="1001"/>
        <v>0</v>
      </c>
      <c r="AH676" s="982" t="b">
        <f t="shared" si="1001"/>
        <v>0</v>
      </c>
      <c r="AI676" s="982" t="b">
        <f t="shared" si="1001"/>
        <v>0</v>
      </c>
      <c r="AJ676" s="343"/>
      <c r="AK676" s="343"/>
      <c r="AL676" s="1176" t="str">
        <f>IF(AND(CNTR_ExistSubInstEntries,COUNTIFS(AC676:AI676,2,H676:N676,"")&gt;0),EUconst_Error&amp;"FB"&amp;Q459,"")</f>
        <v/>
      </c>
      <c r="AM676" s="343"/>
    </row>
    <row r="677" spans="1:39" ht="5.15" customHeight="1" x14ac:dyDescent="0.25">
      <c r="A677" s="694"/>
      <c r="B677" s="284"/>
      <c r="C677" s="1496"/>
      <c r="D677" s="1497"/>
      <c r="E677" s="1497"/>
      <c r="F677" s="1497"/>
      <c r="G677" s="1497"/>
      <c r="H677" s="1497"/>
      <c r="I677" s="1497"/>
      <c r="J677" s="1497"/>
      <c r="K677" s="1497"/>
      <c r="L677" s="1497"/>
      <c r="M677" s="1497"/>
      <c r="N677" s="1503"/>
      <c r="O677" s="336"/>
      <c r="P677" s="336"/>
      <c r="Q677" s="770"/>
      <c r="R677" s="694"/>
      <c r="S677" s="770"/>
      <c r="T677" s="770"/>
      <c r="U677" s="694"/>
      <c r="V677" s="694"/>
      <c r="W677" s="694"/>
      <c r="X677" s="694"/>
      <c r="Y677" s="694"/>
      <c r="Z677" s="694"/>
      <c r="AA677" s="694"/>
      <c r="AB677" s="694"/>
      <c r="AC677" s="694"/>
      <c r="AD677" s="694"/>
      <c r="AE677" s="343"/>
      <c r="AF677" s="343"/>
      <c r="AG677" s="343"/>
      <c r="AH677" s="343"/>
      <c r="AI677" s="343"/>
      <c r="AJ677" s="343"/>
      <c r="AK677" s="343"/>
      <c r="AL677" s="343"/>
      <c r="AM677" s="343"/>
    </row>
    <row r="678" spans="1:39" ht="12.75" customHeight="1" x14ac:dyDescent="0.25">
      <c r="A678" s="694"/>
      <c r="B678" s="284"/>
      <c r="C678" s="1496"/>
      <c r="D678" s="1505" t="s">
        <v>1139</v>
      </c>
      <c r="E678" s="2820" t="str">
        <f>Translations!$B$659</f>
        <v>Общо нетно количество получена топлинна енергия</v>
      </c>
      <c r="F678" s="2258"/>
      <c r="G678" s="1319" t="str">
        <f>EUconst_TJpa</f>
        <v>TJ / година</v>
      </c>
      <c r="H678" s="1020" t="str">
        <f t="shared" ref="H678:N678" si="1002">IF(COUNT(H659,H663,H667,H671,H675)&gt;0,SUM(H659,H663,H667,H671,H675),"")</f>
        <v/>
      </c>
      <c r="I678" s="1020" t="str">
        <f t="shared" si="1002"/>
        <v/>
      </c>
      <c r="J678" s="1020" t="str">
        <f t="shared" si="1002"/>
        <v/>
      </c>
      <c r="K678" s="1020" t="str">
        <f t="shared" si="1002"/>
        <v/>
      </c>
      <c r="L678" s="1020" t="str">
        <f t="shared" si="1002"/>
        <v/>
      </c>
      <c r="M678" s="1020" t="str">
        <f t="shared" si="1002"/>
        <v/>
      </c>
      <c r="N678" s="1371" t="str">
        <f t="shared" si="1002"/>
        <v/>
      </c>
      <c r="O678" s="336"/>
      <c r="P678" s="336"/>
      <c r="Q678" s="694"/>
      <c r="R678" s="694"/>
      <c r="S678" s="770"/>
      <c r="T678" s="770"/>
      <c r="U678" s="694"/>
      <c r="V678" s="694"/>
      <c r="W678" s="694"/>
      <c r="X678" s="694"/>
      <c r="Y678" s="694"/>
      <c r="Z678" s="694"/>
      <c r="AA678" s="694"/>
      <c r="AB678" s="694"/>
      <c r="AC678" s="694"/>
      <c r="AD678" s="694"/>
      <c r="AE678" s="343"/>
      <c r="AF678" s="343"/>
      <c r="AG678" s="343"/>
      <c r="AH678" s="343"/>
      <c r="AI678" s="343"/>
      <c r="AJ678" s="343"/>
      <c r="AK678" s="343"/>
      <c r="AL678" s="343"/>
      <c r="AM678" s="343"/>
    </row>
    <row r="679" spans="1:39" ht="12.75" customHeight="1" thickBot="1" x14ac:dyDescent="0.3">
      <c r="A679" s="694"/>
      <c r="B679" s="284"/>
      <c r="C679" s="1511"/>
      <c r="D679" s="1512"/>
      <c r="E679" s="1512"/>
      <c r="F679" s="1512"/>
      <c r="G679" s="1512"/>
      <c r="H679" s="1512"/>
      <c r="I679" s="1512"/>
      <c r="J679" s="1512"/>
      <c r="K679" s="1512"/>
      <c r="L679" s="1512"/>
      <c r="M679" s="1513"/>
      <c r="N679" s="1514"/>
      <c r="O679" s="336"/>
      <c r="P679" s="336"/>
      <c r="Q679" s="770"/>
      <c r="R679" s="694"/>
      <c r="S679" s="770"/>
      <c r="T679" s="694"/>
      <c r="U679" s="694"/>
      <c r="V679" s="694"/>
      <c r="W679" s="694"/>
      <c r="X679" s="694"/>
      <c r="Y679" s="694"/>
      <c r="Z679" s="694"/>
      <c r="AA679" s="694"/>
      <c r="AB679" s="694"/>
      <c r="AC679" s="694"/>
      <c r="AD679" s="694"/>
      <c r="AE679" s="343"/>
      <c r="AF679" s="343"/>
      <c r="AG679" s="343"/>
      <c r="AH679" s="343"/>
      <c r="AI679" s="343"/>
      <c r="AJ679" s="343"/>
      <c r="AK679" s="343"/>
      <c r="AL679" s="343"/>
      <c r="AM679" s="343"/>
    </row>
    <row r="680" spans="1:39" ht="25.5" customHeight="1" thickBot="1" x14ac:dyDescent="0.3">
      <c r="A680" s="694"/>
      <c r="B680" s="698"/>
      <c r="C680" s="698"/>
      <c r="D680" s="698"/>
      <c r="E680" s="698"/>
      <c r="F680" s="698"/>
      <c r="G680" s="698"/>
      <c r="H680" s="698"/>
      <c r="I680" s="698"/>
      <c r="J680" s="698"/>
      <c r="K680" s="698"/>
      <c r="L680" s="698"/>
      <c r="M680" s="698"/>
      <c r="N680" s="698"/>
      <c r="O680" s="336"/>
      <c r="P680" s="336"/>
      <c r="Q680" s="694"/>
      <c r="R680" s="694"/>
      <c r="S680" s="694"/>
      <c r="T680" s="694"/>
      <c r="U680" s="694"/>
      <c r="V680" s="694"/>
      <c r="W680" s="694"/>
      <c r="X680" s="694"/>
      <c r="Y680" s="694"/>
      <c r="Z680" s="694"/>
      <c r="AA680" s="694"/>
      <c r="AB680" s="694"/>
      <c r="AC680" s="694"/>
      <c r="AD680" s="694"/>
      <c r="AE680" s="343"/>
      <c r="AF680" s="343"/>
      <c r="AG680" s="343"/>
      <c r="AH680" s="343"/>
      <c r="AI680" s="343"/>
      <c r="AJ680" s="343"/>
      <c r="AK680" s="343"/>
      <c r="AL680" s="343"/>
      <c r="AM680" s="343"/>
    </row>
    <row r="681" spans="1:39" ht="5.15" customHeight="1" thickBot="1" x14ac:dyDescent="0.3">
      <c r="A681" s="694"/>
      <c r="B681" s="284"/>
      <c r="C681" s="581"/>
      <c r="D681" s="581"/>
      <c r="E681" s="581"/>
      <c r="F681" s="581"/>
      <c r="G681" s="581"/>
      <c r="H681" s="581"/>
      <c r="I681" s="581"/>
      <c r="J681" s="581"/>
      <c r="K681" s="581"/>
      <c r="L681" s="581"/>
      <c r="M681" s="581"/>
      <c r="N681" s="581"/>
      <c r="O681" s="336"/>
      <c r="P681" s="336"/>
      <c r="Q681" s="770"/>
      <c r="R681" s="770"/>
      <c r="S681" s="770"/>
      <c r="T681" s="770"/>
      <c r="U681" s="770"/>
      <c r="V681" s="770"/>
      <c r="W681" s="770"/>
      <c r="X681" s="770"/>
      <c r="Y681" s="770"/>
      <c r="Z681" s="694"/>
      <c r="AA681" s="694"/>
      <c r="AB681" s="694"/>
      <c r="AC681" s="694"/>
      <c r="AD681" s="694"/>
      <c r="AE681" s="343"/>
      <c r="AF681" s="343"/>
      <c r="AG681" s="343"/>
      <c r="AH681" s="343"/>
      <c r="AI681" s="343"/>
      <c r="AJ681" s="343"/>
      <c r="AK681" s="343"/>
      <c r="AL681" s="343"/>
      <c r="AM681" s="343"/>
    </row>
    <row r="682" spans="1:39" ht="14.5" thickBot="1" x14ac:dyDescent="0.35">
      <c r="A682" s="694"/>
      <c r="B682" s="284"/>
      <c r="C682" s="357">
        <f>C459+1</f>
        <v>4</v>
      </c>
      <c r="D682" s="2323" t="str">
        <f>EUconst_FBSubinst &amp; ":"</f>
        <v>Алтернативна подинсталация („Fall-Back sub-installation“):</v>
      </c>
      <c r="E682" s="2249"/>
      <c r="F682" s="2249"/>
      <c r="G682" s="2249"/>
      <c r="H682" s="2295"/>
      <c r="I682" s="2843" t="str">
        <f>INDEX(EUconst_FallBackListNames,$C682)</f>
        <v>Подинсталация на топлофикационна мрежа</v>
      </c>
      <c r="J682" s="2844"/>
      <c r="K682" s="2844"/>
      <c r="L682" s="2845"/>
      <c r="M682" s="2919" t="str">
        <f>IF(INDEX(CNTR_FallBackSubInstRelevant,C682)="","",IF(INDEX(CNTR_FallBackSubInstRelevant,C682),EUconst_Relevant,EUconst_NotRelevant))</f>
        <v/>
      </c>
      <c r="N682" s="2920"/>
      <c r="O682" s="336"/>
      <c r="P682" s="336"/>
      <c r="Q682" s="1391">
        <f>C682</f>
        <v>4</v>
      </c>
      <c r="R682" s="694"/>
      <c r="S682" s="1174" t="str">
        <f>Translations!$B$898</f>
        <v>Дата на въвеждане в експлоатация:</v>
      </c>
      <c r="T682" s="1175" t="str">
        <f>IF(M682&lt;&gt;EUconst_Relevant,"",MAX(INDEX(CNTR_SubInstStartDate,MATCH($I682,CNTR_SubInstListNames,0)),DATE(2005,1,1)))</f>
        <v/>
      </c>
      <c r="U682" s="729" t="s">
        <v>1731</v>
      </c>
      <c r="V682" s="1176">
        <f>IF(ISNUMBER(T682),YEAR($T682-IF(YEAR(T682)&gt;=2022,0,1))+1,2005)</f>
        <v>2005</v>
      </c>
      <c r="W682" s="1174" t="s">
        <v>1734</v>
      </c>
      <c r="X682" s="1175" t="str">
        <f>IF(M682&lt;&gt;EUconst_Relevant,"",INDEX(CNTR_SubInstCessationDate,MATCH($I682,CNTR_SubInstListNames,0)))</f>
        <v/>
      </c>
      <c r="Y682" s="1174" t="s">
        <v>1735</v>
      </c>
      <c r="Z682" s="1176">
        <f>IF(SUM(X682)=0,2050,YEAR($X682))</f>
        <v>2050</v>
      </c>
      <c r="AA682" s="1174" t="s">
        <v>2009</v>
      </c>
      <c r="AB682" s="1176" t="b">
        <f>CNTR_ReportingYear&gt;V682</f>
        <v>1</v>
      </c>
      <c r="AC682" s="1174" t="s">
        <v>1395</v>
      </c>
      <c r="AD682" s="1177" t="b">
        <f>AND(CNTR_ExistSubInstEntries,M682=EUconst_NotRelevant)</f>
        <v>0</v>
      </c>
      <c r="AE682" s="343"/>
      <c r="AF682" s="343"/>
      <c r="AG682" s="343"/>
      <c r="AH682" s="343"/>
      <c r="AI682" s="343"/>
      <c r="AJ682" s="343"/>
      <c r="AK682" s="343"/>
      <c r="AL682" s="343"/>
      <c r="AM682" s="343"/>
    </row>
    <row r="683" spans="1:39" ht="12.75" customHeight="1" x14ac:dyDescent="0.25">
      <c r="A683" s="694"/>
      <c r="B683" s="698"/>
      <c r="C683" s="698"/>
      <c r="D683" s="698"/>
      <c r="E683" s="698"/>
      <c r="F683" s="698"/>
      <c r="G683" s="698"/>
      <c r="H683" s="773"/>
      <c r="I683" s="2921" t="str">
        <f>IF(M682&lt;&gt;EUconst_Relevant,"",IF(M682=EUconst_Relevant,HYPERLINK("",EUconst_MsgEnterThisSection),HYPERLINK(R683,EUconst_MsgGoToNextSubInst)))</f>
        <v/>
      </c>
      <c r="J683" s="2922"/>
      <c r="K683" s="2922"/>
      <c r="L683" s="2922"/>
      <c r="M683" s="2923"/>
      <c r="N683" s="2924"/>
      <c r="O683" s="336"/>
      <c r="P683" s="336"/>
      <c r="Q683" s="694" t="s">
        <v>450</v>
      </c>
      <c r="R683" s="875" t="str">
        <f>"#JUMP_G"&amp;Q682+1</f>
        <v>#JUMP_G5</v>
      </c>
      <c r="S683" s="694"/>
      <c r="T683" s="694"/>
      <c r="U683" s="694"/>
      <c r="V683" s="694"/>
      <c r="W683" s="694"/>
      <c r="X683" s="694"/>
      <c r="Y683" s="694"/>
      <c r="Z683" s="729"/>
      <c r="AA683" s="694"/>
      <c r="AB683" s="694"/>
      <c r="AC683" s="694"/>
      <c r="AD683" s="694"/>
      <c r="AE683" s="343"/>
      <c r="AF683" s="343"/>
      <c r="AG683" s="343"/>
      <c r="AH683" s="343"/>
      <c r="AI683" s="343"/>
      <c r="AJ683" s="343"/>
      <c r="AK683" s="343"/>
      <c r="AL683" s="343"/>
      <c r="AM683" s="343"/>
    </row>
    <row r="684" spans="1:39" ht="12.75" customHeight="1" x14ac:dyDescent="0.25">
      <c r="A684" s="694"/>
      <c r="B684" s="284"/>
      <c r="C684" s="284"/>
      <c r="D684" s="302"/>
      <c r="E684" s="2358" t="str">
        <f>Translations!$B$613</f>
        <v>Името на алтернативната подинсталация („fall-back sub-installation“) се показва автоматично въз основа на общия списък на възможните алтернативни инсталации.</v>
      </c>
      <c r="F684" s="2249"/>
      <c r="G684" s="2249"/>
      <c r="H684" s="2249"/>
      <c r="I684" s="2249"/>
      <c r="J684" s="2249"/>
      <c r="K684" s="2249"/>
      <c r="L684" s="2249"/>
      <c r="M684" s="2249"/>
      <c r="N684" s="2249"/>
      <c r="O684" s="336"/>
      <c r="P684" s="336"/>
      <c r="Q684" s="770"/>
      <c r="R684" s="770"/>
      <c r="S684" s="694"/>
      <c r="T684" s="694"/>
      <c r="U684" s="694"/>
      <c r="V684" s="694"/>
      <c r="W684" s="694"/>
      <c r="X684" s="694"/>
      <c r="Y684" s="694"/>
      <c r="Z684" s="694"/>
      <c r="AA684" s="694"/>
      <c r="AB684" s="694"/>
      <c r="AC684" s="694"/>
      <c r="AD684" s="694"/>
      <c r="AE684" s="343"/>
      <c r="AF684" s="343"/>
      <c r="AG684" s="343"/>
      <c r="AH684" s="343"/>
      <c r="AI684" s="343"/>
      <c r="AJ684" s="343"/>
      <c r="AK684" s="343"/>
      <c r="AL684" s="343"/>
      <c r="AM684" s="343"/>
    </row>
    <row r="685" spans="1:39" ht="5.15" customHeight="1" x14ac:dyDescent="0.25">
      <c r="A685" s="694"/>
      <c r="B685" s="284"/>
      <c r="C685" s="284"/>
      <c r="D685" s="284"/>
      <c r="E685" s="284"/>
      <c r="F685" s="284"/>
      <c r="G685" s="284"/>
      <c r="H685" s="284"/>
      <c r="I685" s="284"/>
      <c r="J685" s="284"/>
      <c r="K685" s="284"/>
      <c r="L685" s="284"/>
      <c r="M685" s="336"/>
      <c r="N685" s="336"/>
      <c r="O685" s="336"/>
      <c r="P685" s="336"/>
      <c r="Q685" s="770"/>
      <c r="R685" s="770"/>
      <c r="S685" s="770"/>
      <c r="T685" s="770"/>
      <c r="U685" s="770"/>
      <c r="V685" s="770"/>
      <c r="W685" s="770"/>
      <c r="X685" s="770"/>
      <c r="Y685" s="770"/>
      <c r="Z685" s="694"/>
      <c r="AA685" s="694"/>
      <c r="AB685" s="694"/>
      <c r="AC685" s="694"/>
      <c r="AD685" s="694"/>
      <c r="AE685" s="343"/>
      <c r="AF685" s="343"/>
      <c r="AG685" s="343"/>
      <c r="AH685" s="343"/>
      <c r="AI685" s="343"/>
      <c r="AJ685" s="343"/>
      <c r="AK685" s="343"/>
      <c r="AL685" s="343"/>
      <c r="AM685" s="343"/>
    </row>
    <row r="686" spans="1:39" ht="12.75" customHeight="1" x14ac:dyDescent="0.25">
      <c r="A686" s="694"/>
      <c r="B686" s="284"/>
      <c r="C686" s="300"/>
      <c r="D686" s="300" t="s">
        <v>408</v>
      </c>
      <c r="E686" s="2226" t="str">
        <f>Translations!$B$1315</f>
        <v>Равнища на дейност</v>
      </c>
      <c r="F686" s="2249"/>
      <c r="G686" s="2249"/>
      <c r="H686" s="2249"/>
      <c r="I686" s="2249"/>
      <c r="J686" s="2249"/>
      <c r="K686" s="2249"/>
      <c r="L686" s="2249"/>
      <c r="M686" s="2249"/>
      <c r="N686" s="2249"/>
      <c r="O686" s="336"/>
      <c r="P686" s="336"/>
      <c r="Q686" s="770"/>
      <c r="R686" s="770"/>
      <c r="S686" s="770"/>
      <c r="T686" s="770"/>
      <c r="U686" s="770"/>
      <c r="V686" s="770"/>
      <c r="W686" s="770"/>
      <c r="X686" s="770"/>
      <c r="Y686" s="770"/>
      <c r="Z686" s="694"/>
      <c r="AA686" s="694"/>
      <c r="AB686" s="729"/>
      <c r="AC686" s="694"/>
      <c r="AD686" s="694"/>
      <c r="AE686" s="343"/>
      <c r="AF686" s="343"/>
      <c r="AG686" s="343"/>
      <c r="AH686" s="343"/>
      <c r="AI686" s="343"/>
      <c r="AJ686" s="343"/>
      <c r="AK686" s="343"/>
      <c r="AL686" s="343"/>
      <c r="AM686" s="343"/>
    </row>
    <row r="687" spans="1:39" ht="12.75" customHeight="1" x14ac:dyDescent="0.25">
      <c r="A687" s="694" t="str">
        <f>IF(C682&gt;4,$A$1,"")</f>
        <v/>
      </c>
      <c r="B687" s="284"/>
      <c r="C687" s="302"/>
      <c r="D687" s="302"/>
      <c r="E687" s="2925" t="str">
        <f>Translations!$B$614</f>
        <v>Следните данни се вземат автоматично от раздел E.II.r на лист „E_EnergyFlows“ („E_Енергийни потоци“).Затова въвеждането на данни там е задължително.</v>
      </c>
      <c r="F687" s="2925"/>
      <c r="G687" s="2925"/>
      <c r="H687" s="2925"/>
      <c r="I687" s="2925"/>
      <c r="J687" s="2925"/>
      <c r="K687" s="2925"/>
      <c r="L687" s="2925"/>
      <c r="M687" s="2925"/>
      <c r="N687" s="2925"/>
      <c r="O687" s="336"/>
      <c r="P687" s="336"/>
      <c r="Q687" s="770"/>
      <c r="R687" s="694"/>
      <c r="S687" s="694"/>
      <c r="T687" s="694"/>
      <c r="U687" s="694"/>
      <c r="V687" s="694"/>
      <c r="W687" s="694"/>
      <c r="X687" s="694"/>
      <c r="Y687" s="694"/>
      <c r="Z687" s="694"/>
      <c r="AA687" s="694"/>
      <c r="AB687" s="694"/>
      <c r="AC687" s="694"/>
      <c r="AD687" s="694"/>
      <c r="AE687" s="343"/>
      <c r="AF687" s="343"/>
      <c r="AG687" s="343"/>
      <c r="AH687" s="343"/>
      <c r="AI687" s="343"/>
      <c r="AJ687" s="343"/>
      <c r="AK687" s="343"/>
      <c r="AL687" s="343"/>
      <c r="AM687" s="343"/>
    </row>
    <row r="688" spans="1:39" ht="12.75" customHeight="1" x14ac:dyDescent="0.25">
      <c r="A688" s="694"/>
      <c r="B688" s="284"/>
      <c r="C688" s="284"/>
      <c r="D688" s="302"/>
      <c r="E688" s="2358" t="str">
        <f>Translations!$B$1332</f>
        <v>На базата на началото на нормална експлоатация, въведено в B+C.I, HAL ще се основава или на стойността в НМИ (показана в ii.), или на първата година на пълна експлоатация за нови подинсталации (посочена в iv.).</v>
      </c>
      <c r="F688" s="2926"/>
      <c r="G688" s="2926"/>
      <c r="H688" s="2926"/>
      <c r="I688" s="2926"/>
      <c r="J688" s="2926"/>
      <c r="K688" s="2926"/>
      <c r="L688" s="2926"/>
      <c r="M688" s="2926"/>
      <c r="N688" s="2926"/>
      <c r="O688" s="336"/>
      <c r="P688" s="336"/>
      <c r="Q688" s="770"/>
      <c r="R688" s="694"/>
      <c r="S688" s="694"/>
      <c r="T688" s="694"/>
      <c r="U688" s="694"/>
      <c r="V688" s="694"/>
      <c r="W688" s="694"/>
      <c r="X688" s="694"/>
      <c r="Y688" s="694"/>
      <c r="Z688" s="694"/>
      <c r="AA688" s="729"/>
      <c r="AB688" s="729"/>
      <c r="AC688" s="694"/>
      <c r="AD688" s="694"/>
      <c r="AE688" s="343"/>
      <c r="AF688" s="343"/>
      <c r="AG688" s="343"/>
      <c r="AH688" s="343"/>
      <c r="AI688" s="343"/>
      <c r="AJ688" s="343"/>
      <c r="AK688" s="343"/>
      <c r="AL688" s="343"/>
      <c r="AM688" s="343"/>
    </row>
    <row r="689" spans="1:39" ht="12.75" customHeight="1" thickBot="1" x14ac:dyDescent="0.3">
      <c r="A689" s="694"/>
      <c r="B689" s="698"/>
      <c r="C689" s="300"/>
      <c r="D689" s="300"/>
      <c r="E689" s="389" t="str">
        <f>Translations!$B$615</f>
        <v>Основно равнище на дейност:</v>
      </c>
      <c r="F689" s="1015"/>
      <c r="G689" s="527" t="str">
        <f>EUconst_Unit</f>
        <v>Единица мярка</v>
      </c>
      <c r="H689" s="391">
        <f t="shared" ref="H689:N689" si="1003">H$1840</f>
        <v>2024</v>
      </c>
      <c r="I689" s="572">
        <f t="shared" si="1003"/>
        <v>2025</v>
      </c>
      <c r="J689" s="757">
        <f t="shared" si="1003"/>
        <v>2026</v>
      </c>
      <c r="K689" s="391">
        <f t="shared" si="1003"/>
        <v>2027</v>
      </c>
      <c r="L689" s="391">
        <f t="shared" si="1003"/>
        <v>2028</v>
      </c>
      <c r="M689" s="391">
        <f t="shared" si="1003"/>
        <v>2029</v>
      </c>
      <c r="N689" s="387">
        <f t="shared" si="1003"/>
        <v>2030</v>
      </c>
      <c r="O689" s="336"/>
      <c r="P689" s="336"/>
      <c r="Q689" s="1033" t="s">
        <v>560</v>
      </c>
      <c r="R689" s="694"/>
      <c r="S689" s="694"/>
      <c r="T689" s="1178">
        <f t="shared" ref="T689" si="1004">H689</f>
        <v>2024</v>
      </c>
      <c r="U689" s="1178">
        <f t="shared" ref="U689" si="1005">I689</f>
        <v>2025</v>
      </c>
      <c r="V689" s="1178">
        <f t="shared" ref="V689" si="1006">J689</f>
        <v>2026</v>
      </c>
      <c r="W689" s="1178">
        <f t="shared" ref="W689" si="1007">K689</f>
        <v>2027</v>
      </c>
      <c r="X689" s="1178">
        <f t="shared" ref="X689" si="1008">L689</f>
        <v>2028</v>
      </c>
      <c r="Y689" s="1178">
        <f t="shared" ref="Y689" si="1009">M689</f>
        <v>2029</v>
      </c>
      <c r="Z689" s="1178">
        <f t="shared" ref="Z689" si="1010">N689</f>
        <v>2030</v>
      </c>
      <c r="AA689" s="729"/>
      <c r="AB689" s="729"/>
      <c r="AC689" s="694"/>
      <c r="AD689" s="694"/>
      <c r="AE689" s="343"/>
      <c r="AF689" s="343"/>
      <c r="AG689" s="343"/>
      <c r="AH689" s="343"/>
      <c r="AI689" s="343"/>
      <c r="AJ689" s="343"/>
      <c r="AK689" s="343"/>
      <c r="AL689" s="343"/>
      <c r="AM689" s="343"/>
    </row>
    <row r="690" spans="1:39" ht="12.75" customHeight="1" thickBot="1" x14ac:dyDescent="0.3">
      <c r="A690" s="694"/>
      <c r="B690" s="698"/>
      <c r="C690" s="698"/>
      <c r="D690" s="1084" t="s">
        <v>6</v>
      </c>
      <c r="E690" s="2862" t="str">
        <f>I682</f>
        <v>Подинсталация на топлофикационна мрежа</v>
      </c>
      <c r="F690" s="2862"/>
      <c r="G690" s="1032" t="str">
        <f>INDEX(EUconst_FallBackListUnits,MATCH(E690,EUconst_FallBackListNames,0))</f>
        <v>TJ</v>
      </c>
      <c r="H690" s="1024" t="str">
        <f>IF($M682&lt;&gt;EUconst_Relevant,"",IF(H689&gt;=CNTR_ReportingYear,"",IF(AND(H689&gt;=$V682-1,ISNUMBER(INDEX(E_EnergyFlows!H$435:H$443,MATCH($E690,E_EnergyFlows!$E$435:$E$443,0)))),INDEX(E_EnergyFlows!H$435:H$443,MATCH($E690,E_EnergyFlows!$E$435:$E$443,0)),0)))</f>
        <v/>
      </c>
      <c r="I690" s="1392" t="str">
        <f>IF($M682&lt;&gt;EUconst_Relevant,"",IF(I689&gt;=CNTR_ReportingYear,"",IF(AND(I689&gt;=$V682-1,ISNUMBER(INDEX(E_EnergyFlows!I$435:I$443,MATCH($E690,E_EnergyFlows!$E$435:$E$443,0)))),INDEX(E_EnergyFlows!I$435:I$443,MATCH($E690,E_EnergyFlows!$E$435:$E$443,0)),0)))</f>
        <v/>
      </c>
      <c r="J690" s="1393" t="str">
        <f>IF($M682&lt;&gt;EUconst_Relevant,"",IF(J689&gt;=CNTR_ReportingYear,"",IF(AND(J689&gt;=$V682-1,ISNUMBER(INDEX(E_EnergyFlows!J$435:J$443,MATCH($E690,E_EnergyFlows!$E$435:$E$443,0)))),INDEX(E_EnergyFlows!J$435:J$443,MATCH($E690,E_EnergyFlows!$E$435:$E$443,0)),0)))</f>
        <v/>
      </c>
      <c r="K690" s="1024" t="str">
        <f>IF($M682&lt;&gt;EUconst_Relevant,"",IF(K689&gt;=CNTR_ReportingYear,"",IF(AND(K689&gt;=$V682-1,ISNUMBER(INDEX(E_EnergyFlows!K$435:K$443,MATCH($E690,E_EnergyFlows!$E$435:$E$443,0)))),INDEX(E_EnergyFlows!K$435:K$443,MATCH($E690,E_EnergyFlows!$E$435:$E$443,0)),0)))</f>
        <v/>
      </c>
      <c r="L690" s="1024" t="str">
        <f>IF($M682&lt;&gt;EUconst_Relevant,"",IF(L689&gt;=CNTR_ReportingYear,"",IF(AND(L689&gt;=$V682-1,ISNUMBER(INDEX(E_EnergyFlows!L$435:L$443,MATCH($E690,E_EnergyFlows!$E$435:$E$443,0)))),INDEX(E_EnergyFlows!L$435:L$443,MATCH($E690,E_EnergyFlows!$E$435:$E$443,0)),0)))</f>
        <v/>
      </c>
      <c r="M690" s="1024" t="str">
        <f>IF($M682&lt;&gt;EUconst_Relevant,"",IF(M689&gt;=CNTR_ReportingYear,"",IF(AND(M689&gt;=$V682-1,ISNUMBER(INDEX(E_EnergyFlows!M$435:M$443,MATCH($E690,E_EnergyFlows!$E$435:$E$443,0)))),INDEX(E_EnergyFlows!M$435:M$443,MATCH($E690,E_EnergyFlows!$E$435:$E$443,0)),0)))</f>
        <v/>
      </c>
      <c r="N690" s="1024" t="str">
        <f>IF($M682&lt;&gt;EUconst_Relevant,"",IF(N689&gt;=CNTR_ReportingYear,"",IF(AND(N689&gt;=$V682-1,ISNUMBER(INDEX(E_EnergyFlows!N$435:N$443,MATCH($E690,E_EnergyFlows!$E$435:$E$443,0)))),INDEX(E_EnergyFlows!N$435:N$443,MATCH($E690,E_EnergyFlows!$E$435:$E$443,0)),0)))</f>
        <v/>
      </c>
      <c r="O690" s="710"/>
      <c r="P690" s="336"/>
      <c r="Q690" s="1394" t="str">
        <f>EUconst_CNTR_HAL&amp;E690</f>
        <v>HAL_Подинсталация на топлофикационна мрежа</v>
      </c>
      <c r="R690" s="694"/>
      <c r="S690" s="1395" t="s">
        <v>1732</v>
      </c>
      <c r="T690" s="1396" t="b">
        <f t="shared" ref="T690:Z690" si="1011">AND($M682=EUconst_Relevant,T689&lt;CNTR_ReportingYear,T689&gt;=$V682-1)</f>
        <v>0</v>
      </c>
      <c r="U690" s="1397" t="b">
        <f t="shared" si="1011"/>
        <v>0</v>
      </c>
      <c r="V690" s="1397" t="b">
        <f t="shared" si="1011"/>
        <v>0</v>
      </c>
      <c r="W690" s="1397" t="b">
        <f t="shared" si="1011"/>
        <v>0</v>
      </c>
      <c r="X690" s="1397" t="b">
        <f t="shared" si="1011"/>
        <v>0</v>
      </c>
      <c r="Y690" s="1397" t="b">
        <f t="shared" si="1011"/>
        <v>0</v>
      </c>
      <c r="Z690" s="1398" t="b">
        <f t="shared" si="1011"/>
        <v>0</v>
      </c>
      <c r="AA690" s="694"/>
      <c r="AB690" s="694"/>
      <c r="AC690" s="1395"/>
      <c r="AD690" s="694"/>
      <c r="AE690" s="343"/>
      <c r="AF690" s="343"/>
      <c r="AG690" s="343"/>
      <c r="AH690" s="343"/>
      <c r="AI690" s="343"/>
      <c r="AJ690" s="343"/>
      <c r="AK690" s="1174" t="s">
        <v>2033</v>
      </c>
      <c r="AL690" s="982" t="str">
        <f>IF(COUNTIFS(H689:N689,"&lt;"&amp;YEAR(SUM(T682)),H690:N690,"&gt;"&amp;0)&gt;0,EUconst_Error&amp;"FB"&amp;Q682,"")</f>
        <v/>
      </c>
      <c r="AM690" s="343"/>
    </row>
    <row r="691" spans="1:39" ht="5.15" customHeight="1" x14ac:dyDescent="0.25">
      <c r="A691" s="694"/>
      <c r="B691" s="298"/>
      <c r="C691" s="298"/>
      <c r="D691" s="302"/>
      <c r="E691" s="302"/>
      <c r="F691" s="302"/>
      <c r="G691" s="302"/>
      <c r="H691" s="302"/>
      <c r="I691" s="302"/>
      <c r="J691" s="302"/>
      <c r="K691" s="302"/>
      <c r="L691" s="302"/>
      <c r="M691" s="302"/>
      <c r="N691" s="302"/>
      <c r="O691" s="302"/>
      <c r="P691" s="336"/>
      <c r="Q691" s="729"/>
      <c r="R691" s="694"/>
      <c r="S691" s="729"/>
      <c r="T691" s="729"/>
      <c r="U691" s="694"/>
      <c r="V691" s="694"/>
      <c r="W691" s="694"/>
      <c r="X691" s="694"/>
      <c r="Y691" s="694"/>
      <c r="Z691" s="729"/>
      <c r="AA691" s="694"/>
      <c r="AB691" s="729"/>
      <c r="AC691" s="694"/>
      <c r="AD691" s="694"/>
      <c r="AE691" s="343"/>
      <c r="AF691" s="343"/>
      <c r="AG691" s="343"/>
      <c r="AH691" s="343"/>
      <c r="AI691" s="343"/>
      <c r="AJ691" s="343"/>
      <c r="AK691" s="343"/>
      <c r="AL691" s="343"/>
      <c r="AM691" s="343"/>
    </row>
    <row r="692" spans="1:39" ht="25.5" customHeight="1" x14ac:dyDescent="0.25">
      <c r="A692" s="694"/>
      <c r="B692" s="298"/>
      <c r="C692" s="298"/>
      <c r="D692" s="302"/>
      <c r="E692" s="2358" t="str">
        <f>Translations!$B$1333</f>
        <v>На базата на стойностите на HAL и тези по буква a) по-горе тук се определят средните равнища на дейност. Разпределението ще бъде променено само ако са надвишени всички долуизброени прагове от членове 5 и 6 от Регламента за ALC:</v>
      </c>
      <c r="F692" s="2249"/>
      <c r="G692" s="2249"/>
      <c r="H692" s="2249"/>
      <c r="I692" s="2249"/>
      <c r="J692" s="2249"/>
      <c r="K692" s="2249"/>
      <c r="L692" s="2249"/>
      <c r="M692" s="2249"/>
      <c r="N692" s="2249"/>
      <c r="O692" s="302"/>
      <c r="P692" s="336"/>
      <c r="Q692" s="729"/>
      <c r="R692" s="694"/>
      <c r="S692" s="729"/>
      <c r="T692" s="729"/>
      <c r="U692" s="729"/>
      <c r="V692" s="694"/>
      <c r="W692" s="694"/>
      <c r="X692" s="694"/>
      <c r="Y692" s="694"/>
      <c r="Z692" s="694"/>
      <c r="AA692" s="694"/>
      <c r="AB692" s="694"/>
      <c r="AC692" s="694"/>
      <c r="AD692" s="694"/>
      <c r="AE692" s="694"/>
      <c r="AF692" s="694"/>
      <c r="AG692" s="694"/>
      <c r="AH692" s="694"/>
      <c r="AI692" s="694"/>
      <c r="AJ692" s="694"/>
      <c r="AK692" s="694"/>
      <c r="AL692" s="694"/>
      <c r="AM692" s="343"/>
    </row>
    <row r="693" spans="1:39" ht="12.75" customHeight="1" x14ac:dyDescent="0.25">
      <c r="A693" s="694"/>
      <c r="B693" s="298"/>
      <c r="C693" s="298"/>
      <c r="D693" s="302"/>
      <c r="E693" s="1191" t="s">
        <v>1052</v>
      </c>
      <c r="F693" s="2358" t="str">
        <f>Translations!$B$1530</f>
        <v>относителният праг (15 %) за средното равнище на дейност в сравнение с HAL</v>
      </c>
      <c r="G693" s="2861"/>
      <c r="H693" s="2861"/>
      <c r="I693" s="2861"/>
      <c r="J693" s="2861"/>
      <c r="K693" s="2861"/>
      <c r="L693" s="2861"/>
      <c r="M693" s="2861"/>
      <c r="N693" s="2861"/>
      <c r="O693" s="302"/>
      <c r="P693" s="336"/>
      <c r="Q693" s="729"/>
      <c r="R693" s="694"/>
      <c r="S693" s="729"/>
      <c r="T693" s="729"/>
      <c r="U693" s="729"/>
      <c r="V693" s="694"/>
      <c r="W693" s="694"/>
      <c r="X693" s="694"/>
      <c r="Y693" s="694"/>
      <c r="Z693" s="694"/>
      <c r="AA693" s="694"/>
      <c r="AB693" s="694"/>
      <c r="AC693" s="694"/>
      <c r="AD693" s="694"/>
      <c r="AE693" s="694"/>
      <c r="AF693" s="694"/>
      <c r="AG693" s="694"/>
      <c r="AH693" s="694"/>
      <c r="AI693" s="694"/>
      <c r="AJ693" s="694"/>
      <c r="AK693" s="694"/>
      <c r="AL693" s="694"/>
      <c r="AM693" s="343"/>
    </row>
    <row r="694" spans="1:39" ht="12.75" customHeight="1" x14ac:dyDescent="0.25">
      <c r="A694" s="694"/>
      <c r="B694" s="298"/>
      <c r="C694" s="298"/>
      <c r="D694" s="302"/>
      <c r="E694" s="1191" t="s">
        <v>1052</v>
      </c>
      <c r="F694" s="2358" t="str">
        <f>Translations!$B$1531</f>
        <v>относителните прагове (15 % и 5 % за последващи промени) за очакваното равнище на дейност в сравнение с HAL</v>
      </c>
      <c r="G694" s="2861"/>
      <c r="H694" s="2861"/>
      <c r="I694" s="2861"/>
      <c r="J694" s="2861"/>
      <c r="K694" s="2861"/>
      <c r="L694" s="2861"/>
      <c r="M694" s="2861"/>
      <c r="N694" s="2861"/>
      <c r="O694" s="302"/>
      <c r="P694" s="336"/>
      <c r="Q694" s="729"/>
      <c r="R694" s="694"/>
      <c r="S694" s="729"/>
      <c r="T694" s="729"/>
      <c r="U694" s="729"/>
      <c r="V694" s="694"/>
      <c r="W694" s="694"/>
      <c r="X694" s="694"/>
      <c r="Y694" s="694"/>
      <c r="Z694" s="694"/>
      <c r="AA694" s="694"/>
      <c r="AB694" s="694"/>
      <c r="AC694" s="694"/>
      <c r="AD694" s="694"/>
      <c r="AE694" s="694"/>
      <c r="AF694" s="694"/>
      <c r="AG694" s="694"/>
      <c r="AH694" s="694"/>
      <c r="AI694" s="694"/>
      <c r="AJ694" s="694"/>
      <c r="AK694" s="694"/>
      <c r="AL694" s="694"/>
      <c r="AM694" s="343"/>
    </row>
    <row r="695" spans="1:39" ht="12.75" customHeight="1" thickBot="1" x14ac:dyDescent="0.3">
      <c r="A695" s="694"/>
      <c r="B695" s="298"/>
      <c r="C695" s="298"/>
      <c r="D695" s="302"/>
      <c r="E695" s="1191" t="s">
        <v>1052</v>
      </c>
      <c r="F695" s="2358" t="str">
        <f>Translations!$B$1514</f>
        <v>абсолютния праг, т.е. промяната би довела до разлика в предварителното разпределение от най-малко 300 квоти</v>
      </c>
      <c r="G695" s="2861"/>
      <c r="H695" s="2861"/>
      <c r="I695" s="2861"/>
      <c r="J695" s="2861"/>
      <c r="K695" s="2861"/>
      <c r="L695" s="2861"/>
      <c r="M695" s="2861"/>
      <c r="N695" s="2861"/>
      <c r="O695" s="302"/>
      <c r="P695" s="336"/>
      <c r="Q695" s="729"/>
      <c r="R695" s="694"/>
      <c r="S695" s="729"/>
      <c r="T695" s="729"/>
      <c r="U695" s="729"/>
      <c r="V695" s="694"/>
      <c r="W695" s="694"/>
      <c r="X695" s="694"/>
      <c r="Y695" s="694"/>
      <c r="Z695" s="694"/>
      <c r="AA695" s="694"/>
      <c r="AB695" s="694"/>
      <c r="AC695" s="694"/>
      <c r="AD695" s="694"/>
      <c r="AE695" s="694"/>
      <c r="AF695" s="694"/>
      <c r="AG695" s="694"/>
      <c r="AH695" s="694"/>
      <c r="AI695" s="694"/>
      <c r="AJ695" s="694"/>
      <c r="AK695" s="694"/>
      <c r="AL695" s="694"/>
      <c r="AM695" s="343"/>
    </row>
    <row r="696" spans="1:39" ht="5.15" customHeight="1" thickBot="1" x14ac:dyDescent="0.3">
      <c r="A696" s="694"/>
      <c r="B696" s="298"/>
      <c r="C696" s="298"/>
      <c r="D696" s="1192"/>
      <c r="E696" s="1193"/>
      <c r="F696" s="1194"/>
      <c r="G696" s="1195"/>
      <c r="H696" s="1195"/>
      <c r="I696" s="1195"/>
      <c r="J696" s="1195"/>
      <c r="K696" s="1195"/>
      <c r="L696" s="1195"/>
      <c r="M696" s="1195"/>
      <c r="N696" s="1196"/>
      <c r="O696" s="302"/>
      <c r="P696" s="336"/>
      <c r="Q696" s="729"/>
      <c r="R696" s="694"/>
      <c r="S696" s="729"/>
      <c r="T696" s="729"/>
      <c r="U696" s="729"/>
      <c r="V696" s="694"/>
      <c r="W696" s="694"/>
      <c r="X696" s="694"/>
      <c r="Y696" s="694"/>
      <c r="Z696" s="694"/>
      <c r="AA696" s="694"/>
      <c r="AB696" s="694"/>
      <c r="AC696" s="694"/>
      <c r="AD696" s="694"/>
      <c r="AE696" s="694"/>
      <c r="AF696" s="694"/>
      <c r="AG696" s="694"/>
      <c r="AH696" s="694"/>
      <c r="AI696" s="694"/>
      <c r="AJ696" s="694"/>
      <c r="AK696" s="694"/>
      <c r="AL696" s="694"/>
      <c r="AM696" s="343"/>
    </row>
    <row r="697" spans="1:39" ht="12.75" customHeight="1" x14ac:dyDescent="0.25">
      <c r="A697" s="694"/>
      <c r="B697" s="298"/>
      <c r="C697" s="298"/>
      <c r="D697" s="1217"/>
      <c r="E697" s="1198" t="str">
        <f>Translations!$B$1334</f>
        <v>Предварителна корекция</v>
      </c>
      <c r="F697" s="1199"/>
      <c r="G697" s="1199"/>
      <c r="H697" s="1200" t="str">
        <f>EUconst_Unit</f>
        <v>Единица мярка</v>
      </c>
      <c r="I697" s="1201" t="str">
        <f>Translations!$B$1320</f>
        <v>(НМИ) HAL</v>
      </c>
      <c r="J697" s="1202">
        <f>J$1840</f>
        <v>2026</v>
      </c>
      <c r="K697" s="1203">
        <f>K$1840</f>
        <v>2027</v>
      </c>
      <c r="L697" s="1203">
        <f>L$1840</f>
        <v>2028</v>
      </c>
      <c r="M697" s="1203">
        <f>M$1840</f>
        <v>2029</v>
      </c>
      <c r="N697" s="1204">
        <f>N$1840</f>
        <v>2030</v>
      </c>
      <c r="O697" s="302"/>
      <c r="P697" s="336"/>
      <c r="Q697" s="729"/>
      <c r="R697" s="694"/>
      <c r="S697" s="729"/>
      <c r="T697" s="729"/>
      <c r="U697" s="1205"/>
      <c r="V697" s="1206">
        <f>J697</f>
        <v>2026</v>
      </c>
      <c r="W697" s="1206">
        <f>K697</f>
        <v>2027</v>
      </c>
      <c r="X697" s="1206">
        <f>L697</f>
        <v>2028</v>
      </c>
      <c r="Y697" s="1206">
        <f>M697</f>
        <v>2029</v>
      </c>
      <c r="Z697" s="1207">
        <f>N697</f>
        <v>2030</v>
      </c>
      <c r="AA697" s="694"/>
      <c r="AB697" s="729"/>
      <c r="AC697" s="694"/>
      <c r="AD697" s="694"/>
      <c r="AE697" s="343"/>
      <c r="AF697" s="343"/>
      <c r="AG697" s="343"/>
      <c r="AH697" s="343"/>
      <c r="AI697" s="343"/>
      <c r="AJ697" s="343"/>
      <c r="AK697" s="343"/>
      <c r="AL697" s="343"/>
      <c r="AM697" s="343"/>
    </row>
    <row r="698" spans="1:39" ht="12.75" customHeight="1" x14ac:dyDescent="0.25">
      <c r="A698" s="694"/>
      <c r="B698" s="298"/>
      <c r="C698" s="298"/>
      <c r="D698" s="1208" t="s">
        <v>7</v>
      </c>
      <c r="E698" s="1209" t="str">
        <f>Translations!$B$1321</f>
        <v>Средно годишно равнище на дейност (стойност в НМИ)</v>
      </c>
      <c r="F698" s="1209"/>
      <c r="G698" s="1209"/>
      <c r="H698" s="1266" t="str">
        <f>G690</f>
        <v>TJ</v>
      </c>
      <c r="I698" s="1399" t="str">
        <f>IF(V682&gt;($J$1840-3),EUconst_NA,INDEX('B+C_SubInstallations'!$I:$I,MATCH(Q698,'B+C_SubInstallations'!$T:$T,0)))</f>
        <v/>
      </c>
      <c r="J698" s="1400" t="str">
        <f>IF(AND(V698&gt;=3,CNTR_ReportingYear&gt;J697-1),AVERAGE(SUM(H690),SUM(I690)),"")</f>
        <v/>
      </c>
      <c r="K698" s="1401" t="str">
        <f>IF(AND(W698&gt;=3,CNTR_ReportingYear&gt;K697-1),AVERAGE(SUM(I690),SUM(J690)),"")</f>
        <v/>
      </c>
      <c r="L698" s="1401" t="str">
        <f>IF(AND(X698&gt;=3,CNTR_ReportingYear&gt;L697-1),AVERAGE(SUM(J690),SUM(K690)),"")</f>
        <v/>
      </c>
      <c r="M698" s="1401" t="str">
        <f>IF(AND(Y698&gt;=3,CNTR_ReportingYear&gt;M697-1),AVERAGE(SUM(K690),SUM(L690)),"")</f>
        <v/>
      </c>
      <c r="N698" s="1402" t="str">
        <f>IF(AND(Z698&gt;=3,CNTR_ReportingYear&gt;N697-1),AVERAGE(SUM(L690),SUM(M690)),"")</f>
        <v/>
      </c>
      <c r="O698" s="302"/>
      <c r="P698" s="336"/>
      <c r="Q698" s="1270" t="str">
        <f>EUconst_CNTR_HALinitial&amp;I682</f>
        <v>HALini_Подинсталация на топлофикационна мрежа</v>
      </c>
      <c r="R698" s="694"/>
      <c r="S698" s="729"/>
      <c r="T698" s="729"/>
      <c r="U698" s="1365" t="s">
        <v>1710</v>
      </c>
      <c r="V698" s="834">
        <f>IF($M682&lt;&gt;EUconst_Relevant,0,V697-$V682+1)</f>
        <v>0</v>
      </c>
      <c r="W698" s="834">
        <f>IF($M682&lt;&gt;EUconst_Relevant,0,W697-$V682+1)</f>
        <v>0</v>
      </c>
      <c r="X698" s="834">
        <f>IF($M682&lt;&gt;EUconst_Relevant,0,X697-$V682+1)</f>
        <v>0</v>
      </c>
      <c r="Y698" s="834">
        <f>IF($M682&lt;&gt;EUconst_Relevant,0,Y697-$V682+1)</f>
        <v>0</v>
      </c>
      <c r="Z698" s="1403">
        <f>IF($M682&lt;&gt;EUconst_Relevant,0,Z697-$V682+1)</f>
        <v>0</v>
      </c>
      <c r="AA698" s="694"/>
      <c r="AB698" s="729"/>
      <c r="AC698" s="694"/>
      <c r="AD698" s="694"/>
      <c r="AE698" s="343"/>
      <c r="AF698" s="343"/>
      <c r="AG698" s="343"/>
      <c r="AH698" s="343"/>
      <c r="AI698" s="343"/>
      <c r="AJ698" s="343"/>
      <c r="AK698" s="343"/>
      <c r="AL698" s="343"/>
      <c r="AM698" s="343"/>
    </row>
    <row r="699" spans="1:39" ht="12.75" hidden="1" customHeight="1" x14ac:dyDescent="0.25">
      <c r="A699" s="729" t="s">
        <v>312</v>
      </c>
      <c r="B699" s="298"/>
      <c r="C699" s="298"/>
      <c r="D699" s="1208"/>
      <c r="E699" s="1209" t="str">
        <f>Translations!$B$1376</f>
        <v>Промяна в сравнение с HAL</v>
      </c>
      <c r="F699" s="1209"/>
      <c r="G699" s="1209"/>
      <c r="H699" s="1222"/>
      <c r="I699" s="1223"/>
      <c r="J699" s="104" t="str">
        <f>IF(J698="","",IF($I701=0,IF(J698=0,0%,100%),J698/$I701-1))</f>
        <v/>
      </c>
      <c r="K699" s="99" t="str">
        <f>IF(K698="","",IF($I701=0,IF(K698=0,0%,100%),K698/$I701-1))</f>
        <v/>
      </c>
      <c r="L699" s="99" t="str">
        <f>IF(L698="","",IF($I701=0,IF(L698=0,0%,100%),L698/$I701-1))</f>
        <v/>
      </c>
      <c r="M699" s="99" t="str">
        <f>IF(M698="","",IF($I701=0,IF(M698=0,0%,100%),M698/$I701-1))</f>
        <v/>
      </c>
      <c r="N699" s="123" t="str">
        <f>IF(N698="","",IF($I701=0,IF(N698=0,0%,100%),N698/$I701-1))</f>
        <v/>
      </c>
      <c r="O699" s="302"/>
      <c r="P699" s="336"/>
      <c r="Q699" s="1190" t="str">
        <f>EUconst_CNTR_RelThreshold &amp;I682</f>
        <v>RelThresh_Подинсталация на топлофикационна мрежа</v>
      </c>
      <c r="R699" s="694"/>
      <c r="S699" s="729"/>
      <c r="T699" s="729"/>
      <c r="U699" s="1365" t="s">
        <v>1715</v>
      </c>
      <c r="V699" s="727" t="str">
        <f>IF(J698="","",ABS(J699)&gt;15%)</f>
        <v/>
      </c>
      <c r="W699" s="727" t="str">
        <f>IF(K698="","",ABS(K699)&gt;15%)</f>
        <v/>
      </c>
      <c r="X699" s="727" t="str">
        <f>IF(L698="","",ABS(L699)&gt;15%)</f>
        <v/>
      </c>
      <c r="Y699" s="727" t="str">
        <f>IF(M698="","",ABS(M699)&gt;15%)</f>
        <v/>
      </c>
      <c r="Z699" s="1221" t="str">
        <f>IF(N698="","",ABS(N699)&gt;15%)</f>
        <v/>
      </c>
      <c r="AA699" s="694"/>
      <c r="AB699" s="729"/>
      <c r="AC699" s="694"/>
      <c r="AD699" s="694"/>
      <c r="AE699" s="343"/>
      <c r="AF699" s="343"/>
      <c r="AG699" s="343"/>
      <c r="AH699" s="343"/>
      <c r="AI699" s="343"/>
      <c r="AJ699" s="343"/>
      <c r="AK699" s="343"/>
      <c r="AL699" s="343"/>
      <c r="AM699" s="343"/>
    </row>
    <row r="700" spans="1:39" ht="12.75" customHeight="1" x14ac:dyDescent="0.25">
      <c r="A700" s="729"/>
      <c r="B700" s="298"/>
      <c r="C700" s="298"/>
      <c r="D700" s="1208" t="s">
        <v>8</v>
      </c>
      <c r="E700" s="1209" t="str">
        <f>Translations!$B$1322</f>
        <v>Предварителна корекция (ако са надвишени относителните прагове)</v>
      </c>
      <c r="F700" s="1209"/>
      <c r="G700" s="1209"/>
      <c r="H700" s="1222"/>
      <c r="I700" s="1223"/>
      <c r="J700" s="1224" t="str">
        <f>IF(J698="","",IF(V699=FALSE,0%,J699))</f>
        <v/>
      </c>
      <c r="K700" s="1225" t="str">
        <f t="shared" ref="K700" si="1012">IF(K698="","",IF(W699=FALSE,0%,K699))</f>
        <v/>
      </c>
      <c r="L700" s="1225" t="str">
        <f t="shared" ref="L700" si="1013">IF(L698="","",IF(X699=FALSE,0%,L699))</f>
        <v/>
      </c>
      <c r="M700" s="1225" t="str">
        <f t="shared" ref="M700" si="1014">IF(M698="","",IF(Y699=FALSE,0%,M699))</f>
        <v/>
      </c>
      <c r="N700" s="1226" t="str">
        <f t="shared" ref="N700" si="1015">IF(N698="","",IF(Z699=FALSE,0%,N699))</f>
        <v/>
      </c>
      <c r="O700" s="302"/>
      <c r="P700" s="336"/>
      <c r="Q700" s="729"/>
      <c r="R700" s="694"/>
      <c r="S700" s="729"/>
      <c r="T700" s="729"/>
      <c r="U700" s="1365" t="s">
        <v>1716</v>
      </c>
      <c r="V700" s="727" t="str">
        <f>IF(J698="","",AND(V699,IF(SUM(I819)&lt;0,OR(SUM(J699)&lt;SUM(I819)-MOD(SUM(I819),5%),J699&gt;=SUM(I819)+5%-MOD(SUM(I819),5%)),OR(SUM(J699)&lt;=SUM(I819)-MOD(SUM(I819),5%),SUM(J699)&gt;SUM(I819)+5%-MOD(SUM(I819),5%)))))</f>
        <v/>
      </c>
      <c r="W700" s="727" t="str">
        <f>IF(K698="","",AND(W699,IF(SUM(J819)&lt;0,OR(SUM(K699)&lt;SUM(J819)-MOD(SUM(J819),5%),K699&gt;=SUM(J819)+5%-MOD(SUM(J819),5%)),OR(SUM(K699)&lt;=SUM(J819)-MOD(SUM(J819),5%),SUM(K699)&gt;SUM(J819)+5%-MOD(SUM(J819),5%)))))</f>
        <v/>
      </c>
      <c r="X700" s="727" t="str">
        <f>IF(L698="","",AND(X699,IF(SUM(K819)&lt;0,OR(SUM(L699)&lt;SUM(K819)-MOD(SUM(K819),5%),L699&gt;=SUM(K819)+5%-MOD(SUM(K819),5%)),OR(SUM(L699)&lt;=SUM(K819)-MOD(SUM(K819),5%),SUM(L699)&gt;SUM(K819)+5%-MOD(SUM(K819),5%)))))</f>
        <v/>
      </c>
      <c r="Y700" s="727" t="str">
        <f>IF(M698="","",AND(Y699,IF(SUM(L819)&lt;0,OR(SUM(M699)&lt;SUM(L819)-MOD(SUM(L819),5%),M699&gt;=SUM(L819)+5%-MOD(SUM(L819),5%)),OR(SUM(M699)&lt;=SUM(L819)-MOD(SUM(L819),5%),SUM(M699)&gt;SUM(L819)+5%-MOD(SUM(L819),5%)))))</f>
        <v/>
      </c>
      <c r="Z700" s="1221" t="str">
        <f>IF(N698="","",AND(Z699,IF(SUM(M819)&lt;0,OR(SUM(N699)&lt;SUM(M819)-MOD(SUM(M819),5%),N699&gt;=SUM(M819)+5%-MOD(SUM(M819),5%)),OR(SUM(N699)&lt;=SUM(M819)-MOD(SUM(M819),5%),SUM(N699)&gt;SUM(M819)+5%-MOD(SUM(M819),5%)))))</f>
        <v/>
      </c>
      <c r="AA700" s="694"/>
      <c r="AB700" s="729"/>
      <c r="AC700" s="694"/>
      <c r="AD700" s="694"/>
      <c r="AE700" s="343"/>
      <c r="AF700" s="343"/>
      <c r="AG700" s="343"/>
      <c r="AH700" s="343"/>
      <c r="AI700" s="343"/>
      <c r="AJ700" s="343"/>
      <c r="AK700" s="343"/>
      <c r="AL700" s="343"/>
      <c r="AM700" s="343"/>
    </row>
    <row r="701" spans="1:39" ht="12.75" customHeight="1" thickBot="1" x14ac:dyDescent="0.3">
      <c r="A701" s="729"/>
      <c r="B701" s="298"/>
      <c r="C701" s="298"/>
      <c r="D701" s="1208" t="s">
        <v>18</v>
      </c>
      <c r="E701" s="1209" t="str">
        <f>Translations!$B$1377</f>
        <v>Предварителна стойност</v>
      </c>
      <c r="F701" s="1209"/>
      <c r="G701" s="1209"/>
      <c r="H701" s="1266" t="str">
        <f>H698</f>
        <v>TJ</v>
      </c>
      <c r="I701" s="1399" t="str">
        <f>IF(M682&lt;&gt;EUconst_Relevant,"",IF(AB682=FALSE,EUconst_NA,IF(V682&gt;($J$1840-3),INDEX(H690:N690,MATCH($V682,H689:N689,0)),I698)))</f>
        <v/>
      </c>
      <c r="J701" s="1400" t="str">
        <f>IF($M682&lt;&gt;EUconst_Relevant,"",IF(V698&lt;2,SUM(J690),IF(V698&lt;3,SUM(I690),IF(V701="",I701,V701))))</f>
        <v/>
      </c>
      <c r="K701" s="1401" t="str">
        <f>IF($M682&lt;&gt;EUconst_Relevant,"",IF(W698&lt;2,SUM(K690),IF(W698&lt;3,SUM(J690),IF(W701="",J701,W701))))</f>
        <v/>
      </c>
      <c r="L701" s="1401" t="str">
        <f>IF($M682&lt;&gt;EUconst_Relevant,"",IF(X698&lt;2,SUM(L690),IF(X698&lt;3,SUM(K690),IF(X701="",K701,X701))))</f>
        <v/>
      </c>
      <c r="M701" s="1401" t="str">
        <f>IF($M682&lt;&gt;EUconst_Relevant,"",IF(Y698&lt;2,SUM(M690),IF(Y698&lt;3,SUM(L690),IF(Y701="",L701,Y701))))</f>
        <v/>
      </c>
      <c r="N701" s="1402" t="str">
        <f>IF($M682&lt;&gt;EUconst_Relevant,"",IF(Z698&lt;2,SUM(N690),IF(Z698&lt;3,SUM(M690),IF(Z701="",M701,Z701))))</f>
        <v/>
      </c>
      <c r="O701" s="710"/>
      <c r="P701" s="336"/>
      <c r="Q701" s="1190" t="s">
        <v>2143</v>
      </c>
      <c r="R701" s="694"/>
      <c r="S701" s="729"/>
      <c r="T701" s="729"/>
      <c r="U701" s="1404" t="s">
        <v>1711</v>
      </c>
      <c r="V701" s="1405" t="str">
        <f>IF(J698="","",IF(CNTR_ReportingYear&lt;J697,I700,IF($I701=0,J698,$I701*(1+J700))))</f>
        <v/>
      </c>
      <c r="W701" s="1405" t="str">
        <f>IF(K698="","",IF(CNTR_ReportingYear&lt;K697,J700,IF($I701=0,K698,$I701*(1+K700))))</f>
        <v/>
      </c>
      <c r="X701" s="1405" t="str">
        <f>IF(L698="","",IF(CNTR_ReportingYear&lt;L697,K700,IF($I701=0,L698,$I701*(1+L700))))</f>
        <v/>
      </c>
      <c r="Y701" s="1405" t="str">
        <f>IF(M698="","",IF(CNTR_ReportingYear&lt;M697,L700,IF($I701=0,M698,$I701*(1+M700))))</f>
        <v/>
      </c>
      <c r="Z701" s="1406" t="str">
        <f>IF(N698="","",IF(CNTR_ReportingYear&lt;N697,M700,IF($I701=0,N698,$I701*(1+N700))))</f>
        <v/>
      </c>
      <c r="AA701" s="694"/>
      <c r="AB701" s="694"/>
      <c r="AC701" s="694"/>
      <c r="AD701" s="694"/>
      <c r="AE701" s="343"/>
      <c r="AF701" s="343"/>
      <c r="AG701" s="343"/>
      <c r="AH701" s="343"/>
      <c r="AI701" s="343"/>
      <c r="AJ701" s="343"/>
      <c r="AK701" s="343"/>
      <c r="AL701" s="343"/>
      <c r="AM701" s="343"/>
    </row>
    <row r="702" spans="1:39" ht="5.15" customHeight="1" thickBot="1" x14ac:dyDescent="0.3">
      <c r="A702" s="729"/>
      <c r="B702" s="698"/>
      <c r="C702" s="284"/>
      <c r="D702" s="1407"/>
      <c r="E702" s="1408"/>
      <c r="F702" s="1408"/>
      <c r="G702" s="1408"/>
      <c r="H702" s="1408"/>
      <c r="I702" s="1408"/>
      <c r="J702" s="1408"/>
      <c r="K702" s="1408"/>
      <c r="L702" s="1408"/>
      <c r="M702" s="1408"/>
      <c r="N702" s="1409"/>
      <c r="O702" s="336"/>
      <c r="P702" s="336"/>
      <c r="Q702" s="694"/>
      <c r="R702" s="694"/>
      <c r="S702" s="729"/>
      <c r="T702" s="729"/>
      <c r="U702" s="694"/>
      <c r="V702" s="694"/>
      <c r="W702" s="694"/>
      <c r="X702" s="694"/>
      <c r="Y702" s="694"/>
      <c r="Z702" s="729"/>
      <c r="AA702" s="729"/>
      <c r="AB702" s="729"/>
      <c r="AC702" s="694"/>
      <c r="AD702" s="694"/>
      <c r="AE702" s="343"/>
      <c r="AF702" s="343"/>
      <c r="AG702" s="343"/>
      <c r="AH702" s="343"/>
      <c r="AI702" s="343"/>
      <c r="AJ702" s="343"/>
      <c r="AK702" s="343"/>
      <c r="AL702" s="343"/>
      <c r="AM702" s="343"/>
    </row>
    <row r="703" spans="1:39" ht="5.15" hidden="1" customHeight="1" x14ac:dyDescent="0.25">
      <c r="A703" s="729" t="str">
        <f>A704</f>
        <v>ausblenden</v>
      </c>
      <c r="B703" s="698"/>
      <c r="C703" s="284"/>
      <c r="D703" s="284"/>
      <c r="E703" s="284"/>
      <c r="F703" s="284"/>
      <c r="G703" s="284"/>
      <c r="H703" s="284"/>
      <c r="I703" s="284"/>
      <c r="J703" s="284"/>
      <c r="K703" s="284"/>
      <c r="L703" s="284"/>
      <c r="M703" s="284"/>
      <c r="N703" s="284"/>
      <c r="O703" s="336"/>
      <c r="P703" s="336"/>
      <c r="Q703" s="694"/>
      <c r="R703" s="694"/>
      <c r="S703" s="729"/>
      <c r="T703" s="729"/>
      <c r="U703" s="694"/>
      <c r="V703" s="694"/>
      <c r="W703" s="694"/>
      <c r="X703" s="694"/>
      <c r="Y703" s="694"/>
      <c r="Z703" s="729"/>
      <c r="AA703" s="729"/>
      <c r="AB703" s="729"/>
      <c r="AC703" s="694"/>
      <c r="AD703" s="694"/>
      <c r="AE703" s="343"/>
      <c r="AF703" s="343"/>
      <c r="AG703" s="343"/>
      <c r="AH703" s="343"/>
      <c r="AI703" s="343"/>
      <c r="AJ703" s="343"/>
      <c r="AK703" s="343"/>
      <c r="AL703" s="343"/>
      <c r="AM703" s="343"/>
    </row>
    <row r="704" spans="1:39" ht="14" hidden="1" x14ac:dyDescent="0.3">
      <c r="A704" s="729" t="str">
        <f>IF(MATCH(I682,EUconst_FallBackListNames,0)=4,"ausblenden","")</f>
        <v>ausblenden</v>
      </c>
      <c r="B704" s="698"/>
      <c r="C704" s="590"/>
      <c r="D704" s="2323" t="str">
        <f>Translations!$B$495</f>
        <v>Данни за производството</v>
      </c>
      <c r="E704" s="2249"/>
      <c r="F704" s="2249"/>
      <c r="G704" s="2249"/>
      <c r="H704" s="2249"/>
      <c r="I704" s="2249"/>
      <c r="J704" s="2249"/>
      <c r="K704" s="2249"/>
      <c r="L704" s="2249"/>
      <c r="M704" s="2249"/>
      <c r="N704" s="2249"/>
      <c r="O704" s="336"/>
      <c r="P704" s="336"/>
      <c r="Q704" s="694"/>
      <c r="R704" s="694"/>
      <c r="S704" s="694"/>
      <c r="T704" s="694"/>
      <c r="U704" s="694"/>
      <c r="V704" s="694"/>
      <c r="W704" s="694"/>
      <c r="X704" s="694"/>
      <c r="Y704" s="694"/>
      <c r="Z704" s="729"/>
      <c r="AA704" s="729"/>
      <c r="AB704" s="729"/>
      <c r="AC704" s="694"/>
      <c r="AD704" s="694"/>
      <c r="AE704" s="343"/>
      <c r="AF704" s="343"/>
      <c r="AG704" s="343"/>
      <c r="AH704" s="343"/>
      <c r="AI704" s="343"/>
      <c r="AJ704" s="343"/>
      <c r="AK704" s="343"/>
      <c r="AL704" s="343"/>
      <c r="AM704" s="343"/>
    </row>
    <row r="705" spans="1:39" ht="5.15" hidden="1" customHeight="1" x14ac:dyDescent="0.25">
      <c r="A705" s="729" t="str">
        <f>A704</f>
        <v>ausblenden</v>
      </c>
      <c r="B705" s="284"/>
      <c r="C705" s="284"/>
      <c r="D705" s="284"/>
      <c r="E705" s="284"/>
      <c r="F705" s="284"/>
      <c r="G705" s="284"/>
      <c r="H705" s="284"/>
      <c r="I705" s="284"/>
      <c r="J705" s="284"/>
      <c r="K705" s="284"/>
      <c r="L705" s="284"/>
      <c r="M705" s="284"/>
      <c r="N705" s="284"/>
      <c r="O705" s="336"/>
      <c r="P705" s="336"/>
      <c r="Q705" s="770"/>
      <c r="R705" s="770"/>
      <c r="S705" s="694"/>
      <c r="T705" s="694"/>
      <c r="U705" s="694"/>
      <c r="V705" s="694"/>
      <c r="W705" s="694"/>
      <c r="X705" s="694"/>
      <c r="Y705" s="694"/>
      <c r="Z705" s="729"/>
      <c r="AA705" s="729"/>
      <c r="AB705" s="729"/>
      <c r="AC705" s="694"/>
      <c r="AD705" s="694"/>
      <c r="AE705" s="343"/>
      <c r="AF705" s="343"/>
      <c r="AG705" s="343"/>
      <c r="AH705" s="343"/>
      <c r="AI705" s="343"/>
      <c r="AJ705" s="343"/>
      <c r="AK705" s="343"/>
      <c r="AL705" s="343"/>
      <c r="AM705" s="343"/>
    </row>
    <row r="706" spans="1:39" ht="12.75" hidden="1" customHeight="1" x14ac:dyDescent="0.25">
      <c r="A706" s="729" t="str">
        <f t="shared" ref="A706:A770" si="1016">A705</f>
        <v>ausblenden</v>
      </c>
      <c r="B706" s="284"/>
      <c r="C706" s="300"/>
      <c r="D706" s="300" t="s">
        <v>901</v>
      </c>
      <c r="E706" s="2226" t="str">
        <f>Translations!$B$616</f>
        <v>Определяне на съответните продукти или услуги, свързани с тази подинсталация</v>
      </c>
      <c r="F706" s="2249"/>
      <c r="G706" s="2249"/>
      <c r="H706" s="2249"/>
      <c r="I706" s="2249"/>
      <c r="J706" s="2249"/>
      <c r="K706" s="2249"/>
      <c r="L706" s="2249"/>
      <c r="M706" s="2249"/>
      <c r="N706" s="2249"/>
      <c r="O706" s="336"/>
      <c r="P706" s="336"/>
      <c r="Q706" s="770"/>
      <c r="R706" s="694"/>
      <c r="S706" s="694"/>
      <c r="T706" s="694"/>
      <c r="U706" s="694"/>
      <c r="V706" s="694"/>
      <c r="W706" s="694"/>
      <c r="X706" s="694"/>
      <c r="Y706" s="694"/>
      <c r="Z706" s="694"/>
      <c r="AA706" s="694"/>
      <c r="AB706" s="729"/>
      <c r="AC706" s="694"/>
      <c r="AD706" s="694"/>
      <c r="AE706" s="343"/>
      <c r="AF706" s="343"/>
      <c r="AG706" s="343"/>
      <c r="AH706" s="343"/>
      <c r="AI706" s="343"/>
      <c r="AJ706" s="343"/>
      <c r="AK706" s="343"/>
      <c r="AL706" s="343"/>
      <c r="AM706" s="343"/>
    </row>
    <row r="707" spans="1:39" ht="12.75" hidden="1" customHeight="1" x14ac:dyDescent="0.25">
      <c r="A707" s="729" t="str">
        <f t="shared" si="1016"/>
        <v>ausblenden</v>
      </c>
      <c r="B707" s="284"/>
      <c r="C707" s="302"/>
      <c r="D707" s="302"/>
      <c r="E707" s="2358" t="str">
        <f>Translations!$B$617</f>
        <v>Тук посочете към кои производствени процеси или услуги има отношение тази подинсталация. Това може да включва следните елементи:</v>
      </c>
      <c r="F707" s="2249"/>
      <c r="G707" s="2249"/>
      <c r="H707" s="2249"/>
      <c r="I707" s="2249"/>
      <c r="J707" s="2249"/>
      <c r="K707" s="2249"/>
      <c r="L707" s="2249"/>
      <c r="M707" s="2249"/>
      <c r="N707" s="2249"/>
      <c r="O707" s="336"/>
      <c r="P707" s="336"/>
      <c r="Q707" s="770"/>
      <c r="R707" s="770"/>
      <c r="S707" s="770"/>
      <c r="T707" s="770"/>
      <c r="U707" s="770"/>
      <c r="V707" s="770"/>
      <c r="W707" s="770"/>
      <c r="X707" s="770"/>
      <c r="Y707" s="770"/>
      <c r="Z707" s="770"/>
      <c r="AA707" s="770"/>
      <c r="AB707" s="729"/>
      <c r="AC707" s="694"/>
      <c r="AD707" s="694"/>
      <c r="AE707" s="343"/>
      <c r="AF707" s="343"/>
      <c r="AG707" s="343"/>
      <c r="AH707" s="343"/>
      <c r="AI707" s="343"/>
      <c r="AJ707" s="343"/>
      <c r="AK707" s="343"/>
      <c r="AL707" s="343"/>
      <c r="AM707" s="343"/>
    </row>
    <row r="708" spans="1:39" ht="12.75" hidden="1" customHeight="1" x14ac:dyDescent="0.25">
      <c r="A708" s="729" t="str">
        <f t="shared" si="1016"/>
        <v>ausblenden</v>
      </c>
      <c r="B708" s="284"/>
      <c r="C708" s="302"/>
      <c r="D708" s="302"/>
      <c r="E708" s="1410" t="s">
        <v>951</v>
      </c>
      <c r="F708" s="2358" t="str">
        <f>Translations!$B$618</f>
        <v>Производство на стоки, непопадащи в продуктовите показатели в рамките на инсталацията (посочете вида продукти);</v>
      </c>
      <c r="G708" s="2249"/>
      <c r="H708" s="2249"/>
      <c r="I708" s="2249"/>
      <c r="J708" s="2249"/>
      <c r="K708" s="2249"/>
      <c r="L708" s="2249"/>
      <c r="M708" s="2249"/>
      <c r="N708" s="2249"/>
      <c r="O708" s="336"/>
      <c r="P708" s="336"/>
      <c r="Q708" s="770"/>
      <c r="R708" s="770"/>
      <c r="S708" s="770"/>
      <c r="T708" s="770"/>
      <c r="U708" s="770"/>
      <c r="V708" s="770"/>
      <c r="W708" s="770"/>
      <c r="X708" s="770"/>
      <c r="Y708" s="770"/>
      <c r="Z708" s="770"/>
      <c r="AA708" s="770"/>
      <c r="AB708" s="729"/>
      <c r="AC708" s="694"/>
      <c r="AD708" s="694"/>
      <c r="AE708" s="343"/>
      <c r="AF708" s="343"/>
      <c r="AG708" s="343"/>
      <c r="AH708" s="343"/>
      <c r="AI708" s="343"/>
      <c r="AJ708" s="343"/>
      <c r="AK708" s="343"/>
      <c r="AL708" s="343"/>
      <c r="AM708" s="343"/>
    </row>
    <row r="709" spans="1:39" ht="12.75" hidden="1" customHeight="1" x14ac:dyDescent="0.25">
      <c r="A709" s="729" t="str">
        <f t="shared" si="1016"/>
        <v>ausblenden</v>
      </c>
      <c r="B709" s="284"/>
      <c r="C709" s="302"/>
      <c r="D709" s="302"/>
      <c r="E709" s="1410" t="s">
        <v>951</v>
      </c>
      <c r="F709" s="2358" t="str">
        <f>Translations!$B$619</f>
        <v>производство на механична енергия, за отопление или охлаждане (всички употреби без производство на електроенергия);</v>
      </c>
      <c r="G709" s="2249"/>
      <c r="H709" s="2249"/>
      <c r="I709" s="2249"/>
      <c r="J709" s="2249"/>
      <c r="K709" s="2249"/>
      <c r="L709" s="2249"/>
      <c r="M709" s="2249"/>
      <c r="N709" s="2249"/>
      <c r="O709" s="336"/>
      <c r="P709" s="336"/>
      <c r="Q709" s="770"/>
      <c r="R709" s="770"/>
      <c r="S709" s="770"/>
      <c r="T709" s="770"/>
      <c r="U709" s="770"/>
      <c r="V709" s="770"/>
      <c r="W709" s="770"/>
      <c r="X709" s="770"/>
      <c r="Y709" s="770"/>
      <c r="Z709" s="694"/>
      <c r="AA709" s="694"/>
      <c r="AB709" s="729"/>
      <c r="AC709" s="694"/>
      <c r="AD709" s="694"/>
      <c r="AE709" s="343"/>
      <c r="AF709" s="343"/>
      <c r="AG709" s="343"/>
      <c r="AH709" s="343"/>
      <c r="AI709" s="343"/>
      <c r="AJ709" s="343"/>
      <c r="AK709" s="343"/>
      <c r="AL709" s="343"/>
      <c r="AM709" s="343"/>
    </row>
    <row r="710" spans="1:39" ht="12.75" hidden="1" customHeight="1" x14ac:dyDescent="0.25">
      <c r="A710" s="729" t="str">
        <f t="shared" si="1016"/>
        <v>ausblenden</v>
      </c>
      <c r="B710" s="284"/>
      <c r="C710" s="302"/>
      <c r="D710" s="302"/>
      <c r="E710" s="1410" t="s">
        <v>951</v>
      </c>
      <c r="F710" s="2358" t="str">
        <f>Translations!$B$620</f>
        <v>подаване на топлинна енергия към инсталации или други обекти (различни от топлофикационни мрежи). В такъв случай посочете употребата на топлинната енергия в посочената инсталация или обект, ако е известна.</v>
      </c>
      <c r="G710" s="2249"/>
      <c r="H710" s="2249"/>
      <c r="I710" s="2249"/>
      <c r="J710" s="2249"/>
      <c r="K710" s="2249"/>
      <c r="L710" s="2249"/>
      <c r="M710" s="2249"/>
      <c r="N710" s="2249"/>
      <c r="O710" s="336"/>
      <c r="P710" s="336"/>
      <c r="Q710" s="770"/>
      <c r="R710" s="770"/>
      <c r="S710" s="770"/>
      <c r="T710" s="770"/>
      <c r="U710" s="770"/>
      <c r="V710" s="770"/>
      <c r="W710" s="770"/>
      <c r="X710" s="770"/>
      <c r="Y710" s="770"/>
      <c r="Z710" s="694"/>
      <c r="AA710" s="694"/>
      <c r="AB710" s="729"/>
      <c r="AC710" s="694"/>
      <c r="AD710" s="694"/>
      <c r="AE710" s="343"/>
      <c r="AF710" s="343"/>
      <c r="AG710" s="343"/>
      <c r="AH710" s="343"/>
      <c r="AI710" s="343"/>
      <c r="AJ710" s="343"/>
      <c r="AK710" s="343"/>
      <c r="AL710" s="343"/>
      <c r="AM710" s="343"/>
    </row>
    <row r="711" spans="1:39" ht="25.5" hidden="1" customHeight="1" x14ac:dyDescent="0.25">
      <c r="A711" s="729" t="str">
        <f t="shared" si="1016"/>
        <v>ausblenden</v>
      </c>
      <c r="B711" s="284"/>
      <c r="C711" s="302"/>
      <c r="D711" s="302"/>
      <c r="E711" s="2358" t="str">
        <f>Translations!$B$497</f>
        <v>Кодовете по Продком се въвеждат като низове във вида „nnnnnnnn“, т.е. без точки или други разделителни знаци между тях. Само когато липсва код по Продком, се посочва 4-цифрения код по статистическата класификация на икономическите дейности в Европейския съюз (NACE) във вида „nnnn“.</v>
      </c>
      <c r="F711" s="2249"/>
      <c r="G711" s="2249"/>
      <c r="H711" s="2249"/>
      <c r="I711" s="2249"/>
      <c r="J711" s="2249"/>
      <c r="K711" s="2249"/>
      <c r="L711" s="2249"/>
      <c r="M711" s="2249"/>
      <c r="N711" s="2249"/>
      <c r="O711" s="336"/>
      <c r="P711" s="336"/>
      <c r="Q711" s="770"/>
      <c r="R711" s="694"/>
      <c r="S711" s="694"/>
      <c r="T711" s="694"/>
      <c r="U711" s="694"/>
      <c r="V711" s="694"/>
      <c r="W711" s="694"/>
      <c r="X711" s="694"/>
      <c r="Y711" s="694"/>
      <c r="Z711" s="694"/>
      <c r="AA711" s="694"/>
      <c r="AB711" s="729"/>
      <c r="AC711" s="694"/>
      <c r="AD711" s="694"/>
      <c r="AE711" s="343"/>
      <c r="AF711" s="343"/>
      <c r="AG711" s="343"/>
      <c r="AH711" s="343"/>
      <c r="AI711" s="343"/>
      <c r="AJ711" s="343"/>
      <c r="AK711" s="343"/>
      <c r="AL711" s="343"/>
      <c r="AM711" s="343"/>
    </row>
    <row r="712" spans="1:39" ht="12.75" hidden="1" customHeight="1" x14ac:dyDescent="0.25">
      <c r="A712" s="729" t="str">
        <f t="shared" si="1016"/>
        <v>ausblenden</v>
      </c>
      <c r="B712" s="284"/>
      <c r="C712" s="302"/>
      <c r="D712" s="302"/>
      <c r="E712" s="2358" t="str">
        <f>Translations!$B$498</f>
        <v>Продком списъкът за 2010 г. може да се намери на адрес: http://ec.europa.eu/eurostat/ramon/nomenclatures/index.cfm?TargetUrl=LST_CLS_DLD&amp;StrNom=PRD_2010&amp;StrLanguageCode=EN&amp;StrLayoutCode=HIERARCHIChttp://ec.europa.eu/eurostat/ramon/nomenclatures/index.cfm?TargetUrl=LST_CLS_DLD&amp;StrNom=PRD_2010&amp;StrLanguageCode=EN&amp;StrLayoutCode=HIERARCHIC</v>
      </c>
      <c r="F712" s="2249"/>
      <c r="G712" s="2249"/>
      <c r="H712" s="2249"/>
      <c r="I712" s="2249"/>
      <c r="J712" s="2249"/>
      <c r="K712" s="2249"/>
      <c r="L712" s="2249"/>
      <c r="M712" s="2249"/>
      <c r="N712" s="2249"/>
      <c r="O712" s="336"/>
      <c r="P712" s="336"/>
      <c r="Q712" s="770"/>
      <c r="R712" s="694"/>
      <c r="S712" s="694"/>
      <c r="T712" s="694"/>
      <c r="U712" s="694"/>
      <c r="V712" s="694"/>
      <c r="W712" s="694"/>
      <c r="X712" s="694"/>
      <c r="Y712" s="694"/>
      <c r="Z712" s="694"/>
      <c r="AA712" s="694"/>
      <c r="AB712" s="729"/>
      <c r="AC712" s="694"/>
      <c r="AD712" s="694"/>
      <c r="AE712" s="343"/>
      <c r="AF712" s="343"/>
      <c r="AG712" s="343"/>
      <c r="AH712" s="343"/>
      <c r="AI712" s="343"/>
      <c r="AJ712" s="343"/>
      <c r="AK712" s="343"/>
      <c r="AL712" s="343"/>
      <c r="AM712" s="343"/>
    </row>
    <row r="713" spans="1:39" ht="12.75" hidden="1" customHeight="1" x14ac:dyDescent="0.25">
      <c r="A713" s="729" t="str">
        <f t="shared" si="1016"/>
        <v>ausblenden</v>
      </c>
      <c r="B713" s="284"/>
      <c r="C713" s="302"/>
      <c r="D713" s="302"/>
      <c r="E713" s="2855" t="str">
        <f>Translations!$B$1532</f>
        <v>https://eur-lex.europa.eu/eli/reg/2010/860/oj</v>
      </c>
      <c r="F713" s="2899"/>
      <c r="G713" s="2899"/>
      <c r="H713" s="2899"/>
      <c r="I713" s="2899"/>
      <c r="J713" s="2899"/>
      <c r="K713" s="2899"/>
      <c r="L713" s="2899"/>
      <c r="M713" s="2899"/>
      <c r="N713" s="2899"/>
      <c r="O713" s="336"/>
      <c r="P713" s="336"/>
      <c r="Q713" s="770"/>
      <c r="R713" s="694"/>
      <c r="S713" s="694"/>
      <c r="T713" s="694"/>
      <c r="U713" s="694"/>
      <c r="V713" s="694"/>
      <c r="W713" s="694"/>
      <c r="X713" s="694"/>
      <c r="Y713" s="694"/>
      <c r="Z713" s="694"/>
      <c r="AA713" s="694"/>
      <c r="AB713" s="729"/>
      <c r="AC713" s="694"/>
      <c r="AD713" s="694"/>
      <c r="AE713" s="343"/>
      <c r="AF713" s="343"/>
      <c r="AG713" s="343"/>
      <c r="AH713" s="343"/>
      <c r="AI713" s="343"/>
      <c r="AJ713" s="343"/>
      <c r="AK713" s="343"/>
      <c r="AL713" s="343"/>
      <c r="AM713" s="343"/>
    </row>
    <row r="714" spans="1:39" ht="12.75" hidden="1" customHeight="1" x14ac:dyDescent="0.25">
      <c r="A714" s="729" t="str">
        <f t="shared" si="1016"/>
        <v>ausblenden</v>
      </c>
      <c r="B714" s="284"/>
      <c r="C714" s="302"/>
      <c r="D714" s="302"/>
      <c r="E714" s="2358" t="str">
        <f>Translations!$B$621</f>
        <v>Ако са обхванати няколко подобни продукта в рамките на една група по NACE, могат да се използват кодовете по NACE вместо по Продком.</v>
      </c>
      <c r="F714" s="2249"/>
      <c r="G714" s="2249"/>
      <c r="H714" s="2249"/>
      <c r="I714" s="2249"/>
      <c r="J714" s="2249"/>
      <c r="K714" s="2249"/>
      <c r="L714" s="2249"/>
      <c r="M714" s="2249"/>
      <c r="N714" s="2249"/>
      <c r="O714" s="336"/>
      <c r="P714" s="336"/>
      <c r="Q714" s="770"/>
      <c r="R714" s="770"/>
      <c r="S714" s="770"/>
      <c r="T714" s="770"/>
      <c r="U714" s="770"/>
      <c r="V714" s="770"/>
      <c r="W714" s="770"/>
      <c r="X714" s="770"/>
      <c r="Y714" s="770"/>
      <c r="Z714" s="694"/>
      <c r="AA714" s="694"/>
      <c r="AB714" s="729"/>
      <c r="AC714" s="694"/>
      <c r="AD714" s="694"/>
      <c r="AE714" s="343"/>
      <c r="AF714" s="343"/>
      <c r="AG714" s="343"/>
      <c r="AH714" s="343"/>
      <c r="AI714" s="343"/>
      <c r="AJ714" s="343"/>
      <c r="AK714" s="343"/>
      <c r="AL714" s="343"/>
      <c r="AM714" s="343"/>
    </row>
    <row r="715" spans="1:39" ht="12.75" hidden="1" customHeight="1" x14ac:dyDescent="0.25">
      <c r="A715" s="729" t="str">
        <f t="shared" si="1016"/>
        <v>ausblenden</v>
      </c>
      <c r="B715" s="284"/>
      <c r="C715" s="302"/>
      <c r="D715" s="302"/>
      <c r="E715" s="2358" t="str">
        <f>Translations!$B$1335</f>
        <v>Ако топлинната енергия се подава, може да се избере свързаната инсталация или обект, въведени в раздел V на лист „A_InstallationData“(„А_Данни за инсталацията“).</v>
      </c>
      <c r="F715" s="2249"/>
      <c r="G715" s="2249"/>
      <c r="H715" s="2249"/>
      <c r="I715" s="2249"/>
      <c r="J715" s="2249"/>
      <c r="K715" s="2249"/>
      <c r="L715" s="2249"/>
      <c r="M715" s="2249"/>
      <c r="N715" s="2249"/>
      <c r="O715" s="336"/>
      <c r="P715" s="336"/>
      <c r="Q715" s="770"/>
      <c r="R715" s="770"/>
      <c r="S715" s="770"/>
      <c r="T715" s="770"/>
      <c r="U715" s="770"/>
      <c r="V715" s="770"/>
      <c r="W715" s="770"/>
      <c r="X715" s="770"/>
      <c r="Y715" s="770"/>
      <c r="Z715" s="694"/>
      <c r="AA715" s="694"/>
      <c r="AB715" s="729"/>
      <c r="AC715" s="694"/>
      <c r="AD715" s="694"/>
      <c r="AE715" s="343"/>
      <c r="AF715" s="343"/>
      <c r="AG715" s="343"/>
      <c r="AH715" s="343"/>
      <c r="AI715" s="343"/>
      <c r="AJ715" s="343"/>
      <c r="AK715" s="343"/>
      <c r="AL715" s="343"/>
      <c r="AM715" s="343"/>
    </row>
    <row r="716" spans="1:39" ht="12.75" hidden="1" customHeight="1" x14ac:dyDescent="0.25">
      <c r="A716" s="729" t="str">
        <f t="shared" si="1016"/>
        <v>ausblenden</v>
      </c>
      <c r="B716" s="284"/>
      <c r="C716" s="302"/>
      <c r="D716" s="302"/>
      <c r="E716" s="2358" t="str">
        <f>Translations!$B$1520</f>
        <v>Кодовете по КН са кодовете съгласно Регламент (ЕИО) № 2658/87, които са на разположение на следния адрес:</v>
      </c>
      <c r="F716" s="2249"/>
      <c r="G716" s="2249"/>
      <c r="H716" s="2249"/>
      <c r="I716" s="2249"/>
      <c r="J716" s="2249"/>
      <c r="K716" s="2249"/>
      <c r="L716" s="2249"/>
      <c r="M716" s="2249"/>
      <c r="N716" s="2249"/>
      <c r="O716" s="336"/>
      <c r="P716" s="336"/>
      <c r="Q716" s="770"/>
      <c r="R716" s="770"/>
      <c r="S716" s="770"/>
      <c r="T716" s="770"/>
      <c r="U716" s="770"/>
      <c r="V716" s="770"/>
      <c r="W716" s="770"/>
      <c r="X716" s="770"/>
      <c r="Y716" s="770"/>
      <c r="Z716" s="694"/>
      <c r="AA716" s="694"/>
      <c r="AB716" s="729"/>
      <c r="AC716" s="694"/>
      <c r="AD716" s="694"/>
      <c r="AE716" s="343"/>
      <c r="AF716" s="343"/>
      <c r="AG716" s="343"/>
      <c r="AH716" s="343"/>
      <c r="AI716" s="343"/>
      <c r="AJ716" s="343"/>
      <c r="AK716" s="343"/>
      <c r="AL716" s="343"/>
      <c r="AM716" s="343"/>
    </row>
    <row r="717" spans="1:39" ht="12.75" hidden="1" customHeight="1" x14ac:dyDescent="0.25">
      <c r="A717" s="729" t="str">
        <f t="shared" si="1016"/>
        <v>ausblenden</v>
      </c>
      <c r="B717" s="284"/>
      <c r="C717" s="302"/>
      <c r="D717" s="302"/>
      <c r="E717" s="2855" t="str">
        <f>Translations!$B$1521</f>
        <v>https://eur-lex.europa.eu/eli/reg/1987/2658/2023-06-17</v>
      </c>
      <c r="F717" s="2899"/>
      <c r="G717" s="2899"/>
      <c r="H717" s="2899"/>
      <c r="I717" s="2899"/>
      <c r="J717" s="2899"/>
      <c r="K717" s="2899"/>
      <c r="L717" s="2899"/>
      <c r="M717" s="2899"/>
      <c r="N717" s="2899"/>
      <c r="O717" s="336"/>
      <c r="P717" s="336"/>
      <c r="Q717" s="770"/>
      <c r="R717" s="770"/>
      <c r="S717" s="770"/>
      <c r="T717" s="770"/>
      <c r="U717" s="770"/>
      <c r="V717" s="770"/>
      <c r="W717" s="770"/>
      <c r="X717" s="770"/>
      <c r="Y717" s="770"/>
      <c r="Z717" s="694"/>
      <c r="AA717" s="694"/>
      <c r="AB717" s="729"/>
      <c r="AC717" s="694"/>
      <c r="AD717" s="694"/>
      <c r="AE717" s="343"/>
      <c r="AF717" s="343"/>
      <c r="AG717" s="343"/>
      <c r="AH717" s="343"/>
      <c r="AI717" s="343"/>
      <c r="AJ717" s="343"/>
      <c r="AK717" s="343"/>
      <c r="AL717" s="343"/>
      <c r="AM717" s="343"/>
    </row>
    <row r="718" spans="1:39" ht="5.15" hidden="1" customHeight="1" x14ac:dyDescent="0.25">
      <c r="A718" s="729" t="str">
        <f t="shared" si="1016"/>
        <v>ausblenden</v>
      </c>
      <c r="B718" s="284"/>
      <c r="C718" s="302"/>
      <c r="D718" s="302"/>
      <c r="E718" s="460"/>
      <c r="F718" s="460"/>
      <c r="G718" s="460"/>
      <c r="H718" s="460"/>
      <c r="I718" s="460"/>
      <c r="J718" s="329"/>
      <c r="K718" s="329"/>
      <c r="L718" s="329"/>
      <c r="M718" s="336"/>
      <c r="N718" s="336"/>
      <c r="O718" s="336"/>
      <c r="P718" s="336"/>
      <c r="Q718" s="770"/>
      <c r="R718" s="694"/>
      <c r="S718" s="694"/>
      <c r="T718" s="694"/>
      <c r="U718" s="694"/>
      <c r="V718" s="694"/>
      <c r="W718" s="694"/>
      <c r="X718" s="694"/>
      <c r="Y718" s="694"/>
      <c r="Z718" s="694"/>
      <c r="AA718" s="694"/>
      <c r="AB718" s="729"/>
      <c r="AC718" s="694"/>
      <c r="AD718" s="694"/>
      <c r="AE718" s="343"/>
      <c r="AF718" s="343"/>
      <c r="AG718" s="343"/>
      <c r="AH718" s="343"/>
      <c r="AI718" s="343"/>
      <c r="AJ718" s="343"/>
      <c r="AK718" s="343"/>
      <c r="AL718" s="343"/>
      <c r="AM718" s="343"/>
    </row>
    <row r="719" spans="1:39" ht="26" hidden="1" x14ac:dyDescent="0.25">
      <c r="A719" s="729" t="str">
        <f t="shared" si="1016"/>
        <v>ausblenden</v>
      </c>
      <c r="B719" s="698"/>
      <c r="C719" s="300"/>
      <c r="D719" s="1014"/>
      <c r="E719" s="2900" t="str">
        <f>Translations!$B$622</f>
        <v>Вид употреба</v>
      </c>
      <c r="F719" s="2901"/>
      <c r="G719" s="2900" t="str">
        <f>Translations!$B$623</f>
        <v>В рамките на инсталацията или за подаване?</v>
      </c>
      <c r="H719" s="2901"/>
      <c r="I719" s="2900" t="str">
        <f>Translations!$B$624</f>
        <v>Име на продукта или „топлофикационна мрежа“</v>
      </c>
      <c r="J719" s="2256"/>
      <c r="K719" s="2256"/>
      <c r="L719" s="2901"/>
      <c r="M719" s="1277" t="str">
        <f>Translations!$B$1522</f>
        <v>ПРОДКОМ за 2010 г.</v>
      </c>
      <c r="N719" s="1277" t="str">
        <f>Translations!$B$1523</f>
        <v>Код по КН</v>
      </c>
      <c r="O719" s="336"/>
      <c r="P719" s="336"/>
      <c r="Q719" s="694"/>
      <c r="R719" s="694"/>
      <c r="S719" s="1390" t="s">
        <v>1990</v>
      </c>
      <c r="T719" s="694"/>
      <c r="U719" s="694"/>
      <c r="V719" s="694"/>
      <c r="W719" s="694"/>
      <c r="X719" s="694"/>
      <c r="Y719" s="694"/>
      <c r="Z719" s="770"/>
      <c r="AA719" s="770"/>
      <c r="AB719" s="729"/>
      <c r="AC719" s="694"/>
      <c r="AD719" s="694"/>
      <c r="AE719" s="343"/>
      <c r="AF719" s="343"/>
      <c r="AG719" s="343"/>
      <c r="AH719" s="343"/>
      <c r="AI719" s="343"/>
      <c r="AJ719" s="343"/>
      <c r="AK719" s="343"/>
      <c r="AL719" s="343"/>
      <c r="AM719" s="343"/>
    </row>
    <row r="720" spans="1:39" ht="12.75" hidden="1" customHeight="1" x14ac:dyDescent="0.25">
      <c r="A720" s="729" t="str">
        <f t="shared" si="1016"/>
        <v>ausblenden</v>
      </c>
      <c r="B720" s="698"/>
      <c r="C720" s="773"/>
      <c r="D720" s="981">
        <v>1</v>
      </c>
      <c r="E720" s="2420"/>
      <c r="F720" s="2421"/>
      <c r="G720" s="2943"/>
      <c r="H720" s="2944"/>
      <c r="I720" s="2945"/>
      <c r="J720" s="2946"/>
      <c r="K720" s="2946"/>
      <c r="L720" s="2947"/>
      <c r="M720" s="221"/>
      <c r="N720" s="221"/>
      <c r="O720" s="336"/>
      <c r="P720" s="158"/>
      <c r="Q720" s="694"/>
      <c r="R720" s="1174"/>
      <c r="S720" s="982" t="b">
        <f>TRUE</f>
        <v>1</v>
      </c>
      <c r="T720" s="1411" t="s">
        <v>2078</v>
      </c>
      <c r="U720" s="694"/>
      <c r="V720" s="694"/>
      <c r="W720" s="694"/>
      <c r="X720" s="694"/>
      <c r="Y720" s="694"/>
      <c r="Z720" s="694"/>
      <c r="AA720" s="694"/>
      <c r="AB720" s="729"/>
      <c r="AC720" s="694"/>
      <c r="AD720" s="694"/>
      <c r="AE720" s="343"/>
      <c r="AF720" s="343"/>
      <c r="AG720" s="343"/>
      <c r="AH720" s="343"/>
      <c r="AI720" s="343"/>
      <c r="AJ720" s="343"/>
      <c r="AK720" s="1174" t="s">
        <v>2039</v>
      </c>
      <c r="AL720" s="1176"/>
      <c r="AM720" s="343"/>
    </row>
    <row r="721" spans="1:39" ht="12.75" hidden="1" customHeight="1" x14ac:dyDescent="0.25">
      <c r="A721" s="729" t="str">
        <f t="shared" si="1016"/>
        <v>ausblenden</v>
      </c>
      <c r="B721" s="698"/>
      <c r="C721" s="773"/>
      <c r="D721" s="990">
        <f>D720+1</f>
        <v>2</v>
      </c>
      <c r="E721" s="2406"/>
      <c r="F721" s="2405"/>
      <c r="G721" s="2938"/>
      <c r="H721" s="2939"/>
      <c r="I721" s="2942"/>
      <c r="J721" s="2940"/>
      <c r="K721" s="2940"/>
      <c r="L721" s="2941"/>
      <c r="M721" s="224"/>
      <c r="N721" s="224"/>
      <c r="O721" s="336"/>
      <c r="P721" s="158"/>
      <c r="Q721" s="694"/>
      <c r="R721" s="694"/>
      <c r="S721" s="982" t="b">
        <f>TRUE</f>
        <v>1</v>
      </c>
      <c r="T721" s="694"/>
      <c r="U721" s="694"/>
      <c r="V721" s="694"/>
      <c r="W721" s="694"/>
      <c r="X721" s="694"/>
      <c r="Y721" s="694"/>
      <c r="Z721" s="694"/>
      <c r="AA721" s="694"/>
      <c r="AB721" s="729"/>
      <c r="AC721" s="694"/>
      <c r="AD721" s="694"/>
      <c r="AE721" s="343"/>
      <c r="AF721" s="343"/>
      <c r="AG721" s="343"/>
      <c r="AH721" s="343"/>
      <c r="AI721" s="343"/>
      <c r="AJ721" s="343"/>
      <c r="AK721" s="343"/>
      <c r="AL721" s="343"/>
      <c r="AM721" s="343"/>
    </row>
    <row r="722" spans="1:39" ht="12.75" hidden="1" customHeight="1" x14ac:dyDescent="0.25">
      <c r="A722" s="729" t="str">
        <f t="shared" si="1016"/>
        <v>ausblenden</v>
      </c>
      <c r="B722" s="698"/>
      <c r="C722" s="773"/>
      <c r="D722" s="990">
        <f t="shared" ref="D722:D729" si="1017">D721+1</f>
        <v>3</v>
      </c>
      <c r="E722" s="2406"/>
      <c r="F722" s="2405"/>
      <c r="G722" s="2938"/>
      <c r="H722" s="2939"/>
      <c r="I722" s="2942"/>
      <c r="J722" s="2940"/>
      <c r="K722" s="2940"/>
      <c r="L722" s="2941"/>
      <c r="M722" s="224"/>
      <c r="N722" s="224"/>
      <c r="O722" s="336"/>
      <c r="P722" s="158"/>
      <c r="Q722" s="694"/>
      <c r="R722" s="694"/>
      <c r="S722" s="982" t="b">
        <f>TRUE</f>
        <v>1</v>
      </c>
      <c r="T722" s="694"/>
      <c r="U722" s="694"/>
      <c r="V722" s="694"/>
      <c r="W722" s="694"/>
      <c r="X722" s="694"/>
      <c r="Y722" s="694"/>
      <c r="Z722" s="694"/>
      <c r="AA722" s="694"/>
      <c r="AB722" s="729"/>
      <c r="AC722" s="694"/>
      <c r="AD722" s="694"/>
      <c r="AE722" s="343"/>
      <c r="AF722" s="343"/>
      <c r="AG722" s="343"/>
      <c r="AH722" s="343"/>
      <c r="AI722" s="343"/>
      <c r="AJ722" s="343"/>
      <c r="AK722" s="343"/>
      <c r="AL722" s="343"/>
      <c r="AM722" s="343"/>
    </row>
    <row r="723" spans="1:39" ht="12.75" hidden="1" customHeight="1" x14ac:dyDescent="0.25">
      <c r="A723" s="729" t="str">
        <f t="shared" si="1016"/>
        <v>ausblenden</v>
      </c>
      <c r="B723" s="698"/>
      <c r="C723" s="773"/>
      <c r="D723" s="990">
        <f t="shared" si="1017"/>
        <v>4</v>
      </c>
      <c r="E723" s="2406"/>
      <c r="F723" s="2405"/>
      <c r="G723" s="2938"/>
      <c r="H723" s="2939"/>
      <c r="I723" s="2942"/>
      <c r="J723" s="2940"/>
      <c r="K723" s="2940"/>
      <c r="L723" s="2941"/>
      <c r="M723" s="222"/>
      <c r="N723" s="222"/>
      <c r="O723" s="336"/>
      <c r="P723" s="158"/>
      <c r="Q723" s="694"/>
      <c r="R723" s="694"/>
      <c r="S723" s="982" t="b">
        <f>TRUE</f>
        <v>1</v>
      </c>
      <c r="T723" s="694"/>
      <c r="U723" s="694"/>
      <c r="V723" s="694"/>
      <c r="W723" s="694"/>
      <c r="X723" s="694"/>
      <c r="Y723" s="694"/>
      <c r="Z723" s="694"/>
      <c r="AA723" s="694"/>
      <c r="AB723" s="729"/>
      <c r="AC723" s="694"/>
      <c r="AD723" s="694"/>
      <c r="AE723" s="343"/>
      <c r="AF723" s="343"/>
      <c r="AG723" s="343"/>
      <c r="AH723" s="343"/>
      <c r="AI723" s="343"/>
      <c r="AJ723" s="343"/>
      <c r="AK723" s="343"/>
      <c r="AL723" s="343"/>
      <c r="AM723" s="343"/>
    </row>
    <row r="724" spans="1:39" ht="12.75" hidden="1" customHeight="1" x14ac:dyDescent="0.25">
      <c r="A724" s="729" t="str">
        <f t="shared" si="1016"/>
        <v>ausblenden</v>
      </c>
      <c r="B724" s="698"/>
      <c r="C724" s="773"/>
      <c r="D724" s="990">
        <f t="shared" si="1017"/>
        <v>5</v>
      </c>
      <c r="E724" s="2406"/>
      <c r="F724" s="2405"/>
      <c r="G724" s="2938"/>
      <c r="H724" s="2939"/>
      <c r="I724" s="2942"/>
      <c r="J724" s="2940"/>
      <c r="K724" s="2940"/>
      <c r="L724" s="2941"/>
      <c r="M724" s="222"/>
      <c r="N724" s="222"/>
      <c r="O724" s="336"/>
      <c r="P724" s="158"/>
      <c r="Q724" s="694"/>
      <c r="R724" s="694"/>
      <c r="S724" s="982" t="b">
        <f>TRUE</f>
        <v>1</v>
      </c>
      <c r="T724" s="694"/>
      <c r="U724" s="694"/>
      <c r="V724" s="694"/>
      <c r="W724" s="694"/>
      <c r="X724" s="694"/>
      <c r="Y724" s="694"/>
      <c r="Z724" s="770"/>
      <c r="AA724" s="770"/>
      <c r="AB724" s="729"/>
      <c r="AC724" s="694"/>
      <c r="AD724" s="694"/>
      <c r="AE724" s="343"/>
      <c r="AF724" s="343"/>
      <c r="AG724" s="343"/>
      <c r="AH724" s="343"/>
      <c r="AI724" s="343"/>
      <c r="AJ724" s="343"/>
      <c r="AK724" s="343"/>
      <c r="AL724" s="343"/>
      <c r="AM724" s="343"/>
    </row>
    <row r="725" spans="1:39" ht="12.75" hidden="1" customHeight="1" x14ac:dyDescent="0.25">
      <c r="A725" s="729" t="str">
        <f t="shared" si="1016"/>
        <v>ausblenden</v>
      </c>
      <c r="B725" s="698"/>
      <c r="C725" s="773"/>
      <c r="D725" s="990">
        <f t="shared" si="1017"/>
        <v>6</v>
      </c>
      <c r="E725" s="2406"/>
      <c r="F725" s="2405"/>
      <c r="G725" s="2938"/>
      <c r="H725" s="2939"/>
      <c r="I725" s="2409"/>
      <c r="J725" s="2940"/>
      <c r="K725" s="2940"/>
      <c r="L725" s="2941"/>
      <c r="M725" s="222"/>
      <c r="N725" s="222"/>
      <c r="O725" s="336"/>
      <c r="P725" s="158"/>
      <c r="Q725" s="694"/>
      <c r="R725" s="694"/>
      <c r="S725" s="982" t="b">
        <f>TRUE</f>
        <v>1</v>
      </c>
      <c r="T725" s="694"/>
      <c r="U725" s="694"/>
      <c r="V725" s="694"/>
      <c r="W725" s="694"/>
      <c r="X725" s="694"/>
      <c r="Y725" s="694"/>
      <c r="Z725" s="694"/>
      <c r="AA725" s="694"/>
      <c r="AB725" s="729"/>
      <c r="AC725" s="694"/>
      <c r="AD725" s="694"/>
      <c r="AE725" s="343"/>
      <c r="AF725" s="343"/>
      <c r="AG725" s="343"/>
      <c r="AH725" s="343"/>
      <c r="AI725" s="343"/>
      <c r="AJ725" s="343"/>
      <c r="AK725" s="343"/>
      <c r="AL725" s="343"/>
      <c r="AM725" s="343"/>
    </row>
    <row r="726" spans="1:39" ht="12.75" hidden="1" customHeight="1" x14ac:dyDescent="0.25">
      <c r="A726" s="729" t="str">
        <f t="shared" si="1016"/>
        <v>ausblenden</v>
      </c>
      <c r="B726" s="698"/>
      <c r="C726" s="773"/>
      <c r="D726" s="990">
        <f t="shared" si="1017"/>
        <v>7</v>
      </c>
      <c r="E726" s="2406"/>
      <c r="F726" s="2405"/>
      <c r="G726" s="2938"/>
      <c r="H726" s="2939"/>
      <c r="I726" s="2409"/>
      <c r="J726" s="2940"/>
      <c r="K726" s="2940"/>
      <c r="L726" s="2941"/>
      <c r="M726" s="222"/>
      <c r="N726" s="222"/>
      <c r="O726" s="336"/>
      <c r="P726" s="158"/>
      <c r="Q726" s="694"/>
      <c r="R726" s="694"/>
      <c r="S726" s="982" t="b">
        <f>TRUE</f>
        <v>1</v>
      </c>
      <c r="T726" s="694"/>
      <c r="U726" s="694"/>
      <c r="V726" s="694"/>
      <c r="W726" s="694"/>
      <c r="X726" s="694"/>
      <c r="Y726" s="694"/>
      <c r="Z726" s="694"/>
      <c r="AA726" s="694"/>
      <c r="AB726" s="729"/>
      <c r="AC726" s="694"/>
      <c r="AD726" s="694"/>
      <c r="AE726" s="343"/>
      <c r="AF726" s="343"/>
      <c r="AG726" s="343"/>
      <c r="AH726" s="343"/>
      <c r="AI726" s="343"/>
      <c r="AJ726" s="343"/>
      <c r="AK726" s="343"/>
      <c r="AL726" s="343"/>
      <c r="AM726" s="343"/>
    </row>
    <row r="727" spans="1:39" ht="12.75" hidden="1" customHeight="1" x14ac:dyDescent="0.25">
      <c r="A727" s="729" t="str">
        <f t="shared" si="1016"/>
        <v>ausblenden</v>
      </c>
      <c r="B727" s="698"/>
      <c r="C727" s="773"/>
      <c r="D727" s="990">
        <f t="shared" si="1017"/>
        <v>8</v>
      </c>
      <c r="E727" s="2406"/>
      <c r="F727" s="2405"/>
      <c r="G727" s="2938"/>
      <c r="H727" s="2939"/>
      <c r="I727" s="2409"/>
      <c r="J727" s="2940"/>
      <c r="K727" s="2940"/>
      <c r="L727" s="2941"/>
      <c r="M727" s="222"/>
      <c r="N727" s="222"/>
      <c r="O727" s="336"/>
      <c r="P727" s="158"/>
      <c r="Q727" s="694"/>
      <c r="R727" s="694"/>
      <c r="S727" s="982" t="b">
        <f>TRUE</f>
        <v>1</v>
      </c>
      <c r="T727" s="694"/>
      <c r="U727" s="694"/>
      <c r="V727" s="694"/>
      <c r="W727" s="694"/>
      <c r="X727" s="694"/>
      <c r="Y727" s="694"/>
      <c r="Z727" s="694"/>
      <c r="AA727" s="694"/>
      <c r="AB727" s="729"/>
      <c r="AC727" s="694"/>
      <c r="AD727" s="694"/>
      <c r="AE727" s="343"/>
      <c r="AF727" s="343"/>
      <c r="AG727" s="343"/>
      <c r="AH727" s="343"/>
      <c r="AI727" s="343"/>
      <c r="AJ727" s="343"/>
      <c r="AK727" s="343"/>
      <c r="AL727" s="343"/>
      <c r="AM727" s="343"/>
    </row>
    <row r="728" spans="1:39" ht="12.75" hidden="1" customHeight="1" x14ac:dyDescent="0.25">
      <c r="A728" s="729" t="str">
        <f t="shared" si="1016"/>
        <v>ausblenden</v>
      </c>
      <c r="B728" s="698"/>
      <c r="C728" s="773"/>
      <c r="D728" s="990">
        <f t="shared" si="1017"/>
        <v>9</v>
      </c>
      <c r="E728" s="2406"/>
      <c r="F728" s="2405"/>
      <c r="G728" s="2938"/>
      <c r="H728" s="2939"/>
      <c r="I728" s="2409"/>
      <c r="J728" s="2940"/>
      <c r="K728" s="2940"/>
      <c r="L728" s="2941"/>
      <c r="M728" s="222"/>
      <c r="N728" s="222"/>
      <c r="O728" s="336"/>
      <c r="P728" s="158"/>
      <c r="Q728" s="694"/>
      <c r="R728" s="694"/>
      <c r="S728" s="982" t="b">
        <f>TRUE</f>
        <v>1</v>
      </c>
      <c r="T728" s="694"/>
      <c r="U728" s="694"/>
      <c r="V728" s="694"/>
      <c r="W728" s="694"/>
      <c r="X728" s="694"/>
      <c r="Y728" s="694"/>
      <c r="Z728" s="694"/>
      <c r="AA728" s="694"/>
      <c r="AB728" s="729"/>
      <c r="AC728" s="694"/>
      <c r="AD728" s="694"/>
      <c r="AE728" s="343"/>
      <c r="AF728" s="343"/>
      <c r="AG728" s="343"/>
      <c r="AH728" s="343"/>
      <c r="AI728" s="343"/>
      <c r="AJ728" s="343"/>
      <c r="AK728" s="343"/>
      <c r="AL728" s="343"/>
      <c r="AM728" s="343"/>
    </row>
    <row r="729" spans="1:39" ht="12.75" hidden="1" customHeight="1" x14ac:dyDescent="0.25">
      <c r="A729" s="729" t="str">
        <f t="shared" si="1016"/>
        <v>ausblenden</v>
      </c>
      <c r="B729" s="698"/>
      <c r="C729" s="773"/>
      <c r="D729" s="994">
        <f t="shared" si="1017"/>
        <v>10</v>
      </c>
      <c r="E729" s="2417"/>
      <c r="F729" s="2403"/>
      <c r="G729" s="2934"/>
      <c r="H729" s="2935"/>
      <c r="I729" s="2581"/>
      <c r="J729" s="2936"/>
      <c r="K729" s="2936"/>
      <c r="L729" s="2937"/>
      <c r="M729" s="223"/>
      <c r="N729" s="223"/>
      <c r="O729" s="336"/>
      <c r="P729" s="158"/>
      <c r="Q729" s="694"/>
      <c r="R729" s="694"/>
      <c r="S729" s="982" t="b">
        <f>TRUE</f>
        <v>1</v>
      </c>
      <c r="T729" s="694"/>
      <c r="U729" s="694"/>
      <c r="V729" s="694"/>
      <c r="W729" s="694"/>
      <c r="X729" s="694"/>
      <c r="Y729" s="694"/>
      <c r="Z729" s="770"/>
      <c r="AA729" s="770"/>
      <c r="AB729" s="729"/>
      <c r="AC729" s="694"/>
      <c r="AD729" s="694"/>
      <c r="AE729" s="343"/>
      <c r="AF729" s="343"/>
      <c r="AG729" s="343"/>
      <c r="AH729" s="343"/>
      <c r="AI729" s="343"/>
      <c r="AJ729" s="343"/>
      <c r="AK729" s="343"/>
      <c r="AL729" s="343"/>
      <c r="AM729" s="343"/>
    </row>
    <row r="730" spans="1:39" ht="5.15" hidden="1" customHeight="1" x14ac:dyDescent="0.25">
      <c r="A730" s="729" t="str">
        <f t="shared" si="1016"/>
        <v>ausblenden</v>
      </c>
      <c r="B730" s="284"/>
      <c r="C730" s="284"/>
      <c r="D730" s="284"/>
      <c r="E730" s="284"/>
      <c r="F730" s="284"/>
      <c r="G730" s="284"/>
      <c r="H730" s="284"/>
      <c r="I730" s="284"/>
      <c r="J730" s="284"/>
      <c r="K730" s="284"/>
      <c r="L730" s="284"/>
      <c r="M730" s="284"/>
      <c r="N730" s="284"/>
      <c r="O730" s="336"/>
      <c r="P730" s="336"/>
      <c r="Q730" s="770"/>
      <c r="R730" s="770"/>
      <c r="S730" s="694"/>
      <c r="T730" s="694"/>
      <c r="U730" s="694"/>
      <c r="V730" s="694"/>
      <c r="W730" s="694"/>
      <c r="X730" s="694"/>
      <c r="Y730" s="694"/>
      <c r="Z730" s="694"/>
      <c r="AA730" s="694"/>
      <c r="AB730" s="729"/>
      <c r="AC730" s="694"/>
      <c r="AD730" s="694"/>
      <c r="AE730" s="343"/>
      <c r="AF730" s="343"/>
      <c r="AG730" s="343"/>
      <c r="AH730" s="343"/>
      <c r="AI730" s="343"/>
      <c r="AJ730" s="343"/>
      <c r="AK730" s="343"/>
      <c r="AL730" s="343"/>
      <c r="AM730" s="343"/>
    </row>
    <row r="731" spans="1:39" ht="12.75" hidden="1" customHeight="1" x14ac:dyDescent="0.25">
      <c r="A731" s="729" t="str">
        <f t="shared" si="1016"/>
        <v>ausblenden</v>
      </c>
      <c r="B731" s="284"/>
      <c r="C731" s="300"/>
      <c r="D731" s="300"/>
      <c r="E731" s="2226" t="str">
        <f>Translations!$B$625</f>
        <v>Равнища на производство:</v>
      </c>
      <c r="F731" s="2249"/>
      <c r="G731" s="2249"/>
      <c r="H731" s="2249"/>
      <c r="I731" s="2249"/>
      <c r="J731" s="2249"/>
      <c r="K731" s="2249"/>
      <c r="L731" s="2249"/>
      <c r="M731" s="2249"/>
      <c r="N731" s="2249"/>
      <c r="O731" s="336"/>
      <c r="P731" s="336"/>
      <c r="Q731" s="770"/>
      <c r="R731" s="694"/>
      <c r="S731" s="694"/>
      <c r="T731" s="694"/>
      <c r="U731" s="694"/>
      <c r="V731" s="694"/>
      <c r="W731" s="694"/>
      <c r="X731" s="694"/>
      <c r="Y731" s="694"/>
      <c r="Z731" s="694"/>
      <c r="AA731" s="694"/>
      <c r="AB731" s="729"/>
      <c r="AC731" s="694"/>
      <c r="AD731" s="694"/>
      <c r="AE731" s="343"/>
      <c r="AF731" s="343"/>
      <c r="AG731" s="343"/>
      <c r="AH731" s="343"/>
      <c r="AI731" s="343"/>
      <c r="AJ731" s="343"/>
      <c r="AK731" s="343"/>
      <c r="AL731" s="343"/>
      <c r="AM731" s="343"/>
    </row>
    <row r="732" spans="1:39" ht="25.5" hidden="1" customHeight="1" x14ac:dyDescent="0.25">
      <c r="A732" s="729" t="str">
        <f t="shared" si="1016"/>
        <v>ausblenden</v>
      </c>
      <c r="B732" s="284"/>
      <c r="C732" s="300"/>
      <c r="D732" s="300"/>
      <c r="E732" s="2358" t="str">
        <f>Translations!$B$1533</f>
        <v>Следва да се отбележи, че правилото за енергийната ефективност може да се приложи само в случай на производството на конкретен продукт. Следователно, ако за даден продукт не може да бъде определен код по ПРОДКОМ, това правило не може да се прилага и очакваните равнища на дейност ще бъдат равни на действителните равнища на дейност (т.е. ще се отчитат спрямо оставащото AL), без никаква корекция.</v>
      </c>
      <c r="F732" s="2249"/>
      <c r="G732" s="2249"/>
      <c r="H732" s="2249"/>
      <c r="I732" s="2249"/>
      <c r="J732" s="2249"/>
      <c r="K732" s="2249"/>
      <c r="L732" s="2249"/>
      <c r="M732" s="2249"/>
      <c r="N732" s="2249"/>
      <c r="O732" s="336"/>
      <c r="P732" s="336"/>
      <c r="Q732" s="770"/>
      <c r="R732" s="694"/>
      <c r="S732" s="694"/>
      <c r="T732" s="694"/>
      <c r="U732" s="694"/>
      <c r="V732" s="694"/>
      <c r="W732" s="694"/>
      <c r="X732" s="694"/>
      <c r="Y732" s="694"/>
      <c r="Z732" s="694"/>
      <c r="AA732" s="694"/>
      <c r="AB732" s="729"/>
      <c r="AC732" s="694"/>
      <c r="AD732" s="694"/>
      <c r="AE732" s="343"/>
      <c r="AF732" s="343"/>
      <c r="AG732" s="343"/>
      <c r="AH732" s="343"/>
      <c r="AI732" s="343"/>
      <c r="AJ732" s="343"/>
      <c r="AK732" s="343"/>
      <c r="AL732" s="343"/>
      <c r="AM732" s="343"/>
    </row>
    <row r="733" spans="1:39" ht="12.75" hidden="1" customHeight="1" x14ac:dyDescent="0.25">
      <c r="A733" s="729" t="str">
        <f t="shared" si="1016"/>
        <v>ausblenden</v>
      </c>
      <c r="B733" s="284"/>
      <c r="C733" s="300"/>
      <c r="D733" s="300"/>
      <c r="E733" s="2358" t="str">
        <f>Translations!$B$1556</f>
        <v>Производствената стойност (НМИ) се отнася до средното производство през историческия базов период (НМИ), както е обяснено в раздели 2.3 и 3 от Ръководство № 7.</v>
      </c>
      <c r="F733" s="2249"/>
      <c r="G733" s="2249"/>
      <c r="H733" s="2249"/>
      <c r="I733" s="2249"/>
      <c r="J733" s="2249"/>
      <c r="K733" s="2249"/>
      <c r="L733" s="2249"/>
      <c r="M733" s="2249"/>
      <c r="N733" s="2249"/>
      <c r="O733" s="336"/>
      <c r="P733" s="336"/>
      <c r="Q733" s="770"/>
      <c r="R733" s="694"/>
      <c r="S733" s="694"/>
      <c r="T733" s="694"/>
      <c r="U733" s="694"/>
      <c r="V733" s="694"/>
      <c r="W733" s="694"/>
      <c r="X733" s="694"/>
      <c r="Y733" s="694"/>
      <c r="Z733" s="694"/>
      <c r="AA733" s="694"/>
      <c r="AB733" s="729"/>
      <c r="AC733" s="694"/>
      <c r="AD733" s="694"/>
      <c r="AE733" s="343"/>
      <c r="AF733" s="343"/>
      <c r="AG733" s="343"/>
      <c r="AH733" s="343"/>
      <c r="AI733" s="343"/>
      <c r="AJ733" s="343"/>
      <c r="AK733" s="343"/>
      <c r="AL733" s="343"/>
      <c r="AM733" s="343"/>
    </row>
    <row r="734" spans="1:39" ht="5.15" hidden="1" customHeight="1" x14ac:dyDescent="0.25">
      <c r="A734" s="729" t="str">
        <f t="shared" si="1016"/>
        <v>ausblenden</v>
      </c>
      <c r="B734" s="284"/>
      <c r="C734" s="302"/>
      <c r="D734" s="302"/>
      <c r="E734" s="460"/>
      <c r="F734" s="460"/>
      <c r="G734" s="460"/>
      <c r="H734" s="460"/>
      <c r="I734" s="460"/>
      <c r="J734" s="329"/>
      <c r="K734" s="329"/>
      <c r="L734" s="329"/>
      <c r="M734" s="336"/>
      <c r="N734" s="336"/>
      <c r="O734" s="336"/>
      <c r="P734" s="336"/>
      <c r="Q734" s="770"/>
      <c r="R734" s="694"/>
      <c r="S734" s="694"/>
      <c r="T734" s="694"/>
      <c r="U734" s="694"/>
      <c r="V734" s="694"/>
      <c r="W734" s="694"/>
      <c r="X734" s="694"/>
      <c r="Y734" s="694"/>
      <c r="Z734" s="694"/>
      <c r="AA734" s="694"/>
      <c r="AB734" s="729"/>
      <c r="AC734" s="694"/>
      <c r="AD734" s="694"/>
      <c r="AE734" s="343"/>
      <c r="AF734" s="343"/>
      <c r="AG734" s="343"/>
      <c r="AH734" s="343"/>
      <c r="AI734" s="343"/>
      <c r="AJ734" s="343"/>
      <c r="AK734" s="343"/>
      <c r="AL734" s="343"/>
      <c r="AM734" s="343"/>
    </row>
    <row r="735" spans="1:39" s="1423" customFormat="1" ht="25.5" hidden="1" customHeight="1" thickBot="1" x14ac:dyDescent="0.35">
      <c r="A735" s="729" t="str">
        <f t="shared" si="1016"/>
        <v>ausblenden</v>
      </c>
      <c r="B735" s="1412"/>
      <c r="C735" s="1413"/>
      <c r="D735" s="1414"/>
      <c r="E735" s="1415" t="str">
        <f>I719</f>
        <v>Име на продукта или „топлофикационна мрежа“</v>
      </c>
      <c r="F735" s="1416" t="str">
        <f>EUconst_Unit</f>
        <v>Единица мярка</v>
      </c>
      <c r="G735" s="1419" t="str">
        <f>Translations!$B$1336</f>
        <v>Стойност в НМИ</v>
      </c>
      <c r="H735" s="1418">
        <f t="shared" ref="H735:N735" si="1018">H$1840</f>
        <v>2024</v>
      </c>
      <c r="I735" s="1419">
        <f t="shared" si="1018"/>
        <v>2025</v>
      </c>
      <c r="J735" s="1418">
        <f t="shared" si="1018"/>
        <v>2026</v>
      </c>
      <c r="K735" s="1420">
        <f t="shared" si="1018"/>
        <v>2027</v>
      </c>
      <c r="L735" s="1420">
        <f t="shared" si="1018"/>
        <v>2028</v>
      </c>
      <c r="M735" s="1420">
        <f t="shared" si="1018"/>
        <v>2029</v>
      </c>
      <c r="N735" s="1420">
        <f t="shared" si="1018"/>
        <v>2030</v>
      </c>
      <c r="O735" s="336"/>
      <c r="P735" s="336"/>
      <c r="Q735" s="1421"/>
      <c r="R735" s="1421"/>
      <c r="S735" s="1421"/>
      <c r="T735" s="1421"/>
      <c r="U735" s="1421"/>
      <c r="V735" s="1421"/>
      <c r="W735" s="1421"/>
      <c r="X735" s="1421"/>
      <c r="Y735" s="1421"/>
      <c r="Z735" s="1421"/>
      <c r="AA735" s="1421"/>
      <c r="AB735" s="770" t="str">
        <f>Translations!$B$1284</f>
        <v>HAL</v>
      </c>
      <c r="AC735" s="1421">
        <f t="shared" ref="AC735" si="1019">H735</f>
        <v>2024</v>
      </c>
      <c r="AD735" s="1421">
        <f t="shared" ref="AD735" si="1020">I735</f>
        <v>2025</v>
      </c>
      <c r="AE735" s="1421">
        <f t="shared" ref="AE735" si="1021">J735</f>
        <v>2026</v>
      </c>
      <c r="AF735" s="1421">
        <f t="shared" ref="AF735" si="1022">K735</f>
        <v>2027</v>
      </c>
      <c r="AG735" s="1421">
        <f t="shared" ref="AG735" si="1023">L735</f>
        <v>2028</v>
      </c>
      <c r="AH735" s="1422">
        <f t="shared" ref="AH735" si="1024">M735</f>
        <v>2029</v>
      </c>
      <c r="AI735" s="1422">
        <f t="shared" ref="AI735" si="1025">N735</f>
        <v>2030</v>
      </c>
      <c r="AJ735" s="1422"/>
      <c r="AK735" s="1422"/>
      <c r="AL735" s="1422"/>
      <c r="AM735" s="1422"/>
    </row>
    <row r="736" spans="1:39" ht="12.75" hidden="1" customHeight="1" x14ac:dyDescent="0.25">
      <c r="A736" s="729" t="str">
        <f t="shared" si="1016"/>
        <v>ausblenden</v>
      </c>
      <c r="B736" s="698"/>
      <c r="C736" s="2906" t="str">
        <f>Translations!$B$625</f>
        <v>Равнища на производство:</v>
      </c>
      <c r="D736" s="981">
        <v>1</v>
      </c>
      <c r="E736" s="1424" t="str">
        <f t="shared" ref="E736:E745" si="1026">IF(ISBLANK(I720),"",I720)</f>
        <v/>
      </c>
      <c r="F736" s="177"/>
      <c r="G736" s="46"/>
      <c r="H736" s="116"/>
      <c r="I736" s="46"/>
      <c r="J736" s="116"/>
      <c r="K736" s="40"/>
      <c r="L736" s="40"/>
      <c r="M736" s="40"/>
      <c r="N736" s="40"/>
      <c r="O736" s="336"/>
      <c r="P736" s="158"/>
      <c r="Q736" s="694"/>
      <c r="R736" s="694"/>
      <c r="S736" s="694"/>
      <c r="T736" s="694"/>
      <c r="U736" s="694"/>
      <c r="V736" s="694"/>
      <c r="W736" s="694"/>
      <c r="X736" s="694"/>
      <c r="Y736" s="694"/>
      <c r="Z736" s="1182" t="s">
        <v>1757</v>
      </c>
      <c r="AA736" s="1425">
        <f>MAX(AC736:AI736)</f>
        <v>2</v>
      </c>
      <c r="AB736" s="1426">
        <f>IF(CNTR_ExistSubInstEntries,IF(OR($M682&lt;&gt;EUconst_Relevant,$V682&gt;($H$1840-1),$E736=""),0,2),2)</f>
        <v>2</v>
      </c>
      <c r="AC736" s="1426">
        <f t="shared" ref="AC736:AI736" si="1027">IF(CNTR_ExistSubInstEntries,IF(OR($M682&lt;&gt;EUconst_Relevant,AC735&gt;=CNTR_ReportingYear,AC735&lt;$V682-1,$E736=""),0,2),2)</f>
        <v>2</v>
      </c>
      <c r="AD736" s="1427">
        <f t="shared" si="1027"/>
        <v>2</v>
      </c>
      <c r="AE736" s="1427">
        <f t="shared" si="1027"/>
        <v>2</v>
      </c>
      <c r="AF736" s="1427">
        <f t="shared" si="1027"/>
        <v>2</v>
      </c>
      <c r="AG736" s="1427">
        <f t="shared" si="1027"/>
        <v>2</v>
      </c>
      <c r="AH736" s="1428">
        <f t="shared" si="1027"/>
        <v>2</v>
      </c>
      <c r="AI736" s="1429">
        <f t="shared" si="1027"/>
        <v>2</v>
      </c>
      <c r="AJ736" s="343"/>
      <c r="AK736" s="1174" t="s">
        <v>2039</v>
      </c>
      <c r="AL736" s="1176"/>
      <c r="AM736" s="343"/>
    </row>
    <row r="737" spans="1:39" ht="12.75" hidden="1" customHeight="1" x14ac:dyDescent="0.25">
      <c r="A737" s="729" t="str">
        <f t="shared" si="1016"/>
        <v>ausblenden</v>
      </c>
      <c r="B737" s="698"/>
      <c r="C737" s="2906"/>
      <c r="D737" s="990">
        <f>D736+1</f>
        <v>2</v>
      </c>
      <c r="E737" s="1430" t="str">
        <f t="shared" si="1026"/>
        <v/>
      </c>
      <c r="F737" s="273"/>
      <c r="G737" s="47"/>
      <c r="H737" s="119"/>
      <c r="I737" s="47"/>
      <c r="J737" s="119"/>
      <c r="K737" s="43"/>
      <c r="L737" s="43"/>
      <c r="M737" s="43"/>
      <c r="N737" s="43"/>
      <c r="O737" s="336"/>
      <c r="P737" s="158"/>
      <c r="Q737" s="694"/>
      <c r="R737" s="694"/>
      <c r="S737" s="694"/>
      <c r="T737" s="694"/>
      <c r="U737" s="694"/>
      <c r="V737" s="694"/>
      <c r="W737" s="694"/>
      <c r="X737" s="694"/>
      <c r="Y737" s="694"/>
      <c r="Z737" s="694"/>
      <c r="AA737" s="1431">
        <f t="shared" ref="AA737:AA745" si="1028">MAX(AC737:AI737)</f>
        <v>2</v>
      </c>
      <c r="AB737" s="1432">
        <f>IF(CNTR_ExistSubInstEntries,IF(OR($M682&lt;&gt;EUconst_Relevant,$V682&gt;($H$1840-1),$E737=""),0,2),2)</f>
        <v>2</v>
      </c>
      <c r="AC737" s="1432">
        <f t="shared" ref="AC737:AI737" si="1029">IF(CNTR_ExistSubInstEntries,IF(OR($M682&lt;&gt;EUconst_Relevant,AC735&gt;=CNTR_ReportingYear,AC735&lt;$V682-1,$E737=""),0,2),2)</f>
        <v>2</v>
      </c>
      <c r="AD737" s="1432">
        <f t="shared" si="1029"/>
        <v>2</v>
      </c>
      <c r="AE737" s="1432">
        <f t="shared" si="1029"/>
        <v>2</v>
      </c>
      <c r="AF737" s="1432">
        <f t="shared" si="1029"/>
        <v>2</v>
      </c>
      <c r="AG737" s="1432">
        <f t="shared" si="1029"/>
        <v>2</v>
      </c>
      <c r="AH737" s="1433">
        <f t="shared" si="1029"/>
        <v>2</v>
      </c>
      <c r="AI737" s="1434">
        <f t="shared" si="1029"/>
        <v>2</v>
      </c>
      <c r="AJ737" s="343"/>
      <c r="AK737" s="1174" t="s">
        <v>2039</v>
      </c>
      <c r="AL737" s="1176"/>
      <c r="AM737" s="343"/>
    </row>
    <row r="738" spans="1:39" ht="12.75" hidden="1" customHeight="1" x14ac:dyDescent="0.25">
      <c r="A738" s="729" t="str">
        <f t="shared" si="1016"/>
        <v>ausblenden</v>
      </c>
      <c r="B738" s="698"/>
      <c r="C738" s="2906"/>
      <c r="D738" s="990">
        <f t="shared" ref="D738:D745" si="1030">D737+1</f>
        <v>3</v>
      </c>
      <c r="E738" s="1430" t="str">
        <f t="shared" si="1026"/>
        <v/>
      </c>
      <c r="F738" s="273"/>
      <c r="G738" s="268"/>
      <c r="H738" s="119"/>
      <c r="I738" s="47"/>
      <c r="J738" s="119"/>
      <c r="K738" s="43"/>
      <c r="L738" s="43"/>
      <c r="M738" s="43"/>
      <c r="N738" s="43"/>
      <c r="O738" s="336"/>
      <c r="P738" s="158"/>
      <c r="Q738" s="694"/>
      <c r="R738" s="694"/>
      <c r="S738" s="694"/>
      <c r="T738" s="694"/>
      <c r="U738" s="694"/>
      <c r="V738" s="694"/>
      <c r="W738" s="694"/>
      <c r="X738" s="694"/>
      <c r="Y738" s="694"/>
      <c r="Z738" s="694"/>
      <c r="AA738" s="1431">
        <f t="shared" si="1028"/>
        <v>2</v>
      </c>
      <c r="AB738" s="1432">
        <f>IF(CNTR_ExistSubInstEntries,IF(OR($M682&lt;&gt;EUconst_Relevant,$V682&gt;($H$1840-1),$E738=""),0,2),2)</f>
        <v>2</v>
      </c>
      <c r="AC738" s="1432">
        <f t="shared" ref="AC738:AI738" si="1031">IF(CNTR_ExistSubInstEntries,IF(OR($M682&lt;&gt;EUconst_Relevant,AC735&gt;=CNTR_ReportingYear,AC735&lt;$V682-1,$E738=""),0,2),2)</f>
        <v>2</v>
      </c>
      <c r="AD738" s="1432">
        <f t="shared" si="1031"/>
        <v>2</v>
      </c>
      <c r="AE738" s="1432">
        <f t="shared" si="1031"/>
        <v>2</v>
      </c>
      <c r="AF738" s="1432">
        <f t="shared" si="1031"/>
        <v>2</v>
      </c>
      <c r="AG738" s="1432">
        <f t="shared" si="1031"/>
        <v>2</v>
      </c>
      <c r="AH738" s="1433">
        <f t="shared" si="1031"/>
        <v>2</v>
      </c>
      <c r="AI738" s="1434">
        <f t="shared" si="1031"/>
        <v>2</v>
      </c>
      <c r="AJ738" s="343"/>
      <c r="AK738" s="1174" t="s">
        <v>2039</v>
      </c>
      <c r="AL738" s="1176"/>
      <c r="AM738" s="343"/>
    </row>
    <row r="739" spans="1:39" ht="12.75" hidden="1" customHeight="1" x14ac:dyDescent="0.25">
      <c r="A739" s="729" t="str">
        <f t="shared" si="1016"/>
        <v>ausblenden</v>
      </c>
      <c r="B739" s="698"/>
      <c r="C739" s="2906"/>
      <c r="D739" s="990">
        <f t="shared" si="1030"/>
        <v>4</v>
      </c>
      <c r="E739" s="1430" t="str">
        <f t="shared" si="1026"/>
        <v/>
      </c>
      <c r="F739" s="271"/>
      <c r="G739" s="47"/>
      <c r="H739" s="119"/>
      <c r="I739" s="124"/>
      <c r="J739" s="119"/>
      <c r="K739" s="43"/>
      <c r="L739" s="43"/>
      <c r="M739" s="43"/>
      <c r="N739" s="43"/>
      <c r="O739" s="336"/>
      <c r="P739" s="158"/>
      <c r="Q739" s="694"/>
      <c r="R739" s="694"/>
      <c r="S739" s="694"/>
      <c r="T739" s="694"/>
      <c r="U739" s="729"/>
      <c r="V739" s="729"/>
      <c r="W739" s="694"/>
      <c r="X739" s="694"/>
      <c r="Y739" s="694"/>
      <c r="Z739" s="694"/>
      <c r="AA739" s="1431">
        <f t="shared" si="1028"/>
        <v>2</v>
      </c>
      <c r="AB739" s="1432">
        <f>IF(CNTR_ExistSubInstEntries,IF(OR($M682&lt;&gt;EUconst_Relevant,$V682&gt;($H$1840-1),$E739=""),0,2),2)</f>
        <v>2</v>
      </c>
      <c r="AC739" s="1432">
        <f t="shared" ref="AC739:AI739" si="1032">IF(CNTR_ExistSubInstEntries,IF(OR($M682&lt;&gt;EUconst_Relevant,AC735&gt;=CNTR_ReportingYear,AC735&lt;$V682-1,$E739=""),0,2),2)</f>
        <v>2</v>
      </c>
      <c r="AD739" s="1432">
        <f t="shared" si="1032"/>
        <v>2</v>
      </c>
      <c r="AE739" s="1432">
        <f t="shared" si="1032"/>
        <v>2</v>
      </c>
      <c r="AF739" s="1432">
        <f t="shared" si="1032"/>
        <v>2</v>
      </c>
      <c r="AG739" s="1432">
        <f t="shared" si="1032"/>
        <v>2</v>
      </c>
      <c r="AH739" s="1433">
        <f t="shared" si="1032"/>
        <v>2</v>
      </c>
      <c r="AI739" s="1434">
        <f t="shared" si="1032"/>
        <v>2</v>
      </c>
      <c r="AJ739" s="343"/>
      <c r="AK739" s="1174" t="s">
        <v>2039</v>
      </c>
      <c r="AL739" s="1176"/>
      <c r="AM739" s="343"/>
    </row>
    <row r="740" spans="1:39" ht="12.75" hidden="1" customHeight="1" x14ac:dyDescent="0.25">
      <c r="A740" s="729" t="str">
        <f t="shared" si="1016"/>
        <v>ausblenden</v>
      </c>
      <c r="B740" s="698"/>
      <c r="C740" s="2906"/>
      <c r="D740" s="990">
        <f t="shared" si="1030"/>
        <v>5</v>
      </c>
      <c r="E740" s="1430" t="str">
        <f t="shared" si="1026"/>
        <v/>
      </c>
      <c r="F740" s="271"/>
      <c r="G740" s="47"/>
      <c r="H740" s="119"/>
      <c r="I740" s="47"/>
      <c r="J740" s="119"/>
      <c r="K740" s="43"/>
      <c r="L740" s="43"/>
      <c r="M740" s="43"/>
      <c r="N740" s="43"/>
      <c r="O740" s="336"/>
      <c r="P740" s="158"/>
      <c r="Q740" s="694"/>
      <c r="R740" s="694"/>
      <c r="S740" s="694"/>
      <c r="T740" s="694"/>
      <c r="U740" s="729"/>
      <c r="V740" s="694"/>
      <c r="W740" s="694"/>
      <c r="X740" s="694"/>
      <c r="Y740" s="694"/>
      <c r="Z740" s="694"/>
      <c r="AA740" s="1431">
        <f t="shared" si="1028"/>
        <v>2</v>
      </c>
      <c r="AB740" s="1432">
        <f>IF(CNTR_ExistSubInstEntries,IF(OR($M682&lt;&gt;EUconst_Relevant,$V682&gt;($H$1840-1),$E740=""),0,2),2)</f>
        <v>2</v>
      </c>
      <c r="AC740" s="1432">
        <f t="shared" ref="AC740:AI740" si="1033">IF(CNTR_ExistSubInstEntries,IF(OR($M682&lt;&gt;EUconst_Relevant,AC735&gt;=CNTR_ReportingYear,AC735&lt;$V682-1,$E740=""),0,2),2)</f>
        <v>2</v>
      </c>
      <c r="AD740" s="1432">
        <f t="shared" si="1033"/>
        <v>2</v>
      </c>
      <c r="AE740" s="1432">
        <f t="shared" si="1033"/>
        <v>2</v>
      </c>
      <c r="AF740" s="1432">
        <f t="shared" si="1033"/>
        <v>2</v>
      </c>
      <c r="AG740" s="1432">
        <f t="shared" si="1033"/>
        <v>2</v>
      </c>
      <c r="AH740" s="1433">
        <f t="shared" si="1033"/>
        <v>2</v>
      </c>
      <c r="AI740" s="1434">
        <f t="shared" si="1033"/>
        <v>2</v>
      </c>
      <c r="AJ740" s="343"/>
      <c r="AK740" s="1174" t="s">
        <v>2039</v>
      </c>
      <c r="AL740" s="1176"/>
      <c r="AM740" s="343"/>
    </row>
    <row r="741" spans="1:39" ht="12.75" hidden="1" customHeight="1" x14ac:dyDescent="0.25">
      <c r="A741" s="729" t="str">
        <f t="shared" si="1016"/>
        <v>ausblenden</v>
      </c>
      <c r="B741" s="698"/>
      <c r="C741" s="2906"/>
      <c r="D741" s="990">
        <f t="shared" si="1030"/>
        <v>6</v>
      </c>
      <c r="E741" s="1430" t="str">
        <f t="shared" si="1026"/>
        <v/>
      </c>
      <c r="F741" s="271"/>
      <c r="G741" s="47"/>
      <c r="H741" s="119"/>
      <c r="I741" s="47"/>
      <c r="J741" s="119"/>
      <c r="K741" s="43"/>
      <c r="L741" s="43"/>
      <c r="M741" s="43"/>
      <c r="N741" s="43"/>
      <c r="O741" s="336"/>
      <c r="P741" s="158"/>
      <c r="Q741" s="694"/>
      <c r="R741" s="694"/>
      <c r="S741" s="694"/>
      <c r="T741" s="694"/>
      <c r="U741" s="694"/>
      <c r="V741" s="694"/>
      <c r="W741" s="694"/>
      <c r="X741" s="694"/>
      <c r="Y741" s="694"/>
      <c r="Z741" s="694"/>
      <c r="AA741" s="1431">
        <f t="shared" si="1028"/>
        <v>2</v>
      </c>
      <c r="AB741" s="1432">
        <f>IF(CNTR_ExistSubInstEntries,IF(OR($M682&lt;&gt;EUconst_Relevant,$V682&gt;($H$1840-1),$E741=""),0,2),2)</f>
        <v>2</v>
      </c>
      <c r="AC741" s="1432">
        <f t="shared" ref="AC741:AI741" si="1034">IF(CNTR_ExistSubInstEntries,IF(OR($M682&lt;&gt;EUconst_Relevant,AC735&gt;=CNTR_ReportingYear,AC735&lt;$V682-1,$E741=""),0,2),2)</f>
        <v>2</v>
      </c>
      <c r="AD741" s="1432">
        <f t="shared" si="1034"/>
        <v>2</v>
      </c>
      <c r="AE741" s="1432">
        <f t="shared" si="1034"/>
        <v>2</v>
      </c>
      <c r="AF741" s="1432">
        <f t="shared" si="1034"/>
        <v>2</v>
      </c>
      <c r="AG741" s="1432">
        <f t="shared" si="1034"/>
        <v>2</v>
      </c>
      <c r="AH741" s="1433">
        <f t="shared" si="1034"/>
        <v>2</v>
      </c>
      <c r="AI741" s="1434">
        <f t="shared" si="1034"/>
        <v>2</v>
      </c>
      <c r="AJ741" s="343"/>
      <c r="AK741" s="1174" t="s">
        <v>2039</v>
      </c>
      <c r="AL741" s="1176"/>
      <c r="AM741" s="343"/>
    </row>
    <row r="742" spans="1:39" ht="12.75" hidden="1" customHeight="1" x14ac:dyDescent="0.25">
      <c r="A742" s="729" t="str">
        <f t="shared" si="1016"/>
        <v>ausblenden</v>
      </c>
      <c r="B742" s="698"/>
      <c r="C742" s="2906"/>
      <c r="D742" s="990">
        <f t="shared" si="1030"/>
        <v>7</v>
      </c>
      <c r="E742" s="1430" t="str">
        <f t="shared" si="1026"/>
        <v/>
      </c>
      <c r="F742" s="271"/>
      <c r="G742" s="47"/>
      <c r="H742" s="119"/>
      <c r="I742" s="47"/>
      <c r="J742" s="119"/>
      <c r="K742" s="43"/>
      <c r="L742" s="43"/>
      <c r="M742" s="43"/>
      <c r="N742" s="43"/>
      <c r="O742" s="336"/>
      <c r="P742" s="158"/>
      <c r="Q742" s="694"/>
      <c r="R742" s="694"/>
      <c r="S742" s="694"/>
      <c r="T742" s="694"/>
      <c r="U742" s="694"/>
      <c r="V742" s="694"/>
      <c r="W742" s="694"/>
      <c r="X742" s="694"/>
      <c r="Y742" s="694"/>
      <c r="Z742" s="694"/>
      <c r="AA742" s="1431">
        <f t="shared" si="1028"/>
        <v>2</v>
      </c>
      <c r="AB742" s="1432">
        <f>IF(CNTR_ExistSubInstEntries,IF(OR($M682&lt;&gt;EUconst_Relevant,$V682&gt;($H$1840-1),$E742=""),0,2),2)</f>
        <v>2</v>
      </c>
      <c r="AC742" s="1432">
        <f t="shared" ref="AC742:AI742" si="1035">IF(CNTR_ExistSubInstEntries,IF(OR($M682&lt;&gt;EUconst_Relevant,AC735&gt;=CNTR_ReportingYear,AC735&lt;$V682-1,$E742=""),0,2),2)</f>
        <v>2</v>
      </c>
      <c r="AD742" s="1432">
        <f t="shared" si="1035"/>
        <v>2</v>
      </c>
      <c r="AE742" s="1432">
        <f t="shared" si="1035"/>
        <v>2</v>
      </c>
      <c r="AF742" s="1432">
        <f t="shared" si="1035"/>
        <v>2</v>
      </c>
      <c r="AG742" s="1432">
        <f t="shared" si="1035"/>
        <v>2</v>
      </c>
      <c r="AH742" s="1433">
        <f t="shared" si="1035"/>
        <v>2</v>
      </c>
      <c r="AI742" s="1434">
        <f t="shared" si="1035"/>
        <v>2</v>
      </c>
      <c r="AJ742" s="343"/>
      <c r="AK742" s="1174" t="s">
        <v>2039</v>
      </c>
      <c r="AL742" s="1176"/>
      <c r="AM742" s="343"/>
    </row>
    <row r="743" spans="1:39" ht="12.75" hidden="1" customHeight="1" x14ac:dyDescent="0.25">
      <c r="A743" s="729" t="str">
        <f t="shared" si="1016"/>
        <v>ausblenden</v>
      </c>
      <c r="B743" s="698"/>
      <c r="C743" s="2906"/>
      <c r="D743" s="990">
        <f t="shared" si="1030"/>
        <v>8</v>
      </c>
      <c r="E743" s="1430" t="str">
        <f t="shared" si="1026"/>
        <v/>
      </c>
      <c r="F743" s="271"/>
      <c r="G743" s="47"/>
      <c r="H743" s="119"/>
      <c r="I743" s="47"/>
      <c r="J743" s="119"/>
      <c r="K743" s="43"/>
      <c r="L743" s="43"/>
      <c r="M743" s="43"/>
      <c r="N743" s="43"/>
      <c r="O743" s="336"/>
      <c r="P743" s="158"/>
      <c r="Q743" s="694"/>
      <c r="R743" s="694"/>
      <c r="S743" s="694"/>
      <c r="T743" s="694"/>
      <c r="U743" s="694"/>
      <c r="V743" s="694"/>
      <c r="W743" s="694"/>
      <c r="X743" s="694"/>
      <c r="Y743" s="694"/>
      <c r="Z743" s="694"/>
      <c r="AA743" s="1431">
        <f t="shared" si="1028"/>
        <v>2</v>
      </c>
      <c r="AB743" s="1432">
        <f>IF(CNTR_ExistSubInstEntries,IF(OR($M682&lt;&gt;EUconst_Relevant,$V682&gt;($H$1840-1),$E743=""),0,2),2)</f>
        <v>2</v>
      </c>
      <c r="AC743" s="1432">
        <f t="shared" ref="AC743:AI743" si="1036">IF(CNTR_ExistSubInstEntries,IF(OR($M682&lt;&gt;EUconst_Relevant,AC735&gt;=CNTR_ReportingYear,AC735&lt;$V682-1,$E743=""),0,2),2)</f>
        <v>2</v>
      </c>
      <c r="AD743" s="1432">
        <f t="shared" si="1036"/>
        <v>2</v>
      </c>
      <c r="AE743" s="1432">
        <f t="shared" si="1036"/>
        <v>2</v>
      </c>
      <c r="AF743" s="1432">
        <f t="shared" si="1036"/>
        <v>2</v>
      </c>
      <c r="AG743" s="1432">
        <f t="shared" si="1036"/>
        <v>2</v>
      </c>
      <c r="AH743" s="1433">
        <f t="shared" si="1036"/>
        <v>2</v>
      </c>
      <c r="AI743" s="1434">
        <f t="shared" si="1036"/>
        <v>2</v>
      </c>
      <c r="AJ743" s="343"/>
      <c r="AK743" s="1174" t="s">
        <v>2039</v>
      </c>
      <c r="AL743" s="1176"/>
      <c r="AM743" s="343"/>
    </row>
    <row r="744" spans="1:39" ht="12.75" hidden="1" customHeight="1" x14ac:dyDescent="0.25">
      <c r="A744" s="729" t="str">
        <f t="shared" si="1016"/>
        <v>ausblenden</v>
      </c>
      <c r="B744" s="698"/>
      <c r="C744" s="2906"/>
      <c r="D744" s="990">
        <f t="shared" si="1030"/>
        <v>9</v>
      </c>
      <c r="E744" s="1430" t="str">
        <f t="shared" si="1026"/>
        <v/>
      </c>
      <c r="F744" s="271"/>
      <c r="G744" s="47"/>
      <c r="H744" s="119"/>
      <c r="I744" s="47"/>
      <c r="J744" s="119"/>
      <c r="K744" s="43"/>
      <c r="L744" s="43"/>
      <c r="M744" s="43"/>
      <c r="N744" s="43"/>
      <c r="O744" s="336"/>
      <c r="P744" s="158"/>
      <c r="Q744" s="694"/>
      <c r="R744" s="694"/>
      <c r="S744" s="694"/>
      <c r="T744" s="694"/>
      <c r="U744" s="694"/>
      <c r="V744" s="694"/>
      <c r="W744" s="694"/>
      <c r="X744" s="694"/>
      <c r="Y744" s="694"/>
      <c r="Z744" s="694"/>
      <c r="AA744" s="1431">
        <f t="shared" si="1028"/>
        <v>2</v>
      </c>
      <c r="AB744" s="1432">
        <f>IF(CNTR_ExistSubInstEntries,IF(OR($M682&lt;&gt;EUconst_Relevant,$V682&gt;($H$1840-1),$E744=""),0,2),2)</f>
        <v>2</v>
      </c>
      <c r="AC744" s="1432">
        <f t="shared" ref="AC744:AI744" si="1037">IF(CNTR_ExistSubInstEntries,IF(OR($M682&lt;&gt;EUconst_Relevant,AC735&gt;=CNTR_ReportingYear,AC735&lt;$V682-1,$E744=""),0,2),2)</f>
        <v>2</v>
      </c>
      <c r="AD744" s="1432">
        <f t="shared" si="1037"/>
        <v>2</v>
      </c>
      <c r="AE744" s="1432">
        <f t="shared" si="1037"/>
        <v>2</v>
      </c>
      <c r="AF744" s="1432">
        <f t="shared" si="1037"/>
        <v>2</v>
      </c>
      <c r="AG744" s="1432">
        <f t="shared" si="1037"/>
        <v>2</v>
      </c>
      <c r="AH744" s="1433">
        <f t="shared" si="1037"/>
        <v>2</v>
      </c>
      <c r="AI744" s="1434">
        <f t="shared" si="1037"/>
        <v>2</v>
      </c>
      <c r="AJ744" s="343"/>
      <c r="AK744" s="1174" t="s">
        <v>2039</v>
      </c>
      <c r="AL744" s="1176"/>
      <c r="AM744" s="343"/>
    </row>
    <row r="745" spans="1:39" ht="12.75" hidden="1" customHeight="1" thickBot="1" x14ac:dyDescent="0.3">
      <c r="A745" s="729" t="str">
        <f t="shared" si="1016"/>
        <v>ausblenden</v>
      </c>
      <c r="B745" s="698"/>
      <c r="C745" s="2906"/>
      <c r="D745" s="994">
        <f t="shared" si="1030"/>
        <v>10</v>
      </c>
      <c r="E745" s="1435" t="str">
        <f t="shared" si="1026"/>
        <v/>
      </c>
      <c r="F745" s="272"/>
      <c r="G745" s="48"/>
      <c r="H745" s="117"/>
      <c r="I745" s="48"/>
      <c r="J745" s="117"/>
      <c r="K745" s="38"/>
      <c r="L745" s="38"/>
      <c r="M745" s="38"/>
      <c r="N745" s="38"/>
      <c r="O745" s="336"/>
      <c r="P745" s="158"/>
      <c r="Q745" s="694"/>
      <c r="R745" s="694"/>
      <c r="S745" s="694"/>
      <c r="T745" s="694"/>
      <c r="U745" s="694"/>
      <c r="V745" s="694"/>
      <c r="W745" s="694"/>
      <c r="X745" s="694"/>
      <c r="Y745" s="694"/>
      <c r="Z745" s="694"/>
      <c r="AA745" s="1436">
        <f t="shared" si="1028"/>
        <v>2</v>
      </c>
      <c r="AB745" s="1437">
        <f>IF(CNTR_ExistSubInstEntries,IF(OR($M682&lt;&gt;EUconst_Relevant,$V682&gt;($H$1840-1),$E745=""),0,2),2)</f>
        <v>2</v>
      </c>
      <c r="AC745" s="1437">
        <f t="shared" ref="AC745:AI745" si="1038">IF(CNTR_ExistSubInstEntries,IF(OR($M682&lt;&gt;EUconst_Relevant,AC735&gt;=CNTR_ReportingYear,AC735&lt;$V682-1,$E745=""),0,2),2)</f>
        <v>2</v>
      </c>
      <c r="AD745" s="1437">
        <f t="shared" si="1038"/>
        <v>2</v>
      </c>
      <c r="AE745" s="1437">
        <f t="shared" si="1038"/>
        <v>2</v>
      </c>
      <c r="AF745" s="1437">
        <f t="shared" si="1038"/>
        <v>2</v>
      </c>
      <c r="AG745" s="1437">
        <f t="shared" si="1038"/>
        <v>2</v>
      </c>
      <c r="AH745" s="1438">
        <f t="shared" si="1038"/>
        <v>2</v>
      </c>
      <c r="AI745" s="1439">
        <f t="shared" si="1038"/>
        <v>2</v>
      </c>
      <c r="AJ745" s="343"/>
      <c r="AK745" s="1174" t="s">
        <v>2039</v>
      </c>
      <c r="AL745" s="1176"/>
      <c r="AM745" s="343"/>
    </row>
    <row r="746" spans="1:39" ht="12.75" hidden="1" customHeight="1" x14ac:dyDescent="0.25">
      <c r="A746" s="729" t="str">
        <f t="shared" si="1016"/>
        <v>ausblenden</v>
      </c>
      <c r="B746" s="698"/>
      <c r="C746" s="2906"/>
      <c r="D746" s="1293"/>
      <c r="E746" s="1294" t="str">
        <f>Translations!$B$501</f>
        <v>Сума на равнищата на производство</v>
      </c>
      <c r="F746" s="1440" t="str">
        <f>IF(AND(COUNTA(F736:F745)&gt;0,COUNTIF(F736:F745,F736)=COUNTA(F736:F745)),F736,"")</f>
        <v/>
      </c>
      <c r="G746" s="1296" t="str">
        <f>IF(AND($F746&lt;&gt;"",COUNT(G736:G745)&gt;0),SUMIF($S720:$S729,TRUE,G736:G745),"")</f>
        <v/>
      </c>
      <c r="H746" s="1297" t="str">
        <f t="shared" ref="H746" si="1039">IF(AND($F746&lt;&gt;"",COUNT(H736:H745)&gt;0),SUMIF($S720:$S729,TRUE,H736:H745),"")</f>
        <v/>
      </c>
      <c r="I746" s="1296" t="str">
        <f t="shared" ref="I746" si="1040">IF(AND($F746&lt;&gt;"",COUNT(I736:I745)&gt;0),SUMIF($S720:$S729,TRUE,I736:I745),"")</f>
        <v/>
      </c>
      <c r="J746" s="1297" t="str">
        <f t="shared" ref="J746" si="1041">IF(AND($F746&lt;&gt;"",COUNT(J736:J745)&gt;0),SUMIF($S720:$S729,TRUE,J736:J745),"")</f>
        <v/>
      </c>
      <c r="K746" s="1104" t="str">
        <f t="shared" ref="K746" si="1042">IF(AND($F746&lt;&gt;"",COUNT(K736:K745)&gt;0),SUMIF($S720:$S729,TRUE,K736:K745),"")</f>
        <v/>
      </c>
      <c r="L746" s="1104" t="str">
        <f t="shared" ref="L746" si="1043">IF(AND($F746&lt;&gt;"",COUNT(L736:L745)&gt;0),SUMIF($S720:$S729,TRUE,L736:L745),"")</f>
        <v/>
      </c>
      <c r="M746" s="1104" t="str">
        <f t="shared" ref="M746" si="1044">IF(AND($F746&lt;&gt;"",COUNT(M736:M745)&gt;0),SUMIF($S720:$S729,TRUE,M736:M745),"")</f>
        <v/>
      </c>
      <c r="N746" s="1104" t="str">
        <f t="shared" ref="N746" si="1045">IF(AND($F746&lt;&gt;"",COUNT(N736:N745)&gt;0),SUMIF($S720:$S729,TRUE,N736:N745),"")</f>
        <v/>
      </c>
      <c r="O746" s="336"/>
      <c r="P746" s="336"/>
      <c r="Q746" s="694"/>
      <c r="R746" s="694"/>
      <c r="S746" s="694"/>
      <c r="T746" s="694"/>
      <c r="U746" s="694"/>
      <c r="V746" s="694"/>
      <c r="W746" s="694"/>
      <c r="X746" s="694"/>
      <c r="Y746" s="694"/>
      <c r="Z746" s="694"/>
      <c r="AA746" s="694"/>
      <c r="AB746" s="729"/>
      <c r="AC746" s="729"/>
      <c r="AD746" s="729"/>
      <c r="AE746" s="729"/>
      <c r="AF746" s="729"/>
      <c r="AG746" s="729"/>
      <c r="AH746" s="729"/>
      <c r="AI746" s="729"/>
      <c r="AJ746" s="343"/>
      <c r="AK746" s="343"/>
      <c r="AL746" s="343"/>
      <c r="AM746" s="343"/>
    </row>
    <row r="747" spans="1:39" ht="5.15" hidden="1" customHeight="1" x14ac:dyDescent="0.25">
      <c r="A747" s="729" t="str">
        <f t="shared" si="1016"/>
        <v>ausblenden</v>
      </c>
      <c r="B747" s="698"/>
      <c r="C747" s="284"/>
      <c r="D747" s="284"/>
      <c r="E747" s="284"/>
      <c r="F747" s="284"/>
      <c r="G747" s="284"/>
      <c r="H747" s="284"/>
      <c r="I747" s="284"/>
      <c r="J747" s="284"/>
      <c r="K747" s="284"/>
      <c r="L747" s="284"/>
      <c r="M747" s="284"/>
      <c r="N747" s="284"/>
      <c r="O747" s="336"/>
      <c r="P747" s="336"/>
      <c r="Q747" s="694"/>
      <c r="R747" s="694"/>
      <c r="S747" s="694"/>
      <c r="T747" s="694"/>
      <c r="U747" s="694"/>
      <c r="V747" s="694"/>
      <c r="W747" s="694"/>
      <c r="X747" s="694"/>
      <c r="Y747" s="694"/>
      <c r="Z747" s="729"/>
      <c r="AA747" s="729"/>
      <c r="AB747" s="729"/>
      <c r="AC747" s="694"/>
      <c r="AD747" s="694"/>
      <c r="AE747" s="343"/>
      <c r="AF747" s="343"/>
      <c r="AG747" s="343"/>
      <c r="AH747" s="343"/>
      <c r="AI747" s="343"/>
      <c r="AJ747" s="343"/>
      <c r="AK747" s="343"/>
      <c r="AL747" s="343"/>
      <c r="AM747" s="343"/>
    </row>
    <row r="748" spans="1:39" ht="12.75" hidden="1" customHeight="1" x14ac:dyDescent="0.25">
      <c r="A748" s="729" t="str">
        <f t="shared" si="1016"/>
        <v>ausblenden</v>
      </c>
      <c r="B748" s="698"/>
      <c r="C748" s="284"/>
      <c r="D748" s="300" t="s">
        <v>1764</v>
      </c>
      <c r="E748" s="2226" t="str">
        <f>Translations!$B$1535</f>
        <v>Допустимо по СТЕ на ЕС потребление на енергия по продукти за определяне на очакваните равнища на дейност</v>
      </c>
      <c r="F748" s="2249"/>
      <c r="G748" s="2249"/>
      <c r="H748" s="2249"/>
      <c r="I748" s="2249"/>
      <c r="J748" s="2249"/>
      <c r="K748" s="2249"/>
      <c r="L748" s="2249"/>
      <c r="M748" s="2249"/>
      <c r="N748" s="2249"/>
      <c r="O748" s="336"/>
      <c r="P748" s="336"/>
      <c r="Q748" s="770"/>
      <c r="R748" s="694"/>
      <c r="S748" s="1030" t="s">
        <v>2010</v>
      </c>
      <c r="T748" s="1441" t="str">
        <f>IF(M682&lt;&gt;EUconst_Relevant,"",IF(COUNTIF(V699:Z699,TRUE)&gt;0,2,1))</f>
        <v/>
      </c>
      <c r="U748" s="729" t="s">
        <v>2006</v>
      </c>
      <c r="V748" s="694"/>
      <c r="W748" s="694"/>
      <c r="X748" s="694"/>
      <c r="Y748" s="694"/>
      <c r="Z748" s="729"/>
      <c r="AA748" s="729"/>
      <c r="AB748" s="729"/>
      <c r="AC748" s="694"/>
      <c r="AD748" s="694"/>
      <c r="AE748" s="343"/>
      <c r="AF748" s="343"/>
      <c r="AG748" s="343"/>
      <c r="AH748" s="343"/>
      <c r="AI748" s="343"/>
      <c r="AJ748" s="343"/>
      <c r="AK748" s="343"/>
      <c r="AL748" s="343"/>
      <c r="AM748" s="343"/>
    </row>
    <row r="749" spans="1:39" ht="12.75" hidden="1" customHeight="1" x14ac:dyDescent="0.25">
      <c r="A749" s="729" t="str">
        <f t="shared" si="1016"/>
        <v>ausblenden</v>
      </c>
      <c r="B749" s="284"/>
      <c r="C749" s="302"/>
      <c r="D749" s="302"/>
      <c r="E749" s="2358" t="str">
        <f>E526</f>
        <v>Моля, въведете тук енергопотреблението, свързано с всеки продукт, изброен в буква б) по-горе, в съответствие с методиките, описани в ПММ.</v>
      </c>
      <c r="F749" s="2249"/>
      <c r="G749" s="2249"/>
      <c r="H749" s="2249"/>
      <c r="I749" s="2249"/>
      <c r="J749" s="2249"/>
      <c r="K749" s="2249"/>
      <c r="L749" s="2249"/>
      <c r="M749" s="2249"/>
      <c r="N749" s="2249"/>
      <c r="O749" s="336"/>
      <c r="P749" s="336"/>
      <c r="Q749" s="770"/>
      <c r="R749" s="770"/>
      <c r="S749" s="770"/>
      <c r="T749" s="770"/>
      <c r="U749" s="770"/>
      <c r="V749" s="770"/>
      <c r="W749" s="770"/>
      <c r="X749" s="770"/>
      <c r="Y749" s="770"/>
      <c r="Z749" s="694"/>
      <c r="AA749" s="694"/>
      <c r="AB749" s="729"/>
      <c r="AC749" s="694"/>
      <c r="AD749" s="694"/>
      <c r="AE749" s="343"/>
      <c r="AF749" s="343"/>
      <c r="AG749" s="343"/>
      <c r="AH749" s="343"/>
      <c r="AI749" s="343"/>
      <c r="AJ749" s="343"/>
      <c r="AK749" s="343"/>
      <c r="AL749" s="343"/>
      <c r="AM749" s="343"/>
    </row>
    <row r="750" spans="1:39" ht="25.5" hidden="1" customHeight="1" x14ac:dyDescent="0.25">
      <c r="A750" s="729" t="str">
        <f t="shared" si="1016"/>
        <v>ausblenden</v>
      </c>
      <c r="B750" s="698"/>
      <c r="C750" s="284"/>
      <c r="D750" s="284"/>
      <c r="E750" s="2459" t="str">
        <f t="shared" ref="E750:E752" si="1046">E527</f>
        <v>Вписванията тук са задължителни за всички години, ако средното годишно равнище на дейност по буква а) се е променило с повече от 15 % за поне една година и само в този случай ще окаже пряко въздействие върху разпределянето.</v>
      </c>
      <c r="F750" s="2460"/>
      <c r="G750" s="2460"/>
      <c r="H750" s="2460"/>
      <c r="I750" s="2460"/>
      <c r="J750" s="2460"/>
      <c r="K750" s="2460"/>
      <c r="L750" s="2460"/>
      <c r="M750" s="2460"/>
      <c r="N750" s="2460"/>
      <c r="O750" s="336"/>
      <c r="P750" s="336"/>
      <c r="Q750" s="694"/>
      <c r="R750" s="694"/>
      <c r="S750" s="694"/>
      <c r="T750" s="694"/>
      <c r="U750" s="694"/>
      <c r="V750" s="694"/>
      <c r="W750" s="694"/>
      <c r="X750" s="694"/>
      <c r="Y750" s="694"/>
      <c r="Z750" s="729"/>
      <c r="AA750" s="729"/>
      <c r="AB750" s="729"/>
      <c r="AC750" s="729"/>
      <c r="AD750" s="694"/>
      <c r="AE750" s="343"/>
      <c r="AF750" s="343"/>
      <c r="AG750" s="343"/>
      <c r="AH750" s="343"/>
      <c r="AI750" s="343"/>
      <c r="AJ750" s="343"/>
      <c r="AK750" s="343"/>
      <c r="AL750" s="343"/>
      <c r="AM750" s="343"/>
    </row>
    <row r="751" spans="1:39" ht="25.5" hidden="1" customHeight="1" x14ac:dyDescent="0.25">
      <c r="A751" s="729" t="str">
        <f t="shared" si="1016"/>
        <v>ausblenden</v>
      </c>
      <c r="B751" s="698"/>
      <c r="C751" s="284"/>
      <c r="D751" s="284"/>
      <c r="E751" s="2459" t="str">
        <f t="shared" si="1046"/>
        <v>Стойността в НМИ се отнася до средното потребление на топлинна енергия през историческия базов период (НМИ).</v>
      </c>
      <c r="F751" s="2460"/>
      <c r="G751" s="2460"/>
      <c r="H751" s="2460"/>
      <c r="I751" s="2460"/>
      <c r="J751" s="2460"/>
      <c r="K751" s="2460"/>
      <c r="L751" s="2460"/>
      <c r="M751" s="2460"/>
      <c r="N751" s="2460"/>
      <c r="O751" s="336"/>
      <c r="P751" s="336"/>
      <c r="Q751" s="694"/>
      <c r="R751" s="694"/>
      <c r="S751" s="694"/>
      <c r="T751" s="694"/>
      <c r="U751" s="694"/>
      <c r="V751" s="694"/>
      <c r="W751" s="694"/>
      <c r="X751" s="694"/>
      <c r="Y751" s="694"/>
      <c r="Z751" s="729"/>
      <c r="AA751" s="729"/>
      <c r="AB751" s="729"/>
      <c r="AC751" s="729"/>
      <c r="AD751" s="694"/>
      <c r="AE751" s="343"/>
      <c r="AF751" s="343"/>
      <c r="AG751" s="343"/>
      <c r="AH751" s="343"/>
      <c r="AI751" s="343"/>
      <c r="AJ751" s="343"/>
      <c r="AK751" s="343"/>
      <c r="AL751" s="343"/>
      <c r="AM751" s="343"/>
    </row>
    <row r="752" spans="1:39" ht="12.75" hidden="1" customHeight="1" x14ac:dyDescent="0.25">
      <c r="A752" s="729" t="str">
        <f>A750</f>
        <v>ausblenden</v>
      </c>
      <c r="B752" s="698"/>
      <c r="C752" s="284"/>
      <c r="D752" s="284"/>
      <c r="E752" s="2358" t="str">
        <f t="shared" si="1046"/>
        <v>Допълнителни насоки относно отнасянето по продукти за изчисляването на историческата ефективност (HistEff) могат да бъдат намерени в раздели 2.3 и 3 от Ръководство № 7.</v>
      </c>
      <c r="F752" s="2249"/>
      <c r="G752" s="2249"/>
      <c r="H752" s="2249"/>
      <c r="I752" s="2249"/>
      <c r="J752" s="2249"/>
      <c r="K752" s="2249"/>
      <c r="L752" s="2249"/>
      <c r="M752" s="2249"/>
      <c r="N752" s="2249"/>
      <c r="O752" s="336"/>
      <c r="P752" s="295"/>
      <c r="Q752" s="694"/>
      <c r="R752" s="694"/>
      <c r="S752" s="694"/>
      <c r="T752" s="694"/>
      <c r="U752" s="694"/>
      <c r="V752" s="694"/>
      <c r="W752" s="694"/>
      <c r="X752" s="694"/>
      <c r="Y752" s="694"/>
      <c r="Z752" s="729"/>
      <c r="AA752" s="729"/>
      <c r="AB752" s="729"/>
      <c r="AC752" s="729"/>
      <c r="AD752" s="694"/>
      <c r="AE752" s="343"/>
      <c r="AF752" s="343"/>
      <c r="AG752" s="343"/>
      <c r="AH752" s="343"/>
      <c r="AI752" s="343"/>
      <c r="AJ752" s="343"/>
      <c r="AK752" s="343"/>
      <c r="AL752" s="343"/>
      <c r="AM752" s="343"/>
    </row>
    <row r="753" spans="1:39" ht="5.15" hidden="1" customHeight="1" x14ac:dyDescent="0.25">
      <c r="A753" s="729" t="str">
        <f t="shared" si="1016"/>
        <v>ausblenden</v>
      </c>
      <c r="B753" s="698"/>
      <c r="C753" s="284"/>
      <c r="D753" s="284"/>
      <c r="E753" s="2358"/>
      <c r="F753" s="2249"/>
      <c r="G753" s="2249"/>
      <c r="H753" s="2249"/>
      <c r="I753" s="2249"/>
      <c r="J753" s="2249"/>
      <c r="K753" s="2249"/>
      <c r="L753" s="2249"/>
      <c r="M753" s="2249"/>
      <c r="N753" s="2249"/>
      <c r="O753" s="336"/>
      <c r="P753" s="295"/>
      <c r="Q753" s="694"/>
      <c r="R753" s="694"/>
      <c r="S753" s="694"/>
      <c r="T753" s="694"/>
      <c r="U753" s="694"/>
      <c r="V753" s="694"/>
      <c r="W753" s="694"/>
      <c r="X753" s="694"/>
      <c r="Y753" s="694"/>
      <c r="Z753" s="729"/>
      <c r="AA753" s="729"/>
      <c r="AB753" s="729"/>
      <c r="AC753" s="729"/>
      <c r="AD753" s="694"/>
      <c r="AE753" s="343"/>
      <c r="AF753" s="343"/>
      <c r="AG753" s="343"/>
      <c r="AH753" s="343"/>
      <c r="AI753" s="343"/>
      <c r="AJ753" s="343"/>
      <c r="AK753" s="343"/>
      <c r="AL753" s="343"/>
      <c r="AM753" s="343"/>
    </row>
    <row r="754" spans="1:39" s="1423" customFormat="1" ht="25.5" hidden="1" customHeight="1" thickBot="1" x14ac:dyDescent="0.35">
      <c r="A754" s="729" t="str">
        <f t="shared" si="1016"/>
        <v>ausblenden</v>
      </c>
      <c r="B754" s="1412"/>
      <c r="C754" s="1413"/>
      <c r="D754" s="1414"/>
      <c r="E754" s="1415" t="str">
        <f>Translations!$B$624</f>
        <v>Име на продукта или „топлофикационна мрежа“</v>
      </c>
      <c r="F754" s="1416" t="str">
        <f>EUconst_Unit</f>
        <v>Единица мярка</v>
      </c>
      <c r="G754" s="1419" t="str">
        <f>Translations!$B$1336</f>
        <v>Стойност в НМИ</v>
      </c>
      <c r="H754" s="1418">
        <f t="shared" ref="H754:N754" si="1047">H$1840</f>
        <v>2024</v>
      </c>
      <c r="I754" s="1419">
        <f t="shared" si="1047"/>
        <v>2025</v>
      </c>
      <c r="J754" s="1418">
        <f t="shared" si="1047"/>
        <v>2026</v>
      </c>
      <c r="K754" s="1420">
        <f t="shared" si="1047"/>
        <v>2027</v>
      </c>
      <c r="L754" s="1420">
        <f t="shared" si="1047"/>
        <v>2028</v>
      </c>
      <c r="M754" s="1420">
        <f t="shared" si="1047"/>
        <v>2029</v>
      </c>
      <c r="N754" s="1420">
        <f t="shared" si="1047"/>
        <v>2030</v>
      </c>
      <c r="O754" s="336"/>
      <c r="P754" s="295"/>
      <c r="Q754" s="1421"/>
      <c r="R754" s="1421"/>
      <c r="S754" s="770" t="str">
        <f>Translations!$B$1341</f>
        <v>Базова стойност</v>
      </c>
      <c r="T754" s="1421">
        <f t="shared" ref="T754" si="1048">H754</f>
        <v>2024</v>
      </c>
      <c r="U754" s="1421">
        <f t="shared" ref="U754" si="1049">I754</f>
        <v>2025</v>
      </c>
      <c r="V754" s="1421">
        <f t="shared" ref="V754" si="1050">J754</f>
        <v>2026</v>
      </c>
      <c r="W754" s="1421">
        <f t="shared" ref="W754" si="1051">K754</f>
        <v>2027</v>
      </c>
      <c r="X754" s="1421">
        <f t="shared" ref="X754" si="1052">L754</f>
        <v>2028</v>
      </c>
      <c r="Y754" s="1421">
        <f t="shared" ref="Y754" si="1053">M754</f>
        <v>2029</v>
      </c>
      <c r="Z754" s="1421">
        <f t="shared" ref="Z754" si="1054">N754</f>
        <v>2030</v>
      </c>
      <c r="AA754" s="1421"/>
      <c r="AB754" s="770" t="str">
        <f>Translations!$B$1284</f>
        <v>HAL</v>
      </c>
      <c r="AC754" s="1421">
        <f t="shared" ref="AC754" si="1055">H754</f>
        <v>2024</v>
      </c>
      <c r="AD754" s="1421">
        <f t="shared" ref="AD754" si="1056">I754</f>
        <v>2025</v>
      </c>
      <c r="AE754" s="1421">
        <f t="shared" ref="AE754" si="1057">J754</f>
        <v>2026</v>
      </c>
      <c r="AF754" s="1421">
        <f t="shared" ref="AF754" si="1058">K754</f>
        <v>2027</v>
      </c>
      <c r="AG754" s="1421">
        <f t="shared" ref="AG754" si="1059">L754</f>
        <v>2028</v>
      </c>
      <c r="AH754" s="1422">
        <f t="shared" ref="AH754" si="1060">M754</f>
        <v>2029</v>
      </c>
      <c r="AI754" s="1422">
        <f t="shared" ref="AI754" si="1061">N754</f>
        <v>2030</v>
      </c>
      <c r="AJ754" s="1422"/>
      <c r="AK754" s="1422"/>
      <c r="AL754" s="1422"/>
      <c r="AM754" s="1422"/>
    </row>
    <row r="755" spans="1:39" ht="12.75" hidden="1" customHeight="1" x14ac:dyDescent="0.25">
      <c r="A755" s="729" t="str">
        <f t="shared" si="1016"/>
        <v>ausblenden</v>
      </c>
      <c r="B755" s="698"/>
      <c r="C755" s="2906" t="str">
        <f>Translations!$B$1539</f>
        <v>Топлинна енергия по СТЕ</v>
      </c>
      <c r="D755" s="981">
        <v>1</v>
      </c>
      <c r="E755" s="1424" t="str">
        <f t="shared" ref="E755:E764" si="1062">E736</f>
        <v/>
      </c>
      <c r="F755" s="1259" t="str">
        <f t="shared" ref="F755:F766" si="1063">EUconst_TJ</f>
        <v>TJ</v>
      </c>
      <c r="G755" s="125"/>
      <c r="H755" s="116"/>
      <c r="I755" s="46"/>
      <c r="J755" s="116"/>
      <c r="K755" s="40"/>
      <c r="L755" s="40"/>
      <c r="M755" s="40"/>
      <c r="N755" s="40"/>
      <c r="O755" s="1442"/>
      <c r="P755" s="158"/>
      <c r="Q755" s="694"/>
      <c r="R755" s="694"/>
      <c r="S755" s="1443" t="str">
        <f>IF($M682&lt;&gt;EUconst_Relevant,"",
IF($V682&gt;($J$1840-3),
              IF(INDEX(H736:N736,MATCH($V682,$T754:$Z754,0))=0,0,INDEX(H755:N755,MATCH($V682,$T754:$Z754,0))/INDEX(H736:N736,MATCH($V682,$T754:$Z754,0))),
                             IF(ISNUMBER(G736),
                                            IF(OR(G736=0,$S720=FALSE),0,G755/G736),"")))</f>
        <v/>
      </c>
      <c r="T755" s="1444" t="str">
        <f t="shared" ref="T755:T764" si="1064">IF($E755="","",IF(IFERROR(SUM($S755)=0,SUM($H755)),SUM(H755),SUM(H736)*SUM($S755)))</f>
        <v/>
      </c>
      <c r="U755" s="1444" t="str">
        <f t="shared" ref="U755" si="1065">IF($E755="","",IF(IFERROR(SUM($S755)=0,SUM($H755)),SUM(I755),SUM(I736)*SUM($S755)))</f>
        <v/>
      </c>
      <c r="V755" s="1444" t="str">
        <f t="shared" ref="V755" si="1066">IF($E755="","",IF(IFERROR(SUM($S755)=0,SUM($H755)),SUM(J755),SUM(J736)*SUM($S755)))</f>
        <v/>
      </c>
      <c r="W755" s="1444" t="str">
        <f t="shared" ref="W755" si="1067">IF($E755="","",IF(IFERROR(SUM($S755)=0,SUM($H755)),SUM(K755),SUM(K736)*SUM($S755)))</f>
        <v/>
      </c>
      <c r="X755" s="1444" t="str">
        <f t="shared" ref="X755" si="1068">IF($E755="","",IF(IFERROR(SUM($S755)=0,SUM($H755)),SUM(L755),SUM(L736)*SUM($S755)))</f>
        <v/>
      </c>
      <c r="Y755" s="1444" t="str">
        <f t="shared" ref="Y755" si="1069">IF($E755="","",IF(IFERROR(SUM($S755)=0,SUM($H755)),SUM(M755),SUM(M736)*SUM($S755)))</f>
        <v/>
      </c>
      <c r="Z755" s="1445" t="str">
        <f t="shared" ref="Z755" si="1070">IF($E755="","",IF(IFERROR(SUM($S755)=0,SUM($H755)),SUM(N755),SUM(N736)*SUM($S755)))</f>
        <v/>
      </c>
      <c r="AA755" s="1446" t="s">
        <v>1757</v>
      </c>
      <c r="AB755" s="1447">
        <f>MAX(AC755,AD755:AI755)</f>
        <v>2</v>
      </c>
      <c r="AC755" s="1426">
        <f>IF(CNTR_ExistSubInstEntries,IF(OR($M682&lt;&gt;EUconst_Relevant,AC754&gt;=CNTR_ReportingYear,AC754&lt;$V682-1,$E755=""),0,IF(AND($T748=2,COUNTIF($V699:V699,TRUE)&gt;0,$S720),2,1)),2)</f>
        <v>2</v>
      </c>
      <c r="AD755" s="1427">
        <f>IF(CNTR_ExistSubInstEntries,IF(OR($M682&lt;&gt;EUconst_Relevant,AD754&gt;=CNTR_ReportingYear,AD754&lt;$V682-1,$E755=""),0,IF(AND($T748=2,COUNTIF($V699:W699,TRUE)&gt;0,$S720),2,1)),2)</f>
        <v>2</v>
      </c>
      <c r="AE755" s="1427">
        <f>IF(CNTR_ExistSubInstEntries,IF(OR($M682&lt;&gt;EUconst_Relevant,AE754&gt;=CNTR_ReportingYear,AE754&lt;$V682-1,$E755=""),0,IF(AND($T748=2,COUNTIF($V699:X699,TRUE)&gt;0,$S720),2,1)),2)</f>
        <v>2</v>
      </c>
      <c r="AF755" s="1427">
        <f>IF(CNTR_ExistSubInstEntries,IF(OR($M682&lt;&gt;EUconst_Relevant,AF754&gt;=CNTR_ReportingYear,AF754&lt;$V682-1,$E755=""),0,IF(AND($T748=2,COUNTIF($V699:Y699,TRUE)&gt;0,$S720),2,1)),2)</f>
        <v>2</v>
      </c>
      <c r="AG755" s="1427">
        <f>IF(CNTR_ExistSubInstEntries,IF(OR($M682&lt;&gt;EUconst_Relevant,AG754&gt;=CNTR_ReportingYear,AG754&lt;$V682-1,$E755=""),0,IF(AND($T748=2,COUNTIF($V699:Z699,TRUE)&gt;0,$S720),2,1)),2)</f>
        <v>2</v>
      </c>
      <c r="AH755" s="1428">
        <f>IF(CNTR_ExistSubInstEntries,IF(OR($M682&lt;&gt;EUconst_Relevant,AH754&gt;=CNTR_ReportingYear,AH754&lt;$V682-1,$E755=""),0,IF(AND($T748=2,COUNTIF($V699:AA699,TRUE)&gt;0,$S720),2,1)),2)</f>
        <v>2</v>
      </c>
      <c r="AI755" s="1429">
        <f>IF(CNTR_ExistSubInstEntries,IF(OR($M682&lt;&gt;EUconst_Relevant,AI754&gt;=CNTR_ReportingYear,AI754&lt;$V682-1,$E755=""),0,IF(AND($T748=2,COUNTIF($V699:AB699,TRUE)&gt;0,$S720),2,1)),2)</f>
        <v>2</v>
      </c>
      <c r="AJ755" s="343"/>
      <c r="AK755" s="1174" t="s">
        <v>2039</v>
      </c>
      <c r="AL755" s="1176"/>
      <c r="AM755" s="343"/>
    </row>
    <row r="756" spans="1:39" ht="12.75" hidden="1" customHeight="1" x14ac:dyDescent="0.25">
      <c r="A756" s="729" t="str">
        <f t="shared" si="1016"/>
        <v>ausblenden</v>
      </c>
      <c r="B756" s="698"/>
      <c r="C756" s="2906"/>
      <c r="D756" s="990">
        <v>2</v>
      </c>
      <c r="E756" s="1430" t="str">
        <f t="shared" si="1062"/>
        <v/>
      </c>
      <c r="F756" s="1448" t="str">
        <f t="shared" si="1063"/>
        <v>TJ</v>
      </c>
      <c r="G756" s="124"/>
      <c r="H756" s="119"/>
      <c r="I756" s="47"/>
      <c r="J756" s="119"/>
      <c r="K756" s="43"/>
      <c r="L756" s="43"/>
      <c r="M756" s="43"/>
      <c r="N756" s="43"/>
      <c r="O756" s="336"/>
      <c r="P756" s="158"/>
      <c r="Q756" s="694"/>
      <c r="R756" s="694"/>
      <c r="S756" s="1449" t="str">
        <f>IF($M682&lt;&gt;EUconst_Relevant,"",
IF($V682&gt;($J$1840-3),
              IF(INDEX(H737:N737,MATCH($V682,$T754:$Z754,0))=0,0,INDEX(H756:N756,MATCH($V682,$T754:$Z754,0))/INDEX(H737:N737,MATCH($V682,$T754:$Z754,0))),
                             IF(ISNUMBER(G737),
                                            IF(OR(G737=0,$S721=FALSE),0,G756/G737),"")))</f>
        <v/>
      </c>
      <c r="T756" s="1450" t="str">
        <f t="shared" si="1064"/>
        <v/>
      </c>
      <c r="U756" s="1450" t="str">
        <f t="shared" ref="U756:U764" si="1071">IF($E756="","",IF(IFERROR(SUM($S756)=0,SUM($H756)),SUM(I756),SUM(I737)*SUM($S756)))</f>
        <v/>
      </c>
      <c r="V756" s="1450" t="str">
        <f t="shared" ref="V756:V764" si="1072">IF($E756="","",IF(IFERROR(SUM($S756)=0,SUM($H756)),SUM(J756),SUM(J737)*SUM($S756)))</f>
        <v/>
      </c>
      <c r="W756" s="1450" t="str">
        <f t="shared" ref="W756:W764" si="1073">IF($E756="","",IF(IFERROR(SUM($S756)=0,SUM($H756)),SUM(K756),SUM(K737)*SUM($S756)))</f>
        <v/>
      </c>
      <c r="X756" s="1450" t="str">
        <f t="shared" ref="X756:X764" si="1074">IF($E756="","",IF(IFERROR(SUM($S756)=0,SUM($H756)),SUM(L756),SUM(L737)*SUM($S756)))</f>
        <v/>
      </c>
      <c r="Y756" s="1450" t="str">
        <f t="shared" ref="Y756:Y764" si="1075">IF($E756="","",IF(IFERROR(SUM($S756)=0,SUM($H756)),SUM(M756),SUM(M737)*SUM($S756)))</f>
        <v/>
      </c>
      <c r="Z756" s="1451" t="str">
        <f t="shared" ref="Z756:Z764" si="1076">IF($E756="","",IF(IFERROR(SUM($S756)=0,SUM($H756)),SUM(N756),SUM(N737)*SUM($S756)))</f>
        <v/>
      </c>
      <c r="AA756" s="694"/>
      <c r="AB756" s="1431">
        <f t="shared" ref="AB756:AB764" si="1077">MAX(AC756,AD756:AI756)</f>
        <v>2</v>
      </c>
      <c r="AC756" s="1432">
        <f>IF(CNTR_ExistSubInstEntries,IF(OR($M682&lt;&gt;EUconst_Relevant,AC754&gt;=CNTR_ReportingYear,AC754&lt;$V682-1,$E756=""),0,IF(AND($T748=2,COUNTIF($V699:V699,TRUE)&gt;0,$S721),2,1)),2)</f>
        <v>2</v>
      </c>
      <c r="AD756" s="1432">
        <f>IF(CNTR_ExistSubInstEntries,IF(OR($M682&lt;&gt;EUconst_Relevant,AD754&gt;=CNTR_ReportingYear,AD754&lt;$V682-1,$E756=""),0,IF(AND($T748=2,COUNTIF($V699:W699,TRUE)&gt;0,$S721),2,1)),2)</f>
        <v>2</v>
      </c>
      <c r="AE756" s="1432">
        <f>IF(CNTR_ExistSubInstEntries,IF(OR($M682&lt;&gt;EUconst_Relevant,AE754&gt;=CNTR_ReportingYear,AE754&lt;$V682-1,$E756=""),0,IF(AND($T748=2,COUNTIF($V699:X699,TRUE)&gt;0,$S721),2,1)),2)</f>
        <v>2</v>
      </c>
      <c r="AF756" s="1432">
        <f>IF(CNTR_ExistSubInstEntries,IF(OR($M682&lt;&gt;EUconst_Relevant,AF754&gt;=CNTR_ReportingYear,AF754&lt;$V682-1,$E756=""),0,IF(AND($T748=2,COUNTIF($V699:Y699,TRUE)&gt;0,$S721),2,1)),2)</f>
        <v>2</v>
      </c>
      <c r="AG756" s="1432">
        <f>IF(CNTR_ExistSubInstEntries,IF(OR($M682&lt;&gt;EUconst_Relevant,AG754&gt;=CNTR_ReportingYear,AG754&lt;$V682-1,$E756=""),0,IF(AND($T748=2,COUNTIF($V699:Z699,TRUE)&gt;0,$S721),2,1)),2)</f>
        <v>2</v>
      </c>
      <c r="AH756" s="1432">
        <f>IF(CNTR_ExistSubInstEntries,IF(OR($M682&lt;&gt;EUconst_Relevant,AH754&gt;=CNTR_ReportingYear,AH754&lt;$V682-1,$E756=""),0,IF(AND($T748=2,COUNTIF($V699:AA699,TRUE)&gt;0,$S721),2,1)),2)</f>
        <v>2</v>
      </c>
      <c r="AI756" s="1452">
        <f>IF(CNTR_ExistSubInstEntries,IF(OR($M682&lt;&gt;EUconst_Relevant,AI754&gt;=CNTR_ReportingYear,AI754&lt;$V682-1,$E756=""),0,IF(AND($T748=2,COUNTIF($V699:AB699,TRUE)&gt;0,$S721),2,1)),2)</f>
        <v>2</v>
      </c>
      <c r="AJ756" s="343"/>
      <c r="AK756" s="1174" t="s">
        <v>2039</v>
      </c>
      <c r="AL756" s="1176"/>
      <c r="AM756" s="343"/>
    </row>
    <row r="757" spans="1:39" ht="12.75" hidden="1" customHeight="1" x14ac:dyDescent="0.25">
      <c r="A757" s="729" t="str">
        <f t="shared" si="1016"/>
        <v>ausblenden</v>
      </c>
      <c r="B757" s="698"/>
      <c r="C757" s="2906"/>
      <c r="D757" s="990">
        <v>3</v>
      </c>
      <c r="E757" s="1430" t="str">
        <f t="shared" si="1062"/>
        <v/>
      </c>
      <c r="F757" s="1448" t="str">
        <f t="shared" si="1063"/>
        <v>TJ</v>
      </c>
      <c r="G757" s="47"/>
      <c r="H757" s="119"/>
      <c r="I757" s="47"/>
      <c r="J757" s="119"/>
      <c r="K757" s="43"/>
      <c r="L757" s="43"/>
      <c r="M757" s="43"/>
      <c r="N757" s="43"/>
      <c r="O757" s="336"/>
      <c r="P757" s="158"/>
      <c r="Q757" s="694"/>
      <c r="R757" s="694"/>
      <c r="S757" s="1449" t="str">
        <f>IF($M682&lt;&gt;EUconst_Relevant,"",
IF($V682&gt;($J$1840-3),
              IF(INDEX(H738:N738,MATCH($V682,$T754:$Z754,0))=0,0,INDEX(H757:N757,MATCH($V682,$T754:$Z754,0))/INDEX(H738:N738,MATCH($V682,$T754:$Z754,0))),
                             IF(ISNUMBER(G738),
                                            IF(OR(G738=0,$S722=FALSE),0,G757/G738),"")))</f>
        <v/>
      </c>
      <c r="T757" s="1450" t="str">
        <f t="shared" si="1064"/>
        <v/>
      </c>
      <c r="U757" s="1450" t="str">
        <f t="shared" si="1071"/>
        <v/>
      </c>
      <c r="V757" s="1450" t="str">
        <f t="shared" si="1072"/>
        <v/>
      </c>
      <c r="W757" s="1450" t="str">
        <f t="shared" si="1073"/>
        <v/>
      </c>
      <c r="X757" s="1450" t="str">
        <f t="shared" si="1074"/>
        <v/>
      </c>
      <c r="Y757" s="1450" t="str">
        <f t="shared" si="1075"/>
        <v/>
      </c>
      <c r="Z757" s="1451" t="str">
        <f t="shared" si="1076"/>
        <v/>
      </c>
      <c r="AA757" s="694"/>
      <c r="AB757" s="1431">
        <f t="shared" si="1077"/>
        <v>2</v>
      </c>
      <c r="AC757" s="1432">
        <f>IF(CNTR_ExistSubInstEntries,IF(OR($M682&lt;&gt;EUconst_Relevant,AC754&gt;=CNTR_ReportingYear,AC754&lt;$V682-1,$E757=""),0,IF(AND($T748=2,COUNTIF($V699:V699,TRUE)&gt;0,$S722),2,1)),2)</f>
        <v>2</v>
      </c>
      <c r="AD757" s="1432">
        <f>IF(CNTR_ExistSubInstEntries,IF(OR($M682&lt;&gt;EUconst_Relevant,AD754&gt;=CNTR_ReportingYear,AD754&lt;$V682-1,$E757=""),0,IF(AND($T748=2,COUNTIF($V699:W699,TRUE)&gt;0,$S722),2,1)),2)</f>
        <v>2</v>
      </c>
      <c r="AE757" s="1432">
        <f>IF(CNTR_ExistSubInstEntries,IF(OR($M682&lt;&gt;EUconst_Relevant,AE754&gt;=CNTR_ReportingYear,AE754&lt;$V682-1,$E757=""),0,IF(AND($T748=2,COUNTIF($V699:X699,TRUE)&gt;0,$S722),2,1)),2)</f>
        <v>2</v>
      </c>
      <c r="AF757" s="1432">
        <f>IF(CNTR_ExistSubInstEntries,IF(OR($M682&lt;&gt;EUconst_Relevant,AF754&gt;=CNTR_ReportingYear,AF754&lt;$V682-1,$E757=""),0,IF(AND($T748=2,COUNTIF($V699:Y699,TRUE)&gt;0,$S722),2,1)),2)</f>
        <v>2</v>
      </c>
      <c r="AG757" s="1432">
        <f>IF(CNTR_ExistSubInstEntries,IF(OR($M682&lt;&gt;EUconst_Relevant,AG754&gt;=CNTR_ReportingYear,AG754&lt;$V682-1,$E757=""),0,IF(AND($T748=2,COUNTIF($V699:Z699,TRUE)&gt;0,$S722),2,1)),2)</f>
        <v>2</v>
      </c>
      <c r="AH757" s="1432">
        <f>IF(CNTR_ExistSubInstEntries,IF(OR($M682&lt;&gt;EUconst_Relevant,AH754&gt;=CNTR_ReportingYear,AH754&lt;$V682-1,$E757=""),0,IF(AND($T748=2,COUNTIF($V699:AA699,TRUE)&gt;0,$S722),2,1)),2)</f>
        <v>2</v>
      </c>
      <c r="AI757" s="1452">
        <f>IF(CNTR_ExistSubInstEntries,IF(OR($M682&lt;&gt;EUconst_Relevant,AI754&gt;=CNTR_ReportingYear,AI754&lt;$V682-1,$E757=""),0,IF(AND($T748=2,COUNTIF($V699:AB699,TRUE)&gt;0,$S722),2,1)),2)</f>
        <v>2</v>
      </c>
      <c r="AJ757" s="343"/>
      <c r="AK757" s="1174" t="s">
        <v>2039</v>
      </c>
      <c r="AL757" s="1176"/>
      <c r="AM757" s="343"/>
    </row>
    <row r="758" spans="1:39" ht="12.75" hidden="1" customHeight="1" x14ac:dyDescent="0.25">
      <c r="A758" s="729" t="str">
        <f t="shared" si="1016"/>
        <v>ausblenden</v>
      </c>
      <c r="B758" s="698"/>
      <c r="C758" s="2906"/>
      <c r="D758" s="990">
        <v>4</v>
      </c>
      <c r="E758" s="1430" t="str">
        <f t="shared" si="1062"/>
        <v/>
      </c>
      <c r="F758" s="1448" t="str">
        <f t="shared" si="1063"/>
        <v>TJ</v>
      </c>
      <c r="G758" s="47"/>
      <c r="H758" s="119"/>
      <c r="I758" s="47"/>
      <c r="J758" s="119"/>
      <c r="K758" s="43"/>
      <c r="L758" s="43"/>
      <c r="M758" s="43"/>
      <c r="N758" s="43"/>
      <c r="O758" s="336"/>
      <c r="P758" s="158"/>
      <c r="Q758" s="694"/>
      <c r="R758" s="694"/>
      <c r="S758" s="1449" t="str">
        <f>IF($M682&lt;&gt;EUconst_Relevant,"",
IF($V682&gt;($J$1840-3),
              IF(INDEX(H739:N739,MATCH($V682,$T754:$Z754,0))=0,0,INDEX(H758:N758,MATCH($V682,$T754:$Z754,0))/INDEX(H739:N739,MATCH($V682,$T754:$Z754,0))),
                             IF(ISNUMBER(G739),
                                            IF(OR(G739=0,$S723=FALSE),0,G758/G739),"")))</f>
        <v/>
      </c>
      <c r="T758" s="1450" t="str">
        <f t="shared" si="1064"/>
        <v/>
      </c>
      <c r="U758" s="1450" t="str">
        <f t="shared" si="1071"/>
        <v/>
      </c>
      <c r="V758" s="1450" t="str">
        <f t="shared" si="1072"/>
        <v/>
      </c>
      <c r="W758" s="1450" t="str">
        <f t="shared" si="1073"/>
        <v/>
      </c>
      <c r="X758" s="1450" t="str">
        <f t="shared" si="1074"/>
        <v/>
      </c>
      <c r="Y758" s="1450" t="str">
        <f t="shared" si="1075"/>
        <v/>
      </c>
      <c r="Z758" s="1451" t="str">
        <f t="shared" si="1076"/>
        <v/>
      </c>
      <c r="AA758" s="694"/>
      <c r="AB758" s="1431">
        <f t="shared" si="1077"/>
        <v>2</v>
      </c>
      <c r="AC758" s="1432">
        <f>IF(CNTR_ExistSubInstEntries,IF(OR($M682&lt;&gt;EUconst_Relevant,AC754&gt;=CNTR_ReportingYear,AC754&lt;$V682-1,$E758=""),0,IF(AND($T748=2,COUNTIF($V699:V699,TRUE)&gt;0,$S723),2,1)),2)</f>
        <v>2</v>
      </c>
      <c r="AD758" s="1432">
        <f>IF(CNTR_ExistSubInstEntries,IF(OR($M682&lt;&gt;EUconst_Relevant,AD754&gt;=CNTR_ReportingYear,AD754&lt;$V682-1,$E758=""),0,IF(AND($T748=2,COUNTIF($V699:W699,TRUE)&gt;0,$S723),2,1)),2)</f>
        <v>2</v>
      </c>
      <c r="AE758" s="1432">
        <f>IF(CNTR_ExistSubInstEntries,IF(OR($M682&lt;&gt;EUconst_Relevant,AE754&gt;=CNTR_ReportingYear,AE754&lt;$V682-1,$E758=""),0,IF(AND($T748=2,COUNTIF($V699:X699,TRUE)&gt;0,$S723),2,1)),2)</f>
        <v>2</v>
      </c>
      <c r="AF758" s="1432">
        <f>IF(CNTR_ExistSubInstEntries,IF(OR($M682&lt;&gt;EUconst_Relevant,AF754&gt;=CNTR_ReportingYear,AF754&lt;$V682-1,$E758=""),0,IF(AND($T748=2,COUNTIF($V699:Y699,TRUE)&gt;0,$S723),2,1)),2)</f>
        <v>2</v>
      </c>
      <c r="AG758" s="1432">
        <f>IF(CNTR_ExistSubInstEntries,IF(OR($M682&lt;&gt;EUconst_Relevant,AG754&gt;=CNTR_ReportingYear,AG754&lt;$V682-1,$E758=""),0,IF(AND($T748=2,COUNTIF($V699:Z699,TRUE)&gt;0,$S723),2,1)),2)</f>
        <v>2</v>
      </c>
      <c r="AH758" s="1432">
        <f>IF(CNTR_ExistSubInstEntries,IF(OR($M682&lt;&gt;EUconst_Relevant,AH754&gt;=CNTR_ReportingYear,AH754&lt;$V682-1,$E758=""),0,IF(AND($T748=2,COUNTIF($V699:AA699,TRUE)&gt;0,$S723),2,1)),2)</f>
        <v>2</v>
      </c>
      <c r="AI758" s="1452">
        <f>IF(CNTR_ExistSubInstEntries,IF(OR($M682&lt;&gt;EUconst_Relevant,AI754&gt;=CNTR_ReportingYear,AI754&lt;$V682-1,$E758=""),0,IF(AND($T748=2,COUNTIF($V699:AB699,TRUE)&gt;0,$S723),2,1)),2)</f>
        <v>2</v>
      </c>
      <c r="AJ758" s="343"/>
      <c r="AK758" s="1174" t="s">
        <v>2039</v>
      </c>
      <c r="AL758" s="1176"/>
      <c r="AM758" s="343"/>
    </row>
    <row r="759" spans="1:39" ht="12.75" hidden="1" customHeight="1" x14ac:dyDescent="0.25">
      <c r="A759" s="729" t="str">
        <f t="shared" si="1016"/>
        <v>ausblenden</v>
      </c>
      <c r="B759" s="698"/>
      <c r="C759" s="2906"/>
      <c r="D759" s="990">
        <v>5</v>
      </c>
      <c r="E759" s="1430" t="str">
        <f t="shared" si="1062"/>
        <v/>
      </c>
      <c r="F759" s="1448" t="str">
        <f t="shared" si="1063"/>
        <v>TJ</v>
      </c>
      <c r="G759" s="47"/>
      <c r="H759" s="119"/>
      <c r="I759" s="47"/>
      <c r="J759" s="119"/>
      <c r="K759" s="43"/>
      <c r="L759" s="43"/>
      <c r="M759" s="43"/>
      <c r="N759" s="43"/>
      <c r="O759" s="336"/>
      <c r="P759" s="158"/>
      <c r="Q759" s="694"/>
      <c r="R759" s="694"/>
      <c r="S759" s="1449" t="str">
        <f>IF($M682&lt;&gt;EUconst_Relevant,"",
IF($V682&gt;($J$1840-3),
              IF(INDEX(H740:N740,MATCH($V682,$T754:$Z754,0))=0,0,INDEX(H759:N759,MATCH($V682,$T754:$Z754,0))/INDEX(H740:N740,MATCH($V682,$T754:$Z754,0))),
                             IF(ISNUMBER(G740),
                                            IF(OR(G740=0,$S724=FALSE),0,G759/G740),"")))</f>
        <v/>
      </c>
      <c r="T759" s="1450" t="str">
        <f t="shared" si="1064"/>
        <v/>
      </c>
      <c r="U759" s="1450" t="str">
        <f t="shared" si="1071"/>
        <v/>
      </c>
      <c r="V759" s="1450" t="str">
        <f t="shared" si="1072"/>
        <v/>
      </c>
      <c r="W759" s="1450" t="str">
        <f t="shared" si="1073"/>
        <v/>
      </c>
      <c r="X759" s="1450" t="str">
        <f t="shared" si="1074"/>
        <v/>
      </c>
      <c r="Y759" s="1450" t="str">
        <f t="shared" si="1075"/>
        <v/>
      </c>
      <c r="Z759" s="1451" t="str">
        <f t="shared" si="1076"/>
        <v/>
      </c>
      <c r="AA759" s="694"/>
      <c r="AB759" s="1431">
        <f t="shared" si="1077"/>
        <v>2</v>
      </c>
      <c r="AC759" s="1432">
        <f>IF(CNTR_ExistSubInstEntries,IF(OR($M682&lt;&gt;EUconst_Relevant,AC754&gt;=CNTR_ReportingYear,AC754&lt;$V682-1,$E759=""),0,IF(AND($T748=2,COUNTIF($V699:V699,TRUE)&gt;0,$S724),2,1)),2)</f>
        <v>2</v>
      </c>
      <c r="AD759" s="1432">
        <f>IF(CNTR_ExistSubInstEntries,IF(OR($M682&lt;&gt;EUconst_Relevant,AD754&gt;=CNTR_ReportingYear,AD754&lt;$V682-1,$E759=""),0,IF(AND($T748=2,COUNTIF($V699:W699,TRUE)&gt;0,$S724),2,1)),2)</f>
        <v>2</v>
      </c>
      <c r="AE759" s="1432">
        <f>IF(CNTR_ExistSubInstEntries,IF(OR($M682&lt;&gt;EUconst_Relevant,AE754&gt;=CNTR_ReportingYear,AE754&lt;$V682-1,$E759=""),0,IF(AND($T748=2,COUNTIF($V699:X699,TRUE)&gt;0,$S724),2,1)),2)</f>
        <v>2</v>
      </c>
      <c r="AF759" s="1432">
        <f>IF(CNTR_ExistSubInstEntries,IF(OR($M682&lt;&gt;EUconst_Relevant,AF754&gt;=CNTR_ReportingYear,AF754&lt;$V682-1,$E759=""),0,IF(AND($T748=2,COUNTIF($V699:Y699,TRUE)&gt;0,$S724),2,1)),2)</f>
        <v>2</v>
      </c>
      <c r="AG759" s="1432">
        <f>IF(CNTR_ExistSubInstEntries,IF(OR($M682&lt;&gt;EUconst_Relevant,AG754&gt;=CNTR_ReportingYear,AG754&lt;$V682-1,$E759=""),0,IF(AND($T748=2,COUNTIF($V699:Z699,TRUE)&gt;0,$S724),2,1)),2)</f>
        <v>2</v>
      </c>
      <c r="AH759" s="1432">
        <f>IF(CNTR_ExistSubInstEntries,IF(OR($M682&lt;&gt;EUconst_Relevant,AH754&gt;=CNTR_ReportingYear,AH754&lt;$V682-1,$E759=""),0,IF(AND($T748=2,COUNTIF($V699:AA699,TRUE)&gt;0,$S724),2,1)),2)</f>
        <v>2</v>
      </c>
      <c r="AI759" s="1452">
        <f>IF(CNTR_ExistSubInstEntries,IF(OR($M682&lt;&gt;EUconst_Relevant,AI754&gt;=CNTR_ReportingYear,AI754&lt;$V682-1,$E759=""),0,IF(AND($T748=2,COUNTIF($V699:AB699,TRUE)&gt;0,$S724),2,1)),2)</f>
        <v>2</v>
      </c>
      <c r="AJ759" s="343"/>
      <c r="AK759" s="1174" t="s">
        <v>2039</v>
      </c>
      <c r="AL759" s="1176"/>
      <c r="AM759" s="343"/>
    </row>
    <row r="760" spans="1:39" ht="12.75" hidden="1" customHeight="1" x14ac:dyDescent="0.25">
      <c r="A760" s="729" t="str">
        <f t="shared" si="1016"/>
        <v>ausblenden</v>
      </c>
      <c r="B760" s="698"/>
      <c r="C760" s="2906"/>
      <c r="D760" s="990">
        <v>6</v>
      </c>
      <c r="E760" s="1430" t="str">
        <f t="shared" si="1062"/>
        <v/>
      </c>
      <c r="F760" s="1448" t="str">
        <f t="shared" si="1063"/>
        <v>TJ</v>
      </c>
      <c r="G760" s="47"/>
      <c r="H760" s="119"/>
      <c r="I760" s="47"/>
      <c r="J760" s="119"/>
      <c r="K760" s="43"/>
      <c r="L760" s="43"/>
      <c r="M760" s="43"/>
      <c r="N760" s="43"/>
      <c r="O760" s="336"/>
      <c r="P760" s="158"/>
      <c r="Q760" s="694"/>
      <c r="R760" s="694"/>
      <c r="S760" s="1449" t="str">
        <f>IF($M682&lt;&gt;EUconst_Relevant,"",
IF($V682&gt;($J$1840-3),
              IF(INDEX(H741:N741,MATCH($V682,$T754:$Z754,0))=0,0,INDEX(H760:N760,MATCH($V682,$T754:$Z754,0))/INDEX(H741:N741,MATCH($V682,$T754:$Z754,0))),
                             IF(ISNUMBER(G741),
                                            IF(OR(G741=0,$S725=FALSE),0,G760/G741),"")))</f>
        <v/>
      </c>
      <c r="T760" s="1450" t="str">
        <f t="shared" si="1064"/>
        <v/>
      </c>
      <c r="U760" s="1450" t="str">
        <f t="shared" si="1071"/>
        <v/>
      </c>
      <c r="V760" s="1450" t="str">
        <f t="shared" si="1072"/>
        <v/>
      </c>
      <c r="W760" s="1450" t="str">
        <f t="shared" si="1073"/>
        <v/>
      </c>
      <c r="X760" s="1450" t="str">
        <f t="shared" si="1074"/>
        <v/>
      </c>
      <c r="Y760" s="1450" t="str">
        <f t="shared" si="1075"/>
        <v/>
      </c>
      <c r="Z760" s="1451" t="str">
        <f t="shared" si="1076"/>
        <v/>
      </c>
      <c r="AA760" s="694"/>
      <c r="AB760" s="1431">
        <f t="shared" si="1077"/>
        <v>2</v>
      </c>
      <c r="AC760" s="1432">
        <f>IF(CNTR_ExistSubInstEntries,IF(OR($M682&lt;&gt;EUconst_Relevant,AC754&gt;=CNTR_ReportingYear,AC754&lt;$V682-1,$E760=""),0,IF(AND($T748=2,COUNTIF($V699:V699,TRUE)&gt;0,$S725),2,1)),2)</f>
        <v>2</v>
      </c>
      <c r="AD760" s="1432">
        <f>IF(CNTR_ExistSubInstEntries,IF(OR($M682&lt;&gt;EUconst_Relevant,AD754&gt;=CNTR_ReportingYear,AD754&lt;$V682-1,$E760=""),0,IF(AND($T748=2,COUNTIF($V699:W699,TRUE)&gt;0,$S725),2,1)),2)</f>
        <v>2</v>
      </c>
      <c r="AE760" s="1432">
        <f>IF(CNTR_ExistSubInstEntries,IF(OR($M682&lt;&gt;EUconst_Relevant,AE754&gt;=CNTR_ReportingYear,AE754&lt;$V682-1,$E760=""),0,IF(AND($T748=2,COUNTIF($V699:X699,TRUE)&gt;0,$S725),2,1)),2)</f>
        <v>2</v>
      </c>
      <c r="AF760" s="1432">
        <f>IF(CNTR_ExistSubInstEntries,IF(OR($M682&lt;&gt;EUconst_Relevant,AF754&gt;=CNTR_ReportingYear,AF754&lt;$V682-1,$E760=""),0,IF(AND($T748=2,COUNTIF($V699:Y699,TRUE)&gt;0,$S725),2,1)),2)</f>
        <v>2</v>
      </c>
      <c r="AG760" s="1432">
        <f>IF(CNTR_ExistSubInstEntries,IF(OR($M682&lt;&gt;EUconst_Relevant,AG754&gt;=CNTR_ReportingYear,AG754&lt;$V682-1,$E760=""),0,IF(AND($T748=2,COUNTIF($V699:Z699,TRUE)&gt;0,$S725),2,1)),2)</f>
        <v>2</v>
      </c>
      <c r="AH760" s="1432">
        <f>IF(CNTR_ExistSubInstEntries,IF(OR($M682&lt;&gt;EUconst_Relevant,AH754&gt;=CNTR_ReportingYear,AH754&lt;$V682-1,$E760=""),0,IF(AND($T748=2,COUNTIF($V699:AA699,TRUE)&gt;0,$S725),2,1)),2)</f>
        <v>2</v>
      </c>
      <c r="AI760" s="1452">
        <f>IF(CNTR_ExistSubInstEntries,IF(OR($M682&lt;&gt;EUconst_Relevant,AI754&gt;=CNTR_ReportingYear,AI754&lt;$V682-1,$E760=""),0,IF(AND($T748=2,COUNTIF($V699:AB699,TRUE)&gt;0,$S725),2,1)),2)</f>
        <v>2</v>
      </c>
      <c r="AJ760" s="343"/>
      <c r="AK760" s="1174" t="s">
        <v>2039</v>
      </c>
      <c r="AL760" s="1176"/>
      <c r="AM760" s="343"/>
    </row>
    <row r="761" spans="1:39" ht="12.75" hidden="1" customHeight="1" x14ac:dyDescent="0.25">
      <c r="A761" s="729" t="str">
        <f t="shared" si="1016"/>
        <v>ausblenden</v>
      </c>
      <c r="B761" s="698"/>
      <c r="C761" s="2906"/>
      <c r="D761" s="990">
        <v>7</v>
      </c>
      <c r="E761" s="1430" t="str">
        <f t="shared" si="1062"/>
        <v/>
      </c>
      <c r="F761" s="1448" t="str">
        <f t="shared" si="1063"/>
        <v>TJ</v>
      </c>
      <c r="G761" s="47"/>
      <c r="H761" s="119"/>
      <c r="I761" s="47"/>
      <c r="J761" s="119"/>
      <c r="K761" s="43"/>
      <c r="L761" s="43"/>
      <c r="M761" s="43"/>
      <c r="N761" s="43"/>
      <c r="O761" s="336"/>
      <c r="P761" s="158"/>
      <c r="Q761" s="694"/>
      <c r="R761" s="694"/>
      <c r="S761" s="1449" t="str">
        <f>IF($M682&lt;&gt;EUconst_Relevant,"",
IF($V682&gt;($J$1840-3),
              IF(INDEX(H742:N742,MATCH($V682,$T754:$Z754,0))=0,0,INDEX(H761:N761,MATCH($V682,$T754:$Z754,0))/INDEX(H742:N742,MATCH($V682,$T754:$Z754,0))),
                             IF(ISNUMBER(G742),
                                            IF(OR(G742=0,$S726=FALSE),0,G761/G742),"")))</f>
        <v/>
      </c>
      <c r="T761" s="1450" t="str">
        <f t="shared" si="1064"/>
        <v/>
      </c>
      <c r="U761" s="1450" t="str">
        <f t="shared" si="1071"/>
        <v/>
      </c>
      <c r="V761" s="1450" t="str">
        <f t="shared" si="1072"/>
        <v/>
      </c>
      <c r="W761" s="1450" t="str">
        <f t="shared" si="1073"/>
        <v/>
      </c>
      <c r="X761" s="1450" t="str">
        <f t="shared" si="1074"/>
        <v/>
      </c>
      <c r="Y761" s="1450" t="str">
        <f t="shared" si="1075"/>
        <v/>
      </c>
      <c r="Z761" s="1451" t="str">
        <f t="shared" si="1076"/>
        <v/>
      </c>
      <c r="AA761" s="694"/>
      <c r="AB761" s="1431">
        <f t="shared" si="1077"/>
        <v>2</v>
      </c>
      <c r="AC761" s="1432">
        <f>IF(CNTR_ExistSubInstEntries,IF(OR($M682&lt;&gt;EUconst_Relevant,AC754&gt;=CNTR_ReportingYear,AC754&lt;$V682-1,$E761=""),0,IF(AND($T748=2,COUNTIF($V699:V699,TRUE)&gt;0,$S726),2,1)),2)</f>
        <v>2</v>
      </c>
      <c r="AD761" s="1432">
        <f>IF(CNTR_ExistSubInstEntries,IF(OR($M682&lt;&gt;EUconst_Relevant,AD754&gt;=CNTR_ReportingYear,AD754&lt;$V682-1,$E761=""),0,IF(AND($T748=2,COUNTIF($V699:W699,TRUE)&gt;0,$S726),2,1)),2)</f>
        <v>2</v>
      </c>
      <c r="AE761" s="1432">
        <f>IF(CNTR_ExistSubInstEntries,IF(OR($M682&lt;&gt;EUconst_Relevant,AE754&gt;=CNTR_ReportingYear,AE754&lt;$V682-1,$E761=""),0,IF(AND($T748=2,COUNTIF($V699:X699,TRUE)&gt;0,$S726),2,1)),2)</f>
        <v>2</v>
      </c>
      <c r="AF761" s="1432">
        <f>IF(CNTR_ExistSubInstEntries,IF(OR($M682&lt;&gt;EUconst_Relevant,AF754&gt;=CNTR_ReportingYear,AF754&lt;$V682-1,$E761=""),0,IF(AND($T748=2,COUNTIF($V699:Y699,TRUE)&gt;0,$S726),2,1)),2)</f>
        <v>2</v>
      </c>
      <c r="AG761" s="1432">
        <f>IF(CNTR_ExistSubInstEntries,IF(OR($M682&lt;&gt;EUconst_Relevant,AG754&gt;=CNTR_ReportingYear,AG754&lt;$V682-1,$E761=""),0,IF(AND($T748=2,COUNTIF($V699:Z699,TRUE)&gt;0,$S726),2,1)),2)</f>
        <v>2</v>
      </c>
      <c r="AH761" s="1432">
        <f>IF(CNTR_ExistSubInstEntries,IF(OR($M682&lt;&gt;EUconst_Relevant,AH754&gt;=CNTR_ReportingYear,AH754&lt;$V682-1,$E761=""),0,IF(AND($T748=2,COUNTIF($V699:AA699,TRUE)&gt;0,$S726),2,1)),2)</f>
        <v>2</v>
      </c>
      <c r="AI761" s="1452">
        <f>IF(CNTR_ExistSubInstEntries,IF(OR($M682&lt;&gt;EUconst_Relevant,AI754&gt;=CNTR_ReportingYear,AI754&lt;$V682-1,$E761=""),0,IF(AND($T748=2,COUNTIF($V699:AB699,TRUE)&gt;0,$S726),2,1)),2)</f>
        <v>2</v>
      </c>
      <c r="AJ761" s="343"/>
      <c r="AK761" s="1174" t="s">
        <v>2039</v>
      </c>
      <c r="AL761" s="1176"/>
      <c r="AM761" s="343"/>
    </row>
    <row r="762" spans="1:39" ht="12.75" hidden="1" customHeight="1" x14ac:dyDescent="0.25">
      <c r="A762" s="729" t="str">
        <f t="shared" si="1016"/>
        <v>ausblenden</v>
      </c>
      <c r="B762" s="698"/>
      <c r="C762" s="2906"/>
      <c r="D762" s="990">
        <v>8</v>
      </c>
      <c r="E762" s="1430" t="str">
        <f t="shared" si="1062"/>
        <v/>
      </c>
      <c r="F762" s="1448" t="str">
        <f t="shared" si="1063"/>
        <v>TJ</v>
      </c>
      <c r="G762" s="47"/>
      <c r="H762" s="119"/>
      <c r="I762" s="47"/>
      <c r="J762" s="119"/>
      <c r="K762" s="43"/>
      <c r="L762" s="43"/>
      <c r="M762" s="43"/>
      <c r="N762" s="43"/>
      <c r="O762" s="336"/>
      <c r="P762" s="158"/>
      <c r="Q762" s="694"/>
      <c r="R762" s="694"/>
      <c r="S762" s="1449" t="str">
        <f>IF($M682&lt;&gt;EUconst_Relevant,"",
IF($V682&gt;($J$1840-3),
              IF(INDEX(H743:N743,MATCH($V682,$T754:$Z754,0))=0,0,INDEX(H762:N762,MATCH($V682,$T754:$Z754,0))/INDEX(H743:N743,MATCH($V682,$T754:$Z754,0))),
                             IF(ISNUMBER(G743),
                                            IF(OR(G743=0,$S727=FALSE),0,G762/G743),"")))</f>
        <v/>
      </c>
      <c r="T762" s="1450" t="str">
        <f t="shared" si="1064"/>
        <v/>
      </c>
      <c r="U762" s="1450" t="str">
        <f t="shared" si="1071"/>
        <v/>
      </c>
      <c r="V762" s="1450" t="str">
        <f t="shared" si="1072"/>
        <v/>
      </c>
      <c r="W762" s="1450" t="str">
        <f t="shared" si="1073"/>
        <v/>
      </c>
      <c r="X762" s="1450" t="str">
        <f t="shared" si="1074"/>
        <v/>
      </c>
      <c r="Y762" s="1450" t="str">
        <f t="shared" si="1075"/>
        <v/>
      </c>
      <c r="Z762" s="1451" t="str">
        <f t="shared" si="1076"/>
        <v/>
      </c>
      <c r="AA762" s="694"/>
      <c r="AB762" s="1431">
        <f t="shared" si="1077"/>
        <v>2</v>
      </c>
      <c r="AC762" s="1432">
        <f>IF(CNTR_ExistSubInstEntries,IF(OR($M682&lt;&gt;EUconst_Relevant,AC754&gt;=CNTR_ReportingYear,AC754&lt;$V682-1,$E762=""),0,IF(AND($T748=2,COUNTIF($V699:V699,TRUE)&gt;0,$S727),2,1)),2)</f>
        <v>2</v>
      </c>
      <c r="AD762" s="1432">
        <f>IF(CNTR_ExistSubInstEntries,IF(OR($M682&lt;&gt;EUconst_Relevant,AD754&gt;=CNTR_ReportingYear,AD754&lt;$V682-1,$E762=""),0,IF(AND($T748=2,COUNTIF($V699:W699,TRUE)&gt;0,$S727),2,1)),2)</f>
        <v>2</v>
      </c>
      <c r="AE762" s="1432">
        <f>IF(CNTR_ExistSubInstEntries,IF(OR($M682&lt;&gt;EUconst_Relevant,AE754&gt;=CNTR_ReportingYear,AE754&lt;$V682-1,$E762=""),0,IF(AND($T748=2,COUNTIF($V699:X699,TRUE)&gt;0,$S727),2,1)),2)</f>
        <v>2</v>
      </c>
      <c r="AF762" s="1432">
        <f>IF(CNTR_ExistSubInstEntries,IF(OR($M682&lt;&gt;EUconst_Relevant,AF754&gt;=CNTR_ReportingYear,AF754&lt;$V682-1,$E762=""),0,IF(AND($T748=2,COUNTIF($V699:Y699,TRUE)&gt;0,$S727),2,1)),2)</f>
        <v>2</v>
      </c>
      <c r="AG762" s="1432">
        <f>IF(CNTR_ExistSubInstEntries,IF(OR($M682&lt;&gt;EUconst_Relevant,AG754&gt;=CNTR_ReportingYear,AG754&lt;$V682-1,$E762=""),0,IF(AND($T748=2,COUNTIF($V699:Z699,TRUE)&gt;0,$S727),2,1)),2)</f>
        <v>2</v>
      </c>
      <c r="AH762" s="1432">
        <f>IF(CNTR_ExistSubInstEntries,IF(OR($M682&lt;&gt;EUconst_Relevant,AH754&gt;=CNTR_ReportingYear,AH754&lt;$V682-1,$E762=""),0,IF(AND($T748=2,COUNTIF($V699:AA699,TRUE)&gt;0,$S727),2,1)),2)</f>
        <v>2</v>
      </c>
      <c r="AI762" s="1452">
        <f>IF(CNTR_ExistSubInstEntries,IF(OR($M682&lt;&gt;EUconst_Relevant,AI754&gt;=CNTR_ReportingYear,AI754&lt;$V682-1,$E762=""),0,IF(AND($T748=2,COUNTIF($V699:AB699,TRUE)&gt;0,$S727),2,1)),2)</f>
        <v>2</v>
      </c>
      <c r="AJ762" s="343"/>
      <c r="AK762" s="1174" t="s">
        <v>2039</v>
      </c>
      <c r="AL762" s="1176"/>
      <c r="AM762" s="343"/>
    </row>
    <row r="763" spans="1:39" ht="12.75" hidden="1" customHeight="1" x14ac:dyDescent="0.25">
      <c r="A763" s="729" t="str">
        <f t="shared" si="1016"/>
        <v>ausblenden</v>
      </c>
      <c r="B763" s="698"/>
      <c r="C763" s="2906"/>
      <c r="D763" s="990">
        <v>9</v>
      </c>
      <c r="E763" s="1430" t="str">
        <f t="shared" si="1062"/>
        <v/>
      </c>
      <c r="F763" s="1448" t="str">
        <f t="shared" si="1063"/>
        <v>TJ</v>
      </c>
      <c r="G763" s="47"/>
      <c r="H763" s="119"/>
      <c r="I763" s="47"/>
      <c r="J763" s="119"/>
      <c r="K763" s="43"/>
      <c r="L763" s="43"/>
      <c r="M763" s="43"/>
      <c r="N763" s="43"/>
      <c r="O763" s="302"/>
      <c r="P763" s="158"/>
      <c r="Q763" s="694"/>
      <c r="R763" s="694"/>
      <c r="S763" s="1449" t="str">
        <f>IF($M682&lt;&gt;EUconst_Relevant,"",
IF($V682&gt;($J$1840-3),
              IF(INDEX(H744:N744,MATCH($V682,$T754:$Z754,0))=0,0,INDEX(H763:N763,MATCH($V682,$T754:$Z754,0))/INDEX(H744:N744,MATCH($V682,$T754:$Z754,0))),
                             IF(ISNUMBER(G744),
                                            IF(OR(G744=0,$S728=FALSE),0,G763/G744),"")))</f>
        <v/>
      </c>
      <c r="T763" s="1450" t="str">
        <f t="shared" si="1064"/>
        <v/>
      </c>
      <c r="U763" s="1450" t="str">
        <f t="shared" si="1071"/>
        <v/>
      </c>
      <c r="V763" s="1450" t="str">
        <f t="shared" si="1072"/>
        <v/>
      </c>
      <c r="W763" s="1450" t="str">
        <f t="shared" si="1073"/>
        <v/>
      </c>
      <c r="X763" s="1450" t="str">
        <f t="shared" si="1074"/>
        <v/>
      </c>
      <c r="Y763" s="1450" t="str">
        <f t="shared" si="1075"/>
        <v/>
      </c>
      <c r="Z763" s="1451" t="str">
        <f t="shared" si="1076"/>
        <v/>
      </c>
      <c r="AA763" s="694"/>
      <c r="AB763" s="1431">
        <f t="shared" si="1077"/>
        <v>2</v>
      </c>
      <c r="AC763" s="1432">
        <f>IF(CNTR_ExistSubInstEntries,IF(OR($M682&lt;&gt;EUconst_Relevant,AC754&gt;=CNTR_ReportingYear,AC754&lt;$V682-1,$E763=""),0,IF(AND($T748=2,COUNTIF($V699:V699,TRUE)&gt;0,$S728),2,1)),2)</f>
        <v>2</v>
      </c>
      <c r="AD763" s="1432">
        <f>IF(CNTR_ExistSubInstEntries,IF(OR($M682&lt;&gt;EUconst_Relevant,AD754&gt;=CNTR_ReportingYear,AD754&lt;$V682-1,$E763=""),0,IF(AND($T748=2,COUNTIF($V699:W699,TRUE)&gt;0,$S728),2,1)),2)</f>
        <v>2</v>
      </c>
      <c r="AE763" s="1432">
        <f>IF(CNTR_ExistSubInstEntries,IF(OR($M682&lt;&gt;EUconst_Relevant,AE754&gt;=CNTR_ReportingYear,AE754&lt;$V682-1,$E763=""),0,IF(AND($T748=2,COUNTIF($V699:X699,TRUE)&gt;0,$S728),2,1)),2)</f>
        <v>2</v>
      </c>
      <c r="AF763" s="1432">
        <f>IF(CNTR_ExistSubInstEntries,IF(OR($M682&lt;&gt;EUconst_Relevant,AF754&gt;=CNTR_ReportingYear,AF754&lt;$V682-1,$E763=""),0,IF(AND($T748=2,COUNTIF($V699:Y699,TRUE)&gt;0,$S728),2,1)),2)</f>
        <v>2</v>
      </c>
      <c r="AG763" s="1432">
        <f>IF(CNTR_ExistSubInstEntries,IF(OR($M682&lt;&gt;EUconst_Relevant,AG754&gt;=CNTR_ReportingYear,AG754&lt;$V682-1,$E763=""),0,IF(AND($T748=2,COUNTIF($V699:Z699,TRUE)&gt;0,$S728),2,1)),2)</f>
        <v>2</v>
      </c>
      <c r="AH763" s="1432">
        <f>IF(CNTR_ExistSubInstEntries,IF(OR($M682&lt;&gt;EUconst_Relevant,AH754&gt;=CNTR_ReportingYear,AH754&lt;$V682-1,$E763=""),0,IF(AND($T748=2,COUNTIF($V699:AA699,TRUE)&gt;0,$S728),2,1)),2)</f>
        <v>2</v>
      </c>
      <c r="AI763" s="1452">
        <f>IF(CNTR_ExistSubInstEntries,IF(OR($M682&lt;&gt;EUconst_Relevant,AI754&gt;=CNTR_ReportingYear,AI754&lt;$V682-1,$E763=""),0,IF(AND($T748=2,COUNTIF($V699:AB699,TRUE)&gt;0,$S728),2,1)),2)</f>
        <v>2</v>
      </c>
      <c r="AJ763" s="343"/>
      <c r="AK763" s="1174" t="s">
        <v>2039</v>
      </c>
      <c r="AL763" s="1176"/>
      <c r="AM763" s="343"/>
    </row>
    <row r="764" spans="1:39" ht="12.75" hidden="1" customHeight="1" thickBot="1" x14ac:dyDescent="0.3">
      <c r="A764" s="729" t="str">
        <f t="shared" si="1016"/>
        <v>ausblenden</v>
      </c>
      <c r="B764" s="698"/>
      <c r="C764" s="2906"/>
      <c r="D764" s="994">
        <v>10</v>
      </c>
      <c r="E764" s="1435" t="str">
        <f t="shared" si="1062"/>
        <v/>
      </c>
      <c r="F764" s="1453" t="str">
        <f t="shared" si="1063"/>
        <v>TJ</v>
      </c>
      <c r="G764" s="48"/>
      <c r="H764" s="117"/>
      <c r="I764" s="48"/>
      <c r="J764" s="117"/>
      <c r="K764" s="38"/>
      <c r="L764" s="38"/>
      <c r="M764" s="38"/>
      <c r="N764" s="38"/>
      <c r="O764" s="302"/>
      <c r="P764" s="158"/>
      <c r="Q764" s="694"/>
      <c r="R764" s="694"/>
      <c r="S764" s="1454" t="str">
        <f>IF($M682&lt;&gt;EUconst_Relevant,"",
IF($V682&gt;($J$1840-3),
              IF(INDEX(H745:N745,MATCH($V682,$T754:$Z754,0))=0,0,INDEX(H764:N764,MATCH($V682,$T754:$Z754,0))/INDEX(H745:N745,MATCH($V682,$T754:$Z754,0))),
                             IF(ISNUMBER(G745),
                                            IF(OR(G745=0,$S729=FALSE),0,G764/G745),"")))</f>
        <v/>
      </c>
      <c r="T764" s="1455" t="str">
        <f t="shared" si="1064"/>
        <v/>
      </c>
      <c r="U764" s="1455" t="str">
        <f t="shared" si="1071"/>
        <v/>
      </c>
      <c r="V764" s="1455" t="str">
        <f t="shared" si="1072"/>
        <v/>
      </c>
      <c r="W764" s="1455" t="str">
        <f t="shared" si="1073"/>
        <v/>
      </c>
      <c r="X764" s="1455" t="str">
        <f t="shared" si="1074"/>
        <v/>
      </c>
      <c r="Y764" s="1455" t="str">
        <f t="shared" si="1075"/>
        <v/>
      </c>
      <c r="Z764" s="1456" t="str">
        <f t="shared" si="1076"/>
        <v/>
      </c>
      <c r="AA764" s="694"/>
      <c r="AB764" s="1436">
        <f t="shared" si="1077"/>
        <v>2</v>
      </c>
      <c r="AC764" s="1437">
        <f>IF(CNTR_ExistSubInstEntries,IF(OR($M682&lt;&gt;EUconst_Relevant,AC754&gt;=CNTR_ReportingYear,AC754&lt;$V682-1,$E764=""),0,IF(AND($T748=2,COUNTIF($V699:V699,TRUE)&gt;0,$S729),2,1)),2)</f>
        <v>2</v>
      </c>
      <c r="AD764" s="1437">
        <f>IF(CNTR_ExistSubInstEntries,IF(OR($M682&lt;&gt;EUconst_Relevant,AD754&gt;=CNTR_ReportingYear,AD754&lt;$V682-1,$E764=""),0,IF(AND($T748=2,COUNTIF($V699:W699,TRUE)&gt;0,$S729),2,1)),2)</f>
        <v>2</v>
      </c>
      <c r="AE764" s="1437">
        <f>IF(CNTR_ExistSubInstEntries,IF(OR($M682&lt;&gt;EUconst_Relevant,AE754&gt;=CNTR_ReportingYear,AE754&lt;$V682-1,$E764=""),0,IF(AND($T748=2,COUNTIF($V699:X699,TRUE)&gt;0,$S729),2,1)),2)</f>
        <v>2</v>
      </c>
      <c r="AF764" s="1437">
        <f>IF(CNTR_ExistSubInstEntries,IF(OR($M682&lt;&gt;EUconst_Relevant,AF754&gt;=CNTR_ReportingYear,AF754&lt;$V682-1,$E764=""),0,IF(AND($T748=2,COUNTIF($V699:Y699,TRUE)&gt;0,$S729),2,1)),2)</f>
        <v>2</v>
      </c>
      <c r="AG764" s="1437">
        <f>IF(CNTR_ExistSubInstEntries,IF(OR($M682&lt;&gt;EUconst_Relevant,AG754&gt;=CNTR_ReportingYear,AG754&lt;$V682-1,$E764=""),0,IF(AND($T748=2,COUNTIF($V699:Z699,TRUE)&gt;0,$S729),2,1)),2)</f>
        <v>2</v>
      </c>
      <c r="AH764" s="1437">
        <f>IF(CNTR_ExistSubInstEntries,IF(OR($M682&lt;&gt;EUconst_Relevant,AH754&gt;=CNTR_ReportingYear,AH754&lt;$V682-1,$E764=""),0,IF(AND($T748=2,COUNTIF($V699:AA699,TRUE)&gt;0,$S729),2,1)),2)</f>
        <v>2</v>
      </c>
      <c r="AI764" s="1457">
        <f>IF(CNTR_ExistSubInstEntries,IF(OR($M682&lt;&gt;EUconst_Relevant,AI754&gt;=CNTR_ReportingYear,AI754&lt;$V682-1,$E764=""),0,IF(AND($T748=2,COUNTIF($V699:AB699,TRUE)&gt;0,$S729),2,1)),2)</f>
        <v>2</v>
      </c>
      <c r="AJ764" s="343"/>
      <c r="AK764" s="1174" t="s">
        <v>2039</v>
      </c>
      <c r="AL764" s="1176"/>
      <c r="AM764" s="343"/>
    </row>
    <row r="765" spans="1:39" ht="12.75" hidden="1" customHeight="1" thickBot="1" x14ac:dyDescent="0.3">
      <c r="A765" s="729" t="str">
        <f t="shared" si="1016"/>
        <v>ausblenden</v>
      </c>
      <c r="B765" s="698"/>
      <c r="C765" s="2906"/>
      <c r="D765" s="1293"/>
      <c r="E765" s="1458" t="str">
        <f>Translations!$B$1338</f>
        <v>Общо потребление</v>
      </c>
      <c r="F765" s="1453" t="str">
        <f t="shared" si="1063"/>
        <v>TJ</v>
      </c>
      <c r="G765" s="1296" t="str">
        <f t="shared" ref="G765:N765" si="1078">IF(COUNT(G755:G764)&gt;0,SUMIF($S720:$S729,TRUE,G755:G764),"")</f>
        <v/>
      </c>
      <c r="H765" s="1297" t="str">
        <f t="shared" si="1078"/>
        <v/>
      </c>
      <c r="I765" s="1296" t="str">
        <f t="shared" si="1078"/>
        <v/>
      </c>
      <c r="J765" s="1297" t="str">
        <f t="shared" si="1078"/>
        <v/>
      </c>
      <c r="K765" s="1104" t="str">
        <f t="shared" si="1078"/>
        <v/>
      </c>
      <c r="L765" s="1104" t="str">
        <f t="shared" si="1078"/>
        <v/>
      </c>
      <c r="M765" s="1104" t="str">
        <f t="shared" si="1078"/>
        <v/>
      </c>
      <c r="N765" s="1104" t="str">
        <f t="shared" si="1078"/>
        <v/>
      </c>
      <c r="O765" s="302"/>
      <c r="P765" s="336"/>
      <c r="Q765" s="694"/>
      <c r="R765" s="694"/>
      <c r="S765" s="694"/>
      <c r="T765" s="1459">
        <f>SUM(T755:T764)</f>
        <v>0</v>
      </c>
      <c r="U765" s="1460">
        <f t="shared" ref="U765:Z765" si="1079">SUM(U755:U764)</f>
        <v>0</v>
      </c>
      <c r="V765" s="1460">
        <f t="shared" si="1079"/>
        <v>0</v>
      </c>
      <c r="W765" s="1460">
        <f t="shared" si="1079"/>
        <v>0</v>
      </c>
      <c r="X765" s="1460">
        <f t="shared" si="1079"/>
        <v>0</v>
      </c>
      <c r="Y765" s="1460">
        <f t="shared" si="1079"/>
        <v>0</v>
      </c>
      <c r="Z765" s="1461">
        <f t="shared" si="1079"/>
        <v>0</v>
      </c>
      <c r="AA765" s="694"/>
      <c r="AB765" s="729"/>
      <c r="AC765" s="694"/>
      <c r="AD765" s="694"/>
      <c r="AE765" s="343"/>
      <c r="AF765" s="343"/>
      <c r="AG765" s="343"/>
      <c r="AH765" s="343"/>
      <c r="AI765" s="343"/>
      <c r="AJ765" s="343"/>
      <c r="AK765" s="343"/>
      <c r="AL765" s="343"/>
      <c r="AM765" s="343"/>
    </row>
    <row r="766" spans="1:39" ht="12.75" hidden="1" customHeight="1" x14ac:dyDescent="0.25">
      <c r="A766" s="729" t="str">
        <f t="shared" si="1016"/>
        <v>ausblenden</v>
      </c>
      <c r="B766" s="698"/>
      <c r="C766" s="2906"/>
      <c r="D766" s="1462"/>
      <c r="E766" s="1463" t="str">
        <f>Translations!$B$1339</f>
        <v>Дял от a)</v>
      </c>
      <c r="F766" s="1464" t="str">
        <f t="shared" si="1063"/>
        <v>TJ</v>
      </c>
      <c r="G766" s="274" t="str">
        <f>IF(COUNT(I698,G765)=2,IF(I698=0,EUconst_NA,G765/I698),"")</f>
        <v/>
      </c>
      <c r="H766" s="185" t="str">
        <f>IF(COUNT(H690,H765)=2,IF(H690=0,EUconst_NA,H765/H690),"")</f>
        <v/>
      </c>
      <c r="I766" s="186" t="str">
        <f t="shared" ref="I766:N766" si="1080">IF(COUNT(I690,I765)=2,IF(I690=0,EUconst_NA,I765/I690),"")</f>
        <v/>
      </c>
      <c r="J766" s="185" t="str">
        <f t="shared" si="1080"/>
        <v/>
      </c>
      <c r="K766" s="187" t="str">
        <f t="shared" si="1080"/>
        <v/>
      </c>
      <c r="L766" s="187" t="str">
        <f t="shared" si="1080"/>
        <v/>
      </c>
      <c r="M766" s="187" t="str">
        <f t="shared" si="1080"/>
        <v/>
      </c>
      <c r="N766" s="187" t="str">
        <f t="shared" si="1080"/>
        <v/>
      </c>
      <c r="O766" s="302"/>
      <c r="P766" s="336"/>
      <c r="Q766" s="694"/>
      <c r="R766" s="694"/>
      <c r="S766" s="694"/>
      <c r="T766" s="694"/>
      <c r="U766" s="694"/>
      <c r="V766" s="694"/>
      <c r="W766" s="694"/>
      <c r="X766" s="694"/>
      <c r="Y766" s="694"/>
      <c r="Z766" s="694"/>
      <c r="AA766" s="694"/>
      <c r="AB766" s="729"/>
      <c r="AC766" s="694"/>
      <c r="AD766" s="694"/>
      <c r="AE766" s="343"/>
      <c r="AF766" s="343"/>
      <c r="AG766" s="343"/>
      <c r="AH766" s="343"/>
      <c r="AI766" s="343"/>
      <c r="AJ766" s="343"/>
      <c r="AK766" s="343"/>
      <c r="AL766" s="343"/>
      <c r="AM766" s="343"/>
    </row>
    <row r="767" spans="1:39" ht="14.25" hidden="1" customHeight="1" x14ac:dyDescent="0.25">
      <c r="A767" s="729" t="str">
        <f t="shared" si="1016"/>
        <v>ausblenden</v>
      </c>
      <c r="B767" s="698"/>
      <c r="C767" s="284"/>
      <c r="D767" s="284"/>
      <c r="E767" s="284"/>
      <c r="F767" s="284"/>
      <c r="G767" s="228" t="str">
        <f>IF(G766="","",IF(AND(COUNTA(G755:G764)=0,$T748=2),EUconst_Incomplete,""))</f>
        <v/>
      </c>
      <c r="H767" s="229" t="str">
        <f t="shared" ref="H767:N767" si="1081">IF(H766="","",IF(AND(OR(COUNTA(H755:H764)&gt;0,$T748=2),ABS(1-SUM(H766))&lt;0.5%),"",EUconst_Inconsistent))</f>
        <v/>
      </c>
      <c r="I767" s="230" t="str">
        <f t="shared" si="1081"/>
        <v/>
      </c>
      <c r="J767" s="229" t="str">
        <f t="shared" si="1081"/>
        <v/>
      </c>
      <c r="K767" s="231" t="str">
        <f t="shared" si="1081"/>
        <v/>
      </c>
      <c r="L767" s="231" t="str">
        <f t="shared" si="1081"/>
        <v/>
      </c>
      <c r="M767" s="231" t="str">
        <f t="shared" si="1081"/>
        <v/>
      </c>
      <c r="N767" s="231" t="str">
        <f t="shared" si="1081"/>
        <v/>
      </c>
      <c r="O767" s="302"/>
      <c r="P767" s="336"/>
      <c r="Q767" s="694"/>
      <c r="R767" s="694"/>
      <c r="S767" s="694"/>
      <c r="T767" s="694"/>
      <c r="U767" s="694"/>
      <c r="V767" s="694"/>
      <c r="W767" s="694"/>
      <c r="X767" s="694"/>
      <c r="Y767" s="694"/>
      <c r="Z767" s="729"/>
      <c r="AA767" s="729"/>
      <c r="AB767" s="729"/>
      <c r="AC767" s="694"/>
      <c r="AD767" s="694"/>
      <c r="AE767" s="343"/>
      <c r="AF767" s="343"/>
      <c r="AG767" s="343"/>
      <c r="AH767" s="343"/>
      <c r="AI767" s="343"/>
      <c r="AJ767" s="343"/>
      <c r="AK767" s="1174" t="s">
        <v>2148</v>
      </c>
      <c r="AL767" s="1176"/>
      <c r="AM767" s="343"/>
    </row>
    <row r="768" spans="1:39" ht="5.15" hidden="1" customHeight="1" x14ac:dyDescent="0.25">
      <c r="A768" s="729" t="str">
        <f t="shared" si="1016"/>
        <v>ausblenden</v>
      </c>
      <c r="B768" s="698"/>
      <c r="C768" s="284"/>
      <c r="D768" s="284"/>
      <c r="E768" s="284"/>
      <c r="F768" s="284"/>
      <c r="G768" s="284"/>
      <c r="H768" s="284"/>
      <c r="I768" s="284"/>
      <c r="J768" s="284"/>
      <c r="K768" s="284"/>
      <c r="L768" s="284"/>
      <c r="M768" s="284"/>
      <c r="N768" s="284"/>
      <c r="O768" s="302"/>
      <c r="P768" s="336"/>
      <c r="Q768" s="694"/>
      <c r="R768" s="694"/>
      <c r="S768" s="694"/>
      <c r="T768" s="694"/>
      <c r="U768" s="694"/>
      <c r="V768" s="694"/>
      <c r="W768" s="694"/>
      <c r="X768" s="694"/>
      <c r="Y768" s="694"/>
      <c r="Z768" s="729"/>
      <c r="AA768" s="729"/>
      <c r="AB768" s="729"/>
      <c r="AC768" s="694"/>
      <c r="AD768" s="694"/>
      <c r="AE768" s="343"/>
      <c r="AF768" s="343"/>
      <c r="AG768" s="343"/>
      <c r="AH768" s="343"/>
      <c r="AI768" s="343"/>
      <c r="AJ768" s="343"/>
      <c r="AK768" s="343"/>
      <c r="AL768" s="343"/>
      <c r="AM768" s="343"/>
    </row>
    <row r="769" spans="1:39" ht="12.75" hidden="1" customHeight="1" x14ac:dyDescent="0.25">
      <c r="A769" s="729" t="str">
        <f t="shared" si="1016"/>
        <v>ausblenden</v>
      </c>
      <c r="B769" s="698"/>
      <c r="C769" s="284"/>
      <c r="D769" s="300" t="s">
        <v>1770</v>
      </c>
      <c r="E769" s="2226" t="str">
        <f>Translations!$B$1540</f>
        <v>Потребление на енергия извън СТЕ на ЕС по продукти за определяне на очакваните равнища на дейност</v>
      </c>
      <c r="F769" s="2249"/>
      <c r="G769" s="2249"/>
      <c r="H769" s="2249"/>
      <c r="I769" s="2249"/>
      <c r="J769" s="2249"/>
      <c r="K769" s="2249"/>
      <c r="L769" s="2249"/>
      <c r="M769" s="2249"/>
      <c r="N769" s="2249"/>
      <c r="O769" s="302"/>
      <c r="P769" s="295"/>
      <c r="Q769" s="694"/>
      <c r="R769" s="694"/>
      <c r="S769" s="729"/>
      <c r="T769" s="729"/>
      <c r="U769" s="729"/>
      <c r="V769" s="694"/>
      <c r="W769" s="694"/>
      <c r="X769" s="694"/>
      <c r="Y769" s="694"/>
      <c r="Z769" s="729"/>
      <c r="AA769" s="729"/>
      <c r="AB769" s="729"/>
      <c r="AC769" s="729"/>
      <c r="AD769" s="694"/>
      <c r="AE769" s="343"/>
      <c r="AF769" s="343"/>
      <c r="AG769" s="343"/>
      <c r="AH769" s="343"/>
      <c r="AI769" s="343"/>
      <c r="AJ769" s="343"/>
      <c r="AK769" s="343"/>
      <c r="AL769" s="343"/>
      <c r="AM769" s="343"/>
    </row>
    <row r="770" spans="1:39" ht="25.5" hidden="1" customHeight="1" x14ac:dyDescent="0.25">
      <c r="A770" s="729" t="str">
        <f t="shared" si="1016"/>
        <v>ausblenden</v>
      </c>
      <c r="B770" s="698"/>
      <c r="C770" s="284"/>
      <c r="D770" s="284"/>
      <c r="E770" s="2358" t="str">
        <f>Translations!$B$1541</f>
        <v>Моля, въведете тук всяко потребление на енергия извън СТЕ на ЕС (напр. топлинна енергия, получена от инсталации, които не са обхванати от СТЕ на ЕС), използвано за същите продукти, както по-горе. Числата тук ще бъдат използвани за коригиране на разпределянето за допустимия дял на енергията.</v>
      </c>
      <c r="F770" s="2249"/>
      <c r="G770" s="2249"/>
      <c r="H770" s="2249"/>
      <c r="I770" s="2249"/>
      <c r="J770" s="2249"/>
      <c r="K770" s="2249"/>
      <c r="L770" s="2249"/>
      <c r="M770" s="2249"/>
      <c r="N770" s="2249"/>
      <c r="O770" s="302"/>
      <c r="P770" s="295"/>
      <c r="Q770" s="694"/>
      <c r="R770" s="694"/>
      <c r="S770" s="694"/>
      <c r="T770" s="694"/>
      <c r="U770" s="694"/>
      <c r="V770" s="694"/>
      <c r="W770" s="694"/>
      <c r="X770" s="694"/>
      <c r="Y770" s="694"/>
      <c r="Z770" s="729"/>
      <c r="AA770" s="729"/>
      <c r="AB770" s="729"/>
      <c r="AC770" s="729"/>
      <c r="AD770" s="694"/>
      <c r="AE770" s="343"/>
      <c r="AF770" s="343"/>
      <c r="AG770" s="343"/>
      <c r="AH770" s="343"/>
      <c r="AI770" s="343"/>
      <c r="AJ770" s="343"/>
      <c r="AK770" s="343"/>
      <c r="AL770" s="343"/>
      <c r="AM770" s="343"/>
    </row>
    <row r="771" spans="1:39" ht="5.15" hidden="1" customHeight="1" x14ac:dyDescent="0.25">
      <c r="A771" s="729" t="str">
        <f t="shared" ref="A771:A800" si="1082">A770</f>
        <v>ausblenden</v>
      </c>
      <c r="B771" s="698"/>
      <c r="C771" s="284"/>
      <c r="D771" s="284"/>
      <c r="E771" s="2358"/>
      <c r="F771" s="2249"/>
      <c r="G771" s="2249"/>
      <c r="H771" s="2249"/>
      <c r="I771" s="2249"/>
      <c r="J771" s="2249"/>
      <c r="K771" s="2249"/>
      <c r="L771" s="2249"/>
      <c r="M771" s="2249"/>
      <c r="N771" s="2249"/>
      <c r="O771" s="302"/>
      <c r="P771" s="295"/>
      <c r="Q771" s="694"/>
      <c r="R771" s="694"/>
      <c r="S771" s="694"/>
      <c r="T771" s="694"/>
      <c r="U771" s="694"/>
      <c r="V771" s="694"/>
      <c r="W771" s="694"/>
      <c r="X771" s="694"/>
      <c r="Y771" s="694"/>
      <c r="Z771" s="729"/>
      <c r="AA771" s="729"/>
      <c r="AB771" s="729"/>
      <c r="AC771" s="729"/>
      <c r="AD771" s="694"/>
      <c r="AE771" s="343"/>
      <c r="AF771" s="343"/>
      <c r="AG771" s="343"/>
      <c r="AH771" s="343"/>
      <c r="AI771" s="343"/>
      <c r="AJ771" s="343"/>
      <c r="AK771" s="343"/>
      <c r="AL771" s="343"/>
      <c r="AM771" s="343"/>
    </row>
    <row r="772" spans="1:39" s="1423" customFormat="1" ht="25.5" hidden="1" customHeight="1" thickBot="1" x14ac:dyDescent="0.35">
      <c r="A772" s="729" t="str">
        <f t="shared" si="1082"/>
        <v>ausblenden</v>
      </c>
      <c r="B772" s="1412"/>
      <c r="C772" s="1413"/>
      <c r="D772" s="1414"/>
      <c r="E772" s="1415" t="str">
        <f>Translations!$B$624</f>
        <v>Име на продукта или „топлофикационна мрежа“</v>
      </c>
      <c r="F772" s="1416" t="str">
        <f>EUconst_Unit</f>
        <v>Единица мярка</v>
      </c>
      <c r="G772" s="1419" t="str">
        <f>Translations!$B$1336</f>
        <v>Стойност в НМИ</v>
      </c>
      <c r="H772" s="1418">
        <f t="shared" ref="H772:N772" si="1083">H$1840</f>
        <v>2024</v>
      </c>
      <c r="I772" s="1419">
        <f t="shared" si="1083"/>
        <v>2025</v>
      </c>
      <c r="J772" s="1418">
        <f t="shared" si="1083"/>
        <v>2026</v>
      </c>
      <c r="K772" s="1420">
        <f t="shared" si="1083"/>
        <v>2027</v>
      </c>
      <c r="L772" s="1420">
        <f t="shared" si="1083"/>
        <v>2028</v>
      </c>
      <c r="M772" s="1420">
        <f t="shared" si="1083"/>
        <v>2029</v>
      </c>
      <c r="N772" s="1420">
        <f t="shared" si="1083"/>
        <v>2030</v>
      </c>
      <c r="O772" s="302"/>
      <c r="P772" s="295"/>
      <c r="Q772" s="1421"/>
      <c r="R772" s="1421"/>
      <c r="S772" s="694"/>
      <c r="T772" s="694"/>
      <c r="U772" s="694"/>
      <c r="V772" s="694"/>
      <c r="W772" s="694"/>
      <c r="X772" s="694"/>
      <c r="Y772" s="694"/>
      <c r="Z772" s="694"/>
      <c r="AA772" s="1421"/>
      <c r="AB772" s="770" t="str">
        <f>Translations!$B$1284</f>
        <v>HAL</v>
      </c>
      <c r="AC772" s="1421">
        <f t="shared" ref="AC772" si="1084">H772</f>
        <v>2024</v>
      </c>
      <c r="AD772" s="1421">
        <f t="shared" ref="AD772" si="1085">I772</f>
        <v>2025</v>
      </c>
      <c r="AE772" s="1421">
        <f t="shared" ref="AE772" si="1086">J772</f>
        <v>2026</v>
      </c>
      <c r="AF772" s="1421">
        <f t="shared" ref="AF772" si="1087">K772</f>
        <v>2027</v>
      </c>
      <c r="AG772" s="1421">
        <f t="shared" ref="AG772" si="1088">L772</f>
        <v>2028</v>
      </c>
      <c r="AH772" s="1422">
        <f t="shared" ref="AH772" si="1089">M772</f>
        <v>2029</v>
      </c>
      <c r="AI772" s="1422">
        <f t="shared" ref="AI772" si="1090">N772</f>
        <v>2030</v>
      </c>
      <c r="AJ772" s="1422"/>
      <c r="AK772" s="1422"/>
      <c r="AL772" s="1422"/>
      <c r="AM772" s="1422"/>
    </row>
    <row r="773" spans="1:39" ht="12.75" hidden="1" customHeight="1" x14ac:dyDescent="0.25">
      <c r="A773" s="729" t="str">
        <f t="shared" si="1082"/>
        <v>ausblenden</v>
      </c>
      <c r="B773" s="698"/>
      <c r="C773" s="2906" t="str">
        <f>Translations!$B$949</f>
        <v>топл. ен. извън СТЕ</v>
      </c>
      <c r="D773" s="981">
        <v>1</v>
      </c>
      <c r="E773" s="1424" t="str">
        <f t="shared" ref="E773:E782" si="1091">E755</f>
        <v/>
      </c>
      <c r="F773" s="1259" t="str">
        <f t="shared" ref="F773:F783" si="1092">EUconst_TJ</f>
        <v>TJ</v>
      </c>
      <c r="G773" s="125"/>
      <c r="H773" s="116"/>
      <c r="I773" s="46"/>
      <c r="J773" s="116"/>
      <c r="K773" s="40"/>
      <c r="L773" s="40"/>
      <c r="M773" s="40"/>
      <c r="N773" s="40"/>
      <c r="O773" s="302"/>
      <c r="P773" s="158"/>
      <c r="Q773" s="694"/>
      <c r="R773" s="694"/>
      <c r="S773" s="694"/>
      <c r="T773" s="694"/>
      <c r="U773" s="694"/>
      <c r="V773" s="694"/>
      <c r="W773" s="694"/>
      <c r="X773" s="694"/>
      <c r="Y773" s="694"/>
      <c r="Z773" s="694"/>
      <c r="AA773" s="1446" t="s">
        <v>1757</v>
      </c>
      <c r="AB773" s="1447">
        <f t="shared" ref="AB773:AC773" si="1093">AB755</f>
        <v>2</v>
      </c>
      <c r="AC773" s="1427">
        <f t="shared" si="1093"/>
        <v>2</v>
      </c>
      <c r="AD773" s="1427">
        <f>AD755</f>
        <v>2</v>
      </c>
      <c r="AE773" s="1427">
        <f t="shared" ref="AE773:AI773" si="1094">AE755</f>
        <v>2</v>
      </c>
      <c r="AF773" s="1427">
        <f t="shared" si="1094"/>
        <v>2</v>
      </c>
      <c r="AG773" s="1427">
        <f t="shared" si="1094"/>
        <v>2</v>
      </c>
      <c r="AH773" s="1428">
        <f t="shared" si="1094"/>
        <v>2</v>
      </c>
      <c r="AI773" s="1429">
        <f t="shared" si="1094"/>
        <v>2</v>
      </c>
      <c r="AJ773" s="343"/>
      <c r="AK773" s="1422"/>
      <c r="AL773" s="1422"/>
      <c r="AM773" s="343"/>
    </row>
    <row r="774" spans="1:39" ht="12.75" hidden="1" customHeight="1" x14ac:dyDescent="0.25">
      <c r="A774" s="729" t="str">
        <f t="shared" si="1082"/>
        <v>ausblenden</v>
      </c>
      <c r="B774" s="698"/>
      <c r="C774" s="2906"/>
      <c r="D774" s="990">
        <v>2</v>
      </c>
      <c r="E774" s="1430" t="str">
        <f t="shared" si="1091"/>
        <v/>
      </c>
      <c r="F774" s="1448" t="str">
        <f t="shared" si="1092"/>
        <v>TJ</v>
      </c>
      <c r="G774" s="124"/>
      <c r="H774" s="119"/>
      <c r="I774" s="47"/>
      <c r="J774" s="119"/>
      <c r="K774" s="43"/>
      <c r="L774" s="43"/>
      <c r="M774" s="43"/>
      <c r="N774" s="43"/>
      <c r="O774" s="302"/>
      <c r="P774" s="158"/>
      <c r="Q774" s="694"/>
      <c r="R774" s="694"/>
      <c r="S774" s="694"/>
      <c r="T774" s="694"/>
      <c r="U774" s="694"/>
      <c r="V774" s="694"/>
      <c r="W774" s="694"/>
      <c r="X774" s="694"/>
      <c r="Y774" s="694"/>
      <c r="Z774" s="694"/>
      <c r="AA774" s="694"/>
      <c r="AB774" s="1431">
        <f t="shared" ref="AB774:AI774" si="1095">AB756</f>
        <v>2</v>
      </c>
      <c r="AC774" s="1432">
        <f t="shared" si="1095"/>
        <v>2</v>
      </c>
      <c r="AD774" s="1432">
        <f t="shared" si="1095"/>
        <v>2</v>
      </c>
      <c r="AE774" s="1432">
        <f t="shared" si="1095"/>
        <v>2</v>
      </c>
      <c r="AF774" s="1432">
        <f t="shared" si="1095"/>
        <v>2</v>
      </c>
      <c r="AG774" s="1432">
        <f t="shared" si="1095"/>
        <v>2</v>
      </c>
      <c r="AH774" s="1432">
        <f t="shared" si="1095"/>
        <v>2</v>
      </c>
      <c r="AI774" s="1452">
        <f t="shared" si="1095"/>
        <v>2</v>
      </c>
      <c r="AJ774" s="343"/>
      <c r="AK774" s="1422"/>
      <c r="AL774" s="1422"/>
      <c r="AM774" s="343"/>
    </row>
    <row r="775" spans="1:39" ht="12.75" hidden="1" customHeight="1" x14ac:dyDescent="0.25">
      <c r="A775" s="729" t="str">
        <f t="shared" si="1082"/>
        <v>ausblenden</v>
      </c>
      <c r="B775" s="698"/>
      <c r="C775" s="2906"/>
      <c r="D775" s="990">
        <v>3</v>
      </c>
      <c r="E775" s="1430" t="str">
        <f t="shared" si="1091"/>
        <v/>
      </c>
      <c r="F775" s="1448" t="str">
        <f t="shared" si="1092"/>
        <v>TJ</v>
      </c>
      <c r="G775" s="47"/>
      <c r="H775" s="119"/>
      <c r="I775" s="47"/>
      <c r="J775" s="119"/>
      <c r="K775" s="43"/>
      <c r="L775" s="43"/>
      <c r="M775" s="43"/>
      <c r="N775" s="43"/>
      <c r="O775" s="302"/>
      <c r="P775" s="158"/>
      <c r="Q775" s="694"/>
      <c r="R775" s="694"/>
      <c r="S775" s="694"/>
      <c r="T775" s="694"/>
      <c r="U775" s="694"/>
      <c r="V775" s="694"/>
      <c r="W775" s="694"/>
      <c r="X775" s="694"/>
      <c r="Y775" s="694"/>
      <c r="Z775" s="694"/>
      <c r="AA775" s="694"/>
      <c r="AB775" s="1431">
        <f t="shared" ref="AB775:AI775" si="1096">AB757</f>
        <v>2</v>
      </c>
      <c r="AC775" s="1432">
        <f t="shared" si="1096"/>
        <v>2</v>
      </c>
      <c r="AD775" s="1432">
        <f t="shared" si="1096"/>
        <v>2</v>
      </c>
      <c r="AE775" s="1432">
        <f t="shared" si="1096"/>
        <v>2</v>
      </c>
      <c r="AF775" s="1432">
        <f t="shared" si="1096"/>
        <v>2</v>
      </c>
      <c r="AG775" s="1432">
        <f t="shared" si="1096"/>
        <v>2</v>
      </c>
      <c r="AH775" s="1432">
        <f t="shared" si="1096"/>
        <v>2</v>
      </c>
      <c r="AI775" s="1452">
        <f t="shared" si="1096"/>
        <v>2</v>
      </c>
      <c r="AJ775" s="343"/>
      <c r="AK775" s="1422"/>
      <c r="AL775" s="1422"/>
      <c r="AM775" s="343"/>
    </row>
    <row r="776" spans="1:39" ht="12.75" hidden="1" customHeight="1" x14ac:dyDescent="0.25">
      <c r="A776" s="729" t="str">
        <f t="shared" si="1082"/>
        <v>ausblenden</v>
      </c>
      <c r="B776" s="698"/>
      <c r="C776" s="2906"/>
      <c r="D776" s="990">
        <v>4</v>
      </c>
      <c r="E776" s="1430" t="str">
        <f t="shared" si="1091"/>
        <v/>
      </c>
      <c r="F776" s="1448" t="str">
        <f t="shared" si="1092"/>
        <v>TJ</v>
      </c>
      <c r="G776" s="47"/>
      <c r="H776" s="119"/>
      <c r="I776" s="47"/>
      <c r="J776" s="119"/>
      <c r="K776" s="43"/>
      <c r="L776" s="43"/>
      <c r="M776" s="43"/>
      <c r="N776" s="43"/>
      <c r="O776" s="302"/>
      <c r="P776" s="158"/>
      <c r="Q776" s="694"/>
      <c r="R776" s="694"/>
      <c r="S776" s="694"/>
      <c r="T776" s="694"/>
      <c r="U776" s="694"/>
      <c r="V776" s="694"/>
      <c r="W776" s="694"/>
      <c r="X776" s="694"/>
      <c r="Y776" s="694"/>
      <c r="Z776" s="694"/>
      <c r="AA776" s="694"/>
      <c r="AB776" s="1431">
        <f t="shared" ref="AB776:AI776" si="1097">AB758</f>
        <v>2</v>
      </c>
      <c r="AC776" s="1432">
        <f t="shared" si="1097"/>
        <v>2</v>
      </c>
      <c r="AD776" s="1432">
        <f t="shared" si="1097"/>
        <v>2</v>
      </c>
      <c r="AE776" s="1432">
        <f t="shared" si="1097"/>
        <v>2</v>
      </c>
      <c r="AF776" s="1432">
        <f t="shared" si="1097"/>
        <v>2</v>
      </c>
      <c r="AG776" s="1432">
        <f t="shared" si="1097"/>
        <v>2</v>
      </c>
      <c r="AH776" s="1432">
        <f t="shared" si="1097"/>
        <v>2</v>
      </c>
      <c r="AI776" s="1452">
        <f t="shared" si="1097"/>
        <v>2</v>
      </c>
      <c r="AJ776" s="343"/>
      <c r="AK776" s="1422"/>
      <c r="AL776" s="1422"/>
      <c r="AM776" s="343"/>
    </row>
    <row r="777" spans="1:39" ht="12.75" hidden="1" customHeight="1" x14ac:dyDescent="0.25">
      <c r="A777" s="729" t="str">
        <f t="shared" si="1082"/>
        <v>ausblenden</v>
      </c>
      <c r="B777" s="698"/>
      <c r="C777" s="2906"/>
      <c r="D777" s="990">
        <v>5</v>
      </c>
      <c r="E777" s="1430" t="str">
        <f t="shared" si="1091"/>
        <v/>
      </c>
      <c r="F777" s="1448" t="str">
        <f t="shared" si="1092"/>
        <v>TJ</v>
      </c>
      <c r="G777" s="47"/>
      <c r="H777" s="119"/>
      <c r="I777" s="47"/>
      <c r="J777" s="119"/>
      <c r="K777" s="43"/>
      <c r="L777" s="43"/>
      <c r="M777" s="43"/>
      <c r="N777" s="43"/>
      <c r="O777" s="302"/>
      <c r="P777" s="158"/>
      <c r="Q777" s="694"/>
      <c r="R777" s="694"/>
      <c r="S777" s="694"/>
      <c r="T777" s="694"/>
      <c r="U777" s="694"/>
      <c r="V777" s="694"/>
      <c r="W777" s="694"/>
      <c r="X777" s="694"/>
      <c r="Y777" s="694"/>
      <c r="Z777" s="694"/>
      <c r="AA777" s="694"/>
      <c r="AB777" s="1431">
        <f t="shared" ref="AB777:AI777" si="1098">AB759</f>
        <v>2</v>
      </c>
      <c r="AC777" s="1432">
        <f t="shared" si="1098"/>
        <v>2</v>
      </c>
      <c r="AD777" s="1432">
        <f t="shared" si="1098"/>
        <v>2</v>
      </c>
      <c r="AE777" s="1432">
        <f t="shared" si="1098"/>
        <v>2</v>
      </c>
      <c r="AF777" s="1432">
        <f t="shared" si="1098"/>
        <v>2</v>
      </c>
      <c r="AG777" s="1432">
        <f t="shared" si="1098"/>
        <v>2</v>
      </c>
      <c r="AH777" s="1432">
        <f t="shared" si="1098"/>
        <v>2</v>
      </c>
      <c r="AI777" s="1452">
        <f t="shared" si="1098"/>
        <v>2</v>
      </c>
      <c r="AJ777" s="343"/>
      <c r="AK777" s="1422"/>
      <c r="AL777" s="1422"/>
      <c r="AM777" s="343"/>
    </row>
    <row r="778" spans="1:39" ht="12.75" hidden="1" customHeight="1" x14ac:dyDescent="0.25">
      <c r="A778" s="729" t="str">
        <f t="shared" si="1082"/>
        <v>ausblenden</v>
      </c>
      <c r="B778" s="698"/>
      <c r="C778" s="2906"/>
      <c r="D778" s="990">
        <v>6</v>
      </c>
      <c r="E778" s="1430" t="str">
        <f t="shared" si="1091"/>
        <v/>
      </c>
      <c r="F778" s="1448" t="str">
        <f t="shared" si="1092"/>
        <v>TJ</v>
      </c>
      <c r="G778" s="47"/>
      <c r="H778" s="119"/>
      <c r="I778" s="47"/>
      <c r="J778" s="119"/>
      <c r="K778" s="43"/>
      <c r="L778" s="43"/>
      <c r="M778" s="43"/>
      <c r="N778" s="43"/>
      <c r="O778" s="302"/>
      <c r="P778" s="158"/>
      <c r="Q778" s="694"/>
      <c r="R778" s="694"/>
      <c r="S778" s="694"/>
      <c r="T778" s="694"/>
      <c r="U778" s="694"/>
      <c r="V778" s="694"/>
      <c r="W778" s="694"/>
      <c r="X778" s="694"/>
      <c r="Y778" s="694"/>
      <c r="Z778" s="694"/>
      <c r="AA778" s="694"/>
      <c r="AB778" s="1431">
        <f t="shared" ref="AB778:AI778" si="1099">AB760</f>
        <v>2</v>
      </c>
      <c r="AC778" s="1432">
        <f t="shared" si="1099"/>
        <v>2</v>
      </c>
      <c r="AD778" s="1432">
        <f t="shared" si="1099"/>
        <v>2</v>
      </c>
      <c r="AE778" s="1432">
        <f t="shared" si="1099"/>
        <v>2</v>
      </c>
      <c r="AF778" s="1432">
        <f t="shared" si="1099"/>
        <v>2</v>
      </c>
      <c r="AG778" s="1432">
        <f t="shared" si="1099"/>
        <v>2</v>
      </c>
      <c r="AH778" s="1432">
        <f t="shared" si="1099"/>
        <v>2</v>
      </c>
      <c r="AI778" s="1452">
        <f t="shared" si="1099"/>
        <v>2</v>
      </c>
      <c r="AJ778" s="343"/>
      <c r="AK778" s="1422"/>
      <c r="AL778" s="1422"/>
      <c r="AM778" s="343"/>
    </row>
    <row r="779" spans="1:39" ht="12.75" hidden="1" customHeight="1" x14ac:dyDescent="0.25">
      <c r="A779" s="729" t="str">
        <f t="shared" si="1082"/>
        <v>ausblenden</v>
      </c>
      <c r="B779" s="698"/>
      <c r="C779" s="2906"/>
      <c r="D779" s="990">
        <v>7</v>
      </c>
      <c r="E779" s="1430" t="str">
        <f t="shared" si="1091"/>
        <v/>
      </c>
      <c r="F779" s="1448" t="str">
        <f t="shared" si="1092"/>
        <v>TJ</v>
      </c>
      <c r="G779" s="47"/>
      <c r="H779" s="119"/>
      <c r="I779" s="47"/>
      <c r="J779" s="119"/>
      <c r="K779" s="43"/>
      <c r="L779" s="43"/>
      <c r="M779" s="43"/>
      <c r="N779" s="43"/>
      <c r="O779" s="302"/>
      <c r="P779" s="158"/>
      <c r="Q779" s="694"/>
      <c r="R779" s="694"/>
      <c r="S779" s="694"/>
      <c r="T779" s="694"/>
      <c r="U779" s="694"/>
      <c r="V779" s="694"/>
      <c r="W779" s="694"/>
      <c r="X779" s="694"/>
      <c r="Y779" s="694"/>
      <c r="Z779" s="694"/>
      <c r="AA779" s="694"/>
      <c r="AB779" s="1431">
        <f t="shared" ref="AB779:AI779" si="1100">AB761</f>
        <v>2</v>
      </c>
      <c r="AC779" s="1432">
        <f t="shared" si="1100"/>
        <v>2</v>
      </c>
      <c r="AD779" s="1432">
        <f t="shared" si="1100"/>
        <v>2</v>
      </c>
      <c r="AE779" s="1432">
        <f t="shared" si="1100"/>
        <v>2</v>
      </c>
      <c r="AF779" s="1432">
        <f t="shared" si="1100"/>
        <v>2</v>
      </c>
      <c r="AG779" s="1432">
        <f t="shared" si="1100"/>
        <v>2</v>
      </c>
      <c r="AH779" s="1432">
        <f t="shared" si="1100"/>
        <v>2</v>
      </c>
      <c r="AI779" s="1452">
        <f t="shared" si="1100"/>
        <v>2</v>
      </c>
      <c r="AJ779" s="343"/>
      <c r="AK779" s="1422"/>
      <c r="AL779" s="1422"/>
      <c r="AM779" s="343"/>
    </row>
    <row r="780" spans="1:39" ht="12.75" hidden="1" customHeight="1" x14ac:dyDescent="0.25">
      <c r="A780" s="729" t="str">
        <f t="shared" si="1082"/>
        <v>ausblenden</v>
      </c>
      <c r="B780" s="698"/>
      <c r="C780" s="2906"/>
      <c r="D780" s="990">
        <v>8</v>
      </c>
      <c r="E780" s="1430" t="str">
        <f t="shared" si="1091"/>
        <v/>
      </c>
      <c r="F780" s="1448" t="str">
        <f t="shared" si="1092"/>
        <v>TJ</v>
      </c>
      <c r="G780" s="47"/>
      <c r="H780" s="119"/>
      <c r="I780" s="47"/>
      <c r="J780" s="119"/>
      <c r="K780" s="43"/>
      <c r="L780" s="43"/>
      <c r="M780" s="43"/>
      <c r="N780" s="43"/>
      <c r="O780" s="302"/>
      <c r="P780" s="158"/>
      <c r="Q780" s="694"/>
      <c r="R780" s="694"/>
      <c r="S780" s="694"/>
      <c r="T780" s="694"/>
      <c r="U780" s="694"/>
      <c r="V780" s="694"/>
      <c r="W780" s="694"/>
      <c r="X780" s="694"/>
      <c r="Y780" s="694"/>
      <c r="Z780" s="694"/>
      <c r="AA780" s="694"/>
      <c r="AB780" s="1431">
        <f t="shared" ref="AB780:AI780" si="1101">AB762</f>
        <v>2</v>
      </c>
      <c r="AC780" s="1432">
        <f t="shared" si="1101"/>
        <v>2</v>
      </c>
      <c r="AD780" s="1432">
        <f t="shared" si="1101"/>
        <v>2</v>
      </c>
      <c r="AE780" s="1432">
        <f t="shared" si="1101"/>
        <v>2</v>
      </c>
      <c r="AF780" s="1432">
        <f t="shared" si="1101"/>
        <v>2</v>
      </c>
      <c r="AG780" s="1432">
        <f t="shared" si="1101"/>
        <v>2</v>
      </c>
      <c r="AH780" s="1432">
        <f t="shared" si="1101"/>
        <v>2</v>
      </c>
      <c r="AI780" s="1452">
        <f t="shared" si="1101"/>
        <v>2</v>
      </c>
      <c r="AJ780" s="343"/>
      <c r="AK780" s="1422"/>
      <c r="AL780" s="1422"/>
      <c r="AM780" s="343"/>
    </row>
    <row r="781" spans="1:39" ht="12.75" hidden="1" customHeight="1" x14ac:dyDescent="0.25">
      <c r="A781" s="729" t="str">
        <f t="shared" si="1082"/>
        <v>ausblenden</v>
      </c>
      <c r="B781" s="698"/>
      <c r="C781" s="2906"/>
      <c r="D781" s="990">
        <v>9</v>
      </c>
      <c r="E781" s="1430" t="str">
        <f t="shared" si="1091"/>
        <v/>
      </c>
      <c r="F781" s="1448" t="str">
        <f t="shared" si="1092"/>
        <v>TJ</v>
      </c>
      <c r="G781" s="47"/>
      <c r="H781" s="119"/>
      <c r="I781" s="47"/>
      <c r="J781" s="119"/>
      <c r="K781" s="43"/>
      <c r="L781" s="43"/>
      <c r="M781" s="43"/>
      <c r="N781" s="43"/>
      <c r="O781" s="302"/>
      <c r="P781" s="158"/>
      <c r="Q781" s="694"/>
      <c r="R781" s="694"/>
      <c r="S781" s="694"/>
      <c r="T781" s="694"/>
      <c r="U781" s="694"/>
      <c r="V781" s="694"/>
      <c r="W781" s="694"/>
      <c r="X781" s="694"/>
      <c r="Y781" s="694"/>
      <c r="Z781" s="694"/>
      <c r="AA781" s="694"/>
      <c r="AB781" s="1431">
        <f t="shared" ref="AB781:AI781" si="1102">AB763</f>
        <v>2</v>
      </c>
      <c r="AC781" s="1432">
        <f t="shared" si="1102"/>
        <v>2</v>
      </c>
      <c r="AD781" s="1432">
        <f t="shared" si="1102"/>
        <v>2</v>
      </c>
      <c r="AE781" s="1432">
        <f t="shared" si="1102"/>
        <v>2</v>
      </c>
      <c r="AF781" s="1432">
        <f t="shared" si="1102"/>
        <v>2</v>
      </c>
      <c r="AG781" s="1432">
        <f t="shared" si="1102"/>
        <v>2</v>
      </c>
      <c r="AH781" s="1432">
        <f t="shared" si="1102"/>
        <v>2</v>
      </c>
      <c r="AI781" s="1452">
        <f t="shared" si="1102"/>
        <v>2</v>
      </c>
      <c r="AJ781" s="343"/>
      <c r="AK781" s="1422"/>
      <c r="AL781" s="1422"/>
      <c r="AM781" s="343"/>
    </row>
    <row r="782" spans="1:39" ht="12.75" hidden="1" customHeight="1" thickBot="1" x14ac:dyDescent="0.3">
      <c r="A782" s="729" t="str">
        <f t="shared" si="1082"/>
        <v>ausblenden</v>
      </c>
      <c r="B782" s="698"/>
      <c r="C782" s="2906"/>
      <c r="D782" s="994">
        <v>10</v>
      </c>
      <c r="E782" s="1435" t="str">
        <f t="shared" si="1091"/>
        <v/>
      </c>
      <c r="F782" s="1453" t="str">
        <f t="shared" si="1092"/>
        <v>TJ</v>
      </c>
      <c r="G782" s="48"/>
      <c r="H782" s="117"/>
      <c r="I782" s="48"/>
      <c r="J782" s="117"/>
      <c r="K782" s="38"/>
      <c r="L782" s="38"/>
      <c r="M782" s="38"/>
      <c r="N782" s="38"/>
      <c r="O782" s="302"/>
      <c r="P782" s="158"/>
      <c r="Q782" s="694"/>
      <c r="R782" s="694"/>
      <c r="S782" s="694"/>
      <c r="T782" s="694"/>
      <c r="U782" s="694"/>
      <c r="V782" s="694"/>
      <c r="W782" s="694"/>
      <c r="X782" s="694"/>
      <c r="Y782" s="694"/>
      <c r="Z782" s="694"/>
      <c r="AA782" s="694"/>
      <c r="AB782" s="1436">
        <f t="shared" ref="AB782:AI782" si="1103">AB764</f>
        <v>2</v>
      </c>
      <c r="AC782" s="1437">
        <f t="shared" si="1103"/>
        <v>2</v>
      </c>
      <c r="AD782" s="1437">
        <f t="shared" si="1103"/>
        <v>2</v>
      </c>
      <c r="AE782" s="1437">
        <f t="shared" si="1103"/>
        <v>2</v>
      </c>
      <c r="AF782" s="1437">
        <f t="shared" si="1103"/>
        <v>2</v>
      </c>
      <c r="AG782" s="1437">
        <f t="shared" si="1103"/>
        <v>2</v>
      </c>
      <c r="AH782" s="1437">
        <f t="shared" si="1103"/>
        <v>2</v>
      </c>
      <c r="AI782" s="1457">
        <f t="shared" si="1103"/>
        <v>2</v>
      </c>
      <c r="AJ782" s="343"/>
      <c r="AK782" s="1422"/>
      <c r="AL782" s="1422"/>
      <c r="AM782" s="343"/>
    </row>
    <row r="783" spans="1:39" ht="12.75" hidden="1" customHeight="1" x14ac:dyDescent="0.25">
      <c r="A783" s="729" t="str">
        <f t="shared" si="1082"/>
        <v>ausblenden</v>
      </c>
      <c r="B783" s="698"/>
      <c r="C783" s="2906"/>
      <c r="D783" s="1293"/>
      <c r="E783" s="1458" t="str">
        <f>Translations!$B$1338</f>
        <v>Общо потребление</v>
      </c>
      <c r="F783" s="1453" t="str">
        <f t="shared" si="1092"/>
        <v>TJ</v>
      </c>
      <c r="G783" s="1296" t="str">
        <f t="shared" ref="G783:N783" si="1104">IF(COUNT(G773:G782)&gt;0,SUMIF($S720:$S729,TRUE,G773:G782),"")</f>
        <v/>
      </c>
      <c r="H783" s="1297" t="str">
        <f t="shared" si="1104"/>
        <v/>
      </c>
      <c r="I783" s="1296" t="str">
        <f t="shared" si="1104"/>
        <v/>
      </c>
      <c r="J783" s="1297" t="str">
        <f t="shared" si="1104"/>
        <v/>
      </c>
      <c r="K783" s="1104" t="str">
        <f t="shared" si="1104"/>
        <v/>
      </c>
      <c r="L783" s="1104" t="str">
        <f t="shared" si="1104"/>
        <v/>
      </c>
      <c r="M783" s="1104" t="str">
        <f t="shared" si="1104"/>
        <v/>
      </c>
      <c r="N783" s="1104" t="str">
        <f t="shared" si="1104"/>
        <v/>
      </c>
      <c r="O783" s="302"/>
      <c r="P783" s="336"/>
      <c r="Q783" s="694"/>
      <c r="R783" s="694"/>
      <c r="S783" s="694"/>
      <c r="T783" s="694"/>
      <c r="U783" s="694"/>
      <c r="V783" s="694"/>
      <c r="W783" s="694"/>
      <c r="X783" s="694"/>
      <c r="Y783" s="694"/>
      <c r="Z783" s="694"/>
      <c r="AA783" s="694"/>
      <c r="AB783" s="729"/>
      <c r="AC783" s="694"/>
      <c r="AD783" s="694"/>
      <c r="AE783" s="343"/>
      <c r="AF783" s="343"/>
      <c r="AG783" s="343"/>
      <c r="AH783" s="343"/>
      <c r="AI783" s="343"/>
      <c r="AJ783" s="343"/>
      <c r="AK783" s="343"/>
      <c r="AL783" s="343"/>
      <c r="AM783" s="343"/>
    </row>
    <row r="784" spans="1:39" ht="5.15" hidden="1" customHeight="1" x14ac:dyDescent="0.25">
      <c r="A784" s="729" t="str">
        <f t="shared" si="1082"/>
        <v>ausblenden</v>
      </c>
      <c r="B784" s="698"/>
      <c r="C784" s="284"/>
      <c r="D784" s="284"/>
      <c r="E784" s="284"/>
      <c r="F784" s="284"/>
      <c r="G784" s="284"/>
      <c r="H784" s="284"/>
      <c r="I784" s="284"/>
      <c r="J784" s="284"/>
      <c r="K784" s="284"/>
      <c r="L784" s="284"/>
      <c r="M784" s="284"/>
      <c r="N784" s="284"/>
      <c r="O784" s="302"/>
      <c r="P784" s="336"/>
      <c r="Q784" s="694"/>
      <c r="R784" s="694"/>
      <c r="S784" s="694"/>
      <c r="T784" s="694"/>
      <c r="U784" s="694"/>
      <c r="V784" s="694"/>
      <c r="W784" s="694"/>
      <c r="X784" s="694"/>
      <c r="Y784" s="694"/>
      <c r="Z784" s="729"/>
      <c r="AA784" s="729"/>
      <c r="AB784" s="729"/>
      <c r="AC784" s="694"/>
      <c r="AD784" s="694"/>
      <c r="AE784" s="343"/>
      <c r="AF784" s="343"/>
      <c r="AG784" s="343"/>
      <c r="AH784" s="343"/>
      <c r="AI784" s="343"/>
      <c r="AJ784" s="343"/>
      <c r="AK784" s="343"/>
      <c r="AL784" s="343"/>
      <c r="AM784" s="343"/>
    </row>
    <row r="785" spans="1:39" ht="12.75" hidden="1" customHeight="1" x14ac:dyDescent="0.25">
      <c r="A785" s="729" t="str">
        <f t="shared" si="1082"/>
        <v>ausblenden</v>
      </c>
      <c r="B785" s="698"/>
      <c r="C785" s="284"/>
      <c r="D785" s="300" t="s">
        <v>1830</v>
      </c>
      <c r="E785" s="2226" t="str">
        <f>Translations!$B$1542</f>
        <v>Общо потребление на енергия по продукти за определяне на очакваните равнища на дейност</v>
      </c>
      <c r="F785" s="2249"/>
      <c r="G785" s="2249"/>
      <c r="H785" s="2249"/>
      <c r="I785" s="2249"/>
      <c r="J785" s="2249"/>
      <c r="K785" s="2249"/>
      <c r="L785" s="2249"/>
      <c r="M785" s="2249"/>
      <c r="N785" s="2249"/>
      <c r="O785" s="302"/>
      <c r="P785" s="295"/>
      <c r="Q785" s="694"/>
      <c r="R785" s="694"/>
      <c r="S785" s="694"/>
      <c r="T785" s="694"/>
      <c r="U785" s="694"/>
      <c r="V785" s="694"/>
      <c r="W785" s="694"/>
      <c r="X785" s="694"/>
      <c r="Y785" s="694"/>
      <c r="Z785" s="729"/>
      <c r="AA785" s="729"/>
      <c r="AB785" s="729"/>
      <c r="AC785" s="729"/>
      <c r="AD785" s="694"/>
      <c r="AE785" s="343"/>
      <c r="AF785" s="343"/>
      <c r="AG785" s="343"/>
      <c r="AH785" s="343"/>
      <c r="AI785" s="343"/>
      <c r="AJ785" s="343"/>
      <c r="AK785" s="343"/>
      <c r="AL785" s="343"/>
      <c r="AM785" s="343"/>
    </row>
    <row r="786" spans="1:39" ht="12.75" hidden="1" customHeight="1" x14ac:dyDescent="0.25">
      <c r="A786" s="729" t="str">
        <f t="shared" si="1082"/>
        <v>ausblenden</v>
      </c>
      <c r="B786" s="698"/>
      <c r="C786" s="284"/>
      <c r="D786" s="284"/>
      <c r="E786" s="2358" t="str">
        <f>Translations!$B$1543</f>
        <v>Това е сборът от вписванията по-горе b.2 + b.3. Следователно сумата може да бъде по-висока от 100 % от равнището на дейност.</v>
      </c>
      <c r="F786" s="2249"/>
      <c r="G786" s="2249"/>
      <c r="H786" s="2249"/>
      <c r="I786" s="2249"/>
      <c r="J786" s="2249"/>
      <c r="K786" s="2249"/>
      <c r="L786" s="2249"/>
      <c r="M786" s="2249"/>
      <c r="N786" s="2249"/>
      <c r="O786" s="302"/>
      <c r="P786" s="295"/>
      <c r="Q786" s="694"/>
      <c r="R786" s="694"/>
      <c r="S786" s="694"/>
      <c r="T786" s="694"/>
      <c r="U786" s="694"/>
      <c r="V786" s="694"/>
      <c r="W786" s="694"/>
      <c r="X786" s="694"/>
      <c r="Y786" s="694"/>
      <c r="Z786" s="729"/>
      <c r="AA786" s="729"/>
      <c r="AB786" s="729"/>
      <c r="AC786" s="729"/>
      <c r="AD786" s="694"/>
      <c r="AE786" s="343"/>
      <c r="AF786" s="343"/>
      <c r="AG786" s="343"/>
      <c r="AH786" s="343"/>
      <c r="AI786" s="343"/>
      <c r="AJ786" s="343"/>
      <c r="AK786" s="343"/>
      <c r="AL786" s="343"/>
      <c r="AM786" s="343"/>
    </row>
    <row r="787" spans="1:39" ht="5.15" hidden="1" customHeight="1" x14ac:dyDescent="0.25">
      <c r="A787" s="729" t="str">
        <f t="shared" si="1082"/>
        <v>ausblenden</v>
      </c>
      <c r="B787" s="698"/>
      <c r="C787" s="284"/>
      <c r="D787" s="284"/>
      <c r="E787" s="2358"/>
      <c r="F787" s="2249"/>
      <c r="G787" s="2249"/>
      <c r="H787" s="2249"/>
      <c r="I787" s="2249"/>
      <c r="J787" s="2249"/>
      <c r="K787" s="2249"/>
      <c r="L787" s="2249"/>
      <c r="M787" s="2249"/>
      <c r="N787" s="2249"/>
      <c r="O787" s="302"/>
      <c r="P787" s="295"/>
      <c r="Q787" s="694"/>
      <c r="R787" s="694"/>
      <c r="S787" s="694"/>
      <c r="T787" s="694"/>
      <c r="U787" s="694"/>
      <c r="V787" s="694"/>
      <c r="W787" s="694"/>
      <c r="X787" s="694"/>
      <c r="Y787" s="694"/>
      <c r="Z787" s="729"/>
      <c r="AA787" s="729"/>
      <c r="AB787" s="729"/>
      <c r="AC787" s="729"/>
      <c r="AD787" s="694"/>
      <c r="AE787" s="343"/>
      <c r="AF787" s="343"/>
      <c r="AG787" s="343"/>
      <c r="AH787" s="343"/>
      <c r="AI787" s="343"/>
      <c r="AJ787" s="343"/>
      <c r="AK787" s="343"/>
      <c r="AL787" s="343"/>
      <c r="AM787" s="343"/>
    </row>
    <row r="788" spans="1:39" s="1423" customFormat="1" ht="25.5" hidden="1" customHeight="1" thickBot="1" x14ac:dyDescent="0.35">
      <c r="A788" s="729" t="str">
        <f t="shared" si="1082"/>
        <v>ausblenden</v>
      </c>
      <c r="B788" s="1412"/>
      <c r="C788" s="1413"/>
      <c r="D788" s="1414"/>
      <c r="E788" s="1415" t="str">
        <f>Translations!$B$624</f>
        <v>Име на продукта или „топлофикационна мрежа“</v>
      </c>
      <c r="F788" s="1416" t="str">
        <f>EUconst_Unit</f>
        <v>Единица мярка</v>
      </c>
      <c r="G788" s="1419" t="str">
        <f>Translations!$B$1336</f>
        <v>Стойност в НМИ</v>
      </c>
      <c r="H788" s="1418">
        <f t="shared" ref="H788:N788" si="1105">H$1840</f>
        <v>2024</v>
      </c>
      <c r="I788" s="1419">
        <f t="shared" si="1105"/>
        <v>2025</v>
      </c>
      <c r="J788" s="1418">
        <f t="shared" si="1105"/>
        <v>2026</v>
      </c>
      <c r="K788" s="1420">
        <f t="shared" si="1105"/>
        <v>2027</v>
      </c>
      <c r="L788" s="1420">
        <f t="shared" si="1105"/>
        <v>2028</v>
      </c>
      <c r="M788" s="1420">
        <f t="shared" si="1105"/>
        <v>2029</v>
      </c>
      <c r="N788" s="1420">
        <f t="shared" si="1105"/>
        <v>2030</v>
      </c>
      <c r="O788" s="302"/>
      <c r="P788" s="295"/>
      <c r="Q788" s="1421"/>
      <c r="R788" s="1421"/>
      <c r="S788" s="770" t="str">
        <f>Translations!$B$1341</f>
        <v>Базова стойност</v>
      </c>
      <c r="T788" s="1421">
        <f t="shared" ref="T788" si="1106">H788</f>
        <v>2024</v>
      </c>
      <c r="U788" s="1421">
        <f t="shared" ref="U788" si="1107">I788</f>
        <v>2025</v>
      </c>
      <c r="V788" s="1421">
        <f t="shared" ref="V788" si="1108">J788</f>
        <v>2026</v>
      </c>
      <c r="W788" s="1421">
        <f t="shared" ref="W788" si="1109">K788</f>
        <v>2027</v>
      </c>
      <c r="X788" s="1421">
        <f t="shared" ref="X788" si="1110">L788</f>
        <v>2028</v>
      </c>
      <c r="Y788" s="1421">
        <f t="shared" ref="Y788" si="1111">M788</f>
        <v>2029</v>
      </c>
      <c r="Z788" s="1421">
        <f t="shared" ref="Z788" si="1112">N788</f>
        <v>2030</v>
      </c>
      <c r="AA788" s="1421"/>
      <c r="AB788" s="770" t="str">
        <f>Translations!$B$1284</f>
        <v>HAL</v>
      </c>
      <c r="AC788" s="1421">
        <f t="shared" ref="AC788" si="1113">H788</f>
        <v>2024</v>
      </c>
      <c r="AD788" s="1421">
        <f t="shared" ref="AD788" si="1114">I788</f>
        <v>2025</v>
      </c>
      <c r="AE788" s="1421">
        <f t="shared" ref="AE788" si="1115">J788</f>
        <v>2026</v>
      </c>
      <c r="AF788" s="1421">
        <f t="shared" ref="AF788" si="1116">K788</f>
        <v>2027</v>
      </c>
      <c r="AG788" s="1421">
        <f t="shared" ref="AG788" si="1117">L788</f>
        <v>2028</v>
      </c>
      <c r="AH788" s="1422">
        <f t="shared" ref="AH788" si="1118">M788</f>
        <v>2029</v>
      </c>
      <c r="AI788" s="1422">
        <f t="shared" ref="AI788" si="1119">N788</f>
        <v>2030</v>
      </c>
      <c r="AJ788" s="1422"/>
      <c r="AK788" s="1422"/>
      <c r="AL788" s="1422"/>
      <c r="AM788" s="1422"/>
    </row>
    <row r="789" spans="1:39" ht="12.75" hidden="1" customHeight="1" x14ac:dyDescent="0.25">
      <c r="A789" s="729" t="str">
        <f t="shared" si="1082"/>
        <v>ausblenden</v>
      </c>
      <c r="B789" s="698"/>
      <c r="C789" s="2906" t="str">
        <f>Translations!$B$1544</f>
        <v>ОБЩО</v>
      </c>
      <c r="D789" s="981">
        <v>1</v>
      </c>
      <c r="E789" s="1424" t="str">
        <f t="shared" ref="E789:E798" si="1120">E773</f>
        <v/>
      </c>
      <c r="F789" s="1259" t="str">
        <f t="shared" ref="F789:F800" si="1121">EUconst_TJ</f>
        <v>TJ</v>
      </c>
      <c r="G789" s="1465" t="str">
        <f>IF(OR($E789="",AB789=0),"",SUM(G755,G773))</f>
        <v/>
      </c>
      <c r="H789" s="1466" t="str">
        <f t="shared" ref="H789:H798" si="1122">IF(OR($E789="",AC789=0),"",SUM(H755,H773))</f>
        <v/>
      </c>
      <c r="I789" s="1467" t="str">
        <f t="shared" ref="I789:I798" si="1123">IF(OR($E789="",AD789=0),"",SUM(I755,I773))</f>
        <v/>
      </c>
      <c r="J789" s="1466" t="str">
        <f t="shared" ref="J789:J798" si="1124">IF(OR($E789="",AE789=0),"",SUM(J755,J773))</f>
        <v/>
      </c>
      <c r="K789" s="1126" t="str">
        <f t="shared" ref="K789:K798" si="1125">IF(OR($E789="",AF789=0),"",SUM(K755,K773))</f>
        <v/>
      </c>
      <c r="L789" s="1126" t="str">
        <f t="shared" ref="L789:L798" si="1126">IF(OR($E789="",AG789=0),"",SUM(L755,L773))</f>
        <v/>
      </c>
      <c r="M789" s="1126" t="str">
        <f t="shared" ref="M789:M798" si="1127">IF(OR($E789="",AH789=0),"",SUM(M755,M773))</f>
        <v/>
      </c>
      <c r="N789" s="1126" t="str">
        <f t="shared" ref="N789:N798" si="1128">IF(OR($E789="",AI789=0),"",SUM(N755,N773))</f>
        <v/>
      </c>
      <c r="O789" s="302"/>
      <c r="P789" s="158"/>
      <c r="Q789" s="694"/>
      <c r="R789" s="694"/>
      <c r="S789" s="1443" t="str">
        <f>IF($M682&lt;&gt;EUconst_Relevant,"",
IF($V682&gt;($J$1840-3),
              IF(INDEX(H736:N736,MATCH($V682,$T788:$Z788,0))=0,0,INDEX(H789:N789,MATCH($V682,$T788:$Z788,0))/INDEX(H736:N736,MATCH($V682,$T788:$Z788,0))),
                             IF(ISNUMBER(G736),
                                            IF(OR(G736=0,$S720=FALSE),0,G789/G736),"")))</f>
        <v/>
      </c>
      <c r="T789" s="1444" t="str">
        <f>IF($E789="","",IF(IFERROR(SUM($S789)=0,SUM(H789)),SUM(H789),SUM(H736)*SUM($S789))*IF(SUM(H789)=0,1,SUM(H755)/SUM(H789)))</f>
        <v/>
      </c>
      <c r="U789" s="1444" t="str">
        <f t="shared" ref="U789" si="1129">IF($E789="","",IF(IFERROR(SUM($S789)=0,SUM(I789)),SUM(I789),SUM(I736)*SUM($S789))*IF(SUM(I789)=0,1,SUM(I755)/SUM(I789)))</f>
        <v/>
      </c>
      <c r="V789" s="1444" t="str">
        <f t="shared" ref="V789" si="1130">IF($E789="","",IF(IFERROR(SUM($S789)=0,SUM(J789)),SUM(J789),SUM(J736)*SUM($S789))*IF(SUM(J789)=0,1,SUM(J755)/SUM(J789)))</f>
        <v/>
      </c>
      <c r="W789" s="1444" t="str">
        <f t="shared" ref="W789" si="1131">IF($E789="","",IF(IFERROR(SUM($S789)=0,SUM(K789)),SUM(K789),SUM(K736)*SUM($S789))*IF(SUM(K789)=0,1,SUM(K755)/SUM(K789)))</f>
        <v/>
      </c>
      <c r="X789" s="1444" t="str">
        <f t="shared" ref="X789" si="1132">IF($E789="","",IF(IFERROR(SUM($S789)=0,SUM(L789)),SUM(L789),SUM(L736)*SUM($S789))*IF(SUM(L789)=0,1,SUM(L755)/SUM(L789)))</f>
        <v/>
      </c>
      <c r="Y789" s="1444" t="str">
        <f t="shared" ref="Y789" si="1133">IF($E789="","",IF(IFERROR(SUM($S789)=0,SUM(M789)),SUM(M789),SUM(M736)*SUM($S789))*IF(SUM(M789)=0,1,SUM(M755)/SUM(M789)))</f>
        <v/>
      </c>
      <c r="Z789" s="1445" t="str">
        <f t="shared" ref="Z789" si="1134">IF($E789="","",IF(IFERROR(SUM($S789)=0,SUM(N789)),SUM(N789),SUM(N736)*SUM($S789))*IF(SUM(N789)=0,1,SUM(N755)/SUM(N789)))</f>
        <v/>
      </c>
      <c r="AA789" s="1446" t="s">
        <v>1757</v>
      </c>
      <c r="AB789" s="1447">
        <f t="shared" ref="AB789:AI789" si="1135">AB773</f>
        <v>2</v>
      </c>
      <c r="AC789" s="1427">
        <f t="shared" si="1135"/>
        <v>2</v>
      </c>
      <c r="AD789" s="1427">
        <f t="shared" si="1135"/>
        <v>2</v>
      </c>
      <c r="AE789" s="1427">
        <f t="shared" si="1135"/>
        <v>2</v>
      </c>
      <c r="AF789" s="1427">
        <f t="shared" si="1135"/>
        <v>2</v>
      </c>
      <c r="AG789" s="1427">
        <f t="shared" si="1135"/>
        <v>2</v>
      </c>
      <c r="AH789" s="1428">
        <f t="shared" si="1135"/>
        <v>2</v>
      </c>
      <c r="AI789" s="1429">
        <f t="shared" si="1135"/>
        <v>2</v>
      </c>
      <c r="AJ789" s="343"/>
      <c r="AK789" s="1174" t="s">
        <v>2039</v>
      </c>
      <c r="AL789" s="1176"/>
      <c r="AM789" s="343"/>
    </row>
    <row r="790" spans="1:39" ht="12.75" hidden="1" customHeight="1" x14ac:dyDescent="0.25">
      <c r="A790" s="729" t="str">
        <f t="shared" si="1082"/>
        <v>ausblenden</v>
      </c>
      <c r="B790" s="698"/>
      <c r="C790" s="2906"/>
      <c r="D790" s="990">
        <v>2</v>
      </c>
      <c r="E790" s="1430" t="str">
        <f t="shared" si="1120"/>
        <v/>
      </c>
      <c r="F790" s="1448" t="str">
        <f t="shared" si="1121"/>
        <v>TJ</v>
      </c>
      <c r="G790" s="1468" t="str">
        <f t="shared" ref="G790:G798" si="1136">IF(OR($E790="",AB790=0),"",SUM(G756,G774))</f>
        <v/>
      </c>
      <c r="H790" s="1469" t="str">
        <f t="shared" si="1122"/>
        <v/>
      </c>
      <c r="I790" s="1470" t="str">
        <f t="shared" si="1123"/>
        <v/>
      </c>
      <c r="J790" s="1469" t="str">
        <f t="shared" si="1124"/>
        <v/>
      </c>
      <c r="K790" s="1127" t="str">
        <f t="shared" si="1125"/>
        <v/>
      </c>
      <c r="L790" s="1127" t="str">
        <f t="shared" si="1126"/>
        <v/>
      </c>
      <c r="M790" s="1127" t="str">
        <f t="shared" si="1127"/>
        <v/>
      </c>
      <c r="N790" s="1127" t="str">
        <f t="shared" si="1128"/>
        <v/>
      </c>
      <c r="O790" s="302"/>
      <c r="P790" s="158"/>
      <c r="Q790" s="694"/>
      <c r="R790" s="694"/>
      <c r="S790" s="1449" t="str">
        <f>IF($M682&lt;&gt;EUconst_Relevant,"",
IF($V682&gt;($J$1840-3),
              IF(INDEX(H737:N737,MATCH($V682,$T788:$Z788,0))=0,0,INDEX(H790:N790,MATCH($V682,$T788:$Z788,0))/INDEX(H737:N737,MATCH($V682,$T788:$Z788,0))),
                             IF(ISNUMBER(G737),
                                            IF(OR(G737=0,$S721=FALSE),0,G790/G737),"")))</f>
        <v/>
      </c>
      <c r="T790" s="1450" t="str">
        <f t="shared" ref="T790" si="1137">IF($E790="","",IF(IFERROR(SUM($S790)=0,SUM(H790)),SUM(H790),SUM(H737)*SUM($S790))*IF(SUM(H790)=0,1,SUM(H756)/SUM(H790)))</f>
        <v/>
      </c>
      <c r="U790" s="1450" t="str">
        <f t="shared" ref="U790" si="1138">IF($E790="","",IF(IFERROR(SUM($S790)=0,SUM(I790)),SUM(I790),SUM(I737)*SUM($S790))*IF(SUM(I790)=0,1,SUM(I756)/SUM(I790)))</f>
        <v/>
      </c>
      <c r="V790" s="1450" t="str">
        <f t="shared" ref="V790" si="1139">IF($E790="","",IF(IFERROR(SUM($S790)=0,SUM(J790)),SUM(J790),SUM(J737)*SUM($S790))*IF(SUM(J790)=0,1,SUM(J756)/SUM(J790)))</f>
        <v/>
      </c>
      <c r="W790" s="1450" t="str">
        <f t="shared" ref="W790" si="1140">IF($E790="","",IF(IFERROR(SUM($S790)=0,SUM(K790)),SUM(K790),SUM(K737)*SUM($S790))*IF(SUM(K790)=0,1,SUM(K756)/SUM(K790)))</f>
        <v/>
      </c>
      <c r="X790" s="1450" t="str">
        <f t="shared" ref="X790" si="1141">IF($E790="","",IF(IFERROR(SUM($S790)=0,SUM(L790)),SUM(L790),SUM(L737)*SUM($S790))*IF(SUM(L790)=0,1,SUM(L756)/SUM(L790)))</f>
        <v/>
      </c>
      <c r="Y790" s="1450" t="str">
        <f t="shared" ref="Y790" si="1142">IF($E790="","",IF(IFERROR(SUM($S790)=0,SUM(M790)),SUM(M790),SUM(M737)*SUM($S790))*IF(SUM(M790)=0,1,SUM(M756)/SUM(M790)))</f>
        <v/>
      </c>
      <c r="Z790" s="1451" t="str">
        <f t="shared" ref="Z790" si="1143">IF($E790="","",IF(IFERROR(SUM($S790)=0,SUM(N790)),SUM(N790),SUM(N737)*SUM($S790))*IF(SUM(N790)=0,1,SUM(N756)/SUM(N790)))</f>
        <v/>
      </c>
      <c r="AA790" s="694"/>
      <c r="AB790" s="1431">
        <f t="shared" ref="AB790:AI790" si="1144">AB774</f>
        <v>2</v>
      </c>
      <c r="AC790" s="1432">
        <f t="shared" si="1144"/>
        <v>2</v>
      </c>
      <c r="AD790" s="1432">
        <f t="shared" si="1144"/>
        <v>2</v>
      </c>
      <c r="AE790" s="1432">
        <f t="shared" si="1144"/>
        <v>2</v>
      </c>
      <c r="AF790" s="1432">
        <f t="shared" si="1144"/>
        <v>2</v>
      </c>
      <c r="AG790" s="1432">
        <f t="shared" si="1144"/>
        <v>2</v>
      </c>
      <c r="AH790" s="1432">
        <f t="shared" si="1144"/>
        <v>2</v>
      </c>
      <c r="AI790" s="1452">
        <f t="shared" si="1144"/>
        <v>2</v>
      </c>
      <c r="AJ790" s="343"/>
      <c r="AK790" s="1174" t="s">
        <v>2039</v>
      </c>
      <c r="AL790" s="1176"/>
      <c r="AM790" s="343"/>
    </row>
    <row r="791" spans="1:39" ht="12.75" hidden="1" customHeight="1" x14ac:dyDescent="0.25">
      <c r="A791" s="729" t="str">
        <f t="shared" si="1082"/>
        <v>ausblenden</v>
      </c>
      <c r="B791" s="698"/>
      <c r="C791" s="2906"/>
      <c r="D791" s="990">
        <v>3</v>
      </c>
      <c r="E791" s="1430" t="str">
        <f t="shared" si="1120"/>
        <v/>
      </c>
      <c r="F791" s="1448" t="str">
        <f t="shared" si="1121"/>
        <v>TJ</v>
      </c>
      <c r="G791" s="1470" t="str">
        <f t="shared" si="1136"/>
        <v/>
      </c>
      <c r="H791" s="1469" t="str">
        <f t="shared" si="1122"/>
        <v/>
      </c>
      <c r="I791" s="1470" t="str">
        <f t="shared" si="1123"/>
        <v/>
      </c>
      <c r="J791" s="1469" t="str">
        <f t="shared" si="1124"/>
        <v/>
      </c>
      <c r="K791" s="1127" t="str">
        <f t="shared" si="1125"/>
        <v/>
      </c>
      <c r="L791" s="1127" t="str">
        <f t="shared" si="1126"/>
        <v/>
      </c>
      <c r="M791" s="1127" t="str">
        <f t="shared" si="1127"/>
        <v/>
      </c>
      <c r="N791" s="1127" t="str">
        <f t="shared" si="1128"/>
        <v/>
      </c>
      <c r="O791" s="302"/>
      <c r="P791" s="158"/>
      <c r="Q791" s="694"/>
      <c r="R791" s="694"/>
      <c r="S791" s="1449" t="str">
        <f>IF($M682&lt;&gt;EUconst_Relevant,"",
IF($V682&gt;($J$1840-3),
              IF(INDEX(H738:N738,MATCH($V682,$T788:$Z788,0))=0,0,INDEX(H791:N791,MATCH($V682,$T788:$Z788,0))/INDEX(H738:N738,MATCH($V682,$T788:$Z788,0))),
                             IF(ISNUMBER(G738),
                                            IF(OR(G738=0,$S722=FALSE),0,G791/G738),"")))</f>
        <v/>
      </c>
      <c r="T791" s="1450" t="str">
        <f t="shared" ref="T791" si="1145">IF($E791="","",IF(IFERROR(SUM($S791)=0,SUM(H791)),SUM(H791),SUM(H738)*SUM($S791))*IF(SUM(H791)=0,1,SUM(H757)/SUM(H791)))</f>
        <v/>
      </c>
      <c r="U791" s="1450" t="str">
        <f t="shared" ref="U791" si="1146">IF($E791="","",IF(IFERROR(SUM($S791)=0,SUM(I791)),SUM(I791),SUM(I738)*SUM($S791))*IF(SUM(I791)=0,1,SUM(I757)/SUM(I791)))</f>
        <v/>
      </c>
      <c r="V791" s="1450" t="str">
        <f t="shared" ref="V791" si="1147">IF($E791="","",IF(IFERROR(SUM($S791)=0,SUM(J791)),SUM(J791),SUM(J738)*SUM($S791))*IF(SUM(J791)=0,1,SUM(J757)/SUM(J791)))</f>
        <v/>
      </c>
      <c r="W791" s="1450" t="str">
        <f t="shared" ref="W791" si="1148">IF($E791="","",IF(IFERROR(SUM($S791)=0,SUM(K791)),SUM(K791),SUM(K738)*SUM($S791))*IF(SUM(K791)=0,1,SUM(K757)/SUM(K791)))</f>
        <v/>
      </c>
      <c r="X791" s="1450" t="str">
        <f t="shared" ref="X791" si="1149">IF($E791="","",IF(IFERROR(SUM($S791)=0,SUM(L791)),SUM(L791),SUM(L738)*SUM($S791))*IF(SUM(L791)=0,1,SUM(L757)/SUM(L791)))</f>
        <v/>
      </c>
      <c r="Y791" s="1450" t="str">
        <f t="shared" ref="Y791" si="1150">IF($E791="","",IF(IFERROR(SUM($S791)=0,SUM(M791)),SUM(M791),SUM(M738)*SUM($S791))*IF(SUM(M791)=0,1,SUM(M757)/SUM(M791)))</f>
        <v/>
      </c>
      <c r="Z791" s="1451" t="str">
        <f t="shared" ref="Z791" si="1151">IF($E791="","",IF(IFERROR(SUM($S791)=0,SUM(N791)),SUM(N791),SUM(N738)*SUM($S791))*IF(SUM(N791)=0,1,SUM(N757)/SUM(N791)))</f>
        <v/>
      </c>
      <c r="AA791" s="694"/>
      <c r="AB791" s="1431">
        <f t="shared" ref="AB791:AI791" si="1152">AB775</f>
        <v>2</v>
      </c>
      <c r="AC791" s="1432">
        <f t="shared" si="1152"/>
        <v>2</v>
      </c>
      <c r="AD791" s="1432">
        <f t="shared" si="1152"/>
        <v>2</v>
      </c>
      <c r="AE791" s="1432">
        <f t="shared" si="1152"/>
        <v>2</v>
      </c>
      <c r="AF791" s="1432">
        <f t="shared" si="1152"/>
        <v>2</v>
      </c>
      <c r="AG791" s="1432">
        <f t="shared" si="1152"/>
        <v>2</v>
      </c>
      <c r="AH791" s="1432">
        <f t="shared" si="1152"/>
        <v>2</v>
      </c>
      <c r="AI791" s="1452">
        <f t="shared" si="1152"/>
        <v>2</v>
      </c>
      <c r="AJ791" s="343"/>
      <c r="AK791" s="1174" t="s">
        <v>2039</v>
      </c>
      <c r="AL791" s="1176"/>
      <c r="AM791" s="343"/>
    </row>
    <row r="792" spans="1:39" ht="12.75" hidden="1" customHeight="1" x14ac:dyDescent="0.25">
      <c r="A792" s="729" t="str">
        <f t="shared" si="1082"/>
        <v>ausblenden</v>
      </c>
      <c r="B792" s="698"/>
      <c r="C792" s="2906"/>
      <c r="D792" s="990">
        <v>4</v>
      </c>
      <c r="E792" s="1430" t="str">
        <f t="shared" si="1120"/>
        <v/>
      </c>
      <c r="F792" s="1448" t="str">
        <f t="shared" si="1121"/>
        <v>TJ</v>
      </c>
      <c r="G792" s="1470" t="str">
        <f t="shared" si="1136"/>
        <v/>
      </c>
      <c r="H792" s="1469" t="str">
        <f t="shared" si="1122"/>
        <v/>
      </c>
      <c r="I792" s="1470" t="str">
        <f t="shared" si="1123"/>
        <v/>
      </c>
      <c r="J792" s="1469" t="str">
        <f t="shared" si="1124"/>
        <v/>
      </c>
      <c r="K792" s="1127" t="str">
        <f t="shared" si="1125"/>
        <v/>
      </c>
      <c r="L792" s="1127" t="str">
        <f t="shared" si="1126"/>
        <v/>
      </c>
      <c r="M792" s="1127" t="str">
        <f t="shared" si="1127"/>
        <v/>
      </c>
      <c r="N792" s="1127" t="str">
        <f t="shared" si="1128"/>
        <v/>
      </c>
      <c r="O792" s="302"/>
      <c r="P792" s="158"/>
      <c r="Q792" s="694"/>
      <c r="R792" s="694"/>
      <c r="S792" s="1449" t="str">
        <f>IF($M682&lt;&gt;EUconst_Relevant,"",
IF($V682&gt;($J$1840-3),
              IF(INDEX(H739:N739,MATCH($V682,$T788:$Z788,0))=0,0,INDEX(H792:N792,MATCH($V682,$T788:$Z788,0))/INDEX(H739:N739,MATCH($V682,$T788:$Z788,0))),
                             IF(ISNUMBER(G739),
                                            IF(OR(G739=0,$S723=FALSE),0,G792/G739),"")))</f>
        <v/>
      </c>
      <c r="T792" s="1450" t="str">
        <f t="shared" ref="T792" si="1153">IF($E792="","",IF(IFERROR(SUM($S792)=0,SUM(H792)),SUM(H792),SUM(H739)*SUM($S792))*IF(SUM(H792)=0,1,SUM(H758)/SUM(H792)))</f>
        <v/>
      </c>
      <c r="U792" s="1450" t="str">
        <f t="shared" ref="U792" si="1154">IF($E792="","",IF(IFERROR(SUM($S792)=0,SUM(I792)),SUM(I792),SUM(I739)*SUM($S792))*IF(SUM(I792)=0,1,SUM(I758)/SUM(I792)))</f>
        <v/>
      </c>
      <c r="V792" s="1450" t="str">
        <f t="shared" ref="V792" si="1155">IF($E792="","",IF(IFERROR(SUM($S792)=0,SUM(J792)),SUM(J792),SUM(J739)*SUM($S792))*IF(SUM(J792)=0,1,SUM(J758)/SUM(J792)))</f>
        <v/>
      </c>
      <c r="W792" s="1450" t="str">
        <f t="shared" ref="W792" si="1156">IF($E792="","",IF(IFERROR(SUM($S792)=0,SUM(K792)),SUM(K792),SUM(K739)*SUM($S792))*IF(SUM(K792)=0,1,SUM(K758)/SUM(K792)))</f>
        <v/>
      </c>
      <c r="X792" s="1450" t="str">
        <f t="shared" ref="X792" si="1157">IF($E792="","",IF(IFERROR(SUM($S792)=0,SUM(L792)),SUM(L792),SUM(L739)*SUM($S792))*IF(SUM(L792)=0,1,SUM(L758)/SUM(L792)))</f>
        <v/>
      </c>
      <c r="Y792" s="1450" t="str">
        <f t="shared" ref="Y792" si="1158">IF($E792="","",IF(IFERROR(SUM($S792)=0,SUM(M792)),SUM(M792),SUM(M739)*SUM($S792))*IF(SUM(M792)=0,1,SUM(M758)/SUM(M792)))</f>
        <v/>
      </c>
      <c r="Z792" s="1451" t="str">
        <f t="shared" ref="Z792" si="1159">IF($E792="","",IF(IFERROR(SUM($S792)=0,SUM(N792)),SUM(N792),SUM(N739)*SUM($S792))*IF(SUM(N792)=0,1,SUM(N758)/SUM(N792)))</f>
        <v/>
      </c>
      <c r="AA792" s="694"/>
      <c r="AB792" s="1431">
        <f t="shared" ref="AB792:AI792" si="1160">AB776</f>
        <v>2</v>
      </c>
      <c r="AC792" s="1432">
        <f t="shared" si="1160"/>
        <v>2</v>
      </c>
      <c r="AD792" s="1432">
        <f t="shared" si="1160"/>
        <v>2</v>
      </c>
      <c r="AE792" s="1432">
        <f t="shared" si="1160"/>
        <v>2</v>
      </c>
      <c r="AF792" s="1432">
        <f t="shared" si="1160"/>
        <v>2</v>
      </c>
      <c r="AG792" s="1432">
        <f t="shared" si="1160"/>
        <v>2</v>
      </c>
      <c r="AH792" s="1432">
        <f t="shared" si="1160"/>
        <v>2</v>
      </c>
      <c r="AI792" s="1452">
        <f t="shared" si="1160"/>
        <v>2</v>
      </c>
      <c r="AJ792" s="343"/>
      <c r="AK792" s="1174" t="s">
        <v>2039</v>
      </c>
      <c r="AL792" s="1176"/>
      <c r="AM792" s="343"/>
    </row>
    <row r="793" spans="1:39" ht="12.75" hidden="1" customHeight="1" x14ac:dyDescent="0.25">
      <c r="A793" s="729" t="str">
        <f t="shared" si="1082"/>
        <v>ausblenden</v>
      </c>
      <c r="B793" s="698"/>
      <c r="C793" s="2906"/>
      <c r="D793" s="990">
        <v>5</v>
      </c>
      <c r="E793" s="1430" t="str">
        <f t="shared" si="1120"/>
        <v/>
      </c>
      <c r="F793" s="1448" t="str">
        <f t="shared" si="1121"/>
        <v>TJ</v>
      </c>
      <c r="G793" s="1470" t="str">
        <f t="shared" si="1136"/>
        <v/>
      </c>
      <c r="H793" s="1469" t="str">
        <f t="shared" si="1122"/>
        <v/>
      </c>
      <c r="I793" s="1470" t="str">
        <f t="shared" si="1123"/>
        <v/>
      </c>
      <c r="J793" s="1469" t="str">
        <f t="shared" si="1124"/>
        <v/>
      </c>
      <c r="K793" s="1127" t="str">
        <f t="shared" si="1125"/>
        <v/>
      </c>
      <c r="L793" s="1127" t="str">
        <f t="shared" si="1126"/>
        <v/>
      </c>
      <c r="M793" s="1127" t="str">
        <f t="shared" si="1127"/>
        <v/>
      </c>
      <c r="N793" s="1127" t="str">
        <f t="shared" si="1128"/>
        <v/>
      </c>
      <c r="O793" s="302"/>
      <c r="P793" s="158"/>
      <c r="Q793" s="694"/>
      <c r="R793" s="694"/>
      <c r="S793" s="1449" t="str">
        <f>IF($M682&lt;&gt;EUconst_Relevant,"",
IF($V682&gt;($J$1840-3),
              IF(INDEX(H740:N740,MATCH($V682,$T788:$Z788,0))=0,0,INDEX(H793:N793,MATCH($V682,$T788:$Z788,0))/INDEX(H740:N740,MATCH($V682,$T788:$Z788,0))),
                             IF(ISNUMBER(G740),
                                            IF(OR(G740=0,$S724=FALSE),0,G793/G740),"")))</f>
        <v/>
      </c>
      <c r="T793" s="1450" t="str">
        <f t="shared" ref="T793" si="1161">IF($E793="","",IF(IFERROR(SUM($S793)=0,SUM(H793)),SUM(H793),SUM(H740)*SUM($S793))*IF(SUM(H793)=0,1,SUM(H759)/SUM(H793)))</f>
        <v/>
      </c>
      <c r="U793" s="1450" t="str">
        <f t="shared" ref="U793" si="1162">IF($E793="","",IF(IFERROR(SUM($S793)=0,SUM(I793)),SUM(I793),SUM(I740)*SUM($S793))*IF(SUM(I793)=0,1,SUM(I759)/SUM(I793)))</f>
        <v/>
      </c>
      <c r="V793" s="1450" t="str">
        <f t="shared" ref="V793" si="1163">IF($E793="","",IF(IFERROR(SUM($S793)=0,SUM(J793)),SUM(J793),SUM(J740)*SUM($S793))*IF(SUM(J793)=0,1,SUM(J759)/SUM(J793)))</f>
        <v/>
      </c>
      <c r="W793" s="1450" t="str">
        <f t="shared" ref="W793" si="1164">IF($E793="","",IF(IFERROR(SUM($S793)=0,SUM(K793)),SUM(K793),SUM(K740)*SUM($S793))*IF(SUM(K793)=0,1,SUM(K759)/SUM(K793)))</f>
        <v/>
      </c>
      <c r="X793" s="1450" t="str">
        <f t="shared" ref="X793" si="1165">IF($E793="","",IF(IFERROR(SUM($S793)=0,SUM(L793)),SUM(L793),SUM(L740)*SUM($S793))*IF(SUM(L793)=0,1,SUM(L759)/SUM(L793)))</f>
        <v/>
      </c>
      <c r="Y793" s="1450" t="str">
        <f t="shared" ref="Y793" si="1166">IF($E793="","",IF(IFERROR(SUM($S793)=0,SUM(M793)),SUM(M793),SUM(M740)*SUM($S793))*IF(SUM(M793)=0,1,SUM(M759)/SUM(M793)))</f>
        <v/>
      </c>
      <c r="Z793" s="1451" t="str">
        <f t="shared" ref="Z793" si="1167">IF($E793="","",IF(IFERROR(SUM($S793)=0,SUM(N793)),SUM(N793),SUM(N740)*SUM($S793))*IF(SUM(N793)=0,1,SUM(N759)/SUM(N793)))</f>
        <v/>
      </c>
      <c r="AA793" s="694"/>
      <c r="AB793" s="1431">
        <f t="shared" ref="AB793:AI793" si="1168">AB777</f>
        <v>2</v>
      </c>
      <c r="AC793" s="1432">
        <f t="shared" si="1168"/>
        <v>2</v>
      </c>
      <c r="AD793" s="1432">
        <f t="shared" si="1168"/>
        <v>2</v>
      </c>
      <c r="AE793" s="1432">
        <f t="shared" si="1168"/>
        <v>2</v>
      </c>
      <c r="AF793" s="1432">
        <f t="shared" si="1168"/>
        <v>2</v>
      </c>
      <c r="AG793" s="1432">
        <f t="shared" si="1168"/>
        <v>2</v>
      </c>
      <c r="AH793" s="1432">
        <f t="shared" si="1168"/>
        <v>2</v>
      </c>
      <c r="AI793" s="1452">
        <f t="shared" si="1168"/>
        <v>2</v>
      </c>
      <c r="AJ793" s="343"/>
      <c r="AK793" s="1174" t="s">
        <v>2039</v>
      </c>
      <c r="AL793" s="1176"/>
      <c r="AM793" s="343"/>
    </row>
    <row r="794" spans="1:39" ht="12.75" hidden="1" customHeight="1" x14ac:dyDescent="0.25">
      <c r="A794" s="729" t="str">
        <f t="shared" si="1082"/>
        <v>ausblenden</v>
      </c>
      <c r="B794" s="698"/>
      <c r="C794" s="2906"/>
      <c r="D794" s="990">
        <v>6</v>
      </c>
      <c r="E794" s="1430" t="str">
        <f t="shared" si="1120"/>
        <v/>
      </c>
      <c r="F794" s="1448" t="str">
        <f t="shared" si="1121"/>
        <v>TJ</v>
      </c>
      <c r="G794" s="1470" t="str">
        <f t="shared" si="1136"/>
        <v/>
      </c>
      <c r="H794" s="1469" t="str">
        <f t="shared" si="1122"/>
        <v/>
      </c>
      <c r="I794" s="1470" t="str">
        <f t="shared" si="1123"/>
        <v/>
      </c>
      <c r="J794" s="1469" t="str">
        <f t="shared" si="1124"/>
        <v/>
      </c>
      <c r="K794" s="1127" t="str">
        <f t="shared" si="1125"/>
        <v/>
      </c>
      <c r="L794" s="1127" t="str">
        <f t="shared" si="1126"/>
        <v/>
      </c>
      <c r="M794" s="1127" t="str">
        <f t="shared" si="1127"/>
        <v/>
      </c>
      <c r="N794" s="1127" t="str">
        <f t="shared" si="1128"/>
        <v/>
      </c>
      <c r="O794" s="302"/>
      <c r="P794" s="158"/>
      <c r="Q794" s="694"/>
      <c r="R794" s="694"/>
      <c r="S794" s="1449" t="str">
        <f>IF($M682&lt;&gt;EUconst_Relevant,"",
IF($V682&gt;($J$1840-3),
              IF(INDEX(H741:N741,MATCH($V682,$T788:$Z788,0))=0,0,INDEX(H794:N794,MATCH($V682,$T788:$Z788,0))/INDEX(H741:N741,MATCH($V682,$T788:$Z788,0))),
                             IF(ISNUMBER(G741),
                                            IF(OR(G741=0,$S725=FALSE),0,G794/G741),"")))</f>
        <v/>
      </c>
      <c r="T794" s="1450" t="str">
        <f t="shared" ref="T794" si="1169">IF($E794="","",IF(IFERROR(SUM($S794)=0,SUM(H794)),SUM(H794),SUM(H741)*SUM($S794))*IF(SUM(H794)=0,1,SUM(H760)/SUM(H794)))</f>
        <v/>
      </c>
      <c r="U794" s="1450" t="str">
        <f t="shared" ref="U794" si="1170">IF($E794="","",IF(IFERROR(SUM($S794)=0,SUM(I794)),SUM(I794),SUM(I741)*SUM($S794))*IF(SUM(I794)=0,1,SUM(I760)/SUM(I794)))</f>
        <v/>
      </c>
      <c r="V794" s="1450" t="str">
        <f t="shared" ref="V794" si="1171">IF($E794="","",IF(IFERROR(SUM($S794)=0,SUM(J794)),SUM(J794),SUM(J741)*SUM($S794))*IF(SUM(J794)=0,1,SUM(J760)/SUM(J794)))</f>
        <v/>
      </c>
      <c r="W794" s="1450" t="str">
        <f t="shared" ref="W794" si="1172">IF($E794="","",IF(IFERROR(SUM($S794)=0,SUM(K794)),SUM(K794),SUM(K741)*SUM($S794))*IF(SUM(K794)=0,1,SUM(K760)/SUM(K794)))</f>
        <v/>
      </c>
      <c r="X794" s="1450" t="str">
        <f t="shared" ref="X794" si="1173">IF($E794="","",IF(IFERROR(SUM($S794)=0,SUM(L794)),SUM(L794),SUM(L741)*SUM($S794))*IF(SUM(L794)=0,1,SUM(L760)/SUM(L794)))</f>
        <v/>
      </c>
      <c r="Y794" s="1450" t="str">
        <f t="shared" ref="Y794" si="1174">IF($E794="","",IF(IFERROR(SUM($S794)=0,SUM(M794)),SUM(M794),SUM(M741)*SUM($S794))*IF(SUM(M794)=0,1,SUM(M760)/SUM(M794)))</f>
        <v/>
      </c>
      <c r="Z794" s="1451" t="str">
        <f t="shared" ref="Z794" si="1175">IF($E794="","",IF(IFERROR(SUM($S794)=0,SUM(N794)),SUM(N794),SUM(N741)*SUM($S794))*IF(SUM(N794)=0,1,SUM(N760)/SUM(N794)))</f>
        <v/>
      </c>
      <c r="AA794" s="694"/>
      <c r="AB794" s="1431">
        <f t="shared" ref="AB794:AI794" si="1176">AB778</f>
        <v>2</v>
      </c>
      <c r="AC794" s="1432">
        <f t="shared" si="1176"/>
        <v>2</v>
      </c>
      <c r="AD794" s="1432">
        <f t="shared" si="1176"/>
        <v>2</v>
      </c>
      <c r="AE794" s="1432">
        <f t="shared" si="1176"/>
        <v>2</v>
      </c>
      <c r="AF794" s="1432">
        <f t="shared" si="1176"/>
        <v>2</v>
      </c>
      <c r="AG794" s="1432">
        <f t="shared" si="1176"/>
        <v>2</v>
      </c>
      <c r="AH794" s="1432">
        <f t="shared" si="1176"/>
        <v>2</v>
      </c>
      <c r="AI794" s="1452">
        <f t="shared" si="1176"/>
        <v>2</v>
      </c>
      <c r="AJ794" s="343"/>
      <c r="AK794" s="1174" t="s">
        <v>2039</v>
      </c>
      <c r="AL794" s="1176"/>
      <c r="AM794" s="343"/>
    </row>
    <row r="795" spans="1:39" ht="12.75" hidden="1" customHeight="1" x14ac:dyDescent="0.25">
      <c r="A795" s="729" t="str">
        <f t="shared" si="1082"/>
        <v>ausblenden</v>
      </c>
      <c r="B795" s="698"/>
      <c r="C795" s="2906"/>
      <c r="D795" s="990">
        <v>7</v>
      </c>
      <c r="E795" s="1430" t="str">
        <f t="shared" si="1120"/>
        <v/>
      </c>
      <c r="F795" s="1448" t="str">
        <f t="shared" si="1121"/>
        <v>TJ</v>
      </c>
      <c r="G795" s="1470" t="str">
        <f t="shared" si="1136"/>
        <v/>
      </c>
      <c r="H795" s="1469" t="str">
        <f t="shared" si="1122"/>
        <v/>
      </c>
      <c r="I795" s="1470" t="str">
        <f t="shared" si="1123"/>
        <v/>
      </c>
      <c r="J795" s="1469" t="str">
        <f t="shared" si="1124"/>
        <v/>
      </c>
      <c r="K795" s="1127" t="str">
        <f t="shared" si="1125"/>
        <v/>
      </c>
      <c r="L795" s="1127" t="str">
        <f t="shared" si="1126"/>
        <v/>
      </c>
      <c r="M795" s="1127" t="str">
        <f t="shared" si="1127"/>
        <v/>
      </c>
      <c r="N795" s="1127" t="str">
        <f t="shared" si="1128"/>
        <v/>
      </c>
      <c r="O795" s="302"/>
      <c r="P795" s="158"/>
      <c r="Q795" s="694"/>
      <c r="R795" s="694"/>
      <c r="S795" s="1449" t="str">
        <f>IF($M682&lt;&gt;EUconst_Relevant,"",
IF($V682&gt;($J$1840-3),
              IF(INDEX(H742:N742,MATCH($V682,$T788:$Z788,0))=0,0,INDEX(H795:N795,MATCH($V682,$T788:$Z788,0))/INDEX(H742:N742,MATCH($V682,$T788:$Z788,0))),
                             IF(ISNUMBER(G742),
                                            IF(OR(G742=0,$S726=FALSE),0,G795/G742),"")))</f>
        <v/>
      </c>
      <c r="T795" s="1450" t="str">
        <f t="shared" ref="T795" si="1177">IF($E795="","",IF(IFERROR(SUM($S795)=0,SUM(H795)),SUM(H795),SUM(H742)*SUM($S795))*IF(SUM(H795)=0,1,SUM(H761)/SUM(H795)))</f>
        <v/>
      </c>
      <c r="U795" s="1450" t="str">
        <f t="shared" ref="U795" si="1178">IF($E795="","",IF(IFERROR(SUM($S795)=0,SUM(I795)),SUM(I795),SUM(I742)*SUM($S795))*IF(SUM(I795)=0,1,SUM(I761)/SUM(I795)))</f>
        <v/>
      </c>
      <c r="V795" s="1450" t="str">
        <f t="shared" ref="V795" si="1179">IF($E795="","",IF(IFERROR(SUM($S795)=0,SUM(J795)),SUM(J795),SUM(J742)*SUM($S795))*IF(SUM(J795)=0,1,SUM(J761)/SUM(J795)))</f>
        <v/>
      </c>
      <c r="W795" s="1450" t="str">
        <f t="shared" ref="W795" si="1180">IF($E795="","",IF(IFERROR(SUM($S795)=0,SUM(K795)),SUM(K795),SUM(K742)*SUM($S795))*IF(SUM(K795)=0,1,SUM(K761)/SUM(K795)))</f>
        <v/>
      </c>
      <c r="X795" s="1450" t="str">
        <f t="shared" ref="X795" si="1181">IF($E795="","",IF(IFERROR(SUM($S795)=0,SUM(L795)),SUM(L795),SUM(L742)*SUM($S795))*IF(SUM(L795)=0,1,SUM(L761)/SUM(L795)))</f>
        <v/>
      </c>
      <c r="Y795" s="1450" t="str">
        <f t="shared" ref="Y795" si="1182">IF($E795="","",IF(IFERROR(SUM($S795)=0,SUM(M795)),SUM(M795),SUM(M742)*SUM($S795))*IF(SUM(M795)=0,1,SUM(M761)/SUM(M795)))</f>
        <v/>
      </c>
      <c r="Z795" s="1451" t="str">
        <f t="shared" ref="Z795" si="1183">IF($E795="","",IF(IFERROR(SUM($S795)=0,SUM(N795)),SUM(N795),SUM(N742)*SUM($S795))*IF(SUM(N795)=0,1,SUM(N761)/SUM(N795)))</f>
        <v/>
      </c>
      <c r="AA795" s="694"/>
      <c r="AB795" s="1431">
        <f t="shared" ref="AB795:AI795" si="1184">AB779</f>
        <v>2</v>
      </c>
      <c r="AC795" s="1432">
        <f t="shared" si="1184"/>
        <v>2</v>
      </c>
      <c r="AD795" s="1432">
        <f t="shared" si="1184"/>
        <v>2</v>
      </c>
      <c r="AE795" s="1432">
        <f t="shared" si="1184"/>
        <v>2</v>
      </c>
      <c r="AF795" s="1432">
        <f t="shared" si="1184"/>
        <v>2</v>
      </c>
      <c r="AG795" s="1432">
        <f t="shared" si="1184"/>
        <v>2</v>
      </c>
      <c r="AH795" s="1432">
        <f t="shared" si="1184"/>
        <v>2</v>
      </c>
      <c r="AI795" s="1452">
        <f t="shared" si="1184"/>
        <v>2</v>
      </c>
      <c r="AJ795" s="343"/>
      <c r="AK795" s="1174" t="s">
        <v>2039</v>
      </c>
      <c r="AL795" s="1176"/>
      <c r="AM795" s="343"/>
    </row>
    <row r="796" spans="1:39" ht="12.75" hidden="1" customHeight="1" x14ac:dyDescent="0.25">
      <c r="A796" s="729" t="str">
        <f t="shared" si="1082"/>
        <v>ausblenden</v>
      </c>
      <c r="B796" s="698"/>
      <c r="C796" s="2906"/>
      <c r="D796" s="990">
        <v>8</v>
      </c>
      <c r="E796" s="1430" t="str">
        <f t="shared" si="1120"/>
        <v/>
      </c>
      <c r="F796" s="1448" t="str">
        <f t="shared" si="1121"/>
        <v>TJ</v>
      </c>
      <c r="G796" s="1470" t="str">
        <f t="shared" si="1136"/>
        <v/>
      </c>
      <c r="H796" s="1469" t="str">
        <f t="shared" si="1122"/>
        <v/>
      </c>
      <c r="I796" s="1470" t="str">
        <f t="shared" si="1123"/>
        <v/>
      </c>
      <c r="J796" s="1469" t="str">
        <f t="shared" si="1124"/>
        <v/>
      </c>
      <c r="K796" s="1127" t="str">
        <f t="shared" si="1125"/>
        <v/>
      </c>
      <c r="L796" s="1127" t="str">
        <f t="shared" si="1126"/>
        <v/>
      </c>
      <c r="M796" s="1127" t="str">
        <f t="shared" si="1127"/>
        <v/>
      </c>
      <c r="N796" s="1127" t="str">
        <f t="shared" si="1128"/>
        <v/>
      </c>
      <c r="O796" s="302"/>
      <c r="P796" s="158"/>
      <c r="Q796" s="694"/>
      <c r="R796" s="694"/>
      <c r="S796" s="1449" t="str">
        <f>IF($M682&lt;&gt;EUconst_Relevant,"",
IF($V682&gt;($J$1840-3),
              IF(INDEX(H743:N743,MATCH($V682,$T788:$Z788,0))=0,0,INDEX(H796:N796,MATCH($V682,$T788:$Z788,0))/INDEX(H743:N743,MATCH($V682,$T788:$Z788,0))),
                             IF(ISNUMBER(G743),
                                            IF(OR(G743=0,$S727=FALSE),0,G796/G743),"")))</f>
        <v/>
      </c>
      <c r="T796" s="1450" t="str">
        <f t="shared" ref="T796" si="1185">IF($E796="","",IF(IFERROR(SUM($S796)=0,SUM(H796)),SUM(H796),SUM(H743)*SUM($S796))*IF(SUM(H796)=0,1,SUM(H762)/SUM(H796)))</f>
        <v/>
      </c>
      <c r="U796" s="1450" t="str">
        <f t="shared" ref="U796" si="1186">IF($E796="","",IF(IFERROR(SUM($S796)=0,SUM(I796)),SUM(I796),SUM(I743)*SUM($S796))*IF(SUM(I796)=0,1,SUM(I762)/SUM(I796)))</f>
        <v/>
      </c>
      <c r="V796" s="1450" t="str">
        <f t="shared" ref="V796" si="1187">IF($E796="","",IF(IFERROR(SUM($S796)=0,SUM(J796)),SUM(J796),SUM(J743)*SUM($S796))*IF(SUM(J796)=0,1,SUM(J762)/SUM(J796)))</f>
        <v/>
      </c>
      <c r="W796" s="1450" t="str">
        <f t="shared" ref="W796" si="1188">IF($E796="","",IF(IFERROR(SUM($S796)=0,SUM(K796)),SUM(K796),SUM(K743)*SUM($S796))*IF(SUM(K796)=0,1,SUM(K762)/SUM(K796)))</f>
        <v/>
      </c>
      <c r="X796" s="1450" t="str">
        <f t="shared" ref="X796" si="1189">IF($E796="","",IF(IFERROR(SUM($S796)=0,SUM(L796)),SUM(L796),SUM(L743)*SUM($S796))*IF(SUM(L796)=0,1,SUM(L762)/SUM(L796)))</f>
        <v/>
      </c>
      <c r="Y796" s="1450" t="str">
        <f t="shared" ref="Y796" si="1190">IF($E796="","",IF(IFERROR(SUM($S796)=0,SUM(M796)),SUM(M796),SUM(M743)*SUM($S796))*IF(SUM(M796)=0,1,SUM(M762)/SUM(M796)))</f>
        <v/>
      </c>
      <c r="Z796" s="1451" t="str">
        <f t="shared" ref="Z796" si="1191">IF($E796="","",IF(IFERROR(SUM($S796)=0,SUM(N796)),SUM(N796),SUM(N743)*SUM($S796))*IF(SUM(N796)=0,1,SUM(N762)/SUM(N796)))</f>
        <v/>
      </c>
      <c r="AA796" s="694"/>
      <c r="AB796" s="1431">
        <f t="shared" ref="AB796:AI796" si="1192">AB780</f>
        <v>2</v>
      </c>
      <c r="AC796" s="1432">
        <f t="shared" si="1192"/>
        <v>2</v>
      </c>
      <c r="AD796" s="1432">
        <f t="shared" si="1192"/>
        <v>2</v>
      </c>
      <c r="AE796" s="1432">
        <f t="shared" si="1192"/>
        <v>2</v>
      </c>
      <c r="AF796" s="1432">
        <f t="shared" si="1192"/>
        <v>2</v>
      </c>
      <c r="AG796" s="1432">
        <f t="shared" si="1192"/>
        <v>2</v>
      </c>
      <c r="AH796" s="1432">
        <f t="shared" si="1192"/>
        <v>2</v>
      </c>
      <c r="AI796" s="1452">
        <f t="shared" si="1192"/>
        <v>2</v>
      </c>
      <c r="AJ796" s="343"/>
      <c r="AK796" s="1174" t="s">
        <v>2039</v>
      </c>
      <c r="AL796" s="1176"/>
      <c r="AM796" s="343"/>
    </row>
    <row r="797" spans="1:39" ht="12.75" hidden="1" customHeight="1" x14ac:dyDescent="0.25">
      <c r="A797" s="729" t="str">
        <f t="shared" si="1082"/>
        <v>ausblenden</v>
      </c>
      <c r="B797" s="698"/>
      <c r="C797" s="2906"/>
      <c r="D797" s="990">
        <v>9</v>
      </c>
      <c r="E797" s="1430" t="str">
        <f t="shared" si="1120"/>
        <v/>
      </c>
      <c r="F797" s="1448" t="str">
        <f t="shared" si="1121"/>
        <v>TJ</v>
      </c>
      <c r="G797" s="1470" t="str">
        <f t="shared" si="1136"/>
        <v/>
      </c>
      <c r="H797" s="1469" t="str">
        <f t="shared" si="1122"/>
        <v/>
      </c>
      <c r="I797" s="1470" t="str">
        <f t="shared" si="1123"/>
        <v/>
      </c>
      <c r="J797" s="1469" t="str">
        <f t="shared" si="1124"/>
        <v/>
      </c>
      <c r="K797" s="1127" t="str">
        <f t="shared" si="1125"/>
        <v/>
      </c>
      <c r="L797" s="1127" t="str">
        <f t="shared" si="1126"/>
        <v/>
      </c>
      <c r="M797" s="1127" t="str">
        <f t="shared" si="1127"/>
        <v/>
      </c>
      <c r="N797" s="1127" t="str">
        <f t="shared" si="1128"/>
        <v/>
      </c>
      <c r="O797" s="302"/>
      <c r="P797" s="158"/>
      <c r="Q797" s="694"/>
      <c r="R797" s="694"/>
      <c r="S797" s="1449" t="str">
        <f>IF($M682&lt;&gt;EUconst_Relevant,"",
IF($V682&gt;($J$1840-3),
              IF(INDEX(H744:N744,MATCH($V682,$T788:$Z788,0))=0,0,INDEX(H797:N797,MATCH($V682,$T788:$Z788,0))/INDEX(H744:N744,MATCH($V682,$T788:$Z788,0))),
                             IF(ISNUMBER(G744),
                                            IF(OR(G744=0,$S728=FALSE),0,G797/G744),"")))</f>
        <v/>
      </c>
      <c r="T797" s="1450" t="str">
        <f t="shared" ref="T797" si="1193">IF($E797="","",IF(IFERROR(SUM($S797)=0,SUM(H797)),SUM(H797),SUM(H744)*SUM($S797))*IF(SUM(H797)=0,1,SUM(H763)/SUM(H797)))</f>
        <v/>
      </c>
      <c r="U797" s="1450" t="str">
        <f t="shared" ref="U797" si="1194">IF($E797="","",IF(IFERROR(SUM($S797)=0,SUM(I797)),SUM(I797),SUM(I744)*SUM($S797))*IF(SUM(I797)=0,1,SUM(I763)/SUM(I797)))</f>
        <v/>
      </c>
      <c r="V797" s="1450" t="str">
        <f t="shared" ref="V797" si="1195">IF($E797="","",IF(IFERROR(SUM($S797)=0,SUM(J797)),SUM(J797),SUM(J744)*SUM($S797))*IF(SUM(J797)=0,1,SUM(J763)/SUM(J797)))</f>
        <v/>
      </c>
      <c r="W797" s="1450" t="str">
        <f t="shared" ref="W797" si="1196">IF($E797="","",IF(IFERROR(SUM($S797)=0,SUM(K797)),SUM(K797),SUM(K744)*SUM($S797))*IF(SUM(K797)=0,1,SUM(K763)/SUM(K797)))</f>
        <v/>
      </c>
      <c r="X797" s="1450" t="str">
        <f t="shared" ref="X797" si="1197">IF($E797="","",IF(IFERROR(SUM($S797)=0,SUM(L797)),SUM(L797),SUM(L744)*SUM($S797))*IF(SUM(L797)=0,1,SUM(L763)/SUM(L797)))</f>
        <v/>
      </c>
      <c r="Y797" s="1450" t="str">
        <f t="shared" ref="Y797" si="1198">IF($E797="","",IF(IFERROR(SUM($S797)=0,SUM(M797)),SUM(M797),SUM(M744)*SUM($S797))*IF(SUM(M797)=0,1,SUM(M763)/SUM(M797)))</f>
        <v/>
      </c>
      <c r="Z797" s="1451" t="str">
        <f t="shared" ref="Z797" si="1199">IF($E797="","",IF(IFERROR(SUM($S797)=0,SUM(N797)),SUM(N797),SUM(N744)*SUM($S797))*IF(SUM(N797)=0,1,SUM(N763)/SUM(N797)))</f>
        <v/>
      </c>
      <c r="AA797" s="694"/>
      <c r="AB797" s="1431">
        <f t="shared" ref="AB797:AI797" si="1200">AB781</f>
        <v>2</v>
      </c>
      <c r="AC797" s="1432">
        <f t="shared" si="1200"/>
        <v>2</v>
      </c>
      <c r="AD797" s="1432">
        <f t="shared" si="1200"/>
        <v>2</v>
      </c>
      <c r="AE797" s="1432">
        <f t="shared" si="1200"/>
        <v>2</v>
      </c>
      <c r="AF797" s="1432">
        <f t="shared" si="1200"/>
        <v>2</v>
      </c>
      <c r="AG797" s="1432">
        <f t="shared" si="1200"/>
        <v>2</v>
      </c>
      <c r="AH797" s="1432">
        <f t="shared" si="1200"/>
        <v>2</v>
      </c>
      <c r="AI797" s="1452">
        <f t="shared" si="1200"/>
        <v>2</v>
      </c>
      <c r="AJ797" s="343"/>
      <c r="AK797" s="1174" t="s">
        <v>2039</v>
      </c>
      <c r="AL797" s="1176"/>
      <c r="AM797" s="343"/>
    </row>
    <row r="798" spans="1:39" ht="12.75" hidden="1" customHeight="1" thickBot="1" x14ac:dyDescent="0.3">
      <c r="A798" s="729" t="str">
        <f t="shared" si="1082"/>
        <v>ausblenden</v>
      </c>
      <c r="B798" s="698"/>
      <c r="C798" s="2906"/>
      <c r="D798" s="994">
        <v>10</v>
      </c>
      <c r="E798" s="1435" t="str">
        <f t="shared" si="1120"/>
        <v/>
      </c>
      <c r="F798" s="1453" t="str">
        <f t="shared" si="1121"/>
        <v>TJ</v>
      </c>
      <c r="G798" s="1471" t="str">
        <f t="shared" si="1136"/>
        <v/>
      </c>
      <c r="H798" s="1472" t="str">
        <f t="shared" si="1122"/>
        <v/>
      </c>
      <c r="I798" s="1471" t="str">
        <f t="shared" si="1123"/>
        <v/>
      </c>
      <c r="J798" s="1472" t="str">
        <f t="shared" si="1124"/>
        <v/>
      </c>
      <c r="K798" s="1128" t="str">
        <f t="shared" si="1125"/>
        <v/>
      </c>
      <c r="L798" s="1128" t="str">
        <f t="shared" si="1126"/>
        <v/>
      </c>
      <c r="M798" s="1128" t="str">
        <f t="shared" si="1127"/>
        <v/>
      </c>
      <c r="N798" s="1128" t="str">
        <f t="shared" si="1128"/>
        <v/>
      </c>
      <c r="O798" s="302"/>
      <c r="P798" s="158"/>
      <c r="Q798" s="694"/>
      <c r="R798" s="694"/>
      <c r="S798" s="1454" t="str">
        <f>IF($M682&lt;&gt;EUconst_Relevant,"",
IF($V682&gt;($J$1840-3),
              IF(INDEX(H745:N745,MATCH($V682,$T788:$Z788,0))=0,0,INDEX(H798:N798,MATCH($V682,$T788:$Z788,0))/INDEX(H745:N745,MATCH($V682,$T788:$Z788,0))),
                             IF(ISNUMBER(G745),
                                            IF(OR(G745=0,$S729=FALSE),0,G798/G745),"")))</f>
        <v/>
      </c>
      <c r="T798" s="1473" t="str">
        <f t="shared" ref="T798" si="1201">IF($E798="","",IF(IFERROR(SUM($S798)=0,SUM(H798)),SUM(H798),SUM(H745)*SUM($S798))*IF(SUM(H798)=0,1,SUM(H764)/SUM(H798)))</f>
        <v/>
      </c>
      <c r="U798" s="1473" t="str">
        <f t="shared" ref="U798" si="1202">IF($E798="","",IF(IFERROR(SUM($S798)=0,SUM(I798)),SUM(I798),SUM(I745)*SUM($S798))*IF(SUM(I798)=0,1,SUM(I764)/SUM(I798)))</f>
        <v/>
      </c>
      <c r="V798" s="1473" t="str">
        <f t="shared" ref="V798" si="1203">IF($E798="","",IF(IFERROR(SUM($S798)=0,SUM(J798)),SUM(J798),SUM(J745)*SUM($S798))*IF(SUM(J798)=0,1,SUM(J764)/SUM(J798)))</f>
        <v/>
      </c>
      <c r="W798" s="1473" t="str">
        <f t="shared" ref="W798" si="1204">IF($E798="","",IF(IFERROR(SUM($S798)=0,SUM(K798)),SUM(K798),SUM(K745)*SUM($S798))*IF(SUM(K798)=0,1,SUM(K764)/SUM(K798)))</f>
        <v/>
      </c>
      <c r="X798" s="1473" t="str">
        <f t="shared" ref="X798" si="1205">IF($E798="","",IF(IFERROR(SUM($S798)=0,SUM(L798)),SUM(L798),SUM(L745)*SUM($S798))*IF(SUM(L798)=0,1,SUM(L764)/SUM(L798)))</f>
        <v/>
      </c>
      <c r="Y798" s="1473" t="str">
        <f t="shared" ref="Y798" si="1206">IF($E798="","",IF(IFERROR(SUM($S798)=0,SUM(M798)),SUM(M798),SUM(M745)*SUM($S798))*IF(SUM(M798)=0,1,SUM(M764)/SUM(M798)))</f>
        <v/>
      </c>
      <c r="Z798" s="1474" t="str">
        <f t="shared" ref="Z798" si="1207">IF($E798="","",IF(IFERROR(SUM($S798)=0,SUM(N798)),SUM(N798),SUM(N745)*SUM($S798))*IF(SUM(N798)=0,1,SUM(N764)/SUM(N798)))</f>
        <v/>
      </c>
      <c r="AA798" s="694"/>
      <c r="AB798" s="1436">
        <f t="shared" ref="AB798:AI798" si="1208">AB782</f>
        <v>2</v>
      </c>
      <c r="AC798" s="1437">
        <f t="shared" si="1208"/>
        <v>2</v>
      </c>
      <c r="AD798" s="1437">
        <f t="shared" si="1208"/>
        <v>2</v>
      </c>
      <c r="AE798" s="1437">
        <f t="shared" si="1208"/>
        <v>2</v>
      </c>
      <c r="AF798" s="1437">
        <f t="shared" si="1208"/>
        <v>2</v>
      </c>
      <c r="AG798" s="1437">
        <f t="shared" si="1208"/>
        <v>2</v>
      </c>
      <c r="AH798" s="1437">
        <f t="shared" si="1208"/>
        <v>2</v>
      </c>
      <c r="AI798" s="1457">
        <f t="shared" si="1208"/>
        <v>2</v>
      </c>
      <c r="AJ798" s="343"/>
      <c r="AK798" s="1174" t="s">
        <v>2039</v>
      </c>
      <c r="AL798" s="1176"/>
      <c r="AM798" s="343"/>
    </row>
    <row r="799" spans="1:39" ht="12.75" hidden="1" customHeight="1" thickBot="1" x14ac:dyDescent="0.3">
      <c r="A799" s="729" t="str">
        <f t="shared" si="1082"/>
        <v>ausblenden</v>
      </c>
      <c r="B799" s="698"/>
      <c r="C799" s="2906"/>
      <c r="D799" s="1293"/>
      <c r="E799" s="1458" t="str">
        <f>Translations!$B$1338</f>
        <v>Общо потребление</v>
      </c>
      <c r="F799" s="1453" t="str">
        <f t="shared" si="1121"/>
        <v>TJ</v>
      </c>
      <c r="G799" s="1296" t="str">
        <f t="shared" ref="G799:N799" si="1209">IF(COUNT(G789:G798)&gt;0,SUMIF($S720:$S729,TRUE,G789:G798),"")</f>
        <v/>
      </c>
      <c r="H799" s="1297" t="str">
        <f t="shared" si="1209"/>
        <v/>
      </c>
      <c r="I799" s="1296" t="str">
        <f t="shared" si="1209"/>
        <v/>
      </c>
      <c r="J799" s="1297" t="str">
        <f t="shared" si="1209"/>
        <v/>
      </c>
      <c r="K799" s="1104" t="str">
        <f t="shared" si="1209"/>
        <v/>
      </c>
      <c r="L799" s="1104" t="str">
        <f t="shared" si="1209"/>
        <v/>
      </c>
      <c r="M799" s="1104" t="str">
        <f t="shared" si="1209"/>
        <v/>
      </c>
      <c r="N799" s="1104" t="str">
        <f t="shared" si="1209"/>
        <v/>
      </c>
      <c r="O799" s="302"/>
      <c r="P799" s="336"/>
      <c r="Q799" s="694"/>
      <c r="R799" s="694"/>
      <c r="S799" s="1174" t="s">
        <v>2147</v>
      </c>
      <c r="T799" s="1459">
        <f>IFERROR(SUM(T789:T798),"")</f>
        <v>0</v>
      </c>
      <c r="U799" s="1460">
        <f t="shared" ref="U799:Z799" si="1210">IFERROR(SUM(U789:U798),"")</f>
        <v>0</v>
      </c>
      <c r="V799" s="1460">
        <f t="shared" si="1210"/>
        <v>0</v>
      </c>
      <c r="W799" s="1460">
        <f t="shared" si="1210"/>
        <v>0</v>
      </c>
      <c r="X799" s="1460">
        <f t="shared" si="1210"/>
        <v>0</v>
      </c>
      <c r="Y799" s="1460">
        <f t="shared" si="1210"/>
        <v>0</v>
      </c>
      <c r="Z799" s="1461">
        <f t="shared" si="1210"/>
        <v>0</v>
      </c>
      <c r="AA799" s="694"/>
      <c r="AB799" s="729"/>
      <c r="AC799" s="694"/>
      <c r="AD799" s="694"/>
      <c r="AE799" s="343"/>
      <c r="AF799" s="343"/>
      <c r="AG799" s="343"/>
      <c r="AH799" s="343"/>
      <c r="AI799" s="343"/>
      <c r="AJ799" s="343"/>
      <c r="AK799" s="343"/>
      <c r="AL799" s="343"/>
      <c r="AM799" s="343"/>
    </row>
    <row r="800" spans="1:39" ht="12.75" hidden="1" customHeight="1" x14ac:dyDescent="0.25">
      <c r="A800" s="729" t="str">
        <f t="shared" si="1082"/>
        <v>ausblenden</v>
      </c>
      <c r="B800" s="698"/>
      <c r="C800" s="2906"/>
      <c r="D800" s="1462"/>
      <c r="E800" s="1463" t="str">
        <f>Translations!$B$1339</f>
        <v>Дял от a)</v>
      </c>
      <c r="F800" s="1464" t="str">
        <f t="shared" si="1121"/>
        <v>TJ</v>
      </c>
      <c r="G800" s="184" t="str">
        <f>IF(COUNT(I698,G799)=2,IF(I698=0,1,G799/I698),"")</f>
        <v/>
      </c>
      <c r="H800" s="185" t="str">
        <f>IF(COUNT(H690,H799)=2,IF(H690=0,1,H799/H690),"")</f>
        <v/>
      </c>
      <c r="I800" s="186" t="str">
        <f t="shared" ref="I800" si="1211">IF(COUNT(I690,I799)=2,IF(I690=0,1,I799/I690),"")</f>
        <v/>
      </c>
      <c r="J800" s="185" t="str">
        <f t="shared" ref="J800" si="1212">IF(COUNT(J690,J799)=2,IF(J690=0,1,J799/J690),"")</f>
        <v/>
      </c>
      <c r="K800" s="187" t="str">
        <f t="shared" ref="K800" si="1213">IF(COUNT(K690,K799)=2,IF(K690=0,1,K799/K690),"")</f>
        <v/>
      </c>
      <c r="L800" s="187" t="str">
        <f t="shared" ref="L800" si="1214">IF(COUNT(L690,L799)=2,IF(L690=0,1,L799/L690),"")</f>
        <v/>
      </c>
      <c r="M800" s="187" t="str">
        <f t="shared" ref="M800" si="1215">IF(COUNT(M690,M799)=2,IF(M690=0,1,M799/M690),"")</f>
        <v/>
      </c>
      <c r="N800" s="187" t="str">
        <f t="shared" ref="N800" si="1216">IF(COUNT(N690,N799)=2,IF(N690=0,1,N799/N690),"")</f>
        <v/>
      </c>
      <c r="O800" s="302"/>
      <c r="P800" s="336"/>
      <c r="Q800" s="694"/>
      <c r="R800" s="694"/>
      <c r="S800" s="729"/>
      <c r="T800" s="694"/>
      <c r="U800" s="694"/>
      <c r="V800" s="694"/>
      <c r="W800" s="694"/>
      <c r="X800" s="694"/>
      <c r="Y800" s="694"/>
      <c r="Z800" s="694"/>
      <c r="AA800" s="694"/>
      <c r="AB800" s="729"/>
      <c r="AC800" s="694"/>
      <c r="AD800" s="694"/>
      <c r="AE800" s="343"/>
      <c r="AF800" s="343"/>
      <c r="AG800" s="343"/>
      <c r="AH800" s="343"/>
      <c r="AI800" s="343"/>
      <c r="AJ800" s="343"/>
      <c r="AK800" s="343"/>
      <c r="AL800" s="343"/>
      <c r="AM800" s="343"/>
    </row>
    <row r="801" spans="1:39" ht="5.15" customHeight="1" x14ac:dyDescent="0.25">
      <c r="A801" s="729"/>
      <c r="B801" s="698"/>
      <c r="C801" s="284"/>
      <c r="D801" s="284"/>
      <c r="E801" s="284"/>
      <c r="F801" s="284"/>
      <c r="G801" s="284"/>
      <c r="H801" s="284"/>
      <c r="I801" s="284"/>
      <c r="J801" s="284"/>
      <c r="K801" s="284"/>
      <c r="L801" s="284"/>
      <c r="M801" s="284"/>
      <c r="N801" s="284"/>
      <c r="O801" s="302"/>
      <c r="P801" s="336"/>
      <c r="Q801" s="694"/>
      <c r="R801" s="694"/>
      <c r="S801" s="694"/>
      <c r="T801" s="694"/>
      <c r="U801" s="694"/>
      <c r="V801" s="694"/>
      <c r="W801" s="694"/>
      <c r="X801" s="694"/>
      <c r="Y801" s="694"/>
      <c r="Z801" s="729"/>
      <c r="AA801" s="729"/>
      <c r="AB801" s="729"/>
      <c r="AC801" s="694"/>
      <c r="AD801" s="694"/>
      <c r="AE801" s="343"/>
      <c r="AF801" s="343"/>
      <c r="AG801" s="343"/>
      <c r="AH801" s="343"/>
      <c r="AI801" s="343"/>
      <c r="AJ801" s="343"/>
      <c r="AK801" s="343"/>
      <c r="AL801" s="343"/>
      <c r="AM801" s="343"/>
    </row>
    <row r="802" spans="1:39" ht="12.75" customHeight="1" x14ac:dyDescent="0.25">
      <c r="A802" s="729"/>
      <c r="B802" s="284"/>
      <c r="C802" s="300"/>
      <c r="D802" s="300" t="s">
        <v>1831</v>
      </c>
      <c r="E802" s="2226" t="str">
        <f>Translations!$B$1545</f>
        <v>Очаквани равнища на дейност</v>
      </c>
      <c r="F802" s="2249"/>
      <c r="G802" s="2249"/>
      <c r="H802" s="2249"/>
      <c r="I802" s="2249"/>
      <c r="J802" s="2249"/>
      <c r="K802" s="2249"/>
      <c r="L802" s="2249"/>
      <c r="M802" s="2249"/>
      <c r="N802" s="2249"/>
      <c r="O802" s="302"/>
      <c r="P802" s="336"/>
      <c r="Q802" s="770"/>
      <c r="R802" s="694"/>
      <c r="S802" s="694"/>
      <c r="T802" s="694"/>
      <c r="U802" s="694"/>
      <c r="V802" s="694"/>
      <c r="W802" s="694"/>
      <c r="X802" s="694"/>
      <c r="Y802" s="694"/>
      <c r="Z802" s="694"/>
      <c r="AA802" s="694"/>
      <c r="AB802" s="729"/>
      <c r="AC802" s="694"/>
      <c r="AD802" s="694"/>
      <c r="AE802" s="343"/>
      <c r="AF802" s="343"/>
      <c r="AG802" s="343"/>
      <c r="AH802" s="343"/>
      <c r="AI802" s="343"/>
      <c r="AJ802" s="343"/>
      <c r="AK802" s="343"/>
      <c r="AL802" s="343"/>
      <c r="AM802" s="343"/>
    </row>
    <row r="803" spans="1:39" ht="12.75" customHeight="1" x14ac:dyDescent="0.25">
      <c r="A803" s="729"/>
      <c r="B803" s="698"/>
      <c r="C803" s="284"/>
      <c r="D803" s="284"/>
      <c r="E803" s="2358" t="str">
        <f>Translations!$B$1340</f>
        <v>Конкретното енергопотребление се определя в съответствие с раздел 6.1 от Ръководен документ 7 за стойности, отговарящи на критериите по буква б.1) по-горе.</v>
      </c>
      <c r="F803" s="2358"/>
      <c r="G803" s="2358"/>
      <c r="H803" s="2358"/>
      <c r="I803" s="2358"/>
      <c r="J803" s="2358"/>
      <c r="K803" s="2358"/>
      <c r="L803" s="2358"/>
      <c r="M803" s="2358"/>
      <c r="N803" s="2358"/>
      <c r="O803" s="302"/>
      <c r="P803" s="336"/>
      <c r="Q803" s="694"/>
      <c r="R803" s="694"/>
      <c r="S803" s="694"/>
      <c r="T803" s="694"/>
      <c r="U803" s="694"/>
      <c r="V803" s="694"/>
      <c r="W803" s="694"/>
      <c r="X803" s="694"/>
      <c r="Y803" s="694"/>
      <c r="Z803" s="729"/>
      <c r="AA803" s="729"/>
      <c r="AB803" s="729"/>
      <c r="AC803" s="694"/>
      <c r="AD803" s="694"/>
      <c r="AE803" s="343"/>
      <c r="AF803" s="343"/>
      <c r="AG803" s="343"/>
      <c r="AH803" s="343"/>
      <c r="AI803" s="343"/>
      <c r="AJ803" s="343"/>
      <c r="AK803" s="343"/>
      <c r="AL803" s="343"/>
      <c r="AM803" s="343"/>
    </row>
    <row r="804" spans="1:39" ht="5.15" customHeight="1" thickBot="1" x14ac:dyDescent="0.3">
      <c r="A804" s="729"/>
      <c r="B804" s="698"/>
      <c r="C804" s="698"/>
      <c r="D804" s="698"/>
      <c r="E804" s="698"/>
      <c r="F804" s="698"/>
      <c r="G804" s="698"/>
      <c r="H804" s="698"/>
      <c r="I804" s="1025"/>
      <c r="J804" s="698"/>
      <c r="K804" s="698"/>
      <c r="L804" s="698"/>
      <c r="M804" s="698"/>
      <c r="N804" s="698"/>
      <c r="O804" s="302"/>
      <c r="P804" s="336"/>
      <c r="Q804" s="1263"/>
      <c r="R804" s="694"/>
      <c r="S804" s="729"/>
      <c r="T804" s="729"/>
      <c r="U804" s="694"/>
      <c r="V804" s="694"/>
      <c r="W804" s="694"/>
      <c r="X804" s="694"/>
      <c r="Y804" s="694"/>
      <c r="Z804" s="694"/>
      <c r="AA804" s="694"/>
      <c r="AB804" s="729"/>
      <c r="AC804" s="694"/>
      <c r="AD804" s="694"/>
      <c r="AE804" s="694"/>
      <c r="AF804" s="694"/>
      <c r="AG804" s="694"/>
      <c r="AH804" s="694"/>
      <c r="AI804" s="694"/>
      <c r="AJ804" s="694"/>
      <c r="AK804" s="694"/>
      <c r="AL804" s="694"/>
      <c r="AM804" s="343"/>
    </row>
    <row r="805" spans="1:39" ht="5.15" customHeight="1" thickBot="1" x14ac:dyDescent="0.3">
      <c r="A805" s="729"/>
      <c r="B805" s="698"/>
      <c r="C805" s="698"/>
      <c r="D805" s="1475"/>
      <c r="E805" s="1476"/>
      <c r="F805" s="1476"/>
      <c r="G805" s="1476"/>
      <c r="H805" s="1476"/>
      <c r="I805" s="1477"/>
      <c r="J805" s="1476"/>
      <c r="K805" s="1476"/>
      <c r="L805" s="1476"/>
      <c r="M805" s="1476"/>
      <c r="N805" s="1478"/>
      <c r="O805" s="302"/>
      <c r="P805" s="336"/>
      <c r="Q805" s="1263"/>
      <c r="R805" s="694"/>
      <c r="S805" s="729"/>
      <c r="T805" s="729"/>
      <c r="U805" s="694"/>
      <c r="V805" s="694"/>
      <c r="W805" s="694"/>
      <c r="X805" s="694"/>
      <c r="Y805" s="694"/>
      <c r="Z805" s="694"/>
      <c r="AA805" s="694"/>
      <c r="AB805" s="729"/>
      <c r="AC805" s="694"/>
      <c r="AD805" s="694"/>
      <c r="AE805" s="694"/>
      <c r="AF805" s="694"/>
      <c r="AG805" s="694"/>
      <c r="AH805" s="694"/>
      <c r="AI805" s="694"/>
      <c r="AJ805" s="694"/>
      <c r="AK805" s="694"/>
      <c r="AL805" s="694"/>
      <c r="AM805" s="343"/>
    </row>
    <row r="806" spans="1:39" ht="12.75" customHeight="1" x14ac:dyDescent="0.25">
      <c r="A806" s="729"/>
      <c r="B806" s="298"/>
      <c r="C806" s="698"/>
      <c r="D806" s="1217"/>
      <c r="E806" s="1198" t="str">
        <f>Translations!$B$1546</f>
        <v>Корекции: Промени в ефективността</v>
      </c>
      <c r="F806" s="1199"/>
      <c r="G806" s="1199"/>
      <c r="H806" s="1200" t="str">
        <f>EUconst_Unit</f>
        <v>Единица мярка</v>
      </c>
      <c r="I806" s="1201" t="str">
        <f>Translations!$B$1336</f>
        <v>Стойност в НМИ</v>
      </c>
      <c r="J806" s="1202">
        <f>J$1840</f>
        <v>2026</v>
      </c>
      <c r="K806" s="1203">
        <f>K$1840</f>
        <v>2027</v>
      </c>
      <c r="L806" s="1203">
        <f>L$1840</f>
        <v>2028</v>
      </c>
      <c r="M806" s="1203">
        <f>M$1840</f>
        <v>2029</v>
      </c>
      <c r="N806" s="1479">
        <f>N$1840</f>
        <v>2030</v>
      </c>
      <c r="O806" s="302"/>
      <c r="P806" s="336"/>
      <c r="Q806" s="729"/>
      <c r="R806" s="694"/>
      <c r="S806" s="694"/>
      <c r="T806" s="694"/>
      <c r="U806" s="1205"/>
      <c r="V806" s="1206">
        <f>J806</f>
        <v>2026</v>
      </c>
      <c r="W806" s="1206">
        <f>K806</f>
        <v>2027</v>
      </c>
      <c r="X806" s="1206">
        <f>L806</f>
        <v>2028</v>
      </c>
      <c r="Y806" s="1206">
        <f>M806</f>
        <v>2029</v>
      </c>
      <c r="Z806" s="1207">
        <f>N806</f>
        <v>2030</v>
      </c>
      <c r="AA806" s="694"/>
      <c r="AB806" s="729"/>
      <c r="AC806" s="694"/>
      <c r="AD806" s="694"/>
      <c r="AE806" s="694"/>
      <c r="AF806" s="694"/>
      <c r="AG806" s="694"/>
      <c r="AH806" s="694"/>
      <c r="AI806" s="694"/>
      <c r="AJ806" s="694"/>
      <c r="AK806" s="694"/>
      <c r="AL806" s="694"/>
      <c r="AM806" s="343"/>
    </row>
    <row r="807" spans="1:39" ht="12.75" customHeight="1" x14ac:dyDescent="0.25">
      <c r="A807" s="729"/>
      <c r="B807" s="298"/>
      <c r="C807" s="698"/>
      <c r="D807" s="1208" t="s">
        <v>6</v>
      </c>
      <c r="E807" s="2889" t="str">
        <f>Translations!$B$1547</f>
        <v>Промяна в равнището на дейност &gt; 15 %?</v>
      </c>
      <c r="F807" s="2889"/>
      <c r="G807" s="2889"/>
      <c r="H807" s="2889"/>
      <c r="I807" s="2890"/>
      <c r="J807" s="1480" t="str">
        <f>V699</f>
        <v/>
      </c>
      <c r="K807" s="1481" t="str">
        <f>W699</f>
        <v/>
      </c>
      <c r="L807" s="1481" t="str">
        <f>X699</f>
        <v/>
      </c>
      <c r="M807" s="1481" t="str">
        <f>Y699</f>
        <v/>
      </c>
      <c r="N807" s="1482" t="str">
        <f>Z699</f>
        <v/>
      </c>
      <c r="O807" s="302"/>
      <c r="P807" s="336"/>
      <c r="Q807" s="729"/>
      <c r="R807" s="694"/>
      <c r="S807" s="694"/>
      <c r="T807" s="694"/>
      <c r="U807" s="1231"/>
      <c r="V807" s="1483"/>
      <c r="W807" s="1483"/>
      <c r="X807" s="1483"/>
      <c r="Y807" s="1483"/>
      <c r="Z807" s="1484"/>
      <c r="AA807" s="694"/>
      <c r="AB807" s="729"/>
      <c r="AC807" s="694"/>
      <c r="AD807" s="694"/>
      <c r="AE807" s="694"/>
      <c r="AF807" s="694"/>
      <c r="AG807" s="694"/>
      <c r="AH807" s="694"/>
      <c r="AI807" s="694"/>
      <c r="AJ807" s="694"/>
      <c r="AK807" s="694"/>
      <c r="AL807" s="694"/>
      <c r="AM807" s="343"/>
    </row>
    <row r="808" spans="1:39" ht="12.75" customHeight="1" x14ac:dyDescent="0.25">
      <c r="A808" s="729"/>
      <c r="B808" s="298"/>
      <c r="C808" s="698"/>
      <c r="D808" s="1208" t="s">
        <v>7</v>
      </c>
      <c r="E808" s="2889" t="str">
        <f>Translations!$B$1548</f>
        <v>Средна стойност на очакваното равнище на дейност</v>
      </c>
      <c r="F808" s="2889"/>
      <c r="G808" s="2889"/>
      <c r="H808" s="1485" t="str">
        <f>G690</f>
        <v>TJ</v>
      </c>
      <c r="I808" s="1486" t="str">
        <f>IF(M682&lt;&gt;EUconst_Relevant,"",I698)</f>
        <v/>
      </c>
      <c r="J808" s="1480" t="str">
        <f>IF(AND(V808&gt;=3,COUNT(T799:U799)=2),IF(CNTR_ReportingYear&gt;J806-1,IF(J807,IF(COUNTA(H755:I764)=0,J701,AVERAGE(T799:U799)),$I811),""),"")</f>
        <v/>
      </c>
      <c r="K808" s="1481" t="str">
        <f>IF(AND(W808&gt;=3,COUNT(U799:V799)=2),IF(CNTR_ReportingYear&gt;K806-1,IF(K807,IF(COUNTA(I755:J764)=0,K701,AVERAGE(U799:V799)),$I811),""),"")</f>
        <v/>
      </c>
      <c r="L808" s="1481" t="str">
        <f>IF(AND(X808&gt;=3,COUNT(V799:W799)=2),IF(CNTR_ReportingYear&gt;L806-1,IF(L807,IF(COUNTA(J755:K764)=0,L701,AVERAGE(V799:W799)),$I811),""),"")</f>
        <v/>
      </c>
      <c r="M808" s="1481" t="str">
        <f>IF(AND(Y808&gt;=3,COUNT(W799:X799)=2),IF(CNTR_ReportingYear&gt;M806-1,IF(M807,IF(COUNTA(K755:L764)=0,M701,AVERAGE(W799:X799)),$I811),""),"")</f>
        <v/>
      </c>
      <c r="N808" s="1482" t="str">
        <f>IF(AND(Z808&gt;=3,COUNT(X799:Y799)=2),IF(CNTR_ReportingYear&gt;N806-1,IF(N807,IF(COUNTA(L755:M764)=0,N701,AVERAGE(X799:Y799)),$I811),""),"")</f>
        <v/>
      </c>
      <c r="O808" s="302"/>
      <c r="P808" s="336"/>
      <c r="Q808" s="1270"/>
      <c r="R808" s="694"/>
      <c r="S808" s="694"/>
      <c r="T808" s="694"/>
      <c r="U808" s="1365" t="s">
        <v>1710</v>
      </c>
      <c r="V808" s="834">
        <f>V698</f>
        <v>0</v>
      </c>
      <c r="W808" s="834">
        <f>W698</f>
        <v>0</v>
      </c>
      <c r="X808" s="834">
        <f>X698</f>
        <v>0</v>
      </c>
      <c r="Y808" s="834">
        <f>Y698</f>
        <v>0</v>
      </c>
      <c r="Z808" s="1403">
        <f>Z698</f>
        <v>0</v>
      </c>
      <c r="AA808" s="694"/>
      <c r="AB808" s="729"/>
      <c r="AC808" s="694"/>
      <c r="AD808" s="694"/>
      <c r="AE808" s="694"/>
      <c r="AF808" s="694"/>
      <c r="AG808" s="694"/>
      <c r="AH808" s="694"/>
      <c r="AI808" s="694"/>
      <c r="AJ808" s="694"/>
      <c r="AK808" s="694"/>
      <c r="AL808" s="694"/>
      <c r="AM808" s="343"/>
    </row>
    <row r="809" spans="1:39" ht="12.75" customHeight="1" x14ac:dyDescent="0.25">
      <c r="A809" s="729"/>
      <c r="B809" s="298"/>
      <c r="C809" s="698"/>
      <c r="D809" s="1208" t="s">
        <v>8</v>
      </c>
      <c r="E809" s="2893" t="str">
        <f>Translations!$B$1376</f>
        <v>Промяна в сравнение с HAL</v>
      </c>
      <c r="F809" s="2894"/>
      <c r="G809" s="2894"/>
      <c r="H809" s="2894"/>
      <c r="I809" s="2895"/>
      <c r="J809" s="232" t="str">
        <f t="shared" ref="J809" si="1217">IF(J808="","",IF(SUM($I811)=0,IF(J808=0,0%,100%),J808/$I811-1))</f>
        <v/>
      </c>
      <c r="K809" s="233" t="str">
        <f>IF(K808="","",IF(SUM($I811)=0,IF(K808=0,0%,100%),K808/$I811-1))</f>
        <v/>
      </c>
      <c r="L809" s="233" t="str">
        <f t="shared" ref="L809:N809" si="1218">IF(L808="","",IF(SUM($I811)=0,IF(L808=0,0%,100%),L808/$I811-1))</f>
        <v/>
      </c>
      <c r="M809" s="233" t="str">
        <f t="shared" si="1218"/>
        <v/>
      </c>
      <c r="N809" s="234" t="str">
        <f t="shared" si="1218"/>
        <v/>
      </c>
      <c r="O809" s="302"/>
      <c r="P809" s="209"/>
      <c r="Q809" s="1190" t="str">
        <f>EUconst_CNTR_EnEffPct&amp;I682</f>
        <v>EnEffPct_Подинсталация на топлофикационна мрежа</v>
      </c>
      <c r="R809" s="694"/>
      <c r="S809" s="694"/>
      <c r="T809" s="694"/>
      <c r="U809" s="1365" t="s">
        <v>1715</v>
      </c>
      <c r="V809" s="727" t="str">
        <f>IF(J808="","",ABS(J809)&gt;15%)</f>
        <v/>
      </c>
      <c r="W809" s="727" t="str">
        <f>IF(K808="","",ABS(K809)&gt;15%)</f>
        <v/>
      </c>
      <c r="X809" s="727" t="str">
        <f>IF(L808="","",ABS(L809)&gt;15%)</f>
        <v/>
      </c>
      <c r="Y809" s="727" t="str">
        <f>IF(M808="","",ABS(M809)&gt;15%)</f>
        <v/>
      </c>
      <c r="Z809" s="1221" t="str">
        <f>IF(N808="","",ABS(N809)&gt;15%)</f>
        <v/>
      </c>
      <c r="AA809" s="694"/>
      <c r="AB809" s="729"/>
      <c r="AC809" s="694"/>
      <c r="AD809" s="694"/>
      <c r="AE809" s="694"/>
      <c r="AF809" s="694"/>
      <c r="AG809" s="694"/>
      <c r="AH809" s="694"/>
      <c r="AI809" s="694"/>
      <c r="AJ809" s="694"/>
      <c r="AK809" s="694"/>
      <c r="AL809" s="694"/>
      <c r="AM809" s="343"/>
    </row>
    <row r="810" spans="1:39" ht="12.75" customHeight="1" x14ac:dyDescent="0.25">
      <c r="A810" s="729"/>
      <c r="B810" s="298"/>
      <c r="C810" s="698"/>
      <c r="D810" s="1208" t="s">
        <v>18</v>
      </c>
      <c r="E810" s="2896" t="str">
        <f>Translations!$B$1322</f>
        <v>Предварителна корекция (ако са надвишени относителните прагове)</v>
      </c>
      <c r="F810" s="2897"/>
      <c r="G810" s="2897"/>
      <c r="H810" s="2897"/>
      <c r="I810" s="2898"/>
      <c r="J810" s="235" t="str">
        <f>IF(J808="","",IF(OR(V699=FALSE,V809=FALSE),0%,IF(V810,J809,I810)))</f>
        <v/>
      </c>
      <c r="K810" s="236" t="str">
        <f>IF(K808="","",IF(OR(W699=FALSE,W809=FALSE),0%,IF(W810,K809,J810)))</f>
        <v/>
      </c>
      <c r="L810" s="236" t="str">
        <f>IF(L808="","",IF(OR(X699=FALSE,X809=FALSE),0%,IF(X810,L809,K810)))</f>
        <v/>
      </c>
      <c r="M810" s="236" t="str">
        <f>IF(M808="","",IF(OR(Y699=FALSE,Y809=FALSE),0%,IF(Y810,M809,L810)))</f>
        <v/>
      </c>
      <c r="N810" s="237" t="str">
        <f>IF(N808="","",IF(OR(Z699=FALSE,Z809=FALSE),0%,IF(Z810,N809,M810)))</f>
        <v/>
      </c>
      <c r="O810" s="302"/>
      <c r="P810" s="209"/>
      <c r="Q810" s="729"/>
      <c r="R810" s="694"/>
      <c r="S810" s="694"/>
      <c r="T810" s="694"/>
      <c r="U810" s="1365" t="s">
        <v>1716</v>
      </c>
      <c r="V810" s="727" t="str">
        <f>IF(J808="","",AND(V699,IF(SUM(I819)&lt;0,OR(SUM(J809)&lt;SUM(I819)-MOD(SUM(I819),5%),J809&gt;=SUM(I819)+5%-MOD(SUM(I819),5%)),OR(SUM(J809)&lt;=SUM(I819)-MOD(SUM(I819),5%),SUM(J809)&gt;SUM(I819)+5%-MOD(SUM(I819),5%)))))</f>
        <v/>
      </c>
      <c r="W810" s="727" t="str">
        <f>IF(K808="","",AND(W699,IF(SUM(J819)&lt;0,OR(SUM(K809)&lt;SUM(J819)-MOD(SUM(J819),5%),K809&gt;=SUM(J819)+5%-MOD(SUM(J819),5%)),OR(SUM(K809)&lt;=SUM(J819)-MOD(SUM(J819),5%),SUM(K809)&gt;SUM(J819)+5%-MOD(SUM(J819),5%)))))</f>
        <v/>
      </c>
      <c r="X810" s="727" t="str">
        <f>IF(L808="","",AND(X699,IF(SUM(K819)&lt;0,OR(SUM(L809)&lt;SUM(K819)-MOD(SUM(K819),5%),L809&gt;=SUM(K819)+5%-MOD(SUM(K819),5%)),OR(SUM(L809)&lt;=SUM(K819)-MOD(SUM(K819),5%),SUM(L809)&gt;SUM(K819)+5%-MOD(SUM(K819),5%)))))</f>
        <v/>
      </c>
      <c r="Y810" s="727" t="str">
        <f>IF(M808="","",AND(Y699,IF(SUM(L819)&lt;0,OR(SUM(M809)&lt;SUM(L819)-MOD(SUM(L819),5%),M809&gt;=SUM(L819)+5%-MOD(SUM(L819),5%)),OR(SUM(M809)&lt;=SUM(L819)-MOD(SUM(L819),5%),SUM(M809)&gt;SUM(L819)+5%-MOD(SUM(L819),5%)))))</f>
        <v/>
      </c>
      <c r="Z810" s="1221" t="str">
        <f>IF(N808="","",AND(Z699,IF(SUM(M819)&lt;0,OR(SUM(N809)&lt;SUM(M819)-MOD(SUM(M819),5%),N809&gt;=SUM(M819)+5%-MOD(SUM(M819),5%)),OR(SUM(N809)&lt;=SUM(M819)-MOD(SUM(M819),5%),SUM(N809)&gt;SUM(M819)+5%-MOD(SUM(M819),5%)))))</f>
        <v/>
      </c>
      <c r="AA810" s="694"/>
      <c r="AB810" s="729"/>
      <c r="AC810" s="694"/>
      <c r="AD810" s="694"/>
      <c r="AE810" s="694"/>
      <c r="AF810" s="694"/>
      <c r="AG810" s="694"/>
      <c r="AH810" s="694"/>
      <c r="AI810" s="694"/>
      <c r="AJ810" s="694"/>
      <c r="AK810" s="694"/>
      <c r="AL810" s="694"/>
      <c r="AM810" s="343"/>
    </row>
    <row r="811" spans="1:39" ht="12.75" customHeight="1" x14ac:dyDescent="0.25">
      <c r="A811" s="729"/>
      <c r="B811" s="298"/>
      <c r="C811" s="698"/>
      <c r="D811" s="1208" t="s">
        <v>810</v>
      </c>
      <c r="E811" s="2889" t="str">
        <f>Translations!$B$1377</f>
        <v>Предварителна стойност</v>
      </c>
      <c r="F811" s="2889"/>
      <c r="G811" s="2889"/>
      <c r="H811" s="1485" t="str">
        <f>H808</f>
        <v>TJ</v>
      </c>
      <c r="I811" s="1487" t="str">
        <f>IF(M682&lt;&gt;EUconst_Relevant,"",IF(AB682=FALSE,EUconst_NA,IF(V682&gt;($J$1840-3),INDEX(T799:Z799,MATCH(V682,T788:Z788,0)),SUM(I808))))</f>
        <v/>
      </c>
      <c r="J811" s="1400" t="str">
        <f>IF($M682&lt;&gt;EUconst_Relevant,"",IF(V808&lt;2,SUM(J701),IF(V808&lt;3,SUM(I701),IF(V811="",I811,V811))))</f>
        <v/>
      </c>
      <c r="K811" s="1401" t="str">
        <f>IF($M682&lt;&gt;EUconst_Relevant,"",IF(W808&lt;2,SUM(K701),IF(W808&lt;3,SUM(J701),IF(W811="",J811,W811))))</f>
        <v/>
      </c>
      <c r="L811" s="1401" t="str">
        <f>IF($M682&lt;&gt;EUconst_Relevant,"",IF(X808&lt;2,SUM(L701),IF(X808&lt;3,SUM(K701),IF(X811="",K811,X811))))</f>
        <v/>
      </c>
      <c r="M811" s="1401" t="str">
        <f>IF($M682&lt;&gt;EUconst_Relevant,"",IF(Y808&lt;2,SUM(M701),IF(Y808&lt;3,SUM(L701),IF(Y811="",L811,Y811))))</f>
        <v/>
      </c>
      <c r="N811" s="1402" t="str">
        <f>IF($M682&lt;&gt;EUconst_Relevant,"",IF(Z808&lt;2,SUM(N701),IF(Z808&lt;3,SUM(M701),IF(Z811="",M811,Z811))))</f>
        <v/>
      </c>
      <c r="O811" s="302"/>
      <c r="P811" s="336"/>
      <c r="Q811" s="1270" t="str">
        <f>EUconst_CNTR_HALprelim&amp;I682</f>
        <v>HALprelim_Подинсталация на топлофикационна мрежа</v>
      </c>
      <c r="R811" s="694"/>
      <c r="S811" s="694"/>
      <c r="T811" s="694"/>
      <c r="U811" s="1215" t="s">
        <v>1756</v>
      </c>
      <c r="V811" s="1227" t="str">
        <f>IF(J808="","",IF(CNTR_ReportingYear&lt;J806,I810,IF($I811=0,J808,$I811*(1+J810))))</f>
        <v/>
      </c>
      <c r="W811" s="1227" t="str">
        <f>IF(K808="","",IF(CNTR_ReportingYear&lt;K806,J810,IF($I811=0,K808,$I811*(1+K810))))</f>
        <v/>
      </c>
      <c r="X811" s="1227" t="str">
        <f>IF(L808="","",IF(CNTR_ReportingYear&lt;L806,K810,IF($I811=0,L808,$I811*(1+L810))))</f>
        <v/>
      </c>
      <c r="Y811" s="1227" t="str">
        <f>IF(M808="","",IF(CNTR_ReportingYear&lt;M806,L810,IF($I811=0,M808,$I811*(1+M810))))</f>
        <v/>
      </c>
      <c r="Z811" s="1228" t="str">
        <f>IF(N808="","",IF(CNTR_ReportingYear&lt;N806,M810,IF($I811=0,N808,$I811*(1+N810))))</f>
        <v/>
      </c>
      <c r="AA811" s="694"/>
      <c r="AB811" s="729"/>
      <c r="AC811" s="694"/>
      <c r="AD811" s="694"/>
      <c r="AE811" s="694"/>
      <c r="AF811" s="694"/>
      <c r="AG811" s="694"/>
      <c r="AH811" s="694"/>
      <c r="AI811" s="694"/>
      <c r="AJ811" s="694"/>
      <c r="AK811" s="694"/>
      <c r="AL811" s="694"/>
      <c r="AM811" s="343"/>
    </row>
    <row r="812" spans="1:39" ht="5.15" customHeight="1" x14ac:dyDescent="0.25">
      <c r="A812" s="729"/>
      <c r="B812" s="298"/>
      <c r="C812" s="698"/>
      <c r="D812" s="1217"/>
      <c r="E812" s="1199"/>
      <c r="F812" s="1199"/>
      <c r="G812" s="1199"/>
      <c r="H812" s="1199"/>
      <c r="I812" s="1199"/>
      <c r="J812" s="1199"/>
      <c r="K812" s="1199"/>
      <c r="L812" s="1199"/>
      <c r="M812" s="1199"/>
      <c r="N812" s="1238"/>
      <c r="O812" s="302"/>
      <c r="P812" s="336"/>
      <c r="Q812" s="729"/>
      <c r="R812" s="694"/>
      <c r="S812" s="694"/>
      <c r="T812" s="694"/>
      <c r="U812" s="1231"/>
      <c r="V812" s="711"/>
      <c r="W812" s="711"/>
      <c r="X812" s="711"/>
      <c r="Y812" s="711"/>
      <c r="Z812" s="1488"/>
      <c r="AA812" s="694"/>
      <c r="AB812" s="729"/>
      <c r="AC812" s="694"/>
      <c r="AD812" s="694"/>
      <c r="AE812" s="343"/>
      <c r="AF812" s="343"/>
      <c r="AG812" s="343"/>
      <c r="AH812" s="343"/>
      <c r="AI812" s="343"/>
      <c r="AJ812" s="343"/>
      <c r="AK812" s="343"/>
      <c r="AL812" s="343"/>
      <c r="AM812" s="343"/>
    </row>
    <row r="813" spans="1:39" ht="12.75" customHeight="1" x14ac:dyDescent="0.25">
      <c r="A813" s="729"/>
      <c r="B813" s="298"/>
      <c r="C813" s="698"/>
      <c r="D813" s="1197" t="s">
        <v>1961</v>
      </c>
      <c r="E813" s="2886" t="str">
        <f>Translations!$B$1342</f>
        <v>Корекции: Абсолютен праг</v>
      </c>
      <c r="F813" s="2887"/>
      <c r="G813" s="2887"/>
      <c r="H813" s="2887"/>
      <c r="I813" s="2887"/>
      <c r="J813" s="2887"/>
      <c r="K813" s="2887"/>
      <c r="L813" s="2887"/>
      <c r="M813" s="2887"/>
      <c r="N813" s="2888"/>
      <c r="O813" s="302"/>
      <c r="P813" s="336"/>
      <c r="Q813" s="729"/>
      <c r="R813" s="694"/>
      <c r="S813" s="694"/>
      <c r="T813" s="694"/>
      <c r="U813" s="1231"/>
      <c r="V813" s="729"/>
      <c r="W813" s="694"/>
      <c r="X813" s="694"/>
      <c r="Y813" s="694"/>
      <c r="Z813" s="1232"/>
      <c r="AA813" s="694"/>
      <c r="AB813" s="729"/>
      <c r="AC813" s="694"/>
      <c r="AD813" s="694"/>
      <c r="AE813" s="343"/>
      <c r="AF813" s="343"/>
      <c r="AG813" s="343"/>
      <c r="AH813" s="343"/>
      <c r="AI813" s="343"/>
      <c r="AJ813" s="343"/>
      <c r="AK813" s="343"/>
      <c r="AL813" s="343"/>
      <c r="AM813" s="343"/>
    </row>
    <row r="814" spans="1:39" ht="12.75" customHeight="1" x14ac:dyDescent="0.25">
      <c r="A814" s="729"/>
      <c r="B814" s="298"/>
      <c r="C814" s="698"/>
      <c r="D814" s="1217"/>
      <c r="E814" s="1233" t="str">
        <f>Translations!$B$1343</f>
        <v>Абсолютен праг</v>
      </c>
      <c r="F814" s="1233"/>
      <c r="G814" s="1233"/>
      <c r="H814" s="1233"/>
      <c r="I814" s="1233"/>
      <c r="J814" s="1202">
        <f>J$1840</f>
        <v>2026</v>
      </c>
      <c r="K814" s="1203">
        <f>K$1840</f>
        <v>2027</v>
      </c>
      <c r="L814" s="1203">
        <f>L$1840</f>
        <v>2028</v>
      </c>
      <c r="M814" s="1203">
        <f>M$1840</f>
        <v>2029</v>
      </c>
      <c r="N814" s="1479">
        <f>N$1840</f>
        <v>2030</v>
      </c>
      <c r="O814" s="302"/>
      <c r="P814" s="336"/>
      <c r="Q814" s="729"/>
      <c r="R814" s="694"/>
      <c r="S814" s="694"/>
      <c r="T814" s="694"/>
      <c r="U814" s="1231"/>
      <c r="V814" s="213"/>
      <c r="W814" s="214" t="s">
        <v>2101</v>
      </c>
      <c r="X814" s="215" t="str">
        <f>IF(OR($X682=0,$X682=""),"",MIN(1,1-(DATE($Z682,12,31)-$X682)/(DATE($Z682,12,31)-DATE($Z682,1,1)+1)))</f>
        <v/>
      </c>
      <c r="Y814" s="1165"/>
      <c r="Z814" s="1235"/>
      <c r="AA814" s="694"/>
      <c r="AB814" s="729"/>
      <c r="AC814" s="694"/>
      <c r="AD814" s="694"/>
      <c r="AE814" s="343"/>
      <c r="AF814" s="343"/>
      <c r="AG814" s="343"/>
      <c r="AH814" s="343"/>
      <c r="AI814" s="343"/>
      <c r="AJ814" s="343"/>
      <c r="AK814" s="343"/>
      <c r="AL814" s="343"/>
      <c r="AM814" s="343"/>
    </row>
    <row r="815" spans="1:39" ht="12.75" customHeight="1" x14ac:dyDescent="0.25">
      <c r="A815" s="729"/>
      <c r="B815" s="298"/>
      <c r="C815" s="698"/>
      <c r="D815" s="1217"/>
      <c r="E815" s="2889" t="str">
        <f>Translations!$B$1515</f>
        <v>изпълнен ли е критерият за &gt;=300 квоти за емисии?</v>
      </c>
      <c r="F815" s="2889"/>
      <c r="G815" s="2889"/>
      <c r="H815" s="2889"/>
      <c r="I815" s="2890"/>
      <c r="J815" s="1236" t="str">
        <f>IF($M682&lt;&gt;EUconst_Relevant,"",INDEX(K_Summary!J:J,MATCH($Q815,K_Summary!$P:$P,0)))</f>
        <v/>
      </c>
      <c r="K815" s="385" t="str">
        <f>IF($M682&lt;&gt;EUconst_Relevant,"",INDEX(K_Summary!K:K,MATCH($Q815,K_Summary!$P:$P,0)))</f>
        <v/>
      </c>
      <c r="L815" s="385" t="str">
        <f>IF($M682&lt;&gt;EUconst_Relevant,"",INDEX(K_Summary!L:L,MATCH($Q815,K_Summary!$P:$P,0)))</f>
        <v/>
      </c>
      <c r="M815" s="385" t="str">
        <f>IF($M682&lt;&gt;EUconst_Relevant,"",INDEX(K_Summary!M:M,MATCH($Q815,K_Summary!$P:$P,0)))</f>
        <v/>
      </c>
      <c r="N815" s="1237" t="str">
        <f>IF($M682&lt;&gt;EUconst_Relevant,"",INDEX(K_Summary!N:N,MATCH($Q815,K_Summary!$P:$P,0)))</f>
        <v/>
      </c>
      <c r="O815" s="302"/>
      <c r="P815" s="336"/>
      <c r="Q815" s="1190" t="str">
        <f>EUconst_CNTR_300EUA&amp;I682</f>
        <v>EUA300_Подинсталация на топлофикационна мрежа</v>
      </c>
      <c r="R815" s="694"/>
      <c r="S815" s="694"/>
      <c r="T815" s="694"/>
      <c r="U815" s="1231"/>
      <c r="V815" s="216">
        <f>IF(V806=$Z682,$X814,1)</f>
        <v>1</v>
      </c>
      <c r="W815" s="216">
        <f>IF(W806=$Z682,$X814,1)</f>
        <v>1</v>
      </c>
      <c r="X815" s="216">
        <f>IF(X806=$Z682,$X814,1)</f>
        <v>1</v>
      </c>
      <c r="Y815" s="216">
        <f>IF(Y806=$Z682,$X814,1)</f>
        <v>1</v>
      </c>
      <c r="Z815" s="217">
        <f>IF(Z806=$Z682,$X814,1)</f>
        <v>1</v>
      </c>
      <c r="AA815" s="694"/>
      <c r="AB815" s="729"/>
      <c r="AC815" s="694"/>
      <c r="AD815" s="694"/>
      <c r="AE815" s="343"/>
      <c r="AF815" s="343"/>
      <c r="AG815" s="343"/>
      <c r="AH815" s="343"/>
      <c r="AI815" s="343"/>
      <c r="AJ815" s="343"/>
      <c r="AK815" s="343"/>
      <c r="AL815" s="343"/>
      <c r="AM815" s="343"/>
    </row>
    <row r="816" spans="1:39" ht="5.15" customHeight="1" x14ac:dyDescent="0.25">
      <c r="A816" s="729"/>
      <c r="B816" s="298"/>
      <c r="C816" s="698"/>
      <c r="D816" s="1217"/>
      <c r="E816" s="1199"/>
      <c r="F816" s="1199"/>
      <c r="G816" s="1199"/>
      <c r="H816" s="1199"/>
      <c r="I816" s="1199"/>
      <c r="J816" s="1199"/>
      <c r="K816" s="1199"/>
      <c r="L816" s="1199"/>
      <c r="M816" s="1199"/>
      <c r="N816" s="1238"/>
      <c r="O816" s="302"/>
      <c r="P816" s="336"/>
      <c r="Q816" s="729"/>
      <c r="R816" s="694"/>
      <c r="S816" s="694"/>
      <c r="T816" s="694"/>
      <c r="U816" s="1231"/>
      <c r="V816" s="694"/>
      <c r="W816" s="694"/>
      <c r="X816" s="694"/>
      <c r="Y816" s="694"/>
      <c r="Z816" s="1232"/>
      <c r="AA816" s="729"/>
      <c r="AB816" s="729"/>
      <c r="AC816" s="694"/>
      <c r="AD816" s="694"/>
      <c r="AE816" s="343"/>
      <c r="AF816" s="343"/>
      <c r="AG816" s="343"/>
      <c r="AH816" s="343"/>
      <c r="AI816" s="343"/>
      <c r="AJ816" s="343"/>
      <c r="AK816" s="343"/>
      <c r="AL816" s="343"/>
      <c r="AM816" s="343"/>
    </row>
    <row r="817" spans="1:39" ht="12.75" customHeight="1" x14ac:dyDescent="0.25">
      <c r="A817" s="729"/>
      <c r="B817" s="298"/>
      <c r="C817" s="698"/>
      <c r="D817" s="1197" t="s">
        <v>2220</v>
      </c>
      <c r="E817" s="2886" t="str">
        <f>Translations!$B$1549</f>
        <v>Определяне на корекциите на очакваното равнище на дейност, включително всякакви промени в ефективността</v>
      </c>
      <c r="F817" s="2887"/>
      <c r="G817" s="2887"/>
      <c r="H817" s="2887"/>
      <c r="I817" s="2887"/>
      <c r="J817" s="2887"/>
      <c r="K817" s="2887"/>
      <c r="L817" s="2887"/>
      <c r="M817" s="2887"/>
      <c r="N817" s="2888"/>
      <c r="O817" s="302"/>
      <c r="P817" s="336"/>
      <c r="Q817" s="729"/>
      <c r="R817" s="694"/>
      <c r="S817" s="694"/>
      <c r="T817" s="694"/>
      <c r="U817" s="1231"/>
      <c r="V817" s="694"/>
      <c r="W817" s="694"/>
      <c r="X817" s="694"/>
      <c r="Y817" s="694"/>
      <c r="Z817" s="1232"/>
      <c r="AA817" s="729"/>
      <c r="AB817" s="729"/>
      <c r="AC817" s="694"/>
      <c r="AD817" s="694"/>
      <c r="AE817" s="343"/>
      <c r="AF817" s="343"/>
      <c r="AG817" s="343"/>
      <c r="AH817" s="343"/>
      <c r="AI817" s="343"/>
      <c r="AJ817" s="343"/>
      <c r="AK817" s="343"/>
      <c r="AL817" s="343"/>
      <c r="AM817" s="343"/>
    </row>
    <row r="818" spans="1:39" ht="12.75" customHeight="1" thickBot="1" x14ac:dyDescent="0.3">
      <c r="A818" s="729"/>
      <c r="B818" s="698"/>
      <c r="C818" s="698"/>
      <c r="D818" s="1489"/>
      <c r="E818" s="2891" t="str">
        <f>Translations!$B$1550</f>
        <v>Това е крайният резултат, като се вземат предвид всички промени в ефективността, ако е приложимо.</v>
      </c>
      <c r="F818" s="2887"/>
      <c r="G818" s="2887"/>
      <c r="H818" s="2887"/>
      <c r="I818" s="2887"/>
      <c r="J818" s="2887"/>
      <c r="K818" s="2887"/>
      <c r="L818" s="2887"/>
      <c r="M818" s="2887"/>
      <c r="N818" s="2888"/>
      <c r="O818" s="336"/>
      <c r="P818" s="336"/>
      <c r="Q818" s="694"/>
      <c r="R818" s="694"/>
      <c r="S818" s="694"/>
      <c r="T818" s="694"/>
      <c r="U818" s="1231"/>
      <c r="V818" s="694"/>
      <c r="W818" s="694"/>
      <c r="X818" s="694"/>
      <c r="Y818" s="694"/>
      <c r="Z818" s="1232"/>
      <c r="AA818" s="729"/>
      <c r="AB818" s="729"/>
      <c r="AC818" s="694"/>
      <c r="AD818" s="694"/>
      <c r="AE818" s="343"/>
      <c r="AF818" s="343"/>
      <c r="AG818" s="343"/>
      <c r="AH818" s="343"/>
      <c r="AI818" s="343"/>
      <c r="AJ818" s="343"/>
      <c r="AK818" s="343"/>
      <c r="AL818" s="343"/>
      <c r="AM818" s="343"/>
    </row>
    <row r="819" spans="1:39" ht="12.75" customHeight="1" thickBot="1" x14ac:dyDescent="0.3">
      <c r="A819" s="729"/>
      <c r="B819" s="298"/>
      <c r="C819" s="698"/>
      <c r="D819" s="1208"/>
      <c r="E819" s="2889" t="str">
        <f>Translations!$B$1324</f>
        <v>Действителна корекция (ако са надвишени всички прагове)</v>
      </c>
      <c r="F819" s="2889"/>
      <c r="G819" s="2889"/>
      <c r="H819" s="2889"/>
      <c r="I819" s="1490"/>
      <c r="J819" s="1240" t="str">
        <f>IF(J815="","",IF(J814&gt;$Z682,-100%,IFERROR((1+IF(OR(J815,V808&lt;1),J810,IF(J814=$Z682,SUM(I819),I819)))*V815-1,"")))</f>
        <v/>
      </c>
      <c r="K819" s="1241" t="str">
        <f>IF(K815="","",IF(K814&gt;$Z682,-100%,IFERROR((1+IF(OR(K815,W808&lt;1),K810,IF(K814=$Z682,SUM(J819),J819)))*W815-1,"")))</f>
        <v/>
      </c>
      <c r="L819" s="1241" t="str">
        <f>IF(L815="","",IF(L814&gt;$Z682,-100%,IFERROR((1+IF(OR(L815,X808&lt;1),L810,IF(L814=$Z682,SUM(K819),K819)))*X815-1,"")))</f>
        <v/>
      </c>
      <c r="M819" s="1241" t="str">
        <f>IF(M815="","",IF(M814&gt;$Z682,-100%,IFERROR((1+IF(OR(M815,Y808&lt;1),M810,IF(M814=$Z682,SUM(L819),L819)))*Y815-1,"")))</f>
        <v/>
      </c>
      <c r="N819" s="1242" t="str">
        <f>IF(N815="","",IF(N814&gt;$Z682,-100%,IFERROR((1+IF(OR(N815,Z808&lt;1),N810,IF(N814=$Z682,SUM(M819),M819)))*Z815-1,"")))</f>
        <v/>
      </c>
      <c r="O819" s="302"/>
      <c r="P819" s="336"/>
      <c r="Q819" s="1190" t="str">
        <f>EUconst_CNTR_HALAdjPct &amp; I682</f>
        <v>HALAdjPct_Подинсталация на топлофикационна мрежа</v>
      </c>
      <c r="R819" s="694"/>
      <c r="S819" s="694"/>
      <c r="T819" s="694"/>
      <c r="U819" s="1231" t="s">
        <v>1718</v>
      </c>
      <c r="V819" s="1243">
        <f>J814</f>
        <v>2026</v>
      </c>
      <c r="W819" s="1243">
        <f>K814</f>
        <v>2027</v>
      </c>
      <c r="X819" s="1243">
        <f>L814</f>
        <v>2028</v>
      </c>
      <c r="Y819" s="1243">
        <f>M814</f>
        <v>2029</v>
      </c>
      <c r="Z819" s="1244">
        <f>N814</f>
        <v>2030</v>
      </c>
      <c r="AA819" s="694"/>
      <c r="AB819" s="729"/>
      <c r="AC819" s="694"/>
      <c r="AD819" s="694"/>
      <c r="AE819" s="343"/>
      <c r="AF819" s="343"/>
      <c r="AG819" s="343"/>
      <c r="AH819" s="343"/>
      <c r="AI819" s="343"/>
      <c r="AJ819" s="343"/>
      <c r="AK819" s="343"/>
      <c r="AL819" s="343"/>
      <c r="AM819" s="343"/>
    </row>
    <row r="820" spans="1:39" ht="12.75" customHeight="1" thickBot="1" x14ac:dyDescent="0.3">
      <c r="A820" s="729"/>
      <c r="B820" s="298"/>
      <c r="C820" s="698"/>
      <c r="D820" s="1217"/>
      <c r="E820" s="2889" t="str">
        <f>Translations!$B$1551</f>
        <v>Действително очаквано равнище на дейност</v>
      </c>
      <c r="F820" s="2892"/>
      <c r="G820" s="2892"/>
      <c r="H820" s="1210" t="str">
        <f>H698</f>
        <v>TJ</v>
      </c>
      <c r="I820" s="1399" t="str">
        <f>I701</f>
        <v/>
      </c>
      <c r="J820" s="661" t="str">
        <f>IF($M682&lt;&gt;EUconst_Relevant,"",IF(OR(J819="",$I820=0,$I820=EUconst_NA),IF(OR(J815=TRUE,J814&lt;=$V682),J701,SUM(I820)),$I820*(1+SUM(J819))))</f>
        <v/>
      </c>
      <c r="K820" s="662" t="str">
        <f>IF($M682&lt;&gt;EUconst_Relevant,"",IF(OR(K819="",$I820=0,$I820=EUconst_NA),IF(OR(K815=TRUE,K814&lt;=$V682),K701,SUM(J820)),$I820*(1+SUM(K819))))</f>
        <v/>
      </c>
      <c r="L820" s="662" t="str">
        <f>IF($M682&lt;&gt;EUconst_Relevant,"",IF(OR(L819="",$I820=0,$I820=EUconst_NA),IF(OR(L815=TRUE,L814&lt;=$V682),L701,SUM(K820)),$I820*(1+SUM(L819))))</f>
        <v/>
      </c>
      <c r="M820" s="662" t="str">
        <f>IF($M682&lt;&gt;EUconst_Relevant,"",IF(OR(M819="",$I820=0,$I820=EUconst_NA),IF(OR(M815=TRUE,M814&lt;=$V682),M701,SUM(L820)),$I820*(1+SUM(M819))))</f>
        <v/>
      </c>
      <c r="N820" s="663" t="str">
        <f>IF($M682&lt;&gt;EUconst_Relevant,"",IF(OR(N819="",$I820=0,$I820=EUconst_NA),IF(OR(N815=TRUE,N814&lt;=$V682),N701,SUM(M820)),$I820*(1+SUM(N819))))</f>
        <v/>
      </c>
      <c r="O820" s="302"/>
      <c r="P820" s="336"/>
      <c r="Q820" s="1190" t="str">
        <f>EUconst_CNTR_HALfinal&amp;I682</f>
        <v>HALfinal_Подинсталация на топлофикационна мрежа</v>
      </c>
      <c r="R820" s="694"/>
      <c r="S820" s="694"/>
      <c r="T820" s="694"/>
      <c r="U820" s="1491" t="b">
        <v>0</v>
      </c>
      <c r="V820" s="1246" t="b">
        <f>IF(J815=TRUE,V699,U820)</f>
        <v>0</v>
      </c>
      <c r="W820" s="1246" t="b">
        <f>IF(K815=TRUE,W699,V820)</f>
        <v>0</v>
      </c>
      <c r="X820" s="1246" t="b">
        <f>IF(L815=TRUE,X699,W820)</f>
        <v>0</v>
      </c>
      <c r="Y820" s="1246" t="b">
        <f>IF(M815=TRUE,Y699,X820)</f>
        <v>0</v>
      </c>
      <c r="Z820" s="1247" t="b">
        <f>IF(N815=TRUE,Z699,Y820)</f>
        <v>0</v>
      </c>
      <c r="AA820" s="694"/>
      <c r="AB820" s="694"/>
      <c r="AC820" s="694"/>
      <c r="AD820" s="694"/>
      <c r="AE820" s="343"/>
      <c r="AF820" s="343"/>
      <c r="AG820" s="343"/>
      <c r="AH820" s="343"/>
      <c r="AI820" s="343"/>
      <c r="AJ820" s="343"/>
      <c r="AK820" s="1174" t="s">
        <v>2033</v>
      </c>
      <c r="AL820" s="982"/>
      <c r="AM820" s="343"/>
    </row>
    <row r="821" spans="1:39" ht="5.15" customHeight="1" thickBot="1" x14ac:dyDescent="0.3">
      <c r="A821" s="729"/>
      <c r="B821" s="698"/>
      <c r="C821" s="698"/>
      <c r="D821" s="1273"/>
      <c r="E821" s="1274"/>
      <c r="F821" s="1274"/>
      <c r="G821" s="1274"/>
      <c r="H821" s="1274"/>
      <c r="I821" s="1274"/>
      <c r="J821" s="1274"/>
      <c r="K821" s="1274"/>
      <c r="L821" s="1274"/>
      <c r="M821" s="1274"/>
      <c r="N821" s="1276"/>
      <c r="O821" s="336"/>
      <c r="P821" s="336"/>
      <c r="Q821" s="694"/>
      <c r="R821" s="694"/>
      <c r="S821" s="694"/>
      <c r="T821" s="694"/>
      <c r="U821" s="694"/>
      <c r="V821" s="694"/>
      <c r="W821" s="694"/>
      <c r="X821" s="694"/>
      <c r="Y821" s="694"/>
      <c r="Z821" s="694"/>
      <c r="AA821" s="694"/>
      <c r="AB821" s="729"/>
      <c r="AC821" s="694"/>
      <c r="AD821" s="694"/>
      <c r="AE821" s="343"/>
      <c r="AF821" s="343"/>
      <c r="AG821" s="343"/>
      <c r="AH821" s="343"/>
      <c r="AI821" s="343"/>
      <c r="AJ821" s="343"/>
      <c r="AK821" s="343"/>
      <c r="AL821" s="343"/>
      <c r="AM821" s="343"/>
    </row>
    <row r="822" spans="1:39" ht="12.75" customHeight="1" thickBot="1" x14ac:dyDescent="0.3">
      <c r="A822" s="694"/>
      <c r="B822" s="698"/>
      <c r="C822" s="698"/>
      <c r="D822" s="698"/>
      <c r="E822" s="698"/>
      <c r="F822" s="698"/>
      <c r="G822" s="698"/>
      <c r="H822" s="698"/>
      <c r="I822" s="698"/>
      <c r="J822" s="698"/>
      <c r="K822" s="698"/>
      <c r="L822" s="698"/>
      <c r="M822" s="698"/>
      <c r="N822" s="698"/>
      <c r="O822" s="336"/>
      <c r="P822" s="336"/>
      <c r="Q822" s="694"/>
      <c r="R822" s="694"/>
      <c r="S822" s="694"/>
      <c r="T822" s="694"/>
      <c r="U822" s="694"/>
      <c r="V822" s="694"/>
      <c r="W822" s="694"/>
      <c r="X822" s="694"/>
      <c r="Y822" s="694"/>
      <c r="Z822" s="694"/>
      <c r="AA822" s="694"/>
      <c r="AB822" s="729"/>
      <c r="AC822" s="694"/>
      <c r="AD822" s="694"/>
      <c r="AE822" s="343"/>
      <c r="AF822" s="343"/>
      <c r="AG822" s="343"/>
      <c r="AH822" s="343"/>
      <c r="AI822" s="343"/>
      <c r="AJ822" s="343"/>
      <c r="AK822" s="343"/>
      <c r="AL822" s="343"/>
      <c r="AM822" s="343"/>
    </row>
    <row r="823" spans="1:39" ht="5.15" customHeight="1" x14ac:dyDescent="0.25">
      <c r="A823" s="694"/>
      <c r="B823" s="284"/>
      <c r="C823" s="1492"/>
      <c r="D823" s="1493"/>
      <c r="E823" s="1493"/>
      <c r="F823" s="1493"/>
      <c r="G823" s="1493"/>
      <c r="H823" s="1493"/>
      <c r="I823" s="1493"/>
      <c r="J823" s="1493"/>
      <c r="K823" s="1493"/>
      <c r="L823" s="1493"/>
      <c r="M823" s="1494"/>
      <c r="N823" s="1495"/>
      <c r="O823" s="336"/>
      <c r="P823" s="336"/>
      <c r="Q823" s="770"/>
      <c r="R823" s="694"/>
      <c r="S823" s="770"/>
      <c r="T823" s="770"/>
      <c r="U823" s="694"/>
      <c r="V823" s="694"/>
      <c r="W823" s="694"/>
      <c r="X823" s="694"/>
      <c r="Y823" s="694"/>
      <c r="Z823" s="694"/>
      <c r="AA823" s="694"/>
      <c r="AB823" s="729"/>
      <c r="AC823" s="694"/>
      <c r="AD823" s="694"/>
      <c r="AE823" s="343"/>
      <c r="AF823" s="343"/>
      <c r="AG823" s="343"/>
      <c r="AH823" s="343"/>
      <c r="AI823" s="343"/>
      <c r="AJ823" s="343"/>
      <c r="AK823" s="343"/>
      <c r="AL823" s="343"/>
      <c r="AM823" s="343"/>
    </row>
    <row r="824" spans="1:39" ht="15" customHeight="1" x14ac:dyDescent="0.25">
      <c r="A824" s="694"/>
      <c r="B824" s="698"/>
      <c r="C824" s="1496"/>
      <c r="D824" s="2857" t="str">
        <f>Translations!$B$502</f>
        <v>Данни, необходими за определяне на нивото на подобрение на продуктовите показатели съгласно 10а, параграф 2 от Директивата за СТЕ на ЕС</v>
      </c>
      <c r="E824" s="2851"/>
      <c r="F824" s="2851"/>
      <c r="G824" s="2851"/>
      <c r="H824" s="2851"/>
      <c r="I824" s="2851"/>
      <c r="J824" s="2851"/>
      <c r="K824" s="2851"/>
      <c r="L824" s="2851"/>
      <c r="M824" s="2851"/>
      <c r="N824" s="2852"/>
      <c r="O824" s="336"/>
      <c r="P824" s="336"/>
      <c r="Q824" s="694"/>
      <c r="R824" s="694"/>
      <c r="S824" s="770"/>
      <c r="T824" s="770"/>
      <c r="U824" s="694"/>
      <c r="V824" s="694"/>
      <c r="W824" s="694"/>
      <c r="X824" s="694"/>
      <c r="Y824" s="694"/>
      <c r="Z824" s="694"/>
      <c r="AA824" s="694"/>
      <c r="AB824" s="729"/>
      <c r="AC824" s="694"/>
      <c r="AD824" s="694"/>
      <c r="AE824" s="343"/>
      <c r="AF824" s="343"/>
      <c r="AG824" s="343"/>
      <c r="AH824" s="343"/>
      <c r="AI824" s="343"/>
      <c r="AJ824" s="343"/>
      <c r="AK824" s="343"/>
      <c r="AL824" s="343"/>
      <c r="AM824" s="343"/>
    </row>
    <row r="825" spans="1:39" ht="5.15" customHeight="1" x14ac:dyDescent="0.25">
      <c r="A825" s="694"/>
      <c r="B825" s="698"/>
      <c r="C825" s="1303"/>
      <c r="D825" s="1304"/>
      <c r="E825" s="1304"/>
      <c r="F825" s="1304"/>
      <c r="G825" s="1304"/>
      <c r="H825" s="1304"/>
      <c r="I825" s="1304"/>
      <c r="J825" s="1304"/>
      <c r="K825" s="1304"/>
      <c r="L825" s="1304"/>
      <c r="M825" s="1304"/>
      <c r="N825" s="1305"/>
      <c r="O825" s="336"/>
      <c r="P825" s="336"/>
      <c r="Q825" s="694"/>
      <c r="R825" s="694"/>
      <c r="S825" s="770"/>
      <c r="T825" s="770"/>
      <c r="U825" s="694"/>
      <c r="V825" s="694"/>
      <c r="W825" s="694"/>
      <c r="X825" s="694"/>
      <c r="Y825" s="694"/>
      <c r="Z825" s="694"/>
      <c r="AA825" s="694"/>
      <c r="AB825" s="729"/>
      <c r="AC825" s="694"/>
      <c r="AD825" s="694"/>
      <c r="AE825" s="343"/>
      <c r="AF825" s="343"/>
      <c r="AG825" s="343"/>
      <c r="AH825" s="343"/>
      <c r="AI825" s="343"/>
      <c r="AJ825" s="343"/>
      <c r="AK825" s="343"/>
      <c r="AL825" s="343"/>
      <c r="AM825" s="343"/>
    </row>
    <row r="826" spans="1:39" ht="15" customHeight="1" x14ac:dyDescent="0.25">
      <c r="A826" s="694"/>
      <c r="B826" s="698"/>
      <c r="C826" s="1303"/>
      <c r="D826" s="2841" t="str">
        <f>EUconst_FBSubinst &amp; ":"</f>
        <v>Алтернативна подинсталация („Fall-Back sub-installation“):</v>
      </c>
      <c r="E826" s="2839"/>
      <c r="F826" s="2839"/>
      <c r="G826" s="2839"/>
      <c r="H826" s="2842"/>
      <c r="I826" s="2843" t="str">
        <f>I682</f>
        <v>Подинсталация на топлофикационна мрежа</v>
      </c>
      <c r="J826" s="2844"/>
      <c r="K826" s="2844"/>
      <c r="L826" s="2844"/>
      <c r="M826" s="2844"/>
      <c r="N826" s="2845"/>
      <c r="O826" s="336"/>
      <c r="P826" s="336"/>
      <c r="Q826" s="694"/>
      <c r="R826" s="694"/>
      <c r="S826" s="770"/>
      <c r="T826" s="770"/>
      <c r="U826" s="694"/>
      <c r="V826" s="694"/>
      <c r="W826" s="694"/>
      <c r="X826" s="694"/>
      <c r="Y826" s="694"/>
      <c r="Z826" s="694"/>
      <c r="AA826" s="694"/>
      <c r="AB826" s="729"/>
      <c r="AC826" s="694"/>
      <c r="AD826" s="694"/>
      <c r="AE826" s="343"/>
      <c r="AF826" s="343"/>
      <c r="AG826" s="343"/>
      <c r="AH826" s="343"/>
      <c r="AI826" s="343"/>
      <c r="AJ826" s="343"/>
      <c r="AK826" s="343"/>
      <c r="AL826" s="343"/>
      <c r="AM826" s="343"/>
    </row>
    <row r="827" spans="1:39" ht="5.15" customHeight="1" x14ac:dyDescent="0.25">
      <c r="A827" s="694"/>
      <c r="B827" s="698"/>
      <c r="C827" s="1303"/>
      <c r="D827" s="1304"/>
      <c r="E827" s="1304"/>
      <c r="F827" s="1304"/>
      <c r="G827" s="1304"/>
      <c r="H827" s="1304"/>
      <c r="I827" s="1304"/>
      <c r="J827" s="1304"/>
      <c r="K827" s="1304"/>
      <c r="L827" s="1304"/>
      <c r="M827" s="1304"/>
      <c r="N827" s="1305"/>
      <c r="O827" s="336"/>
      <c r="P827" s="336"/>
      <c r="Q827" s="694"/>
      <c r="R827" s="694"/>
      <c r="S827" s="770"/>
      <c r="T827" s="770"/>
      <c r="U827" s="694"/>
      <c r="V827" s="694"/>
      <c r="W827" s="694"/>
      <c r="X827" s="694"/>
      <c r="Y827" s="694"/>
      <c r="Z827" s="694"/>
      <c r="AA827" s="694"/>
      <c r="AB827" s="729"/>
      <c r="AC827" s="694"/>
      <c r="AD827" s="694"/>
      <c r="AE827" s="343"/>
      <c r="AF827" s="343"/>
      <c r="AG827" s="343"/>
      <c r="AH827" s="343"/>
      <c r="AI827" s="343"/>
      <c r="AJ827" s="343"/>
      <c r="AK827" s="343"/>
      <c r="AL827" s="343"/>
      <c r="AM827" s="343"/>
    </row>
    <row r="828" spans="1:39" ht="30" customHeight="1" x14ac:dyDescent="0.25">
      <c r="A828" s="694"/>
      <c r="B828" s="284"/>
      <c r="C828" s="1496"/>
      <c r="D828" s="1497"/>
      <c r="E828" s="2933" t="str">
        <f>Translations!$B$503</f>
        <v>В този подраздел се обхваща разпределението на емисии по пораждащи емисии потоци, източници на емисии, получена или подадена измерима топлинна енергия и отпадни газове, включително загубите на топлинна енергия съгласно раздел 10 от приложение VII към ПБР.</v>
      </c>
      <c r="F828" s="2933"/>
      <c r="G828" s="2933"/>
      <c r="H828" s="2933"/>
      <c r="I828" s="2933"/>
      <c r="J828" s="2933"/>
      <c r="K828" s="2933"/>
      <c r="L828" s="2933"/>
      <c r="M828" s="2933"/>
      <c r="N828" s="1498"/>
      <c r="O828" s="336"/>
      <c r="P828" s="336"/>
      <c r="Q828" s="770"/>
      <c r="R828" s="694"/>
      <c r="S828" s="694"/>
      <c r="T828" s="694"/>
      <c r="U828" s="694"/>
      <c r="V828" s="694"/>
      <c r="W828" s="694"/>
      <c r="X828" s="694"/>
      <c r="Y828" s="694"/>
      <c r="Z828" s="694"/>
      <c r="AA828" s="694"/>
      <c r="AB828" s="729"/>
      <c r="AC828" s="694"/>
      <c r="AD828" s="694"/>
      <c r="AE828" s="343"/>
      <c r="AF828" s="343"/>
      <c r="AG828" s="343"/>
      <c r="AH828" s="343"/>
      <c r="AI828" s="343"/>
      <c r="AJ828" s="343"/>
      <c r="AK828" s="343"/>
      <c r="AL828" s="343"/>
      <c r="AM828" s="343"/>
    </row>
    <row r="829" spans="1:39" ht="30" customHeight="1" x14ac:dyDescent="0.25">
      <c r="A829" s="694"/>
      <c r="B829" s="298"/>
      <c r="C829" s="1302"/>
      <c r="D829" s="1306"/>
      <c r="E829" s="2846" t="str">
        <f>Translations!$B$504</f>
        <v xml:space="preserve">Моля, имайте предвид, че въпреки дадените известни насоки по всяка от точките по-долу трябва да потърсите допълнителна информация в обяснителна бележка № 5 („Мониторинг и докладване във връзка с ПБР“), която съдържа и примери. </v>
      </c>
      <c r="F829" s="2846"/>
      <c r="G829" s="2846"/>
      <c r="H829" s="2846"/>
      <c r="I829" s="2846"/>
      <c r="J829" s="2846"/>
      <c r="K829" s="2846"/>
      <c r="L829" s="2846"/>
      <c r="M829" s="2846"/>
      <c r="N829" s="1372"/>
      <c r="O829" s="336"/>
      <c r="P829" s="336"/>
      <c r="Q829" s="729"/>
      <c r="R829" s="694"/>
      <c r="S829" s="694"/>
      <c r="T829" s="694"/>
      <c r="U829" s="694"/>
      <c r="V829" s="694"/>
      <c r="W829" s="694"/>
      <c r="X829" s="694"/>
      <c r="Y829" s="694"/>
      <c r="Z829" s="694"/>
      <c r="AA829" s="694"/>
      <c r="AB829" s="729"/>
      <c r="AC829" s="694"/>
      <c r="AD829" s="694"/>
      <c r="AE829" s="343"/>
      <c r="AF829" s="343"/>
      <c r="AG829" s="343"/>
      <c r="AH829" s="343"/>
      <c r="AI829" s="343"/>
      <c r="AJ829" s="343"/>
      <c r="AK829" s="343"/>
      <c r="AL829" s="343"/>
      <c r="AM829" s="343"/>
    </row>
    <row r="830" spans="1:39" ht="12.75" customHeight="1" x14ac:dyDescent="0.25">
      <c r="A830" s="694"/>
      <c r="B830" s="298"/>
      <c r="C830" s="1302"/>
      <c r="D830" s="1306"/>
      <c r="E830" s="2846" t="str">
        <f>Translations!$B$505</f>
        <v>Можете да изтеглите насоките на адрес: https://ec.europa.eu/clima/policies/ets/allowances_en#tab-0-1</v>
      </c>
      <c r="F830" s="2240"/>
      <c r="G830" s="2240"/>
      <c r="H830" s="2240"/>
      <c r="I830" s="2240"/>
      <c r="J830" s="2240"/>
      <c r="K830" s="2240"/>
      <c r="L830" s="2240"/>
      <c r="M830" s="2240"/>
      <c r="N830" s="1372"/>
      <c r="O830" s="336"/>
      <c r="P830" s="336"/>
      <c r="Q830" s="729"/>
      <c r="R830" s="694"/>
      <c r="S830" s="694"/>
      <c r="T830" s="694"/>
      <c r="U830" s="694"/>
      <c r="V830" s="694"/>
      <c r="W830" s="694"/>
      <c r="X830" s="694"/>
      <c r="Y830" s="694"/>
      <c r="Z830" s="694"/>
      <c r="AA830" s="694"/>
      <c r="AB830" s="729"/>
      <c r="AC830" s="694"/>
      <c r="AD830" s="694"/>
      <c r="AE830" s="343"/>
      <c r="AF830" s="343"/>
      <c r="AG830" s="343"/>
      <c r="AH830" s="343"/>
      <c r="AI830" s="343"/>
      <c r="AJ830" s="343"/>
      <c r="AK830" s="343"/>
      <c r="AL830" s="343"/>
      <c r="AM830" s="343"/>
    </row>
    <row r="831" spans="1:39" ht="15" customHeight="1" x14ac:dyDescent="0.25">
      <c r="A831" s="694"/>
      <c r="B831" s="298"/>
      <c r="C831" s="1302"/>
      <c r="D831" s="1306"/>
      <c r="E831" s="2848" t="str">
        <f>F_ProductBM!$E$674</f>
        <v>https://climate.ec.europa.eu/eu-action/carbon-markets/eu-emissions-trading-system-eu-ets/free-allocation/about-free-allocation_en</v>
      </c>
      <c r="F831" s="2848"/>
      <c r="G831" s="2848"/>
      <c r="H831" s="2848"/>
      <c r="I831" s="2848"/>
      <c r="J831" s="2848"/>
      <c r="K831" s="2848"/>
      <c r="L831" s="2848"/>
      <c r="M831" s="2848"/>
      <c r="N831" s="1372"/>
      <c r="O831" s="336"/>
      <c r="P831" s="336"/>
      <c r="Q831" s="729"/>
      <c r="R831" s="694"/>
      <c r="S831" s="694"/>
      <c r="T831" s="694"/>
      <c r="U831" s="694"/>
      <c r="V831" s="694"/>
      <c r="W831" s="694"/>
      <c r="X831" s="694"/>
      <c r="Y831" s="694"/>
      <c r="Z831" s="694"/>
      <c r="AA831" s="694"/>
      <c r="AB831" s="729"/>
      <c r="AC831" s="694"/>
      <c r="AD831" s="694"/>
      <c r="AE831" s="343"/>
      <c r="AF831" s="343"/>
      <c r="AG831" s="343"/>
      <c r="AH831" s="343"/>
      <c r="AI831" s="343"/>
      <c r="AJ831" s="343"/>
      <c r="AK831" s="343"/>
      <c r="AL831" s="343"/>
      <c r="AM831" s="343"/>
    </row>
    <row r="832" spans="1:39" ht="15" customHeight="1" x14ac:dyDescent="0.25">
      <c r="A832" s="694"/>
      <c r="B832" s="284"/>
      <c r="C832" s="1496"/>
      <c r="D832" s="1497"/>
      <c r="E832" s="2849" t="str">
        <f>Translations!$B$506</f>
        <v>При въвеждане на данните по-долу емисиите, които могат да бъдат зададени, са изчислени в раздел K.III.2 в листа за обобщение.</v>
      </c>
      <c r="F832" s="2849"/>
      <c r="G832" s="2849"/>
      <c r="H832" s="2849"/>
      <c r="I832" s="2849"/>
      <c r="J832" s="2849"/>
      <c r="K832" s="2849"/>
      <c r="L832" s="2849"/>
      <c r="M832" s="2849"/>
      <c r="N832" s="1498"/>
      <c r="O832" s="336"/>
      <c r="P832" s="336"/>
      <c r="Q832" s="770"/>
      <c r="R832" s="694"/>
      <c r="S832" s="694"/>
      <c r="T832" s="694"/>
      <c r="U832" s="694"/>
      <c r="V832" s="694"/>
      <c r="W832" s="694"/>
      <c r="X832" s="694"/>
      <c r="Y832" s="694"/>
      <c r="Z832" s="694"/>
      <c r="AA832" s="694"/>
      <c r="AB832" s="729"/>
      <c r="AC832" s="694"/>
      <c r="AD832" s="694"/>
      <c r="AE832" s="343"/>
      <c r="AF832" s="343"/>
      <c r="AG832" s="343"/>
      <c r="AH832" s="343"/>
      <c r="AI832" s="343"/>
      <c r="AJ832" s="343"/>
      <c r="AK832" s="343"/>
      <c r="AL832" s="343"/>
      <c r="AM832" s="343"/>
    </row>
    <row r="833" spans="1:39" ht="5.15" customHeight="1" x14ac:dyDescent="0.25">
      <c r="A833" s="694"/>
      <c r="B833" s="698"/>
      <c r="C833" s="1303"/>
      <c r="D833" s="1304"/>
      <c r="E833" s="1304"/>
      <c r="F833" s="1304"/>
      <c r="G833" s="1304"/>
      <c r="H833" s="1304"/>
      <c r="I833" s="1304"/>
      <c r="J833" s="1304"/>
      <c r="K833" s="1304"/>
      <c r="L833" s="1304"/>
      <c r="M833" s="1304"/>
      <c r="N833" s="1305"/>
      <c r="O833" s="336"/>
      <c r="P833" s="336"/>
      <c r="Q833" s="694"/>
      <c r="R833" s="694"/>
      <c r="S833" s="770"/>
      <c r="T833" s="770"/>
      <c r="U833" s="694"/>
      <c r="V833" s="694"/>
      <c r="W833" s="694"/>
      <c r="X833" s="694"/>
      <c r="Y833" s="694"/>
      <c r="Z833" s="694"/>
      <c r="AA833" s="694"/>
      <c r="AB833" s="729"/>
      <c r="AC833" s="694"/>
      <c r="AD833" s="694"/>
      <c r="AE833" s="343"/>
      <c r="AF833" s="343"/>
      <c r="AG833" s="343"/>
      <c r="AH833" s="343"/>
      <c r="AI833" s="343"/>
      <c r="AJ833" s="343"/>
      <c r="AK833" s="343"/>
      <c r="AL833" s="343"/>
      <c r="AM833" s="343"/>
    </row>
    <row r="834" spans="1:39" ht="12.75" customHeight="1" x14ac:dyDescent="0.25">
      <c r="A834" s="694"/>
      <c r="B834" s="284"/>
      <c r="C834" s="1496"/>
      <c r="D834" s="1307" t="s">
        <v>46</v>
      </c>
      <c r="E834" s="2850" t="str">
        <f>Translations!$B$626</f>
        <v>Емисии, които могат се зададат пряко (DirEm*) на тази подинсталация</v>
      </c>
      <c r="F834" s="2851"/>
      <c r="G834" s="2851"/>
      <c r="H834" s="2851"/>
      <c r="I834" s="2851"/>
      <c r="J834" s="2851"/>
      <c r="K834" s="2851"/>
      <c r="L834" s="2851"/>
      <c r="M834" s="2851"/>
      <c r="N834" s="2852"/>
      <c r="O834" s="336"/>
      <c r="P834" s="336"/>
      <c r="Q834" s="770"/>
      <c r="R834" s="694"/>
      <c r="S834" s="770"/>
      <c r="T834" s="770"/>
      <c r="U834" s="694"/>
      <c r="V834" s="694"/>
      <c r="W834" s="694"/>
      <c r="X834" s="694"/>
      <c r="Y834" s="694"/>
      <c r="Z834" s="694"/>
      <c r="AA834" s="694"/>
      <c r="AB834" s="729"/>
      <c r="AC834" s="694"/>
      <c r="AD834" s="694"/>
      <c r="AE834" s="343"/>
      <c r="AF834" s="343"/>
      <c r="AG834" s="343"/>
      <c r="AH834" s="343"/>
      <c r="AI834" s="343"/>
      <c r="AJ834" s="343"/>
      <c r="AK834" s="343"/>
      <c r="AL834" s="343"/>
      <c r="AM834" s="343"/>
    </row>
    <row r="835" spans="1:39" ht="12.75" customHeight="1" x14ac:dyDescent="0.25">
      <c r="A835" s="694"/>
      <c r="B835" s="284"/>
      <c r="C835" s="1496"/>
      <c r="D835" s="1307"/>
      <c r="E835" s="2927" t="str">
        <f>Translations!$B$508</f>
        <v>Посочените тук данни ще се отразят на емисиите, които могат да бъдат зададени съгласно раздел 10.1.1 от приложение VII към ПБР.</v>
      </c>
      <c r="F835" s="2927"/>
      <c r="G835" s="2927"/>
      <c r="H835" s="2927"/>
      <c r="I835" s="2927"/>
      <c r="J835" s="2927"/>
      <c r="K835" s="2927"/>
      <c r="L835" s="2927"/>
      <c r="M835" s="2927"/>
      <c r="N835" s="2928"/>
      <c r="O835" s="336"/>
      <c r="P835" s="336"/>
      <c r="Q835" s="770"/>
      <c r="R835" s="694"/>
      <c r="S835" s="770"/>
      <c r="T835" s="770"/>
      <c r="U835" s="694"/>
      <c r="V835" s="694"/>
      <c r="W835" s="694"/>
      <c r="X835" s="694"/>
      <c r="Y835" s="694"/>
      <c r="Z835" s="694"/>
      <c r="AA835" s="694"/>
      <c r="AB835" s="729"/>
      <c r="AC835" s="694"/>
      <c r="AD835" s="694"/>
      <c r="AE835" s="343"/>
      <c r="AF835" s="343"/>
      <c r="AG835" s="343"/>
      <c r="AH835" s="343"/>
      <c r="AI835" s="343"/>
      <c r="AJ835" s="343"/>
      <c r="AK835" s="343"/>
      <c r="AL835" s="343"/>
      <c r="AM835" s="343"/>
    </row>
    <row r="836" spans="1:39" ht="12.75" customHeight="1" x14ac:dyDescent="0.25">
      <c r="A836" s="694"/>
      <c r="B836" s="284"/>
      <c r="C836" s="1496"/>
      <c r="D836" s="1497"/>
      <c r="E836" s="2836" t="str">
        <f>Translations!$B$627</f>
        <v>Моля, въведете преките емисии, като вземете предвид следните уговорки:</v>
      </c>
      <c r="F836" s="2836"/>
      <c r="G836" s="2836"/>
      <c r="H836" s="2836"/>
      <c r="I836" s="2836"/>
      <c r="J836" s="2836"/>
      <c r="K836" s="2836"/>
      <c r="L836" s="2836"/>
      <c r="M836" s="2836"/>
      <c r="N836" s="2837"/>
      <c r="O836" s="336"/>
      <c r="P836" s="336"/>
      <c r="Q836" s="770"/>
      <c r="R836" s="694"/>
      <c r="S836" s="770"/>
      <c r="T836" s="694"/>
      <c r="U836" s="694"/>
      <c r="V836" s="694"/>
      <c r="W836" s="694"/>
      <c r="X836" s="694"/>
      <c r="Y836" s="694"/>
      <c r="Z836" s="694"/>
      <c r="AA836" s="694"/>
      <c r="AB836" s="729"/>
      <c r="AC836" s="694"/>
      <c r="AD836" s="694"/>
      <c r="AE836" s="343"/>
      <c r="AF836" s="343"/>
      <c r="AG836" s="343"/>
      <c r="AH836" s="343"/>
      <c r="AI836" s="343"/>
      <c r="AJ836" s="343"/>
      <c r="AK836" s="343"/>
      <c r="AL836" s="343"/>
      <c r="AM836" s="343"/>
    </row>
    <row r="837" spans="1:39" ht="25.5" customHeight="1" x14ac:dyDescent="0.25">
      <c r="A837" s="694"/>
      <c r="B837" s="284"/>
      <c r="C837" s="1496"/>
      <c r="D837" s="1497"/>
      <c r="E837" s="1308" t="s">
        <v>1052</v>
      </c>
      <c r="F837" s="2838" t="str">
        <f>Translations!$B$628</f>
        <v>За преките емисии се извършва мониторинг в съответствие с плана за мониторинг, одобрен съгласно Регламента относно мониторинга и докладването (РМД), т.е. като се отчитат емисиите, получени по методики, основани на изчисления (като се използват пораждащите емисии потоци), по базиращи се на измервания методики (БИМ), както и по подходи без подреждане („fall-backs“).</v>
      </c>
      <c r="G837" s="2838"/>
      <c r="H837" s="2838"/>
      <c r="I837" s="2838"/>
      <c r="J837" s="2838"/>
      <c r="K837" s="2838"/>
      <c r="L837" s="2838"/>
      <c r="M837" s="2838"/>
      <c r="N837" s="2931"/>
      <c r="O837" s="336"/>
      <c r="P837" s="336"/>
      <c r="Q837" s="770"/>
      <c r="R837" s="694"/>
      <c r="S837" s="770"/>
      <c r="T837" s="694"/>
      <c r="U837" s="694"/>
      <c r="V837" s="694"/>
      <c r="W837" s="694"/>
      <c r="X837" s="694"/>
      <c r="Y837" s="694"/>
      <c r="Z837" s="694"/>
      <c r="AA837" s="694"/>
      <c r="AB837" s="729"/>
      <c r="AC837" s="694"/>
      <c r="AD837" s="694"/>
      <c r="AE837" s="343"/>
      <c r="AF837" s="343"/>
      <c r="AG837" s="343"/>
      <c r="AH837" s="343"/>
      <c r="AI837" s="343"/>
      <c r="AJ837" s="343"/>
      <c r="AK837" s="343"/>
      <c r="AL837" s="343"/>
      <c r="AM837" s="343"/>
    </row>
    <row r="838" spans="1:39" ht="38.25" customHeight="1" x14ac:dyDescent="0.25">
      <c r="A838" s="694"/>
      <c r="B838" s="298"/>
      <c r="C838" s="1302"/>
      <c r="D838" s="1306"/>
      <c r="E838" s="1308"/>
      <c r="F838" s="2810" t="str">
        <f>Translations!$B$629</f>
        <v>В някои случая обаче в този раздел „преките емисии“ не са същите като отчетените съгласно РМД. Такива случаи са например пораждащи емисии потоци, използвани за производство на измерима топлинна енергия, отпадни газове и др. С други думи, моля, попълнете разделите по-долу при строго спазване на инструкциите, за да се избегнат двойно отчитане или пропуски.</v>
      </c>
      <c r="G838" s="2240"/>
      <c r="H838" s="2240"/>
      <c r="I838" s="2240"/>
      <c r="J838" s="2240"/>
      <c r="K838" s="2240"/>
      <c r="L838" s="2240"/>
      <c r="M838" s="2240"/>
      <c r="N838" s="2811"/>
      <c r="O838" s="336"/>
      <c r="P838" s="336"/>
      <c r="Q838" s="729"/>
      <c r="R838" s="694"/>
      <c r="S838" s="729"/>
      <c r="T838" s="694"/>
      <c r="U838" s="694"/>
      <c r="V838" s="694"/>
      <c r="W838" s="694"/>
      <c r="X838" s="694"/>
      <c r="Y838" s="694"/>
      <c r="Z838" s="694"/>
      <c r="AA838" s="694"/>
      <c r="AB838" s="729"/>
      <c r="AC838" s="694"/>
      <c r="AD838" s="694"/>
      <c r="AE838" s="343"/>
      <c r="AF838" s="343"/>
      <c r="AG838" s="343"/>
      <c r="AH838" s="343"/>
      <c r="AI838" s="343"/>
      <c r="AJ838" s="343"/>
      <c r="AK838" s="343"/>
      <c r="AL838" s="343"/>
      <c r="AM838" s="343"/>
    </row>
    <row r="839" spans="1:39" ht="12.75" customHeight="1" x14ac:dyDescent="0.25">
      <c r="A839" s="694"/>
      <c r="B839" s="284"/>
      <c r="C839" s="1496"/>
      <c r="D839" s="1497"/>
      <c r="E839" s="1308" t="s">
        <v>1052</v>
      </c>
      <c r="F839" s="2838" t="str">
        <f>Translations!$B$630</f>
        <v xml:space="preserve">Измерима топлинна енергия: в случай че топлинната енергия е произведена изключително за тази подинсталация, емисиите могат да се зададат пряко тук чрез емисиите от горивата. </v>
      </c>
      <c r="G839" s="2838"/>
      <c r="H839" s="2838"/>
      <c r="I839" s="2838"/>
      <c r="J839" s="2838"/>
      <c r="K839" s="2838"/>
      <c r="L839" s="2838"/>
      <c r="M839" s="2838"/>
      <c r="N839" s="2931"/>
      <c r="O839" s="336"/>
      <c r="P839" s="336"/>
      <c r="Q839" s="770"/>
      <c r="R839" s="694"/>
      <c r="S839" s="770"/>
      <c r="T839" s="694"/>
      <c r="U839" s="694"/>
      <c r="V839" s="694"/>
      <c r="W839" s="694"/>
      <c r="X839" s="694"/>
      <c r="Y839" s="694"/>
      <c r="Z839" s="694"/>
      <c r="AA839" s="694"/>
      <c r="AB839" s="729"/>
      <c r="AC839" s="694"/>
      <c r="AD839" s="694"/>
      <c r="AE839" s="343"/>
      <c r="AF839" s="343"/>
      <c r="AG839" s="343"/>
      <c r="AH839" s="343"/>
      <c r="AI839" s="343"/>
      <c r="AJ839" s="343"/>
      <c r="AK839" s="343"/>
      <c r="AL839" s="343"/>
      <c r="AM839" s="343"/>
    </row>
    <row r="840" spans="1:39" ht="26.15" customHeight="1" x14ac:dyDescent="0.25">
      <c r="A840" s="694"/>
      <c r="B840" s="284"/>
      <c r="C840" s="1496"/>
      <c r="D840" s="1497"/>
      <c r="E840" s="1308"/>
      <c r="F840" s="2838" t="str">
        <f>Translations!$B$631</f>
        <v>Когато при производството на измерима топлинна енергия, която се консумира в повече от една подинсталация (напр. централна електростанция в инсталацията или по-сложна мрежа за генериране на пара с няколко съоръжения за производство на топлинна енергия), са използвани горива, горивата не трябва да се включват в преките емисии на подинсталацията, а в точка f).i по-долу.</v>
      </c>
      <c r="G840" s="2838"/>
      <c r="H840" s="2838"/>
      <c r="I840" s="2838"/>
      <c r="J840" s="2838"/>
      <c r="K840" s="2838"/>
      <c r="L840" s="2838"/>
      <c r="M840" s="2838"/>
      <c r="N840" s="2931"/>
      <c r="O840" s="336"/>
      <c r="P840" s="336"/>
      <c r="Q840" s="770"/>
      <c r="R840" s="694"/>
      <c r="S840" s="770"/>
      <c r="T840" s="694"/>
      <c r="U840" s="694"/>
      <c r="V840" s="694"/>
      <c r="W840" s="694"/>
      <c r="X840" s="694"/>
      <c r="Y840" s="694"/>
      <c r="Z840" s="694"/>
      <c r="AA840" s="694"/>
      <c r="AB840" s="729"/>
      <c r="AC840" s="694"/>
      <c r="AD840" s="694"/>
      <c r="AE840" s="343"/>
      <c r="AF840" s="343"/>
      <c r="AG840" s="343"/>
      <c r="AH840" s="343"/>
      <c r="AI840" s="343"/>
      <c r="AJ840" s="343"/>
      <c r="AK840" s="343"/>
      <c r="AL840" s="343"/>
      <c r="AM840" s="343"/>
    </row>
    <row r="841" spans="1:39" ht="25.5" customHeight="1" thickBot="1" x14ac:dyDescent="0.3">
      <c r="A841" s="694"/>
      <c r="B841" s="284"/>
      <c r="C841" s="1496"/>
      <c r="D841" s="1497"/>
      <c r="E841" s="1308" t="s">
        <v>1052</v>
      </c>
      <c r="F841" s="2838" t="str">
        <f>Translations!$B$632</f>
        <v>Отпадни газове: емисиите, свързани с измерима топлинна енергия, произведена от отпадните газове, получени от други инсталации или подинсталации и използвани в тази подинсталация, не се включват тук, а се въвеждат в точка f).xiii по-долу.</v>
      </c>
      <c r="G841" s="2839"/>
      <c r="H841" s="2839"/>
      <c r="I841" s="2839"/>
      <c r="J841" s="2839"/>
      <c r="K841" s="2839"/>
      <c r="L841" s="2839"/>
      <c r="M841" s="2839"/>
      <c r="N841" s="2840"/>
      <c r="O841" s="336"/>
      <c r="P841" s="336"/>
      <c r="Q841" s="770"/>
      <c r="R841" s="694"/>
      <c r="S841" s="770"/>
      <c r="T841" s="694"/>
      <c r="U841" s="694"/>
      <c r="V841" s="694"/>
      <c r="W841" s="694"/>
      <c r="X841" s="694"/>
      <c r="Y841" s="694"/>
      <c r="Z841" s="694"/>
      <c r="AA841" s="694"/>
      <c r="AB841" s="729"/>
      <c r="AC841" s="694"/>
      <c r="AD841" s="694"/>
      <c r="AE841" s="343"/>
      <c r="AF841" s="343"/>
      <c r="AG841" s="343"/>
      <c r="AH841" s="343"/>
      <c r="AI841" s="343"/>
      <c r="AJ841" s="343"/>
      <c r="AK841" s="343"/>
      <c r="AL841" s="343"/>
      <c r="AM841" s="343"/>
    </row>
    <row r="842" spans="1:39" ht="12.75" customHeight="1" thickBot="1" x14ac:dyDescent="0.3">
      <c r="A842" s="694"/>
      <c r="B842" s="284"/>
      <c r="C842" s="1496"/>
      <c r="D842" s="1307"/>
      <c r="E842" s="1317" t="str">
        <f>Translations!$B$486</f>
        <v>Общо преки емисии</v>
      </c>
      <c r="F842" s="1318"/>
      <c r="G842" s="1309" t="str">
        <f>EUconst_Unit</f>
        <v>Единица мярка</v>
      </c>
      <c r="H842" s="629">
        <f t="shared" ref="H842:N842" si="1219">H$1840</f>
        <v>2024</v>
      </c>
      <c r="I842" s="629">
        <f t="shared" si="1219"/>
        <v>2025</v>
      </c>
      <c r="J842" s="629">
        <f t="shared" si="1219"/>
        <v>2026</v>
      </c>
      <c r="K842" s="629">
        <f t="shared" si="1219"/>
        <v>2027</v>
      </c>
      <c r="L842" s="629">
        <f t="shared" si="1219"/>
        <v>2028</v>
      </c>
      <c r="M842" s="629">
        <f t="shared" si="1219"/>
        <v>2029</v>
      </c>
      <c r="N842" s="1312">
        <f t="shared" si="1219"/>
        <v>2030</v>
      </c>
      <c r="O842" s="336"/>
      <c r="P842" s="336"/>
      <c r="Q842" s="770"/>
      <c r="R842" s="694"/>
      <c r="S842" s="1499"/>
      <c r="T842" s="1313">
        <f t="shared" ref="T842" si="1220">H842</f>
        <v>2024</v>
      </c>
      <c r="U842" s="1313">
        <f t="shared" ref="U842" si="1221">I842</f>
        <v>2025</v>
      </c>
      <c r="V842" s="1313">
        <f t="shared" ref="V842" si="1222">J842</f>
        <v>2026</v>
      </c>
      <c r="W842" s="1313">
        <f t="shared" ref="W842" si="1223">K842</f>
        <v>2027</v>
      </c>
      <c r="X842" s="1313">
        <f t="shared" ref="X842" si="1224">L842</f>
        <v>2028</v>
      </c>
      <c r="Y842" s="1313">
        <f t="shared" ref="Y842" si="1225">M842</f>
        <v>2029</v>
      </c>
      <c r="Z842" s="1314">
        <f t="shared" ref="Z842" si="1226">N842</f>
        <v>2030</v>
      </c>
      <c r="AA842" s="694"/>
      <c r="AB842" s="694"/>
      <c r="AC842" s="1178">
        <f>H$1840</f>
        <v>2024</v>
      </c>
      <c r="AD842" s="1178">
        <f t="shared" ref="AD842" si="1227">I$1840</f>
        <v>2025</v>
      </c>
      <c r="AE842" s="1178">
        <f t="shared" ref="AE842" si="1228">J$1840</f>
        <v>2026</v>
      </c>
      <c r="AF842" s="1178">
        <f t="shared" ref="AF842" si="1229">K$1840</f>
        <v>2027</v>
      </c>
      <c r="AG842" s="1178">
        <f t="shared" ref="AG842" si="1230">L$1840</f>
        <v>2028</v>
      </c>
      <c r="AH842" s="1178">
        <f t="shared" ref="AH842" si="1231">M$1840</f>
        <v>2029</v>
      </c>
      <c r="AI842" s="1178">
        <f t="shared" ref="AI842" si="1232">N$1840</f>
        <v>2030</v>
      </c>
      <c r="AJ842" s="343"/>
      <c r="AK842" s="343"/>
      <c r="AL842" s="343"/>
      <c r="AM842" s="343"/>
    </row>
    <row r="843" spans="1:39" ht="12.75" customHeight="1" thickBot="1" x14ac:dyDescent="0.35">
      <c r="A843" s="694"/>
      <c r="B843" s="284"/>
      <c r="C843" s="1496"/>
      <c r="D843" s="1497"/>
      <c r="E843" s="2814" t="str">
        <f>I682</f>
        <v>Подинсталация на топлофикационна мрежа</v>
      </c>
      <c r="F843" s="2814"/>
      <c r="G843" s="642" t="str">
        <f>EUconst_tCO2epa</f>
        <v>t CO2e/година</v>
      </c>
      <c r="H843" s="179"/>
      <c r="I843" s="179"/>
      <c r="J843" s="179"/>
      <c r="K843" s="179"/>
      <c r="L843" s="179"/>
      <c r="M843" s="179"/>
      <c r="N843" s="180"/>
      <c r="O843" s="336"/>
      <c r="P843" s="158"/>
      <c r="Q843" s="1500" t="str">
        <f>EUconst_CNTR_Emissions &amp; I682</f>
        <v>DirEmissions_Подинсталация на топлофикационна мрежа</v>
      </c>
      <c r="R843" s="694"/>
      <c r="S843" s="1501" t="str">
        <f>EUconst_CNTR_AttributedEmissions &amp; I682</f>
        <v>AttrEmissions_Подинсталация на топлофикационна мрежа</v>
      </c>
      <c r="T843" s="1290" t="str">
        <f t="shared" ref="T843" si="1233">IF(T690,SUM(H843),"")</f>
        <v/>
      </c>
      <c r="U843" s="1290" t="str">
        <f t="shared" ref="U843" si="1234">IF(U690,SUM(I843),"")</f>
        <v/>
      </c>
      <c r="V843" s="1290" t="str">
        <f t="shared" ref="V843" si="1235">IF(V690,SUM(J843),"")</f>
        <v/>
      </c>
      <c r="W843" s="1290" t="str">
        <f t="shared" ref="W843" si="1236">IF(W690,SUM(K843),"")</f>
        <v/>
      </c>
      <c r="X843" s="1290" t="str">
        <f t="shared" ref="X843" si="1237">IF(X690,SUM(L843),"")</f>
        <v/>
      </c>
      <c r="Y843" s="1290" t="str">
        <f t="shared" ref="Y843" si="1238">IF(Y690,SUM(M843),"")</f>
        <v/>
      </c>
      <c r="Z843" s="1291" t="str">
        <f t="shared" ref="Z843" si="1239">IF(Z690,SUM(N843),"")</f>
        <v/>
      </c>
      <c r="AA843" s="694"/>
      <c r="AB843" s="1182" t="s">
        <v>737</v>
      </c>
      <c r="AC843" s="1183" t="b">
        <f t="shared" ref="AC843:AI843" si="1240">IF(CNTR_ExistSubInstEntries,OR($M682&lt;&gt;EUconst_Relevant,AC842&gt;=CNTR_ReportingYear,AC842&lt;$V682-1),FALSE)</f>
        <v>0</v>
      </c>
      <c r="AD843" s="1184" t="b">
        <f t="shared" si="1240"/>
        <v>0</v>
      </c>
      <c r="AE843" s="1184" t="b">
        <f t="shared" si="1240"/>
        <v>0</v>
      </c>
      <c r="AF843" s="1184" t="b">
        <f t="shared" si="1240"/>
        <v>0</v>
      </c>
      <c r="AG843" s="1184" t="b">
        <f t="shared" si="1240"/>
        <v>0</v>
      </c>
      <c r="AH843" s="1184" t="b">
        <f t="shared" si="1240"/>
        <v>0</v>
      </c>
      <c r="AI843" s="1185" t="b">
        <f t="shared" si="1240"/>
        <v>0</v>
      </c>
      <c r="AJ843" s="343"/>
      <c r="AK843" s="1174" t="s">
        <v>2039</v>
      </c>
      <c r="AL843" s="1176" t="str">
        <f>IF(AND(CNTR_ExistSubInstEntries,COUNTIFS(AC843:AI843,2,H843:N843,"")&gt;0),EUconst_Error&amp;"FB"&amp;Q682,"")</f>
        <v/>
      </c>
      <c r="AM843" s="343"/>
    </row>
    <row r="844" spans="1:39" ht="5.15" customHeight="1" x14ac:dyDescent="0.25">
      <c r="A844" s="694"/>
      <c r="B844" s="284"/>
      <c r="C844" s="1496"/>
      <c r="D844" s="1497"/>
      <c r="E844" s="1497"/>
      <c r="F844" s="1497"/>
      <c r="G844" s="1497"/>
      <c r="H844" s="1497"/>
      <c r="I844" s="1497"/>
      <c r="J844" s="1497"/>
      <c r="K844" s="1497"/>
      <c r="L844" s="1497"/>
      <c r="M844" s="1502"/>
      <c r="N844" s="1503"/>
      <c r="O844" s="336"/>
      <c r="P844" s="336"/>
      <c r="Q844" s="770"/>
      <c r="R844" s="694"/>
      <c r="S844" s="770"/>
      <c r="T844" s="694"/>
      <c r="U844" s="694"/>
      <c r="V844" s="694"/>
      <c r="W844" s="694"/>
      <c r="X844" s="694"/>
      <c r="Y844" s="694"/>
      <c r="Z844" s="694"/>
      <c r="AA844" s="694"/>
      <c r="AB844" s="729"/>
      <c r="AC844" s="694"/>
      <c r="AD844" s="694"/>
      <c r="AE844" s="343"/>
      <c r="AF844" s="343"/>
      <c r="AG844" s="343"/>
      <c r="AH844" s="343"/>
      <c r="AI844" s="343"/>
      <c r="AJ844" s="343"/>
      <c r="AK844" s="343"/>
      <c r="AL844" s="343"/>
      <c r="AM844" s="343"/>
    </row>
    <row r="845" spans="1:39" ht="12.75" customHeight="1" x14ac:dyDescent="0.25">
      <c r="A845" s="694"/>
      <c r="B845" s="284"/>
      <c r="C845" s="1496"/>
      <c r="D845" s="1307" t="s">
        <v>906</v>
      </c>
      <c r="E845" s="2815" t="str">
        <f>Translations!$B$1524</f>
        <v>Вложена енергия в тази подинсталация и съответен емисионен фактор</v>
      </c>
      <c r="F845" s="2815"/>
      <c r="G845" s="2815"/>
      <c r="H845" s="2815"/>
      <c r="I845" s="2815"/>
      <c r="J845" s="2815"/>
      <c r="K845" s="2815"/>
      <c r="L845" s="2815"/>
      <c r="M845" s="2815"/>
      <c r="N845" s="2932"/>
      <c r="O845" s="336"/>
      <c r="P845" s="336"/>
      <c r="Q845" s="694"/>
      <c r="R845" s="694"/>
      <c r="S845" s="770"/>
      <c r="T845" s="694"/>
      <c r="U845" s="694"/>
      <c r="V845" s="694"/>
      <c r="W845" s="694"/>
      <c r="X845" s="694"/>
      <c r="Y845" s="694"/>
      <c r="Z845" s="694"/>
      <c r="AA845" s="694"/>
      <c r="AB845" s="729"/>
      <c r="AC845" s="694"/>
      <c r="AD845" s="694"/>
      <c r="AE845" s="343"/>
      <c r="AF845" s="343"/>
      <c r="AG845" s="343"/>
      <c r="AH845" s="343"/>
      <c r="AI845" s="343"/>
      <c r="AJ845" s="343"/>
      <c r="AK845" s="343"/>
      <c r="AL845" s="343"/>
      <c r="AM845" s="343"/>
    </row>
    <row r="846" spans="1:39" ht="25.5" customHeight="1" x14ac:dyDescent="0.25">
      <c r="A846" s="694"/>
      <c r="B846" s="284"/>
      <c r="C846" s="1496"/>
      <c r="D846" s="1497"/>
      <c r="E846" s="2838" t="str">
        <f>Translations!$B$1552</f>
        <v>Съгласно изискванията в приложение IV, раздел 2.4, буква а) към ПБР посочете вложената енергия от горива, материали (например екзотермична топлина) и електроенергия, използвана за производството на топлинна енергия, в съответствие с данните на равнище инсталация, въведени в раздел E.I.1.a, и съответния претеглен емисионен фактор, като вземете предвид съответното енергийно съдържание.</v>
      </c>
      <c r="F846" s="2851"/>
      <c r="G846" s="2851"/>
      <c r="H846" s="2851"/>
      <c r="I846" s="2851"/>
      <c r="J846" s="2851"/>
      <c r="K846" s="2851"/>
      <c r="L846" s="2851"/>
      <c r="M846" s="2851"/>
      <c r="N846" s="2852"/>
      <c r="O846" s="336"/>
      <c r="P846" s="336"/>
      <c r="Q846" s="770"/>
      <c r="R846" s="770"/>
      <c r="S846" s="770"/>
      <c r="T846" s="694"/>
      <c r="U846" s="694"/>
      <c r="V846" s="694"/>
      <c r="W846" s="694"/>
      <c r="X846" s="694"/>
      <c r="Y846" s="694"/>
      <c r="Z846" s="694"/>
      <c r="AA846" s="694"/>
      <c r="AB846" s="729"/>
      <c r="AC846" s="694"/>
      <c r="AD846" s="694"/>
      <c r="AE846" s="343"/>
      <c r="AF846" s="343"/>
      <c r="AG846" s="343"/>
      <c r="AH846" s="343"/>
      <c r="AI846" s="343"/>
      <c r="AJ846" s="343"/>
      <c r="AK846" s="343"/>
      <c r="AL846" s="343"/>
      <c r="AM846" s="343"/>
    </row>
    <row r="847" spans="1:39" ht="25.5" customHeight="1" x14ac:dyDescent="0.25">
      <c r="A847" s="694"/>
      <c r="B847" s="284"/>
      <c r="C847" s="1496"/>
      <c r="D847" s="1497"/>
      <c r="E847" s="2838" t="str">
        <f>Translations!$B$633</f>
        <v>Терминът „гориво“ следва да се тълкува като всеки запалим пораждащ емисии поток съгласно РМД, за който може да се установи долната топлина на изгаряне. Претегленият емисионен фактор съответства на натрупаните емисии от горива, включително тези, използвани за производство на измерима топлинна енергия, разделени на общото енергийно съдържание.</v>
      </c>
      <c r="F847" s="2851"/>
      <c r="G847" s="2851"/>
      <c r="H847" s="2851"/>
      <c r="I847" s="2851"/>
      <c r="J847" s="2851"/>
      <c r="K847" s="2851"/>
      <c r="L847" s="2851"/>
      <c r="M847" s="2851"/>
      <c r="N847" s="2852"/>
      <c r="O847" s="336"/>
      <c r="P847" s="336"/>
      <c r="Q847" s="770"/>
      <c r="R847" s="694"/>
      <c r="S847" s="770"/>
      <c r="T847" s="694"/>
      <c r="U847" s="694"/>
      <c r="V847" s="694"/>
      <c r="W847" s="694"/>
      <c r="X847" s="694"/>
      <c r="Y847" s="694"/>
      <c r="Z847" s="694"/>
      <c r="AA847" s="694"/>
      <c r="AB847" s="729"/>
      <c r="AC847" s="694"/>
      <c r="AD847" s="694"/>
      <c r="AE847" s="343"/>
      <c r="AF847" s="343"/>
      <c r="AG847" s="343"/>
      <c r="AH847" s="343"/>
      <c r="AI847" s="343"/>
      <c r="AJ847" s="343"/>
      <c r="AK847" s="343"/>
      <c r="AL847" s="343"/>
      <c r="AM847" s="343"/>
    </row>
    <row r="848" spans="1:39" ht="12.75" customHeight="1" x14ac:dyDescent="0.25">
      <c r="A848" s="694"/>
      <c r="B848" s="284"/>
      <c r="C848" s="1496"/>
      <c r="D848" s="1497"/>
      <c r="E848" s="2838" t="str">
        <f>Translations!$B$519</f>
        <v>Претегленият емисионен фактор следва също така да включва и емисии от съответното очистване на димни газове, ако е приложимо.</v>
      </c>
      <c r="F848" s="2851"/>
      <c r="G848" s="2851"/>
      <c r="H848" s="2851"/>
      <c r="I848" s="2851"/>
      <c r="J848" s="2851"/>
      <c r="K848" s="2851"/>
      <c r="L848" s="2851"/>
      <c r="M848" s="2851"/>
      <c r="N848" s="2852"/>
      <c r="O848" s="336"/>
      <c r="P848" s="336"/>
      <c r="Q848" s="770"/>
      <c r="R848" s="694"/>
      <c r="S848" s="770"/>
      <c r="T848" s="694"/>
      <c r="U848" s="694"/>
      <c r="V848" s="694"/>
      <c r="W848" s="694"/>
      <c r="X848" s="694"/>
      <c r="Y848" s="694"/>
      <c r="Z848" s="694"/>
      <c r="AA848" s="694"/>
      <c r="AB848" s="729"/>
      <c r="AC848" s="694"/>
      <c r="AD848" s="694"/>
      <c r="AE848" s="343"/>
      <c r="AF848" s="343"/>
      <c r="AG848" s="343"/>
      <c r="AH848" s="343"/>
      <c r="AI848" s="343"/>
      <c r="AJ848" s="343"/>
      <c r="AK848" s="343"/>
      <c r="AL848" s="343"/>
      <c r="AM848" s="343"/>
    </row>
    <row r="849" spans="1:39" ht="12.75" customHeight="1" x14ac:dyDescent="0.25">
      <c r="A849" s="694"/>
      <c r="B849" s="284"/>
      <c r="C849" s="1496"/>
      <c r="D849" s="1497"/>
      <c r="E849" s="2838" t="str">
        <f>Translations!$B$634</f>
        <v>Вложените горива от отпадни газове включват съответната вложена енергия за производство на измеримата топлинна енергия, използвана от тази подинсталация.</v>
      </c>
      <c r="F849" s="2851"/>
      <c r="G849" s="2851"/>
      <c r="H849" s="2851"/>
      <c r="I849" s="2851"/>
      <c r="J849" s="2851"/>
      <c r="K849" s="2851"/>
      <c r="L849" s="2851"/>
      <c r="M849" s="2851"/>
      <c r="N849" s="2852"/>
      <c r="O849" s="336"/>
      <c r="P849" s="336"/>
      <c r="Q849" s="770"/>
      <c r="R849" s="694"/>
      <c r="S849" s="770"/>
      <c r="T849" s="694"/>
      <c r="U849" s="694"/>
      <c r="V849" s="694"/>
      <c r="W849" s="694"/>
      <c r="X849" s="694"/>
      <c r="Y849" s="694"/>
      <c r="Z849" s="694"/>
      <c r="AA849" s="694"/>
      <c r="AB849" s="729"/>
      <c r="AC849" s="694"/>
      <c r="AD849" s="694"/>
      <c r="AE849" s="343"/>
      <c r="AF849" s="343"/>
      <c r="AG849" s="343"/>
      <c r="AH849" s="343"/>
      <c r="AI849" s="343"/>
      <c r="AJ849" s="343"/>
      <c r="AK849" s="343"/>
      <c r="AL849" s="343"/>
      <c r="AM849" s="343"/>
    </row>
    <row r="850" spans="1:39" ht="12.75" customHeight="1" x14ac:dyDescent="0.25">
      <c r="A850" s="694"/>
      <c r="B850" s="284"/>
      <c r="C850" s="1496"/>
      <c r="D850" s="1497"/>
      <c r="E850" s="2838" t="str">
        <f>Translations!$B$635</f>
        <v>Въведените тук стойности се използват при баланса на отпадните газове в раздел E.III.h.</v>
      </c>
      <c r="F850" s="2851"/>
      <c r="G850" s="2851"/>
      <c r="H850" s="2851"/>
      <c r="I850" s="2851"/>
      <c r="J850" s="2851"/>
      <c r="K850" s="2851"/>
      <c r="L850" s="2851"/>
      <c r="M850" s="2851"/>
      <c r="N850" s="2852"/>
      <c r="O850" s="336"/>
      <c r="P850" s="336"/>
      <c r="Q850" s="770"/>
      <c r="R850" s="694"/>
      <c r="S850" s="770"/>
      <c r="T850" s="694"/>
      <c r="U850" s="694"/>
      <c r="V850" s="694"/>
      <c r="W850" s="694"/>
      <c r="X850" s="694"/>
      <c r="Y850" s="694"/>
      <c r="Z850" s="694"/>
      <c r="AA850" s="694"/>
      <c r="AB850" s="729"/>
      <c r="AC850" s="694"/>
      <c r="AD850" s="694"/>
      <c r="AE850" s="343"/>
      <c r="AF850" s="343"/>
      <c r="AG850" s="343"/>
      <c r="AH850" s="343"/>
      <c r="AI850" s="343"/>
      <c r="AJ850" s="343"/>
      <c r="AK850" s="343"/>
      <c r="AL850" s="343"/>
      <c r="AM850" s="343"/>
    </row>
    <row r="851" spans="1:39" ht="12.75" customHeight="1" x14ac:dyDescent="0.25">
      <c r="A851" s="694"/>
      <c r="B851" s="284"/>
      <c r="C851" s="1496"/>
      <c r="D851" s="1497"/>
      <c r="E851" s="2853" t="str">
        <f>Translations!$B$520</f>
        <v>Посочените тук данни се използват само с цел проверка на съответствието и нямат пряко отражение върху емисиите, които могат да бъдат зададени, или на разпределението на квотите.</v>
      </c>
      <c r="F851" s="2850"/>
      <c r="G851" s="2850"/>
      <c r="H851" s="2850"/>
      <c r="I851" s="2850"/>
      <c r="J851" s="2850"/>
      <c r="K851" s="2850"/>
      <c r="L851" s="2850"/>
      <c r="M851" s="2850"/>
      <c r="N851" s="2854"/>
      <c r="O851" s="336"/>
      <c r="P851" s="336"/>
      <c r="Q851" s="770"/>
      <c r="R851" s="694"/>
      <c r="S851" s="770"/>
      <c r="T851" s="694"/>
      <c r="U851" s="694"/>
      <c r="V851" s="694"/>
      <c r="W851" s="694"/>
      <c r="X851" s="694"/>
      <c r="Y851" s="694"/>
      <c r="Z851" s="694"/>
      <c r="AA851" s="694"/>
      <c r="AB851" s="729"/>
      <c r="AC851" s="694"/>
      <c r="AD851" s="694"/>
      <c r="AE851" s="343"/>
      <c r="AF851" s="343"/>
      <c r="AG851" s="343"/>
      <c r="AH851" s="343"/>
      <c r="AI851" s="343"/>
      <c r="AJ851" s="343"/>
      <c r="AK851" s="343"/>
      <c r="AL851" s="343"/>
      <c r="AM851" s="343"/>
    </row>
    <row r="852" spans="1:39" ht="12.75" customHeight="1" x14ac:dyDescent="0.25">
      <c r="A852" s="694"/>
      <c r="B852" s="284"/>
      <c r="C852" s="1496"/>
      <c r="D852" s="1307"/>
      <c r="E852" s="1317"/>
      <c r="F852" s="1318"/>
      <c r="G852" s="1309" t="str">
        <f>EUconst_Unit</f>
        <v>Единица мярка</v>
      </c>
      <c r="H852" s="629">
        <f t="shared" ref="H852:N852" si="1241">H$1840</f>
        <v>2024</v>
      </c>
      <c r="I852" s="629">
        <f t="shared" si="1241"/>
        <v>2025</v>
      </c>
      <c r="J852" s="629">
        <f t="shared" si="1241"/>
        <v>2026</v>
      </c>
      <c r="K852" s="629">
        <f t="shared" si="1241"/>
        <v>2027</v>
      </c>
      <c r="L852" s="629">
        <f t="shared" si="1241"/>
        <v>2028</v>
      </c>
      <c r="M852" s="629">
        <f t="shared" si="1241"/>
        <v>2029</v>
      </c>
      <c r="N852" s="1312">
        <f t="shared" si="1241"/>
        <v>2030</v>
      </c>
      <c r="O852" s="336"/>
      <c r="P852" s="336"/>
      <c r="Q852" s="770"/>
      <c r="R852" s="694"/>
      <c r="S852" s="770"/>
      <c r="T852" s="694"/>
      <c r="U852" s="694"/>
      <c r="V852" s="694"/>
      <c r="W852" s="694"/>
      <c r="X852" s="694"/>
      <c r="Y852" s="694"/>
      <c r="Z852" s="694"/>
      <c r="AA852" s="694"/>
      <c r="AB852" s="694"/>
      <c r="AC852" s="1504">
        <f t="shared" ref="AC852" si="1242">H$1840</f>
        <v>2024</v>
      </c>
      <c r="AD852" s="1504">
        <f t="shared" ref="AD852" si="1243">I$1840</f>
        <v>2025</v>
      </c>
      <c r="AE852" s="1504">
        <f t="shared" ref="AE852" si="1244">J$1840</f>
        <v>2026</v>
      </c>
      <c r="AF852" s="1504">
        <f t="shared" ref="AF852" si="1245">K$1840</f>
        <v>2027</v>
      </c>
      <c r="AG852" s="1504">
        <f t="shared" ref="AG852" si="1246">L$1840</f>
        <v>2028</v>
      </c>
      <c r="AH852" s="1504">
        <f t="shared" ref="AH852" si="1247">M$1840</f>
        <v>2029</v>
      </c>
      <c r="AI852" s="1504">
        <f t="shared" ref="AI852" si="1248">N$1840</f>
        <v>2030</v>
      </c>
      <c r="AJ852" s="343"/>
      <c r="AK852" s="343"/>
      <c r="AL852" s="343"/>
      <c r="AM852" s="343"/>
    </row>
    <row r="853" spans="1:39" ht="12.75" customHeight="1" x14ac:dyDescent="0.25">
      <c r="A853" s="694"/>
      <c r="B853" s="284"/>
      <c r="C853" s="1496"/>
      <c r="D853" s="1505" t="s">
        <v>6</v>
      </c>
      <c r="E853" s="2818" t="str">
        <f>Translations!$B$636</f>
        <v>Общо вложени горива</v>
      </c>
      <c r="F853" s="2701"/>
      <c r="G853" s="1326" t="str">
        <f>EUconst_TJpa</f>
        <v>TJ / година</v>
      </c>
      <c r="H853" s="129"/>
      <c r="I853" s="129"/>
      <c r="J853" s="129"/>
      <c r="K853" s="129"/>
      <c r="L853" s="129"/>
      <c r="M853" s="129"/>
      <c r="N853" s="132"/>
      <c r="O853" s="336"/>
      <c r="P853" s="158"/>
      <c r="Q853" s="1500" t="str">
        <f>EUconst_CNTR_FuelInput &amp; I682</f>
        <v>FuelInput_Подинсталация на топлофикационна мрежа</v>
      </c>
      <c r="R853" s="694"/>
      <c r="S853" s="770"/>
      <c r="T853" s="694"/>
      <c r="U853" s="694"/>
      <c r="V853" s="694"/>
      <c r="W853" s="694"/>
      <c r="X853" s="694"/>
      <c r="Y853" s="694"/>
      <c r="Z853" s="694"/>
      <c r="AA853" s="694"/>
      <c r="AB853" s="1182" t="s">
        <v>737</v>
      </c>
      <c r="AC853" s="982" t="b">
        <f>AC843</f>
        <v>0</v>
      </c>
      <c r="AD853" s="982" t="b">
        <f t="shared" ref="AD853:AI853" si="1249">AD843</f>
        <v>0</v>
      </c>
      <c r="AE853" s="982" t="b">
        <f t="shared" si="1249"/>
        <v>0</v>
      </c>
      <c r="AF853" s="982" t="b">
        <f t="shared" si="1249"/>
        <v>0</v>
      </c>
      <c r="AG853" s="982" t="b">
        <f t="shared" si="1249"/>
        <v>0</v>
      </c>
      <c r="AH853" s="982" t="b">
        <f t="shared" si="1249"/>
        <v>0</v>
      </c>
      <c r="AI853" s="982" t="b">
        <f t="shared" si="1249"/>
        <v>0</v>
      </c>
      <c r="AJ853" s="343"/>
      <c r="AK853" s="343"/>
      <c r="AL853" s="1176" t="str">
        <f>IF(AND(CNTR_ExistSubInstEntries,COUNTIFS(AC853:AI853,2,H853:N853,"")&gt;0),EUconst_Error&amp;"FB"&amp;Q682,"")</f>
        <v/>
      </c>
      <c r="AM853" s="343"/>
    </row>
    <row r="854" spans="1:39" ht="12.75" customHeight="1" x14ac:dyDescent="0.25">
      <c r="A854" s="694"/>
      <c r="B854" s="284"/>
      <c r="C854" s="1496"/>
      <c r="D854" s="1505" t="s">
        <v>7</v>
      </c>
      <c r="E854" s="2819" t="str">
        <f>Translations!$B$522</f>
        <v>Претеглен емисионен фактор</v>
      </c>
      <c r="F854" s="2705"/>
      <c r="G854" s="1329" t="str">
        <f>EUconst_tCO2pTJ</f>
        <v>t CO2 / TJ</v>
      </c>
      <c r="H854" s="137"/>
      <c r="I854" s="137"/>
      <c r="J854" s="137"/>
      <c r="K854" s="137"/>
      <c r="L854" s="137"/>
      <c r="M854" s="137"/>
      <c r="N854" s="140"/>
      <c r="O854" s="336"/>
      <c r="P854" s="158"/>
      <c r="Q854" s="1500" t="str">
        <f>EUconst_CNTR_FuelEF &amp; I682</f>
        <v>FuelEF_Подинсталация на топлофикационна мрежа</v>
      </c>
      <c r="R854" s="694"/>
      <c r="S854" s="770"/>
      <c r="T854" s="694"/>
      <c r="U854" s="694"/>
      <c r="V854" s="694"/>
      <c r="W854" s="694"/>
      <c r="X854" s="694"/>
      <c r="Y854" s="694"/>
      <c r="Z854" s="694"/>
      <c r="AA854" s="694"/>
      <c r="AB854" s="729"/>
      <c r="AC854" s="982" t="b">
        <f>AC853</f>
        <v>0</v>
      </c>
      <c r="AD854" s="982" t="b">
        <f t="shared" ref="AD854:AI854" si="1250">AD853</f>
        <v>0</v>
      </c>
      <c r="AE854" s="982" t="b">
        <f t="shared" si="1250"/>
        <v>0</v>
      </c>
      <c r="AF854" s="982" t="b">
        <f t="shared" si="1250"/>
        <v>0</v>
      </c>
      <c r="AG854" s="982" t="b">
        <f t="shared" si="1250"/>
        <v>0</v>
      </c>
      <c r="AH854" s="982" t="b">
        <f t="shared" si="1250"/>
        <v>0</v>
      </c>
      <c r="AI854" s="982" t="b">
        <f t="shared" si="1250"/>
        <v>0</v>
      </c>
      <c r="AJ854" s="343"/>
      <c r="AK854" s="343"/>
      <c r="AL854" s="1176" t="str">
        <f>IF(AND(CNTR_ExistSubInstEntries,COUNTIFS(AC854:AI854,2,H854:N854,"")&gt;0),EUconst_Error&amp;"FB"&amp;Q682,"")</f>
        <v/>
      </c>
      <c r="AM854" s="343"/>
    </row>
    <row r="855" spans="1:39" ht="12.75" customHeight="1" x14ac:dyDescent="0.25">
      <c r="A855" s="694"/>
      <c r="B855" s="284"/>
      <c r="C855" s="1496"/>
      <c r="D855" s="1505" t="s">
        <v>8</v>
      </c>
      <c r="E855" s="2818" t="str">
        <f>Translations!$B$637</f>
        <v>Вложени горива от отпадни газове</v>
      </c>
      <c r="F855" s="2701"/>
      <c r="G855" s="1326" t="str">
        <f>EUconst_TJpa</f>
        <v>TJ / година</v>
      </c>
      <c r="H855" s="129"/>
      <c r="I855" s="129"/>
      <c r="J855" s="129"/>
      <c r="K855" s="129"/>
      <c r="L855" s="129"/>
      <c r="M855" s="129"/>
      <c r="N855" s="132"/>
      <c r="O855" s="336"/>
      <c r="P855" s="158"/>
      <c r="Q855" s="716" t="str">
        <f>EUconst_CNTR_WGConsumed &amp; I682</f>
        <v>WasteGasCons_Подинсталация на топлофикационна мрежа</v>
      </c>
      <c r="R855" s="694"/>
      <c r="S855" s="770"/>
      <c r="T855" s="694"/>
      <c r="U855" s="694"/>
      <c r="V855" s="694"/>
      <c r="W855" s="694"/>
      <c r="X855" s="694"/>
      <c r="Y855" s="694"/>
      <c r="Z855" s="694"/>
      <c r="AA855" s="694"/>
      <c r="AB855" s="729"/>
      <c r="AC855" s="982" t="b">
        <f t="shared" ref="AC855:AI855" si="1251">AC853</f>
        <v>0</v>
      </c>
      <c r="AD855" s="982" t="b">
        <f t="shared" si="1251"/>
        <v>0</v>
      </c>
      <c r="AE855" s="982" t="b">
        <f t="shared" si="1251"/>
        <v>0</v>
      </c>
      <c r="AF855" s="982" t="b">
        <f t="shared" si="1251"/>
        <v>0</v>
      </c>
      <c r="AG855" s="982" t="b">
        <f t="shared" si="1251"/>
        <v>0</v>
      </c>
      <c r="AH855" s="982" t="b">
        <f t="shared" si="1251"/>
        <v>0</v>
      </c>
      <c r="AI855" s="982" t="b">
        <f t="shared" si="1251"/>
        <v>0</v>
      </c>
      <c r="AJ855" s="343"/>
      <c r="AK855" s="343"/>
      <c r="AL855" s="1176" t="str">
        <f>IF(AND(CNTR_ExistSubInstEntries,COUNTIFS(AC855:AI855,2,H855:N855,"")&gt;0),EUconst_Error&amp;"FB"&amp;Q682,"")</f>
        <v/>
      </c>
      <c r="AM855" s="343"/>
    </row>
    <row r="856" spans="1:39" ht="12.75" customHeight="1" x14ac:dyDescent="0.25">
      <c r="A856" s="694"/>
      <c r="B856" s="284"/>
      <c r="C856" s="1496"/>
      <c r="D856" s="1505" t="s">
        <v>18</v>
      </c>
      <c r="E856" s="2819" t="str">
        <f>Translations!$B$638</f>
        <v>Специфичен EF (отпаден газ)</v>
      </c>
      <c r="F856" s="2705"/>
      <c r="G856" s="1329" t="str">
        <f t="shared" ref="G856:G860" si="1252">EUconst_tCO2pTJ</f>
        <v>t CO2 / TJ</v>
      </c>
      <c r="H856" s="137"/>
      <c r="I856" s="137"/>
      <c r="J856" s="137"/>
      <c r="K856" s="137"/>
      <c r="L856" s="137"/>
      <c r="M856" s="137"/>
      <c r="N856" s="140"/>
      <c r="O856" s="336"/>
      <c r="P856" s="158"/>
      <c r="Q856" s="1500" t="str">
        <f>EUconst_CNTR_WGConsumedEF &amp; I682</f>
        <v>WasteGasConsEF_Подинсталация на топлофикационна мрежа</v>
      </c>
      <c r="R856" s="694"/>
      <c r="S856" s="770"/>
      <c r="T856" s="694"/>
      <c r="U856" s="694"/>
      <c r="V856" s="694"/>
      <c r="W856" s="694"/>
      <c r="X856" s="694"/>
      <c r="Y856" s="694"/>
      <c r="Z856" s="694"/>
      <c r="AA856" s="694"/>
      <c r="AB856" s="729"/>
      <c r="AC856" s="982" t="b">
        <f t="shared" ref="AC856:AI856" si="1253">AC854</f>
        <v>0</v>
      </c>
      <c r="AD856" s="982" t="b">
        <f t="shared" si="1253"/>
        <v>0</v>
      </c>
      <c r="AE856" s="982" t="b">
        <f t="shared" si="1253"/>
        <v>0</v>
      </c>
      <c r="AF856" s="982" t="b">
        <f t="shared" si="1253"/>
        <v>0</v>
      </c>
      <c r="AG856" s="982" t="b">
        <f t="shared" si="1253"/>
        <v>0</v>
      </c>
      <c r="AH856" s="982" t="b">
        <f t="shared" si="1253"/>
        <v>0</v>
      </c>
      <c r="AI856" s="982" t="b">
        <f t="shared" si="1253"/>
        <v>0</v>
      </c>
      <c r="AJ856" s="343"/>
      <c r="AK856" s="343"/>
      <c r="AL856" s="1176" t="str">
        <f t="shared" ref="AL856:AL861" si="1254">IF(AND(CNTR_ExistSubInstEntries,COUNTIFS(AC856:AI856,2,H856:N856,"")&gt;0),EUconst_Error&amp;"FB"&amp;Q682,"")</f>
        <v/>
      </c>
      <c r="AM856" s="343"/>
    </row>
    <row r="857" spans="1:39" ht="12.75" customHeight="1" x14ac:dyDescent="0.25">
      <c r="A857" s="694"/>
      <c r="B857" s="284"/>
      <c r="C857" s="1496"/>
      <c r="D857" s="1505" t="s">
        <v>810</v>
      </c>
      <c r="E857" s="2818" t="str">
        <f>Translations!$B$1475</f>
        <v>Вложена електроенергия за производството на топлинна енергия</v>
      </c>
      <c r="F857" s="2701"/>
      <c r="G857" s="1326" t="str">
        <f>EUconst_TJpa</f>
        <v>TJ / година</v>
      </c>
      <c r="H857" s="129"/>
      <c r="I857" s="129"/>
      <c r="J857" s="129"/>
      <c r="K857" s="129"/>
      <c r="L857" s="129"/>
      <c r="M857" s="129"/>
      <c r="N857" s="132"/>
      <c r="O857" s="336"/>
      <c r="P857" s="158"/>
      <c r="Q857" s="1500" t="str">
        <f>EUconst_CNTR_ElectricityInput&amp;I682</f>
        <v>ElectricityInput_Подинсталация на топлофикационна мрежа</v>
      </c>
      <c r="R857" s="694"/>
      <c r="S857" s="770"/>
      <c r="T857" s="694"/>
      <c r="U857" s="694"/>
      <c r="V857" s="694"/>
      <c r="W857" s="694"/>
      <c r="X857" s="694"/>
      <c r="Y857" s="694"/>
      <c r="Z857" s="694"/>
      <c r="AA857" s="694"/>
      <c r="AB857" s="729"/>
      <c r="AC857" s="982" t="b">
        <f t="shared" ref="AC857:AI857" si="1255">AC855</f>
        <v>0</v>
      </c>
      <c r="AD857" s="982" t="b">
        <f t="shared" si="1255"/>
        <v>0</v>
      </c>
      <c r="AE857" s="982" t="b">
        <f t="shared" si="1255"/>
        <v>0</v>
      </c>
      <c r="AF857" s="982" t="b">
        <f t="shared" si="1255"/>
        <v>0</v>
      </c>
      <c r="AG857" s="982" t="b">
        <f t="shared" si="1255"/>
        <v>0</v>
      </c>
      <c r="AH857" s="982" t="b">
        <f t="shared" si="1255"/>
        <v>0</v>
      </c>
      <c r="AI857" s="982" t="b">
        <f t="shared" si="1255"/>
        <v>0</v>
      </c>
      <c r="AJ857" s="343"/>
      <c r="AK857" s="343"/>
      <c r="AL857" s="1176" t="str">
        <f t="shared" si="1254"/>
        <v/>
      </c>
      <c r="AM857" s="343"/>
    </row>
    <row r="858" spans="1:39" ht="12.75" customHeight="1" x14ac:dyDescent="0.25">
      <c r="A858" s="694"/>
      <c r="B858" s="284"/>
      <c r="C858" s="1496"/>
      <c r="D858" s="1505" t="s">
        <v>811</v>
      </c>
      <c r="E858" s="2819" t="str">
        <f>Translations!$B$522</f>
        <v>Претеглен емисионен фактор</v>
      </c>
      <c r="F858" s="2705"/>
      <c r="G858" s="1329" t="str">
        <f t="shared" si="1252"/>
        <v>t CO2 / TJ</v>
      </c>
      <c r="H858" s="137"/>
      <c r="I858" s="137"/>
      <c r="J858" s="137"/>
      <c r="K858" s="137"/>
      <c r="L858" s="137"/>
      <c r="M858" s="137"/>
      <c r="N858" s="140"/>
      <c r="O858" s="336"/>
      <c r="P858" s="158"/>
      <c r="Q858" s="1500" t="str">
        <f>EUconst_CNTR_ElectricityEF &amp; I682</f>
        <v>ElectricityEF_Подинсталация на топлофикационна мрежа</v>
      </c>
      <c r="R858" s="694"/>
      <c r="S858" s="770"/>
      <c r="T858" s="694"/>
      <c r="U858" s="694"/>
      <c r="V858" s="694"/>
      <c r="W858" s="694"/>
      <c r="X858" s="694"/>
      <c r="Y858" s="694"/>
      <c r="Z858" s="694"/>
      <c r="AA858" s="694"/>
      <c r="AB858" s="729"/>
      <c r="AC858" s="982" t="b">
        <f t="shared" ref="AC858:AI858" si="1256">AC856</f>
        <v>0</v>
      </c>
      <c r="AD858" s="982" t="b">
        <f t="shared" si="1256"/>
        <v>0</v>
      </c>
      <c r="AE858" s="982" t="b">
        <f t="shared" si="1256"/>
        <v>0</v>
      </c>
      <c r="AF858" s="982" t="b">
        <f t="shared" si="1256"/>
        <v>0</v>
      </c>
      <c r="AG858" s="982" t="b">
        <f t="shared" si="1256"/>
        <v>0</v>
      </c>
      <c r="AH858" s="982" t="b">
        <f t="shared" si="1256"/>
        <v>0</v>
      </c>
      <c r="AI858" s="982" t="b">
        <f t="shared" si="1256"/>
        <v>0</v>
      </c>
      <c r="AJ858" s="343"/>
      <c r="AK858" s="343"/>
      <c r="AL858" s="1176" t="str">
        <f t="shared" si="1254"/>
        <v/>
      </c>
      <c r="AM858" s="343"/>
    </row>
    <row r="859" spans="1:39" ht="12.75" customHeight="1" x14ac:dyDescent="0.25">
      <c r="A859" s="694"/>
      <c r="B859" s="284"/>
      <c r="C859" s="1496"/>
      <c r="D859" s="1505" t="s">
        <v>812</v>
      </c>
      <c r="E859" s="2818" t="str">
        <f>Translations!$B$1476</f>
        <v>Друга вложена енергия (например екзотермична топлина)</v>
      </c>
      <c r="F859" s="2701"/>
      <c r="G859" s="1326" t="str">
        <f>EUconst_TJpa</f>
        <v>TJ / година</v>
      </c>
      <c r="H859" s="129"/>
      <c r="I859" s="129"/>
      <c r="J859" s="129"/>
      <c r="K859" s="129"/>
      <c r="L859" s="129"/>
      <c r="M859" s="129"/>
      <c r="N859" s="132"/>
      <c r="O859" s="336"/>
      <c r="P859" s="158"/>
      <c r="Q859" s="1500" t="str">
        <f>EUconst_CNTR_OtherEnergyInput &amp; I682</f>
        <v>OtherEnergyInput_Подинсталация на топлофикационна мрежа</v>
      </c>
      <c r="R859" s="694"/>
      <c r="S859" s="770"/>
      <c r="T859" s="694"/>
      <c r="U859" s="694"/>
      <c r="V859" s="694"/>
      <c r="W859" s="694"/>
      <c r="X859" s="694"/>
      <c r="Y859" s="694"/>
      <c r="Z859" s="694"/>
      <c r="AA859" s="694"/>
      <c r="AB859" s="729"/>
      <c r="AC859" s="982" t="b">
        <f t="shared" ref="AC859:AI859" si="1257">AC857</f>
        <v>0</v>
      </c>
      <c r="AD859" s="982" t="b">
        <f t="shared" si="1257"/>
        <v>0</v>
      </c>
      <c r="AE859" s="982" t="b">
        <f t="shared" si="1257"/>
        <v>0</v>
      </c>
      <c r="AF859" s="982" t="b">
        <f t="shared" si="1257"/>
        <v>0</v>
      </c>
      <c r="AG859" s="982" t="b">
        <f t="shared" si="1257"/>
        <v>0</v>
      </c>
      <c r="AH859" s="982" t="b">
        <f t="shared" si="1257"/>
        <v>0</v>
      </c>
      <c r="AI859" s="982" t="b">
        <f t="shared" si="1257"/>
        <v>0</v>
      </c>
      <c r="AJ859" s="343"/>
      <c r="AK859" s="343"/>
      <c r="AL859" s="1176" t="str">
        <f t="shared" si="1254"/>
        <v/>
      </c>
      <c r="AM859" s="343"/>
    </row>
    <row r="860" spans="1:39" ht="12.75" customHeight="1" x14ac:dyDescent="0.25">
      <c r="A860" s="694"/>
      <c r="B860" s="284"/>
      <c r="C860" s="1496"/>
      <c r="D860" s="1505" t="s">
        <v>813</v>
      </c>
      <c r="E860" s="2819" t="str">
        <f>Translations!$B$522</f>
        <v>Претеглен емисионен фактор</v>
      </c>
      <c r="F860" s="2705"/>
      <c r="G860" s="1329" t="str">
        <f t="shared" si="1252"/>
        <v>t CO2 / TJ</v>
      </c>
      <c r="H860" s="137"/>
      <c r="I860" s="137"/>
      <c r="J860" s="137"/>
      <c r="K860" s="137"/>
      <c r="L860" s="137"/>
      <c r="M860" s="137"/>
      <c r="N860" s="140"/>
      <c r="O860" s="336"/>
      <c r="P860" s="158"/>
      <c r="Q860" s="1500" t="str">
        <f>EUconst_CNTR_OtherEnergyEF &amp; I682</f>
        <v>ElectricityEF_Подинсталация на топлофикационна мрежа</v>
      </c>
      <c r="R860" s="694"/>
      <c r="S860" s="770"/>
      <c r="T860" s="694"/>
      <c r="U860" s="694"/>
      <c r="V860" s="694"/>
      <c r="W860" s="694"/>
      <c r="X860" s="694"/>
      <c r="Y860" s="694"/>
      <c r="Z860" s="694"/>
      <c r="AA860" s="694"/>
      <c r="AB860" s="729"/>
      <c r="AC860" s="982" t="b">
        <f t="shared" ref="AC860:AI860" si="1258">AC858</f>
        <v>0</v>
      </c>
      <c r="AD860" s="982" t="b">
        <f t="shared" si="1258"/>
        <v>0</v>
      </c>
      <c r="AE860" s="982" t="b">
        <f t="shared" si="1258"/>
        <v>0</v>
      </c>
      <c r="AF860" s="982" t="b">
        <f t="shared" si="1258"/>
        <v>0</v>
      </c>
      <c r="AG860" s="982" t="b">
        <f t="shared" si="1258"/>
        <v>0</v>
      </c>
      <c r="AH860" s="982" t="b">
        <f t="shared" si="1258"/>
        <v>0</v>
      </c>
      <c r="AI860" s="982" t="b">
        <f t="shared" si="1258"/>
        <v>0</v>
      </c>
      <c r="AJ860" s="343"/>
      <c r="AK860" s="343"/>
      <c r="AL860" s="1176" t="str">
        <f t="shared" si="1254"/>
        <v/>
      </c>
      <c r="AM860" s="343"/>
    </row>
    <row r="861" spans="1:39" ht="12.75" customHeight="1" x14ac:dyDescent="0.25">
      <c r="A861" s="694"/>
      <c r="B861" s="284"/>
      <c r="C861" s="1496"/>
      <c r="D861" s="1505" t="s">
        <v>814</v>
      </c>
      <c r="E861" s="2820" t="str">
        <f>Translations!$B$1553</f>
        <v>Обща вложена енергия (= i. + v. + vii.)</v>
      </c>
      <c r="F861" s="2258"/>
      <c r="G861" s="1320" t="str">
        <f>EUconst_TJpa</f>
        <v>TJ / година</v>
      </c>
      <c r="H861" s="1506" t="str">
        <f t="shared" ref="H861:N861" si="1259">IF(OR($M682&lt;&gt;EUconst_Relevant,COUNT(H853,H857,H859)=0),"",SUM(H853,H857,H859))</f>
        <v/>
      </c>
      <c r="I861" s="1506" t="str">
        <f t="shared" si="1259"/>
        <v/>
      </c>
      <c r="J861" s="1506" t="str">
        <f t="shared" si="1259"/>
        <v/>
      </c>
      <c r="K861" s="1506" t="str">
        <f t="shared" si="1259"/>
        <v/>
      </c>
      <c r="L861" s="1506" t="str">
        <f t="shared" si="1259"/>
        <v/>
      </c>
      <c r="M861" s="1506" t="str">
        <f t="shared" si="1259"/>
        <v/>
      </c>
      <c r="N861" s="1507" t="str">
        <f t="shared" si="1259"/>
        <v/>
      </c>
      <c r="O861" s="336"/>
      <c r="P861" s="158"/>
      <c r="Q861" s="1500" t="str">
        <f>EUconst_CNTR_TotalEnergyInput &amp; I682</f>
        <v>TotalEnergyInput_Подинсталация на топлофикационна мрежа</v>
      </c>
      <c r="R861" s="694"/>
      <c r="S861" s="770"/>
      <c r="T861" s="694"/>
      <c r="U861" s="694"/>
      <c r="V861" s="694"/>
      <c r="W861" s="694"/>
      <c r="X861" s="694"/>
      <c r="Y861" s="694"/>
      <c r="Z861" s="694"/>
      <c r="AA861" s="694"/>
      <c r="AB861" s="729"/>
      <c r="AC861" s="982" t="b">
        <f t="shared" ref="AC861:AI861" si="1260">AC859</f>
        <v>0</v>
      </c>
      <c r="AD861" s="982" t="b">
        <f t="shared" si="1260"/>
        <v>0</v>
      </c>
      <c r="AE861" s="982" t="b">
        <f t="shared" si="1260"/>
        <v>0</v>
      </c>
      <c r="AF861" s="982" t="b">
        <f t="shared" si="1260"/>
        <v>0</v>
      </c>
      <c r="AG861" s="982" t="b">
        <f t="shared" si="1260"/>
        <v>0</v>
      </c>
      <c r="AH861" s="982" t="b">
        <f t="shared" si="1260"/>
        <v>0</v>
      </c>
      <c r="AI861" s="982" t="b">
        <f t="shared" si="1260"/>
        <v>0</v>
      </c>
      <c r="AJ861" s="343"/>
      <c r="AK861" s="343"/>
      <c r="AL861" s="1176" t="str">
        <f t="shared" si="1254"/>
        <v/>
      </c>
      <c r="AM861" s="343"/>
    </row>
    <row r="862" spans="1:39" ht="5.15" customHeight="1" x14ac:dyDescent="0.25">
      <c r="A862" s="694"/>
      <c r="B862" s="698"/>
      <c r="C862" s="1303"/>
      <c r="D862" s="1304"/>
      <c r="E862" s="1304"/>
      <c r="F862" s="1304"/>
      <c r="G862" s="1304"/>
      <c r="H862" s="1304"/>
      <c r="I862" s="1304"/>
      <c r="J862" s="1304"/>
      <c r="K862" s="1304"/>
      <c r="L862" s="1304"/>
      <c r="M862" s="1304"/>
      <c r="N862" s="1305"/>
      <c r="O862" s="336"/>
      <c r="P862" s="336"/>
      <c r="Q862" s="694"/>
      <c r="R862" s="694"/>
      <c r="S862" s="770"/>
      <c r="T862" s="770"/>
      <c r="U862" s="770"/>
      <c r="V862" s="770"/>
      <c r="W862" s="694"/>
      <c r="X862" s="694"/>
      <c r="Y862" s="694"/>
      <c r="Z862" s="694"/>
      <c r="AA862" s="694"/>
      <c r="AB862" s="729"/>
      <c r="AC862" s="694"/>
      <c r="AD862" s="694"/>
      <c r="AE862" s="694"/>
      <c r="AF862" s="694"/>
      <c r="AG862" s="694"/>
      <c r="AH862" s="694"/>
      <c r="AI862" s="694"/>
      <c r="AJ862" s="343"/>
      <c r="AK862" s="343"/>
      <c r="AL862" s="343"/>
      <c r="AM862" s="343"/>
    </row>
    <row r="863" spans="1:39" ht="12.75" customHeight="1" x14ac:dyDescent="0.25">
      <c r="A863" s="694"/>
      <c r="B863" s="284"/>
      <c r="C863" s="1496"/>
      <c r="D863" s="1307" t="s">
        <v>54</v>
      </c>
      <c r="E863" s="2850" t="str">
        <f>Translations!$B$349</f>
        <v>Произведена измерима топлинна енергия</v>
      </c>
      <c r="F863" s="2851"/>
      <c r="G863" s="2851"/>
      <c r="H863" s="2851"/>
      <c r="I863" s="2851"/>
      <c r="J863" s="2851"/>
      <c r="K863" s="2851"/>
      <c r="L863" s="2851"/>
      <c r="M863" s="2851"/>
      <c r="N863" s="2852"/>
      <c r="O863" s="336"/>
      <c r="P863" s="336"/>
      <c r="Q863" s="770"/>
      <c r="R863" s="694"/>
      <c r="S863" s="770"/>
      <c r="T863" s="770"/>
      <c r="U863" s="770"/>
      <c r="V863" s="770"/>
      <c r="W863" s="694"/>
      <c r="X863" s="694"/>
      <c r="Y863" s="694"/>
      <c r="Z863" s="694"/>
      <c r="AA863" s="694"/>
      <c r="AB863" s="729"/>
      <c r="AC863" s="694"/>
      <c r="AD863" s="694"/>
      <c r="AE863" s="694"/>
      <c r="AF863" s="694"/>
      <c r="AG863" s="694"/>
      <c r="AH863" s="694"/>
      <c r="AI863" s="694"/>
      <c r="AJ863" s="343"/>
      <c r="AK863" s="343"/>
      <c r="AL863" s="343"/>
      <c r="AM863" s="343"/>
    </row>
    <row r="864" spans="1:39" ht="12.75" customHeight="1" x14ac:dyDescent="0.25">
      <c r="A864" s="694"/>
      <c r="B864" s="284"/>
      <c r="C864" s="1496"/>
      <c r="D864" s="1497"/>
      <c r="E864" s="2836" t="str">
        <f>Translations!$B$639</f>
        <v xml:space="preserve">Моля, тук въведете измеримата топлинна енергия съгласно раздел 3.2, буква а) от приложение IV към ПБР. </v>
      </c>
      <c r="F864" s="2836"/>
      <c r="G864" s="2836"/>
      <c r="H864" s="2836"/>
      <c r="I864" s="2836"/>
      <c r="J864" s="2836"/>
      <c r="K864" s="2836"/>
      <c r="L864" s="2836"/>
      <c r="M864" s="2836"/>
      <c r="N864" s="2837"/>
      <c r="O864" s="336"/>
      <c r="P864" s="336"/>
      <c r="Q864" s="770"/>
      <c r="R864" s="694"/>
      <c r="S864" s="770"/>
      <c r="T864" s="694"/>
      <c r="U864" s="694"/>
      <c r="V864" s="694"/>
      <c r="W864" s="694"/>
      <c r="X864" s="694"/>
      <c r="Y864" s="694"/>
      <c r="Z864" s="694"/>
      <c r="AA864" s="694"/>
      <c r="AB864" s="729"/>
      <c r="AC864" s="694"/>
      <c r="AD864" s="694"/>
      <c r="AE864" s="694"/>
      <c r="AF864" s="694"/>
      <c r="AG864" s="694"/>
      <c r="AH864" s="694"/>
      <c r="AI864" s="694"/>
      <c r="AJ864" s="343"/>
      <c r="AK864" s="343"/>
      <c r="AL864" s="343"/>
      <c r="AM864" s="343"/>
    </row>
    <row r="865" spans="1:39" ht="25.5" customHeight="1" x14ac:dyDescent="0.25">
      <c r="A865" s="694"/>
      <c r="B865" s="284"/>
      <c r="C865" s="1496"/>
      <c r="D865" s="1497"/>
      <c r="E865" s="2836" t="str">
        <f>Translations!$B$640</f>
        <v>Обикновено стойността е различна от равнището на дейност на подинсталацията, посочено в буква a) по-горе, тъй като в него освен нетните количества на измеримата топлинна енергия, консумирана или подадена към обекти извън СТЕ, са съобразени и загубите на топлинна енергия и не се вземат предвид количествата получена топлинна енергия, които се въвеждат в буква f) по-долу.</v>
      </c>
      <c r="F865" s="2836"/>
      <c r="G865" s="2836"/>
      <c r="H865" s="2836"/>
      <c r="I865" s="2836"/>
      <c r="J865" s="2836"/>
      <c r="K865" s="2836"/>
      <c r="L865" s="2836"/>
      <c r="M865" s="2836"/>
      <c r="N865" s="2837"/>
      <c r="O865" s="336"/>
      <c r="P865" s="336"/>
      <c r="Q865" s="770"/>
      <c r="R865" s="694"/>
      <c r="S865" s="770"/>
      <c r="T865" s="770"/>
      <c r="U865" s="770"/>
      <c r="V865" s="770"/>
      <c r="W865" s="770"/>
      <c r="X865" s="770"/>
      <c r="Y865" s="770"/>
      <c r="Z865" s="770"/>
      <c r="AA865" s="694"/>
      <c r="AB865" s="729"/>
      <c r="AC865" s="694"/>
      <c r="AD865" s="694"/>
      <c r="AE865" s="694"/>
      <c r="AF865" s="694"/>
      <c r="AG865" s="694"/>
      <c r="AH865" s="694"/>
      <c r="AI865" s="694"/>
      <c r="AJ865" s="343"/>
      <c r="AK865" s="343"/>
      <c r="AL865" s="343"/>
      <c r="AM865" s="343"/>
    </row>
    <row r="866" spans="1:39" ht="12.75" customHeight="1" x14ac:dyDescent="0.25">
      <c r="A866" s="694"/>
      <c r="B866" s="284"/>
      <c r="C866" s="1496"/>
      <c r="D866" s="1307"/>
      <c r="E866" s="2803" t="str">
        <f>Translations!$B$349</f>
        <v>Произведена измерима топлинна енергия</v>
      </c>
      <c r="F866" s="2803"/>
      <c r="G866" s="1309" t="str">
        <f>EUconst_Unit</f>
        <v>Единица мярка</v>
      </c>
      <c r="H866" s="629">
        <f t="shared" ref="H866:N866" si="1261">H$1840</f>
        <v>2024</v>
      </c>
      <c r="I866" s="629">
        <f t="shared" si="1261"/>
        <v>2025</v>
      </c>
      <c r="J866" s="629">
        <f t="shared" si="1261"/>
        <v>2026</v>
      </c>
      <c r="K866" s="629">
        <f t="shared" si="1261"/>
        <v>2027</v>
      </c>
      <c r="L866" s="629">
        <f t="shared" si="1261"/>
        <v>2028</v>
      </c>
      <c r="M866" s="629">
        <f t="shared" si="1261"/>
        <v>2029</v>
      </c>
      <c r="N866" s="1312">
        <f t="shared" si="1261"/>
        <v>2030</v>
      </c>
      <c r="O866" s="336"/>
      <c r="P866" s="336"/>
      <c r="Q866" s="770"/>
      <c r="R866" s="694"/>
      <c r="S866" s="770"/>
      <c r="T866" s="770"/>
      <c r="U866" s="770"/>
      <c r="V866" s="770"/>
      <c r="W866" s="770"/>
      <c r="X866" s="770"/>
      <c r="Y866" s="770"/>
      <c r="Z866" s="770"/>
      <c r="AA866" s="694"/>
      <c r="AB866" s="729"/>
      <c r="AC866" s="1504">
        <f t="shared" ref="AC866" si="1262">H$1840</f>
        <v>2024</v>
      </c>
      <c r="AD866" s="1504">
        <f t="shared" ref="AD866" si="1263">I$1840</f>
        <v>2025</v>
      </c>
      <c r="AE866" s="1504">
        <f t="shared" ref="AE866" si="1264">J$1840</f>
        <v>2026</v>
      </c>
      <c r="AF866" s="1504">
        <f t="shared" ref="AF866" si="1265">K$1840</f>
        <v>2027</v>
      </c>
      <c r="AG866" s="1504">
        <f t="shared" ref="AG866" si="1266">L$1840</f>
        <v>2028</v>
      </c>
      <c r="AH866" s="1504">
        <f t="shared" ref="AH866" si="1267">M$1840</f>
        <v>2029</v>
      </c>
      <c r="AI866" s="1504">
        <f t="shared" ref="AI866" si="1268">N$1840</f>
        <v>2030</v>
      </c>
      <c r="AJ866" s="343"/>
      <c r="AK866" s="343"/>
      <c r="AL866" s="343"/>
      <c r="AM866" s="343"/>
    </row>
    <row r="867" spans="1:39" ht="12.75" customHeight="1" x14ac:dyDescent="0.25">
      <c r="A867" s="694"/>
      <c r="B867" s="284"/>
      <c r="C867" s="1496"/>
      <c r="D867" s="1508" t="s">
        <v>6</v>
      </c>
      <c r="E867" s="2820" t="str">
        <f>Translations!$B$1554</f>
        <v>Общо произведено количество (включително електроенергия)</v>
      </c>
      <c r="F867" s="2930"/>
      <c r="G867" s="642" t="str">
        <f>EUconst_TJpa</f>
        <v>TJ / година</v>
      </c>
      <c r="H867" s="179"/>
      <c r="I867" s="179"/>
      <c r="J867" s="179"/>
      <c r="K867" s="179"/>
      <c r="L867" s="179"/>
      <c r="M867" s="179"/>
      <c r="N867" s="180"/>
      <c r="O867" s="336"/>
      <c r="P867" s="158"/>
      <c r="Q867" s="1500" t="str">
        <f>EUconst_CNTR_HeatProduced &amp; I682</f>
        <v>HeatProd_Подинсталация на топлофикационна мрежа</v>
      </c>
      <c r="R867" s="694"/>
      <c r="S867" s="770"/>
      <c r="T867" s="770"/>
      <c r="U867" s="770"/>
      <c r="V867" s="770"/>
      <c r="W867" s="770"/>
      <c r="X867" s="770"/>
      <c r="Y867" s="770"/>
      <c r="Z867" s="770"/>
      <c r="AA867" s="694"/>
      <c r="AB867" s="1182" t="s">
        <v>737</v>
      </c>
      <c r="AC867" s="982" t="b">
        <f t="shared" ref="AC867:AI867" si="1269">AC843</f>
        <v>0</v>
      </c>
      <c r="AD867" s="982" t="b">
        <f t="shared" si="1269"/>
        <v>0</v>
      </c>
      <c r="AE867" s="982" t="b">
        <f t="shared" si="1269"/>
        <v>0</v>
      </c>
      <c r="AF867" s="982" t="b">
        <f t="shared" si="1269"/>
        <v>0</v>
      </c>
      <c r="AG867" s="982" t="b">
        <f t="shared" si="1269"/>
        <v>0</v>
      </c>
      <c r="AH867" s="982" t="b">
        <f t="shared" si="1269"/>
        <v>0</v>
      </c>
      <c r="AI867" s="982" t="b">
        <f t="shared" si="1269"/>
        <v>0</v>
      </c>
      <c r="AJ867" s="343"/>
      <c r="AK867" s="343"/>
      <c r="AL867" s="1176" t="str">
        <f>IF(AND(CNTR_ExistSubInstEntries,COUNTIFS(AC867:AI867,2,H867:N867,"")&gt;0),EUconst_Error&amp;"FB"&amp;Q682,"")</f>
        <v/>
      </c>
      <c r="AM867" s="343"/>
    </row>
    <row r="868" spans="1:39" ht="12.75" customHeight="1" x14ac:dyDescent="0.25">
      <c r="A868" s="694"/>
      <c r="B868" s="284"/>
      <c r="C868" s="1496"/>
      <c r="D868" s="1508" t="s">
        <v>7</v>
      </c>
      <c r="E868" s="2820" t="str">
        <f>Translations!$B$1555</f>
        <v>Топлинна енергия, произведена от електроенергия</v>
      </c>
      <c r="F868" s="2930"/>
      <c r="G868" s="642" t="str">
        <f>EUconst_TJpa</f>
        <v>TJ / година</v>
      </c>
      <c r="H868" s="179"/>
      <c r="I868" s="179"/>
      <c r="J868" s="179"/>
      <c r="K868" s="179"/>
      <c r="L868" s="179"/>
      <c r="M868" s="179"/>
      <c r="N868" s="180"/>
      <c r="O868" s="336"/>
      <c r="P868" s="158"/>
      <c r="Q868" s="1500" t="str">
        <f>EUconst_CNTR_HeatProducedElectricity &amp; I682</f>
        <v>HeatProdElec_Подинсталация на топлофикационна мрежа</v>
      </c>
      <c r="R868" s="694"/>
      <c r="S868" s="770"/>
      <c r="T868" s="770"/>
      <c r="U868" s="770"/>
      <c r="V868" s="770"/>
      <c r="W868" s="770"/>
      <c r="X868" s="770"/>
      <c r="Y868" s="770"/>
      <c r="Z868" s="770"/>
      <c r="AA868" s="694"/>
      <c r="AB868" s="1182" t="s">
        <v>737</v>
      </c>
      <c r="AC868" s="982" t="b">
        <f>AC867</f>
        <v>0</v>
      </c>
      <c r="AD868" s="982" t="b">
        <f t="shared" ref="AD868:AI868" si="1270">AD867</f>
        <v>0</v>
      </c>
      <c r="AE868" s="982" t="b">
        <f t="shared" si="1270"/>
        <v>0</v>
      </c>
      <c r="AF868" s="982" t="b">
        <f t="shared" si="1270"/>
        <v>0</v>
      </c>
      <c r="AG868" s="982" t="b">
        <f t="shared" si="1270"/>
        <v>0</v>
      </c>
      <c r="AH868" s="982" t="b">
        <f t="shared" si="1270"/>
        <v>0</v>
      </c>
      <c r="AI868" s="982" t="b">
        <f t="shared" si="1270"/>
        <v>0</v>
      </c>
      <c r="AJ868" s="343"/>
      <c r="AK868" s="343"/>
      <c r="AL868" s="1176" t="str">
        <f>IF(AND(CNTR_ExistSubInstEntries,COUNTIFS(AC868:AI868,2,H868:N868,"")&gt;0),EUconst_Error&amp;"FB"&amp;Q682,"")</f>
        <v/>
      </c>
      <c r="AM868" s="343"/>
    </row>
    <row r="869" spans="1:39" ht="5.15" customHeight="1" x14ac:dyDescent="0.25">
      <c r="A869" s="694"/>
      <c r="B869" s="284"/>
      <c r="C869" s="1496"/>
      <c r="D869" s="1497"/>
      <c r="E869" s="1497"/>
      <c r="F869" s="1497"/>
      <c r="G869" s="1497"/>
      <c r="H869" s="1497"/>
      <c r="I869" s="1497"/>
      <c r="J869" s="1497"/>
      <c r="K869" s="1497"/>
      <c r="L869" s="1497"/>
      <c r="M869" s="1502"/>
      <c r="N869" s="1503"/>
      <c r="O869" s="336"/>
      <c r="P869" s="336"/>
      <c r="Q869" s="770"/>
      <c r="R869" s="694"/>
      <c r="S869" s="770"/>
      <c r="T869" s="694"/>
      <c r="U869" s="694"/>
      <c r="V869" s="694"/>
      <c r="W869" s="694"/>
      <c r="X869" s="694"/>
      <c r="Y869" s="694"/>
      <c r="Z869" s="694"/>
      <c r="AA869" s="694"/>
      <c r="AB869" s="729"/>
      <c r="AC869" s="694"/>
      <c r="AD869" s="694"/>
      <c r="AE869" s="694"/>
      <c r="AF869" s="694"/>
      <c r="AG869" s="694"/>
      <c r="AH869" s="694"/>
      <c r="AI869" s="694"/>
      <c r="AJ869" s="343"/>
      <c r="AK869" s="343"/>
      <c r="AL869" s="343"/>
      <c r="AM869" s="343"/>
    </row>
    <row r="870" spans="1:39" ht="12.75" customHeight="1" x14ac:dyDescent="0.25">
      <c r="A870" s="694"/>
      <c r="B870" s="284"/>
      <c r="C870" s="1496"/>
      <c r="D870" s="1307" t="s">
        <v>55</v>
      </c>
      <c r="E870" s="2850" t="str">
        <f>Translations!$B$641</f>
        <v>Получавана отвън измерима топлинна енергия</v>
      </c>
      <c r="F870" s="2851"/>
      <c r="G870" s="2851"/>
      <c r="H870" s="2851"/>
      <c r="I870" s="2851"/>
      <c r="J870" s="2851"/>
      <c r="K870" s="2851"/>
      <c r="L870" s="2851"/>
      <c r="M870" s="2851"/>
      <c r="N870" s="2852"/>
      <c r="O870" s="336"/>
      <c r="P870" s="336"/>
      <c r="Q870" s="770"/>
      <c r="R870" s="694"/>
      <c r="S870" s="770"/>
      <c r="T870" s="694"/>
      <c r="U870" s="694"/>
      <c r="V870" s="694"/>
      <c r="W870" s="694"/>
      <c r="X870" s="694"/>
      <c r="Y870" s="694"/>
      <c r="Z870" s="694"/>
      <c r="AA870" s="694"/>
      <c r="AB870" s="729"/>
      <c r="AC870" s="694"/>
      <c r="AD870" s="694"/>
      <c r="AE870" s="694"/>
      <c r="AF870" s="694"/>
      <c r="AG870" s="694"/>
      <c r="AH870" s="694"/>
      <c r="AI870" s="694"/>
      <c r="AJ870" s="343"/>
      <c r="AK870" s="343"/>
      <c r="AL870" s="343"/>
      <c r="AM870" s="343"/>
    </row>
    <row r="871" spans="1:39" ht="12.75" customHeight="1" x14ac:dyDescent="0.25">
      <c r="A871" s="694"/>
      <c r="B871" s="284"/>
      <c r="C871" s="1496"/>
      <c r="D871" s="1307"/>
      <c r="E871" s="2853" t="str">
        <f>Translations!$B$548</f>
        <v>Посочените тук данни ще се отразят на емисиите, които могат да бъдат зададени съгласно раздел 10.1.2 и 10.1.3 от приложение VII към ПБР.</v>
      </c>
      <c r="F871" s="2850"/>
      <c r="G871" s="2850"/>
      <c r="H871" s="2850"/>
      <c r="I871" s="2850"/>
      <c r="J871" s="2850"/>
      <c r="K871" s="2850"/>
      <c r="L871" s="2850"/>
      <c r="M871" s="2850"/>
      <c r="N871" s="2854"/>
      <c r="O871" s="336"/>
      <c r="P871" s="336"/>
      <c r="Q871" s="770"/>
      <c r="R871" s="694"/>
      <c r="S871" s="770"/>
      <c r="T871" s="694"/>
      <c r="U871" s="694"/>
      <c r="V871" s="694"/>
      <c r="W871" s="694"/>
      <c r="X871" s="694"/>
      <c r="Y871" s="694"/>
      <c r="Z871" s="694"/>
      <c r="AA871" s="694"/>
      <c r="AB871" s="729"/>
      <c r="AC871" s="694"/>
      <c r="AD871" s="694"/>
      <c r="AE871" s="694"/>
      <c r="AF871" s="694"/>
      <c r="AG871" s="694"/>
      <c r="AH871" s="694"/>
      <c r="AI871" s="694"/>
      <c r="AJ871" s="343"/>
      <c r="AK871" s="343"/>
      <c r="AL871" s="343"/>
      <c r="AM871" s="343"/>
    </row>
    <row r="872" spans="1:39" ht="12.75" customHeight="1" x14ac:dyDescent="0.25">
      <c r="A872" s="694"/>
      <c r="B872" s="284"/>
      <c r="C872" s="1496"/>
      <c r="D872" s="1497"/>
      <c r="E872" s="2838" t="str">
        <f>Translations!$B$642</f>
        <v>Моля, по-долу въведете количеството на измеримата топлинна енергия, получена от всеки от следните източници:</v>
      </c>
      <c r="F872" s="2851"/>
      <c r="G872" s="2851"/>
      <c r="H872" s="2851"/>
      <c r="I872" s="2851"/>
      <c r="J872" s="2851"/>
      <c r="K872" s="2851"/>
      <c r="L872" s="2851"/>
      <c r="M872" s="2851"/>
      <c r="N872" s="2852"/>
      <c r="O872" s="336"/>
      <c r="P872" s="336"/>
      <c r="Q872" s="770"/>
      <c r="R872" s="694"/>
      <c r="S872" s="770"/>
      <c r="T872" s="694"/>
      <c r="U872" s="694"/>
      <c r="V872" s="694"/>
      <c r="W872" s="694"/>
      <c r="X872" s="694"/>
      <c r="Y872" s="694"/>
      <c r="Z872" s="694"/>
      <c r="AA872" s="694"/>
      <c r="AB872" s="729"/>
      <c r="AC872" s="694"/>
      <c r="AD872" s="694"/>
      <c r="AE872" s="694"/>
      <c r="AF872" s="694"/>
      <c r="AG872" s="694"/>
      <c r="AH872" s="694"/>
      <c r="AI872" s="694"/>
      <c r="AJ872" s="343"/>
      <c r="AK872" s="343"/>
      <c r="AL872" s="343"/>
      <c r="AM872" s="343"/>
    </row>
    <row r="873" spans="1:39" ht="38.9" customHeight="1" x14ac:dyDescent="0.25">
      <c r="A873" s="694"/>
      <c r="B873" s="284"/>
      <c r="C873" s="1496"/>
      <c r="D873" s="1497"/>
      <c r="E873" s="1308" t="s">
        <v>1052</v>
      </c>
      <c r="F873" s="2838" t="str">
        <f>Translations!$B$643</f>
        <v>Нетно количество получена топлинна енергия (други източници): това включва топлинната енергия, получена от други инсталации или, в случай че измеримата топлинна енергия е консумирана от повече от една подинсталация — топлинната енергия, произведена в рамките на обекта и консумирана в тази подинсталация. Тук не се включва измерима топлинна енергия, получена от която и да било подинсталация с продуктов показател, от производство на пулп, измерима топлинна енергия, извлечена от подинсталации с горивен показател или от отпадни газове, защото тези данни се вписват в отделни полета.</v>
      </c>
      <c r="G873" s="2839"/>
      <c r="H873" s="2839"/>
      <c r="I873" s="2839"/>
      <c r="J873" s="2839"/>
      <c r="K873" s="2839"/>
      <c r="L873" s="2839"/>
      <c r="M873" s="2839"/>
      <c r="N873" s="2840"/>
      <c r="O873" s="336"/>
      <c r="P873" s="336"/>
      <c r="Q873" s="770"/>
      <c r="R873" s="694"/>
      <c r="S873" s="770"/>
      <c r="T873" s="694"/>
      <c r="U873" s="694"/>
      <c r="V873" s="694"/>
      <c r="W873" s="694"/>
      <c r="X873" s="694"/>
      <c r="Y873" s="694"/>
      <c r="Z873" s="694"/>
      <c r="AA873" s="694"/>
      <c r="AB873" s="729"/>
      <c r="AC873" s="694"/>
      <c r="AD873" s="694"/>
      <c r="AE873" s="694"/>
      <c r="AF873" s="694"/>
      <c r="AG873" s="694"/>
      <c r="AH873" s="694"/>
      <c r="AI873" s="694"/>
      <c r="AJ873" s="343"/>
      <c r="AK873" s="343"/>
      <c r="AL873" s="343"/>
      <c r="AM873" s="343"/>
    </row>
    <row r="874" spans="1:39" ht="25.5" customHeight="1" x14ac:dyDescent="0.25">
      <c r="A874" s="694"/>
      <c r="B874" s="284"/>
      <c r="C874" s="1496"/>
      <c r="D874" s="1497"/>
      <c r="E874" s="1308" t="s">
        <v>1052</v>
      </c>
      <c r="F874" s="2838" t="str">
        <f>Translations!$B$644</f>
        <v>Топлинна енергия от подинсталации с продуктов показател: това включва измерима топлинна енергия, подадена от подинсталации с продуктов показател освен измеримата топлинна енергия от подинсталации, които произвеждат пулп или азотна киселина.</v>
      </c>
      <c r="G874" s="2839"/>
      <c r="H874" s="2839"/>
      <c r="I874" s="2839"/>
      <c r="J874" s="2839"/>
      <c r="K874" s="2839"/>
      <c r="L874" s="2839"/>
      <c r="M874" s="2839"/>
      <c r="N874" s="2840"/>
      <c r="O874" s="336"/>
      <c r="P874" s="336"/>
      <c r="Q874" s="770"/>
      <c r="R874" s="694"/>
      <c r="S874" s="770"/>
      <c r="T874" s="694"/>
      <c r="U874" s="694"/>
      <c r="V874" s="694"/>
      <c r="W874" s="694"/>
      <c r="X874" s="694"/>
      <c r="Y874" s="694"/>
      <c r="Z874" s="694"/>
      <c r="AA874" s="694"/>
      <c r="AB874" s="729"/>
      <c r="AC874" s="694"/>
      <c r="AD874" s="694"/>
      <c r="AE874" s="694"/>
      <c r="AF874" s="694"/>
      <c r="AG874" s="694"/>
      <c r="AH874" s="694"/>
      <c r="AI874" s="694"/>
      <c r="AJ874" s="343"/>
      <c r="AK874" s="343"/>
      <c r="AL874" s="343"/>
      <c r="AM874" s="343"/>
    </row>
    <row r="875" spans="1:39" ht="12.75" customHeight="1" x14ac:dyDescent="0.25">
      <c r="A875" s="694"/>
      <c r="B875" s="284"/>
      <c r="C875" s="1496"/>
      <c r="D875" s="1497"/>
      <c r="E875" s="1308" t="s">
        <v>1052</v>
      </c>
      <c r="F875" s="2838" t="str">
        <f>Translations!$B$645</f>
        <v>Топлинна енергия от пулп: това включва топлинна енергия, получена от подинсталации за производство на пулп.</v>
      </c>
      <c r="G875" s="2839"/>
      <c r="H875" s="2839"/>
      <c r="I875" s="2839"/>
      <c r="J875" s="2839"/>
      <c r="K875" s="2839"/>
      <c r="L875" s="2839"/>
      <c r="M875" s="2839"/>
      <c r="N875" s="2840"/>
      <c r="O875" s="336"/>
      <c r="P875" s="336"/>
      <c r="Q875" s="770"/>
      <c r="R875" s="694"/>
      <c r="S875" s="770"/>
      <c r="T875" s="694"/>
      <c r="U875" s="694"/>
      <c r="V875" s="694"/>
      <c r="W875" s="694"/>
      <c r="X875" s="694"/>
      <c r="Y875" s="694"/>
      <c r="Z875" s="694"/>
      <c r="AA875" s="694"/>
      <c r="AB875" s="729"/>
      <c r="AC875" s="694"/>
      <c r="AD875" s="694"/>
      <c r="AE875" s="694"/>
      <c r="AF875" s="694"/>
      <c r="AG875" s="694"/>
      <c r="AH875" s="694"/>
      <c r="AI875" s="694"/>
      <c r="AJ875" s="343"/>
      <c r="AK875" s="343"/>
      <c r="AL875" s="343"/>
      <c r="AM875" s="343"/>
    </row>
    <row r="876" spans="1:39" ht="12.75" customHeight="1" x14ac:dyDescent="0.25">
      <c r="A876" s="694"/>
      <c r="B876" s="284"/>
      <c r="C876" s="1496"/>
      <c r="D876" s="1497"/>
      <c r="E876" s="1308" t="s">
        <v>1052</v>
      </c>
      <c r="F876" s="2838" t="str">
        <f>Translations!$B$646</f>
        <v>Топлинна енергия от подинсталации с горивен показател: това включва измерима топлинна енергия, извлечена от отпадни газове от подинсталации с горивен показател</v>
      </c>
      <c r="G876" s="2839"/>
      <c r="H876" s="2839"/>
      <c r="I876" s="2839"/>
      <c r="J876" s="2839"/>
      <c r="K876" s="2839"/>
      <c r="L876" s="2839"/>
      <c r="M876" s="2839"/>
      <c r="N876" s="2840"/>
      <c r="O876" s="336"/>
      <c r="P876" s="336"/>
      <c r="Q876" s="770"/>
      <c r="R876" s="694"/>
      <c r="S876" s="770"/>
      <c r="T876" s="694"/>
      <c r="U876" s="694"/>
      <c r="V876" s="694"/>
      <c r="W876" s="694"/>
      <c r="X876" s="694"/>
      <c r="Y876" s="694"/>
      <c r="Z876" s="694"/>
      <c r="AA876" s="694"/>
      <c r="AB876" s="729"/>
      <c r="AC876" s="694"/>
      <c r="AD876" s="694"/>
      <c r="AE876" s="694"/>
      <c r="AF876" s="694"/>
      <c r="AG876" s="694"/>
      <c r="AH876" s="694"/>
      <c r="AI876" s="694"/>
      <c r="AJ876" s="343"/>
      <c r="AK876" s="343"/>
      <c r="AL876" s="343"/>
      <c r="AM876" s="343"/>
    </row>
    <row r="877" spans="1:39" ht="12.75" customHeight="1" x14ac:dyDescent="0.25">
      <c r="A877" s="694"/>
      <c r="B877" s="284"/>
      <c r="C877" s="1496"/>
      <c r="D877" s="1497"/>
      <c r="E877" s="1308" t="s">
        <v>1052</v>
      </c>
      <c r="F877" s="2838" t="str">
        <f>Translations!$B$647</f>
        <v>Топлинна енергия от отпадни газове: това включва измерима топлинна енергия, произведена от отпадни газове.</v>
      </c>
      <c r="G877" s="2839"/>
      <c r="H877" s="2839"/>
      <c r="I877" s="2839"/>
      <c r="J877" s="2839"/>
      <c r="K877" s="2839"/>
      <c r="L877" s="2839"/>
      <c r="M877" s="2839"/>
      <c r="N877" s="2840"/>
      <c r="O877" s="336"/>
      <c r="P877" s="336"/>
      <c r="Q877" s="770"/>
      <c r="R877" s="694"/>
      <c r="S877" s="770"/>
      <c r="T877" s="694"/>
      <c r="U877" s="694"/>
      <c r="V877" s="694"/>
      <c r="W877" s="694"/>
      <c r="X877" s="694"/>
      <c r="Y877" s="694"/>
      <c r="Z877" s="694"/>
      <c r="AA877" s="694"/>
      <c r="AB877" s="729"/>
      <c r="AC877" s="694"/>
      <c r="AD877" s="694"/>
      <c r="AE877" s="694"/>
      <c r="AF877" s="694"/>
      <c r="AG877" s="694"/>
      <c r="AH877" s="694"/>
      <c r="AI877" s="694"/>
      <c r="AJ877" s="343"/>
      <c r="AK877" s="343"/>
      <c r="AL877" s="343"/>
      <c r="AM877" s="343"/>
    </row>
    <row r="878" spans="1:39" ht="12.75" customHeight="1" x14ac:dyDescent="0.25">
      <c r="A878" s="694"/>
      <c r="B878" s="284"/>
      <c r="C878" s="1496"/>
      <c r="D878" s="1497"/>
      <c r="E878" s="2836" t="str">
        <f>Translations!$B$648</f>
        <v>Тук не включвайте топлинна енергия, получена от източници „които не отговарят на условията“ т.е. инсталации, които не са обхванати от СТЕ на ЕС, или топлинна енергия, произведена в подинсталации за азотна киселина.</v>
      </c>
      <c r="F878" s="2240"/>
      <c r="G878" s="2240"/>
      <c r="H878" s="2240"/>
      <c r="I878" s="2240"/>
      <c r="J878" s="2240"/>
      <c r="K878" s="2240"/>
      <c r="L878" s="2240"/>
      <c r="M878" s="2240"/>
      <c r="N878" s="2811"/>
      <c r="O878" s="336"/>
      <c r="P878" s="336"/>
      <c r="Q878" s="770"/>
      <c r="R878" s="694"/>
      <c r="S878" s="770"/>
      <c r="T878" s="694"/>
      <c r="U878" s="694"/>
      <c r="V878" s="694"/>
      <c r="W878" s="694"/>
      <c r="X878" s="694"/>
      <c r="Y878" s="694"/>
      <c r="Z878" s="694"/>
      <c r="AA878" s="694"/>
      <c r="AB878" s="729"/>
      <c r="AC878" s="694"/>
      <c r="AD878" s="694"/>
      <c r="AE878" s="694"/>
      <c r="AF878" s="694"/>
      <c r="AG878" s="694"/>
      <c r="AH878" s="694"/>
      <c r="AI878" s="694"/>
      <c r="AJ878" s="343"/>
      <c r="AK878" s="343"/>
      <c r="AL878" s="343"/>
      <c r="AM878" s="343"/>
    </row>
    <row r="879" spans="1:39" ht="12.75" customHeight="1" x14ac:dyDescent="0.25">
      <c r="A879" s="694"/>
      <c r="B879" s="284"/>
      <c r="C879" s="1496"/>
      <c r="D879" s="1497"/>
      <c r="E879" s="2838" t="str">
        <f>Translations!$B$649</f>
        <v>При специфичните емисионни фактори (EF), свързани с топлинната енергия, трябва да се отчитат разпоредбите на раздели 8 и 10 от приложение VII към ПБР, и по-специално раздели 10.1.2 и 10.1.3.</v>
      </c>
      <c r="F879" s="2851"/>
      <c r="G879" s="2851"/>
      <c r="H879" s="2851"/>
      <c r="I879" s="2851"/>
      <c r="J879" s="2851"/>
      <c r="K879" s="2851"/>
      <c r="L879" s="2851"/>
      <c r="M879" s="2851"/>
      <c r="N879" s="2852"/>
      <c r="O879" s="336"/>
      <c r="P879" s="336"/>
      <c r="Q879" s="770"/>
      <c r="R879" s="694"/>
      <c r="S879" s="770"/>
      <c r="T879" s="694"/>
      <c r="U879" s="694"/>
      <c r="V879" s="694"/>
      <c r="W879" s="694"/>
      <c r="X879" s="694"/>
      <c r="Y879" s="694"/>
      <c r="Z879" s="694"/>
      <c r="AA879" s="694"/>
      <c r="AB879" s="729"/>
      <c r="AC879" s="694"/>
      <c r="AD879" s="694"/>
      <c r="AE879" s="694"/>
      <c r="AF879" s="694"/>
      <c r="AG879" s="694"/>
      <c r="AH879" s="694"/>
      <c r="AI879" s="694"/>
      <c r="AJ879" s="343"/>
      <c r="AK879" s="343"/>
      <c r="AL879" s="343"/>
      <c r="AM879" s="343"/>
    </row>
    <row r="880" spans="1:39" ht="12.75" customHeight="1" x14ac:dyDescent="0.25">
      <c r="A880" s="694"/>
      <c r="B880" s="284"/>
      <c r="C880" s="1496"/>
      <c r="D880" s="1497"/>
      <c r="E880" s="2825" t="str">
        <f>Translations!$B$608</f>
        <v>За задаването на емисии от комбинираното производство на енергия (КПТЕ) при производството на топлинна енергия трябва да използвате „Инструмента за КПТЕ“ от раздел D.III.</v>
      </c>
      <c r="F880" s="2825"/>
      <c r="G880" s="2825"/>
      <c r="H880" s="2825"/>
      <c r="I880" s="2825"/>
      <c r="J880" s="2825"/>
      <c r="K880" s="2825"/>
      <c r="L880" s="2825"/>
      <c r="M880" s="2825"/>
      <c r="N880" s="1348"/>
      <c r="O880" s="336"/>
      <c r="P880" s="336"/>
      <c r="Q880" s="770"/>
      <c r="R880" s="694"/>
      <c r="S880" s="694"/>
      <c r="T880" s="694"/>
      <c r="U880" s="694"/>
      <c r="V880" s="694"/>
      <c r="W880" s="694"/>
      <c r="X880" s="694"/>
      <c r="Y880" s="694"/>
      <c r="Z880" s="694"/>
      <c r="AA880" s="694"/>
      <c r="AB880" s="694"/>
      <c r="AC880" s="694"/>
      <c r="AD880" s="694"/>
      <c r="AE880" s="694"/>
      <c r="AF880" s="694"/>
      <c r="AG880" s="694"/>
      <c r="AH880" s="694"/>
      <c r="AI880" s="694"/>
      <c r="AJ880" s="343"/>
      <c r="AK880" s="343"/>
      <c r="AL880" s="343"/>
      <c r="AM880" s="343"/>
    </row>
    <row r="881" spans="1:39" ht="12.75" customHeight="1" x14ac:dyDescent="0.25">
      <c r="A881" s="694"/>
      <c r="B881" s="284"/>
      <c r="C881" s="1496"/>
      <c r="D881" s="1497"/>
      <c r="E881" s="2803" t="str">
        <f>Translations!$B$650</f>
        <v>Нетно количество получена топлинна енергия (други източници)</v>
      </c>
      <c r="F881" s="2672"/>
      <c r="G881" s="1309" t="str">
        <f>EUconst_Unit</f>
        <v>Единица мярка</v>
      </c>
      <c r="H881" s="629">
        <f t="shared" ref="H881:N881" si="1271">H$1840</f>
        <v>2024</v>
      </c>
      <c r="I881" s="629">
        <f t="shared" si="1271"/>
        <v>2025</v>
      </c>
      <c r="J881" s="629">
        <f t="shared" si="1271"/>
        <v>2026</v>
      </c>
      <c r="K881" s="629">
        <f t="shared" si="1271"/>
        <v>2027</v>
      </c>
      <c r="L881" s="629">
        <f t="shared" si="1271"/>
        <v>2028</v>
      </c>
      <c r="M881" s="629">
        <f t="shared" si="1271"/>
        <v>2029</v>
      </c>
      <c r="N881" s="1312">
        <f t="shared" si="1271"/>
        <v>2030</v>
      </c>
      <c r="O881" s="336"/>
      <c r="P881" s="336"/>
      <c r="Q881" s="770"/>
      <c r="R881" s="694"/>
      <c r="S881" s="770"/>
      <c r="T881" s="1031">
        <f t="shared" ref="T881" si="1272">H881</f>
        <v>2024</v>
      </c>
      <c r="U881" s="1031">
        <f t="shared" ref="U881" si="1273">I881</f>
        <v>2025</v>
      </c>
      <c r="V881" s="1031">
        <f t="shared" ref="V881" si="1274">J881</f>
        <v>2026</v>
      </c>
      <c r="W881" s="1031">
        <f t="shared" ref="W881" si="1275">K881</f>
        <v>2027</v>
      </c>
      <c r="X881" s="1031">
        <f t="shared" ref="X881" si="1276">L881</f>
        <v>2028</v>
      </c>
      <c r="Y881" s="1031">
        <f t="shared" ref="Y881" si="1277">M881</f>
        <v>2029</v>
      </c>
      <c r="Z881" s="1031">
        <f t="shared" ref="Z881" si="1278">N881</f>
        <v>2030</v>
      </c>
      <c r="AA881" s="694"/>
      <c r="AB881" s="694"/>
      <c r="AC881" s="1504">
        <f t="shared" ref="AC881" si="1279">H$1840</f>
        <v>2024</v>
      </c>
      <c r="AD881" s="1504">
        <f t="shared" ref="AD881" si="1280">I$1840</f>
        <v>2025</v>
      </c>
      <c r="AE881" s="1504">
        <f t="shared" ref="AE881" si="1281">J$1840</f>
        <v>2026</v>
      </c>
      <c r="AF881" s="1504">
        <f t="shared" ref="AF881" si="1282">K$1840</f>
        <v>2027</v>
      </c>
      <c r="AG881" s="1504">
        <f t="shared" ref="AG881" si="1283">L$1840</f>
        <v>2028</v>
      </c>
      <c r="AH881" s="1504">
        <f t="shared" ref="AH881" si="1284">M$1840</f>
        <v>2029</v>
      </c>
      <c r="AI881" s="1504">
        <f t="shared" ref="AI881" si="1285">N$1840</f>
        <v>2030</v>
      </c>
      <c r="AJ881" s="343"/>
      <c r="AK881" s="343"/>
      <c r="AL881" s="343"/>
      <c r="AM881" s="343"/>
    </row>
    <row r="882" spans="1:39" ht="12.75" customHeight="1" x14ac:dyDescent="0.25">
      <c r="A882" s="694"/>
      <c r="B882" s="284"/>
      <c r="C882" s="1496"/>
      <c r="D882" s="1505" t="s">
        <v>6</v>
      </c>
      <c r="E882" s="2820" t="str">
        <f>Translations!$B$554</f>
        <v>Нетно количество получена топлинна енергия</v>
      </c>
      <c r="F882" s="2258"/>
      <c r="G882" s="1319" t="str">
        <f>EUconst_TJpa</f>
        <v>TJ / година</v>
      </c>
      <c r="H882" s="56"/>
      <c r="I882" s="56"/>
      <c r="J882" s="56"/>
      <c r="K882" s="56"/>
      <c r="L882" s="56"/>
      <c r="M882" s="56"/>
      <c r="N882" s="121"/>
      <c r="O882" s="336"/>
      <c r="P882" s="158"/>
      <c r="Q882" s="1500" t="str">
        <f>EUconst_CNTR_HeatImport &amp; I682</f>
        <v>HeatIm_Подинсталация на топлофикационна мрежа</v>
      </c>
      <c r="R882" s="694"/>
      <c r="S882" s="1509" t="str">
        <f>EUconst_ERR_AttrEmBMapplied &amp; $I682</f>
        <v>ERR_AttrEmBM_Подинсталация на топлофикационна мрежа</v>
      </c>
      <c r="T882" s="982">
        <f t="shared" ref="T882" si="1286">IF(AND(H882&lt;&gt;0,H883="",EUconst_StatusOfDataCollection=FALSE),1,0)</f>
        <v>0</v>
      </c>
      <c r="U882" s="982">
        <f t="shared" ref="U882" si="1287">IF(AND(I882&lt;&gt;0,I883="",EUconst_StatusOfDataCollection=FALSE),1,0)</f>
        <v>0</v>
      </c>
      <c r="V882" s="982">
        <f t="shared" ref="V882" si="1288">IF(AND(J882&lt;&gt;0,J883="",EUconst_StatusOfDataCollection=FALSE),1,0)</f>
        <v>0</v>
      </c>
      <c r="W882" s="982">
        <f t="shared" ref="W882" si="1289">IF(AND(K882&lt;&gt;0,K883="",EUconst_StatusOfDataCollection=FALSE),1,0)</f>
        <v>0</v>
      </c>
      <c r="X882" s="982">
        <f t="shared" ref="X882" si="1290">IF(AND(L882&lt;&gt;0,L883="",EUconst_StatusOfDataCollection=FALSE),1,0)</f>
        <v>0</v>
      </c>
      <c r="Y882" s="982">
        <f t="shared" ref="Y882" si="1291">IF(AND(M882&lt;&gt;0,M883="",EUconst_StatusOfDataCollection=FALSE),1,0)</f>
        <v>0</v>
      </c>
      <c r="Z882" s="982">
        <f t="shared" ref="Z882" si="1292">IF(AND(N882&lt;&gt;0,N883="",EUconst_StatusOfDataCollection=FALSE),1,0)</f>
        <v>0</v>
      </c>
      <c r="AA882" s="694"/>
      <c r="AB882" s="1182" t="s">
        <v>737</v>
      </c>
      <c r="AC882" s="982" t="b">
        <f t="shared" ref="AC882:AI882" si="1293">AC853</f>
        <v>0</v>
      </c>
      <c r="AD882" s="982" t="b">
        <f t="shared" si="1293"/>
        <v>0</v>
      </c>
      <c r="AE882" s="982" t="b">
        <f t="shared" si="1293"/>
        <v>0</v>
      </c>
      <c r="AF882" s="982" t="b">
        <f t="shared" si="1293"/>
        <v>0</v>
      </c>
      <c r="AG882" s="982" t="b">
        <f t="shared" si="1293"/>
        <v>0</v>
      </c>
      <c r="AH882" s="982" t="b">
        <f t="shared" si="1293"/>
        <v>0</v>
      </c>
      <c r="AI882" s="982" t="b">
        <f t="shared" si="1293"/>
        <v>0</v>
      </c>
      <c r="AJ882" s="343"/>
      <c r="AK882" s="343"/>
      <c r="AL882" s="1176" t="str">
        <f>IF(AND(CNTR_ExistSubInstEntries,COUNTIFS(AC882:AI882,2,H882:N882,"")&gt;0),EUconst_Error&amp;"FB"&amp;Q682,"")</f>
        <v/>
      </c>
      <c r="AM882" s="343"/>
    </row>
    <row r="883" spans="1:39" ht="12.75" customHeight="1" x14ac:dyDescent="0.3">
      <c r="A883" s="694"/>
      <c r="B883" s="284"/>
      <c r="C883" s="1496"/>
      <c r="D883" s="1505" t="s">
        <v>7</v>
      </c>
      <c r="E883" s="2820" t="str">
        <f>Translations!$B$555</f>
        <v>Специфичен EF (получена топлинна енергия)</v>
      </c>
      <c r="F883" s="2258"/>
      <c r="G883" s="1319" t="str">
        <f>EUconst_tCO2pTJ</f>
        <v>t CO2 / TJ</v>
      </c>
      <c r="H883" s="56"/>
      <c r="I883" s="56"/>
      <c r="J883" s="56"/>
      <c r="K883" s="56"/>
      <c r="L883" s="56"/>
      <c r="M883" s="56"/>
      <c r="N883" s="121"/>
      <c r="O883" s="336"/>
      <c r="P883" s="158"/>
      <c r="Q883" s="1500" t="str">
        <f>EUconst_CNTR_HeatImportEF &amp; I682</f>
        <v>HeatImEF_Подинсталация на топлофикационна мрежа</v>
      </c>
      <c r="R883" s="694"/>
      <c r="S883" s="1510" t="str">
        <f>EUconst_CNTR_AttributedEmissions &amp; $I682</f>
        <v>AttrEmissions_Подинсталация на топлофикационна мрежа</v>
      </c>
      <c r="T883" s="982" t="str">
        <f t="shared" ref="T883" si="1294">IF(T690,SUM(H882)*IF(ISNUMBER(H883),H883,EUconst_HeatBMvalue),"")</f>
        <v/>
      </c>
      <c r="U883" s="982" t="str">
        <f t="shared" ref="U883" si="1295">IF(U690,SUM(I882)*IF(ISNUMBER(I883),I883,EUconst_HeatBMvalue),"")</f>
        <v/>
      </c>
      <c r="V883" s="982" t="str">
        <f t="shared" ref="V883" si="1296">IF(V690,SUM(J882)*IF(ISNUMBER(J883),J883,EUconst_HeatBMvalue),"")</f>
        <v/>
      </c>
      <c r="W883" s="982" t="str">
        <f t="shared" ref="W883" si="1297">IF(W690,SUM(K882)*IF(ISNUMBER(K883),K883,EUconst_HeatBMvalue),"")</f>
        <v/>
      </c>
      <c r="X883" s="982" t="str">
        <f t="shared" ref="X883" si="1298">IF(X690,SUM(L882)*IF(ISNUMBER(L883),L883,EUconst_HeatBMvalue),"")</f>
        <v/>
      </c>
      <c r="Y883" s="982" t="str">
        <f t="shared" ref="Y883" si="1299">IF(Y690,SUM(M882)*IF(ISNUMBER(M883),M883,EUconst_HeatBMvalue),"")</f>
        <v/>
      </c>
      <c r="Z883" s="982" t="str">
        <f t="shared" ref="Z883" si="1300">IF(Z690,SUM(N882)*IF(ISNUMBER(N883),N883,EUconst_HeatBMvalue),"")</f>
        <v/>
      </c>
      <c r="AA883" s="694"/>
      <c r="AB883" s="694"/>
      <c r="AC883" s="982" t="b">
        <f t="shared" ref="AC883:AI883" si="1301">AC854</f>
        <v>0</v>
      </c>
      <c r="AD883" s="982" t="b">
        <f t="shared" si="1301"/>
        <v>0</v>
      </c>
      <c r="AE883" s="982" t="b">
        <f t="shared" si="1301"/>
        <v>0</v>
      </c>
      <c r="AF883" s="982" t="b">
        <f t="shared" si="1301"/>
        <v>0</v>
      </c>
      <c r="AG883" s="982" t="b">
        <f t="shared" si="1301"/>
        <v>0</v>
      </c>
      <c r="AH883" s="982" t="b">
        <f t="shared" si="1301"/>
        <v>0</v>
      </c>
      <c r="AI883" s="982" t="b">
        <f t="shared" si="1301"/>
        <v>0</v>
      </c>
      <c r="AJ883" s="343"/>
      <c r="AK883" s="343"/>
      <c r="AL883" s="1176" t="str">
        <f>IF(AND(CNTR_ExistSubInstEntries,COUNTIFS(AC883:AI883,2,H883:N883,"")&gt;0),EUconst_Error&amp;"FB"&amp;Q682,"")</f>
        <v/>
      </c>
      <c r="AM883" s="343"/>
    </row>
    <row r="884" spans="1:39" ht="5.15" customHeight="1" x14ac:dyDescent="0.25">
      <c r="A884" s="694"/>
      <c r="B884" s="284"/>
      <c r="C884" s="1496"/>
      <c r="D884" s="1497"/>
      <c r="E884" s="1497"/>
      <c r="F884" s="1497"/>
      <c r="G884" s="1497"/>
      <c r="H884" s="1497"/>
      <c r="I884" s="1497"/>
      <c r="J884" s="1497"/>
      <c r="K884" s="1497"/>
      <c r="L884" s="1497"/>
      <c r="M884" s="1497"/>
      <c r="N884" s="1503"/>
      <c r="O884" s="336"/>
      <c r="P884" s="336"/>
      <c r="Q884" s="770"/>
      <c r="R884" s="694"/>
      <c r="S884" s="770"/>
      <c r="T884" s="694"/>
      <c r="U884" s="694"/>
      <c r="V884" s="694"/>
      <c r="W884" s="694"/>
      <c r="X884" s="694"/>
      <c r="Y884" s="694"/>
      <c r="Z884" s="694"/>
      <c r="AA884" s="694"/>
      <c r="AB884" s="694"/>
      <c r="AC884" s="694"/>
      <c r="AD884" s="694"/>
      <c r="AE884" s="694"/>
      <c r="AF884" s="694"/>
      <c r="AG884" s="694"/>
      <c r="AH884" s="694"/>
      <c r="AI884" s="694"/>
      <c r="AJ884" s="343"/>
      <c r="AK884" s="343"/>
      <c r="AL884" s="343"/>
      <c r="AM884" s="343"/>
    </row>
    <row r="885" spans="1:39" ht="12.75" customHeight="1" x14ac:dyDescent="0.25">
      <c r="A885" s="694"/>
      <c r="B885" s="284"/>
      <c r="C885" s="1496"/>
      <c r="D885" s="1497"/>
      <c r="E885" s="2803" t="str">
        <f>Translations!$B$651</f>
        <v>Топлинна енергия от подинсталации с продуктов показател</v>
      </c>
      <c r="F885" s="2672"/>
      <c r="G885" s="1309" t="str">
        <f>EUconst_Unit</f>
        <v>Единица мярка</v>
      </c>
      <c r="H885" s="629">
        <f t="shared" ref="H885:N885" si="1302">H$1840</f>
        <v>2024</v>
      </c>
      <c r="I885" s="629">
        <f t="shared" si="1302"/>
        <v>2025</v>
      </c>
      <c r="J885" s="629">
        <f t="shared" si="1302"/>
        <v>2026</v>
      </c>
      <c r="K885" s="629">
        <f t="shared" si="1302"/>
        <v>2027</v>
      </c>
      <c r="L885" s="629">
        <f t="shared" si="1302"/>
        <v>2028</v>
      </c>
      <c r="M885" s="629">
        <f t="shared" si="1302"/>
        <v>2029</v>
      </c>
      <c r="N885" s="1312">
        <f t="shared" si="1302"/>
        <v>2030</v>
      </c>
      <c r="O885" s="336"/>
      <c r="P885" s="336"/>
      <c r="Q885" s="770"/>
      <c r="R885" s="694"/>
      <c r="S885" s="770"/>
      <c r="T885" s="1031">
        <f t="shared" ref="T885" si="1303">H885</f>
        <v>2024</v>
      </c>
      <c r="U885" s="1031">
        <f t="shared" ref="U885" si="1304">I885</f>
        <v>2025</v>
      </c>
      <c r="V885" s="1031">
        <f t="shared" ref="V885" si="1305">J885</f>
        <v>2026</v>
      </c>
      <c r="W885" s="1031">
        <f t="shared" ref="W885" si="1306">K885</f>
        <v>2027</v>
      </c>
      <c r="X885" s="1031">
        <f t="shared" ref="X885" si="1307">L885</f>
        <v>2028</v>
      </c>
      <c r="Y885" s="1031">
        <f t="shared" ref="Y885" si="1308">M885</f>
        <v>2029</v>
      </c>
      <c r="Z885" s="1031">
        <f>N885</f>
        <v>2030</v>
      </c>
      <c r="AA885" s="694"/>
      <c r="AB885" s="729"/>
      <c r="AC885" s="1504">
        <f t="shared" ref="AC885" si="1309">H$1840</f>
        <v>2024</v>
      </c>
      <c r="AD885" s="1504">
        <f t="shared" ref="AD885" si="1310">I$1840</f>
        <v>2025</v>
      </c>
      <c r="AE885" s="1504">
        <f t="shared" ref="AE885" si="1311">J$1840</f>
        <v>2026</v>
      </c>
      <c r="AF885" s="1504">
        <f t="shared" ref="AF885" si="1312">K$1840</f>
        <v>2027</v>
      </c>
      <c r="AG885" s="1504">
        <f t="shared" ref="AG885" si="1313">L$1840</f>
        <v>2028</v>
      </c>
      <c r="AH885" s="1504">
        <f t="shared" ref="AH885" si="1314">M$1840</f>
        <v>2029</v>
      </c>
      <c r="AI885" s="1504">
        <f t="shared" ref="AI885" si="1315">N$1840</f>
        <v>2030</v>
      </c>
      <c r="AJ885" s="343"/>
      <c r="AK885" s="343"/>
      <c r="AL885" s="343"/>
      <c r="AM885" s="343"/>
    </row>
    <row r="886" spans="1:39" ht="12.75" customHeight="1" x14ac:dyDescent="0.25">
      <c r="A886" s="694"/>
      <c r="B886" s="284"/>
      <c r="C886" s="1496"/>
      <c r="D886" s="1505" t="s">
        <v>18</v>
      </c>
      <c r="E886" s="2820" t="str">
        <f>Translations!$B$554</f>
        <v>Нетно количество получена топлинна енергия</v>
      </c>
      <c r="F886" s="2258"/>
      <c r="G886" s="1319" t="str">
        <f>EUconst_TJpa</f>
        <v>TJ / година</v>
      </c>
      <c r="H886" s="56"/>
      <c r="I886" s="56"/>
      <c r="J886" s="56"/>
      <c r="K886" s="56"/>
      <c r="L886" s="56"/>
      <c r="M886" s="56"/>
      <c r="N886" s="121"/>
      <c r="O886" s="336"/>
      <c r="P886" s="158"/>
      <c r="Q886" s="1500" t="str">
        <f>EUconst_CNTR_HeatImportProduct &amp; I682</f>
        <v>HeatImProd_Подинсталация на топлофикационна мрежа</v>
      </c>
      <c r="R886" s="694"/>
      <c r="S886" s="1509" t="str">
        <f>EUconst_ERR_AttrEmBMapplied &amp; $I682</f>
        <v>ERR_AttrEmBM_Подинсталация на топлофикационна мрежа</v>
      </c>
      <c r="T886" s="982">
        <f t="shared" ref="T886" si="1316">IF(AND(H886&lt;&gt;0,H887="",EUconst_StatusOfDataCollection=FALSE),1,0)</f>
        <v>0</v>
      </c>
      <c r="U886" s="982">
        <f t="shared" ref="U886" si="1317">IF(AND(I886&lt;&gt;0,I887="",EUconst_StatusOfDataCollection=FALSE),1,0)</f>
        <v>0</v>
      </c>
      <c r="V886" s="982">
        <f t="shared" ref="V886" si="1318">IF(AND(J886&lt;&gt;0,J887="",EUconst_StatusOfDataCollection=FALSE),1,0)</f>
        <v>0</v>
      </c>
      <c r="W886" s="982">
        <f t="shared" ref="W886" si="1319">IF(AND(K886&lt;&gt;0,K887="",EUconst_StatusOfDataCollection=FALSE),1,0)</f>
        <v>0</v>
      </c>
      <c r="X886" s="982">
        <f t="shared" ref="X886" si="1320">IF(AND(L886&lt;&gt;0,L887="",EUconst_StatusOfDataCollection=FALSE),1,0)</f>
        <v>0</v>
      </c>
      <c r="Y886" s="982">
        <f t="shared" ref="Y886" si="1321">IF(AND(M886&lt;&gt;0,M887="",EUconst_StatusOfDataCollection=FALSE),1,0)</f>
        <v>0</v>
      </c>
      <c r="Z886" s="982">
        <f t="shared" ref="Z886" si="1322">IF(AND(N886&lt;&gt;0,N887="",EUconst_StatusOfDataCollection=FALSE),1,0)</f>
        <v>0</v>
      </c>
      <c r="AA886" s="694"/>
      <c r="AB886" s="1182" t="s">
        <v>737</v>
      </c>
      <c r="AC886" s="982" t="b">
        <f>AC882</f>
        <v>0</v>
      </c>
      <c r="AD886" s="982" t="b">
        <f t="shared" ref="AD886:AI886" si="1323">AD882</f>
        <v>0</v>
      </c>
      <c r="AE886" s="982" t="b">
        <f t="shared" si="1323"/>
        <v>0</v>
      </c>
      <c r="AF886" s="982" t="b">
        <f t="shared" si="1323"/>
        <v>0</v>
      </c>
      <c r="AG886" s="982" t="b">
        <f t="shared" si="1323"/>
        <v>0</v>
      </c>
      <c r="AH886" s="982" t="b">
        <f t="shared" si="1323"/>
        <v>0</v>
      </c>
      <c r="AI886" s="982" t="b">
        <f t="shared" si="1323"/>
        <v>0</v>
      </c>
      <c r="AJ886" s="343"/>
      <c r="AK886" s="343"/>
      <c r="AL886" s="1176" t="str">
        <f>IF(AND(CNTR_ExistSubInstEntries,COUNTIFS(AC886:AI886,2,H886:N886,"")&gt;0),EUconst_Error&amp;"FB"&amp;Q682,"")</f>
        <v/>
      </c>
      <c r="AM886" s="343"/>
    </row>
    <row r="887" spans="1:39" ht="12.75" customHeight="1" x14ac:dyDescent="0.3">
      <c r="A887" s="694"/>
      <c r="B887" s="284"/>
      <c r="C887" s="1496"/>
      <c r="D887" s="1505" t="s">
        <v>810</v>
      </c>
      <c r="E887" s="2820" t="str">
        <f>Translations!$B$652</f>
        <v>Специфичен EF (от продуктов показател)</v>
      </c>
      <c r="F887" s="2258"/>
      <c r="G887" s="1319" t="str">
        <f>EUconst_tCO2pTJ</f>
        <v>t CO2 / TJ</v>
      </c>
      <c r="H887" s="56"/>
      <c r="I887" s="56"/>
      <c r="J887" s="56"/>
      <c r="K887" s="56"/>
      <c r="L887" s="56"/>
      <c r="M887" s="56"/>
      <c r="N887" s="121"/>
      <c r="O887" s="336"/>
      <c r="P887" s="158"/>
      <c r="Q887" s="1500" t="str">
        <f>EUconst_CNTR_HeatImportProductEF &amp; I682</f>
        <v>HeatImProdEF_Подинсталация на топлофикационна мрежа</v>
      </c>
      <c r="R887" s="694"/>
      <c r="S887" s="1510" t="str">
        <f>EUconst_CNTR_AttributedEmissions &amp; $I682</f>
        <v>AttrEmissions_Подинсталация на топлофикационна мрежа</v>
      </c>
      <c r="T887" s="982" t="str">
        <f t="shared" ref="T887" si="1324">IF(T690,SUM(H886)*IF(ISNUMBER(H887),H887,EUconst_HeatBMvalue),"")</f>
        <v/>
      </c>
      <c r="U887" s="982" t="str">
        <f t="shared" ref="U887" si="1325">IF(U690,SUM(I886)*IF(ISNUMBER(I887),I887,EUconst_HeatBMvalue),"")</f>
        <v/>
      </c>
      <c r="V887" s="982" t="str">
        <f t="shared" ref="V887" si="1326">IF(V690,SUM(J886)*IF(ISNUMBER(J887),J887,EUconst_HeatBMvalue),"")</f>
        <v/>
      </c>
      <c r="W887" s="982" t="str">
        <f t="shared" ref="W887" si="1327">IF(W690,SUM(K886)*IF(ISNUMBER(K887),K887,EUconst_HeatBMvalue),"")</f>
        <v/>
      </c>
      <c r="X887" s="982" t="str">
        <f t="shared" ref="X887" si="1328">IF(X690,SUM(L886)*IF(ISNUMBER(L887),L887,EUconst_HeatBMvalue),"")</f>
        <v/>
      </c>
      <c r="Y887" s="982" t="str">
        <f t="shared" ref="Y887" si="1329">IF(Y690,SUM(M886)*IF(ISNUMBER(M887),M887,EUconst_HeatBMvalue),"")</f>
        <v/>
      </c>
      <c r="Z887" s="982" t="str">
        <f t="shared" ref="Z887" si="1330">IF(Z690,SUM(N886)*IF(ISNUMBER(N887),N887,EUconst_HeatBMvalue),"")</f>
        <v/>
      </c>
      <c r="AA887" s="694"/>
      <c r="AB887" s="729"/>
      <c r="AC887" s="982" t="b">
        <f>AC883</f>
        <v>0</v>
      </c>
      <c r="AD887" s="982" t="b">
        <f t="shared" ref="AD887:AI887" si="1331">AD883</f>
        <v>0</v>
      </c>
      <c r="AE887" s="982" t="b">
        <f t="shared" si="1331"/>
        <v>0</v>
      </c>
      <c r="AF887" s="982" t="b">
        <f t="shared" si="1331"/>
        <v>0</v>
      </c>
      <c r="AG887" s="982" t="b">
        <f t="shared" si="1331"/>
        <v>0</v>
      </c>
      <c r="AH887" s="982" t="b">
        <f t="shared" si="1331"/>
        <v>0</v>
      </c>
      <c r="AI887" s="982" t="b">
        <f t="shared" si="1331"/>
        <v>0</v>
      </c>
      <c r="AJ887" s="343"/>
      <c r="AK887" s="343"/>
      <c r="AL887" s="1176" t="str">
        <f>IF(AND(CNTR_ExistSubInstEntries,COUNTIFS(AC887:AI887,2,H887:N887,"")&gt;0),EUconst_Error&amp;"FB"&amp;Q682,"")</f>
        <v/>
      </c>
      <c r="AM887" s="343"/>
    </row>
    <row r="888" spans="1:39" ht="5.15" customHeight="1" x14ac:dyDescent="0.25">
      <c r="A888" s="694"/>
      <c r="B888" s="284"/>
      <c r="C888" s="1496"/>
      <c r="D888" s="1497"/>
      <c r="E888" s="1497"/>
      <c r="F888" s="1497"/>
      <c r="G888" s="1497"/>
      <c r="H888" s="1497"/>
      <c r="I888" s="1497"/>
      <c r="J888" s="1497"/>
      <c r="K888" s="1497"/>
      <c r="L888" s="1497"/>
      <c r="M888" s="1497"/>
      <c r="N888" s="1503"/>
      <c r="O888" s="336"/>
      <c r="P888" s="336"/>
      <c r="Q888" s="770"/>
      <c r="R888" s="694"/>
      <c r="S888" s="770"/>
      <c r="T888" s="694"/>
      <c r="U888" s="694"/>
      <c r="V888" s="694"/>
      <c r="W888" s="694"/>
      <c r="X888" s="694"/>
      <c r="Y888" s="694"/>
      <c r="Z888" s="694"/>
      <c r="AA888" s="694"/>
      <c r="AB888" s="729"/>
      <c r="AC888" s="694"/>
      <c r="AD888" s="694"/>
      <c r="AE888" s="694"/>
      <c r="AF888" s="694"/>
      <c r="AG888" s="694"/>
      <c r="AH888" s="694"/>
      <c r="AI888" s="694"/>
      <c r="AJ888" s="343"/>
      <c r="AK888" s="343"/>
      <c r="AL888" s="343"/>
      <c r="AM888" s="343"/>
    </row>
    <row r="889" spans="1:39" ht="12.75" customHeight="1" x14ac:dyDescent="0.25">
      <c r="A889" s="694"/>
      <c r="B889" s="284"/>
      <c r="C889" s="1496"/>
      <c r="D889" s="1497"/>
      <c r="E889" s="2803" t="str">
        <f>Translations!$B$653</f>
        <v>Топлинна енергия от пулп</v>
      </c>
      <c r="F889" s="2672"/>
      <c r="G889" s="1309" t="str">
        <f>EUconst_Unit</f>
        <v>Единица мярка</v>
      </c>
      <c r="H889" s="629">
        <f t="shared" ref="H889:N889" si="1332">H$1840</f>
        <v>2024</v>
      </c>
      <c r="I889" s="629">
        <f t="shared" si="1332"/>
        <v>2025</v>
      </c>
      <c r="J889" s="629">
        <f t="shared" si="1332"/>
        <v>2026</v>
      </c>
      <c r="K889" s="629">
        <f t="shared" si="1332"/>
        <v>2027</v>
      </c>
      <c r="L889" s="629">
        <f t="shared" si="1332"/>
        <v>2028</v>
      </c>
      <c r="M889" s="629">
        <f t="shared" si="1332"/>
        <v>2029</v>
      </c>
      <c r="N889" s="1312">
        <f t="shared" si="1332"/>
        <v>2030</v>
      </c>
      <c r="O889" s="336"/>
      <c r="P889" s="336"/>
      <c r="Q889" s="770"/>
      <c r="R889" s="694"/>
      <c r="S889" s="770"/>
      <c r="T889" s="1031">
        <f t="shared" ref="T889" si="1333">H889</f>
        <v>2024</v>
      </c>
      <c r="U889" s="1031">
        <f t="shared" ref="U889" si="1334">I889</f>
        <v>2025</v>
      </c>
      <c r="V889" s="1031">
        <f t="shared" ref="V889" si="1335">J889</f>
        <v>2026</v>
      </c>
      <c r="W889" s="1031">
        <f t="shared" ref="W889" si="1336">K889</f>
        <v>2027</v>
      </c>
      <c r="X889" s="1031">
        <f t="shared" ref="X889" si="1337">L889</f>
        <v>2028</v>
      </c>
      <c r="Y889" s="1031">
        <f t="shared" ref="Y889" si="1338">M889</f>
        <v>2029</v>
      </c>
      <c r="Z889" s="1031">
        <f>N889</f>
        <v>2030</v>
      </c>
      <c r="AA889" s="694"/>
      <c r="AB889" s="729"/>
      <c r="AC889" s="1504">
        <f t="shared" ref="AC889" si="1339">H$1840</f>
        <v>2024</v>
      </c>
      <c r="AD889" s="1504">
        <f t="shared" ref="AD889" si="1340">I$1840</f>
        <v>2025</v>
      </c>
      <c r="AE889" s="1504">
        <f t="shared" ref="AE889" si="1341">J$1840</f>
        <v>2026</v>
      </c>
      <c r="AF889" s="1504">
        <f t="shared" ref="AF889" si="1342">K$1840</f>
        <v>2027</v>
      </c>
      <c r="AG889" s="1504">
        <f t="shared" ref="AG889" si="1343">L$1840</f>
        <v>2028</v>
      </c>
      <c r="AH889" s="1504">
        <f t="shared" ref="AH889" si="1344">M$1840</f>
        <v>2029</v>
      </c>
      <c r="AI889" s="1504">
        <f t="shared" ref="AI889" si="1345">N$1840</f>
        <v>2030</v>
      </c>
      <c r="AJ889" s="343"/>
      <c r="AK889" s="343"/>
      <c r="AL889" s="343"/>
      <c r="AM889" s="343"/>
    </row>
    <row r="890" spans="1:39" ht="12.75" customHeight="1" x14ac:dyDescent="0.25">
      <c r="A890" s="694"/>
      <c r="B890" s="284"/>
      <c r="C890" s="1496"/>
      <c r="D890" s="1505" t="s">
        <v>812</v>
      </c>
      <c r="E890" s="2820" t="str">
        <f>Translations!$B$554</f>
        <v>Нетно количество получена топлинна енергия</v>
      </c>
      <c r="F890" s="2258"/>
      <c r="G890" s="1319" t="str">
        <f>EUconst_TJpa</f>
        <v>TJ / година</v>
      </c>
      <c r="H890" s="56"/>
      <c r="I890" s="56"/>
      <c r="J890" s="56"/>
      <c r="K890" s="56"/>
      <c r="L890" s="56"/>
      <c r="M890" s="56"/>
      <c r="N890" s="121"/>
      <c r="O890" s="336"/>
      <c r="P890" s="158"/>
      <c r="Q890" s="1500" t="str">
        <f>EUconst_CNTR_HeatImportPulp &amp; I682</f>
        <v>HeatImPulp_Подинсталация на топлофикационна мрежа</v>
      </c>
      <c r="R890" s="694"/>
      <c r="S890" s="1509" t="str">
        <f>EUconst_ERR_AttrEmBMapplied &amp; $I682</f>
        <v>ERR_AttrEmBM_Подинсталация на топлофикационна мрежа</v>
      </c>
      <c r="T890" s="982">
        <f t="shared" ref="T890" si="1346">IF(AND(H890&lt;&gt;0,H891="",EUconst_StatusOfDataCollection=FALSE),1,0)</f>
        <v>0</v>
      </c>
      <c r="U890" s="982">
        <f t="shared" ref="U890" si="1347">IF(AND(I890&lt;&gt;0,I891="",EUconst_StatusOfDataCollection=FALSE),1,0)</f>
        <v>0</v>
      </c>
      <c r="V890" s="982">
        <f t="shared" ref="V890" si="1348">IF(AND(J890&lt;&gt;0,J891="",EUconst_StatusOfDataCollection=FALSE),1,0)</f>
        <v>0</v>
      </c>
      <c r="W890" s="982">
        <f t="shared" ref="W890" si="1349">IF(AND(K890&lt;&gt;0,K891="",EUconst_StatusOfDataCollection=FALSE),1,0)</f>
        <v>0</v>
      </c>
      <c r="X890" s="982">
        <f t="shared" ref="X890" si="1350">IF(AND(L890&lt;&gt;0,L891="",EUconst_StatusOfDataCollection=FALSE),1,0)</f>
        <v>0</v>
      </c>
      <c r="Y890" s="982">
        <f t="shared" ref="Y890" si="1351">IF(AND(M890&lt;&gt;0,M891="",EUconst_StatusOfDataCollection=FALSE),1,0)</f>
        <v>0</v>
      </c>
      <c r="Z890" s="982">
        <f t="shared" ref="Z890" si="1352">IF(AND(N890&lt;&gt;0,N891="",EUconst_StatusOfDataCollection=FALSE),1,0)</f>
        <v>0</v>
      </c>
      <c r="AA890" s="694"/>
      <c r="AB890" s="1182" t="s">
        <v>737</v>
      </c>
      <c r="AC890" s="982" t="b">
        <f>AC886</f>
        <v>0</v>
      </c>
      <c r="AD890" s="982" t="b">
        <f t="shared" ref="AD890:AI890" si="1353">AD886</f>
        <v>0</v>
      </c>
      <c r="AE890" s="982" t="b">
        <f t="shared" si="1353"/>
        <v>0</v>
      </c>
      <c r="AF890" s="982" t="b">
        <f t="shared" si="1353"/>
        <v>0</v>
      </c>
      <c r="AG890" s="982" t="b">
        <f t="shared" si="1353"/>
        <v>0</v>
      </c>
      <c r="AH890" s="982" t="b">
        <f t="shared" si="1353"/>
        <v>0</v>
      </c>
      <c r="AI890" s="982" t="b">
        <f t="shared" si="1353"/>
        <v>0</v>
      </c>
      <c r="AJ890" s="343"/>
      <c r="AK890" s="343"/>
      <c r="AL890" s="1176" t="str">
        <f>IF(AND(CNTR_ExistSubInstEntries,COUNTIFS(AC890:AI890,2,H890:N890,"")&gt;0),EUconst_Error&amp;"FB"&amp;Q682,"")</f>
        <v/>
      </c>
      <c r="AM890" s="343"/>
    </row>
    <row r="891" spans="1:39" ht="12.75" customHeight="1" x14ac:dyDescent="0.3">
      <c r="A891" s="694"/>
      <c r="B891" s="284"/>
      <c r="C891" s="1496"/>
      <c r="D891" s="1505" t="s">
        <v>813</v>
      </c>
      <c r="E891" s="2820" t="str">
        <f>Translations!$B$654</f>
        <v>Специфичен EF (от пулп)</v>
      </c>
      <c r="F891" s="2258"/>
      <c r="G891" s="1319" t="str">
        <f>EUconst_tCO2pTJ</f>
        <v>t CO2 / TJ</v>
      </c>
      <c r="H891" s="56"/>
      <c r="I891" s="56"/>
      <c r="J891" s="56"/>
      <c r="K891" s="56"/>
      <c r="L891" s="56"/>
      <c r="M891" s="56"/>
      <c r="N891" s="121"/>
      <c r="O891" s="336"/>
      <c r="P891" s="158"/>
      <c r="Q891" s="1500" t="str">
        <f>EUconst_CNTR_HeatImportPulpEF &amp; I682</f>
        <v>HeatImPulpEF_Подинсталация на топлофикационна мрежа</v>
      </c>
      <c r="R891" s="694"/>
      <c r="S891" s="1510" t="str">
        <f>EUconst_CNTR_AttributedEmissions &amp; $I682</f>
        <v>AttrEmissions_Подинсталация на топлофикационна мрежа</v>
      </c>
      <c r="T891" s="982" t="str">
        <f t="shared" ref="T891" si="1354">IF(T690,SUM(H890)*IF(ISNUMBER(H891),H891,EUconst_HeatBMvalue),"")</f>
        <v/>
      </c>
      <c r="U891" s="982" t="str">
        <f t="shared" ref="U891" si="1355">IF(U690,SUM(I890)*IF(ISNUMBER(I891),I891,EUconst_HeatBMvalue),"")</f>
        <v/>
      </c>
      <c r="V891" s="982" t="str">
        <f t="shared" ref="V891" si="1356">IF(V690,SUM(J890)*IF(ISNUMBER(J891),J891,EUconst_HeatBMvalue),"")</f>
        <v/>
      </c>
      <c r="W891" s="982" t="str">
        <f t="shared" ref="W891" si="1357">IF(W690,SUM(K890)*IF(ISNUMBER(K891),K891,EUconst_HeatBMvalue),"")</f>
        <v/>
      </c>
      <c r="X891" s="982" t="str">
        <f t="shared" ref="X891" si="1358">IF(X690,SUM(L890)*IF(ISNUMBER(L891),L891,EUconst_HeatBMvalue),"")</f>
        <v/>
      </c>
      <c r="Y891" s="982" t="str">
        <f t="shared" ref="Y891" si="1359">IF(Y690,SUM(M890)*IF(ISNUMBER(M891),M891,EUconst_HeatBMvalue),"")</f>
        <v/>
      </c>
      <c r="Z891" s="982" t="str">
        <f t="shared" ref="Z891" si="1360">IF(Z690,SUM(N890)*IF(ISNUMBER(N891),N891,EUconst_HeatBMvalue),"")</f>
        <v/>
      </c>
      <c r="AA891" s="694"/>
      <c r="AB891" s="729"/>
      <c r="AC891" s="982" t="b">
        <f>AC887</f>
        <v>0</v>
      </c>
      <c r="AD891" s="982" t="b">
        <f t="shared" ref="AD891:AI891" si="1361">AD887</f>
        <v>0</v>
      </c>
      <c r="AE891" s="982" t="b">
        <f t="shared" si="1361"/>
        <v>0</v>
      </c>
      <c r="AF891" s="982" t="b">
        <f t="shared" si="1361"/>
        <v>0</v>
      </c>
      <c r="AG891" s="982" t="b">
        <f t="shared" si="1361"/>
        <v>0</v>
      </c>
      <c r="AH891" s="982" t="b">
        <f t="shared" si="1361"/>
        <v>0</v>
      </c>
      <c r="AI891" s="982" t="b">
        <f t="shared" si="1361"/>
        <v>0</v>
      </c>
      <c r="AJ891" s="343"/>
      <c r="AK891" s="343"/>
      <c r="AL891" s="1176" t="str">
        <f>IF(AND(CNTR_ExistSubInstEntries,COUNTIFS(AC891:AI891,2,H891:N891,"")&gt;0),EUconst_Error&amp;"FB"&amp;Q682,"")</f>
        <v/>
      </c>
      <c r="AM891" s="343"/>
    </row>
    <row r="892" spans="1:39" ht="5.15" customHeight="1" x14ac:dyDescent="0.25">
      <c r="A892" s="694"/>
      <c r="B892" s="284"/>
      <c r="C892" s="1496"/>
      <c r="D892" s="1497"/>
      <c r="E892" s="1497"/>
      <c r="F892" s="1497"/>
      <c r="G892" s="1497"/>
      <c r="H892" s="1497"/>
      <c r="I892" s="1497"/>
      <c r="J892" s="1497"/>
      <c r="K892" s="1497"/>
      <c r="L892" s="1497"/>
      <c r="M892" s="1497"/>
      <c r="N892" s="1503"/>
      <c r="O892" s="336"/>
      <c r="P892" s="336"/>
      <c r="Q892" s="770"/>
      <c r="R892" s="694"/>
      <c r="S892" s="770"/>
      <c r="T892" s="694"/>
      <c r="U892" s="694"/>
      <c r="V892" s="694"/>
      <c r="W892" s="694"/>
      <c r="X892" s="694"/>
      <c r="Y892" s="694"/>
      <c r="Z892" s="694"/>
      <c r="AA892" s="694"/>
      <c r="AB892" s="729"/>
      <c r="AC892" s="694"/>
      <c r="AD892" s="694"/>
      <c r="AE892" s="694"/>
      <c r="AF892" s="694"/>
      <c r="AG892" s="694"/>
      <c r="AH892" s="694"/>
      <c r="AI892" s="694"/>
      <c r="AJ892" s="343"/>
      <c r="AK892" s="343"/>
      <c r="AL892" s="343"/>
      <c r="AM892" s="343"/>
    </row>
    <row r="893" spans="1:39" ht="12.75" customHeight="1" x14ac:dyDescent="0.25">
      <c r="A893" s="694"/>
      <c r="B893" s="284"/>
      <c r="C893" s="1496"/>
      <c r="D893" s="1497"/>
      <c r="E893" s="2803" t="str">
        <f>Translations!$B$655</f>
        <v>Топлинна енергия от подинсталации с горивен показател</v>
      </c>
      <c r="F893" s="2672"/>
      <c r="G893" s="1309" t="str">
        <f>EUconst_Unit</f>
        <v>Единица мярка</v>
      </c>
      <c r="H893" s="629">
        <f t="shared" ref="H893:N893" si="1362">H$1840</f>
        <v>2024</v>
      </c>
      <c r="I893" s="629">
        <f t="shared" si="1362"/>
        <v>2025</v>
      </c>
      <c r="J893" s="629">
        <f t="shared" si="1362"/>
        <v>2026</v>
      </c>
      <c r="K893" s="629">
        <f t="shared" si="1362"/>
        <v>2027</v>
      </c>
      <c r="L893" s="629">
        <f t="shared" si="1362"/>
        <v>2028</v>
      </c>
      <c r="M893" s="629">
        <f t="shared" si="1362"/>
        <v>2029</v>
      </c>
      <c r="N893" s="1312">
        <f t="shared" si="1362"/>
        <v>2030</v>
      </c>
      <c r="O893" s="336"/>
      <c r="P893" s="336"/>
      <c r="Q893" s="770"/>
      <c r="R893" s="694"/>
      <c r="S893" s="770"/>
      <c r="T893" s="1031">
        <f t="shared" ref="T893" si="1363">H893</f>
        <v>2024</v>
      </c>
      <c r="U893" s="1031">
        <f t="shared" ref="U893" si="1364">I893</f>
        <v>2025</v>
      </c>
      <c r="V893" s="1031">
        <f t="shared" ref="V893" si="1365">J893</f>
        <v>2026</v>
      </c>
      <c r="W893" s="1031">
        <f t="shared" ref="W893" si="1366">K893</f>
        <v>2027</v>
      </c>
      <c r="X893" s="1031">
        <f t="shared" ref="X893" si="1367">L893</f>
        <v>2028</v>
      </c>
      <c r="Y893" s="1031">
        <f t="shared" ref="Y893" si="1368">M893</f>
        <v>2029</v>
      </c>
      <c r="Z893" s="1031">
        <f>N893</f>
        <v>2030</v>
      </c>
      <c r="AA893" s="694"/>
      <c r="AB893" s="729"/>
      <c r="AC893" s="1504">
        <f t="shared" ref="AC893" si="1369">H$1840</f>
        <v>2024</v>
      </c>
      <c r="AD893" s="1504">
        <f t="shared" ref="AD893" si="1370">I$1840</f>
        <v>2025</v>
      </c>
      <c r="AE893" s="1504">
        <f t="shared" ref="AE893" si="1371">J$1840</f>
        <v>2026</v>
      </c>
      <c r="AF893" s="1504">
        <f t="shared" ref="AF893" si="1372">K$1840</f>
        <v>2027</v>
      </c>
      <c r="AG893" s="1504">
        <f t="shared" ref="AG893" si="1373">L$1840</f>
        <v>2028</v>
      </c>
      <c r="AH893" s="1504">
        <f t="shared" ref="AH893" si="1374">M$1840</f>
        <v>2029</v>
      </c>
      <c r="AI893" s="1504">
        <f t="shared" ref="AI893" si="1375">N$1840</f>
        <v>2030</v>
      </c>
      <c r="AJ893" s="343"/>
      <c r="AK893" s="343"/>
      <c r="AL893" s="343"/>
      <c r="AM893" s="343"/>
    </row>
    <row r="894" spans="1:39" ht="12.75" customHeight="1" x14ac:dyDescent="0.25">
      <c r="A894" s="694"/>
      <c r="B894" s="284"/>
      <c r="C894" s="1496"/>
      <c r="D894" s="1505" t="s">
        <v>61</v>
      </c>
      <c r="E894" s="2820" t="str">
        <f>Translations!$B$554</f>
        <v>Нетно количество получена топлинна енергия</v>
      </c>
      <c r="F894" s="2258"/>
      <c r="G894" s="1319" t="str">
        <f>EUconst_TJpa</f>
        <v>TJ / година</v>
      </c>
      <c r="H894" s="56"/>
      <c r="I894" s="56"/>
      <c r="J894" s="56"/>
      <c r="K894" s="56"/>
      <c r="L894" s="56"/>
      <c r="M894" s="56"/>
      <c r="N894" s="121"/>
      <c r="O894" s="336"/>
      <c r="P894" s="158"/>
      <c r="Q894" s="1500" t="str">
        <f>EUconst_CNTR_HeatImportFuel &amp; I682</f>
        <v>HeatImFuel_Подинсталация на топлофикационна мрежа</v>
      </c>
      <c r="R894" s="694"/>
      <c r="S894" s="1509" t="str">
        <f>EUconst_ERR_AttrEmBMapplied &amp; $I682</f>
        <v>ERR_AttrEmBM_Подинсталация на топлофикационна мрежа</v>
      </c>
      <c r="T894" s="982">
        <f t="shared" ref="T894" si="1376">IF(AND(H894&lt;&gt;0,H895="",EUconst_StatusOfDataCollection=FALSE),1,0)</f>
        <v>0</v>
      </c>
      <c r="U894" s="982">
        <f t="shared" ref="U894" si="1377">IF(AND(I894&lt;&gt;0,I895="",EUconst_StatusOfDataCollection=FALSE),1,0)</f>
        <v>0</v>
      </c>
      <c r="V894" s="982">
        <f t="shared" ref="V894" si="1378">IF(AND(J894&lt;&gt;0,J895="",EUconst_StatusOfDataCollection=FALSE),1,0)</f>
        <v>0</v>
      </c>
      <c r="W894" s="982">
        <f t="shared" ref="W894" si="1379">IF(AND(K894&lt;&gt;0,K895="",EUconst_StatusOfDataCollection=FALSE),1,0)</f>
        <v>0</v>
      </c>
      <c r="X894" s="982">
        <f t="shared" ref="X894" si="1380">IF(AND(L894&lt;&gt;0,L895="",EUconst_StatusOfDataCollection=FALSE),1,0)</f>
        <v>0</v>
      </c>
      <c r="Y894" s="982">
        <f t="shared" ref="Y894" si="1381">IF(AND(M894&lt;&gt;0,M895="",EUconst_StatusOfDataCollection=FALSE),1,0)</f>
        <v>0</v>
      </c>
      <c r="Z894" s="982">
        <f t="shared" ref="Z894" si="1382">IF(AND(N894&lt;&gt;0,N895="",EUconst_StatusOfDataCollection=FALSE),1,0)</f>
        <v>0</v>
      </c>
      <c r="AA894" s="694"/>
      <c r="AB894" s="1182" t="s">
        <v>737</v>
      </c>
      <c r="AC894" s="982" t="b">
        <f>AC890</f>
        <v>0</v>
      </c>
      <c r="AD894" s="982" t="b">
        <f t="shared" ref="AD894:AI894" si="1383">AD890</f>
        <v>0</v>
      </c>
      <c r="AE894" s="982" t="b">
        <f t="shared" si="1383"/>
        <v>0</v>
      </c>
      <c r="AF894" s="982" t="b">
        <f t="shared" si="1383"/>
        <v>0</v>
      </c>
      <c r="AG894" s="982" t="b">
        <f t="shared" si="1383"/>
        <v>0</v>
      </c>
      <c r="AH894" s="982" t="b">
        <f t="shared" si="1383"/>
        <v>0</v>
      </c>
      <c r="AI894" s="982" t="b">
        <f t="shared" si="1383"/>
        <v>0</v>
      </c>
      <c r="AJ894" s="343"/>
      <c r="AK894" s="343"/>
      <c r="AL894" s="1176" t="str">
        <f>IF(AND(CNTR_ExistSubInstEntries,COUNTIFS(AC894:AI894,2,H894:N894,"")&gt;0),EUconst_Error&amp;"FB"&amp;Q682,"")</f>
        <v/>
      </c>
      <c r="AM894" s="343"/>
    </row>
    <row r="895" spans="1:39" ht="12.75" customHeight="1" x14ac:dyDescent="0.3">
      <c r="A895" s="694"/>
      <c r="B895" s="284"/>
      <c r="C895" s="1496"/>
      <c r="D895" s="1505" t="s">
        <v>62</v>
      </c>
      <c r="E895" s="2820" t="str">
        <f>Translations!$B$656</f>
        <v>Специфичен EF (от горивен показател)</v>
      </c>
      <c r="F895" s="2258"/>
      <c r="G895" s="1319" t="str">
        <f>EUconst_tCO2pTJ</f>
        <v>t CO2 / TJ</v>
      </c>
      <c r="H895" s="56"/>
      <c r="I895" s="56"/>
      <c r="J895" s="56"/>
      <c r="K895" s="56"/>
      <c r="L895" s="56"/>
      <c r="M895" s="56"/>
      <c r="N895" s="121"/>
      <c r="O895" s="336"/>
      <c r="P895" s="158"/>
      <c r="Q895" s="1500" t="str">
        <f>EUconst_CNTR_HeatImportFuelEF &amp; I682</f>
        <v>HeatImFuelEF_Подинсталация на топлофикационна мрежа</v>
      </c>
      <c r="R895" s="694"/>
      <c r="S895" s="1510" t="str">
        <f>EUconst_CNTR_AttributedEmissions &amp; $I682</f>
        <v>AttrEmissions_Подинсталация на топлофикационна мрежа</v>
      </c>
      <c r="T895" s="982" t="str">
        <f t="shared" ref="T895" si="1384">IF(T690,SUM(H894)*IF(ISNUMBER(H895),H895,EUconst_HeatBMvalue),"")</f>
        <v/>
      </c>
      <c r="U895" s="982" t="str">
        <f t="shared" ref="U895" si="1385">IF(U690,SUM(I894)*IF(ISNUMBER(I895),I895,EUconst_HeatBMvalue),"")</f>
        <v/>
      </c>
      <c r="V895" s="982" t="str">
        <f t="shared" ref="V895" si="1386">IF(V690,SUM(J894)*IF(ISNUMBER(J895),J895,EUconst_HeatBMvalue),"")</f>
        <v/>
      </c>
      <c r="W895" s="982" t="str">
        <f t="shared" ref="W895" si="1387">IF(W690,SUM(K894)*IF(ISNUMBER(K895),K895,EUconst_HeatBMvalue),"")</f>
        <v/>
      </c>
      <c r="X895" s="982" t="str">
        <f t="shared" ref="X895" si="1388">IF(X690,SUM(L894)*IF(ISNUMBER(L895),L895,EUconst_HeatBMvalue),"")</f>
        <v/>
      </c>
      <c r="Y895" s="982" t="str">
        <f t="shared" ref="Y895" si="1389">IF(Y690,SUM(M894)*IF(ISNUMBER(M895),M895,EUconst_HeatBMvalue),"")</f>
        <v/>
      </c>
      <c r="Z895" s="982" t="str">
        <f t="shared" ref="Z895" si="1390">IF(Z690,SUM(N894)*IF(ISNUMBER(N895),N895,EUconst_HeatBMvalue),"")</f>
        <v/>
      </c>
      <c r="AA895" s="694"/>
      <c r="AB895" s="729"/>
      <c r="AC895" s="982" t="b">
        <f>AC891</f>
        <v>0</v>
      </c>
      <c r="AD895" s="982" t="b">
        <f t="shared" ref="AD895:AI895" si="1391">AD891</f>
        <v>0</v>
      </c>
      <c r="AE895" s="982" t="b">
        <f t="shared" si="1391"/>
        <v>0</v>
      </c>
      <c r="AF895" s="982" t="b">
        <f t="shared" si="1391"/>
        <v>0</v>
      </c>
      <c r="AG895" s="982" t="b">
        <f t="shared" si="1391"/>
        <v>0</v>
      </c>
      <c r="AH895" s="982" t="b">
        <f t="shared" si="1391"/>
        <v>0</v>
      </c>
      <c r="AI895" s="982" t="b">
        <f t="shared" si="1391"/>
        <v>0</v>
      </c>
      <c r="AJ895" s="343"/>
      <c r="AK895" s="343"/>
      <c r="AL895" s="1176" t="str">
        <f>IF(AND(CNTR_ExistSubInstEntries,COUNTIFS(AC895:AI895,2,H895:N895,"")&gt;0),EUconst_Error&amp;"FB"&amp;Q682,"")</f>
        <v/>
      </c>
      <c r="AM895" s="343"/>
    </row>
    <row r="896" spans="1:39" ht="5.15" customHeight="1" x14ac:dyDescent="0.25">
      <c r="A896" s="694"/>
      <c r="B896" s="284"/>
      <c r="C896" s="1496"/>
      <c r="D896" s="1497"/>
      <c r="E896" s="1497"/>
      <c r="F896" s="1497"/>
      <c r="G896" s="1497"/>
      <c r="H896" s="1497"/>
      <c r="I896" s="1497"/>
      <c r="J896" s="1497"/>
      <c r="K896" s="1497"/>
      <c r="L896" s="1497"/>
      <c r="M896" s="1497"/>
      <c r="N896" s="1503"/>
      <c r="O896" s="336"/>
      <c r="P896" s="336"/>
      <c r="Q896" s="770"/>
      <c r="R896" s="694"/>
      <c r="S896" s="770"/>
      <c r="T896" s="694"/>
      <c r="U896" s="694"/>
      <c r="V896" s="694"/>
      <c r="W896" s="694"/>
      <c r="X896" s="694"/>
      <c r="Y896" s="694"/>
      <c r="Z896" s="694"/>
      <c r="AA896" s="694"/>
      <c r="AB896" s="729"/>
      <c r="AC896" s="694"/>
      <c r="AD896" s="694"/>
      <c r="AE896" s="694"/>
      <c r="AF896" s="694"/>
      <c r="AG896" s="694"/>
      <c r="AH896" s="694"/>
      <c r="AI896" s="694"/>
      <c r="AJ896" s="343"/>
      <c r="AK896" s="343"/>
      <c r="AL896" s="343"/>
      <c r="AM896" s="343"/>
    </row>
    <row r="897" spans="1:39" ht="12.75" customHeight="1" x14ac:dyDescent="0.25">
      <c r="A897" s="694"/>
      <c r="B897" s="284"/>
      <c r="C897" s="1496"/>
      <c r="D897" s="1497"/>
      <c r="E897" s="2803" t="str">
        <f>Translations!$B$657</f>
        <v>Топлинна енергия от отпадни газове</v>
      </c>
      <c r="F897" s="2672"/>
      <c r="G897" s="1309" t="str">
        <f>EUconst_Unit</f>
        <v>Единица мярка</v>
      </c>
      <c r="H897" s="629">
        <f t="shared" ref="H897:N897" si="1392">H$1840</f>
        <v>2024</v>
      </c>
      <c r="I897" s="629">
        <f t="shared" si="1392"/>
        <v>2025</v>
      </c>
      <c r="J897" s="629">
        <f t="shared" si="1392"/>
        <v>2026</v>
      </c>
      <c r="K897" s="629">
        <f t="shared" si="1392"/>
        <v>2027</v>
      </c>
      <c r="L897" s="629">
        <f t="shared" si="1392"/>
        <v>2028</v>
      </c>
      <c r="M897" s="629">
        <f t="shared" si="1392"/>
        <v>2029</v>
      </c>
      <c r="N897" s="1312">
        <f t="shared" si="1392"/>
        <v>2030</v>
      </c>
      <c r="O897" s="336"/>
      <c r="P897" s="336"/>
      <c r="Q897" s="770"/>
      <c r="R897" s="694"/>
      <c r="S897" s="770"/>
      <c r="T897" s="1031">
        <f t="shared" ref="T897" si="1393">H897</f>
        <v>2024</v>
      </c>
      <c r="U897" s="1031">
        <f t="shared" ref="U897" si="1394">I897</f>
        <v>2025</v>
      </c>
      <c r="V897" s="1031">
        <f t="shared" ref="V897" si="1395">J897</f>
        <v>2026</v>
      </c>
      <c r="W897" s="1031">
        <f t="shared" ref="W897" si="1396">K897</f>
        <v>2027</v>
      </c>
      <c r="X897" s="1031">
        <f t="shared" ref="X897" si="1397">L897</f>
        <v>2028</v>
      </c>
      <c r="Y897" s="1031">
        <f t="shared" ref="Y897" si="1398">M897</f>
        <v>2029</v>
      </c>
      <c r="Z897" s="1031">
        <f>N897</f>
        <v>2030</v>
      </c>
      <c r="AA897" s="694"/>
      <c r="AB897" s="729"/>
      <c r="AC897" s="1504">
        <f t="shared" ref="AC897" si="1399">H$1840</f>
        <v>2024</v>
      </c>
      <c r="AD897" s="1504">
        <f t="shared" ref="AD897" si="1400">I$1840</f>
        <v>2025</v>
      </c>
      <c r="AE897" s="1504">
        <f t="shared" ref="AE897" si="1401">J$1840</f>
        <v>2026</v>
      </c>
      <c r="AF897" s="1504">
        <f t="shared" ref="AF897" si="1402">K$1840</f>
        <v>2027</v>
      </c>
      <c r="AG897" s="1504">
        <f t="shared" ref="AG897" si="1403">L$1840</f>
        <v>2028</v>
      </c>
      <c r="AH897" s="1504">
        <f t="shared" ref="AH897" si="1404">M$1840</f>
        <v>2029</v>
      </c>
      <c r="AI897" s="1504">
        <f t="shared" ref="AI897" si="1405">N$1840</f>
        <v>2030</v>
      </c>
      <c r="AJ897" s="343"/>
      <c r="AK897" s="343"/>
      <c r="AL897" s="343"/>
      <c r="AM897" s="343"/>
    </row>
    <row r="898" spans="1:39" ht="12.75" customHeight="1" x14ac:dyDescent="0.25">
      <c r="A898" s="694"/>
      <c r="B898" s="284"/>
      <c r="C898" s="1496"/>
      <c r="D898" s="1505" t="s">
        <v>1136</v>
      </c>
      <c r="E898" s="2820" t="str">
        <f>Translations!$B$554</f>
        <v>Нетно количество получена топлинна енергия</v>
      </c>
      <c r="F898" s="2258"/>
      <c r="G898" s="1319" t="str">
        <f>EUconst_TJpa</f>
        <v>TJ / година</v>
      </c>
      <c r="H898" s="56"/>
      <c r="I898" s="56"/>
      <c r="J898" s="56"/>
      <c r="K898" s="56"/>
      <c r="L898" s="56"/>
      <c r="M898" s="56"/>
      <c r="N898" s="121"/>
      <c r="O898" s="336"/>
      <c r="P898" s="158"/>
      <c r="Q898" s="1500" t="str">
        <f>EUconst_CNTR_WGImport &amp; I682</f>
        <v>WasteGasIm_Подинсталация на топлофикационна мрежа</v>
      </c>
      <c r="R898" s="694"/>
      <c r="S898" s="1509" t="str">
        <f>EUconst_ERR_AttrEmBMapplied &amp; $I682</f>
        <v>ERR_AttrEmBM_Подинсталация на топлофикационна мрежа</v>
      </c>
      <c r="T898" s="982">
        <f t="shared" ref="T898" si="1406">IF(AND(H898&lt;&gt;0,EUconst_StatusOfDataCollection=FALSE),1,0)</f>
        <v>0</v>
      </c>
      <c r="U898" s="982">
        <f t="shared" ref="U898" si="1407">IF(AND(I898&lt;&gt;0,EUconst_StatusOfDataCollection=FALSE),1,0)</f>
        <v>0</v>
      </c>
      <c r="V898" s="982">
        <f t="shared" ref="V898" si="1408">IF(AND(J898&lt;&gt;0,EUconst_StatusOfDataCollection=FALSE),1,0)</f>
        <v>0</v>
      </c>
      <c r="W898" s="982">
        <f t="shared" ref="W898" si="1409">IF(AND(K898&lt;&gt;0,EUconst_StatusOfDataCollection=FALSE),1,0)</f>
        <v>0</v>
      </c>
      <c r="X898" s="982">
        <f t="shared" ref="X898" si="1410">IF(AND(L898&lt;&gt;0,EUconst_StatusOfDataCollection=FALSE),1,0)</f>
        <v>0</v>
      </c>
      <c r="Y898" s="982">
        <f t="shared" ref="Y898" si="1411">IF(AND(M898&lt;&gt;0,EUconst_StatusOfDataCollection=FALSE),1,0)</f>
        <v>0</v>
      </c>
      <c r="Z898" s="982">
        <f t="shared" ref="Z898" si="1412">IF(AND(N898&lt;&gt;0,EUconst_StatusOfDataCollection=FALSE),1,0)</f>
        <v>0</v>
      </c>
      <c r="AA898" s="694"/>
      <c r="AB898" s="1182" t="s">
        <v>737</v>
      </c>
      <c r="AC898" s="982" t="b">
        <f>AC894</f>
        <v>0</v>
      </c>
      <c r="AD898" s="982" t="b">
        <f t="shared" ref="AD898:AI898" si="1413">AD894</f>
        <v>0</v>
      </c>
      <c r="AE898" s="982" t="b">
        <f t="shared" si="1413"/>
        <v>0</v>
      </c>
      <c r="AF898" s="982" t="b">
        <f t="shared" si="1413"/>
        <v>0</v>
      </c>
      <c r="AG898" s="982" t="b">
        <f t="shared" si="1413"/>
        <v>0</v>
      </c>
      <c r="AH898" s="982" t="b">
        <f t="shared" si="1413"/>
        <v>0</v>
      </c>
      <c r="AI898" s="982" t="b">
        <f t="shared" si="1413"/>
        <v>0</v>
      </c>
      <c r="AJ898" s="343"/>
      <c r="AK898" s="343"/>
      <c r="AL898" s="1176" t="str">
        <f>IF(AND(CNTR_ExistSubInstEntries,COUNTIFS(AC898:AI898,2,H898:N898,"")&gt;0),EUconst_Error&amp;"FB"&amp;Q682,"")</f>
        <v/>
      </c>
      <c r="AM898" s="343"/>
    </row>
    <row r="899" spans="1:39" ht="12.75" customHeight="1" x14ac:dyDescent="0.3">
      <c r="A899" s="694"/>
      <c r="B899" s="284"/>
      <c r="C899" s="1496"/>
      <c r="D899" s="1505" t="s">
        <v>1137</v>
      </c>
      <c r="E899" s="2820" t="str">
        <f>Translations!$B$658</f>
        <v>Специфичен EF (от отпаден газ)</v>
      </c>
      <c r="F899" s="2258"/>
      <c r="G899" s="1319" t="str">
        <f>EUconst_tCO2pTJ</f>
        <v>t CO2 / TJ</v>
      </c>
      <c r="H899" s="56"/>
      <c r="I899" s="56"/>
      <c r="J899" s="56"/>
      <c r="K899" s="56"/>
      <c r="L899" s="56"/>
      <c r="M899" s="56"/>
      <c r="N899" s="121"/>
      <c r="O899" s="336"/>
      <c r="P899" s="158"/>
      <c r="Q899" s="1500" t="str">
        <f>EUconst_CNTR_WGImportEF &amp; I682</f>
        <v>WasteGasImEF_Подинсталация на топлофикационна мрежа</v>
      </c>
      <c r="R899" s="694"/>
      <c r="S899" s="1510" t="str">
        <f>EUconst_CNTR_AttributedEmissions &amp; $I682</f>
        <v>AttrEmissions_Подинсталация на топлофикационна мрежа</v>
      </c>
      <c r="T899" s="982" t="str">
        <f t="shared" ref="T899" si="1414">IF(T690,SUM(H898)*IF(ISNUMBER(H899),H899,EUconst_HeatBMvalue),"")</f>
        <v/>
      </c>
      <c r="U899" s="982" t="str">
        <f t="shared" ref="U899" si="1415">IF(U690,SUM(I898)*IF(ISNUMBER(I899),I899,EUconst_HeatBMvalue),"")</f>
        <v/>
      </c>
      <c r="V899" s="982" t="str">
        <f t="shared" ref="V899" si="1416">IF(V690,SUM(J898)*IF(ISNUMBER(J899),J899,EUconst_HeatBMvalue),"")</f>
        <v/>
      </c>
      <c r="W899" s="982" t="str">
        <f t="shared" ref="W899" si="1417">IF(W690,SUM(K898)*IF(ISNUMBER(K899),K899,EUconst_HeatBMvalue),"")</f>
        <v/>
      </c>
      <c r="X899" s="982" t="str">
        <f t="shared" ref="X899" si="1418">IF(X690,SUM(L898)*IF(ISNUMBER(L899),L899,EUconst_HeatBMvalue),"")</f>
        <v/>
      </c>
      <c r="Y899" s="982" t="str">
        <f t="shared" ref="Y899" si="1419">IF(Y690,SUM(M898)*IF(ISNUMBER(M899),M899,EUconst_HeatBMvalue),"")</f>
        <v/>
      </c>
      <c r="Z899" s="982" t="str">
        <f t="shared" ref="Z899" si="1420">IF(Z690,SUM(N898)*IF(ISNUMBER(N899),N899,EUconst_HeatBMvalue),"")</f>
        <v/>
      </c>
      <c r="AA899" s="694"/>
      <c r="AB899" s="694"/>
      <c r="AC899" s="982" t="b">
        <f>AC895</f>
        <v>0</v>
      </c>
      <c r="AD899" s="982" t="b">
        <f t="shared" ref="AD899:AI899" si="1421">AD895</f>
        <v>0</v>
      </c>
      <c r="AE899" s="982" t="b">
        <f t="shared" si="1421"/>
        <v>0</v>
      </c>
      <c r="AF899" s="982" t="b">
        <f t="shared" si="1421"/>
        <v>0</v>
      </c>
      <c r="AG899" s="982" t="b">
        <f t="shared" si="1421"/>
        <v>0</v>
      </c>
      <c r="AH899" s="982" t="b">
        <f t="shared" si="1421"/>
        <v>0</v>
      </c>
      <c r="AI899" s="982" t="b">
        <f t="shared" si="1421"/>
        <v>0</v>
      </c>
      <c r="AJ899" s="343"/>
      <c r="AK899" s="343"/>
      <c r="AL899" s="1176" t="str">
        <f>IF(AND(CNTR_ExistSubInstEntries,COUNTIFS(AC899:AI899,2,H899:N899,"")&gt;0),EUconst_Error&amp;"FB"&amp;Q682,"")</f>
        <v/>
      </c>
      <c r="AM899" s="343"/>
    </row>
    <row r="900" spans="1:39" ht="5.15" customHeight="1" x14ac:dyDescent="0.25">
      <c r="A900" s="694"/>
      <c r="B900" s="284"/>
      <c r="C900" s="1496"/>
      <c r="D900" s="1497"/>
      <c r="E900" s="1497"/>
      <c r="F900" s="1497"/>
      <c r="G900" s="1497"/>
      <c r="H900" s="1497"/>
      <c r="I900" s="1497"/>
      <c r="J900" s="1497"/>
      <c r="K900" s="1497"/>
      <c r="L900" s="1497"/>
      <c r="M900" s="1497"/>
      <c r="N900" s="1503"/>
      <c r="O900" s="336"/>
      <c r="P900" s="336"/>
      <c r="Q900" s="770"/>
      <c r="R900" s="694"/>
      <c r="S900" s="770"/>
      <c r="T900" s="770"/>
      <c r="U900" s="694"/>
      <c r="V900" s="694"/>
      <c r="W900" s="694"/>
      <c r="X900" s="694"/>
      <c r="Y900" s="694"/>
      <c r="Z900" s="694"/>
      <c r="AA900" s="694"/>
      <c r="AB900" s="694"/>
      <c r="AC900" s="694"/>
      <c r="AD900" s="694"/>
      <c r="AE900" s="343"/>
      <c r="AF900" s="343"/>
      <c r="AG900" s="343"/>
      <c r="AH900" s="343"/>
      <c r="AI900" s="343"/>
      <c r="AJ900" s="343"/>
      <c r="AK900" s="343"/>
      <c r="AL900" s="343"/>
      <c r="AM900" s="343"/>
    </row>
    <row r="901" spans="1:39" ht="12.75" customHeight="1" x14ac:dyDescent="0.25">
      <c r="A901" s="694"/>
      <c r="B901" s="284"/>
      <c r="C901" s="1496"/>
      <c r="D901" s="1505" t="s">
        <v>1139</v>
      </c>
      <c r="E901" s="2820" t="str">
        <f>Translations!$B$659</f>
        <v>Общо нетно количество получена топлинна енергия</v>
      </c>
      <c r="F901" s="2258"/>
      <c r="G901" s="1319" t="str">
        <f>EUconst_TJpa</f>
        <v>TJ / година</v>
      </c>
      <c r="H901" s="1020" t="str">
        <f t="shared" ref="H901:N901" si="1422">IF(COUNT(H882,H886,H890,H894,H898)&gt;0,SUM(H882,H886,H890,H894,H898),"")</f>
        <v/>
      </c>
      <c r="I901" s="1020" t="str">
        <f t="shared" si="1422"/>
        <v/>
      </c>
      <c r="J901" s="1020" t="str">
        <f t="shared" si="1422"/>
        <v/>
      </c>
      <c r="K901" s="1020" t="str">
        <f t="shared" si="1422"/>
        <v/>
      </c>
      <c r="L901" s="1020" t="str">
        <f t="shared" si="1422"/>
        <v/>
      </c>
      <c r="M901" s="1020" t="str">
        <f t="shared" si="1422"/>
        <v/>
      </c>
      <c r="N901" s="1371" t="str">
        <f t="shared" si="1422"/>
        <v/>
      </c>
      <c r="O901" s="336"/>
      <c r="P901" s="336"/>
      <c r="Q901" s="694"/>
      <c r="R901" s="694"/>
      <c r="S901" s="770"/>
      <c r="T901" s="770"/>
      <c r="U901" s="694"/>
      <c r="V901" s="694"/>
      <c r="W901" s="694"/>
      <c r="X901" s="694"/>
      <c r="Y901" s="694"/>
      <c r="Z901" s="694"/>
      <c r="AA901" s="694"/>
      <c r="AB901" s="694"/>
      <c r="AC901" s="694"/>
      <c r="AD901" s="694"/>
      <c r="AE901" s="343"/>
      <c r="AF901" s="343"/>
      <c r="AG901" s="343"/>
      <c r="AH901" s="343"/>
      <c r="AI901" s="343"/>
      <c r="AJ901" s="343"/>
      <c r="AK901" s="343"/>
      <c r="AL901" s="343"/>
      <c r="AM901" s="343"/>
    </row>
    <row r="902" spans="1:39" ht="12.75" customHeight="1" thickBot="1" x14ac:dyDescent="0.3">
      <c r="A902" s="694"/>
      <c r="B902" s="284"/>
      <c r="C902" s="1511"/>
      <c r="D902" s="1512"/>
      <c r="E902" s="1512"/>
      <c r="F902" s="1512"/>
      <c r="G902" s="1512"/>
      <c r="H902" s="1512"/>
      <c r="I902" s="1512"/>
      <c r="J902" s="1512"/>
      <c r="K902" s="1512"/>
      <c r="L902" s="1512"/>
      <c r="M902" s="1513"/>
      <c r="N902" s="1514"/>
      <c r="O902" s="336"/>
      <c r="P902" s="336"/>
      <c r="Q902" s="770"/>
      <c r="R902" s="694"/>
      <c r="S902" s="770"/>
      <c r="T902" s="694"/>
      <c r="U902" s="694"/>
      <c r="V902" s="694"/>
      <c r="W902" s="694"/>
      <c r="X902" s="694"/>
      <c r="Y902" s="694"/>
      <c r="Z902" s="694"/>
      <c r="AA902" s="694"/>
      <c r="AB902" s="694"/>
      <c r="AC902" s="694"/>
      <c r="AD902" s="694"/>
      <c r="AE902" s="343"/>
      <c r="AF902" s="343"/>
      <c r="AG902" s="343"/>
      <c r="AH902" s="343"/>
      <c r="AI902" s="343"/>
      <c r="AJ902" s="343"/>
      <c r="AK902" s="343"/>
      <c r="AL902" s="343"/>
      <c r="AM902" s="343"/>
    </row>
    <row r="903" spans="1:39" ht="25.5" customHeight="1" thickBot="1" x14ac:dyDescent="0.3">
      <c r="A903" s="694"/>
      <c r="B903" s="698"/>
      <c r="C903" s="698"/>
      <c r="D903" s="698"/>
      <c r="E903" s="698"/>
      <c r="F903" s="698"/>
      <c r="G903" s="698"/>
      <c r="H903" s="698"/>
      <c r="I903" s="698"/>
      <c r="J903" s="698"/>
      <c r="K903" s="698"/>
      <c r="L903" s="698"/>
      <c r="M903" s="698"/>
      <c r="N903" s="698"/>
      <c r="O903" s="336"/>
      <c r="P903" s="336"/>
      <c r="Q903" s="694"/>
      <c r="R903" s="694"/>
      <c r="S903" s="694"/>
      <c r="T903" s="694"/>
      <c r="U903" s="694"/>
      <c r="V903" s="694"/>
      <c r="W903" s="694"/>
      <c r="X903" s="694"/>
      <c r="Y903" s="694"/>
      <c r="Z903" s="694"/>
      <c r="AA903" s="694"/>
      <c r="AB903" s="694"/>
      <c r="AC903" s="694"/>
      <c r="AD903" s="694"/>
      <c r="AE903" s="343"/>
      <c r="AF903" s="343"/>
      <c r="AG903" s="343"/>
      <c r="AH903" s="343"/>
      <c r="AI903" s="343"/>
      <c r="AJ903" s="343"/>
      <c r="AK903" s="343"/>
      <c r="AL903" s="343"/>
      <c r="AM903" s="343"/>
    </row>
    <row r="904" spans="1:39" ht="5.15" customHeight="1" thickBot="1" x14ac:dyDescent="0.3">
      <c r="A904" s="694"/>
      <c r="B904" s="284"/>
      <c r="C904" s="581"/>
      <c r="D904" s="581"/>
      <c r="E904" s="581"/>
      <c r="F904" s="581"/>
      <c r="G904" s="581"/>
      <c r="H904" s="581"/>
      <c r="I904" s="581"/>
      <c r="J904" s="581"/>
      <c r="K904" s="581"/>
      <c r="L904" s="581"/>
      <c r="M904" s="581"/>
      <c r="N904" s="581"/>
      <c r="O904" s="336"/>
      <c r="P904" s="336"/>
      <c r="Q904" s="770"/>
      <c r="R904" s="770"/>
      <c r="S904" s="770"/>
      <c r="T904" s="770"/>
      <c r="U904" s="770"/>
      <c r="V904" s="770"/>
      <c r="W904" s="770"/>
      <c r="X904" s="770"/>
      <c r="Y904" s="770"/>
      <c r="Z904" s="694"/>
      <c r="AA904" s="694"/>
      <c r="AB904" s="694"/>
      <c r="AC904" s="694"/>
      <c r="AD904" s="694"/>
      <c r="AE904" s="343"/>
      <c r="AF904" s="343"/>
      <c r="AG904" s="343"/>
      <c r="AH904" s="343"/>
      <c r="AI904" s="343"/>
      <c r="AJ904" s="343"/>
      <c r="AK904" s="343"/>
      <c r="AL904" s="343"/>
      <c r="AM904" s="343"/>
    </row>
    <row r="905" spans="1:39" ht="14.5" thickBot="1" x14ac:dyDescent="0.35">
      <c r="A905" s="694"/>
      <c r="B905" s="284"/>
      <c r="C905" s="357">
        <f>C682+1</f>
        <v>5</v>
      </c>
      <c r="D905" s="2323" t="str">
        <f>EUconst_FBSubinst &amp; ":"</f>
        <v>Алтернативна подинсталация („Fall-Back sub-installation“):</v>
      </c>
      <c r="E905" s="2249"/>
      <c r="F905" s="2249"/>
      <c r="G905" s="2249"/>
      <c r="H905" s="2295"/>
      <c r="I905" s="2843" t="str">
        <f>INDEX(EUconst_FallBackListNames,$C905)</f>
        <v>Подинсталация с горивен показател (с риск от ИВЕ | извън МКВЕГ)</v>
      </c>
      <c r="J905" s="2844"/>
      <c r="K905" s="2844"/>
      <c r="L905" s="2845"/>
      <c r="M905" s="2919" t="str">
        <f>IF(INDEX(CNTR_FallBackSubInstRelevant,C905)="","",IF(INDEX(CNTR_FallBackSubInstRelevant,C905),EUconst_Relevant,EUconst_NotRelevant))</f>
        <v/>
      </c>
      <c r="N905" s="2920"/>
      <c r="O905" s="336"/>
      <c r="P905" s="336"/>
      <c r="Q905" s="1391">
        <f>C905</f>
        <v>5</v>
      </c>
      <c r="R905" s="694"/>
      <c r="S905" s="1174" t="str">
        <f>Translations!$B$898</f>
        <v>Дата на въвеждане в експлоатация:</v>
      </c>
      <c r="T905" s="1175" t="str">
        <f>IF(M905&lt;&gt;EUconst_Relevant,"",MAX(INDEX(CNTR_SubInstStartDate,MATCH($I905,CNTR_SubInstListNames,0)),DATE(2005,1,1)))</f>
        <v/>
      </c>
      <c r="U905" s="729" t="s">
        <v>1731</v>
      </c>
      <c r="V905" s="1176">
        <f>IF(ISNUMBER(T905),YEAR($T905-IF(YEAR(T905)&gt;=2022,0,1))+1,2005)</f>
        <v>2005</v>
      </c>
      <c r="W905" s="1174" t="s">
        <v>1734</v>
      </c>
      <c r="X905" s="1175" t="str">
        <f>IF(M905&lt;&gt;EUconst_Relevant,"",INDEX(CNTR_SubInstCessationDate,MATCH($I905,CNTR_SubInstListNames,0)))</f>
        <v/>
      </c>
      <c r="Y905" s="1174" t="s">
        <v>1735</v>
      </c>
      <c r="Z905" s="1176">
        <f>IF(SUM(X905)=0,2050,YEAR($X905))</f>
        <v>2050</v>
      </c>
      <c r="AA905" s="1174" t="s">
        <v>2009</v>
      </c>
      <c r="AB905" s="1176" t="b">
        <f>CNTR_ReportingYear&gt;V905</f>
        <v>1</v>
      </c>
      <c r="AC905" s="1174" t="s">
        <v>1395</v>
      </c>
      <c r="AD905" s="1177" t="b">
        <f>AND(CNTR_ExistSubInstEntries,M905=EUconst_NotRelevant)</f>
        <v>0</v>
      </c>
      <c r="AE905" s="343"/>
      <c r="AF905" s="343"/>
      <c r="AG905" s="343"/>
      <c r="AH905" s="343"/>
      <c r="AI905" s="343"/>
      <c r="AJ905" s="343"/>
      <c r="AK905" s="343"/>
      <c r="AL905" s="343"/>
      <c r="AM905" s="343"/>
    </row>
    <row r="906" spans="1:39" ht="12.75" customHeight="1" x14ac:dyDescent="0.25">
      <c r="A906" s="694"/>
      <c r="B906" s="698"/>
      <c r="C906" s="698"/>
      <c r="D906" s="698"/>
      <c r="E906" s="698"/>
      <c r="F906" s="698"/>
      <c r="G906" s="698"/>
      <c r="H906" s="773"/>
      <c r="I906" s="2921" t="str">
        <f>IF(M905&lt;&gt;EUconst_Relevant,"",IF(M905=EUconst_Relevant,HYPERLINK("",EUconst_MsgEnterThisSection),HYPERLINK(R906,EUconst_MsgGoToNextSubInst)))</f>
        <v/>
      </c>
      <c r="J906" s="2922"/>
      <c r="K906" s="2922"/>
      <c r="L906" s="2922"/>
      <c r="M906" s="2923"/>
      <c r="N906" s="2924"/>
      <c r="O906" s="336"/>
      <c r="P906" s="336"/>
      <c r="Q906" s="694" t="s">
        <v>450</v>
      </c>
      <c r="R906" s="875" t="str">
        <f>"#JUMP_G"&amp;Q905+1</f>
        <v>#JUMP_G6</v>
      </c>
      <c r="S906" s="694"/>
      <c r="T906" s="694"/>
      <c r="U906" s="694"/>
      <c r="V906" s="694"/>
      <c r="W906" s="694"/>
      <c r="X906" s="694"/>
      <c r="Y906" s="694"/>
      <c r="Z906" s="729"/>
      <c r="AA906" s="694"/>
      <c r="AB906" s="694"/>
      <c r="AC906" s="694"/>
      <c r="AD906" s="694"/>
      <c r="AE906" s="343"/>
      <c r="AF906" s="343"/>
      <c r="AG906" s="343"/>
      <c r="AH906" s="343"/>
      <c r="AI906" s="343"/>
      <c r="AJ906" s="343"/>
      <c r="AK906" s="343"/>
      <c r="AL906" s="343"/>
      <c r="AM906" s="343"/>
    </row>
    <row r="907" spans="1:39" ht="12.75" customHeight="1" x14ac:dyDescent="0.25">
      <c r="A907" s="694"/>
      <c r="B907" s="284"/>
      <c r="C907" s="284"/>
      <c r="D907" s="302"/>
      <c r="E907" s="2358" t="str">
        <f>Translations!$B$613</f>
        <v>Името на алтернативната подинсталация („fall-back sub-installation“) се показва автоматично въз основа на общия списък на възможните алтернативни инсталации.</v>
      </c>
      <c r="F907" s="2249"/>
      <c r="G907" s="2249"/>
      <c r="H907" s="2249"/>
      <c r="I907" s="2249"/>
      <c r="J907" s="2249"/>
      <c r="K907" s="2249"/>
      <c r="L907" s="2249"/>
      <c r="M907" s="2249"/>
      <c r="N907" s="2249"/>
      <c r="O907" s="336"/>
      <c r="P907" s="336"/>
      <c r="Q907" s="770"/>
      <c r="R907" s="770"/>
      <c r="S907" s="694"/>
      <c r="T907" s="694"/>
      <c r="U907" s="694"/>
      <c r="V907" s="694"/>
      <c r="W907" s="694"/>
      <c r="X907" s="694"/>
      <c r="Y907" s="694"/>
      <c r="Z907" s="694"/>
      <c r="AA907" s="694"/>
      <c r="AB907" s="694"/>
      <c r="AC907" s="694"/>
      <c r="AD907" s="694"/>
      <c r="AE907" s="343"/>
      <c r="AF907" s="343"/>
      <c r="AG907" s="343"/>
      <c r="AH907" s="343"/>
      <c r="AI907" s="343"/>
      <c r="AJ907" s="343"/>
      <c r="AK907" s="343"/>
      <c r="AL907" s="343"/>
      <c r="AM907" s="343"/>
    </row>
    <row r="908" spans="1:39" ht="5.15" customHeight="1" x14ac:dyDescent="0.25">
      <c r="A908" s="694"/>
      <c r="B908" s="284"/>
      <c r="C908" s="284"/>
      <c r="D908" s="284"/>
      <c r="E908" s="284"/>
      <c r="F908" s="284"/>
      <c r="G908" s="284"/>
      <c r="H908" s="284"/>
      <c r="I908" s="284"/>
      <c r="J908" s="284"/>
      <c r="K908" s="284"/>
      <c r="L908" s="284"/>
      <c r="M908" s="336"/>
      <c r="N908" s="336"/>
      <c r="O908" s="336"/>
      <c r="P908" s="336"/>
      <c r="Q908" s="770"/>
      <c r="R908" s="770"/>
      <c r="S908" s="770"/>
      <c r="T908" s="770"/>
      <c r="U908" s="770"/>
      <c r="V908" s="770"/>
      <c r="W908" s="770"/>
      <c r="X908" s="770"/>
      <c r="Y908" s="770"/>
      <c r="Z908" s="694"/>
      <c r="AA908" s="694"/>
      <c r="AB908" s="694"/>
      <c r="AC908" s="694"/>
      <c r="AD908" s="694"/>
      <c r="AE908" s="343"/>
      <c r="AF908" s="343"/>
      <c r="AG908" s="343"/>
      <c r="AH908" s="343"/>
      <c r="AI908" s="343"/>
      <c r="AJ908" s="343"/>
      <c r="AK908" s="343"/>
      <c r="AL908" s="343"/>
      <c r="AM908" s="343"/>
    </row>
    <row r="909" spans="1:39" ht="12.75" customHeight="1" x14ac:dyDescent="0.25">
      <c r="A909" s="694"/>
      <c r="B909" s="284"/>
      <c r="C909" s="300"/>
      <c r="D909" s="300" t="s">
        <v>408</v>
      </c>
      <c r="E909" s="2226" t="str">
        <f>Translations!$B$1315</f>
        <v>Равнища на дейност</v>
      </c>
      <c r="F909" s="2249"/>
      <c r="G909" s="2249"/>
      <c r="H909" s="2249"/>
      <c r="I909" s="2249"/>
      <c r="J909" s="2249"/>
      <c r="K909" s="2249"/>
      <c r="L909" s="2249"/>
      <c r="M909" s="2249"/>
      <c r="N909" s="2249"/>
      <c r="O909" s="336"/>
      <c r="P909" s="336"/>
      <c r="Q909" s="770"/>
      <c r="R909" s="770"/>
      <c r="S909" s="770"/>
      <c r="T909" s="770"/>
      <c r="U909" s="770"/>
      <c r="V909" s="770"/>
      <c r="W909" s="770"/>
      <c r="X909" s="770"/>
      <c r="Y909" s="770"/>
      <c r="Z909" s="694"/>
      <c r="AA909" s="694"/>
      <c r="AB909" s="729"/>
      <c r="AC909" s="694"/>
      <c r="AD909" s="694"/>
      <c r="AE909" s="343"/>
      <c r="AF909" s="343"/>
      <c r="AG909" s="343"/>
      <c r="AH909" s="343"/>
      <c r="AI909" s="343"/>
      <c r="AJ909" s="343"/>
      <c r="AK909" s="343"/>
      <c r="AL909" s="343"/>
      <c r="AM909" s="343"/>
    </row>
    <row r="910" spans="1:39" ht="12.75" hidden="1" customHeight="1" x14ac:dyDescent="0.25">
      <c r="A910" s="694" t="str">
        <f>IF(C905&gt;4,$A$1,"")</f>
        <v>ausblenden</v>
      </c>
      <c r="B910" s="284"/>
      <c r="C910" s="302"/>
      <c r="D910" s="302"/>
      <c r="E910" s="2925" t="str">
        <f>Translations!$B$614</f>
        <v>Следните данни се вземат автоматично от раздел E.II.r на лист „E_EnergyFlows“ („E_Енергийни потоци“).Затова въвеждането на данни там е задължително.</v>
      </c>
      <c r="F910" s="2925"/>
      <c r="G910" s="2925"/>
      <c r="H910" s="2925"/>
      <c r="I910" s="2925"/>
      <c r="J910" s="2925"/>
      <c r="K910" s="2925"/>
      <c r="L910" s="2925"/>
      <c r="M910" s="2925"/>
      <c r="N910" s="2925"/>
      <c r="O910" s="336"/>
      <c r="P910" s="336"/>
      <c r="Q910" s="770"/>
      <c r="R910" s="694"/>
      <c r="S910" s="694"/>
      <c r="T910" s="694"/>
      <c r="U910" s="694"/>
      <c r="V910" s="694"/>
      <c r="W910" s="694"/>
      <c r="X910" s="694"/>
      <c r="Y910" s="694"/>
      <c r="Z910" s="694"/>
      <c r="AA910" s="694"/>
      <c r="AB910" s="694"/>
      <c r="AC910" s="694"/>
      <c r="AD910" s="694"/>
      <c r="AE910" s="343"/>
      <c r="AF910" s="343"/>
      <c r="AG910" s="343"/>
      <c r="AH910" s="343"/>
      <c r="AI910" s="343"/>
      <c r="AJ910" s="343"/>
      <c r="AK910" s="343"/>
      <c r="AL910" s="343"/>
      <c r="AM910" s="343"/>
    </row>
    <row r="911" spans="1:39" ht="12.75" customHeight="1" x14ac:dyDescent="0.25">
      <c r="A911" s="694"/>
      <c r="B911" s="284"/>
      <c r="C911" s="284"/>
      <c r="D911" s="302"/>
      <c r="E911" s="2358" t="str">
        <f>Translations!$B$1332</f>
        <v>На базата на началото на нормална експлоатация, въведено в B+C.I, HAL ще се основава или на стойността в НМИ (показана в ii.), или на първата година на пълна експлоатация за нови подинсталации (посочена в iv.).</v>
      </c>
      <c r="F911" s="2926"/>
      <c r="G911" s="2926"/>
      <c r="H911" s="2926"/>
      <c r="I911" s="2926"/>
      <c r="J911" s="2926"/>
      <c r="K911" s="2926"/>
      <c r="L911" s="2926"/>
      <c r="M911" s="2926"/>
      <c r="N911" s="2926"/>
      <c r="O911" s="336"/>
      <c r="P911" s="336"/>
      <c r="Q911" s="770"/>
      <c r="R911" s="694"/>
      <c r="S911" s="694"/>
      <c r="T911" s="694"/>
      <c r="U911" s="694"/>
      <c r="V911" s="694"/>
      <c r="W911" s="694"/>
      <c r="X911" s="694"/>
      <c r="Y911" s="694"/>
      <c r="Z911" s="694"/>
      <c r="AA911" s="729"/>
      <c r="AB911" s="729"/>
      <c r="AC911" s="694"/>
      <c r="AD911" s="694"/>
      <c r="AE911" s="343"/>
      <c r="AF911" s="343"/>
      <c r="AG911" s="343"/>
      <c r="AH911" s="343"/>
      <c r="AI911" s="343"/>
      <c r="AJ911" s="343"/>
      <c r="AK911" s="343"/>
      <c r="AL911" s="343"/>
      <c r="AM911" s="343"/>
    </row>
    <row r="912" spans="1:39" ht="12.75" customHeight="1" thickBot="1" x14ac:dyDescent="0.3">
      <c r="A912" s="694"/>
      <c r="B912" s="698"/>
      <c r="C912" s="300"/>
      <c r="D912" s="300"/>
      <c r="E912" s="389" t="str">
        <f>Translations!$B$615</f>
        <v>Основно равнище на дейност:</v>
      </c>
      <c r="F912" s="1015"/>
      <c r="G912" s="527" t="str">
        <f>EUconst_Unit</f>
        <v>Единица мярка</v>
      </c>
      <c r="H912" s="391">
        <f t="shared" ref="H912:N912" si="1423">H$1840</f>
        <v>2024</v>
      </c>
      <c r="I912" s="572">
        <f t="shared" si="1423"/>
        <v>2025</v>
      </c>
      <c r="J912" s="757">
        <f t="shared" si="1423"/>
        <v>2026</v>
      </c>
      <c r="K912" s="391">
        <f t="shared" si="1423"/>
        <v>2027</v>
      </c>
      <c r="L912" s="391">
        <f t="shared" si="1423"/>
        <v>2028</v>
      </c>
      <c r="M912" s="391">
        <f t="shared" si="1423"/>
        <v>2029</v>
      </c>
      <c r="N912" s="387">
        <f t="shared" si="1423"/>
        <v>2030</v>
      </c>
      <c r="O912" s="336"/>
      <c r="P912" s="336"/>
      <c r="Q912" s="1033" t="s">
        <v>560</v>
      </c>
      <c r="R912" s="694"/>
      <c r="S912" s="694"/>
      <c r="T912" s="1178">
        <f t="shared" ref="T912" si="1424">H912</f>
        <v>2024</v>
      </c>
      <c r="U912" s="1178">
        <f t="shared" ref="U912" si="1425">I912</f>
        <v>2025</v>
      </c>
      <c r="V912" s="1178">
        <f t="shared" ref="V912" si="1426">J912</f>
        <v>2026</v>
      </c>
      <c r="W912" s="1178">
        <f t="shared" ref="W912" si="1427">K912</f>
        <v>2027</v>
      </c>
      <c r="X912" s="1178">
        <f t="shared" ref="X912" si="1428">L912</f>
        <v>2028</v>
      </c>
      <c r="Y912" s="1178">
        <f t="shared" ref="Y912" si="1429">M912</f>
        <v>2029</v>
      </c>
      <c r="Z912" s="1178">
        <f t="shared" ref="Z912" si="1430">N912</f>
        <v>2030</v>
      </c>
      <c r="AA912" s="729"/>
      <c r="AB912" s="729"/>
      <c r="AC912" s="694"/>
      <c r="AD912" s="694"/>
      <c r="AE912" s="343"/>
      <c r="AF912" s="343"/>
      <c r="AG912" s="343"/>
      <c r="AH912" s="343"/>
      <c r="AI912" s="343"/>
      <c r="AJ912" s="343"/>
      <c r="AK912" s="343"/>
      <c r="AL912" s="343"/>
      <c r="AM912" s="343"/>
    </row>
    <row r="913" spans="1:39" ht="12.75" customHeight="1" thickBot="1" x14ac:dyDescent="0.3">
      <c r="A913" s="694"/>
      <c r="B913" s="698"/>
      <c r="C913" s="698"/>
      <c r="D913" s="1084" t="s">
        <v>6</v>
      </c>
      <c r="E913" s="2862" t="str">
        <f>I905</f>
        <v>Подинсталация с горивен показател (с риск от ИВЕ | извън МКВЕГ)</v>
      </c>
      <c r="F913" s="2862"/>
      <c r="G913" s="1032" t="str">
        <f>INDEX(EUconst_FallBackListUnits,MATCH(E913,EUconst_FallBackListNames,0))</f>
        <v>TJ</v>
      </c>
      <c r="H913" s="1024" t="str">
        <f>IF($M905&lt;&gt;EUconst_Relevant,"",IF(H912&gt;=CNTR_ReportingYear,"",IF(AND(H912&gt;=$V905-1,ISNUMBER(INDEX(E_EnergyFlows!H$435:H$443,MATCH($E913,E_EnergyFlows!$E$435:$E$443,0)))),INDEX(E_EnergyFlows!H$435:H$443,MATCH($E913,E_EnergyFlows!$E$435:$E$443,0)),0)))</f>
        <v/>
      </c>
      <c r="I913" s="1392" t="str">
        <f>IF($M905&lt;&gt;EUconst_Relevant,"",IF(I912&gt;=CNTR_ReportingYear,"",IF(AND(I912&gt;=$V905-1,ISNUMBER(INDEX(E_EnergyFlows!I$435:I$443,MATCH($E913,E_EnergyFlows!$E$435:$E$443,0)))),INDEX(E_EnergyFlows!I$435:I$443,MATCH($E913,E_EnergyFlows!$E$435:$E$443,0)),0)))</f>
        <v/>
      </c>
      <c r="J913" s="1393" t="str">
        <f>IF($M905&lt;&gt;EUconst_Relevant,"",IF(J912&gt;=CNTR_ReportingYear,"",IF(AND(J912&gt;=$V905-1,ISNUMBER(INDEX(E_EnergyFlows!J$435:J$443,MATCH($E913,E_EnergyFlows!$E$435:$E$443,0)))),INDEX(E_EnergyFlows!J$435:J$443,MATCH($E913,E_EnergyFlows!$E$435:$E$443,0)),0)))</f>
        <v/>
      </c>
      <c r="K913" s="1024" t="str">
        <f>IF($M905&lt;&gt;EUconst_Relevant,"",IF(K912&gt;=CNTR_ReportingYear,"",IF(AND(K912&gt;=$V905-1,ISNUMBER(INDEX(E_EnergyFlows!K$435:K$443,MATCH($E913,E_EnergyFlows!$E$435:$E$443,0)))),INDEX(E_EnergyFlows!K$435:K$443,MATCH($E913,E_EnergyFlows!$E$435:$E$443,0)),0)))</f>
        <v/>
      </c>
      <c r="L913" s="1024" t="str">
        <f>IF($M905&lt;&gt;EUconst_Relevant,"",IF(L912&gt;=CNTR_ReportingYear,"",IF(AND(L912&gt;=$V905-1,ISNUMBER(INDEX(E_EnergyFlows!L$435:L$443,MATCH($E913,E_EnergyFlows!$E$435:$E$443,0)))),INDEX(E_EnergyFlows!L$435:L$443,MATCH($E913,E_EnergyFlows!$E$435:$E$443,0)),0)))</f>
        <v/>
      </c>
      <c r="M913" s="1024" t="str">
        <f>IF($M905&lt;&gt;EUconst_Relevant,"",IF(M912&gt;=CNTR_ReportingYear,"",IF(AND(M912&gt;=$V905-1,ISNUMBER(INDEX(E_EnergyFlows!M$435:M$443,MATCH($E913,E_EnergyFlows!$E$435:$E$443,0)))),INDEX(E_EnergyFlows!M$435:M$443,MATCH($E913,E_EnergyFlows!$E$435:$E$443,0)),0)))</f>
        <v/>
      </c>
      <c r="N913" s="1024" t="str">
        <f>IF($M905&lt;&gt;EUconst_Relevant,"",IF(N912&gt;=CNTR_ReportingYear,"",IF(AND(N912&gt;=$V905-1,ISNUMBER(INDEX(E_EnergyFlows!N$435:N$443,MATCH($E913,E_EnergyFlows!$E$435:$E$443,0)))),INDEX(E_EnergyFlows!N$435:N$443,MATCH($E913,E_EnergyFlows!$E$435:$E$443,0)),0)))</f>
        <v/>
      </c>
      <c r="O913" s="710"/>
      <c r="P913" s="336"/>
      <c r="Q913" s="1394" t="str">
        <f>EUconst_CNTR_HAL&amp;E913</f>
        <v>HAL_Подинсталация с горивен показател (с риск от ИВЕ | извън МКВЕГ)</v>
      </c>
      <c r="R913" s="694"/>
      <c r="S913" s="1395" t="s">
        <v>1732</v>
      </c>
      <c r="T913" s="1396" t="b">
        <f t="shared" ref="T913:Z913" si="1431">AND($M905=EUconst_Relevant,T912&lt;CNTR_ReportingYear,T912&gt;=$V905-1)</f>
        <v>0</v>
      </c>
      <c r="U913" s="1397" t="b">
        <f t="shared" si="1431"/>
        <v>0</v>
      </c>
      <c r="V913" s="1397" t="b">
        <f t="shared" si="1431"/>
        <v>0</v>
      </c>
      <c r="W913" s="1397" t="b">
        <f t="shared" si="1431"/>
        <v>0</v>
      </c>
      <c r="X913" s="1397" t="b">
        <f t="shared" si="1431"/>
        <v>0</v>
      </c>
      <c r="Y913" s="1397" t="b">
        <f t="shared" si="1431"/>
        <v>0</v>
      </c>
      <c r="Z913" s="1398" t="b">
        <f t="shared" si="1431"/>
        <v>0</v>
      </c>
      <c r="AA913" s="694"/>
      <c r="AB913" s="694"/>
      <c r="AC913" s="1395"/>
      <c r="AD913" s="694"/>
      <c r="AE913" s="343"/>
      <c r="AF913" s="343"/>
      <c r="AG913" s="343"/>
      <c r="AH913" s="343"/>
      <c r="AI913" s="343"/>
      <c r="AJ913" s="343"/>
      <c r="AK913" s="1174" t="s">
        <v>2033</v>
      </c>
      <c r="AL913" s="982" t="str">
        <f>IF(COUNTIFS(H912:N912,"&lt;"&amp;YEAR(SUM(T905)),H913:N913,"&gt;"&amp;0)&gt;0,EUconst_Error&amp;"FB"&amp;Q905,"")</f>
        <v/>
      </c>
      <c r="AM913" s="343"/>
    </row>
    <row r="914" spans="1:39" ht="5.15" customHeight="1" x14ac:dyDescent="0.25">
      <c r="A914" s="694"/>
      <c r="B914" s="298"/>
      <c r="C914" s="298"/>
      <c r="D914" s="302"/>
      <c r="E914" s="302"/>
      <c r="F914" s="302"/>
      <c r="G914" s="302"/>
      <c r="H914" s="302"/>
      <c r="I914" s="302"/>
      <c r="J914" s="302"/>
      <c r="K914" s="302"/>
      <c r="L914" s="302"/>
      <c r="M914" s="302"/>
      <c r="N914" s="302"/>
      <c r="O914" s="302"/>
      <c r="P914" s="336"/>
      <c r="Q914" s="729"/>
      <c r="R914" s="694"/>
      <c r="S914" s="729"/>
      <c r="T914" s="729"/>
      <c r="U914" s="694"/>
      <c r="V914" s="694"/>
      <c r="W914" s="694"/>
      <c r="X914" s="694"/>
      <c r="Y914" s="694"/>
      <c r="Z914" s="729"/>
      <c r="AA914" s="694"/>
      <c r="AB914" s="729"/>
      <c r="AC914" s="694"/>
      <c r="AD914" s="694"/>
      <c r="AE914" s="343"/>
      <c r="AF914" s="343"/>
      <c r="AG914" s="343"/>
      <c r="AH914" s="343"/>
      <c r="AI914" s="343"/>
      <c r="AJ914" s="343"/>
      <c r="AK914" s="343"/>
      <c r="AL914" s="343"/>
      <c r="AM914" s="343"/>
    </row>
    <row r="915" spans="1:39" ht="25.5" customHeight="1" x14ac:dyDescent="0.25">
      <c r="A915" s="694"/>
      <c r="B915" s="298"/>
      <c r="C915" s="298"/>
      <c r="D915" s="302"/>
      <c r="E915" s="2358" t="str">
        <f>Translations!$B$1333</f>
        <v>На базата на стойностите на HAL и тези по буква a) по-горе тук се определят средните равнища на дейност. Разпределението ще бъде променено само ако са надвишени всички долуизброени прагове от членове 5 и 6 от Регламента за ALC:</v>
      </c>
      <c r="F915" s="2249"/>
      <c r="G915" s="2249"/>
      <c r="H915" s="2249"/>
      <c r="I915" s="2249"/>
      <c r="J915" s="2249"/>
      <c r="K915" s="2249"/>
      <c r="L915" s="2249"/>
      <c r="M915" s="2249"/>
      <c r="N915" s="2249"/>
      <c r="O915" s="302"/>
      <c r="P915" s="336"/>
      <c r="Q915" s="729"/>
      <c r="R915" s="694"/>
      <c r="S915" s="729"/>
      <c r="T915" s="729"/>
      <c r="U915" s="729"/>
      <c r="V915" s="694"/>
      <c r="W915" s="694"/>
      <c r="X915" s="694"/>
      <c r="Y915" s="694"/>
      <c r="Z915" s="694"/>
      <c r="AA915" s="694"/>
      <c r="AB915" s="694"/>
      <c r="AC915" s="694"/>
      <c r="AD915" s="694"/>
      <c r="AE915" s="694"/>
      <c r="AF915" s="694"/>
      <c r="AG915" s="694"/>
      <c r="AH915" s="694"/>
      <c r="AI915" s="694"/>
      <c r="AJ915" s="694"/>
      <c r="AK915" s="694"/>
      <c r="AL915" s="694"/>
      <c r="AM915" s="343"/>
    </row>
    <row r="916" spans="1:39" ht="12.75" customHeight="1" x14ac:dyDescent="0.25">
      <c r="A916" s="694"/>
      <c r="B916" s="298"/>
      <c r="C916" s="298"/>
      <c r="D916" s="302"/>
      <c r="E916" s="1191" t="s">
        <v>1052</v>
      </c>
      <c r="F916" s="2358" t="str">
        <f>Translations!$B$1530</f>
        <v>относителният праг (15 %) за средното равнище на дейност в сравнение с HAL</v>
      </c>
      <c r="G916" s="2861"/>
      <c r="H916" s="2861"/>
      <c r="I916" s="2861"/>
      <c r="J916" s="2861"/>
      <c r="K916" s="2861"/>
      <c r="L916" s="2861"/>
      <c r="M916" s="2861"/>
      <c r="N916" s="2861"/>
      <c r="O916" s="302"/>
      <c r="P916" s="336"/>
      <c r="Q916" s="729"/>
      <c r="R916" s="694"/>
      <c r="S916" s="729"/>
      <c r="T916" s="729"/>
      <c r="U916" s="729"/>
      <c r="V916" s="694"/>
      <c r="W916" s="694"/>
      <c r="X916" s="694"/>
      <c r="Y916" s="694"/>
      <c r="Z916" s="694"/>
      <c r="AA916" s="694"/>
      <c r="AB916" s="694"/>
      <c r="AC916" s="694"/>
      <c r="AD916" s="694"/>
      <c r="AE916" s="694"/>
      <c r="AF916" s="694"/>
      <c r="AG916" s="694"/>
      <c r="AH916" s="694"/>
      <c r="AI916" s="694"/>
      <c r="AJ916" s="694"/>
      <c r="AK916" s="694"/>
      <c r="AL916" s="694"/>
      <c r="AM916" s="343"/>
    </row>
    <row r="917" spans="1:39" ht="12.75" customHeight="1" x14ac:dyDescent="0.25">
      <c r="A917" s="694"/>
      <c r="B917" s="298"/>
      <c r="C917" s="298"/>
      <c r="D917" s="302"/>
      <c r="E917" s="1191" t="s">
        <v>1052</v>
      </c>
      <c r="F917" s="2358" t="str">
        <f>Translations!$B$1531</f>
        <v>относителните прагове (15 % и 5 % за последващи промени) за очакваното равнище на дейност в сравнение с HAL</v>
      </c>
      <c r="G917" s="2861"/>
      <c r="H917" s="2861"/>
      <c r="I917" s="2861"/>
      <c r="J917" s="2861"/>
      <c r="K917" s="2861"/>
      <c r="L917" s="2861"/>
      <c r="M917" s="2861"/>
      <c r="N917" s="2861"/>
      <c r="O917" s="302"/>
      <c r="P917" s="336"/>
      <c r="Q917" s="729"/>
      <c r="R917" s="694"/>
      <c r="S917" s="729"/>
      <c r="T917" s="729"/>
      <c r="U917" s="729"/>
      <c r="V917" s="694"/>
      <c r="W917" s="694"/>
      <c r="X917" s="694"/>
      <c r="Y917" s="694"/>
      <c r="Z917" s="694"/>
      <c r="AA917" s="694"/>
      <c r="AB917" s="694"/>
      <c r="AC917" s="694"/>
      <c r="AD917" s="694"/>
      <c r="AE917" s="694"/>
      <c r="AF917" s="694"/>
      <c r="AG917" s="694"/>
      <c r="AH917" s="694"/>
      <c r="AI917" s="694"/>
      <c r="AJ917" s="694"/>
      <c r="AK917" s="694"/>
      <c r="AL917" s="694"/>
      <c r="AM917" s="343"/>
    </row>
    <row r="918" spans="1:39" ht="12.75" customHeight="1" thickBot="1" x14ac:dyDescent="0.3">
      <c r="A918" s="694"/>
      <c r="B918" s="298"/>
      <c r="C918" s="298"/>
      <c r="D918" s="302"/>
      <c r="E918" s="1191" t="s">
        <v>1052</v>
      </c>
      <c r="F918" s="2358" t="str">
        <f>Translations!$B$1514</f>
        <v>абсолютния праг, т.е. промяната би довела до разлика в предварителното разпределение от най-малко 300 квоти</v>
      </c>
      <c r="G918" s="2861"/>
      <c r="H918" s="2861"/>
      <c r="I918" s="2861"/>
      <c r="J918" s="2861"/>
      <c r="K918" s="2861"/>
      <c r="L918" s="2861"/>
      <c r="M918" s="2861"/>
      <c r="N918" s="2861"/>
      <c r="O918" s="302"/>
      <c r="P918" s="336"/>
      <c r="Q918" s="729"/>
      <c r="R918" s="694"/>
      <c r="S918" s="729"/>
      <c r="T918" s="729"/>
      <c r="U918" s="729"/>
      <c r="V918" s="694"/>
      <c r="W918" s="694"/>
      <c r="X918" s="694"/>
      <c r="Y918" s="694"/>
      <c r="Z918" s="694"/>
      <c r="AA918" s="694"/>
      <c r="AB918" s="694"/>
      <c r="AC918" s="694"/>
      <c r="AD918" s="694"/>
      <c r="AE918" s="694"/>
      <c r="AF918" s="694"/>
      <c r="AG918" s="694"/>
      <c r="AH918" s="694"/>
      <c r="AI918" s="694"/>
      <c r="AJ918" s="694"/>
      <c r="AK918" s="694"/>
      <c r="AL918" s="694"/>
      <c r="AM918" s="343"/>
    </row>
    <row r="919" spans="1:39" ht="5.15" customHeight="1" thickBot="1" x14ac:dyDescent="0.3">
      <c r="A919" s="694"/>
      <c r="B919" s="298"/>
      <c r="C919" s="298"/>
      <c r="D919" s="1192"/>
      <c r="E919" s="1193"/>
      <c r="F919" s="1194"/>
      <c r="G919" s="1195"/>
      <c r="H919" s="1195"/>
      <c r="I919" s="1195"/>
      <c r="J919" s="1195"/>
      <c r="K919" s="1195"/>
      <c r="L919" s="1195"/>
      <c r="M919" s="1195"/>
      <c r="N919" s="1196"/>
      <c r="O919" s="302"/>
      <c r="P919" s="336"/>
      <c r="Q919" s="729"/>
      <c r="R919" s="694"/>
      <c r="S919" s="729"/>
      <c r="T919" s="729"/>
      <c r="U919" s="729"/>
      <c r="V919" s="694"/>
      <c r="W919" s="694"/>
      <c r="X919" s="694"/>
      <c r="Y919" s="694"/>
      <c r="Z919" s="694"/>
      <c r="AA919" s="694"/>
      <c r="AB919" s="694"/>
      <c r="AC919" s="694"/>
      <c r="AD919" s="694"/>
      <c r="AE919" s="694"/>
      <c r="AF919" s="694"/>
      <c r="AG919" s="694"/>
      <c r="AH919" s="694"/>
      <c r="AI919" s="694"/>
      <c r="AJ919" s="694"/>
      <c r="AK919" s="694"/>
      <c r="AL919" s="694"/>
      <c r="AM919" s="343"/>
    </row>
    <row r="920" spans="1:39" ht="12.75" customHeight="1" x14ac:dyDescent="0.25">
      <c r="A920" s="694"/>
      <c r="B920" s="298"/>
      <c r="C920" s="298"/>
      <c r="D920" s="1217"/>
      <c r="E920" s="1198" t="str">
        <f>Translations!$B$1334</f>
        <v>Предварителна корекция</v>
      </c>
      <c r="F920" s="1199"/>
      <c r="G920" s="1199"/>
      <c r="H920" s="1200" t="str">
        <f>EUconst_Unit</f>
        <v>Единица мярка</v>
      </c>
      <c r="I920" s="1201" t="str">
        <f>Translations!$B$1320</f>
        <v>(НМИ) HAL</v>
      </c>
      <c r="J920" s="1202">
        <f>J$1840</f>
        <v>2026</v>
      </c>
      <c r="K920" s="1203">
        <f>K$1840</f>
        <v>2027</v>
      </c>
      <c r="L920" s="1203">
        <f>L$1840</f>
        <v>2028</v>
      </c>
      <c r="M920" s="1203">
        <f>M$1840</f>
        <v>2029</v>
      </c>
      <c r="N920" s="1204">
        <f>N$1840</f>
        <v>2030</v>
      </c>
      <c r="O920" s="302"/>
      <c r="P920" s="336"/>
      <c r="Q920" s="729"/>
      <c r="R920" s="694"/>
      <c r="S920" s="729"/>
      <c r="T920" s="729"/>
      <c r="U920" s="1205"/>
      <c r="V920" s="1206">
        <f>J920</f>
        <v>2026</v>
      </c>
      <c r="W920" s="1206">
        <f>K920</f>
        <v>2027</v>
      </c>
      <c r="X920" s="1206">
        <f>L920</f>
        <v>2028</v>
      </c>
      <c r="Y920" s="1206">
        <f>M920</f>
        <v>2029</v>
      </c>
      <c r="Z920" s="1207">
        <f>N920</f>
        <v>2030</v>
      </c>
      <c r="AA920" s="694"/>
      <c r="AB920" s="729"/>
      <c r="AC920" s="694"/>
      <c r="AD920" s="694"/>
      <c r="AE920" s="343"/>
      <c r="AF920" s="343"/>
      <c r="AG920" s="343"/>
      <c r="AH920" s="343"/>
      <c r="AI920" s="343"/>
      <c r="AJ920" s="343"/>
      <c r="AK920" s="343"/>
      <c r="AL920" s="343"/>
      <c r="AM920" s="343"/>
    </row>
    <row r="921" spans="1:39" ht="12.75" customHeight="1" x14ac:dyDescent="0.25">
      <c r="A921" s="694"/>
      <c r="B921" s="298"/>
      <c r="C921" s="298"/>
      <c r="D921" s="1208" t="s">
        <v>7</v>
      </c>
      <c r="E921" s="1209" t="str">
        <f>Translations!$B$1321</f>
        <v>Средно годишно равнище на дейност (стойност в НМИ)</v>
      </c>
      <c r="F921" s="1209"/>
      <c r="G921" s="1209"/>
      <c r="H921" s="1266" t="str">
        <f>G913</f>
        <v>TJ</v>
      </c>
      <c r="I921" s="1399" t="str">
        <f>IF(V905&gt;($J$1840-3),EUconst_NA,INDEX('B+C_SubInstallations'!$I:$I,MATCH(Q921,'B+C_SubInstallations'!$T:$T,0)))</f>
        <v/>
      </c>
      <c r="J921" s="1400" t="str">
        <f>IF(AND(V921&gt;=3,CNTR_ReportingYear&gt;J920-1),AVERAGE(SUM(H913),SUM(I913)),"")</f>
        <v/>
      </c>
      <c r="K921" s="1401" t="str">
        <f>IF(AND(W921&gt;=3,CNTR_ReportingYear&gt;K920-1),AVERAGE(SUM(I913),SUM(J913)),"")</f>
        <v/>
      </c>
      <c r="L921" s="1401" t="str">
        <f>IF(AND(X921&gt;=3,CNTR_ReportingYear&gt;L920-1),AVERAGE(SUM(J913),SUM(K913)),"")</f>
        <v/>
      </c>
      <c r="M921" s="1401" t="str">
        <f>IF(AND(Y921&gt;=3,CNTR_ReportingYear&gt;M920-1),AVERAGE(SUM(K913),SUM(L913)),"")</f>
        <v/>
      </c>
      <c r="N921" s="1402" t="str">
        <f>IF(AND(Z921&gt;=3,CNTR_ReportingYear&gt;N920-1),AVERAGE(SUM(L913),SUM(M913)),"")</f>
        <v/>
      </c>
      <c r="O921" s="302"/>
      <c r="P921" s="336"/>
      <c r="Q921" s="1270" t="str">
        <f>EUconst_CNTR_HALinitial&amp;I905</f>
        <v>HALini_Подинсталация с горивен показател (с риск от ИВЕ | извън МКВЕГ)</v>
      </c>
      <c r="R921" s="694"/>
      <c r="S921" s="729"/>
      <c r="T921" s="729"/>
      <c r="U921" s="1365" t="s">
        <v>1710</v>
      </c>
      <c r="V921" s="834">
        <f>IF($M905&lt;&gt;EUconst_Relevant,0,V920-$V905+1)</f>
        <v>0</v>
      </c>
      <c r="W921" s="834">
        <f>IF($M905&lt;&gt;EUconst_Relevant,0,W920-$V905+1)</f>
        <v>0</v>
      </c>
      <c r="X921" s="834">
        <f>IF($M905&lt;&gt;EUconst_Relevant,0,X920-$V905+1)</f>
        <v>0</v>
      </c>
      <c r="Y921" s="834">
        <f>IF($M905&lt;&gt;EUconst_Relevant,0,Y920-$V905+1)</f>
        <v>0</v>
      </c>
      <c r="Z921" s="1403">
        <f>IF($M905&lt;&gt;EUconst_Relevant,0,Z920-$V905+1)</f>
        <v>0</v>
      </c>
      <c r="AA921" s="694"/>
      <c r="AB921" s="729"/>
      <c r="AC921" s="694"/>
      <c r="AD921" s="694"/>
      <c r="AE921" s="343"/>
      <c r="AF921" s="343"/>
      <c r="AG921" s="343"/>
      <c r="AH921" s="343"/>
      <c r="AI921" s="343"/>
      <c r="AJ921" s="343"/>
      <c r="AK921" s="343"/>
      <c r="AL921" s="343"/>
      <c r="AM921" s="343"/>
    </row>
    <row r="922" spans="1:39" ht="12.75" hidden="1" customHeight="1" x14ac:dyDescent="0.25">
      <c r="A922" s="729" t="s">
        <v>312</v>
      </c>
      <c r="B922" s="298"/>
      <c r="C922" s="298"/>
      <c r="D922" s="1208"/>
      <c r="E922" s="1209" t="str">
        <f>Translations!$B$1376</f>
        <v>Промяна в сравнение с HAL</v>
      </c>
      <c r="F922" s="1209"/>
      <c r="G922" s="1209"/>
      <c r="H922" s="1222"/>
      <c r="I922" s="1223"/>
      <c r="J922" s="104" t="str">
        <f>IF(J921="","",IF($I924=0,IF(J921=0,0%,100%),J921/$I924-1))</f>
        <v/>
      </c>
      <c r="K922" s="99" t="str">
        <f>IF(K921="","",IF($I924=0,IF(K921=0,0%,100%),K921/$I924-1))</f>
        <v/>
      </c>
      <c r="L922" s="99" t="str">
        <f>IF(L921="","",IF($I924=0,IF(L921=0,0%,100%),L921/$I924-1))</f>
        <v/>
      </c>
      <c r="M922" s="99" t="str">
        <f>IF(M921="","",IF($I924=0,IF(M921=0,0%,100%),M921/$I924-1))</f>
        <v/>
      </c>
      <c r="N922" s="123" t="str">
        <f>IF(N921="","",IF($I924=0,IF(N921=0,0%,100%),N921/$I924-1))</f>
        <v/>
      </c>
      <c r="O922" s="302"/>
      <c r="P922" s="336"/>
      <c r="Q922" s="1190" t="str">
        <f>EUconst_CNTR_RelThreshold &amp;I905</f>
        <v>RelThresh_Подинсталация с горивен показател (с риск от ИВЕ | извън МКВЕГ)</v>
      </c>
      <c r="R922" s="694"/>
      <c r="S922" s="729"/>
      <c r="T922" s="729"/>
      <c r="U922" s="1365" t="s">
        <v>1715</v>
      </c>
      <c r="V922" s="727" t="str">
        <f>IF(J921="","",ABS(J922)&gt;15%)</f>
        <v/>
      </c>
      <c r="W922" s="727" t="str">
        <f>IF(K921="","",ABS(K922)&gt;15%)</f>
        <v/>
      </c>
      <c r="X922" s="727" t="str">
        <f>IF(L921="","",ABS(L922)&gt;15%)</f>
        <v/>
      </c>
      <c r="Y922" s="727" t="str">
        <f>IF(M921="","",ABS(M922)&gt;15%)</f>
        <v/>
      </c>
      <c r="Z922" s="1221" t="str">
        <f>IF(N921="","",ABS(N922)&gt;15%)</f>
        <v/>
      </c>
      <c r="AA922" s="694"/>
      <c r="AB922" s="729"/>
      <c r="AC922" s="694"/>
      <c r="AD922" s="694"/>
      <c r="AE922" s="343"/>
      <c r="AF922" s="343"/>
      <c r="AG922" s="343"/>
      <c r="AH922" s="343"/>
      <c r="AI922" s="343"/>
      <c r="AJ922" s="343"/>
      <c r="AK922" s="343"/>
      <c r="AL922" s="343"/>
      <c r="AM922" s="343"/>
    </row>
    <row r="923" spans="1:39" ht="12.75" customHeight="1" x14ac:dyDescent="0.25">
      <c r="A923" s="729"/>
      <c r="B923" s="298"/>
      <c r="C923" s="298"/>
      <c r="D923" s="1208" t="s">
        <v>8</v>
      </c>
      <c r="E923" s="1209" t="str">
        <f>Translations!$B$1322</f>
        <v>Предварителна корекция (ако са надвишени относителните прагове)</v>
      </c>
      <c r="F923" s="1209"/>
      <c r="G923" s="1209"/>
      <c r="H923" s="1222"/>
      <c r="I923" s="1223"/>
      <c r="J923" s="1224" t="str">
        <f>IF(J921="","",IF(V922=FALSE,0%,J922))</f>
        <v/>
      </c>
      <c r="K923" s="1225" t="str">
        <f t="shared" ref="K923" si="1432">IF(K921="","",IF(W922=FALSE,0%,K922))</f>
        <v/>
      </c>
      <c r="L923" s="1225" t="str">
        <f t="shared" ref="L923" si="1433">IF(L921="","",IF(X922=FALSE,0%,L922))</f>
        <v/>
      </c>
      <c r="M923" s="1225" t="str">
        <f t="shared" ref="M923" si="1434">IF(M921="","",IF(Y922=FALSE,0%,M922))</f>
        <v/>
      </c>
      <c r="N923" s="1226" t="str">
        <f t="shared" ref="N923" si="1435">IF(N921="","",IF(Z922=FALSE,0%,N922))</f>
        <v/>
      </c>
      <c r="O923" s="302"/>
      <c r="P923" s="336"/>
      <c r="Q923" s="729"/>
      <c r="R923" s="694"/>
      <c r="S923" s="729"/>
      <c r="T923" s="729"/>
      <c r="U923" s="1365" t="s">
        <v>1716</v>
      </c>
      <c r="V923" s="727" t="str">
        <f>IF(J921="","",AND(V922,IF(SUM(I1040)&lt;0,OR(SUM(J922)&lt;SUM(I1040)-MOD(SUM(I1040),5%),J922&gt;=SUM(I1040)+5%-MOD(SUM(I1040),5%)),OR(SUM(J922)&lt;=SUM(I1040)-MOD(SUM(I1040),5%),SUM(J922)&gt;SUM(I1040)+5%-MOD(SUM(I1040),5%)))))</f>
        <v/>
      </c>
      <c r="W923" s="727" t="str">
        <f>IF(K921="","",AND(W922,IF(SUM(J1040)&lt;0,OR(SUM(K922)&lt;SUM(J1040)-MOD(SUM(J1040),5%),K922&gt;=SUM(J1040)+5%-MOD(SUM(J1040),5%)),OR(SUM(K922)&lt;=SUM(J1040)-MOD(SUM(J1040),5%),SUM(K922)&gt;SUM(J1040)+5%-MOD(SUM(J1040),5%)))))</f>
        <v/>
      </c>
      <c r="X923" s="727" t="str">
        <f>IF(L921="","",AND(X922,IF(SUM(K1040)&lt;0,OR(SUM(L922)&lt;SUM(K1040)-MOD(SUM(K1040),5%),L922&gt;=SUM(K1040)+5%-MOD(SUM(K1040),5%)),OR(SUM(L922)&lt;=SUM(K1040)-MOD(SUM(K1040),5%),SUM(L922)&gt;SUM(K1040)+5%-MOD(SUM(K1040),5%)))))</f>
        <v/>
      </c>
      <c r="Y923" s="727" t="str">
        <f>IF(M921="","",AND(Y922,IF(SUM(L1040)&lt;0,OR(SUM(M922)&lt;SUM(L1040)-MOD(SUM(L1040),5%),M922&gt;=SUM(L1040)+5%-MOD(SUM(L1040),5%)),OR(SUM(M922)&lt;=SUM(L1040)-MOD(SUM(L1040),5%),SUM(M922)&gt;SUM(L1040)+5%-MOD(SUM(L1040),5%)))))</f>
        <v/>
      </c>
      <c r="Z923" s="1221" t="str">
        <f>IF(N921="","",AND(Z922,IF(SUM(M1040)&lt;0,OR(SUM(N922)&lt;SUM(M1040)-MOD(SUM(M1040),5%),N922&gt;=SUM(M1040)+5%-MOD(SUM(M1040),5%)),OR(SUM(N922)&lt;=SUM(M1040)-MOD(SUM(M1040),5%),SUM(N922)&gt;SUM(M1040)+5%-MOD(SUM(M1040),5%)))))</f>
        <v/>
      </c>
      <c r="AA923" s="694"/>
      <c r="AB923" s="729"/>
      <c r="AC923" s="694"/>
      <c r="AD923" s="694"/>
      <c r="AE923" s="343"/>
      <c r="AF923" s="343"/>
      <c r="AG923" s="343"/>
      <c r="AH923" s="343"/>
      <c r="AI923" s="343"/>
      <c r="AJ923" s="343"/>
      <c r="AK923" s="343"/>
      <c r="AL923" s="343"/>
      <c r="AM923" s="343"/>
    </row>
    <row r="924" spans="1:39" ht="12.75" customHeight="1" thickBot="1" x14ac:dyDescent="0.3">
      <c r="A924" s="729"/>
      <c r="B924" s="298"/>
      <c r="C924" s="298"/>
      <c r="D924" s="1208" t="s">
        <v>18</v>
      </c>
      <c r="E924" s="1209" t="str">
        <f>Translations!$B$1377</f>
        <v>Предварителна стойност</v>
      </c>
      <c r="F924" s="1209"/>
      <c r="G924" s="1209"/>
      <c r="H924" s="1266" t="str">
        <f>H921</f>
        <v>TJ</v>
      </c>
      <c r="I924" s="1399" t="str">
        <f>IF(M905&lt;&gt;EUconst_Relevant,"",IF(AB905=FALSE,EUconst_NA,IF(V905&gt;($J$1840-3),INDEX(H913:N913,MATCH($V905,H912:N912,0)),I921)))</f>
        <v/>
      </c>
      <c r="J924" s="1400" t="str">
        <f>IF($M905&lt;&gt;EUconst_Relevant,"",IF(V921&lt;2,SUM(J913),IF(V921&lt;3,SUM(I913),IF(V924="",I924,V924))))</f>
        <v/>
      </c>
      <c r="K924" s="1401" t="str">
        <f>IF($M905&lt;&gt;EUconst_Relevant,"",IF(W921&lt;2,SUM(K913),IF(W921&lt;3,SUM(J913),IF(W924="",J924,W924))))</f>
        <v/>
      </c>
      <c r="L924" s="1401" t="str">
        <f>IF($M905&lt;&gt;EUconst_Relevant,"",IF(X921&lt;2,SUM(L913),IF(X921&lt;3,SUM(K913),IF(X924="",K924,X924))))</f>
        <v/>
      </c>
      <c r="M924" s="1401" t="str">
        <f>IF($M905&lt;&gt;EUconst_Relevant,"",IF(Y921&lt;2,SUM(M913),IF(Y921&lt;3,SUM(L913),IF(Y924="",L924,Y924))))</f>
        <v/>
      </c>
      <c r="N924" s="1402" t="str">
        <f>IF($M905&lt;&gt;EUconst_Relevant,"",IF(Z921&lt;2,SUM(N913),IF(Z921&lt;3,SUM(M913),IF(Z924="",M924,Z924))))</f>
        <v/>
      </c>
      <c r="O924" s="710"/>
      <c r="P924" s="336"/>
      <c r="Q924" s="1190" t="s">
        <v>2143</v>
      </c>
      <c r="R924" s="694"/>
      <c r="S924" s="729"/>
      <c r="T924" s="729"/>
      <c r="U924" s="1404" t="s">
        <v>1711</v>
      </c>
      <c r="V924" s="1405" t="str">
        <f>IF(J921="","",IF(CNTR_ReportingYear&lt;J920,I923,IF($I924=0,J921,$I924*(1+J923))))</f>
        <v/>
      </c>
      <c r="W924" s="1405" t="str">
        <f>IF(K921="","",IF(CNTR_ReportingYear&lt;K920,J923,IF($I924=0,K921,$I924*(1+K923))))</f>
        <v/>
      </c>
      <c r="X924" s="1405" t="str">
        <f>IF(L921="","",IF(CNTR_ReportingYear&lt;L920,K923,IF($I924=0,L921,$I924*(1+L923))))</f>
        <v/>
      </c>
      <c r="Y924" s="1405" t="str">
        <f>IF(M921="","",IF(CNTR_ReportingYear&lt;M920,L923,IF($I924=0,M921,$I924*(1+M923))))</f>
        <v/>
      </c>
      <c r="Z924" s="1406" t="str">
        <f>IF(N921="","",IF(CNTR_ReportingYear&lt;N920,M923,IF($I924=0,N921,$I924*(1+N923))))</f>
        <v/>
      </c>
      <c r="AA924" s="694"/>
      <c r="AB924" s="694"/>
      <c r="AC924" s="694"/>
      <c r="AD924" s="694"/>
      <c r="AE924" s="343"/>
      <c r="AF924" s="343"/>
      <c r="AG924" s="343"/>
      <c r="AH924" s="343"/>
      <c r="AI924" s="343"/>
      <c r="AJ924" s="343"/>
      <c r="AK924" s="343"/>
      <c r="AL924" s="343"/>
      <c r="AM924" s="343"/>
    </row>
    <row r="925" spans="1:39" ht="5.15" customHeight="1" thickBot="1" x14ac:dyDescent="0.3">
      <c r="A925" s="729"/>
      <c r="B925" s="698"/>
      <c r="C925" s="284"/>
      <c r="D925" s="1407"/>
      <c r="E925" s="1408"/>
      <c r="F925" s="1408"/>
      <c r="G925" s="1408"/>
      <c r="H925" s="1408"/>
      <c r="I925" s="1408"/>
      <c r="J925" s="1408"/>
      <c r="K925" s="1408"/>
      <c r="L925" s="1408"/>
      <c r="M925" s="1408"/>
      <c r="N925" s="1409"/>
      <c r="O925" s="336"/>
      <c r="P925" s="336"/>
      <c r="Q925" s="694"/>
      <c r="R925" s="694"/>
      <c r="S925" s="729"/>
      <c r="T925" s="729"/>
      <c r="U925" s="694"/>
      <c r="V925" s="694"/>
      <c r="W925" s="694"/>
      <c r="X925" s="694"/>
      <c r="Y925" s="694"/>
      <c r="Z925" s="729"/>
      <c r="AA925" s="729"/>
      <c r="AB925" s="729"/>
      <c r="AC925" s="694"/>
      <c r="AD925" s="694"/>
      <c r="AE925" s="343"/>
      <c r="AF925" s="343"/>
      <c r="AG925" s="343"/>
      <c r="AH925" s="343"/>
      <c r="AI925" s="343"/>
      <c r="AJ925" s="343"/>
      <c r="AK925" s="343"/>
      <c r="AL925" s="343"/>
      <c r="AM925" s="343"/>
    </row>
    <row r="926" spans="1:39" ht="5.15" customHeight="1" x14ac:dyDescent="0.25">
      <c r="A926" s="729" t="str">
        <f>A927</f>
        <v/>
      </c>
      <c r="B926" s="698"/>
      <c r="C926" s="284"/>
      <c r="D926" s="284"/>
      <c r="E926" s="284"/>
      <c r="F926" s="284"/>
      <c r="G926" s="284"/>
      <c r="H926" s="284"/>
      <c r="I926" s="284"/>
      <c r="J926" s="284"/>
      <c r="K926" s="284"/>
      <c r="L926" s="284"/>
      <c r="M926" s="284"/>
      <c r="N926" s="284"/>
      <c r="O926" s="336"/>
      <c r="P926" s="336"/>
      <c r="Q926" s="694"/>
      <c r="R926" s="694"/>
      <c r="S926" s="729"/>
      <c r="T926" s="729"/>
      <c r="U926" s="694"/>
      <c r="V926" s="694"/>
      <c r="W926" s="694"/>
      <c r="X926" s="694"/>
      <c r="Y926" s="694"/>
      <c r="Z926" s="729"/>
      <c r="AA926" s="729"/>
      <c r="AB926" s="729"/>
      <c r="AC926" s="694"/>
      <c r="AD926" s="694"/>
      <c r="AE926" s="343"/>
      <c r="AF926" s="343"/>
      <c r="AG926" s="343"/>
      <c r="AH926" s="343"/>
      <c r="AI926" s="343"/>
      <c r="AJ926" s="343"/>
      <c r="AK926" s="343"/>
      <c r="AL926" s="343"/>
      <c r="AM926" s="343"/>
    </row>
    <row r="927" spans="1:39" ht="14" x14ac:dyDescent="0.3">
      <c r="A927" s="729" t="str">
        <f>IF(MATCH(I905,EUconst_FallBackListNames,0)=4,"ausblenden","")</f>
        <v/>
      </c>
      <c r="B927" s="698"/>
      <c r="C927" s="590"/>
      <c r="D927" s="2323" t="str">
        <f>Translations!$B$495</f>
        <v>Данни за производството</v>
      </c>
      <c r="E927" s="2249"/>
      <c r="F927" s="2249"/>
      <c r="G927" s="2249"/>
      <c r="H927" s="2249"/>
      <c r="I927" s="2249"/>
      <c r="J927" s="2249"/>
      <c r="K927" s="2249"/>
      <c r="L927" s="2249"/>
      <c r="M927" s="2249"/>
      <c r="N927" s="2249"/>
      <c r="O927" s="336"/>
      <c r="P927" s="336"/>
      <c r="Q927" s="694"/>
      <c r="R927" s="694"/>
      <c r="S927" s="694"/>
      <c r="T927" s="694"/>
      <c r="U927" s="694"/>
      <c r="V927" s="694"/>
      <c r="W927" s="694"/>
      <c r="X927" s="694"/>
      <c r="Y927" s="694"/>
      <c r="Z927" s="729"/>
      <c r="AA927" s="729"/>
      <c r="AB927" s="729"/>
      <c r="AC927" s="694"/>
      <c r="AD927" s="694"/>
      <c r="AE927" s="343"/>
      <c r="AF927" s="343"/>
      <c r="AG927" s="343"/>
      <c r="AH927" s="343"/>
      <c r="AI927" s="343"/>
      <c r="AJ927" s="343"/>
      <c r="AK927" s="343"/>
      <c r="AL927" s="343"/>
      <c r="AM927" s="343"/>
    </row>
    <row r="928" spans="1:39" ht="5.15" customHeight="1" x14ac:dyDescent="0.25">
      <c r="A928" s="729" t="str">
        <f>A927</f>
        <v/>
      </c>
      <c r="B928" s="284"/>
      <c r="C928" s="284"/>
      <c r="D928" s="284"/>
      <c r="E928" s="284"/>
      <c r="F928" s="284"/>
      <c r="G928" s="284"/>
      <c r="H928" s="284"/>
      <c r="I928" s="284"/>
      <c r="J928" s="284"/>
      <c r="K928" s="284"/>
      <c r="L928" s="284"/>
      <c r="M928" s="284"/>
      <c r="N928" s="284"/>
      <c r="O928" s="336"/>
      <c r="P928" s="336"/>
      <c r="Q928" s="770"/>
      <c r="R928" s="770"/>
      <c r="S928" s="694"/>
      <c r="T928" s="694"/>
      <c r="U928" s="694"/>
      <c r="V928" s="694"/>
      <c r="W928" s="694"/>
      <c r="X928" s="694"/>
      <c r="Y928" s="694"/>
      <c r="Z928" s="729"/>
      <c r="AA928" s="729"/>
      <c r="AB928" s="729"/>
      <c r="AC928" s="694"/>
      <c r="AD928" s="694"/>
      <c r="AE928" s="343"/>
      <c r="AF928" s="343"/>
      <c r="AG928" s="343"/>
      <c r="AH928" s="343"/>
      <c r="AI928" s="343"/>
      <c r="AJ928" s="343"/>
      <c r="AK928" s="343"/>
      <c r="AL928" s="343"/>
      <c r="AM928" s="343"/>
    </row>
    <row r="929" spans="1:39" ht="12.75" customHeight="1" x14ac:dyDescent="0.25">
      <c r="A929" s="729" t="str">
        <f t="shared" ref="A929:A932" si="1436">A928</f>
        <v/>
      </c>
      <c r="B929" s="284"/>
      <c r="C929" s="300"/>
      <c r="D929" s="300" t="s">
        <v>901</v>
      </c>
      <c r="E929" s="2226" t="str">
        <f>Translations!$B$616</f>
        <v>Определяне на съответните продукти или услуги, свързани с тази подинсталация</v>
      </c>
      <c r="F929" s="2249"/>
      <c r="G929" s="2249"/>
      <c r="H929" s="2249"/>
      <c r="I929" s="2249"/>
      <c r="J929" s="2249"/>
      <c r="K929" s="2249"/>
      <c r="L929" s="2249"/>
      <c r="M929" s="2249"/>
      <c r="N929" s="2249"/>
      <c r="O929" s="336"/>
      <c r="P929" s="336"/>
      <c r="Q929" s="770"/>
      <c r="R929" s="694"/>
      <c r="S929" s="694"/>
      <c r="T929" s="694"/>
      <c r="U929" s="694"/>
      <c r="V929" s="694"/>
      <c r="W929" s="694"/>
      <c r="X929" s="694"/>
      <c r="Y929" s="694"/>
      <c r="Z929" s="694"/>
      <c r="AA929" s="694"/>
      <c r="AB929" s="729"/>
      <c r="AC929" s="694"/>
      <c r="AD929" s="694"/>
      <c r="AE929" s="343"/>
      <c r="AF929" s="343"/>
      <c r="AG929" s="343"/>
      <c r="AH929" s="343"/>
      <c r="AI929" s="343"/>
      <c r="AJ929" s="343"/>
      <c r="AK929" s="343"/>
      <c r="AL929" s="343"/>
      <c r="AM929" s="343"/>
    </row>
    <row r="930" spans="1:39" ht="12.75" customHeight="1" x14ac:dyDescent="0.25">
      <c r="A930" s="729" t="str">
        <f t="shared" si="1436"/>
        <v/>
      </c>
      <c r="B930" s="284"/>
      <c r="C930" s="302"/>
      <c r="D930" s="302"/>
      <c r="E930" s="2358" t="str">
        <f>Translations!$B$617</f>
        <v>Тук посочете към кои производствени процеси или услуги има отношение тази подинсталация. Това може да включва следните елементи:</v>
      </c>
      <c r="F930" s="2249"/>
      <c r="G930" s="2249"/>
      <c r="H930" s="2249"/>
      <c r="I930" s="2249"/>
      <c r="J930" s="2249"/>
      <c r="K930" s="2249"/>
      <c r="L930" s="2249"/>
      <c r="M930" s="2249"/>
      <c r="N930" s="2249"/>
      <c r="O930" s="336"/>
      <c r="P930" s="336"/>
      <c r="Q930" s="770"/>
      <c r="R930" s="770"/>
      <c r="S930" s="770"/>
      <c r="T930" s="770"/>
      <c r="U930" s="770"/>
      <c r="V930" s="770"/>
      <c r="W930" s="770"/>
      <c r="X930" s="770"/>
      <c r="Y930" s="770"/>
      <c r="Z930" s="770"/>
      <c r="AA930" s="770"/>
      <c r="AB930" s="729"/>
      <c r="AC930" s="694"/>
      <c r="AD930" s="694"/>
      <c r="AE930" s="343"/>
      <c r="AF930" s="343"/>
      <c r="AG930" s="343"/>
      <c r="AH930" s="343"/>
      <c r="AI930" s="343"/>
      <c r="AJ930" s="343"/>
      <c r="AK930" s="343"/>
      <c r="AL930" s="343"/>
      <c r="AM930" s="343"/>
    </row>
    <row r="931" spans="1:39" ht="12.75" customHeight="1" x14ac:dyDescent="0.25">
      <c r="A931" s="729" t="str">
        <f t="shared" si="1436"/>
        <v/>
      </c>
      <c r="B931" s="284"/>
      <c r="C931" s="302"/>
      <c r="D931" s="302"/>
      <c r="E931" s="1410" t="s">
        <v>951</v>
      </c>
      <c r="F931" s="2358" t="str">
        <f>Translations!$B$618</f>
        <v>Производство на стоки, непопадащи в продуктовите показатели в рамките на инсталацията (посочете вида продукти);</v>
      </c>
      <c r="G931" s="2249"/>
      <c r="H931" s="2249"/>
      <c r="I931" s="2249"/>
      <c r="J931" s="2249"/>
      <c r="K931" s="2249"/>
      <c r="L931" s="2249"/>
      <c r="M931" s="2249"/>
      <c r="N931" s="2249"/>
      <c r="O931" s="336"/>
      <c r="P931" s="336"/>
      <c r="Q931" s="770"/>
      <c r="R931" s="770"/>
      <c r="S931" s="770"/>
      <c r="T931" s="770"/>
      <c r="U931" s="770"/>
      <c r="V931" s="770"/>
      <c r="W931" s="770"/>
      <c r="X931" s="770"/>
      <c r="Y931" s="770"/>
      <c r="Z931" s="770"/>
      <c r="AA931" s="770"/>
      <c r="AB931" s="729"/>
      <c r="AC931" s="694"/>
      <c r="AD931" s="694"/>
      <c r="AE931" s="343"/>
      <c r="AF931" s="343"/>
      <c r="AG931" s="343"/>
      <c r="AH931" s="343"/>
      <c r="AI931" s="343"/>
      <c r="AJ931" s="343"/>
      <c r="AK931" s="343"/>
      <c r="AL931" s="343"/>
      <c r="AM931" s="343"/>
    </row>
    <row r="932" spans="1:39" ht="12.75" customHeight="1" x14ac:dyDescent="0.25">
      <c r="A932" s="729" t="str">
        <f t="shared" si="1436"/>
        <v/>
      </c>
      <c r="B932" s="284"/>
      <c r="C932" s="302"/>
      <c r="D932" s="302"/>
      <c r="E932" s="1410" t="s">
        <v>951</v>
      </c>
      <c r="F932" s="2358" t="str">
        <f>Translations!$B$619</f>
        <v>производство на механична енергия, за отопление или охлаждане (всички употреби без производство на електроенергия);</v>
      </c>
      <c r="G932" s="2249"/>
      <c r="H932" s="2249"/>
      <c r="I932" s="2249"/>
      <c r="J932" s="2249"/>
      <c r="K932" s="2249"/>
      <c r="L932" s="2249"/>
      <c r="M932" s="2249"/>
      <c r="N932" s="2249"/>
      <c r="O932" s="336"/>
      <c r="P932" s="336"/>
      <c r="Q932" s="770"/>
      <c r="R932" s="770"/>
      <c r="S932" s="770"/>
      <c r="T932" s="770"/>
      <c r="U932" s="770"/>
      <c r="V932" s="770"/>
      <c r="W932" s="770"/>
      <c r="X932" s="770"/>
      <c r="Y932" s="770"/>
      <c r="Z932" s="694"/>
      <c r="AA932" s="694"/>
      <c r="AB932" s="729"/>
      <c r="AC932" s="694"/>
      <c r="AD932" s="694"/>
      <c r="AE932" s="343"/>
      <c r="AF932" s="343"/>
      <c r="AG932" s="343"/>
      <c r="AH932" s="343"/>
      <c r="AI932" s="343"/>
      <c r="AJ932" s="343"/>
      <c r="AK932" s="343"/>
      <c r="AL932" s="343"/>
      <c r="AM932" s="343"/>
    </row>
    <row r="933" spans="1:39" ht="25.5" customHeight="1" x14ac:dyDescent="0.25">
      <c r="A933" s="729"/>
      <c r="B933" s="284"/>
      <c r="C933" s="302"/>
      <c r="D933" s="302"/>
      <c r="E933" s="2358" t="str">
        <f>Translations!$B$497</f>
        <v>Кодовете по Продком се въвеждат като низове във вида „nnnnnnnn“, т.е. без точки или други разделителни знаци между тях. Само когато липсва код по Продком, се посочва 4-цифрения код по статистическата класификация на икономическите дейности в Европейския съюз (NACE) във вида „nnnn“.</v>
      </c>
      <c r="F933" s="2249"/>
      <c r="G933" s="2249"/>
      <c r="H933" s="2249"/>
      <c r="I933" s="2249"/>
      <c r="J933" s="2249"/>
      <c r="K933" s="2249"/>
      <c r="L933" s="2249"/>
      <c r="M933" s="2249"/>
      <c r="N933" s="2249"/>
      <c r="O933" s="336"/>
      <c r="P933" s="336"/>
      <c r="Q933" s="770"/>
      <c r="R933" s="694"/>
      <c r="S933" s="694"/>
      <c r="T933" s="694"/>
      <c r="U933" s="694"/>
      <c r="V933" s="694"/>
      <c r="W933" s="694"/>
      <c r="X933" s="694"/>
      <c r="Y933" s="694"/>
      <c r="Z933" s="694"/>
      <c r="AA933" s="694"/>
      <c r="AB933" s="729"/>
      <c r="AC933" s="694"/>
      <c r="AD933" s="694"/>
      <c r="AE933" s="343"/>
      <c r="AF933" s="343"/>
      <c r="AG933" s="343"/>
      <c r="AH933" s="343"/>
      <c r="AI933" s="343"/>
      <c r="AJ933" s="343"/>
      <c r="AK933" s="343"/>
      <c r="AL933" s="343"/>
      <c r="AM933" s="343"/>
    </row>
    <row r="934" spans="1:39" ht="12.75" customHeight="1" x14ac:dyDescent="0.25">
      <c r="A934" s="729"/>
      <c r="B934" s="284"/>
      <c r="C934" s="302"/>
      <c r="D934" s="302"/>
      <c r="E934" s="2358" t="str">
        <f>Translations!$B$498</f>
        <v>Продком списъкът за 2010 г. може да се намери на адрес: http://ec.europa.eu/eurostat/ramon/nomenclatures/index.cfm?TargetUrl=LST_CLS_DLD&amp;StrNom=PRD_2010&amp;StrLanguageCode=EN&amp;StrLayoutCode=HIERARCHIChttp://ec.europa.eu/eurostat/ramon/nomenclatures/index.cfm?TargetUrl=LST_CLS_DLD&amp;StrNom=PRD_2010&amp;StrLanguageCode=EN&amp;StrLayoutCode=HIERARCHIC</v>
      </c>
      <c r="F934" s="2249"/>
      <c r="G934" s="2249"/>
      <c r="H934" s="2249"/>
      <c r="I934" s="2249"/>
      <c r="J934" s="2249"/>
      <c r="K934" s="2249"/>
      <c r="L934" s="2249"/>
      <c r="M934" s="2249"/>
      <c r="N934" s="2249"/>
      <c r="O934" s="336"/>
      <c r="P934" s="336"/>
      <c r="Q934" s="770"/>
      <c r="R934" s="694"/>
      <c r="S934" s="694"/>
      <c r="T934" s="694"/>
      <c r="U934" s="694"/>
      <c r="V934" s="694"/>
      <c r="W934" s="694"/>
      <c r="X934" s="694"/>
      <c r="Y934" s="694"/>
      <c r="Z934" s="694"/>
      <c r="AA934" s="694"/>
      <c r="AB934" s="729"/>
      <c r="AC934" s="694"/>
      <c r="AD934" s="694"/>
      <c r="AE934" s="343"/>
      <c r="AF934" s="343"/>
      <c r="AG934" s="343"/>
      <c r="AH934" s="343"/>
      <c r="AI934" s="343"/>
      <c r="AJ934" s="343"/>
      <c r="AK934" s="343"/>
      <c r="AL934" s="343"/>
      <c r="AM934" s="343"/>
    </row>
    <row r="935" spans="1:39" ht="12.75" customHeight="1" x14ac:dyDescent="0.25">
      <c r="A935" s="729"/>
      <c r="B935" s="284"/>
      <c r="C935" s="302"/>
      <c r="D935" s="302"/>
      <c r="E935" s="2855" t="str">
        <f>Translations!$B$1532</f>
        <v>https://eur-lex.europa.eu/eli/reg/2010/860/oj</v>
      </c>
      <c r="F935" s="2899"/>
      <c r="G935" s="2899"/>
      <c r="H935" s="2899"/>
      <c r="I935" s="2899"/>
      <c r="J935" s="2899"/>
      <c r="K935" s="2899"/>
      <c r="L935" s="2899"/>
      <c r="M935" s="2899"/>
      <c r="N935" s="2899"/>
      <c r="O935" s="336"/>
      <c r="P935" s="336"/>
      <c r="Q935" s="770"/>
      <c r="R935" s="694"/>
      <c r="S935" s="694"/>
      <c r="T935" s="694"/>
      <c r="U935" s="694"/>
      <c r="V935" s="694"/>
      <c r="W935" s="694"/>
      <c r="X935" s="694"/>
      <c r="Y935" s="694"/>
      <c r="Z935" s="694"/>
      <c r="AA935" s="694"/>
      <c r="AB935" s="729"/>
      <c r="AC935" s="694"/>
      <c r="AD935" s="694"/>
      <c r="AE935" s="343"/>
      <c r="AF935" s="343"/>
      <c r="AG935" s="343"/>
      <c r="AH935" s="343"/>
      <c r="AI935" s="343"/>
      <c r="AJ935" s="343"/>
      <c r="AK935" s="343"/>
      <c r="AL935" s="343"/>
      <c r="AM935" s="343"/>
    </row>
    <row r="936" spans="1:39" ht="12.75" customHeight="1" x14ac:dyDescent="0.25">
      <c r="A936" s="729"/>
      <c r="B936" s="284"/>
      <c r="C936" s="302"/>
      <c r="D936" s="302"/>
      <c r="E936" s="2358" t="str">
        <f>Translations!$B$621</f>
        <v>Ако са обхванати няколко подобни продукта в рамките на една група по NACE, могат да се използват кодовете по NACE вместо по Продком.</v>
      </c>
      <c r="F936" s="2249"/>
      <c r="G936" s="2249"/>
      <c r="H936" s="2249"/>
      <c r="I936" s="2249"/>
      <c r="J936" s="2249"/>
      <c r="K936" s="2249"/>
      <c r="L936" s="2249"/>
      <c r="M936" s="2249"/>
      <c r="N936" s="2249"/>
      <c r="O936" s="336"/>
      <c r="P936" s="336"/>
      <c r="Q936" s="770"/>
      <c r="R936" s="770"/>
      <c r="S936" s="770"/>
      <c r="T936" s="770"/>
      <c r="U936" s="770"/>
      <c r="V936" s="770"/>
      <c r="W936" s="770"/>
      <c r="X936" s="770"/>
      <c r="Y936" s="770"/>
      <c r="Z936" s="694"/>
      <c r="AA936" s="694"/>
      <c r="AB936" s="729"/>
      <c r="AC936" s="694"/>
      <c r="AD936" s="694"/>
      <c r="AE936" s="343"/>
      <c r="AF936" s="343"/>
      <c r="AG936" s="343"/>
      <c r="AH936" s="343"/>
      <c r="AI936" s="343"/>
      <c r="AJ936" s="343"/>
      <c r="AK936" s="343"/>
      <c r="AL936" s="343"/>
      <c r="AM936" s="343"/>
    </row>
    <row r="937" spans="1:39" ht="12.75" customHeight="1" x14ac:dyDescent="0.25">
      <c r="A937" s="729"/>
      <c r="B937" s="284"/>
      <c r="C937" s="302"/>
      <c r="D937" s="302"/>
      <c r="E937" s="2358" t="str">
        <f>Translations!$B$1520</f>
        <v>Кодовете по КН са кодовете съгласно Регламент (ЕИО) № 2658/87, които са на разположение на следния адрес:</v>
      </c>
      <c r="F937" s="2249"/>
      <c r="G937" s="2249"/>
      <c r="H937" s="2249"/>
      <c r="I937" s="2249"/>
      <c r="J937" s="2249"/>
      <c r="K937" s="2249"/>
      <c r="L937" s="2249"/>
      <c r="M937" s="2249"/>
      <c r="N937" s="2249"/>
      <c r="O937" s="336"/>
      <c r="P937" s="336"/>
      <c r="Q937" s="770"/>
      <c r="R937" s="770"/>
      <c r="S937" s="770"/>
      <c r="T937" s="770"/>
      <c r="U937" s="770"/>
      <c r="V937" s="770"/>
      <c r="W937" s="770"/>
      <c r="X937" s="770"/>
      <c r="Y937" s="770"/>
      <c r="Z937" s="694"/>
      <c r="AA937" s="694"/>
      <c r="AB937" s="729"/>
      <c r="AC937" s="694"/>
      <c r="AD937" s="694"/>
      <c r="AE937" s="343"/>
      <c r="AF937" s="343"/>
      <c r="AG937" s="343"/>
      <c r="AH937" s="343"/>
      <c r="AI937" s="343"/>
      <c r="AJ937" s="343"/>
      <c r="AK937" s="343"/>
      <c r="AL937" s="343"/>
      <c r="AM937" s="343"/>
    </row>
    <row r="938" spans="1:39" ht="12.75" customHeight="1" x14ac:dyDescent="0.25">
      <c r="A938" s="729"/>
      <c r="B938" s="284"/>
      <c r="C938" s="302"/>
      <c r="D938" s="302"/>
      <c r="E938" s="2855" t="str">
        <f>Translations!$B$1521</f>
        <v>https://eur-lex.europa.eu/eli/reg/1987/2658/2023-06-17</v>
      </c>
      <c r="F938" s="2899"/>
      <c r="G938" s="2899"/>
      <c r="H938" s="2899"/>
      <c r="I938" s="2899"/>
      <c r="J938" s="2899"/>
      <c r="K938" s="2899"/>
      <c r="L938" s="2899"/>
      <c r="M938" s="2899"/>
      <c r="N938" s="2899"/>
      <c r="O938" s="336"/>
      <c r="P938" s="336"/>
      <c r="Q938" s="770"/>
      <c r="R938" s="770"/>
      <c r="S938" s="770"/>
      <c r="T938" s="770"/>
      <c r="U938" s="770"/>
      <c r="V938" s="770"/>
      <c r="W938" s="770"/>
      <c r="X938" s="770"/>
      <c r="Y938" s="770"/>
      <c r="Z938" s="694"/>
      <c r="AA938" s="694"/>
      <c r="AB938" s="729"/>
      <c r="AC938" s="694"/>
      <c r="AD938" s="694"/>
      <c r="AE938" s="343"/>
      <c r="AF938" s="343"/>
      <c r="AG938" s="343"/>
      <c r="AH938" s="343"/>
      <c r="AI938" s="343"/>
      <c r="AJ938" s="343"/>
      <c r="AK938" s="343"/>
      <c r="AL938" s="343"/>
      <c r="AM938" s="343"/>
    </row>
    <row r="939" spans="1:39" ht="5.15" customHeight="1" x14ac:dyDescent="0.25">
      <c r="A939" s="729"/>
      <c r="B939" s="284"/>
      <c r="C939" s="302"/>
      <c r="D939" s="302"/>
      <c r="E939" s="460"/>
      <c r="F939" s="460"/>
      <c r="G939" s="460"/>
      <c r="H939" s="460"/>
      <c r="I939" s="460"/>
      <c r="J939" s="329"/>
      <c r="K939" s="329"/>
      <c r="L939" s="329"/>
      <c r="M939" s="336"/>
      <c r="N939" s="336"/>
      <c r="O939" s="336"/>
      <c r="P939" s="336"/>
      <c r="Q939" s="770"/>
      <c r="R939" s="694"/>
      <c r="S939" s="694"/>
      <c r="T939" s="694"/>
      <c r="U939" s="694"/>
      <c r="V939" s="694"/>
      <c r="W939" s="694"/>
      <c r="X939" s="694"/>
      <c r="Y939" s="694"/>
      <c r="Z939" s="694"/>
      <c r="AA939" s="694"/>
      <c r="AB939" s="729"/>
      <c r="AC939" s="694"/>
      <c r="AD939" s="694"/>
      <c r="AE939" s="343"/>
      <c r="AF939" s="343"/>
      <c r="AG939" s="343"/>
      <c r="AH939" s="343"/>
      <c r="AI939" s="343"/>
      <c r="AJ939" s="343"/>
      <c r="AK939" s="343"/>
      <c r="AL939" s="343"/>
      <c r="AM939" s="343"/>
    </row>
    <row r="940" spans="1:39" ht="25.5" customHeight="1" x14ac:dyDescent="0.25">
      <c r="A940" s="729"/>
      <c r="B940" s="698"/>
      <c r="C940" s="300"/>
      <c r="D940" s="1014"/>
      <c r="E940" s="2900" t="str">
        <f>Translations!$B$622</f>
        <v>Вид употреба</v>
      </c>
      <c r="F940" s="2901"/>
      <c r="G940" s="2902" t="str">
        <f>Translations!$B$1557</f>
        <v>Име на продукт или вид услуга</v>
      </c>
      <c r="H940" s="2463"/>
      <c r="I940" s="2463"/>
      <c r="J940" s="2463"/>
      <c r="K940" s="2463"/>
      <c r="L940" s="2699"/>
      <c r="M940" s="1277" t="str">
        <f>Translations!$B$1522</f>
        <v>ПРОДКОМ за 2010 г.</v>
      </c>
      <c r="N940" s="1277" t="str">
        <f>Translations!$B$1523</f>
        <v>Код по КН</v>
      </c>
      <c r="O940" s="336"/>
      <c r="P940" s="336"/>
      <c r="Q940" s="694"/>
      <c r="R940" s="694"/>
      <c r="S940" s="1390" t="s">
        <v>1990</v>
      </c>
      <c r="T940" s="694"/>
      <c r="U940" s="694"/>
      <c r="V940" s="694"/>
      <c r="W940" s="694"/>
      <c r="X940" s="694"/>
      <c r="Y940" s="694"/>
      <c r="Z940" s="770"/>
      <c r="AA940" s="770"/>
      <c r="AB940" s="729"/>
      <c r="AC940" s="694"/>
      <c r="AD940" s="694"/>
      <c r="AE940" s="343"/>
      <c r="AF940" s="343"/>
      <c r="AG940" s="343"/>
      <c r="AH940" s="343"/>
      <c r="AI940" s="343"/>
      <c r="AJ940" s="343"/>
      <c r="AK940" s="343"/>
      <c r="AL940" s="343"/>
      <c r="AM940" s="343"/>
    </row>
    <row r="941" spans="1:39" ht="12.75" customHeight="1" x14ac:dyDescent="0.25">
      <c r="A941" s="729"/>
      <c r="B941" s="698"/>
      <c r="C941" s="773"/>
      <c r="D941" s="981">
        <v>1</v>
      </c>
      <c r="E941" s="2420"/>
      <c r="F941" s="2421"/>
      <c r="G941" s="2903"/>
      <c r="H941" s="2904"/>
      <c r="I941" s="2904"/>
      <c r="J941" s="2904"/>
      <c r="K941" s="2904"/>
      <c r="L941" s="2905"/>
      <c r="M941" s="221"/>
      <c r="N941" s="221"/>
      <c r="O941" s="336"/>
      <c r="P941" s="158"/>
      <c r="Q941" s="694"/>
      <c r="R941" s="1174"/>
      <c r="S941" s="982" t="b">
        <f>TRUE</f>
        <v>1</v>
      </c>
      <c r="T941" s="1411" t="s">
        <v>2078</v>
      </c>
      <c r="U941" s="694"/>
      <c r="V941" s="694"/>
      <c r="W941" s="694"/>
      <c r="X941" s="694"/>
      <c r="Y941" s="694"/>
      <c r="Z941" s="694"/>
      <c r="AA941" s="694"/>
      <c r="AB941" s="729"/>
      <c r="AC941" s="694"/>
      <c r="AD941" s="694"/>
      <c r="AE941" s="343"/>
      <c r="AF941" s="343"/>
      <c r="AG941" s="343"/>
      <c r="AH941" s="343"/>
      <c r="AI941" s="343"/>
      <c r="AJ941" s="343"/>
      <c r="AK941" s="1174" t="s">
        <v>2039</v>
      </c>
      <c r="AL941" s="1176" t="str">
        <f>IF(AND($M905=EUconst_Relevant,COUNTA(E941:N941)&lt;4),EUconst_Error&amp;"FB"&amp;Q905,"")</f>
        <v/>
      </c>
      <c r="AM941" s="343"/>
    </row>
    <row r="942" spans="1:39" ht="12.75" customHeight="1" x14ac:dyDescent="0.25">
      <c r="A942" s="729"/>
      <c r="B942" s="698"/>
      <c r="C942" s="773"/>
      <c r="D942" s="990">
        <f>D941+1</f>
        <v>2</v>
      </c>
      <c r="E942" s="2406"/>
      <c r="F942" s="2405"/>
      <c r="G942" s="2913"/>
      <c r="H942" s="2914"/>
      <c r="I942" s="2914"/>
      <c r="J942" s="2914"/>
      <c r="K942" s="2914"/>
      <c r="L942" s="2915"/>
      <c r="M942" s="224"/>
      <c r="N942" s="224"/>
      <c r="O942" s="336"/>
      <c r="P942" s="158"/>
      <c r="Q942" s="694"/>
      <c r="R942" s="694"/>
      <c r="S942" s="982" t="b">
        <f>TRUE</f>
        <v>1</v>
      </c>
      <c r="T942" s="694"/>
      <c r="U942" s="694"/>
      <c r="V942" s="694"/>
      <c r="W942" s="694"/>
      <c r="X942" s="694"/>
      <c r="Y942" s="694"/>
      <c r="Z942" s="694"/>
      <c r="AA942" s="694"/>
      <c r="AB942" s="729"/>
      <c r="AC942" s="694"/>
      <c r="AD942" s="694"/>
      <c r="AE942" s="343"/>
      <c r="AF942" s="343"/>
      <c r="AG942" s="343"/>
      <c r="AH942" s="343"/>
      <c r="AI942" s="343"/>
      <c r="AJ942" s="343"/>
      <c r="AK942" s="343"/>
      <c r="AL942" s="343"/>
      <c r="AM942" s="343"/>
    </row>
    <row r="943" spans="1:39" ht="12.75" customHeight="1" x14ac:dyDescent="0.25">
      <c r="A943" s="729"/>
      <c r="B943" s="698"/>
      <c r="C943" s="773"/>
      <c r="D943" s="990">
        <f t="shared" ref="D943:D950" si="1437">D942+1</f>
        <v>3</v>
      </c>
      <c r="E943" s="2406"/>
      <c r="F943" s="2405"/>
      <c r="G943" s="2913"/>
      <c r="H943" s="2914"/>
      <c r="I943" s="2914"/>
      <c r="J943" s="2914"/>
      <c r="K943" s="2914"/>
      <c r="L943" s="2915"/>
      <c r="M943" s="224"/>
      <c r="N943" s="224"/>
      <c r="O943" s="336"/>
      <c r="P943" s="158"/>
      <c r="Q943" s="694"/>
      <c r="R943" s="694"/>
      <c r="S943" s="982" t="b">
        <f>TRUE</f>
        <v>1</v>
      </c>
      <c r="T943" s="694"/>
      <c r="U943" s="694"/>
      <c r="V943" s="694"/>
      <c r="W943" s="694"/>
      <c r="X943" s="694"/>
      <c r="Y943" s="694"/>
      <c r="Z943" s="694"/>
      <c r="AA943" s="694"/>
      <c r="AB943" s="729"/>
      <c r="AC943" s="694"/>
      <c r="AD943" s="694"/>
      <c r="AE943" s="343"/>
      <c r="AF943" s="343"/>
      <c r="AG943" s="343"/>
      <c r="AH943" s="343"/>
      <c r="AI943" s="343"/>
      <c r="AJ943" s="343"/>
      <c r="AK943" s="343"/>
      <c r="AL943" s="343"/>
      <c r="AM943" s="343"/>
    </row>
    <row r="944" spans="1:39" ht="12.75" customHeight="1" x14ac:dyDescent="0.25">
      <c r="A944" s="729"/>
      <c r="B944" s="698"/>
      <c r="C944" s="773"/>
      <c r="D944" s="990">
        <f t="shared" si="1437"/>
        <v>4</v>
      </c>
      <c r="E944" s="2406"/>
      <c r="F944" s="2405"/>
      <c r="G944" s="2913"/>
      <c r="H944" s="2914"/>
      <c r="I944" s="2914"/>
      <c r="J944" s="2914"/>
      <c r="K944" s="2914"/>
      <c r="L944" s="2915"/>
      <c r="M944" s="222"/>
      <c r="N944" s="222"/>
      <c r="O944" s="336"/>
      <c r="P944" s="158"/>
      <c r="Q944" s="694"/>
      <c r="R944" s="694"/>
      <c r="S944" s="982" t="b">
        <f>TRUE</f>
        <v>1</v>
      </c>
      <c r="T944" s="694"/>
      <c r="U944" s="694"/>
      <c r="V944" s="694"/>
      <c r="W944" s="694"/>
      <c r="X944" s="694"/>
      <c r="Y944" s="694"/>
      <c r="Z944" s="694"/>
      <c r="AA944" s="694"/>
      <c r="AB944" s="729"/>
      <c r="AC944" s="694"/>
      <c r="AD944" s="694"/>
      <c r="AE944" s="343"/>
      <c r="AF944" s="343"/>
      <c r="AG944" s="343"/>
      <c r="AH944" s="343"/>
      <c r="AI944" s="343"/>
      <c r="AJ944" s="343"/>
      <c r="AK944" s="343"/>
      <c r="AL944" s="343"/>
      <c r="AM944" s="343"/>
    </row>
    <row r="945" spans="1:39" ht="12.75" customHeight="1" x14ac:dyDescent="0.25">
      <c r="A945" s="729"/>
      <c r="B945" s="698"/>
      <c r="C945" s="773"/>
      <c r="D945" s="990">
        <f t="shared" si="1437"/>
        <v>5</v>
      </c>
      <c r="E945" s="2406"/>
      <c r="F945" s="2405"/>
      <c r="G945" s="2913"/>
      <c r="H945" s="2914"/>
      <c r="I945" s="2914"/>
      <c r="J945" s="2914"/>
      <c r="K945" s="2914"/>
      <c r="L945" s="2915"/>
      <c r="M945" s="222"/>
      <c r="N945" s="222"/>
      <c r="O945" s="336"/>
      <c r="P945" s="158"/>
      <c r="Q945" s="694"/>
      <c r="R945" s="694"/>
      <c r="S945" s="982" t="b">
        <f>TRUE</f>
        <v>1</v>
      </c>
      <c r="T945" s="694"/>
      <c r="U945" s="694"/>
      <c r="V945" s="694"/>
      <c r="W945" s="694"/>
      <c r="X945" s="694"/>
      <c r="Y945" s="694"/>
      <c r="Z945" s="770"/>
      <c r="AA945" s="770"/>
      <c r="AB945" s="729"/>
      <c r="AC945" s="694"/>
      <c r="AD945" s="694"/>
      <c r="AE945" s="343"/>
      <c r="AF945" s="343"/>
      <c r="AG945" s="343"/>
      <c r="AH945" s="343"/>
      <c r="AI945" s="343"/>
      <c r="AJ945" s="343"/>
      <c r="AK945" s="343"/>
      <c r="AL945" s="343"/>
      <c r="AM945" s="343"/>
    </row>
    <row r="946" spans="1:39" ht="12.75" customHeight="1" x14ac:dyDescent="0.25">
      <c r="A946" s="729"/>
      <c r="B946" s="698"/>
      <c r="C946" s="773"/>
      <c r="D946" s="990">
        <f t="shared" si="1437"/>
        <v>6</v>
      </c>
      <c r="E946" s="2406"/>
      <c r="F946" s="2405"/>
      <c r="G946" s="2907"/>
      <c r="H946" s="2908"/>
      <c r="I946" s="2908"/>
      <c r="J946" s="2908"/>
      <c r="K946" s="2908"/>
      <c r="L946" s="2909"/>
      <c r="M946" s="222"/>
      <c r="N946" s="222"/>
      <c r="O946" s="336"/>
      <c r="P946" s="158"/>
      <c r="Q946" s="694"/>
      <c r="R946" s="694"/>
      <c r="S946" s="982" t="b">
        <f>TRUE</f>
        <v>1</v>
      </c>
      <c r="T946" s="694"/>
      <c r="U946" s="694"/>
      <c r="V946" s="694"/>
      <c r="W946" s="694"/>
      <c r="X946" s="694"/>
      <c r="Y946" s="694"/>
      <c r="Z946" s="694"/>
      <c r="AA946" s="694"/>
      <c r="AB946" s="729"/>
      <c r="AC946" s="694"/>
      <c r="AD946" s="694"/>
      <c r="AE946" s="343"/>
      <c r="AF946" s="343"/>
      <c r="AG946" s="343"/>
      <c r="AH946" s="343"/>
      <c r="AI946" s="343"/>
      <c r="AJ946" s="343"/>
      <c r="AK946" s="343"/>
      <c r="AL946" s="343"/>
      <c r="AM946" s="343"/>
    </row>
    <row r="947" spans="1:39" ht="12.75" customHeight="1" x14ac:dyDescent="0.25">
      <c r="A947" s="729"/>
      <c r="B947" s="698"/>
      <c r="C947" s="773"/>
      <c r="D947" s="990">
        <f t="shared" si="1437"/>
        <v>7</v>
      </c>
      <c r="E947" s="2406"/>
      <c r="F947" s="2405"/>
      <c r="G947" s="2907"/>
      <c r="H947" s="2908"/>
      <c r="I947" s="2908"/>
      <c r="J947" s="2908"/>
      <c r="K947" s="2908"/>
      <c r="L947" s="2909"/>
      <c r="M947" s="222"/>
      <c r="N947" s="222"/>
      <c r="O947" s="336"/>
      <c r="P947" s="158"/>
      <c r="Q947" s="694"/>
      <c r="R947" s="694"/>
      <c r="S947" s="982" t="b">
        <f>TRUE</f>
        <v>1</v>
      </c>
      <c r="T947" s="694"/>
      <c r="U947" s="694"/>
      <c r="V947" s="694"/>
      <c r="W947" s="694"/>
      <c r="X947" s="694"/>
      <c r="Y947" s="694"/>
      <c r="Z947" s="694"/>
      <c r="AA947" s="694"/>
      <c r="AB947" s="729"/>
      <c r="AC947" s="694"/>
      <c r="AD947" s="694"/>
      <c r="AE947" s="343"/>
      <c r="AF947" s="343"/>
      <c r="AG947" s="343"/>
      <c r="AH947" s="343"/>
      <c r="AI947" s="343"/>
      <c r="AJ947" s="343"/>
      <c r="AK947" s="343"/>
      <c r="AL947" s="343"/>
      <c r="AM947" s="343"/>
    </row>
    <row r="948" spans="1:39" ht="12.75" customHeight="1" x14ac:dyDescent="0.25">
      <c r="A948" s="729"/>
      <c r="B948" s="698"/>
      <c r="C948" s="773"/>
      <c r="D948" s="990">
        <f t="shared" si="1437"/>
        <v>8</v>
      </c>
      <c r="E948" s="2406"/>
      <c r="F948" s="2405"/>
      <c r="G948" s="2907"/>
      <c r="H948" s="2908"/>
      <c r="I948" s="2908"/>
      <c r="J948" s="2908"/>
      <c r="K948" s="2908"/>
      <c r="L948" s="2909"/>
      <c r="M948" s="222"/>
      <c r="N948" s="222"/>
      <c r="O948" s="336"/>
      <c r="P948" s="158"/>
      <c r="Q948" s="694"/>
      <c r="R948" s="694"/>
      <c r="S948" s="982" t="b">
        <f>TRUE</f>
        <v>1</v>
      </c>
      <c r="T948" s="694"/>
      <c r="U948" s="694"/>
      <c r="V948" s="694"/>
      <c r="W948" s="694"/>
      <c r="X948" s="694"/>
      <c r="Y948" s="694"/>
      <c r="Z948" s="694"/>
      <c r="AA948" s="694"/>
      <c r="AB948" s="729"/>
      <c r="AC948" s="694"/>
      <c r="AD948" s="694"/>
      <c r="AE948" s="343"/>
      <c r="AF948" s="343"/>
      <c r="AG948" s="343"/>
      <c r="AH948" s="343"/>
      <c r="AI948" s="343"/>
      <c r="AJ948" s="343"/>
      <c r="AK948" s="343"/>
      <c r="AL948" s="343"/>
      <c r="AM948" s="343"/>
    </row>
    <row r="949" spans="1:39" ht="12.75" customHeight="1" x14ac:dyDescent="0.25">
      <c r="A949" s="729"/>
      <c r="B949" s="698"/>
      <c r="C949" s="773"/>
      <c r="D949" s="990">
        <f t="shared" si="1437"/>
        <v>9</v>
      </c>
      <c r="E949" s="2406"/>
      <c r="F949" s="2405"/>
      <c r="G949" s="2907"/>
      <c r="H949" s="2908"/>
      <c r="I949" s="2908"/>
      <c r="J949" s="2908"/>
      <c r="K949" s="2908"/>
      <c r="L949" s="2909"/>
      <c r="M949" s="222"/>
      <c r="N949" s="222"/>
      <c r="O949" s="336"/>
      <c r="P949" s="158"/>
      <c r="Q949" s="694"/>
      <c r="R949" s="694"/>
      <c r="S949" s="982" t="b">
        <f>TRUE</f>
        <v>1</v>
      </c>
      <c r="T949" s="694"/>
      <c r="U949" s="694"/>
      <c r="V949" s="694"/>
      <c r="W949" s="694"/>
      <c r="X949" s="694"/>
      <c r="Y949" s="694"/>
      <c r="Z949" s="694"/>
      <c r="AA949" s="694"/>
      <c r="AB949" s="729"/>
      <c r="AC949" s="694"/>
      <c r="AD949" s="694"/>
      <c r="AE949" s="343"/>
      <c r="AF949" s="343"/>
      <c r="AG949" s="343"/>
      <c r="AH949" s="343"/>
      <c r="AI949" s="343"/>
      <c r="AJ949" s="343"/>
      <c r="AK949" s="343"/>
      <c r="AL949" s="343"/>
      <c r="AM949" s="343"/>
    </row>
    <row r="950" spans="1:39" ht="12.75" customHeight="1" x14ac:dyDescent="0.25">
      <c r="A950" s="729"/>
      <c r="B950" s="698"/>
      <c r="C950" s="773"/>
      <c r="D950" s="994">
        <f t="shared" si="1437"/>
        <v>10</v>
      </c>
      <c r="E950" s="2417"/>
      <c r="F950" s="2403"/>
      <c r="G950" s="2910"/>
      <c r="H950" s="2911"/>
      <c r="I950" s="2911"/>
      <c r="J950" s="2911"/>
      <c r="K950" s="2911"/>
      <c r="L950" s="2912"/>
      <c r="M950" s="223"/>
      <c r="N950" s="223"/>
      <c r="O950" s="336"/>
      <c r="P950" s="158"/>
      <c r="Q950" s="694"/>
      <c r="R950" s="694"/>
      <c r="S950" s="982" t="b">
        <f>TRUE</f>
        <v>1</v>
      </c>
      <c r="T950" s="694"/>
      <c r="U950" s="694"/>
      <c r="V950" s="694"/>
      <c r="W950" s="694"/>
      <c r="X950" s="694"/>
      <c r="Y950" s="694"/>
      <c r="Z950" s="770"/>
      <c r="AA950" s="770"/>
      <c r="AB950" s="729"/>
      <c r="AC950" s="694"/>
      <c r="AD950" s="694"/>
      <c r="AE950" s="343"/>
      <c r="AF950" s="343"/>
      <c r="AG950" s="343"/>
      <c r="AH950" s="343"/>
      <c r="AI950" s="343"/>
      <c r="AJ950" s="343"/>
      <c r="AK950" s="343"/>
      <c r="AL950" s="343"/>
      <c r="AM950" s="343"/>
    </row>
    <row r="951" spans="1:39" ht="5.15" customHeight="1" x14ac:dyDescent="0.25">
      <c r="A951" s="729"/>
      <c r="B951" s="284"/>
      <c r="C951" s="284"/>
      <c r="D951" s="284"/>
      <c r="E951" s="284"/>
      <c r="F951" s="284"/>
      <c r="G951" s="284"/>
      <c r="H951" s="284"/>
      <c r="I951" s="284"/>
      <c r="J951" s="284"/>
      <c r="K951" s="284"/>
      <c r="L951" s="284"/>
      <c r="M951" s="284"/>
      <c r="N951" s="284"/>
      <c r="O951" s="336"/>
      <c r="P951" s="336"/>
      <c r="Q951" s="770"/>
      <c r="R951" s="770"/>
      <c r="S951" s="694"/>
      <c r="T951" s="694"/>
      <c r="U951" s="694"/>
      <c r="V951" s="694"/>
      <c r="W951" s="694"/>
      <c r="X951" s="694"/>
      <c r="Y951" s="694"/>
      <c r="Z951" s="694"/>
      <c r="AA951" s="694"/>
      <c r="AB951" s="729"/>
      <c r="AC951" s="694"/>
      <c r="AD951" s="694"/>
      <c r="AE951" s="343"/>
      <c r="AF951" s="343"/>
      <c r="AG951" s="343"/>
      <c r="AH951" s="343"/>
      <c r="AI951" s="343"/>
      <c r="AJ951" s="343"/>
      <c r="AK951" s="343"/>
      <c r="AL951" s="343"/>
      <c r="AM951" s="343"/>
    </row>
    <row r="952" spans="1:39" ht="12.75" customHeight="1" x14ac:dyDescent="0.25">
      <c r="A952" s="729"/>
      <c r="B952" s="284"/>
      <c r="C952" s="300"/>
      <c r="D952" s="300"/>
      <c r="E952" s="2226" t="str">
        <f>Translations!$B$625</f>
        <v>Равнища на производство:</v>
      </c>
      <c r="F952" s="2249"/>
      <c r="G952" s="2249"/>
      <c r="H952" s="2249"/>
      <c r="I952" s="2249"/>
      <c r="J952" s="2249"/>
      <c r="K952" s="2249"/>
      <c r="L952" s="2249"/>
      <c r="M952" s="2249"/>
      <c r="N952" s="2249"/>
      <c r="O952" s="336"/>
      <c r="P952" s="336"/>
      <c r="Q952" s="770"/>
      <c r="R952" s="694"/>
      <c r="S952" s="694"/>
      <c r="T952" s="694"/>
      <c r="U952" s="694"/>
      <c r="V952" s="694"/>
      <c r="W952" s="694"/>
      <c r="X952" s="694"/>
      <c r="Y952" s="694"/>
      <c r="Z952" s="694"/>
      <c r="AA952" s="694"/>
      <c r="AB952" s="729"/>
      <c r="AC952" s="694"/>
      <c r="AD952" s="694"/>
      <c r="AE952" s="343"/>
      <c r="AF952" s="343"/>
      <c r="AG952" s="343"/>
      <c r="AH952" s="343"/>
      <c r="AI952" s="343"/>
      <c r="AJ952" s="343"/>
      <c r="AK952" s="343"/>
      <c r="AL952" s="343"/>
      <c r="AM952" s="343"/>
    </row>
    <row r="953" spans="1:39" ht="25.5" customHeight="1" x14ac:dyDescent="0.25">
      <c r="A953" s="729"/>
      <c r="B953" s="284"/>
      <c r="C953" s="300"/>
      <c r="D953" s="300"/>
      <c r="E953" s="2358" t="str">
        <f>Translations!$B$1533</f>
        <v>Следва да се отбележи, че правилото за енергийната ефективност може да се приложи само в случай на производството на конкретен продукт. Следователно, ако за даден продукт не може да бъде определен код по ПРОДКОМ, това правило не може да се прилага и очакваните равнища на дейност ще бъдат равни на действителните равнища на дейност (т.е. ще се отчитат спрямо оставащото AL), без никаква корекция.</v>
      </c>
      <c r="F953" s="2249"/>
      <c r="G953" s="2249"/>
      <c r="H953" s="2249"/>
      <c r="I953" s="2249"/>
      <c r="J953" s="2249"/>
      <c r="K953" s="2249"/>
      <c r="L953" s="2249"/>
      <c r="M953" s="2249"/>
      <c r="N953" s="2249"/>
      <c r="O953" s="336"/>
      <c r="P953" s="336"/>
      <c r="Q953" s="770"/>
      <c r="R953" s="694"/>
      <c r="S953" s="694"/>
      <c r="T953" s="694"/>
      <c r="U953" s="694"/>
      <c r="V953" s="694"/>
      <c r="W953" s="694"/>
      <c r="X953" s="694"/>
      <c r="Y953" s="694"/>
      <c r="Z953" s="694"/>
      <c r="AA953" s="694"/>
      <c r="AB953" s="729"/>
      <c r="AC953" s="694"/>
      <c r="AD953" s="694"/>
      <c r="AE953" s="343"/>
      <c r="AF953" s="343"/>
      <c r="AG953" s="343"/>
      <c r="AH953" s="343"/>
      <c r="AI953" s="343"/>
      <c r="AJ953" s="343"/>
      <c r="AK953" s="343"/>
      <c r="AL953" s="343"/>
      <c r="AM953" s="343"/>
    </row>
    <row r="954" spans="1:39" ht="12.75" customHeight="1" x14ac:dyDescent="0.25">
      <c r="A954" s="729"/>
      <c r="B954" s="284"/>
      <c r="C954" s="300"/>
      <c r="D954" s="300"/>
      <c r="E954" s="2358" t="str">
        <f>Translations!$B$1534</f>
        <v>Стойността в НМИ се отнася до средното производство през историческия базов период, както е обяснено в раздели 2.3 и 3 от Ръководство № 7.</v>
      </c>
      <c r="F954" s="2249"/>
      <c r="G954" s="2249"/>
      <c r="H954" s="2249"/>
      <c r="I954" s="2249"/>
      <c r="J954" s="2249"/>
      <c r="K954" s="2249"/>
      <c r="L954" s="2249"/>
      <c r="M954" s="2249"/>
      <c r="N954" s="2249"/>
      <c r="O954" s="336"/>
      <c r="P954" s="336"/>
      <c r="Q954" s="770"/>
      <c r="R954" s="694"/>
      <c r="S954" s="694"/>
      <c r="T954" s="694"/>
      <c r="U954" s="694"/>
      <c r="V954" s="694"/>
      <c r="W954" s="694"/>
      <c r="X954" s="694"/>
      <c r="Y954" s="694"/>
      <c r="Z954" s="694"/>
      <c r="AA954" s="694"/>
      <c r="AB954" s="729"/>
      <c r="AC954" s="694"/>
      <c r="AD954" s="694"/>
      <c r="AE954" s="343"/>
      <c r="AF954" s="343"/>
      <c r="AG954" s="343"/>
      <c r="AH954" s="343"/>
      <c r="AI954" s="343"/>
      <c r="AJ954" s="343"/>
      <c r="AK954" s="343"/>
      <c r="AL954" s="343"/>
      <c r="AM954" s="343"/>
    </row>
    <row r="955" spans="1:39" ht="5.15" customHeight="1" x14ac:dyDescent="0.25">
      <c r="A955" s="729"/>
      <c r="B955" s="284"/>
      <c r="C955" s="302"/>
      <c r="D955" s="302"/>
      <c r="E955" s="460"/>
      <c r="F955" s="460"/>
      <c r="G955" s="460"/>
      <c r="H955" s="460"/>
      <c r="I955" s="460"/>
      <c r="J955" s="329"/>
      <c r="K955" s="329"/>
      <c r="L955" s="329"/>
      <c r="M955" s="336"/>
      <c r="N955" s="336"/>
      <c r="O955" s="336"/>
      <c r="P955" s="336"/>
      <c r="Q955" s="770"/>
      <c r="R955" s="694"/>
      <c r="S955" s="694"/>
      <c r="T955" s="694"/>
      <c r="U955" s="694"/>
      <c r="V955" s="694"/>
      <c r="W955" s="694"/>
      <c r="X955" s="694"/>
      <c r="Y955" s="694"/>
      <c r="Z955" s="694"/>
      <c r="AA955" s="694"/>
      <c r="AB955" s="729"/>
      <c r="AC955" s="694"/>
      <c r="AD955" s="694"/>
      <c r="AE955" s="343"/>
      <c r="AF955" s="343"/>
      <c r="AG955" s="343"/>
      <c r="AH955" s="343"/>
      <c r="AI955" s="343"/>
      <c r="AJ955" s="343"/>
      <c r="AK955" s="343"/>
      <c r="AL955" s="343"/>
      <c r="AM955" s="343"/>
    </row>
    <row r="956" spans="1:39" s="1423" customFormat="1" ht="25.5" customHeight="1" thickBot="1" x14ac:dyDescent="0.35">
      <c r="A956" s="729"/>
      <c r="B956" s="1412"/>
      <c r="C956" s="1413"/>
      <c r="D956" s="1414"/>
      <c r="E956" s="1415" t="str">
        <f>G940</f>
        <v>Име на продукт или вид услуга</v>
      </c>
      <c r="F956" s="1416" t="str">
        <f>EUconst_Unit</f>
        <v>Единица мярка</v>
      </c>
      <c r="G956" s="1419" t="str">
        <f>Translations!$B$1336</f>
        <v>Стойност в НМИ</v>
      </c>
      <c r="H956" s="1418">
        <f t="shared" ref="H956:N956" si="1438">H$1840</f>
        <v>2024</v>
      </c>
      <c r="I956" s="1419">
        <f t="shared" si="1438"/>
        <v>2025</v>
      </c>
      <c r="J956" s="1418">
        <f t="shared" si="1438"/>
        <v>2026</v>
      </c>
      <c r="K956" s="1420">
        <f t="shared" si="1438"/>
        <v>2027</v>
      </c>
      <c r="L956" s="1420">
        <f t="shared" si="1438"/>
        <v>2028</v>
      </c>
      <c r="M956" s="1420">
        <f t="shared" si="1438"/>
        <v>2029</v>
      </c>
      <c r="N956" s="1420">
        <f t="shared" si="1438"/>
        <v>2030</v>
      </c>
      <c r="O956" s="336"/>
      <c r="P956" s="336"/>
      <c r="Q956" s="1421"/>
      <c r="R956" s="1421"/>
      <c r="S956" s="1421"/>
      <c r="T956" s="1421"/>
      <c r="U956" s="1421"/>
      <c r="V956" s="1421"/>
      <c r="W956" s="1421"/>
      <c r="X956" s="1421"/>
      <c r="Y956" s="1421"/>
      <c r="Z956" s="1421"/>
      <c r="AA956" s="1421"/>
      <c r="AB956" s="770" t="str">
        <f>Translations!$B$1284</f>
        <v>HAL</v>
      </c>
      <c r="AC956" s="1421">
        <f t="shared" ref="AC956" si="1439">H956</f>
        <v>2024</v>
      </c>
      <c r="AD956" s="1421">
        <f t="shared" ref="AD956" si="1440">I956</f>
        <v>2025</v>
      </c>
      <c r="AE956" s="1421">
        <f t="shared" ref="AE956" si="1441">J956</f>
        <v>2026</v>
      </c>
      <c r="AF956" s="1421">
        <f t="shared" ref="AF956" si="1442">K956</f>
        <v>2027</v>
      </c>
      <c r="AG956" s="1421">
        <f t="shared" ref="AG956" si="1443">L956</f>
        <v>2028</v>
      </c>
      <c r="AH956" s="1422">
        <f t="shared" ref="AH956" si="1444">M956</f>
        <v>2029</v>
      </c>
      <c r="AI956" s="1422">
        <f t="shared" ref="AI956" si="1445">N956</f>
        <v>2030</v>
      </c>
      <c r="AJ956" s="1422"/>
      <c r="AK956" s="1422"/>
      <c r="AL956" s="1422"/>
      <c r="AM956" s="1422"/>
    </row>
    <row r="957" spans="1:39" ht="12.75" customHeight="1" x14ac:dyDescent="0.25">
      <c r="A957" s="729"/>
      <c r="B957" s="698"/>
      <c r="C957" s="2906" t="str">
        <f>Translations!$B$625</f>
        <v>Равнища на производство:</v>
      </c>
      <c r="D957" s="981">
        <v>1</v>
      </c>
      <c r="E957" s="1424" t="str">
        <f t="shared" ref="E957:E966" si="1446">IF(ISBLANK(G941),"",G941)</f>
        <v/>
      </c>
      <c r="F957" s="177"/>
      <c r="G957" s="46"/>
      <c r="H957" s="116"/>
      <c r="I957" s="46"/>
      <c r="J957" s="116"/>
      <c r="K957" s="40"/>
      <c r="L957" s="40"/>
      <c r="M957" s="40"/>
      <c r="N957" s="40"/>
      <c r="O957" s="336"/>
      <c r="P957" s="158"/>
      <c r="Q957" s="694"/>
      <c r="R957" s="694"/>
      <c r="S957" s="694"/>
      <c r="T957" s="694"/>
      <c r="U957" s="694"/>
      <c r="V957" s="694"/>
      <c r="W957" s="694"/>
      <c r="X957" s="694"/>
      <c r="Y957" s="694"/>
      <c r="Z957" s="1182" t="s">
        <v>1757</v>
      </c>
      <c r="AA957" s="1425">
        <f>MAX(AC957:AI957)</f>
        <v>2</v>
      </c>
      <c r="AB957" s="1426">
        <f>IF(CNTR_ExistSubInstEntries,IF(OR($M905&lt;&gt;EUconst_Relevant,$V905&gt;($H$1840-1),$E957=""),0,2),2)</f>
        <v>2</v>
      </c>
      <c r="AC957" s="1426">
        <f t="shared" ref="AC957:AI957" si="1447">IF(CNTR_ExistSubInstEntries,IF(OR($M905&lt;&gt;EUconst_Relevant,AC956&gt;=CNTR_ReportingYear,AC956&lt;$V905-1,$E957=""),0,2),2)</f>
        <v>2</v>
      </c>
      <c r="AD957" s="1427">
        <f t="shared" si="1447"/>
        <v>2</v>
      </c>
      <c r="AE957" s="1427">
        <f t="shared" si="1447"/>
        <v>2</v>
      </c>
      <c r="AF957" s="1427">
        <f t="shared" si="1447"/>
        <v>2</v>
      </c>
      <c r="AG957" s="1427">
        <f t="shared" si="1447"/>
        <v>2</v>
      </c>
      <c r="AH957" s="1428">
        <f t="shared" si="1447"/>
        <v>2</v>
      </c>
      <c r="AI957" s="1429">
        <f t="shared" si="1447"/>
        <v>2</v>
      </c>
      <c r="AJ957" s="343"/>
      <c r="AK957" s="1174" t="s">
        <v>2039</v>
      </c>
      <c r="AL957" s="1176" t="str">
        <f>IF(AND(CNTR_ExistSubInstEntries,COUNTIFS(AB957:AI957,2,G957:N957,"")&gt;0),EUconst_Error&amp;"FB"&amp;Q905,"")</f>
        <v/>
      </c>
      <c r="AM957" s="343"/>
    </row>
    <row r="958" spans="1:39" ht="12.75" customHeight="1" x14ac:dyDescent="0.25">
      <c r="A958" s="729"/>
      <c r="B958" s="698"/>
      <c r="C958" s="2906"/>
      <c r="D958" s="990">
        <f>D957+1</f>
        <v>2</v>
      </c>
      <c r="E958" s="1430" t="str">
        <f t="shared" si="1446"/>
        <v/>
      </c>
      <c r="F958" s="273"/>
      <c r="G958" s="47"/>
      <c r="H958" s="119"/>
      <c r="I958" s="47"/>
      <c r="J958" s="119"/>
      <c r="K958" s="43"/>
      <c r="L958" s="43"/>
      <c r="M958" s="43"/>
      <c r="N958" s="43"/>
      <c r="O958" s="336"/>
      <c r="P958" s="158"/>
      <c r="Q958" s="694"/>
      <c r="R958" s="694"/>
      <c r="S958" s="694"/>
      <c r="T958" s="694"/>
      <c r="U958" s="694"/>
      <c r="V958" s="694"/>
      <c r="W958" s="694"/>
      <c r="X958" s="694"/>
      <c r="Y958" s="694"/>
      <c r="Z958" s="694"/>
      <c r="AA958" s="1431">
        <f t="shared" ref="AA958:AA966" si="1448">MAX(AC958:AI958)</f>
        <v>2</v>
      </c>
      <c r="AB958" s="1432">
        <f>IF(CNTR_ExistSubInstEntries,IF(OR($M905&lt;&gt;EUconst_Relevant,$V905&gt;($H$1840-1),$E958=""),0,2),2)</f>
        <v>2</v>
      </c>
      <c r="AC958" s="1432">
        <f t="shared" ref="AC958:AI958" si="1449">IF(CNTR_ExistSubInstEntries,IF(OR($M905&lt;&gt;EUconst_Relevant,AC956&gt;=CNTR_ReportingYear,AC956&lt;$V905-1,$E958=""),0,2),2)</f>
        <v>2</v>
      </c>
      <c r="AD958" s="1432">
        <f t="shared" si="1449"/>
        <v>2</v>
      </c>
      <c r="AE958" s="1432">
        <f t="shared" si="1449"/>
        <v>2</v>
      </c>
      <c r="AF958" s="1432">
        <f t="shared" si="1449"/>
        <v>2</v>
      </c>
      <c r="AG958" s="1432">
        <f t="shared" si="1449"/>
        <v>2</v>
      </c>
      <c r="AH958" s="1433">
        <f t="shared" si="1449"/>
        <v>2</v>
      </c>
      <c r="AI958" s="1434">
        <f t="shared" si="1449"/>
        <v>2</v>
      </c>
      <c r="AJ958" s="343"/>
      <c r="AK958" s="1174" t="s">
        <v>2039</v>
      </c>
      <c r="AL958" s="1176" t="str">
        <f>IF(AND(CNTR_ExistSubInstEntries,COUNTIFS(AB958:AI958,2,G958:N958,"")&gt;0),EUconst_Error&amp;"FB"&amp;Q905,"")</f>
        <v/>
      </c>
      <c r="AM958" s="343"/>
    </row>
    <row r="959" spans="1:39" ht="12.75" customHeight="1" x14ac:dyDescent="0.25">
      <c r="A959" s="729"/>
      <c r="B959" s="698"/>
      <c r="C959" s="2906"/>
      <c r="D959" s="990">
        <f t="shared" ref="D959:D966" si="1450">D958+1</f>
        <v>3</v>
      </c>
      <c r="E959" s="1430" t="str">
        <f t="shared" si="1446"/>
        <v/>
      </c>
      <c r="F959" s="273"/>
      <c r="G959" s="268"/>
      <c r="H959" s="119"/>
      <c r="I959" s="47"/>
      <c r="J959" s="119"/>
      <c r="K959" s="43"/>
      <c r="L959" s="43"/>
      <c r="M959" s="43"/>
      <c r="N959" s="43"/>
      <c r="O959" s="336"/>
      <c r="P959" s="158"/>
      <c r="Q959" s="694"/>
      <c r="R959" s="694"/>
      <c r="S959" s="694"/>
      <c r="T959" s="694"/>
      <c r="U959" s="694"/>
      <c r="V959" s="694"/>
      <c r="W959" s="694"/>
      <c r="X959" s="694"/>
      <c r="Y959" s="694"/>
      <c r="Z959" s="694"/>
      <c r="AA959" s="1431">
        <f t="shared" si="1448"/>
        <v>2</v>
      </c>
      <c r="AB959" s="1432">
        <f>IF(CNTR_ExistSubInstEntries,IF(OR($M905&lt;&gt;EUconst_Relevant,$V905&gt;($H$1840-1),$E959=""),0,2),2)</f>
        <v>2</v>
      </c>
      <c r="AC959" s="1432">
        <f t="shared" ref="AC959:AI959" si="1451">IF(CNTR_ExistSubInstEntries,IF(OR($M905&lt;&gt;EUconst_Relevant,AC956&gt;=CNTR_ReportingYear,AC956&lt;$V905-1,$E959=""),0,2),2)</f>
        <v>2</v>
      </c>
      <c r="AD959" s="1432">
        <f t="shared" si="1451"/>
        <v>2</v>
      </c>
      <c r="AE959" s="1432">
        <f t="shared" si="1451"/>
        <v>2</v>
      </c>
      <c r="AF959" s="1432">
        <f t="shared" si="1451"/>
        <v>2</v>
      </c>
      <c r="AG959" s="1432">
        <f t="shared" si="1451"/>
        <v>2</v>
      </c>
      <c r="AH959" s="1433">
        <f t="shared" si="1451"/>
        <v>2</v>
      </c>
      <c r="AI959" s="1434">
        <f t="shared" si="1451"/>
        <v>2</v>
      </c>
      <c r="AJ959" s="343"/>
      <c r="AK959" s="1174" t="s">
        <v>2039</v>
      </c>
      <c r="AL959" s="1176" t="str">
        <f>IF(AND(CNTR_ExistSubInstEntries,COUNTIFS(AB959:AI959,2,G959:N959,"")&gt;0),EUconst_Error&amp;"FB"&amp;Q905,"")</f>
        <v/>
      </c>
      <c r="AM959" s="343"/>
    </row>
    <row r="960" spans="1:39" ht="12.75" customHeight="1" x14ac:dyDescent="0.25">
      <c r="A960" s="729"/>
      <c r="B960" s="698"/>
      <c r="C960" s="2906"/>
      <c r="D960" s="990">
        <f t="shared" si="1450"/>
        <v>4</v>
      </c>
      <c r="E960" s="1430" t="str">
        <f t="shared" si="1446"/>
        <v/>
      </c>
      <c r="F960" s="271"/>
      <c r="G960" s="47"/>
      <c r="H960" s="119"/>
      <c r="I960" s="124"/>
      <c r="J960" s="119"/>
      <c r="K960" s="43"/>
      <c r="L960" s="43"/>
      <c r="M960" s="43"/>
      <c r="N960" s="43"/>
      <c r="O960" s="336"/>
      <c r="P960" s="158"/>
      <c r="Q960" s="694"/>
      <c r="R960" s="694"/>
      <c r="S960" s="694"/>
      <c r="T960" s="694"/>
      <c r="U960" s="729"/>
      <c r="V960" s="729"/>
      <c r="W960" s="694"/>
      <c r="X960" s="694"/>
      <c r="Y960" s="694"/>
      <c r="Z960" s="694"/>
      <c r="AA960" s="1431">
        <f t="shared" si="1448"/>
        <v>2</v>
      </c>
      <c r="AB960" s="1432">
        <f>IF(CNTR_ExistSubInstEntries,IF(OR($M905&lt;&gt;EUconst_Relevant,$V905&gt;($H$1840-1),$E960=""),0,2),2)</f>
        <v>2</v>
      </c>
      <c r="AC960" s="1432">
        <f t="shared" ref="AC960:AI960" si="1452">IF(CNTR_ExistSubInstEntries,IF(OR($M905&lt;&gt;EUconst_Relevant,AC956&gt;=CNTR_ReportingYear,AC956&lt;$V905-1,$E960=""),0,2),2)</f>
        <v>2</v>
      </c>
      <c r="AD960" s="1432">
        <f t="shared" si="1452"/>
        <v>2</v>
      </c>
      <c r="AE960" s="1432">
        <f t="shared" si="1452"/>
        <v>2</v>
      </c>
      <c r="AF960" s="1432">
        <f t="shared" si="1452"/>
        <v>2</v>
      </c>
      <c r="AG960" s="1432">
        <f t="shared" si="1452"/>
        <v>2</v>
      </c>
      <c r="AH960" s="1433">
        <f t="shared" si="1452"/>
        <v>2</v>
      </c>
      <c r="AI960" s="1434">
        <f t="shared" si="1452"/>
        <v>2</v>
      </c>
      <c r="AJ960" s="343"/>
      <c r="AK960" s="1174" t="s">
        <v>2039</v>
      </c>
      <c r="AL960" s="1176" t="str">
        <f>IF(AND(CNTR_ExistSubInstEntries,COUNTIFS(AB960:AI960,2,G960:N960,"")&gt;0),EUconst_Error&amp;"FB"&amp;Q905,"")</f>
        <v/>
      </c>
      <c r="AM960" s="343"/>
    </row>
    <row r="961" spans="1:39" ht="12.75" customHeight="1" x14ac:dyDescent="0.25">
      <c r="A961" s="729"/>
      <c r="B961" s="698"/>
      <c r="C961" s="2906"/>
      <c r="D961" s="990">
        <f t="shared" si="1450"/>
        <v>5</v>
      </c>
      <c r="E961" s="1430" t="str">
        <f t="shared" si="1446"/>
        <v/>
      </c>
      <c r="F961" s="271"/>
      <c r="G961" s="47"/>
      <c r="H961" s="119"/>
      <c r="I961" s="47"/>
      <c r="J961" s="119"/>
      <c r="K961" s="43"/>
      <c r="L961" s="43"/>
      <c r="M961" s="43"/>
      <c r="N961" s="43"/>
      <c r="O961" s="336"/>
      <c r="P961" s="158"/>
      <c r="Q961" s="694"/>
      <c r="R961" s="694"/>
      <c r="S961" s="694"/>
      <c r="T961" s="694"/>
      <c r="U961" s="729"/>
      <c r="V961" s="694"/>
      <c r="W961" s="694"/>
      <c r="X961" s="694"/>
      <c r="Y961" s="694"/>
      <c r="Z961" s="694"/>
      <c r="AA961" s="1431">
        <f t="shared" si="1448"/>
        <v>2</v>
      </c>
      <c r="AB961" s="1432">
        <f>IF(CNTR_ExistSubInstEntries,IF(OR($M905&lt;&gt;EUconst_Relevant,$V905&gt;($H$1840-1),$E961=""),0,2),2)</f>
        <v>2</v>
      </c>
      <c r="AC961" s="1432">
        <f t="shared" ref="AC961:AI961" si="1453">IF(CNTR_ExistSubInstEntries,IF(OR($M905&lt;&gt;EUconst_Relevant,AC956&gt;=CNTR_ReportingYear,AC956&lt;$V905-1,$E961=""),0,2),2)</f>
        <v>2</v>
      </c>
      <c r="AD961" s="1432">
        <f t="shared" si="1453"/>
        <v>2</v>
      </c>
      <c r="AE961" s="1432">
        <f t="shared" si="1453"/>
        <v>2</v>
      </c>
      <c r="AF961" s="1432">
        <f t="shared" si="1453"/>
        <v>2</v>
      </c>
      <c r="AG961" s="1432">
        <f t="shared" si="1453"/>
        <v>2</v>
      </c>
      <c r="AH961" s="1433">
        <f t="shared" si="1453"/>
        <v>2</v>
      </c>
      <c r="AI961" s="1434">
        <f t="shared" si="1453"/>
        <v>2</v>
      </c>
      <c r="AJ961" s="343"/>
      <c r="AK961" s="1174" t="s">
        <v>2039</v>
      </c>
      <c r="AL961" s="1176" t="str">
        <f>IF(AND(CNTR_ExistSubInstEntries,COUNTIFS(AB961:AI961,2,G961:N961,"")&gt;0),EUconst_Error&amp;"FB"&amp;Q905,"")</f>
        <v/>
      </c>
      <c r="AM961" s="343"/>
    </row>
    <row r="962" spans="1:39" ht="12.75" customHeight="1" x14ac:dyDescent="0.25">
      <c r="A962" s="729"/>
      <c r="B962" s="698"/>
      <c r="C962" s="2906"/>
      <c r="D962" s="990">
        <f t="shared" si="1450"/>
        <v>6</v>
      </c>
      <c r="E962" s="1430" t="str">
        <f t="shared" si="1446"/>
        <v/>
      </c>
      <c r="F962" s="271"/>
      <c r="G962" s="47"/>
      <c r="H962" s="119"/>
      <c r="I962" s="47"/>
      <c r="J962" s="119"/>
      <c r="K962" s="43"/>
      <c r="L962" s="43"/>
      <c r="M962" s="43"/>
      <c r="N962" s="43"/>
      <c r="O962" s="336"/>
      <c r="P962" s="158"/>
      <c r="Q962" s="694"/>
      <c r="R962" s="694"/>
      <c r="S962" s="694"/>
      <c r="T962" s="694"/>
      <c r="U962" s="694"/>
      <c r="V962" s="694"/>
      <c r="W962" s="694"/>
      <c r="X962" s="694"/>
      <c r="Y962" s="694"/>
      <c r="Z962" s="694"/>
      <c r="AA962" s="1431">
        <f t="shared" si="1448"/>
        <v>2</v>
      </c>
      <c r="AB962" s="1432">
        <f>IF(CNTR_ExistSubInstEntries,IF(OR($M905&lt;&gt;EUconst_Relevant,$V905&gt;($H$1840-1),$E962=""),0,2),2)</f>
        <v>2</v>
      </c>
      <c r="AC962" s="1432">
        <f t="shared" ref="AC962:AI962" si="1454">IF(CNTR_ExistSubInstEntries,IF(OR($M905&lt;&gt;EUconst_Relevant,AC956&gt;=CNTR_ReportingYear,AC956&lt;$V905-1,$E962=""),0,2),2)</f>
        <v>2</v>
      </c>
      <c r="AD962" s="1432">
        <f t="shared" si="1454"/>
        <v>2</v>
      </c>
      <c r="AE962" s="1432">
        <f t="shared" si="1454"/>
        <v>2</v>
      </c>
      <c r="AF962" s="1432">
        <f t="shared" si="1454"/>
        <v>2</v>
      </c>
      <c r="AG962" s="1432">
        <f t="shared" si="1454"/>
        <v>2</v>
      </c>
      <c r="AH962" s="1433">
        <f t="shared" si="1454"/>
        <v>2</v>
      </c>
      <c r="AI962" s="1434">
        <f t="shared" si="1454"/>
        <v>2</v>
      </c>
      <c r="AJ962" s="343"/>
      <c r="AK962" s="1174" t="s">
        <v>2039</v>
      </c>
      <c r="AL962" s="1176" t="str">
        <f>IF(AND(CNTR_ExistSubInstEntries,COUNTIFS(AB962:AI962,2,G962:N962,"")&gt;0),EUconst_Error&amp;"FB"&amp;Q905,"")</f>
        <v/>
      </c>
      <c r="AM962" s="343"/>
    </row>
    <row r="963" spans="1:39" ht="12.75" customHeight="1" x14ac:dyDescent="0.25">
      <c r="A963" s="729"/>
      <c r="B963" s="698"/>
      <c r="C963" s="2906"/>
      <c r="D963" s="990">
        <f t="shared" si="1450"/>
        <v>7</v>
      </c>
      <c r="E963" s="1430" t="str">
        <f t="shared" si="1446"/>
        <v/>
      </c>
      <c r="F963" s="271"/>
      <c r="G963" s="47"/>
      <c r="H963" s="119"/>
      <c r="I963" s="47"/>
      <c r="J963" s="119"/>
      <c r="K963" s="43"/>
      <c r="L963" s="43"/>
      <c r="M963" s="43"/>
      <c r="N963" s="43"/>
      <c r="O963" s="336"/>
      <c r="P963" s="158"/>
      <c r="Q963" s="694"/>
      <c r="R963" s="694"/>
      <c r="S963" s="694"/>
      <c r="T963" s="694"/>
      <c r="U963" s="694"/>
      <c r="V963" s="694"/>
      <c r="W963" s="694"/>
      <c r="X963" s="694"/>
      <c r="Y963" s="694"/>
      <c r="Z963" s="694"/>
      <c r="AA963" s="1431">
        <f t="shared" si="1448"/>
        <v>2</v>
      </c>
      <c r="AB963" s="1432">
        <f>IF(CNTR_ExistSubInstEntries,IF(OR($M905&lt;&gt;EUconst_Relevant,$V905&gt;($H$1840-1),$E963=""),0,2),2)</f>
        <v>2</v>
      </c>
      <c r="AC963" s="1432">
        <f t="shared" ref="AC963:AI963" si="1455">IF(CNTR_ExistSubInstEntries,IF(OR($M905&lt;&gt;EUconst_Relevant,AC956&gt;=CNTR_ReportingYear,AC956&lt;$V905-1,$E963=""),0,2),2)</f>
        <v>2</v>
      </c>
      <c r="AD963" s="1432">
        <f t="shared" si="1455"/>
        <v>2</v>
      </c>
      <c r="AE963" s="1432">
        <f t="shared" si="1455"/>
        <v>2</v>
      </c>
      <c r="AF963" s="1432">
        <f t="shared" si="1455"/>
        <v>2</v>
      </c>
      <c r="AG963" s="1432">
        <f t="shared" si="1455"/>
        <v>2</v>
      </c>
      <c r="AH963" s="1433">
        <f t="shared" si="1455"/>
        <v>2</v>
      </c>
      <c r="AI963" s="1434">
        <f t="shared" si="1455"/>
        <v>2</v>
      </c>
      <c r="AJ963" s="343"/>
      <c r="AK963" s="1174" t="s">
        <v>2039</v>
      </c>
      <c r="AL963" s="1176" t="str">
        <f>IF(AND(CNTR_ExistSubInstEntries,COUNTIFS(AB963:AI963,2,G963:N963,"")&gt;0),EUconst_Error&amp;"FB"&amp;Q905,"")</f>
        <v/>
      </c>
      <c r="AM963" s="343"/>
    </row>
    <row r="964" spans="1:39" ht="12.75" customHeight="1" x14ac:dyDescent="0.25">
      <c r="A964" s="729"/>
      <c r="B964" s="698"/>
      <c r="C964" s="2906"/>
      <c r="D964" s="990">
        <f t="shared" si="1450"/>
        <v>8</v>
      </c>
      <c r="E964" s="1430" t="str">
        <f t="shared" si="1446"/>
        <v/>
      </c>
      <c r="F964" s="271"/>
      <c r="G964" s="47"/>
      <c r="H964" s="119"/>
      <c r="I964" s="47"/>
      <c r="J964" s="119"/>
      <c r="K964" s="43"/>
      <c r="L964" s="43"/>
      <c r="M964" s="43"/>
      <c r="N964" s="43"/>
      <c r="O964" s="336"/>
      <c r="P964" s="158"/>
      <c r="Q964" s="694"/>
      <c r="R964" s="694"/>
      <c r="S964" s="694"/>
      <c r="T964" s="694"/>
      <c r="U964" s="694"/>
      <c r="V964" s="694"/>
      <c r="W964" s="694"/>
      <c r="X964" s="694"/>
      <c r="Y964" s="694"/>
      <c r="Z964" s="694"/>
      <c r="AA964" s="1431">
        <f t="shared" si="1448"/>
        <v>2</v>
      </c>
      <c r="AB964" s="1432">
        <f>IF(CNTR_ExistSubInstEntries,IF(OR($M905&lt;&gt;EUconst_Relevant,$V905&gt;($H$1840-1),$E964=""),0,2),2)</f>
        <v>2</v>
      </c>
      <c r="AC964" s="1432">
        <f t="shared" ref="AC964:AI964" si="1456">IF(CNTR_ExistSubInstEntries,IF(OR($M905&lt;&gt;EUconst_Relevant,AC956&gt;=CNTR_ReportingYear,AC956&lt;$V905-1,$E964=""),0,2),2)</f>
        <v>2</v>
      </c>
      <c r="AD964" s="1432">
        <f t="shared" si="1456"/>
        <v>2</v>
      </c>
      <c r="AE964" s="1432">
        <f t="shared" si="1456"/>
        <v>2</v>
      </c>
      <c r="AF964" s="1432">
        <f t="shared" si="1456"/>
        <v>2</v>
      </c>
      <c r="AG964" s="1432">
        <f t="shared" si="1456"/>
        <v>2</v>
      </c>
      <c r="AH964" s="1433">
        <f t="shared" si="1456"/>
        <v>2</v>
      </c>
      <c r="AI964" s="1434">
        <f t="shared" si="1456"/>
        <v>2</v>
      </c>
      <c r="AJ964" s="343"/>
      <c r="AK964" s="1174" t="s">
        <v>2039</v>
      </c>
      <c r="AL964" s="1176" t="str">
        <f>IF(AND(CNTR_ExistSubInstEntries,COUNTIFS(AB964:AI964,2,G964:N964,"")&gt;0),EUconst_Error&amp;"FB"&amp;Q905,"")</f>
        <v/>
      </c>
      <c r="AM964" s="343"/>
    </row>
    <row r="965" spans="1:39" ht="12.75" customHeight="1" x14ac:dyDescent="0.25">
      <c r="A965" s="729"/>
      <c r="B965" s="698"/>
      <c r="C965" s="2906"/>
      <c r="D965" s="990">
        <f t="shared" si="1450"/>
        <v>9</v>
      </c>
      <c r="E965" s="1430" t="str">
        <f t="shared" si="1446"/>
        <v/>
      </c>
      <c r="F965" s="271"/>
      <c r="G965" s="47"/>
      <c r="H965" s="119"/>
      <c r="I965" s="47"/>
      <c r="J965" s="119"/>
      <c r="K965" s="43"/>
      <c r="L965" s="43"/>
      <c r="M965" s="43"/>
      <c r="N965" s="43"/>
      <c r="O965" s="336"/>
      <c r="P965" s="158"/>
      <c r="Q965" s="694"/>
      <c r="R965" s="694"/>
      <c r="S965" s="694"/>
      <c r="T965" s="694"/>
      <c r="U965" s="694"/>
      <c r="V965" s="694"/>
      <c r="W965" s="694"/>
      <c r="X965" s="694"/>
      <c r="Y965" s="694"/>
      <c r="Z965" s="694"/>
      <c r="AA965" s="1431">
        <f t="shared" si="1448"/>
        <v>2</v>
      </c>
      <c r="AB965" s="1432">
        <f>IF(CNTR_ExistSubInstEntries,IF(OR($M905&lt;&gt;EUconst_Relevant,$V905&gt;($H$1840-1),$E965=""),0,2),2)</f>
        <v>2</v>
      </c>
      <c r="AC965" s="1432">
        <f t="shared" ref="AC965:AI965" si="1457">IF(CNTR_ExistSubInstEntries,IF(OR($M905&lt;&gt;EUconst_Relevant,AC956&gt;=CNTR_ReportingYear,AC956&lt;$V905-1,$E965=""),0,2),2)</f>
        <v>2</v>
      </c>
      <c r="AD965" s="1432">
        <f t="shared" si="1457"/>
        <v>2</v>
      </c>
      <c r="AE965" s="1432">
        <f t="shared" si="1457"/>
        <v>2</v>
      </c>
      <c r="AF965" s="1432">
        <f t="shared" si="1457"/>
        <v>2</v>
      </c>
      <c r="AG965" s="1432">
        <f t="shared" si="1457"/>
        <v>2</v>
      </c>
      <c r="AH965" s="1433">
        <f t="shared" si="1457"/>
        <v>2</v>
      </c>
      <c r="AI965" s="1434">
        <f t="shared" si="1457"/>
        <v>2</v>
      </c>
      <c r="AJ965" s="343"/>
      <c r="AK965" s="1174" t="s">
        <v>2039</v>
      </c>
      <c r="AL965" s="1176" t="str">
        <f>IF(AND(CNTR_ExistSubInstEntries,COUNTIFS(AB965:AI965,2,G965:N965,"")&gt;0),EUconst_Error&amp;"FB"&amp;Q905,"")</f>
        <v/>
      </c>
      <c r="AM965" s="343"/>
    </row>
    <row r="966" spans="1:39" ht="12.75" customHeight="1" thickBot="1" x14ac:dyDescent="0.3">
      <c r="A966" s="729"/>
      <c r="B966" s="698"/>
      <c r="C966" s="2906"/>
      <c r="D966" s="994">
        <f t="shared" si="1450"/>
        <v>10</v>
      </c>
      <c r="E966" s="1435" t="str">
        <f t="shared" si="1446"/>
        <v/>
      </c>
      <c r="F966" s="272"/>
      <c r="G966" s="48"/>
      <c r="H966" s="117"/>
      <c r="I966" s="48"/>
      <c r="J966" s="117"/>
      <c r="K966" s="38"/>
      <c r="L966" s="38"/>
      <c r="M966" s="38"/>
      <c r="N966" s="38"/>
      <c r="O966" s="336"/>
      <c r="P966" s="158"/>
      <c r="Q966" s="694"/>
      <c r="R966" s="694"/>
      <c r="S966" s="694"/>
      <c r="T966" s="694"/>
      <c r="U966" s="694"/>
      <c r="V966" s="694"/>
      <c r="W966" s="694"/>
      <c r="X966" s="694"/>
      <c r="Y966" s="694"/>
      <c r="Z966" s="694"/>
      <c r="AA966" s="1436">
        <f t="shared" si="1448"/>
        <v>2</v>
      </c>
      <c r="AB966" s="1437">
        <f>IF(CNTR_ExistSubInstEntries,IF(OR($M905&lt;&gt;EUconst_Relevant,$V905&gt;($H$1840-1),$E966=""),0,2),2)</f>
        <v>2</v>
      </c>
      <c r="AC966" s="1437">
        <f t="shared" ref="AC966:AI966" si="1458">IF(CNTR_ExistSubInstEntries,IF(OR($M905&lt;&gt;EUconst_Relevant,AC956&gt;=CNTR_ReportingYear,AC956&lt;$V905-1,$E966=""),0,2),2)</f>
        <v>2</v>
      </c>
      <c r="AD966" s="1437">
        <f t="shared" si="1458"/>
        <v>2</v>
      </c>
      <c r="AE966" s="1437">
        <f t="shared" si="1458"/>
        <v>2</v>
      </c>
      <c r="AF966" s="1437">
        <f t="shared" si="1458"/>
        <v>2</v>
      </c>
      <c r="AG966" s="1437">
        <f t="shared" si="1458"/>
        <v>2</v>
      </c>
      <c r="AH966" s="1438">
        <f t="shared" si="1458"/>
        <v>2</v>
      </c>
      <c r="AI966" s="1439">
        <f t="shared" si="1458"/>
        <v>2</v>
      </c>
      <c r="AJ966" s="343"/>
      <c r="AK966" s="1174" t="s">
        <v>2039</v>
      </c>
      <c r="AL966" s="1176" t="str">
        <f>IF(AND(CNTR_ExistSubInstEntries,COUNTIFS(AB966:AI966,2,G966:N966,"")&gt;0),EUconst_Error&amp;"FB"&amp;Q905,"")</f>
        <v/>
      </c>
      <c r="AM966" s="343"/>
    </row>
    <row r="967" spans="1:39" ht="12.75" customHeight="1" x14ac:dyDescent="0.25">
      <c r="A967" s="729"/>
      <c r="B967" s="698"/>
      <c r="C967" s="2906"/>
      <c r="D967" s="1293"/>
      <c r="E967" s="1294" t="str">
        <f>Translations!$B$501</f>
        <v>Сума на равнищата на производство</v>
      </c>
      <c r="F967" s="1440" t="str">
        <f>IF(AND(COUNTA(F957:F966)&gt;0,COUNTIF(F957:F966,F957)=COUNTA(F957:F966)),F957,"")</f>
        <v/>
      </c>
      <c r="G967" s="1296" t="str">
        <f>IF(AND($F967&lt;&gt;"",COUNT(G957:G966)&gt;0),SUMIF($S941:$S950,TRUE,G957:G966),"")</f>
        <v/>
      </c>
      <c r="H967" s="1297" t="str">
        <f t="shared" ref="H967" si="1459">IF(AND($F967&lt;&gt;"",COUNT(H957:H966)&gt;0),SUMIF($S941:$S950,TRUE,H957:H966),"")</f>
        <v/>
      </c>
      <c r="I967" s="1296" t="str">
        <f t="shared" ref="I967" si="1460">IF(AND($F967&lt;&gt;"",COUNT(I957:I966)&gt;0),SUMIF($S941:$S950,TRUE,I957:I966),"")</f>
        <v/>
      </c>
      <c r="J967" s="1297" t="str">
        <f t="shared" ref="J967" si="1461">IF(AND($F967&lt;&gt;"",COUNT(J957:J966)&gt;0),SUMIF($S941:$S950,TRUE,J957:J966),"")</f>
        <v/>
      </c>
      <c r="K967" s="1104" t="str">
        <f t="shared" ref="K967" si="1462">IF(AND($F967&lt;&gt;"",COUNT(K957:K966)&gt;0),SUMIF($S941:$S950,TRUE,K957:K966),"")</f>
        <v/>
      </c>
      <c r="L967" s="1104" t="str">
        <f t="shared" ref="L967" si="1463">IF(AND($F967&lt;&gt;"",COUNT(L957:L966)&gt;0),SUMIF($S941:$S950,TRUE,L957:L966),"")</f>
        <v/>
      </c>
      <c r="M967" s="1104" t="str">
        <f t="shared" ref="M967" si="1464">IF(AND($F967&lt;&gt;"",COUNT(M957:M966)&gt;0),SUMIF($S941:$S950,TRUE,M957:M966),"")</f>
        <v/>
      </c>
      <c r="N967" s="1104" t="str">
        <f t="shared" ref="N967" si="1465">IF(AND($F967&lt;&gt;"",COUNT(N957:N966)&gt;0),SUMIF($S941:$S950,TRUE,N957:N966),"")</f>
        <v/>
      </c>
      <c r="O967" s="336"/>
      <c r="P967" s="336"/>
      <c r="Q967" s="694"/>
      <c r="R967" s="694"/>
      <c r="S967" s="694"/>
      <c r="T967" s="694"/>
      <c r="U967" s="694"/>
      <c r="V967" s="694"/>
      <c r="W967" s="694"/>
      <c r="X967" s="694"/>
      <c r="Y967" s="694"/>
      <c r="Z967" s="694"/>
      <c r="AA967" s="694"/>
      <c r="AB967" s="729"/>
      <c r="AC967" s="729"/>
      <c r="AD967" s="729"/>
      <c r="AE967" s="729"/>
      <c r="AF967" s="729"/>
      <c r="AG967" s="729"/>
      <c r="AH967" s="729"/>
      <c r="AI967" s="729"/>
      <c r="AJ967" s="343"/>
      <c r="AK967" s="343"/>
      <c r="AL967" s="343"/>
      <c r="AM967" s="343"/>
    </row>
    <row r="968" spans="1:39" ht="5.15" customHeight="1" x14ac:dyDescent="0.25">
      <c r="A968" s="729"/>
      <c r="B968" s="698"/>
      <c r="C968" s="284"/>
      <c r="D968" s="284"/>
      <c r="E968" s="284"/>
      <c r="F968" s="284"/>
      <c r="G968" s="284"/>
      <c r="H968" s="284"/>
      <c r="I968" s="284"/>
      <c r="J968" s="284"/>
      <c r="K968" s="284"/>
      <c r="L968" s="284"/>
      <c r="M968" s="284"/>
      <c r="N968" s="284"/>
      <c r="O968" s="336"/>
      <c r="P968" s="336"/>
      <c r="Q968" s="694"/>
      <c r="R968" s="694"/>
      <c r="S968" s="694"/>
      <c r="T968" s="694"/>
      <c r="U968" s="694"/>
      <c r="V968" s="694"/>
      <c r="W968" s="694"/>
      <c r="X968" s="694"/>
      <c r="Y968" s="694"/>
      <c r="Z968" s="729"/>
      <c r="AA968" s="729"/>
      <c r="AB968" s="729"/>
      <c r="AC968" s="694"/>
      <c r="AD968" s="694"/>
      <c r="AE968" s="343"/>
      <c r="AF968" s="343"/>
      <c r="AG968" s="343"/>
      <c r="AH968" s="343"/>
      <c r="AI968" s="343"/>
      <c r="AJ968" s="343"/>
      <c r="AK968" s="343"/>
      <c r="AL968" s="343"/>
      <c r="AM968" s="343"/>
    </row>
    <row r="969" spans="1:39" ht="12.75" customHeight="1" x14ac:dyDescent="0.25">
      <c r="A969" s="729"/>
      <c r="B969" s="698"/>
      <c r="C969" s="284"/>
      <c r="D969" s="300" t="s">
        <v>1764</v>
      </c>
      <c r="E969" s="2226" t="str">
        <f>Translations!$B$1535</f>
        <v>Допустимо по СТЕ на ЕС потребление на енергия по продукти за определяне на очакваните равнища на дейност</v>
      </c>
      <c r="F969" s="2249"/>
      <c r="G969" s="2249"/>
      <c r="H969" s="2249"/>
      <c r="I969" s="2249"/>
      <c r="J969" s="2249"/>
      <c r="K969" s="2249"/>
      <c r="L969" s="2249"/>
      <c r="M969" s="2249"/>
      <c r="N969" s="2249"/>
      <c r="O969" s="336"/>
      <c r="P969" s="336"/>
      <c r="Q969" s="770"/>
      <c r="R969" s="694"/>
      <c r="S969" s="1030" t="s">
        <v>2010</v>
      </c>
      <c r="T969" s="1441" t="str">
        <f>IF(M905&lt;&gt;EUconst_Relevant,"",IF(COUNTIF(V922:Z922,TRUE)&gt;0,2,1))</f>
        <v/>
      </c>
      <c r="U969" s="729" t="s">
        <v>2006</v>
      </c>
      <c r="V969" s="694"/>
      <c r="W969" s="694"/>
      <c r="X969" s="694"/>
      <c r="Y969" s="694"/>
      <c r="Z969" s="729"/>
      <c r="AA969" s="729"/>
      <c r="AB969" s="729"/>
      <c r="AC969" s="694"/>
      <c r="AD969" s="694"/>
      <c r="AE969" s="343"/>
      <c r="AF969" s="343"/>
      <c r="AG969" s="343"/>
      <c r="AH969" s="343"/>
      <c r="AI969" s="343"/>
      <c r="AJ969" s="343"/>
      <c r="AK969" s="343"/>
      <c r="AL969" s="343"/>
      <c r="AM969" s="343"/>
    </row>
    <row r="970" spans="1:39" ht="12.75" customHeight="1" x14ac:dyDescent="0.25">
      <c r="A970" s="729"/>
      <c r="B970" s="284"/>
      <c r="C970" s="302"/>
      <c r="D970" s="302"/>
      <c r="E970" s="2358" t="str">
        <f>Translations!$B$1337</f>
        <v>Моля, въведете тук енергопотреблението, свързано с всеки продукт, изброен в буква б) по-горе, в съответствие с методиките, описани в ПММ.</v>
      </c>
      <c r="F970" s="2249"/>
      <c r="G970" s="2249"/>
      <c r="H970" s="2249"/>
      <c r="I970" s="2249"/>
      <c r="J970" s="2249"/>
      <c r="K970" s="2249"/>
      <c r="L970" s="2249"/>
      <c r="M970" s="2249"/>
      <c r="N970" s="2249"/>
      <c r="O970" s="336"/>
      <c r="P970" s="336"/>
      <c r="Q970" s="770"/>
      <c r="R970" s="770"/>
      <c r="S970" s="770"/>
      <c r="T970" s="770"/>
      <c r="U970" s="770"/>
      <c r="V970" s="770"/>
      <c r="W970" s="770"/>
      <c r="X970" s="770"/>
      <c r="Y970" s="770"/>
      <c r="Z970" s="694"/>
      <c r="AA970" s="694"/>
      <c r="AB970" s="729"/>
      <c r="AC970" s="694"/>
      <c r="AD970" s="694"/>
      <c r="AE970" s="343"/>
      <c r="AF970" s="343"/>
      <c r="AG970" s="343"/>
      <c r="AH970" s="343"/>
      <c r="AI970" s="343"/>
      <c r="AJ970" s="343"/>
      <c r="AK970" s="343"/>
      <c r="AL970" s="343"/>
      <c r="AM970" s="343"/>
    </row>
    <row r="971" spans="1:39" ht="25.5" customHeight="1" x14ac:dyDescent="0.25">
      <c r="A971" s="729"/>
      <c r="B971" s="698"/>
      <c r="C971" s="284"/>
      <c r="D971" s="284"/>
      <c r="E971" s="2459" t="str">
        <f>Translations!$B$1536</f>
        <v>Вписванията тук са задължителни за всички години, ако средното годишно равнище на дейност по буква а) се е променило с повече от 15 % за поне една година и само в този случай ще окаже пряко въздействие върху разпределянето.</v>
      </c>
      <c r="F971" s="2460"/>
      <c r="G971" s="2460"/>
      <c r="H971" s="2460"/>
      <c r="I971" s="2460"/>
      <c r="J971" s="2460"/>
      <c r="K971" s="2460"/>
      <c r="L971" s="2460"/>
      <c r="M971" s="2460"/>
      <c r="N971" s="2460"/>
      <c r="O971" s="336"/>
      <c r="P971" s="336"/>
      <c r="Q971" s="694"/>
      <c r="R971" s="694"/>
      <c r="S971" s="694"/>
      <c r="T971" s="694"/>
      <c r="U971" s="694"/>
      <c r="V971" s="694"/>
      <c r="W971" s="694"/>
      <c r="X971" s="694"/>
      <c r="Y971" s="694"/>
      <c r="Z971" s="729"/>
      <c r="AA971" s="729"/>
      <c r="AB971" s="729"/>
      <c r="AC971" s="729"/>
      <c r="AD971" s="694"/>
      <c r="AE971" s="343"/>
      <c r="AF971" s="343"/>
      <c r="AG971" s="343"/>
      <c r="AH971" s="343"/>
      <c r="AI971" s="343"/>
      <c r="AJ971" s="343"/>
      <c r="AK971" s="343"/>
      <c r="AL971" s="343"/>
      <c r="AM971" s="343"/>
    </row>
    <row r="972" spans="1:39" ht="12.75" customHeight="1" x14ac:dyDescent="0.25">
      <c r="A972" s="729"/>
      <c r="B972" s="698"/>
      <c r="C972" s="284"/>
      <c r="D972" s="284"/>
      <c r="E972" s="2358" t="str">
        <f>Translations!$B$1537</f>
        <v>Стойността в НМИ се отнася до средното потребление на топлинна енергия през историческия базов период (НМИ).</v>
      </c>
      <c r="F972" s="2249"/>
      <c r="G972" s="2249"/>
      <c r="H972" s="2249"/>
      <c r="I972" s="2249"/>
      <c r="J972" s="2249"/>
      <c r="K972" s="2249"/>
      <c r="L972" s="2249"/>
      <c r="M972" s="2249"/>
      <c r="N972" s="2249"/>
      <c r="O972" s="336"/>
      <c r="P972" s="295"/>
      <c r="Q972" s="694"/>
      <c r="R972" s="694"/>
      <c r="S972" s="694"/>
      <c r="T972" s="694"/>
      <c r="U972" s="694"/>
      <c r="V972" s="694"/>
      <c r="W972" s="694"/>
      <c r="X972" s="694"/>
      <c r="Y972" s="694"/>
      <c r="Z972" s="729"/>
      <c r="AA972" s="729"/>
      <c r="AB972" s="729"/>
      <c r="AC972" s="729"/>
      <c r="AD972" s="694"/>
      <c r="AE972" s="343"/>
      <c r="AF972" s="343"/>
      <c r="AG972" s="343"/>
      <c r="AH972" s="343"/>
      <c r="AI972" s="343"/>
      <c r="AJ972" s="343"/>
      <c r="AK972" s="343"/>
      <c r="AL972" s="343"/>
      <c r="AM972" s="343"/>
    </row>
    <row r="973" spans="1:39" ht="12.75" customHeight="1" x14ac:dyDescent="0.25">
      <c r="A973" s="729"/>
      <c r="B973" s="698"/>
      <c r="C973" s="284"/>
      <c r="D973" s="284"/>
      <c r="E973" s="2358" t="str">
        <f>Translations!$B$1538</f>
        <v>Допълнителни насоки относно отнасянето по продукти за изчисляването на историческата ефективност (HistEff) могат да бъдат намерени в раздели 2.3 и 3 от Ръководство № 7.</v>
      </c>
      <c r="F973" s="2249"/>
      <c r="G973" s="2249"/>
      <c r="H973" s="2249"/>
      <c r="I973" s="2249"/>
      <c r="J973" s="2249"/>
      <c r="K973" s="2249"/>
      <c r="L973" s="2249"/>
      <c r="M973" s="2249"/>
      <c r="N973" s="2249"/>
      <c r="O973" s="336"/>
      <c r="P973" s="295"/>
      <c r="Q973" s="694"/>
      <c r="R973" s="694"/>
      <c r="S973" s="694"/>
      <c r="T973" s="694"/>
      <c r="U973" s="694"/>
      <c r="V973" s="694"/>
      <c r="W973" s="694"/>
      <c r="X973" s="694"/>
      <c r="Y973" s="694"/>
      <c r="Z973" s="729"/>
      <c r="AA973" s="729"/>
      <c r="AB973" s="729"/>
      <c r="AC973" s="729"/>
      <c r="AD973" s="694"/>
      <c r="AE973" s="343"/>
      <c r="AF973" s="343"/>
      <c r="AG973" s="343"/>
      <c r="AH973" s="343"/>
      <c r="AI973" s="343"/>
      <c r="AJ973" s="343"/>
      <c r="AK973" s="343"/>
      <c r="AL973" s="343"/>
      <c r="AM973" s="343"/>
    </row>
    <row r="974" spans="1:39" ht="5.15" customHeight="1" x14ac:dyDescent="0.25">
      <c r="A974" s="729"/>
      <c r="B974" s="698"/>
      <c r="C974" s="284"/>
      <c r="D974" s="284"/>
      <c r="E974" s="2358"/>
      <c r="F974" s="2249"/>
      <c r="G974" s="2249"/>
      <c r="H974" s="2249"/>
      <c r="I974" s="2249"/>
      <c r="J974" s="2249"/>
      <c r="K974" s="2249"/>
      <c r="L974" s="2249"/>
      <c r="M974" s="2249"/>
      <c r="N974" s="2249"/>
      <c r="O974" s="336"/>
      <c r="P974" s="295"/>
      <c r="Q974" s="694"/>
      <c r="R974" s="694"/>
      <c r="S974" s="694"/>
      <c r="T974" s="694"/>
      <c r="U974" s="694"/>
      <c r="V974" s="694"/>
      <c r="W974" s="694"/>
      <c r="X974" s="694"/>
      <c r="Y974" s="694"/>
      <c r="Z974" s="729"/>
      <c r="AA974" s="729"/>
      <c r="AB974" s="729"/>
      <c r="AC974" s="729"/>
      <c r="AD974" s="694"/>
      <c r="AE974" s="343"/>
      <c r="AF974" s="343"/>
      <c r="AG974" s="343"/>
      <c r="AH974" s="343"/>
      <c r="AI974" s="343"/>
      <c r="AJ974" s="343"/>
      <c r="AK974" s="343"/>
      <c r="AL974" s="343"/>
      <c r="AM974" s="343"/>
    </row>
    <row r="975" spans="1:39" s="1423" customFormat="1" ht="25.5" customHeight="1" thickBot="1" x14ac:dyDescent="0.35">
      <c r="A975" s="729"/>
      <c r="B975" s="1412"/>
      <c r="C975" s="1413"/>
      <c r="D975" s="1414"/>
      <c r="E975" s="1415" t="str">
        <f>Translations!$B$624</f>
        <v>Име на продукта или „топлофикационна мрежа“</v>
      </c>
      <c r="F975" s="1416" t="str">
        <f>EUconst_Unit</f>
        <v>Единица мярка</v>
      </c>
      <c r="G975" s="1419" t="str">
        <f>Translations!$B$1336</f>
        <v>Стойност в НМИ</v>
      </c>
      <c r="H975" s="1418">
        <f t="shared" ref="H975:N975" si="1466">H$1840</f>
        <v>2024</v>
      </c>
      <c r="I975" s="1419">
        <f t="shared" si="1466"/>
        <v>2025</v>
      </c>
      <c r="J975" s="1418">
        <f t="shared" si="1466"/>
        <v>2026</v>
      </c>
      <c r="K975" s="1420">
        <f t="shared" si="1466"/>
        <v>2027</v>
      </c>
      <c r="L975" s="1420">
        <f t="shared" si="1466"/>
        <v>2028</v>
      </c>
      <c r="M975" s="1420">
        <f t="shared" si="1466"/>
        <v>2029</v>
      </c>
      <c r="N975" s="1420">
        <f t="shared" si="1466"/>
        <v>2030</v>
      </c>
      <c r="O975" s="336"/>
      <c r="P975" s="295"/>
      <c r="Q975" s="1421"/>
      <c r="R975" s="1421"/>
      <c r="S975" s="770" t="str">
        <f>Translations!$B$1341</f>
        <v>Базова стойност</v>
      </c>
      <c r="T975" s="1421">
        <f t="shared" ref="T975" si="1467">H975</f>
        <v>2024</v>
      </c>
      <c r="U975" s="1421">
        <f t="shared" ref="U975" si="1468">I975</f>
        <v>2025</v>
      </c>
      <c r="V975" s="1421">
        <f t="shared" ref="V975" si="1469">J975</f>
        <v>2026</v>
      </c>
      <c r="W975" s="1421">
        <f t="shared" ref="W975" si="1470">K975</f>
        <v>2027</v>
      </c>
      <c r="X975" s="1421">
        <f t="shared" ref="X975" si="1471">L975</f>
        <v>2028</v>
      </c>
      <c r="Y975" s="1421">
        <f t="shared" ref="Y975" si="1472">M975</f>
        <v>2029</v>
      </c>
      <c r="Z975" s="1421">
        <f t="shared" ref="Z975" si="1473">N975</f>
        <v>2030</v>
      </c>
      <c r="AA975" s="1421"/>
      <c r="AB975" s="770" t="str">
        <f>Translations!$B$1284</f>
        <v>HAL</v>
      </c>
      <c r="AC975" s="1421">
        <f t="shared" ref="AC975" si="1474">H975</f>
        <v>2024</v>
      </c>
      <c r="AD975" s="1421">
        <f t="shared" ref="AD975" si="1475">I975</f>
        <v>2025</v>
      </c>
      <c r="AE975" s="1421">
        <f t="shared" ref="AE975" si="1476">J975</f>
        <v>2026</v>
      </c>
      <c r="AF975" s="1421">
        <f t="shared" ref="AF975" si="1477">K975</f>
        <v>2027</v>
      </c>
      <c r="AG975" s="1421">
        <f t="shared" ref="AG975" si="1478">L975</f>
        <v>2028</v>
      </c>
      <c r="AH975" s="1422">
        <f t="shared" ref="AH975" si="1479">M975</f>
        <v>2029</v>
      </c>
      <c r="AI975" s="1422">
        <f t="shared" ref="AI975" si="1480">N975</f>
        <v>2030</v>
      </c>
      <c r="AJ975" s="1422"/>
      <c r="AK975" s="1422"/>
      <c r="AL975" s="1422"/>
      <c r="AM975" s="1422"/>
    </row>
    <row r="976" spans="1:39" ht="12.75" customHeight="1" x14ac:dyDescent="0.25">
      <c r="A976" s="729"/>
      <c r="B976" s="698"/>
      <c r="C976" s="2906" t="str">
        <f>Translations!$B$1527</f>
        <v>Вложена енергия</v>
      </c>
      <c r="D976" s="981">
        <v>1</v>
      </c>
      <c r="E976" s="1424" t="str">
        <f t="shared" ref="E976:E985" si="1481">E957</f>
        <v/>
      </c>
      <c r="F976" s="1259" t="str">
        <f t="shared" ref="F976:F987" si="1482">EUconst_TJ</f>
        <v>TJ</v>
      </c>
      <c r="G976" s="125"/>
      <c r="H976" s="116"/>
      <c r="I976" s="46"/>
      <c r="J976" s="116"/>
      <c r="K976" s="40"/>
      <c r="L976" s="40"/>
      <c r="M976" s="40"/>
      <c r="N976" s="40"/>
      <c r="O976" s="1442"/>
      <c r="P976" s="158"/>
      <c r="Q976" s="694"/>
      <c r="R976" s="694"/>
      <c r="S976" s="1443" t="str">
        <f>IF($M905&lt;&gt;EUconst_Relevant,"",
IF($V905&gt;($J$1840-3),
              IF(INDEX(H957:N957,MATCH($V905,$T975:$Z975,0))=0,0,INDEX(H976:N976,MATCH($V905,$T975:$Z975,0))/INDEX(H957:N957,MATCH($V905,$T975:$Z975,0))),
                             IF(ISNUMBER(G957),
                                            IF(OR(G957=0,$S941=FALSE),0,G976/G957),"")))</f>
        <v/>
      </c>
      <c r="T976" s="1444" t="str">
        <f t="shared" ref="T976:T985" si="1483">IF($E976="","",IF(IFERROR(SUM($S976)=0,SUM($H976)),SUM(H976),SUM(H957)*SUM($S976)))</f>
        <v/>
      </c>
      <c r="U976" s="1444" t="str">
        <f t="shared" ref="U976" si="1484">IF($E976="","",IF(IFERROR(SUM($S976)=0,SUM($H976)),SUM(I976),SUM(I957)*SUM($S976)))</f>
        <v/>
      </c>
      <c r="V976" s="1444" t="str">
        <f t="shared" ref="V976" si="1485">IF($E976="","",IF(IFERROR(SUM($S976)=0,SUM($H976)),SUM(J976),SUM(J957)*SUM($S976)))</f>
        <v/>
      </c>
      <c r="W976" s="1444" t="str">
        <f t="shared" ref="W976" si="1486">IF($E976="","",IF(IFERROR(SUM($S976)=0,SUM($H976)),SUM(K976),SUM(K957)*SUM($S976)))</f>
        <v/>
      </c>
      <c r="X976" s="1444" t="str">
        <f t="shared" ref="X976" si="1487">IF($E976="","",IF(IFERROR(SUM($S976)=0,SUM($H976)),SUM(L976),SUM(L957)*SUM($S976)))</f>
        <v/>
      </c>
      <c r="Y976" s="1444" t="str">
        <f t="shared" ref="Y976" si="1488">IF($E976="","",IF(IFERROR(SUM($S976)=0,SUM($H976)),SUM(M976),SUM(M957)*SUM($S976)))</f>
        <v/>
      </c>
      <c r="Z976" s="1445" t="str">
        <f t="shared" ref="Z976" si="1489">IF($E976="","",IF(IFERROR(SUM($S976)=0,SUM($H976)),SUM(N976),SUM(N957)*SUM($S976)))</f>
        <v/>
      </c>
      <c r="AA976" s="1446" t="s">
        <v>1757</v>
      </c>
      <c r="AB976" s="1447">
        <f>MAX(AC976,AD976:AI976)</f>
        <v>2</v>
      </c>
      <c r="AC976" s="1426">
        <f>IF(CNTR_ExistSubInstEntries,IF(OR($M905&lt;&gt;EUconst_Relevant,AC975&gt;=CNTR_ReportingYear,AC975&lt;$V905-1,$E976=""),0,IF(AND($T969=2,COUNTIF($V922:V922,TRUE)&gt;0,$S941),2,1)),2)</f>
        <v>2</v>
      </c>
      <c r="AD976" s="1427">
        <f>IF(CNTR_ExistSubInstEntries,IF(OR($M905&lt;&gt;EUconst_Relevant,AD975&gt;=CNTR_ReportingYear,AD975&lt;$V905-1,$E976=""),0,IF(AND($T969=2,COUNTIF($V922:W922,TRUE)&gt;0,$S941),2,1)),2)</f>
        <v>2</v>
      </c>
      <c r="AE976" s="1427">
        <f>IF(CNTR_ExistSubInstEntries,IF(OR($M905&lt;&gt;EUconst_Relevant,AE975&gt;=CNTR_ReportingYear,AE975&lt;$V905-1,$E976=""),0,IF(AND($T969=2,COUNTIF($V922:X922,TRUE)&gt;0,$S941),2,1)),2)</f>
        <v>2</v>
      </c>
      <c r="AF976" s="1427">
        <f>IF(CNTR_ExistSubInstEntries,IF(OR($M905&lt;&gt;EUconst_Relevant,AF975&gt;=CNTR_ReportingYear,AF975&lt;$V905-1,$E976=""),0,IF(AND($T969=2,COUNTIF($V922:Y922,TRUE)&gt;0,$S941),2,1)),2)</f>
        <v>2</v>
      </c>
      <c r="AG976" s="1427">
        <f>IF(CNTR_ExistSubInstEntries,IF(OR($M905&lt;&gt;EUconst_Relevant,AG975&gt;=CNTR_ReportingYear,AG975&lt;$V905-1,$E976=""),0,IF(AND($T969=2,COUNTIF($V922:Z922,TRUE)&gt;0,$S941),2,1)),2)</f>
        <v>2</v>
      </c>
      <c r="AH976" s="1428">
        <f>IF(CNTR_ExistSubInstEntries,IF(OR($M905&lt;&gt;EUconst_Relevant,AH975&gt;=CNTR_ReportingYear,AH975&lt;$V905-1,$E976=""),0,IF(AND($T969=2,COUNTIF($V922:AA922,TRUE)&gt;0,$S941),2,1)),2)</f>
        <v>2</v>
      </c>
      <c r="AI976" s="1429">
        <f>IF(CNTR_ExistSubInstEntries,IF(OR($M905&lt;&gt;EUconst_Relevant,AI975&gt;=CNTR_ReportingYear,AI975&lt;$V905-1,$E976=""),0,IF(AND($T969=2,COUNTIF($V922:AB922,TRUE)&gt;0,$S941),2,1)),2)</f>
        <v>2</v>
      </c>
      <c r="AJ976" s="343"/>
      <c r="AK976" s="1174" t="s">
        <v>2039</v>
      </c>
      <c r="AL976" s="1176" t="str">
        <f>IF(AND(CNTR_ExistSubInstEntries,COUNTIFS(AB976:AI976,2,G976:N976,"")&gt;0),EUconst_Error&amp;"FB"&amp;Q905,"")</f>
        <v/>
      </c>
      <c r="AM976" s="343"/>
    </row>
    <row r="977" spans="1:39" ht="12.75" customHeight="1" x14ac:dyDescent="0.25">
      <c r="A977" s="729"/>
      <c r="B977" s="698"/>
      <c r="C977" s="2906"/>
      <c r="D977" s="990">
        <v>2</v>
      </c>
      <c r="E977" s="1430" t="str">
        <f t="shared" si="1481"/>
        <v/>
      </c>
      <c r="F977" s="1448" t="str">
        <f t="shared" si="1482"/>
        <v>TJ</v>
      </c>
      <c r="G977" s="124"/>
      <c r="H977" s="119"/>
      <c r="I977" s="47"/>
      <c r="J977" s="119"/>
      <c r="K977" s="43"/>
      <c r="L977" s="43"/>
      <c r="M977" s="43"/>
      <c r="N977" s="43"/>
      <c r="O977" s="336"/>
      <c r="P977" s="158"/>
      <c r="Q977" s="694"/>
      <c r="R977" s="694"/>
      <c r="S977" s="1449" t="str">
        <f>IF($M905&lt;&gt;EUconst_Relevant,"",
IF($V905&gt;($J$1840-3),
              IF(INDEX(H958:N958,MATCH($V905,$T975:$Z975,0))=0,0,INDEX(H977:N977,MATCH($V905,$T975:$Z975,0))/INDEX(H958:N958,MATCH($V905,$T975:$Z975,0))),
                             IF(ISNUMBER(G958),
                                            IF(OR(G958=0,$S942=FALSE),0,G977/G958),"")))</f>
        <v/>
      </c>
      <c r="T977" s="1450" t="str">
        <f t="shared" si="1483"/>
        <v/>
      </c>
      <c r="U977" s="1450" t="str">
        <f t="shared" ref="U977:U985" si="1490">IF($E977="","",IF(IFERROR(SUM($S977)=0,SUM($H977)),SUM(I977),SUM(I958)*SUM($S977)))</f>
        <v/>
      </c>
      <c r="V977" s="1450" t="str">
        <f t="shared" ref="V977:V985" si="1491">IF($E977="","",IF(IFERROR(SUM($S977)=0,SUM($H977)),SUM(J977),SUM(J958)*SUM($S977)))</f>
        <v/>
      </c>
      <c r="W977" s="1450" t="str">
        <f t="shared" ref="W977:W985" si="1492">IF($E977="","",IF(IFERROR(SUM($S977)=0,SUM($H977)),SUM(K977),SUM(K958)*SUM($S977)))</f>
        <v/>
      </c>
      <c r="X977" s="1450" t="str">
        <f t="shared" ref="X977:X985" si="1493">IF($E977="","",IF(IFERROR(SUM($S977)=0,SUM($H977)),SUM(L977),SUM(L958)*SUM($S977)))</f>
        <v/>
      </c>
      <c r="Y977" s="1450" t="str">
        <f t="shared" ref="Y977:Y985" si="1494">IF($E977="","",IF(IFERROR(SUM($S977)=0,SUM($H977)),SUM(M977),SUM(M958)*SUM($S977)))</f>
        <v/>
      </c>
      <c r="Z977" s="1451" t="str">
        <f t="shared" ref="Z977:Z985" si="1495">IF($E977="","",IF(IFERROR(SUM($S977)=0,SUM($H977)),SUM(N977),SUM(N958)*SUM($S977)))</f>
        <v/>
      </c>
      <c r="AA977" s="694"/>
      <c r="AB977" s="1431">
        <f t="shared" ref="AB977:AB985" si="1496">MAX(AC977,AD977:AI977)</f>
        <v>2</v>
      </c>
      <c r="AC977" s="1432">
        <f>IF(CNTR_ExistSubInstEntries,IF(OR($M905&lt;&gt;EUconst_Relevant,AC975&gt;=CNTR_ReportingYear,AC975&lt;$V905-1,$E977=""),0,IF(AND($T969=2,COUNTIF($V922:V922,TRUE)&gt;0,$S942),2,1)),2)</f>
        <v>2</v>
      </c>
      <c r="AD977" s="1432">
        <f>IF(CNTR_ExistSubInstEntries,IF(OR($M905&lt;&gt;EUconst_Relevant,AD975&gt;=CNTR_ReportingYear,AD975&lt;$V905-1,$E977=""),0,IF(AND($T969=2,COUNTIF($V922:W922,TRUE)&gt;0,$S942),2,1)),2)</f>
        <v>2</v>
      </c>
      <c r="AE977" s="1432">
        <f>IF(CNTR_ExistSubInstEntries,IF(OR($M905&lt;&gt;EUconst_Relevant,AE975&gt;=CNTR_ReportingYear,AE975&lt;$V905-1,$E977=""),0,IF(AND($T969=2,COUNTIF($V922:X922,TRUE)&gt;0,$S942),2,1)),2)</f>
        <v>2</v>
      </c>
      <c r="AF977" s="1432">
        <f>IF(CNTR_ExistSubInstEntries,IF(OR($M905&lt;&gt;EUconst_Relevant,AF975&gt;=CNTR_ReportingYear,AF975&lt;$V905-1,$E977=""),0,IF(AND($T969=2,COUNTIF($V922:Y922,TRUE)&gt;0,$S942),2,1)),2)</f>
        <v>2</v>
      </c>
      <c r="AG977" s="1432">
        <f>IF(CNTR_ExistSubInstEntries,IF(OR($M905&lt;&gt;EUconst_Relevant,AG975&gt;=CNTR_ReportingYear,AG975&lt;$V905-1,$E977=""),0,IF(AND($T969=2,COUNTIF($V922:Z922,TRUE)&gt;0,$S942),2,1)),2)</f>
        <v>2</v>
      </c>
      <c r="AH977" s="1432">
        <f>IF(CNTR_ExistSubInstEntries,IF(OR($M905&lt;&gt;EUconst_Relevant,AH975&gt;=CNTR_ReportingYear,AH975&lt;$V905-1,$E977=""),0,IF(AND($T969=2,COUNTIF($V922:AA922,TRUE)&gt;0,$S942),2,1)),2)</f>
        <v>2</v>
      </c>
      <c r="AI977" s="1452">
        <f>IF(CNTR_ExistSubInstEntries,IF(OR($M905&lt;&gt;EUconst_Relevant,AI975&gt;=CNTR_ReportingYear,AI975&lt;$V905-1,$E977=""),0,IF(AND($T969=2,COUNTIF($V922:AB922,TRUE)&gt;0,$S942),2,1)),2)</f>
        <v>2</v>
      </c>
      <c r="AJ977" s="343"/>
      <c r="AK977" s="1174" t="s">
        <v>2039</v>
      </c>
      <c r="AL977" s="1176" t="str">
        <f>IF(AND(CNTR_ExistSubInstEntries,COUNTIFS(AB977:AI977,2,G977:N977,"")&gt;0),EUconst_Error&amp;"FB"&amp;Q905,"")</f>
        <v/>
      </c>
      <c r="AM977" s="343"/>
    </row>
    <row r="978" spans="1:39" ht="12.75" customHeight="1" x14ac:dyDescent="0.25">
      <c r="A978" s="729"/>
      <c r="B978" s="698"/>
      <c r="C978" s="2906"/>
      <c r="D978" s="990">
        <v>3</v>
      </c>
      <c r="E978" s="1430" t="str">
        <f t="shared" si="1481"/>
        <v/>
      </c>
      <c r="F978" s="1448" t="str">
        <f t="shared" si="1482"/>
        <v>TJ</v>
      </c>
      <c r="G978" s="47"/>
      <c r="H978" s="119"/>
      <c r="I978" s="47"/>
      <c r="J978" s="119"/>
      <c r="K978" s="43"/>
      <c r="L978" s="43"/>
      <c r="M978" s="43"/>
      <c r="N978" s="43"/>
      <c r="O978" s="336"/>
      <c r="P978" s="158"/>
      <c r="Q978" s="694"/>
      <c r="R978" s="694"/>
      <c r="S978" s="1449" t="str">
        <f>IF($M905&lt;&gt;EUconst_Relevant,"",
IF($V905&gt;($J$1840-3),
              IF(INDEX(H959:N959,MATCH($V905,$T975:$Z975,0))=0,0,INDEX(H978:N978,MATCH($V905,$T975:$Z975,0))/INDEX(H959:N959,MATCH($V905,$T975:$Z975,0))),
                             IF(ISNUMBER(G959),
                                            IF(OR(G959=0,$S943=FALSE),0,G978/G959),"")))</f>
        <v/>
      </c>
      <c r="T978" s="1450" t="str">
        <f t="shared" si="1483"/>
        <v/>
      </c>
      <c r="U978" s="1450" t="str">
        <f t="shared" si="1490"/>
        <v/>
      </c>
      <c r="V978" s="1450" t="str">
        <f t="shared" si="1491"/>
        <v/>
      </c>
      <c r="W978" s="1450" t="str">
        <f t="shared" si="1492"/>
        <v/>
      </c>
      <c r="X978" s="1450" t="str">
        <f t="shared" si="1493"/>
        <v/>
      </c>
      <c r="Y978" s="1450" t="str">
        <f t="shared" si="1494"/>
        <v/>
      </c>
      <c r="Z978" s="1451" t="str">
        <f t="shared" si="1495"/>
        <v/>
      </c>
      <c r="AA978" s="694"/>
      <c r="AB978" s="1431">
        <f t="shared" si="1496"/>
        <v>2</v>
      </c>
      <c r="AC978" s="1432">
        <f>IF(CNTR_ExistSubInstEntries,IF(OR($M905&lt;&gt;EUconst_Relevant,AC975&gt;=CNTR_ReportingYear,AC975&lt;$V905-1,$E978=""),0,IF(AND($T969=2,COUNTIF($V922:V922,TRUE)&gt;0,$S943),2,1)),2)</f>
        <v>2</v>
      </c>
      <c r="AD978" s="1432">
        <f>IF(CNTR_ExistSubInstEntries,IF(OR($M905&lt;&gt;EUconst_Relevant,AD975&gt;=CNTR_ReportingYear,AD975&lt;$V905-1,$E978=""),0,IF(AND($T969=2,COUNTIF($V922:W922,TRUE)&gt;0,$S943),2,1)),2)</f>
        <v>2</v>
      </c>
      <c r="AE978" s="1432">
        <f>IF(CNTR_ExistSubInstEntries,IF(OR($M905&lt;&gt;EUconst_Relevant,AE975&gt;=CNTR_ReportingYear,AE975&lt;$V905-1,$E978=""),0,IF(AND($T969=2,COUNTIF($V922:X922,TRUE)&gt;0,$S943),2,1)),2)</f>
        <v>2</v>
      </c>
      <c r="AF978" s="1432">
        <f>IF(CNTR_ExistSubInstEntries,IF(OR($M905&lt;&gt;EUconst_Relevant,AF975&gt;=CNTR_ReportingYear,AF975&lt;$V905-1,$E978=""),0,IF(AND($T969=2,COUNTIF($V922:Y922,TRUE)&gt;0,$S943),2,1)),2)</f>
        <v>2</v>
      </c>
      <c r="AG978" s="1432">
        <f>IF(CNTR_ExistSubInstEntries,IF(OR($M905&lt;&gt;EUconst_Relevant,AG975&gt;=CNTR_ReportingYear,AG975&lt;$V905-1,$E978=""),0,IF(AND($T969=2,COUNTIF($V922:Z922,TRUE)&gt;0,$S943),2,1)),2)</f>
        <v>2</v>
      </c>
      <c r="AH978" s="1432">
        <f>IF(CNTR_ExistSubInstEntries,IF(OR($M905&lt;&gt;EUconst_Relevant,AH975&gt;=CNTR_ReportingYear,AH975&lt;$V905-1,$E978=""),0,IF(AND($T969=2,COUNTIF($V922:AA922,TRUE)&gt;0,$S943),2,1)),2)</f>
        <v>2</v>
      </c>
      <c r="AI978" s="1452">
        <f>IF(CNTR_ExistSubInstEntries,IF(OR($M905&lt;&gt;EUconst_Relevant,AI975&gt;=CNTR_ReportingYear,AI975&lt;$V905-1,$E978=""),0,IF(AND($T969=2,COUNTIF($V922:AB922,TRUE)&gt;0,$S943),2,1)),2)</f>
        <v>2</v>
      </c>
      <c r="AJ978" s="343"/>
      <c r="AK978" s="1174" t="s">
        <v>2039</v>
      </c>
      <c r="AL978" s="1176" t="str">
        <f>IF(AND(CNTR_ExistSubInstEntries,COUNTIFS(AB978:AI978,2,G978:N978,"")&gt;0),EUconst_Error&amp;"FB"&amp;Q905,"")</f>
        <v/>
      </c>
      <c r="AM978" s="343"/>
    </row>
    <row r="979" spans="1:39" ht="12.75" customHeight="1" x14ac:dyDescent="0.25">
      <c r="A979" s="729"/>
      <c r="B979" s="698"/>
      <c r="C979" s="2906"/>
      <c r="D979" s="990">
        <v>4</v>
      </c>
      <c r="E979" s="1430" t="str">
        <f t="shared" si="1481"/>
        <v/>
      </c>
      <c r="F979" s="1448" t="str">
        <f t="shared" si="1482"/>
        <v>TJ</v>
      </c>
      <c r="G979" s="47"/>
      <c r="H979" s="119"/>
      <c r="I979" s="47"/>
      <c r="J979" s="119"/>
      <c r="K979" s="43"/>
      <c r="L979" s="43"/>
      <c r="M979" s="43"/>
      <c r="N979" s="43"/>
      <c r="O979" s="336"/>
      <c r="P979" s="158"/>
      <c r="Q979" s="694"/>
      <c r="R979" s="694"/>
      <c r="S979" s="1449" t="str">
        <f>IF($M905&lt;&gt;EUconst_Relevant,"",
IF($V905&gt;($J$1840-3),
              IF(INDEX(H960:N960,MATCH($V905,$T975:$Z975,0))=0,0,INDEX(H979:N979,MATCH($V905,$T975:$Z975,0))/INDEX(H960:N960,MATCH($V905,$T975:$Z975,0))),
                             IF(ISNUMBER(G960),
                                            IF(OR(G960=0,$S944=FALSE),0,G979/G960),"")))</f>
        <v/>
      </c>
      <c r="T979" s="1450" t="str">
        <f t="shared" si="1483"/>
        <v/>
      </c>
      <c r="U979" s="1450" t="str">
        <f t="shared" si="1490"/>
        <v/>
      </c>
      <c r="V979" s="1450" t="str">
        <f t="shared" si="1491"/>
        <v/>
      </c>
      <c r="W979" s="1450" t="str">
        <f t="shared" si="1492"/>
        <v/>
      </c>
      <c r="X979" s="1450" t="str">
        <f t="shared" si="1493"/>
        <v/>
      </c>
      <c r="Y979" s="1450" t="str">
        <f t="shared" si="1494"/>
        <v/>
      </c>
      <c r="Z979" s="1451" t="str">
        <f t="shared" si="1495"/>
        <v/>
      </c>
      <c r="AA979" s="694"/>
      <c r="AB979" s="1431">
        <f t="shared" si="1496"/>
        <v>2</v>
      </c>
      <c r="AC979" s="1432">
        <f>IF(CNTR_ExistSubInstEntries,IF(OR($M905&lt;&gt;EUconst_Relevant,AC975&gt;=CNTR_ReportingYear,AC975&lt;$V905-1,$E979=""),0,IF(AND($T969=2,COUNTIF($V922:V922,TRUE)&gt;0,$S944),2,1)),2)</f>
        <v>2</v>
      </c>
      <c r="AD979" s="1432">
        <f>IF(CNTR_ExistSubInstEntries,IF(OR($M905&lt;&gt;EUconst_Relevant,AD975&gt;=CNTR_ReportingYear,AD975&lt;$V905-1,$E979=""),0,IF(AND($T969=2,COUNTIF($V922:W922,TRUE)&gt;0,$S944),2,1)),2)</f>
        <v>2</v>
      </c>
      <c r="AE979" s="1432">
        <f>IF(CNTR_ExistSubInstEntries,IF(OR($M905&lt;&gt;EUconst_Relevant,AE975&gt;=CNTR_ReportingYear,AE975&lt;$V905-1,$E979=""),0,IF(AND($T969=2,COUNTIF($V922:X922,TRUE)&gt;0,$S944),2,1)),2)</f>
        <v>2</v>
      </c>
      <c r="AF979" s="1432">
        <f>IF(CNTR_ExistSubInstEntries,IF(OR($M905&lt;&gt;EUconst_Relevant,AF975&gt;=CNTR_ReportingYear,AF975&lt;$V905-1,$E979=""),0,IF(AND($T969=2,COUNTIF($V922:Y922,TRUE)&gt;0,$S944),2,1)),2)</f>
        <v>2</v>
      </c>
      <c r="AG979" s="1432">
        <f>IF(CNTR_ExistSubInstEntries,IF(OR($M905&lt;&gt;EUconst_Relevant,AG975&gt;=CNTR_ReportingYear,AG975&lt;$V905-1,$E979=""),0,IF(AND($T969=2,COUNTIF($V922:Z922,TRUE)&gt;0,$S944),2,1)),2)</f>
        <v>2</v>
      </c>
      <c r="AH979" s="1432">
        <f>IF(CNTR_ExistSubInstEntries,IF(OR($M905&lt;&gt;EUconst_Relevant,AH975&gt;=CNTR_ReportingYear,AH975&lt;$V905-1,$E979=""),0,IF(AND($T969=2,COUNTIF($V922:AA922,TRUE)&gt;0,$S944),2,1)),2)</f>
        <v>2</v>
      </c>
      <c r="AI979" s="1452">
        <f>IF(CNTR_ExistSubInstEntries,IF(OR($M905&lt;&gt;EUconst_Relevant,AI975&gt;=CNTR_ReportingYear,AI975&lt;$V905-1,$E979=""),0,IF(AND($T969=2,COUNTIF($V922:AB922,TRUE)&gt;0,$S944),2,1)),2)</f>
        <v>2</v>
      </c>
      <c r="AJ979" s="343"/>
      <c r="AK979" s="1174" t="s">
        <v>2039</v>
      </c>
      <c r="AL979" s="1176" t="str">
        <f>IF(AND(CNTR_ExistSubInstEntries,COUNTIFS(AB979:AI979,2,G979:N979,"")&gt;0),EUconst_Error&amp;"FB"&amp;Q905,"")</f>
        <v/>
      </c>
      <c r="AM979" s="343"/>
    </row>
    <row r="980" spans="1:39" ht="12.75" customHeight="1" x14ac:dyDescent="0.25">
      <c r="A980" s="729"/>
      <c r="B980" s="698"/>
      <c r="C980" s="2906"/>
      <c r="D980" s="990">
        <v>5</v>
      </c>
      <c r="E980" s="1430" t="str">
        <f t="shared" si="1481"/>
        <v/>
      </c>
      <c r="F980" s="1448" t="str">
        <f t="shared" si="1482"/>
        <v>TJ</v>
      </c>
      <c r="G980" s="47"/>
      <c r="H980" s="119"/>
      <c r="I980" s="47"/>
      <c r="J980" s="119"/>
      <c r="K980" s="43"/>
      <c r="L980" s="43"/>
      <c r="M980" s="43"/>
      <c r="N980" s="43"/>
      <c r="O980" s="336"/>
      <c r="P980" s="158"/>
      <c r="Q980" s="694"/>
      <c r="R980" s="694"/>
      <c r="S980" s="1449" t="str">
        <f>IF($M905&lt;&gt;EUconst_Relevant,"",
IF($V905&gt;($J$1840-3),
              IF(INDEX(H961:N961,MATCH($V905,$T975:$Z975,0))=0,0,INDEX(H980:N980,MATCH($V905,$T975:$Z975,0))/INDEX(H961:N961,MATCH($V905,$T975:$Z975,0))),
                             IF(ISNUMBER(G961),
                                            IF(OR(G961=0,$S945=FALSE),0,G980/G961),"")))</f>
        <v/>
      </c>
      <c r="T980" s="1450" t="str">
        <f t="shared" si="1483"/>
        <v/>
      </c>
      <c r="U980" s="1450" t="str">
        <f t="shared" si="1490"/>
        <v/>
      </c>
      <c r="V980" s="1450" t="str">
        <f t="shared" si="1491"/>
        <v/>
      </c>
      <c r="W980" s="1450" t="str">
        <f t="shared" si="1492"/>
        <v/>
      </c>
      <c r="X980" s="1450" t="str">
        <f t="shared" si="1493"/>
        <v/>
      </c>
      <c r="Y980" s="1450" t="str">
        <f t="shared" si="1494"/>
        <v/>
      </c>
      <c r="Z980" s="1451" t="str">
        <f t="shared" si="1495"/>
        <v/>
      </c>
      <c r="AA980" s="694"/>
      <c r="AB980" s="1431">
        <f t="shared" si="1496"/>
        <v>2</v>
      </c>
      <c r="AC980" s="1432">
        <f>IF(CNTR_ExistSubInstEntries,IF(OR($M905&lt;&gt;EUconst_Relevant,AC975&gt;=CNTR_ReportingYear,AC975&lt;$V905-1,$E980=""),0,IF(AND($T969=2,COUNTIF($V922:V922,TRUE)&gt;0,$S945),2,1)),2)</f>
        <v>2</v>
      </c>
      <c r="AD980" s="1432">
        <f>IF(CNTR_ExistSubInstEntries,IF(OR($M905&lt;&gt;EUconst_Relevant,AD975&gt;=CNTR_ReportingYear,AD975&lt;$V905-1,$E980=""),0,IF(AND($T969=2,COUNTIF($V922:W922,TRUE)&gt;0,$S945),2,1)),2)</f>
        <v>2</v>
      </c>
      <c r="AE980" s="1432">
        <f>IF(CNTR_ExistSubInstEntries,IF(OR($M905&lt;&gt;EUconst_Relevant,AE975&gt;=CNTR_ReportingYear,AE975&lt;$V905-1,$E980=""),0,IF(AND($T969=2,COUNTIF($V922:X922,TRUE)&gt;0,$S945),2,1)),2)</f>
        <v>2</v>
      </c>
      <c r="AF980" s="1432">
        <f>IF(CNTR_ExistSubInstEntries,IF(OR($M905&lt;&gt;EUconst_Relevant,AF975&gt;=CNTR_ReportingYear,AF975&lt;$V905-1,$E980=""),0,IF(AND($T969=2,COUNTIF($V922:Y922,TRUE)&gt;0,$S945),2,1)),2)</f>
        <v>2</v>
      </c>
      <c r="AG980" s="1432">
        <f>IF(CNTR_ExistSubInstEntries,IF(OR($M905&lt;&gt;EUconst_Relevant,AG975&gt;=CNTR_ReportingYear,AG975&lt;$V905-1,$E980=""),0,IF(AND($T969=2,COUNTIF($V922:Z922,TRUE)&gt;0,$S945),2,1)),2)</f>
        <v>2</v>
      </c>
      <c r="AH980" s="1432">
        <f>IF(CNTR_ExistSubInstEntries,IF(OR($M905&lt;&gt;EUconst_Relevant,AH975&gt;=CNTR_ReportingYear,AH975&lt;$V905-1,$E980=""),0,IF(AND($T969=2,COUNTIF($V922:AA922,TRUE)&gt;0,$S945),2,1)),2)</f>
        <v>2</v>
      </c>
      <c r="AI980" s="1452">
        <f>IF(CNTR_ExistSubInstEntries,IF(OR($M905&lt;&gt;EUconst_Relevant,AI975&gt;=CNTR_ReportingYear,AI975&lt;$V905-1,$E980=""),0,IF(AND($T969=2,COUNTIF($V922:AB922,TRUE)&gt;0,$S945),2,1)),2)</f>
        <v>2</v>
      </c>
      <c r="AJ980" s="343"/>
      <c r="AK980" s="1174" t="s">
        <v>2039</v>
      </c>
      <c r="AL980" s="1176" t="str">
        <f>IF(AND(CNTR_ExistSubInstEntries,COUNTIFS(AB980:AI980,2,G980:N980,"")&gt;0),EUconst_Error&amp;"FB"&amp;Q905,"")</f>
        <v/>
      </c>
      <c r="AM980" s="343"/>
    </row>
    <row r="981" spans="1:39" ht="12.75" customHeight="1" x14ac:dyDescent="0.25">
      <c r="A981" s="729"/>
      <c r="B981" s="698"/>
      <c r="C981" s="2906"/>
      <c r="D981" s="990">
        <v>6</v>
      </c>
      <c r="E981" s="1430" t="str">
        <f t="shared" si="1481"/>
        <v/>
      </c>
      <c r="F981" s="1448" t="str">
        <f t="shared" si="1482"/>
        <v>TJ</v>
      </c>
      <c r="G981" s="47"/>
      <c r="H981" s="119"/>
      <c r="I981" s="47"/>
      <c r="J981" s="119"/>
      <c r="K981" s="43"/>
      <c r="L981" s="43"/>
      <c r="M981" s="43"/>
      <c r="N981" s="43"/>
      <c r="O981" s="336"/>
      <c r="P981" s="158"/>
      <c r="Q981" s="694"/>
      <c r="R981" s="694"/>
      <c r="S981" s="1449" t="str">
        <f>IF($M905&lt;&gt;EUconst_Relevant,"",
IF($V905&gt;($J$1840-3),
              IF(INDEX(H962:N962,MATCH($V905,$T975:$Z975,0))=0,0,INDEX(H981:N981,MATCH($V905,$T975:$Z975,0))/INDEX(H962:N962,MATCH($V905,$T975:$Z975,0))),
                             IF(ISNUMBER(G962),
                                            IF(OR(G962=0,$S946=FALSE),0,G981/G962),"")))</f>
        <v/>
      </c>
      <c r="T981" s="1450" t="str">
        <f t="shared" si="1483"/>
        <v/>
      </c>
      <c r="U981" s="1450" t="str">
        <f t="shared" si="1490"/>
        <v/>
      </c>
      <c r="V981" s="1450" t="str">
        <f t="shared" si="1491"/>
        <v/>
      </c>
      <c r="W981" s="1450" t="str">
        <f t="shared" si="1492"/>
        <v/>
      </c>
      <c r="X981" s="1450" t="str">
        <f t="shared" si="1493"/>
        <v/>
      </c>
      <c r="Y981" s="1450" t="str">
        <f t="shared" si="1494"/>
        <v/>
      </c>
      <c r="Z981" s="1451" t="str">
        <f t="shared" si="1495"/>
        <v/>
      </c>
      <c r="AA981" s="694"/>
      <c r="AB981" s="1431">
        <f t="shared" si="1496"/>
        <v>2</v>
      </c>
      <c r="AC981" s="1432">
        <f>IF(CNTR_ExistSubInstEntries,IF(OR($M905&lt;&gt;EUconst_Relevant,AC975&gt;=CNTR_ReportingYear,AC975&lt;$V905-1,$E981=""),0,IF(AND($T969=2,COUNTIF($V922:V922,TRUE)&gt;0,$S946),2,1)),2)</f>
        <v>2</v>
      </c>
      <c r="AD981" s="1432">
        <f>IF(CNTR_ExistSubInstEntries,IF(OR($M905&lt;&gt;EUconst_Relevant,AD975&gt;=CNTR_ReportingYear,AD975&lt;$V905-1,$E981=""),0,IF(AND($T969=2,COUNTIF($V922:W922,TRUE)&gt;0,$S946),2,1)),2)</f>
        <v>2</v>
      </c>
      <c r="AE981" s="1432">
        <f>IF(CNTR_ExistSubInstEntries,IF(OR($M905&lt;&gt;EUconst_Relevant,AE975&gt;=CNTR_ReportingYear,AE975&lt;$V905-1,$E981=""),0,IF(AND($T969=2,COUNTIF($V922:X922,TRUE)&gt;0,$S946),2,1)),2)</f>
        <v>2</v>
      </c>
      <c r="AF981" s="1432">
        <f>IF(CNTR_ExistSubInstEntries,IF(OR($M905&lt;&gt;EUconst_Relevant,AF975&gt;=CNTR_ReportingYear,AF975&lt;$V905-1,$E981=""),0,IF(AND($T969=2,COUNTIF($V922:Y922,TRUE)&gt;0,$S946),2,1)),2)</f>
        <v>2</v>
      </c>
      <c r="AG981" s="1432">
        <f>IF(CNTR_ExistSubInstEntries,IF(OR($M905&lt;&gt;EUconst_Relevant,AG975&gt;=CNTR_ReportingYear,AG975&lt;$V905-1,$E981=""),0,IF(AND($T969=2,COUNTIF($V922:Z922,TRUE)&gt;0,$S946),2,1)),2)</f>
        <v>2</v>
      </c>
      <c r="AH981" s="1432">
        <f>IF(CNTR_ExistSubInstEntries,IF(OR($M905&lt;&gt;EUconst_Relevant,AH975&gt;=CNTR_ReportingYear,AH975&lt;$V905-1,$E981=""),0,IF(AND($T969=2,COUNTIF($V922:AA922,TRUE)&gt;0,$S946),2,1)),2)</f>
        <v>2</v>
      </c>
      <c r="AI981" s="1452">
        <f>IF(CNTR_ExistSubInstEntries,IF(OR($M905&lt;&gt;EUconst_Relevant,AI975&gt;=CNTR_ReportingYear,AI975&lt;$V905-1,$E981=""),0,IF(AND($T969=2,COUNTIF($V922:AB922,TRUE)&gt;0,$S946),2,1)),2)</f>
        <v>2</v>
      </c>
      <c r="AJ981" s="343"/>
      <c r="AK981" s="1174" t="s">
        <v>2039</v>
      </c>
      <c r="AL981" s="1176" t="str">
        <f>IF(AND(CNTR_ExistSubInstEntries,COUNTIFS(AB981:AI981,2,G981:N981,"")&gt;0),EUconst_Error&amp;"FB"&amp;Q905,"")</f>
        <v/>
      </c>
      <c r="AM981" s="343"/>
    </row>
    <row r="982" spans="1:39" ht="12.75" customHeight="1" x14ac:dyDescent="0.25">
      <c r="A982" s="729"/>
      <c r="B982" s="698"/>
      <c r="C982" s="2906"/>
      <c r="D982" s="990">
        <v>7</v>
      </c>
      <c r="E982" s="1430" t="str">
        <f t="shared" si="1481"/>
        <v/>
      </c>
      <c r="F982" s="1448" t="str">
        <f t="shared" si="1482"/>
        <v>TJ</v>
      </c>
      <c r="G982" s="47"/>
      <c r="H982" s="119"/>
      <c r="I982" s="47"/>
      <c r="J982" s="119"/>
      <c r="K982" s="43"/>
      <c r="L982" s="43"/>
      <c r="M982" s="43"/>
      <c r="N982" s="43"/>
      <c r="O982" s="336"/>
      <c r="P982" s="158"/>
      <c r="Q982" s="694"/>
      <c r="R982" s="694"/>
      <c r="S982" s="1449" t="str">
        <f>IF($M905&lt;&gt;EUconst_Relevant,"",
IF($V905&gt;($J$1840-3),
              IF(INDEX(H963:N963,MATCH($V905,$T975:$Z975,0))=0,0,INDEX(H982:N982,MATCH($V905,$T975:$Z975,0))/INDEX(H963:N963,MATCH($V905,$T975:$Z975,0))),
                             IF(ISNUMBER(G963),
                                            IF(OR(G963=0,$S947=FALSE),0,G982/G963),"")))</f>
        <v/>
      </c>
      <c r="T982" s="1450" t="str">
        <f t="shared" si="1483"/>
        <v/>
      </c>
      <c r="U982" s="1450" t="str">
        <f t="shared" si="1490"/>
        <v/>
      </c>
      <c r="V982" s="1450" t="str">
        <f t="shared" si="1491"/>
        <v/>
      </c>
      <c r="W982" s="1450" t="str">
        <f t="shared" si="1492"/>
        <v/>
      </c>
      <c r="X982" s="1450" t="str">
        <f t="shared" si="1493"/>
        <v/>
      </c>
      <c r="Y982" s="1450" t="str">
        <f t="shared" si="1494"/>
        <v/>
      </c>
      <c r="Z982" s="1451" t="str">
        <f t="shared" si="1495"/>
        <v/>
      </c>
      <c r="AA982" s="694"/>
      <c r="AB982" s="1431">
        <f t="shared" si="1496"/>
        <v>2</v>
      </c>
      <c r="AC982" s="1432">
        <f>IF(CNTR_ExistSubInstEntries,IF(OR($M905&lt;&gt;EUconst_Relevant,AC975&gt;=CNTR_ReportingYear,AC975&lt;$V905-1,$E982=""),0,IF(AND($T969=2,COUNTIF($V922:V922,TRUE)&gt;0,$S947),2,1)),2)</f>
        <v>2</v>
      </c>
      <c r="AD982" s="1432">
        <f>IF(CNTR_ExistSubInstEntries,IF(OR($M905&lt;&gt;EUconst_Relevant,AD975&gt;=CNTR_ReportingYear,AD975&lt;$V905-1,$E982=""),0,IF(AND($T969=2,COUNTIF($V922:W922,TRUE)&gt;0,$S947),2,1)),2)</f>
        <v>2</v>
      </c>
      <c r="AE982" s="1432">
        <f>IF(CNTR_ExistSubInstEntries,IF(OR($M905&lt;&gt;EUconst_Relevant,AE975&gt;=CNTR_ReportingYear,AE975&lt;$V905-1,$E982=""),0,IF(AND($T969=2,COUNTIF($V922:X922,TRUE)&gt;0,$S947),2,1)),2)</f>
        <v>2</v>
      </c>
      <c r="AF982" s="1432">
        <f>IF(CNTR_ExistSubInstEntries,IF(OR($M905&lt;&gt;EUconst_Relevant,AF975&gt;=CNTR_ReportingYear,AF975&lt;$V905-1,$E982=""),0,IF(AND($T969=2,COUNTIF($V922:Y922,TRUE)&gt;0,$S947),2,1)),2)</f>
        <v>2</v>
      </c>
      <c r="AG982" s="1432">
        <f>IF(CNTR_ExistSubInstEntries,IF(OR($M905&lt;&gt;EUconst_Relevant,AG975&gt;=CNTR_ReportingYear,AG975&lt;$V905-1,$E982=""),0,IF(AND($T969=2,COUNTIF($V922:Z922,TRUE)&gt;0,$S947),2,1)),2)</f>
        <v>2</v>
      </c>
      <c r="AH982" s="1432">
        <f>IF(CNTR_ExistSubInstEntries,IF(OR($M905&lt;&gt;EUconst_Relevant,AH975&gt;=CNTR_ReportingYear,AH975&lt;$V905-1,$E982=""),0,IF(AND($T969=2,COUNTIF($V922:AA922,TRUE)&gt;0,$S947),2,1)),2)</f>
        <v>2</v>
      </c>
      <c r="AI982" s="1452">
        <f>IF(CNTR_ExistSubInstEntries,IF(OR($M905&lt;&gt;EUconst_Relevant,AI975&gt;=CNTR_ReportingYear,AI975&lt;$V905-1,$E982=""),0,IF(AND($T969=2,COUNTIF($V922:AB922,TRUE)&gt;0,$S947),2,1)),2)</f>
        <v>2</v>
      </c>
      <c r="AJ982" s="343"/>
      <c r="AK982" s="1174" t="s">
        <v>2039</v>
      </c>
      <c r="AL982" s="1176" t="str">
        <f>IF(AND(CNTR_ExistSubInstEntries,COUNTIFS(AB982:AI982,2,G982:N982,"")&gt;0),EUconst_Error&amp;"FB"&amp;Q905,"")</f>
        <v/>
      </c>
      <c r="AM982" s="343"/>
    </row>
    <row r="983" spans="1:39" ht="12.75" customHeight="1" x14ac:dyDescent="0.25">
      <c r="A983" s="729"/>
      <c r="B983" s="698"/>
      <c r="C983" s="2906"/>
      <c r="D983" s="990">
        <v>8</v>
      </c>
      <c r="E983" s="1430" t="str">
        <f t="shared" si="1481"/>
        <v/>
      </c>
      <c r="F983" s="1448" t="str">
        <f t="shared" si="1482"/>
        <v>TJ</v>
      </c>
      <c r="G983" s="47"/>
      <c r="H983" s="119"/>
      <c r="I983" s="47"/>
      <c r="J983" s="119"/>
      <c r="K983" s="43"/>
      <c r="L983" s="43"/>
      <c r="M983" s="43"/>
      <c r="N983" s="43"/>
      <c r="O983" s="336"/>
      <c r="P983" s="158"/>
      <c r="Q983" s="694"/>
      <c r="R983" s="694"/>
      <c r="S983" s="1449" t="str">
        <f>IF($M905&lt;&gt;EUconst_Relevant,"",
IF($V905&gt;($J$1840-3),
              IF(INDEX(H964:N964,MATCH($V905,$T975:$Z975,0))=0,0,INDEX(H983:N983,MATCH($V905,$T975:$Z975,0))/INDEX(H964:N964,MATCH($V905,$T975:$Z975,0))),
                             IF(ISNUMBER(G964),
                                            IF(OR(G964=0,$S948=FALSE),0,G983/G964),"")))</f>
        <v/>
      </c>
      <c r="T983" s="1450" t="str">
        <f t="shared" si="1483"/>
        <v/>
      </c>
      <c r="U983" s="1450" t="str">
        <f t="shared" si="1490"/>
        <v/>
      </c>
      <c r="V983" s="1450" t="str">
        <f t="shared" si="1491"/>
        <v/>
      </c>
      <c r="W983" s="1450" t="str">
        <f t="shared" si="1492"/>
        <v/>
      </c>
      <c r="X983" s="1450" t="str">
        <f t="shared" si="1493"/>
        <v/>
      </c>
      <c r="Y983" s="1450" t="str">
        <f t="shared" si="1494"/>
        <v/>
      </c>
      <c r="Z983" s="1451" t="str">
        <f t="shared" si="1495"/>
        <v/>
      </c>
      <c r="AA983" s="694"/>
      <c r="AB983" s="1431">
        <f t="shared" si="1496"/>
        <v>2</v>
      </c>
      <c r="AC983" s="1432">
        <f>IF(CNTR_ExistSubInstEntries,IF(OR($M905&lt;&gt;EUconst_Relevant,AC975&gt;=CNTR_ReportingYear,AC975&lt;$V905-1,$E983=""),0,IF(AND($T969=2,COUNTIF($V922:V922,TRUE)&gt;0,$S948),2,1)),2)</f>
        <v>2</v>
      </c>
      <c r="AD983" s="1432">
        <f>IF(CNTR_ExistSubInstEntries,IF(OR($M905&lt;&gt;EUconst_Relevant,AD975&gt;=CNTR_ReportingYear,AD975&lt;$V905-1,$E983=""),0,IF(AND($T969=2,COUNTIF($V922:W922,TRUE)&gt;0,$S948),2,1)),2)</f>
        <v>2</v>
      </c>
      <c r="AE983" s="1432">
        <f>IF(CNTR_ExistSubInstEntries,IF(OR($M905&lt;&gt;EUconst_Relevant,AE975&gt;=CNTR_ReportingYear,AE975&lt;$V905-1,$E983=""),0,IF(AND($T969=2,COUNTIF($V922:X922,TRUE)&gt;0,$S948),2,1)),2)</f>
        <v>2</v>
      </c>
      <c r="AF983" s="1432">
        <f>IF(CNTR_ExistSubInstEntries,IF(OR($M905&lt;&gt;EUconst_Relevant,AF975&gt;=CNTR_ReportingYear,AF975&lt;$V905-1,$E983=""),0,IF(AND($T969=2,COUNTIF($V922:Y922,TRUE)&gt;0,$S948),2,1)),2)</f>
        <v>2</v>
      </c>
      <c r="AG983" s="1432">
        <f>IF(CNTR_ExistSubInstEntries,IF(OR($M905&lt;&gt;EUconst_Relevant,AG975&gt;=CNTR_ReportingYear,AG975&lt;$V905-1,$E983=""),0,IF(AND($T969=2,COUNTIF($V922:Z922,TRUE)&gt;0,$S948),2,1)),2)</f>
        <v>2</v>
      </c>
      <c r="AH983" s="1432">
        <f>IF(CNTR_ExistSubInstEntries,IF(OR($M905&lt;&gt;EUconst_Relevant,AH975&gt;=CNTR_ReportingYear,AH975&lt;$V905-1,$E983=""),0,IF(AND($T969=2,COUNTIF($V922:AA922,TRUE)&gt;0,$S948),2,1)),2)</f>
        <v>2</v>
      </c>
      <c r="AI983" s="1452">
        <f>IF(CNTR_ExistSubInstEntries,IF(OR($M905&lt;&gt;EUconst_Relevant,AI975&gt;=CNTR_ReportingYear,AI975&lt;$V905-1,$E983=""),0,IF(AND($T969=2,COUNTIF($V922:AB922,TRUE)&gt;0,$S948),2,1)),2)</f>
        <v>2</v>
      </c>
      <c r="AJ983" s="343"/>
      <c r="AK983" s="1174" t="s">
        <v>2039</v>
      </c>
      <c r="AL983" s="1176" t="str">
        <f>IF(AND(CNTR_ExistSubInstEntries,COUNTIFS(AB983:AI983,2,G983:N983,"")&gt;0),EUconst_Error&amp;"FB"&amp;Q905,"")</f>
        <v/>
      </c>
      <c r="AM983" s="343"/>
    </row>
    <row r="984" spans="1:39" ht="12.75" customHeight="1" x14ac:dyDescent="0.25">
      <c r="A984" s="729"/>
      <c r="B984" s="698"/>
      <c r="C984" s="2906"/>
      <c r="D984" s="990">
        <v>9</v>
      </c>
      <c r="E984" s="1430" t="str">
        <f t="shared" si="1481"/>
        <v/>
      </c>
      <c r="F984" s="1448" t="str">
        <f t="shared" si="1482"/>
        <v>TJ</v>
      </c>
      <c r="G984" s="47"/>
      <c r="H984" s="119"/>
      <c r="I984" s="47"/>
      <c r="J984" s="119"/>
      <c r="K984" s="43"/>
      <c r="L984" s="43"/>
      <c r="M984" s="43"/>
      <c r="N984" s="43"/>
      <c r="O984" s="302"/>
      <c r="P984" s="158"/>
      <c r="Q984" s="694"/>
      <c r="R984" s="694"/>
      <c r="S984" s="1449" t="str">
        <f>IF($M905&lt;&gt;EUconst_Relevant,"",
IF($V905&gt;($J$1840-3),
              IF(INDEX(H965:N965,MATCH($V905,$T975:$Z975,0))=0,0,INDEX(H984:N984,MATCH($V905,$T975:$Z975,0))/INDEX(H965:N965,MATCH($V905,$T975:$Z975,0))),
                             IF(ISNUMBER(G965),
                                            IF(OR(G965=0,$S949=FALSE),0,G984/G965),"")))</f>
        <v/>
      </c>
      <c r="T984" s="1450" t="str">
        <f t="shared" si="1483"/>
        <v/>
      </c>
      <c r="U984" s="1450" t="str">
        <f t="shared" si="1490"/>
        <v/>
      </c>
      <c r="V984" s="1450" t="str">
        <f t="shared" si="1491"/>
        <v/>
      </c>
      <c r="W984" s="1450" t="str">
        <f t="shared" si="1492"/>
        <v/>
      </c>
      <c r="X984" s="1450" t="str">
        <f t="shared" si="1493"/>
        <v/>
      </c>
      <c r="Y984" s="1450" t="str">
        <f t="shared" si="1494"/>
        <v/>
      </c>
      <c r="Z984" s="1451" t="str">
        <f t="shared" si="1495"/>
        <v/>
      </c>
      <c r="AA984" s="694"/>
      <c r="AB984" s="1431">
        <f t="shared" si="1496"/>
        <v>2</v>
      </c>
      <c r="AC984" s="1432">
        <f>IF(CNTR_ExistSubInstEntries,IF(OR($M905&lt;&gt;EUconst_Relevant,AC975&gt;=CNTR_ReportingYear,AC975&lt;$V905-1,$E984=""),0,IF(AND($T969=2,COUNTIF($V922:V922,TRUE)&gt;0,$S949),2,1)),2)</f>
        <v>2</v>
      </c>
      <c r="AD984" s="1432">
        <f>IF(CNTR_ExistSubInstEntries,IF(OR($M905&lt;&gt;EUconst_Relevant,AD975&gt;=CNTR_ReportingYear,AD975&lt;$V905-1,$E984=""),0,IF(AND($T969=2,COUNTIF($V922:W922,TRUE)&gt;0,$S949),2,1)),2)</f>
        <v>2</v>
      </c>
      <c r="AE984" s="1432">
        <f>IF(CNTR_ExistSubInstEntries,IF(OR($M905&lt;&gt;EUconst_Relevant,AE975&gt;=CNTR_ReportingYear,AE975&lt;$V905-1,$E984=""),0,IF(AND($T969=2,COUNTIF($V922:X922,TRUE)&gt;0,$S949),2,1)),2)</f>
        <v>2</v>
      </c>
      <c r="AF984" s="1432">
        <f>IF(CNTR_ExistSubInstEntries,IF(OR($M905&lt;&gt;EUconst_Relevant,AF975&gt;=CNTR_ReportingYear,AF975&lt;$V905-1,$E984=""),0,IF(AND($T969=2,COUNTIF($V922:Y922,TRUE)&gt;0,$S949),2,1)),2)</f>
        <v>2</v>
      </c>
      <c r="AG984" s="1432">
        <f>IF(CNTR_ExistSubInstEntries,IF(OR($M905&lt;&gt;EUconst_Relevant,AG975&gt;=CNTR_ReportingYear,AG975&lt;$V905-1,$E984=""),0,IF(AND($T969=2,COUNTIF($V922:Z922,TRUE)&gt;0,$S949),2,1)),2)</f>
        <v>2</v>
      </c>
      <c r="AH984" s="1432">
        <f>IF(CNTR_ExistSubInstEntries,IF(OR($M905&lt;&gt;EUconst_Relevant,AH975&gt;=CNTR_ReportingYear,AH975&lt;$V905-1,$E984=""),0,IF(AND($T969=2,COUNTIF($V922:AA922,TRUE)&gt;0,$S949),2,1)),2)</f>
        <v>2</v>
      </c>
      <c r="AI984" s="1452">
        <f>IF(CNTR_ExistSubInstEntries,IF(OR($M905&lt;&gt;EUconst_Relevant,AI975&gt;=CNTR_ReportingYear,AI975&lt;$V905-1,$E984=""),0,IF(AND($T969=2,COUNTIF($V922:AB922,TRUE)&gt;0,$S949),2,1)),2)</f>
        <v>2</v>
      </c>
      <c r="AJ984" s="343"/>
      <c r="AK984" s="1174" t="s">
        <v>2039</v>
      </c>
      <c r="AL984" s="1176" t="str">
        <f>IF(AND(CNTR_ExistSubInstEntries,COUNTIFS(AB984:AI984,2,G984:N984,"")&gt;0),EUconst_Error&amp;"FB"&amp;Q905,"")</f>
        <v/>
      </c>
      <c r="AM984" s="343"/>
    </row>
    <row r="985" spans="1:39" ht="12.75" customHeight="1" thickBot="1" x14ac:dyDescent="0.3">
      <c r="A985" s="729"/>
      <c r="B985" s="698"/>
      <c r="C985" s="2906"/>
      <c r="D985" s="994">
        <v>10</v>
      </c>
      <c r="E985" s="1435" t="str">
        <f t="shared" si="1481"/>
        <v/>
      </c>
      <c r="F985" s="1453" t="str">
        <f t="shared" si="1482"/>
        <v>TJ</v>
      </c>
      <c r="G985" s="48"/>
      <c r="H985" s="117"/>
      <c r="I985" s="48"/>
      <c r="J985" s="117"/>
      <c r="K985" s="38"/>
      <c r="L985" s="38"/>
      <c r="M985" s="38"/>
      <c r="N985" s="38"/>
      <c r="O985" s="302"/>
      <c r="P985" s="158"/>
      <c r="Q985" s="694"/>
      <c r="R985" s="694"/>
      <c r="S985" s="1454" t="str">
        <f>IF($M905&lt;&gt;EUconst_Relevant,"",
IF($V905&gt;($J$1840-3),
              IF(INDEX(H966:N966,MATCH($V905,$T975:$Z975,0))=0,0,INDEX(H985:N985,MATCH($V905,$T975:$Z975,0))/INDEX(H966:N966,MATCH($V905,$T975:$Z975,0))),
                             IF(ISNUMBER(G966),
                                            IF(OR(G966=0,$S950=FALSE),0,G985/G966),"")))</f>
        <v/>
      </c>
      <c r="T985" s="1455" t="str">
        <f t="shared" si="1483"/>
        <v/>
      </c>
      <c r="U985" s="1455" t="str">
        <f t="shared" si="1490"/>
        <v/>
      </c>
      <c r="V985" s="1455" t="str">
        <f t="shared" si="1491"/>
        <v/>
      </c>
      <c r="W985" s="1455" t="str">
        <f t="shared" si="1492"/>
        <v/>
      </c>
      <c r="X985" s="1455" t="str">
        <f t="shared" si="1493"/>
        <v/>
      </c>
      <c r="Y985" s="1455" t="str">
        <f t="shared" si="1494"/>
        <v/>
      </c>
      <c r="Z985" s="1456" t="str">
        <f t="shared" si="1495"/>
        <v/>
      </c>
      <c r="AA985" s="694"/>
      <c r="AB985" s="1436">
        <f t="shared" si="1496"/>
        <v>2</v>
      </c>
      <c r="AC985" s="1437">
        <f>IF(CNTR_ExistSubInstEntries,IF(OR($M905&lt;&gt;EUconst_Relevant,AC975&gt;=CNTR_ReportingYear,AC975&lt;$V905-1,$E985=""),0,IF(AND($T969=2,COUNTIF($V922:V922,TRUE)&gt;0,$S950),2,1)),2)</f>
        <v>2</v>
      </c>
      <c r="AD985" s="1437">
        <f>IF(CNTR_ExistSubInstEntries,IF(OR($M905&lt;&gt;EUconst_Relevant,AD975&gt;=CNTR_ReportingYear,AD975&lt;$V905-1,$E985=""),0,IF(AND($T969=2,COUNTIF($V922:W922,TRUE)&gt;0,$S950),2,1)),2)</f>
        <v>2</v>
      </c>
      <c r="AE985" s="1437">
        <f>IF(CNTR_ExistSubInstEntries,IF(OR($M905&lt;&gt;EUconst_Relevant,AE975&gt;=CNTR_ReportingYear,AE975&lt;$V905-1,$E985=""),0,IF(AND($T969=2,COUNTIF($V922:X922,TRUE)&gt;0,$S950),2,1)),2)</f>
        <v>2</v>
      </c>
      <c r="AF985" s="1437">
        <f>IF(CNTR_ExistSubInstEntries,IF(OR($M905&lt;&gt;EUconst_Relevant,AF975&gt;=CNTR_ReportingYear,AF975&lt;$V905-1,$E985=""),0,IF(AND($T969=2,COUNTIF($V922:Y922,TRUE)&gt;0,$S950),2,1)),2)</f>
        <v>2</v>
      </c>
      <c r="AG985" s="1437">
        <f>IF(CNTR_ExistSubInstEntries,IF(OR($M905&lt;&gt;EUconst_Relevant,AG975&gt;=CNTR_ReportingYear,AG975&lt;$V905-1,$E985=""),0,IF(AND($T969=2,COUNTIF($V922:Z922,TRUE)&gt;0,$S950),2,1)),2)</f>
        <v>2</v>
      </c>
      <c r="AH985" s="1437">
        <f>IF(CNTR_ExistSubInstEntries,IF(OR($M905&lt;&gt;EUconst_Relevant,AH975&gt;=CNTR_ReportingYear,AH975&lt;$V905-1,$E985=""),0,IF(AND($T969=2,COUNTIF($V922:AA922,TRUE)&gt;0,$S950),2,1)),2)</f>
        <v>2</v>
      </c>
      <c r="AI985" s="1457">
        <f>IF(CNTR_ExistSubInstEntries,IF(OR($M905&lt;&gt;EUconst_Relevant,AI975&gt;=CNTR_ReportingYear,AI975&lt;$V905-1,$E985=""),0,IF(AND($T969=2,COUNTIF($V922:AB922,TRUE)&gt;0,$S950),2,1)),2)</f>
        <v>2</v>
      </c>
      <c r="AJ985" s="343"/>
      <c r="AK985" s="1174" t="s">
        <v>2039</v>
      </c>
      <c r="AL985" s="1176" t="str">
        <f>IF(AND(CNTR_ExistSubInstEntries,COUNTIFS(AB985:AI985,2,G985:N985,"")&gt;0),EUconst_Error&amp;"FB"&amp;Q905,"")</f>
        <v/>
      </c>
      <c r="AM985" s="343"/>
    </row>
    <row r="986" spans="1:39" ht="12.75" customHeight="1" thickBot="1" x14ac:dyDescent="0.3">
      <c r="A986" s="729"/>
      <c r="B986" s="698"/>
      <c r="C986" s="2906"/>
      <c r="D986" s="1293"/>
      <c r="E986" s="1458" t="str">
        <f>Translations!$B$1338</f>
        <v>Общо потребление</v>
      </c>
      <c r="F986" s="1453" t="str">
        <f t="shared" si="1482"/>
        <v>TJ</v>
      </c>
      <c r="G986" s="1296" t="str">
        <f t="shared" ref="G986:N986" si="1497">IF(COUNT(G976:G985)&gt;0,SUMIF($S941:$S950,TRUE,G976:G985),"")</f>
        <v/>
      </c>
      <c r="H986" s="1297" t="str">
        <f t="shared" si="1497"/>
        <v/>
      </c>
      <c r="I986" s="1296" t="str">
        <f t="shared" si="1497"/>
        <v/>
      </c>
      <c r="J986" s="1297" t="str">
        <f t="shared" si="1497"/>
        <v/>
      </c>
      <c r="K986" s="1104" t="str">
        <f t="shared" si="1497"/>
        <v/>
      </c>
      <c r="L986" s="1104" t="str">
        <f t="shared" si="1497"/>
        <v/>
      </c>
      <c r="M986" s="1104" t="str">
        <f t="shared" si="1497"/>
        <v/>
      </c>
      <c r="N986" s="1104" t="str">
        <f t="shared" si="1497"/>
        <v/>
      </c>
      <c r="O986" s="302"/>
      <c r="P986" s="336"/>
      <c r="Q986" s="694"/>
      <c r="R986" s="694"/>
      <c r="S986" s="694"/>
      <c r="T986" s="1459">
        <f>SUM(T976:T985)</f>
        <v>0</v>
      </c>
      <c r="U986" s="1460">
        <f t="shared" ref="U986:Z986" si="1498">SUM(U976:U985)</f>
        <v>0</v>
      </c>
      <c r="V986" s="1460">
        <f t="shared" si="1498"/>
        <v>0</v>
      </c>
      <c r="W986" s="1460">
        <f t="shared" si="1498"/>
        <v>0</v>
      </c>
      <c r="X986" s="1460">
        <f t="shared" si="1498"/>
        <v>0</v>
      </c>
      <c r="Y986" s="1460">
        <f t="shared" si="1498"/>
        <v>0</v>
      </c>
      <c r="Z986" s="1461">
        <f t="shared" si="1498"/>
        <v>0</v>
      </c>
      <c r="AA986" s="694"/>
      <c r="AB986" s="729"/>
      <c r="AC986" s="694"/>
      <c r="AD986" s="694"/>
      <c r="AE986" s="343"/>
      <c r="AF986" s="343"/>
      <c r="AG986" s="343"/>
      <c r="AH986" s="343"/>
      <c r="AI986" s="343"/>
      <c r="AJ986" s="343"/>
      <c r="AK986" s="343"/>
      <c r="AL986" s="343"/>
      <c r="AM986" s="343"/>
    </row>
    <row r="987" spans="1:39" ht="12.75" customHeight="1" x14ac:dyDescent="0.25">
      <c r="A987" s="729"/>
      <c r="B987" s="698"/>
      <c r="C987" s="2906"/>
      <c r="D987" s="1462"/>
      <c r="E987" s="1463" t="str">
        <f>Translations!$B$1339</f>
        <v>Дял от a)</v>
      </c>
      <c r="F987" s="1464" t="str">
        <f t="shared" si="1482"/>
        <v>TJ</v>
      </c>
      <c r="G987" s="274" t="str">
        <f>IF(COUNT(I921,G986)=2,IF(I921=0,EUconst_NA,G986/I921),"")</f>
        <v/>
      </c>
      <c r="H987" s="185" t="str">
        <f t="shared" ref="H987:N987" si="1499">IF(COUNT(H913,H986)=2,IF(H913=0,EUconst_NA,H986/H913),"")</f>
        <v/>
      </c>
      <c r="I987" s="186" t="str">
        <f t="shared" si="1499"/>
        <v/>
      </c>
      <c r="J987" s="185" t="str">
        <f t="shared" si="1499"/>
        <v/>
      </c>
      <c r="K987" s="187" t="str">
        <f t="shared" si="1499"/>
        <v/>
      </c>
      <c r="L987" s="187" t="str">
        <f t="shared" si="1499"/>
        <v/>
      </c>
      <c r="M987" s="187" t="str">
        <f t="shared" si="1499"/>
        <v/>
      </c>
      <c r="N987" s="187" t="str">
        <f t="shared" si="1499"/>
        <v/>
      </c>
      <c r="O987" s="302"/>
      <c r="P987" s="336"/>
      <c r="Q987" s="694"/>
      <c r="R987" s="694"/>
      <c r="S987" s="694"/>
      <c r="T987" s="694"/>
      <c r="U987" s="694"/>
      <c r="V987" s="694"/>
      <c r="W987" s="694"/>
      <c r="X987" s="694"/>
      <c r="Y987" s="694"/>
      <c r="Z987" s="694"/>
      <c r="AA987" s="694"/>
      <c r="AB987" s="729"/>
      <c r="AC987" s="694"/>
      <c r="AD987" s="694"/>
      <c r="AE987" s="343"/>
      <c r="AF987" s="343"/>
      <c r="AG987" s="343"/>
      <c r="AH987" s="343"/>
      <c r="AI987" s="343"/>
      <c r="AJ987" s="343"/>
      <c r="AK987" s="343"/>
      <c r="AL987" s="343"/>
      <c r="AM987" s="343"/>
    </row>
    <row r="988" spans="1:39" ht="14.25" customHeight="1" x14ac:dyDescent="0.25">
      <c r="A988" s="729"/>
      <c r="B988" s="698"/>
      <c r="C988" s="284"/>
      <c r="D988" s="284"/>
      <c r="E988" s="284"/>
      <c r="F988" s="284"/>
      <c r="G988" s="228" t="str">
        <f>IF(G987="","",IF(AND(COUNTA(G976:G985)=0,$T969=2),EUconst_Incomplete,""))</f>
        <v/>
      </c>
      <c r="H988" s="229" t="str">
        <f t="shared" ref="H988:N988" si="1500">IF(H987="","",IF(AND(OR(COUNTA(H976:H985)&gt;0,$T969=2),ABS(1-SUM(H987))&lt;0.5%),"",EUconst_Inconsistent))</f>
        <v/>
      </c>
      <c r="I988" s="230" t="str">
        <f t="shared" si="1500"/>
        <v/>
      </c>
      <c r="J988" s="229" t="str">
        <f t="shared" si="1500"/>
        <v/>
      </c>
      <c r="K988" s="231" t="str">
        <f t="shared" si="1500"/>
        <v/>
      </c>
      <c r="L988" s="231" t="str">
        <f t="shared" si="1500"/>
        <v/>
      </c>
      <c r="M988" s="231" t="str">
        <f t="shared" si="1500"/>
        <v/>
      </c>
      <c r="N988" s="231" t="str">
        <f t="shared" si="1500"/>
        <v/>
      </c>
      <c r="O988" s="302"/>
      <c r="P988" s="336"/>
      <c r="Q988" s="694"/>
      <c r="R988" s="694"/>
      <c r="S988" s="694"/>
      <c r="T988" s="694"/>
      <c r="U988" s="694"/>
      <c r="V988" s="694"/>
      <c r="W988" s="694"/>
      <c r="X988" s="694"/>
      <c r="Y988" s="694"/>
      <c r="Z988" s="729"/>
      <c r="AA988" s="729"/>
      <c r="AB988" s="729"/>
      <c r="AC988" s="694"/>
      <c r="AD988" s="694"/>
      <c r="AE988" s="343"/>
      <c r="AF988" s="343"/>
      <c r="AG988" s="343"/>
      <c r="AH988" s="343"/>
      <c r="AI988" s="343"/>
      <c r="AJ988" s="343"/>
      <c r="AK988" s="1174" t="s">
        <v>2148</v>
      </c>
      <c r="AL988" s="1176" t="str">
        <f>IF(COUNTIFS(G988:N988,"")&lt;COUNTA(G988:N988),EUconst_Error&amp;"FB"&amp;Q905,"")</f>
        <v/>
      </c>
      <c r="AM988" s="343"/>
    </row>
    <row r="989" spans="1:39" ht="5.15" customHeight="1" x14ac:dyDescent="0.25">
      <c r="A989" s="729"/>
      <c r="B989" s="698"/>
      <c r="C989" s="284"/>
      <c r="D989" s="284"/>
      <c r="E989" s="284"/>
      <c r="F989" s="284"/>
      <c r="G989" s="284"/>
      <c r="H989" s="284"/>
      <c r="I989" s="284"/>
      <c r="J989" s="284"/>
      <c r="K989" s="284"/>
      <c r="L989" s="284"/>
      <c r="M989" s="284"/>
      <c r="N989" s="284"/>
      <c r="O989" s="302"/>
      <c r="P989" s="336"/>
      <c r="Q989" s="694"/>
      <c r="R989" s="694"/>
      <c r="S989" s="694"/>
      <c r="T989" s="694"/>
      <c r="U989" s="694"/>
      <c r="V989" s="694"/>
      <c r="W989" s="694"/>
      <c r="X989" s="694"/>
      <c r="Y989" s="694"/>
      <c r="Z989" s="729"/>
      <c r="AA989" s="729"/>
      <c r="AB989" s="729"/>
      <c r="AC989" s="694"/>
      <c r="AD989" s="694"/>
      <c r="AE989" s="343"/>
      <c r="AF989" s="343"/>
      <c r="AG989" s="343"/>
      <c r="AH989" s="343"/>
      <c r="AI989" s="343"/>
      <c r="AJ989" s="343"/>
      <c r="AK989" s="343"/>
      <c r="AL989" s="343"/>
      <c r="AM989" s="343"/>
    </row>
    <row r="990" spans="1:39" ht="12.75" hidden="1" customHeight="1" x14ac:dyDescent="0.25">
      <c r="A990" s="729" t="s">
        <v>312</v>
      </c>
      <c r="B990" s="698"/>
      <c r="C990" s="284"/>
      <c r="D990" s="300" t="s">
        <v>1770</v>
      </c>
      <c r="E990" s="2226" t="str">
        <f>Translations!$B$1540</f>
        <v>Потребление на енергия извън СТЕ на ЕС по продукти за определяне на очакваните равнища на дейност</v>
      </c>
      <c r="F990" s="2249"/>
      <c r="G990" s="2249"/>
      <c r="H990" s="2249"/>
      <c r="I990" s="2249"/>
      <c r="J990" s="2249"/>
      <c r="K990" s="2249"/>
      <c r="L990" s="2249"/>
      <c r="M990" s="2249"/>
      <c r="N990" s="2249"/>
      <c r="O990" s="302"/>
      <c r="P990" s="295"/>
      <c r="Q990" s="694"/>
      <c r="R990" s="694"/>
      <c r="S990" s="729"/>
      <c r="T990" s="729"/>
      <c r="U990" s="729"/>
      <c r="V990" s="694"/>
      <c r="W990" s="694"/>
      <c r="X990" s="694"/>
      <c r="Y990" s="694"/>
      <c r="Z990" s="729"/>
      <c r="AA990" s="729"/>
      <c r="AB990" s="729"/>
      <c r="AC990" s="729"/>
      <c r="AD990" s="694"/>
      <c r="AE990" s="343"/>
      <c r="AF990" s="343"/>
      <c r="AG990" s="343"/>
      <c r="AH990" s="343"/>
      <c r="AI990" s="343"/>
      <c r="AJ990" s="343"/>
      <c r="AK990" s="343"/>
      <c r="AL990" s="343"/>
      <c r="AM990" s="343"/>
    </row>
    <row r="991" spans="1:39" ht="25.5" hidden="1" customHeight="1" x14ac:dyDescent="0.25">
      <c r="A991" s="729" t="s">
        <v>312</v>
      </c>
      <c r="B991" s="698"/>
      <c r="C991" s="284"/>
      <c r="D991" s="284"/>
      <c r="E991" s="2358" t="str">
        <f>Translations!$B$1541</f>
        <v>Моля, въведете тук всяко потребление на енергия извън СТЕ на ЕС (напр. топлинна енергия, получена от инсталации, които не са обхванати от СТЕ на ЕС), използвано за същите продукти, както по-горе. Числата тук ще бъдат използвани за коригиране на разпределянето за допустимия дял на енергията.</v>
      </c>
      <c r="F991" s="2249"/>
      <c r="G991" s="2249"/>
      <c r="H991" s="2249"/>
      <c r="I991" s="2249"/>
      <c r="J991" s="2249"/>
      <c r="K991" s="2249"/>
      <c r="L991" s="2249"/>
      <c r="M991" s="2249"/>
      <c r="N991" s="2249"/>
      <c r="O991" s="302"/>
      <c r="P991" s="295"/>
      <c r="Q991" s="694"/>
      <c r="R991" s="694"/>
      <c r="S991" s="694"/>
      <c r="T991" s="694"/>
      <c r="U991" s="694"/>
      <c r="V991" s="694"/>
      <c r="W991" s="694"/>
      <c r="X991" s="694"/>
      <c r="Y991" s="694"/>
      <c r="Z991" s="729"/>
      <c r="AA991" s="729"/>
      <c r="AB991" s="729"/>
      <c r="AC991" s="729"/>
      <c r="AD991" s="694"/>
      <c r="AE991" s="343"/>
      <c r="AF991" s="343"/>
      <c r="AG991" s="343"/>
      <c r="AH991" s="343"/>
      <c r="AI991" s="343"/>
      <c r="AJ991" s="343"/>
      <c r="AK991" s="343"/>
      <c r="AL991" s="343"/>
      <c r="AM991" s="343"/>
    </row>
    <row r="992" spans="1:39" ht="5.15" hidden="1" customHeight="1" x14ac:dyDescent="0.25">
      <c r="A992" s="729" t="s">
        <v>312</v>
      </c>
      <c r="B992" s="698"/>
      <c r="C992" s="284"/>
      <c r="D992" s="284"/>
      <c r="E992" s="2358"/>
      <c r="F992" s="2249"/>
      <c r="G992" s="2249"/>
      <c r="H992" s="2249"/>
      <c r="I992" s="2249"/>
      <c r="J992" s="2249"/>
      <c r="K992" s="2249"/>
      <c r="L992" s="2249"/>
      <c r="M992" s="2249"/>
      <c r="N992" s="2249"/>
      <c r="O992" s="302"/>
      <c r="P992" s="295"/>
      <c r="Q992" s="694"/>
      <c r="R992" s="694"/>
      <c r="S992" s="694"/>
      <c r="T992" s="694"/>
      <c r="U992" s="694"/>
      <c r="V992" s="694"/>
      <c r="W992" s="694"/>
      <c r="X992" s="694"/>
      <c r="Y992" s="694"/>
      <c r="Z992" s="729"/>
      <c r="AA992" s="729"/>
      <c r="AB992" s="729"/>
      <c r="AC992" s="729"/>
      <c r="AD992" s="694"/>
      <c r="AE992" s="343"/>
      <c r="AF992" s="343"/>
      <c r="AG992" s="343"/>
      <c r="AH992" s="343"/>
      <c r="AI992" s="343"/>
      <c r="AJ992" s="343"/>
      <c r="AK992" s="343"/>
      <c r="AL992" s="343"/>
      <c r="AM992" s="343"/>
    </row>
    <row r="993" spans="1:39" s="1423" customFormat="1" ht="25.5" hidden="1" customHeight="1" thickBot="1" x14ac:dyDescent="0.35">
      <c r="A993" s="729" t="s">
        <v>312</v>
      </c>
      <c r="B993" s="1412"/>
      <c r="C993" s="1413"/>
      <c r="D993" s="1414"/>
      <c r="E993" s="1415" t="str">
        <f>Translations!$B$624</f>
        <v>Име на продукта или „топлофикационна мрежа“</v>
      </c>
      <c r="F993" s="1416" t="str">
        <f>EUconst_Unit</f>
        <v>Единица мярка</v>
      </c>
      <c r="G993" s="1419" t="str">
        <f>Translations!$B$1336</f>
        <v>Стойност в НМИ</v>
      </c>
      <c r="H993" s="1418">
        <f t="shared" ref="H993:N993" si="1501">H$1840</f>
        <v>2024</v>
      </c>
      <c r="I993" s="1419">
        <f t="shared" si="1501"/>
        <v>2025</v>
      </c>
      <c r="J993" s="1418">
        <f t="shared" si="1501"/>
        <v>2026</v>
      </c>
      <c r="K993" s="1420">
        <f t="shared" si="1501"/>
        <v>2027</v>
      </c>
      <c r="L993" s="1420">
        <f t="shared" si="1501"/>
        <v>2028</v>
      </c>
      <c r="M993" s="1420">
        <f t="shared" si="1501"/>
        <v>2029</v>
      </c>
      <c r="N993" s="1420">
        <f t="shared" si="1501"/>
        <v>2030</v>
      </c>
      <c r="O993" s="302"/>
      <c r="P993" s="295"/>
      <c r="Q993" s="1421"/>
      <c r="R993" s="1421"/>
      <c r="S993" s="694"/>
      <c r="T993" s="694"/>
      <c r="U993" s="694"/>
      <c r="V993" s="694"/>
      <c r="W993" s="694"/>
      <c r="X993" s="694"/>
      <c r="Y993" s="694"/>
      <c r="Z993" s="694"/>
      <c r="AA993" s="1421"/>
      <c r="AB993" s="770" t="str">
        <f>Translations!$B$1284</f>
        <v>HAL</v>
      </c>
      <c r="AC993" s="1421">
        <f t="shared" ref="AC993" si="1502">H993</f>
        <v>2024</v>
      </c>
      <c r="AD993" s="1421">
        <f t="shared" ref="AD993" si="1503">I993</f>
        <v>2025</v>
      </c>
      <c r="AE993" s="1421">
        <f t="shared" ref="AE993" si="1504">J993</f>
        <v>2026</v>
      </c>
      <c r="AF993" s="1421">
        <f t="shared" ref="AF993" si="1505">K993</f>
        <v>2027</v>
      </c>
      <c r="AG993" s="1421">
        <f t="shared" ref="AG993" si="1506">L993</f>
        <v>2028</v>
      </c>
      <c r="AH993" s="1422">
        <f t="shared" ref="AH993" si="1507">M993</f>
        <v>2029</v>
      </c>
      <c r="AI993" s="1422">
        <f t="shared" ref="AI993" si="1508">N993</f>
        <v>2030</v>
      </c>
      <c r="AJ993" s="1422"/>
      <c r="AK993" s="1422"/>
      <c r="AL993" s="1422"/>
      <c r="AM993" s="1422"/>
    </row>
    <row r="994" spans="1:39" ht="12.75" hidden="1" customHeight="1" x14ac:dyDescent="0.25">
      <c r="A994" s="729" t="s">
        <v>312</v>
      </c>
      <c r="B994" s="698"/>
      <c r="C994" s="2906" t="str">
        <f>Translations!$B$949</f>
        <v>топл. ен. извън СТЕ</v>
      </c>
      <c r="D994" s="981">
        <v>1</v>
      </c>
      <c r="E994" s="1424" t="str">
        <f t="shared" ref="E994:E1003" si="1509">E976</f>
        <v/>
      </c>
      <c r="F994" s="1259" t="str">
        <f t="shared" ref="F994:F1004" si="1510">EUconst_TJ</f>
        <v>TJ</v>
      </c>
      <c r="G994" s="125"/>
      <c r="H994" s="116"/>
      <c r="I994" s="46"/>
      <c r="J994" s="116"/>
      <c r="K994" s="40"/>
      <c r="L994" s="40"/>
      <c r="M994" s="40"/>
      <c r="N994" s="40"/>
      <c r="O994" s="302"/>
      <c r="P994" s="158"/>
      <c r="Q994" s="694"/>
      <c r="R994" s="694"/>
      <c r="S994" s="694"/>
      <c r="T994" s="694"/>
      <c r="U994" s="694"/>
      <c r="V994" s="694"/>
      <c r="W994" s="694"/>
      <c r="X994" s="694"/>
      <c r="Y994" s="694"/>
      <c r="Z994" s="694"/>
      <c r="AA994" s="1446" t="s">
        <v>1757</v>
      </c>
      <c r="AB994" s="1447">
        <f t="shared" ref="AB994:AC994" si="1511">AB976</f>
        <v>2</v>
      </c>
      <c r="AC994" s="1427">
        <f t="shared" si="1511"/>
        <v>2</v>
      </c>
      <c r="AD994" s="1427">
        <f>AD976</f>
        <v>2</v>
      </c>
      <c r="AE994" s="1427">
        <f t="shared" ref="AE994:AI994" si="1512">AE976</f>
        <v>2</v>
      </c>
      <c r="AF994" s="1427">
        <f t="shared" si="1512"/>
        <v>2</v>
      </c>
      <c r="AG994" s="1427">
        <f t="shared" si="1512"/>
        <v>2</v>
      </c>
      <c r="AH994" s="1428">
        <f t="shared" si="1512"/>
        <v>2</v>
      </c>
      <c r="AI994" s="1429">
        <f t="shared" si="1512"/>
        <v>2</v>
      </c>
      <c r="AJ994" s="343"/>
      <c r="AK994" s="1422"/>
      <c r="AL994" s="1422"/>
      <c r="AM994" s="343"/>
    </row>
    <row r="995" spans="1:39" ht="12.75" hidden="1" customHeight="1" x14ac:dyDescent="0.25">
      <c r="A995" s="729" t="s">
        <v>312</v>
      </c>
      <c r="B995" s="698"/>
      <c r="C995" s="2906"/>
      <c r="D995" s="990">
        <v>2</v>
      </c>
      <c r="E995" s="1430" t="str">
        <f t="shared" si="1509"/>
        <v/>
      </c>
      <c r="F995" s="1448" t="str">
        <f t="shared" si="1510"/>
        <v>TJ</v>
      </c>
      <c r="G995" s="124"/>
      <c r="H995" s="119"/>
      <c r="I995" s="47"/>
      <c r="J995" s="119"/>
      <c r="K995" s="43"/>
      <c r="L995" s="43"/>
      <c r="M995" s="43"/>
      <c r="N995" s="43"/>
      <c r="O995" s="302"/>
      <c r="P995" s="158"/>
      <c r="Q995" s="694"/>
      <c r="R995" s="694"/>
      <c r="S995" s="694"/>
      <c r="T995" s="694"/>
      <c r="U995" s="694"/>
      <c r="V995" s="694"/>
      <c r="W995" s="694"/>
      <c r="X995" s="694"/>
      <c r="Y995" s="694"/>
      <c r="Z995" s="694"/>
      <c r="AA995" s="694"/>
      <c r="AB995" s="1431">
        <f t="shared" ref="AB995:AI995" si="1513">AB977</f>
        <v>2</v>
      </c>
      <c r="AC995" s="1432">
        <f t="shared" si="1513"/>
        <v>2</v>
      </c>
      <c r="AD995" s="1432">
        <f t="shared" si="1513"/>
        <v>2</v>
      </c>
      <c r="AE995" s="1432">
        <f t="shared" si="1513"/>
        <v>2</v>
      </c>
      <c r="AF995" s="1432">
        <f t="shared" si="1513"/>
        <v>2</v>
      </c>
      <c r="AG995" s="1432">
        <f t="shared" si="1513"/>
        <v>2</v>
      </c>
      <c r="AH995" s="1432">
        <f t="shared" si="1513"/>
        <v>2</v>
      </c>
      <c r="AI995" s="1452">
        <f t="shared" si="1513"/>
        <v>2</v>
      </c>
      <c r="AJ995" s="343"/>
      <c r="AK995" s="1422"/>
      <c r="AL995" s="1422"/>
      <c r="AM995" s="343"/>
    </row>
    <row r="996" spans="1:39" ht="12.75" hidden="1" customHeight="1" x14ac:dyDescent="0.25">
      <c r="A996" s="729" t="s">
        <v>312</v>
      </c>
      <c r="B996" s="698"/>
      <c r="C996" s="2906"/>
      <c r="D996" s="990">
        <v>3</v>
      </c>
      <c r="E996" s="1430" t="str">
        <f t="shared" si="1509"/>
        <v/>
      </c>
      <c r="F996" s="1448" t="str">
        <f t="shared" si="1510"/>
        <v>TJ</v>
      </c>
      <c r="G996" s="47"/>
      <c r="H996" s="119"/>
      <c r="I996" s="47"/>
      <c r="J996" s="119"/>
      <c r="K996" s="43"/>
      <c r="L996" s="43"/>
      <c r="M996" s="43"/>
      <c r="N996" s="43"/>
      <c r="O996" s="302"/>
      <c r="P996" s="158"/>
      <c r="Q996" s="694"/>
      <c r="R996" s="694"/>
      <c r="S996" s="694"/>
      <c r="T996" s="694"/>
      <c r="U996" s="694"/>
      <c r="V996" s="694"/>
      <c r="W996" s="694"/>
      <c r="X996" s="694"/>
      <c r="Y996" s="694"/>
      <c r="Z996" s="694"/>
      <c r="AA996" s="694"/>
      <c r="AB996" s="1431">
        <f t="shared" ref="AB996:AI996" si="1514">AB978</f>
        <v>2</v>
      </c>
      <c r="AC996" s="1432">
        <f t="shared" si="1514"/>
        <v>2</v>
      </c>
      <c r="AD996" s="1432">
        <f t="shared" si="1514"/>
        <v>2</v>
      </c>
      <c r="AE996" s="1432">
        <f t="shared" si="1514"/>
        <v>2</v>
      </c>
      <c r="AF996" s="1432">
        <f t="shared" si="1514"/>
        <v>2</v>
      </c>
      <c r="AG996" s="1432">
        <f t="shared" si="1514"/>
        <v>2</v>
      </c>
      <c r="AH996" s="1432">
        <f t="shared" si="1514"/>
        <v>2</v>
      </c>
      <c r="AI996" s="1452">
        <f t="shared" si="1514"/>
        <v>2</v>
      </c>
      <c r="AJ996" s="343"/>
      <c r="AK996" s="1422"/>
      <c r="AL996" s="1422"/>
      <c r="AM996" s="343"/>
    </row>
    <row r="997" spans="1:39" ht="12.75" hidden="1" customHeight="1" x14ac:dyDescent="0.25">
      <c r="A997" s="729" t="s">
        <v>312</v>
      </c>
      <c r="B997" s="698"/>
      <c r="C997" s="2906"/>
      <c r="D997" s="990">
        <v>4</v>
      </c>
      <c r="E997" s="1430" t="str">
        <f t="shared" si="1509"/>
        <v/>
      </c>
      <c r="F997" s="1448" t="str">
        <f t="shared" si="1510"/>
        <v>TJ</v>
      </c>
      <c r="G997" s="47"/>
      <c r="H997" s="119"/>
      <c r="I997" s="47"/>
      <c r="J997" s="119"/>
      <c r="K997" s="43"/>
      <c r="L997" s="43"/>
      <c r="M997" s="43"/>
      <c r="N997" s="43"/>
      <c r="O997" s="302"/>
      <c r="P997" s="158"/>
      <c r="Q997" s="694"/>
      <c r="R997" s="694"/>
      <c r="S997" s="694"/>
      <c r="T997" s="694"/>
      <c r="U997" s="694"/>
      <c r="V997" s="694"/>
      <c r="W997" s="694"/>
      <c r="X997" s="694"/>
      <c r="Y997" s="694"/>
      <c r="Z997" s="694"/>
      <c r="AA997" s="694"/>
      <c r="AB997" s="1431">
        <f t="shared" ref="AB997:AI997" si="1515">AB979</f>
        <v>2</v>
      </c>
      <c r="AC997" s="1432">
        <f t="shared" si="1515"/>
        <v>2</v>
      </c>
      <c r="AD997" s="1432">
        <f t="shared" si="1515"/>
        <v>2</v>
      </c>
      <c r="AE997" s="1432">
        <f t="shared" si="1515"/>
        <v>2</v>
      </c>
      <c r="AF997" s="1432">
        <f t="shared" si="1515"/>
        <v>2</v>
      </c>
      <c r="AG997" s="1432">
        <f t="shared" si="1515"/>
        <v>2</v>
      </c>
      <c r="AH997" s="1432">
        <f t="shared" si="1515"/>
        <v>2</v>
      </c>
      <c r="AI997" s="1452">
        <f t="shared" si="1515"/>
        <v>2</v>
      </c>
      <c r="AJ997" s="343"/>
      <c r="AK997" s="1422"/>
      <c r="AL997" s="1422"/>
      <c r="AM997" s="343"/>
    </row>
    <row r="998" spans="1:39" ht="12.75" hidden="1" customHeight="1" x14ac:dyDescent="0.25">
      <c r="A998" s="729" t="s">
        <v>312</v>
      </c>
      <c r="B998" s="698"/>
      <c r="C998" s="2906"/>
      <c r="D998" s="990">
        <v>5</v>
      </c>
      <c r="E998" s="1430" t="str">
        <f t="shared" si="1509"/>
        <v/>
      </c>
      <c r="F998" s="1448" t="str">
        <f t="shared" si="1510"/>
        <v>TJ</v>
      </c>
      <c r="G998" s="47"/>
      <c r="H998" s="119"/>
      <c r="I998" s="47"/>
      <c r="J998" s="119"/>
      <c r="K998" s="43"/>
      <c r="L998" s="43"/>
      <c r="M998" s="43"/>
      <c r="N998" s="43"/>
      <c r="O998" s="302"/>
      <c r="P998" s="158"/>
      <c r="Q998" s="694"/>
      <c r="R998" s="694"/>
      <c r="S998" s="694"/>
      <c r="T998" s="694"/>
      <c r="U998" s="694"/>
      <c r="V998" s="694"/>
      <c r="W998" s="694"/>
      <c r="X998" s="694"/>
      <c r="Y998" s="694"/>
      <c r="Z998" s="694"/>
      <c r="AA998" s="694"/>
      <c r="AB998" s="1431">
        <f t="shared" ref="AB998:AI998" si="1516">AB980</f>
        <v>2</v>
      </c>
      <c r="AC998" s="1432">
        <f t="shared" si="1516"/>
        <v>2</v>
      </c>
      <c r="AD998" s="1432">
        <f t="shared" si="1516"/>
        <v>2</v>
      </c>
      <c r="AE998" s="1432">
        <f t="shared" si="1516"/>
        <v>2</v>
      </c>
      <c r="AF998" s="1432">
        <f t="shared" si="1516"/>
        <v>2</v>
      </c>
      <c r="AG998" s="1432">
        <f t="shared" si="1516"/>
        <v>2</v>
      </c>
      <c r="AH998" s="1432">
        <f t="shared" si="1516"/>
        <v>2</v>
      </c>
      <c r="AI998" s="1452">
        <f t="shared" si="1516"/>
        <v>2</v>
      </c>
      <c r="AJ998" s="343"/>
      <c r="AK998" s="1422"/>
      <c r="AL998" s="1422"/>
      <c r="AM998" s="343"/>
    </row>
    <row r="999" spans="1:39" ht="12.75" hidden="1" customHeight="1" x14ac:dyDescent="0.25">
      <c r="A999" s="729" t="s">
        <v>312</v>
      </c>
      <c r="B999" s="698"/>
      <c r="C999" s="2906"/>
      <c r="D999" s="990">
        <v>6</v>
      </c>
      <c r="E999" s="1430" t="str">
        <f t="shared" si="1509"/>
        <v/>
      </c>
      <c r="F999" s="1448" t="str">
        <f t="shared" si="1510"/>
        <v>TJ</v>
      </c>
      <c r="G999" s="47"/>
      <c r="H999" s="119"/>
      <c r="I999" s="47"/>
      <c r="J999" s="119"/>
      <c r="K999" s="43"/>
      <c r="L999" s="43"/>
      <c r="M999" s="43"/>
      <c r="N999" s="43"/>
      <c r="O999" s="302"/>
      <c r="P999" s="158"/>
      <c r="Q999" s="694"/>
      <c r="R999" s="694"/>
      <c r="S999" s="694"/>
      <c r="T999" s="694"/>
      <c r="U999" s="694"/>
      <c r="V999" s="694"/>
      <c r="W999" s="694"/>
      <c r="X999" s="694"/>
      <c r="Y999" s="694"/>
      <c r="Z999" s="694"/>
      <c r="AA999" s="694"/>
      <c r="AB999" s="1431">
        <f t="shared" ref="AB999:AI999" si="1517">AB981</f>
        <v>2</v>
      </c>
      <c r="AC999" s="1432">
        <f t="shared" si="1517"/>
        <v>2</v>
      </c>
      <c r="AD999" s="1432">
        <f t="shared" si="1517"/>
        <v>2</v>
      </c>
      <c r="AE999" s="1432">
        <f t="shared" si="1517"/>
        <v>2</v>
      </c>
      <c r="AF999" s="1432">
        <f t="shared" si="1517"/>
        <v>2</v>
      </c>
      <c r="AG999" s="1432">
        <f t="shared" si="1517"/>
        <v>2</v>
      </c>
      <c r="AH999" s="1432">
        <f t="shared" si="1517"/>
        <v>2</v>
      </c>
      <c r="AI999" s="1452">
        <f t="shared" si="1517"/>
        <v>2</v>
      </c>
      <c r="AJ999" s="343"/>
      <c r="AK999" s="1422"/>
      <c r="AL999" s="1422"/>
      <c r="AM999" s="343"/>
    </row>
    <row r="1000" spans="1:39" ht="12.75" hidden="1" customHeight="1" x14ac:dyDescent="0.25">
      <c r="A1000" s="729" t="s">
        <v>312</v>
      </c>
      <c r="B1000" s="698"/>
      <c r="C1000" s="2906"/>
      <c r="D1000" s="990">
        <v>7</v>
      </c>
      <c r="E1000" s="1430" t="str">
        <f t="shared" si="1509"/>
        <v/>
      </c>
      <c r="F1000" s="1448" t="str">
        <f t="shared" si="1510"/>
        <v>TJ</v>
      </c>
      <c r="G1000" s="47"/>
      <c r="H1000" s="119"/>
      <c r="I1000" s="47"/>
      <c r="J1000" s="119"/>
      <c r="K1000" s="43"/>
      <c r="L1000" s="43"/>
      <c r="M1000" s="43"/>
      <c r="N1000" s="43"/>
      <c r="O1000" s="302"/>
      <c r="P1000" s="158"/>
      <c r="Q1000" s="694"/>
      <c r="R1000" s="694"/>
      <c r="S1000" s="694"/>
      <c r="T1000" s="694"/>
      <c r="U1000" s="694"/>
      <c r="V1000" s="694"/>
      <c r="W1000" s="694"/>
      <c r="X1000" s="694"/>
      <c r="Y1000" s="694"/>
      <c r="Z1000" s="694"/>
      <c r="AA1000" s="694"/>
      <c r="AB1000" s="1431">
        <f t="shared" ref="AB1000:AI1000" si="1518">AB982</f>
        <v>2</v>
      </c>
      <c r="AC1000" s="1432">
        <f t="shared" si="1518"/>
        <v>2</v>
      </c>
      <c r="AD1000" s="1432">
        <f t="shared" si="1518"/>
        <v>2</v>
      </c>
      <c r="AE1000" s="1432">
        <f t="shared" si="1518"/>
        <v>2</v>
      </c>
      <c r="AF1000" s="1432">
        <f t="shared" si="1518"/>
        <v>2</v>
      </c>
      <c r="AG1000" s="1432">
        <f t="shared" si="1518"/>
        <v>2</v>
      </c>
      <c r="AH1000" s="1432">
        <f t="shared" si="1518"/>
        <v>2</v>
      </c>
      <c r="AI1000" s="1452">
        <f t="shared" si="1518"/>
        <v>2</v>
      </c>
      <c r="AJ1000" s="343"/>
      <c r="AK1000" s="1422"/>
      <c r="AL1000" s="1422"/>
      <c r="AM1000" s="343"/>
    </row>
    <row r="1001" spans="1:39" ht="12.75" hidden="1" customHeight="1" x14ac:dyDescent="0.25">
      <c r="A1001" s="729" t="s">
        <v>312</v>
      </c>
      <c r="B1001" s="698"/>
      <c r="C1001" s="2906"/>
      <c r="D1001" s="990">
        <v>8</v>
      </c>
      <c r="E1001" s="1430" t="str">
        <f t="shared" si="1509"/>
        <v/>
      </c>
      <c r="F1001" s="1448" t="str">
        <f t="shared" si="1510"/>
        <v>TJ</v>
      </c>
      <c r="G1001" s="47"/>
      <c r="H1001" s="119"/>
      <c r="I1001" s="47"/>
      <c r="J1001" s="119"/>
      <c r="K1001" s="43"/>
      <c r="L1001" s="43"/>
      <c r="M1001" s="43"/>
      <c r="N1001" s="43"/>
      <c r="O1001" s="302"/>
      <c r="P1001" s="158"/>
      <c r="Q1001" s="694"/>
      <c r="R1001" s="694"/>
      <c r="S1001" s="694"/>
      <c r="T1001" s="694"/>
      <c r="U1001" s="694"/>
      <c r="V1001" s="694"/>
      <c r="W1001" s="694"/>
      <c r="X1001" s="694"/>
      <c r="Y1001" s="694"/>
      <c r="Z1001" s="694"/>
      <c r="AA1001" s="694"/>
      <c r="AB1001" s="1431">
        <f t="shared" ref="AB1001:AI1001" si="1519">AB983</f>
        <v>2</v>
      </c>
      <c r="AC1001" s="1432">
        <f t="shared" si="1519"/>
        <v>2</v>
      </c>
      <c r="AD1001" s="1432">
        <f t="shared" si="1519"/>
        <v>2</v>
      </c>
      <c r="AE1001" s="1432">
        <f t="shared" si="1519"/>
        <v>2</v>
      </c>
      <c r="AF1001" s="1432">
        <f t="shared" si="1519"/>
        <v>2</v>
      </c>
      <c r="AG1001" s="1432">
        <f t="shared" si="1519"/>
        <v>2</v>
      </c>
      <c r="AH1001" s="1432">
        <f t="shared" si="1519"/>
        <v>2</v>
      </c>
      <c r="AI1001" s="1452">
        <f t="shared" si="1519"/>
        <v>2</v>
      </c>
      <c r="AJ1001" s="343"/>
      <c r="AK1001" s="1422"/>
      <c r="AL1001" s="1422"/>
      <c r="AM1001" s="343"/>
    </row>
    <row r="1002" spans="1:39" ht="12.75" hidden="1" customHeight="1" x14ac:dyDescent="0.25">
      <c r="A1002" s="729" t="s">
        <v>312</v>
      </c>
      <c r="B1002" s="698"/>
      <c r="C1002" s="2906"/>
      <c r="D1002" s="990">
        <v>9</v>
      </c>
      <c r="E1002" s="1430" t="str">
        <f t="shared" si="1509"/>
        <v/>
      </c>
      <c r="F1002" s="1448" t="str">
        <f t="shared" si="1510"/>
        <v>TJ</v>
      </c>
      <c r="G1002" s="47"/>
      <c r="H1002" s="119"/>
      <c r="I1002" s="47"/>
      <c r="J1002" s="119"/>
      <c r="K1002" s="43"/>
      <c r="L1002" s="43"/>
      <c r="M1002" s="43"/>
      <c r="N1002" s="43"/>
      <c r="O1002" s="302"/>
      <c r="P1002" s="158"/>
      <c r="Q1002" s="694"/>
      <c r="R1002" s="694"/>
      <c r="S1002" s="694"/>
      <c r="T1002" s="694"/>
      <c r="U1002" s="694"/>
      <c r="V1002" s="694"/>
      <c r="W1002" s="694"/>
      <c r="X1002" s="694"/>
      <c r="Y1002" s="694"/>
      <c r="Z1002" s="694"/>
      <c r="AA1002" s="694"/>
      <c r="AB1002" s="1431">
        <f t="shared" ref="AB1002:AI1002" si="1520">AB984</f>
        <v>2</v>
      </c>
      <c r="AC1002" s="1432">
        <f t="shared" si="1520"/>
        <v>2</v>
      </c>
      <c r="AD1002" s="1432">
        <f t="shared" si="1520"/>
        <v>2</v>
      </c>
      <c r="AE1002" s="1432">
        <f t="shared" si="1520"/>
        <v>2</v>
      </c>
      <c r="AF1002" s="1432">
        <f t="shared" si="1520"/>
        <v>2</v>
      </c>
      <c r="AG1002" s="1432">
        <f t="shared" si="1520"/>
        <v>2</v>
      </c>
      <c r="AH1002" s="1432">
        <f t="shared" si="1520"/>
        <v>2</v>
      </c>
      <c r="AI1002" s="1452">
        <f t="shared" si="1520"/>
        <v>2</v>
      </c>
      <c r="AJ1002" s="343"/>
      <c r="AK1002" s="1422"/>
      <c r="AL1002" s="1422"/>
      <c r="AM1002" s="343"/>
    </row>
    <row r="1003" spans="1:39" ht="12.75" hidden="1" customHeight="1" thickBot="1" x14ac:dyDescent="0.3">
      <c r="A1003" s="729" t="s">
        <v>312</v>
      </c>
      <c r="B1003" s="698"/>
      <c r="C1003" s="2906"/>
      <c r="D1003" s="994">
        <v>10</v>
      </c>
      <c r="E1003" s="1435" t="str">
        <f t="shared" si="1509"/>
        <v/>
      </c>
      <c r="F1003" s="1453" t="str">
        <f t="shared" si="1510"/>
        <v>TJ</v>
      </c>
      <c r="G1003" s="48"/>
      <c r="H1003" s="117"/>
      <c r="I1003" s="48"/>
      <c r="J1003" s="117"/>
      <c r="K1003" s="38"/>
      <c r="L1003" s="38"/>
      <c r="M1003" s="38"/>
      <c r="N1003" s="38"/>
      <c r="O1003" s="302"/>
      <c r="P1003" s="158"/>
      <c r="Q1003" s="694"/>
      <c r="R1003" s="694"/>
      <c r="S1003" s="694"/>
      <c r="T1003" s="694"/>
      <c r="U1003" s="694"/>
      <c r="V1003" s="694"/>
      <c r="W1003" s="694"/>
      <c r="X1003" s="694"/>
      <c r="Y1003" s="694"/>
      <c r="Z1003" s="694"/>
      <c r="AA1003" s="694"/>
      <c r="AB1003" s="1436">
        <f t="shared" ref="AB1003:AI1003" si="1521">AB985</f>
        <v>2</v>
      </c>
      <c r="AC1003" s="1437">
        <f t="shared" si="1521"/>
        <v>2</v>
      </c>
      <c r="AD1003" s="1437">
        <f t="shared" si="1521"/>
        <v>2</v>
      </c>
      <c r="AE1003" s="1437">
        <f t="shared" si="1521"/>
        <v>2</v>
      </c>
      <c r="AF1003" s="1437">
        <f t="shared" si="1521"/>
        <v>2</v>
      </c>
      <c r="AG1003" s="1437">
        <f t="shared" si="1521"/>
        <v>2</v>
      </c>
      <c r="AH1003" s="1437">
        <f t="shared" si="1521"/>
        <v>2</v>
      </c>
      <c r="AI1003" s="1457">
        <f t="shared" si="1521"/>
        <v>2</v>
      </c>
      <c r="AJ1003" s="343"/>
      <c r="AK1003" s="1422"/>
      <c r="AL1003" s="1422"/>
      <c r="AM1003" s="343"/>
    </row>
    <row r="1004" spans="1:39" ht="12.75" hidden="1" customHeight="1" x14ac:dyDescent="0.25">
      <c r="A1004" s="729" t="s">
        <v>312</v>
      </c>
      <c r="B1004" s="698"/>
      <c r="C1004" s="2906"/>
      <c r="D1004" s="1293"/>
      <c r="E1004" s="1458" t="str">
        <f>Translations!$B$1338</f>
        <v>Общо потребление</v>
      </c>
      <c r="F1004" s="1453" t="str">
        <f t="shared" si="1510"/>
        <v>TJ</v>
      </c>
      <c r="G1004" s="1296" t="str">
        <f t="shared" ref="G1004:N1004" si="1522">IF(COUNT(G994:G1003)&gt;0,SUMIF($S941:$S950,TRUE,G994:G1003),"")</f>
        <v/>
      </c>
      <c r="H1004" s="1297" t="str">
        <f t="shared" si="1522"/>
        <v/>
      </c>
      <c r="I1004" s="1296" t="str">
        <f t="shared" si="1522"/>
        <v/>
      </c>
      <c r="J1004" s="1297" t="str">
        <f t="shared" si="1522"/>
        <v/>
      </c>
      <c r="K1004" s="1104" t="str">
        <f t="shared" si="1522"/>
        <v/>
      </c>
      <c r="L1004" s="1104" t="str">
        <f t="shared" si="1522"/>
        <v/>
      </c>
      <c r="M1004" s="1104" t="str">
        <f t="shared" si="1522"/>
        <v/>
      </c>
      <c r="N1004" s="1104" t="str">
        <f t="shared" si="1522"/>
        <v/>
      </c>
      <c r="O1004" s="302"/>
      <c r="P1004" s="336"/>
      <c r="Q1004" s="694"/>
      <c r="R1004" s="694"/>
      <c r="S1004" s="694"/>
      <c r="T1004" s="694"/>
      <c r="U1004" s="694"/>
      <c r="V1004" s="694"/>
      <c r="W1004" s="694"/>
      <c r="X1004" s="694"/>
      <c r="Y1004" s="694"/>
      <c r="Z1004" s="694"/>
      <c r="AA1004" s="694"/>
      <c r="AB1004" s="729"/>
      <c r="AC1004" s="694"/>
      <c r="AD1004" s="694"/>
      <c r="AE1004" s="343"/>
      <c r="AF1004" s="343"/>
      <c r="AG1004" s="343"/>
      <c r="AH1004" s="343"/>
      <c r="AI1004" s="343"/>
      <c r="AJ1004" s="343"/>
      <c r="AK1004" s="343"/>
      <c r="AL1004" s="343"/>
      <c r="AM1004" s="343"/>
    </row>
    <row r="1005" spans="1:39" ht="5.15" hidden="1" customHeight="1" x14ac:dyDescent="0.25">
      <c r="A1005" s="729" t="s">
        <v>312</v>
      </c>
      <c r="B1005" s="698"/>
      <c r="C1005" s="284"/>
      <c r="D1005" s="284"/>
      <c r="E1005" s="284"/>
      <c r="F1005" s="284"/>
      <c r="G1005" s="284"/>
      <c r="H1005" s="284"/>
      <c r="I1005" s="284"/>
      <c r="J1005" s="284"/>
      <c r="K1005" s="284"/>
      <c r="L1005" s="284"/>
      <c r="M1005" s="284"/>
      <c r="N1005" s="284"/>
      <c r="O1005" s="302"/>
      <c r="P1005" s="336"/>
      <c r="Q1005" s="694"/>
      <c r="R1005" s="694"/>
      <c r="S1005" s="694"/>
      <c r="T1005" s="694"/>
      <c r="U1005" s="694"/>
      <c r="V1005" s="694"/>
      <c r="W1005" s="694"/>
      <c r="X1005" s="694"/>
      <c r="Y1005" s="694"/>
      <c r="Z1005" s="729"/>
      <c r="AA1005" s="729"/>
      <c r="AB1005" s="729"/>
      <c r="AC1005" s="694"/>
      <c r="AD1005" s="694"/>
      <c r="AE1005" s="343"/>
      <c r="AF1005" s="343"/>
      <c r="AG1005" s="343"/>
      <c r="AH1005" s="343"/>
      <c r="AI1005" s="343"/>
      <c r="AJ1005" s="343"/>
      <c r="AK1005" s="343"/>
      <c r="AL1005" s="343"/>
      <c r="AM1005" s="343"/>
    </row>
    <row r="1006" spans="1:39" ht="12.75" hidden="1" customHeight="1" x14ac:dyDescent="0.25">
      <c r="A1006" s="729" t="s">
        <v>312</v>
      </c>
      <c r="B1006" s="698"/>
      <c r="C1006" s="284"/>
      <c r="D1006" s="300" t="s">
        <v>1830</v>
      </c>
      <c r="E1006" s="2226" t="str">
        <f>Translations!$B$1542</f>
        <v>Общо потребление на енергия по продукти за определяне на очакваните равнища на дейност</v>
      </c>
      <c r="F1006" s="2249"/>
      <c r="G1006" s="2249"/>
      <c r="H1006" s="2249"/>
      <c r="I1006" s="2249"/>
      <c r="J1006" s="2249"/>
      <c r="K1006" s="2249"/>
      <c r="L1006" s="2249"/>
      <c r="M1006" s="2249"/>
      <c r="N1006" s="2249"/>
      <c r="O1006" s="302"/>
      <c r="P1006" s="295"/>
      <c r="Q1006" s="694"/>
      <c r="R1006" s="694"/>
      <c r="S1006" s="694"/>
      <c r="T1006" s="694"/>
      <c r="U1006" s="694"/>
      <c r="V1006" s="694"/>
      <c r="W1006" s="694"/>
      <c r="X1006" s="694"/>
      <c r="Y1006" s="694"/>
      <c r="Z1006" s="729"/>
      <c r="AA1006" s="729"/>
      <c r="AB1006" s="729"/>
      <c r="AC1006" s="729"/>
      <c r="AD1006" s="694"/>
      <c r="AE1006" s="343"/>
      <c r="AF1006" s="343"/>
      <c r="AG1006" s="343"/>
      <c r="AH1006" s="343"/>
      <c r="AI1006" s="343"/>
      <c r="AJ1006" s="343"/>
      <c r="AK1006" s="343"/>
      <c r="AL1006" s="343"/>
      <c r="AM1006" s="343"/>
    </row>
    <row r="1007" spans="1:39" ht="12.75" hidden="1" customHeight="1" x14ac:dyDescent="0.25">
      <c r="A1007" s="729" t="s">
        <v>312</v>
      </c>
      <c r="B1007" s="698"/>
      <c r="C1007" s="284"/>
      <c r="D1007" s="284"/>
      <c r="E1007" s="2358" t="str">
        <f>Translations!$B$1543</f>
        <v>Това е сборът от вписванията по-горе b.2 + b.3. Следователно сумата може да бъде по-висока от 100 % от равнището на дейност.</v>
      </c>
      <c r="F1007" s="2249"/>
      <c r="G1007" s="2249"/>
      <c r="H1007" s="2249"/>
      <c r="I1007" s="2249"/>
      <c r="J1007" s="2249"/>
      <c r="K1007" s="2249"/>
      <c r="L1007" s="2249"/>
      <c r="M1007" s="2249"/>
      <c r="N1007" s="2249"/>
      <c r="O1007" s="302"/>
      <c r="P1007" s="295"/>
      <c r="Q1007" s="694"/>
      <c r="R1007" s="694"/>
      <c r="S1007" s="694"/>
      <c r="T1007" s="694"/>
      <c r="U1007" s="694"/>
      <c r="V1007" s="694"/>
      <c r="W1007" s="694"/>
      <c r="X1007" s="694"/>
      <c r="Y1007" s="694"/>
      <c r="Z1007" s="729"/>
      <c r="AA1007" s="729"/>
      <c r="AB1007" s="729"/>
      <c r="AC1007" s="729"/>
      <c r="AD1007" s="694"/>
      <c r="AE1007" s="343"/>
      <c r="AF1007" s="343"/>
      <c r="AG1007" s="343"/>
      <c r="AH1007" s="343"/>
      <c r="AI1007" s="343"/>
      <c r="AJ1007" s="343"/>
      <c r="AK1007" s="343"/>
      <c r="AL1007" s="343"/>
      <c r="AM1007" s="343"/>
    </row>
    <row r="1008" spans="1:39" ht="5.15" hidden="1" customHeight="1" x14ac:dyDescent="0.25">
      <c r="A1008" s="729" t="s">
        <v>312</v>
      </c>
      <c r="B1008" s="698"/>
      <c r="C1008" s="284"/>
      <c r="D1008" s="284"/>
      <c r="E1008" s="2358"/>
      <c r="F1008" s="2249"/>
      <c r="G1008" s="2249"/>
      <c r="H1008" s="2249"/>
      <c r="I1008" s="2249"/>
      <c r="J1008" s="2249"/>
      <c r="K1008" s="2249"/>
      <c r="L1008" s="2249"/>
      <c r="M1008" s="2249"/>
      <c r="N1008" s="2249"/>
      <c r="O1008" s="302"/>
      <c r="P1008" s="295"/>
      <c r="Q1008" s="694"/>
      <c r="R1008" s="694"/>
      <c r="S1008" s="694"/>
      <c r="T1008" s="694"/>
      <c r="U1008" s="694"/>
      <c r="V1008" s="694"/>
      <c r="W1008" s="694"/>
      <c r="X1008" s="694"/>
      <c r="Y1008" s="694"/>
      <c r="Z1008" s="729"/>
      <c r="AA1008" s="729"/>
      <c r="AB1008" s="729"/>
      <c r="AC1008" s="729"/>
      <c r="AD1008" s="694"/>
      <c r="AE1008" s="343"/>
      <c r="AF1008" s="343"/>
      <c r="AG1008" s="343"/>
      <c r="AH1008" s="343"/>
      <c r="AI1008" s="343"/>
      <c r="AJ1008" s="343"/>
      <c r="AK1008" s="343"/>
      <c r="AL1008" s="343"/>
      <c r="AM1008" s="343"/>
    </row>
    <row r="1009" spans="1:39" s="1423" customFormat="1" ht="25.5" hidden="1" customHeight="1" thickBot="1" x14ac:dyDescent="0.35">
      <c r="A1009" s="729" t="s">
        <v>312</v>
      </c>
      <c r="B1009" s="1412"/>
      <c r="C1009" s="1413"/>
      <c r="D1009" s="1414"/>
      <c r="E1009" s="1415" t="str">
        <f>Translations!$B$624</f>
        <v>Име на продукта или „топлофикационна мрежа“</v>
      </c>
      <c r="F1009" s="1416" t="str">
        <f>EUconst_Unit</f>
        <v>Единица мярка</v>
      </c>
      <c r="G1009" s="1419" t="str">
        <f>Translations!$B$1336</f>
        <v>Стойност в НМИ</v>
      </c>
      <c r="H1009" s="1418">
        <f t="shared" ref="H1009:N1009" si="1523">H$1840</f>
        <v>2024</v>
      </c>
      <c r="I1009" s="1419">
        <f t="shared" si="1523"/>
        <v>2025</v>
      </c>
      <c r="J1009" s="1418">
        <f t="shared" si="1523"/>
        <v>2026</v>
      </c>
      <c r="K1009" s="1420">
        <f t="shared" si="1523"/>
        <v>2027</v>
      </c>
      <c r="L1009" s="1420">
        <f t="shared" si="1523"/>
        <v>2028</v>
      </c>
      <c r="M1009" s="1420">
        <f t="shared" si="1523"/>
        <v>2029</v>
      </c>
      <c r="N1009" s="1420">
        <f t="shared" si="1523"/>
        <v>2030</v>
      </c>
      <c r="O1009" s="302"/>
      <c r="P1009" s="295"/>
      <c r="Q1009" s="1421"/>
      <c r="R1009" s="1421"/>
      <c r="S1009" s="770" t="str">
        <f>Translations!$B$1341</f>
        <v>Базова стойност</v>
      </c>
      <c r="T1009" s="1421">
        <f t="shared" ref="T1009" si="1524">H1009</f>
        <v>2024</v>
      </c>
      <c r="U1009" s="1421">
        <f t="shared" ref="U1009" si="1525">I1009</f>
        <v>2025</v>
      </c>
      <c r="V1009" s="1421">
        <f t="shared" ref="V1009" si="1526">J1009</f>
        <v>2026</v>
      </c>
      <c r="W1009" s="1421">
        <f t="shared" ref="W1009" si="1527">K1009</f>
        <v>2027</v>
      </c>
      <c r="X1009" s="1421">
        <f t="shared" ref="X1009" si="1528">L1009</f>
        <v>2028</v>
      </c>
      <c r="Y1009" s="1421">
        <f t="shared" ref="Y1009" si="1529">M1009</f>
        <v>2029</v>
      </c>
      <c r="Z1009" s="1421">
        <f t="shared" ref="Z1009" si="1530">N1009</f>
        <v>2030</v>
      </c>
      <c r="AA1009" s="1421"/>
      <c r="AB1009" s="770" t="str">
        <f>Translations!$B$1284</f>
        <v>HAL</v>
      </c>
      <c r="AC1009" s="1421">
        <f t="shared" ref="AC1009" si="1531">H1009</f>
        <v>2024</v>
      </c>
      <c r="AD1009" s="1421">
        <f t="shared" ref="AD1009" si="1532">I1009</f>
        <v>2025</v>
      </c>
      <c r="AE1009" s="1421">
        <f t="shared" ref="AE1009" si="1533">J1009</f>
        <v>2026</v>
      </c>
      <c r="AF1009" s="1421">
        <f t="shared" ref="AF1009" si="1534">K1009</f>
        <v>2027</v>
      </c>
      <c r="AG1009" s="1421">
        <f t="shared" ref="AG1009" si="1535">L1009</f>
        <v>2028</v>
      </c>
      <c r="AH1009" s="1422">
        <f t="shared" ref="AH1009" si="1536">M1009</f>
        <v>2029</v>
      </c>
      <c r="AI1009" s="1422">
        <f t="shared" ref="AI1009" si="1537">N1009</f>
        <v>2030</v>
      </c>
      <c r="AJ1009" s="1422"/>
      <c r="AK1009" s="1422"/>
      <c r="AL1009" s="1422"/>
      <c r="AM1009" s="1422"/>
    </row>
    <row r="1010" spans="1:39" ht="12.75" hidden="1" customHeight="1" x14ac:dyDescent="0.25">
      <c r="A1010" s="729" t="s">
        <v>312</v>
      </c>
      <c r="B1010" s="698"/>
      <c r="C1010" s="2906" t="str">
        <f>Translations!$B$1544</f>
        <v>ОБЩО</v>
      </c>
      <c r="D1010" s="981">
        <v>1</v>
      </c>
      <c r="E1010" s="1424" t="str">
        <f t="shared" ref="E1010:E1019" si="1538">E994</f>
        <v/>
      </c>
      <c r="F1010" s="1259" t="str">
        <f t="shared" ref="F1010:F1021" si="1539">EUconst_TJ</f>
        <v>TJ</v>
      </c>
      <c r="G1010" s="1465" t="str">
        <f>IF(OR($E1010="",AB1010=0),"",SUM(G976,G994))</f>
        <v/>
      </c>
      <c r="H1010" s="1466" t="str">
        <f t="shared" ref="H1010:N1010" si="1540">IF(OR($E1010="",AC1010=0),"",SUM(H976,H994))</f>
        <v/>
      </c>
      <c r="I1010" s="1467" t="str">
        <f t="shared" si="1540"/>
        <v/>
      </c>
      <c r="J1010" s="1466" t="str">
        <f t="shared" si="1540"/>
        <v/>
      </c>
      <c r="K1010" s="1126" t="str">
        <f t="shared" si="1540"/>
        <v/>
      </c>
      <c r="L1010" s="1126" t="str">
        <f t="shared" si="1540"/>
        <v/>
      </c>
      <c r="M1010" s="1126" t="str">
        <f t="shared" si="1540"/>
        <v/>
      </c>
      <c r="N1010" s="1126" t="str">
        <f t="shared" si="1540"/>
        <v/>
      </c>
      <c r="O1010" s="302"/>
      <c r="P1010" s="158"/>
      <c r="Q1010" s="694"/>
      <c r="R1010" s="694"/>
      <c r="S1010" s="1443" t="str">
        <f>IF($M905&lt;&gt;EUconst_Relevant,"",
IF($V905&gt;($J$1840-3),
              IF(INDEX(H957:N957,MATCH($V905,$T1009:$Z1009,0))=0,0,INDEX(H1010:N1010,MATCH($V905,$T1009:$Z1009,0))/INDEX(H957:N957,MATCH($V905,$T1009:$Z1009,0))),
                             IF(ISNUMBER(G957),
                                            IF(OR(G957=0,$S941=FALSE),0,G1010/G957),"")))</f>
        <v/>
      </c>
      <c r="T1010" s="1444" t="str">
        <f>IF($E1010="","",IF(IFERROR(SUM($S1010)=0,SUM(H1010)),SUM(H1010),SUM(H957)*SUM($S1010))*IF(SUM(H1010)=0,1,SUM(H976)/SUM(H1010)))</f>
        <v/>
      </c>
      <c r="U1010" s="1444" t="str">
        <f t="shared" ref="U1010" si="1541">IF($E1010="","",IF(IFERROR(SUM($S1010)=0,SUM(I1010)),SUM(I1010),SUM(I957)*SUM($S1010))*IF(SUM(I1010)=0,1,SUM(I976)/SUM(I1010)))</f>
        <v/>
      </c>
      <c r="V1010" s="1444" t="str">
        <f t="shared" ref="V1010" si="1542">IF($E1010="","",IF(IFERROR(SUM($S1010)=0,SUM(J1010)),SUM(J1010),SUM(J957)*SUM($S1010))*IF(SUM(J1010)=0,1,SUM(J976)/SUM(J1010)))</f>
        <v/>
      </c>
      <c r="W1010" s="1444" t="str">
        <f t="shared" ref="W1010" si="1543">IF($E1010="","",IF(IFERROR(SUM($S1010)=0,SUM(K1010)),SUM(K1010),SUM(K957)*SUM($S1010))*IF(SUM(K1010)=0,1,SUM(K976)/SUM(K1010)))</f>
        <v/>
      </c>
      <c r="X1010" s="1444" t="str">
        <f t="shared" ref="X1010" si="1544">IF($E1010="","",IF(IFERROR(SUM($S1010)=0,SUM(L1010)),SUM(L1010),SUM(L957)*SUM($S1010))*IF(SUM(L1010)=0,1,SUM(L976)/SUM(L1010)))</f>
        <v/>
      </c>
      <c r="Y1010" s="1444" t="str">
        <f t="shared" ref="Y1010" si="1545">IF($E1010="","",IF(IFERROR(SUM($S1010)=0,SUM(M1010)),SUM(M1010),SUM(M957)*SUM($S1010))*IF(SUM(M1010)=0,1,SUM(M976)/SUM(M1010)))</f>
        <v/>
      </c>
      <c r="Z1010" s="1445" t="str">
        <f t="shared" ref="Z1010" si="1546">IF($E1010="","",IF(IFERROR(SUM($S1010)=0,SUM(N1010)),SUM(N1010),SUM(N957)*SUM($S1010))*IF(SUM(N1010)=0,1,SUM(N976)/SUM(N1010)))</f>
        <v/>
      </c>
      <c r="AA1010" s="1446" t="s">
        <v>1757</v>
      </c>
      <c r="AB1010" s="1447">
        <f t="shared" ref="AB1010:AI1010" si="1547">AB994</f>
        <v>2</v>
      </c>
      <c r="AC1010" s="1427">
        <f t="shared" si="1547"/>
        <v>2</v>
      </c>
      <c r="AD1010" s="1427">
        <f t="shared" si="1547"/>
        <v>2</v>
      </c>
      <c r="AE1010" s="1427">
        <f t="shared" si="1547"/>
        <v>2</v>
      </c>
      <c r="AF1010" s="1427">
        <f t="shared" si="1547"/>
        <v>2</v>
      </c>
      <c r="AG1010" s="1427">
        <f t="shared" si="1547"/>
        <v>2</v>
      </c>
      <c r="AH1010" s="1428">
        <f t="shared" si="1547"/>
        <v>2</v>
      </c>
      <c r="AI1010" s="1429">
        <f t="shared" si="1547"/>
        <v>2</v>
      </c>
      <c r="AJ1010" s="343"/>
      <c r="AK1010" s="1174" t="s">
        <v>2039</v>
      </c>
      <c r="AL1010" s="1176" t="str">
        <f>IF(AND(CNTR_ExistSubInstEntries,COUNTIFS(AB1010:AI1010,2,G1010:N1010,"")&gt;0),EUconst_Error&amp;"FB"&amp;Q939,"")</f>
        <v/>
      </c>
      <c r="AM1010" s="343"/>
    </row>
    <row r="1011" spans="1:39" ht="12.75" hidden="1" customHeight="1" x14ac:dyDescent="0.25">
      <c r="A1011" s="729" t="s">
        <v>312</v>
      </c>
      <c r="B1011" s="698"/>
      <c r="C1011" s="2906"/>
      <c r="D1011" s="990">
        <v>2</v>
      </c>
      <c r="E1011" s="1430" t="str">
        <f t="shared" si="1538"/>
        <v/>
      </c>
      <c r="F1011" s="1448" t="str">
        <f t="shared" si="1539"/>
        <v>TJ</v>
      </c>
      <c r="G1011" s="1468" t="str">
        <f t="shared" ref="G1011:N1011" si="1548">IF(OR($E1011="",AB1011=0),"",SUM(G977,G995))</f>
        <v/>
      </c>
      <c r="H1011" s="1469" t="str">
        <f t="shared" si="1548"/>
        <v/>
      </c>
      <c r="I1011" s="1470" t="str">
        <f t="shared" si="1548"/>
        <v/>
      </c>
      <c r="J1011" s="1469" t="str">
        <f t="shared" si="1548"/>
        <v/>
      </c>
      <c r="K1011" s="1127" t="str">
        <f t="shared" si="1548"/>
        <v/>
      </c>
      <c r="L1011" s="1127" t="str">
        <f t="shared" si="1548"/>
        <v/>
      </c>
      <c r="M1011" s="1127" t="str">
        <f t="shared" si="1548"/>
        <v/>
      </c>
      <c r="N1011" s="1127" t="str">
        <f t="shared" si="1548"/>
        <v/>
      </c>
      <c r="O1011" s="302"/>
      <c r="P1011" s="158"/>
      <c r="Q1011" s="694"/>
      <c r="R1011" s="694"/>
      <c r="S1011" s="1449" t="str">
        <f>IF($M905&lt;&gt;EUconst_Relevant,"",
IF($V905&gt;($J$1840-3),
              IF(INDEX(H958:N958,MATCH($V905,$T1009:$Z1009,0))=0,0,INDEX(H1011:N1011,MATCH($V905,$T1009:$Z1009,0))/INDEX(H958:N958,MATCH($V905,$T1009:$Z1009,0))),
                             IF(ISNUMBER(G958),
                                            IF(OR(G958=0,$S942=FALSE),0,G1011/G958),"")))</f>
        <v/>
      </c>
      <c r="T1011" s="1450" t="str">
        <f t="shared" ref="T1011" si="1549">IF($E1011="","",IF(IFERROR(SUM($S1011)=0,SUM(H1011)),SUM(H1011),SUM(H958)*SUM($S1011))*IF(SUM(H1011)=0,1,SUM(H977)/SUM(H1011)))</f>
        <v/>
      </c>
      <c r="U1011" s="1450" t="str">
        <f t="shared" ref="U1011" si="1550">IF($E1011="","",IF(IFERROR(SUM($S1011)=0,SUM(I1011)),SUM(I1011),SUM(I958)*SUM($S1011))*IF(SUM(I1011)=0,1,SUM(I977)/SUM(I1011)))</f>
        <v/>
      </c>
      <c r="V1011" s="1450" t="str">
        <f t="shared" ref="V1011" si="1551">IF($E1011="","",IF(IFERROR(SUM($S1011)=0,SUM(J1011)),SUM(J1011),SUM(J958)*SUM($S1011))*IF(SUM(J1011)=0,1,SUM(J977)/SUM(J1011)))</f>
        <v/>
      </c>
      <c r="W1011" s="1450" t="str">
        <f t="shared" ref="W1011" si="1552">IF($E1011="","",IF(IFERROR(SUM($S1011)=0,SUM(K1011)),SUM(K1011),SUM(K958)*SUM($S1011))*IF(SUM(K1011)=0,1,SUM(K977)/SUM(K1011)))</f>
        <v/>
      </c>
      <c r="X1011" s="1450" t="str">
        <f t="shared" ref="X1011" si="1553">IF($E1011="","",IF(IFERROR(SUM($S1011)=0,SUM(L1011)),SUM(L1011),SUM(L958)*SUM($S1011))*IF(SUM(L1011)=0,1,SUM(L977)/SUM(L1011)))</f>
        <v/>
      </c>
      <c r="Y1011" s="1450" t="str">
        <f t="shared" ref="Y1011" si="1554">IF($E1011="","",IF(IFERROR(SUM($S1011)=0,SUM(M1011)),SUM(M1011),SUM(M958)*SUM($S1011))*IF(SUM(M1011)=0,1,SUM(M977)/SUM(M1011)))</f>
        <v/>
      </c>
      <c r="Z1011" s="1451" t="str">
        <f t="shared" ref="Z1011" si="1555">IF($E1011="","",IF(IFERROR(SUM($S1011)=0,SUM(N1011)),SUM(N1011),SUM(N958)*SUM($S1011))*IF(SUM(N1011)=0,1,SUM(N977)/SUM(N1011)))</f>
        <v/>
      </c>
      <c r="AA1011" s="694"/>
      <c r="AB1011" s="1431">
        <f t="shared" ref="AB1011:AI1011" si="1556">AB995</f>
        <v>2</v>
      </c>
      <c r="AC1011" s="1432">
        <f t="shared" si="1556"/>
        <v>2</v>
      </c>
      <c r="AD1011" s="1432">
        <f t="shared" si="1556"/>
        <v>2</v>
      </c>
      <c r="AE1011" s="1432">
        <f t="shared" si="1556"/>
        <v>2</v>
      </c>
      <c r="AF1011" s="1432">
        <f t="shared" si="1556"/>
        <v>2</v>
      </c>
      <c r="AG1011" s="1432">
        <f t="shared" si="1556"/>
        <v>2</v>
      </c>
      <c r="AH1011" s="1432">
        <f t="shared" si="1556"/>
        <v>2</v>
      </c>
      <c r="AI1011" s="1452">
        <f t="shared" si="1556"/>
        <v>2</v>
      </c>
      <c r="AJ1011" s="343"/>
      <c r="AK1011" s="1174" t="s">
        <v>2039</v>
      </c>
      <c r="AL1011" s="1176" t="str">
        <f>IF(AND(CNTR_ExistSubInstEntries,COUNTIFS(AB1011:AI1011,2,G1011:N1011,"")&gt;0),EUconst_Error&amp;"FB"&amp;Q939,"")</f>
        <v/>
      </c>
      <c r="AM1011" s="343"/>
    </row>
    <row r="1012" spans="1:39" ht="12.75" hidden="1" customHeight="1" x14ac:dyDescent="0.25">
      <c r="A1012" s="729" t="s">
        <v>312</v>
      </c>
      <c r="B1012" s="698"/>
      <c r="C1012" s="2906"/>
      <c r="D1012" s="990">
        <v>3</v>
      </c>
      <c r="E1012" s="1430" t="str">
        <f t="shared" si="1538"/>
        <v/>
      </c>
      <c r="F1012" s="1448" t="str">
        <f t="shared" si="1539"/>
        <v>TJ</v>
      </c>
      <c r="G1012" s="1470" t="str">
        <f t="shared" ref="G1012:N1012" si="1557">IF(OR($E1012="",AB1012=0),"",SUM(G978,G996))</f>
        <v/>
      </c>
      <c r="H1012" s="1469" t="str">
        <f t="shared" si="1557"/>
        <v/>
      </c>
      <c r="I1012" s="1470" t="str">
        <f t="shared" si="1557"/>
        <v/>
      </c>
      <c r="J1012" s="1469" t="str">
        <f t="shared" si="1557"/>
        <v/>
      </c>
      <c r="K1012" s="1127" t="str">
        <f t="shared" si="1557"/>
        <v/>
      </c>
      <c r="L1012" s="1127" t="str">
        <f t="shared" si="1557"/>
        <v/>
      </c>
      <c r="M1012" s="1127" t="str">
        <f t="shared" si="1557"/>
        <v/>
      </c>
      <c r="N1012" s="1127" t="str">
        <f t="shared" si="1557"/>
        <v/>
      </c>
      <c r="O1012" s="302"/>
      <c r="P1012" s="158"/>
      <c r="Q1012" s="694"/>
      <c r="R1012" s="694"/>
      <c r="S1012" s="1449" t="str">
        <f>IF($M905&lt;&gt;EUconst_Relevant,"",
IF($V905&gt;($J$1840-3),
              IF(INDEX(H959:N959,MATCH($V905,$T1009:$Z1009,0))=0,0,INDEX(H1012:N1012,MATCH($V905,$T1009:$Z1009,0))/INDEX(H959:N959,MATCH($V905,$T1009:$Z1009,0))),
                             IF(ISNUMBER(G959),
                                            IF(OR(G959=0,$S943=FALSE),0,G1012/G959),"")))</f>
        <v/>
      </c>
      <c r="T1012" s="1450" t="str">
        <f t="shared" ref="T1012" si="1558">IF($E1012="","",IF(IFERROR(SUM($S1012)=0,SUM(H1012)),SUM(H1012),SUM(H959)*SUM($S1012))*IF(SUM(H1012)=0,1,SUM(H978)/SUM(H1012)))</f>
        <v/>
      </c>
      <c r="U1012" s="1450" t="str">
        <f t="shared" ref="U1012" si="1559">IF($E1012="","",IF(IFERROR(SUM($S1012)=0,SUM(I1012)),SUM(I1012),SUM(I959)*SUM($S1012))*IF(SUM(I1012)=0,1,SUM(I978)/SUM(I1012)))</f>
        <v/>
      </c>
      <c r="V1012" s="1450" t="str">
        <f t="shared" ref="V1012" si="1560">IF($E1012="","",IF(IFERROR(SUM($S1012)=0,SUM(J1012)),SUM(J1012),SUM(J959)*SUM($S1012))*IF(SUM(J1012)=0,1,SUM(J978)/SUM(J1012)))</f>
        <v/>
      </c>
      <c r="W1012" s="1450" t="str">
        <f t="shared" ref="W1012" si="1561">IF($E1012="","",IF(IFERROR(SUM($S1012)=0,SUM(K1012)),SUM(K1012),SUM(K959)*SUM($S1012))*IF(SUM(K1012)=0,1,SUM(K978)/SUM(K1012)))</f>
        <v/>
      </c>
      <c r="X1012" s="1450" t="str">
        <f t="shared" ref="X1012" si="1562">IF($E1012="","",IF(IFERROR(SUM($S1012)=0,SUM(L1012)),SUM(L1012),SUM(L959)*SUM($S1012))*IF(SUM(L1012)=0,1,SUM(L978)/SUM(L1012)))</f>
        <v/>
      </c>
      <c r="Y1012" s="1450" t="str">
        <f t="shared" ref="Y1012" si="1563">IF($E1012="","",IF(IFERROR(SUM($S1012)=0,SUM(M1012)),SUM(M1012),SUM(M959)*SUM($S1012))*IF(SUM(M1012)=0,1,SUM(M978)/SUM(M1012)))</f>
        <v/>
      </c>
      <c r="Z1012" s="1451" t="str">
        <f t="shared" ref="Z1012" si="1564">IF($E1012="","",IF(IFERROR(SUM($S1012)=0,SUM(N1012)),SUM(N1012),SUM(N959)*SUM($S1012))*IF(SUM(N1012)=0,1,SUM(N978)/SUM(N1012)))</f>
        <v/>
      </c>
      <c r="AA1012" s="694"/>
      <c r="AB1012" s="1431">
        <f t="shared" ref="AB1012:AI1012" si="1565">AB996</f>
        <v>2</v>
      </c>
      <c r="AC1012" s="1432">
        <f t="shared" si="1565"/>
        <v>2</v>
      </c>
      <c r="AD1012" s="1432">
        <f t="shared" si="1565"/>
        <v>2</v>
      </c>
      <c r="AE1012" s="1432">
        <f t="shared" si="1565"/>
        <v>2</v>
      </c>
      <c r="AF1012" s="1432">
        <f t="shared" si="1565"/>
        <v>2</v>
      </c>
      <c r="AG1012" s="1432">
        <f t="shared" si="1565"/>
        <v>2</v>
      </c>
      <c r="AH1012" s="1432">
        <f t="shared" si="1565"/>
        <v>2</v>
      </c>
      <c r="AI1012" s="1452">
        <f t="shared" si="1565"/>
        <v>2</v>
      </c>
      <c r="AJ1012" s="343"/>
      <c r="AK1012" s="1174" t="s">
        <v>2039</v>
      </c>
      <c r="AL1012" s="1176" t="str">
        <f>IF(AND(CNTR_ExistSubInstEntries,COUNTIFS(AB1012:AI1012,2,G1012:N1012,"")&gt;0),EUconst_Error&amp;"FB"&amp;Q939,"")</f>
        <v/>
      </c>
      <c r="AM1012" s="343"/>
    </row>
    <row r="1013" spans="1:39" ht="12.75" hidden="1" customHeight="1" x14ac:dyDescent="0.25">
      <c r="A1013" s="729" t="s">
        <v>312</v>
      </c>
      <c r="B1013" s="698"/>
      <c r="C1013" s="2906"/>
      <c r="D1013" s="990">
        <v>4</v>
      </c>
      <c r="E1013" s="1430" t="str">
        <f t="shared" si="1538"/>
        <v/>
      </c>
      <c r="F1013" s="1448" t="str">
        <f t="shared" si="1539"/>
        <v>TJ</v>
      </c>
      <c r="G1013" s="1470" t="str">
        <f t="shared" ref="G1013:N1013" si="1566">IF(OR($E1013="",AB1013=0),"",SUM(G979,G997))</f>
        <v/>
      </c>
      <c r="H1013" s="1469" t="str">
        <f t="shared" si="1566"/>
        <v/>
      </c>
      <c r="I1013" s="1470" t="str">
        <f t="shared" si="1566"/>
        <v/>
      </c>
      <c r="J1013" s="1469" t="str">
        <f t="shared" si="1566"/>
        <v/>
      </c>
      <c r="K1013" s="1127" t="str">
        <f t="shared" si="1566"/>
        <v/>
      </c>
      <c r="L1013" s="1127" t="str">
        <f t="shared" si="1566"/>
        <v/>
      </c>
      <c r="M1013" s="1127" t="str">
        <f t="shared" si="1566"/>
        <v/>
      </c>
      <c r="N1013" s="1127" t="str">
        <f t="shared" si="1566"/>
        <v/>
      </c>
      <c r="O1013" s="302"/>
      <c r="P1013" s="158"/>
      <c r="Q1013" s="694"/>
      <c r="R1013" s="694"/>
      <c r="S1013" s="1449" t="str">
        <f>IF($M905&lt;&gt;EUconst_Relevant,"",
IF($V905&gt;($J$1840-3),
              IF(INDEX(H960:N960,MATCH($V905,$T1009:$Z1009,0))=0,0,INDEX(H1013:N1013,MATCH($V905,$T1009:$Z1009,0))/INDEX(H960:N960,MATCH($V905,$T1009:$Z1009,0))),
                             IF(ISNUMBER(G960),
                                            IF(OR(G960=0,$S944=FALSE),0,G1013/G960),"")))</f>
        <v/>
      </c>
      <c r="T1013" s="1450" t="str">
        <f t="shared" ref="T1013" si="1567">IF($E1013="","",IF(IFERROR(SUM($S1013)=0,SUM(H1013)),SUM(H1013),SUM(H960)*SUM($S1013))*IF(SUM(H1013)=0,1,SUM(H979)/SUM(H1013)))</f>
        <v/>
      </c>
      <c r="U1013" s="1450" t="str">
        <f t="shared" ref="U1013" si="1568">IF($E1013="","",IF(IFERROR(SUM($S1013)=0,SUM(I1013)),SUM(I1013),SUM(I960)*SUM($S1013))*IF(SUM(I1013)=0,1,SUM(I979)/SUM(I1013)))</f>
        <v/>
      </c>
      <c r="V1013" s="1450" t="str">
        <f t="shared" ref="V1013" si="1569">IF($E1013="","",IF(IFERROR(SUM($S1013)=0,SUM(J1013)),SUM(J1013),SUM(J960)*SUM($S1013))*IF(SUM(J1013)=0,1,SUM(J979)/SUM(J1013)))</f>
        <v/>
      </c>
      <c r="W1013" s="1450" t="str">
        <f t="shared" ref="W1013" si="1570">IF($E1013="","",IF(IFERROR(SUM($S1013)=0,SUM(K1013)),SUM(K1013),SUM(K960)*SUM($S1013))*IF(SUM(K1013)=0,1,SUM(K979)/SUM(K1013)))</f>
        <v/>
      </c>
      <c r="X1013" s="1450" t="str">
        <f t="shared" ref="X1013" si="1571">IF($E1013="","",IF(IFERROR(SUM($S1013)=0,SUM(L1013)),SUM(L1013),SUM(L960)*SUM($S1013))*IF(SUM(L1013)=0,1,SUM(L979)/SUM(L1013)))</f>
        <v/>
      </c>
      <c r="Y1013" s="1450" t="str">
        <f t="shared" ref="Y1013" si="1572">IF($E1013="","",IF(IFERROR(SUM($S1013)=0,SUM(M1013)),SUM(M1013),SUM(M960)*SUM($S1013))*IF(SUM(M1013)=0,1,SUM(M979)/SUM(M1013)))</f>
        <v/>
      </c>
      <c r="Z1013" s="1451" t="str">
        <f t="shared" ref="Z1013" si="1573">IF($E1013="","",IF(IFERROR(SUM($S1013)=0,SUM(N1013)),SUM(N1013),SUM(N960)*SUM($S1013))*IF(SUM(N1013)=0,1,SUM(N979)/SUM(N1013)))</f>
        <v/>
      </c>
      <c r="AA1013" s="694"/>
      <c r="AB1013" s="1431">
        <f t="shared" ref="AB1013:AI1013" si="1574">AB997</f>
        <v>2</v>
      </c>
      <c r="AC1013" s="1432">
        <f t="shared" si="1574"/>
        <v>2</v>
      </c>
      <c r="AD1013" s="1432">
        <f t="shared" si="1574"/>
        <v>2</v>
      </c>
      <c r="AE1013" s="1432">
        <f t="shared" si="1574"/>
        <v>2</v>
      </c>
      <c r="AF1013" s="1432">
        <f t="shared" si="1574"/>
        <v>2</v>
      </c>
      <c r="AG1013" s="1432">
        <f t="shared" si="1574"/>
        <v>2</v>
      </c>
      <c r="AH1013" s="1432">
        <f t="shared" si="1574"/>
        <v>2</v>
      </c>
      <c r="AI1013" s="1452">
        <f t="shared" si="1574"/>
        <v>2</v>
      </c>
      <c r="AJ1013" s="343"/>
      <c r="AK1013" s="1174" t="s">
        <v>2039</v>
      </c>
      <c r="AL1013" s="1176" t="str">
        <f>IF(AND(CNTR_ExistSubInstEntries,COUNTIFS(AB1013:AI1013,2,G1013:N1013,"")&gt;0),EUconst_Error&amp;"FB"&amp;Q939,"")</f>
        <v/>
      </c>
      <c r="AM1013" s="343"/>
    </row>
    <row r="1014" spans="1:39" ht="12.75" hidden="1" customHeight="1" x14ac:dyDescent="0.25">
      <c r="A1014" s="729" t="s">
        <v>312</v>
      </c>
      <c r="B1014" s="698"/>
      <c r="C1014" s="2906"/>
      <c r="D1014" s="990">
        <v>5</v>
      </c>
      <c r="E1014" s="1430" t="str">
        <f t="shared" si="1538"/>
        <v/>
      </c>
      <c r="F1014" s="1448" t="str">
        <f t="shared" si="1539"/>
        <v>TJ</v>
      </c>
      <c r="G1014" s="1470" t="str">
        <f t="shared" ref="G1014:N1014" si="1575">IF(OR($E1014="",AB1014=0),"",SUM(G980,G998))</f>
        <v/>
      </c>
      <c r="H1014" s="1469" t="str">
        <f t="shared" si="1575"/>
        <v/>
      </c>
      <c r="I1014" s="1470" t="str">
        <f t="shared" si="1575"/>
        <v/>
      </c>
      <c r="J1014" s="1469" t="str">
        <f t="shared" si="1575"/>
        <v/>
      </c>
      <c r="K1014" s="1127" t="str">
        <f t="shared" si="1575"/>
        <v/>
      </c>
      <c r="L1014" s="1127" t="str">
        <f t="shared" si="1575"/>
        <v/>
      </c>
      <c r="M1014" s="1127" t="str">
        <f t="shared" si="1575"/>
        <v/>
      </c>
      <c r="N1014" s="1127" t="str">
        <f t="shared" si="1575"/>
        <v/>
      </c>
      <c r="O1014" s="302"/>
      <c r="P1014" s="158"/>
      <c r="Q1014" s="694"/>
      <c r="R1014" s="694"/>
      <c r="S1014" s="1449" t="str">
        <f>IF($M905&lt;&gt;EUconst_Relevant,"",
IF($V905&gt;($J$1840-3),
              IF(INDEX(H961:N961,MATCH($V905,$T1009:$Z1009,0))=0,0,INDEX(H1014:N1014,MATCH($V905,$T1009:$Z1009,0))/INDEX(H961:N961,MATCH($V905,$T1009:$Z1009,0))),
                             IF(ISNUMBER(G961),
                                            IF(OR(G961=0,$S945=FALSE),0,G1014/G961),"")))</f>
        <v/>
      </c>
      <c r="T1014" s="1450" t="str">
        <f t="shared" ref="T1014" si="1576">IF($E1014="","",IF(IFERROR(SUM($S1014)=0,SUM(H1014)),SUM(H1014),SUM(H961)*SUM($S1014))*IF(SUM(H1014)=0,1,SUM(H980)/SUM(H1014)))</f>
        <v/>
      </c>
      <c r="U1014" s="1450" t="str">
        <f t="shared" ref="U1014" si="1577">IF($E1014="","",IF(IFERROR(SUM($S1014)=0,SUM(I1014)),SUM(I1014),SUM(I961)*SUM($S1014))*IF(SUM(I1014)=0,1,SUM(I980)/SUM(I1014)))</f>
        <v/>
      </c>
      <c r="V1014" s="1450" t="str">
        <f t="shared" ref="V1014" si="1578">IF($E1014="","",IF(IFERROR(SUM($S1014)=0,SUM(J1014)),SUM(J1014),SUM(J961)*SUM($S1014))*IF(SUM(J1014)=0,1,SUM(J980)/SUM(J1014)))</f>
        <v/>
      </c>
      <c r="W1014" s="1450" t="str">
        <f t="shared" ref="W1014" si="1579">IF($E1014="","",IF(IFERROR(SUM($S1014)=0,SUM(K1014)),SUM(K1014),SUM(K961)*SUM($S1014))*IF(SUM(K1014)=0,1,SUM(K980)/SUM(K1014)))</f>
        <v/>
      </c>
      <c r="X1014" s="1450" t="str">
        <f t="shared" ref="X1014" si="1580">IF($E1014="","",IF(IFERROR(SUM($S1014)=0,SUM(L1014)),SUM(L1014),SUM(L961)*SUM($S1014))*IF(SUM(L1014)=0,1,SUM(L980)/SUM(L1014)))</f>
        <v/>
      </c>
      <c r="Y1014" s="1450" t="str">
        <f t="shared" ref="Y1014" si="1581">IF($E1014="","",IF(IFERROR(SUM($S1014)=0,SUM(M1014)),SUM(M1014),SUM(M961)*SUM($S1014))*IF(SUM(M1014)=0,1,SUM(M980)/SUM(M1014)))</f>
        <v/>
      </c>
      <c r="Z1014" s="1451" t="str">
        <f t="shared" ref="Z1014" si="1582">IF($E1014="","",IF(IFERROR(SUM($S1014)=0,SUM(N1014)),SUM(N1014),SUM(N961)*SUM($S1014))*IF(SUM(N1014)=0,1,SUM(N980)/SUM(N1014)))</f>
        <v/>
      </c>
      <c r="AA1014" s="694"/>
      <c r="AB1014" s="1431">
        <f t="shared" ref="AB1014:AI1014" si="1583">AB998</f>
        <v>2</v>
      </c>
      <c r="AC1014" s="1432">
        <f t="shared" si="1583"/>
        <v>2</v>
      </c>
      <c r="AD1014" s="1432">
        <f t="shared" si="1583"/>
        <v>2</v>
      </c>
      <c r="AE1014" s="1432">
        <f t="shared" si="1583"/>
        <v>2</v>
      </c>
      <c r="AF1014" s="1432">
        <f t="shared" si="1583"/>
        <v>2</v>
      </c>
      <c r="AG1014" s="1432">
        <f t="shared" si="1583"/>
        <v>2</v>
      </c>
      <c r="AH1014" s="1432">
        <f t="shared" si="1583"/>
        <v>2</v>
      </c>
      <c r="AI1014" s="1452">
        <f t="shared" si="1583"/>
        <v>2</v>
      </c>
      <c r="AJ1014" s="343"/>
      <c r="AK1014" s="1174" t="s">
        <v>2039</v>
      </c>
      <c r="AL1014" s="1176" t="str">
        <f>IF(AND(CNTR_ExistSubInstEntries,COUNTIFS(AB1014:AI1014,2,G1014:N1014,"")&gt;0),EUconst_Error&amp;"FB"&amp;Q939,"")</f>
        <v/>
      </c>
      <c r="AM1014" s="343"/>
    </row>
    <row r="1015" spans="1:39" ht="12.75" hidden="1" customHeight="1" x14ac:dyDescent="0.25">
      <c r="A1015" s="729" t="s">
        <v>312</v>
      </c>
      <c r="B1015" s="698"/>
      <c r="C1015" s="2906"/>
      <c r="D1015" s="990">
        <v>6</v>
      </c>
      <c r="E1015" s="1430" t="str">
        <f t="shared" si="1538"/>
        <v/>
      </c>
      <c r="F1015" s="1448" t="str">
        <f t="shared" si="1539"/>
        <v>TJ</v>
      </c>
      <c r="G1015" s="1470" t="str">
        <f t="shared" ref="G1015:N1015" si="1584">IF(OR($E1015="",AB1015=0),"",SUM(G981,G999))</f>
        <v/>
      </c>
      <c r="H1015" s="1469" t="str">
        <f t="shared" si="1584"/>
        <v/>
      </c>
      <c r="I1015" s="1470" t="str">
        <f t="shared" si="1584"/>
        <v/>
      </c>
      <c r="J1015" s="1469" t="str">
        <f t="shared" si="1584"/>
        <v/>
      </c>
      <c r="K1015" s="1127" t="str">
        <f t="shared" si="1584"/>
        <v/>
      </c>
      <c r="L1015" s="1127" t="str">
        <f t="shared" si="1584"/>
        <v/>
      </c>
      <c r="M1015" s="1127" t="str">
        <f t="shared" si="1584"/>
        <v/>
      </c>
      <c r="N1015" s="1127" t="str">
        <f t="shared" si="1584"/>
        <v/>
      </c>
      <c r="O1015" s="302"/>
      <c r="P1015" s="158"/>
      <c r="Q1015" s="694"/>
      <c r="R1015" s="694"/>
      <c r="S1015" s="1449" t="str">
        <f>IF($M905&lt;&gt;EUconst_Relevant,"",
IF($V905&gt;($J$1840-3),
              IF(INDEX(H962:N962,MATCH($V905,$T1009:$Z1009,0))=0,0,INDEX(H1015:N1015,MATCH($V905,$T1009:$Z1009,0))/INDEX(H962:N962,MATCH($V905,$T1009:$Z1009,0))),
                             IF(ISNUMBER(G962),
                                            IF(OR(G962=0,$S946=FALSE),0,G1015/G962),"")))</f>
        <v/>
      </c>
      <c r="T1015" s="1450" t="str">
        <f t="shared" ref="T1015" si="1585">IF($E1015="","",IF(IFERROR(SUM($S1015)=0,SUM(H1015)),SUM(H1015),SUM(H962)*SUM($S1015))*IF(SUM(H1015)=0,1,SUM(H981)/SUM(H1015)))</f>
        <v/>
      </c>
      <c r="U1015" s="1450" t="str">
        <f t="shared" ref="U1015" si="1586">IF($E1015="","",IF(IFERROR(SUM($S1015)=0,SUM(I1015)),SUM(I1015),SUM(I962)*SUM($S1015))*IF(SUM(I1015)=0,1,SUM(I981)/SUM(I1015)))</f>
        <v/>
      </c>
      <c r="V1015" s="1450" t="str">
        <f t="shared" ref="V1015" si="1587">IF($E1015="","",IF(IFERROR(SUM($S1015)=0,SUM(J1015)),SUM(J1015),SUM(J962)*SUM($S1015))*IF(SUM(J1015)=0,1,SUM(J981)/SUM(J1015)))</f>
        <v/>
      </c>
      <c r="W1015" s="1450" t="str">
        <f t="shared" ref="W1015" si="1588">IF($E1015="","",IF(IFERROR(SUM($S1015)=0,SUM(K1015)),SUM(K1015),SUM(K962)*SUM($S1015))*IF(SUM(K1015)=0,1,SUM(K981)/SUM(K1015)))</f>
        <v/>
      </c>
      <c r="X1015" s="1450" t="str">
        <f t="shared" ref="X1015" si="1589">IF($E1015="","",IF(IFERROR(SUM($S1015)=0,SUM(L1015)),SUM(L1015),SUM(L962)*SUM($S1015))*IF(SUM(L1015)=0,1,SUM(L981)/SUM(L1015)))</f>
        <v/>
      </c>
      <c r="Y1015" s="1450" t="str">
        <f t="shared" ref="Y1015" si="1590">IF($E1015="","",IF(IFERROR(SUM($S1015)=0,SUM(M1015)),SUM(M1015),SUM(M962)*SUM($S1015))*IF(SUM(M1015)=0,1,SUM(M981)/SUM(M1015)))</f>
        <v/>
      </c>
      <c r="Z1015" s="1451" t="str">
        <f t="shared" ref="Z1015" si="1591">IF($E1015="","",IF(IFERROR(SUM($S1015)=0,SUM(N1015)),SUM(N1015),SUM(N962)*SUM($S1015))*IF(SUM(N1015)=0,1,SUM(N981)/SUM(N1015)))</f>
        <v/>
      </c>
      <c r="AA1015" s="694"/>
      <c r="AB1015" s="1431">
        <f t="shared" ref="AB1015:AI1015" si="1592">AB999</f>
        <v>2</v>
      </c>
      <c r="AC1015" s="1432">
        <f t="shared" si="1592"/>
        <v>2</v>
      </c>
      <c r="AD1015" s="1432">
        <f t="shared" si="1592"/>
        <v>2</v>
      </c>
      <c r="AE1015" s="1432">
        <f t="shared" si="1592"/>
        <v>2</v>
      </c>
      <c r="AF1015" s="1432">
        <f t="shared" si="1592"/>
        <v>2</v>
      </c>
      <c r="AG1015" s="1432">
        <f t="shared" si="1592"/>
        <v>2</v>
      </c>
      <c r="AH1015" s="1432">
        <f t="shared" si="1592"/>
        <v>2</v>
      </c>
      <c r="AI1015" s="1452">
        <f t="shared" si="1592"/>
        <v>2</v>
      </c>
      <c r="AJ1015" s="343"/>
      <c r="AK1015" s="1174" t="s">
        <v>2039</v>
      </c>
      <c r="AL1015" s="1176" t="str">
        <f>IF(AND(CNTR_ExistSubInstEntries,COUNTIFS(AB1015:AI1015,2,G1015:N1015,"")&gt;0),EUconst_Error&amp;"FB"&amp;Q939,"")</f>
        <v/>
      </c>
      <c r="AM1015" s="343"/>
    </row>
    <row r="1016" spans="1:39" ht="12.75" hidden="1" customHeight="1" x14ac:dyDescent="0.25">
      <c r="A1016" s="729" t="s">
        <v>312</v>
      </c>
      <c r="B1016" s="698"/>
      <c r="C1016" s="2906"/>
      <c r="D1016" s="990">
        <v>7</v>
      </c>
      <c r="E1016" s="1430" t="str">
        <f t="shared" si="1538"/>
        <v/>
      </c>
      <c r="F1016" s="1448" t="str">
        <f t="shared" si="1539"/>
        <v>TJ</v>
      </c>
      <c r="G1016" s="1470" t="str">
        <f t="shared" ref="G1016:N1016" si="1593">IF(OR($E1016="",AB1016=0),"",SUM(G982,G1000))</f>
        <v/>
      </c>
      <c r="H1016" s="1469" t="str">
        <f t="shared" si="1593"/>
        <v/>
      </c>
      <c r="I1016" s="1470" t="str">
        <f t="shared" si="1593"/>
        <v/>
      </c>
      <c r="J1016" s="1469" t="str">
        <f t="shared" si="1593"/>
        <v/>
      </c>
      <c r="K1016" s="1127" t="str">
        <f t="shared" si="1593"/>
        <v/>
      </c>
      <c r="L1016" s="1127" t="str">
        <f t="shared" si="1593"/>
        <v/>
      </c>
      <c r="M1016" s="1127" t="str">
        <f t="shared" si="1593"/>
        <v/>
      </c>
      <c r="N1016" s="1127" t="str">
        <f t="shared" si="1593"/>
        <v/>
      </c>
      <c r="O1016" s="302"/>
      <c r="P1016" s="158"/>
      <c r="Q1016" s="694"/>
      <c r="R1016" s="694"/>
      <c r="S1016" s="1449" t="str">
        <f>IF($M905&lt;&gt;EUconst_Relevant,"",
IF($V905&gt;($J$1840-3),
              IF(INDEX(H963:N963,MATCH($V905,$T1009:$Z1009,0))=0,0,INDEX(H1016:N1016,MATCH($V905,$T1009:$Z1009,0))/INDEX(H963:N963,MATCH($V905,$T1009:$Z1009,0))),
                             IF(ISNUMBER(G963),
                                            IF(OR(G963=0,$S947=FALSE),0,G1016/G963),"")))</f>
        <v/>
      </c>
      <c r="T1016" s="1450" t="str">
        <f t="shared" ref="T1016" si="1594">IF($E1016="","",IF(IFERROR(SUM($S1016)=0,SUM(H1016)),SUM(H1016),SUM(H963)*SUM($S1016))*IF(SUM(H1016)=0,1,SUM(H982)/SUM(H1016)))</f>
        <v/>
      </c>
      <c r="U1016" s="1450" t="str">
        <f t="shared" ref="U1016" si="1595">IF($E1016="","",IF(IFERROR(SUM($S1016)=0,SUM(I1016)),SUM(I1016),SUM(I963)*SUM($S1016))*IF(SUM(I1016)=0,1,SUM(I982)/SUM(I1016)))</f>
        <v/>
      </c>
      <c r="V1016" s="1450" t="str">
        <f t="shared" ref="V1016" si="1596">IF($E1016="","",IF(IFERROR(SUM($S1016)=0,SUM(J1016)),SUM(J1016),SUM(J963)*SUM($S1016))*IF(SUM(J1016)=0,1,SUM(J982)/SUM(J1016)))</f>
        <v/>
      </c>
      <c r="W1016" s="1450" t="str">
        <f t="shared" ref="W1016" si="1597">IF($E1016="","",IF(IFERROR(SUM($S1016)=0,SUM(K1016)),SUM(K1016),SUM(K963)*SUM($S1016))*IF(SUM(K1016)=0,1,SUM(K982)/SUM(K1016)))</f>
        <v/>
      </c>
      <c r="X1016" s="1450" t="str">
        <f t="shared" ref="X1016" si="1598">IF($E1016="","",IF(IFERROR(SUM($S1016)=0,SUM(L1016)),SUM(L1016),SUM(L963)*SUM($S1016))*IF(SUM(L1016)=0,1,SUM(L982)/SUM(L1016)))</f>
        <v/>
      </c>
      <c r="Y1016" s="1450" t="str">
        <f t="shared" ref="Y1016" si="1599">IF($E1016="","",IF(IFERROR(SUM($S1016)=0,SUM(M1016)),SUM(M1016),SUM(M963)*SUM($S1016))*IF(SUM(M1016)=0,1,SUM(M982)/SUM(M1016)))</f>
        <v/>
      </c>
      <c r="Z1016" s="1451" t="str">
        <f t="shared" ref="Z1016" si="1600">IF($E1016="","",IF(IFERROR(SUM($S1016)=0,SUM(N1016)),SUM(N1016),SUM(N963)*SUM($S1016))*IF(SUM(N1016)=0,1,SUM(N982)/SUM(N1016)))</f>
        <v/>
      </c>
      <c r="AA1016" s="694"/>
      <c r="AB1016" s="1431">
        <f t="shared" ref="AB1016:AI1016" si="1601">AB1000</f>
        <v>2</v>
      </c>
      <c r="AC1016" s="1432">
        <f t="shared" si="1601"/>
        <v>2</v>
      </c>
      <c r="AD1016" s="1432">
        <f t="shared" si="1601"/>
        <v>2</v>
      </c>
      <c r="AE1016" s="1432">
        <f t="shared" si="1601"/>
        <v>2</v>
      </c>
      <c r="AF1016" s="1432">
        <f t="shared" si="1601"/>
        <v>2</v>
      </c>
      <c r="AG1016" s="1432">
        <f t="shared" si="1601"/>
        <v>2</v>
      </c>
      <c r="AH1016" s="1432">
        <f t="shared" si="1601"/>
        <v>2</v>
      </c>
      <c r="AI1016" s="1452">
        <f t="shared" si="1601"/>
        <v>2</v>
      </c>
      <c r="AJ1016" s="343"/>
      <c r="AK1016" s="1174" t="s">
        <v>2039</v>
      </c>
      <c r="AL1016" s="1176" t="str">
        <f>IF(AND(CNTR_ExistSubInstEntries,COUNTIFS(AB1016:AI1016,2,G1016:N1016,"")&gt;0),EUconst_Error&amp;"FB"&amp;Q939,"")</f>
        <v/>
      </c>
      <c r="AM1016" s="343"/>
    </row>
    <row r="1017" spans="1:39" ht="12.75" hidden="1" customHeight="1" x14ac:dyDescent="0.25">
      <c r="A1017" s="729" t="s">
        <v>312</v>
      </c>
      <c r="B1017" s="698"/>
      <c r="C1017" s="2906"/>
      <c r="D1017" s="990">
        <v>8</v>
      </c>
      <c r="E1017" s="1430" t="str">
        <f t="shared" si="1538"/>
        <v/>
      </c>
      <c r="F1017" s="1448" t="str">
        <f t="shared" si="1539"/>
        <v>TJ</v>
      </c>
      <c r="G1017" s="1470" t="str">
        <f t="shared" ref="G1017:N1017" si="1602">IF(OR($E1017="",AB1017=0),"",SUM(G983,G1001))</f>
        <v/>
      </c>
      <c r="H1017" s="1469" t="str">
        <f t="shared" si="1602"/>
        <v/>
      </c>
      <c r="I1017" s="1470" t="str">
        <f t="shared" si="1602"/>
        <v/>
      </c>
      <c r="J1017" s="1469" t="str">
        <f t="shared" si="1602"/>
        <v/>
      </c>
      <c r="K1017" s="1127" t="str">
        <f t="shared" si="1602"/>
        <v/>
      </c>
      <c r="L1017" s="1127" t="str">
        <f t="shared" si="1602"/>
        <v/>
      </c>
      <c r="M1017" s="1127" t="str">
        <f t="shared" si="1602"/>
        <v/>
      </c>
      <c r="N1017" s="1127" t="str">
        <f t="shared" si="1602"/>
        <v/>
      </c>
      <c r="O1017" s="302"/>
      <c r="P1017" s="158"/>
      <c r="Q1017" s="694"/>
      <c r="R1017" s="694"/>
      <c r="S1017" s="1449" t="str">
        <f>IF($M905&lt;&gt;EUconst_Relevant,"",
IF($V905&gt;($J$1840-3),
              IF(INDEX(H964:N964,MATCH($V905,$T1009:$Z1009,0))=0,0,INDEX(H1017:N1017,MATCH($V905,$T1009:$Z1009,0))/INDEX(H964:N964,MATCH($V905,$T1009:$Z1009,0))),
                             IF(ISNUMBER(G964),
                                            IF(OR(G964=0,$S948=FALSE),0,G1017/G964),"")))</f>
        <v/>
      </c>
      <c r="T1017" s="1450" t="str">
        <f t="shared" ref="T1017" si="1603">IF($E1017="","",IF(IFERROR(SUM($S1017)=0,SUM(H1017)),SUM(H1017),SUM(H964)*SUM($S1017))*IF(SUM(H1017)=0,1,SUM(H983)/SUM(H1017)))</f>
        <v/>
      </c>
      <c r="U1017" s="1450" t="str">
        <f t="shared" ref="U1017" si="1604">IF($E1017="","",IF(IFERROR(SUM($S1017)=0,SUM(I1017)),SUM(I1017),SUM(I964)*SUM($S1017))*IF(SUM(I1017)=0,1,SUM(I983)/SUM(I1017)))</f>
        <v/>
      </c>
      <c r="V1017" s="1450" t="str">
        <f t="shared" ref="V1017" si="1605">IF($E1017="","",IF(IFERROR(SUM($S1017)=0,SUM(J1017)),SUM(J1017),SUM(J964)*SUM($S1017))*IF(SUM(J1017)=0,1,SUM(J983)/SUM(J1017)))</f>
        <v/>
      </c>
      <c r="W1017" s="1450" t="str">
        <f t="shared" ref="W1017" si="1606">IF($E1017="","",IF(IFERROR(SUM($S1017)=0,SUM(K1017)),SUM(K1017),SUM(K964)*SUM($S1017))*IF(SUM(K1017)=0,1,SUM(K983)/SUM(K1017)))</f>
        <v/>
      </c>
      <c r="X1017" s="1450" t="str">
        <f t="shared" ref="X1017" si="1607">IF($E1017="","",IF(IFERROR(SUM($S1017)=0,SUM(L1017)),SUM(L1017),SUM(L964)*SUM($S1017))*IF(SUM(L1017)=0,1,SUM(L983)/SUM(L1017)))</f>
        <v/>
      </c>
      <c r="Y1017" s="1450" t="str">
        <f t="shared" ref="Y1017" si="1608">IF($E1017="","",IF(IFERROR(SUM($S1017)=0,SUM(M1017)),SUM(M1017),SUM(M964)*SUM($S1017))*IF(SUM(M1017)=0,1,SUM(M983)/SUM(M1017)))</f>
        <v/>
      </c>
      <c r="Z1017" s="1451" t="str">
        <f t="shared" ref="Z1017" si="1609">IF($E1017="","",IF(IFERROR(SUM($S1017)=0,SUM(N1017)),SUM(N1017),SUM(N964)*SUM($S1017))*IF(SUM(N1017)=0,1,SUM(N983)/SUM(N1017)))</f>
        <v/>
      </c>
      <c r="AA1017" s="694"/>
      <c r="AB1017" s="1431">
        <f t="shared" ref="AB1017:AI1017" si="1610">AB1001</f>
        <v>2</v>
      </c>
      <c r="AC1017" s="1432">
        <f t="shared" si="1610"/>
        <v>2</v>
      </c>
      <c r="AD1017" s="1432">
        <f t="shared" si="1610"/>
        <v>2</v>
      </c>
      <c r="AE1017" s="1432">
        <f t="shared" si="1610"/>
        <v>2</v>
      </c>
      <c r="AF1017" s="1432">
        <f t="shared" si="1610"/>
        <v>2</v>
      </c>
      <c r="AG1017" s="1432">
        <f t="shared" si="1610"/>
        <v>2</v>
      </c>
      <c r="AH1017" s="1432">
        <f t="shared" si="1610"/>
        <v>2</v>
      </c>
      <c r="AI1017" s="1452">
        <f t="shared" si="1610"/>
        <v>2</v>
      </c>
      <c r="AJ1017" s="343"/>
      <c r="AK1017" s="1174" t="s">
        <v>2039</v>
      </c>
      <c r="AL1017" s="1176" t="str">
        <f>IF(AND(CNTR_ExistSubInstEntries,COUNTIFS(AB1017:AI1017,2,G1017:N1017,"")&gt;0),EUconst_Error&amp;"FB"&amp;Q939,"")</f>
        <v/>
      </c>
      <c r="AM1017" s="343"/>
    </row>
    <row r="1018" spans="1:39" ht="12.75" hidden="1" customHeight="1" x14ac:dyDescent="0.25">
      <c r="A1018" s="729" t="s">
        <v>312</v>
      </c>
      <c r="B1018" s="698"/>
      <c r="C1018" s="2906"/>
      <c r="D1018" s="990">
        <v>9</v>
      </c>
      <c r="E1018" s="1430" t="str">
        <f t="shared" si="1538"/>
        <v/>
      </c>
      <c r="F1018" s="1448" t="str">
        <f t="shared" si="1539"/>
        <v>TJ</v>
      </c>
      <c r="G1018" s="1470" t="str">
        <f t="shared" ref="G1018:N1018" si="1611">IF(OR($E1018="",AB1018=0),"",SUM(G984,G1002))</f>
        <v/>
      </c>
      <c r="H1018" s="1469" t="str">
        <f t="shared" si="1611"/>
        <v/>
      </c>
      <c r="I1018" s="1470" t="str">
        <f t="shared" si="1611"/>
        <v/>
      </c>
      <c r="J1018" s="1469" t="str">
        <f t="shared" si="1611"/>
        <v/>
      </c>
      <c r="K1018" s="1127" t="str">
        <f t="shared" si="1611"/>
        <v/>
      </c>
      <c r="L1018" s="1127" t="str">
        <f t="shared" si="1611"/>
        <v/>
      </c>
      <c r="M1018" s="1127" t="str">
        <f t="shared" si="1611"/>
        <v/>
      </c>
      <c r="N1018" s="1127" t="str">
        <f t="shared" si="1611"/>
        <v/>
      </c>
      <c r="O1018" s="302"/>
      <c r="P1018" s="158"/>
      <c r="Q1018" s="694"/>
      <c r="R1018" s="694"/>
      <c r="S1018" s="1449" t="str">
        <f>IF($M905&lt;&gt;EUconst_Relevant,"",
IF($V905&gt;($J$1840-3),
              IF(INDEX(H965:N965,MATCH($V905,$T1009:$Z1009,0))=0,0,INDEX(H1018:N1018,MATCH($V905,$T1009:$Z1009,0))/INDEX(H965:N965,MATCH($V905,$T1009:$Z1009,0))),
                             IF(ISNUMBER(G965),
                                            IF(OR(G965=0,$S949=FALSE),0,G1018/G965),"")))</f>
        <v/>
      </c>
      <c r="T1018" s="1450" t="str">
        <f t="shared" ref="T1018" si="1612">IF($E1018="","",IF(IFERROR(SUM($S1018)=0,SUM(H1018)),SUM(H1018),SUM(H965)*SUM($S1018))*IF(SUM(H1018)=0,1,SUM(H984)/SUM(H1018)))</f>
        <v/>
      </c>
      <c r="U1018" s="1450" t="str">
        <f t="shared" ref="U1018" si="1613">IF($E1018="","",IF(IFERROR(SUM($S1018)=0,SUM(I1018)),SUM(I1018),SUM(I965)*SUM($S1018))*IF(SUM(I1018)=0,1,SUM(I984)/SUM(I1018)))</f>
        <v/>
      </c>
      <c r="V1018" s="1450" t="str">
        <f t="shared" ref="V1018" si="1614">IF($E1018="","",IF(IFERROR(SUM($S1018)=0,SUM(J1018)),SUM(J1018),SUM(J965)*SUM($S1018))*IF(SUM(J1018)=0,1,SUM(J984)/SUM(J1018)))</f>
        <v/>
      </c>
      <c r="W1018" s="1450" t="str">
        <f t="shared" ref="W1018" si="1615">IF($E1018="","",IF(IFERROR(SUM($S1018)=0,SUM(K1018)),SUM(K1018),SUM(K965)*SUM($S1018))*IF(SUM(K1018)=0,1,SUM(K984)/SUM(K1018)))</f>
        <v/>
      </c>
      <c r="X1018" s="1450" t="str">
        <f t="shared" ref="X1018" si="1616">IF($E1018="","",IF(IFERROR(SUM($S1018)=0,SUM(L1018)),SUM(L1018),SUM(L965)*SUM($S1018))*IF(SUM(L1018)=0,1,SUM(L984)/SUM(L1018)))</f>
        <v/>
      </c>
      <c r="Y1018" s="1450" t="str">
        <f t="shared" ref="Y1018" si="1617">IF($E1018="","",IF(IFERROR(SUM($S1018)=0,SUM(M1018)),SUM(M1018),SUM(M965)*SUM($S1018))*IF(SUM(M1018)=0,1,SUM(M984)/SUM(M1018)))</f>
        <v/>
      </c>
      <c r="Z1018" s="1451" t="str">
        <f t="shared" ref="Z1018" si="1618">IF($E1018="","",IF(IFERROR(SUM($S1018)=0,SUM(N1018)),SUM(N1018),SUM(N965)*SUM($S1018))*IF(SUM(N1018)=0,1,SUM(N984)/SUM(N1018)))</f>
        <v/>
      </c>
      <c r="AA1018" s="694"/>
      <c r="AB1018" s="1431">
        <f t="shared" ref="AB1018:AI1018" si="1619">AB1002</f>
        <v>2</v>
      </c>
      <c r="AC1018" s="1432">
        <f t="shared" si="1619"/>
        <v>2</v>
      </c>
      <c r="AD1018" s="1432">
        <f t="shared" si="1619"/>
        <v>2</v>
      </c>
      <c r="AE1018" s="1432">
        <f t="shared" si="1619"/>
        <v>2</v>
      </c>
      <c r="AF1018" s="1432">
        <f t="shared" si="1619"/>
        <v>2</v>
      </c>
      <c r="AG1018" s="1432">
        <f t="shared" si="1619"/>
        <v>2</v>
      </c>
      <c r="AH1018" s="1432">
        <f t="shared" si="1619"/>
        <v>2</v>
      </c>
      <c r="AI1018" s="1452">
        <f t="shared" si="1619"/>
        <v>2</v>
      </c>
      <c r="AJ1018" s="343"/>
      <c r="AK1018" s="1174" t="s">
        <v>2039</v>
      </c>
      <c r="AL1018" s="1176" t="str">
        <f>IF(AND(CNTR_ExistSubInstEntries,COUNTIFS(AB1018:AI1018,2,G1018:N1018,"")&gt;0),EUconst_Error&amp;"FB"&amp;Q939,"")</f>
        <v/>
      </c>
      <c r="AM1018" s="343"/>
    </row>
    <row r="1019" spans="1:39" ht="12.75" hidden="1" customHeight="1" thickBot="1" x14ac:dyDescent="0.3">
      <c r="A1019" s="729" t="s">
        <v>312</v>
      </c>
      <c r="B1019" s="698"/>
      <c r="C1019" s="2906"/>
      <c r="D1019" s="994">
        <v>10</v>
      </c>
      <c r="E1019" s="1435" t="str">
        <f t="shared" si="1538"/>
        <v/>
      </c>
      <c r="F1019" s="1453" t="str">
        <f t="shared" si="1539"/>
        <v>TJ</v>
      </c>
      <c r="G1019" s="1471" t="str">
        <f t="shared" ref="G1019:N1019" si="1620">IF(OR($E1019="",AB1019=0),"",SUM(G985,G1003))</f>
        <v/>
      </c>
      <c r="H1019" s="1472" t="str">
        <f t="shared" si="1620"/>
        <v/>
      </c>
      <c r="I1019" s="1471" t="str">
        <f t="shared" si="1620"/>
        <v/>
      </c>
      <c r="J1019" s="1472" t="str">
        <f t="shared" si="1620"/>
        <v/>
      </c>
      <c r="K1019" s="1128" t="str">
        <f t="shared" si="1620"/>
        <v/>
      </c>
      <c r="L1019" s="1128" t="str">
        <f t="shared" si="1620"/>
        <v/>
      </c>
      <c r="M1019" s="1128" t="str">
        <f t="shared" si="1620"/>
        <v/>
      </c>
      <c r="N1019" s="1128" t="str">
        <f t="shared" si="1620"/>
        <v/>
      </c>
      <c r="O1019" s="302"/>
      <c r="P1019" s="158"/>
      <c r="Q1019" s="694"/>
      <c r="R1019" s="694"/>
      <c r="S1019" s="1454" t="str">
        <f>IF($M905&lt;&gt;EUconst_Relevant,"",
IF($V905&gt;($J$1840-3),
              IF(INDEX(H966:N966,MATCH($V905,$T1009:$Z1009,0))=0,0,INDEX(H1019:N1019,MATCH($V905,$T1009:$Z1009,0))/INDEX(H966:N966,MATCH($V905,$T1009:$Z1009,0))),
                             IF(ISNUMBER(G966),
                                            IF(OR(G966=0,$S950=FALSE),0,G1019/G966),"")))</f>
        <v/>
      </c>
      <c r="T1019" s="1473" t="str">
        <f t="shared" ref="T1019" si="1621">IF($E1019="","",IF(IFERROR(SUM($S1019)=0,SUM(H1019)),SUM(H1019),SUM(H966)*SUM($S1019))*IF(SUM(H1019)=0,1,SUM(H985)/SUM(H1019)))</f>
        <v/>
      </c>
      <c r="U1019" s="1473" t="str">
        <f t="shared" ref="U1019" si="1622">IF($E1019="","",IF(IFERROR(SUM($S1019)=0,SUM(I1019)),SUM(I1019),SUM(I966)*SUM($S1019))*IF(SUM(I1019)=0,1,SUM(I985)/SUM(I1019)))</f>
        <v/>
      </c>
      <c r="V1019" s="1473" t="str">
        <f t="shared" ref="V1019" si="1623">IF($E1019="","",IF(IFERROR(SUM($S1019)=0,SUM(J1019)),SUM(J1019),SUM(J966)*SUM($S1019))*IF(SUM(J1019)=0,1,SUM(J985)/SUM(J1019)))</f>
        <v/>
      </c>
      <c r="W1019" s="1473" t="str">
        <f t="shared" ref="W1019" si="1624">IF($E1019="","",IF(IFERROR(SUM($S1019)=0,SUM(K1019)),SUM(K1019),SUM(K966)*SUM($S1019))*IF(SUM(K1019)=0,1,SUM(K985)/SUM(K1019)))</f>
        <v/>
      </c>
      <c r="X1019" s="1473" t="str">
        <f t="shared" ref="X1019" si="1625">IF($E1019="","",IF(IFERROR(SUM($S1019)=0,SUM(L1019)),SUM(L1019),SUM(L966)*SUM($S1019))*IF(SUM(L1019)=0,1,SUM(L985)/SUM(L1019)))</f>
        <v/>
      </c>
      <c r="Y1019" s="1473" t="str">
        <f t="shared" ref="Y1019" si="1626">IF($E1019="","",IF(IFERROR(SUM($S1019)=0,SUM(M1019)),SUM(M1019),SUM(M966)*SUM($S1019))*IF(SUM(M1019)=0,1,SUM(M985)/SUM(M1019)))</f>
        <v/>
      </c>
      <c r="Z1019" s="1474" t="str">
        <f t="shared" ref="Z1019" si="1627">IF($E1019="","",IF(IFERROR(SUM($S1019)=0,SUM(N1019)),SUM(N1019),SUM(N966)*SUM($S1019))*IF(SUM(N1019)=0,1,SUM(N985)/SUM(N1019)))</f>
        <v/>
      </c>
      <c r="AA1019" s="694"/>
      <c r="AB1019" s="1436">
        <f t="shared" ref="AB1019:AI1019" si="1628">AB1003</f>
        <v>2</v>
      </c>
      <c r="AC1019" s="1437">
        <f t="shared" si="1628"/>
        <v>2</v>
      </c>
      <c r="AD1019" s="1437">
        <f t="shared" si="1628"/>
        <v>2</v>
      </c>
      <c r="AE1019" s="1437">
        <f t="shared" si="1628"/>
        <v>2</v>
      </c>
      <c r="AF1019" s="1437">
        <f t="shared" si="1628"/>
        <v>2</v>
      </c>
      <c r="AG1019" s="1437">
        <f t="shared" si="1628"/>
        <v>2</v>
      </c>
      <c r="AH1019" s="1437">
        <f t="shared" si="1628"/>
        <v>2</v>
      </c>
      <c r="AI1019" s="1457">
        <f t="shared" si="1628"/>
        <v>2</v>
      </c>
      <c r="AJ1019" s="343"/>
      <c r="AK1019" s="1174" t="s">
        <v>2039</v>
      </c>
      <c r="AL1019" s="1176" t="str">
        <f>IF(AND(CNTR_ExistSubInstEntries,COUNTIFS(AB1019:AI1019,2,G1019:N1019,"")&gt;0),EUconst_Error&amp;"FB"&amp;Q939,"")</f>
        <v/>
      </c>
      <c r="AM1019" s="343"/>
    </row>
    <row r="1020" spans="1:39" ht="12.75" hidden="1" customHeight="1" thickBot="1" x14ac:dyDescent="0.3">
      <c r="A1020" s="729" t="s">
        <v>312</v>
      </c>
      <c r="B1020" s="698"/>
      <c r="C1020" s="2906"/>
      <c r="D1020" s="1293"/>
      <c r="E1020" s="1458" t="str">
        <f>Translations!$B$1338</f>
        <v>Общо потребление</v>
      </c>
      <c r="F1020" s="1453" t="str">
        <f t="shared" si="1539"/>
        <v>TJ</v>
      </c>
      <c r="G1020" s="1296" t="str">
        <f t="shared" ref="G1020:N1020" si="1629">IF(COUNT(G1010:G1019)&gt;0,SUMIF($S941:$S950,TRUE,G1010:G1019),"")</f>
        <v/>
      </c>
      <c r="H1020" s="1297" t="str">
        <f t="shared" si="1629"/>
        <v/>
      </c>
      <c r="I1020" s="1296" t="str">
        <f t="shared" si="1629"/>
        <v/>
      </c>
      <c r="J1020" s="1297" t="str">
        <f t="shared" si="1629"/>
        <v/>
      </c>
      <c r="K1020" s="1104" t="str">
        <f t="shared" si="1629"/>
        <v/>
      </c>
      <c r="L1020" s="1104" t="str">
        <f t="shared" si="1629"/>
        <v/>
      </c>
      <c r="M1020" s="1104" t="str">
        <f t="shared" si="1629"/>
        <v/>
      </c>
      <c r="N1020" s="1104" t="str">
        <f t="shared" si="1629"/>
        <v/>
      </c>
      <c r="O1020" s="302"/>
      <c r="P1020" s="336"/>
      <c r="Q1020" s="694"/>
      <c r="R1020" s="694"/>
      <c r="S1020" s="1174" t="s">
        <v>2147</v>
      </c>
      <c r="T1020" s="1459">
        <f>IFERROR(SUM(T1010:T1019),"")</f>
        <v>0</v>
      </c>
      <c r="U1020" s="1460">
        <f t="shared" ref="U1020:Z1020" si="1630">IFERROR(SUM(U1010:U1019),"")</f>
        <v>0</v>
      </c>
      <c r="V1020" s="1460">
        <f t="shared" si="1630"/>
        <v>0</v>
      </c>
      <c r="W1020" s="1460">
        <f t="shared" si="1630"/>
        <v>0</v>
      </c>
      <c r="X1020" s="1460">
        <f t="shared" si="1630"/>
        <v>0</v>
      </c>
      <c r="Y1020" s="1460">
        <f t="shared" si="1630"/>
        <v>0</v>
      </c>
      <c r="Z1020" s="1461">
        <f t="shared" si="1630"/>
        <v>0</v>
      </c>
      <c r="AA1020" s="694"/>
      <c r="AB1020" s="729"/>
      <c r="AC1020" s="694"/>
      <c r="AD1020" s="694"/>
      <c r="AE1020" s="343"/>
      <c r="AF1020" s="343"/>
      <c r="AG1020" s="343"/>
      <c r="AH1020" s="343"/>
      <c r="AI1020" s="343"/>
      <c r="AJ1020" s="343"/>
      <c r="AK1020" s="343"/>
      <c r="AL1020" s="343"/>
      <c r="AM1020" s="343"/>
    </row>
    <row r="1021" spans="1:39" ht="12.75" hidden="1" customHeight="1" x14ac:dyDescent="0.25">
      <c r="A1021" s="729" t="s">
        <v>312</v>
      </c>
      <c r="B1021" s="698"/>
      <c r="C1021" s="2906"/>
      <c r="D1021" s="1462"/>
      <c r="E1021" s="1463" t="str">
        <f>Translations!$B$1339</f>
        <v>Дял от a)</v>
      </c>
      <c r="F1021" s="1464" t="str">
        <f t="shared" si="1539"/>
        <v>TJ</v>
      </c>
      <c r="G1021" s="184" t="str">
        <f>IF(COUNT(I921,G1020)=2,IF(I921=0,1,G1020/I921),"")</f>
        <v/>
      </c>
      <c r="H1021" s="185" t="str">
        <f t="shared" ref="H1021:N1021" si="1631">IF(COUNT(H913,H1020)=2,IF(H913=0,1,H1020/H913),"")</f>
        <v/>
      </c>
      <c r="I1021" s="186" t="str">
        <f t="shared" si="1631"/>
        <v/>
      </c>
      <c r="J1021" s="185" t="str">
        <f t="shared" si="1631"/>
        <v/>
      </c>
      <c r="K1021" s="187" t="str">
        <f t="shared" si="1631"/>
        <v/>
      </c>
      <c r="L1021" s="187" t="str">
        <f t="shared" si="1631"/>
        <v/>
      </c>
      <c r="M1021" s="187" t="str">
        <f t="shared" si="1631"/>
        <v/>
      </c>
      <c r="N1021" s="187" t="str">
        <f t="shared" si="1631"/>
        <v/>
      </c>
      <c r="O1021" s="302"/>
      <c r="P1021" s="336"/>
      <c r="Q1021" s="694"/>
      <c r="R1021" s="694"/>
      <c r="S1021" s="729"/>
      <c r="T1021" s="694"/>
      <c r="U1021" s="694"/>
      <c r="V1021" s="694"/>
      <c r="W1021" s="694"/>
      <c r="X1021" s="694"/>
      <c r="Y1021" s="694"/>
      <c r="Z1021" s="694"/>
      <c r="AA1021" s="694"/>
      <c r="AB1021" s="729"/>
      <c r="AC1021" s="694"/>
      <c r="AD1021" s="694"/>
      <c r="AE1021" s="343"/>
      <c r="AF1021" s="343"/>
      <c r="AG1021" s="343"/>
      <c r="AH1021" s="343"/>
      <c r="AI1021" s="343"/>
      <c r="AJ1021" s="343"/>
      <c r="AK1021" s="343"/>
      <c r="AL1021" s="343"/>
      <c r="AM1021" s="343"/>
    </row>
    <row r="1022" spans="1:39" ht="5.15" hidden="1" customHeight="1" x14ac:dyDescent="0.25">
      <c r="A1022" s="729" t="s">
        <v>312</v>
      </c>
      <c r="B1022" s="698"/>
      <c r="C1022" s="284"/>
      <c r="D1022" s="284"/>
      <c r="E1022" s="284"/>
      <c r="F1022" s="284"/>
      <c r="G1022" s="284"/>
      <c r="H1022" s="284"/>
      <c r="I1022" s="284"/>
      <c r="J1022" s="284"/>
      <c r="K1022" s="284"/>
      <c r="L1022" s="284"/>
      <c r="M1022" s="284"/>
      <c r="N1022" s="284"/>
      <c r="O1022" s="302"/>
      <c r="P1022" s="336"/>
      <c r="Q1022" s="694"/>
      <c r="R1022" s="694"/>
      <c r="S1022" s="694"/>
      <c r="T1022" s="694"/>
      <c r="U1022" s="694"/>
      <c r="V1022" s="694"/>
      <c r="W1022" s="694"/>
      <c r="X1022" s="694"/>
      <c r="Y1022" s="694"/>
      <c r="Z1022" s="729"/>
      <c r="AA1022" s="729"/>
      <c r="AB1022" s="729"/>
      <c r="AC1022" s="694"/>
      <c r="AD1022" s="694"/>
      <c r="AE1022" s="343"/>
      <c r="AF1022" s="343"/>
      <c r="AG1022" s="343"/>
      <c r="AH1022" s="343"/>
      <c r="AI1022" s="343"/>
      <c r="AJ1022" s="343"/>
      <c r="AK1022" s="343"/>
      <c r="AL1022" s="343"/>
      <c r="AM1022" s="343"/>
    </row>
    <row r="1023" spans="1:39" ht="12.75" customHeight="1" x14ac:dyDescent="0.25">
      <c r="A1023" s="729"/>
      <c r="B1023" s="284"/>
      <c r="C1023" s="300"/>
      <c r="D1023" s="300" t="s">
        <v>1831</v>
      </c>
      <c r="E1023" s="2226" t="str">
        <f>Translations!$B$1545</f>
        <v>Очаквани равнища на дейност</v>
      </c>
      <c r="F1023" s="2249"/>
      <c r="G1023" s="2249"/>
      <c r="H1023" s="2249"/>
      <c r="I1023" s="2249"/>
      <c r="J1023" s="2249"/>
      <c r="K1023" s="2249"/>
      <c r="L1023" s="2249"/>
      <c r="M1023" s="2249"/>
      <c r="N1023" s="2249"/>
      <c r="O1023" s="302"/>
      <c r="P1023" s="336"/>
      <c r="Q1023" s="770"/>
      <c r="R1023" s="694"/>
      <c r="S1023" s="694"/>
      <c r="T1023" s="694"/>
      <c r="U1023" s="694"/>
      <c r="V1023" s="694"/>
      <c r="W1023" s="694"/>
      <c r="X1023" s="694"/>
      <c r="Y1023" s="694"/>
      <c r="Z1023" s="694"/>
      <c r="AA1023" s="694"/>
      <c r="AB1023" s="729"/>
      <c r="AC1023" s="694"/>
      <c r="AD1023" s="694"/>
      <c r="AE1023" s="343"/>
      <c r="AF1023" s="343"/>
      <c r="AG1023" s="343"/>
      <c r="AH1023" s="343"/>
      <c r="AI1023" s="343"/>
      <c r="AJ1023" s="343"/>
      <c r="AK1023" s="343"/>
      <c r="AL1023" s="343"/>
      <c r="AM1023" s="343"/>
    </row>
    <row r="1024" spans="1:39" ht="12.75" customHeight="1" x14ac:dyDescent="0.25">
      <c r="A1024" s="729"/>
      <c r="B1024" s="698"/>
      <c r="C1024" s="284"/>
      <c r="D1024" s="284"/>
      <c r="E1024" s="2358" t="str">
        <f>Translations!$B$1340</f>
        <v>Конкретното енергопотребление се определя в съответствие с раздел 6.1 от Ръководен документ 7 за стойности, отговарящи на критериите по буква б.1) по-горе.</v>
      </c>
      <c r="F1024" s="2358"/>
      <c r="G1024" s="2358"/>
      <c r="H1024" s="2358"/>
      <c r="I1024" s="2358"/>
      <c r="J1024" s="2358"/>
      <c r="K1024" s="2358"/>
      <c r="L1024" s="2358"/>
      <c r="M1024" s="2358"/>
      <c r="N1024" s="2358"/>
      <c r="O1024" s="302"/>
      <c r="P1024" s="336"/>
      <c r="Q1024" s="694"/>
      <c r="R1024" s="694"/>
      <c r="S1024" s="694"/>
      <c r="T1024" s="694"/>
      <c r="U1024" s="694"/>
      <c r="V1024" s="694"/>
      <c r="W1024" s="694"/>
      <c r="X1024" s="694"/>
      <c r="Y1024" s="694"/>
      <c r="Z1024" s="729"/>
      <c r="AA1024" s="729"/>
      <c r="AB1024" s="729"/>
      <c r="AC1024" s="694"/>
      <c r="AD1024" s="694"/>
      <c r="AE1024" s="343"/>
      <c r="AF1024" s="343"/>
      <c r="AG1024" s="343"/>
      <c r="AH1024" s="343"/>
      <c r="AI1024" s="343"/>
      <c r="AJ1024" s="343"/>
      <c r="AK1024" s="343"/>
      <c r="AL1024" s="343"/>
      <c r="AM1024" s="343"/>
    </row>
    <row r="1025" spans="1:39" ht="5.15" customHeight="1" thickBot="1" x14ac:dyDescent="0.3">
      <c r="A1025" s="729"/>
      <c r="B1025" s="698"/>
      <c r="C1025" s="698"/>
      <c r="D1025" s="698"/>
      <c r="E1025" s="698"/>
      <c r="F1025" s="698"/>
      <c r="G1025" s="698"/>
      <c r="H1025" s="698"/>
      <c r="I1025" s="1025"/>
      <c r="J1025" s="698"/>
      <c r="K1025" s="698"/>
      <c r="L1025" s="698"/>
      <c r="M1025" s="698"/>
      <c r="N1025" s="698"/>
      <c r="O1025" s="302"/>
      <c r="P1025" s="336"/>
      <c r="Q1025" s="1263"/>
      <c r="R1025" s="694"/>
      <c r="S1025" s="729"/>
      <c r="T1025" s="729"/>
      <c r="U1025" s="694"/>
      <c r="V1025" s="694"/>
      <c r="W1025" s="694"/>
      <c r="X1025" s="694"/>
      <c r="Y1025" s="694"/>
      <c r="Z1025" s="694"/>
      <c r="AA1025" s="694"/>
      <c r="AB1025" s="729"/>
      <c r="AC1025" s="694"/>
      <c r="AD1025" s="694"/>
      <c r="AE1025" s="694"/>
      <c r="AF1025" s="694"/>
      <c r="AG1025" s="694"/>
      <c r="AH1025" s="694"/>
      <c r="AI1025" s="694"/>
      <c r="AJ1025" s="694"/>
      <c r="AK1025" s="694"/>
      <c r="AL1025" s="694"/>
      <c r="AM1025" s="343"/>
    </row>
    <row r="1026" spans="1:39" ht="5.15" customHeight="1" thickBot="1" x14ac:dyDescent="0.3">
      <c r="A1026" s="729"/>
      <c r="B1026" s="698"/>
      <c r="C1026" s="698"/>
      <c r="D1026" s="1475"/>
      <c r="E1026" s="1476"/>
      <c r="F1026" s="1476"/>
      <c r="G1026" s="1476"/>
      <c r="H1026" s="1476"/>
      <c r="I1026" s="1477"/>
      <c r="J1026" s="1476"/>
      <c r="K1026" s="1476"/>
      <c r="L1026" s="1476"/>
      <c r="M1026" s="1476"/>
      <c r="N1026" s="1478"/>
      <c r="O1026" s="302"/>
      <c r="P1026" s="336"/>
      <c r="Q1026" s="1263"/>
      <c r="R1026" s="694"/>
      <c r="S1026" s="729"/>
      <c r="T1026" s="729"/>
      <c r="U1026" s="694"/>
      <c r="V1026" s="694"/>
      <c r="W1026" s="694"/>
      <c r="X1026" s="694"/>
      <c r="Y1026" s="694"/>
      <c r="Z1026" s="694"/>
      <c r="AA1026" s="694"/>
      <c r="AB1026" s="729"/>
      <c r="AC1026" s="694"/>
      <c r="AD1026" s="694"/>
      <c r="AE1026" s="694"/>
      <c r="AF1026" s="694"/>
      <c r="AG1026" s="694"/>
      <c r="AH1026" s="694"/>
      <c r="AI1026" s="694"/>
      <c r="AJ1026" s="694"/>
      <c r="AK1026" s="694"/>
      <c r="AL1026" s="694"/>
      <c r="AM1026" s="343"/>
    </row>
    <row r="1027" spans="1:39" ht="12.75" customHeight="1" x14ac:dyDescent="0.25">
      <c r="A1027" s="729"/>
      <c r="B1027" s="298"/>
      <c r="C1027" s="698"/>
      <c r="D1027" s="1217"/>
      <c r="E1027" s="1198" t="str">
        <f>Translations!$B$1546</f>
        <v>Корекции: Промени в ефективността</v>
      </c>
      <c r="F1027" s="1199"/>
      <c r="G1027" s="1199"/>
      <c r="H1027" s="1200" t="str">
        <f>EUconst_Unit</f>
        <v>Единица мярка</v>
      </c>
      <c r="I1027" s="1201" t="str">
        <f>Translations!$B$1336</f>
        <v>Стойност в НМИ</v>
      </c>
      <c r="J1027" s="1202">
        <f>J$1840</f>
        <v>2026</v>
      </c>
      <c r="K1027" s="1203">
        <f>K$1840</f>
        <v>2027</v>
      </c>
      <c r="L1027" s="1203">
        <f>L$1840</f>
        <v>2028</v>
      </c>
      <c r="M1027" s="1203">
        <f>M$1840</f>
        <v>2029</v>
      </c>
      <c r="N1027" s="1479">
        <f>N$1840</f>
        <v>2030</v>
      </c>
      <c r="O1027" s="302"/>
      <c r="P1027" s="336"/>
      <c r="Q1027" s="729"/>
      <c r="R1027" s="694"/>
      <c r="S1027" s="694"/>
      <c r="T1027" s="694"/>
      <c r="U1027" s="1205"/>
      <c r="V1027" s="1206">
        <f>J1027</f>
        <v>2026</v>
      </c>
      <c r="W1027" s="1206">
        <f>K1027</f>
        <v>2027</v>
      </c>
      <c r="X1027" s="1206">
        <f>L1027</f>
        <v>2028</v>
      </c>
      <c r="Y1027" s="1206">
        <f>M1027</f>
        <v>2029</v>
      </c>
      <c r="Z1027" s="1207">
        <f>N1027</f>
        <v>2030</v>
      </c>
      <c r="AA1027" s="694"/>
      <c r="AB1027" s="729"/>
      <c r="AC1027" s="694"/>
      <c r="AD1027" s="694"/>
      <c r="AE1027" s="694"/>
      <c r="AF1027" s="694"/>
      <c r="AG1027" s="694"/>
      <c r="AH1027" s="694"/>
      <c r="AI1027" s="694"/>
      <c r="AJ1027" s="694"/>
      <c r="AK1027" s="694"/>
      <c r="AL1027" s="694"/>
      <c r="AM1027" s="343"/>
    </row>
    <row r="1028" spans="1:39" ht="12.75" customHeight="1" x14ac:dyDescent="0.25">
      <c r="A1028" s="729"/>
      <c r="B1028" s="298"/>
      <c r="C1028" s="698"/>
      <c r="D1028" s="1208" t="s">
        <v>6</v>
      </c>
      <c r="E1028" s="2889" t="str">
        <f>Translations!$B$1547</f>
        <v>Промяна в равнището на дейност &gt; 15 %?</v>
      </c>
      <c r="F1028" s="2889"/>
      <c r="G1028" s="2889"/>
      <c r="H1028" s="2889"/>
      <c r="I1028" s="2890"/>
      <c r="J1028" s="1480" t="str">
        <f>V922</f>
        <v/>
      </c>
      <c r="K1028" s="1481" t="str">
        <f>W922</f>
        <v/>
      </c>
      <c r="L1028" s="1481" t="str">
        <f>X922</f>
        <v/>
      </c>
      <c r="M1028" s="1481" t="str">
        <f>Y922</f>
        <v/>
      </c>
      <c r="N1028" s="1482" t="str">
        <f>Z922</f>
        <v/>
      </c>
      <c r="O1028" s="302"/>
      <c r="P1028" s="336"/>
      <c r="Q1028" s="729"/>
      <c r="R1028" s="694"/>
      <c r="S1028" s="694"/>
      <c r="T1028" s="694"/>
      <c r="U1028" s="1231"/>
      <c r="V1028" s="1483"/>
      <c r="W1028" s="1483"/>
      <c r="X1028" s="1483"/>
      <c r="Y1028" s="1483"/>
      <c r="Z1028" s="1484"/>
      <c r="AA1028" s="694"/>
      <c r="AB1028" s="729"/>
      <c r="AC1028" s="694"/>
      <c r="AD1028" s="694"/>
      <c r="AE1028" s="694"/>
      <c r="AF1028" s="694"/>
      <c r="AG1028" s="694"/>
      <c r="AH1028" s="694"/>
      <c r="AI1028" s="694"/>
      <c r="AJ1028" s="694"/>
      <c r="AK1028" s="694"/>
      <c r="AL1028" s="694"/>
      <c r="AM1028" s="343"/>
    </row>
    <row r="1029" spans="1:39" ht="12.75" customHeight="1" x14ac:dyDescent="0.25">
      <c r="A1029" s="729"/>
      <c r="B1029" s="298"/>
      <c r="C1029" s="698"/>
      <c r="D1029" s="1208" t="s">
        <v>7</v>
      </c>
      <c r="E1029" s="2889" t="str">
        <f>Translations!$B$1548</f>
        <v>Средна стойност на очакваното равнище на дейност</v>
      </c>
      <c r="F1029" s="2889"/>
      <c r="G1029" s="2889"/>
      <c r="H1029" s="1485" t="str">
        <f>G913</f>
        <v>TJ</v>
      </c>
      <c r="I1029" s="1486" t="str">
        <f>IF(M905&lt;&gt;EUconst_Relevant,"",I921)</f>
        <v/>
      </c>
      <c r="J1029" s="1480" t="str">
        <f>IF(AND(V1029&gt;=3,COUNT(T1020:U1020)=2),IF(CNTR_ReportingYear&gt;J1027-1,IF(J1028,IF(COUNTA(H976:I985)=0,J924,AVERAGE(T1020:U1020)),$I1032),""),"")</f>
        <v/>
      </c>
      <c r="K1029" s="1481" t="str">
        <f>IF(AND(W1029&gt;=3,COUNT(U1020:V1020)=2),IF(CNTR_ReportingYear&gt;K1027-1,IF(K1028,IF(COUNTA(I976:J985)=0,K924,AVERAGE(U1020:V1020)),$I1032),""),"")</f>
        <v/>
      </c>
      <c r="L1029" s="1481" t="str">
        <f>IF(AND(X1029&gt;=3,COUNT(V1020:W1020)=2),IF(CNTR_ReportingYear&gt;L1027-1,IF(L1028,IF(COUNTA(J976:K985)=0,L924,AVERAGE(V1020:W1020)),$I1032),""),"")</f>
        <v/>
      </c>
      <c r="M1029" s="1481" t="str">
        <f>IF(AND(Y1029&gt;=3,COUNT(W1020:X1020)=2),IF(CNTR_ReportingYear&gt;M1027-1,IF(M1028,IF(COUNTA(K976:L985)=0,M924,AVERAGE(W1020:X1020)),$I1032),""),"")</f>
        <v/>
      </c>
      <c r="N1029" s="1482" t="str">
        <f>IF(AND(Z1029&gt;=3,COUNT(X1020:Y1020)=2),IF(CNTR_ReportingYear&gt;N1027-1,IF(N1028,IF(COUNTA(L976:M985)=0,N924,AVERAGE(X1020:Y1020)),$I1032),""),"")</f>
        <v/>
      </c>
      <c r="O1029" s="302"/>
      <c r="P1029" s="336"/>
      <c r="Q1029" s="1270"/>
      <c r="R1029" s="694"/>
      <c r="S1029" s="694"/>
      <c r="T1029" s="694"/>
      <c r="U1029" s="1365" t="s">
        <v>1710</v>
      </c>
      <c r="V1029" s="834">
        <f>V921</f>
        <v>0</v>
      </c>
      <c r="W1029" s="834">
        <f>W921</f>
        <v>0</v>
      </c>
      <c r="X1029" s="834">
        <f>X921</f>
        <v>0</v>
      </c>
      <c r="Y1029" s="834">
        <f>Y921</f>
        <v>0</v>
      </c>
      <c r="Z1029" s="1403">
        <f>Z921</f>
        <v>0</v>
      </c>
      <c r="AA1029" s="694"/>
      <c r="AB1029" s="729"/>
      <c r="AC1029" s="694"/>
      <c r="AD1029" s="694"/>
      <c r="AE1029" s="694"/>
      <c r="AF1029" s="694"/>
      <c r="AG1029" s="694"/>
      <c r="AH1029" s="694"/>
      <c r="AI1029" s="694"/>
      <c r="AJ1029" s="694"/>
      <c r="AK1029" s="694"/>
      <c r="AL1029" s="694"/>
      <c r="AM1029" s="343"/>
    </row>
    <row r="1030" spans="1:39" ht="12.75" customHeight="1" x14ac:dyDescent="0.25">
      <c r="A1030" s="729"/>
      <c r="B1030" s="298"/>
      <c r="C1030" s="698"/>
      <c r="D1030" s="1208" t="s">
        <v>8</v>
      </c>
      <c r="E1030" s="2893" t="str">
        <f>Translations!$B$1376</f>
        <v>Промяна в сравнение с HAL</v>
      </c>
      <c r="F1030" s="2894"/>
      <c r="G1030" s="2894"/>
      <c r="H1030" s="2894"/>
      <c r="I1030" s="2895"/>
      <c r="J1030" s="232" t="str">
        <f>IF(J1029="","",IF(SUM($I1032)=0,IF(J1029=0,0%,100%),J1029/$I1032-1))</f>
        <v/>
      </c>
      <c r="K1030" s="233" t="str">
        <f t="shared" ref="K1030:N1030" si="1632">IF(K1029="","",IF(SUM($I1032)=0,IF(K1029=0,0%,100%),K1029/$I1032-1))</f>
        <v/>
      </c>
      <c r="L1030" s="233" t="str">
        <f t="shared" si="1632"/>
        <v/>
      </c>
      <c r="M1030" s="233" t="str">
        <f t="shared" si="1632"/>
        <v/>
      </c>
      <c r="N1030" s="234" t="str">
        <f t="shared" si="1632"/>
        <v/>
      </c>
      <c r="O1030" s="302"/>
      <c r="P1030" s="209"/>
      <c r="Q1030" s="1190" t="str">
        <f>EUconst_CNTR_EnEffPct&amp;I905</f>
        <v>EnEffPct_Подинсталация с горивен показател (с риск от ИВЕ | извън МКВЕГ)</v>
      </c>
      <c r="R1030" s="694"/>
      <c r="S1030" s="694"/>
      <c r="T1030" s="694"/>
      <c r="U1030" s="1365" t="s">
        <v>1715</v>
      </c>
      <c r="V1030" s="727" t="str">
        <f>IF(J1029="","",ABS(J1030)&gt;15%)</f>
        <v/>
      </c>
      <c r="W1030" s="727" t="str">
        <f>IF(K1029="","",ABS(K1030)&gt;15%)</f>
        <v/>
      </c>
      <c r="X1030" s="727" t="str">
        <f>IF(L1029="","",ABS(L1030)&gt;15%)</f>
        <v/>
      </c>
      <c r="Y1030" s="727" t="str">
        <f>IF(M1029="","",ABS(M1030)&gt;15%)</f>
        <v/>
      </c>
      <c r="Z1030" s="1221" t="str">
        <f>IF(N1029="","",ABS(N1030)&gt;15%)</f>
        <v/>
      </c>
      <c r="AA1030" s="694"/>
      <c r="AB1030" s="729"/>
      <c r="AC1030" s="694"/>
      <c r="AD1030" s="694"/>
      <c r="AE1030" s="694"/>
      <c r="AF1030" s="694"/>
      <c r="AG1030" s="694"/>
      <c r="AH1030" s="694"/>
      <c r="AI1030" s="694"/>
      <c r="AJ1030" s="694"/>
      <c r="AK1030" s="694"/>
      <c r="AL1030" s="694"/>
      <c r="AM1030" s="343"/>
    </row>
    <row r="1031" spans="1:39" ht="12.75" customHeight="1" x14ac:dyDescent="0.25">
      <c r="A1031" s="729"/>
      <c r="B1031" s="298"/>
      <c r="C1031" s="698"/>
      <c r="D1031" s="1208" t="s">
        <v>18</v>
      </c>
      <c r="E1031" s="2896" t="str">
        <f>Translations!$B$1322</f>
        <v>Предварителна корекция (ако са надвишени относителните прагове)</v>
      </c>
      <c r="F1031" s="2897"/>
      <c r="G1031" s="2897"/>
      <c r="H1031" s="2897"/>
      <c r="I1031" s="2898"/>
      <c r="J1031" s="235" t="str">
        <f>IF(J1029="","",IF(OR(V922=FALSE,V1030=FALSE),0%,IF(V1031,J1030,I1031)))</f>
        <v/>
      </c>
      <c r="K1031" s="236" t="str">
        <f>IF(K1029="","",IF(OR(W922=FALSE,W1030=FALSE),0%,IF(W1031,K1030,J1031)))</f>
        <v/>
      </c>
      <c r="L1031" s="236" t="str">
        <f>IF(L1029="","",IF(OR(X922=FALSE,X1030=FALSE),0%,IF(X1031,L1030,K1031)))</f>
        <v/>
      </c>
      <c r="M1031" s="236" t="str">
        <f>IF(M1029="","",IF(OR(Y922=FALSE,Y1030=FALSE),0%,IF(Y1031,M1030,L1031)))</f>
        <v/>
      </c>
      <c r="N1031" s="237" t="str">
        <f>IF(N1029="","",IF(OR(Z922=FALSE,Z1030=FALSE),0%,IF(Z1031,N1030,M1031)))</f>
        <v/>
      </c>
      <c r="O1031" s="302"/>
      <c r="P1031" s="209"/>
      <c r="Q1031" s="729"/>
      <c r="R1031" s="694"/>
      <c r="S1031" s="694"/>
      <c r="T1031" s="694"/>
      <c r="U1031" s="1365" t="s">
        <v>1716</v>
      </c>
      <c r="V1031" s="727" t="str">
        <f>IF(J1029="","",AND(V922,IF(SUM(I1040)&lt;0,OR(SUM(J1030)&lt;SUM(I1040)-MOD(SUM(I1040),5%),J1030&gt;=SUM(I1040)+5%-MOD(SUM(I1040),5%)),OR(SUM(J1030)&lt;=SUM(I1040)-MOD(SUM(I1040),5%),SUM(J1030)&gt;SUM(I1040)+5%-MOD(SUM(I1040),5%)))))</f>
        <v/>
      </c>
      <c r="W1031" s="727" t="str">
        <f>IF(K1029="","",AND(W922,IF(SUM(J1040)&lt;0,OR(SUM(K1030)&lt;SUM(J1040)-MOD(SUM(J1040),5%),K1030&gt;=SUM(J1040)+5%-MOD(SUM(J1040),5%)),OR(SUM(K1030)&lt;=SUM(J1040)-MOD(SUM(J1040),5%),SUM(K1030)&gt;SUM(J1040)+5%-MOD(SUM(J1040),5%)))))</f>
        <v/>
      </c>
      <c r="X1031" s="727" t="str">
        <f>IF(L1029="","",AND(X922,IF(SUM(K1040)&lt;0,OR(SUM(L1030)&lt;SUM(K1040)-MOD(SUM(K1040),5%),L1030&gt;=SUM(K1040)+5%-MOD(SUM(K1040),5%)),OR(SUM(L1030)&lt;=SUM(K1040)-MOD(SUM(K1040),5%),SUM(L1030)&gt;SUM(K1040)+5%-MOD(SUM(K1040),5%)))))</f>
        <v/>
      </c>
      <c r="Y1031" s="727" t="str">
        <f>IF(M1029="","",AND(Y922,IF(SUM(L1040)&lt;0,OR(SUM(M1030)&lt;SUM(L1040)-MOD(SUM(L1040),5%),M1030&gt;=SUM(L1040)+5%-MOD(SUM(L1040),5%)),OR(SUM(M1030)&lt;=SUM(L1040)-MOD(SUM(L1040),5%),SUM(M1030)&gt;SUM(L1040)+5%-MOD(SUM(L1040),5%)))))</f>
        <v/>
      </c>
      <c r="Z1031" s="1221" t="str">
        <f>IF(N1029="","",AND(Z922,IF(SUM(M1040)&lt;0,OR(SUM(N1030)&lt;SUM(M1040)-MOD(SUM(M1040),5%),N1030&gt;=SUM(M1040)+5%-MOD(SUM(M1040),5%)),OR(SUM(N1030)&lt;=SUM(M1040)-MOD(SUM(M1040),5%),SUM(N1030)&gt;SUM(M1040)+5%-MOD(SUM(M1040),5%)))))</f>
        <v/>
      </c>
      <c r="AA1031" s="694"/>
      <c r="AB1031" s="729"/>
      <c r="AC1031" s="694"/>
      <c r="AD1031" s="694"/>
      <c r="AE1031" s="694"/>
      <c r="AF1031" s="694"/>
      <c r="AG1031" s="694"/>
      <c r="AH1031" s="694"/>
      <c r="AI1031" s="694"/>
      <c r="AJ1031" s="694"/>
      <c r="AK1031" s="694"/>
      <c r="AL1031" s="694"/>
      <c r="AM1031" s="343"/>
    </row>
    <row r="1032" spans="1:39" ht="12.75" customHeight="1" x14ac:dyDescent="0.25">
      <c r="A1032" s="729"/>
      <c r="B1032" s="298"/>
      <c r="C1032" s="698"/>
      <c r="D1032" s="1208" t="s">
        <v>810</v>
      </c>
      <c r="E1032" s="2889" t="str">
        <f>Translations!$B$1377</f>
        <v>Предварителна стойност</v>
      </c>
      <c r="F1032" s="2889"/>
      <c r="G1032" s="2889"/>
      <c r="H1032" s="1485" t="str">
        <f>H1029</f>
        <v>TJ</v>
      </c>
      <c r="I1032" s="1487" t="str">
        <f>IF(M905&lt;&gt;EUconst_Relevant,"",IF(AB905=FALSE,EUconst_NA,IF(V905&gt;($J$1840-3),INDEX(T1020:Z1020,MATCH(V905,T1009:Z1009,0)),SUM(I1029))))</f>
        <v/>
      </c>
      <c r="J1032" s="1400" t="str">
        <f>IF($M905&lt;&gt;EUconst_Relevant,"",IF(V1029&lt;2,SUM(J924),IF(V1029&lt;3,SUM(I924),IF(V1032="",I1032,V1032))))</f>
        <v/>
      </c>
      <c r="K1032" s="1401" t="str">
        <f>IF($M905&lt;&gt;EUconst_Relevant,"",IF(W1029&lt;2,SUM(K924),IF(W1029&lt;3,SUM(J924),IF(W1032="",J1032,W1032))))</f>
        <v/>
      </c>
      <c r="L1032" s="1401" t="str">
        <f>IF($M905&lt;&gt;EUconst_Relevant,"",IF(X1029&lt;2,SUM(L924),IF(X1029&lt;3,SUM(K924),IF(X1032="",K1032,X1032))))</f>
        <v/>
      </c>
      <c r="M1032" s="1401" t="str">
        <f>IF($M905&lt;&gt;EUconst_Relevant,"",IF(Y1029&lt;2,SUM(M924),IF(Y1029&lt;3,SUM(L924),IF(Y1032="",L1032,Y1032))))</f>
        <v/>
      </c>
      <c r="N1032" s="1402" t="str">
        <f>IF($M905&lt;&gt;EUconst_Relevant,"",IF(Z1029&lt;2,SUM(N924),IF(Z1029&lt;3,SUM(M924),IF(Z1032="",M1032,Z1032))))</f>
        <v/>
      </c>
      <c r="O1032" s="302"/>
      <c r="P1032" s="336"/>
      <c r="Q1032" s="1270" t="str">
        <f>EUconst_CNTR_HALprelim&amp;I905</f>
        <v>HALprelim_Подинсталация с горивен показател (с риск от ИВЕ | извън МКВЕГ)</v>
      </c>
      <c r="R1032" s="694"/>
      <c r="S1032" s="694"/>
      <c r="T1032" s="694"/>
      <c r="U1032" s="1215" t="s">
        <v>1756</v>
      </c>
      <c r="V1032" s="1227" t="str">
        <f>IF(J1029="","",IF(CNTR_ReportingYear&lt;J1027,I1031,IF($I1032=0,J1029,$I1032*(1+J1031))))</f>
        <v/>
      </c>
      <c r="W1032" s="1227" t="str">
        <f>IF(K1029="","",IF(CNTR_ReportingYear&lt;K1027,J1031,IF($I1032=0,K1029,$I1032*(1+K1031))))</f>
        <v/>
      </c>
      <c r="X1032" s="1227" t="str">
        <f>IF(L1029="","",IF(CNTR_ReportingYear&lt;L1027,K1031,IF($I1032=0,L1029,$I1032*(1+L1031))))</f>
        <v/>
      </c>
      <c r="Y1032" s="1227" t="str">
        <f>IF(M1029="","",IF(CNTR_ReportingYear&lt;M1027,L1031,IF($I1032=0,M1029,$I1032*(1+M1031))))</f>
        <v/>
      </c>
      <c r="Z1032" s="1228" t="str">
        <f>IF(N1029="","",IF(CNTR_ReportingYear&lt;N1027,M1031,IF($I1032=0,N1029,$I1032*(1+N1031))))</f>
        <v/>
      </c>
      <c r="AA1032" s="694"/>
      <c r="AB1032" s="729"/>
      <c r="AC1032" s="694"/>
      <c r="AD1032" s="694"/>
      <c r="AE1032" s="694"/>
      <c r="AF1032" s="694"/>
      <c r="AG1032" s="694"/>
      <c r="AH1032" s="694"/>
      <c r="AI1032" s="694"/>
      <c r="AJ1032" s="694"/>
      <c r="AK1032" s="694"/>
      <c r="AL1032" s="694"/>
      <c r="AM1032" s="343"/>
    </row>
    <row r="1033" spans="1:39" ht="5.15" customHeight="1" x14ac:dyDescent="0.25">
      <c r="A1033" s="729"/>
      <c r="B1033" s="298"/>
      <c r="C1033" s="698"/>
      <c r="D1033" s="1217"/>
      <c r="E1033" s="1199"/>
      <c r="F1033" s="1199"/>
      <c r="G1033" s="1199"/>
      <c r="H1033" s="1199"/>
      <c r="I1033" s="1199"/>
      <c r="J1033" s="1199"/>
      <c r="K1033" s="1199"/>
      <c r="L1033" s="1199"/>
      <c r="M1033" s="1199"/>
      <c r="N1033" s="1238"/>
      <c r="O1033" s="302"/>
      <c r="P1033" s="336"/>
      <c r="Q1033" s="729"/>
      <c r="R1033" s="694"/>
      <c r="S1033" s="694"/>
      <c r="T1033" s="694"/>
      <c r="U1033" s="1231"/>
      <c r="V1033" s="711"/>
      <c r="W1033" s="711"/>
      <c r="X1033" s="711"/>
      <c r="Y1033" s="711"/>
      <c r="Z1033" s="1488"/>
      <c r="AA1033" s="694"/>
      <c r="AB1033" s="729"/>
      <c r="AC1033" s="694"/>
      <c r="AD1033" s="694"/>
      <c r="AE1033" s="343"/>
      <c r="AF1033" s="343"/>
      <c r="AG1033" s="343"/>
      <c r="AH1033" s="343"/>
      <c r="AI1033" s="343"/>
      <c r="AJ1033" s="343"/>
      <c r="AK1033" s="343"/>
      <c r="AL1033" s="343"/>
      <c r="AM1033" s="343"/>
    </row>
    <row r="1034" spans="1:39" ht="12.75" customHeight="1" x14ac:dyDescent="0.25">
      <c r="A1034" s="729"/>
      <c r="B1034" s="298"/>
      <c r="C1034" s="698"/>
      <c r="D1034" s="1197" t="s">
        <v>1961</v>
      </c>
      <c r="E1034" s="2886" t="str">
        <f>Translations!$B$1342</f>
        <v>Корекции: Абсолютен праг</v>
      </c>
      <c r="F1034" s="2887"/>
      <c r="G1034" s="2887"/>
      <c r="H1034" s="2887"/>
      <c r="I1034" s="2887"/>
      <c r="J1034" s="2887"/>
      <c r="K1034" s="2887"/>
      <c r="L1034" s="2887"/>
      <c r="M1034" s="2887"/>
      <c r="N1034" s="2888"/>
      <c r="O1034" s="302"/>
      <c r="P1034" s="336"/>
      <c r="Q1034" s="729"/>
      <c r="R1034" s="694"/>
      <c r="S1034" s="694"/>
      <c r="T1034" s="694"/>
      <c r="U1034" s="1231"/>
      <c r="V1034" s="729"/>
      <c r="W1034" s="694"/>
      <c r="X1034" s="694"/>
      <c r="Y1034" s="694"/>
      <c r="Z1034" s="1232"/>
      <c r="AA1034" s="694"/>
      <c r="AB1034" s="729"/>
      <c r="AC1034" s="694"/>
      <c r="AD1034" s="694"/>
      <c r="AE1034" s="343"/>
      <c r="AF1034" s="343"/>
      <c r="AG1034" s="343"/>
      <c r="AH1034" s="343"/>
      <c r="AI1034" s="343"/>
      <c r="AJ1034" s="343"/>
      <c r="AK1034" s="343"/>
      <c r="AL1034" s="343"/>
      <c r="AM1034" s="343"/>
    </row>
    <row r="1035" spans="1:39" ht="12.75" customHeight="1" x14ac:dyDescent="0.25">
      <c r="A1035" s="729"/>
      <c r="B1035" s="298"/>
      <c r="C1035" s="698"/>
      <c r="D1035" s="1217"/>
      <c r="E1035" s="1233" t="str">
        <f>Translations!$B$1343</f>
        <v>Абсолютен праг</v>
      </c>
      <c r="F1035" s="1233"/>
      <c r="G1035" s="1233"/>
      <c r="H1035" s="1233"/>
      <c r="I1035" s="1233"/>
      <c r="J1035" s="1202">
        <f>J$1840</f>
        <v>2026</v>
      </c>
      <c r="K1035" s="1203">
        <f>K$1840</f>
        <v>2027</v>
      </c>
      <c r="L1035" s="1203">
        <f>L$1840</f>
        <v>2028</v>
      </c>
      <c r="M1035" s="1203">
        <f>M$1840</f>
        <v>2029</v>
      </c>
      <c r="N1035" s="1479">
        <f>N$1840</f>
        <v>2030</v>
      </c>
      <c r="O1035" s="302"/>
      <c r="P1035" s="336"/>
      <c r="Q1035" s="729"/>
      <c r="R1035" s="694"/>
      <c r="S1035" s="694"/>
      <c r="T1035" s="694"/>
      <c r="U1035" s="1231"/>
      <c r="V1035" s="213"/>
      <c r="W1035" s="214" t="s">
        <v>2101</v>
      </c>
      <c r="X1035" s="215" t="str">
        <f>IF(OR($X905=0,$X905=""),"",MIN(1,1-(DATE($Z905,12,31)-$X905)/(DATE($Z905,12,31)-DATE($Z905,1,1)+1)))</f>
        <v/>
      </c>
      <c r="Y1035" s="1165"/>
      <c r="Z1035" s="1235"/>
      <c r="AA1035" s="694"/>
      <c r="AB1035" s="729"/>
      <c r="AC1035" s="694"/>
      <c r="AD1035" s="694"/>
      <c r="AE1035" s="343"/>
      <c r="AF1035" s="343"/>
      <c r="AG1035" s="343"/>
      <c r="AH1035" s="343"/>
      <c r="AI1035" s="343"/>
      <c r="AJ1035" s="343"/>
      <c r="AK1035" s="343"/>
      <c r="AL1035" s="343"/>
      <c r="AM1035" s="343"/>
    </row>
    <row r="1036" spans="1:39" ht="12.75" customHeight="1" x14ac:dyDescent="0.25">
      <c r="A1036" s="729"/>
      <c r="B1036" s="298"/>
      <c r="C1036" s="698"/>
      <c r="D1036" s="1217"/>
      <c r="E1036" s="2889" t="str">
        <f>Translations!$B$1515</f>
        <v>изпълнен ли е критерият за &gt;=300 квоти за емисии?</v>
      </c>
      <c r="F1036" s="2889"/>
      <c r="G1036" s="2889"/>
      <c r="H1036" s="2889"/>
      <c r="I1036" s="2890"/>
      <c r="J1036" s="1236" t="str">
        <f>IF($M905&lt;&gt;EUconst_Relevant,"",INDEX(K_Summary!J:J,MATCH($Q1036,K_Summary!$P:$P,0)))</f>
        <v/>
      </c>
      <c r="K1036" s="385" t="str">
        <f>IF($M905&lt;&gt;EUconst_Relevant,"",INDEX(K_Summary!K:K,MATCH($Q1036,K_Summary!$P:$P,0)))</f>
        <v/>
      </c>
      <c r="L1036" s="385" t="str">
        <f>IF($M905&lt;&gt;EUconst_Relevant,"",INDEX(K_Summary!L:L,MATCH($Q1036,K_Summary!$P:$P,0)))</f>
        <v/>
      </c>
      <c r="M1036" s="385" t="str">
        <f>IF($M905&lt;&gt;EUconst_Relevant,"",INDEX(K_Summary!M:M,MATCH($Q1036,K_Summary!$P:$P,0)))</f>
        <v/>
      </c>
      <c r="N1036" s="1237" t="str">
        <f>IF($M905&lt;&gt;EUconst_Relevant,"",INDEX(K_Summary!N:N,MATCH($Q1036,K_Summary!$P:$P,0)))</f>
        <v/>
      </c>
      <c r="O1036" s="302"/>
      <c r="P1036" s="336"/>
      <c r="Q1036" s="1190" t="str">
        <f>EUconst_CNTR_300EUA&amp;I905</f>
        <v>EUA300_Подинсталация с горивен показател (с риск от ИВЕ | извън МКВЕГ)</v>
      </c>
      <c r="R1036" s="694"/>
      <c r="S1036" s="694"/>
      <c r="T1036" s="694"/>
      <c r="U1036" s="1231"/>
      <c r="V1036" s="216">
        <f>IF(V1027=$Z905,$X1035,1)</f>
        <v>1</v>
      </c>
      <c r="W1036" s="216">
        <f>IF(W1027=$Z905,$X1035,1)</f>
        <v>1</v>
      </c>
      <c r="X1036" s="216">
        <f>IF(X1027=$Z905,$X1035,1)</f>
        <v>1</v>
      </c>
      <c r="Y1036" s="216">
        <f>IF(Y1027=$Z905,$X1035,1)</f>
        <v>1</v>
      </c>
      <c r="Z1036" s="217">
        <f>IF(Z1027=$Z905,$X1035,1)</f>
        <v>1</v>
      </c>
      <c r="AA1036" s="694"/>
      <c r="AB1036" s="729"/>
      <c r="AC1036" s="694"/>
      <c r="AD1036" s="694"/>
      <c r="AE1036" s="343"/>
      <c r="AF1036" s="343"/>
      <c r="AG1036" s="343"/>
      <c r="AH1036" s="343"/>
      <c r="AI1036" s="343"/>
      <c r="AJ1036" s="343"/>
      <c r="AK1036" s="343"/>
      <c r="AL1036" s="343"/>
      <c r="AM1036" s="343"/>
    </row>
    <row r="1037" spans="1:39" ht="5.15" customHeight="1" x14ac:dyDescent="0.25">
      <c r="A1037" s="729"/>
      <c r="B1037" s="298"/>
      <c r="C1037" s="698"/>
      <c r="D1037" s="1217"/>
      <c r="E1037" s="1199"/>
      <c r="F1037" s="1199"/>
      <c r="G1037" s="1199"/>
      <c r="H1037" s="1199"/>
      <c r="I1037" s="1199"/>
      <c r="J1037" s="1199"/>
      <c r="K1037" s="1199"/>
      <c r="L1037" s="1199"/>
      <c r="M1037" s="1199"/>
      <c r="N1037" s="1238"/>
      <c r="O1037" s="302"/>
      <c r="P1037" s="336"/>
      <c r="Q1037" s="729"/>
      <c r="R1037" s="694"/>
      <c r="S1037" s="694"/>
      <c r="T1037" s="694"/>
      <c r="U1037" s="1231"/>
      <c r="V1037" s="694"/>
      <c r="W1037" s="694"/>
      <c r="X1037" s="694"/>
      <c r="Y1037" s="694"/>
      <c r="Z1037" s="1232"/>
      <c r="AA1037" s="729"/>
      <c r="AB1037" s="729"/>
      <c r="AC1037" s="694"/>
      <c r="AD1037" s="694"/>
      <c r="AE1037" s="343"/>
      <c r="AF1037" s="343"/>
      <c r="AG1037" s="343"/>
      <c r="AH1037" s="343"/>
      <c r="AI1037" s="343"/>
      <c r="AJ1037" s="343"/>
      <c r="AK1037" s="343"/>
      <c r="AL1037" s="343"/>
      <c r="AM1037" s="343"/>
    </row>
    <row r="1038" spans="1:39" ht="12.75" customHeight="1" x14ac:dyDescent="0.25">
      <c r="A1038" s="729"/>
      <c r="B1038" s="298"/>
      <c r="C1038" s="698"/>
      <c r="D1038" s="1197" t="s">
        <v>2220</v>
      </c>
      <c r="E1038" s="2886" t="str">
        <f>Translations!$B$1549</f>
        <v>Определяне на корекциите на очакваното равнище на дейност, включително всякакви промени в ефективността</v>
      </c>
      <c r="F1038" s="2887"/>
      <c r="G1038" s="2887"/>
      <c r="H1038" s="2887"/>
      <c r="I1038" s="2887"/>
      <c r="J1038" s="2887"/>
      <c r="K1038" s="2887"/>
      <c r="L1038" s="2887"/>
      <c r="M1038" s="2887"/>
      <c r="N1038" s="2888"/>
      <c r="O1038" s="302"/>
      <c r="P1038" s="336"/>
      <c r="Q1038" s="729"/>
      <c r="R1038" s="694"/>
      <c r="S1038" s="694"/>
      <c r="T1038" s="694"/>
      <c r="U1038" s="1231"/>
      <c r="V1038" s="694"/>
      <c r="W1038" s="694"/>
      <c r="X1038" s="694"/>
      <c r="Y1038" s="694"/>
      <c r="Z1038" s="1232"/>
      <c r="AA1038" s="729"/>
      <c r="AB1038" s="729"/>
      <c r="AC1038" s="694"/>
      <c r="AD1038" s="694"/>
      <c r="AE1038" s="343"/>
      <c r="AF1038" s="343"/>
      <c r="AG1038" s="343"/>
      <c r="AH1038" s="343"/>
      <c r="AI1038" s="343"/>
      <c r="AJ1038" s="343"/>
      <c r="AK1038" s="343"/>
      <c r="AL1038" s="343"/>
      <c r="AM1038" s="343"/>
    </row>
    <row r="1039" spans="1:39" ht="12.75" customHeight="1" thickBot="1" x14ac:dyDescent="0.3">
      <c r="A1039" s="729"/>
      <c r="B1039" s="698"/>
      <c r="C1039" s="698"/>
      <c r="D1039" s="1489"/>
      <c r="E1039" s="2891" t="str">
        <f>Translations!$B$1550</f>
        <v>Това е крайният резултат, като се вземат предвид всички промени в ефективността, ако е приложимо.</v>
      </c>
      <c r="F1039" s="2887"/>
      <c r="G1039" s="2887"/>
      <c r="H1039" s="2887"/>
      <c r="I1039" s="2887"/>
      <c r="J1039" s="2887"/>
      <c r="K1039" s="2887"/>
      <c r="L1039" s="2887"/>
      <c r="M1039" s="2887"/>
      <c r="N1039" s="2888"/>
      <c r="O1039" s="336"/>
      <c r="P1039" s="336"/>
      <c r="Q1039" s="694"/>
      <c r="R1039" s="694"/>
      <c r="S1039" s="694"/>
      <c r="T1039" s="694"/>
      <c r="U1039" s="1231"/>
      <c r="V1039" s="694"/>
      <c r="W1039" s="694"/>
      <c r="X1039" s="694"/>
      <c r="Y1039" s="694"/>
      <c r="Z1039" s="1232"/>
      <c r="AA1039" s="729"/>
      <c r="AB1039" s="729"/>
      <c r="AC1039" s="694"/>
      <c r="AD1039" s="694"/>
      <c r="AE1039" s="343"/>
      <c r="AF1039" s="343"/>
      <c r="AG1039" s="343"/>
      <c r="AH1039" s="343"/>
      <c r="AI1039" s="343"/>
      <c r="AJ1039" s="343"/>
      <c r="AK1039" s="343"/>
      <c r="AL1039" s="343"/>
      <c r="AM1039" s="343"/>
    </row>
    <row r="1040" spans="1:39" ht="12.75" customHeight="1" thickBot="1" x14ac:dyDescent="0.3">
      <c r="A1040" s="729"/>
      <c r="B1040" s="298"/>
      <c r="C1040" s="698"/>
      <c r="D1040" s="1208"/>
      <c r="E1040" s="2889" t="str">
        <f>Translations!$B$1324</f>
        <v>Действителна корекция (ако са надвишени всички прагове)</v>
      </c>
      <c r="F1040" s="2889"/>
      <c r="G1040" s="2889"/>
      <c r="H1040" s="2889"/>
      <c r="I1040" s="1490"/>
      <c r="J1040" s="1240" t="str">
        <f>IF(J1036="","",IF(J1035&gt;$Z905,-100%,IFERROR((1+IF(OR(J1036,V1029&lt;1),J1031,IF(J1035=$Z905,SUM(I1040),I1040)))*V1036-1,"")))</f>
        <v/>
      </c>
      <c r="K1040" s="1241" t="str">
        <f>IF(K1036="","",IF(K1035&gt;$Z905,-100%,IFERROR((1+IF(OR(K1036,W1029&lt;1),K1031,IF(K1035=$Z905,SUM(J1040),J1040)))*W1036-1,"")))</f>
        <v/>
      </c>
      <c r="L1040" s="1241" t="str">
        <f>IF(L1036="","",IF(L1035&gt;$Z905,-100%,IFERROR((1+IF(OR(L1036,X1029&lt;1),L1031,IF(L1035=$Z905,SUM(K1040),K1040)))*X1036-1,"")))</f>
        <v/>
      </c>
      <c r="M1040" s="1241" t="str">
        <f>IF(M1036="","",IF(M1035&gt;$Z905,-100%,IFERROR((1+IF(OR(M1036,Y1029&lt;1),M1031,IF(M1035=$Z905,SUM(L1040),L1040)))*Y1036-1,"")))</f>
        <v/>
      </c>
      <c r="N1040" s="1242" t="str">
        <f>IF(N1036="","",IF(N1035&gt;$Z905,-100%,IFERROR((1+IF(OR(N1036,Z1029&lt;1),N1031,IF(N1035=$Z905,SUM(M1040),M1040)))*Z1036-1,"")))</f>
        <v/>
      </c>
      <c r="O1040" s="302"/>
      <c r="P1040" s="336"/>
      <c r="Q1040" s="1190" t="str">
        <f>EUconst_CNTR_HALAdjPct &amp; I905</f>
        <v>HALAdjPct_Подинсталация с горивен показател (с риск от ИВЕ | извън МКВЕГ)</v>
      </c>
      <c r="R1040" s="694"/>
      <c r="S1040" s="694"/>
      <c r="T1040" s="694"/>
      <c r="U1040" s="1231" t="s">
        <v>1718</v>
      </c>
      <c r="V1040" s="1243">
        <f>J1035</f>
        <v>2026</v>
      </c>
      <c r="W1040" s="1243">
        <f>K1035</f>
        <v>2027</v>
      </c>
      <c r="X1040" s="1243">
        <f>L1035</f>
        <v>2028</v>
      </c>
      <c r="Y1040" s="1243">
        <f>M1035</f>
        <v>2029</v>
      </c>
      <c r="Z1040" s="1244">
        <f>N1035</f>
        <v>2030</v>
      </c>
      <c r="AA1040" s="694"/>
      <c r="AB1040" s="729"/>
      <c r="AC1040" s="694"/>
      <c r="AD1040" s="694"/>
      <c r="AE1040" s="343"/>
      <c r="AF1040" s="343"/>
      <c r="AG1040" s="343"/>
      <c r="AH1040" s="343"/>
      <c r="AI1040" s="343"/>
      <c r="AJ1040" s="343"/>
      <c r="AK1040" s="343"/>
      <c r="AL1040" s="343"/>
      <c r="AM1040" s="343"/>
    </row>
    <row r="1041" spans="1:39" ht="12.75" customHeight="1" thickBot="1" x14ac:dyDescent="0.3">
      <c r="A1041" s="729"/>
      <c r="B1041" s="298"/>
      <c r="C1041" s="698"/>
      <c r="D1041" s="1217"/>
      <c r="E1041" s="2889" t="str">
        <f>Translations!$B$1551</f>
        <v>Действително очаквано равнище на дейност</v>
      </c>
      <c r="F1041" s="2892"/>
      <c r="G1041" s="2892"/>
      <c r="H1041" s="1210" t="str">
        <f>H921</f>
        <v>TJ</v>
      </c>
      <c r="I1041" s="1399" t="str">
        <f>I924</f>
        <v/>
      </c>
      <c r="J1041" s="661" t="str">
        <f>IF($M905&lt;&gt;EUconst_Relevant,"",IF(OR(J1040="",$I1041=0,$I1041=EUconst_NA),IF(OR(J1036=TRUE,J1035&lt;=$V905),J924,SUM(I1041)),$I1041*(1+SUM(J1040))))</f>
        <v/>
      </c>
      <c r="K1041" s="662" t="str">
        <f>IF($M905&lt;&gt;EUconst_Relevant,"",IF(OR(K1040="",$I1041=0,$I1041=EUconst_NA),IF(OR(K1036=TRUE,K1035&lt;=$V905),K924,SUM(J1041)),$I1041*(1+SUM(K1040))))</f>
        <v/>
      </c>
      <c r="L1041" s="662" t="str">
        <f>IF($M905&lt;&gt;EUconst_Relevant,"",IF(OR(L1040="",$I1041=0,$I1041=EUconst_NA),IF(OR(L1036=TRUE,L1035&lt;=$V905),L924,SUM(K1041)),$I1041*(1+SUM(L1040))))</f>
        <v/>
      </c>
      <c r="M1041" s="662" t="str">
        <f>IF($M905&lt;&gt;EUconst_Relevant,"",IF(OR(M1040="",$I1041=0,$I1041=EUconst_NA),IF(OR(M1036=TRUE,M1035&lt;=$V905),M924,SUM(L1041)),$I1041*(1+SUM(M1040))))</f>
        <v/>
      </c>
      <c r="N1041" s="663" t="str">
        <f>IF($M905&lt;&gt;EUconst_Relevant,"",IF(OR(N1040="",$I1041=0,$I1041=EUconst_NA),IF(OR(N1036=TRUE,N1035&lt;=$V905),N924,SUM(M1041)),$I1041*(1+SUM(N1040))))</f>
        <v/>
      </c>
      <c r="O1041" s="302"/>
      <c r="P1041" s="336"/>
      <c r="Q1041" s="1190" t="str">
        <f>EUconst_CNTR_HALfinal&amp;I905</f>
        <v>HALfinal_Подинсталация с горивен показател (с риск от ИВЕ | извън МКВЕГ)</v>
      </c>
      <c r="R1041" s="694"/>
      <c r="S1041" s="694"/>
      <c r="T1041" s="694"/>
      <c r="U1041" s="1491" t="b">
        <v>0</v>
      </c>
      <c r="V1041" s="1246" t="b">
        <f>IF(J1036=TRUE,V922,U1041)</f>
        <v>0</v>
      </c>
      <c r="W1041" s="1246" t="b">
        <f>IF(K1036=TRUE,W922,V1041)</f>
        <v>0</v>
      </c>
      <c r="X1041" s="1246" t="b">
        <f>IF(L1036=TRUE,X922,W1041)</f>
        <v>0</v>
      </c>
      <c r="Y1041" s="1246" t="b">
        <f>IF(M1036=TRUE,Y922,X1041)</f>
        <v>0</v>
      </c>
      <c r="Z1041" s="1247" t="b">
        <f>IF(N1036=TRUE,Z922,Y1041)</f>
        <v>0</v>
      </c>
      <c r="AA1041" s="694"/>
      <c r="AB1041" s="694"/>
      <c r="AC1041" s="694"/>
      <c r="AD1041" s="694"/>
      <c r="AE1041" s="343"/>
      <c r="AF1041" s="343"/>
      <c r="AG1041" s="343"/>
      <c r="AH1041" s="343"/>
      <c r="AI1041" s="343"/>
      <c r="AJ1041" s="343"/>
      <c r="AK1041" s="1174" t="s">
        <v>2033</v>
      </c>
      <c r="AL1041" s="982" t="str">
        <f>IF(OR(ISERROR(J1041),ISERROR(K1041),ISERROR(L1041),ISERROR(M1041),ISERROR(N1041)),EUconst_Error&amp;"FB"&amp; Q905,"")</f>
        <v/>
      </c>
      <c r="AM1041" s="343"/>
    </row>
    <row r="1042" spans="1:39" ht="5.15" customHeight="1" thickBot="1" x14ac:dyDescent="0.3">
      <c r="A1042" s="729"/>
      <c r="B1042" s="698"/>
      <c r="C1042" s="698"/>
      <c r="D1042" s="1273"/>
      <c r="E1042" s="1274"/>
      <c r="F1042" s="1274"/>
      <c r="G1042" s="1274"/>
      <c r="H1042" s="1274"/>
      <c r="I1042" s="1274"/>
      <c r="J1042" s="1274"/>
      <c r="K1042" s="1274"/>
      <c r="L1042" s="1274"/>
      <c r="M1042" s="1274"/>
      <c r="N1042" s="1276"/>
      <c r="O1042" s="336"/>
      <c r="P1042" s="336"/>
      <c r="Q1042" s="694"/>
      <c r="R1042" s="694"/>
      <c r="S1042" s="694"/>
      <c r="T1042" s="694"/>
      <c r="U1042" s="694"/>
      <c r="V1042" s="694"/>
      <c r="W1042" s="694"/>
      <c r="X1042" s="694"/>
      <c r="Y1042" s="694"/>
      <c r="Z1042" s="694"/>
      <c r="AA1042" s="694"/>
      <c r="AB1042" s="729"/>
      <c r="AC1042" s="694"/>
      <c r="AD1042" s="694"/>
      <c r="AE1042" s="343"/>
      <c r="AF1042" s="343"/>
      <c r="AG1042" s="343"/>
      <c r="AH1042" s="343"/>
      <c r="AI1042" s="343"/>
      <c r="AJ1042" s="343"/>
      <c r="AK1042" s="343"/>
      <c r="AL1042" s="343"/>
      <c r="AM1042" s="343"/>
    </row>
    <row r="1043" spans="1:39" ht="12.75" customHeight="1" thickBot="1" x14ac:dyDescent="0.3">
      <c r="A1043" s="729"/>
      <c r="B1043" s="698"/>
      <c r="C1043" s="698"/>
      <c r="D1043" s="698"/>
      <c r="E1043" s="698"/>
      <c r="F1043" s="698"/>
      <c r="G1043" s="698"/>
      <c r="H1043" s="698"/>
      <c r="I1043" s="698"/>
      <c r="J1043" s="698"/>
      <c r="K1043" s="698"/>
      <c r="L1043" s="698"/>
      <c r="M1043" s="698"/>
      <c r="N1043" s="698"/>
      <c r="O1043" s="336"/>
      <c r="P1043" s="336"/>
      <c r="Q1043" s="694"/>
      <c r="R1043" s="694"/>
      <c r="S1043" s="694"/>
      <c r="T1043" s="694"/>
      <c r="U1043" s="694"/>
      <c r="V1043" s="694"/>
      <c r="W1043" s="694"/>
      <c r="X1043" s="694"/>
      <c r="Y1043" s="694"/>
      <c r="Z1043" s="694"/>
      <c r="AA1043" s="694"/>
      <c r="AB1043" s="729"/>
      <c r="AC1043" s="694"/>
      <c r="AD1043" s="694"/>
      <c r="AE1043" s="343"/>
      <c r="AF1043" s="343"/>
      <c r="AG1043" s="343"/>
      <c r="AH1043" s="343"/>
      <c r="AI1043" s="343"/>
      <c r="AJ1043" s="343"/>
      <c r="AK1043" s="343"/>
      <c r="AL1043" s="343"/>
      <c r="AM1043" s="343"/>
    </row>
    <row r="1044" spans="1:39" ht="5.15" customHeight="1" x14ac:dyDescent="0.25">
      <c r="A1044" s="729"/>
      <c r="B1044" s="284"/>
      <c r="C1044" s="1492"/>
      <c r="D1044" s="1493"/>
      <c r="E1044" s="1493"/>
      <c r="F1044" s="1493"/>
      <c r="G1044" s="1493"/>
      <c r="H1044" s="1493"/>
      <c r="I1044" s="1493"/>
      <c r="J1044" s="1493"/>
      <c r="K1044" s="1493"/>
      <c r="L1044" s="1493"/>
      <c r="M1044" s="1494"/>
      <c r="N1044" s="1495"/>
      <c r="O1044" s="336"/>
      <c r="P1044" s="336"/>
      <c r="Q1044" s="770"/>
      <c r="R1044" s="694"/>
      <c r="S1044" s="770"/>
      <c r="T1044" s="770"/>
      <c r="U1044" s="694"/>
      <c r="V1044" s="694"/>
      <c r="W1044" s="694"/>
      <c r="X1044" s="694"/>
      <c r="Y1044" s="694"/>
      <c r="Z1044" s="694"/>
      <c r="AA1044" s="694"/>
      <c r="AB1044" s="694"/>
      <c r="AC1044" s="694"/>
      <c r="AD1044" s="694"/>
      <c r="AE1044" s="343"/>
      <c r="AF1044" s="343"/>
      <c r="AG1044" s="343"/>
      <c r="AH1044" s="343"/>
      <c r="AI1044" s="343"/>
      <c r="AJ1044" s="343"/>
      <c r="AK1044" s="343"/>
      <c r="AL1044" s="343"/>
      <c r="AM1044" s="343"/>
    </row>
    <row r="1045" spans="1:39" ht="15" customHeight="1" x14ac:dyDescent="0.25">
      <c r="A1045" s="729"/>
      <c r="B1045" s="698"/>
      <c r="C1045" s="1496"/>
      <c r="D1045" s="2857" t="str">
        <f>Translations!$B$502</f>
        <v>Данни, необходими за определяне на нивото на подобрение на продуктовите показатели съгласно 10а, параграф 2 от Директивата за СТЕ на ЕС</v>
      </c>
      <c r="E1045" s="2851"/>
      <c r="F1045" s="2851"/>
      <c r="G1045" s="2851"/>
      <c r="H1045" s="2851"/>
      <c r="I1045" s="2851"/>
      <c r="J1045" s="2851"/>
      <c r="K1045" s="2851"/>
      <c r="L1045" s="2851"/>
      <c r="M1045" s="2851"/>
      <c r="N1045" s="2852"/>
      <c r="O1045" s="336"/>
      <c r="P1045" s="336"/>
      <c r="Q1045" s="694"/>
      <c r="R1045" s="694"/>
      <c r="S1045" s="770"/>
      <c r="T1045" s="770"/>
      <c r="U1045" s="694"/>
      <c r="V1045" s="694"/>
      <c r="W1045" s="694"/>
      <c r="X1045" s="694"/>
      <c r="Y1045" s="694"/>
      <c r="Z1045" s="694"/>
      <c r="AA1045" s="694"/>
      <c r="AB1045" s="694"/>
      <c r="AC1045" s="694"/>
      <c r="AD1045" s="694"/>
      <c r="AE1045" s="343"/>
      <c r="AF1045" s="343"/>
      <c r="AG1045" s="343"/>
      <c r="AH1045" s="343"/>
      <c r="AI1045" s="343"/>
      <c r="AJ1045" s="343"/>
      <c r="AK1045" s="343"/>
      <c r="AL1045" s="343"/>
      <c r="AM1045" s="343"/>
    </row>
    <row r="1046" spans="1:39" ht="5.15" customHeight="1" x14ac:dyDescent="0.25">
      <c r="A1046" s="729"/>
      <c r="B1046" s="698"/>
      <c r="C1046" s="1303"/>
      <c r="D1046" s="1304"/>
      <c r="E1046" s="1304"/>
      <c r="F1046" s="1304"/>
      <c r="G1046" s="1304"/>
      <c r="H1046" s="1304"/>
      <c r="I1046" s="1304"/>
      <c r="J1046" s="1304"/>
      <c r="K1046" s="1304"/>
      <c r="L1046" s="1304"/>
      <c r="M1046" s="1304"/>
      <c r="N1046" s="1305"/>
      <c r="O1046" s="336"/>
      <c r="P1046" s="336"/>
      <c r="Q1046" s="694"/>
      <c r="R1046" s="694"/>
      <c r="S1046" s="770"/>
      <c r="T1046" s="770"/>
      <c r="U1046" s="694"/>
      <c r="V1046" s="694"/>
      <c r="W1046" s="694"/>
      <c r="X1046" s="694"/>
      <c r="Y1046" s="694"/>
      <c r="Z1046" s="694"/>
      <c r="AA1046" s="694"/>
      <c r="AB1046" s="694"/>
      <c r="AC1046" s="694"/>
      <c r="AD1046" s="694"/>
      <c r="AE1046" s="343"/>
      <c r="AF1046" s="343"/>
      <c r="AG1046" s="343"/>
      <c r="AH1046" s="343"/>
      <c r="AI1046" s="343"/>
      <c r="AJ1046" s="343"/>
      <c r="AK1046" s="343"/>
      <c r="AL1046" s="343"/>
      <c r="AM1046" s="343"/>
    </row>
    <row r="1047" spans="1:39" ht="15" customHeight="1" x14ac:dyDescent="0.25">
      <c r="A1047" s="729"/>
      <c r="B1047" s="698"/>
      <c r="C1047" s="1303"/>
      <c r="D1047" s="2841" t="str">
        <f>EUconst_FBSubinst &amp; ":"</f>
        <v>Алтернативна подинсталация („Fall-Back sub-installation“):</v>
      </c>
      <c r="E1047" s="2839"/>
      <c r="F1047" s="2839"/>
      <c r="G1047" s="2839"/>
      <c r="H1047" s="2842"/>
      <c r="I1047" s="2843" t="str">
        <f>I905</f>
        <v>Подинсталация с горивен показател (с риск от ИВЕ | извън МКВЕГ)</v>
      </c>
      <c r="J1047" s="2844"/>
      <c r="K1047" s="2844"/>
      <c r="L1047" s="2844"/>
      <c r="M1047" s="2844"/>
      <c r="N1047" s="2845"/>
      <c r="O1047" s="336"/>
      <c r="P1047" s="336"/>
      <c r="Q1047" s="694"/>
      <c r="R1047" s="694"/>
      <c r="S1047" s="770"/>
      <c r="T1047" s="770"/>
      <c r="U1047" s="694"/>
      <c r="V1047" s="694"/>
      <c r="W1047" s="694"/>
      <c r="X1047" s="694"/>
      <c r="Y1047" s="694"/>
      <c r="Z1047" s="694"/>
      <c r="AA1047" s="694"/>
      <c r="AB1047" s="694"/>
      <c r="AC1047" s="694"/>
      <c r="AD1047" s="694"/>
      <c r="AE1047" s="343"/>
      <c r="AF1047" s="343"/>
      <c r="AG1047" s="343"/>
      <c r="AH1047" s="343"/>
      <c r="AI1047" s="343"/>
      <c r="AJ1047" s="343"/>
      <c r="AK1047" s="343"/>
      <c r="AL1047" s="343"/>
      <c r="AM1047" s="343"/>
    </row>
    <row r="1048" spans="1:39" ht="5.15" customHeight="1" x14ac:dyDescent="0.25">
      <c r="A1048" s="729"/>
      <c r="B1048" s="698"/>
      <c r="C1048" s="1303"/>
      <c r="D1048" s="1304"/>
      <c r="E1048" s="1304"/>
      <c r="F1048" s="1304"/>
      <c r="G1048" s="1304"/>
      <c r="H1048" s="1304"/>
      <c r="I1048" s="1304"/>
      <c r="J1048" s="1304"/>
      <c r="K1048" s="1304"/>
      <c r="L1048" s="1304"/>
      <c r="M1048" s="1304"/>
      <c r="N1048" s="1305"/>
      <c r="O1048" s="336"/>
      <c r="P1048" s="336"/>
      <c r="Q1048" s="694"/>
      <c r="R1048" s="694"/>
      <c r="S1048" s="770"/>
      <c r="T1048" s="770"/>
      <c r="U1048" s="694"/>
      <c r="V1048" s="694"/>
      <c r="W1048" s="694"/>
      <c r="X1048" s="694"/>
      <c r="Y1048" s="694"/>
      <c r="Z1048" s="694"/>
      <c r="AA1048" s="694"/>
      <c r="AB1048" s="694"/>
      <c r="AC1048" s="694"/>
      <c r="AD1048" s="694"/>
      <c r="AE1048" s="343"/>
      <c r="AF1048" s="343"/>
      <c r="AG1048" s="343"/>
      <c r="AH1048" s="343"/>
      <c r="AI1048" s="343"/>
      <c r="AJ1048" s="343"/>
      <c r="AK1048" s="343"/>
      <c r="AL1048" s="343"/>
      <c r="AM1048" s="343"/>
    </row>
    <row r="1049" spans="1:39" ht="12.75" customHeight="1" x14ac:dyDescent="0.25">
      <c r="A1049" s="729"/>
      <c r="B1049" s="284"/>
      <c r="C1049" s="1496"/>
      <c r="D1049" s="1307" t="s">
        <v>46</v>
      </c>
      <c r="E1049" s="2850" t="str">
        <f>Translations!$B$626</f>
        <v>Емисии, които могат се зададат пряко (DirEm*) на тази подинсталация</v>
      </c>
      <c r="F1049" s="2851"/>
      <c r="G1049" s="2851"/>
      <c r="H1049" s="2851"/>
      <c r="I1049" s="2851"/>
      <c r="J1049" s="2851"/>
      <c r="K1049" s="2851"/>
      <c r="L1049" s="2851"/>
      <c r="M1049" s="2851"/>
      <c r="N1049" s="2852"/>
      <c r="O1049" s="336"/>
      <c r="P1049" s="336"/>
      <c r="Q1049" s="770"/>
      <c r="R1049" s="694"/>
      <c r="S1049" s="770"/>
      <c r="T1049" s="770"/>
      <c r="U1049" s="694"/>
      <c r="V1049" s="694"/>
      <c r="W1049" s="694"/>
      <c r="X1049" s="694"/>
      <c r="Y1049" s="694"/>
      <c r="Z1049" s="694"/>
      <c r="AA1049" s="694"/>
      <c r="AB1049" s="694"/>
      <c r="AC1049" s="694"/>
      <c r="AD1049" s="694"/>
      <c r="AE1049" s="343"/>
      <c r="AF1049" s="343"/>
      <c r="AG1049" s="343"/>
      <c r="AH1049" s="343"/>
      <c r="AI1049" s="343"/>
      <c r="AJ1049" s="343"/>
      <c r="AK1049" s="343"/>
      <c r="AL1049" s="343"/>
      <c r="AM1049" s="343"/>
    </row>
    <row r="1050" spans="1:39" ht="12.75" customHeight="1" x14ac:dyDescent="0.25">
      <c r="A1050" s="729"/>
      <c r="B1050" s="284"/>
      <c r="C1050" s="1496"/>
      <c r="D1050" s="1307"/>
      <c r="E1050" s="2927" t="str">
        <f>Translations!$B$508</f>
        <v>Посочените тук данни ще се отразят на емисиите, които могат да бъдат зададени съгласно раздел 10.1.1 от приложение VII към ПБР.</v>
      </c>
      <c r="F1050" s="2927"/>
      <c r="G1050" s="2927"/>
      <c r="H1050" s="2927"/>
      <c r="I1050" s="2927"/>
      <c r="J1050" s="2927"/>
      <c r="K1050" s="2927"/>
      <c r="L1050" s="2927"/>
      <c r="M1050" s="2927"/>
      <c r="N1050" s="2928"/>
      <c r="O1050" s="336"/>
      <c r="P1050" s="336"/>
      <c r="Q1050" s="770"/>
      <c r="R1050" s="694"/>
      <c r="S1050" s="770"/>
      <c r="T1050" s="770"/>
      <c r="U1050" s="694"/>
      <c r="V1050" s="694"/>
      <c r="W1050" s="694"/>
      <c r="X1050" s="694"/>
      <c r="Y1050" s="694"/>
      <c r="Z1050" s="694"/>
      <c r="AA1050" s="694"/>
      <c r="AB1050" s="694"/>
      <c r="AC1050" s="694"/>
      <c r="AD1050" s="694"/>
      <c r="AE1050" s="343"/>
      <c r="AF1050" s="343"/>
      <c r="AG1050" s="343"/>
      <c r="AH1050" s="343"/>
      <c r="AI1050" s="343"/>
      <c r="AJ1050" s="343"/>
      <c r="AK1050" s="343"/>
      <c r="AL1050" s="343"/>
      <c r="AM1050" s="343"/>
    </row>
    <row r="1051" spans="1:39" ht="25.5" customHeight="1" x14ac:dyDescent="0.25">
      <c r="A1051" s="729"/>
      <c r="B1051" s="284"/>
      <c r="C1051" s="1496"/>
      <c r="D1051" s="1497"/>
      <c r="E1051" s="2836" t="str">
        <f>Translations!$B$660</f>
        <v>Моля, тук въведете преките емисии, за които се извършва мониторинг в съответствие с плана за мониторинг, одобрен съгласно Регламента относно мониторинга и докладването (РМД), т.е. като се отчитат емисиите, получени по методики, основани на изчисления (като се използват пораждащите емисии потоци), по базиращи се на измервания методики (БИМ), както и по подходи без подреждане („fall-backs“).</v>
      </c>
      <c r="F1051" s="2836"/>
      <c r="G1051" s="2836"/>
      <c r="H1051" s="2836"/>
      <c r="I1051" s="2836"/>
      <c r="J1051" s="2836"/>
      <c r="K1051" s="2836"/>
      <c r="L1051" s="2836"/>
      <c r="M1051" s="2836"/>
      <c r="N1051" s="2837"/>
      <c r="O1051" s="336"/>
      <c r="P1051" s="336"/>
      <c r="Q1051" s="770"/>
      <c r="R1051" s="694"/>
      <c r="S1051" s="770"/>
      <c r="T1051" s="694"/>
      <c r="U1051" s="694"/>
      <c r="V1051" s="694"/>
      <c r="W1051" s="694"/>
      <c r="X1051" s="694"/>
      <c r="Y1051" s="694"/>
      <c r="Z1051" s="694"/>
      <c r="AA1051" s="694"/>
      <c r="AB1051" s="694"/>
      <c r="AC1051" s="694"/>
      <c r="AD1051" s="694"/>
      <c r="AE1051" s="343"/>
      <c r="AF1051" s="343"/>
      <c r="AG1051" s="343"/>
      <c r="AH1051" s="343"/>
      <c r="AI1051" s="343"/>
      <c r="AJ1051" s="343"/>
      <c r="AK1051" s="343"/>
      <c r="AL1051" s="343"/>
      <c r="AM1051" s="343"/>
    </row>
    <row r="1052" spans="1:39" ht="25.5" customHeight="1" thickBot="1" x14ac:dyDescent="0.3">
      <c r="A1052" s="729"/>
      <c r="B1052" s="284"/>
      <c r="C1052" s="1496"/>
      <c r="D1052" s="1497"/>
      <c r="E1052" s="2836" t="str">
        <f>Translations!$B$661</f>
        <v>Емисиите от горене на отпадни газове обаче не се включват тук, а в точка d).iii по-долу.</v>
      </c>
      <c r="F1052" s="2836"/>
      <c r="G1052" s="2836"/>
      <c r="H1052" s="2836"/>
      <c r="I1052" s="2836"/>
      <c r="J1052" s="2836"/>
      <c r="K1052" s="2836"/>
      <c r="L1052" s="2836"/>
      <c r="M1052" s="2836"/>
      <c r="N1052" s="2837"/>
      <c r="O1052" s="336"/>
      <c r="P1052" s="336"/>
      <c r="Q1052" s="770"/>
      <c r="R1052" s="694"/>
      <c r="S1052" s="770"/>
      <c r="T1052" s="694"/>
      <c r="U1052" s="694"/>
      <c r="V1052" s="694"/>
      <c r="W1052" s="694"/>
      <c r="X1052" s="694"/>
      <c r="Y1052" s="694"/>
      <c r="Z1052" s="694"/>
      <c r="AA1052" s="694"/>
      <c r="AB1052" s="729"/>
      <c r="AC1052" s="729"/>
      <c r="AD1052" s="729"/>
      <c r="AE1052" s="729"/>
      <c r="AF1052" s="729"/>
      <c r="AG1052" s="729"/>
      <c r="AH1052" s="729"/>
      <c r="AI1052" s="729"/>
      <c r="AJ1052" s="729"/>
      <c r="AK1052" s="729"/>
      <c r="AL1052" s="729"/>
      <c r="AM1052" s="343"/>
    </row>
    <row r="1053" spans="1:39" ht="12.75" customHeight="1" thickBot="1" x14ac:dyDescent="0.3">
      <c r="A1053" s="729"/>
      <c r="B1053" s="284"/>
      <c r="C1053" s="1496"/>
      <c r="D1053" s="1307"/>
      <c r="E1053" s="1317" t="str">
        <f>Translations!$B$486</f>
        <v>Общо преки емисии</v>
      </c>
      <c r="F1053" s="1318"/>
      <c r="G1053" s="1309" t="str">
        <f>EUconst_Unit</f>
        <v>Единица мярка</v>
      </c>
      <c r="H1053" s="629">
        <f t="shared" ref="H1053:N1053" si="1633">H$1840</f>
        <v>2024</v>
      </c>
      <c r="I1053" s="629">
        <f t="shared" si="1633"/>
        <v>2025</v>
      </c>
      <c r="J1053" s="629">
        <f t="shared" si="1633"/>
        <v>2026</v>
      </c>
      <c r="K1053" s="629">
        <f t="shared" si="1633"/>
        <v>2027</v>
      </c>
      <c r="L1053" s="629">
        <f t="shared" si="1633"/>
        <v>2028</v>
      </c>
      <c r="M1053" s="629">
        <f t="shared" si="1633"/>
        <v>2029</v>
      </c>
      <c r="N1053" s="1312">
        <f t="shared" si="1633"/>
        <v>2030</v>
      </c>
      <c r="O1053" s="336"/>
      <c r="P1053" s="336"/>
      <c r="Q1053" s="770"/>
      <c r="R1053" s="694"/>
      <c r="S1053" s="1499"/>
      <c r="T1053" s="1313">
        <f t="shared" ref="T1053" si="1634">H1053</f>
        <v>2024</v>
      </c>
      <c r="U1053" s="1313">
        <f t="shared" ref="U1053" si="1635">I1053</f>
        <v>2025</v>
      </c>
      <c r="V1053" s="1313">
        <f t="shared" ref="V1053" si="1636">J1053</f>
        <v>2026</v>
      </c>
      <c r="W1053" s="1313">
        <f t="shared" ref="W1053" si="1637">K1053</f>
        <v>2027</v>
      </c>
      <c r="X1053" s="1313">
        <f t="shared" ref="X1053" si="1638">L1053</f>
        <v>2028</v>
      </c>
      <c r="Y1053" s="1313">
        <f t="shared" ref="Y1053" si="1639">M1053</f>
        <v>2029</v>
      </c>
      <c r="Z1053" s="1314">
        <f t="shared" ref="Z1053" si="1640">N1053</f>
        <v>2030</v>
      </c>
      <c r="AA1053" s="694"/>
      <c r="AB1053" s="694"/>
      <c r="AC1053" s="1178">
        <f t="shared" ref="AC1053" si="1641">H$1840</f>
        <v>2024</v>
      </c>
      <c r="AD1053" s="1178">
        <f t="shared" ref="AD1053" si="1642">I$1840</f>
        <v>2025</v>
      </c>
      <c r="AE1053" s="1178">
        <f t="shared" ref="AE1053" si="1643">J$1840</f>
        <v>2026</v>
      </c>
      <c r="AF1053" s="1178">
        <f t="shared" ref="AF1053" si="1644">K$1840</f>
        <v>2027</v>
      </c>
      <c r="AG1053" s="1178">
        <f t="shared" ref="AG1053" si="1645">L$1840</f>
        <v>2028</v>
      </c>
      <c r="AH1053" s="1178">
        <f t="shared" ref="AH1053" si="1646">M$1840</f>
        <v>2029</v>
      </c>
      <c r="AI1053" s="1178">
        <f t="shared" ref="AI1053" si="1647">N$1840</f>
        <v>2030</v>
      </c>
      <c r="AJ1053" s="729"/>
      <c r="AK1053" s="729"/>
      <c r="AL1053" s="729"/>
      <c r="AM1053" s="343"/>
    </row>
    <row r="1054" spans="1:39" ht="12.75" customHeight="1" thickBot="1" x14ac:dyDescent="0.35">
      <c r="A1054" s="729"/>
      <c r="B1054" s="284"/>
      <c r="C1054" s="1496"/>
      <c r="D1054" s="1497"/>
      <c r="E1054" s="2814" t="str">
        <f>I1047</f>
        <v>Подинсталация с горивен показател (с риск от ИВЕ | извън МКВЕГ)</v>
      </c>
      <c r="F1054" s="2258"/>
      <c r="G1054" s="642" t="str">
        <f>EUconst_tCO2epa</f>
        <v>t CO2e/година</v>
      </c>
      <c r="H1054" s="179"/>
      <c r="I1054" s="179"/>
      <c r="J1054" s="179"/>
      <c r="K1054" s="179"/>
      <c r="L1054" s="179"/>
      <c r="M1054" s="179"/>
      <c r="N1054" s="180"/>
      <c r="O1054" s="336"/>
      <c r="P1054" s="336"/>
      <c r="Q1054" s="1500" t="str">
        <f>EUconst_CNTR_Emissions &amp; I1047</f>
        <v>DirEmissions_Подинсталация с горивен показател (с риск от ИВЕ | извън МКВЕГ)</v>
      </c>
      <c r="R1054" s="694"/>
      <c r="S1054" s="1501" t="str">
        <f>EUconst_CNTR_AttributedEmissions &amp; I1047</f>
        <v>AttrEmissions_Подинсталация с горивен показател (с риск от ИВЕ | извън МКВЕГ)</v>
      </c>
      <c r="T1054" s="1290" t="str">
        <f>IF(T913,SUM(H1054),"")</f>
        <v/>
      </c>
      <c r="U1054" s="1290" t="str">
        <f t="shared" ref="U1054" si="1648">IF(U913,SUM(I1054),"")</f>
        <v/>
      </c>
      <c r="V1054" s="1290" t="str">
        <f t="shared" ref="V1054" si="1649">IF(V913,SUM(J1054),"")</f>
        <v/>
      </c>
      <c r="W1054" s="1290" t="str">
        <f t="shared" ref="W1054" si="1650">IF(W913,SUM(K1054),"")</f>
        <v/>
      </c>
      <c r="X1054" s="1290" t="str">
        <f t="shared" ref="X1054" si="1651">IF(X913,SUM(L1054),"")</f>
        <v/>
      </c>
      <c r="Y1054" s="1290" t="str">
        <f t="shared" ref="Y1054" si="1652">IF(Y913,SUM(M1054),"")</f>
        <v/>
      </c>
      <c r="Z1054" s="1291" t="str">
        <f t="shared" ref="Z1054" si="1653">IF(Z913,SUM(N1054),"")</f>
        <v/>
      </c>
      <c r="AA1054" s="694"/>
      <c r="AB1054" s="1182" t="s">
        <v>737</v>
      </c>
      <c r="AC1054" s="1183" t="b">
        <f t="shared" ref="AC1054:AI1054" si="1654">IF(CNTR_ExistSubInstEntries,OR($M905&lt;&gt;EUconst_Relevant,AC1053&gt;=CNTR_ReportingYear,AC1053&lt;$V905-1),FALSE)</f>
        <v>0</v>
      </c>
      <c r="AD1054" s="1184" t="b">
        <f t="shared" si="1654"/>
        <v>0</v>
      </c>
      <c r="AE1054" s="1184" t="b">
        <f t="shared" si="1654"/>
        <v>0</v>
      </c>
      <c r="AF1054" s="1184" t="b">
        <f t="shared" si="1654"/>
        <v>0</v>
      </c>
      <c r="AG1054" s="1184" t="b">
        <f t="shared" si="1654"/>
        <v>0</v>
      </c>
      <c r="AH1054" s="1184" t="b">
        <f t="shared" si="1654"/>
        <v>0</v>
      </c>
      <c r="AI1054" s="1185" t="b">
        <f t="shared" si="1654"/>
        <v>0</v>
      </c>
      <c r="AJ1054" s="729"/>
      <c r="AK1054" s="1174" t="s">
        <v>2039</v>
      </c>
      <c r="AL1054" s="1176" t="str">
        <f>IF(AND(CNTR_ExistSubInstEntries,COUNTIFS(AC1054:AI1054,2,H1054:N1054,"")&gt;0),EUconst_Error&amp;"FB"&amp;Q927,"")</f>
        <v/>
      </c>
      <c r="AM1054" s="343"/>
    </row>
    <row r="1055" spans="1:39" ht="5.15" customHeight="1" x14ac:dyDescent="0.25">
      <c r="A1055" s="729"/>
      <c r="B1055" s="284"/>
      <c r="C1055" s="1496"/>
      <c r="D1055" s="1497"/>
      <c r="E1055" s="1497"/>
      <c r="F1055" s="1497"/>
      <c r="G1055" s="1497"/>
      <c r="H1055" s="1497"/>
      <c r="I1055" s="1497"/>
      <c r="J1055" s="1497"/>
      <c r="K1055" s="1497"/>
      <c r="L1055" s="1497"/>
      <c r="M1055" s="1497"/>
      <c r="N1055" s="1503"/>
      <c r="O1055" s="336"/>
      <c r="P1055" s="336"/>
      <c r="Q1055" s="770"/>
      <c r="R1055" s="694"/>
      <c r="S1055" s="770"/>
      <c r="T1055" s="694"/>
      <c r="U1055" s="694"/>
      <c r="V1055" s="694"/>
      <c r="W1055" s="694"/>
      <c r="X1055" s="694"/>
      <c r="Y1055" s="694"/>
      <c r="Z1055" s="694"/>
      <c r="AA1055" s="694"/>
      <c r="AB1055" s="729"/>
      <c r="AC1055" s="729"/>
      <c r="AD1055" s="729"/>
      <c r="AE1055" s="729"/>
      <c r="AF1055" s="729"/>
      <c r="AG1055" s="729"/>
      <c r="AH1055" s="729"/>
      <c r="AI1055" s="729"/>
      <c r="AJ1055" s="729"/>
      <c r="AK1055" s="729"/>
      <c r="AL1055" s="729"/>
      <c r="AM1055" s="343"/>
    </row>
    <row r="1056" spans="1:39" ht="12.75" customHeight="1" x14ac:dyDescent="0.25">
      <c r="A1056" s="729"/>
      <c r="B1056" s="284"/>
      <c r="C1056" s="1496"/>
      <c r="D1056" s="1307" t="s">
        <v>906</v>
      </c>
      <c r="E1056" s="2815" t="str">
        <f>Translations!$B$518</f>
        <v>Вложени горива в тази подинсталация и съответния емисионен фактор</v>
      </c>
      <c r="F1056" s="2240"/>
      <c r="G1056" s="2240"/>
      <c r="H1056" s="2240"/>
      <c r="I1056" s="2240"/>
      <c r="J1056" s="2240"/>
      <c r="K1056" s="2240"/>
      <c r="L1056" s="2240"/>
      <c r="M1056" s="2240"/>
      <c r="N1056" s="2811"/>
      <c r="O1056" s="336"/>
      <c r="P1056" s="336"/>
      <c r="Q1056" s="694"/>
      <c r="R1056" s="694"/>
      <c r="S1056" s="770"/>
      <c r="T1056" s="694"/>
      <c r="U1056" s="694"/>
      <c r="V1056" s="694"/>
      <c r="W1056" s="694"/>
      <c r="X1056" s="694"/>
      <c r="Y1056" s="694"/>
      <c r="Z1056" s="694"/>
      <c r="AA1056" s="694"/>
      <c r="AB1056" s="729"/>
      <c r="AC1056" s="729"/>
      <c r="AD1056" s="729"/>
      <c r="AE1056" s="729"/>
      <c r="AF1056" s="729"/>
      <c r="AG1056" s="729"/>
      <c r="AH1056" s="729"/>
      <c r="AI1056" s="729"/>
      <c r="AJ1056" s="729"/>
      <c r="AK1056" s="729"/>
      <c r="AL1056" s="729"/>
      <c r="AM1056" s="343"/>
    </row>
    <row r="1057" spans="1:39" ht="12.75" customHeight="1" x14ac:dyDescent="0.25">
      <c r="A1057" s="729"/>
      <c r="B1057" s="284"/>
      <c r="C1057" s="1496"/>
      <c r="D1057" s="1497"/>
      <c r="E1057" s="2810" t="str">
        <f>Translations!$B$662</f>
        <v>Стойностите за i. и ii. се генерират автоматично въз основа на данните, въведени в точки a) и c) по-горе.</v>
      </c>
      <c r="F1057" s="2240"/>
      <c r="G1057" s="2240"/>
      <c r="H1057" s="2240"/>
      <c r="I1057" s="2240"/>
      <c r="J1057" s="2240"/>
      <c r="K1057" s="2240"/>
      <c r="L1057" s="2240"/>
      <c r="M1057" s="2240"/>
      <c r="N1057" s="2811"/>
      <c r="O1057" s="336"/>
      <c r="P1057" s="336"/>
      <c r="Q1057" s="770"/>
      <c r="R1057" s="694"/>
      <c r="S1057" s="770"/>
      <c r="T1057" s="694"/>
      <c r="U1057" s="694"/>
      <c r="V1057" s="694"/>
      <c r="W1057" s="694"/>
      <c r="X1057" s="694"/>
      <c r="Y1057" s="694"/>
      <c r="Z1057" s="694"/>
      <c r="AA1057" s="694"/>
      <c r="AB1057" s="729"/>
      <c r="AC1057" s="729"/>
      <c r="AD1057" s="729"/>
      <c r="AE1057" s="729"/>
      <c r="AF1057" s="729"/>
      <c r="AG1057" s="729"/>
      <c r="AH1057" s="729"/>
      <c r="AI1057" s="729"/>
      <c r="AJ1057" s="729"/>
      <c r="AK1057" s="729"/>
      <c r="AL1057" s="729"/>
      <c r="AM1057" s="343"/>
    </row>
    <row r="1058" spans="1:39" ht="12.75" customHeight="1" x14ac:dyDescent="0.25">
      <c r="A1058" s="729"/>
      <c r="B1058" s="284"/>
      <c r="C1058" s="1496"/>
      <c r="D1058" s="1497"/>
      <c r="E1058" s="2810" t="str">
        <f>Translations!$B$663</f>
        <v>В iii. и iv. трябва да въведете съответно вложеното гориво от отпадни газове и съответния емисионен фактор.</v>
      </c>
      <c r="F1058" s="2240"/>
      <c r="G1058" s="2240"/>
      <c r="H1058" s="2240"/>
      <c r="I1058" s="2240"/>
      <c r="J1058" s="2240"/>
      <c r="K1058" s="2240"/>
      <c r="L1058" s="2240"/>
      <c r="M1058" s="2240"/>
      <c r="N1058" s="2811"/>
      <c r="O1058" s="336"/>
      <c r="P1058" s="336"/>
      <c r="Q1058" s="770"/>
      <c r="R1058" s="694"/>
      <c r="S1058" s="770"/>
      <c r="T1058" s="694"/>
      <c r="U1058" s="694"/>
      <c r="V1058" s="694"/>
      <c r="W1058" s="694"/>
      <c r="X1058" s="694"/>
      <c r="Y1058" s="694"/>
      <c r="Z1058" s="694"/>
      <c r="AA1058" s="694"/>
      <c r="AB1058" s="729"/>
      <c r="AC1058" s="729"/>
      <c r="AD1058" s="729"/>
      <c r="AE1058" s="729"/>
      <c r="AF1058" s="729"/>
      <c r="AG1058" s="729"/>
      <c r="AH1058" s="729"/>
      <c r="AI1058" s="729"/>
      <c r="AJ1058" s="729"/>
      <c r="AK1058" s="729"/>
      <c r="AL1058" s="729"/>
      <c r="AM1058" s="343"/>
    </row>
    <row r="1059" spans="1:39" ht="25.5" customHeight="1" x14ac:dyDescent="0.25">
      <c r="A1059" s="729"/>
      <c r="B1059" s="284"/>
      <c r="C1059" s="1496"/>
      <c r="D1059" s="1497"/>
      <c r="E1059" s="2810" t="str">
        <f>Translations!$B$1558</f>
        <v>В подточки iv. и vi. трябва да се въведат съответно вложената електроенергия за първичната цел за производство на топлинна енергия и съответният емисионен фактор. Емисионният фактор обаче често може да не е ясно определен или да не е известен. Поради това въвеждането на съответните данни тук не е задължително.</v>
      </c>
      <c r="F1059" s="2240"/>
      <c r="G1059" s="2240"/>
      <c r="H1059" s="2240"/>
      <c r="I1059" s="2240"/>
      <c r="J1059" s="2240"/>
      <c r="K1059" s="2240"/>
      <c r="L1059" s="2240"/>
      <c r="M1059" s="2240"/>
      <c r="N1059" s="2811"/>
      <c r="O1059" s="336"/>
      <c r="P1059" s="336"/>
      <c r="Q1059" s="770"/>
      <c r="R1059" s="694"/>
      <c r="S1059" s="770"/>
      <c r="T1059" s="694"/>
      <c r="U1059" s="694"/>
      <c r="V1059" s="694"/>
      <c r="W1059" s="694"/>
      <c r="X1059" s="694"/>
      <c r="Y1059" s="694"/>
      <c r="Z1059" s="694"/>
      <c r="AA1059" s="694"/>
      <c r="AB1059" s="729"/>
      <c r="AC1059" s="729"/>
      <c r="AD1059" s="729"/>
      <c r="AE1059" s="729"/>
      <c r="AF1059" s="729"/>
      <c r="AG1059" s="729"/>
      <c r="AH1059" s="729"/>
      <c r="AI1059" s="729"/>
      <c r="AJ1059" s="729"/>
      <c r="AK1059" s="729"/>
      <c r="AL1059" s="729"/>
      <c r="AM1059" s="343"/>
    </row>
    <row r="1060" spans="1:39" ht="12.75" customHeight="1" x14ac:dyDescent="0.25">
      <c r="A1060" s="729"/>
      <c r="B1060" s="284"/>
      <c r="C1060" s="1496"/>
      <c r="D1060" s="1307"/>
      <c r="E1060" s="1317"/>
      <c r="F1060" s="1318"/>
      <c r="G1060" s="1309" t="str">
        <f>EUconst_Unit</f>
        <v>Единица мярка</v>
      </c>
      <c r="H1060" s="629">
        <f t="shared" ref="H1060:N1060" si="1655">H$1840</f>
        <v>2024</v>
      </c>
      <c r="I1060" s="629">
        <f t="shared" si="1655"/>
        <v>2025</v>
      </c>
      <c r="J1060" s="629">
        <f t="shared" si="1655"/>
        <v>2026</v>
      </c>
      <c r="K1060" s="629">
        <f t="shared" si="1655"/>
        <v>2027</v>
      </c>
      <c r="L1060" s="629">
        <f t="shared" si="1655"/>
        <v>2028</v>
      </c>
      <c r="M1060" s="629">
        <f t="shared" si="1655"/>
        <v>2029</v>
      </c>
      <c r="N1060" s="1312">
        <f t="shared" si="1655"/>
        <v>2030</v>
      </c>
      <c r="O1060" s="336"/>
      <c r="P1060" s="336"/>
      <c r="Q1060" s="770"/>
      <c r="R1060" s="694"/>
      <c r="S1060" s="770"/>
      <c r="T1060" s="694"/>
      <c r="U1060" s="694"/>
      <c r="V1060" s="694"/>
      <c r="W1060" s="694"/>
      <c r="X1060" s="694"/>
      <c r="Y1060" s="694"/>
      <c r="Z1060" s="694"/>
      <c r="AA1060" s="694"/>
      <c r="AB1060" s="694"/>
      <c r="AC1060" s="1504">
        <f t="shared" ref="AC1060" si="1656">H$1840</f>
        <v>2024</v>
      </c>
      <c r="AD1060" s="1504">
        <f t="shared" ref="AD1060" si="1657">I$1840</f>
        <v>2025</v>
      </c>
      <c r="AE1060" s="1504">
        <f t="shared" ref="AE1060" si="1658">J$1840</f>
        <v>2026</v>
      </c>
      <c r="AF1060" s="1504">
        <f t="shared" ref="AF1060" si="1659">K$1840</f>
        <v>2027</v>
      </c>
      <c r="AG1060" s="1504">
        <f t="shared" ref="AG1060" si="1660">L$1840</f>
        <v>2028</v>
      </c>
      <c r="AH1060" s="1504">
        <f t="shared" ref="AH1060" si="1661">M$1840</f>
        <v>2029</v>
      </c>
      <c r="AI1060" s="1504">
        <f t="shared" ref="AI1060" si="1662">N$1840</f>
        <v>2030</v>
      </c>
      <c r="AJ1060" s="343"/>
      <c r="AK1060" s="343"/>
      <c r="AL1060" s="343"/>
      <c r="AM1060" s="343"/>
    </row>
    <row r="1061" spans="1:39" ht="12.75" customHeight="1" x14ac:dyDescent="0.25">
      <c r="A1061" s="729"/>
      <c r="B1061" s="284"/>
      <c r="C1061" s="1496"/>
      <c r="D1061" s="1505" t="s">
        <v>6</v>
      </c>
      <c r="E1061" s="2820" t="str">
        <f>Translations!$B$1559</f>
        <v>Вложена енергия, въведена в буква a)</v>
      </c>
      <c r="F1061" s="2258"/>
      <c r="G1061" s="1319" t="str">
        <f>EUconst_TJpa</f>
        <v>TJ / година</v>
      </c>
      <c r="H1061" s="422" t="str">
        <f>H913</f>
        <v/>
      </c>
      <c r="I1061" s="422" t="str">
        <f t="shared" ref="I1061:N1061" si="1663">I913</f>
        <v/>
      </c>
      <c r="J1061" s="422" t="str">
        <f t="shared" si="1663"/>
        <v/>
      </c>
      <c r="K1061" s="422" t="str">
        <f t="shared" si="1663"/>
        <v/>
      </c>
      <c r="L1061" s="422" t="str">
        <f t="shared" si="1663"/>
        <v/>
      </c>
      <c r="M1061" s="422" t="str">
        <f t="shared" si="1663"/>
        <v/>
      </c>
      <c r="N1061" s="1515" t="str">
        <f t="shared" si="1663"/>
        <v/>
      </c>
      <c r="O1061" s="336"/>
      <c r="P1061" s="336"/>
      <c r="Q1061" s="1500" t="str">
        <f>EUconst_CNTR_FuelInput &amp; I1047</f>
        <v>FuelInput_Подинсталация с горивен показател (с риск от ИВЕ | извън МКВЕГ)</v>
      </c>
      <c r="R1061" s="694"/>
      <c r="S1061" s="770"/>
      <c r="T1061" s="1031">
        <f t="shared" ref="T1061" si="1664">H1060</f>
        <v>2024</v>
      </c>
      <c r="U1061" s="1031">
        <f t="shared" ref="U1061" si="1665">I1060</f>
        <v>2025</v>
      </c>
      <c r="V1061" s="1031">
        <f t="shared" ref="V1061" si="1666">J1060</f>
        <v>2026</v>
      </c>
      <c r="W1061" s="1031">
        <f t="shared" ref="W1061" si="1667">K1060</f>
        <v>2027</v>
      </c>
      <c r="X1061" s="1031">
        <f t="shared" ref="X1061" si="1668">L1060</f>
        <v>2028</v>
      </c>
      <c r="Y1061" s="1031">
        <f t="shared" ref="Y1061" si="1669">M1060</f>
        <v>2029</v>
      </c>
      <c r="Z1061" s="1031">
        <f t="shared" ref="Z1061" si="1670">N1060</f>
        <v>2030</v>
      </c>
      <c r="AA1061" s="694"/>
      <c r="AB1061" s="1182" t="s">
        <v>737</v>
      </c>
      <c r="AC1061" s="982" t="b">
        <f>AC1054</f>
        <v>0</v>
      </c>
      <c r="AD1061" s="982" t="b">
        <f t="shared" ref="AD1061:AI1061" si="1671">AD1054</f>
        <v>0</v>
      </c>
      <c r="AE1061" s="982" t="b">
        <f t="shared" si="1671"/>
        <v>0</v>
      </c>
      <c r="AF1061" s="982" t="b">
        <f t="shared" si="1671"/>
        <v>0</v>
      </c>
      <c r="AG1061" s="982" t="b">
        <f t="shared" si="1671"/>
        <v>0</v>
      </c>
      <c r="AH1061" s="982" t="b">
        <f t="shared" si="1671"/>
        <v>0</v>
      </c>
      <c r="AI1061" s="982" t="b">
        <f t="shared" si="1671"/>
        <v>0</v>
      </c>
      <c r="AJ1061" s="343"/>
      <c r="AK1061" s="1174" t="s">
        <v>2039</v>
      </c>
      <c r="AL1061" s="1176" t="str">
        <f>IF(AND(CNTR_ExistSubInstEntries,COUNTIFS(AC1061:AI1061,2,H1061:N1061,"")&gt;0),EUconst_Error&amp;"FB"&amp;Q927,"")</f>
        <v/>
      </c>
      <c r="AM1061" s="343"/>
    </row>
    <row r="1062" spans="1:39" ht="12.75" customHeight="1" x14ac:dyDescent="0.25">
      <c r="A1062" s="729"/>
      <c r="B1062" s="284"/>
      <c r="C1062" s="1496"/>
      <c r="D1062" s="1505" t="s">
        <v>7</v>
      </c>
      <c r="E1062" s="2820" t="str">
        <f>Translations!$B$664</f>
        <v>Претеглен емисионен фактор (=c./d.)</v>
      </c>
      <c r="F1062" s="2258"/>
      <c r="G1062" s="1320" t="str">
        <f>EUconst_tCO2pTJ</f>
        <v>t CO2 / TJ</v>
      </c>
      <c r="H1062" s="422" t="str">
        <f t="shared" ref="H1062:N1062" si="1672">IF(COUNT(H1054,H1061)=2,H1054/H1061,"")</f>
        <v/>
      </c>
      <c r="I1062" s="422" t="str">
        <f t="shared" si="1672"/>
        <v/>
      </c>
      <c r="J1062" s="422" t="str">
        <f t="shared" si="1672"/>
        <v/>
      </c>
      <c r="K1062" s="422" t="str">
        <f t="shared" si="1672"/>
        <v/>
      </c>
      <c r="L1062" s="422" t="str">
        <f t="shared" si="1672"/>
        <v/>
      </c>
      <c r="M1062" s="422" t="str">
        <f t="shared" si="1672"/>
        <v/>
      </c>
      <c r="N1062" s="1515" t="str">
        <f t="shared" si="1672"/>
        <v/>
      </c>
      <c r="O1062" s="336"/>
      <c r="P1062" s="336"/>
      <c r="Q1062" s="1500" t="str">
        <f>EUconst_CNTR_FuelEF &amp;I1047</f>
        <v>FuelEF_Подинсталация с горивен показател (с риск от ИВЕ | извън МКВЕГ)</v>
      </c>
      <c r="R1062" s="694"/>
      <c r="S1062" s="1509" t="str">
        <f>EUconst_ERR_AttrEmBMapplied &amp; I1047</f>
        <v>ERR_AttrEmBM_Подинсталация с горивен показател (с риск от ИВЕ | извън МКВЕГ)</v>
      </c>
      <c r="T1062" s="982">
        <f t="shared" ref="T1062" si="1673">IF(AND(OR(H1064&lt;&gt;0,AND(H1070&lt;&gt;0,H1071="")),EUconst_StatusOfDataCollection=FALSE),1,0)</f>
        <v>0</v>
      </c>
      <c r="U1062" s="982">
        <f t="shared" ref="U1062" si="1674">IF(AND(OR(I1064&lt;&gt;0,AND(I1070&lt;&gt;0,I1071="")),EUconst_StatusOfDataCollection=FALSE),1,0)</f>
        <v>0</v>
      </c>
      <c r="V1062" s="982">
        <f t="shared" ref="V1062" si="1675">IF(AND(OR(J1064&lt;&gt;0,AND(J1070&lt;&gt;0,J1071="")),EUconst_StatusOfDataCollection=FALSE),1,0)</f>
        <v>0</v>
      </c>
      <c r="W1062" s="982">
        <f t="shared" ref="W1062" si="1676">IF(AND(OR(K1064&lt;&gt;0,AND(K1070&lt;&gt;0,K1071="")),EUconst_StatusOfDataCollection=FALSE),1,0)</f>
        <v>0</v>
      </c>
      <c r="X1062" s="982">
        <f t="shared" ref="X1062" si="1677">IF(AND(OR(L1064&lt;&gt;0,AND(L1070&lt;&gt;0,L1071="")),EUconst_StatusOfDataCollection=FALSE),1,0)</f>
        <v>0</v>
      </c>
      <c r="Y1062" s="982">
        <f t="shared" ref="Y1062" si="1678">IF(AND(OR(M1064&lt;&gt;0,AND(M1070&lt;&gt;0,M1071="")),EUconst_StatusOfDataCollection=FALSE),1,0)</f>
        <v>0</v>
      </c>
      <c r="Z1062" s="982">
        <f t="shared" ref="Z1062" si="1679">IF(AND(OR(N1064&lt;&gt;0,AND(N1070&lt;&gt;0,N1071="")),EUconst_StatusOfDataCollection=FALSE),1,0)</f>
        <v>0</v>
      </c>
      <c r="AA1062" s="694"/>
      <c r="AB1062" s="729"/>
      <c r="AC1062" s="982" t="b">
        <f>AC1061</f>
        <v>0</v>
      </c>
      <c r="AD1062" s="982" t="b">
        <f t="shared" ref="AD1062:AI1062" si="1680">AD1061</f>
        <v>0</v>
      </c>
      <c r="AE1062" s="982" t="b">
        <f t="shared" si="1680"/>
        <v>0</v>
      </c>
      <c r="AF1062" s="982" t="b">
        <f t="shared" si="1680"/>
        <v>0</v>
      </c>
      <c r="AG1062" s="982" t="b">
        <f t="shared" si="1680"/>
        <v>0</v>
      </c>
      <c r="AH1062" s="982" t="b">
        <f t="shared" si="1680"/>
        <v>0</v>
      </c>
      <c r="AI1062" s="982" t="b">
        <f t="shared" si="1680"/>
        <v>0</v>
      </c>
      <c r="AJ1062" s="343"/>
      <c r="AK1062" s="1174" t="s">
        <v>2039</v>
      </c>
      <c r="AL1062" s="1176" t="str">
        <f>IF(AND(CNTR_ExistSubInstEntries,COUNTIFS(AC1062:AI1062,2,H1062:N1062,"")&gt;0),EUconst_Error&amp;"FB"&amp;Q927,"")</f>
        <v/>
      </c>
      <c r="AM1062" s="343"/>
    </row>
    <row r="1063" spans="1:39" ht="5.15" customHeight="1" x14ac:dyDescent="0.25">
      <c r="A1063" s="729"/>
      <c r="B1063" s="284"/>
      <c r="C1063" s="1496"/>
      <c r="D1063" s="1497"/>
      <c r="E1063" s="1497"/>
      <c r="F1063" s="1497"/>
      <c r="G1063" s="1497"/>
      <c r="H1063" s="1497"/>
      <c r="I1063" s="1497"/>
      <c r="J1063" s="1497"/>
      <c r="K1063" s="1497"/>
      <c r="L1063" s="1497"/>
      <c r="M1063" s="1497"/>
      <c r="N1063" s="1516"/>
      <c r="O1063" s="336"/>
      <c r="P1063" s="336"/>
      <c r="Q1063" s="770"/>
      <c r="R1063" s="694"/>
      <c r="S1063" s="694"/>
      <c r="T1063" s="694"/>
      <c r="U1063" s="694"/>
      <c r="V1063" s="694"/>
      <c r="W1063" s="694"/>
      <c r="X1063" s="694"/>
      <c r="Y1063" s="694"/>
      <c r="Z1063" s="694"/>
      <c r="AA1063" s="694"/>
      <c r="AB1063" s="729"/>
      <c r="AC1063" s="694"/>
      <c r="AD1063" s="694"/>
      <c r="AE1063" s="694"/>
      <c r="AF1063" s="694"/>
      <c r="AG1063" s="694"/>
      <c r="AH1063" s="694"/>
      <c r="AI1063" s="694"/>
      <c r="AJ1063" s="343"/>
      <c r="AK1063" s="343"/>
      <c r="AL1063" s="343"/>
      <c r="AM1063" s="343"/>
    </row>
    <row r="1064" spans="1:39" ht="12.75" customHeight="1" x14ac:dyDescent="0.25">
      <c r="A1064" s="729"/>
      <c r="B1064" s="284"/>
      <c r="C1064" s="1496"/>
      <c r="D1064" s="1505" t="s">
        <v>8</v>
      </c>
      <c r="E1064" s="2820" t="str">
        <f>Translations!$B$637</f>
        <v>Вложени горива от отпадни газове</v>
      </c>
      <c r="F1064" s="2258"/>
      <c r="G1064" s="1319" t="str">
        <f>EUconst_TJpa</f>
        <v>TJ / година</v>
      </c>
      <c r="H1064" s="56"/>
      <c r="I1064" s="56"/>
      <c r="J1064" s="56"/>
      <c r="K1064" s="56"/>
      <c r="L1064" s="56"/>
      <c r="M1064" s="56"/>
      <c r="N1064" s="121"/>
      <c r="O1064" s="336"/>
      <c r="P1064" s="336"/>
      <c r="Q1064" s="716" t="str">
        <f>EUconst_CNTR_WGConsumed &amp; I1047</f>
        <v>WasteGasCons_Подинсталация с горивен показател (с риск от ИВЕ | извън МКВЕГ)</v>
      </c>
      <c r="R1064" s="694"/>
      <c r="S1064" s="694"/>
      <c r="T1064" s="694"/>
      <c r="U1064" s="694"/>
      <c r="V1064" s="694"/>
      <c r="W1064" s="694"/>
      <c r="X1064" s="694"/>
      <c r="Y1064" s="694"/>
      <c r="Z1064" s="694"/>
      <c r="AA1064" s="694"/>
      <c r="AB1064" s="729"/>
      <c r="AC1064" s="982" t="b">
        <f>AC1061</f>
        <v>0</v>
      </c>
      <c r="AD1064" s="982" t="b">
        <f t="shared" ref="AD1064:AI1064" si="1681">AD1061</f>
        <v>0</v>
      </c>
      <c r="AE1064" s="982" t="b">
        <f t="shared" si="1681"/>
        <v>0</v>
      </c>
      <c r="AF1064" s="982" t="b">
        <f t="shared" si="1681"/>
        <v>0</v>
      </c>
      <c r="AG1064" s="982" t="b">
        <f t="shared" si="1681"/>
        <v>0</v>
      </c>
      <c r="AH1064" s="982" t="b">
        <f t="shared" si="1681"/>
        <v>0</v>
      </c>
      <c r="AI1064" s="982" t="b">
        <f t="shared" si="1681"/>
        <v>0</v>
      </c>
      <c r="AJ1064" s="343"/>
      <c r="AK1064" s="1174" t="s">
        <v>2039</v>
      </c>
      <c r="AL1064" s="1176" t="str">
        <f>IF(AND(CNTR_ExistSubInstEntries,COUNTIFS(AC1064:AI1064,2,H1064:N1064,"")&gt;0),EUconst_Error&amp;"FB"&amp;Q927,"")</f>
        <v/>
      </c>
      <c r="AM1064" s="343"/>
    </row>
    <row r="1065" spans="1:39" ht="12.75" customHeight="1" x14ac:dyDescent="0.3">
      <c r="A1065" s="729"/>
      <c r="B1065" s="284"/>
      <c r="C1065" s="1496"/>
      <c r="D1065" s="1505" t="s">
        <v>18</v>
      </c>
      <c r="E1065" s="2820" t="str">
        <f>Translations!$B$638</f>
        <v>Специфичен EF (отпаден газ)</v>
      </c>
      <c r="F1065" s="2258"/>
      <c r="G1065" s="1320" t="str">
        <f>EUconst_tCO2pTJ</f>
        <v>t CO2 / TJ</v>
      </c>
      <c r="H1065" s="82"/>
      <c r="I1065" s="82"/>
      <c r="J1065" s="82"/>
      <c r="K1065" s="82"/>
      <c r="L1065" s="82"/>
      <c r="M1065" s="82"/>
      <c r="N1065" s="128"/>
      <c r="O1065" s="336"/>
      <c r="P1065" s="336"/>
      <c r="Q1065" s="1500" t="str">
        <f>EUconst_CNTR_WGConsumedEF &amp; I1047</f>
        <v>WasteGasConsEF_Подинсталация с горивен показател (с риск от ИВЕ | извън МКВЕГ)</v>
      </c>
      <c r="R1065" s="694"/>
      <c r="S1065" s="1510" t="str">
        <f>EUconst_CNTR_AttributedEmissions &amp; I1047</f>
        <v>AttrEmissions_Подинсталация с горивен показател (с риск от ИВЕ | извън МКВЕГ)</v>
      </c>
      <c r="T1065" s="982" t="str">
        <f t="shared" ref="T1065:Z1065" si="1682">IF(T913,SUM(H1064)*EUconst_FuelBMvalue,"")</f>
        <v/>
      </c>
      <c r="U1065" s="982" t="str">
        <f t="shared" si="1682"/>
        <v/>
      </c>
      <c r="V1065" s="982" t="str">
        <f t="shared" si="1682"/>
        <v/>
      </c>
      <c r="W1065" s="982" t="str">
        <f t="shared" si="1682"/>
        <v/>
      </c>
      <c r="X1065" s="982" t="str">
        <f t="shared" si="1682"/>
        <v/>
      </c>
      <c r="Y1065" s="982" t="str">
        <f t="shared" si="1682"/>
        <v/>
      </c>
      <c r="Z1065" s="982" t="str">
        <f t="shared" si="1682"/>
        <v/>
      </c>
      <c r="AA1065" s="694"/>
      <c r="AB1065" s="729"/>
      <c r="AC1065" s="982" t="b">
        <f>AC1062</f>
        <v>0</v>
      </c>
      <c r="AD1065" s="982" t="b">
        <f t="shared" ref="AD1065:AI1065" si="1683">AD1062</f>
        <v>0</v>
      </c>
      <c r="AE1065" s="982" t="b">
        <f t="shared" si="1683"/>
        <v>0</v>
      </c>
      <c r="AF1065" s="982" t="b">
        <f t="shared" si="1683"/>
        <v>0</v>
      </c>
      <c r="AG1065" s="982" t="b">
        <f t="shared" si="1683"/>
        <v>0</v>
      </c>
      <c r="AH1065" s="982" t="b">
        <f t="shared" si="1683"/>
        <v>0</v>
      </c>
      <c r="AI1065" s="982" t="b">
        <f t="shared" si="1683"/>
        <v>0</v>
      </c>
      <c r="AJ1065" s="343"/>
      <c r="AK1065" s="1174" t="s">
        <v>2039</v>
      </c>
      <c r="AL1065" s="1176" t="str">
        <f>IF(AND(CNTR_ExistSubInstEntries,COUNTIFS(AC1065:AI1065,2,H1065:N1065,"")&gt;0),EUconst_Error&amp;"FB"&amp;Q927,"")</f>
        <v/>
      </c>
      <c r="AM1065" s="343"/>
    </row>
    <row r="1066" spans="1:39" ht="5.15" customHeight="1" x14ac:dyDescent="0.25">
      <c r="A1066" s="729"/>
      <c r="B1066" s="284"/>
      <c r="C1066" s="1496"/>
      <c r="D1066" s="1497"/>
      <c r="E1066" s="1497"/>
      <c r="F1066" s="1497"/>
      <c r="G1066" s="1497"/>
      <c r="H1066" s="1497"/>
      <c r="I1066" s="1497"/>
      <c r="J1066" s="1497"/>
      <c r="K1066" s="1497"/>
      <c r="L1066" s="1497"/>
      <c r="M1066" s="1497"/>
      <c r="N1066" s="1503"/>
      <c r="O1066" s="336"/>
      <c r="P1066" s="336"/>
      <c r="Q1066" s="770"/>
      <c r="R1066" s="694"/>
      <c r="S1066" s="694"/>
      <c r="T1066" s="694"/>
      <c r="U1066" s="694"/>
      <c r="V1066" s="694"/>
      <c r="W1066" s="694"/>
      <c r="X1066" s="694"/>
      <c r="Y1066" s="694"/>
      <c r="Z1066" s="694"/>
      <c r="AA1066" s="694"/>
      <c r="AB1066" s="694"/>
      <c r="AC1066" s="694"/>
      <c r="AD1066" s="694"/>
      <c r="AE1066" s="694"/>
      <c r="AF1066" s="694"/>
      <c r="AG1066" s="694"/>
      <c r="AH1066" s="694"/>
      <c r="AI1066" s="694"/>
      <c r="AJ1066" s="343"/>
      <c r="AK1066" s="343"/>
      <c r="AL1066" s="343"/>
      <c r="AM1066" s="343"/>
    </row>
    <row r="1067" spans="1:39" ht="12.75" customHeight="1" x14ac:dyDescent="0.25">
      <c r="A1067" s="729"/>
      <c r="B1067" s="284"/>
      <c r="C1067" s="1496"/>
      <c r="D1067" s="1505" t="s">
        <v>810</v>
      </c>
      <c r="E1067" s="2820" t="str">
        <f>Translations!$B$1475</f>
        <v>Вложена електроенергия за производството на топлинна енергия</v>
      </c>
      <c r="F1067" s="2258"/>
      <c r="G1067" s="1319" t="str">
        <f>EUconst_TJpa</f>
        <v>TJ / година</v>
      </c>
      <c r="H1067" s="56"/>
      <c r="I1067" s="56"/>
      <c r="J1067" s="56"/>
      <c r="K1067" s="56"/>
      <c r="L1067" s="56"/>
      <c r="M1067" s="56"/>
      <c r="N1067" s="121"/>
      <c r="O1067" s="336"/>
      <c r="P1067" s="336"/>
      <c r="Q1067" s="716" t="str">
        <f>EUconst_CNTR_ElectricityInput &amp; I1047</f>
        <v>ElectricityInput_Подинсталация с горивен показател (с риск от ИВЕ | извън МКВЕГ)</v>
      </c>
      <c r="R1067" s="694"/>
      <c r="S1067" s="694"/>
      <c r="T1067" s="694"/>
      <c r="U1067" s="694"/>
      <c r="V1067" s="694"/>
      <c r="W1067" s="694"/>
      <c r="X1067" s="694"/>
      <c r="Y1067" s="694"/>
      <c r="Z1067" s="694"/>
      <c r="AA1067" s="694"/>
      <c r="AB1067" s="729"/>
      <c r="AC1067" s="982" t="b">
        <f>AC1064</f>
        <v>0</v>
      </c>
      <c r="AD1067" s="982" t="b">
        <f t="shared" ref="AD1067:AI1067" si="1684">AD1064</f>
        <v>0</v>
      </c>
      <c r="AE1067" s="982" t="b">
        <f t="shared" si="1684"/>
        <v>0</v>
      </c>
      <c r="AF1067" s="982" t="b">
        <f t="shared" si="1684"/>
        <v>0</v>
      </c>
      <c r="AG1067" s="982" t="b">
        <f t="shared" si="1684"/>
        <v>0</v>
      </c>
      <c r="AH1067" s="982" t="b">
        <f t="shared" si="1684"/>
        <v>0</v>
      </c>
      <c r="AI1067" s="982" t="b">
        <f t="shared" si="1684"/>
        <v>0</v>
      </c>
      <c r="AJ1067" s="343"/>
      <c r="AK1067" s="1174" t="s">
        <v>2039</v>
      </c>
      <c r="AL1067" s="1176" t="str">
        <f>IF(AND(CNTR_ExistSubInstEntries,COUNTIFS(AC1067:AI1067,2,H1067:N1067,"")&gt;0),EUconst_Error&amp;"FB"&amp;Q930,"")</f>
        <v/>
      </c>
      <c r="AM1067" s="343"/>
    </row>
    <row r="1068" spans="1:39" ht="12.75" customHeight="1" x14ac:dyDescent="0.25">
      <c r="A1068" s="729"/>
      <c r="B1068" s="284"/>
      <c r="C1068" s="1496"/>
      <c r="D1068" s="1505" t="s">
        <v>811</v>
      </c>
      <c r="E1068" s="2820" t="str">
        <f>Translations!$B$522</f>
        <v>Претеглен емисионен фактор</v>
      </c>
      <c r="F1068" s="2258"/>
      <c r="G1068" s="1320" t="str">
        <f>EUconst_tCO2pTJ</f>
        <v>t CO2 / TJ</v>
      </c>
      <c r="H1068" s="82"/>
      <c r="I1068" s="82"/>
      <c r="J1068" s="82"/>
      <c r="K1068" s="82"/>
      <c r="L1068" s="82"/>
      <c r="M1068" s="82"/>
      <c r="N1068" s="128"/>
      <c r="O1068" s="336"/>
      <c r="P1068" s="336"/>
      <c r="Q1068" s="1500" t="str">
        <f>EUconst_CNTR_ElectricityEF&amp; I1047</f>
        <v>ElectricityEF_Подинсталация с горивен показател (с риск от ИВЕ | извън МКВЕГ)</v>
      </c>
      <c r="R1068" s="694"/>
      <c r="S1068" s="694"/>
      <c r="T1068" s="694"/>
      <c r="U1068" s="694"/>
      <c r="V1068" s="694"/>
      <c r="W1068" s="694"/>
      <c r="X1068" s="694"/>
      <c r="Y1068" s="694"/>
      <c r="Z1068" s="694"/>
      <c r="AA1068" s="694"/>
      <c r="AB1068" s="729"/>
      <c r="AC1068" s="982" t="b">
        <f>AC1065</f>
        <v>0</v>
      </c>
      <c r="AD1068" s="982" t="b">
        <f t="shared" ref="AD1068:AI1068" si="1685">AD1065</f>
        <v>0</v>
      </c>
      <c r="AE1068" s="982" t="b">
        <f t="shared" si="1685"/>
        <v>0</v>
      </c>
      <c r="AF1068" s="982" t="b">
        <f t="shared" si="1685"/>
        <v>0</v>
      </c>
      <c r="AG1068" s="982" t="b">
        <f t="shared" si="1685"/>
        <v>0</v>
      </c>
      <c r="AH1068" s="982" t="b">
        <f t="shared" si="1685"/>
        <v>0</v>
      </c>
      <c r="AI1068" s="982" t="b">
        <f t="shared" si="1685"/>
        <v>0</v>
      </c>
      <c r="AJ1068" s="343"/>
      <c r="AK1068" s="1174" t="s">
        <v>2039</v>
      </c>
      <c r="AL1068" s="1176" t="str">
        <f>IF(AND(CNTR_ExistSubInstEntries,COUNTIFS(AC1068:AI1068,2,H1068:N1068,"")&gt;0),EUconst_Error&amp;"FB"&amp;Q930,"")</f>
        <v/>
      </c>
      <c r="AM1068" s="343"/>
    </row>
    <row r="1069" spans="1:39" ht="5.15" customHeight="1" x14ac:dyDescent="0.25">
      <c r="A1069" s="729"/>
      <c r="B1069" s="284"/>
      <c r="C1069" s="1496"/>
      <c r="D1069" s="1497"/>
      <c r="E1069" s="1497"/>
      <c r="F1069" s="1497"/>
      <c r="G1069" s="1497"/>
      <c r="H1069" s="1497"/>
      <c r="I1069" s="1497"/>
      <c r="J1069" s="1497"/>
      <c r="K1069" s="1497"/>
      <c r="L1069" s="1497"/>
      <c r="M1069" s="1497"/>
      <c r="N1069" s="1503"/>
      <c r="O1069" s="336"/>
      <c r="P1069" s="336"/>
      <c r="Q1069" s="770"/>
      <c r="R1069" s="694"/>
      <c r="S1069" s="694"/>
      <c r="T1069" s="694"/>
      <c r="U1069" s="694"/>
      <c r="V1069" s="694"/>
      <c r="W1069" s="694"/>
      <c r="X1069" s="694"/>
      <c r="Y1069" s="694"/>
      <c r="Z1069" s="694"/>
      <c r="AA1069" s="694"/>
      <c r="AB1069" s="694"/>
      <c r="AC1069" s="694"/>
      <c r="AD1069" s="694"/>
      <c r="AE1069" s="694"/>
      <c r="AF1069" s="694"/>
      <c r="AG1069" s="694"/>
      <c r="AH1069" s="694"/>
      <c r="AI1069" s="694"/>
      <c r="AJ1069" s="343"/>
      <c r="AK1069" s="343"/>
      <c r="AL1069" s="343"/>
      <c r="AM1069" s="343"/>
    </row>
    <row r="1070" spans="1:39" ht="12.75" customHeight="1" x14ac:dyDescent="0.3">
      <c r="A1070" s="729"/>
      <c r="B1070" s="284"/>
      <c r="C1070" s="1496"/>
      <c r="D1070" s="1307" t="s">
        <v>54</v>
      </c>
      <c r="E1070" s="2929" t="str">
        <f>Translations!$B$560</f>
        <v>Нетно количество подадена топлинна енергия</v>
      </c>
      <c r="F1070" s="2258"/>
      <c r="G1070" s="1319" t="str">
        <f>EUconst_TJpa</f>
        <v>TJ / година</v>
      </c>
      <c r="H1070" s="56"/>
      <c r="I1070" s="56"/>
      <c r="J1070" s="56"/>
      <c r="K1070" s="56"/>
      <c r="L1070" s="56"/>
      <c r="M1070" s="56"/>
      <c r="N1070" s="121"/>
      <c r="O1070" s="336"/>
      <c r="P1070" s="336"/>
      <c r="Q1070" s="1158" t="str">
        <f>EUconst_CNTR_HeatExport &amp; I1047</f>
        <v>HeatEx_Подинсталация с горивен показател (с риск от ИВЕ | извън МКВЕГ)</v>
      </c>
      <c r="R1070" s="694"/>
      <c r="S1070" s="1510" t="str">
        <f>EUconst_CNTR_AttributedEmissions &amp; I1047</f>
        <v>AttrEmissions_Подинсталация с горивен показател (с риск от ИВЕ | извън МКВЕГ)</v>
      </c>
      <c r="T1070" s="982" t="str">
        <f t="shared" ref="T1070:Z1070" si="1686">IF(T913,-SUM(H1070)*IF(ISNUMBER(H1071),H1071,EUconst_HeatBMvalue),"")</f>
        <v/>
      </c>
      <c r="U1070" s="982" t="str">
        <f t="shared" si="1686"/>
        <v/>
      </c>
      <c r="V1070" s="982" t="str">
        <f t="shared" si="1686"/>
        <v/>
      </c>
      <c r="W1070" s="982" t="str">
        <f t="shared" si="1686"/>
        <v/>
      </c>
      <c r="X1070" s="982" t="str">
        <f t="shared" si="1686"/>
        <v/>
      </c>
      <c r="Y1070" s="982" t="str">
        <f t="shared" si="1686"/>
        <v/>
      </c>
      <c r="Z1070" s="982" t="str">
        <f t="shared" si="1686"/>
        <v/>
      </c>
      <c r="AA1070" s="694"/>
      <c r="AB1070" s="694"/>
      <c r="AC1070" s="982" t="b">
        <f>AC1064</f>
        <v>0</v>
      </c>
      <c r="AD1070" s="982" t="b">
        <f t="shared" ref="AD1070:AI1070" si="1687">AD1064</f>
        <v>0</v>
      </c>
      <c r="AE1070" s="982" t="b">
        <f t="shared" si="1687"/>
        <v>0</v>
      </c>
      <c r="AF1070" s="982" t="b">
        <f t="shared" si="1687"/>
        <v>0</v>
      </c>
      <c r="AG1070" s="982" t="b">
        <f t="shared" si="1687"/>
        <v>0</v>
      </c>
      <c r="AH1070" s="982" t="b">
        <f t="shared" si="1687"/>
        <v>0</v>
      </c>
      <c r="AI1070" s="982" t="b">
        <f t="shared" si="1687"/>
        <v>0</v>
      </c>
      <c r="AJ1070" s="343"/>
      <c r="AK1070" s="1174" t="s">
        <v>2039</v>
      </c>
      <c r="AL1070" s="1176" t="str">
        <f>IF(AND(CNTR_ExistSubInstEntries,COUNTIFS(AC1070:AI1070,2,H1070:N1070,"")&gt;0),EUconst_Error&amp;"FB"&amp;Q927,"")</f>
        <v/>
      </c>
      <c r="AM1070" s="343"/>
    </row>
    <row r="1071" spans="1:39" ht="12.75" customHeight="1" x14ac:dyDescent="0.3">
      <c r="A1071" s="729"/>
      <c r="B1071" s="284"/>
      <c r="C1071" s="1496"/>
      <c r="D1071" s="1307"/>
      <c r="E1071" s="2820" t="str">
        <f>Translations!$B$665</f>
        <v>Специфичен EF (подадена топлинна енергия)</v>
      </c>
      <c r="F1071" s="2258"/>
      <c r="G1071" s="1320" t="str">
        <f>EUconst_tCO2pTJ</f>
        <v>t CO2 / TJ</v>
      </c>
      <c r="H1071" s="82"/>
      <c r="I1071" s="82"/>
      <c r="J1071" s="82"/>
      <c r="K1071" s="82"/>
      <c r="L1071" s="82"/>
      <c r="M1071" s="82"/>
      <c r="N1071" s="128"/>
      <c r="O1071" s="336"/>
      <c r="P1071" s="336"/>
      <c r="Q1071" s="1158" t="str">
        <f>EUconst_CNTR_HeatExportEF &amp; I1047</f>
        <v>HeatExEF_Подинсталация с горивен показател (с риск от ИВЕ | извън МКВЕГ)</v>
      </c>
      <c r="R1071" s="694"/>
      <c r="S1071" s="1517"/>
      <c r="T1071" s="694"/>
      <c r="U1071" s="694"/>
      <c r="V1071" s="694"/>
      <c r="W1071" s="694"/>
      <c r="X1071" s="694"/>
      <c r="Y1071" s="694"/>
      <c r="Z1071" s="694"/>
      <c r="AA1071" s="694"/>
      <c r="AB1071" s="694"/>
      <c r="AC1071" s="982" t="b">
        <f>AC1065</f>
        <v>0</v>
      </c>
      <c r="AD1071" s="982" t="b">
        <f t="shared" ref="AD1071:AI1071" si="1688">AD1065</f>
        <v>0</v>
      </c>
      <c r="AE1071" s="982" t="b">
        <f t="shared" si="1688"/>
        <v>0</v>
      </c>
      <c r="AF1071" s="982" t="b">
        <f t="shared" si="1688"/>
        <v>0</v>
      </c>
      <c r="AG1071" s="982" t="b">
        <f t="shared" si="1688"/>
        <v>0</v>
      </c>
      <c r="AH1071" s="982" t="b">
        <f t="shared" si="1688"/>
        <v>0</v>
      </c>
      <c r="AI1071" s="982" t="b">
        <f t="shared" si="1688"/>
        <v>0</v>
      </c>
      <c r="AJ1071" s="343"/>
      <c r="AK1071" s="1174" t="s">
        <v>2039</v>
      </c>
      <c r="AL1071" s="1176" t="str">
        <f>IF(AND(CNTR_ExistSubInstEntries,COUNTIFS(AC1071:AI1071,2,H1071:N1071,"")&gt;0),EUconst_Error&amp;"FB"&amp;Q927,"")</f>
        <v/>
      </c>
      <c r="AM1071" s="343"/>
    </row>
    <row r="1072" spans="1:39" ht="12.75" customHeight="1" x14ac:dyDescent="0.3">
      <c r="A1072" s="729"/>
      <c r="B1072" s="284"/>
      <c r="C1072" s="1496"/>
      <c r="D1072" s="1307"/>
      <c r="E1072" s="2853" t="str">
        <f>Translations!$B$548</f>
        <v>Посочените тук данни ще се отразят на емисиите, които могат да бъдат зададени съгласно раздел 10.1.2 и 10.1.3 от приложение VII към ПБР.</v>
      </c>
      <c r="F1072" s="2850"/>
      <c r="G1072" s="2850"/>
      <c r="H1072" s="2850"/>
      <c r="I1072" s="2850"/>
      <c r="J1072" s="2850"/>
      <c r="K1072" s="2850"/>
      <c r="L1072" s="2850"/>
      <c r="M1072" s="2850"/>
      <c r="N1072" s="2854"/>
      <c r="O1072" s="336"/>
      <c r="P1072" s="336"/>
      <c r="Q1072" s="770"/>
      <c r="R1072" s="694"/>
      <c r="S1072" s="1517"/>
      <c r="T1072" s="694"/>
      <c r="U1072" s="694"/>
      <c r="V1072" s="694"/>
      <c r="W1072" s="694"/>
      <c r="X1072" s="694"/>
      <c r="Y1072" s="694"/>
      <c r="Z1072" s="694"/>
      <c r="AA1072" s="694"/>
      <c r="AB1072" s="694"/>
      <c r="AC1072" s="694"/>
      <c r="AD1072" s="694"/>
      <c r="AE1072" s="694"/>
      <c r="AF1072" s="694"/>
      <c r="AG1072" s="694"/>
      <c r="AH1072" s="694"/>
      <c r="AI1072" s="694"/>
      <c r="AJ1072" s="343"/>
      <c r="AK1072" s="343"/>
      <c r="AL1072" s="343"/>
      <c r="AM1072" s="343"/>
    </row>
    <row r="1073" spans="1:39" ht="12.75" customHeight="1" thickBot="1" x14ac:dyDescent="0.3">
      <c r="A1073" s="729"/>
      <c r="B1073" s="284"/>
      <c r="C1073" s="1511"/>
      <c r="D1073" s="1512"/>
      <c r="E1073" s="2916" t="str">
        <f>Translations!$B$666</f>
        <v>Това включва всяка отпадна топлина, извлечена и отговаряща на условията за подинсталация с топлинен показател или подинсталация на топлофикационна мрежа.</v>
      </c>
      <c r="F1073" s="2917"/>
      <c r="G1073" s="2917"/>
      <c r="H1073" s="2917"/>
      <c r="I1073" s="2917"/>
      <c r="J1073" s="2917"/>
      <c r="K1073" s="2917"/>
      <c r="L1073" s="2917"/>
      <c r="M1073" s="2917"/>
      <c r="N1073" s="2918"/>
      <c r="O1073" s="336"/>
      <c r="P1073" s="336"/>
      <c r="Q1073" s="770"/>
      <c r="R1073" s="694"/>
      <c r="S1073" s="770"/>
      <c r="T1073" s="694"/>
      <c r="U1073" s="694"/>
      <c r="V1073" s="694"/>
      <c r="W1073" s="694"/>
      <c r="X1073" s="694"/>
      <c r="Y1073" s="694"/>
      <c r="Z1073" s="694"/>
      <c r="AA1073" s="694"/>
      <c r="AB1073" s="694"/>
      <c r="AC1073" s="694"/>
      <c r="AD1073" s="694"/>
      <c r="AE1073" s="694"/>
      <c r="AF1073" s="694"/>
      <c r="AG1073" s="694"/>
      <c r="AH1073" s="694"/>
      <c r="AI1073" s="694"/>
      <c r="AJ1073" s="343"/>
      <c r="AK1073" s="343"/>
      <c r="AL1073" s="343"/>
      <c r="AM1073" s="343"/>
    </row>
    <row r="1074" spans="1:39" ht="25.5" customHeight="1" thickBot="1" x14ac:dyDescent="0.3">
      <c r="A1074" s="694"/>
      <c r="B1074" s="698"/>
      <c r="C1074" s="698"/>
      <c r="D1074" s="698"/>
      <c r="E1074" s="698"/>
      <c r="F1074" s="698"/>
      <c r="G1074" s="698"/>
      <c r="H1074" s="698"/>
      <c r="I1074" s="698"/>
      <c r="J1074" s="698"/>
      <c r="K1074" s="698"/>
      <c r="L1074" s="698"/>
      <c r="M1074" s="698"/>
      <c r="N1074" s="698"/>
      <c r="O1074" s="336"/>
      <c r="P1074" s="336"/>
      <c r="Q1074" s="694"/>
      <c r="R1074" s="694"/>
      <c r="S1074" s="694"/>
      <c r="T1074" s="694"/>
      <c r="U1074" s="694"/>
      <c r="V1074" s="694"/>
      <c r="W1074" s="694"/>
      <c r="X1074" s="694"/>
      <c r="Y1074" s="694"/>
      <c r="Z1074" s="694"/>
      <c r="AA1074" s="694"/>
      <c r="AB1074" s="694"/>
      <c r="AC1074" s="694"/>
      <c r="AD1074" s="694"/>
      <c r="AE1074" s="343"/>
      <c r="AF1074" s="343"/>
      <c r="AG1074" s="343"/>
      <c r="AH1074" s="343"/>
      <c r="AI1074" s="343"/>
      <c r="AJ1074" s="343"/>
      <c r="AK1074" s="343"/>
      <c r="AL1074" s="343"/>
      <c r="AM1074" s="343"/>
    </row>
    <row r="1075" spans="1:39" ht="5.15" customHeight="1" thickBot="1" x14ac:dyDescent="0.3">
      <c r="A1075" s="694"/>
      <c r="B1075" s="284"/>
      <c r="C1075" s="581"/>
      <c r="D1075" s="581"/>
      <c r="E1075" s="581"/>
      <c r="F1075" s="581"/>
      <c r="G1075" s="581"/>
      <c r="H1075" s="581"/>
      <c r="I1075" s="581"/>
      <c r="J1075" s="581"/>
      <c r="K1075" s="581"/>
      <c r="L1075" s="581"/>
      <c r="M1075" s="581"/>
      <c r="N1075" s="581"/>
      <c r="O1075" s="336"/>
      <c r="P1075" s="336"/>
      <c r="Q1075" s="770"/>
      <c r="R1075" s="770"/>
      <c r="S1075" s="770"/>
      <c r="T1075" s="770"/>
      <c r="U1075" s="770"/>
      <c r="V1075" s="770"/>
      <c r="W1075" s="770"/>
      <c r="X1075" s="770"/>
      <c r="Y1075" s="770"/>
      <c r="Z1075" s="694"/>
      <c r="AA1075" s="694"/>
      <c r="AB1075" s="694"/>
      <c r="AC1075" s="694"/>
      <c r="AD1075" s="694"/>
      <c r="AE1075" s="343"/>
      <c r="AF1075" s="343"/>
      <c r="AG1075" s="343"/>
      <c r="AH1075" s="343"/>
      <c r="AI1075" s="343"/>
      <c r="AJ1075" s="343"/>
      <c r="AK1075" s="343"/>
      <c r="AL1075" s="343"/>
      <c r="AM1075" s="343"/>
    </row>
    <row r="1076" spans="1:39" ht="14.5" thickBot="1" x14ac:dyDescent="0.35">
      <c r="A1076" s="694"/>
      <c r="B1076" s="284"/>
      <c r="C1076" s="357">
        <f>C905+1</f>
        <v>6</v>
      </c>
      <c r="D1076" s="2323" t="str">
        <f>EUconst_FBSubinst &amp; ":"</f>
        <v>Алтернативна подинсталация („Fall-Back sub-installation“):</v>
      </c>
      <c r="E1076" s="2249"/>
      <c r="F1076" s="2249"/>
      <c r="G1076" s="2249"/>
      <c r="H1076" s="2295"/>
      <c r="I1076" s="2843" t="str">
        <f>INDEX(EUconst_FallBackListNames,$C1076)</f>
        <v>Подинсталация с горивен показател (без риск от ИВЕ | извън МКВЕГ)</v>
      </c>
      <c r="J1076" s="2844"/>
      <c r="K1076" s="2844"/>
      <c r="L1076" s="2845"/>
      <c r="M1076" s="2919" t="str">
        <f>IF(INDEX(CNTR_FallBackSubInstRelevant,C1076)="","",IF(INDEX(CNTR_FallBackSubInstRelevant,C1076),EUconst_Relevant,EUconst_NotRelevant))</f>
        <v/>
      </c>
      <c r="N1076" s="2920"/>
      <c r="O1076" s="336"/>
      <c r="P1076" s="336"/>
      <c r="Q1076" s="1391">
        <f>C1076</f>
        <v>6</v>
      </c>
      <c r="R1076" s="694"/>
      <c r="S1076" s="1174" t="str">
        <f>Translations!$B$898</f>
        <v>Дата на въвеждане в експлоатация:</v>
      </c>
      <c r="T1076" s="1175" t="str">
        <f>IF(M1076&lt;&gt;EUconst_Relevant,"",MAX(INDEX(CNTR_SubInstStartDate,MATCH($I1076,CNTR_SubInstListNames,0)),DATE(2005,1,1)))</f>
        <v/>
      </c>
      <c r="U1076" s="729" t="s">
        <v>1731</v>
      </c>
      <c r="V1076" s="1176">
        <f>IF(ISNUMBER(T1076),YEAR($T1076-IF(YEAR(T1076)&gt;=2022,0,1))+1,2005)</f>
        <v>2005</v>
      </c>
      <c r="W1076" s="1174" t="s">
        <v>1734</v>
      </c>
      <c r="X1076" s="1175" t="str">
        <f>IF(M1076&lt;&gt;EUconst_Relevant,"",INDEX(CNTR_SubInstCessationDate,MATCH($I1076,CNTR_SubInstListNames,0)))</f>
        <v/>
      </c>
      <c r="Y1076" s="1174" t="s">
        <v>1735</v>
      </c>
      <c r="Z1076" s="1176">
        <f>IF(SUM(X1076)=0,2050,YEAR($X1076))</f>
        <v>2050</v>
      </c>
      <c r="AA1076" s="1174" t="s">
        <v>2009</v>
      </c>
      <c r="AB1076" s="1176" t="b">
        <f>CNTR_ReportingYear&gt;V1076</f>
        <v>1</v>
      </c>
      <c r="AC1076" s="1174" t="s">
        <v>1395</v>
      </c>
      <c r="AD1076" s="1177" t="b">
        <f>AND(CNTR_ExistSubInstEntries,M1076=EUconst_NotRelevant)</f>
        <v>0</v>
      </c>
      <c r="AE1076" s="343"/>
      <c r="AF1076" s="343"/>
      <c r="AG1076" s="343"/>
      <c r="AH1076" s="343"/>
      <c r="AI1076" s="343"/>
      <c r="AJ1076" s="343"/>
      <c r="AK1076" s="343"/>
      <c r="AL1076" s="343"/>
      <c r="AM1076" s="343"/>
    </row>
    <row r="1077" spans="1:39" ht="12.75" customHeight="1" x14ac:dyDescent="0.25">
      <c r="A1077" s="694"/>
      <c r="B1077" s="698"/>
      <c r="C1077" s="698"/>
      <c r="D1077" s="698"/>
      <c r="E1077" s="698"/>
      <c r="F1077" s="698"/>
      <c r="G1077" s="698"/>
      <c r="H1077" s="773"/>
      <c r="I1077" s="2921" t="str">
        <f>IF(M1076&lt;&gt;EUconst_Relevant,"",IF(M1076=EUconst_Relevant,HYPERLINK("",EUconst_MsgEnterThisSection),HYPERLINK(R1077,EUconst_MsgGoToNextSubInst)))</f>
        <v/>
      </c>
      <c r="J1077" s="2922"/>
      <c r="K1077" s="2922"/>
      <c r="L1077" s="2922"/>
      <c r="M1077" s="2923"/>
      <c r="N1077" s="2924"/>
      <c r="O1077" s="336"/>
      <c r="P1077" s="336"/>
      <c r="Q1077" s="694" t="s">
        <v>450</v>
      </c>
      <c r="R1077" s="875" t="str">
        <f>"#JUMP_G"&amp;Q1076+1</f>
        <v>#JUMP_G7</v>
      </c>
      <c r="S1077" s="694"/>
      <c r="T1077" s="694"/>
      <c r="U1077" s="694"/>
      <c r="V1077" s="694"/>
      <c r="W1077" s="694"/>
      <c r="X1077" s="694"/>
      <c r="Y1077" s="694"/>
      <c r="Z1077" s="729"/>
      <c r="AA1077" s="694"/>
      <c r="AB1077" s="694"/>
      <c r="AC1077" s="694"/>
      <c r="AD1077" s="694"/>
      <c r="AE1077" s="343"/>
      <c r="AF1077" s="343"/>
      <c r="AG1077" s="343"/>
      <c r="AH1077" s="343"/>
      <c r="AI1077" s="343"/>
      <c r="AJ1077" s="343"/>
      <c r="AK1077" s="343"/>
      <c r="AL1077" s="343"/>
      <c r="AM1077" s="343"/>
    </row>
    <row r="1078" spans="1:39" ht="12.75" customHeight="1" x14ac:dyDescent="0.25">
      <c r="A1078" s="694"/>
      <c r="B1078" s="284"/>
      <c r="C1078" s="284"/>
      <c r="D1078" s="302"/>
      <c r="E1078" s="2358" t="str">
        <f>Translations!$B$613</f>
        <v>Името на алтернативната подинсталация („fall-back sub-installation“) се показва автоматично въз основа на общия списък на възможните алтернативни инсталации.</v>
      </c>
      <c r="F1078" s="2249"/>
      <c r="G1078" s="2249"/>
      <c r="H1078" s="2249"/>
      <c r="I1078" s="2249"/>
      <c r="J1078" s="2249"/>
      <c r="K1078" s="2249"/>
      <c r="L1078" s="2249"/>
      <c r="M1078" s="2249"/>
      <c r="N1078" s="2249"/>
      <c r="O1078" s="336"/>
      <c r="P1078" s="336"/>
      <c r="Q1078" s="770"/>
      <c r="R1078" s="770"/>
      <c r="S1078" s="694"/>
      <c r="T1078" s="694"/>
      <c r="U1078" s="694"/>
      <c r="V1078" s="694"/>
      <c r="W1078" s="694"/>
      <c r="X1078" s="694"/>
      <c r="Y1078" s="694"/>
      <c r="Z1078" s="694"/>
      <c r="AA1078" s="694"/>
      <c r="AB1078" s="694"/>
      <c r="AC1078" s="694"/>
      <c r="AD1078" s="694"/>
      <c r="AE1078" s="343"/>
      <c r="AF1078" s="343"/>
      <c r="AG1078" s="343"/>
      <c r="AH1078" s="343"/>
      <c r="AI1078" s="343"/>
      <c r="AJ1078" s="343"/>
      <c r="AK1078" s="343"/>
      <c r="AL1078" s="343"/>
      <c r="AM1078" s="343"/>
    </row>
    <row r="1079" spans="1:39" ht="5.15" customHeight="1" x14ac:dyDescent="0.25">
      <c r="A1079" s="694"/>
      <c r="B1079" s="284"/>
      <c r="C1079" s="284"/>
      <c r="D1079" s="284"/>
      <c r="E1079" s="284"/>
      <c r="F1079" s="284"/>
      <c r="G1079" s="284"/>
      <c r="H1079" s="284"/>
      <c r="I1079" s="284"/>
      <c r="J1079" s="284"/>
      <c r="K1079" s="284"/>
      <c r="L1079" s="284"/>
      <c r="M1079" s="336"/>
      <c r="N1079" s="336"/>
      <c r="O1079" s="336"/>
      <c r="P1079" s="336"/>
      <c r="Q1079" s="770"/>
      <c r="R1079" s="770"/>
      <c r="S1079" s="770"/>
      <c r="T1079" s="770"/>
      <c r="U1079" s="770"/>
      <c r="V1079" s="770"/>
      <c r="W1079" s="770"/>
      <c r="X1079" s="770"/>
      <c r="Y1079" s="770"/>
      <c r="Z1079" s="694"/>
      <c r="AA1079" s="694"/>
      <c r="AB1079" s="694"/>
      <c r="AC1079" s="694"/>
      <c r="AD1079" s="694"/>
      <c r="AE1079" s="343"/>
      <c r="AF1079" s="343"/>
      <c r="AG1079" s="343"/>
      <c r="AH1079" s="343"/>
      <c r="AI1079" s="343"/>
      <c r="AJ1079" s="343"/>
      <c r="AK1079" s="343"/>
      <c r="AL1079" s="343"/>
      <c r="AM1079" s="343"/>
    </row>
    <row r="1080" spans="1:39" ht="12.75" customHeight="1" x14ac:dyDescent="0.25">
      <c r="A1080" s="694"/>
      <c r="B1080" s="284"/>
      <c r="C1080" s="300"/>
      <c r="D1080" s="300" t="s">
        <v>408</v>
      </c>
      <c r="E1080" s="2226" t="str">
        <f>Translations!$B$1315</f>
        <v>Равнища на дейност</v>
      </c>
      <c r="F1080" s="2249"/>
      <c r="G1080" s="2249"/>
      <c r="H1080" s="2249"/>
      <c r="I1080" s="2249"/>
      <c r="J1080" s="2249"/>
      <c r="K1080" s="2249"/>
      <c r="L1080" s="2249"/>
      <c r="M1080" s="2249"/>
      <c r="N1080" s="2249"/>
      <c r="O1080" s="336"/>
      <c r="P1080" s="336"/>
      <c r="Q1080" s="770"/>
      <c r="R1080" s="770"/>
      <c r="S1080" s="770"/>
      <c r="T1080" s="770"/>
      <c r="U1080" s="770"/>
      <c r="V1080" s="770"/>
      <c r="W1080" s="770"/>
      <c r="X1080" s="770"/>
      <c r="Y1080" s="770"/>
      <c r="Z1080" s="694"/>
      <c r="AA1080" s="694"/>
      <c r="AB1080" s="729"/>
      <c r="AC1080" s="694"/>
      <c r="AD1080" s="694"/>
      <c r="AE1080" s="343"/>
      <c r="AF1080" s="343"/>
      <c r="AG1080" s="343"/>
      <c r="AH1080" s="343"/>
      <c r="AI1080" s="343"/>
      <c r="AJ1080" s="343"/>
      <c r="AK1080" s="343"/>
      <c r="AL1080" s="343"/>
      <c r="AM1080" s="343"/>
    </row>
    <row r="1081" spans="1:39" ht="12.75" hidden="1" customHeight="1" x14ac:dyDescent="0.25">
      <c r="A1081" s="694" t="str">
        <f>IF(C1076&gt;4,$A$1,"")</f>
        <v>ausblenden</v>
      </c>
      <c r="B1081" s="284"/>
      <c r="C1081" s="302"/>
      <c r="D1081" s="302"/>
      <c r="E1081" s="2925" t="str">
        <f>Translations!$B$614</f>
        <v>Следните данни се вземат автоматично от раздел E.II.r на лист „E_EnergyFlows“ („E_Енергийни потоци“).Затова въвеждането на данни там е задължително.</v>
      </c>
      <c r="F1081" s="2925"/>
      <c r="G1081" s="2925"/>
      <c r="H1081" s="2925"/>
      <c r="I1081" s="2925"/>
      <c r="J1081" s="2925"/>
      <c r="K1081" s="2925"/>
      <c r="L1081" s="2925"/>
      <c r="M1081" s="2925"/>
      <c r="N1081" s="2925"/>
      <c r="O1081" s="336"/>
      <c r="P1081" s="336"/>
      <c r="Q1081" s="770"/>
      <c r="R1081" s="694"/>
      <c r="S1081" s="694"/>
      <c r="T1081" s="694"/>
      <c r="U1081" s="694"/>
      <c r="V1081" s="694"/>
      <c r="W1081" s="694"/>
      <c r="X1081" s="694"/>
      <c r="Y1081" s="694"/>
      <c r="Z1081" s="694"/>
      <c r="AA1081" s="694"/>
      <c r="AB1081" s="694"/>
      <c r="AC1081" s="694"/>
      <c r="AD1081" s="694"/>
      <c r="AE1081" s="343"/>
      <c r="AF1081" s="343"/>
      <c r="AG1081" s="343"/>
      <c r="AH1081" s="343"/>
      <c r="AI1081" s="343"/>
      <c r="AJ1081" s="343"/>
      <c r="AK1081" s="343"/>
      <c r="AL1081" s="343"/>
      <c r="AM1081" s="343"/>
    </row>
    <row r="1082" spans="1:39" ht="12.75" customHeight="1" x14ac:dyDescent="0.25">
      <c r="A1082" s="694"/>
      <c r="B1082" s="284"/>
      <c r="C1082" s="284"/>
      <c r="D1082" s="302"/>
      <c r="E1082" s="2358" t="str">
        <f>Translations!$B$1332</f>
        <v>На базата на началото на нормална експлоатация, въведено в B+C.I, HAL ще се основава или на стойността в НМИ (показана в ii.), или на първата година на пълна експлоатация за нови подинсталации (посочена в iv.).</v>
      </c>
      <c r="F1082" s="2926"/>
      <c r="G1082" s="2926"/>
      <c r="H1082" s="2926"/>
      <c r="I1082" s="2926"/>
      <c r="J1082" s="2926"/>
      <c r="K1082" s="2926"/>
      <c r="L1082" s="2926"/>
      <c r="M1082" s="2926"/>
      <c r="N1082" s="2926"/>
      <c r="O1082" s="336"/>
      <c r="P1082" s="336"/>
      <c r="Q1082" s="770"/>
      <c r="R1082" s="694"/>
      <c r="S1082" s="694"/>
      <c r="T1082" s="694"/>
      <c r="U1082" s="694"/>
      <c r="V1082" s="694"/>
      <c r="W1082" s="694"/>
      <c r="X1082" s="694"/>
      <c r="Y1082" s="694"/>
      <c r="Z1082" s="694"/>
      <c r="AA1082" s="729"/>
      <c r="AB1082" s="729"/>
      <c r="AC1082" s="694"/>
      <c r="AD1082" s="694"/>
      <c r="AE1082" s="343"/>
      <c r="AF1082" s="343"/>
      <c r="AG1082" s="343"/>
      <c r="AH1082" s="343"/>
      <c r="AI1082" s="343"/>
      <c r="AJ1082" s="343"/>
      <c r="AK1082" s="343"/>
      <c r="AL1082" s="343"/>
      <c r="AM1082" s="343"/>
    </row>
    <row r="1083" spans="1:39" ht="12.75" customHeight="1" thickBot="1" x14ac:dyDescent="0.3">
      <c r="A1083" s="694"/>
      <c r="B1083" s="698"/>
      <c r="C1083" s="300"/>
      <c r="D1083" s="300"/>
      <c r="E1083" s="389" t="str">
        <f>Translations!$B$615</f>
        <v>Основно равнище на дейност:</v>
      </c>
      <c r="F1083" s="1015"/>
      <c r="G1083" s="527" t="str">
        <f>EUconst_Unit</f>
        <v>Единица мярка</v>
      </c>
      <c r="H1083" s="391">
        <f t="shared" ref="H1083:N1083" si="1689">H$1840</f>
        <v>2024</v>
      </c>
      <c r="I1083" s="572">
        <f t="shared" si="1689"/>
        <v>2025</v>
      </c>
      <c r="J1083" s="757">
        <f t="shared" si="1689"/>
        <v>2026</v>
      </c>
      <c r="K1083" s="391">
        <f t="shared" si="1689"/>
        <v>2027</v>
      </c>
      <c r="L1083" s="391">
        <f t="shared" si="1689"/>
        <v>2028</v>
      </c>
      <c r="M1083" s="391">
        <f t="shared" si="1689"/>
        <v>2029</v>
      </c>
      <c r="N1083" s="387">
        <f t="shared" si="1689"/>
        <v>2030</v>
      </c>
      <c r="O1083" s="336"/>
      <c r="P1083" s="336"/>
      <c r="Q1083" s="1033" t="s">
        <v>560</v>
      </c>
      <c r="R1083" s="694"/>
      <c r="S1083" s="694"/>
      <c r="T1083" s="1178">
        <f t="shared" ref="T1083" si="1690">H1083</f>
        <v>2024</v>
      </c>
      <c r="U1083" s="1178">
        <f t="shared" ref="U1083" si="1691">I1083</f>
        <v>2025</v>
      </c>
      <c r="V1083" s="1178">
        <f t="shared" ref="V1083" si="1692">J1083</f>
        <v>2026</v>
      </c>
      <c r="W1083" s="1178">
        <f t="shared" ref="W1083" si="1693">K1083</f>
        <v>2027</v>
      </c>
      <c r="X1083" s="1178">
        <f t="shared" ref="X1083" si="1694">L1083</f>
        <v>2028</v>
      </c>
      <c r="Y1083" s="1178">
        <f t="shared" ref="Y1083" si="1695">M1083</f>
        <v>2029</v>
      </c>
      <c r="Z1083" s="1178">
        <f t="shared" ref="Z1083" si="1696">N1083</f>
        <v>2030</v>
      </c>
      <c r="AA1083" s="729"/>
      <c r="AB1083" s="729"/>
      <c r="AC1083" s="694"/>
      <c r="AD1083" s="694"/>
      <c r="AE1083" s="343"/>
      <c r="AF1083" s="343"/>
      <c r="AG1083" s="343"/>
      <c r="AH1083" s="343"/>
      <c r="AI1083" s="343"/>
      <c r="AJ1083" s="343"/>
      <c r="AK1083" s="343"/>
      <c r="AL1083" s="343"/>
      <c r="AM1083" s="343"/>
    </row>
    <row r="1084" spans="1:39" ht="12.75" customHeight="1" thickBot="1" x14ac:dyDescent="0.3">
      <c r="A1084" s="694"/>
      <c r="B1084" s="698"/>
      <c r="C1084" s="698"/>
      <c r="D1084" s="1084" t="s">
        <v>6</v>
      </c>
      <c r="E1084" s="2862" t="str">
        <f>I1076</f>
        <v>Подинсталация с горивен показател (без риск от ИВЕ | извън МКВЕГ)</v>
      </c>
      <c r="F1084" s="2862"/>
      <c r="G1084" s="1032" t="str">
        <f>INDEX(EUconst_FallBackListUnits,MATCH(E1084,EUconst_FallBackListNames,0))</f>
        <v>TJ</v>
      </c>
      <c r="H1084" s="1024" t="str">
        <f>IF($M1076&lt;&gt;EUconst_Relevant,"",IF(H1083&gt;=CNTR_ReportingYear,"",IF(AND(H1083&gt;=$V1076-1,ISNUMBER(INDEX(E_EnergyFlows!H$435:H$443,MATCH($E1084,E_EnergyFlows!$E$435:$E$443,0)))),INDEX(E_EnergyFlows!H$435:H$443,MATCH($E1084,E_EnergyFlows!$E$435:$E$443,0)),0)))</f>
        <v/>
      </c>
      <c r="I1084" s="1392" t="str">
        <f>IF($M1076&lt;&gt;EUconst_Relevant,"",IF(I1083&gt;=CNTR_ReportingYear,"",IF(AND(I1083&gt;=$V1076-1,ISNUMBER(INDEX(E_EnergyFlows!I$435:I$443,MATCH($E1084,E_EnergyFlows!$E$435:$E$443,0)))),INDEX(E_EnergyFlows!I$435:I$443,MATCH($E1084,E_EnergyFlows!$E$435:$E$443,0)),0)))</f>
        <v/>
      </c>
      <c r="J1084" s="1393" t="str">
        <f>IF($M1076&lt;&gt;EUconst_Relevant,"",IF(J1083&gt;=CNTR_ReportingYear,"",IF(AND(J1083&gt;=$V1076-1,ISNUMBER(INDEX(E_EnergyFlows!J$435:J$443,MATCH($E1084,E_EnergyFlows!$E$435:$E$443,0)))),INDEX(E_EnergyFlows!J$435:J$443,MATCH($E1084,E_EnergyFlows!$E$435:$E$443,0)),0)))</f>
        <v/>
      </c>
      <c r="K1084" s="1024" t="str">
        <f>IF($M1076&lt;&gt;EUconst_Relevant,"",IF(K1083&gt;=CNTR_ReportingYear,"",IF(AND(K1083&gt;=$V1076-1,ISNUMBER(INDEX(E_EnergyFlows!K$435:K$443,MATCH($E1084,E_EnergyFlows!$E$435:$E$443,0)))),INDEX(E_EnergyFlows!K$435:K$443,MATCH($E1084,E_EnergyFlows!$E$435:$E$443,0)),0)))</f>
        <v/>
      </c>
      <c r="L1084" s="1024" t="str">
        <f>IF($M1076&lt;&gt;EUconst_Relevant,"",IF(L1083&gt;=CNTR_ReportingYear,"",IF(AND(L1083&gt;=$V1076-1,ISNUMBER(INDEX(E_EnergyFlows!L$435:L$443,MATCH($E1084,E_EnergyFlows!$E$435:$E$443,0)))),INDEX(E_EnergyFlows!L$435:L$443,MATCH($E1084,E_EnergyFlows!$E$435:$E$443,0)),0)))</f>
        <v/>
      </c>
      <c r="M1084" s="1024" t="str">
        <f>IF($M1076&lt;&gt;EUconst_Relevant,"",IF(M1083&gt;=CNTR_ReportingYear,"",IF(AND(M1083&gt;=$V1076-1,ISNUMBER(INDEX(E_EnergyFlows!M$435:M$443,MATCH($E1084,E_EnergyFlows!$E$435:$E$443,0)))),INDEX(E_EnergyFlows!M$435:M$443,MATCH($E1084,E_EnergyFlows!$E$435:$E$443,0)),0)))</f>
        <v/>
      </c>
      <c r="N1084" s="1024" t="str">
        <f>IF($M1076&lt;&gt;EUconst_Relevant,"",IF(N1083&gt;=CNTR_ReportingYear,"",IF(AND(N1083&gt;=$V1076-1,ISNUMBER(INDEX(E_EnergyFlows!N$435:N$443,MATCH($E1084,E_EnergyFlows!$E$435:$E$443,0)))),INDEX(E_EnergyFlows!N$435:N$443,MATCH($E1084,E_EnergyFlows!$E$435:$E$443,0)),0)))</f>
        <v/>
      </c>
      <c r="O1084" s="710"/>
      <c r="P1084" s="336"/>
      <c r="Q1084" s="1394" t="str">
        <f>EUconst_CNTR_HAL&amp;E1084</f>
        <v>HAL_Подинсталация с горивен показател (без риск от ИВЕ | извън МКВЕГ)</v>
      </c>
      <c r="R1084" s="694"/>
      <c r="S1084" s="1395" t="s">
        <v>1732</v>
      </c>
      <c r="T1084" s="1396" t="b">
        <f t="shared" ref="T1084:Z1084" si="1697">AND($M1076=EUconst_Relevant,T1083&lt;CNTR_ReportingYear,T1083&gt;=$V1076-1)</f>
        <v>0</v>
      </c>
      <c r="U1084" s="1397" t="b">
        <f t="shared" si="1697"/>
        <v>0</v>
      </c>
      <c r="V1084" s="1397" t="b">
        <f t="shared" si="1697"/>
        <v>0</v>
      </c>
      <c r="W1084" s="1397" t="b">
        <f t="shared" si="1697"/>
        <v>0</v>
      </c>
      <c r="X1084" s="1397" t="b">
        <f t="shared" si="1697"/>
        <v>0</v>
      </c>
      <c r="Y1084" s="1397" t="b">
        <f t="shared" si="1697"/>
        <v>0</v>
      </c>
      <c r="Z1084" s="1398" t="b">
        <f t="shared" si="1697"/>
        <v>0</v>
      </c>
      <c r="AA1084" s="694"/>
      <c r="AB1084" s="694"/>
      <c r="AC1084" s="1395"/>
      <c r="AD1084" s="694"/>
      <c r="AE1084" s="343"/>
      <c r="AF1084" s="343"/>
      <c r="AG1084" s="343"/>
      <c r="AH1084" s="343"/>
      <c r="AI1084" s="343"/>
      <c r="AJ1084" s="343"/>
      <c r="AK1084" s="1174" t="s">
        <v>2033</v>
      </c>
      <c r="AL1084" s="982" t="str">
        <f>IF(COUNTIFS(H1083:N1083,"&lt;"&amp;YEAR(SUM(T1076)),H1084:N1084,"&gt;"&amp;0)&gt;0,EUconst_Error&amp;"FB"&amp;Q1076,"")</f>
        <v/>
      </c>
      <c r="AM1084" s="343"/>
    </row>
    <row r="1085" spans="1:39" ht="5.15" customHeight="1" x14ac:dyDescent="0.25">
      <c r="A1085" s="694"/>
      <c r="B1085" s="298"/>
      <c r="C1085" s="298"/>
      <c r="D1085" s="302"/>
      <c r="E1085" s="302"/>
      <c r="F1085" s="302"/>
      <c r="G1085" s="302"/>
      <c r="H1085" s="302"/>
      <c r="I1085" s="302"/>
      <c r="J1085" s="302"/>
      <c r="K1085" s="302"/>
      <c r="L1085" s="302"/>
      <c r="M1085" s="302"/>
      <c r="N1085" s="302"/>
      <c r="O1085" s="302"/>
      <c r="P1085" s="336"/>
      <c r="Q1085" s="729"/>
      <c r="R1085" s="694"/>
      <c r="S1085" s="729"/>
      <c r="T1085" s="729"/>
      <c r="U1085" s="694"/>
      <c r="V1085" s="694"/>
      <c r="W1085" s="694"/>
      <c r="X1085" s="694"/>
      <c r="Y1085" s="694"/>
      <c r="Z1085" s="729"/>
      <c r="AA1085" s="694"/>
      <c r="AB1085" s="729"/>
      <c r="AC1085" s="694"/>
      <c r="AD1085" s="694"/>
      <c r="AE1085" s="343"/>
      <c r="AF1085" s="343"/>
      <c r="AG1085" s="343"/>
      <c r="AH1085" s="343"/>
      <c r="AI1085" s="343"/>
      <c r="AJ1085" s="343"/>
      <c r="AK1085" s="343"/>
      <c r="AL1085" s="343"/>
      <c r="AM1085" s="343"/>
    </row>
    <row r="1086" spans="1:39" ht="25.5" customHeight="1" x14ac:dyDescent="0.25">
      <c r="A1086" s="694"/>
      <c r="B1086" s="298"/>
      <c r="C1086" s="298"/>
      <c r="D1086" s="302"/>
      <c r="E1086" s="2358" t="str">
        <f>Translations!$B$1333</f>
        <v>На базата на стойностите на HAL и тези по буква a) по-горе тук се определят средните равнища на дейност. Разпределението ще бъде променено само ако са надвишени всички долуизброени прагове от членове 5 и 6 от Регламента за ALC:</v>
      </c>
      <c r="F1086" s="2249"/>
      <c r="G1086" s="2249"/>
      <c r="H1086" s="2249"/>
      <c r="I1086" s="2249"/>
      <c r="J1086" s="2249"/>
      <c r="K1086" s="2249"/>
      <c r="L1086" s="2249"/>
      <c r="M1086" s="2249"/>
      <c r="N1086" s="2249"/>
      <c r="O1086" s="302"/>
      <c r="P1086" s="336"/>
      <c r="Q1086" s="729"/>
      <c r="R1086" s="694"/>
      <c r="S1086" s="729"/>
      <c r="T1086" s="729"/>
      <c r="U1086" s="729"/>
      <c r="V1086" s="694"/>
      <c r="W1086" s="694"/>
      <c r="X1086" s="694"/>
      <c r="Y1086" s="694"/>
      <c r="Z1086" s="694"/>
      <c r="AA1086" s="694"/>
      <c r="AB1086" s="694"/>
      <c r="AC1086" s="694"/>
      <c r="AD1086" s="694"/>
      <c r="AE1086" s="694"/>
      <c r="AF1086" s="694"/>
      <c r="AG1086" s="694"/>
      <c r="AH1086" s="694"/>
      <c r="AI1086" s="694"/>
      <c r="AJ1086" s="694"/>
      <c r="AK1086" s="694"/>
      <c r="AL1086" s="694"/>
      <c r="AM1086" s="343"/>
    </row>
    <row r="1087" spans="1:39" ht="12.75" customHeight="1" x14ac:dyDescent="0.25">
      <c r="A1087" s="694"/>
      <c r="B1087" s="298"/>
      <c r="C1087" s="298"/>
      <c r="D1087" s="302"/>
      <c r="E1087" s="1191" t="s">
        <v>1052</v>
      </c>
      <c r="F1087" s="2358" t="str">
        <f>Translations!$B$1530</f>
        <v>относителният праг (15 %) за средното равнище на дейност в сравнение с HAL</v>
      </c>
      <c r="G1087" s="2861"/>
      <c r="H1087" s="2861"/>
      <c r="I1087" s="2861"/>
      <c r="J1087" s="2861"/>
      <c r="K1087" s="2861"/>
      <c r="L1087" s="2861"/>
      <c r="M1087" s="2861"/>
      <c r="N1087" s="2861"/>
      <c r="O1087" s="302"/>
      <c r="P1087" s="336"/>
      <c r="Q1087" s="729"/>
      <c r="R1087" s="694"/>
      <c r="S1087" s="729"/>
      <c r="T1087" s="729"/>
      <c r="U1087" s="729"/>
      <c r="V1087" s="694"/>
      <c r="W1087" s="694"/>
      <c r="X1087" s="694"/>
      <c r="Y1087" s="694"/>
      <c r="Z1087" s="694"/>
      <c r="AA1087" s="694"/>
      <c r="AB1087" s="694"/>
      <c r="AC1087" s="694"/>
      <c r="AD1087" s="694"/>
      <c r="AE1087" s="694"/>
      <c r="AF1087" s="694"/>
      <c r="AG1087" s="694"/>
      <c r="AH1087" s="694"/>
      <c r="AI1087" s="694"/>
      <c r="AJ1087" s="694"/>
      <c r="AK1087" s="694"/>
      <c r="AL1087" s="694"/>
      <c r="AM1087" s="343"/>
    </row>
    <row r="1088" spans="1:39" ht="12.75" customHeight="1" x14ac:dyDescent="0.25">
      <c r="A1088" s="694"/>
      <c r="B1088" s="298"/>
      <c r="C1088" s="298"/>
      <c r="D1088" s="302"/>
      <c r="E1088" s="1191" t="s">
        <v>1052</v>
      </c>
      <c r="F1088" s="2358" t="str">
        <f>Translations!$B$1531</f>
        <v>относителните прагове (15 % и 5 % за последващи промени) за очакваното равнище на дейност в сравнение с HAL</v>
      </c>
      <c r="G1088" s="2861"/>
      <c r="H1088" s="2861"/>
      <c r="I1088" s="2861"/>
      <c r="J1088" s="2861"/>
      <c r="K1088" s="2861"/>
      <c r="L1088" s="2861"/>
      <c r="M1088" s="2861"/>
      <c r="N1088" s="2861"/>
      <c r="O1088" s="302"/>
      <c r="P1088" s="336"/>
      <c r="Q1088" s="729"/>
      <c r="R1088" s="694"/>
      <c r="S1088" s="729"/>
      <c r="T1088" s="729"/>
      <c r="U1088" s="729"/>
      <c r="V1088" s="694"/>
      <c r="W1088" s="694"/>
      <c r="X1088" s="694"/>
      <c r="Y1088" s="694"/>
      <c r="Z1088" s="694"/>
      <c r="AA1088" s="694"/>
      <c r="AB1088" s="694"/>
      <c r="AC1088" s="694"/>
      <c r="AD1088" s="694"/>
      <c r="AE1088" s="694"/>
      <c r="AF1088" s="694"/>
      <c r="AG1088" s="694"/>
      <c r="AH1088" s="694"/>
      <c r="AI1088" s="694"/>
      <c r="AJ1088" s="694"/>
      <c r="AK1088" s="694"/>
      <c r="AL1088" s="694"/>
      <c r="AM1088" s="343"/>
    </row>
    <row r="1089" spans="1:39" ht="12.75" customHeight="1" thickBot="1" x14ac:dyDescent="0.3">
      <c r="A1089" s="694"/>
      <c r="B1089" s="298"/>
      <c r="C1089" s="298"/>
      <c r="D1089" s="302"/>
      <c r="E1089" s="1191" t="s">
        <v>1052</v>
      </c>
      <c r="F1089" s="2358" t="str">
        <f>Translations!$B$1514</f>
        <v>абсолютния праг, т.е. промяната би довела до разлика в предварителното разпределение от най-малко 300 квоти</v>
      </c>
      <c r="G1089" s="2861"/>
      <c r="H1089" s="2861"/>
      <c r="I1089" s="2861"/>
      <c r="J1089" s="2861"/>
      <c r="K1089" s="2861"/>
      <c r="L1089" s="2861"/>
      <c r="M1089" s="2861"/>
      <c r="N1089" s="2861"/>
      <c r="O1089" s="302"/>
      <c r="P1089" s="336"/>
      <c r="Q1089" s="729"/>
      <c r="R1089" s="694"/>
      <c r="S1089" s="729"/>
      <c r="T1089" s="729"/>
      <c r="U1089" s="729"/>
      <c r="V1089" s="694"/>
      <c r="W1089" s="694"/>
      <c r="X1089" s="694"/>
      <c r="Y1089" s="694"/>
      <c r="Z1089" s="694"/>
      <c r="AA1089" s="694"/>
      <c r="AB1089" s="694"/>
      <c r="AC1089" s="694"/>
      <c r="AD1089" s="694"/>
      <c r="AE1089" s="694"/>
      <c r="AF1089" s="694"/>
      <c r="AG1089" s="694"/>
      <c r="AH1089" s="694"/>
      <c r="AI1089" s="694"/>
      <c r="AJ1089" s="694"/>
      <c r="AK1089" s="694"/>
      <c r="AL1089" s="694"/>
      <c r="AM1089" s="343"/>
    </row>
    <row r="1090" spans="1:39" ht="5.15" customHeight="1" thickBot="1" x14ac:dyDescent="0.3">
      <c r="A1090" s="694"/>
      <c r="B1090" s="298"/>
      <c r="C1090" s="298"/>
      <c r="D1090" s="1192"/>
      <c r="E1090" s="1193"/>
      <c r="F1090" s="1194"/>
      <c r="G1090" s="1195"/>
      <c r="H1090" s="1195"/>
      <c r="I1090" s="1195"/>
      <c r="J1090" s="1195"/>
      <c r="K1090" s="1195"/>
      <c r="L1090" s="1195"/>
      <c r="M1090" s="1195"/>
      <c r="N1090" s="1196"/>
      <c r="O1090" s="302"/>
      <c r="P1090" s="336"/>
      <c r="Q1090" s="729"/>
      <c r="R1090" s="694"/>
      <c r="S1090" s="729"/>
      <c r="T1090" s="729"/>
      <c r="U1090" s="729"/>
      <c r="V1090" s="694"/>
      <c r="W1090" s="694"/>
      <c r="X1090" s="694"/>
      <c r="Y1090" s="694"/>
      <c r="Z1090" s="694"/>
      <c r="AA1090" s="694"/>
      <c r="AB1090" s="694"/>
      <c r="AC1090" s="694"/>
      <c r="AD1090" s="694"/>
      <c r="AE1090" s="694"/>
      <c r="AF1090" s="694"/>
      <c r="AG1090" s="694"/>
      <c r="AH1090" s="694"/>
      <c r="AI1090" s="694"/>
      <c r="AJ1090" s="694"/>
      <c r="AK1090" s="694"/>
      <c r="AL1090" s="694"/>
      <c r="AM1090" s="343"/>
    </row>
    <row r="1091" spans="1:39" ht="12.75" customHeight="1" x14ac:dyDescent="0.25">
      <c r="A1091" s="694"/>
      <c r="B1091" s="298"/>
      <c r="C1091" s="298"/>
      <c r="D1091" s="1217"/>
      <c r="E1091" s="1198" t="str">
        <f>Translations!$B$1334</f>
        <v>Предварителна корекция</v>
      </c>
      <c r="F1091" s="1199"/>
      <c r="G1091" s="1199"/>
      <c r="H1091" s="1200" t="str">
        <f>EUconst_Unit</f>
        <v>Единица мярка</v>
      </c>
      <c r="I1091" s="1201" t="str">
        <f>Translations!$B$1320</f>
        <v>(НМИ) HAL</v>
      </c>
      <c r="J1091" s="1202">
        <f>J$1840</f>
        <v>2026</v>
      </c>
      <c r="K1091" s="1203">
        <f>K$1840</f>
        <v>2027</v>
      </c>
      <c r="L1091" s="1203">
        <f>L$1840</f>
        <v>2028</v>
      </c>
      <c r="M1091" s="1203">
        <f>M$1840</f>
        <v>2029</v>
      </c>
      <c r="N1091" s="1204">
        <f>N$1840</f>
        <v>2030</v>
      </c>
      <c r="O1091" s="302"/>
      <c r="P1091" s="336"/>
      <c r="Q1091" s="729"/>
      <c r="R1091" s="694"/>
      <c r="S1091" s="729"/>
      <c r="T1091" s="729"/>
      <c r="U1091" s="1205"/>
      <c r="V1091" s="1206">
        <f>J1091</f>
        <v>2026</v>
      </c>
      <c r="W1091" s="1206">
        <f>K1091</f>
        <v>2027</v>
      </c>
      <c r="X1091" s="1206">
        <f>L1091</f>
        <v>2028</v>
      </c>
      <c r="Y1091" s="1206">
        <f>M1091</f>
        <v>2029</v>
      </c>
      <c r="Z1091" s="1207">
        <f>N1091</f>
        <v>2030</v>
      </c>
      <c r="AA1091" s="694"/>
      <c r="AB1091" s="729"/>
      <c r="AC1091" s="694"/>
      <c r="AD1091" s="694"/>
      <c r="AE1091" s="343"/>
      <c r="AF1091" s="343"/>
      <c r="AG1091" s="343"/>
      <c r="AH1091" s="343"/>
      <c r="AI1091" s="343"/>
      <c r="AJ1091" s="343"/>
      <c r="AK1091" s="343"/>
      <c r="AL1091" s="343"/>
      <c r="AM1091" s="343"/>
    </row>
    <row r="1092" spans="1:39" ht="12.75" customHeight="1" x14ac:dyDescent="0.25">
      <c r="A1092" s="694"/>
      <c r="B1092" s="298"/>
      <c r="C1092" s="298"/>
      <c r="D1092" s="1208" t="s">
        <v>7</v>
      </c>
      <c r="E1092" s="1209" t="str">
        <f>Translations!$B$1321</f>
        <v>Средно годишно равнище на дейност (стойност в НМИ)</v>
      </c>
      <c r="F1092" s="1209"/>
      <c r="G1092" s="1209"/>
      <c r="H1092" s="1266" t="str">
        <f>G1084</f>
        <v>TJ</v>
      </c>
      <c r="I1092" s="1399" t="str">
        <f>IF(V1076&gt;($J$1840-3),EUconst_NA,INDEX('B+C_SubInstallations'!$I:$I,MATCH(Q1092,'B+C_SubInstallations'!$T:$T,0)))</f>
        <v/>
      </c>
      <c r="J1092" s="1400" t="str">
        <f>IF(AND(V1092&gt;=3,CNTR_ReportingYear&gt;J1091-1),AVERAGE(SUM(H1084),SUM(I1084)),"")</f>
        <v/>
      </c>
      <c r="K1092" s="1401" t="str">
        <f>IF(AND(W1092&gt;=3,CNTR_ReportingYear&gt;K1091-1),AVERAGE(SUM(I1084),SUM(J1084)),"")</f>
        <v/>
      </c>
      <c r="L1092" s="1401" t="str">
        <f>IF(AND(X1092&gt;=3,CNTR_ReportingYear&gt;L1091-1),AVERAGE(SUM(J1084),SUM(K1084)),"")</f>
        <v/>
      </c>
      <c r="M1092" s="1401" t="str">
        <f>IF(AND(Y1092&gt;=3,CNTR_ReportingYear&gt;M1091-1),AVERAGE(SUM(K1084),SUM(L1084)),"")</f>
        <v/>
      </c>
      <c r="N1092" s="1402" t="str">
        <f>IF(AND(Z1092&gt;=3,CNTR_ReportingYear&gt;N1091-1),AVERAGE(SUM(L1084),SUM(M1084)),"")</f>
        <v/>
      </c>
      <c r="O1092" s="302"/>
      <c r="P1092" s="336"/>
      <c r="Q1092" s="1270" t="str">
        <f>EUconst_CNTR_HALinitial&amp;I1076</f>
        <v>HALini_Подинсталация с горивен показател (без риск от ИВЕ | извън МКВЕГ)</v>
      </c>
      <c r="R1092" s="694"/>
      <c r="S1092" s="729"/>
      <c r="T1092" s="729"/>
      <c r="U1092" s="1365" t="s">
        <v>1710</v>
      </c>
      <c r="V1092" s="834">
        <f>IF($M1076&lt;&gt;EUconst_Relevant,0,V1091-$V1076+1)</f>
        <v>0</v>
      </c>
      <c r="W1092" s="834">
        <f>IF($M1076&lt;&gt;EUconst_Relevant,0,W1091-$V1076+1)</f>
        <v>0</v>
      </c>
      <c r="X1092" s="834">
        <f>IF($M1076&lt;&gt;EUconst_Relevant,0,X1091-$V1076+1)</f>
        <v>0</v>
      </c>
      <c r="Y1092" s="834">
        <f>IF($M1076&lt;&gt;EUconst_Relevant,0,Y1091-$V1076+1)</f>
        <v>0</v>
      </c>
      <c r="Z1092" s="1403">
        <f>IF($M1076&lt;&gt;EUconst_Relevant,0,Z1091-$V1076+1)</f>
        <v>0</v>
      </c>
      <c r="AA1092" s="694"/>
      <c r="AB1092" s="729"/>
      <c r="AC1092" s="694"/>
      <c r="AD1092" s="694"/>
      <c r="AE1092" s="343"/>
      <c r="AF1092" s="343"/>
      <c r="AG1092" s="343"/>
      <c r="AH1092" s="343"/>
      <c r="AI1092" s="343"/>
      <c r="AJ1092" s="343"/>
      <c r="AK1092" s="343"/>
      <c r="AL1092" s="343"/>
      <c r="AM1092" s="343"/>
    </row>
    <row r="1093" spans="1:39" ht="12.75" hidden="1" customHeight="1" x14ac:dyDescent="0.25">
      <c r="A1093" s="729" t="s">
        <v>312</v>
      </c>
      <c r="B1093" s="298"/>
      <c r="C1093" s="298"/>
      <c r="D1093" s="1208"/>
      <c r="E1093" s="1209" t="str">
        <f>Translations!$B$1376</f>
        <v>Промяна в сравнение с HAL</v>
      </c>
      <c r="F1093" s="1209"/>
      <c r="G1093" s="1209"/>
      <c r="H1093" s="1222"/>
      <c r="I1093" s="1223"/>
      <c r="J1093" s="104" t="str">
        <f>IF(J1092="","",IF($I1095=0,IF(J1092=0,0%,100%),J1092/$I1095-1))</f>
        <v/>
      </c>
      <c r="K1093" s="99" t="str">
        <f>IF(K1092="","",IF($I1095=0,IF(K1092=0,0%,100%),K1092/$I1095-1))</f>
        <v/>
      </c>
      <c r="L1093" s="99" t="str">
        <f>IF(L1092="","",IF($I1095=0,IF(L1092=0,0%,100%),L1092/$I1095-1))</f>
        <v/>
      </c>
      <c r="M1093" s="99" t="str">
        <f>IF(M1092="","",IF($I1095=0,IF(M1092=0,0%,100%),M1092/$I1095-1))</f>
        <v/>
      </c>
      <c r="N1093" s="123" t="str">
        <f>IF(N1092="","",IF($I1095=0,IF(N1092=0,0%,100%),N1092/$I1095-1))</f>
        <v/>
      </c>
      <c r="O1093" s="302"/>
      <c r="P1093" s="336"/>
      <c r="Q1093" s="1190" t="str">
        <f>EUconst_CNTR_RelThreshold &amp;I1076</f>
        <v>RelThresh_Подинсталация с горивен показател (без риск от ИВЕ | извън МКВЕГ)</v>
      </c>
      <c r="R1093" s="694"/>
      <c r="S1093" s="729"/>
      <c r="T1093" s="729"/>
      <c r="U1093" s="1365" t="s">
        <v>1715</v>
      </c>
      <c r="V1093" s="727" t="str">
        <f>IF(J1092="","",ABS(J1093)&gt;15%)</f>
        <v/>
      </c>
      <c r="W1093" s="727" t="str">
        <f>IF(K1092="","",ABS(K1093)&gt;15%)</f>
        <v/>
      </c>
      <c r="X1093" s="727" t="str">
        <f>IF(L1092="","",ABS(L1093)&gt;15%)</f>
        <v/>
      </c>
      <c r="Y1093" s="727" t="str">
        <f>IF(M1092="","",ABS(M1093)&gt;15%)</f>
        <v/>
      </c>
      <c r="Z1093" s="1221" t="str">
        <f>IF(N1092="","",ABS(N1093)&gt;15%)</f>
        <v/>
      </c>
      <c r="AA1093" s="694"/>
      <c r="AB1093" s="729"/>
      <c r="AC1093" s="694"/>
      <c r="AD1093" s="694"/>
      <c r="AE1093" s="343"/>
      <c r="AF1093" s="343"/>
      <c r="AG1093" s="343"/>
      <c r="AH1093" s="343"/>
      <c r="AI1093" s="343"/>
      <c r="AJ1093" s="343"/>
      <c r="AK1093" s="343"/>
      <c r="AL1093" s="343"/>
      <c r="AM1093" s="343"/>
    </row>
    <row r="1094" spans="1:39" ht="12.75" customHeight="1" x14ac:dyDescent="0.25">
      <c r="A1094" s="729"/>
      <c r="B1094" s="298"/>
      <c r="C1094" s="298"/>
      <c r="D1094" s="1208" t="s">
        <v>8</v>
      </c>
      <c r="E1094" s="1209" t="str">
        <f>Translations!$B$1322</f>
        <v>Предварителна корекция (ако са надвишени относителните прагове)</v>
      </c>
      <c r="F1094" s="1209"/>
      <c r="G1094" s="1209"/>
      <c r="H1094" s="1222"/>
      <c r="I1094" s="1223"/>
      <c r="J1094" s="1224" t="str">
        <f>IF(J1092="","",IF(V1093=FALSE,0%,J1093))</f>
        <v/>
      </c>
      <c r="K1094" s="1225" t="str">
        <f t="shared" ref="K1094" si="1698">IF(K1092="","",IF(W1093=FALSE,0%,K1093))</f>
        <v/>
      </c>
      <c r="L1094" s="1225" t="str">
        <f t="shared" ref="L1094" si="1699">IF(L1092="","",IF(X1093=FALSE,0%,L1093))</f>
        <v/>
      </c>
      <c r="M1094" s="1225" t="str">
        <f t="shared" ref="M1094" si="1700">IF(M1092="","",IF(Y1093=FALSE,0%,M1093))</f>
        <v/>
      </c>
      <c r="N1094" s="1226" t="str">
        <f t="shared" ref="N1094" si="1701">IF(N1092="","",IF(Z1093=FALSE,0%,N1093))</f>
        <v/>
      </c>
      <c r="O1094" s="302"/>
      <c r="P1094" s="336"/>
      <c r="Q1094" s="729"/>
      <c r="R1094" s="694"/>
      <c r="S1094" s="729"/>
      <c r="T1094" s="729"/>
      <c r="U1094" s="1365" t="s">
        <v>1716</v>
      </c>
      <c r="V1094" s="727" t="str">
        <f>IF(J1092="","",AND(V1093,IF(SUM(I1211)&lt;0,OR(SUM(J1093)&lt;SUM(I1211)-MOD(SUM(I1211),5%),J1093&gt;=SUM(I1211)+5%-MOD(SUM(I1211),5%)),OR(SUM(J1093)&lt;=SUM(I1211)-MOD(SUM(I1211),5%),SUM(J1093)&gt;SUM(I1211)+5%-MOD(SUM(I1211),5%)))))</f>
        <v/>
      </c>
      <c r="W1094" s="727" t="str">
        <f>IF(K1092="","",AND(W1093,IF(SUM(J1211)&lt;0,OR(SUM(K1093)&lt;SUM(J1211)-MOD(SUM(J1211),5%),K1093&gt;=SUM(J1211)+5%-MOD(SUM(J1211),5%)),OR(SUM(K1093)&lt;=SUM(J1211)-MOD(SUM(J1211),5%),SUM(K1093)&gt;SUM(J1211)+5%-MOD(SUM(J1211),5%)))))</f>
        <v/>
      </c>
      <c r="X1094" s="727" t="str">
        <f>IF(L1092="","",AND(X1093,IF(SUM(K1211)&lt;0,OR(SUM(L1093)&lt;SUM(K1211)-MOD(SUM(K1211),5%),L1093&gt;=SUM(K1211)+5%-MOD(SUM(K1211),5%)),OR(SUM(L1093)&lt;=SUM(K1211)-MOD(SUM(K1211),5%),SUM(L1093)&gt;SUM(K1211)+5%-MOD(SUM(K1211),5%)))))</f>
        <v/>
      </c>
      <c r="Y1094" s="727" t="str">
        <f>IF(M1092="","",AND(Y1093,IF(SUM(L1211)&lt;0,OR(SUM(M1093)&lt;SUM(L1211)-MOD(SUM(L1211),5%),M1093&gt;=SUM(L1211)+5%-MOD(SUM(L1211),5%)),OR(SUM(M1093)&lt;=SUM(L1211)-MOD(SUM(L1211),5%),SUM(M1093)&gt;SUM(L1211)+5%-MOD(SUM(L1211),5%)))))</f>
        <v/>
      </c>
      <c r="Z1094" s="1221" t="str">
        <f>IF(N1092="","",AND(Z1093,IF(SUM(M1211)&lt;0,OR(SUM(N1093)&lt;SUM(M1211)-MOD(SUM(M1211),5%),N1093&gt;=SUM(M1211)+5%-MOD(SUM(M1211),5%)),OR(SUM(N1093)&lt;=SUM(M1211)-MOD(SUM(M1211),5%),SUM(N1093)&gt;SUM(M1211)+5%-MOD(SUM(M1211),5%)))))</f>
        <v/>
      </c>
      <c r="AA1094" s="694"/>
      <c r="AB1094" s="729"/>
      <c r="AC1094" s="694"/>
      <c r="AD1094" s="694"/>
      <c r="AE1094" s="343"/>
      <c r="AF1094" s="343"/>
      <c r="AG1094" s="343"/>
      <c r="AH1094" s="343"/>
      <c r="AI1094" s="343"/>
      <c r="AJ1094" s="343"/>
      <c r="AK1094" s="343"/>
      <c r="AL1094" s="343"/>
      <c r="AM1094" s="343"/>
    </row>
    <row r="1095" spans="1:39" ht="12.75" customHeight="1" thickBot="1" x14ac:dyDescent="0.3">
      <c r="A1095" s="729"/>
      <c r="B1095" s="298"/>
      <c r="C1095" s="298"/>
      <c r="D1095" s="1208" t="s">
        <v>18</v>
      </c>
      <c r="E1095" s="1209" t="str">
        <f>Translations!$B$1377</f>
        <v>Предварителна стойност</v>
      </c>
      <c r="F1095" s="1209"/>
      <c r="G1095" s="1209"/>
      <c r="H1095" s="1266" t="str">
        <f>H1092</f>
        <v>TJ</v>
      </c>
      <c r="I1095" s="1399" t="str">
        <f>IF(M1076&lt;&gt;EUconst_Relevant,"",IF(AB1076=FALSE,EUconst_NA,IF(V1076&gt;($J$1840-3),INDEX(H1084:N1084,MATCH($V1076,H1083:N1083,0)),I1092)))</f>
        <v/>
      </c>
      <c r="J1095" s="1400" t="str">
        <f>IF($M1076&lt;&gt;EUconst_Relevant,"",IF(V1092&lt;2,SUM(J1084),IF(V1092&lt;3,SUM(I1084),IF(V1095="",I1095,V1095))))</f>
        <v/>
      </c>
      <c r="K1095" s="1401" t="str">
        <f>IF($M1076&lt;&gt;EUconst_Relevant,"",IF(W1092&lt;2,SUM(K1084),IF(W1092&lt;3,SUM(J1084),IF(W1095="",J1095,W1095))))</f>
        <v/>
      </c>
      <c r="L1095" s="1401" t="str">
        <f>IF($M1076&lt;&gt;EUconst_Relevant,"",IF(X1092&lt;2,SUM(L1084),IF(X1092&lt;3,SUM(K1084),IF(X1095="",K1095,X1095))))</f>
        <v/>
      </c>
      <c r="M1095" s="1401" t="str">
        <f>IF($M1076&lt;&gt;EUconst_Relevant,"",IF(Y1092&lt;2,SUM(M1084),IF(Y1092&lt;3,SUM(L1084),IF(Y1095="",L1095,Y1095))))</f>
        <v/>
      </c>
      <c r="N1095" s="1402" t="str">
        <f>IF($M1076&lt;&gt;EUconst_Relevant,"",IF(Z1092&lt;2,SUM(N1084),IF(Z1092&lt;3,SUM(M1084),IF(Z1095="",M1095,Z1095))))</f>
        <v/>
      </c>
      <c r="O1095" s="710"/>
      <c r="P1095" s="336"/>
      <c r="Q1095" s="1190" t="s">
        <v>2143</v>
      </c>
      <c r="R1095" s="694"/>
      <c r="S1095" s="729"/>
      <c r="T1095" s="729"/>
      <c r="U1095" s="1404" t="s">
        <v>1711</v>
      </c>
      <c r="V1095" s="1405" t="str">
        <f>IF(J1092="","",IF(CNTR_ReportingYear&lt;J1091,I1094,IF($I1095=0,J1092,$I1095*(1+J1094))))</f>
        <v/>
      </c>
      <c r="W1095" s="1405" t="str">
        <f>IF(K1092="","",IF(CNTR_ReportingYear&lt;K1091,J1094,IF($I1095=0,K1092,$I1095*(1+K1094))))</f>
        <v/>
      </c>
      <c r="X1095" s="1405" t="str">
        <f>IF(L1092="","",IF(CNTR_ReportingYear&lt;L1091,K1094,IF($I1095=0,L1092,$I1095*(1+L1094))))</f>
        <v/>
      </c>
      <c r="Y1095" s="1405" t="str">
        <f>IF(M1092="","",IF(CNTR_ReportingYear&lt;M1091,L1094,IF($I1095=0,M1092,$I1095*(1+M1094))))</f>
        <v/>
      </c>
      <c r="Z1095" s="1406" t="str">
        <f>IF(N1092="","",IF(CNTR_ReportingYear&lt;N1091,M1094,IF($I1095=0,N1092,$I1095*(1+N1094))))</f>
        <v/>
      </c>
      <c r="AA1095" s="694"/>
      <c r="AB1095" s="694"/>
      <c r="AC1095" s="694"/>
      <c r="AD1095" s="694"/>
      <c r="AE1095" s="343"/>
      <c r="AF1095" s="343"/>
      <c r="AG1095" s="343"/>
      <c r="AH1095" s="343"/>
      <c r="AI1095" s="343"/>
      <c r="AJ1095" s="343"/>
      <c r="AK1095" s="343"/>
      <c r="AL1095" s="343"/>
      <c r="AM1095" s="343"/>
    </row>
    <row r="1096" spans="1:39" ht="5.15" customHeight="1" thickBot="1" x14ac:dyDescent="0.3">
      <c r="A1096" s="729"/>
      <c r="B1096" s="698"/>
      <c r="C1096" s="284"/>
      <c r="D1096" s="1407"/>
      <c r="E1096" s="1408"/>
      <c r="F1096" s="1408"/>
      <c r="G1096" s="1408"/>
      <c r="H1096" s="1408"/>
      <c r="I1096" s="1408"/>
      <c r="J1096" s="1408"/>
      <c r="K1096" s="1408"/>
      <c r="L1096" s="1408"/>
      <c r="M1096" s="1408"/>
      <c r="N1096" s="1409"/>
      <c r="O1096" s="336"/>
      <c r="P1096" s="336"/>
      <c r="Q1096" s="694"/>
      <c r="R1096" s="694"/>
      <c r="S1096" s="729"/>
      <c r="T1096" s="729"/>
      <c r="U1096" s="694"/>
      <c r="V1096" s="694"/>
      <c r="W1096" s="694"/>
      <c r="X1096" s="694"/>
      <c r="Y1096" s="694"/>
      <c r="Z1096" s="729"/>
      <c r="AA1096" s="729"/>
      <c r="AB1096" s="729"/>
      <c r="AC1096" s="694"/>
      <c r="AD1096" s="694"/>
      <c r="AE1096" s="343"/>
      <c r="AF1096" s="343"/>
      <c r="AG1096" s="343"/>
      <c r="AH1096" s="343"/>
      <c r="AI1096" s="343"/>
      <c r="AJ1096" s="343"/>
      <c r="AK1096" s="343"/>
      <c r="AL1096" s="343"/>
      <c r="AM1096" s="343"/>
    </row>
    <row r="1097" spans="1:39" ht="5.15" customHeight="1" x14ac:dyDescent="0.25">
      <c r="A1097" s="729" t="str">
        <f>A1098</f>
        <v/>
      </c>
      <c r="B1097" s="698"/>
      <c r="C1097" s="284"/>
      <c r="D1097" s="284"/>
      <c r="E1097" s="284"/>
      <c r="F1097" s="284"/>
      <c r="G1097" s="284"/>
      <c r="H1097" s="284"/>
      <c r="I1097" s="284"/>
      <c r="J1097" s="284"/>
      <c r="K1097" s="284"/>
      <c r="L1097" s="284"/>
      <c r="M1097" s="284"/>
      <c r="N1097" s="284"/>
      <c r="O1097" s="336"/>
      <c r="P1097" s="336"/>
      <c r="Q1097" s="694"/>
      <c r="R1097" s="694"/>
      <c r="S1097" s="729"/>
      <c r="T1097" s="729"/>
      <c r="U1097" s="694"/>
      <c r="V1097" s="694"/>
      <c r="W1097" s="694"/>
      <c r="X1097" s="694"/>
      <c r="Y1097" s="694"/>
      <c r="Z1097" s="729"/>
      <c r="AA1097" s="729"/>
      <c r="AB1097" s="729"/>
      <c r="AC1097" s="694"/>
      <c r="AD1097" s="694"/>
      <c r="AE1097" s="343"/>
      <c r="AF1097" s="343"/>
      <c r="AG1097" s="343"/>
      <c r="AH1097" s="343"/>
      <c r="AI1097" s="343"/>
      <c r="AJ1097" s="343"/>
      <c r="AK1097" s="343"/>
      <c r="AL1097" s="343"/>
      <c r="AM1097" s="343"/>
    </row>
    <row r="1098" spans="1:39" ht="14" x14ac:dyDescent="0.3">
      <c r="A1098" s="729" t="str">
        <f>IF(MATCH(I1076,EUconst_FallBackListNames,0)=4,"ausblenden","")</f>
        <v/>
      </c>
      <c r="B1098" s="698"/>
      <c r="C1098" s="590"/>
      <c r="D1098" s="2323" t="str">
        <f>Translations!$B$495</f>
        <v>Данни за производството</v>
      </c>
      <c r="E1098" s="2249"/>
      <c r="F1098" s="2249"/>
      <c r="G1098" s="2249"/>
      <c r="H1098" s="2249"/>
      <c r="I1098" s="2249"/>
      <c r="J1098" s="2249"/>
      <c r="K1098" s="2249"/>
      <c r="L1098" s="2249"/>
      <c r="M1098" s="2249"/>
      <c r="N1098" s="2249"/>
      <c r="O1098" s="336"/>
      <c r="P1098" s="336"/>
      <c r="Q1098" s="694"/>
      <c r="R1098" s="694"/>
      <c r="S1098" s="694"/>
      <c r="T1098" s="694"/>
      <c r="U1098" s="694"/>
      <c r="V1098" s="694"/>
      <c r="W1098" s="694"/>
      <c r="X1098" s="694"/>
      <c r="Y1098" s="694"/>
      <c r="Z1098" s="729"/>
      <c r="AA1098" s="729"/>
      <c r="AB1098" s="729"/>
      <c r="AC1098" s="694"/>
      <c r="AD1098" s="694"/>
      <c r="AE1098" s="343"/>
      <c r="AF1098" s="343"/>
      <c r="AG1098" s="343"/>
      <c r="AH1098" s="343"/>
      <c r="AI1098" s="343"/>
      <c r="AJ1098" s="343"/>
      <c r="AK1098" s="343"/>
      <c r="AL1098" s="343"/>
      <c r="AM1098" s="343"/>
    </row>
    <row r="1099" spans="1:39" ht="5.15" customHeight="1" x14ac:dyDescent="0.25">
      <c r="A1099" s="729" t="str">
        <f>A1098</f>
        <v/>
      </c>
      <c r="B1099" s="284"/>
      <c r="C1099" s="284"/>
      <c r="D1099" s="284"/>
      <c r="E1099" s="284"/>
      <c r="F1099" s="284"/>
      <c r="G1099" s="284"/>
      <c r="H1099" s="284"/>
      <c r="I1099" s="284"/>
      <c r="J1099" s="284"/>
      <c r="K1099" s="284"/>
      <c r="L1099" s="284"/>
      <c r="M1099" s="284"/>
      <c r="N1099" s="284"/>
      <c r="O1099" s="336"/>
      <c r="P1099" s="336"/>
      <c r="Q1099" s="770"/>
      <c r="R1099" s="770"/>
      <c r="S1099" s="694"/>
      <c r="T1099" s="694"/>
      <c r="U1099" s="694"/>
      <c r="V1099" s="694"/>
      <c r="W1099" s="694"/>
      <c r="X1099" s="694"/>
      <c r="Y1099" s="694"/>
      <c r="Z1099" s="729"/>
      <c r="AA1099" s="729"/>
      <c r="AB1099" s="729"/>
      <c r="AC1099" s="694"/>
      <c r="AD1099" s="694"/>
      <c r="AE1099" s="343"/>
      <c r="AF1099" s="343"/>
      <c r="AG1099" s="343"/>
      <c r="AH1099" s="343"/>
      <c r="AI1099" s="343"/>
      <c r="AJ1099" s="343"/>
      <c r="AK1099" s="343"/>
      <c r="AL1099" s="343"/>
      <c r="AM1099" s="343"/>
    </row>
    <row r="1100" spans="1:39" ht="12.75" customHeight="1" x14ac:dyDescent="0.25">
      <c r="A1100" s="729" t="str">
        <f t="shared" ref="A1100:A1103" si="1702">A1099</f>
        <v/>
      </c>
      <c r="B1100" s="284"/>
      <c r="C1100" s="300"/>
      <c r="D1100" s="300" t="s">
        <v>901</v>
      </c>
      <c r="E1100" s="2226" t="str">
        <f>Translations!$B$616</f>
        <v>Определяне на съответните продукти или услуги, свързани с тази подинсталация</v>
      </c>
      <c r="F1100" s="2249"/>
      <c r="G1100" s="2249"/>
      <c r="H1100" s="2249"/>
      <c r="I1100" s="2249"/>
      <c r="J1100" s="2249"/>
      <c r="K1100" s="2249"/>
      <c r="L1100" s="2249"/>
      <c r="M1100" s="2249"/>
      <c r="N1100" s="2249"/>
      <c r="O1100" s="336"/>
      <c r="P1100" s="336"/>
      <c r="Q1100" s="770"/>
      <c r="R1100" s="694"/>
      <c r="S1100" s="694"/>
      <c r="T1100" s="694"/>
      <c r="U1100" s="694"/>
      <c r="V1100" s="694"/>
      <c r="W1100" s="694"/>
      <c r="X1100" s="694"/>
      <c r="Y1100" s="694"/>
      <c r="Z1100" s="694"/>
      <c r="AA1100" s="694"/>
      <c r="AB1100" s="729"/>
      <c r="AC1100" s="694"/>
      <c r="AD1100" s="694"/>
      <c r="AE1100" s="343"/>
      <c r="AF1100" s="343"/>
      <c r="AG1100" s="343"/>
      <c r="AH1100" s="343"/>
      <c r="AI1100" s="343"/>
      <c r="AJ1100" s="343"/>
      <c r="AK1100" s="343"/>
      <c r="AL1100" s="343"/>
      <c r="AM1100" s="343"/>
    </row>
    <row r="1101" spans="1:39" ht="12.75" customHeight="1" x14ac:dyDescent="0.25">
      <c r="A1101" s="729" t="str">
        <f t="shared" si="1702"/>
        <v/>
      </c>
      <c r="B1101" s="284"/>
      <c r="C1101" s="302"/>
      <c r="D1101" s="302"/>
      <c r="E1101" s="2358" t="str">
        <f>Translations!$B$617</f>
        <v>Тук посочете към кои производствени процеси или услуги има отношение тази подинсталация. Това може да включва следните елементи:</v>
      </c>
      <c r="F1101" s="2249"/>
      <c r="G1101" s="2249"/>
      <c r="H1101" s="2249"/>
      <c r="I1101" s="2249"/>
      <c r="J1101" s="2249"/>
      <c r="K1101" s="2249"/>
      <c r="L1101" s="2249"/>
      <c r="M1101" s="2249"/>
      <c r="N1101" s="2249"/>
      <c r="O1101" s="336"/>
      <c r="P1101" s="336"/>
      <c r="Q1101" s="770"/>
      <c r="R1101" s="770"/>
      <c r="S1101" s="770"/>
      <c r="T1101" s="770"/>
      <c r="U1101" s="770"/>
      <c r="V1101" s="770"/>
      <c r="W1101" s="770"/>
      <c r="X1101" s="770"/>
      <c r="Y1101" s="770"/>
      <c r="Z1101" s="770"/>
      <c r="AA1101" s="770"/>
      <c r="AB1101" s="729"/>
      <c r="AC1101" s="694"/>
      <c r="AD1101" s="694"/>
      <c r="AE1101" s="343"/>
      <c r="AF1101" s="343"/>
      <c r="AG1101" s="343"/>
      <c r="AH1101" s="343"/>
      <c r="AI1101" s="343"/>
      <c r="AJ1101" s="343"/>
      <c r="AK1101" s="343"/>
      <c r="AL1101" s="343"/>
      <c r="AM1101" s="343"/>
    </row>
    <row r="1102" spans="1:39" ht="12.75" customHeight="1" x14ac:dyDescent="0.25">
      <c r="A1102" s="729" t="str">
        <f t="shared" si="1702"/>
        <v/>
      </c>
      <c r="B1102" s="284"/>
      <c r="C1102" s="302"/>
      <c r="D1102" s="302"/>
      <c r="E1102" s="1410" t="s">
        <v>951</v>
      </c>
      <c r="F1102" s="2358" t="str">
        <f>Translations!$B$618</f>
        <v>Производство на стоки, непопадащи в продуктовите показатели в рамките на инсталацията (посочете вида продукти);</v>
      </c>
      <c r="G1102" s="2249"/>
      <c r="H1102" s="2249"/>
      <c r="I1102" s="2249"/>
      <c r="J1102" s="2249"/>
      <c r="K1102" s="2249"/>
      <c r="L1102" s="2249"/>
      <c r="M1102" s="2249"/>
      <c r="N1102" s="2249"/>
      <c r="O1102" s="336"/>
      <c r="P1102" s="336"/>
      <c r="Q1102" s="770"/>
      <c r="R1102" s="770"/>
      <c r="S1102" s="770"/>
      <c r="T1102" s="770"/>
      <c r="U1102" s="770"/>
      <c r="V1102" s="770"/>
      <c r="W1102" s="770"/>
      <c r="X1102" s="770"/>
      <c r="Y1102" s="770"/>
      <c r="Z1102" s="770"/>
      <c r="AA1102" s="770"/>
      <c r="AB1102" s="729"/>
      <c r="AC1102" s="694"/>
      <c r="AD1102" s="694"/>
      <c r="AE1102" s="343"/>
      <c r="AF1102" s="343"/>
      <c r="AG1102" s="343"/>
      <c r="AH1102" s="343"/>
      <c r="AI1102" s="343"/>
      <c r="AJ1102" s="343"/>
      <c r="AK1102" s="343"/>
      <c r="AL1102" s="343"/>
      <c r="AM1102" s="343"/>
    </row>
    <row r="1103" spans="1:39" ht="12.75" customHeight="1" x14ac:dyDescent="0.25">
      <c r="A1103" s="729" t="str">
        <f t="shared" si="1702"/>
        <v/>
      </c>
      <c r="B1103" s="284"/>
      <c r="C1103" s="302"/>
      <c r="D1103" s="302"/>
      <c r="E1103" s="1410" t="s">
        <v>951</v>
      </c>
      <c r="F1103" s="2358" t="str">
        <f>Translations!$B$619</f>
        <v>производство на механична енергия, за отопление или охлаждане (всички употреби без производство на електроенергия);</v>
      </c>
      <c r="G1103" s="2249"/>
      <c r="H1103" s="2249"/>
      <c r="I1103" s="2249"/>
      <c r="J1103" s="2249"/>
      <c r="K1103" s="2249"/>
      <c r="L1103" s="2249"/>
      <c r="M1103" s="2249"/>
      <c r="N1103" s="2249"/>
      <c r="O1103" s="336"/>
      <c r="P1103" s="336"/>
      <c r="Q1103" s="770"/>
      <c r="R1103" s="770"/>
      <c r="S1103" s="770"/>
      <c r="T1103" s="770"/>
      <c r="U1103" s="770"/>
      <c r="V1103" s="770"/>
      <c r="W1103" s="770"/>
      <c r="X1103" s="770"/>
      <c r="Y1103" s="770"/>
      <c r="Z1103" s="694"/>
      <c r="AA1103" s="694"/>
      <c r="AB1103" s="729"/>
      <c r="AC1103" s="694"/>
      <c r="AD1103" s="694"/>
      <c r="AE1103" s="343"/>
      <c r="AF1103" s="343"/>
      <c r="AG1103" s="343"/>
      <c r="AH1103" s="343"/>
      <c r="AI1103" s="343"/>
      <c r="AJ1103" s="343"/>
      <c r="AK1103" s="343"/>
      <c r="AL1103" s="343"/>
      <c r="AM1103" s="343"/>
    </row>
    <row r="1104" spans="1:39" ht="25.5" customHeight="1" x14ac:dyDescent="0.25">
      <c r="A1104" s="729"/>
      <c r="B1104" s="284"/>
      <c r="C1104" s="302"/>
      <c r="D1104" s="302"/>
      <c r="E1104" s="2358" t="str">
        <f>Translations!$B$497</f>
        <v>Кодовете по Продком се въвеждат като низове във вида „nnnnnnnn“, т.е. без точки или други разделителни знаци между тях. Само когато липсва код по Продком, се посочва 4-цифрения код по статистическата класификация на икономическите дейности в Европейския съюз (NACE) във вида „nnnn“.</v>
      </c>
      <c r="F1104" s="2249"/>
      <c r="G1104" s="2249"/>
      <c r="H1104" s="2249"/>
      <c r="I1104" s="2249"/>
      <c r="J1104" s="2249"/>
      <c r="K1104" s="2249"/>
      <c r="L1104" s="2249"/>
      <c r="M1104" s="2249"/>
      <c r="N1104" s="2249"/>
      <c r="O1104" s="336"/>
      <c r="P1104" s="336"/>
      <c r="Q1104" s="770"/>
      <c r="R1104" s="694"/>
      <c r="S1104" s="694"/>
      <c r="T1104" s="694"/>
      <c r="U1104" s="694"/>
      <c r="V1104" s="694"/>
      <c r="W1104" s="694"/>
      <c r="X1104" s="694"/>
      <c r="Y1104" s="694"/>
      <c r="Z1104" s="694"/>
      <c r="AA1104" s="694"/>
      <c r="AB1104" s="729"/>
      <c r="AC1104" s="694"/>
      <c r="AD1104" s="694"/>
      <c r="AE1104" s="343"/>
      <c r="AF1104" s="343"/>
      <c r="AG1104" s="343"/>
      <c r="AH1104" s="343"/>
      <c r="AI1104" s="343"/>
      <c r="AJ1104" s="343"/>
      <c r="AK1104" s="343"/>
      <c r="AL1104" s="343"/>
      <c r="AM1104" s="343"/>
    </row>
    <row r="1105" spans="1:39" ht="12.75" customHeight="1" x14ac:dyDescent="0.25">
      <c r="A1105" s="729"/>
      <c r="B1105" s="284"/>
      <c r="C1105" s="302"/>
      <c r="D1105" s="302"/>
      <c r="E1105" s="2358" t="str">
        <f>Translations!$B$498</f>
        <v>Продком списъкът за 2010 г. може да се намери на адрес: http://ec.europa.eu/eurostat/ramon/nomenclatures/index.cfm?TargetUrl=LST_CLS_DLD&amp;StrNom=PRD_2010&amp;StrLanguageCode=EN&amp;StrLayoutCode=HIERARCHIChttp://ec.europa.eu/eurostat/ramon/nomenclatures/index.cfm?TargetUrl=LST_CLS_DLD&amp;StrNom=PRD_2010&amp;StrLanguageCode=EN&amp;StrLayoutCode=HIERARCHIC</v>
      </c>
      <c r="F1105" s="2249"/>
      <c r="G1105" s="2249"/>
      <c r="H1105" s="2249"/>
      <c r="I1105" s="2249"/>
      <c r="J1105" s="2249"/>
      <c r="K1105" s="2249"/>
      <c r="L1105" s="2249"/>
      <c r="M1105" s="2249"/>
      <c r="N1105" s="2249"/>
      <c r="O1105" s="336"/>
      <c r="P1105" s="336"/>
      <c r="Q1105" s="770"/>
      <c r="R1105" s="694"/>
      <c r="S1105" s="694"/>
      <c r="T1105" s="694"/>
      <c r="U1105" s="694"/>
      <c r="V1105" s="694"/>
      <c r="W1105" s="694"/>
      <c r="X1105" s="694"/>
      <c r="Y1105" s="694"/>
      <c r="Z1105" s="694"/>
      <c r="AA1105" s="694"/>
      <c r="AB1105" s="729"/>
      <c r="AC1105" s="694"/>
      <c r="AD1105" s="694"/>
      <c r="AE1105" s="343"/>
      <c r="AF1105" s="343"/>
      <c r="AG1105" s="343"/>
      <c r="AH1105" s="343"/>
      <c r="AI1105" s="343"/>
      <c r="AJ1105" s="343"/>
      <c r="AK1105" s="343"/>
      <c r="AL1105" s="343"/>
      <c r="AM1105" s="343"/>
    </row>
    <row r="1106" spans="1:39" ht="12.75" customHeight="1" x14ac:dyDescent="0.25">
      <c r="A1106" s="729"/>
      <c r="B1106" s="284"/>
      <c r="C1106" s="302"/>
      <c r="D1106" s="302"/>
      <c r="E1106" s="2855" t="str">
        <f>Translations!$B$1532</f>
        <v>https://eur-lex.europa.eu/eli/reg/2010/860/oj</v>
      </c>
      <c r="F1106" s="2899"/>
      <c r="G1106" s="2899"/>
      <c r="H1106" s="2899"/>
      <c r="I1106" s="2899"/>
      <c r="J1106" s="2899"/>
      <c r="K1106" s="2899"/>
      <c r="L1106" s="2899"/>
      <c r="M1106" s="2899"/>
      <c r="N1106" s="2899"/>
      <c r="O1106" s="336"/>
      <c r="P1106" s="336"/>
      <c r="Q1106" s="770"/>
      <c r="R1106" s="694"/>
      <c r="S1106" s="694"/>
      <c r="T1106" s="694"/>
      <c r="U1106" s="694"/>
      <c r="V1106" s="694"/>
      <c r="W1106" s="694"/>
      <c r="X1106" s="694"/>
      <c r="Y1106" s="694"/>
      <c r="Z1106" s="694"/>
      <c r="AA1106" s="694"/>
      <c r="AB1106" s="729"/>
      <c r="AC1106" s="694"/>
      <c r="AD1106" s="694"/>
      <c r="AE1106" s="343"/>
      <c r="AF1106" s="343"/>
      <c r="AG1106" s="343"/>
      <c r="AH1106" s="343"/>
      <c r="AI1106" s="343"/>
      <c r="AJ1106" s="343"/>
      <c r="AK1106" s="343"/>
      <c r="AL1106" s="343"/>
      <c r="AM1106" s="343"/>
    </row>
    <row r="1107" spans="1:39" ht="12.75" customHeight="1" x14ac:dyDescent="0.25">
      <c r="A1107" s="729"/>
      <c r="B1107" s="284"/>
      <c r="C1107" s="302"/>
      <c r="D1107" s="302"/>
      <c r="E1107" s="2358" t="str">
        <f>Translations!$B$621</f>
        <v>Ако са обхванати няколко подобни продукта в рамките на една група по NACE, могат да се използват кодовете по NACE вместо по Продком.</v>
      </c>
      <c r="F1107" s="2249"/>
      <c r="G1107" s="2249"/>
      <c r="H1107" s="2249"/>
      <c r="I1107" s="2249"/>
      <c r="J1107" s="2249"/>
      <c r="K1107" s="2249"/>
      <c r="L1107" s="2249"/>
      <c r="M1107" s="2249"/>
      <c r="N1107" s="2249"/>
      <c r="O1107" s="336"/>
      <c r="P1107" s="336"/>
      <c r="Q1107" s="770"/>
      <c r="R1107" s="770"/>
      <c r="S1107" s="770"/>
      <c r="T1107" s="770"/>
      <c r="U1107" s="770"/>
      <c r="V1107" s="770"/>
      <c r="W1107" s="770"/>
      <c r="X1107" s="770"/>
      <c r="Y1107" s="770"/>
      <c r="Z1107" s="694"/>
      <c r="AA1107" s="694"/>
      <c r="AB1107" s="729"/>
      <c r="AC1107" s="694"/>
      <c r="AD1107" s="694"/>
      <c r="AE1107" s="343"/>
      <c r="AF1107" s="343"/>
      <c r="AG1107" s="343"/>
      <c r="AH1107" s="343"/>
      <c r="AI1107" s="343"/>
      <c r="AJ1107" s="343"/>
      <c r="AK1107" s="343"/>
      <c r="AL1107" s="343"/>
      <c r="AM1107" s="343"/>
    </row>
    <row r="1108" spans="1:39" ht="12.75" customHeight="1" x14ac:dyDescent="0.25">
      <c r="A1108" s="729"/>
      <c r="B1108" s="284"/>
      <c r="C1108" s="302"/>
      <c r="D1108" s="302"/>
      <c r="E1108" s="2358" t="str">
        <f>Translations!$B$1520</f>
        <v>Кодовете по КН са кодовете съгласно Регламент (ЕИО) № 2658/87, които са на разположение на следния адрес:</v>
      </c>
      <c r="F1108" s="2249"/>
      <c r="G1108" s="2249"/>
      <c r="H1108" s="2249"/>
      <c r="I1108" s="2249"/>
      <c r="J1108" s="2249"/>
      <c r="K1108" s="2249"/>
      <c r="L1108" s="2249"/>
      <c r="M1108" s="2249"/>
      <c r="N1108" s="2249"/>
      <c r="O1108" s="336"/>
      <c r="P1108" s="336"/>
      <c r="Q1108" s="770"/>
      <c r="R1108" s="770"/>
      <c r="S1108" s="770"/>
      <c r="T1108" s="770"/>
      <c r="U1108" s="770"/>
      <c r="V1108" s="770"/>
      <c r="W1108" s="770"/>
      <c r="X1108" s="770"/>
      <c r="Y1108" s="770"/>
      <c r="Z1108" s="694"/>
      <c r="AA1108" s="694"/>
      <c r="AB1108" s="729"/>
      <c r="AC1108" s="694"/>
      <c r="AD1108" s="694"/>
      <c r="AE1108" s="343"/>
      <c r="AF1108" s="343"/>
      <c r="AG1108" s="343"/>
      <c r="AH1108" s="343"/>
      <c r="AI1108" s="343"/>
      <c r="AJ1108" s="343"/>
      <c r="AK1108" s="343"/>
      <c r="AL1108" s="343"/>
      <c r="AM1108" s="343"/>
    </row>
    <row r="1109" spans="1:39" ht="12.75" customHeight="1" x14ac:dyDescent="0.25">
      <c r="A1109" s="729"/>
      <c r="B1109" s="284"/>
      <c r="C1109" s="302"/>
      <c r="D1109" s="302"/>
      <c r="E1109" s="2855" t="str">
        <f>Translations!$B$1521</f>
        <v>https://eur-lex.europa.eu/eli/reg/1987/2658/2023-06-17</v>
      </c>
      <c r="F1109" s="2899"/>
      <c r="G1109" s="2899"/>
      <c r="H1109" s="2899"/>
      <c r="I1109" s="2899"/>
      <c r="J1109" s="2899"/>
      <c r="K1109" s="2899"/>
      <c r="L1109" s="2899"/>
      <c r="M1109" s="2899"/>
      <c r="N1109" s="2899"/>
      <c r="O1109" s="336"/>
      <c r="P1109" s="336"/>
      <c r="Q1109" s="770"/>
      <c r="R1109" s="770"/>
      <c r="S1109" s="770"/>
      <c r="T1109" s="770"/>
      <c r="U1109" s="770"/>
      <c r="V1109" s="770"/>
      <c r="W1109" s="770"/>
      <c r="X1109" s="770"/>
      <c r="Y1109" s="770"/>
      <c r="Z1109" s="694"/>
      <c r="AA1109" s="694"/>
      <c r="AB1109" s="729"/>
      <c r="AC1109" s="694"/>
      <c r="AD1109" s="694"/>
      <c r="AE1109" s="343"/>
      <c r="AF1109" s="343"/>
      <c r="AG1109" s="343"/>
      <c r="AH1109" s="343"/>
      <c r="AI1109" s="343"/>
      <c r="AJ1109" s="343"/>
      <c r="AK1109" s="343"/>
      <c r="AL1109" s="343"/>
      <c r="AM1109" s="343"/>
    </row>
    <row r="1110" spans="1:39" ht="5.15" customHeight="1" x14ac:dyDescent="0.25">
      <c r="A1110" s="729"/>
      <c r="B1110" s="284"/>
      <c r="C1110" s="302"/>
      <c r="D1110" s="302"/>
      <c r="E1110" s="460"/>
      <c r="F1110" s="460"/>
      <c r="G1110" s="460"/>
      <c r="H1110" s="460"/>
      <c r="I1110" s="460"/>
      <c r="J1110" s="329"/>
      <c r="K1110" s="329"/>
      <c r="L1110" s="329"/>
      <c r="M1110" s="336"/>
      <c r="N1110" s="336"/>
      <c r="O1110" s="336"/>
      <c r="P1110" s="336"/>
      <c r="Q1110" s="770"/>
      <c r="R1110" s="694"/>
      <c r="S1110" s="694"/>
      <c r="T1110" s="694"/>
      <c r="U1110" s="694"/>
      <c r="V1110" s="694"/>
      <c r="W1110" s="694"/>
      <c r="X1110" s="694"/>
      <c r="Y1110" s="694"/>
      <c r="Z1110" s="694"/>
      <c r="AA1110" s="694"/>
      <c r="AB1110" s="729"/>
      <c r="AC1110" s="694"/>
      <c r="AD1110" s="694"/>
      <c r="AE1110" s="343"/>
      <c r="AF1110" s="343"/>
      <c r="AG1110" s="343"/>
      <c r="AH1110" s="343"/>
      <c r="AI1110" s="343"/>
      <c r="AJ1110" s="343"/>
      <c r="AK1110" s="343"/>
      <c r="AL1110" s="343"/>
      <c r="AM1110" s="343"/>
    </row>
    <row r="1111" spans="1:39" ht="25.5" customHeight="1" x14ac:dyDescent="0.25">
      <c r="A1111" s="729"/>
      <c r="B1111" s="698"/>
      <c r="C1111" s="300"/>
      <c r="D1111" s="1014"/>
      <c r="E1111" s="2900" t="str">
        <f>Translations!$B$622</f>
        <v>Вид употреба</v>
      </c>
      <c r="F1111" s="2901"/>
      <c r="G1111" s="2902" t="str">
        <f>Translations!$B$1557</f>
        <v>Име на продукт или вид услуга</v>
      </c>
      <c r="H1111" s="2463"/>
      <c r="I1111" s="2463"/>
      <c r="J1111" s="2463"/>
      <c r="K1111" s="2463"/>
      <c r="L1111" s="2699"/>
      <c r="M1111" s="1277" t="str">
        <f>Translations!$B$1522</f>
        <v>ПРОДКОМ за 2010 г.</v>
      </c>
      <c r="N1111" s="1277" t="str">
        <f>Translations!$B$1523</f>
        <v>Код по КН</v>
      </c>
      <c r="O1111" s="336"/>
      <c r="P1111" s="336"/>
      <c r="Q1111" s="694"/>
      <c r="R1111" s="694"/>
      <c r="S1111" s="1390" t="s">
        <v>1990</v>
      </c>
      <c r="T1111" s="694"/>
      <c r="U1111" s="694"/>
      <c r="V1111" s="694"/>
      <c r="W1111" s="694"/>
      <c r="X1111" s="694"/>
      <c r="Y1111" s="694"/>
      <c r="Z1111" s="770"/>
      <c r="AA1111" s="770"/>
      <c r="AB1111" s="729"/>
      <c r="AC1111" s="694"/>
      <c r="AD1111" s="694"/>
      <c r="AE1111" s="343"/>
      <c r="AF1111" s="343"/>
      <c r="AG1111" s="343"/>
      <c r="AH1111" s="343"/>
      <c r="AI1111" s="343"/>
      <c r="AJ1111" s="343"/>
      <c r="AK1111" s="343"/>
      <c r="AL1111" s="343"/>
      <c r="AM1111" s="343"/>
    </row>
    <row r="1112" spans="1:39" ht="12.75" customHeight="1" x14ac:dyDescent="0.25">
      <c r="A1112" s="729"/>
      <c r="B1112" s="698"/>
      <c r="C1112" s="773"/>
      <c r="D1112" s="981">
        <v>1</v>
      </c>
      <c r="E1112" s="2420"/>
      <c r="F1112" s="2421"/>
      <c r="G1112" s="2903"/>
      <c r="H1112" s="2904"/>
      <c r="I1112" s="2904"/>
      <c r="J1112" s="2904"/>
      <c r="K1112" s="2904"/>
      <c r="L1112" s="2905"/>
      <c r="M1112" s="221"/>
      <c r="N1112" s="221"/>
      <c r="O1112" s="336"/>
      <c r="P1112" s="158"/>
      <c r="Q1112" s="694"/>
      <c r="R1112" s="1174"/>
      <c r="S1112" s="982" t="b">
        <f>TRUE</f>
        <v>1</v>
      </c>
      <c r="T1112" s="1411" t="s">
        <v>2078</v>
      </c>
      <c r="U1112" s="694"/>
      <c r="V1112" s="694"/>
      <c r="W1112" s="694"/>
      <c r="X1112" s="694"/>
      <c r="Y1112" s="694"/>
      <c r="Z1112" s="694"/>
      <c r="AA1112" s="694"/>
      <c r="AB1112" s="729"/>
      <c r="AC1112" s="694"/>
      <c r="AD1112" s="694"/>
      <c r="AE1112" s="343"/>
      <c r="AF1112" s="343"/>
      <c r="AG1112" s="343"/>
      <c r="AH1112" s="343"/>
      <c r="AI1112" s="343"/>
      <c r="AJ1112" s="343"/>
      <c r="AK1112" s="1174" t="s">
        <v>2039</v>
      </c>
      <c r="AL1112" s="1176" t="str">
        <f>IF(AND($M1076=EUconst_Relevant,COUNTA(E1112:N1112)&lt;4),EUconst_Error&amp;"FB"&amp;Q1076,"")</f>
        <v/>
      </c>
      <c r="AM1112" s="343"/>
    </row>
    <row r="1113" spans="1:39" ht="12.75" customHeight="1" x14ac:dyDescent="0.25">
      <c r="A1113" s="729"/>
      <c r="B1113" s="698"/>
      <c r="C1113" s="773"/>
      <c r="D1113" s="990">
        <f>D1112+1</f>
        <v>2</v>
      </c>
      <c r="E1113" s="2406"/>
      <c r="F1113" s="2405"/>
      <c r="G1113" s="2913"/>
      <c r="H1113" s="2914"/>
      <c r="I1113" s="2914"/>
      <c r="J1113" s="2914"/>
      <c r="K1113" s="2914"/>
      <c r="L1113" s="2915"/>
      <c r="M1113" s="224"/>
      <c r="N1113" s="224"/>
      <c r="O1113" s="336"/>
      <c r="P1113" s="158"/>
      <c r="Q1113" s="694"/>
      <c r="R1113" s="694"/>
      <c r="S1113" s="982" t="b">
        <f>TRUE</f>
        <v>1</v>
      </c>
      <c r="T1113" s="694"/>
      <c r="U1113" s="694"/>
      <c r="V1113" s="694"/>
      <c r="W1113" s="694"/>
      <c r="X1113" s="694"/>
      <c r="Y1113" s="694"/>
      <c r="Z1113" s="694"/>
      <c r="AA1113" s="694"/>
      <c r="AB1113" s="729"/>
      <c r="AC1113" s="694"/>
      <c r="AD1113" s="694"/>
      <c r="AE1113" s="343"/>
      <c r="AF1113" s="343"/>
      <c r="AG1113" s="343"/>
      <c r="AH1113" s="343"/>
      <c r="AI1113" s="343"/>
      <c r="AJ1113" s="343"/>
      <c r="AK1113" s="343"/>
      <c r="AL1113" s="343"/>
      <c r="AM1113" s="343"/>
    </row>
    <row r="1114" spans="1:39" ht="12.75" customHeight="1" x14ac:dyDescent="0.25">
      <c r="A1114" s="729"/>
      <c r="B1114" s="698"/>
      <c r="C1114" s="773"/>
      <c r="D1114" s="990">
        <f t="shared" ref="D1114:D1121" si="1703">D1113+1</f>
        <v>3</v>
      </c>
      <c r="E1114" s="2406"/>
      <c r="F1114" s="2405"/>
      <c r="G1114" s="2913"/>
      <c r="H1114" s="2914"/>
      <c r="I1114" s="2914"/>
      <c r="J1114" s="2914"/>
      <c r="K1114" s="2914"/>
      <c r="L1114" s="2915"/>
      <c r="M1114" s="224"/>
      <c r="N1114" s="224"/>
      <c r="O1114" s="336"/>
      <c r="P1114" s="158"/>
      <c r="Q1114" s="694"/>
      <c r="R1114" s="694"/>
      <c r="S1114" s="982" t="b">
        <f>TRUE</f>
        <v>1</v>
      </c>
      <c r="T1114" s="694"/>
      <c r="U1114" s="694"/>
      <c r="V1114" s="694"/>
      <c r="W1114" s="694"/>
      <c r="X1114" s="694"/>
      <c r="Y1114" s="694"/>
      <c r="Z1114" s="694"/>
      <c r="AA1114" s="694"/>
      <c r="AB1114" s="729"/>
      <c r="AC1114" s="694"/>
      <c r="AD1114" s="694"/>
      <c r="AE1114" s="343"/>
      <c r="AF1114" s="343"/>
      <c r="AG1114" s="343"/>
      <c r="AH1114" s="343"/>
      <c r="AI1114" s="343"/>
      <c r="AJ1114" s="343"/>
      <c r="AK1114" s="343"/>
      <c r="AL1114" s="343"/>
      <c r="AM1114" s="343"/>
    </row>
    <row r="1115" spans="1:39" ht="12.75" customHeight="1" x14ac:dyDescent="0.25">
      <c r="A1115" s="729"/>
      <c r="B1115" s="698"/>
      <c r="C1115" s="773"/>
      <c r="D1115" s="990">
        <f t="shared" si="1703"/>
        <v>4</v>
      </c>
      <c r="E1115" s="2406"/>
      <c r="F1115" s="2405"/>
      <c r="G1115" s="2913"/>
      <c r="H1115" s="2914"/>
      <c r="I1115" s="2914"/>
      <c r="J1115" s="2914"/>
      <c r="K1115" s="2914"/>
      <c r="L1115" s="2915"/>
      <c r="M1115" s="222"/>
      <c r="N1115" s="222"/>
      <c r="O1115" s="336"/>
      <c r="P1115" s="158"/>
      <c r="Q1115" s="694"/>
      <c r="R1115" s="694"/>
      <c r="S1115" s="982" t="b">
        <f>TRUE</f>
        <v>1</v>
      </c>
      <c r="T1115" s="694"/>
      <c r="U1115" s="694"/>
      <c r="V1115" s="694"/>
      <c r="W1115" s="694"/>
      <c r="X1115" s="694"/>
      <c r="Y1115" s="694"/>
      <c r="Z1115" s="694"/>
      <c r="AA1115" s="694"/>
      <c r="AB1115" s="729"/>
      <c r="AC1115" s="694"/>
      <c r="AD1115" s="694"/>
      <c r="AE1115" s="343"/>
      <c r="AF1115" s="343"/>
      <c r="AG1115" s="343"/>
      <c r="AH1115" s="343"/>
      <c r="AI1115" s="343"/>
      <c r="AJ1115" s="343"/>
      <c r="AK1115" s="343"/>
      <c r="AL1115" s="343"/>
      <c r="AM1115" s="343"/>
    </row>
    <row r="1116" spans="1:39" ht="12.75" customHeight="1" x14ac:dyDescent="0.25">
      <c r="A1116" s="729"/>
      <c r="B1116" s="698"/>
      <c r="C1116" s="773"/>
      <c r="D1116" s="990">
        <f t="shared" si="1703"/>
        <v>5</v>
      </c>
      <c r="E1116" s="2406"/>
      <c r="F1116" s="2405"/>
      <c r="G1116" s="2913"/>
      <c r="H1116" s="2914"/>
      <c r="I1116" s="2914"/>
      <c r="J1116" s="2914"/>
      <c r="K1116" s="2914"/>
      <c r="L1116" s="2915"/>
      <c r="M1116" s="222"/>
      <c r="N1116" s="222"/>
      <c r="O1116" s="336"/>
      <c r="P1116" s="158"/>
      <c r="Q1116" s="694"/>
      <c r="R1116" s="694"/>
      <c r="S1116" s="982" t="b">
        <f>TRUE</f>
        <v>1</v>
      </c>
      <c r="T1116" s="694"/>
      <c r="U1116" s="694"/>
      <c r="V1116" s="694"/>
      <c r="W1116" s="694"/>
      <c r="X1116" s="694"/>
      <c r="Y1116" s="694"/>
      <c r="Z1116" s="770"/>
      <c r="AA1116" s="770"/>
      <c r="AB1116" s="729"/>
      <c r="AC1116" s="694"/>
      <c r="AD1116" s="694"/>
      <c r="AE1116" s="343"/>
      <c r="AF1116" s="343"/>
      <c r="AG1116" s="343"/>
      <c r="AH1116" s="343"/>
      <c r="AI1116" s="343"/>
      <c r="AJ1116" s="343"/>
      <c r="AK1116" s="343"/>
      <c r="AL1116" s="343"/>
      <c r="AM1116" s="343"/>
    </row>
    <row r="1117" spans="1:39" ht="12.75" customHeight="1" x14ac:dyDescent="0.25">
      <c r="A1117" s="729"/>
      <c r="B1117" s="698"/>
      <c r="C1117" s="773"/>
      <c r="D1117" s="990">
        <f t="shared" si="1703"/>
        <v>6</v>
      </c>
      <c r="E1117" s="2406"/>
      <c r="F1117" s="2405"/>
      <c r="G1117" s="2907"/>
      <c r="H1117" s="2908"/>
      <c r="I1117" s="2908"/>
      <c r="J1117" s="2908"/>
      <c r="K1117" s="2908"/>
      <c r="L1117" s="2909"/>
      <c r="M1117" s="222"/>
      <c r="N1117" s="222"/>
      <c r="O1117" s="336"/>
      <c r="P1117" s="158"/>
      <c r="Q1117" s="694"/>
      <c r="R1117" s="694"/>
      <c r="S1117" s="982" t="b">
        <f>TRUE</f>
        <v>1</v>
      </c>
      <c r="T1117" s="694"/>
      <c r="U1117" s="694"/>
      <c r="V1117" s="694"/>
      <c r="W1117" s="694"/>
      <c r="X1117" s="694"/>
      <c r="Y1117" s="694"/>
      <c r="Z1117" s="694"/>
      <c r="AA1117" s="694"/>
      <c r="AB1117" s="729"/>
      <c r="AC1117" s="694"/>
      <c r="AD1117" s="694"/>
      <c r="AE1117" s="343"/>
      <c r="AF1117" s="343"/>
      <c r="AG1117" s="343"/>
      <c r="AH1117" s="343"/>
      <c r="AI1117" s="343"/>
      <c r="AJ1117" s="343"/>
      <c r="AK1117" s="343"/>
      <c r="AL1117" s="343"/>
      <c r="AM1117" s="343"/>
    </row>
    <row r="1118" spans="1:39" ht="12.75" customHeight="1" x14ac:dyDescent="0.25">
      <c r="A1118" s="729"/>
      <c r="B1118" s="698"/>
      <c r="C1118" s="773"/>
      <c r="D1118" s="990">
        <f t="shared" si="1703"/>
        <v>7</v>
      </c>
      <c r="E1118" s="2406"/>
      <c r="F1118" s="2405"/>
      <c r="G1118" s="2907"/>
      <c r="H1118" s="2908"/>
      <c r="I1118" s="2908"/>
      <c r="J1118" s="2908"/>
      <c r="K1118" s="2908"/>
      <c r="L1118" s="2909"/>
      <c r="M1118" s="222"/>
      <c r="N1118" s="222"/>
      <c r="O1118" s="336"/>
      <c r="P1118" s="158"/>
      <c r="Q1118" s="694"/>
      <c r="R1118" s="694"/>
      <c r="S1118" s="982" t="b">
        <f>TRUE</f>
        <v>1</v>
      </c>
      <c r="T1118" s="694"/>
      <c r="U1118" s="694"/>
      <c r="V1118" s="694"/>
      <c r="W1118" s="694"/>
      <c r="X1118" s="694"/>
      <c r="Y1118" s="694"/>
      <c r="Z1118" s="694"/>
      <c r="AA1118" s="694"/>
      <c r="AB1118" s="729"/>
      <c r="AC1118" s="694"/>
      <c r="AD1118" s="694"/>
      <c r="AE1118" s="343"/>
      <c r="AF1118" s="343"/>
      <c r="AG1118" s="343"/>
      <c r="AH1118" s="343"/>
      <c r="AI1118" s="343"/>
      <c r="AJ1118" s="343"/>
      <c r="AK1118" s="343"/>
      <c r="AL1118" s="343"/>
      <c r="AM1118" s="343"/>
    </row>
    <row r="1119" spans="1:39" ht="12.75" customHeight="1" x14ac:dyDescent="0.25">
      <c r="A1119" s="729"/>
      <c r="B1119" s="698"/>
      <c r="C1119" s="773"/>
      <c r="D1119" s="990">
        <f t="shared" si="1703"/>
        <v>8</v>
      </c>
      <c r="E1119" s="2406"/>
      <c r="F1119" s="2405"/>
      <c r="G1119" s="2907"/>
      <c r="H1119" s="2908"/>
      <c r="I1119" s="2908"/>
      <c r="J1119" s="2908"/>
      <c r="K1119" s="2908"/>
      <c r="L1119" s="2909"/>
      <c r="M1119" s="222"/>
      <c r="N1119" s="222"/>
      <c r="O1119" s="336"/>
      <c r="P1119" s="158"/>
      <c r="Q1119" s="694"/>
      <c r="R1119" s="694"/>
      <c r="S1119" s="982" t="b">
        <f>TRUE</f>
        <v>1</v>
      </c>
      <c r="T1119" s="694"/>
      <c r="U1119" s="694"/>
      <c r="V1119" s="694"/>
      <c r="W1119" s="694"/>
      <c r="X1119" s="694"/>
      <c r="Y1119" s="694"/>
      <c r="Z1119" s="694"/>
      <c r="AA1119" s="694"/>
      <c r="AB1119" s="729"/>
      <c r="AC1119" s="694"/>
      <c r="AD1119" s="694"/>
      <c r="AE1119" s="343"/>
      <c r="AF1119" s="343"/>
      <c r="AG1119" s="343"/>
      <c r="AH1119" s="343"/>
      <c r="AI1119" s="343"/>
      <c r="AJ1119" s="343"/>
      <c r="AK1119" s="343"/>
      <c r="AL1119" s="343"/>
      <c r="AM1119" s="343"/>
    </row>
    <row r="1120" spans="1:39" ht="12.75" customHeight="1" x14ac:dyDescent="0.25">
      <c r="A1120" s="729"/>
      <c r="B1120" s="698"/>
      <c r="C1120" s="773"/>
      <c r="D1120" s="990">
        <f t="shared" si="1703"/>
        <v>9</v>
      </c>
      <c r="E1120" s="2406"/>
      <c r="F1120" s="2405"/>
      <c r="G1120" s="2907"/>
      <c r="H1120" s="2908"/>
      <c r="I1120" s="2908"/>
      <c r="J1120" s="2908"/>
      <c r="K1120" s="2908"/>
      <c r="L1120" s="2909"/>
      <c r="M1120" s="222"/>
      <c r="N1120" s="222"/>
      <c r="O1120" s="336"/>
      <c r="P1120" s="158"/>
      <c r="Q1120" s="694"/>
      <c r="R1120" s="694"/>
      <c r="S1120" s="982" t="b">
        <f>TRUE</f>
        <v>1</v>
      </c>
      <c r="T1120" s="694"/>
      <c r="U1120" s="694"/>
      <c r="V1120" s="694"/>
      <c r="W1120" s="694"/>
      <c r="X1120" s="694"/>
      <c r="Y1120" s="694"/>
      <c r="Z1120" s="694"/>
      <c r="AA1120" s="694"/>
      <c r="AB1120" s="729"/>
      <c r="AC1120" s="694"/>
      <c r="AD1120" s="694"/>
      <c r="AE1120" s="343"/>
      <c r="AF1120" s="343"/>
      <c r="AG1120" s="343"/>
      <c r="AH1120" s="343"/>
      <c r="AI1120" s="343"/>
      <c r="AJ1120" s="343"/>
      <c r="AK1120" s="343"/>
      <c r="AL1120" s="343"/>
      <c r="AM1120" s="343"/>
    </row>
    <row r="1121" spans="1:39" ht="12.75" customHeight="1" x14ac:dyDescent="0.25">
      <c r="A1121" s="729"/>
      <c r="B1121" s="698"/>
      <c r="C1121" s="773"/>
      <c r="D1121" s="994">
        <f t="shared" si="1703"/>
        <v>10</v>
      </c>
      <c r="E1121" s="2417"/>
      <c r="F1121" s="2403"/>
      <c r="G1121" s="2910"/>
      <c r="H1121" s="2911"/>
      <c r="I1121" s="2911"/>
      <c r="J1121" s="2911"/>
      <c r="K1121" s="2911"/>
      <c r="L1121" s="2912"/>
      <c r="M1121" s="223"/>
      <c r="N1121" s="223"/>
      <c r="O1121" s="336"/>
      <c r="P1121" s="158"/>
      <c r="Q1121" s="694"/>
      <c r="R1121" s="694"/>
      <c r="S1121" s="982" t="b">
        <f>TRUE</f>
        <v>1</v>
      </c>
      <c r="T1121" s="694"/>
      <c r="U1121" s="694"/>
      <c r="V1121" s="694"/>
      <c r="W1121" s="694"/>
      <c r="X1121" s="694"/>
      <c r="Y1121" s="694"/>
      <c r="Z1121" s="770"/>
      <c r="AA1121" s="770"/>
      <c r="AB1121" s="729"/>
      <c r="AC1121" s="694"/>
      <c r="AD1121" s="694"/>
      <c r="AE1121" s="343"/>
      <c r="AF1121" s="343"/>
      <c r="AG1121" s="343"/>
      <c r="AH1121" s="343"/>
      <c r="AI1121" s="343"/>
      <c r="AJ1121" s="343"/>
      <c r="AK1121" s="343"/>
      <c r="AL1121" s="343"/>
      <c r="AM1121" s="343"/>
    </row>
    <row r="1122" spans="1:39" ht="5.15" customHeight="1" x14ac:dyDescent="0.25">
      <c r="A1122" s="729"/>
      <c r="B1122" s="284"/>
      <c r="C1122" s="284"/>
      <c r="D1122" s="284"/>
      <c r="E1122" s="284"/>
      <c r="F1122" s="284"/>
      <c r="G1122" s="284"/>
      <c r="H1122" s="284"/>
      <c r="I1122" s="284"/>
      <c r="J1122" s="284"/>
      <c r="K1122" s="284"/>
      <c r="L1122" s="284"/>
      <c r="M1122" s="284"/>
      <c r="N1122" s="284"/>
      <c r="O1122" s="336"/>
      <c r="P1122" s="336"/>
      <c r="Q1122" s="770"/>
      <c r="R1122" s="770"/>
      <c r="S1122" s="694"/>
      <c r="T1122" s="694"/>
      <c r="U1122" s="694"/>
      <c r="V1122" s="694"/>
      <c r="W1122" s="694"/>
      <c r="X1122" s="694"/>
      <c r="Y1122" s="694"/>
      <c r="Z1122" s="694"/>
      <c r="AA1122" s="694"/>
      <c r="AB1122" s="729"/>
      <c r="AC1122" s="694"/>
      <c r="AD1122" s="694"/>
      <c r="AE1122" s="343"/>
      <c r="AF1122" s="343"/>
      <c r="AG1122" s="343"/>
      <c r="AH1122" s="343"/>
      <c r="AI1122" s="343"/>
      <c r="AJ1122" s="343"/>
      <c r="AK1122" s="343"/>
      <c r="AL1122" s="343"/>
      <c r="AM1122" s="343"/>
    </row>
    <row r="1123" spans="1:39" ht="12.75" customHeight="1" x14ac:dyDescent="0.25">
      <c r="A1123" s="729"/>
      <c r="B1123" s="284"/>
      <c r="C1123" s="300"/>
      <c r="D1123" s="300"/>
      <c r="E1123" s="2226" t="str">
        <f>Translations!$B$625</f>
        <v>Равнища на производство:</v>
      </c>
      <c r="F1123" s="2249"/>
      <c r="G1123" s="2249"/>
      <c r="H1123" s="2249"/>
      <c r="I1123" s="2249"/>
      <c r="J1123" s="2249"/>
      <c r="K1123" s="2249"/>
      <c r="L1123" s="2249"/>
      <c r="M1123" s="2249"/>
      <c r="N1123" s="2249"/>
      <c r="O1123" s="336"/>
      <c r="P1123" s="336"/>
      <c r="Q1123" s="770"/>
      <c r="R1123" s="694"/>
      <c r="S1123" s="694"/>
      <c r="T1123" s="694"/>
      <c r="U1123" s="694"/>
      <c r="V1123" s="694"/>
      <c r="W1123" s="694"/>
      <c r="X1123" s="694"/>
      <c r="Y1123" s="694"/>
      <c r="Z1123" s="694"/>
      <c r="AA1123" s="694"/>
      <c r="AB1123" s="729"/>
      <c r="AC1123" s="694"/>
      <c r="AD1123" s="694"/>
      <c r="AE1123" s="343"/>
      <c r="AF1123" s="343"/>
      <c r="AG1123" s="343"/>
      <c r="AH1123" s="343"/>
      <c r="AI1123" s="343"/>
      <c r="AJ1123" s="343"/>
      <c r="AK1123" s="343"/>
      <c r="AL1123" s="343"/>
      <c r="AM1123" s="343"/>
    </row>
    <row r="1124" spans="1:39" ht="25.5" customHeight="1" x14ac:dyDescent="0.25">
      <c r="A1124" s="729"/>
      <c r="B1124" s="284"/>
      <c r="C1124" s="300"/>
      <c r="D1124" s="300"/>
      <c r="E1124" s="2358" t="str">
        <f>Translations!$B$1533</f>
        <v>Следва да се отбележи, че правилото за енергийната ефективност може да се приложи само в случай на производството на конкретен продукт. Следователно, ако за даден продукт не може да бъде определен код по ПРОДКОМ, това правило не може да се прилага и очакваните равнища на дейност ще бъдат равни на действителните равнища на дейност (т.е. ще се отчитат спрямо оставащото AL), без никаква корекция.</v>
      </c>
      <c r="F1124" s="2249"/>
      <c r="G1124" s="2249"/>
      <c r="H1124" s="2249"/>
      <c r="I1124" s="2249"/>
      <c r="J1124" s="2249"/>
      <c r="K1124" s="2249"/>
      <c r="L1124" s="2249"/>
      <c r="M1124" s="2249"/>
      <c r="N1124" s="2249"/>
      <c r="O1124" s="336"/>
      <c r="P1124" s="336"/>
      <c r="Q1124" s="770"/>
      <c r="R1124" s="694"/>
      <c r="S1124" s="694"/>
      <c r="T1124" s="694"/>
      <c r="U1124" s="694"/>
      <c r="V1124" s="694"/>
      <c r="W1124" s="694"/>
      <c r="X1124" s="694"/>
      <c r="Y1124" s="694"/>
      <c r="Z1124" s="694"/>
      <c r="AA1124" s="694"/>
      <c r="AB1124" s="729"/>
      <c r="AC1124" s="694"/>
      <c r="AD1124" s="694"/>
      <c r="AE1124" s="343"/>
      <c r="AF1124" s="343"/>
      <c r="AG1124" s="343"/>
      <c r="AH1124" s="343"/>
      <c r="AI1124" s="343"/>
      <c r="AJ1124" s="343"/>
      <c r="AK1124" s="343"/>
      <c r="AL1124" s="343"/>
      <c r="AM1124" s="343"/>
    </row>
    <row r="1125" spans="1:39" ht="12.75" customHeight="1" x14ac:dyDescent="0.25">
      <c r="A1125" s="729"/>
      <c r="B1125" s="284"/>
      <c r="C1125" s="300"/>
      <c r="D1125" s="300"/>
      <c r="E1125" s="2358" t="str">
        <f>Translations!$B$1534</f>
        <v>Стойността в НМИ се отнася до средното производство през историческия базов период, както е обяснено в раздели 2.3 и 3 от Ръководство № 7.</v>
      </c>
      <c r="F1125" s="2249"/>
      <c r="G1125" s="2249"/>
      <c r="H1125" s="2249"/>
      <c r="I1125" s="2249"/>
      <c r="J1125" s="2249"/>
      <c r="K1125" s="2249"/>
      <c r="L1125" s="2249"/>
      <c r="M1125" s="2249"/>
      <c r="N1125" s="2249"/>
      <c r="O1125" s="336"/>
      <c r="P1125" s="336"/>
      <c r="Q1125" s="770"/>
      <c r="R1125" s="694"/>
      <c r="S1125" s="694"/>
      <c r="T1125" s="694"/>
      <c r="U1125" s="694"/>
      <c r="V1125" s="694"/>
      <c r="W1125" s="694"/>
      <c r="X1125" s="694"/>
      <c r="Y1125" s="694"/>
      <c r="Z1125" s="694"/>
      <c r="AA1125" s="694"/>
      <c r="AB1125" s="729"/>
      <c r="AC1125" s="694"/>
      <c r="AD1125" s="694"/>
      <c r="AE1125" s="343"/>
      <c r="AF1125" s="343"/>
      <c r="AG1125" s="343"/>
      <c r="AH1125" s="343"/>
      <c r="AI1125" s="343"/>
      <c r="AJ1125" s="343"/>
      <c r="AK1125" s="343"/>
      <c r="AL1125" s="343"/>
      <c r="AM1125" s="343"/>
    </row>
    <row r="1126" spans="1:39" ht="5.15" customHeight="1" x14ac:dyDescent="0.25">
      <c r="A1126" s="729"/>
      <c r="B1126" s="284"/>
      <c r="C1126" s="302"/>
      <c r="D1126" s="302"/>
      <c r="E1126" s="460"/>
      <c r="F1126" s="460"/>
      <c r="G1126" s="460"/>
      <c r="H1126" s="460"/>
      <c r="I1126" s="460"/>
      <c r="J1126" s="329"/>
      <c r="K1126" s="329"/>
      <c r="L1126" s="329"/>
      <c r="M1126" s="336"/>
      <c r="N1126" s="336"/>
      <c r="O1126" s="336"/>
      <c r="P1126" s="336"/>
      <c r="Q1126" s="770"/>
      <c r="R1126" s="694"/>
      <c r="S1126" s="694"/>
      <c r="T1126" s="694"/>
      <c r="U1126" s="694"/>
      <c r="V1126" s="694"/>
      <c r="W1126" s="694"/>
      <c r="X1126" s="694"/>
      <c r="Y1126" s="694"/>
      <c r="Z1126" s="694"/>
      <c r="AA1126" s="694"/>
      <c r="AB1126" s="729"/>
      <c r="AC1126" s="694"/>
      <c r="AD1126" s="694"/>
      <c r="AE1126" s="343"/>
      <c r="AF1126" s="343"/>
      <c r="AG1126" s="343"/>
      <c r="AH1126" s="343"/>
      <c r="AI1126" s="343"/>
      <c r="AJ1126" s="343"/>
      <c r="AK1126" s="343"/>
      <c r="AL1126" s="343"/>
      <c r="AM1126" s="343"/>
    </row>
    <row r="1127" spans="1:39" s="1423" customFormat="1" ht="25.5" customHeight="1" thickBot="1" x14ac:dyDescent="0.35">
      <c r="A1127" s="729"/>
      <c r="B1127" s="1412"/>
      <c r="C1127" s="1413"/>
      <c r="D1127" s="1414"/>
      <c r="E1127" s="1415" t="str">
        <f>G1111</f>
        <v>Име на продукт или вид услуга</v>
      </c>
      <c r="F1127" s="1416" t="str">
        <f>EUconst_Unit</f>
        <v>Единица мярка</v>
      </c>
      <c r="G1127" s="1419" t="str">
        <f>Translations!$B$1336</f>
        <v>Стойност в НМИ</v>
      </c>
      <c r="H1127" s="1418">
        <f t="shared" ref="H1127:N1127" si="1704">H$1840</f>
        <v>2024</v>
      </c>
      <c r="I1127" s="1419">
        <f t="shared" si="1704"/>
        <v>2025</v>
      </c>
      <c r="J1127" s="1418">
        <f t="shared" si="1704"/>
        <v>2026</v>
      </c>
      <c r="K1127" s="1420">
        <f t="shared" si="1704"/>
        <v>2027</v>
      </c>
      <c r="L1127" s="1420">
        <f t="shared" si="1704"/>
        <v>2028</v>
      </c>
      <c r="M1127" s="1420">
        <f t="shared" si="1704"/>
        <v>2029</v>
      </c>
      <c r="N1127" s="1420">
        <f t="shared" si="1704"/>
        <v>2030</v>
      </c>
      <c r="O1127" s="336"/>
      <c r="P1127" s="336"/>
      <c r="Q1127" s="1421"/>
      <c r="R1127" s="1421"/>
      <c r="S1127" s="1421"/>
      <c r="T1127" s="1421"/>
      <c r="U1127" s="1421"/>
      <c r="V1127" s="1421"/>
      <c r="W1127" s="1421"/>
      <c r="X1127" s="1421"/>
      <c r="Y1127" s="1421"/>
      <c r="Z1127" s="1421"/>
      <c r="AA1127" s="1421"/>
      <c r="AB1127" s="770" t="str">
        <f>Translations!$B$1284</f>
        <v>HAL</v>
      </c>
      <c r="AC1127" s="1421">
        <f t="shared" ref="AC1127" si="1705">H1127</f>
        <v>2024</v>
      </c>
      <c r="AD1127" s="1421">
        <f t="shared" ref="AD1127" si="1706">I1127</f>
        <v>2025</v>
      </c>
      <c r="AE1127" s="1421">
        <f t="shared" ref="AE1127" si="1707">J1127</f>
        <v>2026</v>
      </c>
      <c r="AF1127" s="1421">
        <f t="shared" ref="AF1127" si="1708">K1127</f>
        <v>2027</v>
      </c>
      <c r="AG1127" s="1421">
        <f t="shared" ref="AG1127" si="1709">L1127</f>
        <v>2028</v>
      </c>
      <c r="AH1127" s="1422">
        <f t="shared" ref="AH1127" si="1710">M1127</f>
        <v>2029</v>
      </c>
      <c r="AI1127" s="1422">
        <f t="shared" ref="AI1127" si="1711">N1127</f>
        <v>2030</v>
      </c>
      <c r="AJ1127" s="1422"/>
      <c r="AK1127" s="1422"/>
      <c r="AL1127" s="1422"/>
      <c r="AM1127" s="1422"/>
    </row>
    <row r="1128" spans="1:39" ht="12.75" customHeight="1" x14ac:dyDescent="0.25">
      <c r="A1128" s="729"/>
      <c r="B1128" s="698"/>
      <c r="C1128" s="2906" t="str">
        <f>Translations!$B$625</f>
        <v>Равнища на производство:</v>
      </c>
      <c r="D1128" s="981">
        <v>1</v>
      </c>
      <c r="E1128" s="1424" t="str">
        <f t="shared" ref="E1128:E1137" si="1712">IF(ISBLANK(G1112),"",G1112)</f>
        <v/>
      </c>
      <c r="F1128" s="177"/>
      <c r="G1128" s="46"/>
      <c r="H1128" s="116"/>
      <c r="I1128" s="46"/>
      <c r="J1128" s="116"/>
      <c r="K1128" s="40"/>
      <c r="L1128" s="40"/>
      <c r="M1128" s="40"/>
      <c r="N1128" s="40"/>
      <c r="O1128" s="336"/>
      <c r="P1128" s="158"/>
      <c r="Q1128" s="694"/>
      <c r="R1128" s="694"/>
      <c r="S1128" s="694"/>
      <c r="T1128" s="694"/>
      <c r="U1128" s="694"/>
      <c r="V1128" s="694"/>
      <c r="W1128" s="694"/>
      <c r="X1128" s="694"/>
      <c r="Y1128" s="694"/>
      <c r="Z1128" s="1182" t="s">
        <v>1757</v>
      </c>
      <c r="AA1128" s="1425">
        <f>MAX(AC1128:AI1128)</f>
        <v>2</v>
      </c>
      <c r="AB1128" s="1426">
        <f>IF(CNTR_ExistSubInstEntries,IF(OR($M1076&lt;&gt;EUconst_Relevant,$V1076&gt;($H$1840-1),$E1128=""),0,2),2)</f>
        <v>2</v>
      </c>
      <c r="AC1128" s="1426">
        <f t="shared" ref="AC1128" si="1713">IF(CNTR_ExistSubInstEntries,IF(OR($M1076&lt;&gt;EUconst_Relevant,AC1127&gt;=CNTR_ReportingYear,AC1127&lt;$V1076-1,$E1128=""),0,2),2)</f>
        <v>2</v>
      </c>
      <c r="AD1128" s="1427">
        <f t="shared" ref="AD1128" si="1714">IF(CNTR_ExistSubInstEntries,IF(OR($M1076&lt;&gt;EUconst_Relevant,AD1127&gt;=CNTR_ReportingYear,AD1127&lt;$V1076-1,$E1128=""),0,2),2)</f>
        <v>2</v>
      </c>
      <c r="AE1128" s="1427">
        <f t="shared" ref="AE1128" si="1715">IF(CNTR_ExistSubInstEntries,IF(OR($M1076&lt;&gt;EUconst_Relevant,AE1127&gt;=CNTR_ReportingYear,AE1127&lt;$V1076-1,$E1128=""),0,2),2)</f>
        <v>2</v>
      </c>
      <c r="AF1128" s="1427">
        <f t="shared" ref="AF1128" si="1716">IF(CNTR_ExistSubInstEntries,IF(OR($M1076&lt;&gt;EUconst_Relevant,AF1127&gt;=CNTR_ReportingYear,AF1127&lt;$V1076-1,$E1128=""),0,2),2)</f>
        <v>2</v>
      </c>
      <c r="AG1128" s="1427">
        <f t="shared" ref="AG1128" si="1717">IF(CNTR_ExistSubInstEntries,IF(OR($M1076&lt;&gt;EUconst_Relevant,AG1127&gt;=CNTR_ReportingYear,AG1127&lt;$V1076-1,$E1128=""),0,2),2)</f>
        <v>2</v>
      </c>
      <c r="AH1128" s="1428">
        <f t="shared" ref="AH1128" si="1718">IF(CNTR_ExistSubInstEntries,IF(OR($M1076&lt;&gt;EUconst_Relevant,AH1127&gt;=CNTR_ReportingYear,AH1127&lt;$V1076-1,$E1128=""),0,2),2)</f>
        <v>2</v>
      </c>
      <c r="AI1128" s="1429">
        <f t="shared" ref="AI1128" si="1719">IF(CNTR_ExistSubInstEntries,IF(OR($M1076&lt;&gt;EUconst_Relevant,AI1127&gt;=CNTR_ReportingYear,AI1127&lt;$V1076-1,$E1128=""),0,2),2)</f>
        <v>2</v>
      </c>
      <c r="AJ1128" s="343"/>
      <c r="AK1128" s="1174" t="s">
        <v>2039</v>
      </c>
      <c r="AL1128" s="1176" t="str">
        <f>IF(AND(CNTR_ExistSubInstEntries,COUNTIFS(AB1128:AI1128,2,G1128:N1128,"")&gt;0),EUconst_Error&amp;"FB"&amp;Q1076,"")</f>
        <v/>
      </c>
      <c r="AM1128" s="343"/>
    </row>
    <row r="1129" spans="1:39" ht="12.75" customHeight="1" x14ac:dyDescent="0.25">
      <c r="A1129" s="729"/>
      <c r="B1129" s="698"/>
      <c r="C1129" s="2906"/>
      <c r="D1129" s="990">
        <f>D1128+1</f>
        <v>2</v>
      </c>
      <c r="E1129" s="1430" t="str">
        <f t="shared" si="1712"/>
        <v/>
      </c>
      <c r="F1129" s="273"/>
      <c r="G1129" s="47"/>
      <c r="H1129" s="119"/>
      <c r="I1129" s="47"/>
      <c r="J1129" s="119"/>
      <c r="K1129" s="43"/>
      <c r="L1129" s="43"/>
      <c r="M1129" s="43"/>
      <c r="N1129" s="43"/>
      <c r="O1129" s="336"/>
      <c r="P1129" s="158"/>
      <c r="Q1129" s="694"/>
      <c r="R1129" s="694"/>
      <c r="S1129" s="694"/>
      <c r="T1129" s="694"/>
      <c r="U1129" s="694"/>
      <c r="V1129" s="694"/>
      <c r="W1129" s="694"/>
      <c r="X1129" s="694"/>
      <c r="Y1129" s="694"/>
      <c r="Z1129" s="694"/>
      <c r="AA1129" s="1431">
        <f t="shared" ref="AA1129:AA1137" si="1720">MAX(AC1129:AI1129)</f>
        <v>2</v>
      </c>
      <c r="AB1129" s="1432">
        <f>IF(CNTR_ExistSubInstEntries,IF(OR($M1076&lt;&gt;EUconst_Relevant,$V1076&gt;($H$1840-1),$E1129=""),0,2),2)</f>
        <v>2</v>
      </c>
      <c r="AC1129" s="1432">
        <f t="shared" ref="AC1129:AI1129" si="1721">IF(CNTR_ExistSubInstEntries,IF(OR($M1076&lt;&gt;EUconst_Relevant,AC1127&gt;=CNTR_ReportingYear,AC1127&lt;$V1076-1,$E1129=""),0,2),2)</f>
        <v>2</v>
      </c>
      <c r="AD1129" s="1432">
        <f t="shared" si="1721"/>
        <v>2</v>
      </c>
      <c r="AE1129" s="1432">
        <f t="shared" si="1721"/>
        <v>2</v>
      </c>
      <c r="AF1129" s="1432">
        <f t="shared" si="1721"/>
        <v>2</v>
      </c>
      <c r="AG1129" s="1432">
        <f t="shared" si="1721"/>
        <v>2</v>
      </c>
      <c r="AH1129" s="1433">
        <f t="shared" si="1721"/>
        <v>2</v>
      </c>
      <c r="AI1129" s="1434">
        <f t="shared" si="1721"/>
        <v>2</v>
      </c>
      <c r="AJ1129" s="343"/>
      <c r="AK1129" s="1174" t="s">
        <v>2039</v>
      </c>
      <c r="AL1129" s="1176" t="str">
        <f>IF(AND(CNTR_ExistSubInstEntries,COUNTIFS(AB1129:AI1129,2,G1129:N1129,"")&gt;0),EUconst_Error&amp;"FB"&amp;Q1076,"")</f>
        <v/>
      </c>
      <c r="AM1129" s="343"/>
    </row>
    <row r="1130" spans="1:39" ht="12.75" customHeight="1" x14ac:dyDescent="0.25">
      <c r="A1130" s="729"/>
      <c r="B1130" s="698"/>
      <c r="C1130" s="2906"/>
      <c r="D1130" s="990">
        <f t="shared" ref="D1130:D1137" si="1722">D1129+1</f>
        <v>3</v>
      </c>
      <c r="E1130" s="1430" t="str">
        <f t="shared" si="1712"/>
        <v/>
      </c>
      <c r="F1130" s="273"/>
      <c r="G1130" s="268"/>
      <c r="H1130" s="119"/>
      <c r="I1130" s="47"/>
      <c r="J1130" s="119"/>
      <c r="K1130" s="43"/>
      <c r="L1130" s="43"/>
      <c r="M1130" s="43"/>
      <c r="N1130" s="43"/>
      <c r="O1130" s="336"/>
      <c r="P1130" s="158"/>
      <c r="Q1130" s="694"/>
      <c r="R1130" s="694"/>
      <c r="S1130" s="694"/>
      <c r="T1130" s="694"/>
      <c r="U1130" s="694"/>
      <c r="V1130" s="694"/>
      <c r="W1130" s="694"/>
      <c r="X1130" s="694"/>
      <c r="Y1130" s="694"/>
      <c r="Z1130" s="694"/>
      <c r="AA1130" s="1431">
        <f t="shared" si="1720"/>
        <v>2</v>
      </c>
      <c r="AB1130" s="1432">
        <f>IF(CNTR_ExistSubInstEntries,IF(OR($M1076&lt;&gt;EUconst_Relevant,$V1076&gt;($H$1840-1),$E1130=""),0,2),2)</f>
        <v>2</v>
      </c>
      <c r="AC1130" s="1432">
        <f t="shared" ref="AC1130:AI1130" si="1723">IF(CNTR_ExistSubInstEntries,IF(OR($M1076&lt;&gt;EUconst_Relevant,AC1127&gt;=CNTR_ReportingYear,AC1127&lt;$V1076-1,$E1130=""),0,2),2)</f>
        <v>2</v>
      </c>
      <c r="AD1130" s="1432">
        <f t="shared" si="1723"/>
        <v>2</v>
      </c>
      <c r="AE1130" s="1432">
        <f t="shared" si="1723"/>
        <v>2</v>
      </c>
      <c r="AF1130" s="1432">
        <f t="shared" si="1723"/>
        <v>2</v>
      </c>
      <c r="AG1130" s="1432">
        <f t="shared" si="1723"/>
        <v>2</v>
      </c>
      <c r="AH1130" s="1433">
        <f t="shared" si="1723"/>
        <v>2</v>
      </c>
      <c r="AI1130" s="1434">
        <f t="shared" si="1723"/>
        <v>2</v>
      </c>
      <c r="AJ1130" s="343"/>
      <c r="AK1130" s="1174" t="s">
        <v>2039</v>
      </c>
      <c r="AL1130" s="1176" t="str">
        <f>IF(AND(CNTR_ExistSubInstEntries,COUNTIFS(AB1130:AI1130,2,G1130:N1130,"")&gt;0),EUconst_Error&amp;"FB"&amp;Q1076,"")</f>
        <v/>
      </c>
      <c r="AM1130" s="343"/>
    </row>
    <row r="1131" spans="1:39" ht="12.75" customHeight="1" x14ac:dyDescent="0.25">
      <c r="A1131" s="729"/>
      <c r="B1131" s="698"/>
      <c r="C1131" s="2906"/>
      <c r="D1131" s="990">
        <f t="shared" si="1722"/>
        <v>4</v>
      </c>
      <c r="E1131" s="1430" t="str">
        <f t="shared" si="1712"/>
        <v/>
      </c>
      <c r="F1131" s="271"/>
      <c r="G1131" s="47"/>
      <c r="H1131" s="119"/>
      <c r="I1131" s="124"/>
      <c r="J1131" s="119"/>
      <c r="K1131" s="43"/>
      <c r="L1131" s="43"/>
      <c r="M1131" s="43"/>
      <c r="N1131" s="43"/>
      <c r="O1131" s="336"/>
      <c r="P1131" s="158"/>
      <c r="Q1131" s="694"/>
      <c r="R1131" s="694"/>
      <c r="S1131" s="694"/>
      <c r="T1131" s="694"/>
      <c r="U1131" s="729"/>
      <c r="V1131" s="729"/>
      <c r="W1131" s="694"/>
      <c r="X1131" s="694"/>
      <c r="Y1131" s="694"/>
      <c r="Z1131" s="694"/>
      <c r="AA1131" s="1431">
        <f t="shared" si="1720"/>
        <v>2</v>
      </c>
      <c r="AB1131" s="1432">
        <f>IF(CNTR_ExistSubInstEntries,IF(OR($M1076&lt;&gt;EUconst_Relevant,$V1076&gt;($H$1840-1),$E1131=""),0,2),2)</f>
        <v>2</v>
      </c>
      <c r="AC1131" s="1432">
        <f t="shared" ref="AC1131:AI1131" si="1724">IF(CNTR_ExistSubInstEntries,IF(OR($M1076&lt;&gt;EUconst_Relevant,AC1127&gt;=CNTR_ReportingYear,AC1127&lt;$V1076-1,$E1131=""),0,2),2)</f>
        <v>2</v>
      </c>
      <c r="AD1131" s="1432">
        <f t="shared" si="1724"/>
        <v>2</v>
      </c>
      <c r="AE1131" s="1432">
        <f t="shared" si="1724"/>
        <v>2</v>
      </c>
      <c r="AF1131" s="1432">
        <f t="shared" si="1724"/>
        <v>2</v>
      </c>
      <c r="AG1131" s="1432">
        <f t="shared" si="1724"/>
        <v>2</v>
      </c>
      <c r="AH1131" s="1433">
        <f t="shared" si="1724"/>
        <v>2</v>
      </c>
      <c r="AI1131" s="1434">
        <f t="shared" si="1724"/>
        <v>2</v>
      </c>
      <c r="AJ1131" s="343"/>
      <c r="AK1131" s="1174" t="s">
        <v>2039</v>
      </c>
      <c r="AL1131" s="1176" t="str">
        <f>IF(AND(CNTR_ExistSubInstEntries,COUNTIFS(AB1131:AI1131,2,G1131:N1131,"")&gt;0),EUconst_Error&amp;"FB"&amp;Q1076,"")</f>
        <v/>
      </c>
      <c r="AM1131" s="343"/>
    </row>
    <row r="1132" spans="1:39" ht="12.75" customHeight="1" x14ac:dyDescent="0.25">
      <c r="A1132" s="729"/>
      <c r="B1132" s="698"/>
      <c r="C1132" s="2906"/>
      <c r="D1132" s="990">
        <f t="shared" si="1722"/>
        <v>5</v>
      </c>
      <c r="E1132" s="1430" t="str">
        <f t="shared" si="1712"/>
        <v/>
      </c>
      <c r="F1132" s="271"/>
      <c r="G1132" s="47"/>
      <c r="H1132" s="119"/>
      <c r="I1132" s="47"/>
      <c r="J1132" s="119"/>
      <c r="K1132" s="43"/>
      <c r="L1132" s="43"/>
      <c r="M1132" s="43"/>
      <c r="N1132" s="43"/>
      <c r="O1132" s="336"/>
      <c r="P1132" s="158"/>
      <c r="Q1132" s="694"/>
      <c r="R1132" s="694"/>
      <c r="S1132" s="694"/>
      <c r="T1132" s="694"/>
      <c r="U1132" s="729"/>
      <c r="V1132" s="694"/>
      <c r="W1132" s="694"/>
      <c r="X1132" s="694"/>
      <c r="Y1132" s="694"/>
      <c r="Z1132" s="694"/>
      <c r="AA1132" s="1431">
        <f t="shared" si="1720"/>
        <v>2</v>
      </c>
      <c r="AB1132" s="1432">
        <f>IF(CNTR_ExistSubInstEntries,IF(OR($M1076&lt;&gt;EUconst_Relevant,$V1076&gt;($H$1840-1),$E1132=""),0,2),2)</f>
        <v>2</v>
      </c>
      <c r="AC1132" s="1432">
        <f t="shared" ref="AC1132:AI1132" si="1725">IF(CNTR_ExistSubInstEntries,IF(OR($M1076&lt;&gt;EUconst_Relevant,AC1127&gt;=CNTR_ReportingYear,AC1127&lt;$V1076-1,$E1132=""),0,2),2)</f>
        <v>2</v>
      </c>
      <c r="AD1132" s="1432">
        <f t="shared" si="1725"/>
        <v>2</v>
      </c>
      <c r="AE1132" s="1432">
        <f t="shared" si="1725"/>
        <v>2</v>
      </c>
      <c r="AF1132" s="1432">
        <f t="shared" si="1725"/>
        <v>2</v>
      </c>
      <c r="AG1132" s="1432">
        <f t="shared" si="1725"/>
        <v>2</v>
      </c>
      <c r="AH1132" s="1433">
        <f t="shared" si="1725"/>
        <v>2</v>
      </c>
      <c r="AI1132" s="1434">
        <f t="shared" si="1725"/>
        <v>2</v>
      </c>
      <c r="AJ1132" s="343"/>
      <c r="AK1132" s="1174" t="s">
        <v>2039</v>
      </c>
      <c r="AL1132" s="1176" t="str">
        <f>IF(AND(CNTR_ExistSubInstEntries,COUNTIFS(AB1132:AI1132,2,G1132:N1132,"")&gt;0),EUconst_Error&amp;"FB"&amp;Q1076,"")</f>
        <v/>
      </c>
      <c r="AM1132" s="343"/>
    </row>
    <row r="1133" spans="1:39" ht="12.75" customHeight="1" x14ac:dyDescent="0.25">
      <c r="A1133" s="729"/>
      <c r="B1133" s="698"/>
      <c r="C1133" s="2906"/>
      <c r="D1133" s="990">
        <f t="shared" si="1722"/>
        <v>6</v>
      </c>
      <c r="E1133" s="1430" t="str">
        <f t="shared" si="1712"/>
        <v/>
      </c>
      <c r="F1133" s="271"/>
      <c r="G1133" s="47"/>
      <c r="H1133" s="119"/>
      <c r="I1133" s="47"/>
      <c r="J1133" s="119"/>
      <c r="K1133" s="43"/>
      <c r="L1133" s="43"/>
      <c r="M1133" s="43"/>
      <c r="N1133" s="43"/>
      <c r="O1133" s="336"/>
      <c r="P1133" s="158"/>
      <c r="Q1133" s="694"/>
      <c r="R1133" s="694"/>
      <c r="S1133" s="694"/>
      <c r="T1133" s="694"/>
      <c r="U1133" s="694"/>
      <c r="V1133" s="694"/>
      <c r="W1133" s="694"/>
      <c r="X1133" s="694"/>
      <c r="Y1133" s="694"/>
      <c r="Z1133" s="694"/>
      <c r="AA1133" s="1431">
        <f t="shared" si="1720"/>
        <v>2</v>
      </c>
      <c r="AB1133" s="1432">
        <f>IF(CNTR_ExistSubInstEntries,IF(OR($M1076&lt;&gt;EUconst_Relevant,$V1076&gt;($H$1840-1),$E1133=""),0,2),2)</f>
        <v>2</v>
      </c>
      <c r="AC1133" s="1432">
        <f t="shared" ref="AC1133:AI1133" si="1726">IF(CNTR_ExistSubInstEntries,IF(OR($M1076&lt;&gt;EUconst_Relevant,AC1127&gt;=CNTR_ReportingYear,AC1127&lt;$V1076-1,$E1133=""),0,2),2)</f>
        <v>2</v>
      </c>
      <c r="AD1133" s="1432">
        <f t="shared" si="1726"/>
        <v>2</v>
      </c>
      <c r="AE1133" s="1432">
        <f t="shared" si="1726"/>
        <v>2</v>
      </c>
      <c r="AF1133" s="1432">
        <f t="shared" si="1726"/>
        <v>2</v>
      </c>
      <c r="AG1133" s="1432">
        <f t="shared" si="1726"/>
        <v>2</v>
      </c>
      <c r="AH1133" s="1433">
        <f t="shared" si="1726"/>
        <v>2</v>
      </c>
      <c r="AI1133" s="1434">
        <f t="shared" si="1726"/>
        <v>2</v>
      </c>
      <c r="AJ1133" s="343"/>
      <c r="AK1133" s="1174" t="s">
        <v>2039</v>
      </c>
      <c r="AL1133" s="1176" t="str">
        <f>IF(AND(CNTR_ExistSubInstEntries,COUNTIFS(AB1133:AI1133,2,G1133:N1133,"")&gt;0),EUconst_Error&amp;"FB"&amp;Q1076,"")</f>
        <v/>
      </c>
      <c r="AM1133" s="343"/>
    </row>
    <row r="1134" spans="1:39" ht="12.75" customHeight="1" x14ac:dyDescent="0.25">
      <c r="A1134" s="729"/>
      <c r="B1134" s="698"/>
      <c r="C1134" s="2906"/>
      <c r="D1134" s="990">
        <f t="shared" si="1722"/>
        <v>7</v>
      </c>
      <c r="E1134" s="1430" t="str">
        <f t="shared" si="1712"/>
        <v/>
      </c>
      <c r="F1134" s="271"/>
      <c r="G1134" s="47"/>
      <c r="H1134" s="119"/>
      <c r="I1134" s="47"/>
      <c r="J1134" s="119"/>
      <c r="K1134" s="43"/>
      <c r="L1134" s="43"/>
      <c r="M1134" s="43"/>
      <c r="N1134" s="43"/>
      <c r="O1134" s="336"/>
      <c r="P1134" s="158"/>
      <c r="Q1134" s="694"/>
      <c r="R1134" s="694"/>
      <c r="S1134" s="694"/>
      <c r="T1134" s="694"/>
      <c r="U1134" s="694"/>
      <c r="V1134" s="694"/>
      <c r="W1134" s="694"/>
      <c r="X1134" s="694"/>
      <c r="Y1134" s="694"/>
      <c r="Z1134" s="694"/>
      <c r="AA1134" s="1431">
        <f t="shared" si="1720"/>
        <v>2</v>
      </c>
      <c r="AB1134" s="1432">
        <f>IF(CNTR_ExistSubInstEntries,IF(OR($M1076&lt;&gt;EUconst_Relevant,$V1076&gt;($H$1840-1),$E1134=""),0,2),2)</f>
        <v>2</v>
      </c>
      <c r="AC1134" s="1432">
        <f t="shared" ref="AC1134:AI1134" si="1727">IF(CNTR_ExistSubInstEntries,IF(OR($M1076&lt;&gt;EUconst_Relevant,AC1127&gt;=CNTR_ReportingYear,AC1127&lt;$V1076-1,$E1134=""),0,2),2)</f>
        <v>2</v>
      </c>
      <c r="AD1134" s="1432">
        <f t="shared" si="1727"/>
        <v>2</v>
      </c>
      <c r="AE1134" s="1432">
        <f t="shared" si="1727"/>
        <v>2</v>
      </c>
      <c r="AF1134" s="1432">
        <f t="shared" si="1727"/>
        <v>2</v>
      </c>
      <c r="AG1134" s="1432">
        <f t="shared" si="1727"/>
        <v>2</v>
      </c>
      <c r="AH1134" s="1433">
        <f t="shared" si="1727"/>
        <v>2</v>
      </c>
      <c r="AI1134" s="1434">
        <f t="shared" si="1727"/>
        <v>2</v>
      </c>
      <c r="AJ1134" s="343"/>
      <c r="AK1134" s="1174" t="s">
        <v>2039</v>
      </c>
      <c r="AL1134" s="1176" t="str">
        <f>IF(AND(CNTR_ExistSubInstEntries,COUNTIFS(AB1134:AI1134,2,G1134:N1134,"")&gt;0),EUconst_Error&amp;"FB"&amp;Q1076,"")</f>
        <v/>
      </c>
      <c r="AM1134" s="343"/>
    </row>
    <row r="1135" spans="1:39" ht="12.75" customHeight="1" x14ac:dyDescent="0.25">
      <c r="A1135" s="729"/>
      <c r="B1135" s="698"/>
      <c r="C1135" s="2906"/>
      <c r="D1135" s="990">
        <f t="shared" si="1722"/>
        <v>8</v>
      </c>
      <c r="E1135" s="1430" t="str">
        <f t="shared" si="1712"/>
        <v/>
      </c>
      <c r="F1135" s="271"/>
      <c r="G1135" s="47"/>
      <c r="H1135" s="119"/>
      <c r="I1135" s="47"/>
      <c r="J1135" s="119"/>
      <c r="K1135" s="43"/>
      <c r="L1135" s="43"/>
      <c r="M1135" s="43"/>
      <c r="N1135" s="43"/>
      <c r="O1135" s="336"/>
      <c r="P1135" s="158"/>
      <c r="Q1135" s="694"/>
      <c r="R1135" s="694"/>
      <c r="S1135" s="694"/>
      <c r="T1135" s="694"/>
      <c r="U1135" s="694"/>
      <c r="V1135" s="694"/>
      <c r="W1135" s="694"/>
      <c r="X1135" s="694"/>
      <c r="Y1135" s="694"/>
      <c r="Z1135" s="694"/>
      <c r="AA1135" s="1431">
        <f t="shared" si="1720"/>
        <v>2</v>
      </c>
      <c r="AB1135" s="1432">
        <f>IF(CNTR_ExistSubInstEntries,IF(OR($M1076&lt;&gt;EUconst_Relevant,$V1076&gt;($H$1840-1),$E1135=""),0,2),2)</f>
        <v>2</v>
      </c>
      <c r="AC1135" s="1432">
        <f t="shared" ref="AC1135:AI1135" si="1728">IF(CNTR_ExistSubInstEntries,IF(OR($M1076&lt;&gt;EUconst_Relevant,AC1127&gt;=CNTR_ReportingYear,AC1127&lt;$V1076-1,$E1135=""),0,2),2)</f>
        <v>2</v>
      </c>
      <c r="AD1135" s="1432">
        <f t="shared" si="1728"/>
        <v>2</v>
      </c>
      <c r="AE1135" s="1432">
        <f t="shared" si="1728"/>
        <v>2</v>
      </c>
      <c r="AF1135" s="1432">
        <f t="shared" si="1728"/>
        <v>2</v>
      </c>
      <c r="AG1135" s="1432">
        <f t="shared" si="1728"/>
        <v>2</v>
      </c>
      <c r="AH1135" s="1433">
        <f t="shared" si="1728"/>
        <v>2</v>
      </c>
      <c r="AI1135" s="1434">
        <f t="shared" si="1728"/>
        <v>2</v>
      </c>
      <c r="AJ1135" s="343"/>
      <c r="AK1135" s="1174" t="s">
        <v>2039</v>
      </c>
      <c r="AL1135" s="1176" t="str">
        <f>IF(AND(CNTR_ExistSubInstEntries,COUNTIFS(AB1135:AI1135,2,G1135:N1135,"")&gt;0),EUconst_Error&amp;"FB"&amp;Q1076,"")</f>
        <v/>
      </c>
      <c r="AM1135" s="343"/>
    </row>
    <row r="1136" spans="1:39" ht="12.75" customHeight="1" x14ac:dyDescent="0.25">
      <c r="A1136" s="729"/>
      <c r="B1136" s="698"/>
      <c r="C1136" s="2906"/>
      <c r="D1136" s="990">
        <f t="shared" si="1722"/>
        <v>9</v>
      </c>
      <c r="E1136" s="1430" t="str">
        <f t="shared" si="1712"/>
        <v/>
      </c>
      <c r="F1136" s="271"/>
      <c r="G1136" s="47"/>
      <c r="H1136" s="119"/>
      <c r="I1136" s="47"/>
      <c r="J1136" s="119"/>
      <c r="K1136" s="43"/>
      <c r="L1136" s="43"/>
      <c r="M1136" s="43"/>
      <c r="N1136" s="43"/>
      <c r="O1136" s="336"/>
      <c r="P1136" s="158"/>
      <c r="Q1136" s="694"/>
      <c r="R1136" s="694"/>
      <c r="S1136" s="694"/>
      <c r="T1136" s="694"/>
      <c r="U1136" s="694"/>
      <c r="V1136" s="694"/>
      <c r="W1136" s="694"/>
      <c r="X1136" s="694"/>
      <c r="Y1136" s="694"/>
      <c r="Z1136" s="694"/>
      <c r="AA1136" s="1431">
        <f t="shared" si="1720"/>
        <v>2</v>
      </c>
      <c r="AB1136" s="1432">
        <f>IF(CNTR_ExistSubInstEntries,IF(OR($M1076&lt;&gt;EUconst_Relevant,$V1076&gt;($H$1840-1),$E1136=""),0,2),2)</f>
        <v>2</v>
      </c>
      <c r="AC1136" s="1432">
        <f t="shared" ref="AC1136:AI1136" si="1729">IF(CNTR_ExistSubInstEntries,IF(OR($M1076&lt;&gt;EUconst_Relevant,AC1127&gt;=CNTR_ReportingYear,AC1127&lt;$V1076-1,$E1136=""),0,2),2)</f>
        <v>2</v>
      </c>
      <c r="AD1136" s="1432">
        <f t="shared" si="1729"/>
        <v>2</v>
      </c>
      <c r="AE1136" s="1432">
        <f t="shared" si="1729"/>
        <v>2</v>
      </c>
      <c r="AF1136" s="1432">
        <f t="shared" si="1729"/>
        <v>2</v>
      </c>
      <c r="AG1136" s="1432">
        <f t="shared" si="1729"/>
        <v>2</v>
      </c>
      <c r="AH1136" s="1433">
        <f t="shared" si="1729"/>
        <v>2</v>
      </c>
      <c r="AI1136" s="1434">
        <f t="shared" si="1729"/>
        <v>2</v>
      </c>
      <c r="AJ1136" s="343"/>
      <c r="AK1136" s="1174" t="s">
        <v>2039</v>
      </c>
      <c r="AL1136" s="1176" t="str">
        <f>IF(AND(CNTR_ExistSubInstEntries,COUNTIFS(AB1136:AI1136,2,G1136:N1136,"")&gt;0),EUconst_Error&amp;"FB"&amp;Q1076,"")</f>
        <v/>
      </c>
      <c r="AM1136" s="343"/>
    </row>
    <row r="1137" spans="1:39" ht="12.75" customHeight="1" thickBot="1" x14ac:dyDescent="0.3">
      <c r="A1137" s="729"/>
      <c r="B1137" s="698"/>
      <c r="C1137" s="2906"/>
      <c r="D1137" s="994">
        <f t="shared" si="1722"/>
        <v>10</v>
      </c>
      <c r="E1137" s="1435" t="str">
        <f t="shared" si="1712"/>
        <v/>
      </c>
      <c r="F1137" s="272"/>
      <c r="G1137" s="48"/>
      <c r="H1137" s="117"/>
      <c r="I1137" s="48"/>
      <c r="J1137" s="117"/>
      <c r="K1137" s="38"/>
      <c r="L1137" s="38"/>
      <c r="M1137" s="38"/>
      <c r="N1137" s="38"/>
      <c r="O1137" s="336"/>
      <c r="P1137" s="158"/>
      <c r="Q1137" s="694"/>
      <c r="R1137" s="694"/>
      <c r="S1137" s="694"/>
      <c r="T1137" s="694"/>
      <c r="U1137" s="694"/>
      <c r="V1137" s="694"/>
      <c r="W1137" s="694"/>
      <c r="X1137" s="694"/>
      <c r="Y1137" s="694"/>
      <c r="Z1137" s="694"/>
      <c r="AA1137" s="1436">
        <f t="shared" si="1720"/>
        <v>2</v>
      </c>
      <c r="AB1137" s="1437">
        <f>IF(CNTR_ExistSubInstEntries,IF(OR($M1076&lt;&gt;EUconst_Relevant,$V1076&gt;($H$1840-1),$E1137=""),0,2),2)</f>
        <v>2</v>
      </c>
      <c r="AC1137" s="1437">
        <f t="shared" ref="AC1137:AI1137" si="1730">IF(CNTR_ExistSubInstEntries,IF(OR($M1076&lt;&gt;EUconst_Relevant,AC1127&gt;=CNTR_ReportingYear,AC1127&lt;$V1076-1,$E1137=""),0,2),2)</f>
        <v>2</v>
      </c>
      <c r="AD1137" s="1437">
        <f t="shared" si="1730"/>
        <v>2</v>
      </c>
      <c r="AE1137" s="1437">
        <f t="shared" si="1730"/>
        <v>2</v>
      </c>
      <c r="AF1137" s="1437">
        <f t="shared" si="1730"/>
        <v>2</v>
      </c>
      <c r="AG1137" s="1437">
        <f t="shared" si="1730"/>
        <v>2</v>
      </c>
      <c r="AH1137" s="1438">
        <f t="shared" si="1730"/>
        <v>2</v>
      </c>
      <c r="AI1137" s="1439">
        <f t="shared" si="1730"/>
        <v>2</v>
      </c>
      <c r="AJ1137" s="343"/>
      <c r="AK1137" s="1174" t="s">
        <v>2039</v>
      </c>
      <c r="AL1137" s="1176" t="str">
        <f>IF(AND(CNTR_ExistSubInstEntries,COUNTIFS(AB1137:AI1137,2,G1137:N1137,"")&gt;0),EUconst_Error&amp;"FB"&amp;Q1076,"")</f>
        <v/>
      </c>
      <c r="AM1137" s="343"/>
    </row>
    <row r="1138" spans="1:39" ht="12.75" customHeight="1" x14ac:dyDescent="0.25">
      <c r="A1138" s="729"/>
      <c r="B1138" s="698"/>
      <c r="C1138" s="2906"/>
      <c r="D1138" s="1293"/>
      <c r="E1138" s="1294" t="str">
        <f>Translations!$B$501</f>
        <v>Сума на равнищата на производство</v>
      </c>
      <c r="F1138" s="1440" t="str">
        <f>IF(AND(COUNTA(F1128:F1137)&gt;0,COUNTIF(F1128:F1137,F1128)=COUNTA(F1128:F1137)),F1128,"")</f>
        <v/>
      </c>
      <c r="G1138" s="1296" t="str">
        <f>IF(AND($F1138&lt;&gt;"",COUNT(G1128:G1137)&gt;0),SUMIF($S1112:$S1121,TRUE,G1128:G1137),"")</f>
        <v/>
      </c>
      <c r="H1138" s="1297" t="str">
        <f t="shared" ref="H1138:N1138" si="1731">IF(AND($F1138&lt;&gt;"",COUNT(H1128:H1137)&gt;0),SUMIF($S1112:$S1121,TRUE,H1128:H1137),"")</f>
        <v/>
      </c>
      <c r="I1138" s="1296" t="str">
        <f t="shared" si="1731"/>
        <v/>
      </c>
      <c r="J1138" s="1297" t="str">
        <f t="shared" si="1731"/>
        <v/>
      </c>
      <c r="K1138" s="1104" t="str">
        <f t="shared" si="1731"/>
        <v/>
      </c>
      <c r="L1138" s="1104" t="str">
        <f t="shared" si="1731"/>
        <v/>
      </c>
      <c r="M1138" s="1104" t="str">
        <f t="shared" si="1731"/>
        <v/>
      </c>
      <c r="N1138" s="1104" t="str">
        <f t="shared" si="1731"/>
        <v/>
      </c>
      <c r="O1138" s="336"/>
      <c r="P1138" s="336"/>
      <c r="Q1138" s="694"/>
      <c r="R1138" s="694"/>
      <c r="S1138" s="694"/>
      <c r="T1138" s="694"/>
      <c r="U1138" s="694"/>
      <c r="V1138" s="694"/>
      <c r="W1138" s="694"/>
      <c r="X1138" s="694"/>
      <c r="Y1138" s="694"/>
      <c r="Z1138" s="694"/>
      <c r="AA1138" s="694"/>
      <c r="AB1138" s="729"/>
      <c r="AC1138" s="729"/>
      <c r="AD1138" s="729"/>
      <c r="AE1138" s="729"/>
      <c r="AF1138" s="729"/>
      <c r="AG1138" s="729"/>
      <c r="AH1138" s="729"/>
      <c r="AI1138" s="729"/>
      <c r="AJ1138" s="343"/>
      <c r="AK1138" s="343"/>
      <c r="AL1138" s="343"/>
      <c r="AM1138" s="343"/>
    </row>
    <row r="1139" spans="1:39" ht="5.15" customHeight="1" x14ac:dyDescent="0.25">
      <c r="A1139" s="729"/>
      <c r="B1139" s="698"/>
      <c r="C1139" s="284"/>
      <c r="D1139" s="284"/>
      <c r="E1139" s="284"/>
      <c r="F1139" s="284"/>
      <c r="G1139" s="284"/>
      <c r="H1139" s="284"/>
      <c r="I1139" s="284"/>
      <c r="J1139" s="284"/>
      <c r="K1139" s="284"/>
      <c r="L1139" s="284"/>
      <c r="M1139" s="284"/>
      <c r="N1139" s="284"/>
      <c r="O1139" s="336"/>
      <c r="P1139" s="336"/>
      <c r="Q1139" s="694"/>
      <c r="R1139" s="694"/>
      <c r="S1139" s="694"/>
      <c r="T1139" s="694"/>
      <c r="U1139" s="694"/>
      <c r="V1139" s="694"/>
      <c r="W1139" s="694"/>
      <c r="X1139" s="694"/>
      <c r="Y1139" s="694"/>
      <c r="Z1139" s="729"/>
      <c r="AA1139" s="729"/>
      <c r="AB1139" s="729"/>
      <c r="AC1139" s="694"/>
      <c r="AD1139" s="694"/>
      <c r="AE1139" s="343"/>
      <c r="AF1139" s="343"/>
      <c r="AG1139" s="343"/>
      <c r="AH1139" s="343"/>
      <c r="AI1139" s="343"/>
      <c r="AJ1139" s="343"/>
      <c r="AK1139" s="343"/>
      <c r="AL1139" s="343"/>
      <c r="AM1139" s="343"/>
    </row>
    <row r="1140" spans="1:39" ht="12.75" customHeight="1" x14ac:dyDescent="0.25">
      <c r="A1140" s="729"/>
      <c r="B1140" s="698"/>
      <c r="C1140" s="284"/>
      <c r="D1140" s="300" t="s">
        <v>1764</v>
      </c>
      <c r="E1140" s="2226" t="str">
        <f>Translations!$B$1535</f>
        <v>Допустимо по СТЕ на ЕС потребление на енергия по продукти за определяне на очакваните равнища на дейност</v>
      </c>
      <c r="F1140" s="2249"/>
      <c r="G1140" s="2249"/>
      <c r="H1140" s="2249"/>
      <c r="I1140" s="2249"/>
      <c r="J1140" s="2249"/>
      <c r="K1140" s="2249"/>
      <c r="L1140" s="2249"/>
      <c r="M1140" s="2249"/>
      <c r="N1140" s="2249"/>
      <c r="O1140" s="336"/>
      <c r="P1140" s="336"/>
      <c r="Q1140" s="770"/>
      <c r="R1140" s="694"/>
      <c r="S1140" s="1030" t="s">
        <v>2010</v>
      </c>
      <c r="T1140" s="1441" t="str">
        <f>IF(M1076&lt;&gt;EUconst_Relevant,"",IF(COUNTIF(V1093:Z1093,TRUE)&gt;0,2,1))</f>
        <v/>
      </c>
      <c r="U1140" s="729" t="s">
        <v>2006</v>
      </c>
      <c r="V1140" s="694"/>
      <c r="W1140" s="694"/>
      <c r="X1140" s="694"/>
      <c r="Y1140" s="694"/>
      <c r="Z1140" s="729"/>
      <c r="AA1140" s="729"/>
      <c r="AB1140" s="729"/>
      <c r="AC1140" s="694"/>
      <c r="AD1140" s="694"/>
      <c r="AE1140" s="343"/>
      <c r="AF1140" s="343"/>
      <c r="AG1140" s="343"/>
      <c r="AH1140" s="343"/>
      <c r="AI1140" s="343"/>
      <c r="AJ1140" s="343"/>
      <c r="AK1140" s="343"/>
      <c r="AL1140" s="343"/>
      <c r="AM1140" s="343"/>
    </row>
    <row r="1141" spans="1:39" ht="12.75" customHeight="1" x14ac:dyDescent="0.25">
      <c r="A1141" s="729"/>
      <c r="B1141" s="284"/>
      <c r="C1141" s="302"/>
      <c r="D1141" s="302"/>
      <c r="E1141" s="2358" t="str">
        <f>Translations!$B$1337</f>
        <v>Моля, въведете тук енергопотреблението, свързано с всеки продукт, изброен в буква б) по-горе, в съответствие с методиките, описани в ПММ.</v>
      </c>
      <c r="F1141" s="2249"/>
      <c r="G1141" s="2249"/>
      <c r="H1141" s="2249"/>
      <c r="I1141" s="2249"/>
      <c r="J1141" s="2249"/>
      <c r="K1141" s="2249"/>
      <c r="L1141" s="2249"/>
      <c r="M1141" s="2249"/>
      <c r="N1141" s="2249"/>
      <c r="O1141" s="336"/>
      <c r="P1141" s="336"/>
      <c r="Q1141" s="770"/>
      <c r="R1141" s="770"/>
      <c r="S1141" s="770"/>
      <c r="T1141" s="770"/>
      <c r="U1141" s="770"/>
      <c r="V1141" s="770"/>
      <c r="W1141" s="770"/>
      <c r="X1141" s="770"/>
      <c r="Y1141" s="770"/>
      <c r="Z1141" s="694"/>
      <c r="AA1141" s="694"/>
      <c r="AB1141" s="729"/>
      <c r="AC1141" s="694"/>
      <c r="AD1141" s="694"/>
      <c r="AE1141" s="343"/>
      <c r="AF1141" s="343"/>
      <c r="AG1141" s="343"/>
      <c r="AH1141" s="343"/>
      <c r="AI1141" s="343"/>
      <c r="AJ1141" s="343"/>
      <c r="AK1141" s="343"/>
      <c r="AL1141" s="343"/>
      <c r="AM1141" s="343"/>
    </row>
    <row r="1142" spans="1:39" ht="25.5" customHeight="1" x14ac:dyDescent="0.25">
      <c r="A1142" s="729"/>
      <c r="B1142" s="698"/>
      <c r="C1142" s="284"/>
      <c r="D1142" s="284"/>
      <c r="E1142" s="2459" t="str">
        <f>Translations!$B$1536</f>
        <v>Вписванията тук са задължителни за всички години, ако средното годишно равнище на дейност по буква а) се е променило с повече от 15 % за поне една година и само в този случай ще окаже пряко въздействие върху разпределянето.</v>
      </c>
      <c r="F1142" s="2460"/>
      <c r="G1142" s="2460"/>
      <c r="H1142" s="2460"/>
      <c r="I1142" s="2460"/>
      <c r="J1142" s="2460"/>
      <c r="K1142" s="2460"/>
      <c r="L1142" s="2460"/>
      <c r="M1142" s="2460"/>
      <c r="N1142" s="2460"/>
      <c r="O1142" s="336"/>
      <c r="P1142" s="336"/>
      <c r="Q1142" s="694"/>
      <c r="R1142" s="694"/>
      <c r="S1142" s="694"/>
      <c r="T1142" s="694"/>
      <c r="U1142" s="694"/>
      <c r="V1142" s="694"/>
      <c r="W1142" s="694"/>
      <c r="X1142" s="694"/>
      <c r="Y1142" s="694"/>
      <c r="Z1142" s="729"/>
      <c r="AA1142" s="729"/>
      <c r="AB1142" s="729"/>
      <c r="AC1142" s="729"/>
      <c r="AD1142" s="694"/>
      <c r="AE1142" s="343"/>
      <c r="AF1142" s="343"/>
      <c r="AG1142" s="343"/>
      <c r="AH1142" s="343"/>
      <c r="AI1142" s="343"/>
      <c r="AJ1142" s="343"/>
      <c r="AK1142" s="343"/>
      <c r="AL1142" s="343"/>
      <c r="AM1142" s="343"/>
    </row>
    <row r="1143" spans="1:39" ht="12.75" customHeight="1" x14ac:dyDescent="0.25">
      <c r="A1143" s="729"/>
      <c r="B1143" s="698"/>
      <c r="C1143" s="284"/>
      <c r="D1143" s="284"/>
      <c r="E1143" s="2358" t="str">
        <f>Translations!$B$1537</f>
        <v>Стойността в НМИ се отнася до средното потребление на топлинна енергия през историческия базов период (НМИ).</v>
      </c>
      <c r="F1143" s="2249"/>
      <c r="G1143" s="2249"/>
      <c r="H1143" s="2249"/>
      <c r="I1143" s="2249"/>
      <c r="J1143" s="2249"/>
      <c r="K1143" s="2249"/>
      <c r="L1143" s="2249"/>
      <c r="M1143" s="2249"/>
      <c r="N1143" s="2249"/>
      <c r="O1143" s="336"/>
      <c r="P1143" s="295"/>
      <c r="Q1143" s="694"/>
      <c r="R1143" s="694"/>
      <c r="S1143" s="694"/>
      <c r="T1143" s="694"/>
      <c r="U1143" s="694"/>
      <c r="V1143" s="694"/>
      <c r="W1143" s="694"/>
      <c r="X1143" s="694"/>
      <c r="Y1143" s="694"/>
      <c r="Z1143" s="729"/>
      <c r="AA1143" s="729"/>
      <c r="AB1143" s="729"/>
      <c r="AC1143" s="729"/>
      <c r="AD1143" s="694"/>
      <c r="AE1143" s="343"/>
      <c r="AF1143" s="343"/>
      <c r="AG1143" s="343"/>
      <c r="AH1143" s="343"/>
      <c r="AI1143" s="343"/>
      <c r="AJ1143" s="343"/>
      <c r="AK1143" s="343"/>
      <c r="AL1143" s="343"/>
      <c r="AM1143" s="343"/>
    </row>
    <row r="1144" spans="1:39" ht="12.75" customHeight="1" x14ac:dyDescent="0.25">
      <c r="A1144" s="729"/>
      <c r="B1144" s="698"/>
      <c r="C1144" s="284"/>
      <c r="D1144" s="284"/>
      <c r="E1144" s="2358" t="str">
        <f>Translations!$B$1538</f>
        <v>Допълнителни насоки относно отнасянето по продукти за изчисляването на историческата ефективност (HistEff) могат да бъдат намерени в раздели 2.3 и 3 от Ръководство № 7.</v>
      </c>
      <c r="F1144" s="2249"/>
      <c r="G1144" s="2249"/>
      <c r="H1144" s="2249"/>
      <c r="I1144" s="2249"/>
      <c r="J1144" s="2249"/>
      <c r="K1144" s="2249"/>
      <c r="L1144" s="2249"/>
      <c r="M1144" s="2249"/>
      <c r="N1144" s="2249"/>
      <c r="O1144" s="336"/>
      <c r="P1144" s="295"/>
      <c r="Q1144" s="694"/>
      <c r="R1144" s="694"/>
      <c r="S1144" s="694"/>
      <c r="T1144" s="694"/>
      <c r="U1144" s="694"/>
      <c r="V1144" s="694"/>
      <c r="W1144" s="694"/>
      <c r="X1144" s="694"/>
      <c r="Y1144" s="694"/>
      <c r="Z1144" s="729"/>
      <c r="AA1144" s="729"/>
      <c r="AB1144" s="729"/>
      <c r="AC1144" s="729"/>
      <c r="AD1144" s="694"/>
      <c r="AE1144" s="343"/>
      <c r="AF1144" s="343"/>
      <c r="AG1144" s="343"/>
      <c r="AH1144" s="343"/>
      <c r="AI1144" s="343"/>
      <c r="AJ1144" s="343"/>
      <c r="AK1144" s="343"/>
      <c r="AL1144" s="343"/>
      <c r="AM1144" s="343"/>
    </row>
    <row r="1145" spans="1:39" ht="5.15" customHeight="1" x14ac:dyDescent="0.25">
      <c r="A1145" s="729"/>
      <c r="B1145" s="698"/>
      <c r="C1145" s="284"/>
      <c r="D1145" s="284"/>
      <c r="E1145" s="2358"/>
      <c r="F1145" s="2249"/>
      <c r="G1145" s="2249"/>
      <c r="H1145" s="2249"/>
      <c r="I1145" s="2249"/>
      <c r="J1145" s="2249"/>
      <c r="K1145" s="2249"/>
      <c r="L1145" s="2249"/>
      <c r="M1145" s="2249"/>
      <c r="N1145" s="2249"/>
      <c r="O1145" s="336"/>
      <c r="P1145" s="295"/>
      <c r="Q1145" s="694"/>
      <c r="R1145" s="694"/>
      <c r="S1145" s="694"/>
      <c r="T1145" s="694"/>
      <c r="U1145" s="694"/>
      <c r="V1145" s="694"/>
      <c r="W1145" s="694"/>
      <c r="X1145" s="694"/>
      <c r="Y1145" s="694"/>
      <c r="Z1145" s="729"/>
      <c r="AA1145" s="729"/>
      <c r="AB1145" s="729"/>
      <c r="AC1145" s="729"/>
      <c r="AD1145" s="694"/>
      <c r="AE1145" s="343"/>
      <c r="AF1145" s="343"/>
      <c r="AG1145" s="343"/>
      <c r="AH1145" s="343"/>
      <c r="AI1145" s="343"/>
      <c r="AJ1145" s="343"/>
      <c r="AK1145" s="343"/>
      <c r="AL1145" s="343"/>
      <c r="AM1145" s="343"/>
    </row>
    <row r="1146" spans="1:39" s="1423" customFormat="1" ht="25.5" customHeight="1" thickBot="1" x14ac:dyDescent="0.35">
      <c r="A1146" s="729"/>
      <c r="B1146" s="1412"/>
      <c r="C1146" s="1413"/>
      <c r="D1146" s="1414"/>
      <c r="E1146" s="1415" t="str">
        <f>Translations!$B$624</f>
        <v>Име на продукта или „топлофикационна мрежа“</v>
      </c>
      <c r="F1146" s="1416" t="str">
        <f>EUconst_Unit</f>
        <v>Единица мярка</v>
      </c>
      <c r="G1146" s="1419" t="str">
        <f>Translations!$B$1336</f>
        <v>Стойност в НМИ</v>
      </c>
      <c r="H1146" s="1418">
        <f t="shared" ref="H1146:N1146" si="1732">H$1840</f>
        <v>2024</v>
      </c>
      <c r="I1146" s="1419">
        <f t="shared" si="1732"/>
        <v>2025</v>
      </c>
      <c r="J1146" s="1418">
        <f t="shared" si="1732"/>
        <v>2026</v>
      </c>
      <c r="K1146" s="1420">
        <f t="shared" si="1732"/>
        <v>2027</v>
      </c>
      <c r="L1146" s="1420">
        <f t="shared" si="1732"/>
        <v>2028</v>
      </c>
      <c r="M1146" s="1420">
        <f t="shared" si="1732"/>
        <v>2029</v>
      </c>
      <c r="N1146" s="1420">
        <f t="shared" si="1732"/>
        <v>2030</v>
      </c>
      <c r="O1146" s="336"/>
      <c r="P1146" s="295"/>
      <c r="Q1146" s="1421"/>
      <c r="R1146" s="1421"/>
      <c r="S1146" s="770" t="str">
        <f>Translations!$B$1341</f>
        <v>Базова стойност</v>
      </c>
      <c r="T1146" s="1421">
        <f t="shared" ref="T1146" si="1733">H1146</f>
        <v>2024</v>
      </c>
      <c r="U1146" s="1421">
        <f t="shared" ref="U1146" si="1734">I1146</f>
        <v>2025</v>
      </c>
      <c r="V1146" s="1421">
        <f t="shared" ref="V1146" si="1735">J1146</f>
        <v>2026</v>
      </c>
      <c r="W1146" s="1421">
        <f t="shared" ref="W1146" si="1736">K1146</f>
        <v>2027</v>
      </c>
      <c r="X1146" s="1421">
        <f t="shared" ref="X1146" si="1737">L1146</f>
        <v>2028</v>
      </c>
      <c r="Y1146" s="1421">
        <f t="shared" ref="Y1146" si="1738">M1146</f>
        <v>2029</v>
      </c>
      <c r="Z1146" s="1421">
        <f t="shared" ref="Z1146" si="1739">N1146</f>
        <v>2030</v>
      </c>
      <c r="AA1146" s="1421"/>
      <c r="AB1146" s="770" t="str">
        <f>Translations!$B$1284</f>
        <v>HAL</v>
      </c>
      <c r="AC1146" s="1421">
        <f t="shared" ref="AC1146" si="1740">H1146</f>
        <v>2024</v>
      </c>
      <c r="AD1146" s="1421">
        <f t="shared" ref="AD1146" si="1741">I1146</f>
        <v>2025</v>
      </c>
      <c r="AE1146" s="1421">
        <f t="shared" ref="AE1146" si="1742">J1146</f>
        <v>2026</v>
      </c>
      <c r="AF1146" s="1421">
        <f t="shared" ref="AF1146" si="1743">K1146</f>
        <v>2027</v>
      </c>
      <c r="AG1146" s="1421">
        <f t="shared" ref="AG1146" si="1744">L1146</f>
        <v>2028</v>
      </c>
      <c r="AH1146" s="1422">
        <f t="shared" ref="AH1146" si="1745">M1146</f>
        <v>2029</v>
      </c>
      <c r="AI1146" s="1422">
        <f t="shared" ref="AI1146" si="1746">N1146</f>
        <v>2030</v>
      </c>
      <c r="AJ1146" s="1422"/>
      <c r="AK1146" s="1422"/>
      <c r="AL1146" s="1422"/>
      <c r="AM1146" s="1422"/>
    </row>
    <row r="1147" spans="1:39" ht="12.75" customHeight="1" x14ac:dyDescent="0.25">
      <c r="A1147" s="729"/>
      <c r="B1147" s="698"/>
      <c r="C1147" s="2906" t="str">
        <f>Translations!$B$1527</f>
        <v>Вложена енергия</v>
      </c>
      <c r="D1147" s="981">
        <v>1</v>
      </c>
      <c r="E1147" s="1424" t="str">
        <f t="shared" ref="E1147:E1156" si="1747">E1128</f>
        <v/>
      </c>
      <c r="F1147" s="1259" t="str">
        <f t="shared" ref="F1147:F1158" si="1748">EUconst_TJ</f>
        <v>TJ</v>
      </c>
      <c r="G1147" s="125"/>
      <c r="H1147" s="116"/>
      <c r="I1147" s="46"/>
      <c r="J1147" s="116"/>
      <c r="K1147" s="40"/>
      <c r="L1147" s="40"/>
      <c r="M1147" s="40"/>
      <c r="N1147" s="40"/>
      <c r="O1147" s="1442"/>
      <c r="P1147" s="158"/>
      <c r="Q1147" s="694"/>
      <c r="R1147" s="694"/>
      <c r="S1147" s="1443" t="str">
        <f>IF($M1076&lt;&gt;EUconst_Relevant,"",
IF($V1076&gt;($J$1840-3),
              IF(INDEX(H1128:N1128,MATCH($V1076,$T1146:$Z1146,0))=0,0,INDEX(H1147:N1147,MATCH($V1076,$T1146:$Z1146,0))/INDEX(H1128:N1128,MATCH($V1076,$T1146:$Z1146,0))),
                             IF(ISNUMBER(G1128),
                                            IF(OR(G1128=0,$S1112=FALSE),0,G1147/G1128),"")))</f>
        <v/>
      </c>
      <c r="T1147" s="1444" t="str">
        <f t="shared" ref="T1147:T1156" si="1749">IF($E1147="","",IF(IFERROR(SUM($S1147)=0,SUM($H1147)),SUM(H1147),SUM(H1128)*SUM($S1147)))</f>
        <v/>
      </c>
      <c r="U1147" s="1444" t="str">
        <f t="shared" ref="U1147" si="1750">IF($E1147="","",IF(IFERROR(SUM($S1147)=0,SUM($H1147)),SUM(I1147),SUM(I1128)*SUM($S1147)))</f>
        <v/>
      </c>
      <c r="V1147" s="1444" t="str">
        <f t="shared" ref="V1147:V1156" si="1751">IF($E1147="","",IF(IFERROR(SUM($S1147)=0,SUM($H1147)),SUM(J1147),SUM(J1128)*SUM($S1147)))</f>
        <v/>
      </c>
      <c r="W1147" s="1444" t="str">
        <f t="shared" ref="W1147:W1156" si="1752">IF($E1147="","",IF(IFERROR(SUM($S1147)=0,SUM($H1147)),SUM(K1147),SUM(K1128)*SUM($S1147)))</f>
        <v/>
      </c>
      <c r="X1147" s="1444" t="str">
        <f t="shared" ref="X1147:X1156" si="1753">IF($E1147="","",IF(IFERROR(SUM($S1147)=0,SUM($H1147)),SUM(L1147),SUM(L1128)*SUM($S1147)))</f>
        <v/>
      </c>
      <c r="Y1147" s="1444" t="str">
        <f t="shared" ref="Y1147:Y1156" si="1754">IF($E1147="","",IF(IFERROR(SUM($S1147)=0,SUM($H1147)),SUM(M1147),SUM(M1128)*SUM($S1147)))</f>
        <v/>
      </c>
      <c r="Z1147" s="1445" t="str">
        <f t="shared" ref="Z1147:Z1156" si="1755">IF($E1147="","",IF(IFERROR(SUM($S1147)=0,SUM($H1147)),SUM(N1147),SUM(N1128)*SUM($S1147)))</f>
        <v/>
      </c>
      <c r="AA1147" s="1446" t="s">
        <v>1757</v>
      </c>
      <c r="AB1147" s="1447">
        <f>MAX(AC1147,AD1147:AI1147)</f>
        <v>2</v>
      </c>
      <c r="AC1147" s="1426">
        <f>IF(CNTR_ExistSubInstEntries,IF(OR($M1076&lt;&gt;EUconst_Relevant,AC1146&gt;=CNTR_ReportingYear,AC1146&lt;$V1076-1,$E1147=""),0,IF(AND($T1140=2,COUNTIF($V1093:V1093,TRUE)&gt;0,$S1112),2,1)),2)</f>
        <v>2</v>
      </c>
      <c r="AD1147" s="1427">
        <f>IF(CNTR_ExistSubInstEntries,IF(OR($M1076&lt;&gt;EUconst_Relevant,AD1146&gt;=CNTR_ReportingYear,AD1146&lt;$V1076-1,$E1147=""),0,IF(AND($T1140=2,COUNTIF($V1093:W1093,TRUE)&gt;0,$S1112),2,1)),2)</f>
        <v>2</v>
      </c>
      <c r="AE1147" s="1427">
        <f>IF(CNTR_ExistSubInstEntries,IF(OR($M1076&lt;&gt;EUconst_Relevant,AE1146&gt;=CNTR_ReportingYear,AE1146&lt;$V1076-1,$E1147=""),0,IF(AND($T1140=2,COUNTIF($V1093:X1093,TRUE)&gt;0,$S1112),2,1)),2)</f>
        <v>2</v>
      </c>
      <c r="AF1147" s="1427">
        <f>IF(CNTR_ExistSubInstEntries,IF(OR($M1076&lt;&gt;EUconst_Relevant,AF1146&gt;=CNTR_ReportingYear,AF1146&lt;$V1076-1,$E1147=""),0,IF(AND($T1140=2,COUNTIF($V1093:Y1093,TRUE)&gt;0,$S1112),2,1)),2)</f>
        <v>2</v>
      </c>
      <c r="AG1147" s="1427">
        <f>IF(CNTR_ExistSubInstEntries,IF(OR($M1076&lt;&gt;EUconst_Relevant,AG1146&gt;=CNTR_ReportingYear,AG1146&lt;$V1076-1,$E1147=""),0,IF(AND($T1140=2,COUNTIF($V1093:Z1093,TRUE)&gt;0,$S1112),2,1)),2)</f>
        <v>2</v>
      </c>
      <c r="AH1147" s="1428">
        <f>IF(CNTR_ExistSubInstEntries,IF(OR($M1076&lt;&gt;EUconst_Relevant,AH1146&gt;=CNTR_ReportingYear,AH1146&lt;$V1076-1,$E1147=""),0,IF(AND($T1140=2,COUNTIF($V1093:AA1093,TRUE)&gt;0,$S1112),2,1)),2)</f>
        <v>2</v>
      </c>
      <c r="AI1147" s="1429">
        <f>IF(CNTR_ExistSubInstEntries,IF(OR($M1076&lt;&gt;EUconst_Relevant,AI1146&gt;=CNTR_ReportingYear,AI1146&lt;$V1076-1,$E1147=""),0,IF(AND($T1140=2,COUNTIF($V1093:AB1093,TRUE)&gt;0,$S1112),2,1)),2)</f>
        <v>2</v>
      </c>
      <c r="AJ1147" s="343"/>
      <c r="AK1147" s="1174" t="s">
        <v>2039</v>
      </c>
      <c r="AL1147" s="1176" t="str">
        <f>IF(AND(CNTR_ExistSubInstEntries,COUNTIFS(AB1147:AI1147,2,G1147:N1147,"")&gt;0),EUconst_Error&amp;"FB"&amp;Q1076,"")</f>
        <v/>
      </c>
      <c r="AM1147" s="343"/>
    </row>
    <row r="1148" spans="1:39" ht="12.75" customHeight="1" x14ac:dyDescent="0.25">
      <c r="A1148" s="729"/>
      <c r="B1148" s="698"/>
      <c r="C1148" s="2906"/>
      <c r="D1148" s="990">
        <v>2</v>
      </c>
      <c r="E1148" s="1430" t="str">
        <f t="shared" si="1747"/>
        <v/>
      </c>
      <c r="F1148" s="1448" t="str">
        <f t="shared" si="1748"/>
        <v>TJ</v>
      </c>
      <c r="G1148" s="124"/>
      <c r="H1148" s="119"/>
      <c r="I1148" s="47"/>
      <c r="J1148" s="119"/>
      <c r="K1148" s="43"/>
      <c r="L1148" s="43"/>
      <c r="M1148" s="43"/>
      <c r="N1148" s="43"/>
      <c r="O1148" s="336"/>
      <c r="P1148" s="158"/>
      <c r="Q1148" s="694"/>
      <c r="R1148" s="694"/>
      <c r="S1148" s="1449" t="str">
        <f>IF($M1076&lt;&gt;EUconst_Relevant,"",
IF($V1076&gt;($J$1840-3),
              IF(INDEX(H1129:N1129,MATCH($V1076,$T1146:$Z1146,0))=0,0,INDEX(H1148:N1148,MATCH($V1076,$T1146:$Z1146,0))/INDEX(H1129:N1129,MATCH($V1076,$T1146:$Z1146,0))),
                             IF(ISNUMBER(G1129),
                                            IF(OR(G1129=0,$S1113=FALSE),0,G1148/G1129),"")))</f>
        <v/>
      </c>
      <c r="T1148" s="1450" t="str">
        <f t="shared" si="1749"/>
        <v/>
      </c>
      <c r="U1148" s="1450" t="str">
        <f t="shared" ref="U1148:U1156" si="1756">IF($E1148="","",IF(IFERROR(SUM($S1148)=0,SUM($H1148)),SUM(I1148),SUM(I1129)*SUM($S1148)))</f>
        <v/>
      </c>
      <c r="V1148" s="1450" t="str">
        <f t="shared" si="1751"/>
        <v/>
      </c>
      <c r="W1148" s="1450" t="str">
        <f t="shared" si="1752"/>
        <v/>
      </c>
      <c r="X1148" s="1450" t="str">
        <f t="shared" si="1753"/>
        <v/>
      </c>
      <c r="Y1148" s="1450" t="str">
        <f t="shared" si="1754"/>
        <v/>
      </c>
      <c r="Z1148" s="1451" t="str">
        <f t="shared" si="1755"/>
        <v/>
      </c>
      <c r="AA1148" s="694"/>
      <c r="AB1148" s="1431">
        <f t="shared" ref="AB1148:AB1156" si="1757">MAX(AC1148,AD1148:AI1148)</f>
        <v>2</v>
      </c>
      <c r="AC1148" s="1432">
        <f>IF(CNTR_ExistSubInstEntries,IF(OR($M1076&lt;&gt;EUconst_Relevant,AC1146&gt;=CNTR_ReportingYear,AC1146&lt;$V1076-1,$E1148=""),0,IF(AND($T1140=2,COUNTIF($V1093:V1093,TRUE)&gt;0,$S1113),2,1)),2)</f>
        <v>2</v>
      </c>
      <c r="AD1148" s="1432">
        <f>IF(CNTR_ExistSubInstEntries,IF(OR($M1076&lt;&gt;EUconst_Relevant,AD1146&gt;=CNTR_ReportingYear,AD1146&lt;$V1076-1,$E1148=""),0,IF(AND($T1140=2,COUNTIF($V1093:W1093,TRUE)&gt;0,$S1113),2,1)),2)</f>
        <v>2</v>
      </c>
      <c r="AE1148" s="1432">
        <f>IF(CNTR_ExistSubInstEntries,IF(OR($M1076&lt;&gt;EUconst_Relevant,AE1146&gt;=CNTR_ReportingYear,AE1146&lt;$V1076-1,$E1148=""),0,IF(AND($T1140=2,COUNTIF($V1093:X1093,TRUE)&gt;0,$S1113),2,1)),2)</f>
        <v>2</v>
      </c>
      <c r="AF1148" s="1432">
        <f>IF(CNTR_ExistSubInstEntries,IF(OR($M1076&lt;&gt;EUconst_Relevant,AF1146&gt;=CNTR_ReportingYear,AF1146&lt;$V1076-1,$E1148=""),0,IF(AND($T1140=2,COUNTIF($V1093:Y1093,TRUE)&gt;0,$S1113),2,1)),2)</f>
        <v>2</v>
      </c>
      <c r="AG1148" s="1432">
        <f>IF(CNTR_ExistSubInstEntries,IF(OR($M1076&lt;&gt;EUconst_Relevant,AG1146&gt;=CNTR_ReportingYear,AG1146&lt;$V1076-1,$E1148=""),0,IF(AND($T1140=2,COUNTIF($V1093:Z1093,TRUE)&gt;0,$S1113),2,1)),2)</f>
        <v>2</v>
      </c>
      <c r="AH1148" s="1432">
        <f>IF(CNTR_ExistSubInstEntries,IF(OR($M1076&lt;&gt;EUconst_Relevant,AH1146&gt;=CNTR_ReportingYear,AH1146&lt;$V1076-1,$E1148=""),0,IF(AND($T1140=2,COUNTIF($V1093:AA1093,TRUE)&gt;0,$S1113),2,1)),2)</f>
        <v>2</v>
      </c>
      <c r="AI1148" s="1452">
        <f>IF(CNTR_ExistSubInstEntries,IF(OR($M1076&lt;&gt;EUconst_Relevant,AI1146&gt;=CNTR_ReportingYear,AI1146&lt;$V1076-1,$E1148=""),0,IF(AND($T1140=2,COUNTIF($V1093:AB1093,TRUE)&gt;0,$S1113),2,1)),2)</f>
        <v>2</v>
      </c>
      <c r="AJ1148" s="343"/>
      <c r="AK1148" s="1174" t="s">
        <v>2039</v>
      </c>
      <c r="AL1148" s="1176" t="str">
        <f>IF(AND(CNTR_ExistSubInstEntries,COUNTIFS(AB1148:AI1148,2,G1148:N1148,"")&gt;0),EUconst_Error&amp;"FB"&amp;Q1076,"")</f>
        <v/>
      </c>
      <c r="AM1148" s="343"/>
    </row>
    <row r="1149" spans="1:39" ht="12.75" customHeight="1" x14ac:dyDescent="0.25">
      <c r="A1149" s="729"/>
      <c r="B1149" s="698"/>
      <c r="C1149" s="2906"/>
      <c r="D1149" s="990">
        <v>3</v>
      </c>
      <c r="E1149" s="1430" t="str">
        <f t="shared" si="1747"/>
        <v/>
      </c>
      <c r="F1149" s="1448" t="str">
        <f t="shared" si="1748"/>
        <v>TJ</v>
      </c>
      <c r="G1149" s="47"/>
      <c r="H1149" s="119"/>
      <c r="I1149" s="47"/>
      <c r="J1149" s="119"/>
      <c r="K1149" s="43"/>
      <c r="L1149" s="43"/>
      <c r="M1149" s="43"/>
      <c r="N1149" s="43"/>
      <c r="O1149" s="336"/>
      <c r="P1149" s="158"/>
      <c r="Q1149" s="694"/>
      <c r="R1149" s="694"/>
      <c r="S1149" s="1449" t="str">
        <f>IF($M1076&lt;&gt;EUconst_Relevant,"",
IF($V1076&gt;($J$1840-3),
              IF(INDEX(H1130:N1130,MATCH($V1076,$T1146:$Z1146,0))=0,0,INDEX(H1149:N1149,MATCH($V1076,$T1146:$Z1146,0))/INDEX(H1130:N1130,MATCH($V1076,$T1146:$Z1146,0))),
                             IF(ISNUMBER(G1130),
                                            IF(OR(G1130=0,$S1114=FALSE),0,G1149/G1130),"")))</f>
        <v/>
      </c>
      <c r="T1149" s="1450" t="str">
        <f t="shared" si="1749"/>
        <v/>
      </c>
      <c r="U1149" s="1450" t="str">
        <f t="shared" si="1756"/>
        <v/>
      </c>
      <c r="V1149" s="1450" t="str">
        <f t="shared" si="1751"/>
        <v/>
      </c>
      <c r="W1149" s="1450" t="str">
        <f t="shared" si="1752"/>
        <v/>
      </c>
      <c r="X1149" s="1450" t="str">
        <f t="shared" si="1753"/>
        <v/>
      </c>
      <c r="Y1149" s="1450" t="str">
        <f t="shared" si="1754"/>
        <v/>
      </c>
      <c r="Z1149" s="1451" t="str">
        <f t="shared" si="1755"/>
        <v/>
      </c>
      <c r="AA1149" s="694"/>
      <c r="AB1149" s="1431">
        <f t="shared" si="1757"/>
        <v>2</v>
      </c>
      <c r="AC1149" s="1432">
        <f>IF(CNTR_ExistSubInstEntries,IF(OR($M1076&lt;&gt;EUconst_Relevant,AC1146&gt;=CNTR_ReportingYear,AC1146&lt;$V1076-1,$E1149=""),0,IF(AND($T1140=2,COUNTIF($V1093:V1093,TRUE)&gt;0,$S1114),2,1)),2)</f>
        <v>2</v>
      </c>
      <c r="AD1149" s="1432">
        <f>IF(CNTR_ExistSubInstEntries,IF(OR($M1076&lt;&gt;EUconst_Relevant,AD1146&gt;=CNTR_ReportingYear,AD1146&lt;$V1076-1,$E1149=""),0,IF(AND($T1140=2,COUNTIF($V1093:W1093,TRUE)&gt;0,$S1114),2,1)),2)</f>
        <v>2</v>
      </c>
      <c r="AE1149" s="1432">
        <f>IF(CNTR_ExistSubInstEntries,IF(OR($M1076&lt;&gt;EUconst_Relevant,AE1146&gt;=CNTR_ReportingYear,AE1146&lt;$V1076-1,$E1149=""),0,IF(AND($T1140=2,COUNTIF($V1093:X1093,TRUE)&gt;0,$S1114),2,1)),2)</f>
        <v>2</v>
      </c>
      <c r="AF1149" s="1432">
        <f>IF(CNTR_ExistSubInstEntries,IF(OR($M1076&lt;&gt;EUconst_Relevant,AF1146&gt;=CNTR_ReportingYear,AF1146&lt;$V1076-1,$E1149=""),0,IF(AND($T1140=2,COUNTIF($V1093:Y1093,TRUE)&gt;0,$S1114),2,1)),2)</f>
        <v>2</v>
      </c>
      <c r="AG1149" s="1432">
        <f>IF(CNTR_ExistSubInstEntries,IF(OR($M1076&lt;&gt;EUconst_Relevant,AG1146&gt;=CNTR_ReportingYear,AG1146&lt;$V1076-1,$E1149=""),0,IF(AND($T1140=2,COUNTIF($V1093:Z1093,TRUE)&gt;0,$S1114),2,1)),2)</f>
        <v>2</v>
      </c>
      <c r="AH1149" s="1432">
        <f>IF(CNTR_ExistSubInstEntries,IF(OR($M1076&lt;&gt;EUconst_Relevant,AH1146&gt;=CNTR_ReportingYear,AH1146&lt;$V1076-1,$E1149=""),0,IF(AND($T1140=2,COUNTIF($V1093:AA1093,TRUE)&gt;0,$S1114),2,1)),2)</f>
        <v>2</v>
      </c>
      <c r="AI1149" s="1452">
        <f>IF(CNTR_ExistSubInstEntries,IF(OR($M1076&lt;&gt;EUconst_Relevant,AI1146&gt;=CNTR_ReportingYear,AI1146&lt;$V1076-1,$E1149=""),0,IF(AND($T1140=2,COUNTIF($V1093:AB1093,TRUE)&gt;0,$S1114),2,1)),2)</f>
        <v>2</v>
      </c>
      <c r="AJ1149" s="343"/>
      <c r="AK1149" s="1174" t="s">
        <v>2039</v>
      </c>
      <c r="AL1149" s="1176" t="str">
        <f>IF(AND(CNTR_ExistSubInstEntries,COUNTIFS(AB1149:AI1149,2,G1149:N1149,"")&gt;0),EUconst_Error&amp;"FB"&amp;Q1076,"")</f>
        <v/>
      </c>
      <c r="AM1149" s="343"/>
    </row>
    <row r="1150" spans="1:39" ht="12.75" customHeight="1" x14ac:dyDescent="0.25">
      <c r="A1150" s="729"/>
      <c r="B1150" s="698"/>
      <c r="C1150" s="2906"/>
      <c r="D1150" s="990">
        <v>4</v>
      </c>
      <c r="E1150" s="1430" t="str">
        <f t="shared" si="1747"/>
        <v/>
      </c>
      <c r="F1150" s="1448" t="str">
        <f t="shared" si="1748"/>
        <v>TJ</v>
      </c>
      <c r="G1150" s="47"/>
      <c r="H1150" s="119"/>
      <c r="I1150" s="47"/>
      <c r="J1150" s="119"/>
      <c r="K1150" s="43"/>
      <c r="L1150" s="43"/>
      <c r="M1150" s="43"/>
      <c r="N1150" s="43"/>
      <c r="O1150" s="336"/>
      <c r="P1150" s="158"/>
      <c r="Q1150" s="694"/>
      <c r="R1150" s="694"/>
      <c r="S1150" s="1449" t="str">
        <f>IF($M1076&lt;&gt;EUconst_Relevant,"",
IF($V1076&gt;($J$1840-3),
              IF(INDEX(H1131:N1131,MATCH($V1076,$T1146:$Z1146,0))=0,0,INDEX(H1150:N1150,MATCH($V1076,$T1146:$Z1146,0))/INDEX(H1131:N1131,MATCH($V1076,$T1146:$Z1146,0))),
                             IF(ISNUMBER(G1131),
                                            IF(OR(G1131=0,$S1115=FALSE),0,G1150/G1131),"")))</f>
        <v/>
      </c>
      <c r="T1150" s="1450" t="str">
        <f t="shared" si="1749"/>
        <v/>
      </c>
      <c r="U1150" s="1450" t="str">
        <f t="shared" si="1756"/>
        <v/>
      </c>
      <c r="V1150" s="1450" t="str">
        <f t="shared" si="1751"/>
        <v/>
      </c>
      <c r="W1150" s="1450" t="str">
        <f t="shared" si="1752"/>
        <v/>
      </c>
      <c r="X1150" s="1450" t="str">
        <f t="shared" si="1753"/>
        <v/>
      </c>
      <c r="Y1150" s="1450" t="str">
        <f t="shared" si="1754"/>
        <v/>
      </c>
      <c r="Z1150" s="1451" t="str">
        <f t="shared" si="1755"/>
        <v/>
      </c>
      <c r="AA1150" s="694"/>
      <c r="AB1150" s="1431">
        <f t="shared" si="1757"/>
        <v>2</v>
      </c>
      <c r="AC1150" s="1432">
        <f>IF(CNTR_ExistSubInstEntries,IF(OR($M1076&lt;&gt;EUconst_Relevant,AC1146&gt;=CNTR_ReportingYear,AC1146&lt;$V1076-1,$E1150=""),0,IF(AND($T1140=2,COUNTIF($V1093:V1093,TRUE)&gt;0,$S1115),2,1)),2)</f>
        <v>2</v>
      </c>
      <c r="AD1150" s="1432">
        <f>IF(CNTR_ExistSubInstEntries,IF(OR($M1076&lt;&gt;EUconst_Relevant,AD1146&gt;=CNTR_ReportingYear,AD1146&lt;$V1076-1,$E1150=""),0,IF(AND($T1140=2,COUNTIF($V1093:W1093,TRUE)&gt;0,$S1115),2,1)),2)</f>
        <v>2</v>
      </c>
      <c r="AE1150" s="1432">
        <f>IF(CNTR_ExistSubInstEntries,IF(OR($M1076&lt;&gt;EUconst_Relevant,AE1146&gt;=CNTR_ReportingYear,AE1146&lt;$V1076-1,$E1150=""),0,IF(AND($T1140=2,COUNTIF($V1093:X1093,TRUE)&gt;0,$S1115),2,1)),2)</f>
        <v>2</v>
      </c>
      <c r="AF1150" s="1432">
        <f>IF(CNTR_ExistSubInstEntries,IF(OR($M1076&lt;&gt;EUconst_Relevant,AF1146&gt;=CNTR_ReportingYear,AF1146&lt;$V1076-1,$E1150=""),0,IF(AND($T1140=2,COUNTIF($V1093:Y1093,TRUE)&gt;0,$S1115),2,1)),2)</f>
        <v>2</v>
      </c>
      <c r="AG1150" s="1432">
        <f>IF(CNTR_ExistSubInstEntries,IF(OR($M1076&lt;&gt;EUconst_Relevant,AG1146&gt;=CNTR_ReportingYear,AG1146&lt;$V1076-1,$E1150=""),0,IF(AND($T1140=2,COUNTIF($V1093:Z1093,TRUE)&gt;0,$S1115),2,1)),2)</f>
        <v>2</v>
      </c>
      <c r="AH1150" s="1432">
        <f>IF(CNTR_ExistSubInstEntries,IF(OR($M1076&lt;&gt;EUconst_Relevant,AH1146&gt;=CNTR_ReportingYear,AH1146&lt;$V1076-1,$E1150=""),0,IF(AND($T1140=2,COUNTIF($V1093:AA1093,TRUE)&gt;0,$S1115),2,1)),2)</f>
        <v>2</v>
      </c>
      <c r="AI1150" s="1452">
        <f>IF(CNTR_ExistSubInstEntries,IF(OR($M1076&lt;&gt;EUconst_Relevant,AI1146&gt;=CNTR_ReportingYear,AI1146&lt;$V1076-1,$E1150=""),0,IF(AND($T1140=2,COUNTIF($V1093:AB1093,TRUE)&gt;0,$S1115),2,1)),2)</f>
        <v>2</v>
      </c>
      <c r="AJ1150" s="343"/>
      <c r="AK1150" s="1174" t="s">
        <v>2039</v>
      </c>
      <c r="AL1150" s="1176" t="str">
        <f>IF(AND(CNTR_ExistSubInstEntries,COUNTIFS(AB1150:AI1150,2,G1150:N1150,"")&gt;0),EUconst_Error&amp;"FB"&amp;Q1076,"")</f>
        <v/>
      </c>
      <c r="AM1150" s="343"/>
    </row>
    <row r="1151" spans="1:39" ht="12.75" customHeight="1" x14ac:dyDescent="0.25">
      <c r="A1151" s="729"/>
      <c r="B1151" s="698"/>
      <c r="C1151" s="2906"/>
      <c r="D1151" s="990">
        <v>5</v>
      </c>
      <c r="E1151" s="1430" t="str">
        <f t="shared" si="1747"/>
        <v/>
      </c>
      <c r="F1151" s="1448" t="str">
        <f t="shared" si="1748"/>
        <v>TJ</v>
      </c>
      <c r="G1151" s="47"/>
      <c r="H1151" s="119"/>
      <c r="I1151" s="47"/>
      <c r="J1151" s="119"/>
      <c r="K1151" s="43"/>
      <c r="L1151" s="43"/>
      <c r="M1151" s="43"/>
      <c r="N1151" s="43"/>
      <c r="O1151" s="336"/>
      <c r="P1151" s="158"/>
      <c r="Q1151" s="694"/>
      <c r="R1151" s="694"/>
      <c r="S1151" s="1449" t="str">
        <f>IF($M1076&lt;&gt;EUconst_Relevant,"",
IF($V1076&gt;($J$1840-3),
              IF(INDEX(H1132:N1132,MATCH($V1076,$T1146:$Z1146,0))=0,0,INDEX(H1151:N1151,MATCH($V1076,$T1146:$Z1146,0))/INDEX(H1132:N1132,MATCH($V1076,$T1146:$Z1146,0))),
                             IF(ISNUMBER(G1132),
                                            IF(OR(G1132=0,$S1116=FALSE),0,G1151/G1132),"")))</f>
        <v/>
      </c>
      <c r="T1151" s="1450" t="str">
        <f t="shared" si="1749"/>
        <v/>
      </c>
      <c r="U1151" s="1450" t="str">
        <f t="shared" si="1756"/>
        <v/>
      </c>
      <c r="V1151" s="1450" t="str">
        <f t="shared" si="1751"/>
        <v/>
      </c>
      <c r="W1151" s="1450" t="str">
        <f t="shared" si="1752"/>
        <v/>
      </c>
      <c r="X1151" s="1450" t="str">
        <f t="shared" si="1753"/>
        <v/>
      </c>
      <c r="Y1151" s="1450" t="str">
        <f t="shared" si="1754"/>
        <v/>
      </c>
      <c r="Z1151" s="1451" t="str">
        <f t="shared" si="1755"/>
        <v/>
      </c>
      <c r="AA1151" s="694"/>
      <c r="AB1151" s="1431">
        <f t="shared" si="1757"/>
        <v>2</v>
      </c>
      <c r="AC1151" s="1432">
        <f>IF(CNTR_ExistSubInstEntries,IF(OR($M1076&lt;&gt;EUconst_Relevant,AC1146&gt;=CNTR_ReportingYear,AC1146&lt;$V1076-1,$E1151=""),0,IF(AND($T1140=2,COUNTIF($V1093:V1093,TRUE)&gt;0,$S1116),2,1)),2)</f>
        <v>2</v>
      </c>
      <c r="AD1151" s="1432">
        <f>IF(CNTR_ExistSubInstEntries,IF(OR($M1076&lt;&gt;EUconst_Relevant,AD1146&gt;=CNTR_ReportingYear,AD1146&lt;$V1076-1,$E1151=""),0,IF(AND($T1140=2,COUNTIF($V1093:W1093,TRUE)&gt;0,$S1116),2,1)),2)</f>
        <v>2</v>
      </c>
      <c r="AE1151" s="1432">
        <f>IF(CNTR_ExistSubInstEntries,IF(OR($M1076&lt;&gt;EUconst_Relevant,AE1146&gt;=CNTR_ReportingYear,AE1146&lt;$V1076-1,$E1151=""),0,IF(AND($T1140=2,COUNTIF($V1093:X1093,TRUE)&gt;0,$S1116),2,1)),2)</f>
        <v>2</v>
      </c>
      <c r="AF1151" s="1432">
        <f>IF(CNTR_ExistSubInstEntries,IF(OR($M1076&lt;&gt;EUconst_Relevant,AF1146&gt;=CNTR_ReportingYear,AF1146&lt;$V1076-1,$E1151=""),0,IF(AND($T1140=2,COUNTIF($V1093:Y1093,TRUE)&gt;0,$S1116),2,1)),2)</f>
        <v>2</v>
      </c>
      <c r="AG1151" s="1432">
        <f>IF(CNTR_ExistSubInstEntries,IF(OR($M1076&lt;&gt;EUconst_Relevant,AG1146&gt;=CNTR_ReportingYear,AG1146&lt;$V1076-1,$E1151=""),0,IF(AND($T1140=2,COUNTIF($V1093:Z1093,TRUE)&gt;0,$S1116),2,1)),2)</f>
        <v>2</v>
      </c>
      <c r="AH1151" s="1432">
        <f>IF(CNTR_ExistSubInstEntries,IF(OR($M1076&lt;&gt;EUconst_Relevant,AH1146&gt;=CNTR_ReportingYear,AH1146&lt;$V1076-1,$E1151=""),0,IF(AND($T1140=2,COUNTIF($V1093:AA1093,TRUE)&gt;0,$S1116),2,1)),2)</f>
        <v>2</v>
      </c>
      <c r="AI1151" s="1452">
        <f>IF(CNTR_ExistSubInstEntries,IF(OR($M1076&lt;&gt;EUconst_Relevant,AI1146&gt;=CNTR_ReportingYear,AI1146&lt;$V1076-1,$E1151=""),0,IF(AND($T1140=2,COUNTIF($V1093:AB1093,TRUE)&gt;0,$S1116),2,1)),2)</f>
        <v>2</v>
      </c>
      <c r="AJ1151" s="343"/>
      <c r="AK1151" s="1174" t="s">
        <v>2039</v>
      </c>
      <c r="AL1151" s="1176" t="str">
        <f>IF(AND(CNTR_ExistSubInstEntries,COUNTIFS(AB1151:AI1151,2,G1151:N1151,"")&gt;0),EUconst_Error&amp;"FB"&amp;Q1076,"")</f>
        <v/>
      </c>
      <c r="AM1151" s="343"/>
    </row>
    <row r="1152" spans="1:39" ht="12.75" customHeight="1" x14ac:dyDescent="0.25">
      <c r="A1152" s="729"/>
      <c r="B1152" s="698"/>
      <c r="C1152" s="2906"/>
      <c r="D1152" s="990">
        <v>6</v>
      </c>
      <c r="E1152" s="1430" t="str">
        <f t="shared" si="1747"/>
        <v/>
      </c>
      <c r="F1152" s="1448" t="str">
        <f t="shared" si="1748"/>
        <v>TJ</v>
      </c>
      <c r="G1152" s="47"/>
      <c r="H1152" s="119"/>
      <c r="I1152" s="47"/>
      <c r="J1152" s="119"/>
      <c r="K1152" s="43"/>
      <c r="L1152" s="43"/>
      <c r="M1152" s="43"/>
      <c r="N1152" s="43"/>
      <c r="O1152" s="336"/>
      <c r="P1152" s="158"/>
      <c r="Q1152" s="694"/>
      <c r="R1152" s="694"/>
      <c r="S1152" s="1449" t="str">
        <f>IF($M1076&lt;&gt;EUconst_Relevant,"",
IF($V1076&gt;($J$1840-3),
              IF(INDEX(H1133:N1133,MATCH($V1076,$T1146:$Z1146,0))=0,0,INDEX(H1152:N1152,MATCH($V1076,$T1146:$Z1146,0))/INDEX(H1133:N1133,MATCH($V1076,$T1146:$Z1146,0))),
                             IF(ISNUMBER(G1133),
                                            IF(OR(G1133=0,$S1117=FALSE),0,G1152/G1133),"")))</f>
        <v/>
      </c>
      <c r="T1152" s="1450" t="str">
        <f t="shared" si="1749"/>
        <v/>
      </c>
      <c r="U1152" s="1450" t="str">
        <f t="shared" si="1756"/>
        <v/>
      </c>
      <c r="V1152" s="1450" t="str">
        <f t="shared" si="1751"/>
        <v/>
      </c>
      <c r="W1152" s="1450" t="str">
        <f t="shared" si="1752"/>
        <v/>
      </c>
      <c r="X1152" s="1450" t="str">
        <f t="shared" si="1753"/>
        <v/>
      </c>
      <c r="Y1152" s="1450" t="str">
        <f t="shared" si="1754"/>
        <v/>
      </c>
      <c r="Z1152" s="1451" t="str">
        <f t="shared" si="1755"/>
        <v/>
      </c>
      <c r="AA1152" s="694"/>
      <c r="AB1152" s="1431">
        <f t="shared" si="1757"/>
        <v>2</v>
      </c>
      <c r="AC1152" s="1432">
        <f>IF(CNTR_ExistSubInstEntries,IF(OR($M1076&lt;&gt;EUconst_Relevant,AC1146&gt;=CNTR_ReportingYear,AC1146&lt;$V1076-1,$E1152=""),0,IF(AND($T1140=2,COUNTIF($V1093:V1093,TRUE)&gt;0,$S1117),2,1)),2)</f>
        <v>2</v>
      </c>
      <c r="AD1152" s="1432">
        <f>IF(CNTR_ExistSubInstEntries,IF(OR($M1076&lt;&gt;EUconst_Relevant,AD1146&gt;=CNTR_ReportingYear,AD1146&lt;$V1076-1,$E1152=""),0,IF(AND($T1140=2,COUNTIF($V1093:W1093,TRUE)&gt;0,$S1117),2,1)),2)</f>
        <v>2</v>
      </c>
      <c r="AE1152" s="1432">
        <f>IF(CNTR_ExistSubInstEntries,IF(OR($M1076&lt;&gt;EUconst_Relevant,AE1146&gt;=CNTR_ReportingYear,AE1146&lt;$V1076-1,$E1152=""),0,IF(AND($T1140=2,COUNTIF($V1093:X1093,TRUE)&gt;0,$S1117),2,1)),2)</f>
        <v>2</v>
      </c>
      <c r="AF1152" s="1432">
        <f>IF(CNTR_ExistSubInstEntries,IF(OR($M1076&lt;&gt;EUconst_Relevant,AF1146&gt;=CNTR_ReportingYear,AF1146&lt;$V1076-1,$E1152=""),0,IF(AND($T1140=2,COUNTIF($V1093:Y1093,TRUE)&gt;0,$S1117),2,1)),2)</f>
        <v>2</v>
      </c>
      <c r="AG1152" s="1432">
        <f>IF(CNTR_ExistSubInstEntries,IF(OR($M1076&lt;&gt;EUconst_Relevant,AG1146&gt;=CNTR_ReportingYear,AG1146&lt;$V1076-1,$E1152=""),0,IF(AND($T1140=2,COUNTIF($V1093:Z1093,TRUE)&gt;0,$S1117),2,1)),2)</f>
        <v>2</v>
      </c>
      <c r="AH1152" s="1432">
        <f>IF(CNTR_ExistSubInstEntries,IF(OR($M1076&lt;&gt;EUconst_Relevant,AH1146&gt;=CNTR_ReportingYear,AH1146&lt;$V1076-1,$E1152=""),0,IF(AND($T1140=2,COUNTIF($V1093:AA1093,TRUE)&gt;0,$S1117),2,1)),2)</f>
        <v>2</v>
      </c>
      <c r="AI1152" s="1452">
        <f>IF(CNTR_ExistSubInstEntries,IF(OR($M1076&lt;&gt;EUconst_Relevant,AI1146&gt;=CNTR_ReportingYear,AI1146&lt;$V1076-1,$E1152=""),0,IF(AND($T1140=2,COUNTIF($V1093:AB1093,TRUE)&gt;0,$S1117),2,1)),2)</f>
        <v>2</v>
      </c>
      <c r="AJ1152" s="343"/>
      <c r="AK1152" s="1174" t="s">
        <v>2039</v>
      </c>
      <c r="AL1152" s="1176" t="str">
        <f>IF(AND(CNTR_ExistSubInstEntries,COUNTIFS(AB1152:AI1152,2,G1152:N1152,"")&gt;0),EUconst_Error&amp;"FB"&amp;Q1076,"")</f>
        <v/>
      </c>
      <c r="AM1152" s="343"/>
    </row>
    <row r="1153" spans="1:39" ht="12.75" customHeight="1" x14ac:dyDescent="0.25">
      <c r="A1153" s="729"/>
      <c r="B1153" s="698"/>
      <c r="C1153" s="2906"/>
      <c r="D1153" s="990">
        <v>7</v>
      </c>
      <c r="E1153" s="1430" t="str">
        <f t="shared" si="1747"/>
        <v/>
      </c>
      <c r="F1153" s="1448" t="str">
        <f t="shared" si="1748"/>
        <v>TJ</v>
      </c>
      <c r="G1153" s="47"/>
      <c r="H1153" s="119"/>
      <c r="I1153" s="47"/>
      <c r="J1153" s="119"/>
      <c r="K1153" s="43"/>
      <c r="L1153" s="43"/>
      <c r="M1153" s="43"/>
      <c r="N1153" s="43"/>
      <c r="O1153" s="336"/>
      <c r="P1153" s="158"/>
      <c r="Q1153" s="694"/>
      <c r="R1153" s="694"/>
      <c r="S1153" s="1449" t="str">
        <f>IF($M1076&lt;&gt;EUconst_Relevant,"",
IF($V1076&gt;($J$1840-3),
              IF(INDEX(H1134:N1134,MATCH($V1076,$T1146:$Z1146,0))=0,0,INDEX(H1153:N1153,MATCH($V1076,$T1146:$Z1146,0))/INDEX(H1134:N1134,MATCH($V1076,$T1146:$Z1146,0))),
                             IF(ISNUMBER(G1134),
                                            IF(OR(G1134=0,$S1118=FALSE),0,G1153/G1134),"")))</f>
        <v/>
      </c>
      <c r="T1153" s="1450" t="str">
        <f t="shared" si="1749"/>
        <v/>
      </c>
      <c r="U1153" s="1450" t="str">
        <f t="shared" si="1756"/>
        <v/>
      </c>
      <c r="V1153" s="1450" t="str">
        <f t="shared" si="1751"/>
        <v/>
      </c>
      <c r="W1153" s="1450" t="str">
        <f t="shared" si="1752"/>
        <v/>
      </c>
      <c r="X1153" s="1450" t="str">
        <f t="shared" si="1753"/>
        <v/>
      </c>
      <c r="Y1153" s="1450" t="str">
        <f t="shared" si="1754"/>
        <v/>
      </c>
      <c r="Z1153" s="1451" t="str">
        <f t="shared" si="1755"/>
        <v/>
      </c>
      <c r="AA1153" s="694"/>
      <c r="AB1153" s="1431">
        <f t="shared" si="1757"/>
        <v>2</v>
      </c>
      <c r="AC1153" s="1432">
        <f>IF(CNTR_ExistSubInstEntries,IF(OR($M1076&lt;&gt;EUconst_Relevant,AC1146&gt;=CNTR_ReportingYear,AC1146&lt;$V1076-1,$E1153=""),0,IF(AND($T1140=2,COUNTIF($V1093:V1093,TRUE)&gt;0,$S1118),2,1)),2)</f>
        <v>2</v>
      </c>
      <c r="AD1153" s="1432">
        <f>IF(CNTR_ExistSubInstEntries,IF(OR($M1076&lt;&gt;EUconst_Relevant,AD1146&gt;=CNTR_ReportingYear,AD1146&lt;$V1076-1,$E1153=""),0,IF(AND($T1140=2,COUNTIF($V1093:W1093,TRUE)&gt;0,$S1118),2,1)),2)</f>
        <v>2</v>
      </c>
      <c r="AE1153" s="1432">
        <f>IF(CNTR_ExistSubInstEntries,IF(OR($M1076&lt;&gt;EUconst_Relevant,AE1146&gt;=CNTR_ReportingYear,AE1146&lt;$V1076-1,$E1153=""),0,IF(AND($T1140=2,COUNTIF($V1093:X1093,TRUE)&gt;0,$S1118),2,1)),2)</f>
        <v>2</v>
      </c>
      <c r="AF1153" s="1432">
        <f>IF(CNTR_ExistSubInstEntries,IF(OR($M1076&lt;&gt;EUconst_Relevant,AF1146&gt;=CNTR_ReportingYear,AF1146&lt;$V1076-1,$E1153=""),0,IF(AND($T1140=2,COUNTIF($V1093:Y1093,TRUE)&gt;0,$S1118),2,1)),2)</f>
        <v>2</v>
      </c>
      <c r="AG1153" s="1432">
        <f>IF(CNTR_ExistSubInstEntries,IF(OR($M1076&lt;&gt;EUconst_Relevant,AG1146&gt;=CNTR_ReportingYear,AG1146&lt;$V1076-1,$E1153=""),0,IF(AND($T1140=2,COUNTIF($V1093:Z1093,TRUE)&gt;0,$S1118),2,1)),2)</f>
        <v>2</v>
      </c>
      <c r="AH1153" s="1432">
        <f>IF(CNTR_ExistSubInstEntries,IF(OR($M1076&lt;&gt;EUconst_Relevant,AH1146&gt;=CNTR_ReportingYear,AH1146&lt;$V1076-1,$E1153=""),0,IF(AND($T1140=2,COUNTIF($V1093:AA1093,TRUE)&gt;0,$S1118),2,1)),2)</f>
        <v>2</v>
      </c>
      <c r="AI1153" s="1452">
        <f>IF(CNTR_ExistSubInstEntries,IF(OR($M1076&lt;&gt;EUconst_Relevant,AI1146&gt;=CNTR_ReportingYear,AI1146&lt;$V1076-1,$E1153=""),0,IF(AND($T1140=2,COUNTIF($V1093:AB1093,TRUE)&gt;0,$S1118),2,1)),2)</f>
        <v>2</v>
      </c>
      <c r="AJ1153" s="343"/>
      <c r="AK1153" s="1174" t="s">
        <v>2039</v>
      </c>
      <c r="AL1153" s="1176" t="str">
        <f>IF(AND(CNTR_ExistSubInstEntries,COUNTIFS(AB1153:AI1153,2,G1153:N1153,"")&gt;0),EUconst_Error&amp;"FB"&amp;Q1076,"")</f>
        <v/>
      </c>
      <c r="AM1153" s="343"/>
    </row>
    <row r="1154" spans="1:39" ht="12.75" customHeight="1" x14ac:dyDescent="0.25">
      <c r="A1154" s="729"/>
      <c r="B1154" s="698"/>
      <c r="C1154" s="2906"/>
      <c r="D1154" s="990">
        <v>8</v>
      </c>
      <c r="E1154" s="1430" t="str">
        <f t="shared" si="1747"/>
        <v/>
      </c>
      <c r="F1154" s="1448" t="str">
        <f t="shared" si="1748"/>
        <v>TJ</v>
      </c>
      <c r="G1154" s="47"/>
      <c r="H1154" s="119"/>
      <c r="I1154" s="47"/>
      <c r="J1154" s="119"/>
      <c r="K1154" s="43"/>
      <c r="L1154" s="43"/>
      <c r="M1154" s="43"/>
      <c r="N1154" s="43"/>
      <c r="O1154" s="336"/>
      <c r="P1154" s="158"/>
      <c r="Q1154" s="694"/>
      <c r="R1154" s="694"/>
      <c r="S1154" s="1449" t="str">
        <f>IF($M1076&lt;&gt;EUconst_Relevant,"",
IF($V1076&gt;($J$1840-3),
              IF(INDEX(H1135:N1135,MATCH($V1076,$T1146:$Z1146,0))=0,0,INDEX(H1154:N1154,MATCH($V1076,$T1146:$Z1146,0))/INDEX(H1135:N1135,MATCH($V1076,$T1146:$Z1146,0))),
                             IF(ISNUMBER(G1135),
                                            IF(OR(G1135=0,$S1119=FALSE),0,G1154/G1135),"")))</f>
        <v/>
      </c>
      <c r="T1154" s="1450" t="str">
        <f t="shared" si="1749"/>
        <v/>
      </c>
      <c r="U1154" s="1450" t="str">
        <f t="shared" si="1756"/>
        <v/>
      </c>
      <c r="V1154" s="1450" t="str">
        <f t="shared" si="1751"/>
        <v/>
      </c>
      <c r="W1154" s="1450" t="str">
        <f t="shared" si="1752"/>
        <v/>
      </c>
      <c r="X1154" s="1450" t="str">
        <f t="shared" si="1753"/>
        <v/>
      </c>
      <c r="Y1154" s="1450" t="str">
        <f t="shared" si="1754"/>
        <v/>
      </c>
      <c r="Z1154" s="1451" t="str">
        <f t="shared" si="1755"/>
        <v/>
      </c>
      <c r="AA1154" s="694"/>
      <c r="AB1154" s="1431">
        <f t="shared" si="1757"/>
        <v>2</v>
      </c>
      <c r="AC1154" s="1432">
        <f>IF(CNTR_ExistSubInstEntries,IF(OR($M1076&lt;&gt;EUconst_Relevant,AC1146&gt;=CNTR_ReportingYear,AC1146&lt;$V1076-1,$E1154=""),0,IF(AND($T1140=2,COUNTIF($V1093:V1093,TRUE)&gt;0,$S1119),2,1)),2)</f>
        <v>2</v>
      </c>
      <c r="AD1154" s="1432">
        <f>IF(CNTR_ExistSubInstEntries,IF(OR($M1076&lt;&gt;EUconst_Relevant,AD1146&gt;=CNTR_ReportingYear,AD1146&lt;$V1076-1,$E1154=""),0,IF(AND($T1140=2,COUNTIF($V1093:W1093,TRUE)&gt;0,$S1119),2,1)),2)</f>
        <v>2</v>
      </c>
      <c r="AE1154" s="1432">
        <f>IF(CNTR_ExistSubInstEntries,IF(OR($M1076&lt;&gt;EUconst_Relevant,AE1146&gt;=CNTR_ReportingYear,AE1146&lt;$V1076-1,$E1154=""),0,IF(AND($T1140=2,COUNTIF($V1093:X1093,TRUE)&gt;0,$S1119),2,1)),2)</f>
        <v>2</v>
      </c>
      <c r="AF1154" s="1432">
        <f>IF(CNTR_ExistSubInstEntries,IF(OR($M1076&lt;&gt;EUconst_Relevant,AF1146&gt;=CNTR_ReportingYear,AF1146&lt;$V1076-1,$E1154=""),0,IF(AND($T1140=2,COUNTIF($V1093:Y1093,TRUE)&gt;0,$S1119),2,1)),2)</f>
        <v>2</v>
      </c>
      <c r="AG1154" s="1432">
        <f>IF(CNTR_ExistSubInstEntries,IF(OR($M1076&lt;&gt;EUconst_Relevant,AG1146&gt;=CNTR_ReportingYear,AG1146&lt;$V1076-1,$E1154=""),0,IF(AND($T1140=2,COUNTIF($V1093:Z1093,TRUE)&gt;0,$S1119),2,1)),2)</f>
        <v>2</v>
      </c>
      <c r="AH1154" s="1432">
        <f>IF(CNTR_ExistSubInstEntries,IF(OR($M1076&lt;&gt;EUconst_Relevant,AH1146&gt;=CNTR_ReportingYear,AH1146&lt;$V1076-1,$E1154=""),0,IF(AND($T1140=2,COUNTIF($V1093:AA1093,TRUE)&gt;0,$S1119),2,1)),2)</f>
        <v>2</v>
      </c>
      <c r="AI1154" s="1452">
        <f>IF(CNTR_ExistSubInstEntries,IF(OR($M1076&lt;&gt;EUconst_Relevant,AI1146&gt;=CNTR_ReportingYear,AI1146&lt;$V1076-1,$E1154=""),0,IF(AND($T1140=2,COUNTIF($V1093:AB1093,TRUE)&gt;0,$S1119),2,1)),2)</f>
        <v>2</v>
      </c>
      <c r="AJ1154" s="343"/>
      <c r="AK1154" s="1174" t="s">
        <v>2039</v>
      </c>
      <c r="AL1154" s="1176" t="str">
        <f>IF(AND(CNTR_ExistSubInstEntries,COUNTIFS(AB1154:AI1154,2,G1154:N1154,"")&gt;0),EUconst_Error&amp;"FB"&amp;Q1076,"")</f>
        <v/>
      </c>
      <c r="AM1154" s="343"/>
    </row>
    <row r="1155" spans="1:39" ht="12.75" customHeight="1" x14ac:dyDescent="0.25">
      <c r="A1155" s="729"/>
      <c r="B1155" s="698"/>
      <c r="C1155" s="2906"/>
      <c r="D1155" s="990">
        <v>9</v>
      </c>
      <c r="E1155" s="1430" t="str">
        <f t="shared" si="1747"/>
        <v/>
      </c>
      <c r="F1155" s="1448" t="str">
        <f t="shared" si="1748"/>
        <v>TJ</v>
      </c>
      <c r="G1155" s="47"/>
      <c r="H1155" s="119"/>
      <c r="I1155" s="47"/>
      <c r="J1155" s="119"/>
      <c r="K1155" s="43"/>
      <c r="L1155" s="43"/>
      <c r="M1155" s="43"/>
      <c r="N1155" s="43"/>
      <c r="O1155" s="302"/>
      <c r="P1155" s="158"/>
      <c r="Q1155" s="694"/>
      <c r="R1155" s="694"/>
      <c r="S1155" s="1449" t="str">
        <f>IF($M1076&lt;&gt;EUconst_Relevant,"",
IF($V1076&gt;($J$1840-3),
              IF(INDEX(H1136:N1136,MATCH($V1076,$T1146:$Z1146,0))=0,0,INDEX(H1155:N1155,MATCH($V1076,$T1146:$Z1146,0))/INDEX(H1136:N1136,MATCH($V1076,$T1146:$Z1146,0))),
                             IF(ISNUMBER(G1136),
                                            IF(OR(G1136=0,$S1120=FALSE),0,G1155/G1136),"")))</f>
        <v/>
      </c>
      <c r="T1155" s="1450" t="str">
        <f t="shared" si="1749"/>
        <v/>
      </c>
      <c r="U1155" s="1450" t="str">
        <f t="shared" si="1756"/>
        <v/>
      </c>
      <c r="V1155" s="1450" t="str">
        <f t="shared" si="1751"/>
        <v/>
      </c>
      <c r="W1155" s="1450" t="str">
        <f t="shared" si="1752"/>
        <v/>
      </c>
      <c r="X1155" s="1450" t="str">
        <f t="shared" si="1753"/>
        <v/>
      </c>
      <c r="Y1155" s="1450" t="str">
        <f t="shared" si="1754"/>
        <v/>
      </c>
      <c r="Z1155" s="1451" t="str">
        <f t="shared" si="1755"/>
        <v/>
      </c>
      <c r="AA1155" s="694"/>
      <c r="AB1155" s="1431">
        <f t="shared" si="1757"/>
        <v>2</v>
      </c>
      <c r="AC1155" s="1432">
        <f>IF(CNTR_ExistSubInstEntries,IF(OR($M1076&lt;&gt;EUconst_Relevant,AC1146&gt;=CNTR_ReportingYear,AC1146&lt;$V1076-1,$E1155=""),0,IF(AND($T1140=2,COUNTIF($V1093:V1093,TRUE)&gt;0,$S1120),2,1)),2)</f>
        <v>2</v>
      </c>
      <c r="AD1155" s="1432">
        <f>IF(CNTR_ExistSubInstEntries,IF(OR($M1076&lt;&gt;EUconst_Relevant,AD1146&gt;=CNTR_ReportingYear,AD1146&lt;$V1076-1,$E1155=""),0,IF(AND($T1140=2,COUNTIF($V1093:W1093,TRUE)&gt;0,$S1120),2,1)),2)</f>
        <v>2</v>
      </c>
      <c r="AE1155" s="1432">
        <f>IF(CNTR_ExistSubInstEntries,IF(OR($M1076&lt;&gt;EUconst_Relevant,AE1146&gt;=CNTR_ReportingYear,AE1146&lt;$V1076-1,$E1155=""),0,IF(AND($T1140=2,COUNTIF($V1093:X1093,TRUE)&gt;0,$S1120),2,1)),2)</f>
        <v>2</v>
      </c>
      <c r="AF1155" s="1432">
        <f>IF(CNTR_ExistSubInstEntries,IF(OR($M1076&lt;&gt;EUconst_Relevant,AF1146&gt;=CNTR_ReportingYear,AF1146&lt;$V1076-1,$E1155=""),0,IF(AND($T1140=2,COUNTIF($V1093:Y1093,TRUE)&gt;0,$S1120),2,1)),2)</f>
        <v>2</v>
      </c>
      <c r="AG1155" s="1432">
        <f>IF(CNTR_ExistSubInstEntries,IF(OR($M1076&lt;&gt;EUconst_Relevant,AG1146&gt;=CNTR_ReportingYear,AG1146&lt;$V1076-1,$E1155=""),0,IF(AND($T1140=2,COUNTIF($V1093:Z1093,TRUE)&gt;0,$S1120),2,1)),2)</f>
        <v>2</v>
      </c>
      <c r="AH1155" s="1432">
        <f>IF(CNTR_ExistSubInstEntries,IF(OR($M1076&lt;&gt;EUconst_Relevant,AH1146&gt;=CNTR_ReportingYear,AH1146&lt;$V1076-1,$E1155=""),0,IF(AND($T1140=2,COUNTIF($V1093:AA1093,TRUE)&gt;0,$S1120),2,1)),2)</f>
        <v>2</v>
      </c>
      <c r="AI1155" s="1452">
        <f>IF(CNTR_ExistSubInstEntries,IF(OR($M1076&lt;&gt;EUconst_Relevant,AI1146&gt;=CNTR_ReportingYear,AI1146&lt;$V1076-1,$E1155=""),0,IF(AND($T1140=2,COUNTIF($V1093:AB1093,TRUE)&gt;0,$S1120),2,1)),2)</f>
        <v>2</v>
      </c>
      <c r="AJ1155" s="343"/>
      <c r="AK1155" s="1174" t="s">
        <v>2039</v>
      </c>
      <c r="AL1155" s="1176" t="str">
        <f>IF(AND(CNTR_ExistSubInstEntries,COUNTIFS(AB1155:AI1155,2,G1155:N1155,"")&gt;0),EUconst_Error&amp;"FB"&amp;Q1076,"")</f>
        <v/>
      </c>
      <c r="AM1155" s="343"/>
    </row>
    <row r="1156" spans="1:39" ht="12.75" customHeight="1" thickBot="1" x14ac:dyDescent="0.3">
      <c r="A1156" s="729"/>
      <c r="B1156" s="698"/>
      <c r="C1156" s="2906"/>
      <c r="D1156" s="994">
        <v>10</v>
      </c>
      <c r="E1156" s="1435" t="str">
        <f t="shared" si="1747"/>
        <v/>
      </c>
      <c r="F1156" s="1453" t="str">
        <f t="shared" si="1748"/>
        <v>TJ</v>
      </c>
      <c r="G1156" s="48"/>
      <c r="H1156" s="117"/>
      <c r="I1156" s="48"/>
      <c r="J1156" s="117"/>
      <c r="K1156" s="38"/>
      <c r="L1156" s="38"/>
      <c r="M1156" s="38"/>
      <c r="N1156" s="38"/>
      <c r="O1156" s="302"/>
      <c r="P1156" s="158"/>
      <c r="Q1156" s="694"/>
      <c r="R1156" s="694"/>
      <c r="S1156" s="1454" t="str">
        <f>IF($M1076&lt;&gt;EUconst_Relevant,"",
IF($V1076&gt;($J$1840-3),
              IF(INDEX(H1137:N1137,MATCH($V1076,$T1146:$Z1146,0))=0,0,INDEX(H1156:N1156,MATCH($V1076,$T1146:$Z1146,0))/INDEX(H1137:N1137,MATCH($V1076,$T1146:$Z1146,0))),
                             IF(ISNUMBER(G1137),
                                            IF(OR(G1137=0,$S1121=FALSE),0,G1156/G1137),"")))</f>
        <v/>
      </c>
      <c r="T1156" s="1455" t="str">
        <f t="shared" si="1749"/>
        <v/>
      </c>
      <c r="U1156" s="1455" t="str">
        <f t="shared" si="1756"/>
        <v/>
      </c>
      <c r="V1156" s="1455" t="str">
        <f t="shared" si="1751"/>
        <v/>
      </c>
      <c r="W1156" s="1455" t="str">
        <f t="shared" si="1752"/>
        <v/>
      </c>
      <c r="X1156" s="1455" t="str">
        <f t="shared" si="1753"/>
        <v/>
      </c>
      <c r="Y1156" s="1455" t="str">
        <f t="shared" si="1754"/>
        <v/>
      </c>
      <c r="Z1156" s="1456" t="str">
        <f t="shared" si="1755"/>
        <v/>
      </c>
      <c r="AA1156" s="694"/>
      <c r="AB1156" s="1436">
        <f t="shared" si="1757"/>
        <v>2</v>
      </c>
      <c r="AC1156" s="1437">
        <f>IF(CNTR_ExistSubInstEntries,IF(OR($M1076&lt;&gt;EUconst_Relevant,AC1146&gt;=CNTR_ReportingYear,AC1146&lt;$V1076-1,$E1156=""),0,IF(AND($T1140=2,COUNTIF($V1093:V1093,TRUE)&gt;0,$S1121),2,1)),2)</f>
        <v>2</v>
      </c>
      <c r="AD1156" s="1437">
        <f>IF(CNTR_ExistSubInstEntries,IF(OR($M1076&lt;&gt;EUconst_Relevant,AD1146&gt;=CNTR_ReportingYear,AD1146&lt;$V1076-1,$E1156=""),0,IF(AND($T1140=2,COUNTIF($V1093:W1093,TRUE)&gt;0,$S1121),2,1)),2)</f>
        <v>2</v>
      </c>
      <c r="AE1156" s="1437">
        <f>IF(CNTR_ExistSubInstEntries,IF(OR($M1076&lt;&gt;EUconst_Relevant,AE1146&gt;=CNTR_ReportingYear,AE1146&lt;$V1076-1,$E1156=""),0,IF(AND($T1140=2,COUNTIF($V1093:X1093,TRUE)&gt;0,$S1121),2,1)),2)</f>
        <v>2</v>
      </c>
      <c r="AF1156" s="1437">
        <f>IF(CNTR_ExistSubInstEntries,IF(OR($M1076&lt;&gt;EUconst_Relevant,AF1146&gt;=CNTR_ReportingYear,AF1146&lt;$V1076-1,$E1156=""),0,IF(AND($T1140=2,COUNTIF($V1093:Y1093,TRUE)&gt;0,$S1121),2,1)),2)</f>
        <v>2</v>
      </c>
      <c r="AG1156" s="1437">
        <f>IF(CNTR_ExistSubInstEntries,IF(OR($M1076&lt;&gt;EUconst_Relevant,AG1146&gt;=CNTR_ReportingYear,AG1146&lt;$V1076-1,$E1156=""),0,IF(AND($T1140=2,COUNTIF($V1093:Z1093,TRUE)&gt;0,$S1121),2,1)),2)</f>
        <v>2</v>
      </c>
      <c r="AH1156" s="1437">
        <f>IF(CNTR_ExistSubInstEntries,IF(OR($M1076&lt;&gt;EUconst_Relevant,AH1146&gt;=CNTR_ReportingYear,AH1146&lt;$V1076-1,$E1156=""),0,IF(AND($T1140=2,COUNTIF($V1093:AA1093,TRUE)&gt;0,$S1121),2,1)),2)</f>
        <v>2</v>
      </c>
      <c r="AI1156" s="1457">
        <f>IF(CNTR_ExistSubInstEntries,IF(OR($M1076&lt;&gt;EUconst_Relevant,AI1146&gt;=CNTR_ReportingYear,AI1146&lt;$V1076-1,$E1156=""),0,IF(AND($T1140=2,COUNTIF($V1093:AB1093,TRUE)&gt;0,$S1121),2,1)),2)</f>
        <v>2</v>
      </c>
      <c r="AJ1156" s="343"/>
      <c r="AK1156" s="1174" t="s">
        <v>2039</v>
      </c>
      <c r="AL1156" s="1176" t="str">
        <f>IF(AND(CNTR_ExistSubInstEntries,COUNTIFS(AB1156:AI1156,2,G1156:N1156,"")&gt;0),EUconst_Error&amp;"FB"&amp;Q1076,"")</f>
        <v/>
      </c>
      <c r="AM1156" s="343"/>
    </row>
    <row r="1157" spans="1:39" ht="12.75" customHeight="1" thickBot="1" x14ac:dyDescent="0.3">
      <c r="A1157" s="729"/>
      <c r="B1157" s="698"/>
      <c r="C1157" s="2906"/>
      <c r="D1157" s="1293"/>
      <c r="E1157" s="1458" t="str">
        <f>Translations!$B$1338</f>
        <v>Общо потребление</v>
      </c>
      <c r="F1157" s="1453" t="str">
        <f t="shared" si="1748"/>
        <v>TJ</v>
      </c>
      <c r="G1157" s="1296" t="str">
        <f t="shared" ref="G1157:N1157" si="1758">IF(COUNT(G1147:G1156)&gt;0,SUMIF($S1112:$S1121,TRUE,G1147:G1156),"")</f>
        <v/>
      </c>
      <c r="H1157" s="1297" t="str">
        <f t="shared" si="1758"/>
        <v/>
      </c>
      <c r="I1157" s="1296" t="str">
        <f t="shared" si="1758"/>
        <v/>
      </c>
      <c r="J1157" s="1297" t="str">
        <f t="shared" si="1758"/>
        <v/>
      </c>
      <c r="K1157" s="1104" t="str">
        <f t="shared" si="1758"/>
        <v/>
      </c>
      <c r="L1157" s="1104" t="str">
        <f t="shared" si="1758"/>
        <v/>
      </c>
      <c r="M1157" s="1104" t="str">
        <f t="shared" si="1758"/>
        <v/>
      </c>
      <c r="N1157" s="1104" t="str">
        <f t="shared" si="1758"/>
        <v/>
      </c>
      <c r="O1157" s="302"/>
      <c r="P1157" s="336"/>
      <c r="Q1157" s="694"/>
      <c r="R1157" s="694"/>
      <c r="S1157" s="694"/>
      <c r="T1157" s="1459">
        <f>SUM(T1147:T1156)</f>
        <v>0</v>
      </c>
      <c r="U1157" s="1460">
        <f t="shared" ref="U1157:Z1157" si="1759">SUM(U1147:U1156)</f>
        <v>0</v>
      </c>
      <c r="V1157" s="1460">
        <f t="shared" si="1759"/>
        <v>0</v>
      </c>
      <c r="W1157" s="1460">
        <f t="shared" si="1759"/>
        <v>0</v>
      </c>
      <c r="X1157" s="1460">
        <f t="shared" si="1759"/>
        <v>0</v>
      </c>
      <c r="Y1157" s="1460">
        <f t="shared" si="1759"/>
        <v>0</v>
      </c>
      <c r="Z1157" s="1461">
        <f t="shared" si="1759"/>
        <v>0</v>
      </c>
      <c r="AA1157" s="694"/>
      <c r="AB1157" s="729"/>
      <c r="AC1157" s="694"/>
      <c r="AD1157" s="694"/>
      <c r="AE1157" s="343"/>
      <c r="AF1157" s="343"/>
      <c r="AG1157" s="343"/>
      <c r="AH1157" s="343"/>
      <c r="AI1157" s="343"/>
      <c r="AJ1157" s="343"/>
      <c r="AK1157" s="343"/>
      <c r="AL1157" s="343"/>
      <c r="AM1157" s="343"/>
    </row>
    <row r="1158" spans="1:39" ht="12.75" customHeight="1" x14ac:dyDescent="0.25">
      <c r="A1158" s="729"/>
      <c r="B1158" s="698"/>
      <c r="C1158" s="2906"/>
      <c r="D1158" s="1462"/>
      <c r="E1158" s="1463" t="str">
        <f>Translations!$B$1339</f>
        <v>Дял от a)</v>
      </c>
      <c r="F1158" s="1464" t="str">
        <f t="shared" si="1748"/>
        <v>TJ</v>
      </c>
      <c r="G1158" s="274" t="str">
        <f>IF(COUNT(I1092,G1157)=2,IF(I1092=0,EUconst_NA,G1157/I1092),"")</f>
        <v/>
      </c>
      <c r="H1158" s="185" t="str">
        <f t="shared" ref="H1158" si="1760">IF(COUNT(H1084,H1157)=2,IF(H1084=0,EUconst_NA,H1157/H1084),"")</f>
        <v/>
      </c>
      <c r="I1158" s="186" t="str">
        <f t="shared" ref="I1158" si="1761">IF(COUNT(I1084,I1157)=2,IF(I1084=0,EUconst_NA,I1157/I1084),"")</f>
        <v/>
      </c>
      <c r="J1158" s="185" t="str">
        <f t="shared" ref="J1158" si="1762">IF(COUNT(J1084,J1157)=2,IF(J1084=0,EUconst_NA,J1157/J1084),"")</f>
        <v/>
      </c>
      <c r="K1158" s="187" t="str">
        <f t="shared" ref="K1158" si="1763">IF(COUNT(K1084,K1157)=2,IF(K1084=0,EUconst_NA,K1157/K1084),"")</f>
        <v/>
      </c>
      <c r="L1158" s="187" t="str">
        <f t="shared" ref="L1158" si="1764">IF(COUNT(L1084,L1157)=2,IF(L1084=0,EUconst_NA,L1157/L1084),"")</f>
        <v/>
      </c>
      <c r="M1158" s="187" t="str">
        <f t="shared" ref="M1158" si="1765">IF(COUNT(M1084,M1157)=2,IF(M1084=0,EUconst_NA,M1157/M1084),"")</f>
        <v/>
      </c>
      <c r="N1158" s="187" t="str">
        <f t="shared" ref="N1158" si="1766">IF(COUNT(N1084,N1157)=2,IF(N1084=0,EUconst_NA,N1157/N1084),"")</f>
        <v/>
      </c>
      <c r="O1158" s="302"/>
      <c r="P1158" s="336"/>
      <c r="Q1158" s="694"/>
      <c r="R1158" s="694"/>
      <c r="S1158" s="694"/>
      <c r="T1158" s="694"/>
      <c r="U1158" s="694"/>
      <c r="V1158" s="694"/>
      <c r="W1158" s="694"/>
      <c r="X1158" s="694"/>
      <c r="Y1158" s="694"/>
      <c r="Z1158" s="694"/>
      <c r="AA1158" s="694"/>
      <c r="AB1158" s="729"/>
      <c r="AC1158" s="694"/>
      <c r="AD1158" s="694"/>
      <c r="AE1158" s="343"/>
      <c r="AF1158" s="343"/>
      <c r="AG1158" s="343"/>
      <c r="AH1158" s="343"/>
      <c r="AI1158" s="343"/>
      <c r="AJ1158" s="343"/>
      <c r="AK1158" s="343"/>
      <c r="AL1158" s="343"/>
      <c r="AM1158" s="343"/>
    </row>
    <row r="1159" spans="1:39" ht="14.25" customHeight="1" x14ac:dyDescent="0.25">
      <c r="A1159" s="729"/>
      <c r="B1159" s="698"/>
      <c r="C1159" s="284"/>
      <c r="D1159" s="284"/>
      <c r="E1159" s="284"/>
      <c r="F1159" s="284"/>
      <c r="G1159" s="228" t="str">
        <f>IF(G1158="","",IF(AND(COUNTA(G1147:G1156)=0,$T1140=2),EUconst_Incomplete,""))</f>
        <v/>
      </c>
      <c r="H1159" s="229" t="str">
        <f t="shared" ref="H1159:N1159" si="1767">IF(H1158="","",IF(AND(OR(COUNTA(H1147:H1156)&gt;0,$T1140=2),ABS(1-SUM(H1158))&lt;0.5%),"",EUconst_Inconsistent))</f>
        <v/>
      </c>
      <c r="I1159" s="230" t="str">
        <f t="shared" si="1767"/>
        <v/>
      </c>
      <c r="J1159" s="229" t="str">
        <f t="shared" si="1767"/>
        <v/>
      </c>
      <c r="K1159" s="231" t="str">
        <f t="shared" si="1767"/>
        <v/>
      </c>
      <c r="L1159" s="231" t="str">
        <f t="shared" si="1767"/>
        <v/>
      </c>
      <c r="M1159" s="231" t="str">
        <f t="shared" si="1767"/>
        <v/>
      </c>
      <c r="N1159" s="231" t="str">
        <f t="shared" si="1767"/>
        <v/>
      </c>
      <c r="O1159" s="302"/>
      <c r="P1159" s="336"/>
      <c r="Q1159" s="694"/>
      <c r="R1159" s="694"/>
      <c r="S1159" s="694"/>
      <c r="T1159" s="694"/>
      <c r="U1159" s="694"/>
      <c r="V1159" s="694"/>
      <c r="W1159" s="694"/>
      <c r="X1159" s="694"/>
      <c r="Y1159" s="694"/>
      <c r="Z1159" s="729"/>
      <c r="AA1159" s="729"/>
      <c r="AB1159" s="729"/>
      <c r="AC1159" s="694"/>
      <c r="AD1159" s="694"/>
      <c r="AE1159" s="343"/>
      <c r="AF1159" s="343"/>
      <c r="AG1159" s="343"/>
      <c r="AH1159" s="343"/>
      <c r="AI1159" s="343"/>
      <c r="AJ1159" s="343"/>
      <c r="AK1159" s="1174" t="s">
        <v>2148</v>
      </c>
      <c r="AL1159" s="1176" t="str">
        <f>IF(COUNTIFS(G1159:N1159,"")&lt;COUNTA(G1159:N1159),EUconst_Error&amp;"FB"&amp;Q1076,"")</f>
        <v/>
      </c>
      <c r="AM1159" s="343"/>
    </row>
    <row r="1160" spans="1:39" ht="5.15" customHeight="1" x14ac:dyDescent="0.25">
      <c r="A1160" s="729"/>
      <c r="B1160" s="698"/>
      <c r="C1160" s="284"/>
      <c r="D1160" s="284"/>
      <c r="E1160" s="284"/>
      <c r="F1160" s="284"/>
      <c r="G1160" s="284"/>
      <c r="H1160" s="284"/>
      <c r="I1160" s="284"/>
      <c r="J1160" s="284"/>
      <c r="K1160" s="284"/>
      <c r="L1160" s="284"/>
      <c r="M1160" s="284"/>
      <c r="N1160" s="284"/>
      <c r="O1160" s="302"/>
      <c r="P1160" s="336"/>
      <c r="Q1160" s="694"/>
      <c r="R1160" s="694"/>
      <c r="S1160" s="694"/>
      <c r="T1160" s="694"/>
      <c r="U1160" s="694"/>
      <c r="V1160" s="694"/>
      <c r="W1160" s="694"/>
      <c r="X1160" s="694"/>
      <c r="Y1160" s="694"/>
      <c r="Z1160" s="729"/>
      <c r="AA1160" s="729"/>
      <c r="AB1160" s="729"/>
      <c r="AC1160" s="694"/>
      <c r="AD1160" s="694"/>
      <c r="AE1160" s="343"/>
      <c r="AF1160" s="343"/>
      <c r="AG1160" s="343"/>
      <c r="AH1160" s="343"/>
      <c r="AI1160" s="343"/>
      <c r="AJ1160" s="343"/>
      <c r="AK1160" s="343"/>
      <c r="AL1160" s="343"/>
      <c r="AM1160" s="343"/>
    </row>
    <row r="1161" spans="1:39" ht="12.75" hidden="1" customHeight="1" x14ac:dyDescent="0.25">
      <c r="A1161" s="729" t="s">
        <v>312</v>
      </c>
      <c r="B1161" s="698"/>
      <c r="C1161" s="284"/>
      <c r="D1161" s="300" t="s">
        <v>1770</v>
      </c>
      <c r="E1161" s="2226" t="str">
        <f>Translations!$B$1540</f>
        <v>Потребление на енергия извън СТЕ на ЕС по продукти за определяне на очакваните равнища на дейност</v>
      </c>
      <c r="F1161" s="2249"/>
      <c r="G1161" s="2249"/>
      <c r="H1161" s="2249"/>
      <c r="I1161" s="2249"/>
      <c r="J1161" s="2249"/>
      <c r="K1161" s="2249"/>
      <c r="L1161" s="2249"/>
      <c r="M1161" s="2249"/>
      <c r="N1161" s="2249"/>
      <c r="O1161" s="302"/>
      <c r="P1161" s="295"/>
      <c r="Q1161" s="694"/>
      <c r="R1161" s="694"/>
      <c r="S1161" s="729"/>
      <c r="T1161" s="729"/>
      <c r="U1161" s="729"/>
      <c r="V1161" s="694"/>
      <c r="W1161" s="694"/>
      <c r="X1161" s="694"/>
      <c r="Y1161" s="694"/>
      <c r="Z1161" s="729"/>
      <c r="AA1161" s="729"/>
      <c r="AB1161" s="729"/>
      <c r="AC1161" s="729"/>
      <c r="AD1161" s="694"/>
      <c r="AE1161" s="343"/>
      <c r="AF1161" s="343"/>
      <c r="AG1161" s="343"/>
      <c r="AH1161" s="343"/>
      <c r="AI1161" s="343"/>
      <c r="AJ1161" s="343"/>
      <c r="AK1161" s="343"/>
      <c r="AL1161" s="343"/>
      <c r="AM1161" s="343"/>
    </row>
    <row r="1162" spans="1:39" ht="25.5" hidden="1" customHeight="1" x14ac:dyDescent="0.25">
      <c r="A1162" s="729" t="s">
        <v>312</v>
      </c>
      <c r="B1162" s="698"/>
      <c r="C1162" s="284"/>
      <c r="D1162" s="284"/>
      <c r="E1162" s="2358" t="str">
        <f>Translations!$B$1541</f>
        <v>Моля, въведете тук всяко потребление на енергия извън СТЕ на ЕС (напр. топлинна енергия, получена от инсталации, които не са обхванати от СТЕ на ЕС), използвано за същите продукти, както по-горе. Числата тук ще бъдат използвани за коригиране на разпределянето за допустимия дял на енергията.</v>
      </c>
      <c r="F1162" s="2249"/>
      <c r="G1162" s="2249"/>
      <c r="H1162" s="2249"/>
      <c r="I1162" s="2249"/>
      <c r="J1162" s="2249"/>
      <c r="K1162" s="2249"/>
      <c r="L1162" s="2249"/>
      <c r="M1162" s="2249"/>
      <c r="N1162" s="2249"/>
      <c r="O1162" s="302"/>
      <c r="P1162" s="295"/>
      <c r="Q1162" s="694"/>
      <c r="R1162" s="694"/>
      <c r="S1162" s="694"/>
      <c r="T1162" s="694"/>
      <c r="U1162" s="694"/>
      <c r="V1162" s="694"/>
      <c r="W1162" s="694"/>
      <c r="X1162" s="694"/>
      <c r="Y1162" s="694"/>
      <c r="Z1162" s="729"/>
      <c r="AA1162" s="729"/>
      <c r="AB1162" s="729"/>
      <c r="AC1162" s="729"/>
      <c r="AD1162" s="694"/>
      <c r="AE1162" s="343"/>
      <c r="AF1162" s="343"/>
      <c r="AG1162" s="343"/>
      <c r="AH1162" s="343"/>
      <c r="AI1162" s="343"/>
      <c r="AJ1162" s="343"/>
      <c r="AK1162" s="343"/>
      <c r="AL1162" s="343"/>
      <c r="AM1162" s="343"/>
    </row>
    <row r="1163" spans="1:39" ht="5.15" hidden="1" customHeight="1" x14ac:dyDescent="0.25">
      <c r="A1163" s="729" t="s">
        <v>312</v>
      </c>
      <c r="B1163" s="698"/>
      <c r="C1163" s="284"/>
      <c r="D1163" s="284"/>
      <c r="E1163" s="2358"/>
      <c r="F1163" s="2249"/>
      <c r="G1163" s="2249"/>
      <c r="H1163" s="2249"/>
      <c r="I1163" s="2249"/>
      <c r="J1163" s="2249"/>
      <c r="K1163" s="2249"/>
      <c r="L1163" s="2249"/>
      <c r="M1163" s="2249"/>
      <c r="N1163" s="2249"/>
      <c r="O1163" s="302"/>
      <c r="P1163" s="295"/>
      <c r="Q1163" s="694"/>
      <c r="R1163" s="694"/>
      <c r="S1163" s="694"/>
      <c r="T1163" s="694"/>
      <c r="U1163" s="694"/>
      <c r="V1163" s="694"/>
      <c r="W1163" s="694"/>
      <c r="X1163" s="694"/>
      <c r="Y1163" s="694"/>
      <c r="Z1163" s="729"/>
      <c r="AA1163" s="729"/>
      <c r="AB1163" s="729"/>
      <c r="AC1163" s="729"/>
      <c r="AD1163" s="694"/>
      <c r="AE1163" s="343"/>
      <c r="AF1163" s="343"/>
      <c r="AG1163" s="343"/>
      <c r="AH1163" s="343"/>
      <c r="AI1163" s="343"/>
      <c r="AJ1163" s="343"/>
      <c r="AK1163" s="343"/>
      <c r="AL1163" s="343"/>
      <c r="AM1163" s="343"/>
    </row>
    <row r="1164" spans="1:39" s="1423" customFormat="1" ht="25.5" hidden="1" customHeight="1" thickBot="1" x14ac:dyDescent="0.35">
      <c r="A1164" s="729" t="s">
        <v>312</v>
      </c>
      <c r="B1164" s="1412"/>
      <c r="C1164" s="1413"/>
      <c r="D1164" s="1414"/>
      <c r="E1164" s="1415" t="str">
        <f>Translations!$B$624</f>
        <v>Име на продукта или „топлофикационна мрежа“</v>
      </c>
      <c r="F1164" s="1416" t="str">
        <f>EUconst_Unit</f>
        <v>Единица мярка</v>
      </c>
      <c r="G1164" s="1419" t="str">
        <f>Translations!$B$1336</f>
        <v>Стойност в НМИ</v>
      </c>
      <c r="H1164" s="1418">
        <f t="shared" ref="H1164:N1164" si="1768">H$1840</f>
        <v>2024</v>
      </c>
      <c r="I1164" s="1419">
        <f t="shared" si="1768"/>
        <v>2025</v>
      </c>
      <c r="J1164" s="1418">
        <f t="shared" si="1768"/>
        <v>2026</v>
      </c>
      <c r="K1164" s="1420">
        <f t="shared" si="1768"/>
        <v>2027</v>
      </c>
      <c r="L1164" s="1420">
        <f t="shared" si="1768"/>
        <v>2028</v>
      </c>
      <c r="M1164" s="1420">
        <f t="shared" si="1768"/>
        <v>2029</v>
      </c>
      <c r="N1164" s="1420">
        <f t="shared" si="1768"/>
        <v>2030</v>
      </c>
      <c r="O1164" s="302"/>
      <c r="P1164" s="295"/>
      <c r="Q1164" s="1421"/>
      <c r="R1164" s="1421"/>
      <c r="S1164" s="694"/>
      <c r="T1164" s="694"/>
      <c r="U1164" s="694"/>
      <c r="V1164" s="694"/>
      <c r="W1164" s="694"/>
      <c r="X1164" s="694"/>
      <c r="Y1164" s="694"/>
      <c r="Z1164" s="694"/>
      <c r="AA1164" s="1421"/>
      <c r="AB1164" s="770" t="str">
        <f>Translations!$B$1284</f>
        <v>HAL</v>
      </c>
      <c r="AC1164" s="1421">
        <f t="shared" ref="AC1164" si="1769">H1164</f>
        <v>2024</v>
      </c>
      <c r="AD1164" s="1421">
        <f t="shared" ref="AD1164" si="1770">I1164</f>
        <v>2025</v>
      </c>
      <c r="AE1164" s="1421">
        <f t="shared" ref="AE1164" si="1771">J1164</f>
        <v>2026</v>
      </c>
      <c r="AF1164" s="1421">
        <f t="shared" ref="AF1164" si="1772">K1164</f>
        <v>2027</v>
      </c>
      <c r="AG1164" s="1421">
        <f t="shared" ref="AG1164" si="1773">L1164</f>
        <v>2028</v>
      </c>
      <c r="AH1164" s="1422">
        <f t="shared" ref="AH1164" si="1774">M1164</f>
        <v>2029</v>
      </c>
      <c r="AI1164" s="1422">
        <f t="shared" ref="AI1164" si="1775">N1164</f>
        <v>2030</v>
      </c>
      <c r="AJ1164" s="1422"/>
      <c r="AK1164" s="1422"/>
      <c r="AL1164" s="1422"/>
      <c r="AM1164" s="1422"/>
    </row>
    <row r="1165" spans="1:39" ht="12.75" hidden="1" customHeight="1" x14ac:dyDescent="0.25">
      <c r="A1165" s="729" t="s">
        <v>312</v>
      </c>
      <c r="B1165" s="698"/>
      <c r="C1165" s="2906" t="str">
        <f>Translations!$B$949</f>
        <v>топл. ен. извън СТЕ</v>
      </c>
      <c r="D1165" s="981">
        <v>1</v>
      </c>
      <c r="E1165" s="1424" t="str">
        <f t="shared" ref="E1165:E1174" si="1776">E1147</f>
        <v/>
      </c>
      <c r="F1165" s="1259" t="str">
        <f t="shared" ref="F1165:F1175" si="1777">EUconst_TJ</f>
        <v>TJ</v>
      </c>
      <c r="G1165" s="125"/>
      <c r="H1165" s="116"/>
      <c r="I1165" s="46"/>
      <c r="J1165" s="116"/>
      <c r="K1165" s="40"/>
      <c r="L1165" s="40"/>
      <c r="M1165" s="40"/>
      <c r="N1165" s="40"/>
      <c r="O1165" s="302"/>
      <c r="P1165" s="158"/>
      <c r="Q1165" s="694"/>
      <c r="R1165" s="694"/>
      <c r="S1165" s="694"/>
      <c r="T1165" s="694"/>
      <c r="U1165" s="694"/>
      <c r="V1165" s="694"/>
      <c r="W1165" s="694"/>
      <c r="X1165" s="694"/>
      <c r="Y1165" s="694"/>
      <c r="Z1165" s="694"/>
      <c r="AA1165" s="1446" t="s">
        <v>1757</v>
      </c>
      <c r="AB1165" s="1447">
        <f t="shared" ref="AB1165:AC1165" si="1778">AB1147</f>
        <v>2</v>
      </c>
      <c r="AC1165" s="1427">
        <f t="shared" si="1778"/>
        <v>2</v>
      </c>
      <c r="AD1165" s="1427">
        <f>AD1147</f>
        <v>2</v>
      </c>
      <c r="AE1165" s="1427">
        <f t="shared" ref="AE1165:AI1165" si="1779">AE1147</f>
        <v>2</v>
      </c>
      <c r="AF1165" s="1427">
        <f t="shared" si="1779"/>
        <v>2</v>
      </c>
      <c r="AG1165" s="1427">
        <f t="shared" si="1779"/>
        <v>2</v>
      </c>
      <c r="AH1165" s="1428">
        <f t="shared" si="1779"/>
        <v>2</v>
      </c>
      <c r="AI1165" s="1429">
        <f t="shared" si="1779"/>
        <v>2</v>
      </c>
      <c r="AJ1165" s="343"/>
      <c r="AK1165" s="1422"/>
      <c r="AL1165" s="1422"/>
      <c r="AM1165" s="343"/>
    </row>
    <row r="1166" spans="1:39" ht="12.75" hidden="1" customHeight="1" x14ac:dyDescent="0.25">
      <c r="A1166" s="729" t="s">
        <v>312</v>
      </c>
      <c r="B1166" s="698"/>
      <c r="C1166" s="2906"/>
      <c r="D1166" s="990">
        <v>2</v>
      </c>
      <c r="E1166" s="1430" t="str">
        <f t="shared" si="1776"/>
        <v/>
      </c>
      <c r="F1166" s="1448" t="str">
        <f t="shared" si="1777"/>
        <v>TJ</v>
      </c>
      <c r="G1166" s="124"/>
      <c r="H1166" s="119"/>
      <c r="I1166" s="47"/>
      <c r="J1166" s="119"/>
      <c r="K1166" s="43"/>
      <c r="L1166" s="43"/>
      <c r="M1166" s="43"/>
      <c r="N1166" s="43"/>
      <c r="O1166" s="302"/>
      <c r="P1166" s="158"/>
      <c r="Q1166" s="694"/>
      <c r="R1166" s="694"/>
      <c r="S1166" s="694"/>
      <c r="T1166" s="694"/>
      <c r="U1166" s="694"/>
      <c r="V1166" s="694"/>
      <c r="W1166" s="694"/>
      <c r="X1166" s="694"/>
      <c r="Y1166" s="694"/>
      <c r="Z1166" s="694"/>
      <c r="AA1166" s="694"/>
      <c r="AB1166" s="1431">
        <f t="shared" ref="AB1166:AI1166" si="1780">AB1148</f>
        <v>2</v>
      </c>
      <c r="AC1166" s="1432">
        <f t="shared" si="1780"/>
        <v>2</v>
      </c>
      <c r="AD1166" s="1432">
        <f t="shared" si="1780"/>
        <v>2</v>
      </c>
      <c r="AE1166" s="1432">
        <f t="shared" si="1780"/>
        <v>2</v>
      </c>
      <c r="AF1166" s="1432">
        <f t="shared" si="1780"/>
        <v>2</v>
      </c>
      <c r="AG1166" s="1432">
        <f t="shared" si="1780"/>
        <v>2</v>
      </c>
      <c r="AH1166" s="1432">
        <f t="shared" si="1780"/>
        <v>2</v>
      </c>
      <c r="AI1166" s="1452">
        <f t="shared" si="1780"/>
        <v>2</v>
      </c>
      <c r="AJ1166" s="343"/>
      <c r="AK1166" s="1422"/>
      <c r="AL1166" s="1422"/>
      <c r="AM1166" s="343"/>
    </row>
    <row r="1167" spans="1:39" ht="12.75" hidden="1" customHeight="1" x14ac:dyDescent="0.25">
      <c r="A1167" s="729" t="s">
        <v>312</v>
      </c>
      <c r="B1167" s="698"/>
      <c r="C1167" s="2906"/>
      <c r="D1167" s="990">
        <v>3</v>
      </c>
      <c r="E1167" s="1430" t="str">
        <f t="shared" si="1776"/>
        <v/>
      </c>
      <c r="F1167" s="1448" t="str">
        <f t="shared" si="1777"/>
        <v>TJ</v>
      </c>
      <c r="G1167" s="47"/>
      <c r="H1167" s="119"/>
      <c r="I1167" s="47"/>
      <c r="J1167" s="119"/>
      <c r="K1167" s="43"/>
      <c r="L1167" s="43"/>
      <c r="M1167" s="43"/>
      <c r="N1167" s="43"/>
      <c r="O1167" s="302"/>
      <c r="P1167" s="158"/>
      <c r="Q1167" s="694"/>
      <c r="R1167" s="694"/>
      <c r="S1167" s="694"/>
      <c r="T1167" s="694"/>
      <c r="U1167" s="694"/>
      <c r="V1167" s="694"/>
      <c r="W1167" s="694"/>
      <c r="X1167" s="694"/>
      <c r="Y1167" s="694"/>
      <c r="Z1167" s="694"/>
      <c r="AA1167" s="694"/>
      <c r="AB1167" s="1431">
        <f t="shared" ref="AB1167:AI1167" si="1781">AB1149</f>
        <v>2</v>
      </c>
      <c r="AC1167" s="1432">
        <f t="shared" si="1781"/>
        <v>2</v>
      </c>
      <c r="AD1167" s="1432">
        <f t="shared" si="1781"/>
        <v>2</v>
      </c>
      <c r="AE1167" s="1432">
        <f t="shared" si="1781"/>
        <v>2</v>
      </c>
      <c r="AF1167" s="1432">
        <f t="shared" si="1781"/>
        <v>2</v>
      </c>
      <c r="AG1167" s="1432">
        <f t="shared" si="1781"/>
        <v>2</v>
      </c>
      <c r="AH1167" s="1432">
        <f t="shared" si="1781"/>
        <v>2</v>
      </c>
      <c r="AI1167" s="1452">
        <f t="shared" si="1781"/>
        <v>2</v>
      </c>
      <c r="AJ1167" s="343"/>
      <c r="AK1167" s="1422"/>
      <c r="AL1167" s="1422"/>
      <c r="AM1167" s="343"/>
    </row>
    <row r="1168" spans="1:39" ht="12.75" hidden="1" customHeight="1" x14ac:dyDescent="0.25">
      <c r="A1168" s="729" t="s">
        <v>312</v>
      </c>
      <c r="B1168" s="698"/>
      <c r="C1168" s="2906"/>
      <c r="D1168" s="990">
        <v>4</v>
      </c>
      <c r="E1168" s="1430" t="str">
        <f t="shared" si="1776"/>
        <v/>
      </c>
      <c r="F1168" s="1448" t="str">
        <f t="shared" si="1777"/>
        <v>TJ</v>
      </c>
      <c r="G1168" s="47"/>
      <c r="H1168" s="119"/>
      <c r="I1168" s="47"/>
      <c r="J1168" s="119"/>
      <c r="K1168" s="43"/>
      <c r="L1168" s="43"/>
      <c r="M1168" s="43"/>
      <c r="N1168" s="43"/>
      <c r="O1168" s="302"/>
      <c r="P1168" s="158"/>
      <c r="Q1168" s="694"/>
      <c r="R1168" s="694"/>
      <c r="S1168" s="694"/>
      <c r="T1168" s="694"/>
      <c r="U1168" s="694"/>
      <c r="V1168" s="694"/>
      <c r="W1168" s="694"/>
      <c r="X1168" s="694"/>
      <c r="Y1168" s="694"/>
      <c r="Z1168" s="694"/>
      <c r="AA1168" s="694"/>
      <c r="AB1168" s="1431">
        <f t="shared" ref="AB1168:AI1168" si="1782">AB1150</f>
        <v>2</v>
      </c>
      <c r="AC1168" s="1432">
        <f t="shared" si="1782"/>
        <v>2</v>
      </c>
      <c r="AD1168" s="1432">
        <f t="shared" si="1782"/>
        <v>2</v>
      </c>
      <c r="AE1168" s="1432">
        <f t="shared" si="1782"/>
        <v>2</v>
      </c>
      <c r="AF1168" s="1432">
        <f t="shared" si="1782"/>
        <v>2</v>
      </c>
      <c r="AG1168" s="1432">
        <f t="shared" si="1782"/>
        <v>2</v>
      </c>
      <c r="AH1168" s="1432">
        <f t="shared" si="1782"/>
        <v>2</v>
      </c>
      <c r="AI1168" s="1452">
        <f t="shared" si="1782"/>
        <v>2</v>
      </c>
      <c r="AJ1168" s="343"/>
      <c r="AK1168" s="1422"/>
      <c r="AL1168" s="1422"/>
      <c r="AM1168" s="343"/>
    </row>
    <row r="1169" spans="1:39" ht="12.75" hidden="1" customHeight="1" x14ac:dyDescent="0.25">
      <c r="A1169" s="729" t="s">
        <v>312</v>
      </c>
      <c r="B1169" s="698"/>
      <c r="C1169" s="2906"/>
      <c r="D1169" s="990">
        <v>5</v>
      </c>
      <c r="E1169" s="1430" t="str">
        <f t="shared" si="1776"/>
        <v/>
      </c>
      <c r="F1169" s="1448" t="str">
        <f t="shared" si="1777"/>
        <v>TJ</v>
      </c>
      <c r="G1169" s="47"/>
      <c r="H1169" s="119"/>
      <c r="I1169" s="47"/>
      <c r="J1169" s="119"/>
      <c r="K1169" s="43"/>
      <c r="L1169" s="43"/>
      <c r="M1169" s="43"/>
      <c r="N1169" s="43"/>
      <c r="O1169" s="302"/>
      <c r="P1169" s="158"/>
      <c r="Q1169" s="694"/>
      <c r="R1169" s="694"/>
      <c r="S1169" s="694"/>
      <c r="T1169" s="694"/>
      <c r="U1169" s="694"/>
      <c r="V1169" s="694"/>
      <c r="W1169" s="694"/>
      <c r="X1169" s="694"/>
      <c r="Y1169" s="694"/>
      <c r="Z1169" s="694"/>
      <c r="AA1169" s="694"/>
      <c r="AB1169" s="1431">
        <f t="shared" ref="AB1169:AI1169" si="1783">AB1151</f>
        <v>2</v>
      </c>
      <c r="AC1169" s="1432">
        <f t="shared" si="1783"/>
        <v>2</v>
      </c>
      <c r="AD1169" s="1432">
        <f t="shared" si="1783"/>
        <v>2</v>
      </c>
      <c r="AE1169" s="1432">
        <f t="shared" si="1783"/>
        <v>2</v>
      </c>
      <c r="AF1169" s="1432">
        <f t="shared" si="1783"/>
        <v>2</v>
      </c>
      <c r="AG1169" s="1432">
        <f t="shared" si="1783"/>
        <v>2</v>
      </c>
      <c r="AH1169" s="1432">
        <f t="shared" si="1783"/>
        <v>2</v>
      </c>
      <c r="AI1169" s="1452">
        <f t="shared" si="1783"/>
        <v>2</v>
      </c>
      <c r="AJ1169" s="343"/>
      <c r="AK1169" s="1422"/>
      <c r="AL1169" s="1422"/>
      <c r="AM1169" s="343"/>
    </row>
    <row r="1170" spans="1:39" ht="12.75" hidden="1" customHeight="1" x14ac:dyDescent="0.25">
      <c r="A1170" s="729" t="s">
        <v>312</v>
      </c>
      <c r="B1170" s="698"/>
      <c r="C1170" s="2906"/>
      <c r="D1170" s="990">
        <v>6</v>
      </c>
      <c r="E1170" s="1430" t="str">
        <f t="shared" si="1776"/>
        <v/>
      </c>
      <c r="F1170" s="1448" t="str">
        <f t="shared" si="1777"/>
        <v>TJ</v>
      </c>
      <c r="G1170" s="47"/>
      <c r="H1170" s="119"/>
      <c r="I1170" s="47"/>
      <c r="J1170" s="119"/>
      <c r="K1170" s="43"/>
      <c r="L1170" s="43"/>
      <c r="M1170" s="43"/>
      <c r="N1170" s="43"/>
      <c r="O1170" s="302"/>
      <c r="P1170" s="158"/>
      <c r="Q1170" s="694"/>
      <c r="R1170" s="694"/>
      <c r="S1170" s="694"/>
      <c r="T1170" s="694"/>
      <c r="U1170" s="694"/>
      <c r="V1170" s="694"/>
      <c r="W1170" s="694"/>
      <c r="X1170" s="694"/>
      <c r="Y1170" s="694"/>
      <c r="Z1170" s="694"/>
      <c r="AA1170" s="694"/>
      <c r="AB1170" s="1431">
        <f t="shared" ref="AB1170:AI1170" si="1784">AB1152</f>
        <v>2</v>
      </c>
      <c r="AC1170" s="1432">
        <f t="shared" si="1784"/>
        <v>2</v>
      </c>
      <c r="AD1170" s="1432">
        <f t="shared" si="1784"/>
        <v>2</v>
      </c>
      <c r="AE1170" s="1432">
        <f t="shared" si="1784"/>
        <v>2</v>
      </c>
      <c r="AF1170" s="1432">
        <f t="shared" si="1784"/>
        <v>2</v>
      </c>
      <c r="AG1170" s="1432">
        <f t="shared" si="1784"/>
        <v>2</v>
      </c>
      <c r="AH1170" s="1432">
        <f t="shared" si="1784"/>
        <v>2</v>
      </c>
      <c r="AI1170" s="1452">
        <f t="shared" si="1784"/>
        <v>2</v>
      </c>
      <c r="AJ1170" s="343"/>
      <c r="AK1170" s="1422"/>
      <c r="AL1170" s="1422"/>
      <c r="AM1170" s="343"/>
    </row>
    <row r="1171" spans="1:39" ht="12.75" hidden="1" customHeight="1" x14ac:dyDescent="0.25">
      <c r="A1171" s="729" t="s">
        <v>312</v>
      </c>
      <c r="B1171" s="698"/>
      <c r="C1171" s="2906"/>
      <c r="D1171" s="990">
        <v>7</v>
      </c>
      <c r="E1171" s="1430" t="str">
        <f t="shared" si="1776"/>
        <v/>
      </c>
      <c r="F1171" s="1448" t="str">
        <f t="shared" si="1777"/>
        <v>TJ</v>
      </c>
      <c r="G1171" s="47"/>
      <c r="H1171" s="119"/>
      <c r="I1171" s="47"/>
      <c r="J1171" s="119"/>
      <c r="K1171" s="43"/>
      <c r="L1171" s="43"/>
      <c r="M1171" s="43"/>
      <c r="N1171" s="43"/>
      <c r="O1171" s="302"/>
      <c r="P1171" s="158"/>
      <c r="Q1171" s="694"/>
      <c r="R1171" s="694"/>
      <c r="S1171" s="694"/>
      <c r="T1171" s="694"/>
      <c r="U1171" s="694"/>
      <c r="V1171" s="694"/>
      <c r="W1171" s="694"/>
      <c r="X1171" s="694"/>
      <c r="Y1171" s="694"/>
      <c r="Z1171" s="694"/>
      <c r="AA1171" s="694"/>
      <c r="AB1171" s="1431">
        <f t="shared" ref="AB1171:AI1171" si="1785">AB1153</f>
        <v>2</v>
      </c>
      <c r="AC1171" s="1432">
        <f t="shared" si="1785"/>
        <v>2</v>
      </c>
      <c r="AD1171" s="1432">
        <f t="shared" si="1785"/>
        <v>2</v>
      </c>
      <c r="AE1171" s="1432">
        <f t="shared" si="1785"/>
        <v>2</v>
      </c>
      <c r="AF1171" s="1432">
        <f t="shared" si="1785"/>
        <v>2</v>
      </c>
      <c r="AG1171" s="1432">
        <f t="shared" si="1785"/>
        <v>2</v>
      </c>
      <c r="AH1171" s="1432">
        <f t="shared" si="1785"/>
        <v>2</v>
      </c>
      <c r="AI1171" s="1452">
        <f t="shared" si="1785"/>
        <v>2</v>
      </c>
      <c r="AJ1171" s="343"/>
      <c r="AK1171" s="1422"/>
      <c r="AL1171" s="1422"/>
      <c r="AM1171" s="343"/>
    </row>
    <row r="1172" spans="1:39" ht="12.75" hidden="1" customHeight="1" x14ac:dyDescent="0.25">
      <c r="A1172" s="729" t="s">
        <v>312</v>
      </c>
      <c r="B1172" s="698"/>
      <c r="C1172" s="2906"/>
      <c r="D1172" s="990">
        <v>8</v>
      </c>
      <c r="E1172" s="1430" t="str">
        <f t="shared" si="1776"/>
        <v/>
      </c>
      <c r="F1172" s="1448" t="str">
        <f t="shared" si="1777"/>
        <v>TJ</v>
      </c>
      <c r="G1172" s="47"/>
      <c r="H1172" s="119"/>
      <c r="I1172" s="47"/>
      <c r="J1172" s="119"/>
      <c r="K1172" s="43"/>
      <c r="L1172" s="43"/>
      <c r="M1172" s="43"/>
      <c r="N1172" s="43"/>
      <c r="O1172" s="302"/>
      <c r="P1172" s="158"/>
      <c r="Q1172" s="694"/>
      <c r="R1172" s="694"/>
      <c r="S1172" s="694"/>
      <c r="T1172" s="694"/>
      <c r="U1172" s="694"/>
      <c r="V1172" s="694"/>
      <c r="W1172" s="694"/>
      <c r="X1172" s="694"/>
      <c r="Y1172" s="694"/>
      <c r="Z1172" s="694"/>
      <c r="AA1172" s="694"/>
      <c r="AB1172" s="1431">
        <f t="shared" ref="AB1172:AI1172" si="1786">AB1154</f>
        <v>2</v>
      </c>
      <c r="AC1172" s="1432">
        <f t="shared" si="1786"/>
        <v>2</v>
      </c>
      <c r="AD1172" s="1432">
        <f t="shared" si="1786"/>
        <v>2</v>
      </c>
      <c r="AE1172" s="1432">
        <f t="shared" si="1786"/>
        <v>2</v>
      </c>
      <c r="AF1172" s="1432">
        <f t="shared" si="1786"/>
        <v>2</v>
      </c>
      <c r="AG1172" s="1432">
        <f t="shared" si="1786"/>
        <v>2</v>
      </c>
      <c r="AH1172" s="1432">
        <f t="shared" si="1786"/>
        <v>2</v>
      </c>
      <c r="AI1172" s="1452">
        <f t="shared" si="1786"/>
        <v>2</v>
      </c>
      <c r="AJ1172" s="343"/>
      <c r="AK1172" s="1422"/>
      <c r="AL1172" s="1422"/>
      <c r="AM1172" s="343"/>
    </row>
    <row r="1173" spans="1:39" ht="12.75" hidden="1" customHeight="1" x14ac:dyDescent="0.25">
      <c r="A1173" s="729" t="s">
        <v>312</v>
      </c>
      <c r="B1173" s="698"/>
      <c r="C1173" s="2906"/>
      <c r="D1173" s="990">
        <v>9</v>
      </c>
      <c r="E1173" s="1430" t="str">
        <f t="shared" si="1776"/>
        <v/>
      </c>
      <c r="F1173" s="1448" t="str">
        <f t="shared" si="1777"/>
        <v>TJ</v>
      </c>
      <c r="G1173" s="47"/>
      <c r="H1173" s="119"/>
      <c r="I1173" s="47"/>
      <c r="J1173" s="119"/>
      <c r="K1173" s="43"/>
      <c r="L1173" s="43"/>
      <c r="M1173" s="43"/>
      <c r="N1173" s="43"/>
      <c r="O1173" s="302"/>
      <c r="P1173" s="158"/>
      <c r="Q1173" s="694"/>
      <c r="R1173" s="694"/>
      <c r="S1173" s="694"/>
      <c r="T1173" s="694"/>
      <c r="U1173" s="694"/>
      <c r="V1173" s="694"/>
      <c r="W1173" s="694"/>
      <c r="X1173" s="694"/>
      <c r="Y1173" s="694"/>
      <c r="Z1173" s="694"/>
      <c r="AA1173" s="694"/>
      <c r="AB1173" s="1431">
        <f t="shared" ref="AB1173:AI1173" si="1787">AB1155</f>
        <v>2</v>
      </c>
      <c r="AC1173" s="1432">
        <f t="shared" si="1787"/>
        <v>2</v>
      </c>
      <c r="AD1173" s="1432">
        <f t="shared" si="1787"/>
        <v>2</v>
      </c>
      <c r="AE1173" s="1432">
        <f t="shared" si="1787"/>
        <v>2</v>
      </c>
      <c r="AF1173" s="1432">
        <f t="shared" si="1787"/>
        <v>2</v>
      </c>
      <c r="AG1173" s="1432">
        <f t="shared" si="1787"/>
        <v>2</v>
      </c>
      <c r="AH1173" s="1432">
        <f t="shared" si="1787"/>
        <v>2</v>
      </c>
      <c r="AI1173" s="1452">
        <f t="shared" si="1787"/>
        <v>2</v>
      </c>
      <c r="AJ1173" s="343"/>
      <c r="AK1173" s="1422"/>
      <c r="AL1173" s="1422"/>
      <c r="AM1173" s="343"/>
    </row>
    <row r="1174" spans="1:39" ht="12.75" hidden="1" customHeight="1" thickBot="1" x14ac:dyDescent="0.3">
      <c r="A1174" s="729" t="s">
        <v>312</v>
      </c>
      <c r="B1174" s="698"/>
      <c r="C1174" s="2906"/>
      <c r="D1174" s="994">
        <v>10</v>
      </c>
      <c r="E1174" s="1435" t="str">
        <f t="shared" si="1776"/>
        <v/>
      </c>
      <c r="F1174" s="1453" t="str">
        <f t="shared" si="1777"/>
        <v>TJ</v>
      </c>
      <c r="G1174" s="48"/>
      <c r="H1174" s="117"/>
      <c r="I1174" s="48"/>
      <c r="J1174" s="117"/>
      <c r="K1174" s="38"/>
      <c r="L1174" s="38"/>
      <c r="M1174" s="38"/>
      <c r="N1174" s="38"/>
      <c r="O1174" s="302"/>
      <c r="P1174" s="158"/>
      <c r="Q1174" s="694"/>
      <c r="R1174" s="694"/>
      <c r="S1174" s="694"/>
      <c r="T1174" s="694"/>
      <c r="U1174" s="694"/>
      <c r="V1174" s="694"/>
      <c r="W1174" s="694"/>
      <c r="X1174" s="694"/>
      <c r="Y1174" s="694"/>
      <c r="Z1174" s="694"/>
      <c r="AA1174" s="694"/>
      <c r="AB1174" s="1436">
        <f t="shared" ref="AB1174:AI1174" si="1788">AB1156</f>
        <v>2</v>
      </c>
      <c r="AC1174" s="1437">
        <f t="shared" si="1788"/>
        <v>2</v>
      </c>
      <c r="AD1174" s="1437">
        <f t="shared" si="1788"/>
        <v>2</v>
      </c>
      <c r="AE1174" s="1437">
        <f t="shared" si="1788"/>
        <v>2</v>
      </c>
      <c r="AF1174" s="1437">
        <f t="shared" si="1788"/>
        <v>2</v>
      </c>
      <c r="AG1174" s="1437">
        <f t="shared" si="1788"/>
        <v>2</v>
      </c>
      <c r="AH1174" s="1437">
        <f t="shared" si="1788"/>
        <v>2</v>
      </c>
      <c r="AI1174" s="1457">
        <f t="shared" si="1788"/>
        <v>2</v>
      </c>
      <c r="AJ1174" s="343"/>
      <c r="AK1174" s="1422"/>
      <c r="AL1174" s="1422"/>
      <c r="AM1174" s="343"/>
    </row>
    <row r="1175" spans="1:39" ht="12.75" hidden="1" customHeight="1" x14ac:dyDescent="0.25">
      <c r="A1175" s="729" t="s">
        <v>312</v>
      </c>
      <c r="B1175" s="698"/>
      <c r="C1175" s="2906"/>
      <c r="D1175" s="1293"/>
      <c r="E1175" s="1458" t="str">
        <f>Translations!$B$1338</f>
        <v>Общо потребление</v>
      </c>
      <c r="F1175" s="1453" t="str">
        <f t="shared" si="1777"/>
        <v>TJ</v>
      </c>
      <c r="G1175" s="1296" t="str">
        <f t="shared" ref="G1175:N1175" si="1789">IF(COUNT(G1165:G1174)&gt;0,SUMIF($S1112:$S1121,TRUE,G1165:G1174),"")</f>
        <v/>
      </c>
      <c r="H1175" s="1297" t="str">
        <f t="shared" si="1789"/>
        <v/>
      </c>
      <c r="I1175" s="1296" t="str">
        <f t="shared" si="1789"/>
        <v/>
      </c>
      <c r="J1175" s="1297" t="str">
        <f t="shared" si="1789"/>
        <v/>
      </c>
      <c r="K1175" s="1104" t="str">
        <f t="shared" si="1789"/>
        <v/>
      </c>
      <c r="L1175" s="1104" t="str">
        <f t="shared" si="1789"/>
        <v/>
      </c>
      <c r="M1175" s="1104" t="str">
        <f t="shared" si="1789"/>
        <v/>
      </c>
      <c r="N1175" s="1104" t="str">
        <f t="shared" si="1789"/>
        <v/>
      </c>
      <c r="O1175" s="302"/>
      <c r="P1175" s="336"/>
      <c r="Q1175" s="694"/>
      <c r="R1175" s="694"/>
      <c r="S1175" s="694"/>
      <c r="T1175" s="694"/>
      <c r="U1175" s="694"/>
      <c r="V1175" s="694"/>
      <c r="W1175" s="694"/>
      <c r="X1175" s="694"/>
      <c r="Y1175" s="694"/>
      <c r="Z1175" s="694"/>
      <c r="AA1175" s="694"/>
      <c r="AB1175" s="729"/>
      <c r="AC1175" s="694"/>
      <c r="AD1175" s="694"/>
      <c r="AE1175" s="343"/>
      <c r="AF1175" s="343"/>
      <c r="AG1175" s="343"/>
      <c r="AH1175" s="343"/>
      <c r="AI1175" s="343"/>
      <c r="AJ1175" s="343"/>
      <c r="AK1175" s="343"/>
      <c r="AL1175" s="343"/>
      <c r="AM1175" s="343"/>
    </row>
    <row r="1176" spans="1:39" ht="5.15" hidden="1" customHeight="1" x14ac:dyDescent="0.25">
      <c r="A1176" s="729" t="s">
        <v>312</v>
      </c>
      <c r="B1176" s="698"/>
      <c r="C1176" s="284"/>
      <c r="D1176" s="284"/>
      <c r="E1176" s="284"/>
      <c r="F1176" s="284"/>
      <c r="G1176" s="284"/>
      <c r="H1176" s="284"/>
      <c r="I1176" s="284"/>
      <c r="J1176" s="284"/>
      <c r="K1176" s="284"/>
      <c r="L1176" s="284"/>
      <c r="M1176" s="284"/>
      <c r="N1176" s="284"/>
      <c r="O1176" s="302"/>
      <c r="P1176" s="336"/>
      <c r="Q1176" s="694"/>
      <c r="R1176" s="694"/>
      <c r="S1176" s="694"/>
      <c r="T1176" s="694"/>
      <c r="U1176" s="694"/>
      <c r="V1176" s="694"/>
      <c r="W1176" s="694"/>
      <c r="X1176" s="694"/>
      <c r="Y1176" s="694"/>
      <c r="Z1176" s="729"/>
      <c r="AA1176" s="729"/>
      <c r="AB1176" s="729"/>
      <c r="AC1176" s="694"/>
      <c r="AD1176" s="694"/>
      <c r="AE1176" s="343"/>
      <c r="AF1176" s="343"/>
      <c r="AG1176" s="343"/>
      <c r="AH1176" s="343"/>
      <c r="AI1176" s="343"/>
      <c r="AJ1176" s="343"/>
      <c r="AK1176" s="343"/>
      <c r="AL1176" s="343"/>
      <c r="AM1176" s="343"/>
    </row>
    <row r="1177" spans="1:39" ht="12.75" hidden="1" customHeight="1" x14ac:dyDescent="0.25">
      <c r="A1177" s="729" t="s">
        <v>312</v>
      </c>
      <c r="B1177" s="698"/>
      <c r="C1177" s="284"/>
      <c r="D1177" s="300" t="s">
        <v>1830</v>
      </c>
      <c r="E1177" s="2226" t="str">
        <f>Translations!$B$1542</f>
        <v>Общо потребление на енергия по продукти за определяне на очакваните равнища на дейност</v>
      </c>
      <c r="F1177" s="2249"/>
      <c r="G1177" s="2249"/>
      <c r="H1177" s="2249"/>
      <c r="I1177" s="2249"/>
      <c r="J1177" s="2249"/>
      <c r="K1177" s="2249"/>
      <c r="L1177" s="2249"/>
      <c r="M1177" s="2249"/>
      <c r="N1177" s="2249"/>
      <c r="O1177" s="302"/>
      <c r="P1177" s="295"/>
      <c r="Q1177" s="694"/>
      <c r="R1177" s="694"/>
      <c r="S1177" s="694"/>
      <c r="T1177" s="694"/>
      <c r="U1177" s="694"/>
      <c r="V1177" s="694"/>
      <c r="W1177" s="694"/>
      <c r="X1177" s="694"/>
      <c r="Y1177" s="694"/>
      <c r="Z1177" s="729"/>
      <c r="AA1177" s="729"/>
      <c r="AB1177" s="729"/>
      <c r="AC1177" s="729"/>
      <c r="AD1177" s="694"/>
      <c r="AE1177" s="343"/>
      <c r="AF1177" s="343"/>
      <c r="AG1177" s="343"/>
      <c r="AH1177" s="343"/>
      <c r="AI1177" s="343"/>
      <c r="AJ1177" s="343"/>
      <c r="AK1177" s="343"/>
      <c r="AL1177" s="343"/>
      <c r="AM1177" s="343"/>
    </row>
    <row r="1178" spans="1:39" ht="12.75" hidden="1" customHeight="1" x14ac:dyDescent="0.25">
      <c r="A1178" s="729" t="s">
        <v>312</v>
      </c>
      <c r="B1178" s="698"/>
      <c r="C1178" s="284"/>
      <c r="D1178" s="284"/>
      <c r="E1178" s="2358" t="str">
        <f>Translations!$B$1543</f>
        <v>Това е сборът от вписванията по-горе b.2 + b.3. Следователно сумата може да бъде по-висока от 100 % от равнището на дейност.</v>
      </c>
      <c r="F1178" s="2249"/>
      <c r="G1178" s="2249"/>
      <c r="H1178" s="2249"/>
      <c r="I1178" s="2249"/>
      <c r="J1178" s="2249"/>
      <c r="K1178" s="2249"/>
      <c r="L1178" s="2249"/>
      <c r="M1178" s="2249"/>
      <c r="N1178" s="2249"/>
      <c r="O1178" s="302"/>
      <c r="P1178" s="295"/>
      <c r="Q1178" s="694"/>
      <c r="R1178" s="694"/>
      <c r="S1178" s="694"/>
      <c r="T1178" s="694"/>
      <c r="U1178" s="694"/>
      <c r="V1178" s="694"/>
      <c r="W1178" s="694"/>
      <c r="X1178" s="694"/>
      <c r="Y1178" s="694"/>
      <c r="Z1178" s="729"/>
      <c r="AA1178" s="729"/>
      <c r="AB1178" s="729"/>
      <c r="AC1178" s="729"/>
      <c r="AD1178" s="694"/>
      <c r="AE1178" s="343"/>
      <c r="AF1178" s="343"/>
      <c r="AG1178" s="343"/>
      <c r="AH1178" s="343"/>
      <c r="AI1178" s="343"/>
      <c r="AJ1178" s="343"/>
      <c r="AK1178" s="343"/>
      <c r="AL1178" s="343"/>
      <c r="AM1178" s="343"/>
    </row>
    <row r="1179" spans="1:39" ht="5.15" hidden="1" customHeight="1" x14ac:dyDescent="0.25">
      <c r="A1179" s="729" t="s">
        <v>312</v>
      </c>
      <c r="B1179" s="698"/>
      <c r="C1179" s="284"/>
      <c r="D1179" s="284"/>
      <c r="E1179" s="2358"/>
      <c r="F1179" s="2249"/>
      <c r="G1179" s="2249"/>
      <c r="H1179" s="2249"/>
      <c r="I1179" s="2249"/>
      <c r="J1179" s="2249"/>
      <c r="K1179" s="2249"/>
      <c r="L1179" s="2249"/>
      <c r="M1179" s="2249"/>
      <c r="N1179" s="2249"/>
      <c r="O1179" s="302"/>
      <c r="P1179" s="295"/>
      <c r="Q1179" s="694"/>
      <c r="R1179" s="694"/>
      <c r="S1179" s="694"/>
      <c r="T1179" s="694"/>
      <c r="U1179" s="694"/>
      <c r="V1179" s="694"/>
      <c r="W1179" s="694"/>
      <c r="X1179" s="694"/>
      <c r="Y1179" s="694"/>
      <c r="Z1179" s="729"/>
      <c r="AA1179" s="729"/>
      <c r="AB1179" s="729"/>
      <c r="AC1179" s="729"/>
      <c r="AD1179" s="694"/>
      <c r="AE1179" s="343"/>
      <c r="AF1179" s="343"/>
      <c r="AG1179" s="343"/>
      <c r="AH1179" s="343"/>
      <c r="AI1179" s="343"/>
      <c r="AJ1179" s="343"/>
      <c r="AK1179" s="343"/>
      <c r="AL1179" s="343"/>
      <c r="AM1179" s="343"/>
    </row>
    <row r="1180" spans="1:39" s="1423" customFormat="1" ht="25.5" hidden="1" customHeight="1" thickBot="1" x14ac:dyDescent="0.35">
      <c r="A1180" s="729" t="s">
        <v>312</v>
      </c>
      <c r="B1180" s="1412"/>
      <c r="C1180" s="1413"/>
      <c r="D1180" s="1414"/>
      <c r="E1180" s="1415" t="str">
        <f>Translations!$B$624</f>
        <v>Име на продукта или „топлофикационна мрежа“</v>
      </c>
      <c r="F1180" s="1416" t="str">
        <f>EUconst_Unit</f>
        <v>Единица мярка</v>
      </c>
      <c r="G1180" s="1419" t="str">
        <f>Translations!$B$1336</f>
        <v>Стойност в НМИ</v>
      </c>
      <c r="H1180" s="1418">
        <f t="shared" ref="H1180:N1180" si="1790">H$1840</f>
        <v>2024</v>
      </c>
      <c r="I1180" s="1419">
        <f t="shared" si="1790"/>
        <v>2025</v>
      </c>
      <c r="J1180" s="1418">
        <f t="shared" si="1790"/>
        <v>2026</v>
      </c>
      <c r="K1180" s="1420">
        <f t="shared" si="1790"/>
        <v>2027</v>
      </c>
      <c r="L1180" s="1420">
        <f t="shared" si="1790"/>
        <v>2028</v>
      </c>
      <c r="M1180" s="1420">
        <f t="shared" si="1790"/>
        <v>2029</v>
      </c>
      <c r="N1180" s="1420">
        <f t="shared" si="1790"/>
        <v>2030</v>
      </c>
      <c r="O1180" s="302"/>
      <c r="P1180" s="295"/>
      <c r="Q1180" s="1421"/>
      <c r="R1180" s="1421"/>
      <c r="S1180" s="770" t="str">
        <f>Translations!$B$1341</f>
        <v>Базова стойност</v>
      </c>
      <c r="T1180" s="1421">
        <f t="shared" ref="T1180" si="1791">H1180</f>
        <v>2024</v>
      </c>
      <c r="U1180" s="1421">
        <f t="shared" ref="U1180" si="1792">I1180</f>
        <v>2025</v>
      </c>
      <c r="V1180" s="1421">
        <f t="shared" ref="V1180" si="1793">J1180</f>
        <v>2026</v>
      </c>
      <c r="W1180" s="1421">
        <f t="shared" ref="W1180" si="1794">K1180</f>
        <v>2027</v>
      </c>
      <c r="X1180" s="1421">
        <f t="shared" ref="X1180" si="1795">L1180</f>
        <v>2028</v>
      </c>
      <c r="Y1180" s="1421">
        <f t="shared" ref="Y1180" si="1796">M1180</f>
        <v>2029</v>
      </c>
      <c r="Z1180" s="1421">
        <f t="shared" ref="Z1180" si="1797">N1180</f>
        <v>2030</v>
      </c>
      <c r="AA1180" s="1421"/>
      <c r="AB1180" s="770" t="str">
        <f>Translations!$B$1284</f>
        <v>HAL</v>
      </c>
      <c r="AC1180" s="1421">
        <f t="shared" ref="AC1180" si="1798">H1180</f>
        <v>2024</v>
      </c>
      <c r="AD1180" s="1421">
        <f t="shared" ref="AD1180" si="1799">I1180</f>
        <v>2025</v>
      </c>
      <c r="AE1180" s="1421">
        <f t="shared" ref="AE1180" si="1800">J1180</f>
        <v>2026</v>
      </c>
      <c r="AF1180" s="1421">
        <f t="shared" ref="AF1180" si="1801">K1180</f>
        <v>2027</v>
      </c>
      <c r="AG1180" s="1421">
        <f t="shared" ref="AG1180" si="1802">L1180</f>
        <v>2028</v>
      </c>
      <c r="AH1180" s="1422">
        <f t="shared" ref="AH1180" si="1803">M1180</f>
        <v>2029</v>
      </c>
      <c r="AI1180" s="1422">
        <f t="shared" ref="AI1180" si="1804">N1180</f>
        <v>2030</v>
      </c>
      <c r="AJ1180" s="1422"/>
      <c r="AK1180" s="1422"/>
      <c r="AL1180" s="1422"/>
      <c r="AM1180" s="1422"/>
    </row>
    <row r="1181" spans="1:39" ht="12.75" hidden="1" customHeight="1" x14ac:dyDescent="0.25">
      <c r="A1181" s="729" t="s">
        <v>312</v>
      </c>
      <c r="B1181" s="698"/>
      <c r="C1181" s="2906" t="str">
        <f>Translations!$B$1544</f>
        <v>ОБЩО</v>
      </c>
      <c r="D1181" s="981">
        <v>1</v>
      </c>
      <c r="E1181" s="1424" t="str">
        <f t="shared" ref="E1181:E1190" si="1805">E1165</f>
        <v/>
      </c>
      <c r="F1181" s="1259" t="str">
        <f t="shared" ref="F1181:F1192" si="1806">EUconst_TJ</f>
        <v>TJ</v>
      </c>
      <c r="G1181" s="1465" t="str">
        <f>IF(OR($E1181="",AB1181=0),"",SUM(G1147,G1165))</f>
        <v/>
      </c>
      <c r="H1181" s="1466" t="str">
        <f t="shared" ref="H1181:H1190" si="1807">IF(OR($E1181="",AC1181=0),"",SUM(H1147,H1165))</f>
        <v/>
      </c>
      <c r="I1181" s="1467" t="str">
        <f t="shared" ref="I1181:I1190" si="1808">IF(OR($E1181="",AD1181=0),"",SUM(I1147,I1165))</f>
        <v/>
      </c>
      <c r="J1181" s="1466" t="str">
        <f t="shared" ref="J1181:J1190" si="1809">IF(OR($E1181="",AE1181=0),"",SUM(J1147,J1165))</f>
        <v/>
      </c>
      <c r="K1181" s="1126" t="str">
        <f t="shared" ref="K1181:K1190" si="1810">IF(OR($E1181="",AF1181=0),"",SUM(K1147,K1165))</f>
        <v/>
      </c>
      <c r="L1181" s="1126" t="str">
        <f t="shared" ref="L1181:L1190" si="1811">IF(OR($E1181="",AG1181=0),"",SUM(L1147,L1165))</f>
        <v/>
      </c>
      <c r="M1181" s="1126" t="str">
        <f t="shared" ref="M1181:M1190" si="1812">IF(OR($E1181="",AH1181=0),"",SUM(M1147,M1165))</f>
        <v/>
      </c>
      <c r="N1181" s="1126" t="str">
        <f t="shared" ref="N1181:N1190" si="1813">IF(OR($E1181="",AI1181=0),"",SUM(N1147,N1165))</f>
        <v/>
      </c>
      <c r="O1181" s="302"/>
      <c r="P1181" s="158"/>
      <c r="Q1181" s="694"/>
      <c r="R1181" s="694"/>
      <c r="S1181" s="1443" t="str">
        <f>IF($M1076&lt;&gt;EUconst_Relevant,"",
IF($V1076&gt;($J$1840-3),
              IF(INDEX(H1128:N1128,MATCH($V1076,$T1180:$Z1180,0))=0,0,INDEX(H1181:N1181,MATCH($V1076,$T1180:$Z1180,0))/INDEX(H1128:N1128,MATCH($V1076,$T1180:$Z1180,0))),
                             IF(ISNUMBER(G1128),
                                            IF(OR(G1128=0,$S1112=FALSE),0,G1181/G1128),"")))</f>
        <v/>
      </c>
      <c r="T1181" s="1444" t="str">
        <f>IF($E1181="","",IF(IFERROR(SUM($S1181)=0,SUM(H1181)),SUM(H1181),SUM(H1128)*SUM($S1181))*IF(SUM(H1181)=0,1,SUM(H1147)/SUM(H1181)))</f>
        <v/>
      </c>
      <c r="U1181" s="1444" t="str">
        <f t="shared" ref="U1181" si="1814">IF($E1181="","",IF(IFERROR(SUM($S1181)=0,SUM(I1181)),SUM(I1181),SUM(I1128)*SUM($S1181))*IF(SUM(I1181)=0,1,SUM(I1147)/SUM(I1181)))</f>
        <v/>
      </c>
      <c r="V1181" s="1444" t="str">
        <f t="shared" ref="V1181:V1190" si="1815">IF($E1181="","",IF(IFERROR(SUM($S1181)=0,SUM(J1181)),SUM(J1181),SUM(J1128)*SUM($S1181))*IF(SUM(J1181)=0,1,SUM(J1147)/SUM(J1181)))</f>
        <v/>
      </c>
      <c r="W1181" s="1444" t="str">
        <f t="shared" ref="W1181:W1190" si="1816">IF($E1181="","",IF(IFERROR(SUM($S1181)=0,SUM(K1181)),SUM(K1181),SUM(K1128)*SUM($S1181))*IF(SUM(K1181)=0,1,SUM(K1147)/SUM(K1181)))</f>
        <v/>
      </c>
      <c r="X1181" s="1444" t="str">
        <f t="shared" ref="X1181:X1190" si="1817">IF($E1181="","",IF(IFERROR(SUM($S1181)=0,SUM(L1181)),SUM(L1181),SUM(L1128)*SUM($S1181))*IF(SUM(L1181)=0,1,SUM(L1147)/SUM(L1181)))</f>
        <v/>
      </c>
      <c r="Y1181" s="1444" t="str">
        <f t="shared" ref="Y1181:Y1190" si="1818">IF($E1181="","",IF(IFERROR(SUM($S1181)=0,SUM(M1181)),SUM(M1181),SUM(M1128)*SUM($S1181))*IF(SUM(M1181)=0,1,SUM(M1147)/SUM(M1181)))</f>
        <v/>
      </c>
      <c r="Z1181" s="1445" t="str">
        <f t="shared" ref="Z1181:Z1190" si="1819">IF($E1181="","",IF(IFERROR(SUM($S1181)=0,SUM(N1181)),SUM(N1181),SUM(N1128)*SUM($S1181))*IF(SUM(N1181)=0,1,SUM(N1147)/SUM(N1181)))</f>
        <v/>
      </c>
      <c r="AA1181" s="1446" t="s">
        <v>1757</v>
      </c>
      <c r="AB1181" s="1447">
        <f t="shared" ref="AB1181:AI1181" si="1820">AB1165</f>
        <v>2</v>
      </c>
      <c r="AC1181" s="1427">
        <f t="shared" si="1820"/>
        <v>2</v>
      </c>
      <c r="AD1181" s="1427">
        <f t="shared" si="1820"/>
        <v>2</v>
      </c>
      <c r="AE1181" s="1427">
        <f t="shared" si="1820"/>
        <v>2</v>
      </c>
      <c r="AF1181" s="1427">
        <f t="shared" si="1820"/>
        <v>2</v>
      </c>
      <c r="AG1181" s="1427">
        <f t="shared" si="1820"/>
        <v>2</v>
      </c>
      <c r="AH1181" s="1428">
        <f t="shared" si="1820"/>
        <v>2</v>
      </c>
      <c r="AI1181" s="1429">
        <f t="shared" si="1820"/>
        <v>2</v>
      </c>
      <c r="AJ1181" s="343"/>
      <c r="AK1181" s="1174" t="s">
        <v>2039</v>
      </c>
      <c r="AL1181" s="1176" t="str">
        <f>IF(AND(CNTR_ExistSubInstEntries,COUNTIFS(AB1181:AI1181,2,G1181:N1181,"")&gt;0),EUconst_Error&amp;"FB"&amp;Q1110,"")</f>
        <v/>
      </c>
      <c r="AM1181" s="343"/>
    </row>
    <row r="1182" spans="1:39" ht="12.75" hidden="1" customHeight="1" x14ac:dyDescent="0.25">
      <c r="A1182" s="729" t="s">
        <v>312</v>
      </c>
      <c r="B1182" s="698"/>
      <c r="C1182" s="2906"/>
      <c r="D1182" s="990">
        <v>2</v>
      </c>
      <c r="E1182" s="1430" t="str">
        <f t="shared" si="1805"/>
        <v/>
      </c>
      <c r="F1182" s="1448" t="str">
        <f t="shared" si="1806"/>
        <v>TJ</v>
      </c>
      <c r="G1182" s="1468" t="str">
        <f t="shared" ref="G1182:G1190" si="1821">IF(OR($E1182="",AB1182=0),"",SUM(G1148,G1166))</f>
        <v/>
      </c>
      <c r="H1182" s="1469" t="str">
        <f t="shared" si="1807"/>
        <v/>
      </c>
      <c r="I1182" s="1470" t="str">
        <f t="shared" si="1808"/>
        <v/>
      </c>
      <c r="J1182" s="1469" t="str">
        <f t="shared" si="1809"/>
        <v/>
      </c>
      <c r="K1182" s="1127" t="str">
        <f t="shared" si="1810"/>
        <v/>
      </c>
      <c r="L1182" s="1127" t="str">
        <f t="shared" si="1811"/>
        <v/>
      </c>
      <c r="M1182" s="1127" t="str">
        <f t="shared" si="1812"/>
        <v/>
      </c>
      <c r="N1182" s="1127" t="str">
        <f t="shared" si="1813"/>
        <v/>
      </c>
      <c r="O1182" s="302"/>
      <c r="P1182" s="158"/>
      <c r="Q1182" s="694"/>
      <c r="R1182" s="694"/>
      <c r="S1182" s="1449" t="str">
        <f>IF($M1076&lt;&gt;EUconst_Relevant,"",
IF($V1076&gt;($J$1840-3),
              IF(INDEX(H1129:N1129,MATCH($V1076,$T1180:$Z1180,0))=0,0,INDEX(H1182:N1182,MATCH($V1076,$T1180:$Z1180,0))/INDEX(H1129:N1129,MATCH($V1076,$T1180:$Z1180,0))),
                             IF(ISNUMBER(G1129),
                                            IF(OR(G1129=0,$S1113=FALSE),0,G1182/G1129),"")))</f>
        <v/>
      </c>
      <c r="T1182" s="1450" t="str">
        <f t="shared" ref="T1182" si="1822">IF($E1182="","",IF(IFERROR(SUM($S1182)=0,SUM(H1182)),SUM(H1182),SUM(H1129)*SUM($S1182))*IF(SUM(H1182)=0,1,SUM(H1148)/SUM(H1182)))</f>
        <v/>
      </c>
      <c r="U1182" s="1450" t="str">
        <f t="shared" ref="U1182:U1190" si="1823">IF($E1182="","",IF(IFERROR(SUM($S1182)=0,SUM(I1182)),SUM(I1182),SUM(I1129)*SUM($S1182))*IF(SUM(I1182)=0,1,SUM(I1148)/SUM(I1182)))</f>
        <v/>
      </c>
      <c r="V1182" s="1450" t="str">
        <f t="shared" si="1815"/>
        <v/>
      </c>
      <c r="W1182" s="1450" t="str">
        <f t="shared" si="1816"/>
        <v/>
      </c>
      <c r="X1182" s="1450" t="str">
        <f t="shared" si="1817"/>
        <v/>
      </c>
      <c r="Y1182" s="1450" t="str">
        <f t="shared" si="1818"/>
        <v/>
      </c>
      <c r="Z1182" s="1451" t="str">
        <f t="shared" si="1819"/>
        <v/>
      </c>
      <c r="AA1182" s="694"/>
      <c r="AB1182" s="1431">
        <f t="shared" ref="AB1182:AI1182" si="1824">AB1166</f>
        <v>2</v>
      </c>
      <c r="AC1182" s="1432">
        <f t="shared" si="1824"/>
        <v>2</v>
      </c>
      <c r="AD1182" s="1432">
        <f t="shared" si="1824"/>
        <v>2</v>
      </c>
      <c r="AE1182" s="1432">
        <f t="shared" si="1824"/>
        <v>2</v>
      </c>
      <c r="AF1182" s="1432">
        <f t="shared" si="1824"/>
        <v>2</v>
      </c>
      <c r="AG1182" s="1432">
        <f t="shared" si="1824"/>
        <v>2</v>
      </c>
      <c r="AH1182" s="1432">
        <f t="shared" si="1824"/>
        <v>2</v>
      </c>
      <c r="AI1182" s="1452">
        <f t="shared" si="1824"/>
        <v>2</v>
      </c>
      <c r="AJ1182" s="343"/>
      <c r="AK1182" s="1174" t="s">
        <v>2039</v>
      </c>
      <c r="AL1182" s="1176" t="str">
        <f>IF(AND(CNTR_ExistSubInstEntries,COUNTIFS(AB1182:AI1182,2,G1182:N1182,"")&gt;0),EUconst_Error&amp;"FB"&amp;Q1110,"")</f>
        <v/>
      </c>
      <c r="AM1182" s="343"/>
    </row>
    <row r="1183" spans="1:39" ht="12.75" hidden="1" customHeight="1" x14ac:dyDescent="0.25">
      <c r="A1183" s="729" t="s">
        <v>312</v>
      </c>
      <c r="B1183" s="698"/>
      <c r="C1183" s="2906"/>
      <c r="D1183" s="990">
        <v>3</v>
      </c>
      <c r="E1183" s="1430" t="str">
        <f t="shared" si="1805"/>
        <v/>
      </c>
      <c r="F1183" s="1448" t="str">
        <f t="shared" si="1806"/>
        <v>TJ</v>
      </c>
      <c r="G1183" s="1470" t="str">
        <f t="shared" si="1821"/>
        <v/>
      </c>
      <c r="H1183" s="1469" t="str">
        <f t="shared" si="1807"/>
        <v/>
      </c>
      <c r="I1183" s="1470" t="str">
        <f t="shared" si="1808"/>
        <v/>
      </c>
      <c r="J1183" s="1469" t="str">
        <f t="shared" si="1809"/>
        <v/>
      </c>
      <c r="K1183" s="1127" t="str">
        <f t="shared" si="1810"/>
        <v/>
      </c>
      <c r="L1183" s="1127" t="str">
        <f t="shared" si="1811"/>
        <v/>
      </c>
      <c r="M1183" s="1127" t="str">
        <f t="shared" si="1812"/>
        <v/>
      </c>
      <c r="N1183" s="1127" t="str">
        <f t="shared" si="1813"/>
        <v/>
      </c>
      <c r="O1183" s="302"/>
      <c r="P1183" s="158"/>
      <c r="Q1183" s="694"/>
      <c r="R1183" s="694"/>
      <c r="S1183" s="1449" t="str">
        <f>IF($M1076&lt;&gt;EUconst_Relevant,"",
IF($V1076&gt;($J$1840-3),
              IF(INDEX(H1130:N1130,MATCH($V1076,$T1180:$Z1180,0))=0,0,INDEX(H1183:N1183,MATCH($V1076,$T1180:$Z1180,0))/INDEX(H1130:N1130,MATCH($V1076,$T1180:$Z1180,0))),
                             IF(ISNUMBER(G1130),
                                            IF(OR(G1130=0,$S1114=FALSE),0,G1183/G1130),"")))</f>
        <v/>
      </c>
      <c r="T1183" s="1450" t="str">
        <f t="shared" ref="T1183" si="1825">IF($E1183="","",IF(IFERROR(SUM($S1183)=0,SUM(H1183)),SUM(H1183),SUM(H1130)*SUM($S1183))*IF(SUM(H1183)=0,1,SUM(H1149)/SUM(H1183)))</f>
        <v/>
      </c>
      <c r="U1183" s="1450" t="str">
        <f t="shared" si="1823"/>
        <v/>
      </c>
      <c r="V1183" s="1450" t="str">
        <f t="shared" si="1815"/>
        <v/>
      </c>
      <c r="W1183" s="1450" t="str">
        <f t="shared" si="1816"/>
        <v/>
      </c>
      <c r="X1183" s="1450" t="str">
        <f t="shared" si="1817"/>
        <v/>
      </c>
      <c r="Y1183" s="1450" t="str">
        <f t="shared" si="1818"/>
        <v/>
      </c>
      <c r="Z1183" s="1451" t="str">
        <f t="shared" si="1819"/>
        <v/>
      </c>
      <c r="AA1183" s="694"/>
      <c r="AB1183" s="1431">
        <f t="shared" ref="AB1183:AI1183" si="1826">AB1167</f>
        <v>2</v>
      </c>
      <c r="AC1183" s="1432">
        <f t="shared" si="1826"/>
        <v>2</v>
      </c>
      <c r="AD1183" s="1432">
        <f t="shared" si="1826"/>
        <v>2</v>
      </c>
      <c r="AE1183" s="1432">
        <f t="shared" si="1826"/>
        <v>2</v>
      </c>
      <c r="AF1183" s="1432">
        <f t="shared" si="1826"/>
        <v>2</v>
      </c>
      <c r="AG1183" s="1432">
        <f t="shared" si="1826"/>
        <v>2</v>
      </c>
      <c r="AH1183" s="1432">
        <f t="shared" si="1826"/>
        <v>2</v>
      </c>
      <c r="AI1183" s="1452">
        <f t="shared" si="1826"/>
        <v>2</v>
      </c>
      <c r="AJ1183" s="343"/>
      <c r="AK1183" s="1174" t="s">
        <v>2039</v>
      </c>
      <c r="AL1183" s="1176" t="str">
        <f>IF(AND(CNTR_ExistSubInstEntries,COUNTIFS(AB1183:AI1183,2,G1183:N1183,"")&gt;0),EUconst_Error&amp;"FB"&amp;Q1110,"")</f>
        <v/>
      </c>
      <c r="AM1183" s="343"/>
    </row>
    <row r="1184" spans="1:39" ht="12.75" hidden="1" customHeight="1" x14ac:dyDescent="0.25">
      <c r="A1184" s="729" t="s">
        <v>312</v>
      </c>
      <c r="B1184" s="698"/>
      <c r="C1184" s="2906"/>
      <c r="D1184" s="990">
        <v>4</v>
      </c>
      <c r="E1184" s="1430" t="str">
        <f t="shared" si="1805"/>
        <v/>
      </c>
      <c r="F1184" s="1448" t="str">
        <f t="shared" si="1806"/>
        <v>TJ</v>
      </c>
      <c r="G1184" s="1470" t="str">
        <f t="shared" si="1821"/>
        <v/>
      </c>
      <c r="H1184" s="1469" t="str">
        <f t="shared" si="1807"/>
        <v/>
      </c>
      <c r="I1184" s="1470" t="str">
        <f t="shared" si="1808"/>
        <v/>
      </c>
      <c r="J1184" s="1469" t="str">
        <f t="shared" si="1809"/>
        <v/>
      </c>
      <c r="K1184" s="1127" t="str">
        <f t="shared" si="1810"/>
        <v/>
      </c>
      <c r="L1184" s="1127" t="str">
        <f t="shared" si="1811"/>
        <v/>
      </c>
      <c r="M1184" s="1127" t="str">
        <f t="shared" si="1812"/>
        <v/>
      </c>
      <c r="N1184" s="1127" t="str">
        <f t="shared" si="1813"/>
        <v/>
      </c>
      <c r="O1184" s="302"/>
      <c r="P1184" s="158"/>
      <c r="Q1184" s="694"/>
      <c r="R1184" s="694"/>
      <c r="S1184" s="1449" t="str">
        <f>IF($M1076&lt;&gt;EUconst_Relevant,"",
IF($V1076&gt;($J$1840-3),
              IF(INDEX(H1131:N1131,MATCH($V1076,$T1180:$Z1180,0))=0,0,INDEX(H1184:N1184,MATCH($V1076,$T1180:$Z1180,0))/INDEX(H1131:N1131,MATCH($V1076,$T1180:$Z1180,0))),
                             IF(ISNUMBER(G1131),
                                            IF(OR(G1131=0,$S1115=FALSE),0,G1184/G1131),"")))</f>
        <v/>
      </c>
      <c r="T1184" s="1450" t="str">
        <f t="shared" ref="T1184" si="1827">IF($E1184="","",IF(IFERROR(SUM($S1184)=0,SUM(H1184)),SUM(H1184),SUM(H1131)*SUM($S1184))*IF(SUM(H1184)=0,1,SUM(H1150)/SUM(H1184)))</f>
        <v/>
      </c>
      <c r="U1184" s="1450" t="str">
        <f t="shared" si="1823"/>
        <v/>
      </c>
      <c r="V1184" s="1450" t="str">
        <f t="shared" si="1815"/>
        <v/>
      </c>
      <c r="W1184" s="1450" t="str">
        <f t="shared" si="1816"/>
        <v/>
      </c>
      <c r="X1184" s="1450" t="str">
        <f t="shared" si="1817"/>
        <v/>
      </c>
      <c r="Y1184" s="1450" t="str">
        <f t="shared" si="1818"/>
        <v/>
      </c>
      <c r="Z1184" s="1451" t="str">
        <f t="shared" si="1819"/>
        <v/>
      </c>
      <c r="AA1184" s="694"/>
      <c r="AB1184" s="1431">
        <f t="shared" ref="AB1184:AI1184" si="1828">AB1168</f>
        <v>2</v>
      </c>
      <c r="AC1184" s="1432">
        <f t="shared" si="1828"/>
        <v>2</v>
      </c>
      <c r="AD1184" s="1432">
        <f t="shared" si="1828"/>
        <v>2</v>
      </c>
      <c r="AE1184" s="1432">
        <f t="shared" si="1828"/>
        <v>2</v>
      </c>
      <c r="AF1184" s="1432">
        <f t="shared" si="1828"/>
        <v>2</v>
      </c>
      <c r="AG1184" s="1432">
        <f t="shared" si="1828"/>
        <v>2</v>
      </c>
      <c r="AH1184" s="1432">
        <f t="shared" si="1828"/>
        <v>2</v>
      </c>
      <c r="AI1184" s="1452">
        <f t="shared" si="1828"/>
        <v>2</v>
      </c>
      <c r="AJ1184" s="343"/>
      <c r="AK1184" s="1174" t="s">
        <v>2039</v>
      </c>
      <c r="AL1184" s="1176" t="str">
        <f>IF(AND(CNTR_ExistSubInstEntries,COUNTIFS(AB1184:AI1184,2,G1184:N1184,"")&gt;0),EUconst_Error&amp;"FB"&amp;Q1110,"")</f>
        <v/>
      </c>
      <c r="AM1184" s="343"/>
    </row>
    <row r="1185" spans="1:39" ht="12.75" hidden="1" customHeight="1" x14ac:dyDescent="0.25">
      <c r="A1185" s="729" t="s">
        <v>312</v>
      </c>
      <c r="B1185" s="698"/>
      <c r="C1185" s="2906"/>
      <c r="D1185" s="990">
        <v>5</v>
      </c>
      <c r="E1185" s="1430" t="str">
        <f t="shared" si="1805"/>
        <v/>
      </c>
      <c r="F1185" s="1448" t="str">
        <f t="shared" si="1806"/>
        <v>TJ</v>
      </c>
      <c r="G1185" s="1470" t="str">
        <f t="shared" si="1821"/>
        <v/>
      </c>
      <c r="H1185" s="1469" t="str">
        <f t="shared" si="1807"/>
        <v/>
      </c>
      <c r="I1185" s="1470" t="str">
        <f t="shared" si="1808"/>
        <v/>
      </c>
      <c r="J1185" s="1469" t="str">
        <f t="shared" si="1809"/>
        <v/>
      </c>
      <c r="K1185" s="1127" t="str">
        <f t="shared" si="1810"/>
        <v/>
      </c>
      <c r="L1185" s="1127" t="str">
        <f t="shared" si="1811"/>
        <v/>
      </c>
      <c r="M1185" s="1127" t="str">
        <f t="shared" si="1812"/>
        <v/>
      </c>
      <c r="N1185" s="1127" t="str">
        <f t="shared" si="1813"/>
        <v/>
      </c>
      <c r="O1185" s="302"/>
      <c r="P1185" s="158"/>
      <c r="Q1185" s="694"/>
      <c r="R1185" s="694"/>
      <c r="S1185" s="1449" t="str">
        <f>IF($M1076&lt;&gt;EUconst_Relevant,"",
IF($V1076&gt;($J$1840-3),
              IF(INDEX(H1132:N1132,MATCH($V1076,$T1180:$Z1180,0))=0,0,INDEX(H1185:N1185,MATCH($V1076,$T1180:$Z1180,0))/INDEX(H1132:N1132,MATCH($V1076,$T1180:$Z1180,0))),
                             IF(ISNUMBER(G1132),
                                            IF(OR(G1132=0,$S1116=FALSE),0,G1185/G1132),"")))</f>
        <v/>
      </c>
      <c r="T1185" s="1450" t="str">
        <f t="shared" ref="T1185" si="1829">IF($E1185="","",IF(IFERROR(SUM($S1185)=0,SUM(H1185)),SUM(H1185),SUM(H1132)*SUM($S1185))*IF(SUM(H1185)=0,1,SUM(H1151)/SUM(H1185)))</f>
        <v/>
      </c>
      <c r="U1185" s="1450" t="str">
        <f t="shared" si="1823"/>
        <v/>
      </c>
      <c r="V1185" s="1450" t="str">
        <f t="shared" si="1815"/>
        <v/>
      </c>
      <c r="W1185" s="1450" t="str">
        <f t="shared" si="1816"/>
        <v/>
      </c>
      <c r="X1185" s="1450" t="str">
        <f t="shared" si="1817"/>
        <v/>
      </c>
      <c r="Y1185" s="1450" t="str">
        <f t="shared" si="1818"/>
        <v/>
      </c>
      <c r="Z1185" s="1451" t="str">
        <f t="shared" si="1819"/>
        <v/>
      </c>
      <c r="AA1185" s="694"/>
      <c r="AB1185" s="1431">
        <f t="shared" ref="AB1185:AI1185" si="1830">AB1169</f>
        <v>2</v>
      </c>
      <c r="AC1185" s="1432">
        <f t="shared" si="1830"/>
        <v>2</v>
      </c>
      <c r="AD1185" s="1432">
        <f t="shared" si="1830"/>
        <v>2</v>
      </c>
      <c r="AE1185" s="1432">
        <f t="shared" si="1830"/>
        <v>2</v>
      </c>
      <c r="AF1185" s="1432">
        <f t="shared" si="1830"/>
        <v>2</v>
      </c>
      <c r="AG1185" s="1432">
        <f t="shared" si="1830"/>
        <v>2</v>
      </c>
      <c r="AH1185" s="1432">
        <f t="shared" si="1830"/>
        <v>2</v>
      </c>
      <c r="AI1185" s="1452">
        <f t="shared" si="1830"/>
        <v>2</v>
      </c>
      <c r="AJ1185" s="343"/>
      <c r="AK1185" s="1174" t="s">
        <v>2039</v>
      </c>
      <c r="AL1185" s="1176" t="str">
        <f>IF(AND(CNTR_ExistSubInstEntries,COUNTIFS(AB1185:AI1185,2,G1185:N1185,"")&gt;0),EUconst_Error&amp;"FB"&amp;Q1110,"")</f>
        <v/>
      </c>
      <c r="AM1185" s="343"/>
    </row>
    <row r="1186" spans="1:39" ht="12.75" hidden="1" customHeight="1" x14ac:dyDescent="0.25">
      <c r="A1186" s="729" t="s">
        <v>312</v>
      </c>
      <c r="B1186" s="698"/>
      <c r="C1186" s="2906"/>
      <c r="D1186" s="990">
        <v>6</v>
      </c>
      <c r="E1186" s="1430" t="str">
        <f t="shared" si="1805"/>
        <v/>
      </c>
      <c r="F1186" s="1448" t="str">
        <f t="shared" si="1806"/>
        <v>TJ</v>
      </c>
      <c r="G1186" s="1470" t="str">
        <f t="shared" si="1821"/>
        <v/>
      </c>
      <c r="H1186" s="1469" t="str">
        <f t="shared" si="1807"/>
        <v/>
      </c>
      <c r="I1186" s="1470" t="str">
        <f t="shared" si="1808"/>
        <v/>
      </c>
      <c r="J1186" s="1469" t="str">
        <f t="shared" si="1809"/>
        <v/>
      </c>
      <c r="K1186" s="1127" t="str">
        <f t="shared" si="1810"/>
        <v/>
      </c>
      <c r="L1186" s="1127" t="str">
        <f t="shared" si="1811"/>
        <v/>
      </c>
      <c r="M1186" s="1127" t="str">
        <f t="shared" si="1812"/>
        <v/>
      </c>
      <c r="N1186" s="1127" t="str">
        <f t="shared" si="1813"/>
        <v/>
      </c>
      <c r="O1186" s="302"/>
      <c r="P1186" s="158"/>
      <c r="Q1186" s="694"/>
      <c r="R1186" s="694"/>
      <c r="S1186" s="1449" t="str">
        <f>IF($M1076&lt;&gt;EUconst_Relevant,"",
IF($V1076&gt;($J$1840-3),
              IF(INDEX(H1133:N1133,MATCH($V1076,$T1180:$Z1180,0))=0,0,INDEX(H1186:N1186,MATCH($V1076,$T1180:$Z1180,0))/INDEX(H1133:N1133,MATCH($V1076,$T1180:$Z1180,0))),
                             IF(ISNUMBER(G1133),
                                            IF(OR(G1133=0,$S1117=FALSE),0,G1186/G1133),"")))</f>
        <v/>
      </c>
      <c r="T1186" s="1450" t="str">
        <f t="shared" ref="T1186" si="1831">IF($E1186="","",IF(IFERROR(SUM($S1186)=0,SUM(H1186)),SUM(H1186),SUM(H1133)*SUM($S1186))*IF(SUM(H1186)=0,1,SUM(H1152)/SUM(H1186)))</f>
        <v/>
      </c>
      <c r="U1186" s="1450" t="str">
        <f t="shared" si="1823"/>
        <v/>
      </c>
      <c r="V1186" s="1450" t="str">
        <f t="shared" si="1815"/>
        <v/>
      </c>
      <c r="W1186" s="1450" t="str">
        <f t="shared" si="1816"/>
        <v/>
      </c>
      <c r="X1186" s="1450" t="str">
        <f t="shared" si="1817"/>
        <v/>
      </c>
      <c r="Y1186" s="1450" t="str">
        <f t="shared" si="1818"/>
        <v/>
      </c>
      <c r="Z1186" s="1451" t="str">
        <f t="shared" si="1819"/>
        <v/>
      </c>
      <c r="AA1186" s="694"/>
      <c r="AB1186" s="1431">
        <f t="shared" ref="AB1186:AI1186" si="1832">AB1170</f>
        <v>2</v>
      </c>
      <c r="AC1186" s="1432">
        <f t="shared" si="1832"/>
        <v>2</v>
      </c>
      <c r="AD1186" s="1432">
        <f t="shared" si="1832"/>
        <v>2</v>
      </c>
      <c r="AE1186" s="1432">
        <f t="shared" si="1832"/>
        <v>2</v>
      </c>
      <c r="AF1186" s="1432">
        <f t="shared" si="1832"/>
        <v>2</v>
      </c>
      <c r="AG1186" s="1432">
        <f t="shared" si="1832"/>
        <v>2</v>
      </c>
      <c r="AH1186" s="1432">
        <f t="shared" si="1832"/>
        <v>2</v>
      </c>
      <c r="AI1186" s="1452">
        <f t="shared" si="1832"/>
        <v>2</v>
      </c>
      <c r="AJ1186" s="343"/>
      <c r="AK1186" s="1174" t="s">
        <v>2039</v>
      </c>
      <c r="AL1186" s="1176" t="str">
        <f>IF(AND(CNTR_ExistSubInstEntries,COUNTIFS(AB1186:AI1186,2,G1186:N1186,"")&gt;0),EUconst_Error&amp;"FB"&amp;Q1110,"")</f>
        <v/>
      </c>
      <c r="AM1186" s="343"/>
    </row>
    <row r="1187" spans="1:39" ht="12.75" hidden="1" customHeight="1" x14ac:dyDescent="0.25">
      <c r="A1187" s="729" t="s">
        <v>312</v>
      </c>
      <c r="B1187" s="698"/>
      <c r="C1187" s="2906"/>
      <c r="D1187" s="990">
        <v>7</v>
      </c>
      <c r="E1187" s="1430" t="str">
        <f t="shared" si="1805"/>
        <v/>
      </c>
      <c r="F1187" s="1448" t="str">
        <f t="shared" si="1806"/>
        <v>TJ</v>
      </c>
      <c r="G1187" s="1470" t="str">
        <f t="shared" si="1821"/>
        <v/>
      </c>
      <c r="H1187" s="1469" t="str">
        <f t="shared" si="1807"/>
        <v/>
      </c>
      <c r="I1187" s="1470" t="str">
        <f t="shared" si="1808"/>
        <v/>
      </c>
      <c r="J1187" s="1469" t="str">
        <f t="shared" si="1809"/>
        <v/>
      </c>
      <c r="K1187" s="1127" t="str">
        <f t="shared" si="1810"/>
        <v/>
      </c>
      <c r="L1187" s="1127" t="str">
        <f t="shared" si="1811"/>
        <v/>
      </c>
      <c r="M1187" s="1127" t="str">
        <f t="shared" si="1812"/>
        <v/>
      </c>
      <c r="N1187" s="1127" t="str">
        <f t="shared" si="1813"/>
        <v/>
      </c>
      <c r="O1187" s="302"/>
      <c r="P1187" s="158"/>
      <c r="Q1187" s="694"/>
      <c r="R1187" s="694"/>
      <c r="S1187" s="1449" t="str">
        <f>IF($M1076&lt;&gt;EUconst_Relevant,"",
IF($V1076&gt;($J$1840-3),
              IF(INDEX(H1134:N1134,MATCH($V1076,$T1180:$Z1180,0))=0,0,INDEX(H1187:N1187,MATCH($V1076,$T1180:$Z1180,0))/INDEX(H1134:N1134,MATCH($V1076,$T1180:$Z1180,0))),
                             IF(ISNUMBER(G1134),
                                            IF(OR(G1134=0,$S1118=FALSE),0,G1187/G1134),"")))</f>
        <v/>
      </c>
      <c r="T1187" s="1450" t="str">
        <f t="shared" ref="T1187" si="1833">IF($E1187="","",IF(IFERROR(SUM($S1187)=0,SUM(H1187)),SUM(H1187),SUM(H1134)*SUM($S1187))*IF(SUM(H1187)=0,1,SUM(H1153)/SUM(H1187)))</f>
        <v/>
      </c>
      <c r="U1187" s="1450" t="str">
        <f t="shared" si="1823"/>
        <v/>
      </c>
      <c r="V1187" s="1450" t="str">
        <f t="shared" si="1815"/>
        <v/>
      </c>
      <c r="W1187" s="1450" t="str">
        <f t="shared" si="1816"/>
        <v/>
      </c>
      <c r="X1187" s="1450" t="str">
        <f t="shared" si="1817"/>
        <v/>
      </c>
      <c r="Y1187" s="1450" t="str">
        <f t="shared" si="1818"/>
        <v/>
      </c>
      <c r="Z1187" s="1451" t="str">
        <f t="shared" si="1819"/>
        <v/>
      </c>
      <c r="AA1187" s="694"/>
      <c r="AB1187" s="1431">
        <f t="shared" ref="AB1187:AI1187" si="1834">AB1171</f>
        <v>2</v>
      </c>
      <c r="AC1187" s="1432">
        <f t="shared" si="1834"/>
        <v>2</v>
      </c>
      <c r="AD1187" s="1432">
        <f t="shared" si="1834"/>
        <v>2</v>
      </c>
      <c r="AE1187" s="1432">
        <f t="shared" si="1834"/>
        <v>2</v>
      </c>
      <c r="AF1187" s="1432">
        <f t="shared" si="1834"/>
        <v>2</v>
      </c>
      <c r="AG1187" s="1432">
        <f t="shared" si="1834"/>
        <v>2</v>
      </c>
      <c r="AH1187" s="1432">
        <f t="shared" si="1834"/>
        <v>2</v>
      </c>
      <c r="AI1187" s="1452">
        <f t="shared" si="1834"/>
        <v>2</v>
      </c>
      <c r="AJ1187" s="343"/>
      <c r="AK1187" s="1174" t="s">
        <v>2039</v>
      </c>
      <c r="AL1187" s="1176" t="str">
        <f>IF(AND(CNTR_ExistSubInstEntries,COUNTIFS(AB1187:AI1187,2,G1187:N1187,"")&gt;0),EUconst_Error&amp;"FB"&amp;Q1110,"")</f>
        <v/>
      </c>
      <c r="AM1187" s="343"/>
    </row>
    <row r="1188" spans="1:39" ht="12.75" hidden="1" customHeight="1" x14ac:dyDescent="0.25">
      <c r="A1188" s="729" t="s">
        <v>312</v>
      </c>
      <c r="B1188" s="698"/>
      <c r="C1188" s="2906"/>
      <c r="D1188" s="990">
        <v>8</v>
      </c>
      <c r="E1188" s="1430" t="str">
        <f t="shared" si="1805"/>
        <v/>
      </c>
      <c r="F1188" s="1448" t="str">
        <f t="shared" si="1806"/>
        <v>TJ</v>
      </c>
      <c r="G1188" s="1470" t="str">
        <f t="shared" si="1821"/>
        <v/>
      </c>
      <c r="H1188" s="1469" t="str">
        <f t="shared" si="1807"/>
        <v/>
      </c>
      <c r="I1188" s="1470" t="str">
        <f t="shared" si="1808"/>
        <v/>
      </c>
      <c r="J1188" s="1469" t="str">
        <f t="shared" si="1809"/>
        <v/>
      </c>
      <c r="K1188" s="1127" t="str">
        <f t="shared" si="1810"/>
        <v/>
      </c>
      <c r="L1188" s="1127" t="str">
        <f t="shared" si="1811"/>
        <v/>
      </c>
      <c r="M1188" s="1127" t="str">
        <f t="shared" si="1812"/>
        <v/>
      </c>
      <c r="N1188" s="1127" t="str">
        <f t="shared" si="1813"/>
        <v/>
      </c>
      <c r="O1188" s="302"/>
      <c r="P1188" s="158"/>
      <c r="Q1188" s="694"/>
      <c r="R1188" s="694"/>
      <c r="S1188" s="1449" t="str">
        <f>IF($M1076&lt;&gt;EUconst_Relevant,"",
IF($V1076&gt;($J$1840-3),
              IF(INDEX(H1135:N1135,MATCH($V1076,$T1180:$Z1180,0))=0,0,INDEX(H1188:N1188,MATCH($V1076,$T1180:$Z1180,0))/INDEX(H1135:N1135,MATCH($V1076,$T1180:$Z1180,0))),
                             IF(ISNUMBER(G1135),
                                            IF(OR(G1135=0,$S1119=FALSE),0,G1188/G1135),"")))</f>
        <v/>
      </c>
      <c r="T1188" s="1450" t="str">
        <f t="shared" ref="T1188" si="1835">IF($E1188="","",IF(IFERROR(SUM($S1188)=0,SUM(H1188)),SUM(H1188),SUM(H1135)*SUM($S1188))*IF(SUM(H1188)=0,1,SUM(H1154)/SUM(H1188)))</f>
        <v/>
      </c>
      <c r="U1188" s="1450" t="str">
        <f t="shared" si="1823"/>
        <v/>
      </c>
      <c r="V1188" s="1450" t="str">
        <f t="shared" si="1815"/>
        <v/>
      </c>
      <c r="W1188" s="1450" t="str">
        <f t="shared" si="1816"/>
        <v/>
      </c>
      <c r="X1188" s="1450" t="str">
        <f t="shared" si="1817"/>
        <v/>
      </c>
      <c r="Y1188" s="1450" t="str">
        <f t="shared" si="1818"/>
        <v/>
      </c>
      <c r="Z1188" s="1451" t="str">
        <f t="shared" si="1819"/>
        <v/>
      </c>
      <c r="AA1188" s="694"/>
      <c r="AB1188" s="1431">
        <f t="shared" ref="AB1188:AI1188" si="1836">AB1172</f>
        <v>2</v>
      </c>
      <c r="AC1188" s="1432">
        <f t="shared" si="1836"/>
        <v>2</v>
      </c>
      <c r="AD1188" s="1432">
        <f t="shared" si="1836"/>
        <v>2</v>
      </c>
      <c r="AE1188" s="1432">
        <f t="shared" si="1836"/>
        <v>2</v>
      </c>
      <c r="AF1188" s="1432">
        <f t="shared" si="1836"/>
        <v>2</v>
      </c>
      <c r="AG1188" s="1432">
        <f t="shared" si="1836"/>
        <v>2</v>
      </c>
      <c r="AH1188" s="1432">
        <f t="shared" si="1836"/>
        <v>2</v>
      </c>
      <c r="AI1188" s="1452">
        <f t="shared" si="1836"/>
        <v>2</v>
      </c>
      <c r="AJ1188" s="343"/>
      <c r="AK1188" s="1174" t="s">
        <v>2039</v>
      </c>
      <c r="AL1188" s="1176" t="str">
        <f>IF(AND(CNTR_ExistSubInstEntries,COUNTIFS(AB1188:AI1188,2,G1188:N1188,"")&gt;0),EUconst_Error&amp;"FB"&amp;Q1110,"")</f>
        <v/>
      </c>
      <c r="AM1188" s="343"/>
    </row>
    <row r="1189" spans="1:39" ht="12.75" hidden="1" customHeight="1" x14ac:dyDescent="0.25">
      <c r="A1189" s="729" t="s">
        <v>312</v>
      </c>
      <c r="B1189" s="698"/>
      <c r="C1189" s="2906"/>
      <c r="D1189" s="990">
        <v>9</v>
      </c>
      <c r="E1189" s="1430" t="str">
        <f t="shared" si="1805"/>
        <v/>
      </c>
      <c r="F1189" s="1448" t="str">
        <f t="shared" si="1806"/>
        <v>TJ</v>
      </c>
      <c r="G1189" s="1470" t="str">
        <f t="shared" si="1821"/>
        <v/>
      </c>
      <c r="H1189" s="1469" t="str">
        <f t="shared" si="1807"/>
        <v/>
      </c>
      <c r="I1189" s="1470" t="str">
        <f t="shared" si="1808"/>
        <v/>
      </c>
      <c r="J1189" s="1469" t="str">
        <f t="shared" si="1809"/>
        <v/>
      </c>
      <c r="K1189" s="1127" t="str">
        <f t="shared" si="1810"/>
        <v/>
      </c>
      <c r="L1189" s="1127" t="str">
        <f t="shared" si="1811"/>
        <v/>
      </c>
      <c r="M1189" s="1127" t="str">
        <f t="shared" si="1812"/>
        <v/>
      </c>
      <c r="N1189" s="1127" t="str">
        <f t="shared" si="1813"/>
        <v/>
      </c>
      <c r="O1189" s="302"/>
      <c r="P1189" s="158"/>
      <c r="Q1189" s="694"/>
      <c r="R1189" s="694"/>
      <c r="S1189" s="1449" t="str">
        <f>IF($M1076&lt;&gt;EUconst_Relevant,"",
IF($V1076&gt;($J$1840-3),
              IF(INDEX(H1136:N1136,MATCH($V1076,$T1180:$Z1180,0))=0,0,INDEX(H1189:N1189,MATCH($V1076,$T1180:$Z1180,0))/INDEX(H1136:N1136,MATCH($V1076,$T1180:$Z1180,0))),
                             IF(ISNUMBER(G1136),
                                            IF(OR(G1136=0,$S1120=FALSE),0,G1189/G1136),"")))</f>
        <v/>
      </c>
      <c r="T1189" s="1450" t="str">
        <f t="shared" ref="T1189" si="1837">IF($E1189="","",IF(IFERROR(SUM($S1189)=0,SUM(H1189)),SUM(H1189),SUM(H1136)*SUM($S1189))*IF(SUM(H1189)=0,1,SUM(H1155)/SUM(H1189)))</f>
        <v/>
      </c>
      <c r="U1189" s="1450" t="str">
        <f t="shared" si="1823"/>
        <v/>
      </c>
      <c r="V1189" s="1450" t="str">
        <f t="shared" si="1815"/>
        <v/>
      </c>
      <c r="W1189" s="1450" t="str">
        <f t="shared" si="1816"/>
        <v/>
      </c>
      <c r="X1189" s="1450" t="str">
        <f t="shared" si="1817"/>
        <v/>
      </c>
      <c r="Y1189" s="1450" t="str">
        <f t="shared" si="1818"/>
        <v/>
      </c>
      <c r="Z1189" s="1451" t="str">
        <f t="shared" si="1819"/>
        <v/>
      </c>
      <c r="AA1189" s="694"/>
      <c r="AB1189" s="1431">
        <f t="shared" ref="AB1189:AI1189" si="1838">AB1173</f>
        <v>2</v>
      </c>
      <c r="AC1189" s="1432">
        <f t="shared" si="1838"/>
        <v>2</v>
      </c>
      <c r="AD1189" s="1432">
        <f t="shared" si="1838"/>
        <v>2</v>
      </c>
      <c r="AE1189" s="1432">
        <f t="shared" si="1838"/>
        <v>2</v>
      </c>
      <c r="AF1189" s="1432">
        <f t="shared" si="1838"/>
        <v>2</v>
      </c>
      <c r="AG1189" s="1432">
        <f t="shared" si="1838"/>
        <v>2</v>
      </c>
      <c r="AH1189" s="1432">
        <f t="shared" si="1838"/>
        <v>2</v>
      </c>
      <c r="AI1189" s="1452">
        <f t="shared" si="1838"/>
        <v>2</v>
      </c>
      <c r="AJ1189" s="343"/>
      <c r="AK1189" s="1174" t="s">
        <v>2039</v>
      </c>
      <c r="AL1189" s="1176" t="str">
        <f>IF(AND(CNTR_ExistSubInstEntries,COUNTIFS(AB1189:AI1189,2,G1189:N1189,"")&gt;0),EUconst_Error&amp;"FB"&amp;Q1110,"")</f>
        <v/>
      </c>
      <c r="AM1189" s="343"/>
    </row>
    <row r="1190" spans="1:39" ht="12.75" hidden="1" customHeight="1" thickBot="1" x14ac:dyDescent="0.3">
      <c r="A1190" s="729" t="s">
        <v>312</v>
      </c>
      <c r="B1190" s="698"/>
      <c r="C1190" s="2906"/>
      <c r="D1190" s="994">
        <v>10</v>
      </c>
      <c r="E1190" s="1435" t="str">
        <f t="shared" si="1805"/>
        <v/>
      </c>
      <c r="F1190" s="1453" t="str">
        <f t="shared" si="1806"/>
        <v>TJ</v>
      </c>
      <c r="G1190" s="1471" t="str">
        <f t="shared" si="1821"/>
        <v/>
      </c>
      <c r="H1190" s="1472" t="str">
        <f t="shared" si="1807"/>
        <v/>
      </c>
      <c r="I1190" s="1471" t="str">
        <f t="shared" si="1808"/>
        <v/>
      </c>
      <c r="J1190" s="1472" t="str">
        <f t="shared" si="1809"/>
        <v/>
      </c>
      <c r="K1190" s="1128" t="str">
        <f t="shared" si="1810"/>
        <v/>
      </c>
      <c r="L1190" s="1128" t="str">
        <f t="shared" si="1811"/>
        <v/>
      </c>
      <c r="M1190" s="1128" t="str">
        <f t="shared" si="1812"/>
        <v/>
      </c>
      <c r="N1190" s="1128" t="str">
        <f t="shared" si="1813"/>
        <v/>
      </c>
      <c r="O1190" s="302"/>
      <c r="P1190" s="158"/>
      <c r="Q1190" s="694"/>
      <c r="R1190" s="694"/>
      <c r="S1190" s="1454" t="str">
        <f>IF($M1076&lt;&gt;EUconst_Relevant,"",
IF($V1076&gt;($J$1840-3),
              IF(INDEX(H1137:N1137,MATCH($V1076,$T1180:$Z1180,0))=0,0,INDEX(H1190:N1190,MATCH($V1076,$T1180:$Z1180,0))/INDEX(H1137:N1137,MATCH($V1076,$T1180:$Z1180,0))),
                             IF(ISNUMBER(G1137),
                                            IF(OR(G1137=0,$S1121=FALSE),0,G1190/G1137),"")))</f>
        <v/>
      </c>
      <c r="T1190" s="1473" t="str">
        <f t="shared" ref="T1190" si="1839">IF($E1190="","",IF(IFERROR(SUM($S1190)=0,SUM(H1190)),SUM(H1190),SUM(H1137)*SUM($S1190))*IF(SUM(H1190)=0,1,SUM(H1156)/SUM(H1190)))</f>
        <v/>
      </c>
      <c r="U1190" s="1473" t="str">
        <f t="shared" si="1823"/>
        <v/>
      </c>
      <c r="V1190" s="1473" t="str">
        <f t="shared" si="1815"/>
        <v/>
      </c>
      <c r="W1190" s="1473" t="str">
        <f t="shared" si="1816"/>
        <v/>
      </c>
      <c r="X1190" s="1473" t="str">
        <f t="shared" si="1817"/>
        <v/>
      </c>
      <c r="Y1190" s="1473" t="str">
        <f t="shared" si="1818"/>
        <v/>
      </c>
      <c r="Z1190" s="1474" t="str">
        <f t="shared" si="1819"/>
        <v/>
      </c>
      <c r="AA1190" s="694"/>
      <c r="AB1190" s="1436">
        <f t="shared" ref="AB1190:AI1190" si="1840">AB1174</f>
        <v>2</v>
      </c>
      <c r="AC1190" s="1437">
        <f t="shared" si="1840"/>
        <v>2</v>
      </c>
      <c r="AD1190" s="1437">
        <f t="shared" si="1840"/>
        <v>2</v>
      </c>
      <c r="AE1190" s="1437">
        <f t="shared" si="1840"/>
        <v>2</v>
      </c>
      <c r="AF1190" s="1437">
        <f t="shared" si="1840"/>
        <v>2</v>
      </c>
      <c r="AG1190" s="1437">
        <f t="shared" si="1840"/>
        <v>2</v>
      </c>
      <c r="AH1190" s="1437">
        <f t="shared" si="1840"/>
        <v>2</v>
      </c>
      <c r="AI1190" s="1457">
        <f t="shared" si="1840"/>
        <v>2</v>
      </c>
      <c r="AJ1190" s="343"/>
      <c r="AK1190" s="1174" t="s">
        <v>2039</v>
      </c>
      <c r="AL1190" s="1176" t="str">
        <f>IF(AND(CNTR_ExistSubInstEntries,COUNTIFS(AB1190:AI1190,2,G1190:N1190,"")&gt;0),EUconst_Error&amp;"FB"&amp;Q1110,"")</f>
        <v/>
      </c>
      <c r="AM1190" s="343"/>
    </row>
    <row r="1191" spans="1:39" ht="12.75" hidden="1" customHeight="1" thickBot="1" x14ac:dyDescent="0.3">
      <c r="A1191" s="729" t="s">
        <v>312</v>
      </c>
      <c r="B1191" s="698"/>
      <c r="C1191" s="2906"/>
      <c r="D1191" s="1293"/>
      <c r="E1191" s="1458" t="str">
        <f>Translations!$B$1338</f>
        <v>Общо потребление</v>
      </c>
      <c r="F1191" s="1453" t="str">
        <f t="shared" si="1806"/>
        <v>TJ</v>
      </c>
      <c r="G1191" s="1296" t="str">
        <f t="shared" ref="G1191:N1191" si="1841">IF(COUNT(G1181:G1190)&gt;0,SUMIF($S1112:$S1121,TRUE,G1181:G1190),"")</f>
        <v/>
      </c>
      <c r="H1191" s="1297" t="str">
        <f t="shared" si="1841"/>
        <v/>
      </c>
      <c r="I1191" s="1296" t="str">
        <f t="shared" si="1841"/>
        <v/>
      </c>
      <c r="J1191" s="1297" t="str">
        <f t="shared" si="1841"/>
        <v/>
      </c>
      <c r="K1191" s="1104" t="str">
        <f t="shared" si="1841"/>
        <v/>
      </c>
      <c r="L1191" s="1104" t="str">
        <f t="shared" si="1841"/>
        <v/>
      </c>
      <c r="M1191" s="1104" t="str">
        <f t="shared" si="1841"/>
        <v/>
      </c>
      <c r="N1191" s="1104" t="str">
        <f t="shared" si="1841"/>
        <v/>
      </c>
      <c r="O1191" s="302"/>
      <c r="P1191" s="336"/>
      <c r="Q1191" s="694"/>
      <c r="R1191" s="694"/>
      <c r="S1191" s="1174" t="s">
        <v>2147</v>
      </c>
      <c r="T1191" s="1459">
        <f>IFERROR(SUM(T1181:T1190),"")</f>
        <v>0</v>
      </c>
      <c r="U1191" s="1460">
        <f t="shared" ref="U1191:Z1191" si="1842">IFERROR(SUM(U1181:U1190),"")</f>
        <v>0</v>
      </c>
      <c r="V1191" s="1460">
        <f t="shared" si="1842"/>
        <v>0</v>
      </c>
      <c r="W1191" s="1460">
        <f t="shared" si="1842"/>
        <v>0</v>
      </c>
      <c r="X1191" s="1460">
        <f t="shared" si="1842"/>
        <v>0</v>
      </c>
      <c r="Y1191" s="1460">
        <f t="shared" si="1842"/>
        <v>0</v>
      </c>
      <c r="Z1191" s="1461">
        <f t="shared" si="1842"/>
        <v>0</v>
      </c>
      <c r="AA1191" s="694"/>
      <c r="AB1191" s="729"/>
      <c r="AC1191" s="694"/>
      <c r="AD1191" s="694"/>
      <c r="AE1191" s="343"/>
      <c r="AF1191" s="343"/>
      <c r="AG1191" s="343"/>
      <c r="AH1191" s="343"/>
      <c r="AI1191" s="343"/>
      <c r="AJ1191" s="343"/>
      <c r="AK1191" s="343"/>
      <c r="AL1191" s="343"/>
      <c r="AM1191" s="343"/>
    </row>
    <row r="1192" spans="1:39" ht="12.75" hidden="1" customHeight="1" x14ac:dyDescent="0.25">
      <c r="A1192" s="729" t="s">
        <v>312</v>
      </c>
      <c r="B1192" s="698"/>
      <c r="C1192" s="2906"/>
      <c r="D1192" s="1462"/>
      <c r="E1192" s="1463" t="str">
        <f>Translations!$B$1339</f>
        <v>Дял от a)</v>
      </c>
      <c r="F1192" s="1464" t="str">
        <f t="shared" si="1806"/>
        <v>TJ</v>
      </c>
      <c r="G1192" s="184" t="str">
        <f>IF(COUNT(I1092,G1191)=2,IF(I1092=0,1,G1191/I1092),"")</f>
        <v/>
      </c>
      <c r="H1192" s="185" t="str">
        <f t="shared" ref="H1192" si="1843">IF(COUNT(H1084,H1191)=2,IF(H1084=0,1,H1191/H1084),"")</f>
        <v/>
      </c>
      <c r="I1192" s="186" t="str">
        <f t="shared" ref="I1192" si="1844">IF(COUNT(I1084,I1191)=2,IF(I1084=0,1,I1191/I1084),"")</f>
        <v/>
      </c>
      <c r="J1192" s="185" t="str">
        <f t="shared" ref="J1192" si="1845">IF(COUNT(J1084,J1191)=2,IF(J1084=0,1,J1191/J1084),"")</f>
        <v/>
      </c>
      <c r="K1192" s="187" t="str">
        <f t="shared" ref="K1192" si="1846">IF(COUNT(K1084,K1191)=2,IF(K1084=0,1,K1191/K1084),"")</f>
        <v/>
      </c>
      <c r="L1192" s="187" t="str">
        <f t="shared" ref="L1192" si="1847">IF(COUNT(L1084,L1191)=2,IF(L1084=0,1,L1191/L1084),"")</f>
        <v/>
      </c>
      <c r="M1192" s="187" t="str">
        <f t="shared" ref="M1192" si="1848">IF(COUNT(M1084,M1191)=2,IF(M1084=0,1,M1191/M1084),"")</f>
        <v/>
      </c>
      <c r="N1192" s="187" t="str">
        <f t="shared" ref="N1192" si="1849">IF(COUNT(N1084,N1191)=2,IF(N1084=0,1,N1191/N1084),"")</f>
        <v/>
      </c>
      <c r="O1192" s="302"/>
      <c r="P1192" s="336"/>
      <c r="Q1192" s="694"/>
      <c r="R1192" s="694"/>
      <c r="S1192" s="729"/>
      <c r="T1192" s="694"/>
      <c r="U1192" s="694"/>
      <c r="V1192" s="694"/>
      <c r="W1192" s="694"/>
      <c r="X1192" s="694"/>
      <c r="Y1192" s="694"/>
      <c r="Z1192" s="694"/>
      <c r="AA1192" s="694"/>
      <c r="AB1192" s="729"/>
      <c r="AC1192" s="694"/>
      <c r="AD1192" s="694"/>
      <c r="AE1192" s="343"/>
      <c r="AF1192" s="343"/>
      <c r="AG1192" s="343"/>
      <c r="AH1192" s="343"/>
      <c r="AI1192" s="343"/>
      <c r="AJ1192" s="343"/>
      <c r="AK1192" s="343"/>
      <c r="AL1192" s="343"/>
      <c r="AM1192" s="343"/>
    </row>
    <row r="1193" spans="1:39" ht="5.15" hidden="1" customHeight="1" x14ac:dyDescent="0.25">
      <c r="A1193" s="729" t="s">
        <v>312</v>
      </c>
      <c r="B1193" s="698"/>
      <c r="C1193" s="284"/>
      <c r="D1193" s="284"/>
      <c r="E1193" s="284"/>
      <c r="F1193" s="284"/>
      <c r="G1193" s="284"/>
      <c r="H1193" s="284"/>
      <c r="I1193" s="284"/>
      <c r="J1193" s="284"/>
      <c r="K1193" s="284"/>
      <c r="L1193" s="284"/>
      <c r="M1193" s="284"/>
      <c r="N1193" s="284"/>
      <c r="O1193" s="302"/>
      <c r="P1193" s="336"/>
      <c r="Q1193" s="694"/>
      <c r="R1193" s="694"/>
      <c r="S1193" s="694"/>
      <c r="T1193" s="694"/>
      <c r="U1193" s="694"/>
      <c r="V1193" s="694"/>
      <c r="W1193" s="694"/>
      <c r="X1193" s="694"/>
      <c r="Y1193" s="694"/>
      <c r="Z1193" s="729"/>
      <c r="AA1193" s="729"/>
      <c r="AB1193" s="729"/>
      <c r="AC1193" s="694"/>
      <c r="AD1193" s="694"/>
      <c r="AE1193" s="343"/>
      <c r="AF1193" s="343"/>
      <c r="AG1193" s="343"/>
      <c r="AH1193" s="343"/>
      <c r="AI1193" s="343"/>
      <c r="AJ1193" s="343"/>
      <c r="AK1193" s="343"/>
      <c r="AL1193" s="343"/>
      <c r="AM1193" s="343"/>
    </row>
    <row r="1194" spans="1:39" ht="12.75" customHeight="1" x14ac:dyDescent="0.25">
      <c r="A1194" s="729"/>
      <c r="B1194" s="284"/>
      <c r="C1194" s="300"/>
      <c r="D1194" s="300" t="s">
        <v>1831</v>
      </c>
      <c r="E1194" s="2226" t="str">
        <f>Translations!$B$1545</f>
        <v>Очаквани равнища на дейност</v>
      </c>
      <c r="F1194" s="2249"/>
      <c r="G1194" s="2249"/>
      <c r="H1194" s="2249"/>
      <c r="I1194" s="2249"/>
      <c r="J1194" s="2249"/>
      <c r="K1194" s="2249"/>
      <c r="L1194" s="2249"/>
      <c r="M1194" s="2249"/>
      <c r="N1194" s="2249"/>
      <c r="O1194" s="302"/>
      <c r="P1194" s="336"/>
      <c r="Q1194" s="770"/>
      <c r="R1194" s="694"/>
      <c r="S1194" s="694"/>
      <c r="T1194" s="694"/>
      <c r="U1194" s="694"/>
      <c r="V1194" s="694"/>
      <c r="W1194" s="694"/>
      <c r="X1194" s="694"/>
      <c r="Y1194" s="694"/>
      <c r="Z1194" s="694"/>
      <c r="AA1194" s="694"/>
      <c r="AB1194" s="729"/>
      <c r="AC1194" s="694"/>
      <c r="AD1194" s="694"/>
      <c r="AE1194" s="343"/>
      <c r="AF1194" s="343"/>
      <c r="AG1194" s="343"/>
      <c r="AH1194" s="343"/>
      <c r="AI1194" s="343"/>
      <c r="AJ1194" s="343"/>
      <c r="AK1194" s="343"/>
      <c r="AL1194" s="343"/>
      <c r="AM1194" s="343"/>
    </row>
    <row r="1195" spans="1:39" ht="12.75" customHeight="1" x14ac:dyDescent="0.25">
      <c r="A1195" s="729"/>
      <c r="B1195" s="698"/>
      <c r="C1195" s="284"/>
      <c r="D1195" s="284"/>
      <c r="E1195" s="2358" t="str">
        <f>Translations!$B$1340</f>
        <v>Конкретното енергопотребление се определя в съответствие с раздел 6.1 от Ръководен документ 7 за стойности, отговарящи на критериите по буква б.1) по-горе.</v>
      </c>
      <c r="F1195" s="2358"/>
      <c r="G1195" s="2358"/>
      <c r="H1195" s="2358"/>
      <c r="I1195" s="2358"/>
      <c r="J1195" s="2358"/>
      <c r="K1195" s="2358"/>
      <c r="L1195" s="2358"/>
      <c r="M1195" s="2358"/>
      <c r="N1195" s="2358"/>
      <c r="O1195" s="302"/>
      <c r="P1195" s="336"/>
      <c r="Q1195" s="694"/>
      <c r="R1195" s="694"/>
      <c r="S1195" s="694"/>
      <c r="T1195" s="694"/>
      <c r="U1195" s="694"/>
      <c r="V1195" s="694"/>
      <c r="W1195" s="694"/>
      <c r="X1195" s="694"/>
      <c r="Y1195" s="694"/>
      <c r="Z1195" s="729"/>
      <c r="AA1195" s="729"/>
      <c r="AB1195" s="729"/>
      <c r="AC1195" s="694"/>
      <c r="AD1195" s="694"/>
      <c r="AE1195" s="343"/>
      <c r="AF1195" s="343"/>
      <c r="AG1195" s="343"/>
      <c r="AH1195" s="343"/>
      <c r="AI1195" s="343"/>
      <c r="AJ1195" s="343"/>
      <c r="AK1195" s="343"/>
      <c r="AL1195" s="343"/>
      <c r="AM1195" s="343"/>
    </row>
    <row r="1196" spans="1:39" ht="5.15" customHeight="1" thickBot="1" x14ac:dyDescent="0.3">
      <c r="A1196" s="729"/>
      <c r="B1196" s="698"/>
      <c r="C1196" s="698"/>
      <c r="D1196" s="698"/>
      <c r="E1196" s="698"/>
      <c r="F1196" s="698"/>
      <c r="G1196" s="698"/>
      <c r="H1196" s="698"/>
      <c r="I1196" s="1025"/>
      <c r="J1196" s="698"/>
      <c r="K1196" s="698"/>
      <c r="L1196" s="698"/>
      <c r="M1196" s="698"/>
      <c r="N1196" s="698"/>
      <c r="O1196" s="302"/>
      <c r="P1196" s="336"/>
      <c r="Q1196" s="1263"/>
      <c r="R1196" s="694"/>
      <c r="S1196" s="729"/>
      <c r="T1196" s="729"/>
      <c r="U1196" s="694"/>
      <c r="V1196" s="694"/>
      <c r="W1196" s="694"/>
      <c r="X1196" s="694"/>
      <c r="Y1196" s="694"/>
      <c r="Z1196" s="694"/>
      <c r="AA1196" s="694"/>
      <c r="AB1196" s="729"/>
      <c r="AC1196" s="694"/>
      <c r="AD1196" s="694"/>
      <c r="AE1196" s="694"/>
      <c r="AF1196" s="694"/>
      <c r="AG1196" s="694"/>
      <c r="AH1196" s="694"/>
      <c r="AI1196" s="694"/>
      <c r="AJ1196" s="694"/>
      <c r="AK1196" s="694"/>
      <c r="AL1196" s="694"/>
      <c r="AM1196" s="343"/>
    </row>
    <row r="1197" spans="1:39" ht="5.15" customHeight="1" thickBot="1" x14ac:dyDescent="0.3">
      <c r="A1197" s="729"/>
      <c r="B1197" s="698"/>
      <c r="C1197" s="698"/>
      <c r="D1197" s="1475"/>
      <c r="E1197" s="1476"/>
      <c r="F1197" s="1476"/>
      <c r="G1197" s="1476"/>
      <c r="H1197" s="1476"/>
      <c r="I1197" s="1477"/>
      <c r="J1197" s="1476"/>
      <c r="K1197" s="1476"/>
      <c r="L1197" s="1476"/>
      <c r="M1197" s="1476"/>
      <c r="N1197" s="1478"/>
      <c r="O1197" s="302"/>
      <c r="P1197" s="336"/>
      <c r="Q1197" s="1263"/>
      <c r="R1197" s="694"/>
      <c r="S1197" s="729"/>
      <c r="T1197" s="729"/>
      <c r="U1197" s="694"/>
      <c r="V1197" s="694"/>
      <c r="W1197" s="694"/>
      <c r="X1197" s="694"/>
      <c r="Y1197" s="694"/>
      <c r="Z1197" s="694"/>
      <c r="AA1197" s="694"/>
      <c r="AB1197" s="729"/>
      <c r="AC1197" s="694"/>
      <c r="AD1197" s="694"/>
      <c r="AE1197" s="694"/>
      <c r="AF1197" s="694"/>
      <c r="AG1197" s="694"/>
      <c r="AH1197" s="694"/>
      <c r="AI1197" s="694"/>
      <c r="AJ1197" s="694"/>
      <c r="AK1197" s="694"/>
      <c r="AL1197" s="694"/>
      <c r="AM1197" s="343"/>
    </row>
    <row r="1198" spans="1:39" ht="12.75" customHeight="1" x14ac:dyDescent="0.25">
      <c r="A1198" s="729"/>
      <c r="B1198" s="298"/>
      <c r="C1198" s="698"/>
      <c r="D1198" s="1217"/>
      <c r="E1198" s="1198" t="str">
        <f>Translations!$B$1546</f>
        <v>Корекции: Промени в ефективността</v>
      </c>
      <c r="F1198" s="1199"/>
      <c r="G1198" s="1199"/>
      <c r="H1198" s="1200" t="str">
        <f>EUconst_Unit</f>
        <v>Единица мярка</v>
      </c>
      <c r="I1198" s="1201" t="str">
        <f>Translations!$B$1336</f>
        <v>Стойност в НМИ</v>
      </c>
      <c r="J1198" s="1202">
        <f>J$1840</f>
        <v>2026</v>
      </c>
      <c r="K1198" s="1203">
        <f>K$1840</f>
        <v>2027</v>
      </c>
      <c r="L1198" s="1203">
        <f>L$1840</f>
        <v>2028</v>
      </c>
      <c r="M1198" s="1203">
        <f>M$1840</f>
        <v>2029</v>
      </c>
      <c r="N1198" s="1479">
        <f>N$1840</f>
        <v>2030</v>
      </c>
      <c r="O1198" s="302"/>
      <c r="P1198" s="336"/>
      <c r="Q1198" s="729"/>
      <c r="R1198" s="694"/>
      <c r="S1198" s="694"/>
      <c r="T1198" s="694"/>
      <c r="U1198" s="1205"/>
      <c r="V1198" s="1206">
        <f>J1198</f>
        <v>2026</v>
      </c>
      <c r="W1198" s="1206">
        <f>K1198</f>
        <v>2027</v>
      </c>
      <c r="X1198" s="1206">
        <f>L1198</f>
        <v>2028</v>
      </c>
      <c r="Y1198" s="1206">
        <f>M1198</f>
        <v>2029</v>
      </c>
      <c r="Z1198" s="1207">
        <f>N1198</f>
        <v>2030</v>
      </c>
      <c r="AA1198" s="694"/>
      <c r="AB1198" s="729"/>
      <c r="AC1198" s="694"/>
      <c r="AD1198" s="694"/>
      <c r="AE1198" s="694"/>
      <c r="AF1198" s="694"/>
      <c r="AG1198" s="694"/>
      <c r="AH1198" s="694"/>
      <c r="AI1198" s="694"/>
      <c r="AJ1198" s="694"/>
      <c r="AK1198" s="694"/>
      <c r="AL1198" s="694"/>
      <c r="AM1198" s="343"/>
    </row>
    <row r="1199" spans="1:39" ht="12.75" customHeight="1" x14ac:dyDescent="0.25">
      <c r="A1199" s="729"/>
      <c r="B1199" s="298"/>
      <c r="C1199" s="698"/>
      <c r="D1199" s="1208" t="s">
        <v>6</v>
      </c>
      <c r="E1199" s="2889" t="str">
        <f>Translations!$B$1547</f>
        <v>Промяна в равнището на дейност &gt; 15 %?</v>
      </c>
      <c r="F1199" s="2889"/>
      <c r="G1199" s="2889"/>
      <c r="H1199" s="2889"/>
      <c r="I1199" s="2890"/>
      <c r="J1199" s="1480" t="str">
        <f>V1093</f>
        <v/>
      </c>
      <c r="K1199" s="1481" t="str">
        <f>W1093</f>
        <v/>
      </c>
      <c r="L1199" s="1481" t="str">
        <f>X1093</f>
        <v/>
      </c>
      <c r="M1199" s="1481" t="str">
        <f>Y1093</f>
        <v/>
      </c>
      <c r="N1199" s="1482" t="str">
        <f>Z1093</f>
        <v/>
      </c>
      <c r="O1199" s="302"/>
      <c r="P1199" s="336"/>
      <c r="Q1199" s="729"/>
      <c r="R1199" s="694"/>
      <c r="S1199" s="694"/>
      <c r="T1199" s="694"/>
      <c r="U1199" s="1231"/>
      <c r="V1199" s="1483"/>
      <c r="W1199" s="1483"/>
      <c r="X1199" s="1483"/>
      <c r="Y1199" s="1483"/>
      <c r="Z1199" s="1484"/>
      <c r="AA1199" s="694"/>
      <c r="AB1199" s="729"/>
      <c r="AC1199" s="694"/>
      <c r="AD1199" s="694"/>
      <c r="AE1199" s="694"/>
      <c r="AF1199" s="694"/>
      <c r="AG1199" s="694"/>
      <c r="AH1199" s="694"/>
      <c r="AI1199" s="694"/>
      <c r="AJ1199" s="694"/>
      <c r="AK1199" s="694"/>
      <c r="AL1199" s="694"/>
      <c r="AM1199" s="343"/>
    </row>
    <row r="1200" spans="1:39" ht="12.75" customHeight="1" x14ac:dyDescent="0.25">
      <c r="A1200" s="729"/>
      <c r="B1200" s="298"/>
      <c r="C1200" s="698"/>
      <c r="D1200" s="1208" t="s">
        <v>7</v>
      </c>
      <c r="E1200" s="2889" t="str">
        <f>Translations!$B$1548</f>
        <v>Средна стойност на очакваното равнище на дейност</v>
      </c>
      <c r="F1200" s="2889"/>
      <c r="G1200" s="2889"/>
      <c r="H1200" s="1485" t="str">
        <f>G1084</f>
        <v>TJ</v>
      </c>
      <c r="I1200" s="1486" t="str">
        <f>IF(M1076&lt;&gt;EUconst_Relevant,"",I1092)</f>
        <v/>
      </c>
      <c r="J1200" s="1480" t="str">
        <f>IF(AND(V1200&gt;=3,COUNT(T1191:U1191)=2),IF(CNTR_ReportingYear&gt;J1198-1,IF(J1199,IF(COUNTA(H1147:I1156)=0,J1095,AVERAGE(T1191:U1191)),$I1203),""),"")</f>
        <v/>
      </c>
      <c r="K1200" s="1481" t="str">
        <f>IF(AND(W1200&gt;=3,COUNT(U1191:V1191)=2),IF(CNTR_ReportingYear&gt;K1198-1,IF(K1199,IF(COUNTA(I1147:J1156)=0,K1095,AVERAGE(U1191:V1191)),$I1203),""),"")</f>
        <v/>
      </c>
      <c r="L1200" s="1481" t="str">
        <f>IF(AND(X1200&gt;=3,COUNT(V1191:W1191)=2),IF(CNTR_ReportingYear&gt;L1198-1,IF(L1199,IF(COUNTA(J1147:K1156)=0,L1095,AVERAGE(V1191:W1191)),$I1203),""),"")</f>
        <v/>
      </c>
      <c r="M1200" s="1481" t="str">
        <f>IF(AND(Y1200&gt;=3,COUNT(W1191:X1191)=2),IF(CNTR_ReportingYear&gt;M1198-1,IF(M1199,IF(COUNTA(K1147:L1156)=0,M1095,AVERAGE(W1191:X1191)),$I1203),""),"")</f>
        <v/>
      </c>
      <c r="N1200" s="1482" t="str">
        <f>IF(AND(Z1200&gt;=3,COUNT(X1191:Y1191)=2),IF(CNTR_ReportingYear&gt;N1198-1,IF(N1199,IF(COUNTA(L1147:M1156)=0,N1095,AVERAGE(X1191:Y1191)),$I1203),""),"")</f>
        <v/>
      </c>
      <c r="O1200" s="302"/>
      <c r="P1200" s="336"/>
      <c r="Q1200" s="1270"/>
      <c r="R1200" s="694"/>
      <c r="S1200" s="694"/>
      <c r="T1200" s="694"/>
      <c r="U1200" s="1365" t="s">
        <v>1710</v>
      </c>
      <c r="V1200" s="834">
        <f>V1092</f>
        <v>0</v>
      </c>
      <c r="W1200" s="834">
        <f>W1092</f>
        <v>0</v>
      </c>
      <c r="X1200" s="834">
        <f>X1092</f>
        <v>0</v>
      </c>
      <c r="Y1200" s="834">
        <f>Y1092</f>
        <v>0</v>
      </c>
      <c r="Z1200" s="1403">
        <f>Z1092</f>
        <v>0</v>
      </c>
      <c r="AA1200" s="694"/>
      <c r="AB1200" s="729"/>
      <c r="AC1200" s="694"/>
      <c r="AD1200" s="694"/>
      <c r="AE1200" s="694"/>
      <c r="AF1200" s="694"/>
      <c r="AG1200" s="694"/>
      <c r="AH1200" s="694"/>
      <c r="AI1200" s="694"/>
      <c r="AJ1200" s="694"/>
      <c r="AK1200" s="694"/>
      <c r="AL1200" s="694"/>
      <c r="AM1200" s="343"/>
    </row>
    <row r="1201" spans="1:39" ht="12.75" customHeight="1" x14ac:dyDescent="0.25">
      <c r="A1201" s="729"/>
      <c r="B1201" s="298"/>
      <c r="C1201" s="698"/>
      <c r="D1201" s="1208" t="s">
        <v>8</v>
      </c>
      <c r="E1201" s="2893" t="str">
        <f>Translations!$B$1376</f>
        <v>Промяна в сравнение с HAL</v>
      </c>
      <c r="F1201" s="2894"/>
      <c r="G1201" s="2894"/>
      <c r="H1201" s="2894"/>
      <c r="I1201" s="2895"/>
      <c r="J1201" s="232" t="str">
        <f>IF(J1200="","",IF(SUM($I1203)=0,IF(J1200=0,0%,100%),J1200/$I1203-1))</f>
        <v/>
      </c>
      <c r="K1201" s="233" t="str">
        <f t="shared" ref="K1201" si="1850">IF(K1200="","",IF(SUM($I1203)=0,IF(K1200=0,0%,100%),K1200/$I1203-1))</f>
        <v/>
      </c>
      <c r="L1201" s="233" t="str">
        <f t="shared" ref="L1201" si="1851">IF(L1200="","",IF(SUM($I1203)=0,IF(L1200=0,0%,100%),L1200/$I1203-1))</f>
        <v/>
      </c>
      <c r="M1201" s="233" t="str">
        <f t="shared" ref="M1201" si="1852">IF(M1200="","",IF(SUM($I1203)=0,IF(M1200=0,0%,100%),M1200/$I1203-1))</f>
        <v/>
      </c>
      <c r="N1201" s="234" t="str">
        <f t="shared" ref="N1201" si="1853">IF(N1200="","",IF(SUM($I1203)=0,IF(N1200=0,0%,100%),N1200/$I1203-1))</f>
        <v/>
      </c>
      <c r="O1201" s="302"/>
      <c r="P1201" s="209"/>
      <c r="Q1201" s="1190" t="str">
        <f>EUconst_CNTR_EnEffPct&amp;I1076</f>
        <v>EnEffPct_Подинсталация с горивен показател (без риск от ИВЕ | извън МКВЕГ)</v>
      </c>
      <c r="R1201" s="694"/>
      <c r="S1201" s="694"/>
      <c r="T1201" s="694"/>
      <c r="U1201" s="1365" t="s">
        <v>1715</v>
      </c>
      <c r="V1201" s="727" t="str">
        <f>IF(J1200="","",ABS(J1201)&gt;15%)</f>
        <v/>
      </c>
      <c r="W1201" s="727" t="str">
        <f>IF(K1200="","",ABS(K1201)&gt;15%)</f>
        <v/>
      </c>
      <c r="X1201" s="727" t="str">
        <f>IF(L1200="","",ABS(L1201)&gt;15%)</f>
        <v/>
      </c>
      <c r="Y1201" s="727" t="str">
        <f>IF(M1200="","",ABS(M1201)&gt;15%)</f>
        <v/>
      </c>
      <c r="Z1201" s="1221" t="str">
        <f>IF(N1200="","",ABS(N1201)&gt;15%)</f>
        <v/>
      </c>
      <c r="AA1201" s="694"/>
      <c r="AB1201" s="729"/>
      <c r="AC1201" s="694"/>
      <c r="AD1201" s="694"/>
      <c r="AE1201" s="694"/>
      <c r="AF1201" s="694"/>
      <c r="AG1201" s="694"/>
      <c r="AH1201" s="694"/>
      <c r="AI1201" s="694"/>
      <c r="AJ1201" s="694"/>
      <c r="AK1201" s="694"/>
      <c r="AL1201" s="694"/>
      <c r="AM1201" s="343"/>
    </row>
    <row r="1202" spans="1:39" ht="12.75" customHeight="1" x14ac:dyDescent="0.25">
      <c r="A1202" s="729"/>
      <c r="B1202" s="298"/>
      <c r="C1202" s="698"/>
      <c r="D1202" s="1208" t="s">
        <v>18</v>
      </c>
      <c r="E1202" s="2896" t="str">
        <f>Translations!$B$1322</f>
        <v>Предварителна корекция (ако са надвишени относителните прагове)</v>
      </c>
      <c r="F1202" s="2897"/>
      <c r="G1202" s="2897"/>
      <c r="H1202" s="2897"/>
      <c r="I1202" s="2898"/>
      <c r="J1202" s="235" t="str">
        <f>IF(J1200="","",IF(OR(V1093=FALSE,V1201=FALSE),0%,IF(V1202,J1201,I1202)))</f>
        <v/>
      </c>
      <c r="K1202" s="236" t="str">
        <f>IF(K1200="","",IF(OR(W1093=FALSE,W1201=FALSE),0%,IF(W1202,K1201,J1202)))</f>
        <v/>
      </c>
      <c r="L1202" s="236" t="str">
        <f>IF(L1200="","",IF(OR(X1093=FALSE,X1201=FALSE),0%,IF(X1202,L1201,K1202)))</f>
        <v/>
      </c>
      <c r="M1202" s="236" t="str">
        <f>IF(M1200="","",IF(OR(Y1093=FALSE,Y1201=FALSE),0%,IF(Y1202,M1201,L1202)))</f>
        <v/>
      </c>
      <c r="N1202" s="237" t="str">
        <f>IF(N1200="","",IF(OR(Z1093=FALSE,Z1201=FALSE),0%,IF(Z1202,N1201,M1202)))</f>
        <v/>
      </c>
      <c r="O1202" s="302"/>
      <c r="P1202" s="209"/>
      <c r="Q1202" s="729"/>
      <c r="R1202" s="694"/>
      <c r="S1202" s="694"/>
      <c r="T1202" s="694"/>
      <c r="U1202" s="1365" t="s">
        <v>1716</v>
      </c>
      <c r="V1202" s="727" t="str">
        <f>IF(J1200="","",AND(V1093,IF(SUM(I1211)&lt;0,OR(SUM(J1201)&lt;SUM(I1211)-MOD(SUM(I1211),5%),J1201&gt;=SUM(I1211)+5%-MOD(SUM(I1211),5%)),OR(SUM(J1201)&lt;=SUM(I1211)-MOD(SUM(I1211),5%),SUM(J1201)&gt;SUM(I1211)+5%-MOD(SUM(I1211),5%)))))</f>
        <v/>
      </c>
      <c r="W1202" s="727" t="str">
        <f>IF(K1200="","",AND(W1093,IF(SUM(J1211)&lt;0,OR(SUM(K1201)&lt;SUM(J1211)-MOD(SUM(J1211),5%),K1201&gt;=SUM(J1211)+5%-MOD(SUM(J1211),5%)),OR(SUM(K1201)&lt;=SUM(J1211)-MOD(SUM(J1211),5%),SUM(K1201)&gt;SUM(J1211)+5%-MOD(SUM(J1211),5%)))))</f>
        <v/>
      </c>
      <c r="X1202" s="727" t="str">
        <f>IF(L1200="","",AND(X1093,IF(SUM(K1211)&lt;0,OR(SUM(L1201)&lt;SUM(K1211)-MOD(SUM(K1211),5%),L1201&gt;=SUM(K1211)+5%-MOD(SUM(K1211),5%)),OR(SUM(L1201)&lt;=SUM(K1211)-MOD(SUM(K1211),5%),SUM(L1201)&gt;SUM(K1211)+5%-MOD(SUM(K1211),5%)))))</f>
        <v/>
      </c>
      <c r="Y1202" s="727" t="str">
        <f>IF(M1200="","",AND(Y1093,IF(SUM(L1211)&lt;0,OR(SUM(M1201)&lt;SUM(L1211)-MOD(SUM(L1211),5%),M1201&gt;=SUM(L1211)+5%-MOD(SUM(L1211),5%)),OR(SUM(M1201)&lt;=SUM(L1211)-MOD(SUM(L1211),5%),SUM(M1201)&gt;SUM(L1211)+5%-MOD(SUM(L1211),5%)))))</f>
        <v/>
      </c>
      <c r="Z1202" s="1221" t="str">
        <f>IF(N1200="","",AND(Z1093,IF(SUM(M1211)&lt;0,OR(SUM(N1201)&lt;SUM(M1211)-MOD(SUM(M1211),5%),N1201&gt;=SUM(M1211)+5%-MOD(SUM(M1211),5%)),OR(SUM(N1201)&lt;=SUM(M1211)-MOD(SUM(M1211),5%),SUM(N1201)&gt;SUM(M1211)+5%-MOD(SUM(M1211),5%)))))</f>
        <v/>
      </c>
      <c r="AA1202" s="694"/>
      <c r="AB1202" s="729"/>
      <c r="AC1202" s="694"/>
      <c r="AD1202" s="694"/>
      <c r="AE1202" s="694"/>
      <c r="AF1202" s="694"/>
      <c r="AG1202" s="694"/>
      <c r="AH1202" s="694"/>
      <c r="AI1202" s="694"/>
      <c r="AJ1202" s="694"/>
      <c r="AK1202" s="694"/>
      <c r="AL1202" s="694"/>
      <c r="AM1202" s="343"/>
    </row>
    <row r="1203" spans="1:39" ht="12.75" customHeight="1" x14ac:dyDescent="0.25">
      <c r="A1203" s="729"/>
      <c r="B1203" s="298"/>
      <c r="C1203" s="698"/>
      <c r="D1203" s="1208" t="s">
        <v>810</v>
      </c>
      <c r="E1203" s="2889" t="str">
        <f>Translations!$B$1377</f>
        <v>Предварителна стойност</v>
      </c>
      <c r="F1203" s="2889"/>
      <c r="G1203" s="2889"/>
      <c r="H1203" s="1485" t="str">
        <f>H1200</f>
        <v>TJ</v>
      </c>
      <c r="I1203" s="1487" t="str">
        <f>IF(M1076&lt;&gt;EUconst_Relevant,"",IF(AB1076=FALSE,EUconst_NA,IF(V1076&gt;($J$1840-3),INDEX(T1191:Z1191,MATCH(V1076,T1180:Z1180,0)),SUM(I1200))))</f>
        <v/>
      </c>
      <c r="J1203" s="1400" t="str">
        <f>IF($M1076&lt;&gt;EUconst_Relevant,"",IF(V1200&lt;2,SUM(J1095),IF(V1200&lt;3,SUM(I1095),IF(V1203="",I1203,V1203))))</f>
        <v/>
      </c>
      <c r="K1203" s="1401" t="str">
        <f>IF($M1076&lt;&gt;EUconst_Relevant,"",IF(W1200&lt;2,SUM(K1095),IF(W1200&lt;3,SUM(J1095),IF(W1203="",J1203,W1203))))</f>
        <v/>
      </c>
      <c r="L1203" s="1401" t="str">
        <f>IF($M1076&lt;&gt;EUconst_Relevant,"",IF(X1200&lt;2,SUM(L1095),IF(X1200&lt;3,SUM(K1095),IF(X1203="",K1203,X1203))))</f>
        <v/>
      </c>
      <c r="M1203" s="1401" t="str">
        <f>IF($M1076&lt;&gt;EUconst_Relevant,"",IF(Y1200&lt;2,SUM(M1095),IF(Y1200&lt;3,SUM(L1095),IF(Y1203="",L1203,Y1203))))</f>
        <v/>
      </c>
      <c r="N1203" s="1402" t="str">
        <f>IF($M1076&lt;&gt;EUconst_Relevant,"",IF(Z1200&lt;2,SUM(N1095),IF(Z1200&lt;3,SUM(M1095),IF(Z1203="",M1203,Z1203))))</f>
        <v/>
      </c>
      <c r="O1203" s="302"/>
      <c r="P1203" s="336"/>
      <c r="Q1203" s="1270" t="str">
        <f>EUconst_CNTR_HALprelim&amp;I1076</f>
        <v>HALprelim_Подинсталация с горивен показател (без риск от ИВЕ | извън МКВЕГ)</v>
      </c>
      <c r="R1203" s="694"/>
      <c r="S1203" s="694"/>
      <c r="T1203" s="694"/>
      <c r="U1203" s="1215" t="s">
        <v>1756</v>
      </c>
      <c r="V1203" s="1227" t="str">
        <f>IF(J1200="","",IF(CNTR_ReportingYear&lt;J1198,I1202,IF($I1203=0,J1200,$I1203*(1+J1202))))</f>
        <v/>
      </c>
      <c r="W1203" s="1227" t="str">
        <f>IF(K1200="","",IF(CNTR_ReportingYear&lt;K1198,J1202,IF($I1203=0,K1200,$I1203*(1+K1202))))</f>
        <v/>
      </c>
      <c r="X1203" s="1227" t="str">
        <f>IF(L1200="","",IF(CNTR_ReportingYear&lt;L1198,K1202,IF($I1203=0,L1200,$I1203*(1+L1202))))</f>
        <v/>
      </c>
      <c r="Y1203" s="1227" t="str">
        <f>IF(M1200="","",IF(CNTR_ReportingYear&lt;M1198,L1202,IF($I1203=0,M1200,$I1203*(1+M1202))))</f>
        <v/>
      </c>
      <c r="Z1203" s="1228" t="str">
        <f>IF(N1200="","",IF(CNTR_ReportingYear&lt;N1198,M1202,IF($I1203=0,N1200,$I1203*(1+N1202))))</f>
        <v/>
      </c>
      <c r="AA1203" s="694"/>
      <c r="AB1203" s="729"/>
      <c r="AC1203" s="694"/>
      <c r="AD1203" s="694"/>
      <c r="AE1203" s="694"/>
      <c r="AF1203" s="694"/>
      <c r="AG1203" s="694"/>
      <c r="AH1203" s="694"/>
      <c r="AI1203" s="694"/>
      <c r="AJ1203" s="694"/>
      <c r="AK1203" s="694"/>
      <c r="AL1203" s="694"/>
      <c r="AM1203" s="343"/>
    </row>
    <row r="1204" spans="1:39" ht="5.15" customHeight="1" x14ac:dyDescent="0.25">
      <c r="A1204" s="729"/>
      <c r="B1204" s="298"/>
      <c r="C1204" s="698"/>
      <c r="D1204" s="1217"/>
      <c r="E1204" s="1199"/>
      <c r="F1204" s="1199"/>
      <c r="G1204" s="1199"/>
      <c r="H1204" s="1199"/>
      <c r="I1204" s="1199"/>
      <c r="J1204" s="1199"/>
      <c r="K1204" s="1199"/>
      <c r="L1204" s="1199"/>
      <c r="M1204" s="1199"/>
      <c r="N1204" s="1238"/>
      <c r="O1204" s="302"/>
      <c r="P1204" s="336"/>
      <c r="Q1204" s="729"/>
      <c r="R1204" s="694"/>
      <c r="S1204" s="694"/>
      <c r="T1204" s="694"/>
      <c r="U1204" s="1231"/>
      <c r="V1204" s="711"/>
      <c r="W1204" s="711"/>
      <c r="X1204" s="711"/>
      <c r="Y1204" s="711"/>
      <c r="Z1204" s="1488"/>
      <c r="AA1204" s="694"/>
      <c r="AB1204" s="729"/>
      <c r="AC1204" s="694"/>
      <c r="AD1204" s="694"/>
      <c r="AE1204" s="343"/>
      <c r="AF1204" s="343"/>
      <c r="AG1204" s="343"/>
      <c r="AH1204" s="343"/>
      <c r="AI1204" s="343"/>
      <c r="AJ1204" s="343"/>
      <c r="AK1204" s="343"/>
      <c r="AL1204" s="343"/>
      <c r="AM1204" s="343"/>
    </row>
    <row r="1205" spans="1:39" ht="12.75" customHeight="1" x14ac:dyDescent="0.25">
      <c r="A1205" s="729"/>
      <c r="B1205" s="298"/>
      <c r="C1205" s="698"/>
      <c r="D1205" s="1197" t="s">
        <v>1961</v>
      </c>
      <c r="E1205" s="2886" t="str">
        <f>Translations!$B$1342</f>
        <v>Корекции: Абсолютен праг</v>
      </c>
      <c r="F1205" s="2887"/>
      <c r="G1205" s="2887"/>
      <c r="H1205" s="2887"/>
      <c r="I1205" s="2887"/>
      <c r="J1205" s="2887"/>
      <c r="K1205" s="2887"/>
      <c r="L1205" s="2887"/>
      <c r="M1205" s="2887"/>
      <c r="N1205" s="2888"/>
      <c r="O1205" s="302"/>
      <c r="P1205" s="336"/>
      <c r="Q1205" s="729"/>
      <c r="R1205" s="694"/>
      <c r="S1205" s="694"/>
      <c r="T1205" s="694"/>
      <c r="U1205" s="1231"/>
      <c r="V1205" s="729"/>
      <c r="W1205" s="694"/>
      <c r="X1205" s="694"/>
      <c r="Y1205" s="694"/>
      <c r="Z1205" s="1232"/>
      <c r="AA1205" s="694"/>
      <c r="AB1205" s="729"/>
      <c r="AC1205" s="694"/>
      <c r="AD1205" s="694"/>
      <c r="AE1205" s="343"/>
      <c r="AF1205" s="343"/>
      <c r="AG1205" s="343"/>
      <c r="AH1205" s="343"/>
      <c r="AI1205" s="343"/>
      <c r="AJ1205" s="343"/>
      <c r="AK1205" s="343"/>
      <c r="AL1205" s="343"/>
      <c r="AM1205" s="343"/>
    </row>
    <row r="1206" spans="1:39" ht="12.75" customHeight="1" x14ac:dyDescent="0.25">
      <c r="A1206" s="729"/>
      <c r="B1206" s="298"/>
      <c r="C1206" s="698"/>
      <c r="D1206" s="1217"/>
      <c r="E1206" s="1233" t="str">
        <f>Translations!$B$1343</f>
        <v>Абсолютен праг</v>
      </c>
      <c r="F1206" s="1233"/>
      <c r="G1206" s="1233"/>
      <c r="H1206" s="1233"/>
      <c r="I1206" s="1233"/>
      <c r="J1206" s="1202">
        <f>J$1840</f>
        <v>2026</v>
      </c>
      <c r="K1206" s="1203">
        <f>K$1840</f>
        <v>2027</v>
      </c>
      <c r="L1206" s="1203">
        <f>L$1840</f>
        <v>2028</v>
      </c>
      <c r="M1206" s="1203">
        <f>M$1840</f>
        <v>2029</v>
      </c>
      <c r="N1206" s="1479">
        <f>N$1840</f>
        <v>2030</v>
      </c>
      <c r="O1206" s="302"/>
      <c r="P1206" s="336"/>
      <c r="Q1206" s="729"/>
      <c r="R1206" s="694"/>
      <c r="S1206" s="694"/>
      <c r="T1206" s="694"/>
      <c r="U1206" s="1231"/>
      <c r="V1206" s="213"/>
      <c r="W1206" s="214" t="s">
        <v>2101</v>
      </c>
      <c r="X1206" s="215" t="str">
        <f>IF(OR($X1076=0,$X1076=""),"",MIN(1,1-(DATE($Z1076,12,31)-$X1076)/(DATE($Z1076,12,31)-DATE($Z1076,1,1)+1)))</f>
        <v/>
      </c>
      <c r="Y1206" s="1165"/>
      <c r="Z1206" s="1235"/>
      <c r="AA1206" s="694"/>
      <c r="AB1206" s="729"/>
      <c r="AC1206" s="694"/>
      <c r="AD1206" s="694"/>
      <c r="AE1206" s="343"/>
      <c r="AF1206" s="343"/>
      <c r="AG1206" s="343"/>
      <c r="AH1206" s="343"/>
      <c r="AI1206" s="343"/>
      <c r="AJ1206" s="343"/>
      <c r="AK1206" s="343"/>
      <c r="AL1206" s="343"/>
      <c r="AM1206" s="343"/>
    </row>
    <row r="1207" spans="1:39" ht="12.75" customHeight="1" x14ac:dyDescent="0.25">
      <c r="A1207" s="729"/>
      <c r="B1207" s="298"/>
      <c r="C1207" s="698"/>
      <c r="D1207" s="1217"/>
      <c r="E1207" s="2889" t="str">
        <f>Translations!$B$1515</f>
        <v>изпълнен ли е критерият за &gt;=300 квоти за емисии?</v>
      </c>
      <c r="F1207" s="2889"/>
      <c r="G1207" s="2889"/>
      <c r="H1207" s="2889"/>
      <c r="I1207" s="2890"/>
      <c r="J1207" s="1236" t="str">
        <f>IF($M1076&lt;&gt;EUconst_Relevant,"",INDEX(K_Summary!J:J,MATCH($Q1207,K_Summary!$P:$P,0)))</f>
        <v/>
      </c>
      <c r="K1207" s="385" t="str">
        <f>IF($M1076&lt;&gt;EUconst_Relevant,"",INDEX(K_Summary!K:K,MATCH($Q1207,K_Summary!$P:$P,0)))</f>
        <v/>
      </c>
      <c r="L1207" s="385" t="str">
        <f>IF($M1076&lt;&gt;EUconst_Relevant,"",INDEX(K_Summary!L:L,MATCH($Q1207,K_Summary!$P:$P,0)))</f>
        <v/>
      </c>
      <c r="M1207" s="385" t="str">
        <f>IF($M1076&lt;&gt;EUconst_Relevant,"",INDEX(K_Summary!M:M,MATCH($Q1207,K_Summary!$P:$P,0)))</f>
        <v/>
      </c>
      <c r="N1207" s="1237" t="str">
        <f>IF($M1076&lt;&gt;EUconst_Relevant,"",INDEX(K_Summary!N:N,MATCH($Q1207,K_Summary!$P:$P,0)))</f>
        <v/>
      </c>
      <c r="O1207" s="302"/>
      <c r="P1207" s="336"/>
      <c r="Q1207" s="1190" t="str">
        <f>EUconst_CNTR_300EUA&amp;I1076</f>
        <v>EUA300_Подинсталация с горивен показател (без риск от ИВЕ | извън МКВЕГ)</v>
      </c>
      <c r="R1207" s="694"/>
      <c r="S1207" s="694"/>
      <c r="T1207" s="694"/>
      <c r="U1207" s="1231"/>
      <c r="V1207" s="216">
        <f>IF(V1198=$Z1076,$X1206,1)</f>
        <v>1</v>
      </c>
      <c r="W1207" s="216">
        <f>IF(W1198=$Z1076,$X1206,1)</f>
        <v>1</v>
      </c>
      <c r="X1207" s="216">
        <f>IF(X1198=$Z1076,$X1206,1)</f>
        <v>1</v>
      </c>
      <c r="Y1207" s="216">
        <f>IF(Y1198=$Z1076,$X1206,1)</f>
        <v>1</v>
      </c>
      <c r="Z1207" s="217">
        <f>IF(Z1198=$Z1076,$X1206,1)</f>
        <v>1</v>
      </c>
      <c r="AA1207" s="694"/>
      <c r="AB1207" s="729"/>
      <c r="AC1207" s="694"/>
      <c r="AD1207" s="694"/>
      <c r="AE1207" s="343"/>
      <c r="AF1207" s="343"/>
      <c r="AG1207" s="343"/>
      <c r="AH1207" s="343"/>
      <c r="AI1207" s="343"/>
      <c r="AJ1207" s="343"/>
      <c r="AK1207" s="343"/>
      <c r="AL1207" s="343"/>
      <c r="AM1207" s="343"/>
    </row>
    <row r="1208" spans="1:39" ht="5.15" customHeight="1" x14ac:dyDescent="0.25">
      <c r="A1208" s="729"/>
      <c r="B1208" s="298"/>
      <c r="C1208" s="698"/>
      <c r="D1208" s="1217"/>
      <c r="E1208" s="1199"/>
      <c r="F1208" s="1199"/>
      <c r="G1208" s="1199"/>
      <c r="H1208" s="1199"/>
      <c r="I1208" s="1199"/>
      <c r="J1208" s="1199"/>
      <c r="K1208" s="1199"/>
      <c r="L1208" s="1199"/>
      <c r="M1208" s="1199"/>
      <c r="N1208" s="1238"/>
      <c r="O1208" s="302"/>
      <c r="P1208" s="336"/>
      <c r="Q1208" s="729"/>
      <c r="R1208" s="694"/>
      <c r="S1208" s="694"/>
      <c r="T1208" s="694"/>
      <c r="U1208" s="1231"/>
      <c r="V1208" s="694"/>
      <c r="W1208" s="694"/>
      <c r="X1208" s="694"/>
      <c r="Y1208" s="694"/>
      <c r="Z1208" s="1232"/>
      <c r="AA1208" s="729"/>
      <c r="AB1208" s="729"/>
      <c r="AC1208" s="694"/>
      <c r="AD1208" s="694"/>
      <c r="AE1208" s="343"/>
      <c r="AF1208" s="343"/>
      <c r="AG1208" s="343"/>
      <c r="AH1208" s="343"/>
      <c r="AI1208" s="343"/>
      <c r="AJ1208" s="343"/>
      <c r="AK1208" s="343"/>
      <c r="AL1208" s="343"/>
      <c r="AM1208" s="343"/>
    </row>
    <row r="1209" spans="1:39" ht="12.75" customHeight="1" x14ac:dyDescent="0.25">
      <c r="A1209" s="729"/>
      <c r="B1209" s="298"/>
      <c r="C1209" s="698"/>
      <c r="D1209" s="1197" t="s">
        <v>2220</v>
      </c>
      <c r="E1209" s="2886" t="str">
        <f>Translations!$B$1549</f>
        <v>Определяне на корекциите на очакваното равнище на дейност, включително всякакви промени в ефективността</v>
      </c>
      <c r="F1209" s="2887"/>
      <c r="G1209" s="2887"/>
      <c r="H1209" s="2887"/>
      <c r="I1209" s="2887"/>
      <c r="J1209" s="2887"/>
      <c r="K1209" s="2887"/>
      <c r="L1209" s="2887"/>
      <c r="M1209" s="2887"/>
      <c r="N1209" s="2888"/>
      <c r="O1209" s="302"/>
      <c r="P1209" s="336"/>
      <c r="Q1209" s="729"/>
      <c r="R1209" s="694"/>
      <c r="S1209" s="694"/>
      <c r="T1209" s="694"/>
      <c r="U1209" s="1231"/>
      <c r="V1209" s="694"/>
      <c r="W1209" s="694"/>
      <c r="X1209" s="694"/>
      <c r="Y1209" s="694"/>
      <c r="Z1209" s="1232"/>
      <c r="AA1209" s="729"/>
      <c r="AB1209" s="729"/>
      <c r="AC1209" s="694"/>
      <c r="AD1209" s="694"/>
      <c r="AE1209" s="343"/>
      <c r="AF1209" s="343"/>
      <c r="AG1209" s="343"/>
      <c r="AH1209" s="343"/>
      <c r="AI1209" s="343"/>
      <c r="AJ1209" s="343"/>
      <c r="AK1209" s="343"/>
      <c r="AL1209" s="343"/>
      <c r="AM1209" s="343"/>
    </row>
    <row r="1210" spans="1:39" ht="12.75" customHeight="1" thickBot="1" x14ac:dyDescent="0.3">
      <c r="A1210" s="729"/>
      <c r="B1210" s="698"/>
      <c r="C1210" s="698"/>
      <c r="D1210" s="1489"/>
      <c r="E1210" s="2891" t="str">
        <f>Translations!$B$1550</f>
        <v>Това е крайният резултат, като се вземат предвид всички промени в ефективността, ако е приложимо.</v>
      </c>
      <c r="F1210" s="2887"/>
      <c r="G1210" s="2887"/>
      <c r="H1210" s="2887"/>
      <c r="I1210" s="2887"/>
      <c r="J1210" s="2887"/>
      <c r="K1210" s="2887"/>
      <c r="L1210" s="2887"/>
      <c r="M1210" s="2887"/>
      <c r="N1210" s="2888"/>
      <c r="O1210" s="336"/>
      <c r="P1210" s="336"/>
      <c r="Q1210" s="694"/>
      <c r="R1210" s="694"/>
      <c r="S1210" s="694"/>
      <c r="T1210" s="694"/>
      <c r="U1210" s="1231"/>
      <c r="V1210" s="694"/>
      <c r="W1210" s="694"/>
      <c r="X1210" s="694"/>
      <c r="Y1210" s="694"/>
      <c r="Z1210" s="1232"/>
      <c r="AA1210" s="729"/>
      <c r="AB1210" s="729"/>
      <c r="AC1210" s="694"/>
      <c r="AD1210" s="694"/>
      <c r="AE1210" s="343"/>
      <c r="AF1210" s="343"/>
      <c r="AG1210" s="343"/>
      <c r="AH1210" s="343"/>
      <c r="AI1210" s="343"/>
      <c r="AJ1210" s="343"/>
      <c r="AK1210" s="343"/>
      <c r="AL1210" s="343"/>
      <c r="AM1210" s="343"/>
    </row>
    <row r="1211" spans="1:39" ht="12.75" customHeight="1" thickBot="1" x14ac:dyDescent="0.3">
      <c r="A1211" s="729"/>
      <c r="B1211" s="298"/>
      <c r="C1211" s="698"/>
      <c r="D1211" s="1208"/>
      <c r="E1211" s="2889" t="str">
        <f>Translations!$B$1324</f>
        <v>Действителна корекция (ако са надвишени всички прагове)</v>
      </c>
      <c r="F1211" s="2889"/>
      <c r="G1211" s="2889"/>
      <c r="H1211" s="2889"/>
      <c r="I1211" s="1490"/>
      <c r="J1211" s="1240" t="str">
        <f>IF(J1207="","",IF(J1206&gt;$Z1076,-100%,IFERROR((1+IF(OR(J1207,V1200&lt;1),J1202,IF(J1206=$Z1076,SUM(I1211),I1211)))*V1207-1,"")))</f>
        <v/>
      </c>
      <c r="K1211" s="1241" t="str">
        <f>IF(K1207="","",IF(K1206&gt;$Z1076,-100%,IFERROR((1+IF(OR(K1207,W1200&lt;1),K1202,IF(K1206=$Z1076,SUM(J1211),J1211)))*W1207-1,"")))</f>
        <v/>
      </c>
      <c r="L1211" s="1241" t="str">
        <f>IF(L1207="","",IF(L1206&gt;$Z1076,-100%,IFERROR((1+IF(OR(L1207,X1200&lt;1),L1202,IF(L1206=$Z1076,SUM(K1211),K1211)))*X1207-1,"")))</f>
        <v/>
      </c>
      <c r="M1211" s="1241" t="str">
        <f>IF(M1207="","",IF(M1206&gt;$Z1076,-100%,IFERROR((1+IF(OR(M1207,Y1200&lt;1),M1202,IF(M1206=$Z1076,SUM(L1211),L1211)))*Y1207-1,"")))</f>
        <v/>
      </c>
      <c r="N1211" s="1242" t="str">
        <f>IF(N1207="","",IF(N1206&gt;$Z1076,-100%,IFERROR((1+IF(OR(N1207,Z1200&lt;1),N1202,IF(N1206=$Z1076,SUM(M1211),M1211)))*Z1207-1,"")))</f>
        <v/>
      </c>
      <c r="O1211" s="302"/>
      <c r="P1211" s="336"/>
      <c r="Q1211" s="1190" t="str">
        <f>EUconst_CNTR_HALAdjPct &amp; I1076</f>
        <v>HALAdjPct_Подинсталация с горивен показател (без риск от ИВЕ | извън МКВЕГ)</v>
      </c>
      <c r="R1211" s="694"/>
      <c r="S1211" s="694"/>
      <c r="T1211" s="694"/>
      <c r="U1211" s="1231" t="s">
        <v>1718</v>
      </c>
      <c r="V1211" s="1243">
        <f>J1206</f>
        <v>2026</v>
      </c>
      <c r="W1211" s="1243">
        <f>K1206</f>
        <v>2027</v>
      </c>
      <c r="X1211" s="1243">
        <f>L1206</f>
        <v>2028</v>
      </c>
      <c r="Y1211" s="1243">
        <f>M1206</f>
        <v>2029</v>
      </c>
      <c r="Z1211" s="1244">
        <f>N1206</f>
        <v>2030</v>
      </c>
      <c r="AA1211" s="694"/>
      <c r="AB1211" s="729"/>
      <c r="AC1211" s="694"/>
      <c r="AD1211" s="694"/>
      <c r="AE1211" s="343"/>
      <c r="AF1211" s="343"/>
      <c r="AG1211" s="343"/>
      <c r="AH1211" s="343"/>
      <c r="AI1211" s="343"/>
      <c r="AJ1211" s="343"/>
      <c r="AK1211" s="343"/>
      <c r="AL1211" s="343"/>
      <c r="AM1211" s="343"/>
    </row>
    <row r="1212" spans="1:39" ht="12.75" customHeight="1" thickBot="1" x14ac:dyDescent="0.3">
      <c r="A1212" s="729"/>
      <c r="B1212" s="298"/>
      <c r="C1212" s="698"/>
      <c r="D1212" s="1217"/>
      <c r="E1212" s="2889" t="str">
        <f>Translations!$B$1551</f>
        <v>Действително очаквано равнище на дейност</v>
      </c>
      <c r="F1212" s="2892"/>
      <c r="G1212" s="2892"/>
      <c r="H1212" s="1210" t="str">
        <f>H1092</f>
        <v>TJ</v>
      </c>
      <c r="I1212" s="1399" t="str">
        <f>I1095</f>
        <v/>
      </c>
      <c r="J1212" s="661" t="str">
        <f>IF($M1076&lt;&gt;EUconst_Relevant,"",IF(OR(J1211="",$I1212=0,$I1212=EUconst_NA),IF(OR(J1207=TRUE,J1206&lt;=$V1076),J1095,SUM(I1212)),$I1212*(1+SUM(J1211))))</f>
        <v/>
      </c>
      <c r="K1212" s="662" t="str">
        <f>IF($M1076&lt;&gt;EUconst_Relevant,"",IF(OR(K1211="",$I1212=0,$I1212=EUconst_NA),IF(OR(K1207=TRUE,K1206&lt;=$V1076),K1095,SUM(J1212)),$I1212*(1+SUM(K1211))))</f>
        <v/>
      </c>
      <c r="L1212" s="662" t="str">
        <f>IF($M1076&lt;&gt;EUconst_Relevant,"",IF(OR(L1211="",$I1212=0,$I1212=EUconst_NA),IF(OR(L1207=TRUE,L1206&lt;=$V1076),L1095,SUM(K1212)),$I1212*(1+SUM(L1211))))</f>
        <v/>
      </c>
      <c r="M1212" s="662" t="str">
        <f>IF($M1076&lt;&gt;EUconst_Relevant,"",IF(OR(M1211="",$I1212=0,$I1212=EUconst_NA),IF(OR(M1207=TRUE,M1206&lt;=$V1076),M1095,SUM(L1212)),$I1212*(1+SUM(M1211))))</f>
        <v/>
      </c>
      <c r="N1212" s="663" t="str">
        <f>IF($M1076&lt;&gt;EUconst_Relevant,"",IF(OR(N1211="",$I1212=0,$I1212=EUconst_NA),IF(OR(N1207=TRUE,N1206&lt;=$V1076),N1095,SUM(M1212)),$I1212*(1+SUM(N1211))))</f>
        <v/>
      </c>
      <c r="O1212" s="302"/>
      <c r="P1212" s="336"/>
      <c r="Q1212" s="1190" t="str">
        <f>EUconst_CNTR_HALfinal&amp;I1076</f>
        <v>HALfinal_Подинсталация с горивен показател (без риск от ИВЕ | извън МКВЕГ)</v>
      </c>
      <c r="R1212" s="694"/>
      <c r="S1212" s="694"/>
      <c r="T1212" s="694"/>
      <c r="U1212" s="1491" t="b">
        <v>0</v>
      </c>
      <c r="V1212" s="1246" t="b">
        <f>IF(J1207=TRUE,V1093,U1212)</f>
        <v>0</v>
      </c>
      <c r="W1212" s="1246" t="b">
        <f>IF(K1207=TRUE,W1093,V1212)</f>
        <v>0</v>
      </c>
      <c r="X1212" s="1246" t="b">
        <f>IF(L1207=TRUE,X1093,W1212)</f>
        <v>0</v>
      </c>
      <c r="Y1212" s="1246" t="b">
        <f>IF(M1207=TRUE,Y1093,X1212)</f>
        <v>0</v>
      </c>
      <c r="Z1212" s="1247" t="b">
        <f>IF(N1207=TRUE,Z1093,Y1212)</f>
        <v>0</v>
      </c>
      <c r="AA1212" s="694"/>
      <c r="AB1212" s="694"/>
      <c r="AC1212" s="694"/>
      <c r="AD1212" s="694"/>
      <c r="AE1212" s="343"/>
      <c r="AF1212" s="343"/>
      <c r="AG1212" s="343"/>
      <c r="AH1212" s="343"/>
      <c r="AI1212" s="343"/>
      <c r="AJ1212" s="343"/>
      <c r="AK1212" s="1174" t="s">
        <v>2033</v>
      </c>
      <c r="AL1212" s="982" t="str">
        <f>IF(OR(ISERROR(J1212),ISERROR(K1212),ISERROR(L1212),ISERROR(M1212),ISERROR(N1212)),EUconst_Error&amp;"FB"&amp; Q1076,"")</f>
        <v/>
      </c>
      <c r="AM1212" s="343"/>
    </row>
    <row r="1213" spans="1:39" ht="5.15" customHeight="1" thickBot="1" x14ac:dyDescent="0.3">
      <c r="A1213" s="729"/>
      <c r="B1213" s="698"/>
      <c r="C1213" s="698"/>
      <c r="D1213" s="1273"/>
      <c r="E1213" s="1274"/>
      <c r="F1213" s="1274"/>
      <c r="G1213" s="1274"/>
      <c r="H1213" s="1274"/>
      <c r="I1213" s="1274"/>
      <c r="J1213" s="1274"/>
      <c r="K1213" s="1274"/>
      <c r="L1213" s="1274"/>
      <c r="M1213" s="1274"/>
      <c r="N1213" s="1276"/>
      <c r="O1213" s="336"/>
      <c r="P1213" s="336"/>
      <c r="Q1213" s="694"/>
      <c r="R1213" s="694"/>
      <c r="S1213" s="694"/>
      <c r="T1213" s="694"/>
      <c r="U1213" s="694"/>
      <c r="V1213" s="694"/>
      <c r="W1213" s="694"/>
      <c r="X1213" s="694"/>
      <c r="Y1213" s="694"/>
      <c r="Z1213" s="694"/>
      <c r="AA1213" s="694"/>
      <c r="AB1213" s="729"/>
      <c r="AC1213" s="694"/>
      <c r="AD1213" s="694"/>
      <c r="AE1213" s="343"/>
      <c r="AF1213" s="343"/>
      <c r="AG1213" s="343"/>
      <c r="AH1213" s="343"/>
      <c r="AI1213" s="343"/>
      <c r="AJ1213" s="343"/>
      <c r="AK1213" s="343"/>
      <c r="AL1213" s="343"/>
      <c r="AM1213" s="343"/>
    </row>
    <row r="1214" spans="1:39" ht="12.75" customHeight="1" thickBot="1" x14ac:dyDescent="0.3">
      <c r="A1214" s="729"/>
      <c r="B1214" s="698"/>
      <c r="C1214" s="698"/>
      <c r="D1214" s="698"/>
      <c r="E1214" s="698"/>
      <c r="F1214" s="698"/>
      <c r="G1214" s="698"/>
      <c r="H1214" s="698"/>
      <c r="I1214" s="698"/>
      <c r="J1214" s="698"/>
      <c r="K1214" s="698"/>
      <c r="L1214" s="698"/>
      <c r="M1214" s="698"/>
      <c r="N1214" s="698"/>
      <c r="O1214" s="336"/>
      <c r="P1214" s="336"/>
      <c r="Q1214" s="694"/>
      <c r="R1214" s="694"/>
      <c r="S1214" s="694"/>
      <c r="T1214" s="694"/>
      <c r="U1214" s="694"/>
      <c r="V1214" s="694"/>
      <c r="W1214" s="694"/>
      <c r="X1214" s="694"/>
      <c r="Y1214" s="694"/>
      <c r="Z1214" s="694"/>
      <c r="AA1214" s="694"/>
      <c r="AB1214" s="729"/>
      <c r="AC1214" s="694"/>
      <c r="AD1214" s="694"/>
      <c r="AE1214" s="343"/>
      <c r="AF1214" s="343"/>
      <c r="AG1214" s="343"/>
      <c r="AH1214" s="343"/>
      <c r="AI1214" s="343"/>
      <c r="AJ1214" s="343"/>
      <c r="AK1214" s="343"/>
      <c r="AL1214" s="343"/>
      <c r="AM1214" s="343"/>
    </row>
    <row r="1215" spans="1:39" ht="5.15" customHeight="1" x14ac:dyDescent="0.25">
      <c r="A1215" s="729"/>
      <c r="B1215" s="284"/>
      <c r="C1215" s="1492"/>
      <c r="D1215" s="1493"/>
      <c r="E1215" s="1493"/>
      <c r="F1215" s="1493"/>
      <c r="G1215" s="1493"/>
      <c r="H1215" s="1493"/>
      <c r="I1215" s="1493"/>
      <c r="J1215" s="1493"/>
      <c r="K1215" s="1493"/>
      <c r="L1215" s="1493"/>
      <c r="M1215" s="1494"/>
      <c r="N1215" s="1495"/>
      <c r="O1215" s="336"/>
      <c r="P1215" s="336"/>
      <c r="Q1215" s="770"/>
      <c r="R1215" s="694"/>
      <c r="S1215" s="770"/>
      <c r="T1215" s="770"/>
      <c r="U1215" s="694"/>
      <c r="V1215" s="694"/>
      <c r="W1215" s="694"/>
      <c r="X1215" s="694"/>
      <c r="Y1215" s="694"/>
      <c r="Z1215" s="694"/>
      <c r="AA1215" s="694"/>
      <c r="AB1215" s="694"/>
      <c r="AC1215" s="694"/>
      <c r="AD1215" s="694"/>
      <c r="AE1215" s="343"/>
      <c r="AF1215" s="343"/>
      <c r="AG1215" s="343"/>
      <c r="AH1215" s="343"/>
      <c r="AI1215" s="343"/>
      <c r="AJ1215" s="343"/>
      <c r="AK1215" s="343"/>
      <c r="AL1215" s="343"/>
      <c r="AM1215" s="343"/>
    </row>
    <row r="1216" spans="1:39" ht="15" customHeight="1" x14ac:dyDescent="0.25">
      <c r="A1216" s="729"/>
      <c r="B1216" s="698"/>
      <c r="C1216" s="1496"/>
      <c r="D1216" s="2857" t="str">
        <f>Translations!$B$502</f>
        <v>Данни, необходими за определяне на нивото на подобрение на продуктовите показатели съгласно 10а, параграф 2 от Директивата за СТЕ на ЕС</v>
      </c>
      <c r="E1216" s="2851"/>
      <c r="F1216" s="2851"/>
      <c r="G1216" s="2851"/>
      <c r="H1216" s="2851"/>
      <c r="I1216" s="2851"/>
      <c r="J1216" s="2851"/>
      <c r="K1216" s="2851"/>
      <c r="L1216" s="2851"/>
      <c r="M1216" s="2851"/>
      <c r="N1216" s="2852"/>
      <c r="O1216" s="336"/>
      <c r="P1216" s="336"/>
      <c r="Q1216" s="694"/>
      <c r="R1216" s="694"/>
      <c r="S1216" s="770"/>
      <c r="T1216" s="770"/>
      <c r="U1216" s="694"/>
      <c r="V1216" s="694"/>
      <c r="W1216" s="694"/>
      <c r="X1216" s="694"/>
      <c r="Y1216" s="694"/>
      <c r="Z1216" s="694"/>
      <c r="AA1216" s="694"/>
      <c r="AB1216" s="694"/>
      <c r="AC1216" s="694"/>
      <c r="AD1216" s="694"/>
      <c r="AE1216" s="343"/>
      <c r="AF1216" s="343"/>
      <c r="AG1216" s="343"/>
      <c r="AH1216" s="343"/>
      <c r="AI1216" s="343"/>
      <c r="AJ1216" s="343"/>
      <c r="AK1216" s="343"/>
      <c r="AL1216" s="343"/>
      <c r="AM1216" s="343"/>
    </row>
    <row r="1217" spans="1:39" ht="5.15" customHeight="1" x14ac:dyDescent="0.25">
      <c r="A1217" s="729"/>
      <c r="B1217" s="698"/>
      <c r="C1217" s="1303"/>
      <c r="D1217" s="1304"/>
      <c r="E1217" s="1304"/>
      <c r="F1217" s="1304"/>
      <c r="G1217" s="1304"/>
      <c r="H1217" s="1304"/>
      <c r="I1217" s="1304"/>
      <c r="J1217" s="1304"/>
      <c r="K1217" s="1304"/>
      <c r="L1217" s="1304"/>
      <c r="M1217" s="1304"/>
      <c r="N1217" s="1305"/>
      <c r="O1217" s="336"/>
      <c r="P1217" s="336"/>
      <c r="Q1217" s="694"/>
      <c r="R1217" s="694"/>
      <c r="S1217" s="770"/>
      <c r="T1217" s="770"/>
      <c r="U1217" s="694"/>
      <c r="V1217" s="694"/>
      <c r="W1217" s="694"/>
      <c r="X1217" s="694"/>
      <c r="Y1217" s="694"/>
      <c r="Z1217" s="694"/>
      <c r="AA1217" s="694"/>
      <c r="AB1217" s="694"/>
      <c r="AC1217" s="694"/>
      <c r="AD1217" s="694"/>
      <c r="AE1217" s="343"/>
      <c r="AF1217" s="343"/>
      <c r="AG1217" s="343"/>
      <c r="AH1217" s="343"/>
      <c r="AI1217" s="343"/>
      <c r="AJ1217" s="343"/>
      <c r="AK1217" s="343"/>
      <c r="AL1217" s="343"/>
      <c r="AM1217" s="343"/>
    </row>
    <row r="1218" spans="1:39" ht="15" customHeight="1" x14ac:dyDescent="0.25">
      <c r="A1218" s="729"/>
      <c r="B1218" s="698"/>
      <c r="C1218" s="1303"/>
      <c r="D1218" s="2841" t="str">
        <f>EUconst_FBSubinst &amp; ":"</f>
        <v>Алтернативна подинсталация („Fall-Back sub-installation“):</v>
      </c>
      <c r="E1218" s="2839"/>
      <c r="F1218" s="2839"/>
      <c r="G1218" s="2839"/>
      <c r="H1218" s="2842"/>
      <c r="I1218" s="2843" t="str">
        <f>I1076</f>
        <v>Подинсталация с горивен показател (без риск от ИВЕ | извън МКВЕГ)</v>
      </c>
      <c r="J1218" s="2844"/>
      <c r="K1218" s="2844"/>
      <c r="L1218" s="2844"/>
      <c r="M1218" s="2844"/>
      <c r="N1218" s="2845"/>
      <c r="O1218" s="336"/>
      <c r="P1218" s="336"/>
      <c r="Q1218" s="694"/>
      <c r="R1218" s="694"/>
      <c r="S1218" s="770"/>
      <c r="T1218" s="770"/>
      <c r="U1218" s="694"/>
      <c r="V1218" s="694"/>
      <c r="W1218" s="694"/>
      <c r="X1218" s="694"/>
      <c r="Y1218" s="694"/>
      <c r="Z1218" s="694"/>
      <c r="AA1218" s="694"/>
      <c r="AB1218" s="694"/>
      <c r="AC1218" s="694"/>
      <c r="AD1218" s="694"/>
      <c r="AE1218" s="343"/>
      <c r="AF1218" s="343"/>
      <c r="AG1218" s="343"/>
      <c r="AH1218" s="343"/>
      <c r="AI1218" s="343"/>
      <c r="AJ1218" s="343"/>
      <c r="AK1218" s="343"/>
      <c r="AL1218" s="343"/>
      <c r="AM1218" s="343"/>
    </row>
    <row r="1219" spans="1:39" ht="5.15" customHeight="1" x14ac:dyDescent="0.25">
      <c r="A1219" s="729"/>
      <c r="B1219" s="698"/>
      <c r="C1219" s="1303"/>
      <c r="D1219" s="1304"/>
      <c r="E1219" s="1304"/>
      <c r="F1219" s="1304"/>
      <c r="G1219" s="1304"/>
      <c r="H1219" s="1304"/>
      <c r="I1219" s="1304"/>
      <c r="J1219" s="1304"/>
      <c r="K1219" s="1304"/>
      <c r="L1219" s="1304"/>
      <c r="M1219" s="1304"/>
      <c r="N1219" s="1305"/>
      <c r="O1219" s="336"/>
      <c r="P1219" s="336"/>
      <c r="Q1219" s="694"/>
      <c r="R1219" s="694"/>
      <c r="S1219" s="770"/>
      <c r="T1219" s="770"/>
      <c r="U1219" s="694"/>
      <c r="V1219" s="694"/>
      <c r="W1219" s="694"/>
      <c r="X1219" s="694"/>
      <c r="Y1219" s="694"/>
      <c r="Z1219" s="694"/>
      <c r="AA1219" s="694"/>
      <c r="AB1219" s="694"/>
      <c r="AC1219" s="694"/>
      <c r="AD1219" s="694"/>
      <c r="AE1219" s="343"/>
      <c r="AF1219" s="343"/>
      <c r="AG1219" s="343"/>
      <c r="AH1219" s="343"/>
      <c r="AI1219" s="343"/>
      <c r="AJ1219" s="343"/>
      <c r="AK1219" s="343"/>
      <c r="AL1219" s="343"/>
      <c r="AM1219" s="343"/>
    </row>
    <row r="1220" spans="1:39" ht="12.75" customHeight="1" x14ac:dyDescent="0.25">
      <c r="A1220" s="729"/>
      <c r="B1220" s="284"/>
      <c r="C1220" s="1496"/>
      <c r="D1220" s="1307" t="s">
        <v>46</v>
      </c>
      <c r="E1220" s="2850" t="str">
        <f>Translations!$B$626</f>
        <v>Емисии, които могат се зададат пряко (DirEm*) на тази подинсталация</v>
      </c>
      <c r="F1220" s="2851"/>
      <c r="G1220" s="2851"/>
      <c r="H1220" s="2851"/>
      <c r="I1220" s="2851"/>
      <c r="J1220" s="2851"/>
      <c r="K1220" s="2851"/>
      <c r="L1220" s="2851"/>
      <c r="M1220" s="2851"/>
      <c r="N1220" s="2852"/>
      <c r="O1220" s="336"/>
      <c r="P1220" s="336"/>
      <c r="Q1220" s="770"/>
      <c r="R1220" s="694"/>
      <c r="S1220" s="770"/>
      <c r="T1220" s="770"/>
      <c r="U1220" s="694"/>
      <c r="V1220" s="694"/>
      <c r="W1220" s="694"/>
      <c r="X1220" s="694"/>
      <c r="Y1220" s="694"/>
      <c r="Z1220" s="694"/>
      <c r="AA1220" s="694"/>
      <c r="AB1220" s="694"/>
      <c r="AC1220" s="694"/>
      <c r="AD1220" s="694"/>
      <c r="AE1220" s="343"/>
      <c r="AF1220" s="343"/>
      <c r="AG1220" s="343"/>
      <c r="AH1220" s="343"/>
      <c r="AI1220" s="343"/>
      <c r="AJ1220" s="343"/>
      <c r="AK1220" s="343"/>
      <c r="AL1220" s="343"/>
      <c r="AM1220" s="343"/>
    </row>
    <row r="1221" spans="1:39" ht="12.75" customHeight="1" x14ac:dyDescent="0.25">
      <c r="A1221" s="729"/>
      <c r="B1221" s="284"/>
      <c r="C1221" s="1496"/>
      <c r="D1221" s="1307"/>
      <c r="E1221" s="2927" t="str">
        <f>Translations!$B$508</f>
        <v>Посочените тук данни ще се отразят на емисиите, които могат да бъдат зададени съгласно раздел 10.1.1 от приложение VII към ПБР.</v>
      </c>
      <c r="F1221" s="2927"/>
      <c r="G1221" s="2927"/>
      <c r="H1221" s="2927"/>
      <c r="I1221" s="2927"/>
      <c r="J1221" s="2927"/>
      <c r="K1221" s="2927"/>
      <c r="L1221" s="2927"/>
      <c r="M1221" s="2927"/>
      <c r="N1221" s="2928"/>
      <c r="O1221" s="336"/>
      <c r="P1221" s="336"/>
      <c r="Q1221" s="770"/>
      <c r="R1221" s="694"/>
      <c r="S1221" s="770"/>
      <c r="T1221" s="770"/>
      <c r="U1221" s="694"/>
      <c r="V1221" s="694"/>
      <c r="W1221" s="694"/>
      <c r="X1221" s="694"/>
      <c r="Y1221" s="694"/>
      <c r="Z1221" s="694"/>
      <c r="AA1221" s="694"/>
      <c r="AB1221" s="694"/>
      <c r="AC1221" s="694"/>
      <c r="AD1221" s="694"/>
      <c r="AE1221" s="343"/>
      <c r="AF1221" s="343"/>
      <c r="AG1221" s="343"/>
      <c r="AH1221" s="343"/>
      <c r="AI1221" s="343"/>
      <c r="AJ1221" s="343"/>
      <c r="AK1221" s="343"/>
      <c r="AL1221" s="343"/>
      <c r="AM1221" s="343"/>
    </row>
    <row r="1222" spans="1:39" ht="25.5" customHeight="1" x14ac:dyDescent="0.25">
      <c r="A1222" s="729"/>
      <c r="B1222" s="284"/>
      <c r="C1222" s="1496"/>
      <c r="D1222" s="1497"/>
      <c r="E1222" s="2836" t="str">
        <f>Translations!$B$660</f>
        <v>Моля, тук въведете преките емисии, за които се извършва мониторинг в съответствие с плана за мониторинг, одобрен съгласно Регламента относно мониторинга и докладването (РМД), т.е. като се отчитат емисиите, получени по методики, основани на изчисления (като се използват пораждащите емисии потоци), по базиращи се на измервания методики (БИМ), както и по подходи без подреждане („fall-backs“).</v>
      </c>
      <c r="F1222" s="2836"/>
      <c r="G1222" s="2836"/>
      <c r="H1222" s="2836"/>
      <c r="I1222" s="2836"/>
      <c r="J1222" s="2836"/>
      <c r="K1222" s="2836"/>
      <c r="L1222" s="2836"/>
      <c r="M1222" s="2836"/>
      <c r="N1222" s="2837"/>
      <c r="O1222" s="336"/>
      <c r="P1222" s="336"/>
      <c r="Q1222" s="770"/>
      <c r="R1222" s="694"/>
      <c r="S1222" s="770"/>
      <c r="T1222" s="694"/>
      <c r="U1222" s="694"/>
      <c r="V1222" s="694"/>
      <c r="W1222" s="694"/>
      <c r="X1222" s="694"/>
      <c r="Y1222" s="694"/>
      <c r="Z1222" s="694"/>
      <c r="AA1222" s="694"/>
      <c r="AB1222" s="694"/>
      <c r="AC1222" s="694"/>
      <c r="AD1222" s="694"/>
      <c r="AE1222" s="343"/>
      <c r="AF1222" s="343"/>
      <c r="AG1222" s="343"/>
      <c r="AH1222" s="343"/>
      <c r="AI1222" s="343"/>
      <c r="AJ1222" s="343"/>
      <c r="AK1222" s="343"/>
      <c r="AL1222" s="343"/>
      <c r="AM1222" s="343"/>
    </row>
    <row r="1223" spans="1:39" ht="25.5" customHeight="1" thickBot="1" x14ac:dyDescent="0.3">
      <c r="A1223" s="729"/>
      <c r="B1223" s="284"/>
      <c r="C1223" s="1496"/>
      <c r="D1223" s="1497"/>
      <c r="E1223" s="2836" t="str">
        <f>Translations!$B$661</f>
        <v>Емисиите от горене на отпадни газове обаче не се включват тук, а в точка d).iii по-долу.</v>
      </c>
      <c r="F1223" s="2836"/>
      <c r="G1223" s="2836"/>
      <c r="H1223" s="2836"/>
      <c r="I1223" s="2836"/>
      <c r="J1223" s="2836"/>
      <c r="K1223" s="2836"/>
      <c r="L1223" s="2836"/>
      <c r="M1223" s="2836"/>
      <c r="N1223" s="2837"/>
      <c r="O1223" s="336"/>
      <c r="P1223" s="336"/>
      <c r="Q1223" s="770"/>
      <c r="R1223" s="694"/>
      <c r="S1223" s="770"/>
      <c r="T1223" s="694"/>
      <c r="U1223" s="694"/>
      <c r="V1223" s="694"/>
      <c r="W1223" s="694"/>
      <c r="X1223" s="694"/>
      <c r="Y1223" s="694"/>
      <c r="Z1223" s="694"/>
      <c r="AA1223" s="694"/>
      <c r="AB1223" s="729"/>
      <c r="AC1223" s="729"/>
      <c r="AD1223" s="729"/>
      <c r="AE1223" s="729"/>
      <c r="AF1223" s="729"/>
      <c r="AG1223" s="729"/>
      <c r="AH1223" s="729"/>
      <c r="AI1223" s="729"/>
      <c r="AJ1223" s="729"/>
      <c r="AK1223" s="729"/>
      <c r="AL1223" s="729"/>
      <c r="AM1223" s="343"/>
    </row>
    <row r="1224" spans="1:39" ht="12.75" customHeight="1" thickBot="1" x14ac:dyDescent="0.3">
      <c r="A1224" s="729"/>
      <c r="B1224" s="284"/>
      <c r="C1224" s="1496"/>
      <c r="D1224" s="1307"/>
      <c r="E1224" s="1317" t="str">
        <f>Translations!$B$486</f>
        <v>Общо преки емисии</v>
      </c>
      <c r="F1224" s="1318"/>
      <c r="G1224" s="1309" t="str">
        <f>EUconst_Unit</f>
        <v>Единица мярка</v>
      </c>
      <c r="H1224" s="629">
        <f t="shared" ref="H1224:N1224" si="1854">H$1840</f>
        <v>2024</v>
      </c>
      <c r="I1224" s="629">
        <f t="shared" si="1854"/>
        <v>2025</v>
      </c>
      <c r="J1224" s="629">
        <f t="shared" si="1854"/>
        <v>2026</v>
      </c>
      <c r="K1224" s="629">
        <f t="shared" si="1854"/>
        <v>2027</v>
      </c>
      <c r="L1224" s="629">
        <f t="shared" si="1854"/>
        <v>2028</v>
      </c>
      <c r="M1224" s="629">
        <f t="shared" si="1854"/>
        <v>2029</v>
      </c>
      <c r="N1224" s="1312">
        <f t="shared" si="1854"/>
        <v>2030</v>
      </c>
      <c r="O1224" s="336"/>
      <c r="P1224" s="336"/>
      <c r="Q1224" s="770"/>
      <c r="R1224" s="694"/>
      <c r="S1224" s="1499"/>
      <c r="T1224" s="1313">
        <f t="shared" ref="T1224" si="1855">H1224</f>
        <v>2024</v>
      </c>
      <c r="U1224" s="1313">
        <f t="shared" ref="U1224" si="1856">I1224</f>
        <v>2025</v>
      </c>
      <c r="V1224" s="1313">
        <f t="shared" ref="V1224" si="1857">J1224</f>
        <v>2026</v>
      </c>
      <c r="W1224" s="1313">
        <f t="shared" ref="W1224" si="1858">K1224</f>
        <v>2027</v>
      </c>
      <c r="X1224" s="1313">
        <f t="shared" ref="X1224" si="1859">L1224</f>
        <v>2028</v>
      </c>
      <c r="Y1224" s="1313">
        <f t="shared" ref="Y1224" si="1860">M1224</f>
        <v>2029</v>
      </c>
      <c r="Z1224" s="1314">
        <f t="shared" ref="Z1224" si="1861">N1224</f>
        <v>2030</v>
      </c>
      <c r="AA1224" s="694"/>
      <c r="AB1224" s="694"/>
      <c r="AC1224" s="1178">
        <f t="shared" ref="AC1224" si="1862">H$1840</f>
        <v>2024</v>
      </c>
      <c r="AD1224" s="1178">
        <f t="shared" ref="AD1224" si="1863">I$1840</f>
        <v>2025</v>
      </c>
      <c r="AE1224" s="1178">
        <f t="shared" ref="AE1224" si="1864">J$1840</f>
        <v>2026</v>
      </c>
      <c r="AF1224" s="1178">
        <f t="shared" ref="AF1224" si="1865">K$1840</f>
        <v>2027</v>
      </c>
      <c r="AG1224" s="1178">
        <f t="shared" ref="AG1224" si="1866">L$1840</f>
        <v>2028</v>
      </c>
      <c r="AH1224" s="1178">
        <f t="shared" ref="AH1224" si="1867">M$1840</f>
        <v>2029</v>
      </c>
      <c r="AI1224" s="1178">
        <f t="shared" ref="AI1224" si="1868">N$1840</f>
        <v>2030</v>
      </c>
      <c r="AJ1224" s="729"/>
      <c r="AK1224" s="729"/>
      <c r="AL1224" s="729"/>
      <c r="AM1224" s="343"/>
    </row>
    <row r="1225" spans="1:39" ht="12.75" customHeight="1" thickBot="1" x14ac:dyDescent="0.35">
      <c r="A1225" s="729"/>
      <c r="B1225" s="284"/>
      <c r="C1225" s="1496"/>
      <c r="D1225" s="1497"/>
      <c r="E1225" s="2814" t="str">
        <f>I1218</f>
        <v>Подинсталация с горивен показател (без риск от ИВЕ | извън МКВЕГ)</v>
      </c>
      <c r="F1225" s="2258"/>
      <c r="G1225" s="642" t="str">
        <f>EUconst_tCO2epa</f>
        <v>t CO2e/година</v>
      </c>
      <c r="H1225" s="179"/>
      <c r="I1225" s="179"/>
      <c r="J1225" s="179"/>
      <c r="K1225" s="179"/>
      <c r="L1225" s="179"/>
      <c r="M1225" s="179"/>
      <c r="N1225" s="180"/>
      <c r="O1225" s="336"/>
      <c r="P1225" s="336"/>
      <c r="Q1225" s="1500" t="str">
        <f>EUconst_CNTR_Emissions &amp; I1218</f>
        <v>DirEmissions_Подинсталация с горивен показател (без риск от ИВЕ | извън МКВЕГ)</v>
      </c>
      <c r="R1225" s="694"/>
      <c r="S1225" s="1501" t="str">
        <f>EUconst_CNTR_AttributedEmissions &amp; I1218</f>
        <v>AttrEmissions_Подинсталация с горивен показател (без риск от ИВЕ | извън МКВЕГ)</v>
      </c>
      <c r="T1225" s="1290" t="str">
        <f>IF(T1084,SUM(H1225),"")</f>
        <v/>
      </c>
      <c r="U1225" s="1290" t="str">
        <f t="shared" ref="U1225" si="1869">IF(U1084,SUM(I1225),"")</f>
        <v/>
      </c>
      <c r="V1225" s="1290" t="str">
        <f t="shared" ref="V1225" si="1870">IF(V1084,SUM(J1225),"")</f>
        <v/>
      </c>
      <c r="W1225" s="1290" t="str">
        <f t="shared" ref="W1225" si="1871">IF(W1084,SUM(K1225),"")</f>
        <v/>
      </c>
      <c r="X1225" s="1290" t="str">
        <f t="shared" ref="X1225" si="1872">IF(X1084,SUM(L1225),"")</f>
        <v/>
      </c>
      <c r="Y1225" s="1290" t="str">
        <f t="shared" ref="Y1225" si="1873">IF(Y1084,SUM(M1225),"")</f>
        <v/>
      </c>
      <c r="Z1225" s="1291" t="str">
        <f t="shared" ref="Z1225" si="1874">IF(Z1084,SUM(N1225),"")</f>
        <v/>
      </c>
      <c r="AA1225" s="694"/>
      <c r="AB1225" s="1182" t="s">
        <v>737</v>
      </c>
      <c r="AC1225" s="1183" t="b">
        <f t="shared" ref="AC1225" si="1875">IF(CNTR_ExistSubInstEntries,OR($M1076&lt;&gt;EUconst_Relevant,AC1224&gt;=CNTR_ReportingYear,AC1224&lt;$V1076-1),FALSE)</f>
        <v>0</v>
      </c>
      <c r="AD1225" s="1184" t="b">
        <f t="shared" ref="AD1225" si="1876">IF(CNTR_ExistSubInstEntries,OR($M1076&lt;&gt;EUconst_Relevant,AD1224&gt;=CNTR_ReportingYear,AD1224&lt;$V1076-1),FALSE)</f>
        <v>0</v>
      </c>
      <c r="AE1225" s="1184" t="b">
        <f t="shared" ref="AE1225" si="1877">IF(CNTR_ExistSubInstEntries,OR($M1076&lt;&gt;EUconst_Relevant,AE1224&gt;=CNTR_ReportingYear,AE1224&lt;$V1076-1),FALSE)</f>
        <v>0</v>
      </c>
      <c r="AF1225" s="1184" t="b">
        <f t="shared" ref="AF1225" si="1878">IF(CNTR_ExistSubInstEntries,OR($M1076&lt;&gt;EUconst_Relevant,AF1224&gt;=CNTR_ReportingYear,AF1224&lt;$V1076-1),FALSE)</f>
        <v>0</v>
      </c>
      <c r="AG1225" s="1184" t="b">
        <f t="shared" ref="AG1225" si="1879">IF(CNTR_ExistSubInstEntries,OR($M1076&lt;&gt;EUconst_Relevant,AG1224&gt;=CNTR_ReportingYear,AG1224&lt;$V1076-1),FALSE)</f>
        <v>0</v>
      </c>
      <c r="AH1225" s="1184" t="b">
        <f t="shared" ref="AH1225" si="1880">IF(CNTR_ExistSubInstEntries,OR($M1076&lt;&gt;EUconst_Relevant,AH1224&gt;=CNTR_ReportingYear,AH1224&lt;$V1076-1),FALSE)</f>
        <v>0</v>
      </c>
      <c r="AI1225" s="1185" t="b">
        <f t="shared" ref="AI1225" si="1881">IF(CNTR_ExistSubInstEntries,OR($M1076&lt;&gt;EUconst_Relevant,AI1224&gt;=CNTR_ReportingYear,AI1224&lt;$V1076-1),FALSE)</f>
        <v>0</v>
      </c>
      <c r="AJ1225" s="729"/>
      <c r="AK1225" s="1174" t="s">
        <v>2039</v>
      </c>
      <c r="AL1225" s="1176" t="str">
        <f>IF(AND(CNTR_ExistSubInstEntries,COUNTIFS(AC1225:AI1225,2,H1225:N1225,"")&gt;0),EUconst_Error&amp;"FB"&amp;Q1098,"")</f>
        <v/>
      </c>
      <c r="AM1225" s="343"/>
    </row>
    <row r="1226" spans="1:39" ht="5.15" customHeight="1" x14ac:dyDescent="0.25">
      <c r="A1226" s="729"/>
      <c r="B1226" s="284"/>
      <c r="C1226" s="1496"/>
      <c r="D1226" s="1497"/>
      <c r="E1226" s="1497"/>
      <c r="F1226" s="1497"/>
      <c r="G1226" s="1497"/>
      <c r="H1226" s="1497"/>
      <c r="I1226" s="1497"/>
      <c r="J1226" s="1497"/>
      <c r="K1226" s="1497"/>
      <c r="L1226" s="1497"/>
      <c r="M1226" s="1497"/>
      <c r="N1226" s="1503"/>
      <c r="O1226" s="336"/>
      <c r="P1226" s="336"/>
      <c r="Q1226" s="770"/>
      <c r="R1226" s="694"/>
      <c r="S1226" s="770"/>
      <c r="T1226" s="694"/>
      <c r="U1226" s="694"/>
      <c r="V1226" s="694"/>
      <c r="W1226" s="694"/>
      <c r="X1226" s="694"/>
      <c r="Y1226" s="694"/>
      <c r="Z1226" s="694"/>
      <c r="AA1226" s="694"/>
      <c r="AB1226" s="729"/>
      <c r="AC1226" s="729"/>
      <c r="AD1226" s="729"/>
      <c r="AE1226" s="729"/>
      <c r="AF1226" s="729"/>
      <c r="AG1226" s="729"/>
      <c r="AH1226" s="729"/>
      <c r="AI1226" s="729"/>
      <c r="AJ1226" s="729"/>
      <c r="AK1226" s="729"/>
      <c r="AL1226" s="729"/>
      <c r="AM1226" s="343"/>
    </row>
    <row r="1227" spans="1:39" ht="12.75" customHeight="1" x14ac:dyDescent="0.25">
      <c r="A1227" s="729"/>
      <c r="B1227" s="284"/>
      <c r="C1227" s="1496"/>
      <c r="D1227" s="1307" t="s">
        <v>906</v>
      </c>
      <c r="E1227" s="2815" t="str">
        <f>Translations!$B$518</f>
        <v>Вложени горива в тази подинсталация и съответния емисионен фактор</v>
      </c>
      <c r="F1227" s="2240"/>
      <c r="G1227" s="2240"/>
      <c r="H1227" s="2240"/>
      <c r="I1227" s="2240"/>
      <c r="J1227" s="2240"/>
      <c r="K1227" s="2240"/>
      <c r="L1227" s="2240"/>
      <c r="M1227" s="2240"/>
      <c r="N1227" s="2811"/>
      <c r="O1227" s="336"/>
      <c r="P1227" s="336"/>
      <c r="Q1227" s="694"/>
      <c r="R1227" s="694"/>
      <c r="S1227" s="770"/>
      <c r="T1227" s="694"/>
      <c r="U1227" s="694"/>
      <c r="V1227" s="694"/>
      <c r="W1227" s="694"/>
      <c r="X1227" s="694"/>
      <c r="Y1227" s="694"/>
      <c r="Z1227" s="694"/>
      <c r="AA1227" s="694"/>
      <c r="AB1227" s="729"/>
      <c r="AC1227" s="729"/>
      <c r="AD1227" s="729"/>
      <c r="AE1227" s="729"/>
      <c r="AF1227" s="729"/>
      <c r="AG1227" s="729"/>
      <c r="AH1227" s="729"/>
      <c r="AI1227" s="729"/>
      <c r="AJ1227" s="729"/>
      <c r="AK1227" s="729"/>
      <c r="AL1227" s="729"/>
      <c r="AM1227" s="343"/>
    </row>
    <row r="1228" spans="1:39" ht="12.75" customHeight="1" x14ac:dyDescent="0.25">
      <c r="A1228" s="729"/>
      <c r="B1228" s="284"/>
      <c r="C1228" s="1496"/>
      <c r="D1228" s="1497"/>
      <c r="E1228" s="2810" t="str">
        <f>Translations!$B$662</f>
        <v>Стойностите за i. и ii. се генерират автоматично въз основа на данните, въведени в точки a) и c) по-горе.</v>
      </c>
      <c r="F1228" s="2240"/>
      <c r="G1228" s="2240"/>
      <c r="H1228" s="2240"/>
      <c r="I1228" s="2240"/>
      <c r="J1228" s="2240"/>
      <c r="K1228" s="2240"/>
      <c r="L1228" s="2240"/>
      <c r="M1228" s="2240"/>
      <c r="N1228" s="2811"/>
      <c r="O1228" s="336"/>
      <c r="P1228" s="336"/>
      <c r="Q1228" s="770"/>
      <c r="R1228" s="694"/>
      <c r="S1228" s="770"/>
      <c r="T1228" s="694"/>
      <c r="U1228" s="694"/>
      <c r="V1228" s="694"/>
      <c r="W1228" s="694"/>
      <c r="X1228" s="694"/>
      <c r="Y1228" s="694"/>
      <c r="Z1228" s="694"/>
      <c r="AA1228" s="694"/>
      <c r="AB1228" s="729"/>
      <c r="AC1228" s="729"/>
      <c r="AD1228" s="729"/>
      <c r="AE1228" s="729"/>
      <c r="AF1228" s="729"/>
      <c r="AG1228" s="729"/>
      <c r="AH1228" s="729"/>
      <c r="AI1228" s="729"/>
      <c r="AJ1228" s="729"/>
      <c r="AK1228" s="729"/>
      <c r="AL1228" s="729"/>
      <c r="AM1228" s="343"/>
    </row>
    <row r="1229" spans="1:39" ht="12.75" customHeight="1" x14ac:dyDescent="0.25">
      <c r="A1229" s="729"/>
      <c r="B1229" s="284"/>
      <c r="C1229" s="1496"/>
      <c r="D1229" s="1497"/>
      <c r="E1229" s="2810" t="str">
        <f>Translations!$B$663</f>
        <v>В iii. и iv. трябва да въведете съответно вложеното гориво от отпадни газове и съответния емисионен фактор.</v>
      </c>
      <c r="F1229" s="2240"/>
      <c r="G1229" s="2240"/>
      <c r="H1229" s="2240"/>
      <c r="I1229" s="2240"/>
      <c r="J1229" s="2240"/>
      <c r="K1229" s="2240"/>
      <c r="L1229" s="2240"/>
      <c r="M1229" s="2240"/>
      <c r="N1229" s="2811"/>
      <c r="O1229" s="336"/>
      <c r="P1229" s="336"/>
      <c r="Q1229" s="770"/>
      <c r="R1229" s="694"/>
      <c r="S1229" s="770"/>
      <c r="T1229" s="694"/>
      <c r="U1229" s="694"/>
      <c r="V1229" s="694"/>
      <c r="W1229" s="694"/>
      <c r="X1229" s="694"/>
      <c r="Y1229" s="694"/>
      <c r="Z1229" s="694"/>
      <c r="AA1229" s="694"/>
      <c r="AB1229" s="729"/>
      <c r="AC1229" s="729"/>
      <c r="AD1229" s="729"/>
      <c r="AE1229" s="729"/>
      <c r="AF1229" s="729"/>
      <c r="AG1229" s="729"/>
      <c r="AH1229" s="729"/>
      <c r="AI1229" s="729"/>
      <c r="AJ1229" s="729"/>
      <c r="AK1229" s="729"/>
      <c r="AL1229" s="729"/>
      <c r="AM1229" s="343"/>
    </row>
    <row r="1230" spans="1:39" ht="25.5" customHeight="1" x14ac:dyDescent="0.25">
      <c r="A1230" s="729"/>
      <c r="B1230" s="284"/>
      <c r="C1230" s="1496"/>
      <c r="D1230" s="1497"/>
      <c r="E1230" s="2810" t="str">
        <f>Translations!$B$1558</f>
        <v>В подточки iv. и vi. трябва да се въведат съответно вложената електроенергия за първичната цел за производство на топлинна енергия и съответният емисионен фактор. Емисионният фактор обаче често може да не е ясно определен или да не е известен. Поради това въвеждането на съответните данни тук не е задължително.</v>
      </c>
      <c r="F1230" s="2240"/>
      <c r="G1230" s="2240"/>
      <c r="H1230" s="2240"/>
      <c r="I1230" s="2240"/>
      <c r="J1230" s="2240"/>
      <c r="K1230" s="2240"/>
      <c r="L1230" s="2240"/>
      <c r="M1230" s="2240"/>
      <c r="N1230" s="2811"/>
      <c r="O1230" s="336"/>
      <c r="P1230" s="336"/>
      <c r="Q1230" s="770"/>
      <c r="R1230" s="694"/>
      <c r="S1230" s="770"/>
      <c r="T1230" s="694"/>
      <c r="U1230" s="694"/>
      <c r="V1230" s="694"/>
      <c r="W1230" s="694"/>
      <c r="X1230" s="694"/>
      <c r="Y1230" s="694"/>
      <c r="Z1230" s="694"/>
      <c r="AA1230" s="694"/>
      <c r="AB1230" s="729"/>
      <c r="AC1230" s="729"/>
      <c r="AD1230" s="729"/>
      <c r="AE1230" s="729"/>
      <c r="AF1230" s="729"/>
      <c r="AG1230" s="729"/>
      <c r="AH1230" s="729"/>
      <c r="AI1230" s="729"/>
      <c r="AJ1230" s="729"/>
      <c r="AK1230" s="729"/>
      <c r="AL1230" s="729"/>
      <c r="AM1230" s="343"/>
    </row>
    <row r="1231" spans="1:39" ht="12.75" customHeight="1" x14ac:dyDescent="0.25">
      <c r="A1231" s="729"/>
      <c r="B1231" s="284"/>
      <c r="C1231" s="1496"/>
      <c r="D1231" s="1307"/>
      <c r="E1231" s="1317"/>
      <c r="F1231" s="1318"/>
      <c r="G1231" s="1309" t="str">
        <f>EUconst_Unit</f>
        <v>Единица мярка</v>
      </c>
      <c r="H1231" s="629">
        <f t="shared" ref="H1231:N1231" si="1882">H$1840</f>
        <v>2024</v>
      </c>
      <c r="I1231" s="629">
        <f t="shared" si="1882"/>
        <v>2025</v>
      </c>
      <c r="J1231" s="629">
        <f t="shared" si="1882"/>
        <v>2026</v>
      </c>
      <c r="K1231" s="629">
        <f t="shared" si="1882"/>
        <v>2027</v>
      </c>
      <c r="L1231" s="629">
        <f t="shared" si="1882"/>
        <v>2028</v>
      </c>
      <c r="M1231" s="629">
        <f t="shared" si="1882"/>
        <v>2029</v>
      </c>
      <c r="N1231" s="1312">
        <f t="shared" si="1882"/>
        <v>2030</v>
      </c>
      <c r="O1231" s="336"/>
      <c r="P1231" s="336"/>
      <c r="Q1231" s="770"/>
      <c r="R1231" s="694"/>
      <c r="S1231" s="770"/>
      <c r="T1231" s="694"/>
      <c r="U1231" s="694"/>
      <c r="V1231" s="694"/>
      <c r="W1231" s="694"/>
      <c r="X1231" s="694"/>
      <c r="Y1231" s="694"/>
      <c r="Z1231" s="694"/>
      <c r="AA1231" s="694"/>
      <c r="AB1231" s="694"/>
      <c r="AC1231" s="1504">
        <f t="shared" ref="AC1231" si="1883">H$1840</f>
        <v>2024</v>
      </c>
      <c r="AD1231" s="1504">
        <f t="shared" ref="AD1231" si="1884">I$1840</f>
        <v>2025</v>
      </c>
      <c r="AE1231" s="1504">
        <f t="shared" ref="AE1231" si="1885">J$1840</f>
        <v>2026</v>
      </c>
      <c r="AF1231" s="1504">
        <f t="shared" ref="AF1231" si="1886">K$1840</f>
        <v>2027</v>
      </c>
      <c r="AG1231" s="1504">
        <f t="shared" ref="AG1231" si="1887">L$1840</f>
        <v>2028</v>
      </c>
      <c r="AH1231" s="1504">
        <f t="shared" ref="AH1231" si="1888">M$1840</f>
        <v>2029</v>
      </c>
      <c r="AI1231" s="1504">
        <f t="shared" ref="AI1231" si="1889">N$1840</f>
        <v>2030</v>
      </c>
      <c r="AJ1231" s="343"/>
      <c r="AK1231" s="343"/>
      <c r="AL1231" s="343"/>
      <c r="AM1231" s="343"/>
    </row>
    <row r="1232" spans="1:39" ht="12.75" customHeight="1" x14ac:dyDescent="0.25">
      <c r="A1232" s="729"/>
      <c r="B1232" s="284"/>
      <c r="C1232" s="1496"/>
      <c r="D1232" s="1505" t="s">
        <v>6</v>
      </c>
      <c r="E1232" s="2820" t="str">
        <f>Translations!$B$1559</f>
        <v>Вложена енергия, въведена в буква a)</v>
      </c>
      <c r="F1232" s="2258"/>
      <c r="G1232" s="1319" t="str">
        <f>EUconst_TJpa</f>
        <v>TJ / година</v>
      </c>
      <c r="H1232" s="422" t="str">
        <f>H1084</f>
        <v/>
      </c>
      <c r="I1232" s="422" t="str">
        <f t="shared" ref="I1232:N1232" si="1890">I1084</f>
        <v/>
      </c>
      <c r="J1232" s="422" t="str">
        <f t="shared" si="1890"/>
        <v/>
      </c>
      <c r="K1232" s="422" t="str">
        <f t="shared" si="1890"/>
        <v/>
      </c>
      <c r="L1232" s="422" t="str">
        <f t="shared" si="1890"/>
        <v/>
      </c>
      <c r="M1232" s="422" t="str">
        <f t="shared" si="1890"/>
        <v/>
      </c>
      <c r="N1232" s="1515" t="str">
        <f t="shared" si="1890"/>
        <v/>
      </c>
      <c r="O1232" s="336"/>
      <c r="P1232" s="336"/>
      <c r="Q1232" s="1500" t="str">
        <f>EUconst_CNTR_FuelInput &amp; I1218</f>
        <v>FuelInput_Подинсталация с горивен показател (без риск от ИВЕ | извън МКВЕГ)</v>
      </c>
      <c r="R1232" s="694"/>
      <c r="S1232" s="770"/>
      <c r="T1232" s="1031">
        <f t="shared" ref="T1232" si="1891">H1231</f>
        <v>2024</v>
      </c>
      <c r="U1232" s="1031">
        <f t="shared" ref="U1232" si="1892">I1231</f>
        <v>2025</v>
      </c>
      <c r="V1232" s="1031">
        <f t="shared" ref="V1232" si="1893">J1231</f>
        <v>2026</v>
      </c>
      <c r="W1232" s="1031">
        <f t="shared" ref="W1232" si="1894">K1231</f>
        <v>2027</v>
      </c>
      <c r="X1232" s="1031">
        <f t="shared" ref="X1232" si="1895">L1231</f>
        <v>2028</v>
      </c>
      <c r="Y1232" s="1031">
        <f t="shared" ref="Y1232" si="1896">M1231</f>
        <v>2029</v>
      </c>
      <c r="Z1232" s="1031">
        <f t="shared" ref="Z1232" si="1897">N1231</f>
        <v>2030</v>
      </c>
      <c r="AA1232" s="694"/>
      <c r="AB1232" s="1182" t="s">
        <v>737</v>
      </c>
      <c r="AC1232" s="982" t="b">
        <f>AC1225</f>
        <v>0</v>
      </c>
      <c r="AD1232" s="982" t="b">
        <f t="shared" ref="AD1232:AI1232" si="1898">AD1225</f>
        <v>0</v>
      </c>
      <c r="AE1232" s="982" t="b">
        <f t="shared" si="1898"/>
        <v>0</v>
      </c>
      <c r="AF1232" s="982" t="b">
        <f t="shared" si="1898"/>
        <v>0</v>
      </c>
      <c r="AG1232" s="982" t="b">
        <f t="shared" si="1898"/>
        <v>0</v>
      </c>
      <c r="AH1232" s="982" t="b">
        <f t="shared" si="1898"/>
        <v>0</v>
      </c>
      <c r="AI1232" s="982" t="b">
        <f t="shared" si="1898"/>
        <v>0</v>
      </c>
      <c r="AJ1232" s="343"/>
      <c r="AK1232" s="1174" t="s">
        <v>2039</v>
      </c>
      <c r="AL1232" s="1176" t="str">
        <f>IF(AND(CNTR_ExistSubInstEntries,COUNTIFS(AC1232:AI1232,2,H1232:N1232,"")&gt;0),EUconst_Error&amp;"FB"&amp;Q1098,"")</f>
        <v/>
      </c>
      <c r="AM1232" s="343"/>
    </row>
    <row r="1233" spans="1:39" ht="12.75" customHeight="1" x14ac:dyDescent="0.25">
      <c r="A1233" s="729"/>
      <c r="B1233" s="284"/>
      <c r="C1233" s="1496"/>
      <c r="D1233" s="1505" t="s">
        <v>7</v>
      </c>
      <c r="E1233" s="2820" t="str">
        <f>Translations!$B$664</f>
        <v>Претеглен емисионен фактор (=c./d.)</v>
      </c>
      <c r="F1233" s="2258"/>
      <c r="G1233" s="1320" t="str">
        <f>EUconst_tCO2pTJ</f>
        <v>t CO2 / TJ</v>
      </c>
      <c r="H1233" s="422" t="str">
        <f t="shared" ref="H1233:N1233" si="1899">IF(COUNT(H1225,H1232)=2,H1225/H1232,"")</f>
        <v/>
      </c>
      <c r="I1233" s="422" t="str">
        <f t="shared" si="1899"/>
        <v/>
      </c>
      <c r="J1233" s="422" t="str">
        <f t="shared" si="1899"/>
        <v/>
      </c>
      <c r="K1233" s="422" t="str">
        <f t="shared" si="1899"/>
        <v/>
      </c>
      <c r="L1233" s="422" t="str">
        <f t="shared" si="1899"/>
        <v/>
      </c>
      <c r="M1233" s="422" t="str">
        <f t="shared" si="1899"/>
        <v/>
      </c>
      <c r="N1233" s="1515" t="str">
        <f t="shared" si="1899"/>
        <v/>
      </c>
      <c r="O1233" s="336"/>
      <c r="P1233" s="336"/>
      <c r="Q1233" s="1500" t="str">
        <f>EUconst_CNTR_FuelEF &amp;I1218</f>
        <v>FuelEF_Подинсталация с горивен показател (без риск от ИВЕ | извън МКВЕГ)</v>
      </c>
      <c r="R1233" s="694"/>
      <c r="S1233" s="1509" t="str">
        <f>EUconst_ERR_AttrEmBMapplied &amp; I1218</f>
        <v>ERR_AttrEmBM_Подинсталация с горивен показател (без риск от ИВЕ | извън МКВЕГ)</v>
      </c>
      <c r="T1233" s="982">
        <f t="shared" ref="T1233" si="1900">IF(AND(OR(H1235&lt;&gt;0,AND(H1241&lt;&gt;0,H1242="")),EUconst_StatusOfDataCollection=FALSE),1,0)</f>
        <v>0</v>
      </c>
      <c r="U1233" s="982">
        <f t="shared" ref="U1233" si="1901">IF(AND(OR(I1235&lt;&gt;0,AND(I1241&lt;&gt;0,I1242="")),EUconst_StatusOfDataCollection=FALSE),1,0)</f>
        <v>0</v>
      </c>
      <c r="V1233" s="982">
        <f t="shared" ref="V1233" si="1902">IF(AND(OR(J1235&lt;&gt;0,AND(J1241&lt;&gt;0,J1242="")),EUconst_StatusOfDataCollection=FALSE),1,0)</f>
        <v>0</v>
      </c>
      <c r="W1233" s="982">
        <f t="shared" ref="W1233" si="1903">IF(AND(OR(K1235&lt;&gt;0,AND(K1241&lt;&gt;0,K1242="")),EUconst_StatusOfDataCollection=FALSE),1,0)</f>
        <v>0</v>
      </c>
      <c r="X1233" s="982">
        <f t="shared" ref="X1233" si="1904">IF(AND(OR(L1235&lt;&gt;0,AND(L1241&lt;&gt;0,L1242="")),EUconst_StatusOfDataCollection=FALSE),1,0)</f>
        <v>0</v>
      </c>
      <c r="Y1233" s="982">
        <f t="shared" ref="Y1233" si="1905">IF(AND(OR(M1235&lt;&gt;0,AND(M1241&lt;&gt;0,M1242="")),EUconst_StatusOfDataCollection=FALSE),1,0)</f>
        <v>0</v>
      </c>
      <c r="Z1233" s="982">
        <f t="shared" ref="Z1233" si="1906">IF(AND(OR(N1235&lt;&gt;0,AND(N1241&lt;&gt;0,N1242="")),EUconst_StatusOfDataCollection=FALSE),1,0)</f>
        <v>0</v>
      </c>
      <c r="AA1233" s="694"/>
      <c r="AB1233" s="729"/>
      <c r="AC1233" s="982" t="b">
        <f>AC1232</f>
        <v>0</v>
      </c>
      <c r="AD1233" s="982" t="b">
        <f t="shared" ref="AD1233:AI1233" si="1907">AD1232</f>
        <v>0</v>
      </c>
      <c r="AE1233" s="982" t="b">
        <f t="shared" si="1907"/>
        <v>0</v>
      </c>
      <c r="AF1233" s="982" t="b">
        <f t="shared" si="1907"/>
        <v>0</v>
      </c>
      <c r="AG1233" s="982" t="b">
        <f t="shared" si="1907"/>
        <v>0</v>
      </c>
      <c r="AH1233" s="982" t="b">
        <f t="shared" si="1907"/>
        <v>0</v>
      </c>
      <c r="AI1233" s="982" t="b">
        <f t="shared" si="1907"/>
        <v>0</v>
      </c>
      <c r="AJ1233" s="343"/>
      <c r="AK1233" s="1174" t="s">
        <v>2039</v>
      </c>
      <c r="AL1233" s="1176" t="str">
        <f>IF(AND(CNTR_ExistSubInstEntries,COUNTIFS(AC1233:AI1233,2,H1233:N1233,"")&gt;0),EUconst_Error&amp;"FB"&amp;Q1098,"")</f>
        <v/>
      </c>
      <c r="AM1233" s="343"/>
    </row>
    <row r="1234" spans="1:39" ht="5.15" customHeight="1" x14ac:dyDescent="0.25">
      <c r="A1234" s="729"/>
      <c r="B1234" s="284"/>
      <c r="C1234" s="1496"/>
      <c r="D1234" s="1497"/>
      <c r="E1234" s="1497"/>
      <c r="F1234" s="1497"/>
      <c r="G1234" s="1497"/>
      <c r="H1234" s="1497"/>
      <c r="I1234" s="1497"/>
      <c r="J1234" s="1497"/>
      <c r="K1234" s="1497"/>
      <c r="L1234" s="1497"/>
      <c r="M1234" s="1497"/>
      <c r="N1234" s="1516"/>
      <c r="O1234" s="336"/>
      <c r="P1234" s="336"/>
      <c r="Q1234" s="770"/>
      <c r="R1234" s="694"/>
      <c r="S1234" s="694"/>
      <c r="T1234" s="694"/>
      <c r="U1234" s="694"/>
      <c r="V1234" s="694"/>
      <c r="W1234" s="694"/>
      <c r="X1234" s="694"/>
      <c r="Y1234" s="694"/>
      <c r="Z1234" s="694"/>
      <c r="AA1234" s="694"/>
      <c r="AB1234" s="729"/>
      <c r="AC1234" s="694"/>
      <c r="AD1234" s="694"/>
      <c r="AE1234" s="694"/>
      <c r="AF1234" s="694"/>
      <c r="AG1234" s="694"/>
      <c r="AH1234" s="694"/>
      <c r="AI1234" s="694"/>
      <c r="AJ1234" s="343"/>
      <c r="AK1234" s="343"/>
      <c r="AL1234" s="343"/>
      <c r="AM1234" s="343"/>
    </row>
    <row r="1235" spans="1:39" ht="12.75" customHeight="1" x14ac:dyDescent="0.25">
      <c r="A1235" s="729"/>
      <c r="B1235" s="284"/>
      <c r="C1235" s="1496"/>
      <c r="D1235" s="1505" t="s">
        <v>8</v>
      </c>
      <c r="E1235" s="2820" t="str">
        <f>Translations!$B$637</f>
        <v>Вложени горива от отпадни газове</v>
      </c>
      <c r="F1235" s="2258"/>
      <c r="G1235" s="1319" t="str">
        <f>EUconst_TJpa</f>
        <v>TJ / година</v>
      </c>
      <c r="H1235" s="56"/>
      <c r="I1235" s="56"/>
      <c r="J1235" s="56"/>
      <c r="K1235" s="56"/>
      <c r="L1235" s="56"/>
      <c r="M1235" s="56"/>
      <c r="N1235" s="121"/>
      <c r="O1235" s="336"/>
      <c r="P1235" s="336"/>
      <c r="Q1235" s="716" t="str">
        <f>EUconst_CNTR_WGConsumed &amp; I1218</f>
        <v>WasteGasCons_Подинсталация с горивен показател (без риск от ИВЕ | извън МКВЕГ)</v>
      </c>
      <c r="R1235" s="694"/>
      <c r="S1235" s="694"/>
      <c r="T1235" s="694"/>
      <c r="U1235" s="694"/>
      <c r="V1235" s="694"/>
      <c r="W1235" s="694"/>
      <c r="X1235" s="694"/>
      <c r="Y1235" s="694"/>
      <c r="Z1235" s="694"/>
      <c r="AA1235" s="694"/>
      <c r="AB1235" s="729"/>
      <c r="AC1235" s="982" t="b">
        <f>AC1232</f>
        <v>0</v>
      </c>
      <c r="AD1235" s="982" t="b">
        <f t="shared" ref="AD1235:AI1235" si="1908">AD1232</f>
        <v>0</v>
      </c>
      <c r="AE1235" s="982" t="b">
        <f t="shared" si="1908"/>
        <v>0</v>
      </c>
      <c r="AF1235" s="982" t="b">
        <f t="shared" si="1908"/>
        <v>0</v>
      </c>
      <c r="AG1235" s="982" t="b">
        <f t="shared" si="1908"/>
        <v>0</v>
      </c>
      <c r="AH1235" s="982" t="b">
        <f t="shared" si="1908"/>
        <v>0</v>
      </c>
      <c r="AI1235" s="982" t="b">
        <f t="shared" si="1908"/>
        <v>0</v>
      </c>
      <c r="AJ1235" s="343"/>
      <c r="AK1235" s="1174" t="s">
        <v>2039</v>
      </c>
      <c r="AL1235" s="1176" t="str">
        <f>IF(AND(CNTR_ExistSubInstEntries,COUNTIFS(AC1235:AI1235,2,H1235:N1235,"")&gt;0),EUconst_Error&amp;"FB"&amp;Q1098,"")</f>
        <v/>
      </c>
      <c r="AM1235" s="343"/>
    </row>
    <row r="1236" spans="1:39" ht="12.75" customHeight="1" x14ac:dyDescent="0.3">
      <c r="A1236" s="729"/>
      <c r="B1236" s="284"/>
      <c r="C1236" s="1496"/>
      <c r="D1236" s="1505" t="s">
        <v>18</v>
      </c>
      <c r="E1236" s="2820" t="str">
        <f>Translations!$B$638</f>
        <v>Специфичен EF (отпаден газ)</v>
      </c>
      <c r="F1236" s="2258"/>
      <c r="G1236" s="1320" t="str">
        <f>EUconst_tCO2pTJ</f>
        <v>t CO2 / TJ</v>
      </c>
      <c r="H1236" s="82"/>
      <c r="I1236" s="82"/>
      <c r="J1236" s="82"/>
      <c r="K1236" s="82"/>
      <c r="L1236" s="82"/>
      <c r="M1236" s="82"/>
      <c r="N1236" s="128"/>
      <c r="O1236" s="336"/>
      <c r="P1236" s="336"/>
      <c r="Q1236" s="1500" t="str">
        <f>EUconst_CNTR_WGConsumedEF &amp; I1218</f>
        <v>WasteGasConsEF_Подинсталация с горивен показател (без риск от ИВЕ | извън МКВЕГ)</v>
      </c>
      <c r="R1236" s="694"/>
      <c r="S1236" s="1510" t="str">
        <f>EUconst_CNTR_AttributedEmissions &amp; I1218</f>
        <v>AttrEmissions_Подинсталация с горивен показател (без риск от ИВЕ | извън МКВЕГ)</v>
      </c>
      <c r="T1236" s="982" t="str">
        <f t="shared" ref="T1236:Z1236" si="1909">IF(T1084,SUM(H1235)*EUconst_FuelBMvalue,"")</f>
        <v/>
      </c>
      <c r="U1236" s="982" t="str">
        <f t="shared" si="1909"/>
        <v/>
      </c>
      <c r="V1236" s="982" t="str">
        <f t="shared" si="1909"/>
        <v/>
      </c>
      <c r="W1236" s="982" t="str">
        <f t="shared" si="1909"/>
        <v/>
      </c>
      <c r="X1236" s="982" t="str">
        <f t="shared" si="1909"/>
        <v/>
      </c>
      <c r="Y1236" s="982" t="str">
        <f t="shared" si="1909"/>
        <v/>
      </c>
      <c r="Z1236" s="982" t="str">
        <f t="shared" si="1909"/>
        <v/>
      </c>
      <c r="AA1236" s="694"/>
      <c r="AB1236" s="729"/>
      <c r="AC1236" s="982" t="b">
        <f>AC1233</f>
        <v>0</v>
      </c>
      <c r="AD1236" s="982" t="b">
        <f t="shared" ref="AD1236:AI1236" si="1910">AD1233</f>
        <v>0</v>
      </c>
      <c r="AE1236" s="982" t="b">
        <f t="shared" si="1910"/>
        <v>0</v>
      </c>
      <c r="AF1236" s="982" t="b">
        <f t="shared" si="1910"/>
        <v>0</v>
      </c>
      <c r="AG1236" s="982" t="b">
        <f t="shared" si="1910"/>
        <v>0</v>
      </c>
      <c r="AH1236" s="982" t="b">
        <f t="shared" si="1910"/>
        <v>0</v>
      </c>
      <c r="AI1236" s="982" t="b">
        <f t="shared" si="1910"/>
        <v>0</v>
      </c>
      <c r="AJ1236" s="343"/>
      <c r="AK1236" s="1174" t="s">
        <v>2039</v>
      </c>
      <c r="AL1236" s="1176" t="str">
        <f>IF(AND(CNTR_ExistSubInstEntries,COUNTIFS(AC1236:AI1236,2,H1236:N1236,"")&gt;0),EUconst_Error&amp;"FB"&amp;Q1098,"")</f>
        <v/>
      </c>
      <c r="AM1236" s="343"/>
    </row>
    <row r="1237" spans="1:39" ht="5.15" customHeight="1" x14ac:dyDescent="0.25">
      <c r="A1237" s="729"/>
      <c r="B1237" s="284"/>
      <c r="C1237" s="1496"/>
      <c r="D1237" s="1497"/>
      <c r="E1237" s="1497"/>
      <c r="F1237" s="1497"/>
      <c r="G1237" s="1497"/>
      <c r="H1237" s="1497"/>
      <c r="I1237" s="1497"/>
      <c r="J1237" s="1497"/>
      <c r="K1237" s="1497"/>
      <c r="L1237" s="1497"/>
      <c r="M1237" s="1497"/>
      <c r="N1237" s="1503"/>
      <c r="O1237" s="336"/>
      <c r="P1237" s="336"/>
      <c r="Q1237" s="770"/>
      <c r="R1237" s="694"/>
      <c r="S1237" s="694"/>
      <c r="T1237" s="694"/>
      <c r="U1237" s="694"/>
      <c r="V1237" s="694"/>
      <c r="W1237" s="694"/>
      <c r="X1237" s="694"/>
      <c r="Y1237" s="694"/>
      <c r="Z1237" s="694"/>
      <c r="AA1237" s="694"/>
      <c r="AB1237" s="694"/>
      <c r="AC1237" s="694"/>
      <c r="AD1237" s="694"/>
      <c r="AE1237" s="694"/>
      <c r="AF1237" s="694"/>
      <c r="AG1237" s="694"/>
      <c r="AH1237" s="694"/>
      <c r="AI1237" s="694"/>
      <c r="AJ1237" s="343"/>
      <c r="AK1237" s="343"/>
      <c r="AL1237" s="343"/>
      <c r="AM1237" s="343"/>
    </row>
    <row r="1238" spans="1:39" ht="12.75" customHeight="1" x14ac:dyDescent="0.25">
      <c r="A1238" s="729"/>
      <c r="B1238" s="284"/>
      <c r="C1238" s="1496"/>
      <c r="D1238" s="1505" t="s">
        <v>810</v>
      </c>
      <c r="E1238" s="2820" t="str">
        <f>Translations!$B$1475</f>
        <v>Вложена електроенергия за производството на топлинна енергия</v>
      </c>
      <c r="F1238" s="2258"/>
      <c r="G1238" s="1319" t="str">
        <f>EUconst_TJpa</f>
        <v>TJ / година</v>
      </c>
      <c r="H1238" s="56"/>
      <c r="I1238" s="56"/>
      <c r="J1238" s="56"/>
      <c r="K1238" s="56"/>
      <c r="L1238" s="56"/>
      <c r="M1238" s="56"/>
      <c r="N1238" s="121"/>
      <c r="O1238" s="336"/>
      <c r="P1238" s="336"/>
      <c r="Q1238" s="716" t="str">
        <f>EUconst_CNTR_ElectricityInput &amp; I1218</f>
        <v>ElectricityInput_Подинсталация с горивен показател (без риск от ИВЕ | извън МКВЕГ)</v>
      </c>
      <c r="R1238" s="694"/>
      <c r="S1238" s="694"/>
      <c r="T1238" s="694"/>
      <c r="U1238" s="694"/>
      <c r="V1238" s="694"/>
      <c r="W1238" s="694"/>
      <c r="X1238" s="694"/>
      <c r="Y1238" s="694"/>
      <c r="Z1238" s="694"/>
      <c r="AA1238" s="694"/>
      <c r="AB1238" s="729"/>
      <c r="AC1238" s="982" t="b">
        <f>AC1235</f>
        <v>0</v>
      </c>
      <c r="AD1238" s="982" t="b">
        <f t="shared" ref="AD1238:AI1238" si="1911">AD1235</f>
        <v>0</v>
      </c>
      <c r="AE1238" s="982" t="b">
        <f t="shared" si="1911"/>
        <v>0</v>
      </c>
      <c r="AF1238" s="982" t="b">
        <f t="shared" si="1911"/>
        <v>0</v>
      </c>
      <c r="AG1238" s="982" t="b">
        <f t="shared" si="1911"/>
        <v>0</v>
      </c>
      <c r="AH1238" s="982" t="b">
        <f t="shared" si="1911"/>
        <v>0</v>
      </c>
      <c r="AI1238" s="982" t="b">
        <f t="shared" si="1911"/>
        <v>0</v>
      </c>
      <c r="AJ1238" s="343"/>
      <c r="AK1238" s="1174" t="s">
        <v>2039</v>
      </c>
      <c r="AL1238" s="1176" t="str">
        <f>IF(AND(CNTR_ExistSubInstEntries,COUNTIFS(AC1238:AI1238,2,H1238:N1238,"")&gt;0),EUconst_Error&amp;"FB"&amp;Q1101,"")</f>
        <v/>
      </c>
      <c r="AM1238" s="343"/>
    </row>
    <row r="1239" spans="1:39" ht="12.75" customHeight="1" x14ac:dyDescent="0.25">
      <c r="A1239" s="729"/>
      <c r="B1239" s="284"/>
      <c r="C1239" s="1496"/>
      <c r="D1239" s="1505" t="s">
        <v>811</v>
      </c>
      <c r="E1239" s="2820" t="str">
        <f>Translations!$B$522</f>
        <v>Претеглен емисионен фактор</v>
      </c>
      <c r="F1239" s="2258"/>
      <c r="G1239" s="1320" t="str">
        <f>EUconst_tCO2pTJ</f>
        <v>t CO2 / TJ</v>
      </c>
      <c r="H1239" s="82"/>
      <c r="I1239" s="82"/>
      <c r="J1239" s="82"/>
      <c r="K1239" s="82"/>
      <c r="L1239" s="82"/>
      <c r="M1239" s="82"/>
      <c r="N1239" s="128"/>
      <c r="O1239" s="336"/>
      <c r="P1239" s="336"/>
      <c r="Q1239" s="1500" t="str">
        <f>EUconst_CNTR_ElectricityEF&amp; I1218</f>
        <v>ElectricityEF_Подинсталация с горивен показател (без риск от ИВЕ | извън МКВЕГ)</v>
      </c>
      <c r="R1239" s="694"/>
      <c r="S1239" s="694"/>
      <c r="T1239" s="694"/>
      <c r="U1239" s="694"/>
      <c r="V1239" s="694"/>
      <c r="W1239" s="694"/>
      <c r="X1239" s="694"/>
      <c r="Y1239" s="694"/>
      <c r="Z1239" s="694"/>
      <c r="AA1239" s="694"/>
      <c r="AB1239" s="729"/>
      <c r="AC1239" s="982" t="b">
        <f>AC1236</f>
        <v>0</v>
      </c>
      <c r="AD1239" s="982" t="b">
        <f t="shared" ref="AD1239:AI1239" si="1912">AD1236</f>
        <v>0</v>
      </c>
      <c r="AE1239" s="982" t="b">
        <f t="shared" si="1912"/>
        <v>0</v>
      </c>
      <c r="AF1239" s="982" t="b">
        <f t="shared" si="1912"/>
        <v>0</v>
      </c>
      <c r="AG1239" s="982" t="b">
        <f t="shared" si="1912"/>
        <v>0</v>
      </c>
      <c r="AH1239" s="982" t="b">
        <f t="shared" si="1912"/>
        <v>0</v>
      </c>
      <c r="AI1239" s="982" t="b">
        <f t="shared" si="1912"/>
        <v>0</v>
      </c>
      <c r="AJ1239" s="343"/>
      <c r="AK1239" s="1174" t="s">
        <v>2039</v>
      </c>
      <c r="AL1239" s="1176" t="str">
        <f>IF(AND(CNTR_ExistSubInstEntries,COUNTIFS(AC1239:AI1239,2,H1239:N1239,"")&gt;0),EUconst_Error&amp;"FB"&amp;Q1101,"")</f>
        <v/>
      </c>
      <c r="AM1239" s="343"/>
    </row>
    <row r="1240" spans="1:39" ht="5.15" customHeight="1" x14ac:dyDescent="0.25">
      <c r="A1240" s="729"/>
      <c r="B1240" s="284"/>
      <c r="C1240" s="1496"/>
      <c r="D1240" s="1497"/>
      <c r="E1240" s="1497"/>
      <c r="F1240" s="1497"/>
      <c r="G1240" s="1497"/>
      <c r="H1240" s="1497"/>
      <c r="I1240" s="1497"/>
      <c r="J1240" s="1497"/>
      <c r="K1240" s="1497"/>
      <c r="L1240" s="1497"/>
      <c r="M1240" s="1497"/>
      <c r="N1240" s="1503"/>
      <c r="O1240" s="336"/>
      <c r="P1240" s="336"/>
      <c r="Q1240" s="770"/>
      <c r="R1240" s="694"/>
      <c r="S1240" s="694"/>
      <c r="T1240" s="694"/>
      <c r="U1240" s="694"/>
      <c r="V1240" s="694"/>
      <c r="W1240" s="694"/>
      <c r="X1240" s="694"/>
      <c r="Y1240" s="694"/>
      <c r="Z1240" s="694"/>
      <c r="AA1240" s="694"/>
      <c r="AB1240" s="694"/>
      <c r="AC1240" s="694"/>
      <c r="AD1240" s="694"/>
      <c r="AE1240" s="694"/>
      <c r="AF1240" s="694"/>
      <c r="AG1240" s="694"/>
      <c r="AH1240" s="694"/>
      <c r="AI1240" s="694"/>
      <c r="AJ1240" s="343"/>
      <c r="AK1240" s="343"/>
      <c r="AL1240" s="343"/>
      <c r="AM1240" s="343"/>
    </row>
    <row r="1241" spans="1:39" ht="12.75" customHeight="1" x14ac:dyDescent="0.3">
      <c r="A1241" s="729"/>
      <c r="B1241" s="284"/>
      <c r="C1241" s="1496"/>
      <c r="D1241" s="1307" t="s">
        <v>54</v>
      </c>
      <c r="E1241" s="2929" t="str">
        <f>Translations!$B$560</f>
        <v>Нетно количество подадена топлинна енергия</v>
      </c>
      <c r="F1241" s="2258"/>
      <c r="G1241" s="1319" t="str">
        <f>EUconst_TJpa</f>
        <v>TJ / година</v>
      </c>
      <c r="H1241" s="56"/>
      <c r="I1241" s="56"/>
      <c r="J1241" s="56"/>
      <c r="K1241" s="56"/>
      <c r="L1241" s="56"/>
      <c r="M1241" s="56"/>
      <c r="N1241" s="121"/>
      <c r="O1241" s="336"/>
      <c r="P1241" s="336"/>
      <c r="Q1241" s="1158" t="str">
        <f>EUconst_CNTR_HeatExport &amp; I1218</f>
        <v>HeatEx_Подинсталация с горивен показател (без риск от ИВЕ | извън МКВЕГ)</v>
      </c>
      <c r="R1241" s="694"/>
      <c r="S1241" s="1510" t="str">
        <f>EUconst_CNTR_AttributedEmissions &amp; I1218</f>
        <v>AttrEmissions_Подинсталация с горивен показател (без риск от ИВЕ | извън МКВЕГ)</v>
      </c>
      <c r="T1241" s="982" t="str">
        <f t="shared" ref="T1241:Z1241" si="1913">IF(T1084,-SUM(H1241)*IF(ISNUMBER(H1242),H1242,EUconst_HeatBMvalue),"")</f>
        <v/>
      </c>
      <c r="U1241" s="982" t="str">
        <f t="shared" si="1913"/>
        <v/>
      </c>
      <c r="V1241" s="982" t="str">
        <f t="shared" si="1913"/>
        <v/>
      </c>
      <c r="W1241" s="982" t="str">
        <f t="shared" si="1913"/>
        <v/>
      </c>
      <c r="X1241" s="982" t="str">
        <f t="shared" si="1913"/>
        <v/>
      </c>
      <c r="Y1241" s="982" t="str">
        <f t="shared" si="1913"/>
        <v/>
      </c>
      <c r="Z1241" s="982" t="str">
        <f t="shared" si="1913"/>
        <v/>
      </c>
      <c r="AA1241" s="694"/>
      <c r="AB1241" s="694"/>
      <c r="AC1241" s="982" t="b">
        <f>AC1235</f>
        <v>0</v>
      </c>
      <c r="AD1241" s="982" t="b">
        <f t="shared" ref="AD1241:AI1241" si="1914">AD1235</f>
        <v>0</v>
      </c>
      <c r="AE1241" s="982" t="b">
        <f t="shared" si="1914"/>
        <v>0</v>
      </c>
      <c r="AF1241" s="982" t="b">
        <f t="shared" si="1914"/>
        <v>0</v>
      </c>
      <c r="AG1241" s="982" t="b">
        <f t="shared" si="1914"/>
        <v>0</v>
      </c>
      <c r="AH1241" s="982" t="b">
        <f t="shared" si="1914"/>
        <v>0</v>
      </c>
      <c r="AI1241" s="982" t="b">
        <f t="shared" si="1914"/>
        <v>0</v>
      </c>
      <c r="AJ1241" s="343"/>
      <c r="AK1241" s="1174" t="s">
        <v>2039</v>
      </c>
      <c r="AL1241" s="1176" t="str">
        <f>IF(AND(CNTR_ExistSubInstEntries,COUNTIFS(AC1241:AI1241,2,H1241:N1241,"")&gt;0),EUconst_Error&amp;"FB"&amp;Q1098,"")</f>
        <v/>
      </c>
      <c r="AM1241" s="343"/>
    </row>
    <row r="1242" spans="1:39" ht="12.75" customHeight="1" x14ac:dyDescent="0.3">
      <c r="A1242" s="729"/>
      <c r="B1242" s="284"/>
      <c r="C1242" s="1496"/>
      <c r="D1242" s="1307"/>
      <c r="E1242" s="2820" t="str">
        <f>Translations!$B$665</f>
        <v>Специфичен EF (подадена топлинна енергия)</v>
      </c>
      <c r="F1242" s="2258"/>
      <c r="G1242" s="1320" t="str">
        <f>EUconst_tCO2pTJ</f>
        <v>t CO2 / TJ</v>
      </c>
      <c r="H1242" s="82"/>
      <c r="I1242" s="82"/>
      <c r="J1242" s="82"/>
      <c r="K1242" s="82"/>
      <c r="L1242" s="82"/>
      <c r="M1242" s="82"/>
      <c r="N1242" s="128"/>
      <c r="O1242" s="336"/>
      <c r="P1242" s="336"/>
      <c r="Q1242" s="1158" t="str">
        <f>EUconst_CNTR_HeatExportEF &amp; I1218</f>
        <v>HeatExEF_Подинсталация с горивен показател (без риск от ИВЕ | извън МКВЕГ)</v>
      </c>
      <c r="R1242" s="694"/>
      <c r="S1242" s="1517"/>
      <c r="T1242" s="694"/>
      <c r="U1242" s="694"/>
      <c r="V1242" s="694"/>
      <c r="W1242" s="694"/>
      <c r="X1242" s="694"/>
      <c r="Y1242" s="694"/>
      <c r="Z1242" s="694"/>
      <c r="AA1242" s="694"/>
      <c r="AB1242" s="694"/>
      <c r="AC1242" s="982" t="b">
        <f>AC1236</f>
        <v>0</v>
      </c>
      <c r="AD1242" s="982" t="b">
        <f t="shared" ref="AD1242:AI1242" si="1915">AD1236</f>
        <v>0</v>
      </c>
      <c r="AE1242" s="982" t="b">
        <f t="shared" si="1915"/>
        <v>0</v>
      </c>
      <c r="AF1242" s="982" t="b">
        <f t="shared" si="1915"/>
        <v>0</v>
      </c>
      <c r="AG1242" s="982" t="b">
        <f t="shared" si="1915"/>
        <v>0</v>
      </c>
      <c r="AH1242" s="982" t="b">
        <f t="shared" si="1915"/>
        <v>0</v>
      </c>
      <c r="AI1242" s="982" t="b">
        <f t="shared" si="1915"/>
        <v>0</v>
      </c>
      <c r="AJ1242" s="343"/>
      <c r="AK1242" s="1174" t="s">
        <v>2039</v>
      </c>
      <c r="AL1242" s="1176" t="str">
        <f>IF(AND(CNTR_ExistSubInstEntries,COUNTIFS(AC1242:AI1242,2,H1242:N1242,"")&gt;0),EUconst_Error&amp;"FB"&amp;Q1098,"")</f>
        <v/>
      </c>
      <c r="AM1242" s="343"/>
    </row>
    <row r="1243" spans="1:39" ht="12.75" customHeight="1" x14ac:dyDescent="0.3">
      <c r="A1243" s="729"/>
      <c r="B1243" s="284"/>
      <c r="C1243" s="1496"/>
      <c r="D1243" s="1307"/>
      <c r="E1243" s="2853" t="str">
        <f>Translations!$B$548</f>
        <v>Посочените тук данни ще се отразят на емисиите, които могат да бъдат зададени съгласно раздел 10.1.2 и 10.1.3 от приложение VII към ПБР.</v>
      </c>
      <c r="F1243" s="2850"/>
      <c r="G1243" s="2850"/>
      <c r="H1243" s="2850"/>
      <c r="I1243" s="2850"/>
      <c r="J1243" s="2850"/>
      <c r="K1243" s="2850"/>
      <c r="L1243" s="2850"/>
      <c r="M1243" s="2850"/>
      <c r="N1243" s="2854"/>
      <c r="O1243" s="336"/>
      <c r="P1243" s="336"/>
      <c r="Q1243" s="770"/>
      <c r="R1243" s="694"/>
      <c r="S1243" s="1517"/>
      <c r="T1243" s="694"/>
      <c r="U1243" s="694"/>
      <c r="V1243" s="694"/>
      <c r="W1243" s="694"/>
      <c r="X1243" s="694"/>
      <c r="Y1243" s="694"/>
      <c r="Z1243" s="694"/>
      <c r="AA1243" s="694"/>
      <c r="AB1243" s="694"/>
      <c r="AC1243" s="694"/>
      <c r="AD1243" s="694"/>
      <c r="AE1243" s="694"/>
      <c r="AF1243" s="694"/>
      <c r="AG1243" s="694"/>
      <c r="AH1243" s="694"/>
      <c r="AI1243" s="694"/>
      <c r="AJ1243" s="343"/>
      <c r="AK1243" s="343"/>
      <c r="AL1243" s="343"/>
      <c r="AM1243" s="343"/>
    </row>
    <row r="1244" spans="1:39" ht="12.75" customHeight="1" thickBot="1" x14ac:dyDescent="0.3">
      <c r="A1244" s="729"/>
      <c r="B1244" s="284"/>
      <c r="C1244" s="1511"/>
      <c r="D1244" s="1512"/>
      <c r="E1244" s="2916" t="str">
        <f>Translations!$B$666</f>
        <v>Това включва всяка отпадна топлина, извлечена и отговаряща на условията за подинсталация с топлинен показател или подинсталация на топлофикационна мрежа.</v>
      </c>
      <c r="F1244" s="2917"/>
      <c r="G1244" s="2917"/>
      <c r="H1244" s="2917"/>
      <c r="I1244" s="2917"/>
      <c r="J1244" s="2917"/>
      <c r="K1244" s="2917"/>
      <c r="L1244" s="2917"/>
      <c r="M1244" s="2917"/>
      <c r="N1244" s="2918"/>
      <c r="O1244" s="336"/>
      <c r="P1244" s="336"/>
      <c r="Q1244" s="770"/>
      <c r="R1244" s="694"/>
      <c r="S1244" s="770"/>
      <c r="T1244" s="694"/>
      <c r="U1244" s="694"/>
      <c r="V1244" s="694"/>
      <c r="W1244" s="694"/>
      <c r="X1244" s="694"/>
      <c r="Y1244" s="694"/>
      <c r="Z1244" s="694"/>
      <c r="AA1244" s="694"/>
      <c r="AB1244" s="694"/>
      <c r="AC1244" s="694"/>
      <c r="AD1244" s="694"/>
      <c r="AE1244" s="694"/>
      <c r="AF1244" s="694"/>
      <c r="AG1244" s="694"/>
      <c r="AH1244" s="694"/>
      <c r="AI1244" s="694"/>
      <c r="AJ1244" s="343"/>
      <c r="AK1244" s="343"/>
      <c r="AL1244" s="343"/>
      <c r="AM1244" s="343"/>
    </row>
    <row r="1245" spans="1:39" ht="25.5" customHeight="1" thickBot="1" x14ac:dyDescent="0.3">
      <c r="A1245" s="694"/>
      <c r="B1245" s="698"/>
      <c r="C1245" s="698"/>
      <c r="D1245" s="698"/>
      <c r="E1245" s="698"/>
      <c r="F1245" s="698"/>
      <c r="G1245" s="698"/>
      <c r="H1245" s="698"/>
      <c r="I1245" s="698"/>
      <c r="J1245" s="698"/>
      <c r="K1245" s="698"/>
      <c r="L1245" s="698"/>
      <c r="M1245" s="698"/>
      <c r="N1245" s="698"/>
      <c r="O1245" s="336"/>
      <c r="P1245" s="336"/>
      <c r="Q1245" s="694"/>
      <c r="R1245" s="694"/>
      <c r="S1245" s="694"/>
      <c r="T1245" s="694"/>
      <c r="U1245" s="694"/>
      <c r="V1245" s="694"/>
      <c r="W1245" s="694"/>
      <c r="X1245" s="694"/>
      <c r="Y1245" s="694"/>
      <c r="Z1245" s="694"/>
      <c r="AA1245" s="694"/>
      <c r="AB1245" s="694"/>
      <c r="AC1245" s="694"/>
      <c r="AD1245" s="694"/>
      <c r="AE1245" s="343"/>
      <c r="AF1245" s="343"/>
      <c r="AG1245" s="343"/>
      <c r="AH1245" s="343"/>
      <c r="AI1245" s="343"/>
      <c r="AJ1245" s="343"/>
      <c r="AK1245" s="343"/>
      <c r="AL1245" s="343"/>
      <c r="AM1245" s="343"/>
    </row>
    <row r="1246" spans="1:39" ht="5.15" customHeight="1" thickBot="1" x14ac:dyDescent="0.3">
      <c r="A1246" s="694"/>
      <c r="B1246" s="284"/>
      <c r="C1246" s="581"/>
      <c r="D1246" s="581"/>
      <c r="E1246" s="581"/>
      <c r="F1246" s="581"/>
      <c r="G1246" s="581"/>
      <c r="H1246" s="581"/>
      <c r="I1246" s="581"/>
      <c r="J1246" s="581"/>
      <c r="K1246" s="581"/>
      <c r="L1246" s="581"/>
      <c r="M1246" s="581"/>
      <c r="N1246" s="581"/>
      <c r="O1246" s="336"/>
      <c r="P1246" s="336"/>
      <c r="Q1246" s="770"/>
      <c r="R1246" s="770"/>
      <c r="S1246" s="770"/>
      <c r="T1246" s="770"/>
      <c r="U1246" s="770"/>
      <c r="V1246" s="770"/>
      <c r="W1246" s="770"/>
      <c r="X1246" s="770"/>
      <c r="Y1246" s="770"/>
      <c r="Z1246" s="694"/>
      <c r="AA1246" s="694"/>
      <c r="AB1246" s="694"/>
      <c r="AC1246" s="694"/>
      <c r="AD1246" s="694"/>
      <c r="AE1246" s="343"/>
      <c r="AF1246" s="343"/>
      <c r="AG1246" s="343"/>
      <c r="AH1246" s="343"/>
      <c r="AI1246" s="343"/>
      <c r="AJ1246" s="343"/>
      <c r="AK1246" s="343"/>
      <c r="AL1246" s="343"/>
      <c r="AM1246" s="343"/>
    </row>
    <row r="1247" spans="1:39" ht="14.5" thickBot="1" x14ac:dyDescent="0.35">
      <c r="A1247" s="694"/>
      <c r="B1247" s="284"/>
      <c r="C1247" s="357">
        <f>C1076+1</f>
        <v>7</v>
      </c>
      <c r="D1247" s="2323" t="str">
        <f>EUconst_FBSubinst &amp; ":"</f>
        <v>Алтернативна подинсталация („Fall-Back sub-installation“):</v>
      </c>
      <c r="E1247" s="2249"/>
      <c r="F1247" s="2249"/>
      <c r="G1247" s="2249"/>
      <c r="H1247" s="2295"/>
      <c r="I1247" s="2843" t="str">
        <f>INDEX(EUconst_FallBackListNames,$C1247)</f>
        <v>Подинсталация с горивен показател (с риск от ИВЕ | в рамките на МКВЕГ)</v>
      </c>
      <c r="J1247" s="2844"/>
      <c r="K1247" s="2844"/>
      <c r="L1247" s="2845"/>
      <c r="M1247" s="2919" t="str">
        <f>IF(INDEX(CNTR_FallBackSubInstRelevant,C1247)="","",IF(INDEX(CNTR_FallBackSubInstRelevant,C1247),EUconst_Relevant,EUconst_NotRelevant))</f>
        <v/>
      </c>
      <c r="N1247" s="2920"/>
      <c r="O1247" s="336"/>
      <c r="P1247" s="336"/>
      <c r="Q1247" s="1391">
        <f>C1247</f>
        <v>7</v>
      </c>
      <c r="R1247" s="694"/>
      <c r="S1247" s="1174" t="str">
        <f>Translations!$B$898</f>
        <v>Дата на въвеждане в експлоатация:</v>
      </c>
      <c r="T1247" s="1175" t="str">
        <f>IF(M1247&lt;&gt;EUconst_Relevant,"",MAX(INDEX(CNTR_SubInstStartDate,MATCH($I1247,CNTR_SubInstListNames,0)),DATE(2005,1,1)))</f>
        <v/>
      </c>
      <c r="U1247" s="729" t="s">
        <v>1731</v>
      </c>
      <c r="V1247" s="1176">
        <f>IF(ISNUMBER(T1247),YEAR($T1247-IF(YEAR(T1247)&gt;=2022,0,1))+1,2005)</f>
        <v>2005</v>
      </c>
      <c r="W1247" s="1174" t="s">
        <v>1734</v>
      </c>
      <c r="X1247" s="1175" t="str">
        <f>IF(M1247&lt;&gt;EUconst_Relevant,"",INDEX(CNTR_SubInstCessationDate,MATCH($I1247,CNTR_SubInstListNames,0)))</f>
        <v/>
      </c>
      <c r="Y1247" s="1174" t="s">
        <v>1735</v>
      </c>
      <c r="Z1247" s="1176">
        <f>IF(SUM(X1247)=0,2050,YEAR($X1247))</f>
        <v>2050</v>
      </c>
      <c r="AA1247" s="1174" t="s">
        <v>2009</v>
      </c>
      <c r="AB1247" s="1176" t="b">
        <f>CNTR_ReportingYear&gt;V1247</f>
        <v>1</v>
      </c>
      <c r="AC1247" s="1174" t="s">
        <v>1395</v>
      </c>
      <c r="AD1247" s="1177" t="b">
        <f>AND(CNTR_ExistSubInstEntries,M1247=EUconst_NotRelevant)</f>
        <v>0</v>
      </c>
      <c r="AE1247" s="343"/>
      <c r="AF1247" s="343"/>
      <c r="AG1247" s="343"/>
      <c r="AH1247" s="343"/>
      <c r="AI1247" s="343"/>
      <c r="AJ1247" s="343"/>
      <c r="AK1247" s="343"/>
      <c r="AL1247" s="343"/>
      <c r="AM1247" s="343"/>
    </row>
    <row r="1248" spans="1:39" ht="12.75" customHeight="1" x14ac:dyDescent="0.25">
      <c r="A1248" s="694"/>
      <c r="B1248" s="698"/>
      <c r="C1248" s="698"/>
      <c r="D1248" s="698"/>
      <c r="E1248" s="698"/>
      <c r="F1248" s="698"/>
      <c r="G1248" s="698"/>
      <c r="H1248" s="773"/>
      <c r="I1248" s="2921" t="str">
        <f>IF(M1247&lt;&gt;EUconst_Relevant,"",IF(M1247=EUconst_Relevant,HYPERLINK("",EUconst_MsgEnterThisSection),HYPERLINK(R1248,EUconst_MsgGoToNextSubInst)))</f>
        <v/>
      </c>
      <c r="J1248" s="2922"/>
      <c r="K1248" s="2922"/>
      <c r="L1248" s="2922"/>
      <c r="M1248" s="2923"/>
      <c r="N1248" s="2924"/>
      <c r="O1248" s="336"/>
      <c r="P1248" s="336"/>
      <c r="Q1248" s="694" t="s">
        <v>450</v>
      </c>
      <c r="R1248" s="875" t="str">
        <f>"#JUMP_G"&amp;Q1247+1</f>
        <v>#JUMP_G8</v>
      </c>
      <c r="S1248" s="694"/>
      <c r="T1248" s="694"/>
      <c r="U1248" s="694"/>
      <c r="V1248" s="694"/>
      <c r="W1248" s="694"/>
      <c r="X1248" s="694"/>
      <c r="Y1248" s="694"/>
      <c r="Z1248" s="729"/>
      <c r="AA1248" s="694"/>
      <c r="AB1248" s="694"/>
      <c r="AC1248" s="694"/>
      <c r="AD1248" s="694"/>
      <c r="AE1248" s="343"/>
      <c r="AF1248" s="343"/>
      <c r="AG1248" s="343"/>
      <c r="AH1248" s="343"/>
      <c r="AI1248" s="343"/>
      <c r="AJ1248" s="343"/>
      <c r="AK1248" s="343"/>
      <c r="AL1248" s="343"/>
      <c r="AM1248" s="343"/>
    </row>
    <row r="1249" spans="1:39" ht="12.75" customHeight="1" x14ac:dyDescent="0.25">
      <c r="A1249" s="694"/>
      <c r="B1249" s="284"/>
      <c r="C1249" s="284"/>
      <c r="D1249" s="302"/>
      <c r="E1249" s="2358" t="str">
        <f>Translations!$B$613</f>
        <v>Името на алтернативната подинсталация („fall-back sub-installation“) се показва автоматично въз основа на общия списък на възможните алтернативни инсталации.</v>
      </c>
      <c r="F1249" s="2249"/>
      <c r="G1249" s="2249"/>
      <c r="H1249" s="2249"/>
      <c r="I1249" s="2249"/>
      <c r="J1249" s="2249"/>
      <c r="K1249" s="2249"/>
      <c r="L1249" s="2249"/>
      <c r="M1249" s="2249"/>
      <c r="N1249" s="2249"/>
      <c r="O1249" s="336"/>
      <c r="P1249" s="336"/>
      <c r="Q1249" s="770"/>
      <c r="R1249" s="770"/>
      <c r="S1249" s="694"/>
      <c r="T1249" s="694"/>
      <c r="U1249" s="694"/>
      <c r="V1249" s="694"/>
      <c r="W1249" s="694"/>
      <c r="X1249" s="694"/>
      <c r="Y1249" s="694"/>
      <c r="Z1249" s="694"/>
      <c r="AA1249" s="694"/>
      <c r="AB1249" s="694"/>
      <c r="AC1249" s="694"/>
      <c r="AD1249" s="694"/>
      <c r="AE1249" s="343"/>
      <c r="AF1249" s="343"/>
      <c r="AG1249" s="343"/>
      <c r="AH1249" s="343"/>
      <c r="AI1249" s="343"/>
      <c r="AJ1249" s="343"/>
      <c r="AK1249" s="343"/>
      <c r="AL1249" s="343"/>
      <c r="AM1249" s="343"/>
    </row>
    <row r="1250" spans="1:39" ht="5.15" customHeight="1" x14ac:dyDescent="0.25">
      <c r="A1250" s="694"/>
      <c r="B1250" s="284"/>
      <c r="C1250" s="284"/>
      <c r="D1250" s="284"/>
      <c r="E1250" s="284"/>
      <c r="F1250" s="284"/>
      <c r="G1250" s="284"/>
      <c r="H1250" s="284"/>
      <c r="I1250" s="284"/>
      <c r="J1250" s="284"/>
      <c r="K1250" s="284"/>
      <c r="L1250" s="284"/>
      <c r="M1250" s="336"/>
      <c r="N1250" s="336"/>
      <c r="O1250" s="336"/>
      <c r="P1250" s="336"/>
      <c r="Q1250" s="770"/>
      <c r="R1250" s="770"/>
      <c r="S1250" s="770"/>
      <c r="T1250" s="770"/>
      <c r="U1250" s="770"/>
      <c r="V1250" s="770"/>
      <c r="W1250" s="770"/>
      <c r="X1250" s="770"/>
      <c r="Y1250" s="770"/>
      <c r="Z1250" s="694"/>
      <c r="AA1250" s="694"/>
      <c r="AB1250" s="694"/>
      <c r="AC1250" s="694"/>
      <c r="AD1250" s="694"/>
      <c r="AE1250" s="343"/>
      <c r="AF1250" s="343"/>
      <c r="AG1250" s="343"/>
      <c r="AH1250" s="343"/>
      <c r="AI1250" s="343"/>
      <c r="AJ1250" s="343"/>
      <c r="AK1250" s="343"/>
      <c r="AL1250" s="343"/>
      <c r="AM1250" s="343"/>
    </row>
    <row r="1251" spans="1:39" ht="12.75" customHeight="1" x14ac:dyDescent="0.25">
      <c r="A1251" s="694"/>
      <c r="B1251" s="284"/>
      <c r="C1251" s="300"/>
      <c r="D1251" s="300" t="s">
        <v>408</v>
      </c>
      <c r="E1251" s="2226" t="str">
        <f>Translations!$B$1315</f>
        <v>Равнища на дейност</v>
      </c>
      <c r="F1251" s="2249"/>
      <c r="G1251" s="2249"/>
      <c r="H1251" s="2249"/>
      <c r="I1251" s="2249"/>
      <c r="J1251" s="2249"/>
      <c r="K1251" s="2249"/>
      <c r="L1251" s="2249"/>
      <c r="M1251" s="2249"/>
      <c r="N1251" s="2249"/>
      <c r="O1251" s="336"/>
      <c r="P1251" s="336"/>
      <c r="Q1251" s="770"/>
      <c r="R1251" s="770"/>
      <c r="S1251" s="770"/>
      <c r="T1251" s="770"/>
      <c r="U1251" s="770"/>
      <c r="V1251" s="770"/>
      <c r="W1251" s="770"/>
      <c r="X1251" s="770"/>
      <c r="Y1251" s="770"/>
      <c r="Z1251" s="694"/>
      <c r="AA1251" s="694"/>
      <c r="AB1251" s="729"/>
      <c r="AC1251" s="694"/>
      <c r="AD1251" s="694"/>
      <c r="AE1251" s="343"/>
      <c r="AF1251" s="343"/>
      <c r="AG1251" s="343"/>
      <c r="AH1251" s="343"/>
      <c r="AI1251" s="343"/>
      <c r="AJ1251" s="343"/>
      <c r="AK1251" s="343"/>
      <c r="AL1251" s="343"/>
      <c r="AM1251" s="343"/>
    </row>
    <row r="1252" spans="1:39" ht="12.75" hidden="1" customHeight="1" x14ac:dyDescent="0.25">
      <c r="A1252" s="694" t="str">
        <f>IF(C1247&gt;4,$A$1,"")</f>
        <v>ausblenden</v>
      </c>
      <c r="B1252" s="284"/>
      <c r="C1252" s="302"/>
      <c r="D1252" s="302"/>
      <c r="E1252" s="2925" t="str">
        <f>Translations!$B$614</f>
        <v>Следните данни се вземат автоматично от раздел E.II.r на лист „E_EnergyFlows“ („E_Енергийни потоци“).Затова въвеждането на данни там е задължително.</v>
      </c>
      <c r="F1252" s="2925"/>
      <c r="G1252" s="2925"/>
      <c r="H1252" s="2925"/>
      <c r="I1252" s="2925"/>
      <c r="J1252" s="2925"/>
      <c r="K1252" s="2925"/>
      <c r="L1252" s="2925"/>
      <c r="M1252" s="2925"/>
      <c r="N1252" s="2925"/>
      <c r="O1252" s="336"/>
      <c r="P1252" s="336"/>
      <c r="Q1252" s="770"/>
      <c r="R1252" s="694"/>
      <c r="S1252" s="694"/>
      <c r="T1252" s="694"/>
      <c r="U1252" s="694"/>
      <c r="V1252" s="694"/>
      <c r="W1252" s="694"/>
      <c r="X1252" s="694"/>
      <c r="Y1252" s="694"/>
      <c r="Z1252" s="694"/>
      <c r="AA1252" s="694"/>
      <c r="AB1252" s="694"/>
      <c r="AC1252" s="694"/>
      <c r="AD1252" s="694"/>
      <c r="AE1252" s="343"/>
      <c r="AF1252" s="343"/>
      <c r="AG1252" s="343"/>
      <c r="AH1252" s="343"/>
      <c r="AI1252" s="343"/>
      <c r="AJ1252" s="343"/>
      <c r="AK1252" s="343"/>
      <c r="AL1252" s="343"/>
      <c r="AM1252" s="343"/>
    </row>
    <row r="1253" spans="1:39" ht="12.75" customHeight="1" x14ac:dyDescent="0.25">
      <c r="A1253" s="694"/>
      <c r="B1253" s="284"/>
      <c r="C1253" s="284"/>
      <c r="D1253" s="302"/>
      <c r="E1253" s="2358" t="str">
        <f>Translations!$B$1332</f>
        <v>На базата на началото на нормална експлоатация, въведено в B+C.I, HAL ще се основава или на стойността в НМИ (показана в ii.), или на първата година на пълна експлоатация за нови подинсталации (посочена в iv.).</v>
      </c>
      <c r="F1253" s="2926"/>
      <c r="G1253" s="2926"/>
      <c r="H1253" s="2926"/>
      <c r="I1253" s="2926"/>
      <c r="J1253" s="2926"/>
      <c r="K1253" s="2926"/>
      <c r="L1253" s="2926"/>
      <c r="M1253" s="2926"/>
      <c r="N1253" s="2926"/>
      <c r="O1253" s="336"/>
      <c r="P1253" s="336"/>
      <c r="Q1253" s="770"/>
      <c r="R1253" s="694"/>
      <c r="S1253" s="694"/>
      <c r="T1253" s="694"/>
      <c r="U1253" s="694"/>
      <c r="V1253" s="694"/>
      <c r="W1253" s="694"/>
      <c r="X1253" s="694"/>
      <c r="Y1253" s="694"/>
      <c r="Z1253" s="694"/>
      <c r="AA1253" s="729"/>
      <c r="AB1253" s="729"/>
      <c r="AC1253" s="694"/>
      <c r="AD1253" s="694"/>
      <c r="AE1253" s="343"/>
      <c r="AF1253" s="343"/>
      <c r="AG1253" s="343"/>
      <c r="AH1253" s="343"/>
      <c r="AI1253" s="343"/>
      <c r="AJ1253" s="343"/>
      <c r="AK1253" s="343"/>
      <c r="AL1253" s="343"/>
      <c r="AM1253" s="343"/>
    </row>
    <row r="1254" spans="1:39" ht="12.75" customHeight="1" thickBot="1" x14ac:dyDescent="0.3">
      <c r="A1254" s="694"/>
      <c r="B1254" s="698"/>
      <c r="C1254" s="300"/>
      <c r="D1254" s="300"/>
      <c r="E1254" s="389" t="str">
        <f>Translations!$B$615</f>
        <v>Основно равнище на дейност:</v>
      </c>
      <c r="F1254" s="1015"/>
      <c r="G1254" s="527" t="str">
        <f>EUconst_Unit</f>
        <v>Единица мярка</v>
      </c>
      <c r="H1254" s="391">
        <f t="shared" ref="H1254:N1254" si="1916">H$1840</f>
        <v>2024</v>
      </c>
      <c r="I1254" s="572">
        <f t="shared" si="1916"/>
        <v>2025</v>
      </c>
      <c r="J1254" s="757">
        <f t="shared" si="1916"/>
        <v>2026</v>
      </c>
      <c r="K1254" s="391">
        <f t="shared" si="1916"/>
        <v>2027</v>
      </c>
      <c r="L1254" s="391">
        <f t="shared" si="1916"/>
        <v>2028</v>
      </c>
      <c r="M1254" s="391">
        <f t="shared" si="1916"/>
        <v>2029</v>
      </c>
      <c r="N1254" s="387">
        <f t="shared" si="1916"/>
        <v>2030</v>
      </c>
      <c r="O1254" s="336"/>
      <c r="P1254" s="336"/>
      <c r="Q1254" s="1033" t="s">
        <v>560</v>
      </c>
      <c r="R1254" s="694"/>
      <c r="S1254" s="694"/>
      <c r="T1254" s="1178">
        <f t="shared" ref="T1254" si="1917">H1254</f>
        <v>2024</v>
      </c>
      <c r="U1254" s="1178">
        <f t="shared" ref="U1254" si="1918">I1254</f>
        <v>2025</v>
      </c>
      <c r="V1254" s="1178">
        <f t="shared" ref="V1254" si="1919">J1254</f>
        <v>2026</v>
      </c>
      <c r="W1254" s="1178">
        <f t="shared" ref="W1254" si="1920">K1254</f>
        <v>2027</v>
      </c>
      <c r="X1254" s="1178">
        <f t="shared" ref="X1254" si="1921">L1254</f>
        <v>2028</v>
      </c>
      <c r="Y1254" s="1178">
        <f t="shared" ref="Y1254" si="1922">M1254</f>
        <v>2029</v>
      </c>
      <c r="Z1254" s="1178">
        <f t="shared" ref="Z1254" si="1923">N1254</f>
        <v>2030</v>
      </c>
      <c r="AA1254" s="729"/>
      <c r="AB1254" s="729"/>
      <c r="AC1254" s="694"/>
      <c r="AD1254" s="694"/>
      <c r="AE1254" s="343"/>
      <c r="AF1254" s="343"/>
      <c r="AG1254" s="343"/>
      <c r="AH1254" s="343"/>
      <c r="AI1254" s="343"/>
      <c r="AJ1254" s="343"/>
      <c r="AK1254" s="343"/>
      <c r="AL1254" s="343"/>
      <c r="AM1254" s="343"/>
    </row>
    <row r="1255" spans="1:39" ht="12.75" customHeight="1" thickBot="1" x14ac:dyDescent="0.3">
      <c r="A1255" s="694"/>
      <c r="B1255" s="698"/>
      <c r="C1255" s="698"/>
      <c r="D1255" s="1084" t="s">
        <v>6</v>
      </c>
      <c r="E1255" s="2862" t="str">
        <f>I1247</f>
        <v>Подинсталация с горивен показател (с риск от ИВЕ | в рамките на МКВЕГ)</v>
      </c>
      <c r="F1255" s="2862"/>
      <c r="G1255" s="1032" t="str">
        <f>INDEX(EUconst_FallBackListUnits,MATCH(E1255,EUconst_FallBackListNames,0))</f>
        <v>TJ</v>
      </c>
      <c r="H1255" s="1024" t="str">
        <f>IF($M1247&lt;&gt;EUconst_Relevant,"",IF(H1254&gt;=CNTR_ReportingYear,"",IF(AND(H1254&gt;=$V1247-1,ISNUMBER(INDEX(E_EnergyFlows!H$435:H$443,MATCH($E1255,E_EnergyFlows!$E$435:$E$443,0)))),INDEX(E_EnergyFlows!H$435:H$443,MATCH($E1255,E_EnergyFlows!$E$435:$E$443,0)),0)))</f>
        <v/>
      </c>
      <c r="I1255" s="1392" t="str">
        <f>IF($M1247&lt;&gt;EUconst_Relevant,"",IF(I1254&gt;=CNTR_ReportingYear,"",IF(AND(I1254&gt;=$V1247-1,ISNUMBER(INDEX(E_EnergyFlows!I$435:I$443,MATCH($E1255,E_EnergyFlows!$E$435:$E$443,0)))),INDEX(E_EnergyFlows!I$435:I$443,MATCH($E1255,E_EnergyFlows!$E$435:$E$443,0)),0)))</f>
        <v/>
      </c>
      <c r="J1255" s="1393" t="str">
        <f>IF($M1247&lt;&gt;EUconst_Relevant,"",IF(J1254&gt;=CNTR_ReportingYear,"",IF(AND(J1254&gt;=$V1247-1,ISNUMBER(INDEX(E_EnergyFlows!J$435:J$443,MATCH($E1255,E_EnergyFlows!$E$435:$E$443,0)))),INDEX(E_EnergyFlows!J$435:J$443,MATCH($E1255,E_EnergyFlows!$E$435:$E$443,0)),0)))</f>
        <v/>
      </c>
      <c r="K1255" s="1024" t="str">
        <f>IF($M1247&lt;&gt;EUconst_Relevant,"",IF(K1254&gt;=CNTR_ReportingYear,"",IF(AND(K1254&gt;=$V1247-1,ISNUMBER(INDEX(E_EnergyFlows!K$435:K$443,MATCH($E1255,E_EnergyFlows!$E$435:$E$443,0)))),INDEX(E_EnergyFlows!K$435:K$443,MATCH($E1255,E_EnergyFlows!$E$435:$E$443,0)),0)))</f>
        <v/>
      </c>
      <c r="L1255" s="1024" t="str">
        <f>IF($M1247&lt;&gt;EUconst_Relevant,"",IF(L1254&gt;=CNTR_ReportingYear,"",IF(AND(L1254&gt;=$V1247-1,ISNUMBER(INDEX(E_EnergyFlows!L$435:L$443,MATCH($E1255,E_EnergyFlows!$E$435:$E$443,0)))),INDEX(E_EnergyFlows!L$435:L$443,MATCH($E1255,E_EnergyFlows!$E$435:$E$443,0)),0)))</f>
        <v/>
      </c>
      <c r="M1255" s="1024" t="str">
        <f>IF($M1247&lt;&gt;EUconst_Relevant,"",IF(M1254&gt;=CNTR_ReportingYear,"",IF(AND(M1254&gt;=$V1247-1,ISNUMBER(INDEX(E_EnergyFlows!M$435:M$443,MATCH($E1255,E_EnergyFlows!$E$435:$E$443,0)))),INDEX(E_EnergyFlows!M$435:M$443,MATCH($E1255,E_EnergyFlows!$E$435:$E$443,0)),0)))</f>
        <v/>
      </c>
      <c r="N1255" s="1024" t="str">
        <f>IF($M1247&lt;&gt;EUconst_Relevant,"",IF(N1254&gt;=CNTR_ReportingYear,"",IF(AND(N1254&gt;=$V1247-1,ISNUMBER(INDEX(E_EnergyFlows!N$435:N$443,MATCH($E1255,E_EnergyFlows!$E$435:$E$443,0)))),INDEX(E_EnergyFlows!N$435:N$443,MATCH($E1255,E_EnergyFlows!$E$435:$E$443,0)),0)))</f>
        <v/>
      </c>
      <c r="O1255" s="710"/>
      <c r="P1255" s="336"/>
      <c r="Q1255" s="1394" t="str">
        <f>EUconst_CNTR_HAL&amp;E1255</f>
        <v>HAL_Подинсталация с горивен показател (с риск от ИВЕ | в рамките на МКВЕГ)</v>
      </c>
      <c r="R1255" s="694"/>
      <c r="S1255" s="1395" t="s">
        <v>1732</v>
      </c>
      <c r="T1255" s="1396" t="b">
        <f t="shared" ref="T1255:Z1255" si="1924">AND($M1247=EUconst_Relevant,T1254&lt;CNTR_ReportingYear,T1254&gt;=$V1247-1)</f>
        <v>0</v>
      </c>
      <c r="U1255" s="1397" t="b">
        <f t="shared" si="1924"/>
        <v>0</v>
      </c>
      <c r="V1255" s="1397" t="b">
        <f t="shared" si="1924"/>
        <v>0</v>
      </c>
      <c r="W1255" s="1397" t="b">
        <f t="shared" si="1924"/>
        <v>0</v>
      </c>
      <c r="X1255" s="1397" t="b">
        <f t="shared" si="1924"/>
        <v>0</v>
      </c>
      <c r="Y1255" s="1397" t="b">
        <f t="shared" si="1924"/>
        <v>0</v>
      </c>
      <c r="Z1255" s="1398" t="b">
        <f t="shared" si="1924"/>
        <v>0</v>
      </c>
      <c r="AA1255" s="694"/>
      <c r="AB1255" s="694"/>
      <c r="AC1255" s="1395"/>
      <c r="AD1255" s="694"/>
      <c r="AE1255" s="343"/>
      <c r="AF1255" s="343"/>
      <c r="AG1255" s="343"/>
      <c r="AH1255" s="343"/>
      <c r="AI1255" s="343"/>
      <c r="AJ1255" s="343"/>
      <c r="AK1255" s="1174" t="s">
        <v>2033</v>
      </c>
      <c r="AL1255" s="982" t="str">
        <f>IF(COUNTIFS(H1254:N1254,"&lt;"&amp;YEAR(SUM(T1247)),H1255:N1255,"&gt;"&amp;0)&gt;0,EUconst_Error&amp;"FB"&amp;Q1247,"")</f>
        <v/>
      </c>
      <c r="AM1255" s="343"/>
    </row>
    <row r="1256" spans="1:39" ht="5.15" customHeight="1" x14ac:dyDescent="0.25">
      <c r="A1256" s="694"/>
      <c r="B1256" s="298"/>
      <c r="C1256" s="298"/>
      <c r="D1256" s="302"/>
      <c r="E1256" s="302"/>
      <c r="F1256" s="302"/>
      <c r="G1256" s="302"/>
      <c r="H1256" s="302"/>
      <c r="I1256" s="302"/>
      <c r="J1256" s="302"/>
      <c r="K1256" s="302"/>
      <c r="L1256" s="302"/>
      <c r="M1256" s="302"/>
      <c r="N1256" s="302"/>
      <c r="O1256" s="302"/>
      <c r="P1256" s="336"/>
      <c r="Q1256" s="729"/>
      <c r="R1256" s="694"/>
      <c r="S1256" s="729"/>
      <c r="T1256" s="729"/>
      <c r="U1256" s="694"/>
      <c r="V1256" s="694"/>
      <c r="W1256" s="694"/>
      <c r="X1256" s="694"/>
      <c r="Y1256" s="694"/>
      <c r="Z1256" s="729"/>
      <c r="AA1256" s="694"/>
      <c r="AB1256" s="729"/>
      <c r="AC1256" s="694"/>
      <c r="AD1256" s="694"/>
      <c r="AE1256" s="343"/>
      <c r="AF1256" s="343"/>
      <c r="AG1256" s="343"/>
      <c r="AH1256" s="343"/>
      <c r="AI1256" s="343"/>
      <c r="AJ1256" s="343"/>
      <c r="AK1256" s="343"/>
      <c r="AL1256" s="343"/>
      <c r="AM1256" s="343"/>
    </row>
    <row r="1257" spans="1:39" ht="25.5" customHeight="1" x14ac:dyDescent="0.25">
      <c r="A1257" s="694"/>
      <c r="B1257" s="298"/>
      <c r="C1257" s="298"/>
      <c r="D1257" s="302"/>
      <c r="E1257" s="2358" t="str">
        <f>Translations!$B$1333</f>
        <v>На базата на стойностите на HAL и тези по буква a) по-горе тук се определят средните равнища на дейност. Разпределението ще бъде променено само ако са надвишени всички долуизброени прагове от членове 5 и 6 от Регламента за ALC:</v>
      </c>
      <c r="F1257" s="2249"/>
      <c r="G1257" s="2249"/>
      <c r="H1257" s="2249"/>
      <c r="I1257" s="2249"/>
      <c r="J1257" s="2249"/>
      <c r="K1257" s="2249"/>
      <c r="L1257" s="2249"/>
      <c r="M1257" s="2249"/>
      <c r="N1257" s="2249"/>
      <c r="O1257" s="302"/>
      <c r="P1257" s="336"/>
      <c r="Q1257" s="729"/>
      <c r="R1257" s="694"/>
      <c r="S1257" s="729"/>
      <c r="T1257" s="729"/>
      <c r="U1257" s="729"/>
      <c r="V1257" s="694"/>
      <c r="W1257" s="694"/>
      <c r="X1257" s="694"/>
      <c r="Y1257" s="694"/>
      <c r="Z1257" s="694"/>
      <c r="AA1257" s="694"/>
      <c r="AB1257" s="694"/>
      <c r="AC1257" s="694"/>
      <c r="AD1257" s="694"/>
      <c r="AE1257" s="694"/>
      <c r="AF1257" s="694"/>
      <c r="AG1257" s="694"/>
      <c r="AH1257" s="694"/>
      <c r="AI1257" s="694"/>
      <c r="AJ1257" s="694"/>
      <c r="AK1257" s="694"/>
      <c r="AL1257" s="694"/>
      <c r="AM1257" s="343"/>
    </row>
    <row r="1258" spans="1:39" ht="12.75" customHeight="1" x14ac:dyDescent="0.25">
      <c r="A1258" s="694"/>
      <c r="B1258" s="298"/>
      <c r="C1258" s="298"/>
      <c r="D1258" s="302"/>
      <c r="E1258" s="1191" t="s">
        <v>1052</v>
      </c>
      <c r="F1258" s="2358" t="str">
        <f>Translations!$B$1530</f>
        <v>относителният праг (15 %) за средното равнище на дейност в сравнение с HAL</v>
      </c>
      <c r="G1258" s="2861"/>
      <c r="H1258" s="2861"/>
      <c r="I1258" s="2861"/>
      <c r="J1258" s="2861"/>
      <c r="K1258" s="2861"/>
      <c r="L1258" s="2861"/>
      <c r="M1258" s="2861"/>
      <c r="N1258" s="2861"/>
      <c r="O1258" s="302"/>
      <c r="P1258" s="336"/>
      <c r="Q1258" s="729"/>
      <c r="R1258" s="694"/>
      <c r="S1258" s="729"/>
      <c r="T1258" s="729"/>
      <c r="U1258" s="729"/>
      <c r="V1258" s="694"/>
      <c r="W1258" s="694"/>
      <c r="X1258" s="694"/>
      <c r="Y1258" s="694"/>
      <c r="Z1258" s="694"/>
      <c r="AA1258" s="694"/>
      <c r="AB1258" s="694"/>
      <c r="AC1258" s="694"/>
      <c r="AD1258" s="694"/>
      <c r="AE1258" s="694"/>
      <c r="AF1258" s="694"/>
      <c r="AG1258" s="694"/>
      <c r="AH1258" s="694"/>
      <c r="AI1258" s="694"/>
      <c r="AJ1258" s="694"/>
      <c r="AK1258" s="694"/>
      <c r="AL1258" s="694"/>
      <c r="AM1258" s="343"/>
    </row>
    <row r="1259" spans="1:39" ht="12.75" customHeight="1" x14ac:dyDescent="0.25">
      <c r="A1259" s="694"/>
      <c r="B1259" s="298"/>
      <c r="C1259" s="298"/>
      <c r="D1259" s="302"/>
      <c r="E1259" s="1191" t="s">
        <v>1052</v>
      </c>
      <c r="F1259" s="2358" t="str">
        <f>Translations!$B$1531</f>
        <v>относителните прагове (15 % и 5 % за последващи промени) за очакваното равнище на дейност в сравнение с HAL</v>
      </c>
      <c r="G1259" s="2861"/>
      <c r="H1259" s="2861"/>
      <c r="I1259" s="2861"/>
      <c r="J1259" s="2861"/>
      <c r="K1259" s="2861"/>
      <c r="L1259" s="2861"/>
      <c r="M1259" s="2861"/>
      <c r="N1259" s="2861"/>
      <c r="O1259" s="302"/>
      <c r="P1259" s="336"/>
      <c r="Q1259" s="729"/>
      <c r="R1259" s="694"/>
      <c r="S1259" s="729"/>
      <c r="T1259" s="729"/>
      <c r="U1259" s="729"/>
      <c r="V1259" s="694"/>
      <c r="W1259" s="694"/>
      <c r="X1259" s="694"/>
      <c r="Y1259" s="694"/>
      <c r="Z1259" s="694"/>
      <c r="AA1259" s="694"/>
      <c r="AB1259" s="694"/>
      <c r="AC1259" s="694"/>
      <c r="AD1259" s="694"/>
      <c r="AE1259" s="694"/>
      <c r="AF1259" s="694"/>
      <c r="AG1259" s="694"/>
      <c r="AH1259" s="694"/>
      <c r="AI1259" s="694"/>
      <c r="AJ1259" s="694"/>
      <c r="AK1259" s="694"/>
      <c r="AL1259" s="694"/>
      <c r="AM1259" s="343"/>
    </row>
    <row r="1260" spans="1:39" ht="12.75" customHeight="1" thickBot="1" x14ac:dyDescent="0.3">
      <c r="A1260" s="694"/>
      <c r="B1260" s="298"/>
      <c r="C1260" s="298"/>
      <c r="D1260" s="302"/>
      <c r="E1260" s="1191" t="s">
        <v>1052</v>
      </c>
      <c r="F1260" s="2358" t="str">
        <f>Translations!$B$1514</f>
        <v>абсолютния праг, т.е. промяната би довела до разлика в предварителното разпределение от най-малко 300 квоти</v>
      </c>
      <c r="G1260" s="2861"/>
      <c r="H1260" s="2861"/>
      <c r="I1260" s="2861"/>
      <c r="J1260" s="2861"/>
      <c r="K1260" s="2861"/>
      <c r="L1260" s="2861"/>
      <c r="M1260" s="2861"/>
      <c r="N1260" s="2861"/>
      <c r="O1260" s="302"/>
      <c r="P1260" s="336"/>
      <c r="Q1260" s="729"/>
      <c r="R1260" s="694"/>
      <c r="S1260" s="729"/>
      <c r="T1260" s="729"/>
      <c r="U1260" s="729"/>
      <c r="V1260" s="694"/>
      <c r="W1260" s="694"/>
      <c r="X1260" s="694"/>
      <c r="Y1260" s="694"/>
      <c r="Z1260" s="694"/>
      <c r="AA1260" s="694"/>
      <c r="AB1260" s="694"/>
      <c r="AC1260" s="694"/>
      <c r="AD1260" s="694"/>
      <c r="AE1260" s="694"/>
      <c r="AF1260" s="694"/>
      <c r="AG1260" s="694"/>
      <c r="AH1260" s="694"/>
      <c r="AI1260" s="694"/>
      <c r="AJ1260" s="694"/>
      <c r="AK1260" s="694"/>
      <c r="AL1260" s="694"/>
      <c r="AM1260" s="343"/>
    </row>
    <row r="1261" spans="1:39" ht="5.15" customHeight="1" thickBot="1" x14ac:dyDescent="0.3">
      <c r="A1261" s="694"/>
      <c r="B1261" s="298"/>
      <c r="C1261" s="298"/>
      <c r="D1261" s="1192"/>
      <c r="E1261" s="1193"/>
      <c r="F1261" s="1194"/>
      <c r="G1261" s="1195"/>
      <c r="H1261" s="1195"/>
      <c r="I1261" s="1195"/>
      <c r="J1261" s="1195"/>
      <c r="K1261" s="1195"/>
      <c r="L1261" s="1195"/>
      <c r="M1261" s="1195"/>
      <c r="N1261" s="1196"/>
      <c r="O1261" s="302"/>
      <c r="P1261" s="336"/>
      <c r="Q1261" s="729"/>
      <c r="R1261" s="694"/>
      <c r="S1261" s="729"/>
      <c r="T1261" s="729"/>
      <c r="U1261" s="729"/>
      <c r="V1261" s="694"/>
      <c r="W1261" s="694"/>
      <c r="X1261" s="694"/>
      <c r="Y1261" s="694"/>
      <c r="Z1261" s="694"/>
      <c r="AA1261" s="694"/>
      <c r="AB1261" s="694"/>
      <c r="AC1261" s="694"/>
      <c r="AD1261" s="694"/>
      <c r="AE1261" s="694"/>
      <c r="AF1261" s="694"/>
      <c r="AG1261" s="694"/>
      <c r="AH1261" s="694"/>
      <c r="AI1261" s="694"/>
      <c r="AJ1261" s="694"/>
      <c r="AK1261" s="694"/>
      <c r="AL1261" s="694"/>
      <c r="AM1261" s="343"/>
    </row>
    <row r="1262" spans="1:39" ht="12.75" customHeight="1" x14ac:dyDescent="0.25">
      <c r="A1262" s="694"/>
      <c r="B1262" s="298"/>
      <c r="C1262" s="298"/>
      <c r="D1262" s="1217"/>
      <c r="E1262" s="1198" t="str">
        <f>Translations!$B$1334</f>
        <v>Предварителна корекция</v>
      </c>
      <c r="F1262" s="1199"/>
      <c r="G1262" s="1199"/>
      <c r="H1262" s="1200" t="str">
        <f>EUconst_Unit</f>
        <v>Единица мярка</v>
      </c>
      <c r="I1262" s="1201" t="str">
        <f>Translations!$B$1320</f>
        <v>(НМИ) HAL</v>
      </c>
      <c r="J1262" s="1202">
        <f>J$1840</f>
        <v>2026</v>
      </c>
      <c r="K1262" s="1203">
        <f>K$1840</f>
        <v>2027</v>
      </c>
      <c r="L1262" s="1203">
        <f>L$1840</f>
        <v>2028</v>
      </c>
      <c r="M1262" s="1203">
        <f>M$1840</f>
        <v>2029</v>
      </c>
      <c r="N1262" s="1204">
        <f>N$1840</f>
        <v>2030</v>
      </c>
      <c r="O1262" s="302"/>
      <c r="P1262" s="336"/>
      <c r="Q1262" s="729"/>
      <c r="R1262" s="694"/>
      <c r="S1262" s="729"/>
      <c r="T1262" s="729"/>
      <c r="U1262" s="1205"/>
      <c r="V1262" s="1206">
        <f>J1262</f>
        <v>2026</v>
      </c>
      <c r="W1262" s="1206">
        <f>K1262</f>
        <v>2027</v>
      </c>
      <c r="X1262" s="1206">
        <f>L1262</f>
        <v>2028</v>
      </c>
      <c r="Y1262" s="1206">
        <f>M1262</f>
        <v>2029</v>
      </c>
      <c r="Z1262" s="1207">
        <f>N1262</f>
        <v>2030</v>
      </c>
      <c r="AA1262" s="694"/>
      <c r="AB1262" s="729"/>
      <c r="AC1262" s="694"/>
      <c r="AD1262" s="694"/>
      <c r="AE1262" s="343"/>
      <c r="AF1262" s="343"/>
      <c r="AG1262" s="343"/>
      <c r="AH1262" s="343"/>
      <c r="AI1262" s="343"/>
      <c r="AJ1262" s="343"/>
      <c r="AK1262" s="343"/>
      <c r="AL1262" s="343"/>
      <c r="AM1262" s="343"/>
    </row>
    <row r="1263" spans="1:39" ht="12.75" customHeight="1" x14ac:dyDescent="0.25">
      <c r="A1263" s="694"/>
      <c r="B1263" s="298"/>
      <c r="C1263" s="298"/>
      <c r="D1263" s="1208" t="s">
        <v>7</v>
      </c>
      <c r="E1263" s="1209" t="str">
        <f>Translations!$B$1321</f>
        <v>Средно годишно равнище на дейност (стойност в НМИ)</v>
      </c>
      <c r="F1263" s="1209"/>
      <c r="G1263" s="1209"/>
      <c r="H1263" s="1266" t="str">
        <f>G1255</f>
        <v>TJ</v>
      </c>
      <c r="I1263" s="1399" t="str">
        <f>IF(V1247&gt;($J$1840-3),EUconst_NA,INDEX('B+C_SubInstallations'!$I:$I,MATCH(Q1263,'B+C_SubInstallations'!$T:$T,0)))</f>
        <v/>
      </c>
      <c r="J1263" s="1400" t="str">
        <f>IF(AND(V1263&gt;=3,CNTR_ReportingYear&gt;J1262-1),AVERAGE(SUM(H1255),SUM(I1255)),"")</f>
        <v/>
      </c>
      <c r="K1263" s="1401" t="str">
        <f>IF(AND(W1263&gt;=3,CNTR_ReportingYear&gt;K1262-1),AVERAGE(SUM(I1255),SUM(J1255)),"")</f>
        <v/>
      </c>
      <c r="L1263" s="1401" t="str">
        <f>IF(AND(X1263&gt;=3,CNTR_ReportingYear&gt;L1262-1),AVERAGE(SUM(J1255),SUM(K1255)),"")</f>
        <v/>
      </c>
      <c r="M1263" s="1401" t="str">
        <f>IF(AND(Y1263&gt;=3,CNTR_ReportingYear&gt;M1262-1),AVERAGE(SUM(K1255),SUM(L1255)),"")</f>
        <v/>
      </c>
      <c r="N1263" s="1402" t="str">
        <f>IF(AND(Z1263&gt;=3,CNTR_ReportingYear&gt;N1262-1),AVERAGE(SUM(L1255),SUM(M1255)),"")</f>
        <v/>
      </c>
      <c r="O1263" s="302"/>
      <c r="P1263" s="336"/>
      <c r="Q1263" s="1270" t="str">
        <f>EUconst_CNTR_HALinitial&amp;I1247</f>
        <v>HALini_Подинсталация с горивен показател (с риск от ИВЕ | в рамките на МКВЕГ)</v>
      </c>
      <c r="R1263" s="694"/>
      <c r="S1263" s="729"/>
      <c r="T1263" s="729"/>
      <c r="U1263" s="1365" t="s">
        <v>1710</v>
      </c>
      <c r="V1263" s="834">
        <f>IF($M1247&lt;&gt;EUconst_Relevant,0,V1262-$V1247+1)</f>
        <v>0</v>
      </c>
      <c r="W1263" s="834">
        <f>IF($M1247&lt;&gt;EUconst_Relevant,0,W1262-$V1247+1)</f>
        <v>0</v>
      </c>
      <c r="X1263" s="834">
        <f>IF($M1247&lt;&gt;EUconst_Relevant,0,X1262-$V1247+1)</f>
        <v>0</v>
      </c>
      <c r="Y1263" s="834">
        <f>IF($M1247&lt;&gt;EUconst_Relevant,0,Y1262-$V1247+1)</f>
        <v>0</v>
      </c>
      <c r="Z1263" s="1403">
        <f>IF($M1247&lt;&gt;EUconst_Relevant,0,Z1262-$V1247+1)</f>
        <v>0</v>
      </c>
      <c r="AA1263" s="694"/>
      <c r="AB1263" s="729"/>
      <c r="AC1263" s="694"/>
      <c r="AD1263" s="694"/>
      <c r="AE1263" s="343"/>
      <c r="AF1263" s="343"/>
      <c r="AG1263" s="343"/>
      <c r="AH1263" s="343"/>
      <c r="AI1263" s="343"/>
      <c r="AJ1263" s="343"/>
      <c r="AK1263" s="343"/>
      <c r="AL1263" s="343"/>
      <c r="AM1263" s="343"/>
    </row>
    <row r="1264" spans="1:39" ht="12.75" hidden="1" customHeight="1" x14ac:dyDescent="0.25">
      <c r="A1264" s="729" t="s">
        <v>312</v>
      </c>
      <c r="B1264" s="298"/>
      <c r="C1264" s="298"/>
      <c r="D1264" s="1208"/>
      <c r="E1264" s="1209" t="str">
        <f>Translations!$B$1376</f>
        <v>Промяна в сравнение с HAL</v>
      </c>
      <c r="F1264" s="1209"/>
      <c r="G1264" s="1209"/>
      <c r="H1264" s="1222"/>
      <c r="I1264" s="1223"/>
      <c r="J1264" s="104" t="str">
        <f>IF(J1263="","",IF($I1266=0,IF(J1263=0,0%,100%),J1263/$I1266-1))</f>
        <v/>
      </c>
      <c r="K1264" s="99" t="str">
        <f>IF(K1263="","",IF($I1266=0,IF(K1263=0,0%,100%),K1263/$I1266-1))</f>
        <v/>
      </c>
      <c r="L1264" s="99" t="str">
        <f>IF(L1263="","",IF($I1266=0,IF(L1263=0,0%,100%),L1263/$I1266-1))</f>
        <v/>
      </c>
      <c r="M1264" s="99" t="str">
        <f>IF(M1263="","",IF($I1266=0,IF(M1263=0,0%,100%),M1263/$I1266-1))</f>
        <v/>
      </c>
      <c r="N1264" s="123" t="str">
        <f>IF(N1263="","",IF($I1266=0,IF(N1263=0,0%,100%),N1263/$I1266-1))</f>
        <v/>
      </c>
      <c r="O1264" s="302"/>
      <c r="P1264" s="336"/>
      <c r="Q1264" s="1190" t="str">
        <f>EUconst_CNTR_RelThreshold &amp;I1247</f>
        <v>RelThresh_Подинсталация с горивен показател (с риск от ИВЕ | в рамките на МКВЕГ)</v>
      </c>
      <c r="R1264" s="694"/>
      <c r="S1264" s="729"/>
      <c r="T1264" s="729"/>
      <c r="U1264" s="1365" t="s">
        <v>1715</v>
      </c>
      <c r="V1264" s="727" t="str">
        <f>IF(J1263="","",ABS(J1264)&gt;15%)</f>
        <v/>
      </c>
      <c r="W1264" s="727" t="str">
        <f>IF(K1263="","",ABS(K1264)&gt;15%)</f>
        <v/>
      </c>
      <c r="X1264" s="727" t="str">
        <f>IF(L1263="","",ABS(L1264)&gt;15%)</f>
        <v/>
      </c>
      <c r="Y1264" s="727" t="str">
        <f>IF(M1263="","",ABS(M1264)&gt;15%)</f>
        <v/>
      </c>
      <c r="Z1264" s="1221" t="str">
        <f>IF(N1263="","",ABS(N1264)&gt;15%)</f>
        <v/>
      </c>
      <c r="AA1264" s="694"/>
      <c r="AB1264" s="729"/>
      <c r="AC1264" s="694"/>
      <c r="AD1264" s="694"/>
      <c r="AE1264" s="343"/>
      <c r="AF1264" s="343"/>
      <c r="AG1264" s="343"/>
      <c r="AH1264" s="343"/>
      <c r="AI1264" s="343"/>
      <c r="AJ1264" s="343"/>
      <c r="AK1264" s="343"/>
      <c r="AL1264" s="343"/>
      <c r="AM1264" s="343"/>
    </row>
    <row r="1265" spans="1:39" ht="12.75" customHeight="1" x14ac:dyDescent="0.25">
      <c r="A1265" s="729"/>
      <c r="B1265" s="298"/>
      <c r="C1265" s="298"/>
      <c r="D1265" s="1208" t="s">
        <v>8</v>
      </c>
      <c r="E1265" s="1209" t="str">
        <f>Translations!$B$1322</f>
        <v>Предварителна корекция (ако са надвишени относителните прагове)</v>
      </c>
      <c r="F1265" s="1209"/>
      <c r="G1265" s="1209"/>
      <c r="H1265" s="1222"/>
      <c r="I1265" s="1223"/>
      <c r="J1265" s="1224" t="str">
        <f>IF(J1263="","",IF(V1264=FALSE,0%,J1264))</f>
        <v/>
      </c>
      <c r="K1265" s="1225" t="str">
        <f t="shared" ref="K1265" si="1925">IF(K1263="","",IF(W1264=FALSE,0%,K1264))</f>
        <v/>
      </c>
      <c r="L1265" s="1225" t="str">
        <f t="shared" ref="L1265" si="1926">IF(L1263="","",IF(X1264=FALSE,0%,L1264))</f>
        <v/>
      </c>
      <c r="M1265" s="1225" t="str">
        <f t="shared" ref="M1265" si="1927">IF(M1263="","",IF(Y1264=FALSE,0%,M1264))</f>
        <v/>
      </c>
      <c r="N1265" s="1226" t="str">
        <f t="shared" ref="N1265" si="1928">IF(N1263="","",IF(Z1264=FALSE,0%,N1264))</f>
        <v/>
      </c>
      <c r="O1265" s="302"/>
      <c r="P1265" s="336"/>
      <c r="Q1265" s="729"/>
      <c r="R1265" s="694"/>
      <c r="S1265" s="729"/>
      <c r="T1265" s="729"/>
      <c r="U1265" s="1365" t="s">
        <v>1716</v>
      </c>
      <c r="V1265" s="727" t="str">
        <f>IF(J1263="","",AND(V1264,IF(SUM(I1382)&lt;0,OR(SUM(J1264)&lt;SUM(I1382)-MOD(SUM(I1382),5%),J1264&gt;=SUM(I1382)+5%-MOD(SUM(I1382),5%)),OR(SUM(J1264)&lt;=SUM(I1382)-MOD(SUM(I1382),5%),SUM(J1264)&gt;SUM(I1382)+5%-MOD(SUM(I1382),5%)))))</f>
        <v/>
      </c>
      <c r="W1265" s="727" t="str">
        <f>IF(K1263="","",AND(W1264,IF(SUM(J1382)&lt;0,OR(SUM(K1264)&lt;SUM(J1382)-MOD(SUM(J1382),5%),K1264&gt;=SUM(J1382)+5%-MOD(SUM(J1382),5%)),OR(SUM(K1264)&lt;=SUM(J1382)-MOD(SUM(J1382),5%),SUM(K1264)&gt;SUM(J1382)+5%-MOD(SUM(J1382),5%)))))</f>
        <v/>
      </c>
      <c r="X1265" s="727" t="str">
        <f>IF(L1263="","",AND(X1264,IF(SUM(K1382)&lt;0,OR(SUM(L1264)&lt;SUM(K1382)-MOD(SUM(K1382),5%),L1264&gt;=SUM(K1382)+5%-MOD(SUM(K1382),5%)),OR(SUM(L1264)&lt;=SUM(K1382)-MOD(SUM(K1382),5%),SUM(L1264)&gt;SUM(K1382)+5%-MOD(SUM(K1382),5%)))))</f>
        <v/>
      </c>
      <c r="Y1265" s="727" t="str">
        <f>IF(M1263="","",AND(Y1264,IF(SUM(L1382)&lt;0,OR(SUM(M1264)&lt;SUM(L1382)-MOD(SUM(L1382),5%),M1264&gt;=SUM(L1382)+5%-MOD(SUM(L1382),5%)),OR(SUM(M1264)&lt;=SUM(L1382)-MOD(SUM(L1382),5%),SUM(M1264)&gt;SUM(L1382)+5%-MOD(SUM(L1382),5%)))))</f>
        <v/>
      </c>
      <c r="Z1265" s="1221" t="str">
        <f>IF(N1263="","",AND(Z1264,IF(SUM(M1382)&lt;0,OR(SUM(N1264)&lt;SUM(M1382)-MOD(SUM(M1382),5%),N1264&gt;=SUM(M1382)+5%-MOD(SUM(M1382),5%)),OR(SUM(N1264)&lt;=SUM(M1382)-MOD(SUM(M1382),5%),SUM(N1264)&gt;SUM(M1382)+5%-MOD(SUM(M1382),5%)))))</f>
        <v/>
      </c>
      <c r="AA1265" s="694"/>
      <c r="AB1265" s="729"/>
      <c r="AC1265" s="694"/>
      <c r="AD1265" s="694"/>
      <c r="AE1265" s="343"/>
      <c r="AF1265" s="343"/>
      <c r="AG1265" s="343"/>
      <c r="AH1265" s="343"/>
      <c r="AI1265" s="343"/>
      <c r="AJ1265" s="343"/>
      <c r="AK1265" s="343"/>
      <c r="AL1265" s="343"/>
      <c r="AM1265" s="343"/>
    </row>
    <row r="1266" spans="1:39" ht="12.75" customHeight="1" thickBot="1" x14ac:dyDescent="0.3">
      <c r="A1266" s="729"/>
      <c r="B1266" s="298"/>
      <c r="C1266" s="298"/>
      <c r="D1266" s="1208" t="s">
        <v>18</v>
      </c>
      <c r="E1266" s="1209" t="str">
        <f>Translations!$B$1377</f>
        <v>Предварителна стойност</v>
      </c>
      <c r="F1266" s="1209"/>
      <c r="G1266" s="1209"/>
      <c r="H1266" s="1266" t="str">
        <f>H1263</f>
        <v>TJ</v>
      </c>
      <c r="I1266" s="1399" t="str">
        <f>IF(M1247&lt;&gt;EUconst_Relevant,"",IF(AB1247=FALSE,EUconst_NA,IF(V1247&gt;($J$1840-3),INDEX(H1255:N1255,MATCH($V1247,H1254:N1254,0)),I1263)))</f>
        <v/>
      </c>
      <c r="J1266" s="1400" t="str">
        <f>IF($M1247&lt;&gt;EUconst_Relevant,"",IF(V1263&lt;2,SUM(J1255),IF(V1263&lt;3,SUM(I1255),IF(V1266="",I1266,V1266))))</f>
        <v/>
      </c>
      <c r="K1266" s="1401" t="str">
        <f>IF($M1247&lt;&gt;EUconst_Relevant,"",IF(W1263&lt;2,SUM(K1255),IF(W1263&lt;3,SUM(J1255),IF(W1266="",J1266,W1266))))</f>
        <v/>
      </c>
      <c r="L1266" s="1401" t="str">
        <f>IF($M1247&lt;&gt;EUconst_Relevant,"",IF(X1263&lt;2,SUM(L1255),IF(X1263&lt;3,SUM(K1255),IF(X1266="",K1266,X1266))))</f>
        <v/>
      </c>
      <c r="M1266" s="1401" t="str">
        <f>IF($M1247&lt;&gt;EUconst_Relevant,"",IF(Y1263&lt;2,SUM(M1255),IF(Y1263&lt;3,SUM(L1255),IF(Y1266="",L1266,Y1266))))</f>
        <v/>
      </c>
      <c r="N1266" s="1402" t="str">
        <f>IF($M1247&lt;&gt;EUconst_Relevant,"",IF(Z1263&lt;2,SUM(N1255),IF(Z1263&lt;3,SUM(M1255),IF(Z1266="",M1266,Z1266))))</f>
        <v/>
      </c>
      <c r="O1266" s="710"/>
      <c r="P1266" s="336"/>
      <c r="Q1266" s="1190" t="s">
        <v>2143</v>
      </c>
      <c r="R1266" s="694"/>
      <c r="S1266" s="729"/>
      <c r="T1266" s="729"/>
      <c r="U1266" s="1404" t="s">
        <v>1711</v>
      </c>
      <c r="V1266" s="1405" t="str">
        <f>IF(J1263="","",IF(CNTR_ReportingYear&lt;J1262,I1265,IF($I1266=0,J1263,$I1266*(1+J1265))))</f>
        <v/>
      </c>
      <c r="W1266" s="1405" t="str">
        <f>IF(K1263="","",IF(CNTR_ReportingYear&lt;K1262,J1265,IF($I1266=0,K1263,$I1266*(1+K1265))))</f>
        <v/>
      </c>
      <c r="X1266" s="1405" t="str">
        <f>IF(L1263="","",IF(CNTR_ReportingYear&lt;L1262,K1265,IF($I1266=0,L1263,$I1266*(1+L1265))))</f>
        <v/>
      </c>
      <c r="Y1266" s="1405" t="str">
        <f>IF(M1263="","",IF(CNTR_ReportingYear&lt;M1262,L1265,IF($I1266=0,M1263,$I1266*(1+M1265))))</f>
        <v/>
      </c>
      <c r="Z1266" s="1406" t="str">
        <f>IF(N1263="","",IF(CNTR_ReportingYear&lt;N1262,M1265,IF($I1266=0,N1263,$I1266*(1+N1265))))</f>
        <v/>
      </c>
      <c r="AA1266" s="694"/>
      <c r="AB1266" s="694"/>
      <c r="AC1266" s="694"/>
      <c r="AD1266" s="694"/>
      <c r="AE1266" s="343"/>
      <c r="AF1266" s="343"/>
      <c r="AG1266" s="343"/>
      <c r="AH1266" s="343"/>
      <c r="AI1266" s="343"/>
      <c r="AJ1266" s="343"/>
      <c r="AK1266" s="343"/>
      <c r="AL1266" s="343"/>
      <c r="AM1266" s="343"/>
    </row>
    <row r="1267" spans="1:39" ht="5.15" customHeight="1" thickBot="1" x14ac:dyDescent="0.3">
      <c r="A1267" s="729"/>
      <c r="B1267" s="698"/>
      <c r="C1267" s="284"/>
      <c r="D1267" s="1407"/>
      <c r="E1267" s="1408"/>
      <c r="F1267" s="1408"/>
      <c r="G1267" s="1408"/>
      <c r="H1267" s="1408"/>
      <c r="I1267" s="1408"/>
      <c r="J1267" s="1408"/>
      <c r="K1267" s="1408"/>
      <c r="L1267" s="1408"/>
      <c r="M1267" s="1408"/>
      <c r="N1267" s="1409"/>
      <c r="O1267" s="336"/>
      <c r="P1267" s="336"/>
      <c r="Q1267" s="694"/>
      <c r="R1267" s="694"/>
      <c r="S1267" s="729"/>
      <c r="T1267" s="729"/>
      <c r="U1267" s="694"/>
      <c r="V1267" s="694"/>
      <c r="W1267" s="694"/>
      <c r="X1267" s="694"/>
      <c r="Y1267" s="694"/>
      <c r="Z1267" s="729"/>
      <c r="AA1267" s="729"/>
      <c r="AB1267" s="729"/>
      <c r="AC1267" s="694"/>
      <c r="AD1267" s="694"/>
      <c r="AE1267" s="343"/>
      <c r="AF1267" s="343"/>
      <c r="AG1267" s="343"/>
      <c r="AH1267" s="343"/>
      <c r="AI1267" s="343"/>
      <c r="AJ1267" s="343"/>
      <c r="AK1267" s="343"/>
      <c r="AL1267" s="343"/>
      <c r="AM1267" s="343"/>
    </row>
    <row r="1268" spans="1:39" ht="5.15" customHeight="1" x14ac:dyDescent="0.25">
      <c r="A1268" s="729" t="str">
        <f>A1269</f>
        <v/>
      </c>
      <c r="B1268" s="698"/>
      <c r="C1268" s="284"/>
      <c r="D1268" s="284"/>
      <c r="E1268" s="284"/>
      <c r="F1268" s="284"/>
      <c r="G1268" s="284"/>
      <c r="H1268" s="284"/>
      <c r="I1268" s="284"/>
      <c r="J1268" s="284"/>
      <c r="K1268" s="284"/>
      <c r="L1268" s="284"/>
      <c r="M1268" s="284"/>
      <c r="N1268" s="284"/>
      <c r="O1268" s="336"/>
      <c r="P1268" s="336"/>
      <c r="Q1268" s="694"/>
      <c r="R1268" s="694"/>
      <c r="S1268" s="729"/>
      <c r="T1268" s="729"/>
      <c r="U1268" s="694"/>
      <c r="V1268" s="694"/>
      <c r="W1268" s="694"/>
      <c r="X1268" s="694"/>
      <c r="Y1268" s="694"/>
      <c r="Z1268" s="729"/>
      <c r="AA1268" s="729"/>
      <c r="AB1268" s="729"/>
      <c r="AC1268" s="694"/>
      <c r="AD1268" s="694"/>
      <c r="AE1268" s="343"/>
      <c r="AF1268" s="343"/>
      <c r="AG1268" s="343"/>
      <c r="AH1268" s="343"/>
      <c r="AI1268" s="343"/>
      <c r="AJ1268" s="343"/>
      <c r="AK1268" s="343"/>
      <c r="AL1268" s="343"/>
      <c r="AM1268" s="343"/>
    </row>
    <row r="1269" spans="1:39" ht="14" x14ac:dyDescent="0.3">
      <c r="A1269" s="729" t="str">
        <f>IF(MATCH(I1247,EUconst_FallBackListNames,0)=4,"ausblenden","")</f>
        <v/>
      </c>
      <c r="B1269" s="698"/>
      <c r="C1269" s="590"/>
      <c r="D1269" s="2323" t="str">
        <f>Translations!$B$495</f>
        <v>Данни за производството</v>
      </c>
      <c r="E1269" s="2249"/>
      <c r="F1269" s="2249"/>
      <c r="G1269" s="2249"/>
      <c r="H1269" s="2249"/>
      <c r="I1269" s="2249"/>
      <c r="J1269" s="2249"/>
      <c r="K1269" s="2249"/>
      <c r="L1269" s="2249"/>
      <c r="M1269" s="2249"/>
      <c r="N1269" s="2249"/>
      <c r="O1269" s="336"/>
      <c r="P1269" s="336"/>
      <c r="Q1269" s="694"/>
      <c r="R1269" s="694"/>
      <c r="S1269" s="694"/>
      <c r="T1269" s="694"/>
      <c r="U1269" s="694"/>
      <c r="V1269" s="694"/>
      <c r="W1269" s="694"/>
      <c r="X1269" s="694"/>
      <c r="Y1269" s="694"/>
      <c r="Z1269" s="729"/>
      <c r="AA1269" s="729"/>
      <c r="AB1269" s="729"/>
      <c r="AC1269" s="694"/>
      <c r="AD1269" s="694"/>
      <c r="AE1269" s="343"/>
      <c r="AF1269" s="343"/>
      <c r="AG1269" s="343"/>
      <c r="AH1269" s="343"/>
      <c r="AI1269" s="343"/>
      <c r="AJ1269" s="343"/>
      <c r="AK1269" s="343"/>
      <c r="AL1269" s="343"/>
      <c r="AM1269" s="343"/>
    </row>
    <row r="1270" spans="1:39" ht="5.15" customHeight="1" x14ac:dyDescent="0.25">
      <c r="A1270" s="729" t="str">
        <f>A1269</f>
        <v/>
      </c>
      <c r="B1270" s="284"/>
      <c r="C1270" s="284"/>
      <c r="D1270" s="284"/>
      <c r="E1270" s="284"/>
      <c r="F1270" s="284"/>
      <c r="G1270" s="284"/>
      <c r="H1270" s="284"/>
      <c r="I1270" s="284"/>
      <c r="J1270" s="284"/>
      <c r="K1270" s="284"/>
      <c r="L1270" s="284"/>
      <c r="M1270" s="284"/>
      <c r="N1270" s="284"/>
      <c r="O1270" s="336"/>
      <c r="P1270" s="336"/>
      <c r="Q1270" s="770"/>
      <c r="R1270" s="770"/>
      <c r="S1270" s="694"/>
      <c r="T1270" s="694"/>
      <c r="U1270" s="694"/>
      <c r="V1270" s="694"/>
      <c r="W1270" s="694"/>
      <c r="X1270" s="694"/>
      <c r="Y1270" s="694"/>
      <c r="Z1270" s="729"/>
      <c r="AA1270" s="729"/>
      <c r="AB1270" s="729"/>
      <c r="AC1270" s="694"/>
      <c r="AD1270" s="694"/>
      <c r="AE1270" s="343"/>
      <c r="AF1270" s="343"/>
      <c r="AG1270" s="343"/>
      <c r="AH1270" s="343"/>
      <c r="AI1270" s="343"/>
      <c r="AJ1270" s="343"/>
      <c r="AK1270" s="343"/>
      <c r="AL1270" s="343"/>
      <c r="AM1270" s="343"/>
    </row>
    <row r="1271" spans="1:39" ht="12.75" customHeight="1" x14ac:dyDescent="0.25">
      <c r="A1271" s="729" t="str">
        <f t="shared" ref="A1271:A1274" si="1929">A1270</f>
        <v/>
      </c>
      <c r="B1271" s="284"/>
      <c r="C1271" s="300"/>
      <c r="D1271" s="300" t="s">
        <v>901</v>
      </c>
      <c r="E1271" s="2226" t="str">
        <f>Translations!$B$616</f>
        <v>Определяне на съответните продукти или услуги, свързани с тази подинсталация</v>
      </c>
      <c r="F1271" s="2249"/>
      <c r="G1271" s="2249"/>
      <c r="H1271" s="2249"/>
      <c r="I1271" s="2249"/>
      <c r="J1271" s="2249"/>
      <c r="K1271" s="2249"/>
      <c r="L1271" s="2249"/>
      <c r="M1271" s="2249"/>
      <c r="N1271" s="2249"/>
      <c r="O1271" s="336"/>
      <c r="P1271" s="336"/>
      <c r="Q1271" s="770"/>
      <c r="R1271" s="694"/>
      <c r="S1271" s="694"/>
      <c r="T1271" s="694"/>
      <c r="U1271" s="694"/>
      <c r="V1271" s="694"/>
      <c r="W1271" s="694"/>
      <c r="X1271" s="694"/>
      <c r="Y1271" s="694"/>
      <c r="Z1271" s="694"/>
      <c r="AA1271" s="694"/>
      <c r="AB1271" s="729"/>
      <c r="AC1271" s="694"/>
      <c r="AD1271" s="694"/>
      <c r="AE1271" s="343"/>
      <c r="AF1271" s="343"/>
      <c r="AG1271" s="343"/>
      <c r="AH1271" s="343"/>
      <c r="AI1271" s="343"/>
      <c r="AJ1271" s="343"/>
      <c r="AK1271" s="343"/>
      <c r="AL1271" s="343"/>
      <c r="AM1271" s="343"/>
    </row>
    <row r="1272" spans="1:39" ht="12.75" customHeight="1" x14ac:dyDescent="0.25">
      <c r="A1272" s="729" t="str">
        <f t="shared" si="1929"/>
        <v/>
      </c>
      <c r="B1272" s="284"/>
      <c r="C1272" s="302"/>
      <c r="D1272" s="302"/>
      <c r="E1272" s="2358" t="str">
        <f>Translations!$B$617</f>
        <v>Тук посочете към кои производствени процеси или услуги има отношение тази подинсталация. Това може да включва следните елементи:</v>
      </c>
      <c r="F1272" s="2249"/>
      <c r="G1272" s="2249"/>
      <c r="H1272" s="2249"/>
      <c r="I1272" s="2249"/>
      <c r="J1272" s="2249"/>
      <c r="K1272" s="2249"/>
      <c r="L1272" s="2249"/>
      <c r="M1272" s="2249"/>
      <c r="N1272" s="2249"/>
      <c r="O1272" s="336"/>
      <c r="P1272" s="336"/>
      <c r="Q1272" s="770"/>
      <c r="R1272" s="770"/>
      <c r="S1272" s="770"/>
      <c r="T1272" s="770"/>
      <c r="U1272" s="770"/>
      <c r="V1272" s="770"/>
      <c r="W1272" s="770"/>
      <c r="X1272" s="770"/>
      <c r="Y1272" s="770"/>
      <c r="Z1272" s="770"/>
      <c r="AA1272" s="770"/>
      <c r="AB1272" s="729"/>
      <c r="AC1272" s="694"/>
      <c r="AD1272" s="694"/>
      <c r="AE1272" s="343"/>
      <c r="AF1272" s="343"/>
      <c r="AG1272" s="343"/>
      <c r="AH1272" s="343"/>
      <c r="AI1272" s="343"/>
      <c r="AJ1272" s="343"/>
      <c r="AK1272" s="343"/>
      <c r="AL1272" s="343"/>
      <c r="AM1272" s="343"/>
    </row>
    <row r="1273" spans="1:39" ht="12.75" customHeight="1" x14ac:dyDescent="0.25">
      <c r="A1273" s="729" t="str">
        <f t="shared" si="1929"/>
        <v/>
      </c>
      <c r="B1273" s="284"/>
      <c r="C1273" s="302"/>
      <c r="D1273" s="302"/>
      <c r="E1273" s="1410" t="s">
        <v>951</v>
      </c>
      <c r="F1273" s="2358" t="str">
        <f>Translations!$B$618</f>
        <v>Производство на стоки, непопадащи в продуктовите показатели в рамките на инсталацията (посочете вида продукти);</v>
      </c>
      <c r="G1273" s="2249"/>
      <c r="H1273" s="2249"/>
      <c r="I1273" s="2249"/>
      <c r="J1273" s="2249"/>
      <c r="K1273" s="2249"/>
      <c r="L1273" s="2249"/>
      <c r="M1273" s="2249"/>
      <c r="N1273" s="2249"/>
      <c r="O1273" s="336"/>
      <c r="P1273" s="336"/>
      <c r="Q1273" s="770"/>
      <c r="R1273" s="770"/>
      <c r="S1273" s="770"/>
      <c r="T1273" s="770"/>
      <c r="U1273" s="770"/>
      <c r="V1273" s="770"/>
      <c r="W1273" s="770"/>
      <c r="X1273" s="770"/>
      <c r="Y1273" s="770"/>
      <c r="Z1273" s="770"/>
      <c r="AA1273" s="770"/>
      <c r="AB1273" s="729"/>
      <c r="AC1273" s="694"/>
      <c r="AD1273" s="694"/>
      <c r="AE1273" s="343"/>
      <c r="AF1273" s="343"/>
      <c r="AG1273" s="343"/>
      <c r="AH1273" s="343"/>
      <c r="AI1273" s="343"/>
      <c r="AJ1273" s="343"/>
      <c r="AK1273" s="343"/>
      <c r="AL1273" s="343"/>
      <c r="AM1273" s="343"/>
    </row>
    <row r="1274" spans="1:39" ht="12.75" customHeight="1" x14ac:dyDescent="0.25">
      <c r="A1274" s="729" t="str">
        <f t="shared" si="1929"/>
        <v/>
      </c>
      <c r="B1274" s="284"/>
      <c r="C1274" s="302"/>
      <c r="D1274" s="302"/>
      <c r="E1274" s="1410" t="s">
        <v>951</v>
      </c>
      <c r="F1274" s="2358" t="str">
        <f>Translations!$B$619</f>
        <v>производство на механична енергия, за отопление или охлаждане (всички употреби без производство на електроенергия);</v>
      </c>
      <c r="G1274" s="2249"/>
      <c r="H1274" s="2249"/>
      <c r="I1274" s="2249"/>
      <c r="J1274" s="2249"/>
      <c r="K1274" s="2249"/>
      <c r="L1274" s="2249"/>
      <c r="M1274" s="2249"/>
      <c r="N1274" s="2249"/>
      <c r="O1274" s="336"/>
      <c r="P1274" s="336"/>
      <c r="Q1274" s="770"/>
      <c r="R1274" s="770"/>
      <c r="S1274" s="770"/>
      <c r="T1274" s="770"/>
      <c r="U1274" s="770"/>
      <c r="V1274" s="770"/>
      <c r="W1274" s="770"/>
      <c r="X1274" s="770"/>
      <c r="Y1274" s="770"/>
      <c r="Z1274" s="694"/>
      <c r="AA1274" s="694"/>
      <c r="AB1274" s="729"/>
      <c r="AC1274" s="694"/>
      <c r="AD1274" s="694"/>
      <c r="AE1274" s="343"/>
      <c r="AF1274" s="343"/>
      <c r="AG1274" s="343"/>
      <c r="AH1274" s="343"/>
      <c r="AI1274" s="343"/>
      <c r="AJ1274" s="343"/>
      <c r="AK1274" s="343"/>
      <c r="AL1274" s="343"/>
      <c r="AM1274" s="343"/>
    </row>
    <row r="1275" spans="1:39" ht="25.5" customHeight="1" x14ac:dyDescent="0.25">
      <c r="A1275" s="729"/>
      <c r="B1275" s="284"/>
      <c r="C1275" s="302"/>
      <c r="D1275" s="302"/>
      <c r="E1275" s="2358" t="str">
        <f>Translations!$B$497</f>
        <v>Кодовете по Продком се въвеждат като низове във вида „nnnnnnnn“, т.е. без точки или други разделителни знаци между тях. Само когато липсва код по Продком, се посочва 4-цифрения код по статистическата класификация на икономическите дейности в Европейския съюз (NACE) във вида „nnnn“.</v>
      </c>
      <c r="F1275" s="2249"/>
      <c r="G1275" s="2249"/>
      <c r="H1275" s="2249"/>
      <c r="I1275" s="2249"/>
      <c r="J1275" s="2249"/>
      <c r="K1275" s="2249"/>
      <c r="L1275" s="2249"/>
      <c r="M1275" s="2249"/>
      <c r="N1275" s="2249"/>
      <c r="O1275" s="336"/>
      <c r="P1275" s="336"/>
      <c r="Q1275" s="770"/>
      <c r="R1275" s="694"/>
      <c r="S1275" s="694"/>
      <c r="T1275" s="694"/>
      <c r="U1275" s="694"/>
      <c r="V1275" s="694"/>
      <c r="W1275" s="694"/>
      <c r="X1275" s="694"/>
      <c r="Y1275" s="694"/>
      <c r="Z1275" s="694"/>
      <c r="AA1275" s="694"/>
      <c r="AB1275" s="729"/>
      <c r="AC1275" s="694"/>
      <c r="AD1275" s="694"/>
      <c r="AE1275" s="343"/>
      <c r="AF1275" s="343"/>
      <c r="AG1275" s="343"/>
      <c r="AH1275" s="343"/>
      <c r="AI1275" s="343"/>
      <c r="AJ1275" s="343"/>
      <c r="AK1275" s="343"/>
      <c r="AL1275" s="343"/>
      <c r="AM1275" s="343"/>
    </row>
    <row r="1276" spans="1:39" ht="12.75" customHeight="1" x14ac:dyDescent="0.25">
      <c r="A1276" s="729"/>
      <c r="B1276" s="284"/>
      <c r="C1276" s="302"/>
      <c r="D1276" s="302"/>
      <c r="E1276" s="2358" t="str">
        <f>Translations!$B$498</f>
        <v>Продком списъкът за 2010 г. може да се намери на адрес: http://ec.europa.eu/eurostat/ramon/nomenclatures/index.cfm?TargetUrl=LST_CLS_DLD&amp;StrNom=PRD_2010&amp;StrLanguageCode=EN&amp;StrLayoutCode=HIERARCHIChttp://ec.europa.eu/eurostat/ramon/nomenclatures/index.cfm?TargetUrl=LST_CLS_DLD&amp;StrNom=PRD_2010&amp;StrLanguageCode=EN&amp;StrLayoutCode=HIERARCHIC</v>
      </c>
      <c r="F1276" s="2249"/>
      <c r="G1276" s="2249"/>
      <c r="H1276" s="2249"/>
      <c r="I1276" s="2249"/>
      <c r="J1276" s="2249"/>
      <c r="K1276" s="2249"/>
      <c r="L1276" s="2249"/>
      <c r="M1276" s="2249"/>
      <c r="N1276" s="2249"/>
      <c r="O1276" s="336"/>
      <c r="P1276" s="336"/>
      <c r="Q1276" s="770"/>
      <c r="R1276" s="694"/>
      <c r="S1276" s="694"/>
      <c r="T1276" s="694"/>
      <c r="U1276" s="694"/>
      <c r="V1276" s="694"/>
      <c r="W1276" s="694"/>
      <c r="X1276" s="694"/>
      <c r="Y1276" s="694"/>
      <c r="Z1276" s="694"/>
      <c r="AA1276" s="694"/>
      <c r="AB1276" s="729"/>
      <c r="AC1276" s="694"/>
      <c r="AD1276" s="694"/>
      <c r="AE1276" s="343"/>
      <c r="AF1276" s="343"/>
      <c r="AG1276" s="343"/>
      <c r="AH1276" s="343"/>
      <c r="AI1276" s="343"/>
      <c r="AJ1276" s="343"/>
      <c r="AK1276" s="343"/>
      <c r="AL1276" s="343"/>
      <c r="AM1276" s="343"/>
    </row>
    <row r="1277" spans="1:39" ht="12.75" customHeight="1" x14ac:dyDescent="0.25">
      <c r="A1277" s="729"/>
      <c r="B1277" s="284"/>
      <c r="C1277" s="302"/>
      <c r="D1277" s="302"/>
      <c r="E1277" s="2855" t="str">
        <f>Translations!$B$1532</f>
        <v>https://eur-lex.europa.eu/eli/reg/2010/860/oj</v>
      </c>
      <c r="F1277" s="2899"/>
      <c r="G1277" s="2899"/>
      <c r="H1277" s="2899"/>
      <c r="I1277" s="2899"/>
      <c r="J1277" s="2899"/>
      <c r="K1277" s="2899"/>
      <c r="L1277" s="2899"/>
      <c r="M1277" s="2899"/>
      <c r="N1277" s="2899"/>
      <c r="O1277" s="336"/>
      <c r="P1277" s="336"/>
      <c r="Q1277" s="770"/>
      <c r="R1277" s="694"/>
      <c r="S1277" s="694"/>
      <c r="T1277" s="694"/>
      <c r="U1277" s="694"/>
      <c r="V1277" s="694"/>
      <c r="W1277" s="694"/>
      <c r="X1277" s="694"/>
      <c r="Y1277" s="694"/>
      <c r="Z1277" s="694"/>
      <c r="AA1277" s="694"/>
      <c r="AB1277" s="729"/>
      <c r="AC1277" s="694"/>
      <c r="AD1277" s="694"/>
      <c r="AE1277" s="343"/>
      <c r="AF1277" s="343"/>
      <c r="AG1277" s="343"/>
      <c r="AH1277" s="343"/>
      <c r="AI1277" s="343"/>
      <c r="AJ1277" s="343"/>
      <c r="AK1277" s="343"/>
      <c r="AL1277" s="343"/>
      <c r="AM1277" s="343"/>
    </row>
    <row r="1278" spans="1:39" ht="12.75" customHeight="1" x14ac:dyDescent="0.25">
      <c r="A1278" s="729"/>
      <c r="B1278" s="284"/>
      <c r="C1278" s="302"/>
      <c r="D1278" s="302"/>
      <c r="E1278" s="2358" t="str">
        <f>Translations!$B$621</f>
        <v>Ако са обхванати няколко подобни продукта в рамките на една група по NACE, могат да се използват кодовете по NACE вместо по Продком.</v>
      </c>
      <c r="F1278" s="2249"/>
      <c r="G1278" s="2249"/>
      <c r="H1278" s="2249"/>
      <c r="I1278" s="2249"/>
      <c r="J1278" s="2249"/>
      <c r="K1278" s="2249"/>
      <c r="L1278" s="2249"/>
      <c r="M1278" s="2249"/>
      <c r="N1278" s="2249"/>
      <c r="O1278" s="336"/>
      <c r="P1278" s="336"/>
      <c r="Q1278" s="770"/>
      <c r="R1278" s="770"/>
      <c r="S1278" s="770"/>
      <c r="T1278" s="770"/>
      <c r="U1278" s="770"/>
      <c r="V1278" s="770"/>
      <c r="W1278" s="770"/>
      <c r="X1278" s="770"/>
      <c r="Y1278" s="770"/>
      <c r="Z1278" s="694"/>
      <c r="AA1278" s="694"/>
      <c r="AB1278" s="729"/>
      <c r="AC1278" s="694"/>
      <c r="AD1278" s="694"/>
      <c r="AE1278" s="343"/>
      <c r="AF1278" s="343"/>
      <c r="AG1278" s="343"/>
      <c r="AH1278" s="343"/>
      <c r="AI1278" s="343"/>
      <c r="AJ1278" s="343"/>
      <c r="AK1278" s="343"/>
      <c r="AL1278" s="343"/>
      <c r="AM1278" s="343"/>
    </row>
    <row r="1279" spans="1:39" ht="12.75" customHeight="1" x14ac:dyDescent="0.25">
      <c r="A1279" s="729"/>
      <c r="B1279" s="284"/>
      <c r="C1279" s="302"/>
      <c r="D1279" s="302"/>
      <c r="E1279" s="2358" t="str">
        <f>Translations!$B$1520</f>
        <v>Кодовете по КН са кодовете съгласно Регламент (ЕИО) № 2658/87, които са на разположение на следния адрес:</v>
      </c>
      <c r="F1279" s="2249"/>
      <c r="G1279" s="2249"/>
      <c r="H1279" s="2249"/>
      <c r="I1279" s="2249"/>
      <c r="J1279" s="2249"/>
      <c r="K1279" s="2249"/>
      <c r="L1279" s="2249"/>
      <c r="M1279" s="2249"/>
      <c r="N1279" s="2249"/>
      <c r="O1279" s="336"/>
      <c r="P1279" s="336"/>
      <c r="Q1279" s="770"/>
      <c r="R1279" s="770"/>
      <c r="S1279" s="770"/>
      <c r="T1279" s="770"/>
      <c r="U1279" s="770"/>
      <c r="V1279" s="770"/>
      <c r="W1279" s="770"/>
      <c r="X1279" s="770"/>
      <c r="Y1279" s="770"/>
      <c r="Z1279" s="694"/>
      <c r="AA1279" s="694"/>
      <c r="AB1279" s="729"/>
      <c r="AC1279" s="694"/>
      <c r="AD1279" s="694"/>
      <c r="AE1279" s="343"/>
      <c r="AF1279" s="343"/>
      <c r="AG1279" s="343"/>
      <c r="AH1279" s="343"/>
      <c r="AI1279" s="343"/>
      <c r="AJ1279" s="343"/>
      <c r="AK1279" s="343"/>
      <c r="AL1279" s="343"/>
      <c r="AM1279" s="343"/>
    </row>
    <row r="1280" spans="1:39" ht="12.75" customHeight="1" x14ac:dyDescent="0.25">
      <c r="A1280" s="729"/>
      <c r="B1280" s="284"/>
      <c r="C1280" s="302"/>
      <c r="D1280" s="302"/>
      <c r="E1280" s="2855" t="str">
        <f>Translations!$B$1521</f>
        <v>https://eur-lex.europa.eu/eli/reg/1987/2658/2023-06-17</v>
      </c>
      <c r="F1280" s="2899"/>
      <c r="G1280" s="2899"/>
      <c r="H1280" s="2899"/>
      <c r="I1280" s="2899"/>
      <c r="J1280" s="2899"/>
      <c r="K1280" s="2899"/>
      <c r="L1280" s="2899"/>
      <c r="M1280" s="2899"/>
      <c r="N1280" s="2899"/>
      <c r="O1280" s="336"/>
      <c r="P1280" s="336"/>
      <c r="Q1280" s="770"/>
      <c r="R1280" s="770"/>
      <c r="S1280" s="770"/>
      <c r="T1280" s="770"/>
      <c r="U1280" s="770"/>
      <c r="V1280" s="770"/>
      <c r="W1280" s="770"/>
      <c r="X1280" s="770"/>
      <c r="Y1280" s="770"/>
      <c r="Z1280" s="694"/>
      <c r="AA1280" s="694"/>
      <c r="AB1280" s="729"/>
      <c r="AC1280" s="694"/>
      <c r="AD1280" s="694"/>
      <c r="AE1280" s="343"/>
      <c r="AF1280" s="343"/>
      <c r="AG1280" s="343"/>
      <c r="AH1280" s="343"/>
      <c r="AI1280" s="343"/>
      <c r="AJ1280" s="343"/>
      <c r="AK1280" s="343"/>
      <c r="AL1280" s="343"/>
      <c r="AM1280" s="343"/>
    </row>
    <row r="1281" spans="1:39" ht="5.15" customHeight="1" x14ac:dyDescent="0.25">
      <c r="A1281" s="729"/>
      <c r="B1281" s="284"/>
      <c r="C1281" s="302"/>
      <c r="D1281" s="302"/>
      <c r="E1281" s="460"/>
      <c r="F1281" s="460"/>
      <c r="G1281" s="460"/>
      <c r="H1281" s="460"/>
      <c r="I1281" s="460"/>
      <c r="J1281" s="329"/>
      <c r="K1281" s="329"/>
      <c r="L1281" s="329"/>
      <c r="M1281" s="336"/>
      <c r="N1281" s="336"/>
      <c r="O1281" s="336"/>
      <c r="P1281" s="336"/>
      <c r="Q1281" s="770"/>
      <c r="R1281" s="694"/>
      <c r="S1281" s="694"/>
      <c r="T1281" s="694"/>
      <c r="U1281" s="694"/>
      <c r="V1281" s="694"/>
      <c r="W1281" s="694"/>
      <c r="X1281" s="694"/>
      <c r="Y1281" s="694"/>
      <c r="Z1281" s="694"/>
      <c r="AA1281" s="694"/>
      <c r="AB1281" s="729"/>
      <c r="AC1281" s="694"/>
      <c r="AD1281" s="694"/>
      <c r="AE1281" s="343"/>
      <c r="AF1281" s="343"/>
      <c r="AG1281" s="343"/>
      <c r="AH1281" s="343"/>
      <c r="AI1281" s="343"/>
      <c r="AJ1281" s="343"/>
      <c r="AK1281" s="343"/>
      <c r="AL1281" s="343"/>
      <c r="AM1281" s="343"/>
    </row>
    <row r="1282" spans="1:39" ht="25.5" customHeight="1" x14ac:dyDescent="0.25">
      <c r="A1282" s="729"/>
      <c r="B1282" s="698"/>
      <c r="C1282" s="300"/>
      <c r="D1282" s="1014"/>
      <c r="E1282" s="2900" t="str">
        <f>Translations!$B$622</f>
        <v>Вид употреба</v>
      </c>
      <c r="F1282" s="2901"/>
      <c r="G1282" s="2902" t="str">
        <f>Translations!$B$1557</f>
        <v>Име на продукт или вид услуга</v>
      </c>
      <c r="H1282" s="2463"/>
      <c r="I1282" s="2463"/>
      <c r="J1282" s="2463"/>
      <c r="K1282" s="2463"/>
      <c r="L1282" s="2699"/>
      <c r="M1282" s="1277" t="str">
        <f>Translations!$B$1522</f>
        <v>ПРОДКОМ за 2010 г.</v>
      </c>
      <c r="N1282" s="1277" t="str">
        <f>Translations!$B$1523</f>
        <v>Код по КН</v>
      </c>
      <c r="O1282" s="336"/>
      <c r="P1282" s="336"/>
      <c r="Q1282" s="694"/>
      <c r="R1282" s="694"/>
      <c r="S1282" s="1390" t="s">
        <v>1990</v>
      </c>
      <c r="T1282" s="694"/>
      <c r="U1282" s="694"/>
      <c r="V1282" s="694"/>
      <c r="W1282" s="694"/>
      <c r="X1282" s="694"/>
      <c r="Y1282" s="694"/>
      <c r="Z1282" s="770"/>
      <c r="AA1282" s="770"/>
      <c r="AB1282" s="729"/>
      <c r="AC1282" s="694"/>
      <c r="AD1282" s="694"/>
      <c r="AE1282" s="343"/>
      <c r="AF1282" s="343"/>
      <c r="AG1282" s="343"/>
      <c r="AH1282" s="343"/>
      <c r="AI1282" s="343"/>
      <c r="AJ1282" s="343"/>
      <c r="AK1282" s="343"/>
      <c r="AL1282" s="343"/>
      <c r="AM1282" s="343"/>
    </row>
    <row r="1283" spans="1:39" ht="12.75" customHeight="1" x14ac:dyDescent="0.25">
      <c r="A1283" s="729"/>
      <c r="B1283" s="698"/>
      <c r="C1283" s="773"/>
      <c r="D1283" s="981">
        <v>1</v>
      </c>
      <c r="E1283" s="2420"/>
      <c r="F1283" s="2421"/>
      <c r="G1283" s="2903"/>
      <c r="H1283" s="2904"/>
      <c r="I1283" s="2904"/>
      <c r="J1283" s="2904"/>
      <c r="K1283" s="2904"/>
      <c r="L1283" s="2905"/>
      <c r="M1283" s="221"/>
      <c r="N1283" s="221"/>
      <c r="O1283" s="336"/>
      <c r="P1283" s="158"/>
      <c r="Q1283" s="694"/>
      <c r="R1283" s="1174"/>
      <c r="S1283" s="982" t="b">
        <f>TRUE</f>
        <v>1</v>
      </c>
      <c r="T1283" s="1411" t="s">
        <v>2078</v>
      </c>
      <c r="U1283" s="694"/>
      <c r="V1283" s="694"/>
      <c r="W1283" s="694"/>
      <c r="X1283" s="694"/>
      <c r="Y1283" s="694"/>
      <c r="Z1283" s="694"/>
      <c r="AA1283" s="694"/>
      <c r="AB1283" s="729"/>
      <c r="AC1283" s="694"/>
      <c r="AD1283" s="694"/>
      <c r="AE1283" s="343"/>
      <c r="AF1283" s="343"/>
      <c r="AG1283" s="343"/>
      <c r="AH1283" s="343"/>
      <c r="AI1283" s="343"/>
      <c r="AJ1283" s="343"/>
      <c r="AK1283" s="1174" t="s">
        <v>2039</v>
      </c>
      <c r="AL1283" s="1176" t="str">
        <f>IF(AND($M1247=EUconst_Relevant,COUNTA(E1283:N1283)&lt;4),EUconst_Error&amp;"FB"&amp;Q1247,"")</f>
        <v/>
      </c>
      <c r="AM1283" s="343"/>
    </row>
    <row r="1284" spans="1:39" ht="12.75" customHeight="1" x14ac:dyDescent="0.25">
      <c r="A1284" s="729"/>
      <c r="B1284" s="698"/>
      <c r="C1284" s="773"/>
      <c r="D1284" s="990">
        <f>D1283+1</f>
        <v>2</v>
      </c>
      <c r="E1284" s="2406"/>
      <c r="F1284" s="2405"/>
      <c r="G1284" s="2913"/>
      <c r="H1284" s="2914"/>
      <c r="I1284" s="2914"/>
      <c r="J1284" s="2914"/>
      <c r="K1284" s="2914"/>
      <c r="L1284" s="2915"/>
      <c r="M1284" s="224"/>
      <c r="N1284" s="224"/>
      <c r="O1284" s="336"/>
      <c r="P1284" s="158"/>
      <c r="Q1284" s="694"/>
      <c r="R1284" s="694"/>
      <c r="S1284" s="982" t="b">
        <f>TRUE</f>
        <v>1</v>
      </c>
      <c r="T1284" s="694"/>
      <c r="U1284" s="694"/>
      <c r="V1284" s="694"/>
      <c r="W1284" s="694"/>
      <c r="X1284" s="694"/>
      <c r="Y1284" s="694"/>
      <c r="Z1284" s="694"/>
      <c r="AA1284" s="694"/>
      <c r="AB1284" s="729"/>
      <c r="AC1284" s="694"/>
      <c r="AD1284" s="694"/>
      <c r="AE1284" s="343"/>
      <c r="AF1284" s="343"/>
      <c r="AG1284" s="343"/>
      <c r="AH1284" s="343"/>
      <c r="AI1284" s="343"/>
      <c r="AJ1284" s="343"/>
      <c r="AK1284" s="343"/>
      <c r="AL1284" s="343"/>
      <c r="AM1284" s="343"/>
    </row>
    <row r="1285" spans="1:39" ht="12.75" customHeight="1" x14ac:dyDescent="0.25">
      <c r="A1285" s="729"/>
      <c r="B1285" s="698"/>
      <c r="C1285" s="773"/>
      <c r="D1285" s="990">
        <f t="shared" ref="D1285:D1292" si="1930">D1284+1</f>
        <v>3</v>
      </c>
      <c r="E1285" s="2406"/>
      <c r="F1285" s="2405"/>
      <c r="G1285" s="2913"/>
      <c r="H1285" s="2914"/>
      <c r="I1285" s="2914"/>
      <c r="J1285" s="2914"/>
      <c r="K1285" s="2914"/>
      <c r="L1285" s="2915"/>
      <c r="M1285" s="224"/>
      <c r="N1285" s="224"/>
      <c r="O1285" s="336"/>
      <c r="P1285" s="158"/>
      <c r="Q1285" s="694"/>
      <c r="R1285" s="694"/>
      <c r="S1285" s="982" t="b">
        <f>TRUE</f>
        <v>1</v>
      </c>
      <c r="T1285" s="694"/>
      <c r="U1285" s="694"/>
      <c r="V1285" s="694"/>
      <c r="W1285" s="694"/>
      <c r="X1285" s="694"/>
      <c r="Y1285" s="694"/>
      <c r="Z1285" s="694"/>
      <c r="AA1285" s="694"/>
      <c r="AB1285" s="729"/>
      <c r="AC1285" s="694"/>
      <c r="AD1285" s="694"/>
      <c r="AE1285" s="343"/>
      <c r="AF1285" s="343"/>
      <c r="AG1285" s="343"/>
      <c r="AH1285" s="343"/>
      <c r="AI1285" s="343"/>
      <c r="AJ1285" s="343"/>
      <c r="AK1285" s="343"/>
      <c r="AL1285" s="343"/>
      <c r="AM1285" s="343"/>
    </row>
    <row r="1286" spans="1:39" ht="12.75" customHeight="1" x14ac:dyDescent="0.25">
      <c r="A1286" s="729"/>
      <c r="B1286" s="698"/>
      <c r="C1286" s="773"/>
      <c r="D1286" s="990">
        <f t="shared" si="1930"/>
        <v>4</v>
      </c>
      <c r="E1286" s="2406"/>
      <c r="F1286" s="2405"/>
      <c r="G1286" s="2913"/>
      <c r="H1286" s="2914"/>
      <c r="I1286" s="2914"/>
      <c r="J1286" s="2914"/>
      <c r="K1286" s="2914"/>
      <c r="L1286" s="2915"/>
      <c r="M1286" s="222"/>
      <c r="N1286" s="222"/>
      <c r="O1286" s="336"/>
      <c r="P1286" s="158"/>
      <c r="Q1286" s="694"/>
      <c r="R1286" s="694"/>
      <c r="S1286" s="982" t="b">
        <f>TRUE</f>
        <v>1</v>
      </c>
      <c r="T1286" s="694"/>
      <c r="U1286" s="694"/>
      <c r="V1286" s="694"/>
      <c r="W1286" s="694"/>
      <c r="X1286" s="694"/>
      <c r="Y1286" s="694"/>
      <c r="Z1286" s="694"/>
      <c r="AA1286" s="694"/>
      <c r="AB1286" s="729"/>
      <c r="AC1286" s="694"/>
      <c r="AD1286" s="694"/>
      <c r="AE1286" s="343"/>
      <c r="AF1286" s="343"/>
      <c r="AG1286" s="343"/>
      <c r="AH1286" s="343"/>
      <c r="AI1286" s="343"/>
      <c r="AJ1286" s="343"/>
      <c r="AK1286" s="343"/>
      <c r="AL1286" s="343"/>
      <c r="AM1286" s="343"/>
    </row>
    <row r="1287" spans="1:39" ht="12.75" customHeight="1" x14ac:dyDescent="0.25">
      <c r="A1287" s="729"/>
      <c r="B1287" s="698"/>
      <c r="C1287" s="773"/>
      <c r="D1287" s="990">
        <f t="shared" si="1930"/>
        <v>5</v>
      </c>
      <c r="E1287" s="2406"/>
      <c r="F1287" s="2405"/>
      <c r="G1287" s="2913"/>
      <c r="H1287" s="2914"/>
      <c r="I1287" s="2914"/>
      <c r="J1287" s="2914"/>
      <c r="K1287" s="2914"/>
      <c r="L1287" s="2915"/>
      <c r="M1287" s="222"/>
      <c r="N1287" s="222"/>
      <c r="O1287" s="336"/>
      <c r="P1287" s="158"/>
      <c r="Q1287" s="694"/>
      <c r="R1287" s="694"/>
      <c r="S1287" s="982" t="b">
        <f>TRUE</f>
        <v>1</v>
      </c>
      <c r="T1287" s="694"/>
      <c r="U1287" s="694"/>
      <c r="V1287" s="694"/>
      <c r="W1287" s="694"/>
      <c r="X1287" s="694"/>
      <c r="Y1287" s="694"/>
      <c r="Z1287" s="770"/>
      <c r="AA1287" s="770"/>
      <c r="AB1287" s="729"/>
      <c r="AC1287" s="694"/>
      <c r="AD1287" s="694"/>
      <c r="AE1287" s="343"/>
      <c r="AF1287" s="343"/>
      <c r="AG1287" s="343"/>
      <c r="AH1287" s="343"/>
      <c r="AI1287" s="343"/>
      <c r="AJ1287" s="343"/>
      <c r="AK1287" s="343"/>
      <c r="AL1287" s="343"/>
      <c r="AM1287" s="343"/>
    </row>
    <row r="1288" spans="1:39" ht="12.75" customHeight="1" x14ac:dyDescent="0.25">
      <c r="A1288" s="729"/>
      <c r="B1288" s="698"/>
      <c r="C1288" s="773"/>
      <c r="D1288" s="990">
        <f t="shared" si="1930"/>
        <v>6</v>
      </c>
      <c r="E1288" s="2406"/>
      <c r="F1288" s="2405"/>
      <c r="G1288" s="2907"/>
      <c r="H1288" s="2908"/>
      <c r="I1288" s="2908"/>
      <c r="J1288" s="2908"/>
      <c r="K1288" s="2908"/>
      <c r="L1288" s="2909"/>
      <c r="M1288" s="222"/>
      <c r="N1288" s="222"/>
      <c r="O1288" s="336"/>
      <c r="P1288" s="158"/>
      <c r="Q1288" s="694"/>
      <c r="R1288" s="694"/>
      <c r="S1288" s="982" t="b">
        <f>TRUE</f>
        <v>1</v>
      </c>
      <c r="T1288" s="694"/>
      <c r="U1288" s="694"/>
      <c r="V1288" s="694"/>
      <c r="W1288" s="694"/>
      <c r="X1288" s="694"/>
      <c r="Y1288" s="694"/>
      <c r="Z1288" s="694"/>
      <c r="AA1288" s="694"/>
      <c r="AB1288" s="729"/>
      <c r="AC1288" s="694"/>
      <c r="AD1288" s="694"/>
      <c r="AE1288" s="343"/>
      <c r="AF1288" s="343"/>
      <c r="AG1288" s="343"/>
      <c r="AH1288" s="343"/>
      <c r="AI1288" s="343"/>
      <c r="AJ1288" s="343"/>
      <c r="AK1288" s="343"/>
      <c r="AL1288" s="343"/>
      <c r="AM1288" s="343"/>
    </row>
    <row r="1289" spans="1:39" ht="12.75" customHeight="1" x14ac:dyDescent="0.25">
      <c r="A1289" s="729"/>
      <c r="B1289" s="698"/>
      <c r="C1289" s="773"/>
      <c r="D1289" s="990">
        <f t="shared" si="1930"/>
        <v>7</v>
      </c>
      <c r="E1289" s="2406"/>
      <c r="F1289" s="2405"/>
      <c r="G1289" s="2907"/>
      <c r="H1289" s="2908"/>
      <c r="I1289" s="2908"/>
      <c r="J1289" s="2908"/>
      <c r="K1289" s="2908"/>
      <c r="L1289" s="2909"/>
      <c r="M1289" s="222"/>
      <c r="N1289" s="222"/>
      <c r="O1289" s="336"/>
      <c r="P1289" s="158"/>
      <c r="Q1289" s="694"/>
      <c r="R1289" s="694"/>
      <c r="S1289" s="982" t="b">
        <f>TRUE</f>
        <v>1</v>
      </c>
      <c r="T1289" s="694"/>
      <c r="U1289" s="694"/>
      <c r="V1289" s="694"/>
      <c r="W1289" s="694"/>
      <c r="X1289" s="694"/>
      <c r="Y1289" s="694"/>
      <c r="Z1289" s="694"/>
      <c r="AA1289" s="694"/>
      <c r="AB1289" s="729"/>
      <c r="AC1289" s="694"/>
      <c r="AD1289" s="694"/>
      <c r="AE1289" s="343"/>
      <c r="AF1289" s="343"/>
      <c r="AG1289" s="343"/>
      <c r="AH1289" s="343"/>
      <c r="AI1289" s="343"/>
      <c r="AJ1289" s="343"/>
      <c r="AK1289" s="343"/>
      <c r="AL1289" s="343"/>
      <c r="AM1289" s="343"/>
    </row>
    <row r="1290" spans="1:39" ht="12.75" customHeight="1" x14ac:dyDescent="0.25">
      <c r="A1290" s="729"/>
      <c r="B1290" s="698"/>
      <c r="C1290" s="773"/>
      <c r="D1290" s="990">
        <f t="shared" si="1930"/>
        <v>8</v>
      </c>
      <c r="E1290" s="2406"/>
      <c r="F1290" s="2405"/>
      <c r="G1290" s="2907"/>
      <c r="H1290" s="2908"/>
      <c r="I1290" s="2908"/>
      <c r="J1290" s="2908"/>
      <c r="K1290" s="2908"/>
      <c r="L1290" s="2909"/>
      <c r="M1290" s="222"/>
      <c r="N1290" s="222"/>
      <c r="O1290" s="336"/>
      <c r="P1290" s="158"/>
      <c r="Q1290" s="694"/>
      <c r="R1290" s="694"/>
      <c r="S1290" s="982" t="b">
        <f>TRUE</f>
        <v>1</v>
      </c>
      <c r="T1290" s="694"/>
      <c r="U1290" s="694"/>
      <c r="V1290" s="694"/>
      <c r="W1290" s="694"/>
      <c r="X1290" s="694"/>
      <c r="Y1290" s="694"/>
      <c r="Z1290" s="694"/>
      <c r="AA1290" s="694"/>
      <c r="AB1290" s="729"/>
      <c r="AC1290" s="694"/>
      <c r="AD1290" s="694"/>
      <c r="AE1290" s="343"/>
      <c r="AF1290" s="343"/>
      <c r="AG1290" s="343"/>
      <c r="AH1290" s="343"/>
      <c r="AI1290" s="343"/>
      <c r="AJ1290" s="343"/>
      <c r="AK1290" s="343"/>
      <c r="AL1290" s="343"/>
      <c r="AM1290" s="343"/>
    </row>
    <row r="1291" spans="1:39" ht="12.75" customHeight="1" x14ac:dyDescent="0.25">
      <c r="A1291" s="729"/>
      <c r="B1291" s="698"/>
      <c r="C1291" s="773"/>
      <c r="D1291" s="990">
        <f t="shared" si="1930"/>
        <v>9</v>
      </c>
      <c r="E1291" s="2406"/>
      <c r="F1291" s="2405"/>
      <c r="G1291" s="2907"/>
      <c r="H1291" s="2908"/>
      <c r="I1291" s="2908"/>
      <c r="J1291" s="2908"/>
      <c r="K1291" s="2908"/>
      <c r="L1291" s="2909"/>
      <c r="M1291" s="222"/>
      <c r="N1291" s="222"/>
      <c r="O1291" s="336"/>
      <c r="P1291" s="158"/>
      <c r="Q1291" s="694"/>
      <c r="R1291" s="694"/>
      <c r="S1291" s="982" t="b">
        <f>TRUE</f>
        <v>1</v>
      </c>
      <c r="T1291" s="694"/>
      <c r="U1291" s="694"/>
      <c r="V1291" s="694"/>
      <c r="W1291" s="694"/>
      <c r="X1291" s="694"/>
      <c r="Y1291" s="694"/>
      <c r="Z1291" s="694"/>
      <c r="AA1291" s="694"/>
      <c r="AB1291" s="729"/>
      <c r="AC1291" s="694"/>
      <c r="AD1291" s="694"/>
      <c r="AE1291" s="343"/>
      <c r="AF1291" s="343"/>
      <c r="AG1291" s="343"/>
      <c r="AH1291" s="343"/>
      <c r="AI1291" s="343"/>
      <c r="AJ1291" s="343"/>
      <c r="AK1291" s="343"/>
      <c r="AL1291" s="343"/>
      <c r="AM1291" s="343"/>
    </row>
    <row r="1292" spans="1:39" ht="12.75" customHeight="1" x14ac:dyDescent="0.25">
      <c r="A1292" s="729"/>
      <c r="B1292" s="698"/>
      <c r="C1292" s="773"/>
      <c r="D1292" s="994">
        <f t="shared" si="1930"/>
        <v>10</v>
      </c>
      <c r="E1292" s="2417"/>
      <c r="F1292" s="2403"/>
      <c r="G1292" s="2910"/>
      <c r="H1292" s="2911"/>
      <c r="I1292" s="2911"/>
      <c r="J1292" s="2911"/>
      <c r="K1292" s="2911"/>
      <c r="L1292" s="2912"/>
      <c r="M1292" s="223"/>
      <c r="N1292" s="223"/>
      <c r="O1292" s="336"/>
      <c r="P1292" s="158"/>
      <c r="Q1292" s="694"/>
      <c r="R1292" s="694"/>
      <c r="S1292" s="982" t="b">
        <f>TRUE</f>
        <v>1</v>
      </c>
      <c r="T1292" s="694"/>
      <c r="U1292" s="694"/>
      <c r="V1292" s="694"/>
      <c r="W1292" s="694"/>
      <c r="X1292" s="694"/>
      <c r="Y1292" s="694"/>
      <c r="Z1292" s="770"/>
      <c r="AA1292" s="770"/>
      <c r="AB1292" s="729"/>
      <c r="AC1292" s="694"/>
      <c r="AD1292" s="694"/>
      <c r="AE1292" s="343"/>
      <c r="AF1292" s="343"/>
      <c r="AG1292" s="343"/>
      <c r="AH1292" s="343"/>
      <c r="AI1292" s="343"/>
      <c r="AJ1292" s="343"/>
      <c r="AK1292" s="343"/>
      <c r="AL1292" s="343"/>
      <c r="AM1292" s="343"/>
    </row>
    <row r="1293" spans="1:39" ht="5.15" customHeight="1" x14ac:dyDescent="0.25">
      <c r="A1293" s="729"/>
      <c r="B1293" s="284"/>
      <c r="C1293" s="284"/>
      <c r="D1293" s="284"/>
      <c r="E1293" s="284"/>
      <c r="F1293" s="284"/>
      <c r="G1293" s="284"/>
      <c r="H1293" s="284"/>
      <c r="I1293" s="284"/>
      <c r="J1293" s="284"/>
      <c r="K1293" s="284"/>
      <c r="L1293" s="284"/>
      <c r="M1293" s="284"/>
      <c r="N1293" s="284"/>
      <c r="O1293" s="336"/>
      <c r="P1293" s="336"/>
      <c r="Q1293" s="770"/>
      <c r="R1293" s="770"/>
      <c r="S1293" s="694"/>
      <c r="T1293" s="694"/>
      <c r="U1293" s="694"/>
      <c r="V1293" s="694"/>
      <c r="W1293" s="694"/>
      <c r="X1293" s="694"/>
      <c r="Y1293" s="694"/>
      <c r="Z1293" s="694"/>
      <c r="AA1293" s="694"/>
      <c r="AB1293" s="729"/>
      <c r="AC1293" s="694"/>
      <c r="AD1293" s="694"/>
      <c r="AE1293" s="343"/>
      <c r="AF1293" s="343"/>
      <c r="AG1293" s="343"/>
      <c r="AH1293" s="343"/>
      <c r="AI1293" s="343"/>
      <c r="AJ1293" s="343"/>
      <c r="AK1293" s="343"/>
      <c r="AL1293" s="343"/>
      <c r="AM1293" s="343"/>
    </row>
    <row r="1294" spans="1:39" ht="12.75" customHeight="1" x14ac:dyDescent="0.25">
      <c r="A1294" s="729"/>
      <c r="B1294" s="284"/>
      <c r="C1294" s="300"/>
      <c r="D1294" s="300"/>
      <c r="E1294" s="2226" t="str">
        <f>Translations!$B$625</f>
        <v>Равнища на производство:</v>
      </c>
      <c r="F1294" s="2249"/>
      <c r="G1294" s="2249"/>
      <c r="H1294" s="2249"/>
      <c r="I1294" s="2249"/>
      <c r="J1294" s="2249"/>
      <c r="K1294" s="2249"/>
      <c r="L1294" s="2249"/>
      <c r="M1294" s="2249"/>
      <c r="N1294" s="2249"/>
      <c r="O1294" s="336"/>
      <c r="P1294" s="336"/>
      <c r="Q1294" s="770"/>
      <c r="R1294" s="694"/>
      <c r="S1294" s="694"/>
      <c r="T1294" s="694"/>
      <c r="U1294" s="694"/>
      <c r="V1294" s="694"/>
      <c r="W1294" s="694"/>
      <c r="X1294" s="694"/>
      <c r="Y1294" s="694"/>
      <c r="Z1294" s="694"/>
      <c r="AA1294" s="694"/>
      <c r="AB1294" s="729"/>
      <c r="AC1294" s="694"/>
      <c r="AD1294" s="694"/>
      <c r="AE1294" s="343"/>
      <c r="AF1294" s="343"/>
      <c r="AG1294" s="343"/>
      <c r="AH1294" s="343"/>
      <c r="AI1294" s="343"/>
      <c r="AJ1294" s="343"/>
      <c r="AK1294" s="343"/>
      <c r="AL1294" s="343"/>
      <c r="AM1294" s="343"/>
    </row>
    <row r="1295" spans="1:39" ht="25.5" customHeight="1" x14ac:dyDescent="0.25">
      <c r="A1295" s="729"/>
      <c r="B1295" s="284"/>
      <c r="C1295" s="300"/>
      <c r="D1295" s="300"/>
      <c r="E1295" s="2358" t="str">
        <f>Translations!$B$1533</f>
        <v>Следва да се отбележи, че правилото за енергийната ефективност може да се приложи само в случай на производството на конкретен продукт. Следователно, ако за даден продукт не може да бъде определен код по ПРОДКОМ, това правило не може да се прилага и очакваните равнища на дейност ще бъдат равни на действителните равнища на дейност (т.е. ще се отчитат спрямо оставащото AL), без никаква корекция.</v>
      </c>
      <c r="F1295" s="2249"/>
      <c r="G1295" s="2249"/>
      <c r="H1295" s="2249"/>
      <c r="I1295" s="2249"/>
      <c r="J1295" s="2249"/>
      <c r="K1295" s="2249"/>
      <c r="L1295" s="2249"/>
      <c r="M1295" s="2249"/>
      <c r="N1295" s="2249"/>
      <c r="O1295" s="336"/>
      <c r="P1295" s="336"/>
      <c r="Q1295" s="770"/>
      <c r="R1295" s="694"/>
      <c r="S1295" s="694"/>
      <c r="T1295" s="694"/>
      <c r="U1295" s="694"/>
      <c r="V1295" s="694"/>
      <c r="W1295" s="694"/>
      <c r="X1295" s="694"/>
      <c r="Y1295" s="694"/>
      <c r="Z1295" s="694"/>
      <c r="AA1295" s="694"/>
      <c r="AB1295" s="729"/>
      <c r="AC1295" s="694"/>
      <c r="AD1295" s="694"/>
      <c r="AE1295" s="343"/>
      <c r="AF1295" s="343"/>
      <c r="AG1295" s="343"/>
      <c r="AH1295" s="343"/>
      <c r="AI1295" s="343"/>
      <c r="AJ1295" s="343"/>
      <c r="AK1295" s="343"/>
      <c r="AL1295" s="343"/>
      <c r="AM1295" s="343"/>
    </row>
    <row r="1296" spans="1:39" ht="12.75" customHeight="1" x14ac:dyDescent="0.25">
      <c r="A1296" s="729"/>
      <c r="B1296" s="284"/>
      <c r="C1296" s="300"/>
      <c r="D1296" s="300"/>
      <c r="E1296" s="2358" t="str">
        <f>Translations!$B$1534</f>
        <v>Стойността в НМИ се отнася до средното производство през историческия базов период, както е обяснено в раздели 2.3 и 3 от Ръководство № 7.</v>
      </c>
      <c r="F1296" s="2249"/>
      <c r="G1296" s="2249"/>
      <c r="H1296" s="2249"/>
      <c r="I1296" s="2249"/>
      <c r="J1296" s="2249"/>
      <c r="K1296" s="2249"/>
      <c r="L1296" s="2249"/>
      <c r="M1296" s="2249"/>
      <c r="N1296" s="2249"/>
      <c r="O1296" s="336"/>
      <c r="P1296" s="336"/>
      <c r="Q1296" s="770"/>
      <c r="R1296" s="694"/>
      <c r="S1296" s="694"/>
      <c r="T1296" s="694"/>
      <c r="U1296" s="694"/>
      <c r="V1296" s="694"/>
      <c r="W1296" s="694"/>
      <c r="X1296" s="694"/>
      <c r="Y1296" s="694"/>
      <c r="Z1296" s="694"/>
      <c r="AA1296" s="694"/>
      <c r="AB1296" s="729"/>
      <c r="AC1296" s="694"/>
      <c r="AD1296" s="694"/>
      <c r="AE1296" s="343"/>
      <c r="AF1296" s="343"/>
      <c r="AG1296" s="343"/>
      <c r="AH1296" s="343"/>
      <c r="AI1296" s="343"/>
      <c r="AJ1296" s="343"/>
      <c r="AK1296" s="343"/>
      <c r="AL1296" s="343"/>
      <c r="AM1296" s="343"/>
    </row>
    <row r="1297" spans="1:39" ht="5.15" customHeight="1" x14ac:dyDescent="0.25">
      <c r="A1297" s="729"/>
      <c r="B1297" s="284"/>
      <c r="C1297" s="302"/>
      <c r="D1297" s="302"/>
      <c r="E1297" s="460"/>
      <c r="F1297" s="460"/>
      <c r="G1297" s="460"/>
      <c r="H1297" s="460"/>
      <c r="I1297" s="460"/>
      <c r="J1297" s="329"/>
      <c r="K1297" s="329"/>
      <c r="L1297" s="329"/>
      <c r="M1297" s="336"/>
      <c r="N1297" s="336"/>
      <c r="O1297" s="336"/>
      <c r="P1297" s="336"/>
      <c r="Q1297" s="770"/>
      <c r="R1297" s="694"/>
      <c r="S1297" s="694"/>
      <c r="T1297" s="694"/>
      <c r="U1297" s="694"/>
      <c r="V1297" s="694"/>
      <c r="W1297" s="694"/>
      <c r="X1297" s="694"/>
      <c r="Y1297" s="694"/>
      <c r="Z1297" s="694"/>
      <c r="AA1297" s="694"/>
      <c r="AB1297" s="729"/>
      <c r="AC1297" s="694"/>
      <c r="AD1297" s="694"/>
      <c r="AE1297" s="343"/>
      <c r="AF1297" s="343"/>
      <c r="AG1297" s="343"/>
      <c r="AH1297" s="343"/>
      <c r="AI1297" s="343"/>
      <c r="AJ1297" s="343"/>
      <c r="AK1297" s="343"/>
      <c r="AL1297" s="343"/>
      <c r="AM1297" s="343"/>
    </row>
    <row r="1298" spans="1:39" s="1423" customFormat="1" ht="25.5" customHeight="1" thickBot="1" x14ac:dyDescent="0.35">
      <c r="A1298" s="729"/>
      <c r="B1298" s="1412"/>
      <c r="C1298" s="1413"/>
      <c r="D1298" s="1414"/>
      <c r="E1298" s="1415" t="str">
        <f>G1282</f>
        <v>Име на продукт или вид услуга</v>
      </c>
      <c r="F1298" s="1416" t="str">
        <f>EUconst_Unit</f>
        <v>Единица мярка</v>
      </c>
      <c r="G1298" s="1419" t="str">
        <f>Translations!$B$1336</f>
        <v>Стойност в НМИ</v>
      </c>
      <c r="H1298" s="1418">
        <f t="shared" ref="H1298:N1298" si="1931">H$1840</f>
        <v>2024</v>
      </c>
      <c r="I1298" s="1419">
        <f t="shared" si="1931"/>
        <v>2025</v>
      </c>
      <c r="J1298" s="1418">
        <f t="shared" si="1931"/>
        <v>2026</v>
      </c>
      <c r="K1298" s="1420">
        <f t="shared" si="1931"/>
        <v>2027</v>
      </c>
      <c r="L1298" s="1420">
        <f t="shared" si="1931"/>
        <v>2028</v>
      </c>
      <c r="M1298" s="1420">
        <f t="shared" si="1931"/>
        <v>2029</v>
      </c>
      <c r="N1298" s="1420">
        <f t="shared" si="1931"/>
        <v>2030</v>
      </c>
      <c r="O1298" s="336"/>
      <c r="P1298" s="336"/>
      <c r="Q1298" s="1421"/>
      <c r="R1298" s="1421"/>
      <c r="S1298" s="1421"/>
      <c r="T1298" s="1421"/>
      <c r="U1298" s="1421"/>
      <c r="V1298" s="1421"/>
      <c r="W1298" s="1421"/>
      <c r="X1298" s="1421"/>
      <c r="Y1298" s="1421"/>
      <c r="Z1298" s="1421"/>
      <c r="AA1298" s="1421"/>
      <c r="AB1298" s="770" t="str">
        <f>Translations!$B$1284</f>
        <v>HAL</v>
      </c>
      <c r="AC1298" s="1421">
        <f t="shared" ref="AC1298" si="1932">H1298</f>
        <v>2024</v>
      </c>
      <c r="AD1298" s="1421">
        <f t="shared" ref="AD1298" si="1933">I1298</f>
        <v>2025</v>
      </c>
      <c r="AE1298" s="1421">
        <f t="shared" ref="AE1298" si="1934">J1298</f>
        <v>2026</v>
      </c>
      <c r="AF1298" s="1421">
        <f t="shared" ref="AF1298" si="1935">K1298</f>
        <v>2027</v>
      </c>
      <c r="AG1298" s="1421">
        <f t="shared" ref="AG1298" si="1936">L1298</f>
        <v>2028</v>
      </c>
      <c r="AH1298" s="1422">
        <f t="shared" ref="AH1298" si="1937">M1298</f>
        <v>2029</v>
      </c>
      <c r="AI1298" s="1422">
        <f t="shared" ref="AI1298" si="1938">N1298</f>
        <v>2030</v>
      </c>
      <c r="AJ1298" s="1422"/>
      <c r="AK1298" s="1422"/>
      <c r="AL1298" s="1422"/>
      <c r="AM1298" s="1422"/>
    </row>
    <row r="1299" spans="1:39" ht="12.75" customHeight="1" x14ac:dyDescent="0.25">
      <c r="A1299" s="729"/>
      <c r="B1299" s="698"/>
      <c r="C1299" s="2906" t="str">
        <f>Translations!$B$625</f>
        <v>Равнища на производство:</v>
      </c>
      <c r="D1299" s="981">
        <v>1</v>
      </c>
      <c r="E1299" s="1424" t="str">
        <f t="shared" ref="E1299:E1308" si="1939">IF(ISBLANK(G1283),"",G1283)</f>
        <v/>
      </c>
      <c r="F1299" s="177"/>
      <c r="G1299" s="46"/>
      <c r="H1299" s="116"/>
      <c r="I1299" s="46"/>
      <c r="J1299" s="116"/>
      <c r="K1299" s="40"/>
      <c r="L1299" s="40"/>
      <c r="M1299" s="40"/>
      <c r="N1299" s="40"/>
      <c r="O1299" s="336"/>
      <c r="P1299" s="158"/>
      <c r="Q1299" s="694"/>
      <c r="R1299" s="694"/>
      <c r="S1299" s="694"/>
      <c r="T1299" s="694"/>
      <c r="U1299" s="694"/>
      <c r="V1299" s="694"/>
      <c r="W1299" s="694"/>
      <c r="X1299" s="694"/>
      <c r="Y1299" s="694"/>
      <c r="Z1299" s="1182" t="s">
        <v>1757</v>
      </c>
      <c r="AA1299" s="1425">
        <f>MAX(AC1299:AI1299)</f>
        <v>2</v>
      </c>
      <c r="AB1299" s="1426">
        <f>IF(CNTR_ExistSubInstEntries,IF(OR($M1247&lt;&gt;EUconst_Relevant,$V1247&gt;($H$1840-1),$E1299=""),0,2),2)</f>
        <v>2</v>
      </c>
      <c r="AC1299" s="1426">
        <f t="shared" ref="AC1299" si="1940">IF(CNTR_ExistSubInstEntries,IF(OR($M1247&lt;&gt;EUconst_Relevant,AC1298&gt;=CNTR_ReportingYear,AC1298&lt;$V1247-1,$E1299=""),0,2),2)</f>
        <v>2</v>
      </c>
      <c r="AD1299" s="1427">
        <f t="shared" ref="AD1299" si="1941">IF(CNTR_ExistSubInstEntries,IF(OR($M1247&lt;&gt;EUconst_Relevant,AD1298&gt;=CNTR_ReportingYear,AD1298&lt;$V1247-1,$E1299=""),0,2),2)</f>
        <v>2</v>
      </c>
      <c r="AE1299" s="1427">
        <f t="shared" ref="AE1299" si="1942">IF(CNTR_ExistSubInstEntries,IF(OR($M1247&lt;&gt;EUconst_Relevant,AE1298&gt;=CNTR_ReportingYear,AE1298&lt;$V1247-1,$E1299=""),0,2),2)</f>
        <v>2</v>
      </c>
      <c r="AF1299" s="1427">
        <f t="shared" ref="AF1299" si="1943">IF(CNTR_ExistSubInstEntries,IF(OR($M1247&lt;&gt;EUconst_Relevant,AF1298&gt;=CNTR_ReportingYear,AF1298&lt;$V1247-1,$E1299=""),0,2),2)</f>
        <v>2</v>
      </c>
      <c r="AG1299" s="1427">
        <f t="shared" ref="AG1299" si="1944">IF(CNTR_ExistSubInstEntries,IF(OR($M1247&lt;&gt;EUconst_Relevant,AG1298&gt;=CNTR_ReportingYear,AG1298&lt;$V1247-1,$E1299=""),0,2),2)</f>
        <v>2</v>
      </c>
      <c r="AH1299" s="1428">
        <f t="shared" ref="AH1299" si="1945">IF(CNTR_ExistSubInstEntries,IF(OR($M1247&lt;&gt;EUconst_Relevant,AH1298&gt;=CNTR_ReportingYear,AH1298&lt;$V1247-1,$E1299=""),0,2),2)</f>
        <v>2</v>
      </c>
      <c r="AI1299" s="1429">
        <f t="shared" ref="AI1299" si="1946">IF(CNTR_ExistSubInstEntries,IF(OR($M1247&lt;&gt;EUconst_Relevant,AI1298&gt;=CNTR_ReportingYear,AI1298&lt;$V1247-1,$E1299=""),0,2),2)</f>
        <v>2</v>
      </c>
      <c r="AJ1299" s="343"/>
      <c r="AK1299" s="1174" t="s">
        <v>2039</v>
      </c>
      <c r="AL1299" s="1176" t="str">
        <f>IF(AND(CNTR_ExistSubInstEntries,COUNTIFS(AB1299:AI1299,2,G1299:N1299,"")&gt;0),EUconst_Error&amp;"FB"&amp;Q1247,"")</f>
        <v/>
      </c>
      <c r="AM1299" s="343"/>
    </row>
    <row r="1300" spans="1:39" ht="12.75" customHeight="1" x14ac:dyDescent="0.25">
      <c r="A1300" s="729"/>
      <c r="B1300" s="698"/>
      <c r="C1300" s="2906"/>
      <c r="D1300" s="990">
        <f>D1299+1</f>
        <v>2</v>
      </c>
      <c r="E1300" s="1430" t="str">
        <f t="shared" si="1939"/>
        <v/>
      </c>
      <c r="F1300" s="273"/>
      <c r="G1300" s="47"/>
      <c r="H1300" s="119"/>
      <c r="I1300" s="47"/>
      <c r="J1300" s="119"/>
      <c r="K1300" s="43"/>
      <c r="L1300" s="43"/>
      <c r="M1300" s="43"/>
      <c r="N1300" s="43"/>
      <c r="O1300" s="336"/>
      <c r="P1300" s="158"/>
      <c r="Q1300" s="694"/>
      <c r="R1300" s="694"/>
      <c r="S1300" s="694"/>
      <c r="T1300" s="694"/>
      <c r="U1300" s="694"/>
      <c r="V1300" s="694"/>
      <c r="W1300" s="694"/>
      <c r="X1300" s="694"/>
      <c r="Y1300" s="694"/>
      <c r="Z1300" s="694"/>
      <c r="AA1300" s="1431">
        <f t="shared" ref="AA1300:AA1308" si="1947">MAX(AC1300:AI1300)</f>
        <v>2</v>
      </c>
      <c r="AB1300" s="1432">
        <f>IF(CNTR_ExistSubInstEntries,IF(OR($M1247&lt;&gt;EUconst_Relevant,$V1247&gt;($H$1840-1),$E1300=""),0,2),2)</f>
        <v>2</v>
      </c>
      <c r="AC1300" s="1432">
        <f t="shared" ref="AC1300:AI1300" si="1948">IF(CNTR_ExistSubInstEntries,IF(OR($M1247&lt;&gt;EUconst_Relevant,AC1298&gt;=CNTR_ReportingYear,AC1298&lt;$V1247-1,$E1300=""),0,2),2)</f>
        <v>2</v>
      </c>
      <c r="AD1300" s="1432">
        <f t="shared" si="1948"/>
        <v>2</v>
      </c>
      <c r="AE1300" s="1432">
        <f t="shared" si="1948"/>
        <v>2</v>
      </c>
      <c r="AF1300" s="1432">
        <f t="shared" si="1948"/>
        <v>2</v>
      </c>
      <c r="AG1300" s="1432">
        <f t="shared" si="1948"/>
        <v>2</v>
      </c>
      <c r="AH1300" s="1433">
        <f t="shared" si="1948"/>
        <v>2</v>
      </c>
      <c r="AI1300" s="1434">
        <f t="shared" si="1948"/>
        <v>2</v>
      </c>
      <c r="AJ1300" s="343"/>
      <c r="AK1300" s="1174" t="s">
        <v>2039</v>
      </c>
      <c r="AL1300" s="1176" t="str">
        <f>IF(AND(CNTR_ExistSubInstEntries,COUNTIFS(AB1300:AI1300,2,G1300:N1300,"")&gt;0),EUconst_Error&amp;"FB"&amp;Q1247,"")</f>
        <v/>
      </c>
      <c r="AM1300" s="343"/>
    </row>
    <row r="1301" spans="1:39" ht="12.75" customHeight="1" x14ac:dyDescent="0.25">
      <c r="A1301" s="729"/>
      <c r="B1301" s="698"/>
      <c r="C1301" s="2906"/>
      <c r="D1301" s="990">
        <f t="shared" ref="D1301:D1308" si="1949">D1300+1</f>
        <v>3</v>
      </c>
      <c r="E1301" s="1430" t="str">
        <f t="shared" si="1939"/>
        <v/>
      </c>
      <c r="F1301" s="273"/>
      <c r="G1301" s="268"/>
      <c r="H1301" s="119"/>
      <c r="I1301" s="47"/>
      <c r="J1301" s="119"/>
      <c r="K1301" s="43"/>
      <c r="L1301" s="43"/>
      <c r="M1301" s="43"/>
      <c r="N1301" s="43"/>
      <c r="O1301" s="336"/>
      <c r="P1301" s="158"/>
      <c r="Q1301" s="694"/>
      <c r="R1301" s="694"/>
      <c r="S1301" s="694"/>
      <c r="T1301" s="694"/>
      <c r="U1301" s="694"/>
      <c r="V1301" s="694"/>
      <c r="W1301" s="694"/>
      <c r="X1301" s="694"/>
      <c r="Y1301" s="694"/>
      <c r="Z1301" s="694"/>
      <c r="AA1301" s="1431">
        <f t="shared" si="1947"/>
        <v>2</v>
      </c>
      <c r="AB1301" s="1432">
        <f>IF(CNTR_ExistSubInstEntries,IF(OR($M1247&lt;&gt;EUconst_Relevant,$V1247&gt;($H$1840-1),$E1301=""),0,2),2)</f>
        <v>2</v>
      </c>
      <c r="AC1301" s="1432">
        <f t="shared" ref="AC1301:AI1301" si="1950">IF(CNTR_ExistSubInstEntries,IF(OR($M1247&lt;&gt;EUconst_Relevant,AC1298&gt;=CNTR_ReportingYear,AC1298&lt;$V1247-1,$E1301=""),0,2),2)</f>
        <v>2</v>
      </c>
      <c r="AD1301" s="1432">
        <f t="shared" si="1950"/>
        <v>2</v>
      </c>
      <c r="AE1301" s="1432">
        <f t="shared" si="1950"/>
        <v>2</v>
      </c>
      <c r="AF1301" s="1432">
        <f t="shared" si="1950"/>
        <v>2</v>
      </c>
      <c r="AG1301" s="1432">
        <f t="shared" si="1950"/>
        <v>2</v>
      </c>
      <c r="AH1301" s="1433">
        <f t="shared" si="1950"/>
        <v>2</v>
      </c>
      <c r="AI1301" s="1434">
        <f t="shared" si="1950"/>
        <v>2</v>
      </c>
      <c r="AJ1301" s="343"/>
      <c r="AK1301" s="1174" t="s">
        <v>2039</v>
      </c>
      <c r="AL1301" s="1176" t="str">
        <f>IF(AND(CNTR_ExistSubInstEntries,COUNTIFS(AB1301:AI1301,2,G1301:N1301,"")&gt;0),EUconst_Error&amp;"FB"&amp;Q1247,"")</f>
        <v/>
      </c>
      <c r="AM1301" s="343"/>
    </row>
    <row r="1302" spans="1:39" ht="12.75" customHeight="1" x14ac:dyDescent="0.25">
      <c r="A1302" s="729"/>
      <c r="B1302" s="698"/>
      <c r="C1302" s="2906"/>
      <c r="D1302" s="990">
        <f t="shared" si="1949"/>
        <v>4</v>
      </c>
      <c r="E1302" s="1430" t="str">
        <f t="shared" si="1939"/>
        <v/>
      </c>
      <c r="F1302" s="271"/>
      <c r="G1302" s="47"/>
      <c r="H1302" s="119"/>
      <c r="I1302" s="124"/>
      <c r="J1302" s="119"/>
      <c r="K1302" s="43"/>
      <c r="L1302" s="43"/>
      <c r="M1302" s="43"/>
      <c r="N1302" s="43"/>
      <c r="O1302" s="336"/>
      <c r="P1302" s="158"/>
      <c r="Q1302" s="694"/>
      <c r="R1302" s="694"/>
      <c r="S1302" s="694"/>
      <c r="T1302" s="694"/>
      <c r="U1302" s="729"/>
      <c r="V1302" s="729"/>
      <c r="W1302" s="694"/>
      <c r="X1302" s="694"/>
      <c r="Y1302" s="694"/>
      <c r="Z1302" s="694"/>
      <c r="AA1302" s="1431">
        <f t="shared" si="1947"/>
        <v>2</v>
      </c>
      <c r="AB1302" s="1432">
        <f>IF(CNTR_ExistSubInstEntries,IF(OR($M1247&lt;&gt;EUconst_Relevant,$V1247&gt;($H$1840-1),$E1302=""),0,2),2)</f>
        <v>2</v>
      </c>
      <c r="AC1302" s="1432">
        <f t="shared" ref="AC1302:AI1302" si="1951">IF(CNTR_ExistSubInstEntries,IF(OR($M1247&lt;&gt;EUconst_Relevant,AC1298&gt;=CNTR_ReportingYear,AC1298&lt;$V1247-1,$E1302=""),0,2),2)</f>
        <v>2</v>
      </c>
      <c r="AD1302" s="1432">
        <f t="shared" si="1951"/>
        <v>2</v>
      </c>
      <c r="AE1302" s="1432">
        <f t="shared" si="1951"/>
        <v>2</v>
      </c>
      <c r="AF1302" s="1432">
        <f t="shared" si="1951"/>
        <v>2</v>
      </c>
      <c r="AG1302" s="1432">
        <f t="shared" si="1951"/>
        <v>2</v>
      </c>
      <c r="AH1302" s="1433">
        <f t="shared" si="1951"/>
        <v>2</v>
      </c>
      <c r="AI1302" s="1434">
        <f t="shared" si="1951"/>
        <v>2</v>
      </c>
      <c r="AJ1302" s="343"/>
      <c r="AK1302" s="1174" t="s">
        <v>2039</v>
      </c>
      <c r="AL1302" s="1176" t="str">
        <f>IF(AND(CNTR_ExistSubInstEntries,COUNTIFS(AB1302:AI1302,2,G1302:N1302,"")&gt;0),EUconst_Error&amp;"FB"&amp;Q1247,"")</f>
        <v/>
      </c>
      <c r="AM1302" s="343"/>
    </row>
    <row r="1303" spans="1:39" ht="12.75" customHeight="1" x14ac:dyDescent="0.25">
      <c r="A1303" s="729"/>
      <c r="B1303" s="698"/>
      <c r="C1303" s="2906"/>
      <c r="D1303" s="990">
        <f t="shared" si="1949"/>
        <v>5</v>
      </c>
      <c r="E1303" s="1430" t="str">
        <f t="shared" si="1939"/>
        <v/>
      </c>
      <c r="F1303" s="271"/>
      <c r="G1303" s="47"/>
      <c r="H1303" s="119"/>
      <c r="I1303" s="47"/>
      <c r="J1303" s="119"/>
      <c r="K1303" s="43"/>
      <c r="L1303" s="43"/>
      <c r="M1303" s="43"/>
      <c r="N1303" s="43"/>
      <c r="O1303" s="336"/>
      <c r="P1303" s="158"/>
      <c r="Q1303" s="694"/>
      <c r="R1303" s="694"/>
      <c r="S1303" s="694"/>
      <c r="T1303" s="694"/>
      <c r="U1303" s="729"/>
      <c r="V1303" s="694"/>
      <c r="W1303" s="694"/>
      <c r="X1303" s="694"/>
      <c r="Y1303" s="694"/>
      <c r="Z1303" s="694"/>
      <c r="AA1303" s="1431">
        <f t="shared" si="1947"/>
        <v>2</v>
      </c>
      <c r="AB1303" s="1432">
        <f>IF(CNTR_ExistSubInstEntries,IF(OR($M1247&lt;&gt;EUconst_Relevant,$V1247&gt;($H$1840-1),$E1303=""),0,2),2)</f>
        <v>2</v>
      </c>
      <c r="AC1303" s="1432">
        <f t="shared" ref="AC1303:AI1303" si="1952">IF(CNTR_ExistSubInstEntries,IF(OR($M1247&lt;&gt;EUconst_Relevant,AC1298&gt;=CNTR_ReportingYear,AC1298&lt;$V1247-1,$E1303=""),0,2),2)</f>
        <v>2</v>
      </c>
      <c r="AD1303" s="1432">
        <f t="shared" si="1952"/>
        <v>2</v>
      </c>
      <c r="AE1303" s="1432">
        <f t="shared" si="1952"/>
        <v>2</v>
      </c>
      <c r="AF1303" s="1432">
        <f t="shared" si="1952"/>
        <v>2</v>
      </c>
      <c r="AG1303" s="1432">
        <f t="shared" si="1952"/>
        <v>2</v>
      </c>
      <c r="AH1303" s="1433">
        <f t="shared" si="1952"/>
        <v>2</v>
      </c>
      <c r="AI1303" s="1434">
        <f t="shared" si="1952"/>
        <v>2</v>
      </c>
      <c r="AJ1303" s="343"/>
      <c r="AK1303" s="1174" t="s">
        <v>2039</v>
      </c>
      <c r="AL1303" s="1176" t="str">
        <f>IF(AND(CNTR_ExistSubInstEntries,COUNTIFS(AB1303:AI1303,2,G1303:N1303,"")&gt;0),EUconst_Error&amp;"FB"&amp;Q1247,"")</f>
        <v/>
      </c>
      <c r="AM1303" s="343"/>
    </row>
    <row r="1304" spans="1:39" ht="12.75" customHeight="1" x14ac:dyDescent="0.25">
      <c r="A1304" s="729"/>
      <c r="B1304" s="698"/>
      <c r="C1304" s="2906"/>
      <c r="D1304" s="990">
        <f t="shared" si="1949"/>
        <v>6</v>
      </c>
      <c r="E1304" s="1430" t="str">
        <f t="shared" si="1939"/>
        <v/>
      </c>
      <c r="F1304" s="271"/>
      <c r="G1304" s="47"/>
      <c r="H1304" s="119"/>
      <c r="I1304" s="47"/>
      <c r="J1304" s="119"/>
      <c r="K1304" s="43"/>
      <c r="L1304" s="43"/>
      <c r="M1304" s="43"/>
      <c r="N1304" s="43"/>
      <c r="O1304" s="336"/>
      <c r="P1304" s="158"/>
      <c r="Q1304" s="694"/>
      <c r="R1304" s="694"/>
      <c r="S1304" s="694"/>
      <c r="T1304" s="694"/>
      <c r="U1304" s="694"/>
      <c r="V1304" s="694"/>
      <c r="W1304" s="694"/>
      <c r="X1304" s="694"/>
      <c r="Y1304" s="694"/>
      <c r="Z1304" s="694"/>
      <c r="AA1304" s="1431">
        <f t="shared" si="1947"/>
        <v>2</v>
      </c>
      <c r="AB1304" s="1432">
        <f>IF(CNTR_ExistSubInstEntries,IF(OR($M1247&lt;&gt;EUconst_Relevant,$V1247&gt;($H$1840-1),$E1304=""),0,2),2)</f>
        <v>2</v>
      </c>
      <c r="AC1304" s="1432">
        <f t="shared" ref="AC1304:AI1304" si="1953">IF(CNTR_ExistSubInstEntries,IF(OR($M1247&lt;&gt;EUconst_Relevant,AC1298&gt;=CNTR_ReportingYear,AC1298&lt;$V1247-1,$E1304=""),0,2),2)</f>
        <v>2</v>
      </c>
      <c r="AD1304" s="1432">
        <f t="shared" si="1953"/>
        <v>2</v>
      </c>
      <c r="AE1304" s="1432">
        <f t="shared" si="1953"/>
        <v>2</v>
      </c>
      <c r="AF1304" s="1432">
        <f t="shared" si="1953"/>
        <v>2</v>
      </c>
      <c r="AG1304" s="1432">
        <f t="shared" si="1953"/>
        <v>2</v>
      </c>
      <c r="AH1304" s="1433">
        <f t="shared" si="1953"/>
        <v>2</v>
      </c>
      <c r="AI1304" s="1434">
        <f t="shared" si="1953"/>
        <v>2</v>
      </c>
      <c r="AJ1304" s="343"/>
      <c r="AK1304" s="1174" t="s">
        <v>2039</v>
      </c>
      <c r="AL1304" s="1176" t="str">
        <f>IF(AND(CNTR_ExistSubInstEntries,COUNTIFS(AB1304:AI1304,2,G1304:N1304,"")&gt;0),EUconst_Error&amp;"FB"&amp;Q1247,"")</f>
        <v/>
      </c>
      <c r="AM1304" s="343"/>
    </row>
    <row r="1305" spans="1:39" ht="12.75" customHeight="1" x14ac:dyDescent="0.25">
      <c r="A1305" s="729"/>
      <c r="B1305" s="698"/>
      <c r="C1305" s="2906"/>
      <c r="D1305" s="990">
        <f t="shared" si="1949"/>
        <v>7</v>
      </c>
      <c r="E1305" s="1430" t="str">
        <f t="shared" si="1939"/>
        <v/>
      </c>
      <c r="F1305" s="271"/>
      <c r="G1305" s="47"/>
      <c r="H1305" s="119"/>
      <c r="I1305" s="47"/>
      <c r="J1305" s="119"/>
      <c r="K1305" s="43"/>
      <c r="L1305" s="43"/>
      <c r="M1305" s="43"/>
      <c r="N1305" s="43"/>
      <c r="O1305" s="336"/>
      <c r="P1305" s="158"/>
      <c r="Q1305" s="694"/>
      <c r="R1305" s="694"/>
      <c r="S1305" s="694"/>
      <c r="T1305" s="694"/>
      <c r="U1305" s="694"/>
      <c r="V1305" s="694"/>
      <c r="W1305" s="694"/>
      <c r="X1305" s="694"/>
      <c r="Y1305" s="694"/>
      <c r="Z1305" s="694"/>
      <c r="AA1305" s="1431">
        <f t="shared" si="1947"/>
        <v>2</v>
      </c>
      <c r="AB1305" s="1432">
        <f>IF(CNTR_ExistSubInstEntries,IF(OR($M1247&lt;&gt;EUconst_Relevant,$V1247&gt;($H$1840-1),$E1305=""),0,2),2)</f>
        <v>2</v>
      </c>
      <c r="AC1305" s="1432">
        <f t="shared" ref="AC1305:AI1305" si="1954">IF(CNTR_ExistSubInstEntries,IF(OR($M1247&lt;&gt;EUconst_Relevant,AC1298&gt;=CNTR_ReportingYear,AC1298&lt;$V1247-1,$E1305=""),0,2),2)</f>
        <v>2</v>
      </c>
      <c r="AD1305" s="1432">
        <f t="shared" si="1954"/>
        <v>2</v>
      </c>
      <c r="AE1305" s="1432">
        <f t="shared" si="1954"/>
        <v>2</v>
      </c>
      <c r="AF1305" s="1432">
        <f t="shared" si="1954"/>
        <v>2</v>
      </c>
      <c r="AG1305" s="1432">
        <f t="shared" si="1954"/>
        <v>2</v>
      </c>
      <c r="AH1305" s="1433">
        <f t="shared" si="1954"/>
        <v>2</v>
      </c>
      <c r="AI1305" s="1434">
        <f t="shared" si="1954"/>
        <v>2</v>
      </c>
      <c r="AJ1305" s="343"/>
      <c r="AK1305" s="1174" t="s">
        <v>2039</v>
      </c>
      <c r="AL1305" s="1176" t="str">
        <f>IF(AND(CNTR_ExistSubInstEntries,COUNTIFS(AB1305:AI1305,2,G1305:N1305,"")&gt;0),EUconst_Error&amp;"FB"&amp;Q1247,"")</f>
        <v/>
      </c>
      <c r="AM1305" s="343"/>
    </row>
    <row r="1306" spans="1:39" ht="12.75" customHeight="1" x14ac:dyDescent="0.25">
      <c r="A1306" s="729"/>
      <c r="B1306" s="698"/>
      <c r="C1306" s="2906"/>
      <c r="D1306" s="990">
        <f t="shared" si="1949"/>
        <v>8</v>
      </c>
      <c r="E1306" s="1430" t="str">
        <f t="shared" si="1939"/>
        <v/>
      </c>
      <c r="F1306" s="271"/>
      <c r="G1306" s="47"/>
      <c r="H1306" s="119"/>
      <c r="I1306" s="47"/>
      <c r="J1306" s="119"/>
      <c r="K1306" s="43"/>
      <c r="L1306" s="43"/>
      <c r="M1306" s="43"/>
      <c r="N1306" s="43"/>
      <c r="O1306" s="336"/>
      <c r="P1306" s="158"/>
      <c r="Q1306" s="694"/>
      <c r="R1306" s="694"/>
      <c r="S1306" s="694"/>
      <c r="T1306" s="694"/>
      <c r="U1306" s="694"/>
      <c r="V1306" s="694"/>
      <c r="W1306" s="694"/>
      <c r="X1306" s="694"/>
      <c r="Y1306" s="694"/>
      <c r="Z1306" s="694"/>
      <c r="AA1306" s="1431">
        <f t="shared" si="1947"/>
        <v>2</v>
      </c>
      <c r="AB1306" s="1432">
        <f>IF(CNTR_ExistSubInstEntries,IF(OR($M1247&lt;&gt;EUconst_Relevant,$V1247&gt;($H$1840-1),$E1306=""),0,2),2)</f>
        <v>2</v>
      </c>
      <c r="AC1306" s="1432">
        <f t="shared" ref="AC1306:AI1306" si="1955">IF(CNTR_ExistSubInstEntries,IF(OR($M1247&lt;&gt;EUconst_Relevant,AC1298&gt;=CNTR_ReportingYear,AC1298&lt;$V1247-1,$E1306=""),0,2),2)</f>
        <v>2</v>
      </c>
      <c r="AD1306" s="1432">
        <f t="shared" si="1955"/>
        <v>2</v>
      </c>
      <c r="AE1306" s="1432">
        <f t="shared" si="1955"/>
        <v>2</v>
      </c>
      <c r="AF1306" s="1432">
        <f t="shared" si="1955"/>
        <v>2</v>
      </c>
      <c r="AG1306" s="1432">
        <f t="shared" si="1955"/>
        <v>2</v>
      </c>
      <c r="AH1306" s="1433">
        <f t="shared" si="1955"/>
        <v>2</v>
      </c>
      <c r="AI1306" s="1434">
        <f t="shared" si="1955"/>
        <v>2</v>
      </c>
      <c r="AJ1306" s="343"/>
      <c r="AK1306" s="1174" t="s">
        <v>2039</v>
      </c>
      <c r="AL1306" s="1176" t="str">
        <f>IF(AND(CNTR_ExistSubInstEntries,COUNTIFS(AB1306:AI1306,2,G1306:N1306,"")&gt;0),EUconst_Error&amp;"FB"&amp;Q1247,"")</f>
        <v/>
      </c>
      <c r="AM1306" s="343"/>
    </row>
    <row r="1307" spans="1:39" ht="12.75" customHeight="1" x14ac:dyDescent="0.25">
      <c r="A1307" s="729"/>
      <c r="B1307" s="698"/>
      <c r="C1307" s="2906"/>
      <c r="D1307" s="990">
        <f t="shared" si="1949"/>
        <v>9</v>
      </c>
      <c r="E1307" s="1430" t="str">
        <f t="shared" si="1939"/>
        <v/>
      </c>
      <c r="F1307" s="271"/>
      <c r="G1307" s="47"/>
      <c r="H1307" s="119"/>
      <c r="I1307" s="47"/>
      <c r="J1307" s="119"/>
      <c r="K1307" s="43"/>
      <c r="L1307" s="43"/>
      <c r="M1307" s="43"/>
      <c r="N1307" s="43"/>
      <c r="O1307" s="336"/>
      <c r="P1307" s="158"/>
      <c r="Q1307" s="694"/>
      <c r="R1307" s="694"/>
      <c r="S1307" s="694"/>
      <c r="T1307" s="694"/>
      <c r="U1307" s="694"/>
      <c r="V1307" s="694"/>
      <c r="W1307" s="694"/>
      <c r="X1307" s="694"/>
      <c r="Y1307" s="694"/>
      <c r="Z1307" s="694"/>
      <c r="AA1307" s="1431">
        <f t="shared" si="1947"/>
        <v>2</v>
      </c>
      <c r="AB1307" s="1432">
        <f>IF(CNTR_ExistSubInstEntries,IF(OR($M1247&lt;&gt;EUconst_Relevant,$V1247&gt;($H$1840-1),$E1307=""),0,2),2)</f>
        <v>2</v>
      </c>
      <c r="AC1307" s="1432">
        <f t="shared" ref="AC1307:AI1307" si="1956">IF(CNTR_ExistSubInstEntries,IF(OR($M1247&lt;&gt;EUconst_Relevant,AC1298&gt;=CNTR_ReportingYear,AC1298&lt;$V1247-1,$E1307=""),0,2),2)</f>
        <v>2</v>
      </c>
      <c r="AD1307" s="1432">
        <f t="shared" si="1956"/>
        <v>2</v>
      </c>
      <c r="AE1307" s="1432">
        <f t="shared" si="1956"/>
        <v>2</v>
      </c>
      <c r="AF1307" s="1432">
        <f t="shared" si="1956"/>
        <v>2</v>
      </c>
      <c r="AG1307" s="1432">
        <f t="shared" si="1956"/>
        <v>2</v>
      </c>
      <c r="AH1307" s="1433">
        <f t="shared" si="1956"/>
        <v>2</v>
      </c>
      <c r="AI1307" s="1434">
        <f t="shared" si="1956"/>
        <v>2</v>
      </c>
      <c r="AJ1307" s="343"/>
      <c r="AK1307" s="1174" t="s">
        <v>2039</v>
      </c>
      <c r="AL1307" s="1176" t="str">
        <f>IF(AND(CNTR_ExistSubInstEntries,COUNTIFS(AB1307:AI1307,2,G1307:N1307,"")&gt;0),EUconst_Error&amp;"FB"&amp;Q1247,"")</f>
        <v/>
      </c>
      <c r="AM1307" s="343"/>
    </row>
    <row r="1308" spans="1:39" ht="12.75" customHeight="1" thickBot="1" x14ac:dyDescent="0.3">
      <c r="A1308" s="729"/>
      <c r="B1308" s="698"/>
      <c r="C1308" s="2906"/>
      <c r="D1308" s="994">
        <f t="shared" si="1949"/>
        <v>10</v>
      </c>
      <c r="E1308" s="1435" t="str">
        <f t="shared" si="1939"/>
        <v/>
      </c>
      <c r="F1308" s="272"/>
      <c r="G1308" s="48"/>
      <c r="H1308" s="117"/>
      <c r="I1308" s="48"/>
      <c r="J1308" s="117"/>
      <c r="K1308" s="38"/>
      <c r="L1308" s="38"/>
      <c r="M1308" s="38"/>
      <c r="N1308" s="38"/>
      <c r="O1308" s="336"/>
      <c r="P1308" s="158"/>
      <c r="Q1308" s="694"/>
      <c r="R1308" s="694"/>
      <c r="S1308" s="694"/>
      <c r="T1308" s="694"/>
      <c r="U1308" s="694"/>
      <c r="V1308" s="694"/>
      <c r="W1308" s="694"/>
      <c r="X1308" s="694"/>
      <c r="Y1308" s="694"/>
      <c r="Z1308" s="694"/>
      <c r="AA1308" s="1436">
        <f t="shared" si="1947"/>
        <v>2</v>
      </c>
      <c r="AB1308" s="1437">
        <f>IF(CNTR_ExistSubInstEntries,IF(OR($M1247&lt;&gt;EUconst_Relevant,$V1247&gt;($H$1840-1),$E1308=""),0,2),2)</f>
        <v>2</v>
      </c>
      <c r="AC1308" s="1437">
        <f t="shared" ref="AC1308:AI1308" si="1957">IF(CNTR_ExistSubInstEntries,IF(OR($M1247&lt;&gt;EUconst_Relevant,AC1298&gt;=CNTR_ReportingYear,AC1298&lt;$V1247-1,$E1308=""),0,2),2)</f>
        <v>2</v>
      </c>
      <c r="AD1308" s="1437">
        <f t="shared" si="1957"/>
        <v>2</v>
      </c>
      <c r="AE1308" s="1437">
        <f t="shared" si="1957"/>
        <v>2</v>
      </c>
      <c r="AF1308" s="1437">
        <f t="shared" si="1957"/>
        <v>2</v>
      </c>
      <c r="AG1308" s="1437">
        <f t="shared" si="1957"/>
        <v>2</v>
      </c>
      <c r="AH1308" s="1438">
        <f t="shared" si="1957"/>
        <v>2</v>
      </c>
      <c r="AI1308" s="1439">
        <f t="shared" si="1957"/>
        <v>2</v>
      </c>
      <c r="AJ1308" s="343"/>
      <c r="AK1308" s="1174" t="s">
        <v>2039</v>
      </c>
      <c r="AL1308" s="1176" t="str">
        <f>IF(AND(CNTR_ExistSubInstEntries,COUNTIFS(AB1308:AI1308,2,G1308:N1308,"")&gt;0),EUconst_Error&amp;"FB"&amp;Q1247,"")</f>
        <v/>
      </c>
      <c r="AM1308" s="343"/>
    </row>
    <row r="1309" spans="1:39" ht="12.75" customHeight="1" x14ac:dyDescent="0.25">
      <c r="A1309" s="729"/>
      <c r="B1309" s="698"/>
      <c r="C1309" s="2906"/>
      <c r="D1309" s="1293"/>
      <c r="E1309" s="1294" t="str">
        <f>Translations!$B$501</f>
        <v>Сума на равнищата на производство</v>
      </c>
      <c r="F1309" s="1440" t="str">
        <f>IF(AND(COUNTA(F1299:F1308)&gt;0,COUNTIF(F1299:F1308,F1299)=COUNTA(F1299:F1308)),F1299,"")</f>
        <v/>
      </c>
      <c r="G1309" s="1296" t="str">
        <f>IF(AND($F1309&lt;&gt;"",COUNT(G1299:G1308)&gt;0),SUMIF($S1283:$S1292,TRUE,G1299:G1308),"")</f>
        <v/>
      </c>
      <c r="H1309" s="1297" t="str">
        <f t="shared" ref="H1309:N1309" si="1958">IF(AND($F1309&lt;&gt;"",COUNT(H1299:H1308)&gt;0),SUMIF($S1283:$S1292,TRUE,H1299:H1308),"")</f>
        <v/>
      </c>
      <c r="I1309" s="1296" t="str">
        <f t="shared" si="1958"/>
        <v/>
      </c>
      <c r="J1309" s="1297" t="str">
        <f t="shared" si="1958"/>
        <v/>
      </c>
      <c r="K1309" s="1104" t="str">
        <f t="shared" si="1958"/>
        <v/>
      </c>
      <c r="L1309" s="1104" t="str">
        <f t="shared" si="1958"/>
        <v/>
      </c>
      <c r="M1309" s="1104" t="str">
        <f t="shared" si="1958"/>
        <v/>
      </c>
      <c r="N1309" s="1104" t="str">
        <f t="shared" si="1958"/>
        <v/>
      </c>
      <c r="O1309" s="336"/>
      <c r="P1309" s="336"/>
      <c r="Q1309" s="694"/>
      <c r="R1309" s="694"/>
      <c r="S1309" s="694"/>
      <c r="T1309" s="694"/>
      <c r="U1309" s="694"/>
      <c r="V1309" s="694"/>
      <c r="W1309" s="694"/>
      <c r="X1309" s="694"/>
      <c r="Y1309" s="694"/>
      <c r="Z1309" s="694"/>
      <c r="AA1309" s="694"/>
      <c r="AB1309" s="729"/>
      <c r="AC1309" s="729"/>
      <c r="AD1309" s="729"/>
      <c r="AE1309" s="729"/>
      <c r="AF1309" s="729"/>
      <c r="AG1309" s="729"/>
      <c r="AH1309" s="729"/>
      <c r="AI1309" s="729"/>
      <c r="AJ1309" s="343"/>
      <c r="AK1309" s="343"/>
      <c r="AL1309" s="343"/>
      <c r="AM1309" s="343"/>
    </row>
    <row r="1310" spans="1:39" ht="5.15" customHeight="1" x14ac:dyDescent="0.25">
      <c r="A1310" s="729"/>
      <c r="B1310" s="698"/>
      <c r="C1310" s="284"/>
      <c r="D1310" s="284"/>
      <c r="E1310" s="284"/>
      <c r="F1310" s="284"/>
      <c r="G1310" s="284"/>
      <c r="H1310" s="284"/>
      <c r="I1310" s="284"/>
      <c r="J1310" s="284"/>
      <c r="K1310" s="284"/>
      <c r="L1310" s="284"/>
      <c r="M1310" s="284"/>
      <c r="N1310" s="284"/>
      <c r="O1310" s="336"/>
      <c r="P1310" s="336"/>
      <c r="Q1310" s="694"/>
      <c r="R1310" s="694"/>
      <c r="S1310" s="694"/>
      <c r="T1310" s="694"/>
      <c r="U1310" s="694"/>
      <c r="V1310" s="694"/>
      <c r="W1310" s="694"/>
      <c r="X1310" s="694"/>
      <c r="Y1310" s="694"/>
      <c r="Z1310" s="729"/>
      <c r="AA1310" s="729"/>
      <c r="AB1310" s="729"/>
      <c r="AC1310" s="694"/>
      <c r="AD1310" s="694"/>
      <c r="AE1310" s="343"/>
      <c r="AF1310" s="343"/>
      <c r="AG1310" s="343"/>
      <c r="AH1310" s="343"/>
      <c r="AI1310" s="343"/>
      <c r="AJ1310" s="343"/>
      <c r="AK1310" s="343"/>
      <c r="AL1310" s="343"/>
      <c r="AM1310" s="343"/>
    </row>
    <row r="1311" spans="1:39" ht="12.75" customHeight="1" x14ac:dyDescent="0.25">
      <c r="A1311" s="729"/>
      <c r="B1311" s="698"/>
      <c r="C1311" s="284"/>
      <c r="D1311" s="300" t="s">
        <v>1764</v>
      </c>
      <c r="E1311" s="2226" t="str">
        <f>Translations!$B$1535</f>
        <v>Допустимо по СТЕ на ЕС потребление на енергия по продукти за определяне на очакваните равнища на дейност</v>
      </c>
      <c r="F1311" s="2249"/>
      <c r="G1311" s="2249"/>
      <c r="H1311" s="2249"/>
      <c r="I1311" s="2249"/>
      <c r="J1311" s="2249"/>
      <c r="K1311" s="2249"/>
      <c r="L1311" s="2249"/>
      <c r="M1311" s="2249"/>
      <c r="N1311" s="2249"/>
      <c r="O1311" s="336"/>
      <c r="P1311" s="336"/>
      <c r="Q1311" s="770"/>
      <c r="R1311" s="694"/>
      <c r="S1311" s="1030" t="s">
        <v>2010</v>
      </c>
      <c r="T1311" s="1441" t="str">
        <f>IF(M1247&lt;&gt;EUconst_Relevant,"",IF(COUNTIF(V1264:Z1264,TRUE)&gt;0,2,1))</f>
        <v/>
      </c>
      <c r="U1311" s="729" t="s">
        <v>2006</v>
      </c>
      <c r="V1311" s="694"/>
      <c r="W1311" s="694"/>
      <c r="X1311" s="694"/>
      <c r="Y1311" s="694"/>
      <c r="Z1311" s="729"/>
      <c r="AA1311" s="729"/>
      <c r="AB1311" s="729"/>
      <c r="AC1311" s="694"/>
      <c r="AD1311" s="694"/>
      <c r="AE1311" s="343"/>
      <c r="AF1311" s="343"/>
      <c r="AG1311" s="343"/>
      <c r="AH1311" s="343"/>
      <c r="AI1311" s="343"/>
      <c r="AJ1311" s="343"/>
      <c r="AK1311" s="343"/>
      <c r="AL1311" s="343"/>
      <c r="AM1311" s="343"/>
    </row>
    <row r="1312" spans="1:39" ht="12.75" customHeight="1" x14ac:dyDescent="0.25">
      <c r="A1312" s="729"/>
      <c r="B1312" s="284"/>
      <c r="C1312" s="302"/>
      <c r="D1312" s="302"/>
      <c r="E1312" s="2358" t="str">
        <f>Translations!$B$1337</f>
        <v>Моля, въведете тук енергопотреблението, свързано с всеки продукт, изброен в буква б) по-горе, в съответствие с методиките, описани в ПММ.</v>
      </c>
      <c r="F1312" s="2249"/>
      <c r="G1312" s="2249"/>
      <c r="H1312" s="2249"/>
      <c r="I1312" s="2249"/>
      <c r="J1312" s="2249"/>
      <c r="K1312" s="2249"/>
      <c r="L1312" s="2249"/>
      <c r="M1312" s="2249"/>
      <c r="N1312" s="2249"/>
      <c r="O1312" s="336"/>
      <c r="P1312" s="336"/>
      <c r="Q1312" s="770"/>
      <c r="R1312" s="770"/>
      <c r="S1312" s="770"/>
      <c r="T1312" s="770"/>
      <c r="U1312" s="770"/>
      <c r="V1312" s="770"/>
      <c r="W1312" s="770"/>
      <c r="X1312" s="770"/>
      <c r="Y1312" s="770"/>
      <c r="Z1312" s="694"/>
      <c r="AA1312" s="694"/>
      <c r="AB1312" s="729"/>
      <c r="AC1312" s="694"/>
      <c r="AD1312" s="694"/>
      <c r="AE1312" s="343"/>
      <c r="AF1312" s="343"/>
      <c r="AG1312" s="343"/>
      <c r="AH1312" s="343"/>
      <c r="AI1312" s="343"/>
      <c r="AJ1312" s="343"/>
      <c r="AK1312" s="343"/>
      <c r="AL1312" s="343"/>
      <c r="AM1312" s="343"/>
    </row>
    <row r="1313" spans="1:39" ht="25.5" customHeight="1" x14ac:dyDescent="0.25">
      <c r="A1313" s="729"/>
      <c r="B1313" s="698"/>
      <c r="C1313" s="284"/>
      <c r="D1313" s="284"/>
      <c r="E1313" s="2459" t="str">
        <f>Translations!$B$1536</f>
        <v>Вписванията тук са задължителни за всички години, ако средното годишно равнище на дейност по буква а) се е променило с повече от 15 % за поне една година и само в този случай ще окаже пряко въздействие върху разпределянето.</v>
      </c>
      <c r="F1313" s="2460"/>
      <c r="G1313" s="2460"/>
      <c r="H1313" s="2460"/>
      <c r="I1313" s="2460"/>
      <c r="J1313" s="2460"/>
      <c r="K1313" s="2460"/>
      <c r="L1313" s="2460"/>
      <c r="M1313" s="2460"/>
      <c r="N1313" s="2460"/>
      <c r="O1313" s="336"/>
      <c r="P1313" s="336"/>
      <c r="Q1313" s="694"/>
      <c r="R1313" s="694"/>
      <c r="S1313" s="694"/>
      <c r="T1313" s="694"/>
      <c r="U1313" s="694"/>
      <c r="V1313" s="694"/>
      <c r="W1313" s="694"/>
      <c r="X1313" s="694"/>
      <c r="Y1313" s="694"/>
      <c r="Z1313" s="729"/>
      <c r="AA1313" s="729"/>
      <c r="AB1313" s="729"/>
      <c r="AC1313" s="729"/>
      <c r="AD1313" s="694"/>
      <c r="AE1313" s="343"/>
      <c r="AF1313" s="343"/>
      <c r="AG1313" s="343"/>
      <c r="AH1313" s="343"/>
      <c r="AI1313" s="343"/>
      <c r="AJ1313" s="343"/>
      <c r="AK1313" s="343"/>
      <c r="AL1313" s="343"/>
      <c r="AM1313" s="343"/>
    </row>
    <row r="1314" spans="1:39" ht="12.75" customHeight="1" x14ac:dyDescent="0.25">
      <c r="A1314" s="729"/>
      <c r="B1314" s="698"/>
      <c r="C1314" s="284"/>
      <c r="D1314" s="284"/>
      <c r="E1314" s="2358" t="str">
        <f>Translations!$B$1537</f>
        <v>Стойността в НМИ се отнася до средното потребление на топлинна енергия през историческия базов период (НМИ).</v>
      </c>
      <c r="F1314" s="2249"/>
      <c r="G1314" s="2249"/>
      <c r="H1314" s="2249"/>
      <c r="I1314" s="2249"/>
      <c r="J1314" s="2249"/>
      <c r="K1314" s="2249"/>
      <c r="L1314" s="2249"/>
      <c r="M1314" s="2249"/>
      <c r="N1314" s="2249"/>
      <c r="O1314" s="336"/>
      <c r="P1314" s="295"/>
      <c r="Q1314" s="694"/>
      <c r="R1314" s="694"/>
      <c r="S1314" s="694"/>
      <c r="T1314" s="694"/>
      <c r="U1314" s="694"/>
      <c r="V1314" s="694"/>
      <c r="W1314" s="694"/>
      <c r="X1314" s="694"/>
      <c r="Y1314" s="694"/>
      <c r="Z1314" s="729"/>
      <c r="AA1314" s="729"/>
      <c r="AB1314" s="729"/>
      <c r="AC1314" s="729"/>
      <c r="AD1314" s="694"/>
      <c r="AE1314" s="343"/>
      <c r="AF1314" s="343"/>
      <c r="AG1314" s="343"/>
      <c r="AH1314" s="343"/>
      <c r="AI1314" s="343"/>
      <c r="AJ1314" s="343"/>
      <c r="AK1314" s="343"/>
      <c r="AL1314" s="343"/>
      <c r="AM1314" s="343"/>
    </row>
    <row r="1315" spans="1:39" ht="12.75" customHeight="1" x14ac:dyDescent="0.25">
      <c r="A1315" s="729"/>
      <c r="B1315" s="698"/>
      <c r="C1315" s="284"/>
      <c r="D1315" s="284"/>
      <c r="E1315" s="2358" t="str">
        <f>Translations!$B$1538</f>
        <v>Допълнителни насоки относно отнасянето по продукти за изчисляването на историческата ефективност (HistEff) могат да бъдат намерени в раздели 2.3 и 3 от Ръководство № 7.</v>
      </c>
      <c r="F1315" s="2249"/>
      <c r="G1315" s="2249"/>
      <c r="H1315" s="2249"/>
      <c r="I1315" s="2249"/>
      <c r="J1315" s="2249"/>
      <c r="K1315" s="2249"/>
      <c r="L1315" s="2249"/>
      <c r="M1315" s="2249"/>
      <c r="N1315" s="2249"/>
      <c r="O1315" s="336"/>
      <c r="P1315" s="295"/>
      <c r="Q1315" s="694"/>
      <c r="R1315" s="694"/>
      <c r="S1315" s="694"/>
      <c r="T1315" s="694"/>
      <c r="U1315" s="694"/>
      <c r="V1315" s="694"/>
      <c r="W1315" s="694"/>
      <c r="X1315" s="694"/>
      <c r="Y1315" s="694"/>
      <c r="Z1315" s="729"/>
      <c r="AA1315" s="729"/>
      <c r="AB1315" s="729"/>
      <c r="AC1315" s="729"/>
      <c r="AD1315" s="694"/>
      <c r="AE1315" s="343"/>
      <c r="AF1315" s="343"/>
      <c r="AG1315" s="343"/>
      <c r="AH1315" s="343"/>
      <c r="AI1315" s="343"/>
      <c r="AJ1315" s="343"/>
      <c r="AK1315" s="343"/>
      <c r="AL1315" s="343"/>
      <c r="AM1315" s="343"/>
    </row>
    <row r="1316" spans="1:39" ht="5.15" customHeight="1" x14ac:dyDescent="0.25">
      <c r="A1316" s="729"/>
      <c r="B1316" s="698"/>
      <c r="C1316" s="284"/>
      <c r="D1316" s="284"/>
      <c r="E1316" s="2358"/>
      <c r="F1316" s="2249"/>
      <c r="G1316" s="2249"/>
      <c r="H1316" s="2249"/>
      <c r="I1316" s="2249"/>
      <c r="J1316" s="2249"/>
      <c r="K1316" s="2249"/>
      <c r="L1316" s="2249"/>
      <c r="M1316" s="2249"/>
      <c r="N1316" s="2249"/>
      <c r="O1316" s="336"/>
      <c r="P1316" s="295"/>
      <c r="Q1316" s="694"/>
      <c r="R1316" s="694"/>
      <c r="S1316" s="694"/>
      <c r="T1316" s="694"/>
      <c r="U1316" s="694"/>
      <c r="V1316" s="694"/>
      <c r="W1316" s="694"/>
      <c r="X1316" s="694"/>
      <c r="Y1316" s="694"/>
      <c r="Z1316" s="729"/>
      <c r="AA1316" s="729"/>
      <c r="AB1316" s="729"/>
      <c r="AC1316" s="729"/>
      <c r="AD1316" s="694"/>
      <c r="AE1316" s="343"/>
      <c r="AF1316" s="343"/>
      <c r="AG1316" s="343"/>
      <c r="AH1316" s="343"/>
      <c r="AI1316" s="343"/>
      <c r="AJ1316" s="343"/>
      <c r="AK1316" s="343"/>
      <c r="AL1316" s="343"/>
      <c r="AM1316" s="343"/>
    </row>
    <row r="1317" spans="1:39" s="1423" customFormat="1" ht="25.5" customHeight="1" thickBot="1" x14ac:dyDescent="0.35">
      <c r="A1317" s="729"/>
      <c r="B1317" s="1412"/>
      <c r="C1317" s="1413"/>
      <c r="D1317" s="1414"/>
      <c r="E1317" s="1415" t="str">
        <f>Translations!$B$624</f>
        <v>Име на продукта или „топлофикационна мрежа“</v>
      </c>
      <c r="F1317" s="1416" t="str">
        <f>EUconst_Unit</f>
        <v>Единица мярка</v>
      </c>
      <c r="G1317" s="1419" t="str">
        <f>Translations!$B$1336</f>
        <v>Стойност в НМИ</v>
      </c>
      <c r="H1317" s="1418">
        <f t="shared" ref="H1317:N1317" si="1959">H$1840</f>
        <v>2024</v>
      </c>
      <c r="I1317" s="1419">
        <f t="shared" si="1959"/>
        <v>2025</v>
      </c>
      <c r="J1317" s="1418">
        <f t="shared" si="1959"/>
        <v>2026</v>
      </c>
      <c r="K1317" s="1420">
        <f t="shared" si="1959"/>
        <v>2027</v>
      </c>
      <c r="L1317" s="1420">
        <f t="shared" si="1959"/>
        <v>2028</v>
      </c>
      <c r="M1317" s="1420">
        <f t="shared" si="1959"/>
        <v>2029</v>
      </c>
      <c r="N1317" s="1420">
        <f t="shared" si="1959"/>
        <v>2030</v>
      </c>
      <c r="O1317" s="336"/>
      <c r="P1317" s="295"/>
      <c r="Q1317" s="1421"/>
      <c r="R1317" s="1421"/>
      <c r="S1317" s="770" t="str">
        <f>Translations!$B$1341</f>
        <v>Базова стойност</v>
      </c>
      <c r="T1317" s="1421">
        <f t="shared" ref="T1317" si="1960">H1317</f>
        <v>2024</v>
      </c>
      <c r="U1317" s="1421">
        <f t="shared" ref="U1317" si="1961">I1317</f>
        <v>2025</v>
      </c>
      <c r="V1317" s="1421">
        <f t="shared" ref="V1317" si="1962">J1317</f>
        <v>2026</v>
      </c>
      <c r="W1317" s="1421">
        <f t="shared" ref="W1317" si="1963">K1317</f>
        <v>2027</v>
      </c>
      <c r="X1317" s="1421">
        <f t="shared" ref="X1317" si="1964">L1317</f>
        <v>2028</v>
      </c>
      <c r="Y1317" s="1421">
        <f t="shared" ref="Y1317" si="1965">M1317</f>
        <v>2029</v>
      </c>
      <c r="Z1317" s="1421">
        <f t="shared" ref="Z1317" si="1966">N1317</f>
        <v>2030</v>
      </c>
      <c r="AA1317" s="1421"/>
      <c r="AB1317" s="770" t="str">
        <f>Translations!$B$1284</f>
        <v>HAL</v>
      </c>
      <c r="AC1317" s="1421">
        <f t="shared" ref="AC1317" si="1967">H1317</f>
        <v>2024</v>
      </c>
      <c r="AD1317" s="1421">
        <f t="shared" ref="AD1317" si="1968">I1317</f>
        <v>2025</v>
      </c>
      <c r="AE1317" s="1421">
        <f t="shared" ref="AE1317" si="1969">J1317</f>
        <v>2026</v>
      </c>
      <c r="AF1317" s="1421">
        <f t="shared" ref="AF1317" si="1970">K1317</f>
        <v>2027</v>
      </c>
      <c r="AG1317" s="1421">
        <f t="shared" ref="AG1317" si="1971">L1317</f>
        <v>2028</v>
      </c>
      <c r="AH1317" s="1422">
        <f t="shared" ref="AH1317" si="1972">M1317</f>
        <v>2029</v>
      </c>
      <c r="AI1317" s="1422">
        <f t="shared" ref="AI1317" si="1973">N1317</f>
        <v>2030</v>
      </c>
      <c r="AJ1317" s="1422"/>
      <c r="AK1317" s="1422"/>
      <c r="AL1317" s="1422"/>
      <c r="AM1317" s="1422"/>
    </row>
    <row r="1318" spans="1:39" ht="12.75" customHeight="1" x14ac:dyDescent="0.25">
      <c r="A1318" s="729"/>
      <c r="B1318" s="698"/>
      <c r="C1318" s="2906" t="str">
        <f>Translations!$B$1527</f>
        <v>Вложена енергия</v>
      </c>
      <c r="D1318" s="981">
        <v>1</v>
      </c>
      <c r="E1318" s="1424" t="str">
        <f t="shared" ref="E1318:E1327" si="1974">E1299</f>
        <v/>
      </c>
      <c r="F1318" s="1259" t="str">
        <f t="shared" ref="F1318:F1329" si="1975">EUconst_TJ</f>
        <v>TJ</v>
      </c>
      <c r="G1318" s="125"/>
      <c r="H1318" s="116"/>
      <c r="I1318" s="46"/>
      <c r="J1318" s="116"/>
      <c r="K1318" s="40"/>
      <c r="L1318" s="40"/>
      <c r="M1318" s="40"/>
      <c r="N1318" s="40"/>
      <c r="O1318" s="1442"/>
      <c r="P1318" s="158"/>
      <c r="Q1318" s="694"/>
      <c r="R1318" s="694"/>
      <c r="S1318" s="1443" t="str">
        <f>IF($M1247&lt;&gt;EUconst_Relevant,"",
IF($V1247&gt;($J$1840-3),
              IF(INDEX(H1299:N1299,MATCH($V1247,$T1317:$Z1317,0))=0,0,INDEX(H1318:N1318,MATCH($V1247,$T1317:$Z1317,0))/INDEX(H1299:N1299,MATCH($V1247,$T1317:$Z1317,0))),
                             IF(ISNUMBER(G1299),
                                            IF(OR(G1299=0,$S1283=FALSE),0,G1318/G1299),"")))</f>
        <v/>
      </c>
      <c r="T1318" s="1444" t="str">
        <f t="shared" ref="T1318:T1327" si="1976">IF($E1318="","",IF(IFERROR(SUM($S1318)=0,SUM($H1318)),SUM(H1318),SUM(H1299)*SUM($S1318)))</f>
        <v/>
      </c>
      <c r="U1318" s="1444" t="str">
        <f t="shared" ref="U1318" si="1977">IF($E1318="","",IF(IFERROR(SUM($S1318)=0,SUM($H1318)),SUM(I1318),SUM(I1299)*SUM($S1318)))</f>
        <v/>
      </c>
      <c r="V1318" s="1444" t="str">
        <f t="shared" ref="V1318:V1327" si="1978">IF($E1318="","",IF(IFERROR(SUM($S1318)=0,SUM($H1318)),SUM(J1318),SUM(J1299)*SUM($S1318)))</f>
        <v/>
      </c>
      <c r="W1318" s="1444" t="str">
        <f t="shared" ref="W1318:W1327" si="1979">IF($E1318="","",IF(IFERROR(SUM($S1318)=0,SUM($H1318)),SUM(K1318),SUM(K1299)*SUM($S1318)))</f>
        <v/>
      </c>
      <c r="X1318" s="1444" t="str">
        <f t="shared" ref="X1318:X1327" si="1980">IF($E1318="","",IF(IFERROR(SUM($S1318)=0,SUM($H1318)),SUM(L1318),SUM(L1299)*SUM($S1318)))</f>
        <v/>
      </c>
      <c r="Y1318" s="1444" t="str">
        <f t="shared" ref="Y1318:Y1327" si="1981">IF($E1318="","",IF(IFERROR(SUM($S1318)=0,SUM($H1318)),SUM(M1318),SUM(M1299)*SUM($S1318)))</f>
        <v/>
      </c>
      <c r="Z1318" s="1445" t="str">
        <f t="shared" ref="Z1318:Z1327" si="1982">IF($E1318="","",IF(IFERROR(SUM($S1318)=0,SUM($H1318)),SUM(N1318),SUM(N1299)*SUM($S1318)))</f>
        <v/>
      </c>
      <c r="AA1318" s="1446" t="s">
        <v>1757</v>
      </c>
      <c r="AB1318" s="1447">
        <f>MAX(AC1318,AD1318:AI1318)</f>
        <v>2</v>
      </c>
      <c r="AC1318" s="1426">
        <f>IF(CNTR_ExistSubInstEntries,IF(OR($M1247&lt;&gt;EUconst_Relevant,AC1317&gt;=CNTR_ReportingYear,AC1317&lt;$V1247-1,$E1318=""),0,IF(AND($T1311=2,COUNTIF($V1264:V1264,TRUE)&gt;0,$S1283),2,1)),2)</f>
        <v>2</v>
      </c>
      <c r="AD1318" s="1427">
        <f>IF(CNTR_ExistSubInstEntries,IF(OR($M1247&lt;&gt;EUconst_Relevant,AD1317&gt;=CNTR_ReportingYear,AD1317&lt;$V1247-1,$E1318=""),0,IF(AND($T1311=2,COUNTIF($V1264:W1264,TRUE)&gt;0,$S1283),2,1)),2)</f>
        <v>2</v>
      </c>
      <c r="AE1318" s="1427">
        <f>IF(CNTR_ExistSubInstEntries,IF(OR($M1247&lt;&gt;EUconst_Relevant,AE1317&gt;=CNTR_ReportingYear,AE1317&lt;$V1247-1,$E1318=""),0,IF(AND($T1311=2,COUNTIF($V1264:X1264,TRUE)&gt;0,$S1283),2,1)),2)</f>
        <v>2</v>
      </c>
      <c r="AF1318" s="1427">
        <f>IF(CNTR_ExistSubInstEntries,IF(OR($M1247&lt;&gt;EUconst_Relevant,AF1317&gt;=CNTR_ReportingYear,AF1317&lt;$V1247-1,$E1318=""),0,IF(AND($T1311=2,COUNTIF($V1264:Y1264,TRUE)&gt;0,$S1283),2,1)),2)</f>
        <v>2</v>
      </c>
      <c r="AG1318" s="1427">
        <f>IF(CNTR_ExistSubInstEntries,IF(OR($M1247&lt;&gt;EUconst_Relevant,AG1317&gt;=CNTR_ReportingYear,AG1317&lt;$V1247-1,$E1318=""),0,IF(AND($T1311=2,COUNTIF($V1264:Z1264,TRUE)&gt;0,$S1283),2,1)),2)</f>
        <v>2</v>
      </c>
      <c r="AH1318" s="1428">
        <f>IF(CNTR_ExistSubInstEntries,IF(OR($M1247&lt;&gt;EUconst_Relevant,AH1317&gt;=CNTR_ReportingYear,AH1317&lt;$V1247-1,$E1318=""),0,IF(AND($T1311=2,COUNTIF($V1264:AA1264,TRUE)&gt;0,$S1283),2,1)),2)</f>
        <v>2</v>
      </c>
      <c r="AI1318" s="1429">
        <f>IF(CNTR_ExistSubInstEntries,IF(OR($M1247&lt;&gt;EUconst_Relevant,AI1317&gt;=CNTR_ReportingYear,AI1317&lt;$V1247-1,$E1318=""),0,IF(AND($T1311=2,COUNTIF($V1264:AB1264,TRUE)&gt;0,$S1283),2,1)),2)</f>
        <v>2</v>
      </c>
      <c r="AJ1318" s="343"/>
      <c r="AK1318" s="1174" t="s">
        <v>2039</v>
      </c>
      <c r="AL1318" s="1176" t="str">
        <f>IF(AND(CNTR_ExistSubInstEntries,COUNTIFS(AB1318:AI1318,2,G1318:N1318,"")&gt;0),EUconst_Error&amp;"FB"&amp;Q1247,"")</f>
        <v/>
      </c>
      <c r="AM1318" s="343"/>
    </row>
    <row r="1319" spans="1:39" ht="12.75" customHeight="1" x14ac:dyDescent="0.25">
      <c r="A1319" s="729"/>
      <c r="B1319" s="698"/>
      <c r="C1319" s="2906"/>
      <c r="D1319" s="990">
        <v>2</v>
      </c>
      <c r="E1319" s="1430" t="str">
        <f t="shared" si="1974"/>
        <v/>
      </c>
      <c r="F1319" s="1448" t="str">
        <f t="shared" si="1975"/>
        <v>TJ</v>
      </c>
      <c r="G1319" s="124"/>
      <c r="H1319" s="119"/>
      <c r="I1319" s="47"/>
      <c r="J1319" s="119"/>
      <c r="K1319" s="43"/>
      <c r="L1319" s="43"/>
      <c r="M1319" s="43"/>
      <c r="N1319" s="43"/>
      <c r="O1319" s="336"/>
      <c r="P1319" s="158"/>
      <c r="Q1319" s="694"/>
      <c r="R1319" s="694"/>
      <c r="S1319" s="1449" t="str">
        <f>IF($M1247&lt;&gt;EUconst_Relevant,"",
IF($V1247&gt;($J$1840-3),
              IF(INDEX(H1300:N1300,MATCH($V1247,$T1317:$Z1317,0))=0,0,INDEX(H1319:N1319,MATCH($V1247,$T1317:$Z1317,0))/INDEX(H1300:N1300,MATCH($V1247,$T1317:$Z1317,0))),
                             IF(ISNUMBER(G1300),
                                            IF(OR(G1300=0,$S1284=FALSE),0,G1319/G1300),"")))</f>
        <v/>
      </c>
      <c r="T1319" s="1450" t="str">
        <f t="shared" si="1976"/>
        <v/>
      </c>
      <c r="U1319" s="1450" t="str">
        <f t="shared" ref="U1319:U1327" si="1983">IF($E1319="","",IF(IFERROR(SUM($S1319)=0,SUM($H1319)),SUM(I1319),SUM(I1300)*SUM($S1319)))</f>
        <v/>
      </c>
      <c r="V1319" s="1450" t="str">
        <f t="shared" si="1978"/>
        <v/>
      </c>
      <c r="W1319" s="1450" t="str">
        <f t="shared" si="1979"/>
        <v/>
      </c>
      <c r="X1319" s="1450" t="str">
        <f t="shared" si="1980"/>
        <v/>
      </c>
      <c r="Y1319" s="1450" t="str">
        <f t="shared" si="1981"/>
        <v/>
      </c>
      <c r="Z1319" s="1451" t="str">
        <f t="shared" si="1982"/>
        <v/>
      </c>
      <c r="AA1319" s="694"/>
      <c r="AB1319" s="1431">
        <f t="shared" ref="AB1319:AB1327" si="1984">MAX(AC1319,AD1319:AI1319)</f>
        <v>2</v>
      </c>
      <c r="AC1319" s="1432">
        <f>IF(CNTR_ExistSubInstEntries,IF(OR($M1247&lt;&gt;EUconst_Relevant,AC1317&gt;=CNTR_ReportingYear,AC1317&lt;$V1247-1,$E1319=""),0,IF(AND($T1311=2,COUNTIF($V1264:V1264,TRUE)&gt;0,$S1284),2,1)),2)</f>
        <v>2</v>
      </c>
      <c r="AD1319" s="1432">
        <f>IF(CNTR_ExistSubInstEntries,IF(OR($M1247&lt;&gt;EUconst_Relevant,AD1317&gt;=CNTR_ReportingYear,AD1317&lt;$V1247-1,$E1319=""),0,IF(AND($T1311=2,COUNTIF($V1264:W1264,TRUE)&gt;0,$S1284),2,1)),2)</f>
        <v>2</v>
      </c>
      <c r="AE1319" s="1432">
        <f>IF(CNTR_ExistSubInstEntries,IF(OR($M1247&lt;&gt;EUconst_Relevant,AE1317&gt;=CNTR_ReportingYear,AE1317&lt;$V1247-1,$E1319=""),0,IF(AND($T1311=2,COUNTIF($V1264:X1264,TRUE)&gt;0,$S1284),2,1)),2)</f>
        <v>2</v>
      </c>
      <c r="AF1319" s="1432">
        <f>IF(CNTR_ExistSubInstEntries,IF(OR($M1247&lt;&gt;EUconst_Relevant,AF1317&gt;=CNTR_ReportingYear,AF1317&lt;$V1247-1,$E1319=""),0,IF(AND($T1311=2,COUNTIF($V1264:Y1264,TRUE)&gt;0,$S1284),2,1)),2)</f>
        <v>2</v>
      </c>
      <c r="AG1319" s="1432">
        <f>IF(CNTR_ExistSubInstEntries,IF(OR($M1247&lt;&gt;EUconst_Relevant,AG1317&gt;=CNTR_ReportingYear,AG1317&lt;$V1247-1,$E1319=""),0,IF(AND($T1311=2,COUNTIF($V1264:Z1264,TRUE)&gt;0,$S1284),2,1)),2)</f>
        <v>2</v>
      </c>
      <c r="AH1319" s="1432">
        <f>IF(CNTR_ExistSubInstEntries,IF(OR($M1247&lt;&gt;EUconst_Relevant,AH1317&gt;=CNTR_ReportingYear,AH1317&lt;$V1247-1,$E1319=""),0,IF(AND($T1311=2,COUNTIF($V1264:AA1264,TRUE)&gt;0,$S1284),2,1)),2)</f>
        <v>2</v>
      </c>
      <c r="AI1319" s="1452">
        <f>IF(CNTR_ExistSubInstEntries,IF(OR($M1247&lt;&gt;EUconst_Relevant,AI1317&gt;=CNTR_ReportingYear,AI1317&lt;$V1247-1,$E1319=""),0,IF(AND($T1311=2,COUNTIF($V1264:AB1264,TRUE)&gt;0,$S1284),2,1)),2)</f>
        <v>2</v>
      </c>
      <c r="AJ1319" s="343"/>
      <c r="AK1319" s="1174" t="s">
        <v>2039</v>
      </c>
      <c r="AL1319" s="1176" t="str">
        <f>IF(AND(CNTR_ExistSubInstEntries,COUNTIFS(AB1319:AI1319,2,G1319:N1319,"")&gt;0),EUconst_Error&amp;"FB"&amp;Q1247,"")</f>
        <v/>
      </c>
      <c r="AM1319" s="343"/>
    </row>
    <row r="1320" spans="1:39" ht="12.75" customHeight="1" x14ac:dyDescent="0.25">
      <c r="A1320" s="729"/>
      <c r="B1320" s="698"/>
      <c r="C1320" s="2906"/>
      <c r="D1320" s="990">
        <v>3</v>
      </c>
      <c r="E1320" s="1430" t="str">
        <f t="shared" si="1974"/>
        <v/>
      </c>
      <c r="F1320" s="1448" t="str">
        <f t="shared" si="1975"/>
        <v>TJ</v>
      </c>
      <c r="G1320" s="47"/>
      <c r="H1320" s="119"/>
      <c r="I1320" s="47"/>
      <c r="J1320" s="119"/>
      <c r="K1320" s="43"/>
      <c r="L1320" s="43"/>
      <c r="M1320" s="43"/>
      <c r="N1320" s="43"/>
      <c r="O1320" s="336"/>
      <c r="P1320" s="158"/>
      <c r="Q1320" s="694"/>
      <c r="R1320" s="694"/>
      <c r="S1320" s="1449" t="str">
        <f>IF($M1247&lt;&gt;EUconst_Relevant,"",
IF($V1247&gt;($J$1840-3),
              IF(INDEX(H1301:N1301,MATCH($V1247,$T1317:$Z1317,0))=0,0,INDEX(H1320:N1320,MATCH($V1247,$T1317:$Z1317,0))/INDEX(H1301:N1301,MATCH($V1247,$T1317:$Z1317,0))),
                             IF(ISNUMBER(G1301),
                                            IF(OR(G1301=0,$S1285=FALSE),0,G1320/G1301),"")))</f>
        <v/>
      </c>
      <c r="T1320" s="1450" t="str">
        <f t="shared" si="1976"/>
        <v/>
      </c>
      <c r="U1320" s="1450" t="str">
        <f t="shared" si="1983"/>
        <v/>
      </c>
      <c r="V1320" s="1450" t="str">
        <f t="shared" si="1978"/>
        <v/>
      </c>
      <c r="W1320" s="1450" t="str">
        <f t="shared" si="1979"/>
        <v/>
      </c>
      <c r="X1320" s="1450" t="str">
        <f t="shared" si="1980"/>
        <v/>
      </c>
      <c r="Y1320" s="1450" t="str">
        <f t="shared" si="1981"/>
        <v/>
      </c>
      <c r="Z1320" s="1451" t="str">
        <f t="shared" si="1982"/>
        <v/>
      </c>
      <c r="AA1320" s="694"/>
      <c r="AB1320" s="1431">
        <f t="shared" si="1984"/>
        <v>2</v>
      </c>
      <c r="AC1320" s="1432">
        <f>IF(CNTR_ExistSubInstEntries,IF(OR($M1247&lt;&gt;EUconst_Relevant,AC1317&gt;=CNTR_ReportingYear,AC1317&lt;$V1247-1,$E1320=""),0,IF(AND($T1311=2,COUNTIF($V1264:V1264,TRUE)&gt;0,$S1285),2,1)),2)</f>
        <v>2</v>
      </c>
      <c r="AD1320" s="1432">
        <f>IF(CNTR_ExistSubInstEntries,IF(OR($M1247&lt;&gt;EUconst_Relevant,AD1317&gt;=CNTR_ReportingYear,AD1317&lt;$V1247-1,$E1320=""),0,IF(AND($T1311=2,COUNTIF($V1264:W1264,TRUE)&gt;0,$S1285),2,1)),2)</f>
        <v>2</v>
      </c>
      <c r="AE1320" s="1432">
        <f>IF(CNTR_ExistSubInstEntries,IF(OR($M1247&lt;&gt;EUconst_Relevant,AE1317&gt;=CNTR_ReportingYear,AE1317&lt;$V1247-1,$E1320=""),0,IF(AND($T1311=2,COUNTIF($V1264:X1264,TRUE)&gt;0,$S1285),2,1)),2)</f>
        <v>2</v>
      </c>
      <c r="AF1320" s="1432">
        <f>IF(CNTR_ExistSubInstEntries,IF(OR($M1247&lt;&gt;EUconst_Relevant,AF1317&gt;=CNTR_ReportingYear,AF1317&lt;$V1247-1,$E1320=""),0,IF(AND($T1311=2,COUNTIF($V1264:Y1264,TRUE)&gt;0,$S1285),2,1)),2)</f>
        <v>2</v>
      </c>
      <c r="AG1320" s="1432">
        <f>IF(CNTR_ExistSubInstEntries,IF(OR($M1247&lt;&gt;EUconst_Relevant,AG1317&gt;=CNTR_ReportingYear,AG1317&lt;$V1247-1,$E1320=""),0,IF(AND($T1311=2,COUNTIF($V1264:Z1264,TRUE)&gt;0,$S1285),2,1)),2)</f>
        <v>2</v>
      </c>
      <c r="AH1320" s="1432">
        <f>IF(CNTR_ExistSubInstEntries,IF(OR($M1247&lt;&gt;EUconst_Relevant,AH1317&gt;=CNTR_ReportingYear,AH1317&lt;$V1247-1,$E1320=""),0,IF(AND($T1311=2,COUNTIF($V1264:AA1264,TRUE)&gt;0,$S1285),2,1)),2)</f>
        <v>2</v>
      </c>
      <c r="AI1320" s="1452">
        <f>IF(CNTR_ExistSubInstEntries,IF(OR($M1247&lt;&gt;EUconst_Relevant,AI1317&gt;=CNTR_ReportingYear,AI1317&lt;$V1247-1,$E1320=""),0,IF(AND($T1311=2,COUNTIF($V1264:AB1264,TRUE)&gt;0,$S1285),2,1)),2)</f>
        <v>2</v>
      </c>
      <c r="AJ1320" s="343"/>
      <c r="AK1320" s="1174" t="s">
        <v>2039</v>
      </c>
      <c r="AL1320" s="1176" t="str">
        <f>IF(AND(CNTR_ExistSubInstEntries,COUNTIFS(AB1320:AI1320,2,G1320:N1320,"")&gt;0),EUconst_Error&amp;"FB"&amp;Q1247,"")</f>
        <v/>
      </c>
      <c r="AM1320" s="343"/>
    </row>
    <row r="1321" spans="1:39" ht="12.75" customHeight="1" x14ac:dyDescent="0.25">
      <c r="A1321" s="729"/>
      <c r="B1321" s="698"/>
      <c r="C1321" s="2906"/>
      <c r="D1321" s="990">
        <v>4</v>
      </c>
      <c r="E1321" s="1430" t="str">
        <f t="shared" si="1974"/>
        <v/>
      </c>
      <c r="F1321" s="1448" t="str">
        <f t="shared" si="1975"/>
        <v>TJ</v>
      </c>
      <c r="G1321" s="47"/>
      <c r="H1321" s="119"/>
      <c r="I1321" s="47"/>
      <c r="J1321" s="119"/>
      <c r="K1321" s="43"/>
      <c r="L1321" s="43"/>
      <c r="M1321" s="43"/>
      <c r="N1321" s="43"/>
      <c r="O1321" s="336"/>
      <c r="P1321" s="158"/>
      <c r="Q1321" s="694"/>
      <c r="R1321" s="694"/>
      <c r="S1321" s="1449" t="str">
        <f>IF($M1247&lt;&gt;EUconst_Relevant,"",
IF($V1247&gt;($J$1840-3),
              IF(INDEX(H1302:N1302,MATCH($V1247,$T1317:$Z1317,0))=0,0,INDEX(H1321:N1321,MATCH($V1247,$T1317:$Z1317,0))/INDEX(H1302:N1302,MATCH($V1247,$T1317:$Z1317,0))),
                             IF(ISNUMBER(G1302),
                                            IF(OR(G1302=0,$S1286=FALSE),0,G1321/G1302),"")))</f>
        <v/>
      </c>
      <c r="T1321" s="1450" t="str">
        <f t="shared" si="1976"/>
        <v/>
      </c>
      <c r="U1321" s="1450" t="str">
        <f t="shared" si="1983"/>
        <v/>
      </c>
      <c r="V1321" s="1450" t="str">
        <f t="shared" si="1978"/>
        <v/>
      </c>
      <c r="W1321" s="1450" t="str">
        <f t="shared" si="1979"/>
        <v/>
      </c>
      <c r="X1321" s="1450" t="str">
        <f t="shared" si="1980"/>
        <v/>
      </c>
      <c r="Y1321" s="1450" t="str">
        <f t="shared" si="1981"/>
        <v/>
      </c>
      <c r="Z1321" s="1451" t="str">
        <f t="shared" si="1982"/>
        <v/>
      </c>
      <c r="AA1321" s="694"/>
      <c r="AB1321" s="1431">
        <f t="shared" si="1984"/>
        <v>2</v>
      </c>
      <c r="AC1321" s="1432">
        <f>IF(CNTR_ExistSubInstEntries,IF(OR($M1247&lt;&gt;EUconst_Relevant,AC1317&gt;=CNTR_ReportingYear,AC1317&lt;$V1247-1,$E1321=""),0,IF(AND($T1311=2,COUNTIF($V1264:V1264,TRUE)&gt;0,$S1286),2,1)),2)</f>
        <v>2</v>
      </c>
      <c r="AD1321" s="1432">
        <f>IF(CNTR_ExistSubInstEntries,IF(OR($M1247&lt;&gt;EUconst_Relevant,AD1317&gt;=CNTR_ReportingYear,AD1317&lt;$V1247-1,$E1321=""),0,IF(AND($T1311=2,COUNTIF($V1264:W1264,TRUE)&gt;0,$S1286),2,1)),2)</f>
        <v>2</v>
      </c>
      <c r="AE1321" s="1432">
        <f>IF(CNTR_ExistSubInstEntries,IF(OR($M1247&lt;&gt;EUconst_Relevant,AE1317&gt;=CNTR_ReportingYear,AE1317&lt;$V1247-1,$E1321=""),0,IF(AND($T1311=2,COUNTIF($V1264:X1264,TRUE)&gt;0,$S1286),2,1)),2)</f>
        <v>2</v>
      </c>
      <c r="AF1321" s="1432">
        <f>IF(CNTR_ExistSubInstEntries,IF(OR($M1247&lt;&gt;EUconst_Relevant,AF1317&gt;=CNTR_ReportingYear,AF1317&lt;$V1247-1,$E1321=""),0,IF(AND($T1311=2,COUNTIF($V1264:Y1264,TRUE)&gt;0,$S1286),2,1)),2)</f>
        <v>2</v>
      </c>
      <c r="AG1321" s="1432">
        <f>IF(CNTR_ExistSubInstEntries,IF(OR($M1247&lt;&gt;EUconst_Relevant,AG1317&gt;=CNTR_ReportingYear,AG1317&lt;$V1247-1,$E1321=""),0,IF(AND($T1311=2,COUNTIF($V1264:Z1264,TRUE)&gt;0,$S1286),2,1)),2)</f>
        <v>2</v>
      </c>
      <c r="AH1321" s="1432">
        <f>IF(CNTR_ExistSubInstEntries,IF(OR($M1247&lt;&gt;EUconst_Relevant,AH1317&gt;=CNTR_ReportingYear,AH1317&lt;$V1247-1,$E1321=""),0,IF(AND($T1311=2,COUNTIF($V1264:AA1264,TRUE)&gt;0,$S1286),2,1)),2)</f>
        <v>2</v>
      </c>
      <c r="AI1321" s="1452">
        <f>IF(CNTR_ExistSubInstEntries,IF(OR($M1247&lt;&gt;EUconst_Relevant,AI1317&gt;=CNTR_ReportingYear,AI1317&lt;$V1247-1,$E1321=""),0,IF(AND($T1311=2,COUNTIF($V1264:AB1264,TRUE)&gt;0,$S1286),2,1)),2)</f>
        <v>2</v>
      </c>
      <c r="AJ1321" s="343"/>
      <c r="AK1321" s="1174" t="s">
        <v>2039</v>
      </c>
      <c r="AL1321" s="1176" t="str">
        <f>IF(AND(CNTR_ExistSubInstEntries,COUNTIFS(AB1321:AI1321,2,G1321:N1321,"")&gt;0),EUconst_Error&amp;"FB"&amp;Q1247,"")</f>
        <v/>
      </c>
      <c r="AM1321" s="343"/>
    </row>
    <row r="1322" spans="1:39" ht="12.75" customHeight="1" x14ac:dyDescent="0.25">
      <c r="A1322" s="729"/>
      <c r="B1322" s="698"/>
      <c r="C1322" s="2906"/>
      <c r="D1322" s="990">
        <v>5</v>
      </c>
      <c r="E1322" s="1430" t="str">
        <f t="shared" si="1974"/>
        <v/>
      </c>
      <c r="F1322" s="1448" t="str">
        <f t="shared" si="1975"/>
        <v>TJ</v>
      </c>
      <c r="G1322" s="47"/>
      <c r="H1322" s="119"/>
      <c r="I1322" s="47"/>
      <c r="J1322" s="119"/>
      <c r="K1322" s="43"/>
      <c r="L1322" s="43"/>
      <c r="M1322" s="43"/>
      <c r="N1322" s="43"/>
      <c r="O1322" s="336"/>
      <c r="P1322" s="158"/>
      <c r="Q1322" s="694"/>
      <c r="R1322" s="694"/>
      <c r="S1322" s="1449" t="str">
        <f>IF($M1247&lt;&gt;EUconst_Relevant,"",
IF($V1247&gt;($J$1840-3),
              IF(INDEX(H1303:N1303,MATCH($V1247,$T1317:$Z1317,0))=0,0,INDEX(H1322:N1322,MATCH($V1247,$T1317:$Z1317,0))/INDEX(H1303:N1303,MATCH($V1247,$T1317:$Z1317,0))),
                             IF(ISNUMBER(G1303),
                                            IF(OR(G1303=0,$S1287=FALSE),0,G1322/G1303),"")))</f>
        <v/>
      </c>
      <c r="T1322" s="1450" t="str">
        <f t="shared" si="1976"/>
        <v/>
      </c>
      <c r="U1322" s="1450" t="str">
        <f t="shared" si="1983"/>
        <v/>
      </c>
      <c r="V1322" s="1450" t="str">
        <f t="shared" si="1978"/>
        <v/>
      </c>
      <c r="W1322" s="1450" t="str">
        <f t="shared" si="1979"/>
        <v/>
      </c>
      <c r="X1322" s="1450" t="str">
        <f t="shared" si="1980"/>
        <v/>
      </c>
      <c r="Y1322" s="1450" t="str">
        <f t="shared" si="1981"/>
        <v/>
      </c>
      <c r="Z1322" s="1451" t="str">
        <f t="shared" si="1982"/>
        <v/>
      </c>
      <c r="AA1322" s="694"/>
      <c r="AB1322" s="1431">
        <f t="shared" si="1984"/>
        <v>2</v>
      </c>
      <c r="AC1322" s="1432">
        <f>IF(CNTR_ExistSubInstEntries,IF(OR($M1247&lt;&gt;EUconst_Relevant,AC1317&gt;=CNTR_ReportingYear,AC1317&lt;$V1247-1,$E1322=""),0,IF(AND($T1311=2,COUNTIF($V1264:V1264,TRUE)&gt;0,$S1287),2,1)),2)</f>
        <v>2</v>
      </c>
      <c r="AD1322" s="1432">
        <f>IF(CNTR_ExistSubInstEntries,IF(OR($M1247&lt;&gt;EUconst_Relevant,AD1317&gt;=CNTR_ReportingYear,AD1317&lt;$V1247-1,$E1322=""),0,IF(AND($T1311=2,COUNTIF($V1264:W1264,TRUE)&gt;0,$S1287),2,1)),2)</f>
        <v>2</v>
      </c>
      <c r="AE1322" s="1432">
        <f>IF(CNTR_ExistSubInstEntries,IF(OR($M1247&lt;&gt;EUconst_Relevant,AE1317&gt;=CNTR_ReportingYear,AE1317&lt;$V1247-1,$E1322=""),0,IF(AND($T1311=2,COUNTIF($V1264:X1264,TRUE)&gt;0,$S1287),2,1)),2)</f>
        <v>2</v>
      </c>
      <c r="AF1322" s="1432">
        <f>IF(CNTR_ExistSubInstEntries,IF(OR($M1247&lt;&gt;EUconst_Relevant,AF1317&gt;=CNTR_ReportingYear,AF1317&lt;$V1247-1,$E1322=""),0,IF(AND($T1311=2,COUNTIF($V1264:Y1264,TRUE)&gt;0,$S1287),2,1)),2)</f>
        <v>2</v>
      </c>
      <c r="AG1322" s="1432">
        <f>IF(CNTR_ExistSubInstEntries,IF(OR($M1247&lt;&gt;EUconst_Relevant,AG1317&gt;=CNTR_ReportingYear,AG1317&lt;$V1247-1,$E1322=""),0,IF(AND($T1311=2,COUNTIF($V1264:Z1264,TRUE)&gt;0,$S1287),2,1)),2)</f>
        <v>2</v>
      </c>
      <c r="AH1322" s="1432">
        <f>IF(CNTR_ExistSubInstEntries,IF(OR($M1247&lt;&gt;EUconst_Relevant,AH1317&gt;=CNTR_ReportingYear,AH1317&lt;$V1247-1,$E1322=""),0,IF(AND($T1311=2,COUNTIF($V1264:AA1264,TRUE)&gt;0,$S1287),2,1)),2)</f>
        <v>2</v>
      </c>
      <c r="AI1322" s="1452">
        <f>IF(CNTR_ExistSubInstEntries,IF(OR($M1247&lt;&gt;EUconst_Relevant,AI1317&gt;=CNTR_ReportingYear,AI1317&lt;$V1247-1,$E1322=""),0,IF(AND($T1311=2,COUNTIF($V1264:AB1264,TRUE)&gt;0,$S1287),2,1)),2)</f>
        <v>2</v>
      </c>
      <c r="AJ1322" s="343"/>
      <c r="AK1322" s="1174" t="s">
        <v>2039</v>
      </c>
      <c r="AL1322" s="1176" t="str">
        <f>IF(AND(CNTR_ExistSubInstEntries,COUNTIFS(AB1322:AI1322,2,G1322:N1322,"")&gt;0),EUconst_Error&amp;"FB"&amp;Q1247,"")</f>
        <v/>
      </c>
      <c r="AM1322" s="343"/>
    </row>
    <row r="1323" spans="1:39" ht="12.75" customHeight="1" x14ac:dyDescent="0.25">
      <c r="A1323" s="729"/>
      <c r="B1323" s="698"/>
      <c r="C1323" s="2906"/>
      <c r="D1323" s="990">
        <v>6</v>
      </c>
      <c r="E1323" s="1430" t="str">
        <f t="shared" si="1974"/>
        <v/>
      </c>
      <c r="F1323" s="1448" t="str">
        <f t="shared" si="1975"/>
        <v>TJ</v>
      </c>
      <c r="G1323" s="47"/>
      <c r="H1323" s="119"/>
      <c r="I1323" s="47"/>
      <c r="J1323" s="119"/>
      <c r="K1323" s="43"/>
      <c r="L1323" s="43"/>
      <c r="M1323" s="43"/>
      <c r="N1323" s="43"/>
      <c r="O1323" s="336"/>
      <c r="P1323" s="158"/>
      <c r="Q1323" s="694"/>
      <c r="R1323" s="694"/>
      <c r="S1323" s="1449" t="str">
        <f>IF($M1247&lt;&gt;EUconst_Relevant,"",
IF($V1247&gt;($J$1840-3),
              IF(INDEX(H1304:N1304,MATCH($V1247,$T1317:$Z1317,0))=0,0,INDEX(H1323:N1323,MATCH($V1247,$T1317:$Z1317,0))/INDEX(H1304:N1304,MATCH($V1247,$T1317:$Z1317,0))),
                             IF(ISNUMBER(G1304),
                                            IF(OR(G1304=0,$S1288=FALSE),0,G1323/G1304),"")))</f>
        <v/>
      </c>
      <c r="T1323" s="1450" t="str">
        <f t="shared" si="1976"/>
        <v/>
      </c>
      <c r="U1323" s="1450" t="str">
        <f t="shared" si="1983"/>
        <v/>
      </c>
      <c r="V1323" s="1450" t="str">
        <f t="shared" si="1978"/>
        <v/>
      </c>
      <c r="W1323" s="1450" t="str">
        <f t="shared" si="1979"/>
        <v/>
      </c>
      <c r="X1323" s="1450" t="str">
        <f t="shared" si="1980"/>
        <v/>
      </c>
      <c r="Y1323" s="1450" t="str">
        <f t="shared" si="1981"/>
        <v/>
      </c>
      <c r="Z1323" s="1451" t="str">
        <f t="shared" si="1982"/>
        <v/>
      </c>
      <c r="AA1323" s="694"/>
      <c r="AB1323" s="1431">
        <f t="shared" si="1984"/>
        <v>2</v>
      </c>
      <c r="AC1323" s="1432">
        <f>IF(CNTR_ExistSubInstEntries,IF(OR($M1247&lt;&gt;EUconst_Relevant,AC1317&gt;=CNTR_ReportingYear,AC1317&lt;$V1247-1,$E1323=""),0,IF(AND($T1311=2,COUNTIF($V1264:V1264,TRUE)&gt;0,$S1288),2,1)),2)</f>
        <v>2</v>
      </c>
      <c r="AD1323" s="1432">
        <f>IF(CNTR_ExistSubInstEntries,IF(OR($M1247&lt;&gt;EUconst_Relevant,AD1317&gt;=CNTR_ReportingYear,AD1317&lt;$V1247-1,$E1323=""),0,IF(AND($T1311=2,COUNTIF($V1264:W1264,TRUE)&gt;0,$S1288),2,1)),2)</f>
        <v>2</v>
      </c>
      <c r="AE1323" s="1432">
        <f>IF(CNTR_ExistSubInstEntries,IF(OR($M1247&lt;&gt;EUconst_Relevant,AE1317&gt;=CNTR_ReportingYear,AE1317&lt;$V1247-1,$E1323=""),0,IF(AND($T1311=2,COUNTIF($V1264:X1264,TRUE)&gt;0,$S1288),2,1)),2)</f>
        <v>2</v>
      </c>
      <c r="AF1323" s="1432">
        <f>IF(CNTR_ExistSubInstEntries,IF(OR($M1247&lt;&gt;EUconst_Relevant,AF1317&gt;=CNTR_ReportingYear,AF1317&lt;$V1247-1,$E1323=""),0,IF(AND($T1311=2,COUNTIF($V1264:Y1264,TRUE)&gt;0,$S1288),2,1)),2)</f>
        <v>2</v>
      </c>
      <c r="AG1323" s="1432">
        <f>IF(CNTR_ExistSubInstEntries,IF(OR($M1247&lt;&gt;EUconst_Relevant,AG1317&gt;=CNTR_ReportingYear,AG1317&lt;$V1247-1,$E1323=""),0,IF(AND($T1311=2,COUNTIF($V1264:Z1264,TRUE)&gt;0,$S1288),2,1)),2)</f>
        <v>2</v>
      </c>
      <c r="AH1323" s="1432">
        <f>IF(CNTR_ExistSubInstEntries,IF(OR($M1247&lt;&gt;EUconst_Relevant,AH1317&gt;=CNTR_ReportingYear,AH1317&lt;$V1247-1,$E1323=""),0,IF(AND($T1311=2,COUNTIF($V1264:AA1264,TRUE)&gt;0,$S1288),2,1)),2)</f>
        <v>2</v>
      </c>
      <c r="AI1323" s="1452">
        <f>IF(CNTR_ExistSubInstEntries,IF(OR($M1247&lt;&gt;EUconst_Relevant,AI1317&gt;=CNTR_ReportingYear,AI1317&lt;$V1247-1,$E1323=""),0,IF(AND($T1311=2,COUNTIF($V1264:AB1264,TRUE)&gt;0,$S1288),2,1)),2)</f>
        <v>2</v>
      </c>
      <c r="AJ1323" s="343"/>
      <c r="AK1323" s="1174" t="s">
        <v>2039</v>
      </c>
      <c r="AL1323" s="1176" t="str">
        <f>IF(AND(CNTR_ExistSubInstEntries,COUNTIFS(AB1323:AI1323,2,G1323:N1323,"")&gt;0),EUconst_Error&amp;"FB"&amp;Q1247,"")</f>
        <v/>
      </c>
      <c r="AM1323" s="343"/>
    </row>
    <row r="1324" spans="1:39" ht="12.75" customHeight="1" x14ac:dyDescent="0.25">
      <c r="A1324" s="729"/>
      <c r="B1324" s="698"/>
      <c r="C1324" s="2906"/>
      <c r="D1324" s="990">
        <v>7</v>
      </c>
      <c r="E1324" s="1430" t="str">
        <f t="shared" si="1974"/>
        <v/>
      </c>
      <c r="F1324" s="1448" t="str">
        <f t="shared" si="1975"/>
        <v>TJ</v>
      </c>
      <c r="G1324" s="47"/>
      <c r="H1324" s="119"/>
      <c r="I1324" s="47"/>
      <c r="J1324" s="119"/>
      <c r="K1324" s="43"/>
      <c r="L1324" s="43"/>
      <c r="M1324" s="43"/>
      <c r="N1324" s="43"/>
      <c r="O1324" s="336"/>
      <c r="P1324" s="158"/>
      <c r="Q1324" s="694"/>
      <c r="R1324" s="694"/>
      <c r="S1324" s="1449" t="str">
        <f>IF($M1247&lt;&gt;EUconst_Relevant,"",
IF($V1247&gt;($J$1840-3),
              IF(INDEX(H1305:N1305,MATCH($V1247,$T1317:$Z1317,0))=0,0,INDEX(H1324:N1324,MATCH($V1247,$T1317:$Z1317,0))/INDEX(H1305:N1305,MATCH($V1247,$T1317:$Z1317,0))),
                             IF(ISNUMBER(G1305),
                                            IF(OR(G1305=0,$S1289=FALSE),0,G1324/G1305),"")))</f>
        <v/>
      </c>
      <c r="T1324" s="1450" t="str">
        <f t="shared" si="1976"/>
        <v/>
      </c>
      <c r="U1324" s="1450" t="str">
        <f t="shared" si="1983"/>
        <v/>
      </c>
      <c r="V1324" s="1450" t="str">
        <f t="shared" si="1978"/>
        <v/>
      </c>
      <c r="W1324" s="1450" t="str">
        <f t="shared" si="1979"/>
        <v/>
      </c>
      <c r="X1324" s="1450" t="str">
        <f t="shared" si="1980"/>
        <v/>
      </c>
      <c r="Y1324" s="1450" t="str">
        <f t="shared" si="1981"/>
        <v/>
      </c>
      <c r="Z1324" s="1451" t="str">
        <f t="shared" si="1982"/>
        <v/>
      </c>
      <c r="AA1324" s="694"/>
      <c r="AB1324" s="1431">
        <f t="shared" si="1984"/>
        <v>2</v>
      </c>
      <c r="AC1324" s="1432">
        <f>IF(CNTR_ExistSubInstEntries,IF(OR($M1247&lt;&gt;EUconst_Relevant,AC1317&gt;=CNTR_ReportingYear,AC1317&lt;$V1247-1,$E1324=""),0,IF(AND($T1311=2,COUNTIF($V1264:V1264,TRUE)&gt;0,$S1289),2,1)),2)</f>
        <v>2</v>
      </c>
      <c r="AD1324" s="1432">
        <f>IF(CNTR_ExistSubInstEntries,IF(OR($M1247&lt;&gt;EUconst_Relevant,AD1317&gt;=CNTR_ReportingYear,AD1317&lt;$V1247-1,$E1324=""),0,IF(AND($T1311=2,COUNTIF($V1264:W1264,TRUE)&gt;0,$S1289),2,1)),2)</f>
        <v>2</v>
      </c>
      <c r="AE1324" s="1432">
        <f>IF(CNTR_ExistSubInstEntries,IF(OR($M1247&lt;&gt;EUconst_Relevant,AE1317&gt;=CNTR_ReportingYear,AE1317&lt;$V1247-1,$E1324=""),0,IF(AND($T1311=2,COUNTIF($V1264:X1264,TRUE)&gt;0,$S1289),2,1)),2)</f>
        <v>2</v>
      </c>
      <c r="AF1324" s="1432">
        <f>IF(CNTR_ExistSubInstEntries,IF(OR($M1247&lt;&gt;EUconst_Relevant,AF1317&gt;=CNTR_ReportingYear,AF1317&lt;$V1247-1,$E1324=""),0,IF(AND($T1311=2,COUNTIF($V1264:Y1264,TRUE)&gt;0,$S1289),2,1)),2)</f>
        <v>2</v>
      </c>
      <c r="AG1324" s="1432">
        <f>IF(CNTR_ExistSubInstEntries,IF(OR($M1247&lt;&gt;EUconst_Relevant,AG1317&gt;=CNTR_ReportingYear,AG1317&lt;$V1247-1,$E1324=""),0,IF(AND($T1311=2,COUNTIF($V1264:Z1264,TRUE)&gt;0,$S1289),2,1)),2)</f>
        <v>2</v>
      </c>
      <c r="AH1324" s="1432">
        <f>IF(CNTR_ExistSubInstEntries,IF(OR($M1247&lt;&gt;EUconst_Relevant,AH1317&gt;=CNTR_ReportingYear,AH1317&lt;$V1247-1,$E1324=""),0,IF(AND($T1311=2,COUNTIF($V1264:AA1264,TRUE)&gt;0,$S1289),2,1)),2)</f>
        <v>2</v>
      </c>
      <c r="AI1324" s="1452">
        <f>IF(CNTR_ExistSubInstEntries,IF(OR($M1247&lt;&gt;EUconst_Relevant,AI1317&gt;=CNTR_ReportingYear,AI1317&lt;$V1247-1,$E1324=""),0,IF(AND($T1311=2,COUNTIF($V1264:AB1264,TRUE)&gt;0,$S1289),2,1)),2)</f>
        <v>2</v>
      </c>
      <c r="AJ1324" s="343"/>
      <c r="AK1324" s="1174" t="s">
        <v>2039</v>
      </c>
      <c r="AL1324" s="1176" t="str">
        <f>IF(AND(CNTR_ExistSubInstEntries,COUNTIFS(AB1324:AI1324,2,G1324:N1324,"")&gt;0),EUconst_Error&amp;"FB"&amp;Q1247,"")</f>
        <v/>
      </c>
      <c r="AM1324" s="343"/>
    </row>
    <row r="1325" spans="1:39" ht="12.75" customHeight="1" x14ac:dyDescent="0.25">
      <c r="A1325" s="729"/>
      <c r="B1325" s="698"/>
      <c r="C1325" s="2906"/>
      <c r="D1325" s="990">
        <v>8</v>
      </c>
      <c r="E1325" s="1430" t="str">
        <f t="shared" si="1974"/>
        <v/>
      </c>
      <c r="F1325" s="1448" t="str">
        <f t="shared" si="1975"/>
        <v>TJ</v>
      </c>
      <c r="G1325" s="47"/>
      <c r="H1325" s="119"/>
      <c r="I1325" s="47"/>
      <c r="J1325" s="119"/>
      <c r="K1325" s="43"/>
      <c r="L1325" s="43"/>
      <c r="M1325" s="43"/>
      <c r="N1325" s="43"/>
      <c r="O1325" s="336"/>
      <c r="P1325" s="158"/>
      <c r="Q1325" s="694"/>
      <c r="R1325" s="694"/>
      <c r="S1325" s="1449" t="str">
        <f>IF($M1247&lt;&gt;EUconst_Relevant,"",
IF($V1247&gt;($J$1840-3),
              IF(INDEX(H1306:N1306,MATCH($V1247,$T1317:$Z1317,0))=0,0,INDEX(H1325:N1325,MATCH($V1247,$T1317:$Z1317,0))/INDEX(H1306:N1306,MATCH($V1247,$T1317:$Z1317,0))),
                             IF(ISNUMBER(G1306),
                                            IF(OR(G1306=0,$S1290=FALSE),0,G1325/G1306),"")))</f>
        <v/>
      </c>
      <c r="T1325" s="1450" t="str">
        <f t="shared" si="1976"/>
        <v/>
      </c>
      <c r="U1325" s="1450" t="str">
        <f t="shared" si="1983"/>
        <v/>
      </c>
      <c r="V1325" s="1450" t="str">
        <f t="shared" si="1978"/>
        <v/>
      </c>
      <c r="W1325" s="1450" t="str">
        <f t="shared" si="1979"/>
        <v/>
      </c>
      <c r="X1325" s="1450" t="str">
        <f t="shared" si="1980"/>
        <v/>
      </c>
      <c r="Y1325" s="1450" t="str">
        <f t="shared" si="1981"/>
        <v/>
      </c>
      <c r="Z1325" s="1451" t="str">
        <f t="shared" si="1982"/>
        <v/>
      </c>
      <c r="AA1325" s="694"/>
      <c r="AB1325" s="1431">
        <f t="shared" si="1984"/>
        <v>2</v>
      </c>
      <c r="AC1325" s="1432">
        <f>IF(CNTR_ExistSubInstEntries,IF(OR($M1247&lt;&gt;EUconst_Relevant,AC1317&gt;=CNTR_ReportingYear,AC1317&lt;$V1247-1,$E1325=""),0,IF(AND($T1311=2,COUNTIF($V1264:V1264,TRUE)&gt;0,$S1290),2,1)),2)</f>
        <v>2</v>
      </c>
      <c r="AD1325" s="1432">
        <f>IF(CNTR_ExistSubInstEntries,IF(OR($M1247&lt;&gt;EUconst_Relevant,AD1317&gt;=CNTR_ReportingYear,AD1317&lt;$V1247-1,$E1325=""),0,IF(AND($T1311=2,COUNTIF($V1264:W1264,TRUE)&gt;0,$S1290),2,1)),2)</f>
        <v>2</v>
      </c>
      <c r="AE1325" s="1432">
        <f>IF(CNTR_ExistSubInstEntries,IF(OR($M1247&lt;&gt;EUconst_Relevant,AE1317&gt;=CNTR_ReportingYear,AE1317&lt;$V1247-1,$E1325=""),0,IF(AND($T1311=2,COUNTIF($V1264:X1264,TRUE)&gt;0,$S1290),2,1)),2)</f>
        <v>2</v>
      </c>
      <c r="AF1325" s="1432">
        <f>IF(CNTR_ExistSubInstEntries,IF(OR($M1247&lt;&gt;EUconst_Relevant,AF1317&gt;=CNTR_ReportingYear,AF1317&lt;$V1247-1,$E1325=""),0,IF(AND($T1311=2,COUNTIF($V1264:Y1264,TRUE)&gt;0,$S1290),2,1)),2)</f>
        <v>2</v>
      </c>
      <c r="AG1325" s="1432">
        <f>IF(CNTR_ExistSubInstEntries,IF(OR($M1247&lt;&gt;EUconst_Relevant,AG1317&gt;=CNTR_ReportingYear,AG1317&lt;$V1247-1,$E1325=""),0,IF(AND($T1311=2,COUNTIF($V1264:Z1264,TRUE)&gt;0,$S1290),2,1)),2)</f>
        <v>2</v>
      </c>
      <c r="AH1325" s="1432">
        <f>IF(CNTR_ExistSubInstEntries,IF(OR($M1247&lt;&gt;EUconst_Relevant,AH1317&gt;=CNTR_ReportingYear,AH1317&lt;$V1247-1,$E1325=""),0,IF(AND($T1311=2,COUNTIF($V1264:AA1264,TRUE)&gt;0,$S1290),2,1)),2)</f>
        <v>2</v>
      </c>
      <c r="AI1325" s="1452">
        <f>IF(CNTR_ExistSubInstEntries,IF(OR($M1247&lt;&gt;EUconst_Relevant,AI1317&gt;=CNTR_ReportingYear,AI1317&lt;$V1247-1,$E1325=""),0,IF(AND($T1311=2,COUNTIF($V1264:AB1264,TRUE)&gt;0,$S1290),2,1)),2)</f>
        <v>2</v>
      </c>
      <c r="AJ1325" s="343"/>
      <c r="AK1325" s="1174" t="s">
        <v>2039</v>
      </c>
      <c r="AL1325" s="1176" t="str">
        <f>IF(AND(CNTR_ExistSubInstEntries,COUNTIFS(AB1325:AI1325,2,G1325:N1325,"")&gt;0),EUconst_Error&amp;"FB"&amp;Q1247,"")</f>
        <v/>
      </c>
      <c r="AM1325" s="343"/>
    </row>
    <row r="1326" spans="1:39" ht="12.75" customHeight="1" x14ac:dyDescent="0.25">
      <c r="A1326" s="729"/>
      <c r="B1326" s="698"/>
      <c r="C1326" s="2906"/>
      <c r="D1326" s="990">
        <v>9</v>
      </c>
      <c r="E1326" s="1430" t="str">
        <f t="shared" si="1974"/>
        <v/>
      </c>
      <c r="F1326" s="1448" t="str">
        <f t="shared" si="1975"/>
        <v>TJ</v>
      </c>
      <c r="G1326" s="47"/>
      <c r="H1326" s="119"/>
      <c r="I1326" s="47"/>
      <c r="J1326" s="119"/>
      <c r="K1326" s="43"/>
      <c r="L1326" s="43"/>
      <c r="M1326" s="43"/>
      <c r="N1326" s="43"/>
      <c r="O1326" s="302"/>
      <c r="P1326" s="158"/>
      <c r="Q1326" s="694"/>
      <c r="R1326" s="694"/>
      <c r="S1326" s="1449" t="str">
        <f>IF($M1247&lt;&gt;EUconst_Relevant,"",
IF($V1247&gt;($J$1840-3),
              IF(INDEX(H1307:N1307,MATCH($V1247,$T1317:$Z1317,0))=0,0,INDEX(H1326:N1326,MATCH($V1247,$T1317:$Z1317,0))/INDEX(H1307:N1307,MATCH($V1247,$T1317:$Z1317,0))),
                             IF(ISNUMBER(G1307),
                                            IF(OR(G1307=0,$S1291=FALSE),0,G1326/G1307),"")))</f>
        <v/>
      </c>
      <c r="T1326" s="1450" t="str">
        <f t="shared" si="1976"/>
        <v/>
      </c>
      <c r="U1326" s="1450" t="str">
        <f t="shared" si="1983"/>
        <v/>
      </c>
      <c r="V1326" s="1450" t="str">
        <f t="shared" si="1978"/>
        <v/>
      </c>
      <c r="W1326" s="1450" t="str">
        <f t="shared" si="1979"/>
        <v/>
      </c>
      <c r="X1326" s="1450" t="str">
        <f t="shared" si="1980"/>
        <v/>
      </c>
      <c r="Y1326" s="1450" t="str">
        <f t="shared" si="1981"/>
        <v/>
      </c>
      <c r="Z1326" s="1451" t="str">
        <f t="shared" si="1982"/>
        <v/>
      </c>
      <c r="AA1326" s="694"/>
      <c r="AB1326" s="1431">
        <f t="shared" si="1984"/>
        <v>2</v>
      </c>
      <c r="AC1326" s="1432">
        <f>IF(CNTR_ExistSubInstEntries,IF(OR($M1247&lt;&gt;EUconst_Relevant,AC1317&gt;=CNTR_ReportingYear,AC1317&lt;$V1247-1,$E1326=""),0,IF(AND($T1311=2,COUNTIF($V1264:V1264,TRUE)&gt;0,$S1291),2,1)),2)</f>
        <v>2</v>
      </c>
      <c r="AD1326" s="1432">
        <f>IF(CNTR_ExistSubInstEntries,IF(OR($M1247&lt;&gt;EUconst_Relevant,AD1317&gt;=CNTR_ReportingYear,AD1317&lt;$V1247-1,$E1326=""),0,IF(AND($T1311=2,COUNTIF($V1264:W1264,TRUE)&gt;0,$S1291),2,1)),2)</f>
        <v>2</v>
      </c>
      <c r="AE1326" s="1432">
        <f>IF(CNTR_ExistSubInstEntries,IF(OR($M1247&lt;&gt;EUconst_Relevant,AE1317&gt;=CNTR_ReportingYear,AE1317&lt;$V1247-1,$E1326=""),0,IF(AND($T1311=2,COUNTIF($V1264:X1264,TRUE)&gt;0,$S1291),2,1)),2)</f>
        <v>2</v>
      </c>
      <c r="AF1326" s="1432">
        <f>IF(CNTR_ExistSubInstEntries,IF(OR($M1247&lt;&gt;EUconst_Relevant,AF1317&gt;=CNTR_ReportingYear,AF1317&lt;$V1247-1,$E1326=""),0,IF(AND($T1311=2,COUNTIF($V1264:Y1264,TRUE)&gt;0,$S1291),2,1)),2)</f>
        <v>2</v>
      </c>
      <c r="AG1326" s="1432">
        <f>IF(CNTR_ExistSubInstEntries,IF(OR($M1247&lt;&gt;EUconst_Relevant,AG1317&gt;=CNTR_ReportingYear,AG1317&lt;$V1247-1,$E1326=""),0,IF(AND($T1311=2,COUNTIF($V1264:Z1264,TRUE)&gt;0,$S1291),2,1)),2)</f>
        <v>2</v>
      </c>
      <c r="AH1326" s="1432">
        <f>IF(CNTR_ExistSubInstEntries,IF(OR($M1247&lt;&gt;EUconst_Relevant,AH1317&gt;=CNTR_ReportingYear,AH1317&lt;$V1247-1,$E1326=""),0,IF(AND($T1311=2,COUNTIF($V1264:AA1264,TRUE)&gt;0,$S1291),2,1)),2)</f>
        <v>2</v>
      </c>
      <c r="AI1326" s="1452">
        <f>IF(CNTR_ExistSubInstEntries,IF(OR($M1247&lt;&gt;EUconst_Relevant,AI1317&gt;=CNTR_ReportingYear,AI1317&lt;$V1247-1,$E1326=""),0,IF(AND($T1311=2,COUNTIF($V1264:AB1264,TRUE)&gt;0,$S1291),2,1)),2)</f>
        <v>2</v>
      </c>
      <c r="AJ1326" s="343"/>
      <c r="AK1326" s="1174" t="s">
        <v>2039</v>
      </c>
      <c r="AL1326" s="1176" t="str">
        <f>IF(AND(CNTR_ExistSubInstEntries,COUNTIFS(AB1326:AI1326,2,G1326:N1326,"")&gt;0),EUconst_Error&amp;"FB"&amp;Q1247,"")</f>
        <v/>
      </c>
      <c r="AM1326" s="343"/>
    </row>
    <row r="1327" spans="1:39" ht="12.75" customHeight="1" thickBot="1" x14ac:dyDescent="0.3">
      <c r="A1327" s="729"/>
      <c r="B1327" s="698"/>
      <c r="C1327" s="2906"/>
      <c r="D1327" s="994">
        <v>10</v>
      </c>
      <c r="E1327" s="1435" t="str">
        <f t="shared" si="1974"/>
        <v/>
      </c>
      <c r="F1327" s="1453" t="str">
        <f t="shared" si="1975"/>
        <v>TJ</v>
      </c>
      <c r="G1327" s="48"/>
      <c r="H1327" s="117"/>
      <c r="I1327" s="48"/>
      <c r="J1327" s="117"/>
      <c r="K1327" s="38"/>
      <c r="L1327" s="38"/>
      <c r="M1327" s="38"/>
      <c r="N1327" s="38"/>
      <c r="O1327" s="302"/>
      <c r="P1327" s="158"/>
      <c r="Q1327" s="694"/>
      <c r="R1327" s="694"/>
      <c r="S1327" s="1454" t="str">
        <f>IF($M1247&lt;&gt;EUconst_Relevant,"",
IF($V1247&gt;($J$1840-3),
              IF(INDEX(H1308:N1308,MATCH($V1247,$T1317:$Z1317,0))=0,0,INDEX(H1327:N1327,MATCH($V1247,$T1317:$Z1317,0))/INDEX(H1308:N1308,MATCH($V1247,$T1317:$Z1317,0))),
                             IF(ISNUMBER(G1308),
                                            IF(OR(G1308=0,$S1292=FALSE),0,G1327/G1308),"")))</f>
        <v/>
      </c>
      <c r="T1327" s="1455" t="str">
        <f t="shared" si="1976"/>
        <v/>
      </c>
      <c r="U1327" s="1455" t="str">
        <f t="shared" si="1983"/>
        <v/>
      </c>
      <c r="V1327" s="1455" t="str">
        <f t="shared" si="1978"/>
        <v/>
      </c>
      <c r="W1327" s="1455" t="str">
        <f t="shared" si="1979"/>
        <v/>
      </c>
      <c r="X1327" s="1455" t="str">
        <f t="shared" si="1980"/>
        <v/>
      </c>
      <c r="Y1327" s="1455" t="str">
        <f t="shared" si="1981"/>
        <v/>
      </c>
      <c r="Z1327" s="1456" t="str">
        <f t="shared" si="1982"/>
        <v/>
      </c>
      <c r="AA1327" s="694"/>
      <c r="AB1327" s="1436">
        <f t="shared" si="1984"/>
        <v>2</v>
      </c>
      <c r="AC1327" s="1437">
        <f>IF(CNTR_ExistSubInstEntries,IF(OR($M1247&lt;&gt;EUconst_Relevant,AC1317&gt;=CNTR_ReportingYear,AC1317&lt;$V1247-1,$E1327=""),0,IF(AND($T1311=2,COUNTIF($V1264:V1264,TRUE)&gt;0,$S1292),2,1)),2)</f>
        <v>2</v>
      </c>
      <c r="AD1327" s="1437">
        <f>IF(CNTR_ExistSubInstEntries,IF(OR($M1247&lt;&gt;EUconst_Relevant,AD1317&gt;=CNTR_ReportingYear,AD1317&lt;$V1247-1,$E1327=""),0,IF(AND($T1311=2,COUNTIF($V1264:W1264,TRUE)&gt;0,$S1292),2,1)),2)</f>
        <v>2</v>
      </c>
      <c r="AE1327" s="1437">
        <f>IF(CNTR_ExistSubInstEntries,IF(OR($M1247&lt;&gt;EUconst_Relevant,AE1317&gt;=CNTR_ReportingYear,AE1317&lt;$V1247-1,$E1327=""),0,IF(AND($T1311=2,COUNTIF($V1264:X1264,TRUE)&gt;0,$S1292),2,1)),2)</f>
        <v>2</v>
      </c>
      <c r="AF1327" s="1437">
        <f>IF(CNTR_ExistSubInstEntries,IF(OR($M1247&lt;&gt;EUconst_Relevant,AF1317&gt;=CNTR_ReportingYear,AF1317&lt;$V1247-1,$E1327=""),0,IF(AND($T1311=2,COUNTIF($V1264:Y1264,TRUE)&gt;0,$S1292),2,1)),2)</f>
        <v>2</v>
      </c>
      <c r="AG1327" s="1437">
        <f>IF(CNTR_ExistSubInstEntries,IF(OR($M1247&lt;&gt;EUconst_Relevant,AG1317&gt;=CNTR_ReportingYear,AG1317&lt;$V1247-1,$E1327=""),0,IF(AND($T1311=2,COUNTIF($V1264:Z1264,TRUE)&gt;0,$S1292),2,1)),2)</f>
        <v>2</v>
      </c>
      <c r="AH1327" s="1437">
        <f>IF(CNTR_ExistSubInstEntries,IF(OR($M1247&lt;&gt;EUconst_Relevant,AH1317&gt;=CNTR_ReportingYear,AH1317&lt;$V1247-1,$E1327=""),0,IF(AND($T1311=2,COUNTIF($V1264:AA1264,TRUE)&gt;0,$S1292),2,1)),2)</f>
        <v>2</v>
      </c>
      <c r="AI1327" s="1457">
        <f>IF(CNTR_ExistSubInstEntries,IF(OR($M1247&lt;&gt;EUconst_Relevant,AI1317&gt;=CNTR_ReportingYear,AI1317&lt;$V1247-1,$E1327=""),0,IF(AND($T1311=2,COUNTIF($V1264:AB1264,TRUE)&gt;0,$S1292),2,1)),2)</f>
        <v>2</v>
      </c>
      <c r="AJ1327" s="343"/>
      <c r="AK1327" s="1174" t="s">
        <v>2039</v>
      </c>
      <c r="AL1327" s="1176" t="str">
        <f>IF(AND(CNTR_ExistSubInstEntries,COUNTIFS(AB1327:AI1327,2,G1327:N1327,"")&gt;0),EUconst_Error&amp;"FB"&amp;Q1247,"")</f>
        <v/>
      </c>
      <c r="AM1327" s="343"/>
    </row>
    <row r="1328" spans="1:39" ht="12.75" customHeight="1" thickBot="1" x14ac:dyDescent="0.3">
      <c r="A1328" s="729"/>
      <c r="B1328" s="698"/>
      <c r="C1328" s="2906"/>
      <c r="D1328" s="1293"/>
      <c r="E1328" s="1458" t="str">
        <f>Translations!$B$1338</f>
        <v>Общо потребление</v>
      </c>
      <c r="F1328" s="1453" t="str">
        <f t="shared" si="1975"/>
        <v>TJ</v>
      </c>
      <c r="G1328" s="1296" t="str">
        <f t="shared" ref="G1328:N1328" si="1985">IF(COUNT(G1318:G1327)&gt;0,SUMIF($S1283:$S1292,TRUE,G1318:G1327),"")</f>
        <v/>
      </c>
      <c r="H1328" s="1297" t="str">
        <f t="shared" si="1985"/>
        <v/>
      </c>
      <c r="I1328" s="1296" t="str">
        <f t="shared" si="1985"/>
        <v/>
      </c>
      <c r="J1328" s="1297" t="str">
        <f t="shared" si="1985"/>
        <v/>
      </c>
      <c r="K1328" s="1104" t="str">
        <f t="shared" si="1985"/>
        <v/>
      </c>
      <c r="L1328" s="1104" t="str">
        <f t="shared" si="1985"/>
        <v/>
      </c>
      <c r="M1328" s="1104" t="str">
        <f t="shared" si="1985"/>
        <v/>
      </c>
      <c r="N1328" s="1104" t="str">
        <f t="shared" si="1985"/>
        <v/>
      </c>
      <c r="O1328" s="302"/>
      <c r="P1328" s="336"/>
      <c r="Q1328" s="694"/>
      <c r="R1328" s="694"/>
      <c r="S1328" s="694"/>
      <c r="T1328" s="1459">
        <f>SUM(T1318:T1327)</f>
        <v>0</v>
      </c>
      <c r="U1328" s="1460">
        <f t="shared" ref="U1328:Z1328" si="1986">SUM(U1318:U1327)</f>
        <v>0</v>
      </c>
      <c r="V1328" s="1460">
        <f t="shared" si="1986"/>
        <v>0</v>
      </c>
      <c r="W1328" s="1460">
        <f t="shared" si="1986"/>
        <v>0</v>
      </c>
      <c r="X1328" s="1460">
        <f t="shared" si="1986"/>
        <v>0</v>
      </c>
      <c r="Y1328" s="1460">
        <f t="shared" si="1986"/>
        <v>0</v>
      </c>
      <c r="Z1328" s="1461">
        <f t="shared" si="1986"/>
        <v>0</v>
      </c>
      <c r="AA1328" s="694"/>
      <c r="AB1328" s="729"/>
      <c r="AC1328" s="694"/>
      <c r="AD1328" s="694"/>
      <c r="AE1328" s="343"/>
      <c r="AF1328" s="343"/>
      <c r="AG1328" s="343"/>
      <c r="AH1328" s="343"/>
      <c r="AI1328" s="343"/>
      <c r="AJ1328" s="343"/>
      <c r="AK1328" s="343"/>
      <c r="AL1328" s="343"/>
      <c r="AM1328" s="343"/>
    </row>
    <row r="1329" spans="1:39" ht="12.75" customHeight="1" x14ac:dyDescent="0.25">
      <c r="A1329" s="729"/>
      <c r="B1329" s="698"/>
      <c r="C1329" s="2906"/>
      <c r="D1329" s="1462"/>
      <c r="E1329" s="1463" t="str">
        <f>Translations!$B$1339</f>
        <v>Дял от a)</v>
      </c>
      <c r="F1329" s="1464" t="str">
        <f t="shared" si="1975"/>
        <v>TJ</v>
      </c>
      <c r="G1329" s="274" t="str">
        <f>IF(COUNT(I1263,G1328)=2,IF(I1263=0,EUconst_NA,G1328/I1263),"")</f>
        <v/>
      </c>
      <c r="H1329" s="185" t="str">
        <f t="shared" ref="H1329" si="1987">IF(COUNT(H1255,H1328)=2,IF(H1255=0,EUconst_NA,H1328/H1255),"")</f>
        <v/>
      </c>
      <c r="I1329" s="186" t="str">
        <f t="shared" ref="I1329" si="1988">IF(COUNT(I1255,I1328)=2,IF(I1255=0,EUconst_NA,I1328/I1255),"")</f>
        <v/>
      </c>
      <c r="J1329" s="185" t="str">
        <f t="shared" ref="J1329" si="1989">IF(COUNT(J1255,J1328)=2,IF(J1255=0,EUconst_NA,J1328/J1255),"")</f>
        <v/>
      </c>
      <c r="K1329" s="187" t="str">
        <f t="shared" ref="K1329" si="1990">IF(COUNT(K1255,K1328)=2,IF(K1255=0,EUconst_NA,K1328/K1255),"")</f>
        <v/>
      </c>
      <c r="L1329" s="187" t="str">
        <f t="shared" ref="L1329" si="1991">IF(COUNT(L1255,L1328)=2,IF(L1255=0,EUconst_NA,L1328/L1255),"")</f>
        <v/>
      </c>
      <c r="M1329" s="187" t="str">
        <f t="shared" ref="M1329" si="1992">IF(COUNT(M1255,M1328)=2,IF(M1255=0,EUconst_NA,M1328/M1255),"")</f>
        <v/>
      </c>
      <c r="N1329" s="187" t="str">
        <f t="shared" ref="N1329" si="1993">IF(COUNT(N1255,N1328)=2,IF(N1255=0,EUconst_NA,N1328/N1255),"")</f>
        <v/>
      </c>
      <c r="O1329" s="302"/>
      <c r="P1329" s="336"/>
      <c r="Q1329" s="694"/>
      <c r="R1329" s="694"/>
      <c r="S1329" s="694"/>
      <c r="T1329" s="694"/>
      <c r="U1329" s="694"/>
      <c r="V1329" s="694"/>
      <c r="W1329" s="694"/>
      <c r="X1329" s="694"/>
      <c r="Y1329" s="694"/>
      <c r="Z1329" s="694"/>
      <c r="AA1329" s="694"/>
      <c r="AB1329" s="729"/>
      <c r="AC1329" s="694"/>
      <c r="AD1329" s="694"/>
      <c r="AE1329" s="343"/>
      <c r="AF1329" s="343"/>
      <c r="AG1329" s="343"/>
      <c r="AH1329" s="343"/>
      <c r="AI1329" s="343"/>
      <c r="AJ1329" s="343"/>
      <c r="AK1329" s="343"/>
      <c r="AL1329" s="343"/>
      <c r="AM1329" s="343"/>
    </row>
    <row r="1330" spans="1:39" ht="14.25" customHeight="1" x14ac:dyDescent="0.25">
      <c r="A1330" s="729"/>
      <c r="B1330" s="698"/>
      <c r="C1330" s="284"/>
      <c r="D1330" s="284"/>
      <c r="E1330" s="284"/>
      <c r="F1330" s="284"/>
      <c r="G1330" s="228" t="str">
        <f>IF(G1329="","",IF(AND(COUNTA(G1318:G1327)=0,$T1311=2),EUconst_Incomplete,""))</f>
        <v/>
      </c>
      <c r="H1330" s="229" t="str">
        <f t="shared" ref="H1330:N1330" si="1994">IF(H1329="","",IF(AND(OR(COUNTA(H1318:H1327)&gt;0,$T1311=2),ABS(1-SUM(H1329))&lt;0.5%),"",EUconst_Inconsistent))</f>
        <v/>
      </c>
      <c r="I1330" s="230" t="str">
        <f t="shared" si="1994"/>
        <v/>
      </c>
      <c r="J1330" s="229" t="str">
        <f t="shared" si="1994"/>
        <v/>
      </c>
      <c r="K1330" s="231" t="str">
        <f t="shared" si="1994"/>
        <v/>
      </c>
      <c r="L1330" s="231" t="str">
        <f t="shared" si="1994"/>
        <v/>
      </c>
      <c r="M1330" s="231" t="str">
        <f t="shared" si="1994"/>
        <v/>
      </c>
      <c r="N1330" s="231" t="str">
        <f t="shared" si="1994"/>
        <v/>
      </c>
      <c r="O1330" s="302"/>
      <c r="P1330" s="336"/>
      <c r="Q1330" s="694"/>
      <c r="R1330" s="694"/>
      <c r="S1330" s="694"/>
      <c r="T1330" s="694"/>
      <c r="U1330" s="694"/>
      <c r="V1330" s="694"/>
      <c r="W1330" s="694"/>
      <c r="X1330" s="694"/>
      <c r="Y1330" s="694"/>
      <c r="Z1330" s="729"/>
      <c r="AA1330" s="729"/>
      <c r="AB1330" s="729"/>
      <c r="AC1330" s="694"/>
      <c r="AD1330" s="694"/>
      <c r="AE1330" s="343"/>
      <c r="AF1330" s="343"/>
      <c r="AG1330" s="343"/>
      <c r="AH1330" s="343"/>
      <c r="AI1330" s="343"/>
      <c r="AJ1330" s="343"/>
      <c r="AK1330" s="1174" t="s">
        <v>2148</v>
      </c>
      <c r="AL1330" s="1176" t="str">
        <f>IF(COUNTIFS(G1330:N1330,"")&lt;COUNTA(G1330:N1330),EUconst_Error&amp;"FB"&amp;Q1247,"")</f>
        <v/>
      </c>
      <c r="AM1330" s="343"/>
    </row>
    <row r="1331" spans="1:39" ht="5.15" customHeight="1" x14ac:dyDescent="0.25">
      <c r="A1331" s="729"/>
      <c r="B1331" s="698"/>
      <c r="C1331" s="284"/>
      <c r="D1331" s="284"/>
      <c r="E1331" s="284"/>
      <c r="F1331" s="284"/>
      <c r="G1331" s="284"/>
      <c r="H1331" s="284"/>
      <c r="I1331" s="284"/>
      <c r="J1331" s="284"/>
      <c r="K1331" s="284"/>
      <c r="L1331" s="284"/>
      <c r="M1331" s="284"/>
      <c r="N1331" s="284"/>
      <c r="O1331" s="302"/>
      <c r="P1331" s="336"/>
      <c r="Q1331" s="694"/>
      <c r="R1331" s="694"/>
      <c r="S1331" s="694"/>
      <c r="T1331" s="694"/>
      <c r="U1331" s="694"/>
      <c r="V1331" s="694"/>
      <c r="W1331" s="694"/>
      <c r="X1331" s="694"/>
      <c r="Y1331" s="694"/>
      <c r="Z1331" s="729"/>
      <c r="AA1331" s="729"/>
      <c r="AB1331" s="729"/>
      <c r="AC1331" s="694"/>
      <c r="AD1331" s="694"/>
      <c r="AE1331" s="343"/>
      <c r="AF1331" s="343"/>
      <c r="AG1331" s="343"/>
      <c r="AH1331" s="343"/>
      <c r="AI1331" s="343"/>
      <c r="AJ1331" s="343"/>
      <c r="AK1331" s="343"/>
      <c r="AL1331" s="343"/>
      <c r="AM1331" s="343"/>
    </row>
    <row r="1332" spans="1:39" ht="12.75" hidden="1" customHeight="1" x14ac:dyDescent="0.25">
      <c r="A1332" s="729" t="s">
        <v>312</v>
      </c>
      <c r="B1332" s="698"/>
      <c r="C1332" s="284"/>
      <c r="D1332" s="300" t="s">
        <v>1770</v>
      </c>
      <c r="E1332" s="2226" t="str">
        <f>Translations!$B$1540</f>
        <v>Потребление на енергия извън СТЕ на ЕС по продукти за определяне на очакваните равнища на дейност</v>
      </c>
      <c r="F1332" s="2249"/>
      <c r="G1332" s="2249"/>
      <c r="H1332" s="2249"/>
      <c r="I1332" s="2249"/>
      <c r="J1332" s="2249"/>
      <c r="K1332" s="2249"/>
      <c r="L1332" s="2249"/>
      <c r="M1332" s="2249"/>
      <c r="N1332" s="2249"/>
      <c r="O1332" s="302"/>
      <c r="P1332" s="295"/>
      <c r="Q1332" s="694"/>
      <c r="R1332" s="694"/>
      <c r="S1332" s="729"/>
      <c r="T1332" s="729"/>
      <c r="U1332" s="729"/>
      <c r="V1332" s="694"/>
      <c r="W1332" s="694"/>
      <c r="X1332" s="694"/>
      <c r="Y1332" s="694"/>
      <c r="Z1332" s="729"/>
      <c r="AA1332" s="729"/>
      <c r="AB1332" s="729"/>
      <c r="AC1332" s="729"/>
      <c r="AD1332" s="694"/>
      <c r="AE1332" s="343"/>
      <c r="AF1332" s="343"/>
      <c r="AG1332" s="343"/>
      <c r="AH1332" s="343"/>
      <c r="AI1332" s="343"/>
      <c r="AJ1332" s="343"/>
      <c r="AK1332" s="343"/>
      <c r="AL1332" s="343"/>
      <c r="AM1332" s="343"/>
    </row>
    <row r="1333" spans="1:39" ht="25.5" hidden="1" customHeight="1" x14ac:dyDescent="0.25">
      <c r="A1333" s="729" t="s">
        <v>312</v>
      </c>
      <c r="B1333" s="698"/>
      <c r="C1333" s="284"/>
      <c r="D1333" s="284"/>
      <c r="E1333" s="2358" t="str">
        <f>Translations!$B$1541</f>
        <v>Моля, въведете тук всяко потребление на енергия извън СТЕ на ЕС (напр. топлинна енергия, получена от инсталации, които не са обхванати от СТЕ на ЕС), използвано за същите продукти, както по-горе. Числата тук ще бъдат използвани за коригиране на разпределянето за допустимия дял на енергията.</v>
      </c>
      <c r="F1333" s="2249"/>
      <c r="G1333" s="2249"/>
      <c r="H1333" s="2249"/>
      <c r="I1333" s="2249"/>
      <c r="J1333" s="2249"/>
      <c r="K1333" s="2249"/>
      <c r="L1333" s="2249"/>
      <c r="M1333" s="2249"/>
      <c r="N1333" s="2249"/>
      <c r="O1333" s="302"/>
      <c r="P1333" s="295"/>
      <c r="Q1333" s="694"/>
      <c r="R1333" s="694"/>
      <c r="S1333" s="694"/>
      <c r="T1333" s="694"/>
      <c r="U1333" s="694"/>
      <c r="V1333" s="694"/>
      <c r="W1333" s="694"/>
      <c r="X1333" s="694"/>
      <c r="Y1333" s="694"/>
      <c r="Z1333" s="729"/>
      <c r="AA1333" s="729"/>
      <c r="AB1333" s="729"/>
      <c r="AC1333" s="729"/>
      <c r="AD1333" s="694"/>
      <c r="AE1333" s="343"/>
      <c r="AF1333" s="343"/>
      <c r="AG1333" s="343"/>
      <c r="AH1333" s="343"/>
      <c r="AI1333" s="343"/>
      <c r="AJ1333" s="343"/>
      <c r="AK1333" s="343"/>
      <c r="AL1333" s="343"/>
      <c r="AM1333" s="343"/>
    </row>
    <row r="1334" spans="1:39" ht="5.15" hidden="1" customHeight="1" x14ac:dyDescent="0.25">
      <c r="A1334" s="729" t="s">
        <v>312</v>
      </c>
      <c r="B1334" s="698"/>
      <c r="C1334" s="284"/>
      <c r="D1334" s="284"/>
      <c r="E1334" s="2358"/>
      <c r="F1334" s="2249"/>
      <c r="G1334" s="2249"/>
      <c r="H1334" s="2249"/>
      <c r="I1334" s="2249"/>
      <c r="J1334" s="2249"/>
      <c r="K1334" s="2249"/>
      <c r="L1334" s="2249"/>
      <c r="M1334" s="2249"/>
      <c r="N1334" s="2249"/>
      <c r="O1334" s="302"/>
      <c r="P1334" s="295"/>
      <c r="Q1334" s="694"/>
      <c r="R1334" s="694"/>
      <c r="S1334" s="694"/>
      <c r="T1334" s="694"/>
      <c r="U1334" s="694"/>
      <c r="V1334" s="694"/>
      <c r="W1334" s="694"/>
      <c r="X1334" s="694"/>
      <c r="Y1334" s="694"/>
      <c r="Z1334" s="729"/>
      <c r="AA1334" s="729"/>
      <c r="AB1334" s="729"/>
      <c r="AC1334" s="729"/>
      <c r="AD1334" s="694"/>
      <c r="AE1334" s="343"/>
      <c r="AF1334" s="343"/>
      <c r="AG1334" s="343"/>
      <c r="AH1334" s="343"/>
      <c r="AI1334" s="343"/>
      <c r="AJ1334" s="343"/>
      <c r="AK1334" s="343"/>
      <c r="AL1334" s="343"/>
      <c r="AM1334" s="343"/>
    </row>
    <row r="1335" spans="1:39" s="1423" customFormat="1" ht="25.5" hidden="1" customHeight="1" thickBot="1" x14ac:dyDescent="0.35">
      <c r="A1335" s="729" t="s">
        <v>312</v>
      </c>
      <c r="B1335" s="1412"/>
      <c r="C1335" s="1413"/>
      <c r="D1335" s="1414"/>
      <c r="E1335" s="1415" t="str">
        <f>Translations!$B$624</f>
        <v>Име на продукта или „топлофикационна мрежа“</v>
      </c>
      <c r="F1335" s="1416" t="str">
        <f>EUconst_Unit</f>
        <v>Единица мярка</v>
      </c>
      <c r="G1335" s="1419" t="str">
        <f>Translations!$B$1336</f>
        <v>Стойност в НМИ</v>
      </c>
      <c r="H1335" s="1418">
        <f t="shared" ref="H1335:N1335" si="1995">H$1840</f>
        <v>2024</v>
      </c>
      <c r="I1335" s="1419">
        <f t="shared" si="1995"/>
        <v>2025</v>
      </c>
      <c r="J1335" s="1418">
        <f t="shared" si="1995"/>
        <v>2026</v>
      </c>
      <c r="K1335" s="1420">
        <f t="shared" si="1995"/>
        <v>2027</v>
      </c>
      <c r="L1335" s="1420">
        <f t="shared" si="1995"/>
        <v>2028</v>
      </c>
      <c r="M1335" s="1420">
        <f t="shared" si="1995"/>
        <v>2029</v>
      </c>
      <c r="N1335" s="1420">
        <f t="shared" si="1995"/>
        <v>2030</v>
      </c>
      <c r="O1335" s="302"/>
      <c r="P1335" s="295"/>
      <c r="Q1335" s="1421"/>
      <c r="R1335" s="1421"/>
      <c r="S1335" s="694"/>
      <c r="T1335" s="694"/>
      <c r="U1335" s="694"/>
      <c r="V1335" s="694"/>
      <c r="W1335" s="694"/>
      <c r="X1335" s="694"/>
      <c r="Y1335" s="694"/>
      <c r="Z1335" s="694"/>
      <c r="AA1335" s="1421"/>
      <c r="AB1335" s="770" t="str">
        <f>Translations!$B$1284</f>
        <v>HAL</v>
      </c>
      <c r="AC1335" s="1421">
        <f t="shared" ref="AC1335" si="1996">H1335</f>
        <v>2024</v>
      </c>
      <c r="AD1335" s="1421">
        <f t="shared" ref="AD1335" si="1997">I1335</f>
        <v>2025</v>
      </c>
      <c r="AE1335" s="1421">
        <f t="shared" ref="AE1335" si="1998">J1335</f>
        <v>2026</v>
      </c>
      <c r="AF1335" s="1421">
        <f t="shared" ref="AF1335" si="1999">K1335</f>
        <v>2027</v>
      </c>
      <c r="AG1335" s="1421">
        <f t="shared" ref="AG1335" si="2000">L1335</f>
        <v>2028</v>
      </c>
      <c r="AH1335" s="1422">
        <f t="shared" ref="AH1335" si="2001">M1335</f>
        <v>2029</v>
      </c>
      <c r="AI1335" s="1422">
        <f t="shared" ref="AI1335" si="2002">N1335</f>
        <v>2030</v>
      </c>
      <c r="AJ1335" s="1422"/>
      <c r="AK1335" s="1422"/>
      <c r="AL1335" s="1422"/>
      <c r="AM1335" s="1422"/>
    </row>
    <row r="1336" spans="1:39" ht="12.75" hidden="1" customHeight="1" x14ac:dyDescent="0.25">
      <c r="A1336" s="729" t="s">
        <v>312</v>
      </c>
      <c r="B1336" s="698"/>
      <c r="C1336" s="2906" t="str">
        <f>Translations!$B$949</f>
        <v>топл. ен. извън СТЕ</v>
      </c>
      <c r="D1336" s="981">
        <v>1</v>
      </c>
      <c r="E1336" s="1424" t="str">
        <f t="shared" ref="E1336:E1345" si="2003">E1318</f>
        <v/>
      </c>
      <c r="F1336" s="1259" t="str">
        <f t="shared" ref="F1336:F1346" si="2004">EUconst_TJ</f>
        <v>TJ</v>
      </c>
      <c r="G1336" s="125"/>
      <c r="H1336" s="116"/>
      <c r="I1336" s="46"/>
      <c r="J1336" s="116"/>
      <c r="K1336" s="40"/>
      <c r="L1336" s="40"/>
      <c r="M1336" s="40"/>
      <c r="N1336" s="40"/>
      <c r="O1336" s="302"/>
      <c r="P1336" s="158"/>
      <c r="Q1336" s="694"/>
      <c r="R1336" s="694"/>
      <c r="S1336" s="694"/>
      <c r="T1336" s="694"/>
      <c r="U1336" s="694"/>
      <c r="V1336" s="694"/>
      <c r="W1336" s="694"/>
      <c r="X1336" s="694"/>
      <c r="Y1336" s="694"/>
      <c r="Z1336" s="694"/>
      <c r="AA1336" s="1446" t="s">
        <v>1757</v>
      </c>
      <c r="AB1336" s="1447">
        <f t="shared" ref="AB1336:AC1336" si="2005">AB1318</f>
        <v>2</v>
      </c>
      <c r="AC1336" s="1427">
        <f t="shared" si="2005"/>
        <v>2</v>
      </c>
      <c r="AD1336" s="1427">
        <f>AD1318</f>
        <v>2</v>
      </c>
      <c r="AE1336" s="1427">
        <f t="shared" ref="AE1336:AI1336" si="2006">AE1318</f>
        <v>2</v>
      </c>
      <c r="AF1336" s="1427">
        <f t="shared" si="2006"/>
        <v>2</v>
      </c>
      <c r="AG1336" s="1427">
        <f t="shared" si="2006"/>
        <v>2</v>
      </c>
      <c r="AH1336" s="1428">
        <f t="shared" si="2006"/>
        <v>2</v>
      </c>
      <c r="AI1336" s="1429">
        <f t="shared" si="2006"/>
        <v>2</v>
      </c>
      <c r="AJ1336" s="343"/>
      <c r="AK1336" s="1422"/>
      <c r="AL1336" s="1422"/>
      <c r="AM1336" s="343"/>
    </row>
    <row r="1337" spans="1:39" ht="12.75" hidden="1" customHeight="1" x14ac:dyDescent="0.25">
      <c r="A1337" s="729" t="s">
        <v>312</v>
      </c>
      <c r="B1337" s="698"/>
      <c r="C1337" s="2906"/>
      <c r="D1337" s="990">
        <v>2</v>
      </c>
      <c r="E1337" s="1430" t="str">
        <f t="shared" si="2003"/>
        <v/>
      </c>
      <c r="F1337" s="1448" t="str">
        <f t="shared" si="2004"/>
        <v>TJ</v>
      </c>
      <c r="G1337" s="124"/>
      <c r="H1337" s="119"/>
      <c r="I1337" s="47"/>
      <c r="J1337" s="119"/>
      <c r="K1337" s="43"/>
      <c r="L1337" s="43"/>
      <c r="M1337" s="43"/>
      <c r="N1337" s="43"/>
      <c r="O1337" s="302"/>
      <c r="P1337" s="158"/>
      <c r="Q1337" s="694"/>
      <c r="R1337" s="694"/>
      <c r="S1337" s="694"/>
      <c r="T1337" s="694"/>
      <c r="U1337" s="694"/>
      <c r="V1337" s="694"/>
      <c r="W1337" s="694"/>
      <c r="X1337" s="694"/>
      <c r="Y1337" s="694"/>
      <c r="Z1337" s="694"/>
      <c r="AA1337" s="694"/>
      <c r="AB1337" s="1431">
        <f t="shared" ref="AB1337:AI1337" si="2007">AB1319</f>
        <v>2</v>
      </c>
      <c r="AC1337" s="1432">
        <f t="shared" si="2007"/>
        <v>2</v>
      </c>
      <c r="AD1337" s="1432">
        <f t="shared" si="2007"/>
        <v>2</v>
      </c>
      <c r="AE1337" s="1432">
        <f t="shared" si="2007"/>
        <v>2</v>
      </c>
      <c r="AF1337" s="1432">
        <f t="shared" si="2007"/>
        <v>2</v>
      </c>
      <c r="AG1337" s="1432">
        <f t="shared" si="2007"/>
        <v>2</v>
      </c>
      <c r="AH1337" s="1432">
        <f t="shared" si="2007"/>
        <v>2</v>
      </c>
      <c r="AI1337" s="1452">
        <f t="shared" si="2007"/>
        <v>2</v>
      </c>
      <c r="AJ1337" s="343"/>
      <c r="AK1337" s="1422"/>
      <c r="AL1337" s="1422"/>
      <c r="AM1337" s="343"/>
    </row>
    <row r="1338" spans="1:39" ht="12.75" hidden="1" customHeight="1" x14ac:dyDescent="0.25">
      <c r="A1338" s="729" t="s">
        <v>312</v>
      </c>
      <c r="B1338" s="698"/>
      <c r="C1338" s="2906"/>
      <c r="D1338" s="990">
        <v>3</v>
      </c>
      <c r="E1338" s="1430" t="str">
        <f t="shared" si="2003"/>
        <v/>
      </c>
      <c r="F1338" s="1448" t="str">
        <f t="shared" si="2004"/>
        <v>TJ</v>
      </c>
      <c r="G1338" s="47"/>
      <c r="H1338" s="119"/>
      <c r="I1338" s="47"/>
      <c r="J1338" s="119"/>
      <c r="K1338" s="43"/>
      <c r="L1338" s="43"/>
      <c r="M1338" s="43"/>
      <c r="N1338" s="43"/>
      <c r="O1338" s="302"/>
      <c r="P1338" s="158"/>
      <c r="Q1338" s="694"/>
      <c r="R1338" s="694"/>
      <c r="S1338" s="694"/>
      <c r="T1338" s="694"/>
      <c r="U1338" s="694"/>
      <c r="V1338" s="694"/>
      <c r="W1338" s="694"/>
      <c r="X1338" s="694"/>
      <c r="Y1338" s="694"/>
      <c r="Z1338" s="694"/>
      <c r="AA1338" s="694"/>
      <c r="AB1338" s="1431">
        <f t="shared" ref="AB1338:AI1338" si="2008">AB1320</f>
        <v>2</v>
      </c>
      <c r="AC1338" s="1432">
        <f t="shared" si="2008"/>
        <v>2</v>
      </c>
      <c r="AD1338" s="1432">
        <f t="shared" si="2008"/>
        <v>2</v>
      </c>
      <c r="AE1338" s="1432">
        <f t="shared" si="2008"/>
        <v>2</v>
      </c>
      <c r="AF1338" s="1432">
        <f t="shared" si="2008"/>
        <v>2</v>
      </c>
      <c r="AG1338" s="1432">
        <f t="shared" si="2008"/>
        <v>2</v>
      </c>
      <c r="AH1338" s="1432">
        <f t="shared" si="2008"/>
        <v>2</v>
      </c>
      <c r="AI1338" s="1452">
        <f t="shared" si="2008"/>
        <v>2</v>
      </c>
      <c r="AJ1338" s="343"/>
      <c r="AK1338" s="1422"/>
      <c r="AL1338" s="1422"/>
      <c r="AM1338" s="343"/>
    </row>
    <row r="1339" spans="1:39" ht="12.75" hidden="1" customHeight="1" x14ac:dyDescent="0.25">
      <c r="A1339" s="729" t="s">
        <v>312</v>
      </c>
      <c r="B1339" s="698"/>
      <c r="C1339" s="2906"/>
      <c r="D1339" s="990">
        <v>4</v>
      </c>
      <c r="E1339" s="1430" t="str">
        <f t="shared" si="2003"/>
        <v/>
      </c>
      <c r="F1339" s="1448" t="str">
        <f t="shared" si="2004"/>
        <v>TJ</v>
      </c>
      <c r="G1339" s="47"/>
      <c r="H1339" s="119"/>
      <c r="I1339" s="47"/>
      <c r="J1339" s="119"/>
      <c r="K1339" s="43"/>
      <c r="L1339" s="43"/>
      <c r="M1339" s="43"/>
      <c r="N1339" s="43"/>
      <c r="O1339" s="302"/>
      <c r="P1339" s="158"/>
      <c r="Q1339" s="694"/>
      <c r="R1339" s="694"/>
      <c r="S1339" s="694"/>
      <c r="T1339" s="694"/>
      <c r="U1339" s="694"/>
      <c r="V1339" s="694"/>
      <c r="W1339" s="694"/>
      <c r="X1339" s="694"/>
      <c r="Y1339" s="694"/>
      <c r="Z1339" s="694"/>
      <c r="AA1339" s="694"/>
      <c r="AB1339" s="1431">
        <f t="shared" ref="AB1339:AI1339" si="2009">AB1321</f>
        <v>2</v>
      </c>
      <c r="AC1339" s="1432">
        <f t="shared" si="2009"/>
        <v>2</v>
      </c>
      <c r="AD1339" s="1432">
        <f t="shared" si="2009"/>
        <v>2</v>
      </c>
      <c r="AE1339" s="1432">
        <f t="shared" si="2009"/>
        <v>2</v>
      </c>
      <c r="AF1339" s="1432">
        <f t="shared" si="2009"/>
        <v>2</v>
      </c>
      <c r="AG1339" s="1432">
        <f t="shared" si="2009"/>
        <v>2</v>
      </c>
      <c r="AH1339" s="1432">
        <f t="shared" si="2009"/>
        <v>2</v>
      </c>
      <c r="AI1339" s="1452">
        <f t="shared" si="2009"/>
        <v>2</v>
      </c>
      <c r="AJ1339" s="343"/>
      <c r="AK1339" s="1422"/>
      <c r="AL1339" s="1422"/>
      <c r="AM1339" s="343"/>
    </row>
    <row r="1340" spans="1:39" ht="12.75" hidden="1" customHeight="1" x14ac:dyDescent="0.25">
      <c r="A1340" s="729" t="s">
        <v>312</v>
      </c>
      <c r="B1340" s="698"/>
      <c r="C1340" s="2906"/>
      <c r="D1340" s="990">
        <v>5</v>
      </c>
      <c r="E1340" s="1430" t="str">
        <f t="shared" si="2003"/>
        <v/>
      </c>
      <c r="F1340" s="1448" t="str">
        <f t="shared" si="2004"/>
        <v>TJ</v>
      </c>
      <c r="G1340" s="47"/>
      <c r="H1340" s="119"/>
      <c r="I1340" s="47"/>
      <c r="J1340" s="119"/>
      <c r="K1340" s="43"/>
      <c r="L1340" s="43"/>
      <c r="M1340" s="43"/>
      <c r="N1340" s="43"/>
      <c r="O1340" s="302"/>
      <c r="P1340" s="158"/>
      <c r="Q1340" s="694"/>
      <c r="R1340" s="694"/>
      <c r="S1340" s="694"/>
      <c r="T1340" s="694"/>
      <c r="U1340" s="694"/>
      <c r="V1340" s="694"/>
      <c r="W1340" s="694"/>
      <c r="X1340" s="694"/>
      <c r="Y1340" s="694"/>
      <c r="Z1340" s="694"/>
      <c r="AA1340" s="694"/>
      <c r="AB1340" s="1431">
        <f t="shared" ref="AB1340:AI1340" si="2010">AB1322</f>
        <v>2</v>
      </c>
      <c r="AC1340" s="1432">
        <f t="shared" si="2010"/>
        <v>2</v>
      </c>
      <c r="AD1340" s="1432">
        <f t="shared" si="2010"/>
        <v>2</v>
      </c>
      <c r="AE1340" s="1432">
        <f t="shared" si="2010"/>
        <v>2</v>
      </c>
      <c r="AF1340" s="1432">
        <f t="shared" si="2010"/>
        <v>2</v>
      </c>
      <c r="AG1340" s="1432">
        <f t="shared" si="2010"/>
        <v>2</v>
      </c>
      <c r="AH1340" s="1432">
        <f t="shared" si="2010"/>
        <v>2</v>
      </c>
      <c r="AI1340" s="1452">
        <f t="shared" si="2010"/>
        <v>2</v>
      </c>
      <c r="AJ1340" s="343"/>
      <c r="AK1340" s="1422"/>
      <c r="AL1340" s="1422"/>
      <c r="AM1340" s="343"/>
    </row>
    <row r="1341" spans="1:39" ht="12.75" hidden="1" customHeight="1" x14ac:dyDescent="0.25">
      <c r="A1341" s="729" t="s">
        <v>312</v>
      </c>
      <c r="B1341" s="698"/>
      <c r="C1341" s="2906"/>
      <c r="D1341" s="990">
        <v>6</v>
      </c>
      <c r="E1341" s="1430" t="str">
        <f t="shared" si="2003"/>
        <v/>
      </c>
      <c r="F1341" s="1448" t="str">
        <f t="shared" si="2004"/>
        <v>TJ</v>
      </c>
      <c r="G1341" s="47"/>
      <c r="H1341" s="119"/>
      <c r="I1341" s="47"/>
      <c r="J1341" s="119"/>
      <c r="K1341" s="43"/>
      <c r="L1341" s="43"/>
      <c r="M1341" s="43"/>
      <c r="N1341" s="43"/>
      <c r="O1341" s="302"/>
      <c r="P1341" s="158"/>
      <c r="Q1341" s="694"/>
      <c r="R1341" s="694"/>
      <c r="S1341" s="694"/>
      <c r="T1341" s="694"/>
      <c r="U1341" s="694"/>
      <c r="V1341" s="694"/>
      <c r="W1341" s="694"/>
      <c r="X1341" s="694"/>
      <c r="Y1341" s="694"/>
      <c r="Z1341" s="694"/>
      <c r="AA1341" s="694"/>
      <c r="AB1341" s="1431">
        <f t="shared" ref="AB1341:AI1341" si="2011">AB1323</f>
        <v>2</v>
      </c>
      <c r="AC1341" s="1432">
        <f t="shared" si="2011"/>
        <v>2</v>
      </c>
      <c r="AD1341" s="1432">
        <f t="shared" si="2011"/>
        <v>2</v>
      </c>
      <c r="AE1341" s="1432">
        <f t="shared" si="2011"/>
        <v>2</v>
      </c>
      <c r="AF1341" s="1432">
        <f t="shared" si="2011"/>
        <v>2</v>
      </c>
      <c r="AG1341" s="1432">
        <f t="shared" si="2011"/>
        <v>2</v>
      </c>
      <c r="AH1341" s="1432">
        <f t="shared" si="2011"/>
        <v>2</v>
      </c>
      <c r="AI1341" s="1452">
        <f t="shared" si="2011"/>
        <v>2</v>
      </c>
      <c r="AJ1341" s="343"/>
      <c r="AK1341" s="1422"/>
      <c r="AL1341" s="1422"/>
      <c r="AM1341" s="343"/>
    </row>
    <row r="1342" spans="1:39" ht="12.75" hidden="1" customHeight="1" x14ac:dyDescent="0.25">
      <c r="A1342" s="729" t="s">
        <v>312</v>
      </c>
      <c r="B1342" s="698"/>
      <c r="C1342" s="2906"/>
      <c r="D1342" s="990">
        <v>7</v>
      </c>
      <c r="E1342" s="1430" t="str">
        <f t="shared" si="2003"/>
        <v/>
      </c>
      <c r="F1342" s="1448" t="str">
        <f t="shared" si="2004"/>
        <v>TJ</v>
      </c>
      <c r="G1342" s="47"/>
      <c r="H1342" s="119"/>
      <c r="I1342" s="47"/>
      <c r="J1342" s="119"/>
      <c r="K1342" s="43"/>
      <c r="L1342" s="43"/>
      <c r="M1342" s="43"/>
      <c r="N1342" s="43"/>
      <c r="O1342" s="302"/>
      <c r="P1342" s="158"/>
      <c r="Q1342" s="694"/>
      <c r="R1342" s="694"/>
      <c r="S1342" s="694"/>
      <c r="T1342" s="694"/>
      <c r="U1342" s="694"/>
      <c r="V1342" s="694"/>
      <c r="W1342" s="694"/>
      <c r="X1342" s="694"/>
      <c r="Y1342" s="694"/>
      <c r="Z1342" s="694"/>
      <c r="AA1342" s="694"/>
      <c r="AB1342" s="1431">
        <f t="shared" ref="AB1342:AI1342" si="2012">AB1324</f>
        <v>2</v>
      </c>
      <c r="AC1342" s="1432">
        <f t="shared" si="2012"/>
        <v>2</v>
      </c>
      <c r="AD1342" s="1432">
        <f t="shared" si="2012"/>
        <v>2</v>
      </c>
      <c r="AE1342" s="1432">
        <f t="shared" si="2012"/>
        <v>2</v>
      </c>
      <c r="AF1342" s="1432">
        <f t="shared" si="2012"/>
        <v>2</v>
      </c>
      <c r="AG1342" s="1432">
        <f t="shared" si="2012"/>
        <v>2</v>
      </c>
      <c r="AH1342" s="1432">
        <f t="shared" si="2012"/>
        <v>2</v>
      </c>
      <c r="AI1342" s="1452">
        <f t="shared" si="2012"/>
        <v>2</v>
      </c>
      <c r="AJ1342" s="343"/>
      <c r="AK1342" s="1422"/>
      <c r="AL1342" s="1422"/>
      <c r="AM1342" s="343"/>
    </row>
    <row r="1343" spans="1:39" ht="12.75" hidden="1" customHeight="1" x14ac:dyDescent="0.25">
      <c r="A1343" s="729" t="s">
        <v>312</v>
      </c>
      <c r="B1343" s="698"/>
      <c r="C1343" s="2906"/>
      <c r="D1343" s="990">
        <v>8</v>
      </c>
      <c r="E1343" s="1430" t="str">
        <f t="shared" si="2003"/>
        <v/>
      </c>
      <c r="F1343" s="1448" t="str">
        <f t="shared" si="2004"/>
        <v>TJ</v>
      </c>
      <c r="G1343" s="47"/>
      <c r="H1343" s="119"/>
      <c r="I1343" s="47"/>
      <c r="J1343" s="119"/>
      <c r="K1343" s="43"/>
      <c r="L1343" s="43"/>
      <c r="M1343" s="43"/>
      <c r="N1343" s="43"/>
      <c r="O1343" s="302"/>
      <c r="P1343" s="158"/>
      <c r="Q1343" s="694"/>
      <c r="R1343" s="694"/>
      <c r="S1343" s="694"/>
      <c r="T1343" s="694"/>
      <c r="U1343" s="694"/>
      <c r="V1343" s="694"/>
      <c r="W1343" s="694"/>
      <c r="X1343" s="694"/>
      <c r="Y1343" s="694"/>
      <c r="Z1343" s="694"/>
      <c r="AA1343" s="694"/>
      <c r="AB1343" s="1431">
        <f t="shared" ref="AB1343:AI1343" si="2013">AB1325</f>
        <v>2</v>
      </c>
      <c r="AC1343" s="1432">
        <f t="shared" si="2013"/>
        <v>2</v>
      </c>
      <c r="AD1343" s="1432">
        <f t="shared" si="2013"/>
        <v>2</v>
      </c>
      <c r="AE1343" s="1432">
        <f t="shared" si="2013"/>
        <v>2</v>
      </c>
      <c r="AF1343" s="1432">
        <f t="shared" si="2013"/>
        <v>2</v>
      </c>
      <c r="AG1343" s="1432">
        <f t="shared" si="2013"/>
        <v>2</v>
      </c>
      <c r="AH1343" s="1432">
        <f t="shared" si="2013"/>
        <v>2</v>
      </c>
      <c r="AI1343" s="1452">
        <f t="shared" si="2013"/>
        <v>2</v>
      </c>
      <c r="AJ1343" s="343"/>
      <c r="AK1343" s="1422"/>
      <c r="AL1343" s="1422"/>
      <c r="AM1343" s="343"/>
    </row>
    <row r="1344" spans="1:39" ht="12.75" hidden="1" customHeight="1" x14ac:dyDescent="0.25">
      <c r="A1344" s="729" t="s">
        <v>312</v>
      </c>
      <c r="B1344" s="698"/>
      <c r="C1344" s="2906"/>
      <c r="D1344" s="990">
        <v>9</v>
      </c>
      <c r="E1344" s="1430" t="str">
        <f t="shared" si="2003"/>
        <v/>
      </c>
      <c r="F1344" s="1448" t="str">
        <f t="shared" si="2004"/>
        <v>TJ</v>
      </c>
      <c r="G1344" s="47"/>
      <c r="H1344" s="119"/>
      <c r="I1344" s="47"/>
      <c r="J1344" s="119"/>
      <c r="K1344" s="43"/>
      <c r="L1344" s="43"/>
      <c r="M1344" s="43"/>
      <c r="N1344" s="43"/>
      <c r="O1344" s="302"/>
      <c r="P1344" s="158"/>
      <c r="Q1344" s="694"/>
      <c r="R1344" s="694"/>
      <c r="S1344" s="694"/>
      <c r="T1344" s="694"/>
      <c r="U1344" s="694"/>
      <c r="V1344" s="694"/>
      <c r="W1344" s="694"/>
      <c r="X1344" s="694"/>
      <c r="Y1344" s="694"/>
      <c r="Z1344" s="694"/>
      <c r="AA1344" s="694"/>
      <c r="AB1344" s="1431">
        <f t="shared" ref="AB1344:AI1344" si="2014">AB1326</f>
        <v>2</v>
      </c>
      <c r="AC1344" s="1432">
        <f t="shared" si="2014"/>
        <v>2</v>
      </c>
      <c r="AD1344" s="1432">
        <f t="shared" si="2014"/>
        <v>2</v>
      </c>
      <c r="AE1344" s="1432">
        <f t="shared" si="2014"/>
        <v>2</v>
      </c>
      <c r="AF1344" s="1432">
        <f t="shared" si="2014"/>
        <v>2</v>
      </c>
      <c r="AG1344" s="1432">
        <f t="shared" si="2014"/>
        <v>2</v>
      </c>
      <c r="AH1344" s="1432">
        <f t="shared" si="2014"/>
        <v>2</v>
      </c>
      <c r="AI1344" s="1452">
        <f t="shared" si="2014"/>
        <v>2</v>
      </c>
      <c r="AJ1344" s="343"/>
      <c r="AK1344" s="1422"/>
      <c r="AL1344" s="1422"/>
      <c r="AM1344" s="343"/>
    </row>
    <row r="1345" spans="1:39" ht="12.75" hidden="1" customHeight="1" thickBot="1" x14ac:dyDescent="0.3">
      <c r="A1345" s="729" t="s">
        <v>312</v>
      </c>
      <c r="B1345" s="698"/>
      <c r="C1345" s="2906"/>
      <c r="D1345" s="994">
        <v>10</v>
      </c>
      <c r="E1345" s="1435" t="str">
        <f t="shared" si="2003"/>
        <v/>
      </c>
      <c r="F1345" s="1453" t="str">
        <f t="shared" si="2004"/>
        <v>TJ</v>
      </c>
      <c r="G1345" s="48"/>
      <c r="H1345" s="117"/>
      <c r="I1345" s="48"/>
      <c r="J1345" s="117"/>
      <c r="K1345" s="38"/>
      <c r="L1345" s="38"/>
      <c r="M1345" s="38"/>
      <c r="N1345" s="38"/>
      <c r="O1345" s="302"/>
      <c r="P1345" s="158"/>
      <c r="Q1345" s="694"/>
      <c r="R1345" s="694"/>
      <c r="S1345" s="694"/>
      <c r="T1345" s="694"/>
      <c r="U1345" s="694"/>
      <c r="V1345" s="694"/>
      <c r="W1345" s="694"/>
      <c r="X1345" s="694"/>
      <c r="Y1345" s="694"/>
      <c r="Z1345" s="694"/>
      <c r="AA1345" s="694"/>
      <c r="AB1345" s="1436">
        <f t="shared" ref="AB1345:AI1345" si="2015">AB1327</f>
        <v>2</v>
      </c>
      <c r="AC1345" s="1437">
        <f t="shared" si="2015"/>
        <v>2</v>
      </c>
      <c r="AD1345" s="1437">
        <f t="shared" si="2015"/>
        <v>2</v>
      </c>
      <c r="AE1345" s="1437">
        <f t="shared" si="2015"/>
        <v>2</v>
      </c>
      <c r="AF1345" s="1437">
        <f t="shared" si="2015"/>
        <v>2</v>
      </c>
      <c r="AG1345" s="1437">
        <f t="shared" si="2015"/>
        <v>2</v>
      </c>
      <c r="AH1345" s="1437">
        <f t="shared" si="2015"/>
        <v>2</v>
      </c>
      <c r="AI1345" s="1457">
        <f t="shared" si="2015"/>
        <v>2</v>
      </c>
      <c r="AJ1345" s="343"/>
      <c r="AK1345" s="1422"/>
      <c r="AL1345" s="1422"/>
      <c r="AM1345" s="343"/>
    </row>
    <row r="1346" spans="1:39" ht="12.75" hidden="1" customHeight="1" x14ac:dyDescent="0.25">
      <c r="A1346" s="729" t="s">
        <v>312</v>
      </c>
      <c r="B1346" s="698"/>
      <c r="C1346" s="2906"/>
      <c r="D1346" s="1293"/>
      <c r="E1346" s="1458" t="str">
        <f>Translations!$B$1338</f>
        <v>Общо потребление</v>
      </c>
      <c r="F1346" s="1453" t="str">
        <f t="shared" si="2004"/>
        <v>TJ</v>
      </c>
      <c r="G1346" s="1296" t="str">
        <f t="shared" ref="G1346:N1346" si="2016">IF(COUNT(G1336:G1345)&gt;0,SUMIF($S1283:$S1292,TRUE,G1336:G1345),"")</f>
        <v/>
      </c>
      <c r="H1346" s="1297" t="str">
        <f t="shared" si="2016"/>
        <v/>
      </c>
      <c r="I1346" s="1296" t="str">
        <f t="shared" si="2016"/>
        <v/>
      </c>
      <c r="J1346" s="1297" t="str">
        <f t="shared" si="2016"/>
        <v/>
      </c>
      <c r="K1346" s="1104" t="str">
        <f t="shared" si="2016"/>
        <v/>
      </c>
      <c r="L1346" s="1104" t="str">
        <f t="shared" si="2016"/>
        <v/>
      </c>
      <c r="M1346" s="1104" t="str">
        <f t="shared" si="2016"/>
        <v/>
      </c>
      <c r="N1346" s="1104" t="str">
        <f t="shared" si="2016"/>
        <v/>
      </c>
      <c r="O1346" s="302"/>
      <c r="P1346" s="336"/>
      <c r="Q1346" s="694"/>
      <c r="R1346" s="694"/>
      <c r="S1346" s="694"/>
      <c r="T1346" s="694"/>
      <c r="U1346" s="694"/>
      <c r="V1346" s="694"/>
      <c r="W1346" s="694"/>
      <c r="X1346" s="694"/>
      <c r="Y1346" s="694"/>
      <c r="Z1346" s="694"/>
      <c r="AA1346" s="694"/>
      <c r="AB1346" s="729"/>
      <c r="AC1346" s="694"/>
      <c r="AD1346" s="694"/>
      <c r="AE1346" s="343"/>
      <c r="AF1346" s="343"/>
      <c r="AG1346" s="343"/>
      <c r="AH1346" s="343"/>
      <c r="AI1346" s="343"/>
      <c r="AJ1346" s="343"/>
      <c r="AK1346" s="343"/>
      <c r="AL1346" s="343"/>
      <c r="AM1346" s="343"/>
    </row>
    <row r="1347" spans="1:39" ht="5.15" hidden="1" customHeight="1" x14ac:dyDescent="0.25">
      <c r="A1347" s="729" t="s">
        <v>312</v>
      </c>
      <c r="B1347" s="698"/>
      <c r="C1347" s="284"/>
      <c r="D1347" s="284"/>
      <c r="E1347" s="284"/>
      <c r="F1347" s="284"/>
      <c r="G1347" s="284"/>
      <c r="H1347" s="284"/>
      <c r="I1347" s="284"/>
      <c r="J1347" s="284"/>
      <c r="K1347" s="284"/>
      <c r="L1347" s="284"/>
      <c r="M1347" s="284"/>
      <c r="N1347" s="284"/>
      <c r="O1347" s="302"/>
      <c r="P1347" s="336"/>
      <c r="Q1347" s="694"/>
      <c r="R1347" s="694"/>
      <c r="S1347" s="694"/>
      <c r="T1347" s="694"/>
      <c r="U1347" s="694"/>
      <c r="V1347" s="694"/>
      <c r="W1347" s="694"/>
      <c r="X1347" s="694"/>
      <c r="Y1347" s="694"/>
      <c r="Z1347" s="729"/>
      <c r="AA1347" s="729"/>
      <c r="AB1347" s="729"/>
      <c r="AC1347" s="694"/>
      <c r="AD1347" s="694"/>
      <c r="AE1347" s="343"/>
      <c r="AF1347" s="343"/>
      <c r="AG1347" s="343"/>
      <c r="AH1347" s="343"/>
      <c r="AI1347" s="343"/>
      <c r="AJ1347" s="343"/>
      <c r="AK1347" s="343"/>
      <c r="AL1347" s="343"/>
      <c r="AM1347" s="343"/>
    </row>
    <row r="1348" spans="1:39" ht="12.75" hidden="1" customHeight="1" x14ac:dyDescent="0.25">
      <c r="A1348" s="729" t="s">
        <v>312</v>
      </c>
      <c r="B1348" s="698"/>
      <c r="C1348" s="284"/>
      <c r="D1348" s="300" t="s">
        <v>1830</v>
      </c>
      <c r="E1348" s="2226" t="str">
        <f>Translations!$B$1542</f>
        <v>Общо потребление на енергия по продукти за определяне на очакваните равнища на дейност</v>
      </c>
      <c r="F1348" s="2249"/>
      <c r="G1348" s="2249"/>
      <c r="H1348" s="2249"/>
      <c r="I1348" s="2249"/>
      <c r="J1348" s="2249"/>
      <c r="K1348" s="2249"/>
      <c r="L1348" s="2249"/>
      <c r="M1348" s="2249"/>
      <c r="N1348" s="2249"/>
      <c r="O1348" s="302"/>
      <c r="P1348" s="295"/>
      <c r="Q1348" s="694"/>
      <c r="R1348" s="694"/>
      <c r="S1348" s="694"/>
      <c r="T1348" s="694"/>
      <c r="U1348" s="694"/>
      <c r="V1348" s="694"/>
      <c r="W1348" s="694"/>
      <c r="X1348" s="694"/>
      <c r="Y1348" s="694"/>
      <c r="Z1348" s="729"/>
      <c r="AA1348" s="729"/>
      <c r="AB1348" s="729"/>
      <c r="AC1348" s="729"/>
      <c r="AD1348" s="694"/>
      <c r="AE1348" s="343"/>
      <c r="AF1348" s="343"/>
      <c r="AG1348" s="343"/>
      <c r="AH1348" s="343"/>
      <c r="AI1348" s="343"/>
      <c r="AJ1348" s="343"/>
      <c r="AK1348" s="343"/>
      <c r="AL1348" s="343"/>
      <c r="AM1348" s="343"/>
    </row>
    <row r="1349" spans="1:39" ht="12.75" hidden="1" customHeight="1" x14ac:dyDescent="0.25">
      <c r="A1349" s="729" t="s">
        <v>312</v>
      </c>
      <c r="B1349" s="698"/>
      <c r="C1349" s="284"/>
      <c r="D1349" s="284"/>
      <c r="E1349" s="2358" t="str">
        <f>Translations!$B$1543</f>
        <v>Това е сборът от вписванията по-горе b.2 + b.3. Следователно сумата може да бъде по-висока от 100 % от равнището на дейност.</v>
      </c>
      <c r="F1349" s="2249"/>
      <c r="G1349" s="2249"/>
      <c r="H1349" s="2249"/>
      <c r="I1349" s="2249"/>
      <c r="J1349" s="2249"/>
      <c r="K1349" s="2249"/>
      <c r="L1349" s="2249"/>
      <c r="M1349" s="2249"/>
      <c r="N1349" s="2249"/>
      <c r="O1349" s="302"/>
      <c r="P1349" s="295"/>
      <c r="Q1349" s="694"/>
      <c r="R1349" s="694"/>
      <c r="S1349" s="694"/>
      <c r="T1349" s="694"/>
      <c r="U1349" s="694"/>
      <c r="V1349" s="694"/>
      <c r="W1349" s="694"/>
      <c r="X1349" s="694"/>
      <c r="Y1349" s="694"/>
      <c r="Z1349" s="729"/>
      <c r="AA1349" s="729"/>
      <c r="AB1349" s="729"/>
      <c r="AC1349" s="729"/>
      <c r="AD1349" s="694"/>
      <c r="AE1349" s="343"/>
      <c r="AF1349" s="343"/>
      <c r="AG1349" s="343"/>
      <c r="AH1349" s="343"/>
      <c r="AI1349" s="343"/>
      <c r="AJ1349" s="343"/>
      <c r="AK1349" s="343"/>
      <c r="AL1349" s="343"/>
      <c r="AM1349" s="343"/>
    </row>
    <row r="1350" spans="1:39" ht="5.15" hidden="1" customHeight="1" x14ac:dyDescent="0.25">
      <c r="A1350" s="729" t="s">
        <v>312</v>
      </c>
      <c r="B1350" s="698"/>
      <c r="C1350" s="284"/>
      <c r="D1350" s="284"/>
      <c r="E1350" s="2358"/>
      <c r="F1350" s="2249"/>
      <c r="G1350" s="2249"/>
      <c r="H1350" s="2249"/>
      <c r="I1350" s="2249"/>
      <c r="J1350" s="2249"/>
      <c r="K1350" s="2249"/>
      <c r="L1350" s="2249"/>
      <c r="M1350" s="2249"/>
      <c r="N1350" s="2249"/>
      <c r="O1350" s="302"/>
      <c r="P1350" s="295"/>
      <c r="Q1350" s="694"/>
      <c r="R1350" s="694"/>
      <c r="S1350" s="694"/>
      <c r="T1350" s="694"/>
      <c r="U1350" s="694"/>
      <c r="V1350" s="694"/>
      <c r="W1350" s="694"/>
      <c r="X1350" s="694"/>
      <c r="Y1350" s="694"/>
      <c r="Z1350" s="729"/>
      <c r="AA1350" s="729"/>
      <c r="AB1350" s="729"/>
      <c r="AC1350" s="729"/>
      <c r="AD1350" s="694"/>
      <c r="AE1350" s="343"/>
      <c r="AF1350" s="343"/>
      <c r="AG1350" s="343"/>
      <c r="AH1350" s="343"/>
      <c r="AI1350" s="343"/>
      <c r="AJ1350" s="343"/>
      <c r="AK1350" s="343"/>
      <c r="AL1350" s="343"/>
      <c r="AM1350" s="343"/>
    </row>
    <row r="1351" spans="1:39" s="1423" customFormat="1" ht="25.5" hidden="1" customHeight="1" thickBot="1" x14ac:dyDescent="0.35">
      <c r="A1351" s="729" t="s">
        <v>312</v>
      </c>
      <c r="B1351" s="1412"/>
      <c r="C1351" s="1413"/>
      <c r="D1351" s="1414"/>
      <c r="E1351" s="1415" t="str">
        <f>Translations!$B$624</f>
        <v>Име на продукта или „топлофикационна мрежа“</v>
      </c>
      <c r="F1351" s="1416" t="str">
        <f>EUconst_Unit</f>
        <v>Единица мярка</v>
      </c>
      <c r="G1351" s="1419" t="str">
        <f>Translations!$B$1336</f>
        <v>Стойност в НМИ</v>
      </c>
      <c r="H1351" s="1418">
        <f t="shared" ref="H1351:N1351" si="2017">H$1840</f>
        <v>2024</v>
      </c>
      <c r="I1351" s="1419">
        <f t="shared" si="2017"/>
        <v>2025</v>
      </c>
      <c r="J1351" s="1418">
        <f t="shared" si="2017"/>
        <v>2026</v>
      </c>
      <c r="K1351" s="1420">
        <f t="shared" si="2017"/>
        <v>2027</v>
      </c>
      <c r="L1351" s="1420">
        <f t="shared" si="2017"/>
        <v>2028</v>
      </c>
      <c r="M1351" s="1420">
        <f t="shared" si="2017"/>
        <v>2029</v>
      </c>
      <c r="N1351" s="1420">
        <f t="shared" si="2017"/>
        <v>2030</v>
      </c>
      <c r="O1351" s="302"/>
      <c r="P1351" s="295"/>
      <c r="Q1351" s="1421"/>
      <c r="R1351" s="1421"/>
      <c r="S1351" s="770" t="str">
        <f>Translations!$B$1341</f>
        <v>Базова стойност</v>
      </c>
      <c r="T1351" s="1421">
        <f t="shared" ref="T1351" si="2018">H1351</f>
        <v>2024</v>
      </c>
      <c r="U1351" s="1421">
        <f t="shared" ref="U1351" si="2019">I1351</f>
        <v>2025</v>
      </c>
      <c r="V1351" s="1421">
        <f t="shared" ref="V1351" si="2020">J1351</f>
        <v>2026</v>
      </c>
      <c r="W1351" s="1421">
        <f t="shared" ref="W1351" si="2021">K1351</f>
        <v>2027</v>
      </c>
      <c r="X1351" s="1421">
        <f t="shared" ref="X1351" si="2022">L1351</f>
        <v>2028</v>
      </c>
      <c r="Y1351" s="1421">
        <f t="shared" ref="Y1351" si="2023">M1351</f>
        <v>2029</v>
      </c>
      <c r="Z1351" s="1421">
        <f t="shared" ref="Z1351" si="2024">N1351</f>
        <v>2030</v>
      </c>
      <c r="AA1351" s="1421"/>
      <c r="AB1351" s="770" t="str">
        <f>Translations!$B$1284</f>
        <v>HAL</v>
      </c>
      <c r="AC1351" s="1421">
        <f t="shared" ref="AC1351" si="2025">H1351</f>
        <v>2024</v>
      </c>
      <c r="AD1351" s="1421">
        <f t="shared" ref="AD1351" si="2026">I1351</f>
        <v>2025</v>
      </c>
      <c r="AE1351" s="1421">
        <f t="shared" ref="AE1351" si="2027">J1351</f>
        <v>2026</v>
      </c>
      <c r="AF1351" s="1421">
        <f t="shared" ref="AF1351" si="2028">K1351</f>
        <v>2027</v>
      </c>
      <c r="AG1351" s="1421">
        <f t="shared" ref="AG1351" si="2029">L1351</f>
        <v>2028</v>
      </c>
      <c r="AH1351" s="1422">
        <f t="shared" ref="AH1351" si="2030">M1351</f>
        <v>2029</v>
      </c>
      <c r="AI1351" s="1422">
        <f t="shared" ref="AI1351" si="2031">N1351</f>
        <v>2030</v>
      </c>
      <c r="AJ1351" s="1422"/>
      <c r="AK1351" s="1422"/>
      <c r="AL1351" s="1422"/>
      <c r="AM1351" s="1422"/>
    </row>
    <row r="1352" spans="1:39" ht="12.75" hidden="1" customHeight="1" x14ac:dyDescent="0.25">
      <c r="A1352" s="729" t="s">
        <v>312</v>
      </c>
      <c r="B1352" s="698"/>
      <c r="C1352" s="2906" t="str">
        <f>Translations!$B$1544</f>
        <v>ОБЩО</v>
      </c>
      <c r="D1352" s="981">
        <v>1</v>
      </c>
      <c r="E1352" s="1424" t="str">
        <f t="shared" ref="E1352:E1361" si="2032">E1336</f>
        <v/>
      </c>
      <c r="F1352" s="1259" t="str">
        <f t="shared" ref="F1352:F1363" si="2033">EUconst_TJ</f>
        <v>TJ</v>
      </c>
      <c r="G1352" s="1465" t="str">
        <f>IF(OR($E1352="",AB1352=0),"",SUM(G1318,G1336))</f>
        <v/>
      </c>
      <c r="H1352" s="1466" t="str">
        <f t="shared" ref="H1352:H1361" si="2034">IF(OR($E1352="",AC1352=0),"",SUM(H1318,H1336))</f>
        <v/>
      </c>
      <c r="I1352" s="1467" t="str">
        <f t="shared" ref="I1352:I1361" si="2035">IF(OR($E1352="",AD1352=0),"",SUM(I1318,I1336))</f>
        <v/>
      </c>
      <c r="J1352" s="1466" t="str">
        <f t="shared" ref="J1352:J1361" si="2036">IF(OR($E1352="",AE1352=0),"",SUM(J1318,J1336))</f>
        <v/>
      </c>
      <c r="K1352" s="1126" t="str">
        <f t="shared" ref="K1352:K1361" si="2037">IF(OR($E1352="",AF1352=0),"",SUM(K1318,K1336))</f>
        <v/>
      </c>
      <c r="L1352" s="1126" t="str">
        <f t="shared" ref="L1352:L1361" si="2038">IF(OR($E1352="",AG1352=0),"",SUM(L1318,L1336))</f>
        <v/>
      </c>
      <c r="M1352" s="1126" t="str">
        <f t="shared" ref="M1352:M1361" si="2039">IF(OR($E1352="",AH1352=0),"",SUM(M1318,M1336))</f>
        <v/>
      </c>
      <c r="N1352" s="1126" t="str">
        <f t="shared" ref="N1352:N1361" si="2040">IF(OR($E1352="",AI1352=0),"",SUM(N1318,N1336))</f>
        <v/>
      </c>
      <c r="O1352" s="302"/>
      <c r="P1352" s="158"/>
      <c r="Q1352" s="694"/>
      <c r="R1352" s="694"/>
      <c r="S1352" s="1443" t="str">
        <f>IF($M1247&lt;&gt;EUconst_Relevant,"",
IF($V1247&gt;($J$1840-3),
              IF(INDEX(H1299:N1299,MATCH($V1247,$T1351:$Z1351,0))=0,0,INDEX(H1352:N1352,MATCH($V1247,$T1351:$Z1351,0))/INDEX(H1299:N1299,MATCH($V1247,$T1351:$Z1351,0))),
                             IF(ISNUMBER(G1299),
                                            IF(OR(G1299=0,$S1283=FALSE),0,G1352/G1299),"")))</f>
        <v/>
      </c>
      <c r="T1352" s="1444" t="str">
        <f>IF($E1352="","",IF(IFERROR(SUM($S1352)=0,SUM(H1352)),SUM(H1352),SUM(H1299)*SUM($S1352))*IF(SUM(H1352)=0,1,SUM(H1318)/SUM(H1352)))</f>
        <v/>
      </c>
      <c r="U1352" s="1444" t="str">
        <f t="shared" ref="U1352" si="2041">IF($E1352="","",IF(IFERROR(SUM($S1352)=0,SUM(I1352)),SUM(I1352),SUM(I1299)*SUM($S1352))*IF(SUM(I1352)=0,1,SUM(I1318)/SUM(I1352)))</f>
        <v/>
      </c>
      <c r="V1352" s="1444" t="str">
        <f t="shared" ref="V1352:V1361" si="2042">IF($E1352="","",IF(IFERROR(SUM($S1352)=0,SUM(J1352)),SUM(J1352),SUM(J1299)*SUM($S1352))*IF(SUM(J1352)=0,1,SUM(J1318)/SUM(J1352)))</f>
        <v/>
      </c>
      <c r="W1352" s="1444" t="str">
        <f t="shared" ref="W1352:W1361" si="2043">IF($E1352="","",IF(IFERROR(SUM($S1352)=0,SUM(K1352)),SUM(K1352),SUM(K1299)*SUM($S1352))*IF(SUM(K1352)=0,1,SUM(K1318)/SUM(K1352)))</f>
        <v/>
      </c>
      <c r="X1352" s="1444" t="str">
        <f t="shared" ref="X1352:X1361" si="2044">IF($E1352="","",IF(IFERROR(SUM($S1352)=0,SUM(L1352)),SUM(L1352),SUM(L1299)*SUM($S1352))*IF(SUM(L1352)=0,1,SUM(L1318)/SUM(L1352)))</f>
        <v/>
      </c>
      <c r="Y1352" s="1444" t="str">
        <f t="shared" ref="Y1352:Y1361" si="2045">IF($E1352="","",IF(IFERROR(SUM($S1352)=0,SUM(M1352)),SUM(M1352),SUM(M1299)*SUM($S1352))*IF(SUM(M1352)=0,1,SUM(M1318)/SUM(M1352)))</f>
        <v/>
      </c>
      <c r="Z1352" s="1445" t="str">
        <f t="shared" ref="Z1352:Z1361" si="2046">IF($E1352="","",IF(IFERROR(SUM($S1352)=0,SUM(N1352)),SUM(N1352),SUM(N1299)*SUM($S1352))*IF(SUM(N1352)=0,1,SUM(N1318)/SUM(N1352)))</f>
        <v/>
      </c>
      <c r="AA1352" s="1446" t="s">
        <v>1757</v>
      </c>
      <c r="AB1352" s="1447">
        <f t="shared" ref="AB1352:AI1352" si="2047">AB1336</f>
        <v>2</v>
      </c>
      <c r="AC1352" s="1427">
        <f t="shared" si="2047"/>
        <v>2</v>
      </c>
      <c r="AD1352" s="1427">
        <f t="shared" si="2047"/>
        <v>2</v>
      </c>
      <c r="AE1352" s="1427">
        <f t="shared" si="2047"/>
        <v>2</v>
      </c>
      <c r="AF1352" s="1427">
        <f t="shared" si="2047"/>
        <v>2</v>
      </c>
      <c r="AG1352" s="1427">
        <f t="shared" si="2047"/>
        <v>2</v>
      </c>
      <c r="AH1352" s="1428">
        <f t="shared" si="2047"/>
        <v>2</v>
      </c>
      <c r="AI1352" s="1429">
        <f t="shared" si="2047"/>
        <v>2</v>
      </c>
      <c r="AJ1352" s="343"/>
      <c r="AK1352" s="1174" t="s">
        <v>2039</v>
      </c>
      <c r="AL1352" s="1176" t="str">
        <f>IF(AND(CNTR_ExistSubInstEntries,COUNTIFS(AB1352:AI1352,2,G1352:N1352,"")&gt;0),EUconst_Error&amp;"FB"&amp;Q1281,"")</f>
        <v/>
      </c>
      <c r="AM1352" s="343"/>
    </row>
    <row r="1353" spans="1:39" ht="12.75" hidden="1" customHeight="1" x14ac:dyDescent="0.25">
      <c r="A1353" s="729" t="s">
        <v>312</v>
      </c>
      <c r="B1353" s="698"/>
      <c r="C1353" s="2906"/>
      <c r="D1353" s="990">
        <v>2</v>
      </c>
      <c r="E1353" s="1430" t="str">
        <f t="shared" si="2032"/>
        <v/>
      </c>
      <c r="F1353" s="1448" t="str">
        <f t="shared" si="2033"/>
        <v>TJ</v>
      </c>
      <c r="G1353" s="1468" t="str">
        <f t="shared" ref="G1353:G1361" si="2048">IF(OR($E1353="",AB1353=0),"",SUM(G1319,G1337))</f>
        <v/>
      </c>
      <c r="H1353" s="1469" t="str">
        <f t="shared" si="2034"/>
        <v/>
      </c>
      <c r="I1353" s="1470" t="str">
        <f t="shared" si="2035"/>
        <v/>
      </c>
      <c r="J1353" s="1469" t="str">
        <f t="shared" si="2036"/>
        <v/>
      </c>
      <c r="K1353" s="1127" t="str">
        <f t="shared" si="2037"/>
        <v/>
      </c>
      <c r="L1353" s="1127" t="str">
        <f t="shared" si="2038"/>
        <v/>
      </c>
      <c r="M1353" s="1127" t="str">
        <f t="shared" si="2039"/>
        <v/>
      </c>
      <c r="N1353" s="1127" t="str">
        <f t="shared" si="2040"/>
        <v/>
      </c>
      <c r="O1353" s="302"/>
      <c r="P1353" s="158"/>
      <c r="Q1353" s="694"/>
      <c r="R1353" s="694"/>
      <c r="S1353" s="1449" t="str">
        <f>IF($M1247&lt;&gt;EUconst_Relevant,"",
IF($V1247&gt;($J$1840-3),
              IF(INDEX(H1300:N1300,MATCH($V1247,$T1351:$Z1351,0))=0,0,INDEX(H1353:N1353,MATCH($V1247,$T1351:$Z1351,0))/INDEX(H1300:N1300,MATCH($V1247,$T1351:$Z1351,0))),
                             IF(ISNUMBER(G1300),
                                            IF(OR(G1300=0,$S1284=FALSE),0,G1353/G1300),"")))</f>
        <v/>
      </c>
      <c r="T1353" s="1450" t="str">
        <f t="shared" ref="T1353" si="2049">IF($E1353="","",IF(IFERROR(SUM($S1353)=0,SUM(H1353)),SUM(H1353),SUM(H1300)*SUM($S1353))*IF(SUM(H1353)=0,1,SUM(H1319)/SUM(H1353)))</f>
        <v/>
      </c>
      <c r="U1353" s="1450" t="str">
        <f t="shared" ref="U1353:U1361" si="2050">IF($E1353="","",IF(IFERROR(SUM($S1353)=0,SUM(I1353)),SUM(I1353),SUM(I1300)*SUM($S1353))*IF(SUM(I1353)=0,1,SUM(I1319)/SUM(I1353)))</f>
        <v/>
      </c>
      <c r="V1353" s="1450" t="str">
        <f t="shared" si="2042"/>
        <v/>
      </c>
      <c r="W1353" s="1450" t="str">
        <f t="shared" si="2043"/>
        <v/>
      </c>
      <c r="X1353" s="1450" t="str">
        <f t="shared" si="2044"/>
        <v/>
      </c>
      <c r="Y1353" s="1450" t="str">
        <f t="shared" si="2045"/>
        <v/>
      </c>
      <c r="Z1353" s="1451" t="str">
        <f t="shared" si="2046"/>
        <v/>
      </c>
      <c r="AA1353" s="694"/>
      <c r="AB1353" s="1431">
        <f t="shared" ref="AB1353:AI1353" si="2051">AB1337</f>
        <v>2</v>
      </c>
      <c r="AC1353" s="1432">
        <f t="shared" si="2051"/>
        <v>2</v>
      </c>
      <c r="AD1353" s="1432">
        <f t="shared" si="2051"/>
        <v>2</v>
      </c>
      <c r="AE1353" s="1432">
        <f t="shared" si="2051"/>
        <v>2</v>
      </c>
      <c r="AF1353" s="1432">
        <f t="shared" si="2051"/>
        <v>2</v>
      </c>
      <c r="AG1353" s="1432">
        <f t="shared" si="2051"/>
        <v>2</v>
      </c>
      <c r="AH1353" s="1432">
        <f t="shared" si="2051"/>
        <v>2</v>
      </c>
      <c r="AI1353" s="1452">
        <f t="shared" si="2051"/>
        <v>2</v>
      </c>
      <c r="AJ1353" s="343"/>
      <c r="AK1353" s="1174" t="s">
        <v>2039</v>
      </c>
      <c r="AL1353" s="1176" t="str">
        <f>IF(AND(CNTR_ExistSubInstEntries,COUNTIFS(AB1353:AI1353,2,G1353:N1353,"")&gt;0),EUconst_Error&amp;"FB"&amp;Q1281,"")</f>
        <v/>
      </c>
      <c r="AM1353" s="343"/>
    </row>
    <row r="1354" spans="1:39" ht="12.75" hidden="1" customHeight="1" x14ac:dyDescent="0.25">
      <c r="A1354" s="729" t="s">
        <v>312</v>
      </c>
      <c r="B1354" s="698"/>
      <c r="C1354" s="2906"/>
      <c r="D1354" s="990">
        <v>3</v>
      </c>
      <c r="E1354" s="1430" t="str">
        <f t="shared" si="2032"/>
        <v/>
      </c>
      <c r="F1354" s="1448" t="str">
        <f t="shared" si="2033"/>
        <v>TJ</v>
      </c>
      <c r="G1354" s="1470" t="str">
        <f t="shared" si="2048"/>
        <v/>
      </c>
      <c r="H1354" s="1469" t="str">
        <f t="shared" si="2034"/>
        <v/>
      </c>
      <c r="I1354" s="1470" t="str">
        <f t="shared" si="2035"/>
        <v/>
      </c>
      <c r="J1354" s="1469" t="str">
        <f t="shared" si="2036"/>
        <v/>
      </c>
      <c r="K1354" s="1127" t="str">
        <f t="shared" si="2037"/>
        <v/>
      </c>
      <c r="L1354" s="1127" t="str">
        <f t="shared" si="2038"/>
        <v/>
      </c>
      <c r="M1354" s="1127" t="str">
        <f t="shared" si="2039"/>
        <v/>
      </c>
      <c r="N1354" s="1127" t="str">
        <f t="shared" si="2040"/>
        <v/>
      </c>
      <c r="O1354" s="302"/>
      <c r="P1354" s="158"/>
      <c r="Q1354" s="694"/>
      <c r="R1354" s="694"/>
      <c r="S1354" s="1449" t="str">
        <f>IF($M1247&lt;&gt;EUconst_Relevant,"",
IF($V1247&gt;($J$1840-3),
              IF(INDEX(H1301:N1301,MATCH($V1247,$T1351:$Z1351,0))=0,0,INDEX(H1354:N1354,MATCH($V1247,$T1351:$Z1351,0))/INDEX(H1301:N1301,MATCH($V1247,$T1351:$Z1351,0))),
                             IF(ISNUMBER(G1301),
                                            IF(OR(G1301=0,$S1285=FALSE),0,G1354/G1301),"")))</f>
        <v/>
      </c>
      <c r="T1354" s="1450" t="str">
        <f t="shared" ref="T1354" si="2052">IF($E1354="","",IF(IFERROR(SUM($S1354)=0,SUM(H1354)),SUM(H1354),SUM(H1301)*SUM($S1354))*IF(SUM(H1354)=0,1,SUM(H1320)/SUM(H1354)))</f>
        <v/>
      </c>
      <c r="U1354" s="1450" t="str">
        <f t="shared" si="2050"/>
        <v/>
      </c>
      <c r="V1354" s="1450" t="str">
        <f t="shared" si="2042"/>
        <v/>
      </c>
      <c r="W1354" s="1450" t="str">
        <f t="shared" si="2043"/>
        <v/>
      </c>
      <c r="X1354" s="1450" t="str">
        <f t="shared" si="2044"/>
        <v/>
      </c>
      <c r="Y1354" s="1450" t="str">
        <f t="shared" si="2045"/>
        <v/>
      </c>
      <c r="Z1354" s="1451" t="str">
        <f t="shared" si="2046"/>
        <v/>
      </c>
      <c r="AA1354" s="694"/>
      <c r="AB1354" s="1431">
        <f t="shared" ref="AB1354:AI1354" si="2053">AB1338</f>
        <v>2</v>
      </c>
      <c r="AC1354" s="1432">
        <f t="shared" si="2053"/>
        <v>2</v>
      </c>
      <c r="AD1354" s="1432">
        <f t="shared" si="2053"/>
        <v>2</v>
      </c>
      <c r="AE1354" s="1432">
        <f t="shared" si="2053"/>
        <v>2</v>
      </c>
      <c r="AF1354" s="1432">
        <f t="shared" si="2053"/>
        <v>2</v>
      </c>
      <c r="AG1354" s="1432">
        <f t="shared" si="2053"/>
        <v>2</v>
      </c>
      <c r="AH1354" s="1432">
        <f t="shared" si="2053"/>
        <v>2</v>
      </c>
      <c r="AI1354" s="1452">
        <f t="shared" si="2053"/>
        <v>2</v>
      </c>
      <c r="AJ1354" s="343"/>
      <c r="AK1354" s="1174" t="s">
        <v>2039</v>
      </c>
      <c r="AL1354" s="1176" t="str">
        <f>IF(AND(CNTR_ExistSubInstEntries,COUNTIFS(AB1354:AI1354,2,G1354:N1354,"")&gt;0),EUconst_Error&amp;"FB"&amp;Q1281,"")</f>
        <v/>
      </c>
      <c r="AM1354" s="343"/>
    </row>
    <row r="1355" spans="1:39" ht="12.75" hidden="1" customHeight="1" x14ac:dyDescent="0.25">
      <c r="A1355" s="729" t="s">
        <v>312</v>
      </c>
      <c r="B1355" s="698"/>
      <c r="C1355" s="2906"/>
      <c r="D1355" s="990">
        <v>4</v>
      </c>
      <c r="E1355" s="1430" t="str">
        <f t="shared" si="2032"/>
        <v/>
      </c>
      <c r="F1355" s="1448" t="str">
        <f t="shared" si="2033"/>
        <v>TJ</v>
      </c>
      <c r="G1355" s="1470" t="str">
        <f t="shared" si="2048"/>
        <v/>
      </c>
      <c r="H1355" s="1469" t="str">
        <f t="shared" si="2034"/>
        <v/>
      </c>
      <c r="I1355" s="1470" t="str">
        <f t="shared" si="2035"/>
        <v/>
      </c>
      <c r="J1355" s="1469" t="str">
        <f t="shared" si="2036"/>
        <v/>
      </c>
      <c r="K1355" s="1127" t="str">
        <f t="shared" si="2037"/>
        <v/>
      </c>
      <c r="L1355" s="1127" t="str">
        <f t="shared" si="2038"/>
        <v/>
      </c>
      <c r="M1355" s="1127" t="str">
        <f t="shared" si="2039"/>
        <v/>
      </c>
      <c r="N1355" s="1127" t="str">
        <f t="shared" si="2040"/>
        <v/>
      </c>
      <c r="O1355" s="302"/>
      <c r="P1355" s="158"/>
      <c r="Q1355" s="694"/>
      <c r="R1355" s="694"/>
      <c r="S1355" s="1449" t="str">
        <f>IF($M1247&lt;&gt;EUconst_Relevant,"",
IF($V1247&gt;($J$1840-3),
              IF(INDEX(H1302:N1302,MATCH($V1247,$T1351:$Z1351,0))=0,0,INDEX(H1355:N1355,MATCH($V1247,$T1351:$Z1351,0))/INDEX(H1302:N1302,MATCH($V1247,$T1351:$Z1351,0))),
                             IF(ISNUMBER(G1302),
                                            IF(OR(G1302=0,$S1286=FALSE),0,G1355/G1302),"")))</f>
        <v/>
      </c>
      <c r="T1355" s="1450" t="str">
        <f t="shared" ref="T1355" si="2054">IF($E1355="","",IF(IFERROR(SUM($S1355)=0,SUM(H1355)),SUM(H1355),SUM(H1302)*SUM($S1355))*IF(SUM(H1355)=0,1,SUM(H1321)/SUM(H1355)))</f>
        <v/>
      </c>
      <c r="U1355" s="1450" t="str">
        <f t="shared" si="2050"/>
        <v/>
      </c>
      <c r="V1355" s="1450" t="str">
        <f t="shared" si="2042"/>
        <v/>
      </c>
      <c r="W1355" s="1450" t="str">
        <f t="shared" si="2043"/>
        <v/>
      </c>
      <c r="X1355" s="1450" t="str">
        <f t="shared" si="2044"/>
        <v/>
      </c>
      <c r="Y1355" s="1450" t="str">
        <f t="shared" si="2045"/>
        <v/>
      </c>
      <c r="Z1355" s="1451" t="str">
        <f t="shared" si="2046"/>
        <v/>
      </c>
      <c r="AA1355" s="694"/>
      <c r="AB1355" s="1431">
        <f t="shared" ref="AB1355:AI1355" si="2055">AB1339</f>
        <v>2</v>
      </c>
      <c r="AC1355" s="1432">
        <f t="shared" si="2055"/>
        <v>2</v>
      </c>
      <c r="AD1355" s="1432">
        <f t="shared" si="2055"/>
        <v>2</v>
      </c>
      <c r="AE1355" s="1432">
        <f t="shared" si="2055"/>
        <v>2</v>
      </c>
      <c r="AF1355" s="1432">
        <f t="shared" si="2055"/>
        <v>2</v>
      </c>
      <c r="AG1355" s="1432">
        <f t="shared" si="2055"/>
        <v>2</v>
      </c>
      <c r="AH1355" s="1432">
        <f t="shared" si="2055"/>
        <v>2</v>
      </c>
      <c r="AI1355" s="1452">
        <f t="shared" si="2055"/>
        <v>2</v>
      </c>
      <c r="AJ1355" s="343"/>
      <c r="AK1355" s="1174" t="s">
        <v>2039</v>
      </c>
      <c r="AL1355" s="1176" t="str">
        <f>IF(AND(CNTR_ExistSubInstEntries,COUNTIFS(AB1355:AI1355,2,G1355:N1355,"")&gt;0),EUconst_Error&amp;"FB"&amp;Q1281,"")</f>
        <v/>
      </c>
      <c r="AM1355" s="343"/>
    </row>
    <row r="1356" spans="1:39" ht="12.75" hidden="1" customHeight="1" x14ac:dyDescent="0.25">
      <c r="A1356" s="729" t="s">
        <v>312</v>
      </c>
      <c r="B1356" s="698"/>
      <c r="C1356" s="2906"/>
      <c r="D1356" s="990">
        <v>5</v>
      </c>
      <c r="E1356" s="1430" t="str">
        <f t="shared" si="2032"/>
        <v/>
      </c>
      <c r="F1356" s="1448" t="str">
        <f t="shared" si="2033"/>
        <v>TJ</v>
      </c>
      <c r="G1356" s="1470" t="str">
        <f t="shared" si="2048"/>
        <v/>
      </c>
      <c r="H1356" s="1469" t="str">
        <f t="shared" si="2034"/>
        <v/>
      </c>
      <c r="I1356" s="1470" t="str">
        <f t="shared" si="2035"/>
        <v/>
      </c>
      <c r="J1356" s="1469" t="str">
        <f t="shared" si="2036"/>
        <v/>
      </c>
      <c r="K1356" s="1127" t="str">
        <f t="shared" si="2037"/>
        <v/>
      </c>
      <c r="L1356" s="1127" t="str">
        <f t="shared" si="2038"/>
        <v/>
      </c>
      <c r="M1356" s="1127" t="str">
        <f t="shared" si="2039"/>
        <v/>
      </c>
      <c r="N1356" s="1127" t="str">
        <f t="shared" si="2040"/>
        <v/>
      </c>
      <c r="O1356" s="302"/>
      <c r="P1356" s="158"/>
      <c r="Q1356" s="694"/>
      <c r="R1356" s="694"/>
      <c r="S1356" s="1449" t="str">
        <f>IF($M1247&lt;&gt;EUconst_Relevant,"",
IF($V1247&gt;($J$1840-3),
              IF(INDEX(H1303:N1303,MATCH($V1247,$T1351:$Z1351,0))=0,0,INDEX(H1356:N1356,MATCH($V1247,$T1351:$Z1351,0))/INDEX(H1303:N1303,MATCH($V1247,$T1351:$Z1351,0))),
                             IF(ISNUMBER(G1303),
                                            IF(OR(G1303=0,$S1287=FALSE),0,G1356/G1303),"")))</f>
        <v/>
      </c>
      <c r="T1356" s="1450" t="str">
        <f t="shared" ref="T1356" si="2056">IF($E1356="","",IF(IFERROR(SUM($S1356)=0,SUM(H1356)),SUM(H1356),SUM(H1303)*SUM($S1356))*IF(SUM(H1356)=0,1,SUM(H1322)/SUM(H1356)))</f>
        <v/>
      </c>
      <c r="U1356" s="1450" t="str">
        <f t="shared" si="2050"/>
        <v/>
      </c>
      <c r="V1356" s="1450" t="str">
        <f t="shared" si="2042"/>
        <v/>
      </c>
      <c r="W1356" s="1450" t="str">
        <f t="shared" si="2043"/>
        <v/>
      </c>
      <c r="X1356" s="1450" t="str">
        <f t="shared" si="2044"/>
        <v/>
      </c>
      <c r="Y1356" s="1450" t="str">
        <f t="shared" si="2045"/>
        <v/>
      </c>
      <c r="Z1356" s="1451" t="str">
        <f t="shared" si="2046"/>
        <v/>
      </c>
      <c r="AA1356" s="694"/>
      <c r="AB1356" s="1431">
        <f t="shared" ref="AB1356:AI1356" si="2057">AB1340</f>
        <v>2</v>
      </c>
      <c r="AC1356" s="1432">
        <f t="shared" si="2057"/>
        <v>2</v>
      </c>
      <c r="AD1356" s="1432">
        <f t="shared" si="2057"/>
        <v>2</v>
      </c>
      <c r="AE1356" s="1432">
        <f t="shared" si="2057"/>
        <v>2</v>
      </c>
      <c r="AF1356" s="1432">
        <f t="shared" si="2057"/>
        <v>2</v>
      </c>
      <c r="AG1356" s="1432">
        <f t="shared" si="2057"/>
        <v>2</v>
      </c>
      <c r="AH1356" s="1432">
        <f t="shared" si="2057"/>
        <v>2</v>
      </c>
      <c r="AI1356" s="1452">
        <f t="shared" si="2057"/>
        <v>2</v>
      </c>
      <c r="AJ1356" s="343"/>
      <c r="AK1356" s="1174" t="s">
        <v>2039</v>
      </c>
      <c r="AL1356" s="1176" t="str">
        <f>IF(AND(CNTR_ExistSubInstEntries,COUNTIFS(AB1356:AI1356,2,G1356:N1356,"")&gt;0),EUconst_Error&amp;"FB"&amp;Q1281,"")</f>
        <v/>
      </c>
      <c r="AM1356" s="343"/>
    </row>
    <row r="1357" spans="1:39" ht="12.75" hidden="1" customHeight="1" x14ac:dyDescent="0.25">
      <c r="A1357" s="729" t="s">
        <v>312</v>
      </c>
      <c r="B1357" s="698"/>
      <c r="C1357" s="2906"/>
      <c r="D1357" s="990">
        <v>6</v>
      </c>
      <c r="E1357" s="1430" t="str">
        <f t="shared" si="2032"/>
        <v/>
      </c>
      <c r="F1357" s="1448" t="str">
        <f t="shared" si="2033"/>
        <v>TJ</v>
      </c>
      <c r="G1357" s="1470" t="str">
        <f t="shared" si="2048"/>
        <v/>
      </c>
      <c r="H1357" s="1469" t="str">
        <f t="shared" si="2034"/>
        <v/>
      </c>
      <c r="I1357" s="1470" t="str">
        <f t="shared" si="2035"/>
        <v/>
      </c>
      <c r="J1357" s="1469" t="str">
        <f t="shared" si="2036"/>
        <v/>
      </c>
      <c r="K1357" s="1127" t="str">
        <f t="shared" si="2037"/>
        <v/>
      </c>
      <c r="L1357" s="1127" t="str">
        <f t="shared" si="2038"/>
        <v/>
      </c>
      <c r="M1357" s="1127" t="str">
        <f t="shared" si="2039"/>
        <v/>
      </c>
      <c r="N1357" s="1127" t="str">
        <f t="shared" si="2040"/>
        <v/>
      </c>
      <c r="O1357" s="302"/>
      <c r="P1357" s="158"/>
      <c r="Q1357" s="694"/>
      <c r="R1357" s="694"/>
      <c r="S1357" s="1449" t="str">
        <f>IF($M1247&lt;&gt;EUconst_Relevant,"",
IF($V1247&gt;($J$1840-3),
              IF(INDEX(H1304:N1304,MATCH($V1247,$T1351:$Z1351,0))=0,0,INDEX(H1357:N1357,MATCH($V1247,$T1351:$Z1351,0))/INDEX(H1304:N1304,MATCH($V1247,$T1351:$Z1351,0))),
                             IF(ISNUMBER(G1304),
                                            IF(OR(G1304=0,$S1288=FALSE),0,G1357/G1304),"")))</f>
        <v/>
      </c>
      <c r="T1357" s="1450" t="str">
        <f t="shared" ref="T1357" si="2058">IF($E1357="","",IF(IFERROR(SUM($S1357)=0,SUM(H1357)),SUM(H1357),SUM(H1304)*SUM($S1357))*IF(SUM(H1357)=0,1,SUM(H1323)/SUM(H1357)))</f>
        <v/>
      </c>
      <c r="U1357" s="1450" t="str">
        <f t="shared" si="2050"/>
        <v/>
      </c>
      <c r="V1357" s="1450" t="str">
        <f t="shared" si="2042"/>
        <v/>
      </c>
      <c r="W1357" s="1450" t="str">
        <f t="shared" si="2043"/>
        <v/>
      </c>
      <c r="X1357" s="1450" t="str">
        <f t="shared" si="2044"/>
        <v/>
      </c>
      <c r="Y1357" s="1450" t="str">
        <f t="shared" si="2045"/>
        <v/>
      </c>
      <c r="Z1357" s="1451" t="str">
        <f t="shared" si="2046"/>
        <v/>
      </c>
      <c r="AA1357" s="694"/>
      <c r="AB1357" s="1431">
        <f t="shared" ref="AB1357:AI1357" si="2059">AB1341</f>
        <v>2</v>
      </c>
      <c r="AC1357" s="1432">
        <f t="shared" si="2059"/>
        <v>2</v>
      </c>
      <c r="AD1357" s="1432">
        <f t="shared" si="2059"/>
        <v>2</v>
      </c>
      <c r="AE1357" s="1432">
        <f t="shared" si="2059"/>
        <v>2</v>
      </c>
      <c r="AF1357" s="1432">
        <f t="shared" si="2059"/>
        <v>2</v>
      </c>
      <c r="AG1357" s="1432">
        <f t="shared" si="2059"/>
        <v>2</v>
      </c>
      <c r="AH1357" s="1432">
        <f t="shared" si="2059"/>
        <v>2</v>
      </c>
      <c r="AI1357" s="1452">
        <f t="shared" si="2059"/>
        <v>2</v>
      </c>
      <c r="AJ1357" s="343"/>
      <c r="AK1357" s="1174" t="s">
        <v>2039</v>
      </c>
      <c r="AL1357" s="1176" t="str">
        <f>IF(AND(CNTR_ExistSubInstEntries,COUNTIFS(AB1357:AI1357,2,G1357:N1357,"")&gt;0),EUconst_Error&amp;"FB"&amp;Q1281,"")</f>
        <v/>
      </c>
      <c r="AM1357" s="343"/>
    </row>
    <row r="1358" spans="1:39" ht="12.75" hidden="1" customHeight="1" x14ac:dyDescent="0.25">
      <c r="A1358" s="729" t="s">
        <v>312</v>
      </c>
      <c r="B1358" s="698"/>
      <c r="C1358" s="2906"/>
      <c r="D1358" s="990">
        <v>7</v>
      </c>
      <c r="E1358" s="1430" t="str">
        <f t="shared" si="2032"/>
        <v/>
      </c>
      <c r="F1358" s="1448" t="str">
        <f t="shared" si="2033"/>
        <v>TJ</v>
      </c>
      <c r="G1358" s="1470" t="str">
        <f t="shared" si="2048"/>
        <v/>
      </c>
      <c r="H1358" s="1469" t="str">
        <f t="shared" si="2034"/>
        <v/>
      </c>
      <c r="I1358" s="1470" t="str">
        <f t="shared" si="2035"/>
        <v/>
      </c>
      <c r="J1358" s="1469" t="str">
        <f t="shared" si="2036"/>
        <v/>
      </c>
      <c r="K1358" s="1127" t="str">
        <f t="shared" si="2037"/>
        <v/>
      </c>
      <c r="L1358" s="1127" t="str">
        <f t="shared" si="2038"/>
        <v/>
      </c>
      <c r="M1358" s="1127" t="str">
        <f t="shared" si="2039"/>
        <v/>
      </c>
      <c r="N1358" s="1127" t="str">
        <f t="shared" si="2040"/>
        <v/>
      </c>
      <c r="O1358" s="302"/>
      <c r="P1358" s="158"/>
      <c r="Q1358" s="694"/>
      <c r="R1358" s="694"/>
      <c r="S1358" s="1449" t="str">
        <f>IF($M1247&lt;&gt;EUconst_Relevant,"",
IF($V1247&gt;($J$1840-3),
              IF(INDEX(H1305:N1305,MATCH($V1247,$T1351:$Z1351,0))=0,0,INDEX(H1358:N1358,MATCH($V1247,$T1351:$Z1351,0))/INDEX(H1305:N1305,MATCH($V1247,$T1351:$Z1351,0))),
                             IF(ISNUMBER(G1305),
                                            IF(OR(G1305=0,$S1289=FALSE),0,G1358/G1305),"")))</f>
        <v/>
      </c>
      <c r="T1358" s="1450" t="str">
        <f t="shared" ref="T1358" si="2060">IF($E1358="","",IF(IFERROR(SUM($S1358)=0,SUM(H1358)),SUM(H1358),SUM(H1305)*SUM($S1358))*IF(SUM(H1358)=0,1,SUM(H1324)/SUM(H1358)))</f>
        <v/>
      </c>
      <c r="U1358" s="1450" t="str">
        <f t="shared" si="2050"/>
        <v/>
      </c>
      <c r="V1358" s="1450" t="str">
        <f t="shared" si="2042"/>
        <v/>
      </c>
      <c r="W1358" s="1450" t="str">
        <f t="shared" si="2043"/>
        <v/>
      </c>
      <c r="X1358" s="1450" t="str">
        <f t="shared" si="2044"/>
        <v/>
      </c>
      <c r="Y1358" s="1450" t="str">
        <f t="shared" si="2045"/>
        <v/>
      </c>
      <c r="Z1358" s="1451" t="str">
        <f t="shared" si="2046"/>
        <v/>
      </c>
      <c r="AA1358" s="694"/>
      <c r="AB1358" s="1431">
        <f t="shared" ref="AB1358:AI1358" si="2061">AB1342</f>
        <v>2</v>
      </c>
      <c r="AC1358" s="1432">
        <f t="shared" si="2061"/>
        <v>2</v>
      </c>
      <c r="AD1358" s="1432">
        <f t="shared" si="2061"/>
        <v>2</v>
      </c>
      <c r="AE1358" s="1432">
        <f t="shared" si="2061"/>
        <v>2</v>
      </c>
      <c r="AF1358" s="1432">
        <f t="shared" si="2061"/>
        <v>2</v>
      </c>
      <c r="AG1358" s="1432">
        <f t="shared" si="2061"/>
        <v>2</v>
      </c>
      <c r="AH1358" s="1432">
        <f t="shared" si="2061"/>
        <v>2</v>
      </c>
      <c r="AI1358" s="1452">
        <f t="shared" si="2061"/>
        <v>2</v>
      </c>
      <c r="AJ1358" s="343"/>
      <c r="AK1358" s="1174" t="s">
        <v>2039</v>
      </c>
      <c r="AL1358" s="1176" t="str">
        <f>IF(AND(CNTR_ExistSubInstEntries,COUNTIFS(AB1358:AI1358,2,G1358:N1358,"")&gt;0),EUconst_Error&amp;"FB"&amp;Q1281,"")</f>
        <v/>
      </c>
      <c r="AM1358" s="343"/>
    </row>
    <row r="1359" spans="1:39" ht="12.75" hidden="1" customHeight="1" x14ac:dyDescent="0.25">
      <c r="A1359" s="729" t="s">
        <v>312</v>
      </c>
      <c r="B1359" s="698"/>
      <c r="C1359" s="2906"/>
      <c r="D1359" s="990">
        <v>8</v>
      </c>
      <c r="E1359" s="1430" t="str">
        <f t="shared" si="2032"/>
        <v/>
      </c>
      <c r="F1359" s="1448" t="str">
        <f t="shared" si="2033"/>
        <v>TJ</v>
      </c>
      <c r="G1359" s="1470" t="str">
        <f t="shared" si="2048"/>
        <v/>
      </c>
      <c r="H1359" s="1469" t="str">
        <f t="shared" si="2034"/>
        <v/>
      </c>
      <c r="I1359" s="1470" t="str">
        <f t="shared" si="2035"/>
        <v/>
      </c>
      <c r="J1359" s="1469" t="str">
        <f t="shared" si="2036"/>
        <v/>
      </c>
      <c r="K1359" s="1127" t="str">
        <f t="shared" si="2037"/>
        <v/>
      </c>
      <c r="L1359" s="1127" t="str">
        <f t="shared" si="2038"/>
        <v/>
      </c>
      <c r="M1359" s="1127" t="str">
        <f t="shared" si="2039"/>
        <v/>
      </c>
      <c r="N1359" s="1127" t="str">
        <f t="shared" si="2040"/>
        <v/>
      </c>
      <c r="O1359" s="302"/>
      <c r="P1359" s="158"/>
      <c r="Q1359" s="694"/>
      <c r="R1359" s="694"/>
      <c r="S1359" s="1449" t="str">
        <f>IF($M1247&lt;&gt;EUconst_Relevant,"",
IF($V1247&gt;($J$1840-3),
              IF(INDEX(H1306:N1306,MATCH($V1247,$T1351:$Z1351,0))=0,0,INDEX(H1359:N1359,MATCH($V1247,$T1351:$Z1351,0))/INDEX(H1306:N1306,MATCH($V1247,$T1351:$Z1351,0))),
                             IF(ISNUMBER(G1306),
                                            IF(OR(G1306=0,$S1290=FALSE),0,G1359/G1306),"")))</f>
        <v/>
      </c>
      <c r="T1359" s="1450" t="str">
        <f t="shared" ref="T1359" si="2062">IF($E1359="","",IF(IFERROR(SUM($S1359)=0,SUM(H1359)),SUM(H1359),SUM(H1306)*SUM($S1359))*IF(SUM(H1359)=0,1,SUM(H1325)/SUM(H1359)))</f>
        <v/>
      </c>
      <c r="U1359" s="1450" t="str">
        <f t="shared" si="2050"/>
        <v/>
      </c>
      <c r="V1359" s="1450" t="str">
        <f t="shared" si="2042"/>
        <v/>
      </c>
      <c r="W1359" s="1450" t="str">
        <f t="shared" si="2043"/>
        <v/>
      </c>
      <c r="X1359" s="1450" t="str">
        <f t="shared" si="2044"/>
        <v/>
      </c>
      <c r="Y1359" s="1450" t="str">
        <f t="shared" si="2045"/>
        <v/>
      </c>
      <c r="Z1359" s="1451" t="str">
        <f t="shared" si="2046"/>
        <v/>
      </c>
      <c r="AA1359" s="694"/>
      <c r="AB1359" s="1431">
        <f t="shared" ref="AB1359:AI1359" si="2063">AB1343</f>
        <v>2</v>
      </c>
      <c r="AC1359" s="1432">
        <f t="shared" si="2063"/>
        <v>2</v>
      </c>
      <c r="AD1359" s="1432">
        <f t="shared" si="2063"/>
        <v>2</v>
      </c>
      <c r="AE1359" s="1432">
        <f t="shared" si="2063"/>
        <v>2</v>
      </c>
      <c r="AF1359" s="1432">
        <f t="shared" si="2063"/>
        <v>2</v>
      </c>
      <c r="AG1359" s="1432">
        <f t="shared" si="2063"/>
        <v>2</v>
      </c>
      <c r="AH1359" s="1432">
        <f t="shared" si="2063"/>
        <v>2</v>
      </c>
      <c r="AI1359" s="1452">
        <f t="shared" si="2063"/>
        <v>2</v>
      </c>
      <c r="AJ1359" s="343"/>
      <c r="AK1359" s="1174" t="s">
        <v>2039</v>
      </c>
      <c r="AL1359" s="1176" t="str">
        <f>IF(AND(CNTR_ExistSubInstEntries,COUNTIFS(AB1359:AI1359,2,G1359:N1359,"")&gt;0),EUconst_Error&amp;"FB"&amp;Q1281,"")</f>
        <v/>
      </c>
      <c r="AM1359" s="343"/>
    </row>
    <row r="1360" spans="1:39" ht="12.75" hidden="1" customHeight="1" x14ac:dyDescent="0.25">
      <c r="A1360" s="729" t="s">
        <v>312</v>
      </c>
      <c r="B1360" s="698"/>
      <c r="C1360" s="2906"/>
      <c r="D1360" s="990">
        <v>9</v>
      </c>
      <c r="E1360" s="1430" t="str">
        <f t="shared" si="2032"/>
        <v/>
      </c>
      <c r="F1360" s="1448" t="str">
        <f t="shared" si="2033"/>
        <v>TJ</v>
      </c>
      <c r="G1360" s="1470" t="str">
        <f t="shared" si="2048"/>
        <v/>
      </c>
      <c r="H1360" s="1469" t="str">
        <f t="shared" si="2034"/>
        <v/>
      </c>
      <c r="I1360" s="1470" t="str">
        <f t="shared" si="2035"/>
        <v/>
      </c>
      <c r="J1360" s="1469" t="str">
        <f t="shared" si="2036"/>
        <v/>
      </c>
      <c r="K1360" s="1127" t="str">
        <f t="shared" si="2037"/>
        <v/>
      </c>
      <c r="L1360" s="1127" t="str">
        <f t="shared" si="2038"/>
        <v/>
      </c>
      <c r="M1360" s="1127" t="str">
        <f t="shared" si="2039"/>
        <v/>
      </c>
      <c r="N1360" s="1127" t="str">
        <f t="shared" si="2040"/>
        <v/>
      </c>
      <c r="O1360" s="302"/>
      <c r="P1360" s="158"/>
      <c r="Q1360" s="694"/>
      <c r="R1360" s="694"/>
      <c r="S1360" s="1449" t="str">
        <f>IF($M1247&lt;&gt;EUconst_Relevant,"",
IF($V1247&gt;($J$1840-3),
              IF(INDEX(H1307:N1307,MATCH($V1247,$T1351:$Z1351,0))=0,0,INDEX(H1360:N1360,MATCH($V1247,$T1351:$Z1351,0))/INDEX(H1307:N1307,MATCH($V1247,$T1351:$Z1351,0))),
                             IF(ISNUMBER(G1307),
                                            IF(OR(G1307=0,$S1291=FALSE),0,G1360/G1307),"")))</f>
        <v/>
      </c>
      <c r="T1360" s="1450" t="str">
        <f t="shared" ref="T1360" si="2064">IF($E1360="","",IF(IFERROR(SUM($S1360)=0,SUM(H1360)),SUM(H1360),SUM(H1307)*SUM($S1360))*IF(SUM(H1360)=0,1,SUM(H1326)/SUM(H1360)))</f>
        <v/>
      </c>
      <c r="U1360" s="1450" t="str">
        <f t="shared" si="2050"/>
        <v/>
      </c>
      <c r="V1360" s="1450" t="str">
        <f t="shared" si="2042"/>
        <v/>
      </c>
      <c r="W1360" s="1450" t="str">
        <f t="shared" si="2043"/>
        <v/>
      </c>
      <c r="X1360" s="1450" t="str">
        <f t="shared" si="2044"/>
        <v/>
      </c>
      <c r="Y1360" s="1450" t="str">
        <f t="shared" si="2045"/>
        <v/>
      </c>
      <c r="Z1360" s="1451" t="str">
        <f t="shared" si="2046"/>
        <v/>
      </c>
      <c r="AA1360" s="694"/>
      <c r="AB1360" s="1431">
        <f t="shared" ref="AB1360:AI1360" si="2065">AB1344</f>
        <v>2</v>
      </c>
      <c r="AC1360" s="1432">
        <f t="shared" si="2065"/>
        <v>2</v>
      </c>
      <c r="AD1360" s="1432">
        <f t="shared" si="2065"/>
        <v>2</v>
      </c>
      <c r="AE1360" s="1432">
        <f t="shared" si="2065"/>
        <v>2</v>
      </c>
      <c r="AF1360" s="1432">
        <f t="shared" si="2065"/>
        <v>2</v>
      </c>
      <c r="AG1360" s="1432">
        <f t="shared" si="2065"/>
        <v>2</v>
      </c>
      <c r="AH1360" s="1432">
        <f t="shared" si="2065"/>
        <v>2</v>
      </c>
      <c r="AI1360" s="1452">
        <f t="shared" si="2065"/>
        <v>2</v>
      </c>
      <c r="AJ1360" s="343"/>
      <c r="AK1360" s="1174" t="s">
        <v>2039</v>
      </c>
      <c r="AL1360" s="1176" t="str">
        <f>IF(AND(CNTR_ExistSubInstEntries,COUNTIFS(AB1360:AI1360,2,G1360:N1360,"")&gt;0),EUconst_Error&amp;"FB"&amp;Q1281,"")</f>
        <v/>
      </c>
      <c r="AM1360" s="343"/>
    </row>
    <row r="1361" spans="1:39" ht="12.75" hidden="1" customHeight="1" thickBot="1" x14ac:dyDescent="0.3">
      <c r="A1361" s="729" t="s">
        <v>312</v>
      </c>
      <c r="B1361" s="698"/>
      <c r="C1361" s="2906"/>
      <c r="D1361" s="994">
        <v>10</v>
      </c>
      <c r="E1361" s="1435" t="str">
        <f t="shared" si="2032"/>
        <v/>
      </c>
      <c r="F1361" s="1453" t="str">
        <f t="shared" si="2033"/>
        <v>TJ</v>
      </c>
      <c r="G1361" s="1471" t="str">
        <f t="shared" si="2048"/>
        <v/>
      </c>
      <c r="H1361" s="1472" t="str">
        <f t="shared" si="2034"/>
        <v/>
      </c>
      <c r="I1361" s="1471" t="str">
        <f t="shared" si="2035"/>
        <v/>
      </c>
      <c r="J1361" s="1472" t="str">
        <f t="shared" si="2036"/>
        <v/>
      </c>
      <c r="K1361" s="1128" t="str">
        <f t="shared" si="2037"/>
        <v/>
      </c>
      <c r="L1361" s="1128" t="str">
        <f t="shared" si="2038"/>
        <v/>
      </c>
      <c r="M1361" s="1128" t="str">
        <f t="shared" si="2039"/>
        <v/>
      </c>
      <c r="N1361" s="1128" t="str">
        <f t="shared" si="2040"/>
        <v/>
      </c>
      <c r="O1361" s="302"/>
      <c r="P1361" s="158"/>
      <c r="Q1361" s="694"/>
      <c r="R1361" s="694"/>
      <c r="S1361" s="1454" t="str">
        <f>IF($M1247&lt;&gt;EUconst_Relevant,"",
IF($V1247&gt;($J$1840-3),
              IF(INDEX(H1308:N1308,MATCH($V1247,$T1351:$Z1351,0))=0,0,INDEX(H1361:N1361,MATCH($V1247,$T1351:$Z1351,0))/INDEX(H1308:N1308,MATCH($V1247,$T1351:$Z1351,0))),
                             IF(ISNUMBER(G1308),
                                            IF(OR(G1308=0,$S1292=FALSE),0,G1361/G1308),"")))</f>
        <v/>
      </c>
      <c r="T1361" s="1473" t="str">
        <f t="shared" ref="T1361" si="2066">IF($E1361="","",IF(IFERROR(SUM($S1361)=0,SUM(H1361)),SUM(H1361),SUM(H1308)*SUM($S1361))*IF(SUM(H1361)=0,1,SUM(H1327)/SUM(H1361)))</f>
        <v/>
      </c>
      <c r="U1361" s="1473" t="str">
        <f t="shared" si="2050"/>
        <v/>
      </c>
      <c r="V1361" s="1473" t="str">
        <f t="shared" si="2042"/>
        <v/>
      </c>
      <c r="W1361" s="1473" t="str">
        <f t="shared" si="2043"/>
        <v/>
      </c>
      <c r="X1361" s="1473" t="str">
        <f t="shared" si="2044"/>
        <v/>
      </c>
      <c r="Y1361" s="1473" t="str">
        <f t="shared" si="2045"/>
        <v/>
      </c>
      <c r="Z1361" s="1474" t="str">
        <f t="shared" si="2046"/>
        <v/>
      </c>
      <c r="AA1361" s="694"/>
      <c r="AB1361" s="1436">
        <f t="shared" ref="AB1361:AI1361" si="2067">AB1345</f>
        <v>2</v>
      </c>
      <c r="AC1361" s="1437">
        <f t="shared" si="2067"/>
        <v>2</v>
      </c>
      <c r="AD1361" s="1437">
        <f t="shared" si="2067"/>
        <v>2</v>
      </c>
      <c r="AE1361" s="1437">
        <f t="shared" si="2067"/>
        <v>2</v>
      </c>
      <c r="AF1361" s="1437">
        <f t="shared" si="2067"/>
        <v>2</v>
      </c>
      <c r="AG1361" s="1437">
        <f t="shared" si="2067"/>
        <v>2</v>
      </c>
      <c r="AH1361" s="1437">
        <f t="shared" si="2067"/>
        <v>2</v>
      </c>
      <c r="AI1361" s="1457">
        <f t="shared" si="2067"/>
        <v>2</v>
      </c>
      <c r="AJ1361" s="343"/>
      <c r="AK1361" s="1174" t="s">
        <v>2039</v>
      </c>
      <c r="AL1361" s="1176" t="str">
        <f>IF(AND(CNTR_ExistSubInstEntries,COUNTIFS(AB1361:AI1361,2,G1361:N1361,"")&gt;0),EUconst_Error&amp;"FB"&amp;Q1281,"")</f>
        <v/>
      </c>
      <c r="AM1361" s="343"/>
    </row>
    <row r="1362" spans="1:39" ht="12.75" hidden="1" customHeight="1" thickBot="1" x14ac:dyDescent="0.3">
      <c r="A1362" s="729" t="s">
        <v>312</v>
      </c>
      <c r="B1362" s="698"/>
      <c r="C1362" s="2906"/>
      <c r="D1362" s="1293"/>
      <c r="E1362" s="1458" t="str">
        <f>Translations!$B$1338</f>
        <v>Общо потребление</v>
      </c>
      <c r="F1362" s="1453" t="str">
        <f t="shared" si="2033"/>
        <v>TJ</v>
      </c>
      <c r="G1362" s="1296" t="str">
        <f t="shared" ref="G1362:N1362" si="2068">IF(COUNT(G1352:G1361)&gt;0,SUMIF($S1283:$S1292,TRUE,G1352:G1361),"")</f>
        <v/>
      </c>
      <c r="H1362" s="1297" t="str">
        <f t="shared" si="2068"/>
        <v/>
      </c>
      <c r="I1362" s="1296" t="str">
        <f t="shared" si="2068"/>
        <v/>
      </c>
      <c r="J1362" s="1297" t="str">
        <f t="shared" si="2068"/>
        <v/>
      </c>
      <c r="K1362" s="1104" t="str">
        <f t="shared" si="2068"/>
        <v/>
      </c>
      <c r="L1362" s="1104" t="str">
        <f t="shared" si="2068"/>
        <v/>
      </c>
      <c r="M1362" s="1104" t="str">
        <f t="shared" si="2068"/>
        <v/>
      </c>
      <c r="N1362" s="1104" t="str">
        <f t="shared" si="2068"/>
        <v/>
      </c>
      <c r="O1362" s="302"/>
      <c r="P1362" s="336"/>
      <c r="Q1362" s="694"/>
      <c r="R1362" s="694"/>
      <c r="S1362" s="1174" t="s">
        <v>2147</v>
      </c>
      <c r="T1362" s="1459">
        <f>IFERROR(SUM(T1352:T1361),"")</f>
        <v>0</v>
      </c>
      <c r="U1362" s="1460">
        <f t="shared" ref="U1362:Z1362" si="2069">IFERROR(SUM(U1352:U1361),"")</f>
        <v>0</v>
      </c>
      <c r="V1362" s="1460">
        <f t="shared" si="2069"/>
        <v>0</v>
      </c>
      <c r="W1362" s="1460">
        <f t="shared" si="2069"/>
        <v>0</v>
      </c>
      <c r="X1362" s="1460">
        <f t="shared" si="2069"/>
        <v>0</v>
      </c>
      <c r="Y1362" s="1460">
        <f t="shared" si="2069"/>
        <v>0</v>
      </c>
      <c r="Z1362" s="1461">
        <f t="shared" si="2069"/>
        <v>0</v>
      </c>
      <c r="AA1362" s="694"/>
      <c r="AB1362" s="729"/>
      <c r="AC1362" s="694"/>
      <c r="AD1362" s="694"/>
      <c r="AE1362" s="343"/>
      <c r="AF1362" s="343"/>
      <c r="AG1362" s="343"/>
      <c r="AH1362" s="343"/>
      <c r="AI1362" s="343"/>
      <c r="AJ1362" s="343"/>
      <c r="AK1362" s="343"/>
      <c r="AL1362" s="343"/>
      <c r="AM1362" s="343"/>
    </row>
    <row r="1363" spans="1:39" ht="12.75" hidden="1" customHeight="1" x14ac:dyDescent="0.25">
      <c r="A1363" s="729" t="s">
        <v>312</v>
      </c>
      <c r="B1363" s="698"/>
      <c r="C1363" s="2906"/>
      <c r="D1363" s="1462"/>
      <c r="E1363" s="1463" t="str">
        <f>Translations!$B$1339</f>
        <v>Дял от a)</v>
      </c>
      <c r="F1363" s="1464" t="str">
        <f t="shared" si="2033"/>
        <v>TJ</v>
      </c>
      <c r="G1363" s="184" t="str">
        <f>IF(COUNT(I1263,G1362)=2,IF(I1263=0,1,G1362/I1263),"")</f>
        <v/>
      </c>
      <c r="H1363" s="185" t="str">
        <f t="shared" ref="H1363" si="2070">IF(COUNT(H1255,H1362)=2,IF(H1255=0,1,H1362/H1255),"")</f>
        <v/>
      </c>
      <c r="I1363" s="186" t="str">
        <f t="shared" ref="I1363" si="2071">IF(COUNT(I1255,I1362)=2,IF(I1255=0,1,I1362/I1255),"")</f>
        <v/>
      </c>
      <c r="J1363" s="185" t="str">
        <f t="shared" ref="J1363" si="2072">IF(COUNT(J1255,J1362)=2,IF(J1255=0,1,J1362/J1255),"")</f>
        <v/>
      </c>
      <c r="K1363" s="187" t="str">
        <f t="shared" ref="K1363" si="2073">IF(COUNT(K1255,K1362)=2,IF(K1255=0,1,K1362/K1255),"")</f>
        <v/>
      </c>
      <c r="L1363" s="187" t="str">
        <f t="shared" ref="L1363" si="2074">IF(COUNT(L1255,L1362)=2,IF(L1255=0,1,L1362/L1255),"")</f>
        <v/>
      </c>
      <c r="M1363" s="187" t="str">
        <f t="shared" ref="M1363" si="2075">IF(COUNT(M1255,M1362)=2,IF(M1255=0,1,M1362/M1255),"")</f>
        <v/>
      </c>
      <c r="N1363" s="187" t="str">
        <f t="shared" ref="N1363" si="2076">IF(COUNT(N1255,N1362)=2,IF(N1255=0,1,N1362/N1255),"")</f>
        <v/>
      </c>
      <c r="O1363" s="302"/>
      <c r="P1363" s="336"/>
      <c r="Q1363" s="694"/>
      <c r="R1363" s="694"/>
      <c r="S1363" s="729"/>
      <c r="T1363" s="694"/>
      <c r="U1363" s="694"/>
      <c r="V1363" s="694"/>
      <c r="W1363" s="694"/>
      <c r="X1363" s="694"/>
      <c r="Y1363" s="694"/>
      <c r="Z1363" s="694"/>
      <c r="AA1363" s="694"/>
      <c r="AB1363" s="729"/>
      <c r="AC1363" s="694"/>
      <c r="AD1363" s="694"/>
      <c r="AE1363" s="343"/>
      <c r="AF1363" s="343"/>
      <c r="AG1363" s="343"/>
      <c r="AH1363" s="343"/>
      <c r="AI1363" s="343"/>
      <c r="AJ1363" s="343"/>
      <c r="AK1363" s="343"/>
      <c r="AL1363" s="343"/>
      <c r="AM1363" s="343"/>
    </row>
    <row r="1364" spans="1:39" ht="5.15" hidden="1" customHeight="1" x14ac:dyDescent="0.25">
      <c r="A1364" s="729" t="s">
        <v>312</v>
      </c>
      <c r="B1364" s="698"/>
      <c r="C1364" s="284"/>
      <c r="D1364" s="284"/>
      <c r="E1364" s="284"/>
      <c r="F1364" s="284"/>
      <c r="G1364" s="284"/>
      <c r="H1364" s="284"/>
      <c r="I1364" s="284"/>
      <c r="J1364" s="284"/>
      <c r="K1364" s="284"/>
      <c r="L1364" s="284"/>
      <c r="M1364" s="284"/>
      <c r="N1364" s="284"/>
      <c r="O1364" s="302"/>
      <c r="P1364" s="336"/>
      <c r="Q1364" s="694"/>
      <c r="R1364" s="694"/>
      <c r="S1364" s="694"/>
      <c r="T1364" s="694"/>
      <c r="U1364" s="694"/>
      <c r="V1364" s="694"/>
      <c r="W1364" s="694"/>
      <c r="X1364" s="694"/>
      <c r="Y1364" s="694"/>
      <c r="Z1364" s="729"/>
      <c r="AA1364" s="729"/>
      <c r="AB1364" s="729"/>
      <c r="AC1364" s="694"/>
      <c r="AD1364" s="694"/>
      <c r="AE1364" s="343"/>
      <c r="AF1364" s="343"/>
      <c r="AG1364" s="343"/>
      <c r="AH1364" s="343"/>
      <c r="AI1364" s="343"/>
      <c r="AJ1364" s="343"/>
      <c r="AK1364" s="343"/>
      <c r="AL1364" s="343"/>
      <c r="AM1364" s="343"/>
    </row>
    <row r="1365" spans="1:39" ht="12.75" customHeight="1" x14ac:dyDescent="0.25">
      <c r="A1365" s="729"/>
      <c r="B1365" s="284"/>
      <c r="C1365" s="300"/>
      <c r="D1365" s="300" t="s">
        <v>1831</v>
      </c>
      <c r="E1365" s="2226" t="str">
        <f>Translations!$B$1545</f>
        <v>Очаквани равнища на дейност</v>
      </c>
      <c r="F1365" s="2249"/>
      <c r="G1365" s="2249"/>
      <c r="H1365" s="2249"/>
      <c r="I1365" s="2249"/>
      <c r="J1365" s="2249"/>
      <c r="K1365" s="2249"/>
      <c r="L1365" s="2249"/>
      <c r="M1365" s="2249"/>
      <c r="N1365" s="2249"/>
      <c r="O1365" s="302"/>
      <c r="P1365" s="336"/>
      <c r="Q1365" s="770"/>
      <c r="R1365" s="694"/>
      <c r="S1365" s="694"/>
      <c r="T1365" s="694"/>
      <c r="U1365" s="694"/>
      <c r="V1365" s="694"/>
      <c r="W1365" s="694"/>
      <c r="X1365" s="694"/>
      <c r="Y1365" s="694"/>
      <c r="Z1365" s="694"/>
      <c r="AA1365" s="694"/>
      <c r="AB1365" s="729"/>
      <c r="AC1365" s="694"/>
      <c r="AD1365" s="694"/>
      <c r="AE1365" s="343"/>
      <c r="AF1365" s="343"/>
      <c r="AG1365" s="343"/>
      <c r="AH1365" s="343"/>
      <c r="AI1365" s="343"/>
      <c r="AJ1365" s="343"/>
      <c r="AK1365" s="343"/>
      <c r="AL1365" s="343"/>
      <c r="AM1365" s="343"/>
    </row>
    <row r="1366" spans="1:39" ht="12.75" customHeight="1" x14ac:dyDescent="0.25">
      <c r="A1366" s="729"/>
      <c r="B1366" s="698"/>
      <c r="C1366" s="284"/>
      <c r="D1366" s="284"/>
      <c r="E1366" s="2358" t="str">
        <f>Translations!$B$1340</f>
        <v>Конкретното енергопотребление се определя в съответствие с раздел 6.1 от Ръководен документ 7 за стойности, отговарящи на критериите по буква б.1) по-горе.</v>
      </c>
      <c r="F1366" s="2358"/>
      <c r="G1366" s="2358"/>
      <c r="H1366" s="2358"/>
      <c r="I1366" s="2358"/>
      <c r="J1366" s="2358"/>
      <c r="K1366" s="2358"/>
      <c r="L1366" s="2358"/>
      <c r="M1366" s="2358"/>
      <c r="N1366" s="2358"/>
      <c r="O1366" s="302"/>
      <c r="P1366" s="336"/>
      <c r="Q1366" s="694"/>
      <c r="R1366" s="694"/>
      <c r="S1366" s="694"/>
      <c r="T1366" s="694"/>
      <c r="U1366" s="694"/>
      <c r="V1366" s="694"/>
      <c r="W1366" s="694"/>
      <c r="X1366" s="694"/>
      <c r="Y1366" s="694"/>
      <c r="Z1366" s="729"/>
      <c r="AA1366" s="729"/>
      <c r="AB1366" s="729"/>
      <c r="AC1366" s="694"/>
      <c r="AD1366" s="694"/>
      <c r="AE1366" s="343"/>
      <c r="AF1366" s="343"/>
      <c r="AG1366" s="343"/>
      <c r="AH1366" s="343"/>
      <c r="AI1366" s="343"/>
      <c r="AJ1366" s="343"/>
      <c r="AK1366" s="343"/>
      <c r="AL1366" s="343"/>
      <c r="AM1366" s="343"/>
    </row>
    <row r="1367" spans="1:39" ht="5.15" customHeight="1" thickBot="1" x14ac:dyDescent="0.3">
      <c r="A1367" s="729"/>
      <c r="B1367" s="698"/>
      <c r="C1367" s="698"/>
      <c r="D1367" s="698"/>
      <c r="E1367" s="698"/>
      <c r="F1367" s="698"/>
      <c r="G1367" s="698"/>
      <c r="H1367" s="698"/>
      <c r="I1367" s="1025"/>
      <c r="J1367" s="698"/>
      <c r="K1367" s="698"/>
      <c r="L1367" s="698"/>
      <c r="M1367" s="698"/>
      <c r="N1367" s="698"/>
      <c r="O1367" s="302"/>
      <c r="P1367" s="336"/>
      <c r="Q1367" s="1263"/>
      <c r="R1367" s="694"/>
      <c r="S1367" s="729"/>
      <c r="T1367" s="729"/>
      <c r="U1367" s="694"/>
      <c r="V1367" s="694"/>
      <c r="W1367" s="694"/>
      <c r="X1367" s="694"/>
      <c r="Y1367" s="694"/>
      <c r="Z1367" s="694"/>
      <c r="AA1367" s="694"/>
      <c r="AB1367" s="729"/>
      <c r="AC1367" s="694"/>
      <c r="AD1367" s="694"/>
      <c r="AE1367" s="694"/>
      <c r="AF1367" s="694"/>
      <c r="AG1367" s="694"/>
      <c r="AH1367" s="694"/>
      <c r="AI1367" s="694"/>
      <c r="AJ1367" s="694"/>
      <c r="AK1367" s="694"/>
      <c r="AL1367" s="694"/>
      <c r="AM1367" s="343"/>
    </row>
    <row r="1368" spans="1:39" ht="5.15" customHeight="1" thickBot="1" x14ac:dyDescent="0.3">
      <c r="A1368" s="729"/>
      <c r="B1368" s="698"/>
      <c r="C1368" s="698"/>
      <c r="D1368" s="1475"/>
      <c r="E1368" s="1476"/>
      <c r="F1368" s="1476"/>
      <c r="G1368" s="1476"/>
      <c r="H1368" s="1476"/>
      <c r="I1368" s="1477"/>
      <c r="J1368" s="1476"/>
      <c r="K1368" s="1476"/>
      <c r="L1368" s="1476"/>
      <c r="M1368" s="1476"/>
      <c r="N1368" s="1478"/>
      <c r="O1368" s="302"/>
      <c r="P1368" s="336"/>
      <c r="Q1368" s="1263"/>
      <c r="R1368" s="694"/>
      <c r="S1368" s="729"/>
      <c r="T1368" s="729"/>
      <c r="U1368" s="694"/>
      <c r="V1368" s="694"/>
      <c r="W1368" s="694"/>
      <c r="X1368" s="694"/>
      <c r="Y1368" s="694"/>
      <c r="Z1368" s="694"/>
      <c r="AA1368" s="694"/>
      <c r="AB1368" s="729"/>
      <c r="AC1368" s="694"/>
      <c r="AD1368" s="694"/>
      <c r="AE1368" s="694"/>
      <c r="AF1368" s="694"/>
      <c r="AG1368" s="694"/>
      <c r="AH1368" s="694"/>
      <c r="AI1368" s="694"/>
      <c r="AJ1368" s="694"/>
      <c r="AK1368" s="694"/>
      <c r="AL1368" s="694"/>
      <c r="AM1368" s="343"/>
    </row>
    <row r="1369" spans="1:39" ht="12.75" customHeight="1" x14ac:dyDescent="0.25">
      <c r="A1369" s="729"/>
      <c r="B1369" s="298"/>
      <c r="C1369" s="698"/>
      <c r="D1369" s="1217"/>
      <c r="E1369" s="1198" t="str">
        <f>Translations!$B$1546</f>
        <v>Корекции: Промени в ефективността</v>
      </c>
      <c r="F1369" s="1199"/>
      <c r="G1369" s="1199"/>
      <c r="H1369" s="1200" t="str">
        <f>EUconst_Unit</f>
        <v>Единица мярка</v>
      </c>
      <c r="I1369" s="1201" t="str">
        <f>Translations!$B$1336</f>
        <v>Стойност в НМИ</v>
      </c>
      <c r="J1369" s="1202">
        <f>J$1840</f>
        <v>2026</v>
      </c>
      <c r="K1369" s="1203">
        <f>K$1840</f>
        <v>2027</v>
      </c>
      <c r="L1369" s="1203">
        <f>L$1840</f>
        <v>2028</v>
      </c>
      <c r="M1369" s="1203">
        <f>M$1840</f>
        <v>2029</v>
      </c>
      <c r="N1369" s="1479">
        <f>N$1840</f>
        <v>2030</v>
      </c>
      <c r="O1369" s="302"/>
      <c r="P1369" s="336"/>
      <c r="Q1369" s="729"/>
      <c r="R1369" s="694"/>
      <c r="S1369" s="694"/>
      <c r="T1369" s="694"/>
      <c r="U1369" s="1205"/>
      <c r="V1369" s="1206">
        <f>J1369</f>
        <v>2026</v>
      </c>
      <c r="W1369" s="1206">
        <f>K1369</f>
        <v>2027</v>
      </c>
      <c r="X1369" s="1206">
        <f>L1369</f>
        <v>2028</v>
      </c>
      <c r="Y1369" s="1206">
        <f>M1369</f>
        <v>2029</v>
      </c>
      <c r="Z1369" s="1207">
        <f>N1369</f>
        <v>2030</v>
      </c>
      <c r="AA1369" s="694"/>
      <c r="AB1369" s="729"/>
      <c r="AC1369" s="694"/>
      <c r="AD1369" s="694"/>
      <c r="AE1369" s="694"/>
      <c r="AF1369" s="694"/>
      <c r="AG1369" s="694"/>
      <c r="AH1369" s="694"/>
      <c r="AI1369" s="694"/>
      <c r="AJ1369" s="694"/>
      <c r="AK1369" s="694"/>
      <c r="AL1369" s="694"/>
      <c r="AM1369" s="343"/>
    </row>
    <row r="1370" spans="1:39" ht="12.75" customHeight="1" x14ac:dyDescent="0.25">
      <c r="A1370" s="729"/>
      <c r="B1370" s="298"/>
      <c r="C1370" s="698"/>
      <c r="D1370" s="1208" t="s">
        <v>6</v>
      </c>
      <c r="E1370" s="2889" t="str">
        <f>Translations!$B$1547</f>
        <v>Промяна в равнището на дейност &gt; 15 %?</v>
      </c>
      <c r="F1370" s="2889"/>
      <c r="G1370" s="2889"/>
      <c r="H1370" s="2889"/>
      <c r="I1370" s="2890"/>
      <c r="J1370" s="1480" t="str">
        <f>V1264</f>
        <v/>
      </c>
      <c r="K1370" s="1481" t="str">
        <f>W1264</f>
        <v/>
      </c>
      <c r="L1370" s="1481" t="str">
        <f>X1264</f>
        <v/>
      </c>
      <c r="M1370" s="1481" t="str">
        <f>Y1264</f>
        <v/>
      </c>
      <c r="N1370" s="1482" t="str">
        <f>Z1264</f>
        <v/>
      </c>
      <c r="O1370" s="302"/>
      <c r="P1370" s="336"/>
      <c r="Q1370" s="729"/>
      <c r="R1370" s="694"/>
      <c r="S1370" s="694"/>
      <c r="T1370" s="694"/>
      <c r="U1370" s="1231"/>
      <c r="V1370" s="1483"/>
      <c r="W1370" s="1483"/>
      <c r="X1370" s="1483"/>
      <c r="Y1370" s="1483"/>
      <c r="Z1370" s="1484"/>
      <c r="AA1370" s="694"/>
      <c r="AB1370" s="729"/>
      <c r="AC1370" s="694"/>
      <c r="AD1370" s="694"/>
      <c r="AE1370" s="694"/>
      <c r="AF1370" s="694"/>
      <c r="AG1370" s="694"/>
      <c r="AH1370" s="694"/>
      <c r="AI1370" s="694"/>
      <c r="AJ1370" s="694"/>
      <c r="AK1370" s="694"/>
      <c r="AL1370" s="694"/>
      <c r="AM1370" s="343"/>
    </row>
    <row r="1371" spans="1:39" ht="12.75" customHeight="1" x14ac:dyDescent="0.25">
      <c r="A1371" s="729"/>
      <c r="B1371" s="298"/>
      <c r="C1371" s="698"/>
      <c r="D1371" s="1208" t="s">
        <v>7</v>
      </c>
      <c r="E1371" s="2889" t="str">
        <f>Translations!$B$1548</f>
        <v>Средна стойност на очакваното равнище на дейност</v>
      </c>
      <c r="F1371" s="2889"/>
      <c r="G1371" s="2889"/>
      <c r="H1371" s="1485" t="str">
        <f>G1255</f>
        <v>TJ</v>
      </c>
      <c r="I1371" s="1486" t="str">
        <f>IF(M1247&lt;&gt;EUconst_Relevant,"",I1263)</f>
        <v/>
      </c>
      <c r="J1371" s="1480" t="str">
        <f>IF(AND(V1371&gt;=3,COUNT(T1362:U1362)=2),IF(CNTR_ReportingYear&gt;J1369-1,IF(J1370,IF(COUNTA(H1318:I1327)=0,J1266,AVERAGE(T1362:U1362)),$I1374),""),"")</f>
        <v/>
      </c>
      <c r="K1371" s="1481" t="str">
        <f>IF(AND(W1371&gt;=3,COUNT(U1362:V1362)=2),IF(CNTR_ReportingYear&gt;K1369-1,IF(K1370,IF(COUNTA(I1318:J1327)=0,K1266,AVERAGE(U1362:V1362)),$I1374),""),"")</f>
        <v/>
      </c>
      <c r="L1371" s="1481" t="str">
        <f>IF(AND(X1371&gt;=3,COUNT(V1362:W1362)=2),IF(CNTR_ReportingYear&gt;L1369-1,IF(L1370,IF(COUNTA(J1318:K1327)=0,L1266,AVERAGE(V1362:W1362)),$I1374),""),"")</f>
        <v/>
      </c>
      <c r="M1371" s="1481" t="str">
        <f>IF(AND(Y1371&gt;=3,COUNT(W1362:X1362)=2),IF(CNTR_ReportingYear&gt;M1369-1,IF(M1370,IF(COUNTA(K1318:L1327)=0,M1266,AVERAGE(W1362:X1362)),$I1374),""),"")</f>
        <v/>
      </c>
      <c r="N1371" s="1482" t="str">
        <f>IF(AND(Z1371&gt;=3,COUNT(X1362:Y1362)=2),IF(CNTR_ReportingYear&gt;N1369-1,IF(N1370,IF(COUNTA(L1318:M1327)=0,N1266,AVERAGE(X1362:Y1362)),$I1374),""),"")</f>
        <v/>
      </c>
      <c r="O1371" s="302"/>
      <c r="P1371" s="336"/>
      <c r="Q1371" s="1270"/>
      <c r="R1371" s="694"/>
      <c r="S1371" s="694"/>
      <c r="T1371" s="694"/>
      <c r="U1371" s="1365" t="s">
        <v>1710</v>
      </c>
      <c r="V1371" s="834">
        <f>V1263</f>
        <v>0</v>
      </c>
      <c r="W1371" s="834">
        <f>W1263</f>
        <v>0</v>
      </c>
      <c r="X1371" s="834">
        <f>X1263</f>
        <v>0</v>
      </c>
      <c r="Y1371" s="834">
        <f>Y1263</f>
        <v>0</v>
      </c>
      <c r="Z1371" s="1403">
        <f>Z1263</f>
        <v>0</v>
      </c>
      <c r="AA1371" s="694"/>
      <c r="AB1371" s="729"/>
      <c r="AC1371" s="694"/>
      <c r="AD1371" s="694"/>
      <c r="AE1371" s="694"/>
      <c r="AF1371" s="694"/>
      <c r="AG1371" s="694"/>
      <c r="AH1371" s="694"/>
      <c r="AI1371" s="694"/>
      <c r="AJ1371" s="694"/>
      <c r="AK1371" s="694"/>
      <c r="AL1371" s="694"/>
      <c r="AM1371" s="343"/>
    </row>
    <row r="1372" spans="1:39" ht="12.75" customHeight="1" x14ac:dyDescent="0.25">
      <c r="A1372" s="729"/>
      <c r="B1372" s="298"/>
      <c r="C1372" s="698"/>
      <c r="D1372" s="1208" t="s">
        <v>8</v>
      </c>
      <c r="E1372" s="2893" t="str">
        <f>Translations!$B$1376</f>
        <v>Промяна в сравнение с HAL</v>
      </c>
      <c r="F1372" s="2894"/>
      <c r="G1372" s="2894"/>
      <c r="H1372" s="2894"/>
      <c r="I1372" s="2895"/>
      <c r="J1372" s="232" t="str">
        <f>IF(J1371="","",IF(SUM($I1374)=0,IF(J1371=0,0%,100%),J1371/$I1374-1))</f>
        <v/>
      </c>
      <c r="K1372" s="233" t="str">
        <f t="shared" ref="K1372" si="2077">IF(K1371="","",IF(SUM($I1374)=0,IF(K1371=0,0%,100%),K1371/$I1374-1))</f>
        <v/>
      </c>
      <c r="L1372" s="233" t="str">
        <f t="shared" ref="L1372" si="2078">IF(L1371="","",IF(SUM($I1374)=0,IF(L1371=0,0%,100%),L1371/$I1374-1))</f>
        <v/>
      </c>
      <c r="M1372" s="233" t="str">
        <f t="shared" ref="M1372" si="2079">IF(M1371="","",IF(SUM($I1374)=0,IF(M1371=0,0%,100%),M1371/$I1374-1))</f>
        <v/>
      </c>
      <c r="N1372" s="234" t="str">
        <f t="shared" ref="N1372" si="2080">IF(N1371="","",IF(SUM($I1374)=0,IF(N1371=0,0%,100%),N1371/$I1374-1))</f>
        <v/>
      </c>
      <c r="O1372" s="302"/>
      <c r="P1372" s="209"/>
      <c r="Q1372" s="1190" t="str">
        <f>EUconst_CNTR_EnEffPct&amp;I1247</f>
        <v>EnEffPct_Подинсталация с горивен показател (с риск от ИВЕ | в рамките на МКВЕГ)</v>
      </c>
      <c r="R1372" s="694"/>
      <c r="S1372" s="694"/>
      <c r="T1372" s="694"/>
      <c r="U1372" s="1365" t="s">
        <v>1715</v>
      </c>
      <c r="V1372" s="727" t="str">
        <f>IF(J1371="","",ABS(J1372)&gt;15%)</f>
        <v/>
      </c>
      <c r="W1372" s="727" t="str">
        <f>IF(K1371="","",ABS(K1372)&gt;15%)</f>
        <v/>
      </c>
      <c r="X1372" s="727" t="str">
        <f>IF(L1371="","",ABS(L1372)&gt;15%)</f>
        <v/>
      </c>
      <c r="Y1372" s="727" t="str">
        <f>IF(M1371="","",ABS(M1372)&gt;15%)</f>
        <v/>
      </c>
      <c r="Z1372" s="1221" t="str">
        <f>IF(N1371="","",ABS(N1372)&gt;15%)</f>
        <v/>
      </c>
      <c r="AA1372" s="694"/>
      <c r="AB1372" s="729"/>
      <c r="AC1372" s="694"/>
      <c r="AD1372" s="694"/>
      <c r="AE1372" s="694"/>
      <c r="AF1372" s="694"/>
      <c r="AG1372" s="694"/>
      <c r="AH1372" s="694"/>
      <c r="AI1372" s="694"/>
      <c r="AJ1372" s="694"/>
      <c r="AK1372" s="694"/>
      <c r="AL1372" s="694"/>
      <c r="AM1372" s="343"/>
    </row>
    <row r="1373" spans="1:39" ht="12.75" customHeight="1" x14ac:dyDescent="0.25">
      <c r="A1373" s="729"/>
      <c r="B1373" s="298"/>
      <c r="C1373" s="698"/>
      <c r="D1373" s="1208" t="s">
        <v>18</v>
      </c>
      <c r="E1373" s="2896" t="str">
        <f>Translations!$B$1322</f>
        <v>Предварителна корекция (ако са надвишени относителните прагове)</v>
      </c>
      <c r="F1373" s="2897"/>
      <c r="G1373" s="2897"/>
      <c r="H1373" s="2897"/>
      <c r="I1373" s="2898"/>
      <c r="J1373" s="235" t="str">
        <f>IF(J1371="","",IF(OR(V1264=FALSE,V1372=FALSE),0%,IF(V1373,J1372,I1373)))</f>
        <v/>
      </c>
      <c r="K1373" s="236" t="str">
        <f>IF(K1371="","",IF(OR(W1264=FALSE,W1372=FALSE),0%,IF(W1373,K1372,J1373)))</f>
        <v/>
      </c>
      <c r="L1373" s="236" t="str">
        <f>IF(L1371="","",IF(OR(X1264=FALSE,X1372=FALSE),0%,IF(X1373,L1372,K1373)))</f>
        <v/>
      </c>
      <c r="M1373" s="236" t="str">
        <f>IF(M1371="","",IF(OR(Y1264=FALSE,Y1372=FALSE),0%,IF(Y1373,M1372,L1373)))</f>
        <v/>
      </c>
      <c r="N1373" s="237" t="str">
        <f>IF(N1371="","",IF(OR(Z1264=FALSE,Z1372=FALSE),0%,IF(Z1373,N1372,M1373)))</f>
        <v/>
      </c>
      <c r="O1373" s="302"/>
      <c r="P1373" s="209"/>
      <c r="Q1373" s="729"/>
      <c r="R1373" s="694"/>
      <c r="S1373" s="694"/>
      <c r="T1373" s="694"/>
      <c r="U1373" s="1365" t="s">
        <v>1716</v>
      </c>
      <c r="V1373" s="727" t="str">
        <f>IF(J1371="","",AND(V1264,IF(SUM(I1382)&lt;0,OR(SUM(J1372)&lt;SUM(I1382)-MOD(SUM(I1382),5%),J1372&gt;=SUM(I1382)+5%-MOD(SUM(I1382),5%)),OR(SUM(J1372)&lt;=SUM(I1382)-MOD(SUM(I1382),5%),SUM(J1372)&gt;SUM(I1382)+5%-MOD(SUM(I1382),5%)))))</f>
        <v/>
      </c>
      <c r="W1373" s="727" t="str">
        <f>IF(K1371="","",AND(W1264,IF(SUM(J1382)&lt;0,OR(SUM(K1372)&lt;SUM(J1382)-MOD(SUM(J1382),5%),K1372&gt;=SUM(J1382)+5%-MOD(SUM(J1382),5%)),OR(SUM(K1372)&lt;=SUM(J1382)-MOD(SUM(J1382),5%),SUM(K1372)&gt;SUM(J1382)+5%-MOD(SUM(J1382),5%)))))</f>
        <v/>
      </c>
      <c r="X1373" s="727" t="str">
        <f>IF(L1371="","",AND(X1264,IF(SUM(K1382)&lt;0,OR(SUM(L1372)&lt;SUM(K1382)-MOD(SUM(K1382),5%),L1372&gt;=SUM(K1382)+5%-MOD(SUM(K1382),5%)),OR(SUM(L1372)&lt;=SUM(K1382)-MOD(SUM(K1382),5%),SUM(L1372)&gt;SUM(K1382)+5%-MOD(SUM(K1382),5%)))))</f>
        <v/>
      </c>
      <c r="Y1373" s="727" t="str">
        <f>IF(M1371="","",AND(Y1264,IF(SUM(L1382)&lt;0,OR(SUM(M1372)&lt;SUM(L1382)-MOD(SUM(L1382),5%),M1372&gt;=SUM(L1382)+5%-MOD(SUM(L1382),5%)),OR(SUM(M1372)&lt;=SUM(L1382)-MOD(SUM(L1382),5%),SUM(M1372)&gt;SUM(L1382)+5%-MOD(SUM(L1382),5%)))))</f>
        <v/>
      </c>
      <c r="Z1373" s="1221" t="str">
        <f>IF(N1371="","",AND(Z1264,IF(SUM(M1382)&lt;0,OR(SUM(N1372)&lt;SUM(M1382)-MOD(SUM(M1382),5%),N1372&gt;=SUM(M1382)+5%-MOD(SUM(M1382),5%)),OR(SUM(N1372)&lt;=SUM(M1382)-MOD(SUM(M1382),5%),SUM(N1372)&gt;SUM(M1382)+5%-MOD(SUM(M1382),5%)))))</f>
        <v/>
      </c>
      <c r="AA1373" s="694"/>
      <c r="AB1373" s="729"/>
      <c r="AC1373" s="694"/>
      <c r="AD1373" s="694"/>
      <c r="AE1373" s="694"/>
      <c r="AF1373" s="694"/>
      <c r="AG1373" s="694"/>
      <c r="AH1373" s="694"/>
      <c r="AI1373" s="694"/>
      <c r="AJ1373" s="694"/>
      <c r="AK1373" s="694"/>
      <c r="AL1373" s="694"/>
      <c r="AM1373" s="343"/>
    </row>
    <row r="1374" spans="1:39" ht="12.75" customHeight="1" x14ac:dyDescent="0.25">
      <c r="A1374" s="729"/>
      <c r="B1374" s="298"/>
      <c r="C1374" s="698"/>
      <c r="D1374" s="1208" t="s">
        <v>810</v>
      </c>
      <c r="E1374" s="2889" t="str">
        <f>Translations!$B$1377</f>
        <v>Предварителна стойност</v>
      </c>
      <c r="F1374" s="2889"/>
      <c r="G1374" s="2889"/>
      <c r="H1374" s="1485" t="str">
        <f>H1371</f>
        <v>TJ</v>
      </c>
      <c r="I1374" s="1487" t="str">
        <f>IF(M1247&lt;&gt;EUconst_Relevant,"",IF(AB1247=FALSE,EUconst_NA,IF(V1247&gt;($J$1840-3),INDEX(T1362:Z1362,MATCH(V1247,T1351:Z1351,0)),SUM(I1371))))</f>
        <v/>
      </c>
      <c r="J1374" s="1400" t="str">
        <f>IF($M1247&lt;&gt;EUconst_Relevant,"",IF(V1371&lt;2,SUM(J1266),IF(V1371&lt;3,SUM(I1266),IF(V1374="",I1374,V1374))))</f>
        <v/>
      </c>
      <c r="K1374" s="1401" t="str">
        <f>IF($M1247&lt;&gt;EUconst_Relevant,"",IF(W1371&lt;2,SUM(K1266),IF(W1371&lt;3,SUM(J1266),IF(W1374="",J1374,W1374))))</f>
        <v/>
      </c>
      <c r="L1374" s="1401" t="str">
        <f>IF($M1247&lt;&gt;EUconst_Relevant,"",IF(X1371&lt;2,SUM(L1266),IF(X1371&lt;3,SUM(K1266),IF(X1374="",K1374,X1374))))</f>
        <v/>
      </c>
      <c r="M1374" s="1401" t="str">
        <f>IF($M1247&lt;&gt;EUconst_Relevant,"",IF(Y1371&lt;2,SUM(M1266),IF(Y1371&lt;3,SUM(L1266),IF(Y1374="",L1374,Y1374))))</f>
        <v/>
      </c>
      <c r="N1374" s="1402" t="str">
        <f>IF($M1247&lt;&gt;EUconst_Relevant,"",IF(Z1371&lt;2,SUM(N1266),IF(Z1371&lt;3,SUM(M1266),IF(Z1374="",M1374,Z1374))))</f>
        <v/>
      </c>
      <c r="O1374" s="302"/>
      <c r="P1374" s="336"/>
      <c r="Q1374" s="1270" t="str">
        <f>EUconst_CNTR_HALprelim&amp;I1247</f>
        <v>HALprelim_Подинсталация с горивен показател (с риск от ИВЕ | в рамките на МКВЕГ)</v>
      </c>
      <c r="R1374" s="694"/>
      <c r="S1374" s="694"/>
      <c r="T1374" s="694"/>
      <c r="U1374" s="1215" t="s">
        <v>1756</v>
      </c>
      <c r="V1374" s="1227" t="str">
        <f>IF(J1371="","",IF(CNTR_ReportingYear&lt;J1369,I1373,IF($I1374=0,J1371,$I1374*(1+J1373))))</f>
        <v/>
      </c>
      <c r="W1374" s="1227" t="str">
        <f>IF(K1371="","",IF(CNTR_ReportingYear&lt;K1369,J1373,IF($I1374=0,K1371,$I1374*(1+K1373))))</f>
        <v/>
      </c>
      <c r="X1374" s="1227" t="str">
        <f>IF(L1371="","",IF(CNTR_ReportingYear&lt;L1369,K1373,IF($I1374=0,L1371,$I1374*(1+L1373))))</f>
        <v/>
      </c>
      <c r="Y1374" s="1227" t="str">
        <f>IF(M1371="","",IF(CNTR_ReportingYear&lt;M1369,L1373,IF($I1374=0,M1371,$I1374*(1+M1373))))</f>
        <v/>
      </c>
      <c r="Z1374" s="1228" t="str">
        <f>IF(N1371="","",IF(CNTR_ReportingYear&lt;N1369,M1373,IF($I1374=0,N1371,$I1374*(1+N1373))))</f>
        <v/>
      </c>
      <c r="AA1374" s="694"/>
      <c r="AB1374" s="729"/>
      <c r="AC1374" s="694"/>
      <c r="AD1374" s="694"/>
      <c r="AE1374" s="694"/>
      <c r="AF1374" s="694"/>
      <c r="AG1374" s="694"/>
      <c r="AH1374" s="694"/>
      <c r="AI1374" s="694"/>
      <c r="AJ1374" s="694"/>
      <c r="AK1374" s="694"/>
      <c r="AL1374" s="694"/>
      <c r="AM1374" s="343"/>
    </row>
    <row r="1375" spans="1:39" ht="5.15" customHeight="1" x14ac:dyDescent="0.25">
      <c r="A1375" s="729"/>
      <c r="B1375" s="298"/>
      <c r="C1375" s="698"/>
      <c r="D1375" s="1217"/>
      <c r="E1375" s="1199"/>
      <c r="F1375" s="1199"/>
      <c r="G1375" s="1199"/>
      <c r="H1375" s="1199"/>
      <c r="I1375" s="1199"/>
      <c r="J1375" s="1199"/>
      <c r="K1375" s="1199"/>
      <c r="L1375" s="1199"/>
      <c r="M1375" s="1199"/>
      <c r="N1375" s="1238"/>
      <c r="O1375" s="302"/>
      <c r="P1375" s="336"/>
      <c r="Q1375" s="729"/>
      <c r="R1375" s="694"/>
      <c r="S1375" s="694"/>
      <c r="T1375" s="694"/>
      <c r="U1375" s="1231"/>
      <c r="V1375" s="711"/>
      <c r="W1375" s="711"/>
      <c r="X1375" s="711"/>
      <c r="Y1375" s="711"/>
      <c r="Z1375" s="1488"/>
      <c r="AA1375" s="694"/>
      <c r="AB1375" s="729"/>
      <c r="AC1375" s="694"/>
      <c r="AD1375" s="694"/>
      <c r="AE1375" s="343"/>
      <c r="AF1375" s="343"/>
      <c r="AG1375" s="343"/>
      <c r="AH1375" s="343"/>
      <c r="AI1375" s="343"/>
      <c r="AJ1375" s="343"/>
      <c r="AK1375" s="343"/>
      <c r="AL1375" s="343"/>
      <c r="AM1375" s="343"/>
    </row>
    <row r="1376" spans="1:39" ht="12.75" customHeight="1" x14ac:dyDescent="0.25">
      <c r="A1376" s="729"/>
      <c r="B1376" s="298"/>
      <c r="C1376" s="698"/>
      <c r="D1376" s="1197" t="s">
        <v>1961</v>
      </c>
      <c r="E1376" s="2886" t="str">
        <f>Translations!$B$1342</f>
        <v>Корекции: Абсолютен праг</v>
      </c>
      <c r="F1376" s="2887"/>
      <c r="G1376" s="2887"/>
      <c r="H1376" s="2887"/>
      <c r="I1376" s="2887"/>
      <c r="J1376" s="2887"/>
      <c r="K1376" s="2887"/>
      <c r="L1376" s="2887"/>
      <c r="M1376" s="2887"/>
      <c r="N1376" s="2888"/>
      <c r="O1376" s="302"/>
      <c r="P1376" s="336"/>
      <c r="Q1376" s="729"/>
      <c r="R1376" s="694"/>
      <c r="S1376" s="694"/>
      <c r="T1376" s="694"/>
      <c r="U1376" s="1231"/>
      <c r="V1376" s="729"/>
      <c r="W1376" s="694"/>
      <c r="X1376" s="694"/>
      <c r="Y1376" s="694"/>
      <c r="Z1376" s="1232"/>
      <c r="AA1376" s="694"/>
      <c r="AB1376" s="729"/>
      <c r="AC1376" s="694"/>
      <c r="AD1376" s="694"/>
      <c r="AE1376" s="343"/>
      <c r="AF1376" s="343"/>
      <c r="AG1376" s="343"/>
      <c r="AH1376" s="343"/>
      <c r="AI1376" s="343"/>
      <c r="AJ1376" s="343"/>
      <c r="AK1376" s="343"/>
      <c r="AL1376" s="343"/>
      <c r="AM1376" s="343"/>
    </row>
    <row r="1377" spans="1:39" ht="12.75" customHeight="1" x14ac:dyDescent="0.25">
      <c r="A1377" s="729"/>
      <c r="B1377" s="298"/>
      <c r="C1377" s="698"/>
      <c r="D1377" s="1217"/>
      <c r="E1377" s="1233" t="str">
        <f>Translations!$B$1343</f>
        <v>Абсолютен праг</v>
      </c>
      <c r="F1377" s="1233"/>
      <c r="G1377" s="1233"/>
      <c r="H1377" s="1233"/>
      <c r="I1377" s="1233"/>
      <c r="J1377" s="1202">
        <f>J$1840</f>
        <v>2026</v>
      </c>
      <c r="K1377" s="1203">
        <f>K$1840</f>
        <v>2027</v>
      </c>
      <c r="L1377" s="1203">
        <f>L$1840</f>
        <v>2028</v>
      </c>
      <c r="M1377" s="1203">
        <f>M$1840</f>
        <v>2029</v>
      </c>
      <c r="N1377" s="1479">
        <f>N$1840</f>
        <v>2030</v>
      </c>
      <c r="O1377" s="302"/>
      <c r="P1377" s="336"/>
      <c r="Q1377" s="729"/>
      <c r="R1377" s="694"/>
      <c r="S1377" s="694"/>
      <c r="T1377" s="694"/>
      <c r="U1377" s="1231"/>
      <c r="V1377" s="213"/>
      <c r="W1377" s="214" t="s">
        <v>2101</v>
      </c>
      <c r="X1377" s="215" t="str">
        <f>IF(OR($X1247=0,$X1247=""),"",MIN(1,1-(DATE($Z1247,12,31)-$X1247)/(DATE($Z1247,12,31)-DATE($Z1247,1,1)+1)))</f>
        <v/>
      </c>
      <c r="Y1377" s="1165"/>
      <c r="Z1377" s="1235"/>
      <c r="AA1377" s="694"/>
      <c r="AB1377" s="729"/>
      <c r="AC1377" s="694"/>
      <c r="AD1377" s="694"/>
      <c r="AE1377" s="343"/>
      <c r="AF1377" s="343"/>
      <c r="AG1377" s="343"/>
      <c r="AH1377" s="343"/>
      <c r="AI1377" s="343"/>
      <c r="AJ1377" s="343"/>
      <c r="AK1377" s="343"/>
      <c r="AL1377" s="343"/>
      <c r="AM1377" s="343"/>
    </row>
    <row r="1378" spans="1:39" ht="12.75" customHeight="1" x14ac:dyDescent="0.25">
      <c r="A1378" s="729"/>
      <c r="B1378" s="298"/>
      <c r="C1378" s="698"/>
      <c r="D1378" s="1217"/>
      <c r="E1378" s="2889" t="str">
        <f>Translations!$B$1515</f>
        <v>изпълнен ли е критерият за &gt;=300 квоти за емисии?</v>
      </c>
      <c r="F1378" s="2889"/>
      <c r="G1378" s="2889"/>
      <c r="H1378" s="2889"/>
      <c r="I1378" s="2890"/>
      <c r="J1378" s="1236" t="str">
        <f>IF($M1247&lt;&gt;EUconst_Relevant,"",INDEX(K_Summary!J:J,MATCH($Q1378,K_Summary!$P:$P,0)))</f>
        <v/>
      </c>
      <c r="K1378" s="385" t="str">
        <f>IF($M1247&lt;&gt;EUconst_Relevant,"",INDEX(K_Summary!K:K,MATCH($Q1378,K_Summary!$P:$P,0)))</f>
        <v/>
      </c>
      <c r="L1378" s="385" t="str">
        <f>IF($M1247&lt;&gt;EUconst_Relevant,"",INDEX(K_Summary!L:L,MATCH($Q1378,K_Summary!$P:$P,0)))</f>
        <v/>
      </c>
      <c r="M1378" s="385" t="str">
        <f>IF($M1247&lt;&gt;EUconst_Relevant,"",INDEX(K_Summary!M:M,MATCH($Q1378,K_Summary!$P:$P,0)))</f>
        <v/>
      </c>
      <c r="N1378" s="1237" t="str">
        <f>IF($M1247&lt;&gt;EUconst_Relevant,"",INDEX(K_Summary!N:N,MATCH($Q1378,K_Summary!$P:$P,0)))</f>
        <v/>
      </c>
      <c r="O1378" s="302"/>
      <c r="P1378" s="336"/>
      <c r="Q1378" s="1190" t="str">
        <f>EUconst_CNTR_300EUA&amp;I1247</f>
        <v>EUA300_Подинсталация с горивен показател (с риск от ИВЕ | в рамките на МКВЕГ)</v>
      </c>
      <c r="R1378" s="694"/>
      <c r="S1378" s="694"/>
      <c r="T1378" s="694"/>
      <c r="U1378" s="1231"/>
      <c r="V1378" s="216">
        <f>IF(V1369=$Z1247,$X1377,1)</f>
        <v>1</v>
      </c>
      <c r="W1378" s="216">
        <f>IF(W1369=$Z1247,$X1377,1)</f>
        <v>1</v>
      </c>
      <c r="X1378" s="216">
        <f>IF(X1369=$Z1247,$X1377,1)</f>
        <v>1</v>
      </c>
      <c r="Y1378" s="216">
        <f>IF(Y1369=$Z1247,$X1377,1)</f>
        <v>1</v>
      </c>
      <c r="Z1378" s="217">
        <f>IF(Z1369=$Z1247,$X1377,1)</f>
        <v>1</v>
      </c>
      <c r="AA1378" s="694"/>
      <c r="AB1378" s="729"/>
      <c r="AC1378" s="694"/>
      <c r="AD1378" s="694"/>
      <c r="AE1378" s="343"/>
      <c r="AF1378" s="343"/>
      <c r="AG1378" s="343"/>
      <c r="AH1378" s="343"/>
      <c r="AI1378" s="343"/>
      <c r="AJ1378" s="343"/>
      <c r="AK1378" s="343"/>
      <c r="AL1378" s="343"/>
      <c r="AM1378" s="343"/>
    </row>
    <row r="1379" spans="1:39" ht="5.15" customHeight="1" x14ac:dyDescent="0.25">
      <c r="A1379" s="729"/>
      <c r="B1379" s="298"/>
      <c r="C1379" s="698"/>
      <c r="D1379" s="1217"/>
      <c r="E1379" s="1199"/>
      <c r="F1379" s="1199"/>
      <c r="G1379" s="1199"/>
      <c r="H1379" s="1199"/>
      <c r="I1379" s="1199"/>
      <c r="J1379" s="1199"/>
      <c r="K1379" s="1199"/>
      <c r="L1379" s="1199"/>
      <c r="M1379" s="1199"/>
      <c r="N1379" s="1238"/>
      <c r="O1379" s="302"/>
      <c r="P1379" s="336"/>
      <c r="Q1379" s="729"/>
      <c r="R1379" s="694"/>
      <c r="S1379" s="694"/>
      <c r="T1379" s="694"/>
      <c r="U1379" s="1231"/>
      <c r="V1379" s="694"/>
      <c r="W1379" s="694"/>
      <c r="X1379" s="694"/>
      <c r="Y1379" s="694"/>
      <c r="Z1379" s="1232"/>
      <c r="AA1379" s="729"/>
      <c r="AB1379" s="729"/>
      <c r="AC1379" s="694"/>
      <c r="AD1379" s="694"/>
      <c r="AE1379" s="343"/>
      <c r="AF1379" s="343"/>
      <c r="AG1379" s="343"/>
      <c r="AH1379" s="343"/>
      <c r="AI1379" s="343"/>
      <c r="AJ1379" s="343"/>
      <c r="AK1379" s="343"/>
      <c r="AL1379" s="343"/>
      <c r="AM1379" s="343"/>
    </row>
    <row r="1380" spans="1:39" ht="12.75" customHeight="1" x14ac:dyDescent="0.25">
      <c r="A1380" s="729"/>
      <c r="B1380" s="298"/>
      <c r="C1380" s="698"/>
      <c r="D1380" s="1197" t="s">
        <v>2220</v>
      </c>
      <c r="E1380" s="2886" t="str">
        <f>Translations!$B$1549</f>
        <v>Определяне на корекциите на очакваното равнище на дейност, включително всякакви промени в ефективността</v>
      </c>
      <c r="F1380" s="2887"/>
      <c r="G1380" s="2887"/>
      <c r="H1380" s="2887"/>
      <c r="I1380" s="2887"/>
      <c r="J1380" s="2887"/>
      <c r="K1380" s="2887"/>
      <c r="L1380" s="2887"/>
      <c r="M1380" s="2887"/>
      <c r="N1380" s="2888"/>
      <c r="O1380" s="302"/>
      <c r="P1380" s="336"/>
      <c r="Q1380" s="729"/>
      <c r="R1380" s="694"/>
      <c r="S1380" s="694"/>
      <c r="T1380" s="694"/>
      <c r="U1380" s="1231"/>
      <c r="V1380" s="694"/>
      <c r="W1380" s="694"/>
      <c r="X1380" s="694"/>
      <c r="Y1380" s="694"/>
      <c r="Z1380" s="1232"/>
      <c r="AA1380" s="729"/>
      <c r="AB1380" s="729"/>
      <c r="AC1380" s="694"/>
      <c r="AD1380" s="694"/>
      <c r="AE1380" s="343"/>
      <c r="AF1380" s="343"/>
      <c r="AG1380" s="343"/>
      <c r="AH1380" s="343"/>
      <c r="AI1380" s="343"/>
      <c r="AJ1380" s="343"/>
      <c r="AK1380" s="343"/>
      <c r="AL1380" s="343"/>
      <c r="AM1380" s="343"/>
    </row>
    <row r="1381" spans="1:39" ht="12.75" customHeight="1" thickBot="1" x14ac:dyDescent="0.3">
      <c r="A1381" s="729"/>
      <c r="B1381" s="698"/>
      <c r="C1381" s="698"/>
      <c r="D1381" s="1489"/>
      <c r="E1381" s="2891" t="str">
        <f>Translations!$B$1550</f>
        <v>Това е крайният резултат, като се вземат предвид всички промени в ефективността, ако е приложимо.</v>
      </c>
      <c r="F1381" s="2887"/>
      <c r="G1381" s="2887"/>
      <c r="H1381" s="2887"/>
      <c r="I1381" s="2887"/>
      <c r="J1381" s="2887"/>
      <c r="K1381" s="2887"/>
      <c r="L1381" s="2887"/>
      <c r="M1381" s="2887"/>
      <c r="N1381" s="2888"/>
      <c r="O1381" s="336"/>
      <c r="P1381" s="336"/>
      <c r="Q1381" s="694"/>
      <c r="R1381" s="694"/>
      <c r="S1381" s="694"/>
      <c r="T1381" s="694"/>
      <c r="U1381" s="1231"/>
      <c r="V1381" s="694"/>
      <c r="W1381" s="694"/>
      <c r="X1381" s="694"/>
      <c r="Y1381" s="694"/>
      <c r="Z1381" s="1232"/>
      <c r="AA1381" s="729"/>
      <c r="AB1381" s="729"/>
      <c r="AC1381" s="694"/>
      <c r="AD1381" s="694"/>
      <c r="AE1381" s="343"/>
      <c r="AF1381" s="343"/>
      <c r="AG1381" s="343"/>
      <c r="AH1381" s="343"/>
      <c r="AI1381" s="343"/>
      <c r="AJ1381" s="343"/>
      <c r="AK1381" s="343"/>
      <c r="AL1381" s="343"/>
      <c r="AM1381" s="343"/>
    </row>
    <row r="1382" spans="1:39" ht="12.75" customHeight="1" thickBot="1" x14ac:dyDescent="0.3">
      <c r="A1382" s="729"/>
      <c r="B1382" s="298"/>
      <c r="C1382" s="698"/>
      <c r="D1382" s="1208"/>
      <c r="E1382" s="2889" t="str">
        <f>Translations!$B$1324</f>
        <v>Действителна корекция (ако са надвишени всички прагове)</v>
      </c>
      <c r="F1382" s="2889"/>
      <c r="G1382" s="2889"/>
      <c r="H1382" s="2889"/>
      <c r="I1382" s="1490"/>
      <c r="J1382" s="1240" t="str">
        <f>IF(J1378="","",IF(J1377&gt;$Z1247,-100%,IFERROR((1+IF(OR(J1378,V1371&lt;1),J1373,IF(J1377=$Z1247,SUM(I1382),I1382)))*V1378-1,"")))</f>
        <v/>
      </c>
      <c r="K1382" s="1241" t="str">
        <f>IF(K1378="","",IF(K1377&gt;$Z1247,-100%,IFERROR((1+IF(OR(K1378,W1371&lt;1),K1373,IF(K1377=$Z1247,SUM(J1382),J1382)))*W1378-1,"")))</f>
        <v/>
      </c>
      <c r="L1382" s="1241" t="str">
        <f>IF(L1378="","",IF(L1377&gt;$Z1247,-100%,IFERROR((1+IF(OR(L1378,X1371&lt;1),L1373,IF(L1377=$Z1247,SUM(K1382),K1382)))*X1378-1,"")))</f>
        <v/>
      </c>
      <c r="M1382" s="1241" t="str">
        <f>IF(M1378="","",IF(M1377&gt;$Z1247,-100%,IFERROR((1+IF(OR(M1378,Y1371&lt;1),M1373,IF(M1377=$Z1247,SUM(L1382),L1382)))*Y1378-1,"")))</f>
        <v/>
      </c>
      <c r="N1382" s="1242" t="str">
        <f>IF(N1378="","",IF(N1377&gt;$Z1247,-100%,IFERROR((1+IF(OR(N1378,Z1371&lt;1),N1373,IF(N1377=$Z1247,SUM(M1382),M1382)))*Z1378-1,"")))</f>
        <v/>
      </c>
      <c r="O1382" s="302"/>
      <c r="P1382" s="336"/>
      <c r="Q1382" s="1190" t="str">
        <f>EUconst_CNTR_HALAdjPct &amp; I1247</f>
        <v>HALAdjPct_Подинсталация с горивен показател (с риск от ИВЕ | в рамките на МКВЕГ)</v>
      </c>
      <c r="R1382" s="694"/>
      <c r="S1382" s="694"/>
      <c r="T1382" s="694"/>
      <c r="U1382" s="1231" t="s">
        <v>1718</v>
      </c>
      <c r="V1382" s="1243">
        <f>J1377</f>
        <v>2026</v>
      </c>
      <c r="W1382" s="1243">
        <f>K1377</f>
        <v>2027</v>
      </c>
      <c r="X1382" s="1243">
        <f>L1377</f>
        <v>2028</v>
      </c>
      <c r="Y1382" s="1243">
        <f>M1377</f>
        <v>2029</v>
      </c>
      <c r="Z1382" s="1244">
        <f>N1377</f>
        <v>2030</v>
      </c>
      <c r="AA1382" s="694"/>
      <c r="AB1382" s="729"/>
      <c r="AC1382" s="694"/>
      <c r="AD1382" s="694"/>
      <c r="AE1382" s="343"/>
      <c r="AF1382" s="343"/>
      <c r="AG1382" s="343"/>
      <c r="AH1382" s="343"/>
      <c r="AI1382" s="343"/>
      <c r="AJ1382" s="343"/>
      <c r="AK1382" s="343"/>
      <c r="AL1382" s="343"/>
      <c r="AM1382" s="343"/>
    </row>
    <row r="1383" spans="1:39" ht="12.75" customHeight="1" thickBot="1" x14ac:dyDescent="0.3">
      <c r="A1383" s="729"/>
      <c r="B1383" s="298"/>
      <c r="C1383" s="698"/>
      <c r="D1383" s="1217"/>
      <c r="E1383" s="2889" t="str">
        <f>Translations!$B$1551</f>
        <v>Действително очаквано равнище на дейност</v>
      </c>
      <c r="F1383" s="2892"/>
      <c r="G1383" s="2892"/>
      <c r="H1383" s="1210" t="str">
        <f>H1263</f>
        <v>TJ</v>
      </c>
      <c r="I1383" s="1399" t="str">
        <f>I1266</f>
        <v/>
      </c>
      <c r="J1383" s="661" t="str">
        <f>IF($M1247&lt;&gt;EUconst_Relevant,"",IF(OR(J1382="",$I1383=0,$I1383=EUconst_NA),IF(OR(J1378=TRUE,J1377&lt;=$V1247),J1266,SUM(I1383)),$I1383*(1+SUM(J1382))))</f>
        <v/>
      </c>
      <c r="K1383" s="662" t="str">
        <f>IF($M1247&lt;&gt;EUconst_Relevant,"",IF(OR(K1382="",$I1383=0,$I1383=EUconst_NA),IF(OR(K1378=TRUE,K1377&lt;=$V1247),K1266,SUM(J1383)),$I1383*(1+SUM(K1382))))</f>
        <v/>
      </c>
      <c r="L1383" s="662" t="str">
        <f>IF($M1247&lt;&gt;EUconst_Relevant,"",IF(OR(L1382="",$I1383=0,$I1383=EUconst_NA),IF(OR(L1378=TRUE,L1377&lt;=$V1247),L1266,SUM(K1383)),$I1383*(1+SUM(L1382))))</f>
        <v/>
      </c>
      <c r="M1383" s="662" t="str">
        <f>IF($M1247&lt;&gt;EUconst_Relevant,"",IF(OR(M1382="",$I1383=0,$I1383=EUconst_NA),IF(OR(M1378=TRUE,M1377&lt;=$V1247),M1266,SUM(L1383)),$I1383*(1+SUM(M1382))))</f>
        <v/>
      </c>
      <c r="N1383" s="663" t="str">
        <f>IF($M1247&lt;&gt;EUconst_Relevant,"",IF(OR(N1382="",$I1383=0,$I1383=EUconst_NA),IF(OR(N1378=TRUE,N1377&lt;=$V1247),N1266,SUM(M1383)),$I1383*(1+SUM(N1382))))</f>
        <v/>
      </c>
      <c r="O1383" s="302"/>
      <c r="P1383" s="336"/>
      <c r="Q1383" s="1190" t="str">
        <f>EUconst_CNTR_HALfinal&amp;I1247</f>
        <v>HALfinal_Подинсталация с горивен показател (с риск от ИВЕ | в рамките на МКВЕГ)</v>
      </c>
      <c r="R1383" s="694"/>
      <c r="S1383" s="694"/>
      <c r="T1383" s="694"/>
      <c r="U1383" s="1491" t="b">
        <v>0</v>
      </c>
      <c r="V1383" s="1246" t="b">
        <f>IF(J1378=TRUE,V1264,U1383)</f>
        <v>0</v>
      </c>
      <c r="W1383" s="1246" t="b">
        <f>IF(K1378=TRUE,W1264,V1383)</f>
        <v>0</v>
      </c>
      <c r="X1383" s="1246" t="b">
        <f>IF(L1378=TRUE,X1264,W1383)</f>
        <v>0</v>
      </c>
      <c r="Y1383" s="1246" t="b">
        <f>IF(M1378=TRUE,Y1264,X1383)</f>
        <v>0</v>
      </c>
      <c r="Z1383" s="1247" t="b">
        <f>IF(N1378=TRUE,Z1264,Y1383)</f>
        <v>0</v>
      </c>
      <c r="AA1383" s="694"/>
      <c r="AB1383" s="694"/>
      <c r="AC1383" s="694"/>
      <c r="AD1383" s="694"/>
      <c r="AE1383" s="343"/>
      <c r="AF1383" s="343"/>
      <c r="AG1383" s="343"/>
      <c r="AH1383" s="343"/>
      <c r="AI1383" s="343"/>
      <c r="AJ1383" s="343"/>
      <c r="AK1383" s="1174" t="s">
        <v>2033</v>
      </c>
      <c r="AL1383" s="982" t="str">
        <f>IF(OR(ISERROR(J1383),ISERROR(K1383),ISERROR(L1383),ISERROR(M1383),ISERROR(N1383)),EUconst_Error&amp;"FB"&amp; Q1247,"")</f>
        <v/>
      </c>
      <c r="AM1383" s="343"/>
    </row>
    <row r="1384" spans="1:39" ht="5.15" customHeight="1" thickBot="1" x14ac:dyDescent="0.3">
      <c r="A1384" s="729"/>
      <c r="B1384" s="698"/>
      <c r="C1384" s="698"/>
      <c r="D1384" s="1273"/>
      <c r="E1384" s="1274"/>
      <c r="F1384" s="1274"/>
      <c r="G1384" s="1274"/>
      <c r="H1384" s="1274"/>
      <c r="I1384" s="1274"/>
      <c r="J1384" s="1274"/>
      <c r="K1384" s="1274"/>
      <c r="L1384" s="1274"/>
      <c r="M1384" s="1274"/>
      <c r="N1384" s="1276"/>
      <c r="O1384" s="336"/>
      <c r="P1384" s="336"/>
      <c r="Q1384" s="694"/>
      <c r="R1384" s="694"/>
      <c r="S1384" s="694"/>
      <c r="T1384" s="694"/>
      <c r="U1384" s="694"/>
      <c r="V1384" s="694"/>
      <c r="W1384" s="694"/>
      <c r="X1384" s="694"/>
      <c r="Y1384" s="694"/>
      <c r="Z1384" s="694"/>
      <c r="AA1384" s="694"/>
      <c r="AB1384" s="729"/>
      <c r="AC1384" s="694"/>
      <c r="AD1384" s="694"/>
      <c r="AE1384" s="343"/>
      <c r="AF1384" s="343"/>
      <c r="AG1384" s="343"/>
      <c r="AH1384" s="343"/>
      <c r="AI1384" s="343"/>
      <c r="AJ1384" s="343"/>
      <c r="AK1384" s="343"/>
      <c r="AL1384" s="343"/>
      <c r="AM1384" s="343"/>
    </row>
    <row r="1385" spans="1:39" ht="12.75" customHeight="1" thickBot="1" x14ac:dyDescent="0.3">
      <c r="A1385" s="729"/>
      <c r="B1385" s="698"/>
      <c r="C1385" s="698"/>
      <c r="D1385" s="698"/>
      <c r="E1385" s="698"/>
      <c r="F1385" s="698"/>
      <c r="G1385" s="698"/>
      <c r="H1385" s="698"/>
      <c r="I1385" s="698"/>
      <c r="J1385" s="698"/>
      <c r="K1385" s="698"/>
      <c r="L1385" s="698"/>
      <c r="M1385" s="698"/>
      <c r="N1385" s="698"/>
      <c r="O1385" s="336"/>
      <c r="P1385" s="336"/>
      <c r="Q1385" s="694"/>
      <c r="R1385" s="694"/>
      <c r="S1385" s="694"/>
      <c r="T1385" s="694"/>
      <c r="U1385" s="694"/>
      <c r="V1385" s="694"/>
      <c r="W1385" s="694"/>
      <c r="X1385" s="694"/>
      <c r="Y1385" s="694"/>
      <c r="Z1385" s="694"/>
      <c r="AA1385" s="694"/>
      <c r="AB1385" s="729"/>
      <c r="AC1385" s="694"/>
      <c r="AD1385" s="694"/>
      <c r="AE1385" s="343"/>
      <c r="AF1385" s="343"/>
      <c r="AG1385" s="343"/>
      <c r="AH1385" s="343"/>
      <c r="AI1385" s="343"/>
      <c r="AJ1385" s="343"/>
      <c r="AK1385" s="343"/>
      <c r="AL1385" s="343"/>
      <c r="AM1385" s="343"/>
    </row>
    <row r="1386" spans="1:39" ht="5.15" customHeight="1" x14ac:dyDescent="0.25">
      <c r="A1386" s="729"/>
      <c r="B1386" s="284"/>
      <c r="C1386" s="1492"/>
      <c r="D1386" s="1493"/>
      <c r="E1386" s="1493"/>
      <c r="F1386" s="1493"/>
      <c r="G1386" s="1493"/>
      <c r="H1386" s="1493"/>
      <c r="I1386" s="1493"/>
      <c r="J1386" s="1493"/>
      <c r="K1386" s="1493"/>
      <c r="L1386" s="1493"/>
      <c r="M1386" s="1494"/>
      <c r="N1386" s="1495"/>
      <c r="O1386" s="336"/>
      <c r="P1386" s="336"/>
      <c r="Q1386" s="770"/>
      <c r="R1386" s="694"/>
      <c r="S1386" s="770"/>
      <c r="T1386" s="770"/>
      <c r="U1386" s="694"/>
      <c r="V1386" s="694"/>
      <c r="W1386" s="694"/>
      <c r="X1386" s="694"/>
      <c r="Y1386" s="694"/>
      <c r="Z1386" s="694"/>
      <c r="AA1386" s="694"/>
      <c r="AB1386" s="694"/>
      <c r="AC1386" s="694"/>
      <c r="AD1386" s="694"/>
      <c r="AE1386" s="343"/>
      <c r="AF1386" s="343"/>
      <c r="AG1386" s="343"/>
      <c r="AH1386" s="343"/>
      <c r="AI1386" s="343"/>
      <c r="AJ1386" s="343"/>
      <c r="AK1386" s="343"/>
      <c r="AL1386" s="343"/>
      <c r="AM1386" s="343"/>
    </row>
    <row r="1387" spans="1:39" ht="15" customHeight="1" x14ac:dyDescent="0.25">
      <c r="A1387" s="729"/>
      <c r="B1387" s="698"/>
      <c r="C1387" s="1496"/>
      <c r="D1387" s="2857" t="str">
        <f>Translations!$B$502</f>
        <v>Данни, необходими за определяне на нивото на подобрение на продуктовите показатели съгласно 10а, параграф 2 от Директивата за СТЕ на ЕС</v>
      </c>
      <c r="E1387" s="2851"/>
      <c r="F1387" s="2851"/>
      <c r="G1387" s="2851"/>
      <c r="H1387" s="2851"/>
      <c r="I1387" s="2851"/>
      <c r="J1387" s="2851"/>
      <c r="K1387" s="2851"/>
      <c r="L1387" s="2851"/>
      <c r="M1387" s="2851"/>
      <c r="N1387" s="2852"/>
      <c r="O1387" s="336"/>
      <c r="P1387" s="336"/>
      <c r="Q1387" s="694"/>
      <c r="R1387" s="694"/>
      <c r="S1387" s="770"/>
      <c r="T1387" s="770"/>
      <c r="U1387" s="694"/>
      <c r="V1387" s="694"/>
      <c r="W1387" s="694"/>
      <c r="X1387" s="694"/>
      <c r="Y1387" s="694"/>
      <c r="Z1387" s="694"/>
      <c r="AA1387" s="694"/>
      <c r="AB1387" s="694"/>
      <c r="AC1387" s="694"/>
      <c r="AD1387" s="694"/>
      <c r="AE1387" s="343"/>
      <c r="AF1387" s="343"/>
      <c r="AG1387" s="343"/>
      <c r="AH1387" s="343"/>
      <c r="AI1387" s="343"/>
      <c r="AJ1387" s="343"/>
      <c r="AK1387" s="343"/>
      <c r="AL1387" s="343"/>
      <c r="AM1387" s="343"/>
    </row>
    <row r="1388" spans="1:39" ht="5.15" customHeight="1" x14ac:dyDescent="0.25">
      <c r="A1388" s="729"/>
      <c r="B1388" s="698"/>
      <c r="C1388" s="1303"/>
      <c r="D1388" s="1304"/>
      <c r="E1388" s="1304"/>
      <c r="F1388" s="1304"/>
      <c r="G1388" s="1304"/>
      <c r="H1388" s="1304"/>
      <c r="I1388" s="1304"/>
      <c r="J1388" s="1304"/>
      <c r="K1388" s="1304"/>
      <c r="L1388" s="1304"/>
      <c r="M1388" s="1304"/>
      <c r="N1388" s="1305"/>
      <c r="O1388" s="336"/>
      <c r="P1388" s="336"/>
      <c r="Q1388" s="694"/>
      <c r="R1388" s="694"/>
      <c r="S1388" s="770"/>
      <c r="T1388" s="770"/>
      <c r="U1388" s="694"/>
      <c r="V1388" s="694"/>
      <c r="W1388" s="694"/>
      <c r="X1388" s="694"/>
      <c r="Y1388" s="694"/>
      <c r="Z1388" s="694"/>
      <c r="AA1388" s="694"/>
      <c r="AB1388" s="694"/>
      <c r="AC1388" s="694"/>
      <c r="AD1388" s="694"/>
      <c r="AE1388" s="343"/>
      <c r="AF1388" s="343"/>
      <c r="AG1388" s="343"/>
      <c r="AH1388" s="343"/>
      <c r="AI1388" s="343"/>
      <c r="AJ1388" s="343"/>
      <c r="AK1388" s="343"/>
      <c r="AL1388" s="343"/>
      <c r="AM1388" s="343"/>
    </row>
    <row r="1389" spans="1:39" ht="15" customHeight="1" x14ac:dyDescent="0.25">
      <c r="A1389" s="729"/>
      <c r="B1389" s="698"/>
      <c r="C1389" s="1303"/>
      <c r="D1389" s="2841" t="str">
        <f>EUconst_FBSubinst &amp; ":"</f>
        <v>Алтернативна подинсталация („Fall-Back sub-installation“):</v>
      </c>
      <c r="E1389" s="2839"/>
      <c r="F1389" s="2839"/>
      <c r="G1389" s="2839"/>
      <c r="H1389" s="2842"/>
      <c r="I1389" s="2843" t="str">
        <f>I1247</f>
        <v>Подинсталация с горивен показател (с риск от ИВЕ | в рамките на МКВЕГ)</v>
      </c>
      <c r="J1389" s="2844"/>
      <c r="K1389" s="2844"/>
      <c r="L1389" s="2844"/>
      <c r="M1389" s="2844"/>
      <c r="N1389" s="2845"/>
      <c r="O1389" s="336"/>
      <c r="P1389" s="336"/>
      <c r="Q1389" s="694"/>
      <c r="R1389" s="694"/>
      <c r="S1389" s="770"/>
      <c r="T1389" s="770"/>
      <c r="U1389" s="694"/>
      <c r="V1389" s="694"/>
      <c r="W1389" s="694"/>
      <c r="X1389" s="694"/>
      <c r="Y1389" s="694"/>
      <c r="Z1389" s="694"/>
      <c r="AA1389" s="694"/>
      <c r="AB1389" s="694"/>
      <c r="AC1389" s="694"/>
      <c r="AD1389" s="694"/>
      <c r="AE1389" s="343"/>
      <c r="AF1389" s="343"/>
      <c r="AG1389" s="343"/>
      <c r="AH1389" s="343"/>
      <c r="AI1389" s="343"/>
      <c r="AJ1389" s="343"/>
      <c r="AK1389" s="343"/>
      <c r="AL1389" s="343"/>
      <c r="AM1389" s="343"/>
    </row>
    <row r="1390" spans="1:39" ht="5.15" customHeight="1" x14ac:dyDescent="0.25">
      <c r="A1390" s="729"/>
      <c r="B1390" s="698"/>
      <c r="C1390" s="1303"/>
      <c r="D1390" s="1304"/>
      <c r="E1390" s="1304"/>
      <c r="F1390" s="1304"/>
      <c r="G1390" s="1304"/>
      <c r="H1390" s="1304"/>
      <c r="I1390" s="1304"/>
      <c r="J1390" s="1304"/>
      <c r="K1390" s="1304"/>
      <c r="L1390" s="1304"/>
      <c r="M1390" s="1304"/>
      <c r="N1390" s="1305"/>
      <c r="O1390" s="336"/>
      <c r="P1390" s="336"/>
      <c r="Q1390" s="694"/>
      <c r="R1390" s="694"/>
      <c r="S1390" s="770"/>
      <c r="T1390" s="770"/>
      <c r="U1390" s="694"/>
      <c r="V1390" s="694"/>
      <c r="W1390" s="694"/>
      <c r="X1390" s="694"/>
      <c r="Y1390" s="694"/>
      <c r="Z1390" s="694"/>
      <c r="AA1390" s="694"/>
      <c r="AB1390" s="694"/>
      <c r="AC1390" s="694"/>
      <c r="AD1390" s="694"/>
      <c r="AE1390" s="343"/>
      <c r="AF1390" s="343"/>
      <c r="AG1390" s="343"/>
      <c r="AH1390" s="343"/>
      <c r="AI1390" s="343"/>
      <c r="AJ1390" s="343"/>
      <c r="AK1390" s="343"/>
      <c r="AL1390" s="343"/>
      <c r="AM1390" s="343"/>
    </row>
    <row r="1391" spans="1:39" ht="12.75" customHeight="1" x14ac:dyDescent="0.25">
      <c r="A1391" s="729"/>
      <c r="B1391" s="284"/>
      <c r="C1391" s="1496"/>
      <c r="D1391" s="1307" t="s">
        <v>46</v>
      </c>
      <c r="E1391" s="2850" t="str">
        <f>Translations!$B$626</f>
        <v>Емисии, които могат се зададат пряко (DirEm*) на тази подинсталация</v>
      </c>
      <c r="F1391" s="2851"/>
      <c r="G1391" s="2851"/>
      <c r="H1391" s="2851"/>
      <c r="I1391" s="2851"/>
      <c r="J1391" s="2851"/>
      <c r="K1391" s="2851"/>
      <c r="L1391" s="2851"/>
      <c r="M1391" s="2851"/>
      <c r="N1391" s="2852"/>
      <c r="O1391" s="336"/>
      <c r="P1391" s="336"/>
      <c r="Q1391" s="770"/>
      <c r="R1391" s="694"/>
      <c r="S1391" s="770"/>
      <c r="T1391" s="770"/>
      <c r="U1391" s="694"/>
      <c r="V1391" s="694"/>
      <c r="W1391" s="694"/>
      <c r="X1391" s="694"/>
      <c r="Y1391" s="694"/>
      <c r="Z1391" s="694"/>
      <c r="AA1391" s="694"/>
      <c r="AB1391" s="694"/>
      <c r="AC1391" s="694"/>
      <c r="AD1391" s="694"/>
      <c r="AE1391" s="343"/>
      <c r="AF1391" s="343"/>
      <c r="AG1391" s="343"/>
      <c r="AH1391" s="343"/>
      <c r="AI1391" s="343"/>
      <c r="AJ1391" s="343"/>
      <c r="AK1391" s="343"/>
      <c r="AL1391" s="343"/>
      <c r="AM1391" s="343"/>
    </row>
    <row r="1392" spans="1:39" ht="12.75" customHeight="1" x14ac:dyDescent="0.25">
      <c r="A1392" s="729"/>
      <c r="B1392" s="284"/>
      <c r="C1392" s="1496"/>
      <c r="D1392" s="1307"/>
      <c r="E1392" s="2927" t="str">
        <f>Translations!$B$508</f>
        <v>Посочените тук данни ще се отразят на емисиите, които могат да бъдат зададени съгласно раздел 10.1.1 от приложение VII към ПБР.</v>
      </c>
      <c r="F1392" s="2927"/>
      <c r="G1392" s="2927"/>
      <c r="H1392" s="2927"/>
      <c r="I1392" s="2927"/>
      <c r="J1392" s="2927"/>
      <c r="K1392" s="2927"/>
      <c r="L1392" s="2927"/>
      <c r="M1392" s="2927"/>
      <c r="N1392" s="2928"/>
      <c r="O1392" s="336"/>
      <c r="P1392" s="336"/>
      <c r="Q1392" s="770"/>
      <c r="R1392" s="694"/>
      <c r="S1392" s="770"/>
      <c r="T1392" s="770"/>
      <c r="U1392" s="694"/>
      <c r="V1392" s="694"/>
      <c r="W1392" s="694"/>
      <c r="X1392" s="694"/>
      <c r="Y1392" s="694"/>
      <c r="Z1392" s="694"/>
      <c r="AA1392" s="694"/>
      <c r="AB1392" s="694"/>
      <c r="AC1392" s="694"/>
      <c r="AD1392" s="694"/>
      <c r="AE1392" s="343"/>
      <c r="AF1392" s="343"/>
      <c r="AG1392" s="343"/>
      <c r="AH1392" s="343"/>
      <c r="AI1392" s="343"/>
      <c r="AJ1392" s="343"/>
      <c r="AK1392" s="343"/>
      <c r="AL1392" s="343"/>
      <c r="AM1392" s="343"/>
    </row>
    <row r="1393" spans="1:39" ht="25.5" customHeight="1" x14ac:dyDescent="0.25">
      <c r="A1393" s="729"/>
      <c r="B1393" s="284"/>
      <c r="C1393" s="1496"/>
      <c r="D1393" s="1497"/>
      <c r="E1393" s="2836" t="str">
        <f>Translations!$B$660</f>
        <v>Моля, тук въведете преките емисии, за които се извършва мониторинг в съответствие с плана за мониторинг, одобрен съгласно Регламента относно мониторинга и докладването (РМД), т.е. като се отчитат емисиите, получени по методики, основани на изчисления (като се използват пораждащите емисии потоци), по базиращи се на измервания методики (БИМ), както и по подходи без подреждане („fall-backs“).</v>
      </c>
      <c r="F1393" s="2836"/>
      <c r="G1393" s="2836"/>
      <c r="H1393" s="2836"/>
      <c r="I1393" s="2836"/>
      <c r="J1393" s="2836"/>
      <c r="K1393" s="2836"/>
      <c r="L1393" s="2836"/>
      <c r="M1393" s="2836"/>
      <c r="N1393" s="2837"/>
      <c r="O1393" s="336"/>
      <c r="P1393" s="336"/>
      <c r="Q1393" s="770"/>
      <c r="R1393" s="694"/>
      <c r="S1393" s="770"/>
      <c r="T1393" s="694"/>
      <c r="U1393" s="694"/>
      <c r="V1393" s="694"/>
      <c r="W1393" s="694"/>
      <c r="X1393" s="694"/>
      <c r="Y1393" s="694"/>
      <c r="Z1393" s="694"/>
      <c r="AA1393" s="694"/>
      <c r="AB1393" s="694"/>
      <c r="AC1393" s="694"/>
      <c r="AD1393" s="694"/>
      <c r="AE1393" s="343"/>
      <c r="AF1393" s="343"/>
      <c r="AG1393" s="343"/>
      <c r="AH1393" s="343"/>
      <c r="AI1393" s="343"/>
      <c r="AJ1393" s="343"/>
      <c r="AK1393" s="343"/>
      <c r="AL1393" s="343"/>
      <c r="AM1393" s="343"/>
    </row>
    <row r="1394" spans="1:39" ht="25.5" customHeight="1" thickBot="1" x14ac:dyDescent="0.3">
      <c r="A1394" s="729"/>
      <c r="B1394" s="284"/>
      <c r="C1394" s="1496"/>
      <c r="D1394" s="1497"/>
      <c r="E1394" s="2836" t="str">
        <f>Translations!$B$661</f>
        <v>Емисиите от горене на отпадни газове обаче не се включват тук, а в точка d).iii по-долу.</v>
      </c>
      <c r="F1394" s="2836"/>
      <c r="G1394" s="2836"/>
      <c r="H1394" s="2836"/>
      <c r="I1394" s="2836"/>
      <c r="J1394" s="2836"/>
      <c r="K1394" s="2836"/>
      <c r="L1394" s="2836"/>
      <c r="M1394" s="2836"/>
      <c r="N1394" s="2837"/>
      <c r="O1394" s="336"/>
      <c r="P1394" s="336"/>
      <c r="Q1394" s="770"/>
      <c r="R1394" s="694"/>
      <c r="S1394" s="770"/>
      <c r="T1394" s="694"/>
      <c r="U1394" s="694"/>
      <c r="V1394" s="694"/>
      <c r="W1394" s="694"/>
      <c r="X1394" s="694"/>
      <c r="Y1394" s="694"/>
      <c r="Z1394" s="694"/>
      <c r="AA1394" s="694"/>
      <c r="AB1394" s="729"/>
      <c r="AC1394" s="729"/>
      <c r="AD1394" s="729"/>
      <c r="AE1394" s="729"/>
      <c r="AF1394" s="729"/>
      <c r="AG1394" s="729"/>
      <c r="AH1394" s="729"/>
      <c r="AI1394" s="729"/>
      <c r="AJ1394" s="729"/>
      <c r="AK1394" s="729"/>
      <c r="AL1394" s="729"/>
      <c r="AM1394" s="343"/>
    </row>
    <row r="1395" spans="1:39" ht="12.75" customHeight="1" thickBot="1" x14ac:dyDescent="0.3">
      <c r="A1395" s="729"/>
      <c r="B1395" s="284"/>
      <c r="C1395" s="1496"/>
      <c r="D1395" s="1307"/>
      <c r="E1395" s="1317" t="str">
        <f>Translations!$B$486</f>
        <v>Общо преки емисии</v>
      </c>
      <c r="F1395" s="1318"/>
      <c r="G1395" s="1309" t="str">
        <f>EUconst_Unit</f>
        <v>Единица мярка</v>
      </c>
      <c r="H1395" s="629">
        <f t="shared" ref="H1395:N1395" si="2081">H$1840</f>
        <v>2024</v>
      </c>
      <c r="I1395" s="629">
        <f t="shared" si="2081"/>
        <v>2025</v>
      </c>
      <c r="J1395" s="629">
        <f t="shared" si="2081"/>
        <v>2026</v>
      </c>
      <c r="K1395" s="629">
        <f t="shared" si="2081"/>
        <v>2027</v>
      </c>
      <c r="L1395" s="629">
        <f t="shared" si="2081"/>
        <v>2028</v>
      </c>
      <c r="M1395" s="629">
        <f t="shared" si="2081"/>
        <v>2029</v>
      </c>
      <c r="N1395" s="1312">
        <f t="shared" si="2081"/>
        <v>2030</v>
      </c>
      <c r="O1395" s="336"/>
      <c r="P1395" s="336"/>
      <c r="Q1395" s="770"/>
      <c r="R1395" s="694"/>
      <c r="S1395" s="1499"/>
      <c r="T1395" s="1313">
        <f t="shared" ref="T1395" si="2082">H1395</f>
        <v>2024</v>
      </c>
      <c r="U1395" s="1313">
        <f t="shared" ref="U1395" si="2083">I1395</f>
        <v>2025</v>
      </c>
      <c r="V1395" s="1313">
        <f t="shared" ref="V1395" si="2084">J1395</f>
        <v>2026</v>
      </c>
      <c r="W1395" s="1313">
        <f t="shared" ref="W1395" si="2085">K1395</f>
        <v>2027</v>
      </c>
      <c r="X1395" s="1313">
        <f t="shared" ref="X1395" si="2086">L1395</f>
        <v>2028</v>
      </c>
      <c r="Y1395" s="1313">
        <f t="shared" ref="Y1395" si="2087">M1395</f>
        <v>2029</v>
      </c>
      <c r="Z1395" s="1314">
        <f t="shared" ref="Z1395" si="2088">N1395</f>
        <v>2030</v>
      </c>
      <c r="AA1395" s="694"/>
      <c r="AB1395" s="694"/>
      <c r="AC1395" s="1178">
        <f t="shared" ref="AC1395" si="2089">H$1840</f>
        <v>2024</v>
      </c>
      <c r="AD1395" s="1178">
        <f t="shared" ref="AD1395" si="2090">I$1840</f>
        <v>2025</v>
      </c>
      <c r="AE1395" s="1178">
        <f t="shared" ref="AE1395" si="2091">J$1840</f>
        <v>2026</v>
      </c>
      <c r="AF1395" s="1178">
        <f t="shared" ref="AF1395" si="2092">K$1840</f>
        <v>2027</v>
      </c>
      <c r="AG1395" s="1178">
        <f t="shared" ref="AG1395" si="2093">L$1840</f>
        <v>2028</v>
      </c>
      <c r="AH1395" s="1178">
        <f t="shared" ref="AH1395" si="2094">M$1840</f>
        <v>2029</v>
      </c>
      <c r="AI1395" s="1178">
        <f t="shared" ref="AI1395" si="2095">N$1840</f>
        <v>2030</v>
      </c>
      <c r="AJ1395" s="729"/>
      <c r="AK1395" s="729"/>
      <c r="AL1395" s="729"/>
      <c r="AM1395" s="343"/>
    </row>
    <row r="1396" spans="1:39" ht="12.75" customHeight="1" thickBot="1" x14ac:dyDescent="0.35">
      <c r="A1396" s="729"/>
      <c r="B1396" s="284"/>
      <c r="C1396" s="1496"/>
      <c r="D1396" s="1497"/>
      <c r="E1396" s="2814" t="str">
        <f>I1389</f>
        <v>Подинсталация с горивен показател (с риск от ИВЕ | в рамките на МКВЕГ)</v>
      </c>
      <c r="F1396" s="2258"/>
      <c r="G1396" s="642" t="str">
        <f>EUconst_tCO2epa</f>
        <v>t CO2e/година</v>
      </c>
      <c r="H1396" s="179"/>
      <c r="I1396" s="179"/>
      <c r="J1396" s="179"/>
      <c r="K1396" s="179"/>
      <c r="L1396" s="179"/>
      <c r="M1396" s="179"/>
      <c r="N1396" s="180"/>
      <c r="O1396" s="336"/>
      <c r="P1396" s="336"/>
      <c r="Q1396" s="1500" t="str">
        <f>EUconst_CNTR_Emissions &amp; I1389</f>
        <v>DirEmissions_Подинсталация с горивен показател (с риск от ИВЕ | в рамките на МКВЕГ)</v>
      </c>
      <c r="R1396" s="694"/>
      <c r="S1396" s="1501" t="str">
        <f>EUconst_CNTR_AttributedEmissions &amp; I1389</f>
        <v>AttrEmissions_Подинсталация с горивен показател (с риск от ИВЕ | в рамките на МКВЕГ)</v>
      </c>
      <c r="T1396" s="1290" t="str">
        <f>IF(T1255,SUM(H1396),"")</f>
        <v/>
      </c>
      <c r="U1396" s="1290" t="str">
        <f t="shared" ref="U1396:Z1396" si="2096">IF(U1255,SUM(I1396),"")</f>
        <v/>
      </c>
      <c r="V1396" s="1290" t="str">
        <f t="shared" si="2096"/>
        <v/>
      </c>
      <c r="W1396" s="1290" t="str">
        <f t="shared" si="2096"/>
        <v/>
      </c>
      <c r="X1396" s="1290" t="str">
        <f t="shared" si="2096"/>
        <v/>
      </c>
      <c r="Y1396" s="1290" t="str">
        <f t="shared" si="2096"/>
        <v/>
      </c>
      <c r="Z1396" s="1291" t="str">
        <f t="shared" si="2096"/>
        <v/>
      </c>
      <c r="AA1396" s="694"/>
      <c r="AB1396" s="1182" t="s">
        <v>737</v>
      </c>
      <c r="AC1396" s="1183" t="b">
        <f t="shared" ref="AC1396" si="2097">IF(CNTR_ExistSubInstEntries,OR($M1247&lt;&gt;EUconst_Relevant,AC1395&gt;=CNTR_ReportingYear,AC1395&lt;$V1247-1),FALSE)</f>
        <v>0</v>
      </c>
      <c r="AD1396" s="1184" t="b">
        <f t="shared" ref="AD1396" si="2098">IF(CNTR_ExistSubInstEntries,OR($M1247&lt;&gt;EUconst_Relevant,AD1395&gt;=CNTR_ReportingYear,AD1395&lt;$V1247-1),FALSE)</f>
        <v>0</v>
      </c>
      <c r="AE1396" s="1184" t="b">
        <f t="shared" ref="AE1396" si="2099">IF(CNTR_ExistSubInstEntries,OR($M1247&lt;&gt;EUconst_Relevant,AE1395&gt;=CNTR_ReportingYear,AE1395&lt;$V1247-1),FALSE)</f>
        <v>0</v>
      </c>
      <c r="AF1396" s="1184" t="b">
        <f t="shared" ref="AF1396" si="2100">IF(CNTR_ExistSubInstEntries,OR($M1247&lt;&gt;EUconst_Relevant,AF1395&gt;=CNTR_ReportingYear,AF1395&lt;$V1247-1),FALSE)</f>
        <v>0</v>
      </c>
      <c r="AG1396" s="1184" t="b">
        <f t="shared" ref="AG1396" si="2101">IF(CNTR_ExistSubInstEntries,OR($M1247&lt;&gt;EUconst_Relevant,AG1395&gt;=CNTR_ReportingYear,AG1395&lt;$V1247-1),FALSE)</f>
        <v>0</v>
      </c>
      <c r="AH1396" s="1184" t="b">
        <f t="shared" ref="AH1396" si="2102">IF(CNTR_ExistSubInstEntries,OR($M1247&lt;&gt;EUconst_Relevant,AH1395&gt;=CNTR_ReportingYear,AH1395&lt;$V1247-1),FALSE)</f>
        <v>0</v>
      </c>
      <c r="AI1396" s="1185" t="b">
        <f t="shared" ref="AI1396" si="2103">IF(CNTR_ExistSubInstEntries,OR($M1247&lt;&gt;EUconst_Relevant,AI1395&gt;=CNTR_ReportingYear,AI1395&lt;$V1247-1),FALSE)</f>
        <v>0</v>
      </c>
      <c r="AJ1396" s="729"/>
      <c r="AK1396" s="1174" t="s">
        <v>2039</v>
      </c>
      <c r="AL1396" s="1176" t="str">
        <f>IF(AND(CNTR_ExistSubInstEntries,COUNTIFS(AC1396:AI1396,2,H1396:N1396,"")&gt;0),EUconst_Error&amp;"FB"&amp;Q1269,"")</f>
        <v/>
      </c>
      <c r="AM1396" s="343"/>
    </row>
    <row r="1397" spans="1:39" ht="5.15" customHeight="1" x14ac:dyDescent="0.25">
      <c r="A1397" s="729"/>
      <c r="B1397" s="284"/>
      <c r="C1397" s="1496"/>
      <c r="D1397" s="1497"/>
      <c r="E1397" s="1497"/>
      <c r="F1397" s="1497"/>
      <c r="G1397" s="1497"/>
      <c r="H1397" s="1497"/>
      <c r="I1397" s="1497"/>
      <c r="J1397" s="1497"/>
      <c r="K1397" s="1497"/>
      <c r="L1397" s="1497"/>
      <c r="M1397" s="1497"/>
      <c r="N1397" s="1503"/>
      <c r="O1397" s="336"/>
      <c r="P1397" s="336"/>
      <c r="Q1397" s="770"/>
      <c r="R1397" s="694"/>
      <c r="S1397" s="770"/>
      <c r="T1397" s="694"/>
      <c r="U1397" s="694"/>
      <c r="V1397" s="694"/>
      <c r="W1397" s="694"/>
      <c r="X1397" s="694"/>
      <c r="Y1397" s="694"/>
      <c r="Z1397" s="694"/>
      <c r="AA1397" s="694"/>
      <c r="AB1397" s="729"/>
      <c r="AC1397" s="729"/>
      <c r="AD1397" s="729"/>
      <c r="AE1397" s="729"/>
      <c r="AF1397" s="729"/>
      <c r="AG1397" s="729"/>
      <c r="AH1397" s="729"/>
      <c r="AI1397" s="729"/>
      <c r="AJ1397" s="729"/>
      <c r="AK1397" s="729"/>
      <c r="AL1397" s="729"/>
      <c r="AM1397" s="343"/>
    </row>
    <row r="1398" spans="1:39" ht="12.75" customHeight="1" x14ac:dyDescent="0.25">
      <c r="A1398" s="729"/>
      <c r="B1398" s="284"/>
      <c r="C1398" s="1496"/>
      <c r="D1398" s="1307" t="s">
        <v>906</v>
      </c>
      <c r="E1398" s="2815" t="str">
        <f>Translations!$B$518</f>
        <v>Вложени горива в тази подинсталация и съответния емисионен фактор</v>
      </c>
      <c r="F1398" s="2240"/>
      <c r="G1398" s="2240"/>
      <c r="H1398" s="2240"/>
      <c r="I1398" s="2240"/>
      <c r="J1398" s="2240"/>
      <c r="K1398" s="2240"/>
      <c r="L1398" s="2240"/>
      <c r="M1398" s="2240"/>
      <c r="N1398" s="2811"/>
      <c r="O1398" s="336"/>
      <c r="P1398" s="336"/>
      <c r="Q1398" s="694"/>
      <c r="R1398" s="694"/>
      <c r="S1398" s="770"/>
      <c r="T1398" s="694"/>
      <c r="U1398" s="694"/>
      <c r="V1398" s="694"/>
      <c r="W1398" s="694"/>
      <c r="X1398" s="694"/>
      <c r="Y1398" s="694"/>
      <c r="Z1398" s="694"/>
      <c r="AA1398" s="694"/>
      <c r="AB1398" s="729"/>
      <c r="AC1398" s="729"/>
      <c r="AD1398" s="729"/>
      <c r="AE1398" s="729"/>
      <c r="AF1398" s="729"/>
      <c r="AG1398" s="729"/>
      <c r="AH1398" s="729"/>
      <c r="AI1398" s="729"/>
      <c r="AJ1398" s="729"/>
      <c r="AK1398" s="729"/>
      <c r="AL1398" s="729"/>
      <c r="AM1398" s="343"/>
    </row>
    <row r="1399" spans="1:39" ht="12.75" customHeight="1" x14ac:dyDescent="0.25">
      <c r="A1399" s="729"/>
      <c r="B1399" s="284"/>
      <c r="C1399" s="1496"/>
      <c r="D1399" s="1497"/>
      <c r="E1399" s="2810" t="str">
        <f>Translations!$B$662</f>
        <v>Стойностите за i. и ii. се генерират автоматично въз основа на данните, въведени в точки a) и c) по-горе.</v>
      </c>
      <c r="F1399" s="2240"/>
      <c r="G1399" s="2240"/>
      <c r="H1399" s="2240"/>
      <c r="I1399" s="2240"/>
      <c r="J1399" s="2240"/>
      <c r="K1399" s="2240"/>
      <c r="L1399" s="2240"/>
      <c r="M1399" s="2240"/>
      <c r="N1399" s="2811"/>
      <c r="O1399" s="336"/>
      <c r="P1399" s="336"/>
      <c r="Q1399" s="770"/>
      <c r="R1399" s="694"/>
      <c r="S1399" s="770"/>
      <c r="T1399" s="694"/>
      <c r="U1399" s="694"/>
      <c r="V1399" s="694"/>
      <c r="W1399" s="694"/>
      <c r="X1399" s="694"/>
      <c r="Y1399" s="694"/>
      <c r="Z1399" s="694"/>
      <c r="AA1399" s="694"/>
      <c r="AB1399" s="729"/>
      <c r="AC1399" s="729"/>
      <c r="AD1399" s="729"/>
      <c r="AE1399" s="729"/>
      <c r="AF1399" s="729"/>
      <c r="AG1399" s="729"/>
      <c r="AH1399" s="729"/>
      <c r="AI1399" s="729"/>
      <c r="AJ1399" s="729"/>
      <c r="AK1399" s="729"/>
      <c r="AL1399" s="729"/>
      <c r="AM1399" s="343"/>
    </row>
    <row r="1400" spans="1:39" ht="12.75" customHeight="1" x14ac:dyDescent="0.25">
      <c r="A1400" s="729"/>
      <c r="B1400" s="284"/>
      <c r="C1400" s="1496"/>
      <c r="D1400" s="1497"/>
      <c r="E1400" s="2810" t="str">
        <f>Translations!$B$663</f>
        <v>В iii. и iv. трябва да въведете съответно вложеното гориво от отпадни газове и съответния емисионен фактор.</v>
      </c>
      <c r="F1400" s="2240"/>
      <c r="G1400" s="2240"/>
      <c r="H1400" s="2240"/>
      <c r="I1400" s="2240"/>
      <c r="J1400" s="2240"/>
      <c r="K1400" s="2240"/>
      <c r="L1400" s="2240"/>
      <c r="M1400" s="2240"/>
      <c r="N1400" s="2811"/>
      <c r="O1400" s="336"/>
      <c r="P1400" s="336"/>
      <c r="Q1400" s="770"/>
      <c r="R1400" s="694"/>
      <c r="S1400" s="770"/>
      <c r="T1400" s="694"/>
      <c r="U1400" s="694"/>
      <c r="V1400" s="694"/>
      <c r="W1400" s="694"/>
      <c r="X1400" s="694"/>
      <c r="Y1400" s="694"/>
      <c r="Z1400" s="694"/>
      <c r="AA1400" s="694"/>
      <c r="AB1400" s="729"/>
      <c r="AC1400" s="729"/>
      <c r="AD1400" s="729"/>
      <c r="AE1400" s="729"/>
      <c r="AF1400" s="729"/>
      <c r="AG1400" s="729"/>
      <c r="AH1400" s="729"/>
      <c r="AI1400" s="729"/>
      <c r="AJ1400" s="729"/>
      <c r="AK1400" s="729"/>
      <c r="AL1400" s="729"/>
      <c r="AM1400" s="343"/>
    </row>
    <row r="1401" spans="1:39" ht="25.5" customHeight="1" x14ac:dyDescent="0.25">
      <c r="A1401" s="729"/>
      <c r="B1401" s="284"/>
      <c r="C1401" s="1496"/>
      <c r="D1401" s="1497"/>
      <c r="E1401" s="2810" t="str">
        <f>Translations!$B$1558</f>
        <v>В подточки iv. и vi. трябва да се въведат съответно вложената електроенергия за първичната цел за производство на топлинна енергия и съответният емисионен фактор. Емисионният фактор обаче често може да не е ясно определен или да не е известен. Поради това въвеждането на съответните данни тук не е задължително.</v>
      </c>
      <c r="F1401" s="2240"/>
      <c r="G1401" s="2240"/>
      <c r="H1401" s="2240"/>
      <c r="I1401" s="2240"/>
      <c r="J1401" s="2240"/>
      <c r="K1401" s="2240"/>
      <c r="L1401" s="2240"/>
      <c r="M1401" s="2240"/>
      <c r="N1401" s="2811"/>
      <c r="O1401" s="336"/>
      <c r="P1401" s="336"/>
      <c r="Q1401" s="770"/>
      <c r="R1401" s="694"/>
      <c r="S1401" s="770"/>
      <c r="T1401" s="694"/>
      <c r="U1401" s="694"/>
      <c r="V1401" s="694"/>
      <c r="W1401" s="694"/>
      <c r="X1401" s="694"/>
      <c r="Y1401" s="694"/>
      <c r="Z1401" s="694"/>
      <c r="AA1401" s="694"/>
      <c r="AB1401" s="729"/>
      <c r="AC1401" s="729"/>
      <c r="AD1401" s="729"/>
      <c r="AE1401" s="729"/>
      <c r="AF1401" s="729"/>
      <c r="AG1401" s="729"/>
      <c r="AH1401" s="729"/>
      <c r="AI1401" s="729"/>
      <c r="AJ1401" s="729"/>
      <c r="AK1401" s="729"/>
      <c r="AL1401" s="729"/>
      <c r="AM1401" s="343"/>
    </row>
    <row r="1402" spans="1:39" ht="12.75" customHeight="1" x14ac:dyDescent="0.25">
      <c r="A1402" s="729"/>
      <c r="B1402" s="284"/>
      <c r="C1402" s="1496"/>
      <c r="D1402" s="1307"/>
      <c r="E1402" s="1317"/>
      <c r="F1402" s="1318"/>
      <c r="G1402" s="1309" t="str">
        <f>EUconst_Unit</f>
        <v>Единица мярка</v>
      </c>
      <c r="H1402" s="629">
        <f t="shared" ref="H1402:N1402" si="2104">H$1840</f>
        <v>2024</v>
      </c>
      <c r="I1402" s="629">
        <f t="shared" si="2104"/>
        <v>2025</v>
      </c>
      <c r="J1402" s="629">
        <f t="shared" si="2104"/>
        <v>2026</v>
      </c>
      <c r="K1402" s="629">
        <f t="shared" si="2104"/>
        <v>2027</v>
      </c>
      <c r="L1402" s="629">
        <f t="shared" si="2104"/>
        <v>2028</v>
      </c>
      <c r="M1402" s="629">
        <f t="shared" si="2104"/>
        <v>2029</v>
      </c>
      <c r="N1402" s="1312">
        <f t="shared" si="2104"/>
        <v>2030</v>
      </c>
      <c r="O1402" s="336"/>
      <c r="P1402" s="336"/>
      <c r="Q1402" s="770"/>
      <c r="R1402" s="694"/>
      <c r="S1402" s="770"/>
      <c r="T1402" s="694"/>
      <c r="U1402" s="694"/>
      <c r="V1402" s="694"/>
      <c r="W1402" s="694"/>
      <c r="X1402" s="694"/>
      <c r="Y1402" s="694"/>
      <c r="Z1402" s="694"/>
      <c r="AA1402" s="694"/>
      <c r="AB1402" s="694"/>
      <c r="AC1402" s="1504">
        <f t="shared" ref="AC1402" si="2105">H$1840</f>
        <v>2024</v>
      </c>
      <c r="AD1402" s="1504">
        <f t="shared" ref="AD1402" si="2106">I$1840</f>
        <v>2025</v>
      </c>
      <c r="AE1402" s="1504">
        <f t="shared" ref="AE1402" si="2107">J$1840</f>
        <v>2026</v>
      </c>
      <c r="AF1402" s="1504">
        <f t="shared" ref="AF1402" si="2108">K$1840</f>
        <v>2027</v>
      </c>
      <c r="AG1402" s="1504">
        <f t="shared" ref="AG1402" si="2109">L$1840</f>
        <v>2028</v>
      </c>
      <c r="AH1402" s="1504">
        <f t="shared" ref="AH1402" si="2110">M$1840</f>
        <v>2029</v>
      </c>
      <c r="AI1402" s="1504">
        <f t="shared" ref="AI1402" si="2111">N$1840</f>
        <v>2030</v>
      </c>
      <c r="AJ1402" s="343"/>
      <c r="AK1402" s="343"/>
      <c r="AL1402" s="343"/>
      <c r="AM1402" s="343"/>
    </row>
    <row r="1403" spans="1:39" ht="12.75" customHeight="1" x14ac:dyDescent="0.25">
      <c r="A1403" s="729"/>
      <c r="B1403" s="284"/>
      <c r="C1403" s="1496"/>
      <c r="D1403" s="1505" t="s">
        <v>6</v>
      </c>
      <c r="E1403" s="2820" t="str">
        <f>Translations!$B$1559</f>
        <v>Вложена енергия, въведена в буква a)</v>
      </c>
      <c r="F1403" s="2258"/>
      <c r="G1403" s="1319" t="str">
        <f>EUconst_TJpa</f>
        <v>TJ / година</v>
      </c>
      <c r="H1403" s="422" t="str">
        <f>H1255</f>
        <v/>
      </c>
      <c r="I1403" s="422" t="str">
        <f t="shared" ref="I1403:N1403" si="2112">I1255</f>
        <v/>
      </c>
      <c r="J1403" s="422" t="str">
        <f t="shared" si="2112"/>
        <v/>
      </c>
      <c r="K1403" s="422" t="str">
        <f t="shared" si="2112"/>
        <v/>
      </c>
      <c r="L1403" s="422" t="str">
        <f t="shared" si="2112"/>
        <v/>
      </c>
      <c r="M1403" s="422" t="str">
        <f t="shared" si="2112"/>
        <v/>
      </c>
      <c r="N1403" s="1515" t="str">
        <f t="shared" si="2112"/>
        <v/>
      </c>
      <c r="O1403" s="336"/>
      <c r="P1403" s="336"/>
      <c r="Q1403" s="1500" t="str">
        <f>EUconst_CNTR_FuelInput &amp; I1389</f>
        <v>FuelInput_Подинсталация с горивен показател (с риск от ИВЕ | в рамките на МКВЕГ)</v>
      </c>
      <c r="R1403" s="694"/>
      <c r="S1403" s="770"/>
      <c r="T1403" s="1031">
        <f t="shared" ref="T1403" si="2113">H1402</f>
        <v>2024</v>
      </c>
      <c r="U1403" s="1031">
        <f t="shared" ref="U1403" si="2114">I1402</f>
        <v>2025</v>
      </c>
      <c r="V1403" s="1031">
        <f t="shared" ref="V1403" si="2115">J1402</f>
        <v>2026</v>
      </c>
      <c r="W1403" s="1031">
        <f t="shared" ref="W1403" si="2116">K1402</f>
        <v>2027</v>
      </c>
      <c r="X1403" s="1031">
        <f t="shared" ref="X1403" si="2117">L1402</f>
        <v>2028</v>
      </c>
      <c r="Y1403" s="1031">
        <f t="shared" ref="Y1403" si="2118">M1402</f>
        <v>2029</v>
      </c>
      <c r="Z1403" s="1031">
        <f t="shared" ref="Z1403" si="2119">N1402</f>
        <v>2030</v>
      </c>
      <c r="AA1403" s="694"/>
      <c r="AB1403" s="1182" t="s">
        <v>737</v>
      </c>
      <c r="AC1403" s="982" t="b">
        <f>AC1396</f>
        <v>0</v>
      </c>
      <c r="AD1403" s="982" t="b">
        <f t="shared" ref="AD1403:AI1403" si="2120">AD1396</f>
        <v>0</v>
      </c>
      <c r="AE1403" s="982" t="b">
        <f t="shared" si="2120"/>
        <v>0</v>
      </c>
      <c r="AF1403" s="982" t="b">
        <f t="shared" si="2120"/>
        <v>0</v>
      </c>
      <c r="AG1403" s="982" t="b">
        <f t="shared" si="2120"/>
        <v>0</v>
      </c>
      <c r="AH1403" s="982" t="b">
        <f t="shared" si="2120"/>
        <v>0</v>
      </c>
      <c r="AI1403" s="982" t="b">
        <f t="shared" si="2120"/>
        <v>0</v>
      </c>
      <c r="AJ1403" s="343"/>
      <c r="AK1403" s="1174" t="s">
        <v>2039</v>
      </c>
      <c r="AL1403" s="1176" t="str">
        <f>IF(AND(CNTR_ExistSubInstEntries,COUNTIFS(AC1403:AI1403,2,H1403:N1403,"")&gt;0),EUconst_Error&amp;"FB"&amp;Q1269,"")</f>
        <v/>
      </c>
      <c r="AM1403" s="343"/>
    </row>
    <row r="1404" spans="1:39" ht="12.75" customHeight="1" x14ac:dyDescent="0.25">
      <c r="A1404" s="729"/>
      <c r="B1404" s="284"/>
      <c r="C1404" s="1496"/>
      <c r="D1404" s="1505" t="s">
        <v>7</v>
      </c>
      <c r="E1404" s="2820" t="str">
        <f>Translations!$B$664</f>
        <v>Претеглен емисионен фактор (=c./d.)</v>
      </c>
      <c r="F1404" s="2258"/>
      <c r="G1404" s="1320" t="str">
        <f>EUconst_tCO2pTJ</f>
        <v>t CO2 / TJ</v>
      </c>
      <c r="H1404" s="422" t="str">
        <f t="shared" ref="H1404:N1404" si="2121">IF(COUNT(H1396,H1403)=2,H1396/H1403,"")</f>
        <v/>
      </c>
      <c r="I1404" s="422" t="str">
        <f t="shared" si="2121"/>
        <v/>
      </c>
      <c r="J1404" s="422" t="str">
        <f t="shared" si="2121"/>
        <v/>
      </c>
      <c r="K1404" s="422" t="str">
        <f t="shared" si="2121"/>
        <v/>
      </c>
      <c r="L1404" s="422" t="str">
        <f t="shared" si="2121"/>
        <v/>
      </c>
      <c r="M1404" s="422" t="str">
        <f t="shared" si="2121"/>
        <v/>
      </c>
      <c r="N1404" s="1515" t="str">
        <f t="shared" si="2121"/>
        <v/>
      </c>
      <c r="O1404" s="336"/>
      <c r="P1404" s="336"/>
      <c r="Q1404" s="1500" t="str">
        <f>EUconst_CNTR_FuelEF &amp;I1389</f>
        <v>FuelEF_Подинсталация с горивен показател (с риск от ИВЕ | в рамките на МКВЕГ)</v>
      </c>
      <c r="R1404" s="694"/>
      <c r="S1404" s="1509" t="str">
        <f>EUconst_ERR_AttrEmBMapplied &amp; I1389</f>
        <v>ERR_AttrEmBM_Подинсталация с горивен показател (с риск от ИВЕ | в рамките на МКВЕГ)</v>
      </c>
      <c r="T1404" s="982">
        <f t="shared" ref="T1404" si="2122">IF(AND(OR(H1406&lt;&gt;0,AND(H1412&lt;&gt;0,H1413="")),EUconst_StatusOfDataCollection=FALSE),1,0)</f>
        <v>0</v>
      </c>
      <c r="U1404" s="982">
        <f t="shared" ref="U1404" si="2123">IF(AND(OR(I1406&lt;&gt;0,AND(I1412&lt;&gt;0,I1413="")),EUconst_StatusOfDataCollection=FALSE),1,0)</f>
        <v>0</v>
      </c>
      <c r="V1404" s="982">
        <f t="shared" ref="V1404" si="2124">IF(AND(OR(J1406&lt;&gt;0,AND(J1412&lt;&gt;0,J1413="")),EUconst_StatusOfDataCollection=FALSE),1,0)</f>
        <v>0</v>
      </c>
      <c r="W1404" s="982">
        <f t="shared" ref="W1404" si="2125">IF(AND(OR(K1406&lt;&gt;0,AND(K1412&lt;&gt;0,K1413="")),EUconst_StatusOfDataCollection=FALSE),1,0)</f>
        <v>0</v>
      </c>
      <c r="X1404" s="982">
        <f t="shared" ref="X1404" si="2126">IF(AND(OR(L1406&lt;&gt;0,AND(L1412&lt;&gt;0,L1413="")),EUconst_StatusOfDataCollection=FALSE),1,0)</f>
        <v>0</v>
      </c>
      <c r="Y1404" s="982">
        <f t="shared" ref="Y1404" si="2127">IF(AND(OR(M1406&lt;&gt;0,AND(M1412&lt;&gt;0,M1413="")),EUconst_StatusOfDataCollection=FALSE),1,0)</f>
        <v>0</v>
      </c>
      <c r="Z1404" s="982">
        <f t="shared" ref="Z1404" si="2128">IF(AND(OR(N1406&lt;&gt;0,AND(N1412&lt;&gt;0,N1413="")),EUconst_StatusOfDataCollection=FALSE),1,0)</f>
        <v>0</v>
      </c>
      <c r="AA1404" s="694"/>
      <c r="AB1404" s="729"/>
      <c r="AC1404" s="982" t="b">
        <f>AC1403</f>
        <v>0</v>
      </c>
      <c r="AD1404" s="982" t="b">
        <f t="shared" ref="AD1404:AI1404" si="2129">AD1403</f>
        <v>0</v>
      </c>
      <c r="AE1404" s="982" t="b">
        <f t="shared" si="2129"/>
        <v>0</v>
      </c>
      <c r="AF1404" s="982" t="b">
        <f t="shared" si="2129"/>
        <v>0</v>
      </c>
      <c r="AG1404" s="982" t="b">
        <f t="shared" si="2129"/>
        <v>0</v>
      </c>
      <c r="AH1404" s="982" t="b">
        <f t="shared" si="2129"/>
        <v>0</v>
      </c>
      <c r="AI1404" s="982" t="b">
        <f t="shared" si="2129"/>
        <v>0</v>
      </c>
      <c r="AJ1404" s="343"/>
      <c r="AK1404" s="1174" t="s">
        <v>2039</v>
      </c>
      <c r="AL1404" s="1176" t="str">
        <f>IF(AND(CNTR_ExistSubInstEntries,COUNTIFS(AC1404:AI1404,2,H1404:N1404,"")&gt;0),EUconst_Error&amp;"FB"&amp;Q1269,"")</f>
        <v/>
      </c>
      <c r="AM1404" s="343"/>
    </row>
    <row r="1405" spans="1:39" ht="5.15" customHeight="1" x14ac:dyDescent="0.25">
      <c r="A1405" s="729"/>
      <c r="B1405" s="284"/>
      <c r="C1405" s="1496"/>
      <c r="D1405" s="1497"/>
      <c r="E1405" s="1497"/>
      <c r="F1405" s="1497"/>
      <c r="G1405" s="1497"/>
      <c r="H1405" s="1497"/>
      <c r="I1405" s="1497"/>
      <c r="J1405" s="1497"/>
      <c r="K1405" s="1497"/>
      <c r="L1405" s="1497"/>
      <c r="M1405" s="1497"/>
      <c r="N1405" s="1516"/>
      <c r="O1405" s="336"/>
      <c r="P1405" s="336"/>
      <c r="Q1405" s="770"/>
      <c r="R1405" s="694"/>
      <c r="S1405" s="694"/>
      <c r="T1405" s="694"/>
      <c r="U1405" s="694"/>
      <c r="V1405" s="694"/>
      <c r="W1405" s="694"/>
      <c r="X1405" s="694"/>
      <c r="Y1405" s="694"/>
      <c r="Z1405" s="694"/>
      <c r="AA1405" s="694"/>
      <c r="AB1405" s="729"/>
      <c r="AC1405" s="694"/>
      <c r="AD1405" s="694"/>
      <c r="AE1405" s="694"/>
      <c r="AF1405" s="694"/>
      <c r="AG1405" s="694"/>
      <c r="AH1405" s="694"/>
      <c r="AI1405" s="694"/>
      <c r="AJ1405" s="343"/>
      <c r="AK1405" s="343"/>
      <c r="AL1405" s="343"/>
      <c r="AM1405" s="343"/>
    </row>
    <row r="1406" spans="1:39" ht="12.75" customHeight="1" x14ac:dyDescent="0.25">
      <c r="A1406" s="729"/>
      <c r="B1406" s="284"/>
      <c r="C1406" s="1496"/>
      <c r="D1406" s="1505" t="s">
        <v>8</v>
      </c>
      <c r="E1406" s="2820" t="str">
        <f>Translations!$B$637</f>
        <v>Вложени горива от отпадни газове</v>
      </c>
      <c r="F1406" s="2258"/>
      <c r="G1406" s="1319" t="str">
        <f>EUconst_TJpa</f>
        <v>TJ / година</v>
      </c>
      <c r="H1406" s="56"/>
      <c r="I1406" s="56"/>
      <c r="J1406" s="56"/>
      <c r="K1406" s="56"/>
      <c r="L1406" s="56"/>
      <c r="M1406" s="56"/>
      <c r="N1406" s="121"/>
      <c r="O1406" s="336"/>
      <c r="P1406" s="336"/>
      <c r="Q1406" s="716" t="str">
        <f>EUconst_CNTR_WGConsumed &amp; I1389</f>
        <v>WasteGasCons_Подинсталация с горивен показател (с риск от ИВЕ | в рамките на МКВЕГ)</v>
      </c>
      <c r="R1406" s="694"/>
      <c r="S1406" s="694"/>
      <c r="T1406" s="694"/>
      <c r="U1406" s="694"/>
      <c r="V1406" s="694"/>
      <c r="W1406" s="694"/>
      <c r="X1406" s="694"/>
      <c r="Y1406" s="694"/>
      <c r="Z1406" s="694"/>
      <c r="AA1406" s="694"/>
      <c r="AB1406" s="729"/>
      <c r="AC1406" s="982" t="b">
        <f>AC1403</f>
        <v>0</v>
      </c>
      <c r="AD1406" s="982" t="b">
        <f t="shared" ref="AD1406:AI1406" si="2130">AD1403</f>
        <v>0</v>
      </c>
      <c r="AE1406" s="982" t="b">
        <f t="shared" si="2130"/>
        <v>0</v>
      </c>
      <c r="AF1406" s="982" t="b">
        <f t="shared" si="2130"/>
        <v>0</v>
      </c>
      <c r="AG1406" s="982" t="b">
        <f t="shared" si="2130"/>
        <v>0</v>
      </c>
      <c r="AH1406" s="982" t="b">
        <f t="shared" si="2130"/>
        <v>0</v>
      </c>
      <c r="AI1406" s="982" t="b">
        <f t="shared" si="2130"/>
        <v>0</v>
      </c>
      <c r="AJ1406" s="343"/>
      <c r="AK1406" s="1174" t="s">
        <v>2039</v>
      </c>
      <c r="AL1406" s="1176" t="str">
        <f>IF(AND(CNTR_ExistSubInstEntries,COUNTIFS(AC1406:AI1406,2,H1406:N1406,"")&gt;0),EUconst_Error&amp;"FB"&amp;Q1269,"")</f>
        <v/>
      </c>
      <c r="AM1406" s="343"/>
    </row>
    <row r="1407" spans="1:39" ht="12.75" customHeight="1" x14ac:dyDescent="0.3">
      <c r="A1407" s="729"/>
      <c r="B1407" s="284"/>
      <c r="C1407" s="1496"/>
      <c r="D1407" s="1505" t="s">
        <v>18</v>
      </c>
      <c r="E1407" s="2820" t="str">
        <f>Translations!$B$638</f>
        <v>Специфичен EF (отпаден газ)</v>
      </c>
      <c r="F1407" s="2258"/>
      <c r="G1407" s="1320" t="str">
        <f>EUconst_tCO2pTJ</f>
        <v>t CO2 / TJ</v>
      </c>
      <c r="H1407" s="82"/>
      <c r="I1407" s="82"/>
      <c r="J1407" s="82"/>
      <c r="K1407" s="82"/>
      <c r="L1407" s="82"/>
      <c r="M1407" s="82"/>
      <c r="N1407" s="128"/>
      <c r="O1407" s="336"/>
      <c r="P1407" s="336"/>
      <c r="Q1407" s="1500" t="str">
        <f>EUconst_CNTR_WGConsumedEF &amp; I1389</f>
        <v>WasteGasConsEF_Подинсталация с горивен показател (с риск от ИВЕ | в рамките на МКВЕГ)</v>
      </c>
      <c r="R1407" s="694"/>
      <c r="S1407" s="1510" t="str">
        <f>EUconst_CNTR_AttributedEmissions &amp; I1389</f>
        <v>AttrEmissions_Подинсталация с горивен показател (с риск от ИВЕ | в рамките на МКВЕГ)</v>
      </c>
      <c r="T1407" s="982" t="str">
        <f t="shared" ref="T1407:Z1407" si="2131">IF(T1255,SUM(H1406)*EUconst_FuelBMvalue,"")</f>
        <v/>
      </c>
      <c r="U1407" s="982" t="str">
        <f t="shared" si="2131"/>
        <v/>
      </c>
      <c r="V1407" s="982" t="str">
        <f t="shared" si="2131"/>
        <v/>
      </c>
      <c r="W1407" s="982" t="str">
        <f t="shared" si="2131"/>
        <v/>
      </c>
      <c r="X1407" s="982" t="str">
        <f t="shared" si="2131"/>
        <v/>
      </c>
      <c r="Y1407" s="982" t="str">
        <f t="shared" si="2131"/>
        <v/>
      </c>
      <c r="Z1407" s="982" t="str">
        <f t="shared" si="2131"/>
        <v/>
      </c>
      <c r="AA1407" s="694"/>
      <c r="AB1407" s="729"/>
      <c r="AC1407" s="982" t="b">
        <f>AC1404</f>
        <v>0</v>
      </c>
      <c r="AD1407" s="982" t="b">
        <f t="shared" ref="AD1407:AI1407" si="2132">AD1404</f>
        <v>0</v>
      </c>
      <c r="AE1407" s="982" t="b">
        <f t="shared" si="2132"/>
        <v>0</v>
      </c>
      <c r="AF1407" s="982" t="b">
        <f t="shared" si="2132"/>
        <v>0</v>
      </c>
      <c r="AG1407" s="982" t="b">
        <f t="shared" si="2132"/>
        <v>0</v>
      </c>
      <c r="AH1407" s="982" t="b">
        <f t="shared" si="2132"/>
        <v>0</v>
      </c>
      <c r="AI1407" s="982" t="b">
        <f t="shared" si="2132"/>
        <v>0</v>
      </c>
      <c r="AJ1407" s="343"/>
      <c r="AK1407" s="1174" t="s">
        <v>2039</v>
      </c>
      <c r="AL1407" s="1176" t="str">
        <f>IF(AND(CNTR_ExistSubInstEntries,COUNTIFS(AC1407:AI1407,2,H1407:N1407,"")&gt;0),EUconst_Error&amp;"FB"&amp;Q1269,"")</f>
        <v/>
      </c>
      <c r="AM1407" s="343"/>
    </row>
    <row r="1408" spans="1:39" ht="5.15" customHeight="1" x14ac:dyDescent="0.25">
      <c r="A1408" s="729"/>
      <c r="B1408" s="284"/>
      <c r="C1408" s="1496"/>
      <c r="D1408" s="1497"/>
      <c r="E1408" s="1497"/>
      <c r="F1408" s="1497"/>
      <c r="G1408" s="1497"/>
      <c r="H1408" s="1497"/>
      <c r="I1408" s="1497"/>
      <c r="J1408" s="1497"/>
      <c r="K1408" s="1497"/>
      <c r="L1408" s="1497"/>
      <c r="M1408" s="1497"/>
      <c r="N1408" s="1503"/>
      <c r="O1408" s="336"/>
      <c r="P1408" s="336"/>
      <c r="Q1408" s="770"/>
      <c r="R1408" s="694"/>
      <c r="S1408" s="694"/>
      <c r="T1408" s="694"/>
      <c r="U1408" s="694"/>
      <c r="V1408" s="694"/>
      <c r="W1408" s="694"/>
      <c r="X1408" s="694"/>
      <c r="Y1408" s="694"/>
      <c r="Z1408" s="694"/>
      <c r="AA1408" s="694"/>
      <c r="AB1408" s="694"/>
      <c r="AC1408" s="694"/>
      <c r="AD1408" s="694"/>
      <c r="AE1408" s="694"/>
      <c r="AF1408" s="694"/>
      <c r="AG1408" s="694"/>
      <c r="AH1408" s="694"/>
      <c r="AI1408" s="694"/>
      <c r="AJ1408" s="343"/>
      <c r="AK1408" s="343"/>
      <c r="AL1408" s="343"/>
      <c r="AM1408" s="343"/>
    </row>
    <row r="1409" spans="1:39" ht="12.75" customHeight="1" x14ac:dyDescent="0.25">
      <c r="A1409" s="729"/>
      <c r="B1409" s="284"/>
      <c r="C1409" s="1496"/>
      <c r="D1409" s="1505" t="s">
        <v>810</v>
      </c>
      <c r="E1409" s="2820" t="str">
        <f>Translations!$B$1475</f>
        <v>Вложена електроенергия за производството на топлинна енергия</v>
      </c>
      <c r="F1409" s="2258"/>
      <c r="G1409" s="1319" t="str">
        <f>EUconst_TJpa</f>
        <v>TJ / година</v>
      </c>
      <c r="H1409" s="56"/>
      <c r="I1409" s="56"/>
      <c r="J1409" s="56"/>
      <c r="K1409" s="56"/>
      <c r="L1409" s="56"/>
      <c r="M1409" s="56"/>
      <c r="N1409" s="121"/>
      <c r="O1409" s="336"/>
      <c r="P1409" s="336"/>
      <c r="Q1409" s="716" t="str">
        <f>EUconst_CNTR_ElectricityInput &amp; I1389</f>
        <v>ElectricityInput_Подинсталация с горивен показател (с риск от ИВЕ | в рамките на МКВЕГ)</v>
      </c>
      <c r="R1409" s="694"/>
      <c r="S1409" s="694"/>
      <c r="T1409" s="694"/>
      <c r="U1409" s="694"/>
      <c r="V1409" s="694"/>
      <c r="W1409" s="694"/>
      <c r="X1409" s="694"/>
      <c r="Y1409" s="694"/>
      <c r="Z1409" s="694"/>
      <c r="AA1409" s="694"/>
      <c r="AB1409" s="729"/>
      <c r="AC1409" s="982" t="b">
        <f>AC1406</f>
        <v>0</v>
      </c>
      <c r="AD1409" s="982" t="b">
        <f t="shared" ref="AD1409:AI1409" si="2133">AD1406</f>
        <v>0</v>
      </c>
      <c r="AE1409" s="982" t="b">
        <f t="shared" si="2133"/>
        <v>0</v>
      </c>
      <c r="AF1409" s="982" t="b">
        <f t="shared" si="2133"/>
        <v>0</v>
      </c>
      <c r="AG1409" s="982" t="b">
        <f t="shared" si="2133"/>
        <v>0</v>
      </c>
      <c r="AH1409" s="982" t="b">
        <f t="shared" si="2133"/>
        <v>0</v>
      </c>
      <c r="AI1409" s="982" t="b">
        <f t="shared" si="2133"/>
        <v>0</v>
      </c>
      <c r="AJ1409" s="343"/>
      <c r="AK1409" s="1174" t="s">
        <v>2039</v>
      </c>
      <c r="AL1409" s="1176" t="str">
        <f>IF(AND(CNTR_ExistSubInstEntries,COUNTIFS(AC1409:AI1409,2,H1409:N1409,"")&gt;0),EUconst_Error&amp;"FB"&amp;Q1272,"")</f>
        <v/>
      </c>
      <c r="AM1409" s="343"/>
    </row>
    <row r="1410" spans="1:39" ht="12.75" customHeight="1" x14ac:dyDescent="0.25">
      <c r="A1410" s="729"/>
      <c r="B1410" s="284"/>
      <c r="C1410" s="1496"/>
      <c r="D1410" s="1505" t="s">
        <v>811</v>
      </c>
      <c r="E1410" s="2820" t="str">
        <f>Translations!$B$522</f>
        <v>Претеглен емисионен фактор</v>
      </c>
      <c r="F1410" s="2258"/>
      <c r="G1410" s="1320" t="str">
        <f>EUconst_tCO2pTJ</f>
        <v>t CO2 / TJ</v>
      </c>
      <c r="H1410" s="82"/>
      <c r="I1410" s="82"/>
      <c r="J1410" s="82"/>
      <c r="K1410" s="82"/>
      <c r="L1410" s="82"/>
      <c r="M1410" s="82"/>
      <c r="N1410" s="128"/>
      <c r="O1410" s="336"/>
      <c r="P1410" s="336"/>
      <c r="Q1410" s="1500" t="str">
        <f>EUconst_CNTR_ElectricityEF&amp; I1389</f>
        <v>ElectricityEF_Подинсталация с горивен показател (с риск от ИВЕ | в рамките на МКВЕГ)</v>
      </c>
      <c r="R1410" s="694"/>
      <c r="S1410" s="694"/>
      <c r="T1410" s="694"/>
      <c r="U1410" s="694"/>
      <c r="V1410" s="694"/>
      <c r="W1410" s="694"/>
      <c r="X1410" s="694"/>
      <c r="Y1410" s="694"/>
      <c r="Z1410" s="694"/>
      <c r="AA1410" s="694"/>
      <c r="AB1410" s="729"/>
      <c r="AC1410" s="982" t="b">
        <f>AC1407</f>
        <v>0</v>
      </c>
      <c r="AD1410" s="982" t="b">
        <f t="shared" ref="AD1410:AI1410" si="2134">AD1407</f>
        <v>0</v>
      </c>
      <c r="AE1410" s="982" t="b">
        <f t="shared" si="2134"/>
        <v>0</v>
      </c>
      <c r="AF1410" s="982" t="b">
        <f t="shared" si="2134"/>
        <v>0</v>
      </c>
      <c r="AG1410" s="982" t="b">
        <f t="shared" si="2134"/>
        <v>0</v>
      </c>
      <c r="AH1410" s="982" t="b">
        <f t="shared" si="2134"/>
        <v>0</v>
      </c>
      <c r="AI1410" s="982" t="b">
        <f t="shared" si="2134"/>
        <v>0</v>
      </c>
      <c r="AJ1410" s="343"/>
      <c r="AK1410" s="1174" t="s">
        <v>2039</v>
      </c>
      <c r="AL1410" s="1176" t="str">
        <f>IF(AND(CNTR_ExistSubInstEntries,COUNTIFS(AC1410:AI1410,2,H1410:N1410,"")&gt;0),EUconst_Error&amp;"FB"&amp;Q1272,"")</f>
        <v/>
      </c>
      <c r="AM1410" s="343"/>
    </row>
    <row r="1411" spans="1:39" ht="5.15" customHeight="1" x14ac:dyDescent="0.25">
      <c r="A1411" s="729"/>
      <c r="B1411" s="284"/>
      <c r="C1411" s="1496"/>
      <c r="D1411" s="1497"/>
      <c r="E1411" s="1497"/>
      <c r="F1411" s="1497"/>
      <c r="G1411" s="1497"/>
      <c r="H1411" s="1497"/>
      <c r="I1411" s="1497"/>
      <c r="J1411" s="1497"/>
      <c r="K1411" s="1497"/>
      <c r="L1411" s="1497"/>
      <c r="M1411" s="1497"/>
      <c r="N1411" s="1503"/>
      <c r="O1411" s="336"/>
      <c r="P1411" s="336"/>
      <c r="Q1411" s="770"/>
      <c r="R1411" s="694"/>
      <c r="S1411" s="694"/>
      <c r="T1411" s="694"/>
      <c r="U1411" s="694"/>
      <c r="V1411" s="694"/>
      <c r="W1411" s="694"/>
      <c r="X1411" s="694"/>
      <c r="Y1411" s="694"/>
      <c r="Z1411" s="694"/>
      <c r="AA1411" s="694"/>
      <c r="AB1411" s="694"/>
      <c r="AC1411" s="694"/>
      <c r="AD1411" s="694"/>
      <c r="AE1411" s="694"/>
      <c r="AF1411" s="694"/>
      <c r="AG1411" s="694"/>
      <c r="AH1411" s="694"/>
      <c r="AI1411" s="694"/>
      <c r="AJ1411" s="343"/>
      <c r="AK1411" s="343"/>
      <c r="AL1411" s="343"/>
      <c r="AM1411" s="343"/>
    </row>
    <row r="1412" spans="1:39" ht="12.75" customHeight="1" x14ac:dyDescent="0.3">
      <c r="A1412" s="729"/>
      <c r="B1412" s="284"/>
      <c r="C1412" s="1496"/>
      <c r="D1412" s="1307" t="s">
        <v>54</v>
      </c>
      <c r="E1412" s="2929" t="str">
        <f>Translations!$B$560</f>
        <v>Нетно количество подадена топлинна енергия</v>
      </c>
      <c r="F1412" s="2258"/>
      <c r="G1412" s="1319" t="str">
        <f>EUconst_TJpa</f>
        <v>TJ / година</v>
      </c>
      <c r="H1412" s="56"/>
      <c r="I1412" s="56"/>
      <c r="J1412" s="56"/>
      <c r="K1412" s="56"/>
      <c r="L1412" s="56"/>
      <c r="M1412" s="56"/>
      <c r="N1412" s="121"/>
      <c r="O1412" s="336"/>
      <c r="P1412" s="336"/>
      <c r="Q1412" s="1158" t="str">
        <f>EUconst_CNTR_HeatExport &amp; I1389</f>
        <v>HeatEx_Подинсталация с горивен показател (с риск от ИВЕ | в рамките на МКВЕГ)</v>
      </c>
      <c r="R1412" s="694"/>
      <c r="S1412" s="1510" t="str">
        <f>EUconst_CNTR_AttributedEmissions &amp; I1389</f>
        <v>AttrEmissions_Подинсталация с горивен показател (с риск от ИВЕ | в рамките на МКВЕГ)</v>
      </c>
      <c r="T1412" s="982" t="str">
        <f t="shared" ref="T1412:Z1412" si="2135">IF(T1255,-SUM(H1412)*IF(ISNUMBER(H1413),H1413,EUconst_HeatBMvalue),"")</f>
        <v/>
      </c>
      <c r="U1412" s="982" t="str">
        <f t="shared" si="2135"/>
        <v/>
      </c>
      <c r="V1412" s="982" t="str">
        <f t="shared" si="2135"/>
        <v/>
      </c>
      <c r="W1412" s="982" t="str">
        <f t="shared" si="2135"/>
        <v/>
      </c>
      <c r="X1412" s="982" t="str">
        <f t="shared" si="2135"/>
        <v/>
      </c>
      <c r="Y1412" s="982" t="str">
        <f t="shared" si="2135"/>
        <v/>
      </c>
      <c r="Z1412" s="982" t="str">
        <f t="shared" si="2135"/>
        <v/>
      </c>
      <c r="AA1412" s="694"/>
      <c r="AB1412" s="694"/>
      <c r="AC1412" s="982" t="b">
        <f>AC1406</f>
        <v>0</v>
      </c>
      <c r="AD1412" s="982" t="b">
        <f t="shared" ref="AD1412:AI1412" si="2136">AD1406</f>
        <v>0</v>
      </c>
      <c r="AE1412" s="982" t="b">
        <f t="shared" si="2136"/>
        <v>0</v>
      </c>
      <c r="AF1412" s="982" t="b">
        <f t="shared" si="2136"/>
        <v>0</v>
      </c>
      <c r="AG1412" s="982" t="b">
        <f t="shared" si="2136"/>
        <v>0</v>
      </c>
      <c r="AH1412" s="982" t="b">
        <f t="shared" si="2136"/>
        <v>0</v>
      </c>
      <c r="AI1412" s="982" t="b">
        <f t="shared" si="2136"/>
        <v>0</v>
      </c>
      <c r="AJ1412" s="343"/>
      <c r="AK1412" s="1174" t="s">
        <v>2039</v>
      </c>
      <c r="AL1412" s="1176" t="str">
        <f>IF(AND(CNTR_ExistSubInstEntries,COUNTIFS(AC1412:AI1412,2,H1412:N1412,"")&gt;0),EUconst_Error&amp;"FB"&amp;Q1269,"")</f>
        <v/>
      </c>
      <c r="AM1412" s="343"/>
    </row>
    <row r="1413" spans="1:39" ht="12.75" customHeight="1" x14ac:dyDescent="0.3">
      <c r="A1413" s="729"/>
      <c r="B1413" s="284"/>
      <c r="C1413" s="1496"/>
      <c r="D1413" s="1307"/>
      <c r="E1413" s="2820" t="str">
        <f>Translations!$B$665</f>
        <v>Специфичен EF (подадена топлинна енергия)</v>
      </c>
      <c r="F1413" s="2258"/>
      <c r="G1413" s="1320" t="str">
        <f>EUconst_tCO2pTJ</f>
        <v>t CO2 / TJ</v>
      </c>
      <c r="H1413" s="82"/>
      <c r="I1413" s="82"/>
      <c r="J1413" s="82"/>
      <c r="K1413" s="82"/>
      <c r="L1413" s="82"/>
      <c r="M1413" s="82"/>
      <c r="N1413" s="128"/>
      <c r="O1413" s="336"/>
      <c r="P1413" s="336"/>
      <c r="Q1413" s="1158" t="str">
        <f>EUconst_CNTR_HeatExportEF &amp; I1389</f>
        <v>HeatExEF_Подинсталация с горивен показател (с риск от ИВЕ | в рамките на МКВЕГ)</v>
      </c>
      <c r="R1413" s="694"/>
      <c r="S1413" s="1517"/>
      <c r="T1413" s="694"/>
      <c r="U1413" s="694"/>
      <c r="V1413" s="694"/>
      <c r="W1413" s="694"/>
      <c r="X1413" s="694"/>
      <c r="Y1413" s="694"/>
      <c r="Z1413" s="694"/>
      <c r="AA1413" s="694"/>
      <c r="AB1413" s="694"/>
      <c r="AC1413" s="982" t="b">
        <f>AC1407</f>
        <v>0</v>
      </c>
      <c r="AD1413" s="982" t="b">
        <f t="shared" ref="AD1413:AI1413" si="2137">AD1407</f>
        <v>0</v>
      </c>
      <c r="AE1413" s="982" t="b">
        <f t="shared" si="2137"/>
        <v>0</v>
      </c>
      <c r="AF1413" s="982" t="b">
        <f t="shared" si="2137"/>
        <v>0</v>
      </c>
      <c r="AG1413" s="982" t="b">
        <f t="shared" si="2137"/>
        <v>0</v>
      </c>
      <c r="AH1413" s="982" t="b">
        <f t="shared" si="2137"/>
        <v>0</v>
      </c>
      <c r="AI1413" s="982" t="b">
        <f t="shared" si="2137"/>
        <v>0</v>
      </c>
      <c r="AJ1413" s="343"/>
      <c r="AK1413" s="1174" t="s">
        <v>2039</v>
      </c>
      <c r="AL1413" s="1176" t="str">
        <f>IF(AND(CNTR_ExistSubInstEntries,COUNTIFS(AC1413:AI1413,2,H1413:N1413,"")&gt;0),EUconst_Error&amp;"FB"&amp;Q1269,"")</f>
        <v/>
      </c>
      <c r="AM1413" s="343"/>
    </row>
    <row r="1414" spans="1:39" ht="12.75" customHeight="1" x14ac:dyDescent="0.3">
      <c r="A1414" s="729"/>
      <c r="B1414" s="284"/>
      <c r="C1414" s="1496"/>
      <c r="D1414" s="1307"/>
      <c r="E1414" s="2853" t="str">
        <f>Translations!$B$548</f>
        <v>Посочените тук данни ще се отразят на емисиите, които могат да бъдат зададени съгласно раздел 10.1.2 и 10.1.3 от приложение VII към ПБР.</v>
      </c>
      <c r="F1414" s="2850"/>
      <c r="G1414" s="2850"/>
      <c r="H1414" s="2850"/>
      <c r="I1414" s="2850"/>
      <c r="J1414" s="2850"/>
      <c r="K1414" s="2850"/>
      <c r="L1414" s="2850"/>
      <c r="M1414" s="2850"/>
      <c r="N1414" s="2854"/>
      <c r="O1414" s="336"/>
      <c r="P1414" s="336"/>
      <c r="Q1414" s="770"/>
      <c r="R1414" s="694"/>
      <c r="S1414" s="1517"/>
      <c r="T1414" s="694"/>
      <c r="U1414" s="694"/>
      <c r="V1414" s="694"/>
      <c r="W1414" s="694"/>
      <c r="X1414" s="694"/>
      <c r="Y1414" s="694"/>
      <c r="Z1414" s="694"/>
      <c r="AA1414" s="694"/>
      <c r="AB1414" s="694"/>
      <c r="AC1414" s="694"/>
      <c r="AD1414" s="694"/>
      <c r="AE1414" s="694"/>
      <c r="AF1414" s="694"/>
      <c r="AG1414" s="694"/>
      <c r="AH1414" s="694"/>
      <c r="AI1414" s="694"/>
      <c r="AJ1414" s="343"/>
      <c r="AK1414" s="343"/>
      <c r="AL1414" s="343"/>
      <c r="AM1414" s="343"/>
    </row>
    <row r="1415" spans="1:39" ht="12.75" customHeight="1" thickBot="1" x14ac:dyDescent="0.3">
      <c r="A1415" s="729"/>
      <c r="B1415" s="284"/>
      <c r="C1415" s="1511"/>
      <c r="D1415" s="1512"/>
      <c r="E1415" s="2916" t="str">
        <f>Translations!$B$666</f>
        <v>Това включва всяка отпадна топлина, извлечена и отговаряща на условията за подинсталация с топлинен показател или подинсталация на топлофикационна мрежа.</v>
      </c>
      <c r="F1415" s="2917"/>
      <c r="G1415" s="2917"/>
      <c r="H1415" s="2917"/>
      <c r="I1415" s="2917"/>
      <c r="J1415" s="2917"/>
      <c r="K1415" s="2917"/>
      <c r="L1415" s="2917"/>
      <c r="M1415" s="2917"/>
      <c r="N1415" s="2918"/>
      <c r="O1415" s="336"/>
      <c r="P1415" s="336"/>
      <c r="Q1415" s="770"/>
      <c r="R1415" s="694"/>
      <c r="S1415" s="770"/>
      <c r="T1415" s="694"/>
      <c r="U1415" s="694"/>
      <c r="V1415" s="694"/>
      <c r="W1415" s="694"/>
      <c r="X1415" s="694"/>
      <c r="Y1415" s="694"/>
      <c r="Z1415" s="694"/>
      <c r="AA1415" s="694"/>
      <c r="AB1415" s="694"/>
      <c r="AC1415" s="694"/>
      <c r="AD1415" s="694"/>
      <c r="AE1415" s="694"/>
      <c r="AF1415" s="694"/>
      <c r="AG1415" s="694"/>
      <c r="AH1415" s="694"/>
      <c r="AI1415" s="694"/>
      <c r="AJ1415" s="343"/>
      <c r="AK1415" s="343"/>
      <c r="AL1415" s="343"/>
      <c r="AM1415" s="343"/>
    </row>
    <row r="1416" spans="1:39" ht="25.5" customHeight="1" thickBot="1" x14ac:dyDescent="0.3">
      <c r="A1416" s="694"/>
      <c r="B1416" s="698"/>
      <c r="C1416" s="698"/>
      <c r="D1416" s="698"/>
      <c r="E1416" s="698"/>
      <c r="F1416" s="698"/>
      <c r="G1416" s="698"/>
      <c r="H1416" s="698"/>
      <c r="I1416" s="698"/>
      <c r="J1416" s="698"/>
      <c r="K1416" s="698"/>
      <c r="L1416" s="698"/>
      <c r="M1416" s="698"/>
      <c r="N1416" s="698"/>
      <c r="O1416" s="336"/>
      <c r="P1416" s="336"/>
      <c r="Q1416" s="694"/>
      <c r="R1416" s="694"/>
      <c r="S1416" s="694"/>
      <c r="T1416" s="694"/>
      <c r="U1416" s="694"/>
      <c r="V1416" s="694"/>
      <c r="W1416" s="694"/>
      <c r="X1416" s="694"/>
      <c r="Y1416" s="694"/>
      <c r="Z1416" s="694"/>
      <c r="AA1416" s="694"/>
      <c r="AB1416" s="694"/>
      <c r="AC1416" s="694"/>
      <c r="AD1416" s="694"/>
      <c r="AE1416" s="343"/>
      <c r="AF1416" s="343"/>
      <c r="AG1416" s="343"/>
      <c r="AH1416" s="343"/>
      <c r="AI1416" s="343"/>
      <c r="AJ1416" s="343"/>
      <c r="AK1416" s="343"/>
      <c r="AL1416" s="343"/>
      <c r="AM1416" s="343"/>
    </row>
    <row r="1417" spans="1:39" ht="5.15" customHeight="1" thickBot="1" x14ac:dyDescent="0.3">
      <c r="A1417" s="694"/>
      <c r="B1417" s="284"/>
      <c r="C1417" s="581"/>
      <c r="D1417" s="581"/>
      <c r="E1417" s="581"/>
      <c r="F1417" s="581"/>
      <c r="G1417" s="581"/>
      <c r="H1417" s="581"/>
      <c r="I1417" s="581"/>
      <c r="J1417" s="581"/>
      <c r="K1417" s="581"/>
      <c r="L1417" s="581"/>
      <c r="M1417" s="581"/>
      <c r="N1417" s="581"/>
      <c r="O1417" s="336"/>
      <c r="P1417" s="336"/>
      <c r="Q1417" s="770"/>
      <c r="R1417" s="770"/>
      <c r="S1417" s="770"/>
      <c r="T1417" s="770"/>
      <c r="U1417" s="770"/>
      <c r="V1417" s="770"/>
      <c r="W1417" s="770"/>
      <c r="X1417" s="770"/>
      <c r="Y1417" s="770"/>
      <c r="Z1417" s="694"/>
      <c r="AA1417" s="694"/>
      <c r="AB1417" s="694"/>
      <c r="AC1417" s="694"/>
      <c r="AD1417" s="694"/>
      <c r="AE1417" s="343"/>
      <c r="AF1417" s="343"/>
      <c r="AG1417" s="343"/>
      <c r="AH1417" s="343"/>
      <c r="AI1417" s="343"/>
      <c r="AJ1417" s="343"/>
      <c r="AK1417" s="343"/>
      <c r="AL1417" s="343"/>
      <c r="AM1417" s="343"/>
    </row>
    <row r="1418" spans="1:39" ht="14.5" thickBot="1" x14ac:dyDescent="0.35">
      <c r="A1418" s="694"/>
      <c r="B1418" s="284"/>
      <c r="C1418" s="357">
        <f>C1247+1</f>
        <v>8</v>
      </c>
      <c r="D1418" s="2323" t="str">
        <f>EUconst_FBSubinst &amp; ":"</f>
        <v>Алтернативна подинсталация („Fall-Back sub-installation“):</v>
      </c>
      <c r="E1418" s="2249"/>
      <c r="F1418" s="2249"/>
      <c r="G1418" s="2249"/>
      <c r="H1418" s="2295"/>
      <c r="I1418" s="2843" t="str">
        <f>INDEX(EUconst_FallBackListNames,$C1418)</f>
        <v>Подинсталация с емисии от процеси (с риск от ИВЕ | извън МКВЕГ)</v>
      </c>
      <c r="J1418" s="2844"/>
      <c r="K1418" s="2844"/>
      <c r="L1418" s="2845"/>
      <c r="M1418" s="2919" t="str">
        <f>IF(INDEX(CNTR_FallBackSubInstRelevant,C1418)="","",IF(INDEX(CNTR_FallBackSubInstRelevant,C1418),EUconst_Relevant,EUconst_NotRelevant))</f>
        <v/>
      </c>
      <c r="N1418" s="2920"/>
      <c r="O1418" s="336"/>
      <c r="P1418" s="336"/>
      <c r="Q1418" s="1391">
        <f>C1418</f>
        <v>8</v>
      </c>
      <c r="R1418" s="694"/>
      <c r="S1418" s="1174" t="str">
        <f>Translations!$B$898</f>
        <v>Дата на въвеждане в експлоатация:</v>
      </c>
      <c r="T1418" s="1175" t="str">
        <f>IF(M1418&lt;&gt;EUconst_Relevant,"",MAX(INDEX(CNTR_SubInstStartDate,MATCH($I1418,CNTR_SubInstListNames,0)),DATE(2005,1,1)))</f>
        <v/>
      </c>
      <c r="U1418" s="729" t="s">
        <v>1731</v>
      </c>
      <c r="V1418" s="1176">
        <f>IF(ISNUMBER(T1418),YEAR($T1418-IF(YEAR(T1418)&gt;=2022,0,1))+1,2005)</f>
        <v>2005</v>
      </c>
      <c r="W1418" s="1174" t="s">
        <v>1734</v>
      </c>
      <c r="X1418" s="1175" t="str">
        <f>IF(M1418&lt;&gt;EUconst_Relevant,"",INDEX(CNTR_SubInstCessationDate,MATCH($I1418,CNTR_SubInstListNames,0)))</f>
        <v/>
      </c>
      <c r="Y1418" s="1174" t="s">
        <v>1735</v>
      </c>
      <c r="Z1418" s="1176">
        <f>IF(SUM(X1418)=0,2050,YEAR($X1418))</f>
        <v>2050</v>
      </c>
      <c r="AA1418" s="1174" t="s">
        <v>2009</v>
      </c>
      <c r="AB1418" s="1176" t="b">
        <f>CNTR_ReportingYear&gt;V1418</f>
        <v>1</v>
      </c>
      <c r="AC1418" s="1174" t="s">
        <v>1395</v>
      </c>
      <c r="AD1418" s="1177" t="b">
        <f>AND(CNTR_ExistSubInstEntries,M1418=EUconst_NotRelevant)</f>
        <v>0</v>
      </c>
      <c r="AE1418" s="343"/>
      <c r="AF1418" s="343"/>
      <c r="AG1418" s="343"/>
      <c r="AH1418" s="343"/>
      <c r="AI1418" s="343"/>
      <c r="AJ1418" s="343"/>
      <c r="AK1418" s="343"/>
      <c r="AL1418" s="343"/>
      <c r="AM1418" s="343"/>
    </row>
    <row r="1419" spans="1:39" ht="12.75" customHeight="1" x14ac:dyDescent="0.25">
      <c r="A1419" s="694"/>
      <c r="B1419" s="698"/>
      <c r="C1419" s="698"/>
      <c r="D1419" s="698"/>
      <c r="E1419" s="698"/>
      <c r="F1419" s="698"/>
      <c r="G1419" s="698"/>
      <c r="H1419" s="773"/>
      <c r="I1419" s="2921" t="str">
        <f>IF(M1418&lt;&gt;EUconst_Relevant,"",IF(M1418=EUconst_Relevant,HYPERLINK("",EUconst_MsgEnterThisSection),HYPERLINK(R1419,EUconst_MsgGoToNextSubInst)))</f>
        <v/>
      </c>
      <c r="J1419" s="2922"/>
      <c r="K1419" s="2922"/>
      <c r="L1419" s="2922"/>
      <c r="M1419" s="2923"/>
      <c r="N1419" s="2924"/>
      <c r="O1419" s="336"/>
      <c r="P1419" s="336"/>
      <c r="Q1419" s="694" t="s">
        <v>450</v>
      </c>
      <c r="R1419" s="875" t="str">
        <f>"#JUMP_G"&amp;Q1418+1</f>
        <v>#JUMP_G9</v>
      </c>
      <c r="S1419" s="694"/>
      <c r="T1419" s="694"/>
      <c r="U1419" s="694"/>
      <c r="V1419" s="694"/>
      <c r="W1419" s="694"/>
      <c r="X1419" s="694"/>
      <c r="Y1419" s="694"/>
      <c r="Z1419" s="729"/>
      <c r="AA1419" s="694"/>
      <c r="AB1419" s="694"/>
      <c r="AC1419" s="694"/>
      <c r="AD1419" s="694"/>
      <c r="AE1419" s="343"/>
      <c r="AF1419" s="343"/>
      <c r="AG1419" s="343"/>
      <c r="AH1419" s="343"/>
      <c r="AI1419" s="343"/>
      <c r="AJ1419" s="343"/>
      <c r="AK1419" s="343"/>
      <c r="AL1419" s="343"/>
      <c r="AM1419" s="343"/>
    </row>
    <row r="1420" spans="1:39" ht="12.75" customHeight="1" x14ac:dyDescent="0.25">
      <c r="A1420" s="694"/>
      <c r="B1420" s="284"/>
      <c r="C1420" s="284"/>
      <c r="D1420" s="302"/>
      <c r="E1420" s="2358" t="str">
        <f>Translations!$B$613</f>
        <v>Името на алтернативната подинсталация („fall-back sub-installation“) се показва автоматично въз основа на общия списък на възможните алтернативни инсталации.</v>
      </c>
      <c r="F1420" s="2249"/>
      <c r="G1420" s="2249"/>
      <c r="H1420" s="2249"/>
      <c r="I1420" s="2249"/>
      <c r="J1420" s="2249"/>
      <c r="K1420" s="2249"/>
      <c r="L1420" s="2249"/>
      <c r="M1420" s="2249"/>
      <c r="N1420" s="2249"/>
      <c r="O1420" s="336"/>
      <c r="P1420" s="336"/>
      <c r="Q1420" s="770"/>
      <c r="R1420" s="770"/>
      <c r="S1420" s="694"/>
      <c r="T1420" s="694"/>
      <c r="U1420" s="694"/>
      <c r="V1420" s="694"/>
      <c r="W1420" s="694"/>
      <c r="X1420" s="694"/>
      <c r="Y1420" s="694"/>
      <c r="Z1420" s="694"/>
      <c r="AA1420" s="694"/>
      <c r="AB1420" s="694"/>
      <c r="AC1420" s="694"/>
      <c r="AD1420" s="694"/>
      <c r="AE1420" s="343"/>
      <c r="AF1420" s="343"/>
      <c r="AG1420" s="343"/>
      <c r="AH1420" s="343"/>
      <c r="AI1420" s="343"/>
      <c r="AJ1420" s="343"/>
      <c r="AK1420" s="343"/>
      <c r="AL1420" s="343"/>
      <c r="AM1420" s="343"/>
    </row>
    <row r="1421" spans="1:39" ht="5.15" customHeight="1" x14ac:dyDescent="0.25">
      <c r="A1421" s="694"/>
      <c r="B1421" s="284"/>
      <c r="C1421" s="284"/>
      <c r="D1421" s="284"/>
      <c r="E1421" s="284"/>
      <c r="F1421" s="284"/>
      <c r="G1421" s="284"/>
      <c r="H1421" s="284"/>
      <c r="I1421" s="284"/>
      <c r="J1421" s="284"/>
      <c r="K1421" s="284"/>
      <c r="L1421" s="284"/>
      <c r="M1421" s="336"/>
      <c r="N1421" s="336"/>
      <c r="O1421" s="336"/>
      <c r="P1421" s="336"/>
      <c r="Q1421" s="770"/>
      <c r="R1421" s="770"/>
      <c r="S1421" s="770"/>
      <c r="T1421" s="770"/>
      <c r="U1421" s="770"/>
      <c r="V1421" s="770"/>
      <c r="W1421" s="770"/>
      <c r="X1421" s="770"/>
      <c r="Y1421" s="770"/>
      <c r="Z1421" s="694"/>
      <c r="AA1421" s="694"/>
      <c r="AB1421" s="694"/>
      <c r="AC1421" s="694"/>
      <c r="AD1421" s="694"/>
      <c r="AE1421" s="343"/>
      <c r="AF1421" s="343"/>
      <c r="AG1421" s="343"/>
      <c r="AH1421" s="343"/>
      <c r="AI1421" s="343"/>
      <c r="AJ1421" s="343"/>
      <c r="AK1421" s="343"/>
      <c r="AL1421" s="343"/>
      <c r="AM1421" s="343"/>
    </row>
    <row r="1422" spans="1:39" ht="12.75" customHeight="1" x14ac:dyDescent="0.25">
      <c r="A1422" s="694"/>
      <c r="B1422" s="284"/>
      <c r="C1422" s="300"/>
      <c r="D1422" s="300" t="s">
        <v>408</v>
      </c>
      <c r="E1422" s="2226" t="str">
        <f>Translations!$B$1315</f>
        <v>Равнища на дейност</v>
      </c>
      <c r="F1422" s="2249"/>
      <c r="G1422" s="2249"/>
      <c r="H1422" s="2249"/>
      <c r="I1422" s="2249"/>
      <c r="J1422" s="2249"/>
      <c r="K1422" s="2249"/>
      <c r="L1422" s="2249"/>
      <c r="M1422" s="2249"/>
      <c r="N1422" s="2249"/>
      <c r="O1422" s="336"/>
      <c r="P1422" s="336"/>
      <c r="Q1422" s="770"/>
      <c r="R1422" s="770"/>
      <c r="S1422" s="770"/>
      <c r="T1422" s="770"/>
      <c r="U1422" s="770"/>
      <c r="V1422" s="770"/>
      <c r="W1422" s="770"/>
      <c r="X1422" s="770"/>
      <c r="Y1422" s="770"/>
      <c r="Z1422" s="694"/>
      <c r="AA1422" s="694"/>
      <c r="AB1422" s="729"/>
      <c r="AC1422" s="694"/>
      <c r="AD1422" s="694"/>
      <c r="AE1422" s="343"/>
      <c r="AF1422" s="343"/>
      <c r="AG1422" s="343"/>
      <c r="AH1422" s="343"/>
      <c r="AI1422" s="343"/>
      <c r="AJ1422" s="343"/>
      <c r="AK1422" s="343"/>
      <c r="AL1422" s="343"/>
      <c r="AM1422" s="343"/>
    </row>
    <row r="1423" spans="1:39" ht="12.75" hidden="1" customHeight="1" x14ac:dyDescent="0.25">
      <c r="A1423" s="694" t="str">
        <f>IF(C1418&gt;4,$A$1,"")</f>
        <v>ausblenden</v>
      </c>
      <c r="B1423" s="284"/>
      <c r="C1423" s="302"/>
      <c r="D1423" s="302"/>
      <c r="E1423" s="2925" t="str">
        <f>Translations!$B$614</f>
        <v>Следните данни се вземат автоматично от раздел E.II.r на лист „E_EnergyFlows“ („E_Енергийни потоци“).Затова въвеждането на данни там е задължително.</v>
      </c>
      <c r="F1423" s="2925"/>
      <c r="G1423" s="2925"/>
      <c r="H1423" s="2925"/>
      <c r="I1423" s="2925"/>
      <c r="J1423" s="2925"/>
      <c r="K1423" s="2925"/>
      <c r="L1423" s="2925"/>
      <c r="M1423" s="2925"/>
      <c r="N1423" s="2925"/>
      <c r="O1423" s="336"/>
      <c r="P1423" s="336"/>
      <c r="Q1423" s="770"/>
      <c r="R1423" s="694"/>
      <c r="S1423" s="694"/>
      <c r="T1423" s="694"/>
      <c r="U1423" s="694"/>
      <c r="V1423" s="694"/>
      <c r="W1423" s="694"/>
      <c r="X1423" s="694"/>
      <c r="Y1423" s="694"/>
      <c r="Z1423" s="694"/>
      <c r="AA1423" s="694"/>
      <c r="AB1423" s="694"/>
      <c r="AC1423" s="694"/>
      <c r="AD1423" s="694"/>
      <c r="AE1423" s="343"/>
      <c r="AF1423" s="343"/>
      <c r="AG1423" s="343"/>
      <c r="AH1423" s="343"/>
      <c r="AI1423" s="343"/>
      <c r="AJ1423" s="343"/>
      <c r="AK1423" s="343"/>
      <c r="AL1423" s="343"/>
      <c r="AM1423" s="343"/>
    </row>
    <row r="1424" spans="1:39" ht="12.75" customHeight="1" x14ac:dyDescent="0.25">
      <c r="A1424" s="694"/>
      <c r="B1424" s="284"/>
      <c r="C1424" s="284"/>
      <c r="D1424" s="302"/>
      <c r="E1424" s="2358" t="str">
        <f>Translations!$B$1332</f>
        <v>На базата на началото на нормална експлоатация, въведено в B+C.I, HAL ще се основава или на стойността в НМИ (показана в ii.), или на първата година на пълна експлоатация за нови подинсталации (посочена в iv.).</v>
      </c>
      <c r="F1424" s="2926"/>
      <c r="G1424" s="2926"/>
      <c r="H1424" s="2926"/>
      <c r="I1424" s="2926"/>
      <c r="J1424" s="2926"/>
      <c r="K1424" s="2926"/>
      <c r="L1424" s="2926"/>
      <c r="M1424" s="2926"/>
      <c r="N1424" s="2926"/>
      <c r="O1424" s="336"/>
      <c r="P1424" s="336"/>
      <c r="Q1424" s="770"/>
      <c r="R1424" s="694"/>
      <c r="S1424" s="694"/>
      <c r="T1424" s="694"/>
      <c r="U1424" s="694"/>
      <c r="V1424" s="694"/>
      <c r="W1424" s="694"/>
      <c r="X1424" s="694"/>
      <c r="Y1424" s="694"/>
      <c r="Z1424" s="694"/>
      <c r="AA1424" s="729"/>
      <c r="AB1424" s="729"/>
      <c r="AC1424" s="694"/>
      <c r="AD1424" s="694"/>
      <c r="AE1424" s="343"/>
      <c r="AF1424" s="343"/>
      <c r="AG1424" s="343"/>
      <c r="AH1424" s="343"/>
      <c r="AI1424" s="343"/>
      <c r="AJ1424" s="343"/>
      <c r="AK1424" s="343"/>
      <c r="AL1424" s="343"/>
      <c r="AM1424" s="343"/>
    </row>
    <row r="1425" spans="1:39" ht="12.75" customHeight="1" thickBot="1" x14ac:dyDescent="0.3">
      <c r="A1425" s="694"/>
      <c r="B1425" s="698"/>
      <c r="C1425" s="300"/>
      <c r="D1425" s="300"/>
      <c r="E1425" s="389" t="str">
        <f>Translations!$B$615</f>
        <v>Основно равнище на дейност:</v>
      </c>
      <c r="F1425" s="1015"/>
      <c r="G1425" s="527" t="str">
        <f>EUconst_Unit</f>
        <v>Единица мярка</v>
      </c>
      <c r="H1425" s="391">
        <f t="shared" ref="H1425:N1425" si="2138">H$1840</f>
        <v>2024</v>
      </c>
      <c r="I1425" s="572">
        <f t="shared" si="2138"/>
        <v>2025</v>
      </c>
      <c r="J1425" s="757">
        <f t="shared" si="2138"/>
        <v>2026</v>
      </c>
      <c r="K1425" s="391">
        <f t="shared" si="2138"/>
        <v>2027</v>
      </c>
      <c r="L1425" s="391">
        <f t="shared" si="2138"/>
        <v>2028</v>
      </c>
      <c r="M1425" s="391">
        <f t="shared" si="2138"/>
        <v>2029</v>
      </c>
      <c r="N1425" s="387">
        <f t="shared" si="2138"/>
        <v>2030</v>
      </c>
      <c r="O1425" s="336"/>
      <c r="P1425" s="336"/>
      <c r="Q1425" s="1033" t="s">
        <v>560</v>
      </c>
      <c r="R1425" s="694"/>
      <c r="S1425" s="694"/>
      <c r="T1425" s="1178">
        <f t="shared" ref="T1425" si="2139">H1425</f>
        <v>2024</v>
      </c>
      <c r="U1425" s="1178">
        <f t="shared" ref="U1425" si="2140">I1425</f>
        <v>2025</v>
      </c>
      <c r="V1425" s="1178">
        <f t="shared" ref="V1425" si="2141">J1425</f>
        <v>2026</v>
      </c>
      <c r="W1425" s="1178">
        <f t="shared" ref="W1425" si="2142">K1425</f>
        <v>2027</v>
      </c>
      <c r="X1425" s="1178">
        <f t="shared" ref="X1425" si="2143">L1425</f>
        <v>2028</v>
      </c>
      <c r="Y1425" s="1178">
        <f t="shared" ref="Y1425" si="2144">M1425</f>
        <v>2029</v>
      </c>
      <c r="Z1425" s="1178">
        <f t="shared" ref="Z1425" si="2145">N1425</f>
        <v>2030</v>
      </c>
      <c r="AA1425" s="694"/>
      <c r="AB1425" s="694"/>
      <c r="AC1425" s="1504">
        <f t="shared" ref="AC1425" si="2146">H$1840</f>
        <v>2024</v>
      </c>
      <c r="AD1425" s="1504">
        <f t="shared" ref="AD1425" si="2147">I$1840</f>
        <v>2025</v>
      </c>
      <c r="AE1425" s="1504">
        <f t="shared" ref="AE1425" si="2148">J$1840</f>
        <v>2026</v>
      </c>
      <c r="AF1425" s="1504">
        <f t="shared" ref="AF1425" si="2149">K$1840</f>
        <v>2027</v>
      </c>
      <c r="AG1425" s="1504">
        <f t="shared" ref="AG1425" si="2150">L$1840</f>
        <v>2028</v>
      </c>
      <c r="AH1425" s="1504">
        <f t="shared" ref="AH1425" si="2151">M$1840</f>
        <v>2029</v>
      </c>
      <c r="AI1425" s="1504">
        <f t="shared" ref="AI1425" si="2152">N$1840</f>
        <v>2030</v>
      </c>
      <c r="AJ1425" s="343"/>
      <c r="AK1425" s="343"/>
      <c r="AL1425" s="343"/>
      <c r="AM1425" s="343"/>
    </row>
    <row r="1426" spans="1:39" ht="12.75" customHeight="1" thickBot="1" x14ac:dyDescent="0.3">
      <c r="A1426" s="694"/>
      <c r="B1426" s="698"/>
      <c r="C1426" s="698"/>
      <c r="D1426" s="1084" t="s">
        <v>6</v>
      </c>
      <c r="E1426" s="2862" t="str">
        <f>I1418</f>
        <v>Подинсталация с емисии от процеси (с риск от ИВЕ | извън МКВЕГ)</v>
      </c>
      <c r="F1426" s="2862"/>
      <c r="G1426" s="1032" t="str">
        <f>INDEX(EUconst_FallBackListUnits,MATCH(E1426,EUconst_FallBackListNames,0))</f>
        <v>t CO2e</v>
      </c>
      <c r="H1426" s="39"/>
      <c r="I1426" s="194"/>
      <c r="J1426" s="195"/>
      <c r="K1426" s="39"/>
      <c r="L1426" s="39"/>
      <c r="M1426" s="39"/>
      <c r="N1426" s="39"/>
      <c r="O1426" s="710"/>
      <c r="P1426" s="336"/>
      <c r="Q1426" s="1394" t="str">
        <f>EUconst_CNTR_HAL&amp;E1426</f>
        <v>HAL_Подинсталация с емисии от процеси (с риск от ИВЕ | извън МКВЕГ)</v>
      </c>
      <c r="R1426" s="694"/>
      <c r="S1426" s="1395" t="s">
        <v>1732</v>
      </c>
      <c r="T1426" s="1396" t="b">
        <f t="shared" ref="T1426:Z1426" si="2153">AND($M1418=EUconst_Relevant,T1425&lt;CNTR_ReportingYear,T1425&gt;=$V1418-1)</f>
        <v>0</v>
      </c>
      <c r="U1426" s="1397" t="b">
        <f t="shared" si="2153"/>
        <v>0</v>
      </c>
      <c r="V1426" s="1397" t="b">
        <f t="shared" si="2153"/>
        <v>0</v>
      </c>
      <c r="W1426" s="1397" t="b">
        <f t="shared" si="2153"/>
        <v>0</v>
      </c>
      <c r="X1426" s="1397" t="b">
        <f t="shared" si="2153"/>
        <v>0</v>
      </c>
      <c r="Y1426" s="1397" t="b">
        <f t="shared" si="2153"/>
        <v>0</v>
      </c>
      <c r="Z1426" s="1398" t="b">
        <f t="shared" si="2153"/>
        <v>0</v>
      </c>
      <c r="AA1426" s="694"/>
      <c r="AB1426" s="1182" t="s">
        <v>737</v>
      </c>
      <c r="AC1426" s="1183" t="b">
        <f t="shared" ref="AC1426:AI1426" si="2154">IF(CNTR_ExistSubInstEntries,OR($M1418&lt;&gt;EUconst_Relevant,AC1425&gt;=CNTR_ReportingYear,AC1425&lt;$V1418-1),FALSE)</f>
        <v>0</v>
      </c>
      <c r="AD1426" s="1184" t="b">
        <f t="shared" si="2154"/>
        <v>0</v>
      </c>
      <c r="AE1426" s="1184" t="b">
        <f t="shared" si="2154"/>
        <v>0</v>
      </c>
      <c r="AF1426" s="1184" t="b">
        <f t="shared" si="2154"/>
        <v>0</v>
      </c>
      <c r="AG1426" s="1184" t="b">
        <f t="shared" si="2154"/>
        <v>0</v>
      </c>
      <c r="AH1426" s="1184" t="b">
        <f t="shared" si="2154"/>
        <v>0</v>
      </c>
      <c r="AI1426" s="1185" t="b">
        <f t="shared" si="2154"/>
        <v>0</v>
      </c>
      <c r="AJ1426" s="343"/>
      <c r="AK1426" s="1174" t="s">
        <v>2033</v>
      </c>
      <c r="AL1426" s="982" t="str">
        <f>IF(OR(COUNTIFS(H1425:N1425,"&lt;"&amp;YEAR(SUM(T1418)),H1426:N1426,"&gt;"&amp;0)&gt;0,AND(CNTR_ExistSubInstEntries,COUNTIFS(AB1429:AI1429,2,G1429:N1429,"")&gt;0)),EUconst_Error&amp;"FB"&amp;Q1418,"")</f>
        <v/>
      </c>
      <c r="AM1426" s="343"/>
    </row>
    <row r="1427" spans="1:39" ht="5.15" customHeight="1" x14ac:dyDescent="0.25">
      <c r="A1427" s="694"/>
      <c r="B1427" s="298"/>
      <c r="C1427" s="298"/>
      <c r="D1427" s="302"/>
      <c r="E1427" s="302"/>
      <c r="F1427" s="302"/>
      <c r="G1427" s="302"/>
      <c r="H1427" s="302"/>
      <c r="I1427" s="302"/>
      <c r="J1427" s="302"/>
      <c r="K1427" s="302"/>
      <c r="L1427" s="302"/>
      <c r="M1427" s="302"/>
      <c r="N1427" s="302"/>
      <c r="O1427" s="302"/>
      <c r="P1427" s="336"/>
      <c r="Q1427" s="729"/>
      <c r="R1427" s="694"/>
      <c r="S1427" s="729"/>
      <c r="T1427" s="729"/>
      <c r="U1427" s="694"/>
      <c r="V1427" s="694"/>
      <c r="W1427" s="694"/>
      <c r="X1427" s="694"/>
      <c r="Y1427" s="694"/>
      <c r="Z1427" s="1421"/>
      <c r="AA1427" s="1421"/>
      <c r="AB1427" s="1421"/>
      <c r="AC1427" s="1421"/>
      <c r="AD1427" s="1421"/>
      <c r="AE1427" s="1421"/>
      <c r="AF1427" s="1421"/>
      <c r="AG1427" s="1421"/>
      <c r="AH1427" s="1421"/>
      <c r="AI1427" s="1421"/>
      <c r="AJ1427" s="1421"/>
      <c r="AK1427" s="343"/>
      <c r="AL1427" s="343"/>
      <c r="AM1427" s="343"/>
    </row>
    <row r="1428" spans="1:39" ht="25.5" customHeight="1" x14ac:dyDescent="0.25">
      <c r="A1428" s="694"/>
      <c r="B1428" s="298"/>
      <c r="C1428" s="298"/>
      <c r="D1428" s="302"/>
      <c r="E1428" s="2358" t="str">
        <f>Translations!$B$1333</f>
        <v>На базата на стойностите на HAL и тези по буква a) по-горе тук се определят средните равнища на дейност. Разпределението ще бъде променено само ако са надвишени всички долуизброени прагове от членове 5 и 6 от Регламента за ALC:</v>
      </c>
      <c r="F1428" s="2249"/>
      <c r="G1428" s="2249"/>
      <c r="H1428" s="2249"/>
      <c r="I1428" s="2249"/>
      <c r="J1428" s="2249"/>
      <c r="K1428" s="2249"/>
      <c r="L1428" s="2249"/>
      <c r="M1428" s="2249"/>
      <c r="N1428" s="2249"/>
      <c r="O1428" s="302"/>
      <c r="P1428" s="336"/>
      <c r="Q1428" s="729"/>
      <c r="R1428" s="694"/>
      <c r="S1428" s="729"/>
      <c r="T1428" s="729"/>
      <c r="U1428" s="729"/>
      <c r="V1428" s="694"/>
      <c r="W1428" s="694"/>
      <c r="X1428" s="694"/>
      <c r="Y1428" s="694"/>
      <c r="Z1428" s="1421"/>
      <c r="AA1428" s="1421"/>
      <c r="AB1428" s="1421"/>
      <c r="AC1428" s="1421"/>
      <c r="AD1428" s="1421"/>
      <c r="AE1428" s="1421"/>
      <c r="AF1428" s="1421"/>
      <c r="AG1428" s="1421"/>
      <c r="AH1428" s="1421"/>
      <c r="AI1428" s="1421"/>
      <c r="AJ1428" s="1421"/>
      <c r="AK1428" s="1422"/>
      <c r="AL1428" s="1422"/>
      <c r="AM1428" s="343"/>
    </row>
    <row r="1429" spans="1:39" ht="12.75" customHeight="1" x14ac:dyDescent="0.25">
      <c r="A1429" s="694"/>
      <c r="B1429" s="298"/>
      <c r="C1429" s="298"/>
      <c r="D1429" s="302"/>
      <c r="E1429" s="1191" t="s">
        <v>1052</v>
      </c>
      <c r="F1429" s="2358" t="str">
        <f>Translations!$B$1530</f>
        <v>относителният праг (15 %) за средното равнище на дейност в сравнение с HAL</v>
      </c>
      <c r="G1429" s="2861"/>
      <c r="H1429" s="2861"/>
      <c r="I1429" s="2861"/>
      <c r="J1429" s="2861"/>
      <c r="K1429" s="2861"/>
      <c r="L1429" s="2861"/>
      <c r="M1429" s="2861"/>
      <c r="N1429" s="2861"/>
      <c r="O1429" s="302"/>
      <c r="P1429" s="336"/>
      <c r="Q1429" s="729"/>
      <c r="R1429" s="694"/>
      <c r="S1429" s="729"/>
      <c r="T1429" s="729"/>
      <c r="U1429" s="729"/>
      <c r="V1429" s="694"/>
      <c r="W1429" s="694"/>
      <c r="X1429" s="694"/>
      <c r="Y1429" s="694"/>
      <c r="Z1429" s="1421"/>
      <c r="AA1429" s="1421"/>
      <c r="AB1429" s="1421"/>
      <c r="AC1429" s="1421"/>
      <c r="AD1429" s="1421"/>
      <c r="AE1429" s="1421"/>
      <c r="AF1429" s="1421"/>
      <c r="AG1429" s="1421"/>
      <c r="AH1429" s="1421"/>
      <c r="AI1429" s="1421"/>
      <c r="AJ1429" s="1421"/>
      <c r="AK1429" s="1422"/>
      <c r="AL1429" s="1422"/>
      <c r="AM1429" s="343"/>
    </row>
    <row r="1430" spans="1:39" ht="12.75" customHeight="1" x14ac:dyDescent="0.25">
      <c r="A1430" s="694"/>
      <c r="B1430" s="298"/>
      <c r="C1430" s="298"/>
      <c r="D1430" s="302"/>
      <c r="E1430" s="1191" t="s">
        <v>1052</v>
      </c>
      <c r="F1430" s="2358" t="str">
        <f>Translations!$B$1531</f>
        <v>относителните прагове (15 % и 5 % за последващи промени) за очакваното равнище на дейност в сравнение с HAL</v>
      </c>
      <c r="G1430" s="2861"/>
      <c r="H1430" s="2861"/>
      <c r="I1430" s="2861"/>
      <c r="J1430" s="2861"/>
      <c r="K1430" s="2861"/>
      <c r="L1430" s="2861"/>
      <c r="M1430" s="2861"/>
      <c r="N1430" s="2861"/>
      <c r="O1430" s="302"/>
      <c r="P1430" s="336"/>
      <c r="Q1430" s="729"/>
      <c r="R1430" s="694"/>
      <c r="S1430" s="729"/>
      <c r="T1430" s="729"/>
      <c r="U1430" s="729"/>
      <c r="V1430" s="694"/>
      <c r="W1430" s="694"/>
      <c r="X1430" s="694"/>
      <c r="Y1430" s="694"/>
      <c r="Z1430" s="694"/>
      <c r="AA1430" s="694"/>
      <c r="AB1430" s="694"/>
      <c r="AC1430" s="694"/>
      <c r="AD1430" s="694"/>
      <c r="AE1430" s="694"/>
      <c r="AF1430" s="694"/>
      <c r="AG1430" s="694"/>
      <c r="AH1430" s="694"/>
      <c r="AI1430" s="694"/>
      <c r="AJ1430" s="694"/>
      <c r="AK1430" s="694"/>
      <c r="AL1430" s="694"/>
      <c r="AM1430" s="343"/>
    </row>
    <row r="1431" spans="1:39" ht="12.75" customHeight="1" thickBot="1" x14ac:dyDescent="0.3">
      <c r="A1431" s="694"/>
      <c r="B1431" s="298"/>
      <c r="C1431" s="298"/>
      <c r="D1431" s="302"/>
      <c r="E1431" s="1191" t="s">
        <v>1052</v>
      </c>
      <c r="F1431" s="2358" t="str">
        <f>Translations!$B$1514</f>
        <v>абсолютния праг, т.е. промяната би довела до разлика в предварителното разпределение от най-малко 300 квоти</v>
      </c>
      <c r="G1431" s="2861"/>
      <c r="H1431" s="2861"/>
      <c r="I1431" s="2861"/>
      <c r="J1431" s="2861"/>
      <c r="K1431" s="2861"/>
      <c r="L1431" s="2861"/>
      <c r="M1431" s="2861"/>
      <c r="N1431" s="2861"/>
      <c r="O1431" s="302"/>
      <c r="P1431" s="336"/>
      <c r="Q1431" s="729"/>
      <c r="R1431" s="694"/>
      <c r="S1431" s="729"/>
      <c r="T1431" s="729"/>
      <c r="U1431" s="729"/>
      <c r="V1431" s="694"/>
      <c r="W1431" s="694"/>
      <c r="X1431" s="694"/>
      <c r="Y1431" s="694"/>
      <c r="Z1431" s="694"/>
      <c r="AA1431" s="694"/>
      <c r="AB1431" s="694"/>
      <c r="AC1431" s="694"/>
      <c r="AD1431" s="694"/>
      <c r="AE1431" s="694"/>
      <c r="AF1431" s="694"/>
      <c r="AG1431" s="694"/>
      <c r="AH1431" s="694"/>
      <c r="AI1431" s="694"/>
      <c r="AJ1431" s="694"/>
      <c r="AK1431" s="694"/>
      <c r="AL1431" s="694"/>
      <c r="AM1431" s="343"/>
    </row>
    <row r="1432" spans="1:39" ht="5.15" customHeight="1" thickBot="1" x14ac:dyDescent="0.3">
      <c r="A1432" s="694"/>
      <c r="B1432" s="298"/>
      <c r="C1432" s="298"/>
      <c r="D1432" s="1192"/>
      <c r="E1432" s="1193"/>
      <c r="F1432" s="1194"/>
      <c r="G1432" s="1195"/>
      <c r="H1432" s="1195"/>
      <c r="I1432" s="1195"/>
      <c r="J1432" s="1195"/>
      <c r="K1432" s="1195"/>
      <c r="L1432" s="1195"/>
      <c r="M1432" s="1195"/>
      <c r="N1432" s="1196"/>
      <c r="O1432" s="302"/>
      <c r="P1432" s="336"/>
      <c r="Q1432" s="729"/>
      <c r="R1432" s="694"/>
      <c r="S1432" s="729"/>
      <c r="T1432" s="729"/>
      <c r="U1432" s="729"/>
      <c r="V1432" s="694"/>
      <c r="W1432" s="694"/>
      <c r="X1432" s="694"/>
      <c r="Y1432" s="694"/>
      <c r="Z1432" s="694"/>
      <c r="AA1432" s="694"/>
      <c r="AB1432" s="694"/>
      <c r="AC1432" s="694"/>
      <c r="AD1432" s="694"/>
      <c r="AE1432" s="694"/>
      <c r="AF1432" s="694"/>
      <c r="AG1432" s="694"/>
      <c r="AH1432" s="694"/>
      <c r="AI1432" s="694"/>
      <c r="AJ1432" s="694"/>
      <c r="AK1432" s="694"/>
      <c r="AL1432" s="694"/>
      <c r="AM1432" s="343"/>
    </row>
    <row r="1433" spans="1:39" ht="12.75" customHeight="1" x14ac:dyDescent="0.25">
      <c r="A1433" s="694"/>
      <c r="B1433" s="298"/>
      <c r="C1433" s="298"/>
      <c r="D1433" s="1217"/>
      <c r="E1433" s="1198" t="str">
        <f>Translations!$B$1334</f>
        <v>Предварителна корекция</v>
      </c>
      <c r="F1433" s="1199"/>
      <c r="G1433" s="1199"/>
      <c r="H1433" s="1200" t="str">
        <f>EUconst_Unit</f>
        <v>Единица мярка</v>
      </c>
      <c r="I1433" s="1201" t="str">
        <f>Translations!$B$1320</f>
        <v>(НМИ) HAL</v>
      </c>
      <c r="J1433" s="1202">
        <f>J$1840</f>
        <v>2026</v>
      </c>
      <c r="K1433" s="1203">
        <f>K$1840</f>
        <v>2027</v>
      </c>
      <c r="L1433" s="1203">
        <f>L$1840</f>
        <v>2028</v>
      </c>
      <c r="M1433" s="1203">
        <f>M$1840</f>
        <v>2029</v>
      </c>
      <c r="N1433" s="1204">
        <f>N$1840</f>
        <v>2030</v>
      </c>
      <c r="O1433" s="302"/>
      <c r="P1433" s="336"/>
      <c r="Q1433" s="729"/>
      <c r="R1433" s="694"/>
      <c r="S1433" s="729"/>
      <c r="T1433" s="729"/>
      <c r="U1433" s="1205"/>
      <c r="V1433" s="1206">
        <f>J1433</f>
        <v>2026</v>
      </c>
      <c r="W1433" s="1206">
        <f>K1433</f>
        <v>2027</v>
      </c>
      <c r="X1433" s="1206">
        <f>L1433</f>
        <v>2028</v>
      </c>
      <c r="Y1433" s="1206">
        <f>M1433</f>
        <v>2029</v>
      </c>
      <c r="Z1433" s="1207">
        <f>N1433</f>
        <v>2030</v>
      </c>
      <c r="AA1433" s="694"/>
      <c r="AB1433" s="729"/>
      <c r="AC1433" s="694"/>
      <c r="AD1433" s="694"/>
      <c r="AE1433" s="343"/>
      <c r="AF1433" s="343"/>
      <c r="AG1433" s="343"/>
      <c r="AH1433" s="343"/>
      <c r="AI1433" s="343"/>
      <c r="AJ1433" s="343"/>
      <c r="AK1433" s="343"/>
      <c r="AL1433" s="343"/>
      <c r="AM1433" s="343"/>
    </row>
    <row r="1434" spans="1:39" ht="12.75" customHeight="1" x14ac:dyDescent="0.25">
      <c r="A1434" s="694"/>
      <c r="B1434" s="298"/>
      <c r="C1434" s="298"/>
      <c r="D1434" s="1208" t="s">
        <v>7</v>
      </c>
      <c r="E1434" s="1209" t="str">
        <f>Translations!$B$1321</f>
        <v>Средно годишно равнище на дейност (стойност в НМИ)</v>
      </c>
      <c r="F1434" s="1209"/>
      <c r="G1434" s="1209"/>
      <c r="H1434" s="1266" t="str">
        <f>G1426</f>
        <v>t CO2e</v>
      </c>
      <c r="I1434" s="1399" t="str">
        <f>IF(V1418&gt;($J$1840-3),EUconst_NA,INDEX('B+C_SubInstallations'!$I:$I,MATCH(Q1434,'B+C_SubInstallations'!$T:$T,0)))</f>
        <v/>
      </c>
      <c r="J1434" s="1400" t="str">
        <f>IF(AND(V1434&gt;=3,CNTR_ReportingYear&gt;J1433-1),AVERAGE(SUM(H1426),SUM(I1426)),"")</f>
        <v/>
      </c>
      <c r="K1434" s="1401" t="str">
        <f>IF(AND(W1434&gt;=3,CNTR_ReportingYear&gt;K1433-1),AVERAGE(SUM(I1426),SUM(J1426)),"")</f>
        <v/>
      </c>
      <c r="L1434" s="1401" t="str">
        <f>IF(AND(X1434&gt;=3,CNTR_ReportingYear&gt;L1433-1),AVERAGE(SUM(J1426),SUM(K1426)),"")</f>
        <v/>
      </c>
      <c r="M1434" s="1401" t="str">
        <f>IF(AND(Y1434&gt;=3,CNTR_ReportingYear&gt;M1433-1),AVERAGE(SUM(K1426),SUM(L1426)),"")</f>
        <v/>
      </c>
      <c r="N1434" s="1402" t="str">
        <f>IF(AND(Z1434&gt;=3,CNTR_ReportingYear&gt;N1433-1),AVERAGE(SUM(L1426),SUM(M1426)),"")</f>
        <v/>
      </c>
      <c r="O1434" s="302"/>
      <c r="P1434" s="336"/>
      <c r="Q1434" s="1270" t="str">
        <f>EUconst_CNTR_HALinitial&amp;I1418</f>
        <v>HALini_Подинсталация с емисии от процеси (с риск от ИВЕ | извън МКВЕГ)</v>
      </c>
      <c r="R1434" s="694"/>
      <c r="S1434" s="729"/>
      <c r="T1434" s="729"/>
      <c r="U1434" s="1365" t="s">
        <v>1710</v>
      </c>
      <c r="V1434" s="834">
        <f>IF($M1418&lt;&gt;EUconst_Relevant,0,V1433-$V1418+1)</f>
        <v>0</v>
      </c>
      <c r="W1434" s="834">
        <f>IF($M1418&lt;&gt;EUconst_Relevant,0,W1433-$V1418+1)</f>
        <v>0</v>
      </c>
      <c r="X1434" s="834">
        <f>IF($M1418&lt;&gt;EUconst_Relevant,0,X1433-$V1418+1)</f>
        <v>0</v>
      </c>
      <c r="Y1434" s="834">
        <f>IF($M1418&lt;&gt;EUconst_Relevant,0,Y1433-$V1418+1)</f>
        <v>0</v>
      </c>
      <c r="Z1434" s="1403">
        <f>IF($M1418&lt;&gt;EUconst_Relevant,0,Z1433-$V1418+1)</f>
        <v>0</v>
      </c>
      <c r="AA1434" s="694"/>
      <c r="AB1434" s="729"/>
      <c r="AC1434" s="694"/>
      <c r="AD1434" s="694"/>
      <c r="AE1434" s="343"/>
      <c r="AF1434" s="343"/>
      <c r="AG1434" s="343"/>
      <c r="AH1434" s="343"/>
      <c r="AI1434" s="343"/>
      <c r="AJ1434" s="343"/>
      <c r="AK1434" s="343"/>
      <c r="AL1434" s="343"/>
      <c r="AM1434" s="343"/>
    </row>
    <row r="1435" spans="1:39" ht="12.75" hidden="1" customHeight="1" x14ac:dyDescent="0.25">
      <c r="A1435" s="729" t="s">
        <v>312</v>
      </c>
      <c r="B1435" s="298"/>
      <c r="C1435" s="298"/>
      <c r="D1435" s="1208"/>
      <c r="E1435" s="1209" t="str">
        <f>Translations!$B$1376</f>
        <v>Промяна в сравнение с HAL</v>
      </c>
      <c r="F1435" s="1209"/>
      <c r="G1435" s="1209"/>
      <c r="H1435" s="1222"/>
      <c r="I1435" s="1223"/>
      <c r="J1435" s="104" t="str">
        <f>IF(J1434="","",IF($I1437=0,IF(J1434=0,0%,100%),J1434/$I1437-1))</f>
        <v/>
      </c>
      <c r="K1435" s="99" t="str">
        <f>IF(K1434="","",IF($I1437=0,IF(K1434=0,0%,100%),K1434/$I1437-1))</f>
        <v/>
      </c>
      <c r="L1435" s="99" t="str">
        <f>IF(L1434="","",IF($I1437=0,IF(L1434=0,0%,100%),L1434/$I1437-1))</f>
        <v/>
      </c>
      <c r="M1435" s="99" t="str">
        <f>IF(M1434="","",IF($I1437=0,IF(M1434=0,0%,100%),M1434/$I1437-1))</f>
        <v/>
      </c>
      <c r="N1435" s="123" t="str">
        <f>IF(N1434="","",IF($I1437=0,IF(N1434=0,0%,100%),N1434/$I1437-1))</f>
        <v/>
      </c>
      <c r="O1435" s="302"/>
      <c r="P1435" s="336"/>
      <c r="Q1435" s="1190" t="str">
        <f>EUconst_CNTR_RelThreshold &amp;I1418</f>
        <v>RelThresh_Подинсталация с емисии от процеси (с риск от ИВЕ | извън МКВЕГ)</v>
      </c>
      <c r="R1435" s="694"/>
      <c r="S1435" s="729"/>
      <c r="T1435" s="729"/>
      <c r="U1435" s="1365" t="s">
        <v>1715</v>
      </c>
      <c r="V1435" s="727" t="str">
        <f>IF(J1434="","",ABS(J1435)&gt;15%)</f>
        <v/>
      </c>
      <c r="W1435" s="727" t="str">
        <f>IF(K1434="","",ABS(K1435)&gt;15%)</f>
        <v/>
      </c>
      <c r="X1435" s="727" t="str">
        <f>IF(L1434="","",ABS(L1435)&gt;15%)</f>
        <v/>
      </c>
      <c r="Y1435" s="727" t="str">
        <f>IF(M1434="","",ABS(M1435)&gt;15%)</f>
        <v/>
      </c>
      <c r="Z1435" s="1221" t="str">
        <f>IF(N1434="","",ABS(N1435)&gt;15%)</f>
        <v/>
      </c>
      <c r="AA1435" s="694"/>
      <c r="AB1435" s="729"/>
      <c r="AC1435" s="694"/>
      <c r="AD1435" s="694"/>
      <c r="AE1435" s="343"/>
      <c r="AF1435" s="343"/>
      <c r="AG1435" s="343"/>
      <c r="AH1435" s="343"/>
      <c r="AI1435" s="343"/>
      <c r="AJ1435" s="343"/>
      <c r="AK1435" s="343"/>
      <c r="AL1435" s="343"/>
      <c r="AM1435" s="343"/>
    </row>
    <row r="1436" spans="1:39" ht="12.75" customHeight="1" x14ac:dyDescent="0.25">
      <c r="A1436" s="729"/>
      <c r="B1436" s="298"/>
      <c r="C1436" s="298"/>
      <c r="D1436" s="1208" t="s">
        <v>8</v>
      </c>
      <c r="E1436" s="1209" t="str">
        <f>Translations!$B$1322</f>
        <v>Предварителна корекция (ако са надвишени относителните прагове)</v>
      </c>
      <c r="F1436" s="1209"/>
      <c r="G1436" s="1209"/>
      <c r="H1436" s="1222"/>
      <c r="I1436" s="1223"/>
      <c r="J1436" s="1224" t="str">
        <f>IF(J1434="","",IF(V1435=FALSE,0%,J1435))</f>
        <v/>
      </c>
      <c r="K1436" s="1225" t="str">
        <f t="shared" ref="K1436" si="2155">IF(K1434="","",IF(W1435=FALSE,0%,K1435))</f>
        <v/>
      </c>
      <c r="L1436" s="1225" t="str">
        <f t="shared" ref="L1436" si="2156">IF(L1434="","",IF(X1435=FALSE,0%,L1435))</f>
        <v/>
      </c>
      <c r="M1436" s="1225" t="str">
        <f t="shared" ref="M1436" si="2157">IF(M1434="","",IF(Y1435=FALSE,0%,M1435))</f>
        <v/>
      </c>
      <c r="N1436" s="1226" t="str">
        <f t="shared" ref="N1436" si="2158">IF(N1434="","",IF(Z1435=FALSE,0%,N1435))</f>
        <v/>
      </c>
      <c r="O1436" s="302"/>
      <c r="P1436" s="336"/>
      <c r="Q1436" s="729"/>
      <c r="R1436" s="694"/>
      <c r="S1436" s="729"/>
      <c r="T1436" s="729"/>
      <c r="U1436" s="1365" t="s">
        <v>1716</v>
      </c>
      <c r="V1436" s="727" t="str">
        <f>IF(J1434="","",AND(V1435,IF(SUM(I1551)&lt;0,OR(SUM(J1435)&lt;SUM(I1551)-MOD(SUM(I1551),5%),J1435&gt;=SUM(I1551)+5%-MOD(SUM(I1551),5%)),OR(SUM(J1435)&lt;=SUM(I1551)-MOD(SUM(I1551),5%),SUM(J1435)&gt;SUM(I1551)+5%-MOD(SUM(I1551),5%)))))</f>
        <v/>
      </c>
      <c r="W1436" s="727" t="str">
        <f>IF(K1434="","",AND(W1435,IF(SUM(J1551)&lt;0,OR(SUM(K1435)&lt;SUM(J1551)-MOD(SUM(J1551),5%),K1435&gt;=SUM(J1551)+5%-MOD(SUM(J1551),5%)),OR(SUM(K1435)&lt;=SUM(J1551)-MOD(SUM(J1551),5%),SUM(K1435)&gt;SUM(J1551)+5%-MOD(SUM(J1551),5%)))))</f>
        <v/>
      </c>
      <c r="X1436" s="727" t="str">
        <f>IF(L1434="","",AND(X1435,IF(SUM(K1551)&lt;0,OR(SUM(L1435)&lt;SUM(K1551)-MOD(SUM(K1551),5%),L1435&gt;=SUM(K1551)+5%-MOD(SUM(K1551),5%)),OR(SUM(L1435)&lt;=SUM(K1551)-MOD(SUM(K1551),5%),SUM(L1435)&gt;SUM(K1551)+5%-MOD(SUM(K1551),5%)))))</f>
        <v/>
      </c>
      <c r="Y1436" s="727" t="str">
        <f>IF(M1434="","",AND(Y1435,IF(SUM(L1551)&lt;0,OR(SUM(M1435)&lt;SUM(L1551)-MOD(SUM(L1551),5%),M1435&gt;=SUM(L1551)+5%-MOD(SUM(L1551),5%)),OR(SUM(M1435)&lt;=SUM(L1551)-MOD(SUM(L1551),5%),SUM(M1435)&gt;SUM(L1551)+5%-MOD(SUM(L1551),5%)))))</f>
        <v/>
      </c>
      <c r="Z1436" s="1221" t="str">
        <f>IF(N1434="","",AND(Z1435,IF(SUM(M1551)&lt;0,OR(SUM(N1435)&lt;SUM(M1551)-MOD(SUM(M1551),5%),N1435&gt;=SUM(M1551)+5%-MOD(SUM(M1551),5%)),OR(SUM(N1435)&lt;=SUM(M1551)-MOD(SUM(M1551),5%),SUM(N1435)&gt;SUM(M1551)+5%-MOD(SUM(M1551),5%)))))</f>
        <v/>
      </c>
      <c r="AA1436" s="694"/>
      <c r="AB1436" s="729"/>
      <c r="AC1436" s="694"/>
      <c r="AD1436" s="694"/>
      <c r="AE1436" s="343"/>
      <c r="AF1436" s="343"/>
      <c r="AG1436" s="343"/>
      <c r="AH1436" s="343"/>
      <c r="AI1436" s="343"/>
      <c r="AJ1436" s="343"/>
      <c r="AK1436" s="343"/>
      <c r="AL1436" s="343"/>
      <c r="AM1436" s="343"/>
    </row>
    <row r="1437" spans="1:39" ht="12.75" customHeight="1" thickBot="1" x14ac:dyDescent="0.3">
      <c r="A1437" s="729"/>
      <c r="B1437" s="298"/>
      <c r="C1437" s="298"/>
      <c r="D1437" s="1208" t="s">
        <v>18</v>
      </c>
      <c r="E1437" s="1209" t="str">
        <f>Translations!$B$1377</f>
        <v>Предварителна стойност</v>
      </c>
      <c r="F1437" s="1209"/>
      <c r="G1437" s="1209"/>
      <c r="H1437" s="1266" t="str">
        <f>H1434</f>
        <v>t CO2e</v>
      </c>
      <c r="I1437" s="1399" t="str">
        <f>IF(M1418&lt;&gt;EUconst_Relevant,"",IF(AB1418=FALSE,EUconst_NA,IF(V1418&gt;($J$1840-3),INDEX(H1426:N1426,MATCH($V1418,H1425:N1425,0)),I1434)))</f>
        <v/>
      </c>
      <c r="J1437" s="1400" t="str">
        <f>IF($M1418&lt;&gt;EUconst_Relevant,"",IF(V1434&lt;2,SUM(J1426),IF(V1434&lt;3,SUM(I1426),IF(V1437="",I1437,V1437))))</f>
        <v/>
      </c>
      <c r="K1437" s="1401" t="str">
        <f>IF($M1418&lt;&gt;EUconst_Relevant,"",IF(W1434&lt;2,SUM(K1426),IF(W1434&lt;3,SUM(J1426),IF(W1437="",J1437,W1437))))</f>
        <v/>
      </c>
      <c r="L1437" s="1401" t="str">
        <f>IF($M1418&lt;&gt;EUconst_Relevant,"",IF(X1434&lt;2,SUM(L1426),IF(X1434&lt;3,SUM(K1426),IF(X1437="",K1437,X1437))))</f>
        <v/>
      </c>
      <c r="M1437" s="1401" t="str">
        <f>IF($M1418&lt;&gt;EUconst_Relevant,"",IF(Y1434&lt;2,SUM(M1426),IF(Y1434&lt;3,SUM(L1426),IF(Y1437="",L1437,Y1437))))</f>
        <v/>
      </c>
      <c r="N1437" s="1402" t="str">
        <f>IF($M1418&lt;&gt;EUconst_Relevant,"",IF(Z1434&lt;2,SUM(N1426),IF(Z1434&lt;3,SUM(M1426),IF(Z1437="",M1437,Z1437))))</f>
        <v/>
      </c>
      <c r="O1437" s="710"/>
      <c r="P1437" s="336"/>
      <c r="Q1437" s="1190" t="s">
        <v>2143</v>
      </c>
      <c r="R1437" s="694"/>
      <c r="S1437" s="729"/>
      <c r="T1437" s="729"/>
      <c r="U1437" s="1404" t="s">
        <v>1711</v>
      </c>
      <c r="V1437" s="1405" t="str">
        <f>IF(J1434="","",IF(CNTR_ReportingYear&lt;J1433,I1436,IF($I1437=0,J1434,$I1437*(1+J1436))))</f>
        <v/>
      </c>
      <c r="W1437" s="1405" t="str">
        <f>IF(K1434="","",IF(CNTR_ReportingYear&lt;K1433,J1436,IF($I1437=0,K1434,$I1437*(1+K1436))))</f>
        <v/>
      </c>
      <c r="X1437" s="1405" t="str">
        <f>IF(L1434="","",IF(CNTR_ReportingYear&lt;L1433,K1436,IF($I1437=0,L1434,$I1437*(1+L1436))))</f>
        <v/>
      </c>
      <c r="Y1437" s="1405" t="str">
        <f>IF(M1434="","",IF(CNTR_ReportingYear&lt;M1433,L1436,IF($I1437=0,M1434,$I1437*(1+M1436))))</f>
        <v/>
      </c>
      <c r="Z1437" s="1406" t="str">
        <f>IF(N1434="","",IF(CNTR_ReportingYear&lt;N1433,M1436,IF($I1437=0,N1434,$I1437*(1+N1436))))</f>
        <v/>
      </c>
      <c r="AA1437" s="694"/>
      <c r="AB1437" s="694"/>
      <c r="AC1437" s="694"/>
      <c r="AD1437" s="694"/>
      <c r="AE1437" s="343"/>
      <c r="AF1437" s="343"/>
      <c r="AG1437" s="343"/>
      <c r="AH1437" s="343"/>
      <c r="AI1437" s="343"/>
      <c r="AJ1437" s="343"/>
      <c r="AK1437" s="343"/>
      <c r="AL1437" s="343"/>
      <c r="AM1437" s="343"/>
    </row>
    <row r="1438" spans="1:39" ht="5.15" customHeight="1" thickBot="1" x14ac:dyDescent="0.3">
      <c r="A1438" s="729"/>
      <c r="B1438" s="698"/>
      <c r="C1438" s="284"/>
      <c r="D1438" s="1407"/>
      <c r="E1438" s="1408"/>
      <c r="F1438" s="1408"/>
      <c r="G1438" s="1408"/>
      <c r="H1438" s="1408"/>
      <c r="I1438" s="1408"/>
      <c r="J1438" s="1408"/>
      <c r="K1438" s="1408"/>
      <c r="L1438" s="1408"/>
      <c r="M1438" s="1408"/>
      <c r="N1438" s="1409"/>
      <c r="O1438" s="336"/>
      <c r="P1438" s="336"/>
      <c r="Q1438" s="694"/>
      <c r="R1438" s="694"/>
      <c r="S1438" s="729"/>
      <c r="T1438" s="729"/>
      <c r="U1438" s="694"/>
      <c r="V1438" s="694"/>
      <c r="W1438" s="694"/>
      <c r="X1438" s="694"/>
      <c r="Y1438" s="694"/>
      <c r="Z1438" s="729"/>
      <c r="AA1438" s="729"/>
      <c r="AB1438" s="729"/>
      <c r="AC1438" s="694"/>
      <c r="AD1438" s="694"/>
      <c r="AE1438" s="343"/>
      <c r="AF1438" s="343"/>
      <c r="AG1438" s="343"/>
      <c r="AH1438" s="343"/>
      <c r="AI1438" s="343"/>
      <c r="AJ1438" s="343"/>
      <c r="AK1438" s="343"/>
      <c r="AL1438" s="343"/>
      <c r="AM1438" s="343"/>
    </row>
    <row r="1439" spans="1:39" ht="5.15" customHeight="1" x14ac:dyDescent="0.25">
      <c r="A1439" s="729" t="str">
        <f>A1440</f>
        <v/>
      </c>
      <c r="B1439" s="698"/>
      <c r="C1439" s="284"/>
      <c r="D1439" s="284"/>
      <c r="E1439" s="284"/>
      <c r="F1439" s="284"/>
      <c r="G1439" s="284"/>
      <c r="H1439" s="284"/>
      <c r="I1439" s="284"/>
      <c r="J1439" s="284"/>
      <c r="K1439" s="284"/>
      <c r="L1439" s="284"/>
      <c r="M1439" s="284"/>
      <c r="N1439" s="284"/>
      <c r="O1439" s="336"/>
      <c r="P1439" s="336"/>
      <c r="Q1439" s="694"/>
      <c r="R1439" s="694"/>
      <c r="S1439" s="729"/>
      <c r="T1439" s="729"/>
      <c r="U1439" s="694"/>
      <c r="V1439" s="694"/>
      <c r="W1439" s="694"/>
      <c r="X1439" s="694"/>
      <c r="Y1439" s="694"/>
      <c r="Z1439" s="729"/>
      <c r="AA1439" s="729"/>
      <c r="AB1439" s="729"/>
      <c r="AC1439" s="694"/>
      <c r="AD1439" s="694"/>
      <c r="AE1439" s="343"/>
      <c r="AF1439" s="343"/>
      <c r="AG1439" s="343"/>
      <c r="AH1439" s="343"/>
      <c r="AI1439" s="343"/>
      <c r="AJ1439" s="343"/>
      <c r="AK1439" s="343"/>
      <c r="AL1439" s="343"/>
      <c r="AM1439" s="343"/>
    </row>
    <row r="1440" spans="1:39" ht="14" x14ac:dyDescent="0.3">
      <c r="A1440" s="729" t="str">
        <f>IF(MATCH(I1418,EUconst_FallBackListNames,0)=4,"ausblenden","")</f>
        <v/>
      </c>
      <c r="B1440" s="698"/>
      <c r="C1440" s="590"/>
      <c r="D1440" s="2323" t="str">
        <f>Translations!$B$495</f>
        <v>Данни за производството</v>
      </c>
      <c r="E1440" s="2249"/>
      <c r="F1440" s="2249"/>
      <c r="G1440" s="2249"/>
      <c r="H1440" s="2249"/>
      <c r="I1440" s="2249"/>
      <c r="J1440" s="2249"/>
      <c r="K1440" s="2249"/>
      <c r="L1440" s="2249"/>
      <c r="M1440" s="2249"/>
      <c r="N1440" s="2249"/>
      <c r="O1440" s="336"/>
      <c r="P1440" s="336"/>
      <c r="Q1440" s="694"/>
      <c r="R1440" s="694"/>
      <c r="S1440" s="694"/>
      <c r="T1440" s="694"/>
      <c r="U1440" s="694"/>
      <c r="V1440" s="694"/>
      <c r="W1440" s="694"/>
      <c r="X1440" s="694"/>
      <c r="Y1440" s="694"/>
      <c r="Z1440" s="729"/>
      <c r="AA1440" s="729"/>
      <c r="AB1440" s="729"/>
      <c r="AC1440" s="694"/>
      <c r="AD1440" s="694"/>
      <c r="AE1440" s="343"/>
      <c r="AF1440" s="343"/>
      <c r="AG1440" s="343"/>
      <c r="AH1440" s="343"/>
      <c r="AI1440" s="343"/>
      <c r="AJ1440" s="343"/>
      <c r="AK1440" s="343"/>
      <c r="AL1440" s="343"/>
      <c r="AM1440" s="343"/>
    </row>
    <row r="1441" spans="1:39" ht="5.15" customHeight="1" x14ac:dyDescent="0.25">
      <c r="A1441" s="729" t="str">
        <f>A1440</f>
        <v/>
      </c>
      <c r="B1441" s="284"/>
      <c r="C1441" s="284"/>
      <c r="D1441" s="284"/>
      <c r="E1441" s="284"/>
      <c r="F1441" s="284"/>
      <c r="G1441" s="284"/>
      <c r="H1441" s="284"/>
      <c r="I1441" s="284"/>
      <c r="J1441" s="284"/>
      <c r="K1441" s="284"/>
      <c r="L1441" s="284"/>
      <c r="M1441" s="284"/>
      <c r="N1441" s="284"/>
      <c r="O1441" s="336"/>
      <c r="P1441" s="336"/>
      <c r="Q1441" s="770"/>
      <c r="R1441" s="770"/>
      <c r="S1441" s="694"/>
      <c r="T1441" s="694"/>
      <c r="U1441" s="694"/>
      <c r="V1441" s="694"/>
      <c r="W1441" s="694"/>
      <c r="X1441" s="694"/>
      <c r="Y1441" s="694"/>
      <c r="Z1441" s="729"/>
      <c r="AA1441" s="729"/>
      <c r="AB1441" s="729"/>
      <c r="AC1441" s="694"/>
      <c r="AD1441" s="694"/>
      <c r="AE1441" s="343"/>
      <c r="AF1441" s="343"/>
      <c r="AG1441" s="343"/>
      <c r="AH1441" s="343"/>
      <c r="AI1441" s="343"/>
      <c r="AJ1441" s="343"/>
      <c r="AK1441" s="343"/>
      <c r="AL1441" s="343"/>
      <c r="AM1441" s="343"/>
    </row>
    <row r="1442" spans="1:39" ht="12.75" customHeight="1" x14ac:dyDescent="0.25">
      <c r="A1442" s="729" t="str">
        <f t="shared" ref="A1442:A1443" si="2159">A1441</f>
        <v/>
      </c>
      <c r="B1442" s="284"/>
      <c r="C1442" s="300"/>
      <c r="D1442" s="300" t="s">
        <v>901</v>
      </c>
      <c r="E1442" s="2226" t="str">
        <f>Translations!$B$616</f>
        <v>Определяне на съответните продукти или услуги, свързани с тази подинсталация</v>
      </c>
      <c r="F1442" s="2249"/>
      <c r="G1442" s="2249"/>
      <c r="H1442" s="2249"/>
      <c r="I1442" s="2249"/>
      <c r="J1442" s="2249"/>
      <c r="K1442" s="2249"/>
      <c r="L1442" s="2249"/>
      <c r="M1442" s="2249"/>
      <c r="N1442" s="2249"/>
      <c r="O1442" s="336"/>
      <c r="P1442" s="336"/>
      <c r="Q1442" s="770"/>
      <c r="R1442" s="694"/>
      <c r="S1442" s="694"/>
      <c r="T1442" s="694"/>
      <c r="U1442" s="694"/>
      <c r="V1442" s="694"/>
      <c r="W1442" s="694"/>
      <c r="X1442" s="694"/>
      <c r="Y1442" s="694"/>
      <c r="Z1442" s="694"/>
      <c r="AA1442" s="694"/>
      <c r="AB1442" s="729"/>
      <c r="AC1442" s="694"/>
      <c r="AD1442" s="694"/>
      <c r="AE1442" s="343"/>
      <c r="AF1442" s="343"/>
      <c r="AG1442" s="343"/>
      <c r="AH1442" s="343"/>
      <c r="AI1442" s="343"/>
      <c r="AJ1442" s="343"/>
      <c r="AK1442" s="343"/>
      <c r="AL1442" s="343"/>
      <c r="AM1442" s="343"/>
    </row>
    <row r="1443" spans="1:39" ht="12.75" customHeight="1" x14ac:dyDescent="0.25">
      <c r="A1443" s="729" t="str">
        <f t="shared" si="2159"/>
        <v/>
      </c>
      <c r="B1443" s="284"/>
      <c r="C1443" s="302"/>
      <c r="D1443" s="302"/>
      <c r="E1443" s="2358" t="str">
        <f>Translations!$B$1560</f>
        <v>Моля, посочете тук към кои производствени процеси или услуги има отношение тази подинсталация.</v>
      </c>
      <c r="F1443" s="2249"/>
      <c r="G1443" s="2249"/>
      <c r="H1443" s="2249"/>
      <c r="I1443" s="2249"/>
      <c r="J1443" s="2249"/>
      <c r="K1443" s="2249"/>
      <c r="L1443" s="2249"/>
      <c r="M1443" s="2249"/>
      <c r="N1443" s="2249"/>
      <c r="O1443" s="336"/>
      <c r="P1443" s="336"/>
      <c r="Q1443" s="770"/>
      <c r="R1443" s="770"/>
      <c r="S1443" s="770"/>
      <c r="T1443" s="770"/>
      <c r="U1443" s="770"/>
      <c r="V1443" s="770"/>
      <c r="W1443" s="770"/>
      <c r="X1443" s="770"/>
      <c r="Y1443" s="770"/>
      <c r="Z1443" s="770"/>
      <c r="AA1443" s="770"/>
      <c r="AB1443" s="729"/>
      <c r="AC1443" s="694"/>
      <c r="AD1443" s="694"/>
      <c r="AE1443" s="343"/>
      <c r="AF1443" s="343"/>
      <c r="AG1443" s="343"/>
      <c r="AH1443" s="343"/>
      <c r="AI1443" s="343"/>
      <c r="AJ1443" s="343"/>
      <c r="AK1443" s="343"/>
      <c r="AL1443" s="343"/>
      <c r="AM1443" s="343"/>
    </row>
    <row r="1444" spans="1:39" ht="25.5" customHeight="1" x14ac:dyDescent="0.25">
      <c r="A1444" s="729"/>
      <c r="B1444" s="284"/>
      <c r="C1444" s="302"/>
      <c r="D1444" s="302"/>
      <c r="E1444" s="2358" t="str">
        <f>Translations!$B$497</f>
        <v>Кодовете по Продком се въвеждат като низове във вида „nnnnnnnn“, т.е. без точки или други разделителни знаци между тях. Само когато липсва код по Продком, се посочва 4-цифрения код по статистическата класификация на икономическите дейности в Европейския съюз (NACE) във вида „nnnn“.</v>
      </c>
      <c r="F1444" s="2249"/>
      <c r="G1444" s="2249"/>
      <c r="H1444" s="2249"/>
      <c r="I1444" s="2249"/>
      <c r="J1444" s="2249"/>
      <c r="K1444" s="2249"/>
      <c r="L1444" s="2249"/>
      <c r="M1444" s="2249"/>
      <c r="N1444" s="2249"/>
      <c r="O1444" s="336"/>
      <c r="P1444" s="336"/>
      <c r="Q1444" s="770"/>
      <c r="R1444" s="694"/>
      <c r="S1444" s="694"/>
      <c r="T1444" s="694"/>
      <c r="U1444" s="694"/>
      <c r="V1444" s="694"/>
      <c r="W1444" s="694"/>
      <c r="X1444" s="694"/>
      <c r="Y1444" s="694"/>
      <c r="Z1444" s="694"/>
      <c r="AA1444" s="694"/>
      <c r="AB1444" s="729"/>
      <c r="AC1444" s="694"/>
      <c r="AD1444" s="694"/>
      <c r="AE1444" s="343"/>
      <c r="AF1444" s="343"/>
      <c r="AG1444" s="343"/>
      <c r="AH1444" s="343"/>
      <c r="AI1444" s="343"/>
      <c r="AJ1444" s="343"/>
      <c r="AK1444" s="343"/>
      <c r="AL1444" s="343"/>
      <c r="AM1444" s="343"/>
    </row>
    <row r="1445" spans="1:39" ht="12.75" customHeight="1" x14ac:dyDescent="0.25">
      <c r="A1445" s="729"/>
      <c r="B1445" s="284"/>
      <c r="C1445" s="302"/>
      <c r="D1445" s="302"/>
      <c r="E1445" s="2358" t="str">
        <f>Translations!$B$498</f>
        <v>Продком списъкът за 2010 г. може да се намери на адрес: http://ec.europa.eu/eurostat/ramon/nomenclatures/index.cfm?TargetUrl=LST_CLS_DLD&amp;StrNom=PRD_2010&amp;StrLanguageCode=EN&amp;StrLayoutCode=HIERARCHIChttp://ec.europa.eu/eurostat/ramon/nomenclatures/index.cfm?TargetUrl=LST_CLS_DLD&amp;StrNom=PRD_2010&amp;StrLanguageCode=EN&amp;StrLayoutCode=HIERARCHIC</v>
      </c>
      <c r="F1445" s="2249"/>
      <c r="G1445" s="2249"/>
      <c r="H1445" s="2249"/>
      <c r="I1445" s="2249"/>
      <c r="J1445" s="2249"/>
      <c r="K1445" s="2249"/>
      <c r="L1445" s="2249"/>
      <c r="M1445" s="2249"/>
      <c r="N1445" s="2249"/>
      <c r="O1445" s="336"/>
      <c r="P1445" s="336"/>
      <c r="Q1445" s="770"/>
      <c r="R1445" s="694"/>
      <c r="S1445" s="694"/>
      <c r="T1445" s="694"/>
      <c r="U1445" s="694"/>
      <c r="V1445" s="694"/>
      <c r="W1445" s="694"/>
      <c r="X1445" s="694"/>
      <c r="Y1445" s="694"/>
      <c r="Z1445" s="694"/>
      <c r="AA1445" s="694"/>
      <c r="AB1445" s="729"/>
      <c r="AC1445" s="694"/>
      <c r="AD1445" s="694"/>
      <c r="AE1445" s="343"/>
      <c r="AF1445" s="343"/>
      <c r="AG1445" s="343"/>
      <c r="AH1445" s="343"/>
      <c r="AI1445" s="343"/>
      <c r="AJ1445" s="343"/>
      <c r="AK1445" s="343"/>
      <c r="AL1445" s="343"/>
      <c r="AM1445" s="343"/>
    </row>
    <row r="1446" spans="1:39" ht="12.75" customHeight="1" x14ac:dyDescent="0.25">
      <c r="A1446" s="729"/>
      <c r="B1446" s="284"/>
      <c r="C1446" s="302"/>
      <c r="D1446" s="302"/>
      <c r="E1446" s="2855" t="str">
        <f>Translations!$B$1532</f>
        <v>https://eur-lex.europa.eu/eli/reg/2010/860/oj</v>
      </c>
      <c r="F1446" s="2899"/>
      <c r="G1446" s="2899"/>
      <c r="H1446" s="2899"/>
      <c r="I1446" s="2899"/>
      <c r="J1446" s="2899"/>
      <c r="K1446" s="2899"/>
      <c r="L1446" s="2899"/>
      <c r="M1446" s="2899"/>
      <c r="N1446" s="2899"/>
      <c r="O1446" s="336"/>
      <c r="P1446" s="336"/>
      <c r="Q1446" s="770"/>
      <c r="R1446" s="694"/>
      <c r="S1446" s="694"/>
      <c r="T1446" s="694"/>
      <c r="U1446" s="694"/>
      <c r="V1446" s="694"/>
      <c r="W1446" s="694"/>
      <c r="X1446" s="694"/>
      <c r="Y1446" s="694"/>
      <c r="Z1446" s="694"/>
      <c r="AA1446" s="694"/>
      <c r="AB1446" s="729"/>
      <c r="AC1446" s="694"/>
      <c r="AD1446" s="694"/>
      <c r="AE1446" s="343"/>
      <c r="AF1446" s="343"/>
      <c r="AG1446" s="343"/>
      <c r="AH1446" s="343"/>
      <c r="AI1446" s="343"/>
      <c r="AJ1446" s="343"/>
      <c r="AK1446" s="343"/>
      <c r="AL1446" s="343"/>
      <c r="AM1446" s="343"/>
    </row>
    <row r="1447" spans="1:39" ht="12.75" customHeight="1" x14ac:dyDescent="0.25">
      <c r="A1447" s="729"/>
      <c r="B1447" s="284"/>
      <c r="C1447" s="302"/>
      <c r="D1447" s="302"/>
      <c r="E1447" s="2358" t="str">
        <f>Translations!$B$621</f>
        <v>Ако са обхванати няколко подобни продукта в рамките на една група по NACE, могат да се използват кодовете по NACE вместо по Продком.</v>
      </c>
      <c r="F1447" s="2249"/>
      <c r="G1447" s="2249"/>
      <c r="H1447" s="2249"/>
      <c r="I1447" s="2249"/>
      <c r="J1447" s="2249"/>
      <c r="K1447" s="2249"/>
      <c r="L1447" s="2249"/>
      <c r="M1447" s="2249"/>
      <c r="N1447" s="2249"/>
      <c r="O1447" s="336"/>
      <c r="P1447" s="336"/>
      <c r="Q1447" s="770"/>
      <c r="R1447" s="770"/>
      <c r="S1447" s="770"/>
      <c r="T1447" s="770"/>
      <c r="U1447" s="770"/>
      <c r="V1447" s="770"/>
      <c r="W1447" s="770"/>
      <c r="X1447" s="770"/>
      <c r="Y1447" s="770"/>
      <c r="Z1447" s="694"/>
      <c r="AA1447" s="694"/>
      <c r="AB1447" s="729"/>
      <c r="AC1447" s="694"/>
      <c r="AD1447" s="694"/>
      <c r="AE1447" s="343"/>
      <c r="AF1447" s="343"/>
      <c r="AG1447" s="343"/>
      <c r="AH1447" s="343"/>
      <c r="AI1447" s="343"/>
      <c r="AJ1447" s="343"/>
      <c r="AK1447" s="343"/>
      <c r="AL1447" s="343"/>
      <c r="AM1447" s="343"/>
    </row>
    <row r="1448" spans="1:39" ht="12.75" customHeight="1" x14ac:dyDescent="0.25">
      <c r="A1448" s="729"/>
      <c r="B1448" s="284"/>
      <c r="C1448" s="302"/>
      <c r="D1448" s="302"/>
      <c r="E1448" s="2358" t="str">
        <f>Translations!$B$1520</f>
        <v>Кодовете по КН са кодовете съгласно Регламент (ЕИО) № 2658/87, които са на разположение на следния адрес:</v>
      </c>
      <c r="F1448" s="2249"/>
      <c r="G1448" s="2249"/>
      <c r="H1448" s="2249"/>
      <c r="I1448" s="2249"/>
      <c r="J1448" s="2249"/>
      <c r="K1448" s="2249"/>
      <c r="L1448" s="2249"/>
      <c r="M1448" s="2249"/>
      <c r="N1448" s="2249"/>
      <c r="O1448" s="336"/>
      <c r="P1448" s="336"/>
      <c r="Q1448" s="770"/>
      <c r="R1448" s="770"/>
      <c r="S1448" s="770"/>
      <c r="T1448" s="770"/>
      <c r="U1448" s="770"/>
      <c r="V1448" s="770"/>
      <c r="W1448" s="770"/>
      <c r="X1448" s="770"/>
      <c r="Y1448" s="770"/>
      <c r="Z1448" s="694"/>
      <c r="AA1448" s="694"/>
      <c r="AB1448" s="729"/>
      <c r="AC1448" s="694"/>
      <c r="AD1448" s="694"/>
      <c r="AE1448" s="343"/>
      <c r="AF1448" s="343"/>
      <c r="AG1448" s="343"/>
      <c r="AH1448" s="343"/>
      <c r="AI1448" s="343"/>
      <c r="AJ1448" s="343"/>
      <c r="AK1448" s="343"/>
      <c r="AL1448" s="343"/>
      <c r="AM1448" s="343"/>
    </row>
    <row r="1449" spans="1:39" ht="12.75" customHeight="1" x14ac:dyDescent="0.25">
      <c r="A1449" s="729"/>
      <c r="B1449" s="284"/>
      <c r="C1449" s="302"/>
      <c r="D1449" s="302"/>
      <c r="E1449" s="2855" t="str">
        <f>Translations!$B$1521</f>
        <v>https://eur-lex.europa.eu/eli/reg/1987/2658/2023-06-17</v>
      </c>
      <c r="F1449" s="2899"/>
      <c r="G1449" s="2899"/>
      <c r="H1449" s="2899"/>
      <c r="I1449" s="2899"/>
      <c r="J1449" s="2899"/>
      <c r="K1449" s="2899"/>
      <c r="L1449" s="2899"/>
      <c r="M1449" s="2899"/>
      <c r="N1449" s="2899"/>
      <c r="O1449" s="336"/>
      <c r="P1449" s="336"/>
      <c r="Q1449" s="770"/>
      <c r="R1449" s="770"/>
      <c r="S1449" s="770"/>
      <c r="T1449" s="770"/>
      <c r="U1449" s="770"/>
      <c r="V1449" s="770"/>
      <c r="W1449" s="770"/>
      <c r="X1449" s="770"/>
      <c r="Y1449" s="770"/>
      <c r="Z1449" s="694"/>
      <c r="AA1449" s="694"/>
      <c r="AB1449" s="729"/>
      <c r="AC1449" s="694"/>
      <c r="AD1449" s="694"/>
      <c r="AE1449" s="343"/>
      <c r="AF1449" s="343"/>
      <c r="AG1449" s="343"/>
      <c r="AH1449" s="343"/>
      <c r="AI1449" s="343"/>
      <c r="AJ1449" s="343"/>
      <c r="AK1449" s="343"/>
      <c r="AL1449" s="343"/>
      <c r="AM1449" s="343"/>
    </row>
    <row r="1450" spans="1:39" ht="5.15" customHeight="1" x14ac:dyDescent="0.25">
      <c r="A1450" s="729"/>
      <c r="B1450" s="284"/>
      <c r="C1450" s="302"/>
      <c r="D1450" s="302"/>
      <c r="E1450" s="460"/>
      <c r="F1450" s="460"/>
      <c r="G1450" s="460"/>
      <c r="H1450" s="460"/>
      <c r="I1450" s="460"/>
      <c r="J1450" s="329"/>
      <c r="K1450" s="329"/>
      <c r="L1450" s="329"/>
      <c r="M1450" s="336"/>
      <c r="N1450" s="336"/>
      <c r="O1450" s="336"/>
      <c r="P1450" s="336"/>
      <c r="Q1450" s="770"/>
      <c r="R1450" s="694"/>
      <c r="S1450" s="694"/>
      <c r="T1450" s="694"/>
      <c r="U1450" s="694"/>
      <c r="V1450" s="694"/>
      <c r="W1450" s="694"/>
      <c r="X1450" s="694"/>
      <c r="Y1450" s="694"/>
      <c r="Z1450" s="694"/>
      <c r="AA1450" s="694"/>
      <c r="AB1450" s="729"/>
      <c r="AC1450" s="694"/>
      <c r="AD1450" s="694"/>
      <c r="AE1450" s="343"/>
      <c r="AF1450" s="343"/>
      <c r="AG1450" s="343"/>
      <c r="AH1450" s="343"/>
      <c r="AI1450" s="343"/>
      <c r="AJ1450" s="343"/>
      <c r="AK1450" s="343"/>
      <c r="AL1450" s="343"/>
      <c r="AM1450" s="343"/>
    </row>
    <row r="1451" spans="1:39" ht="25.5" customHeight="1" x14ac:dyDescent="0.25">
      <c r="A1451" s="729"/>
      <c r="B1451" s="698"/>
      <c r="C1451" s="300"/>
      <c r="D1451" s="1014"/>
      <c r="E1451" s="2900" t="str">
        <f>Translations!$B$1561</f>
        <v>Вид технологични емисии</v>
      </c>
      <c r="F1451" s="2901"/>
      <c r="G1451" s="2902" t="str">
        <f>Translations!$B$1557</f>
        <v>Име на продукт или вид услуга</v>
      </c>
      <c r="H1451" s="2463"/>
      <c r="I1451" s="2463"/>
      <c r="J1451" s="2463"/>
      <c r="K1451" s="2463"/>
      <c r="L1451" s="2699"/>
      <c r="M1451" s="1277" t="str">
        <f>Translations!$B$1522</f>
        <v>ПРОДКОМ за 2010 г.</v>
      </c>
      <c r="N1451" s="1277" t="str">
        <f>Translations!$B$1523</f>
        <v>Код по КН</v>
      </c>
      <c r="O1451" s="336"/>
      <c r="P1451" s="336"/>
      <c r="Q1451" s="694"/>
      <c r="R1451" s="694"/>
      <c r="S1451" s="1390" t="s">
        <v>1990</v>
      </c>
      <c r="T1451" s="694"/>
      <c r="U1451" s="694"/>
      <c r="V1451" s="694"/>
      <c r="W1451" s="694"/>
      <c r="X1451" s="694"/>
      <c r="Y1451" s="694"/>
      <c r="Z1451" s="770"/>
      <c r="AA1451" s="770"/>
      <c r="AB1451" s="729"/>
      <c r="AC1451" s="694"/>
      <c r="AD1451" s="694"/>
      <c r="AE1451" s="343"/>
      <c r="AF1451" s="343"/>
      <c r="AG1451" s="343"/>
      <c r="AH1451" s="343"/>
      <c r="AI1451" s="343"/>
      <c r="AJ1451" s="343"/>
      <c r="AK1451" s="343"/>
      <c r="AL1451" s="343"/>
      <c r="AM1451" s="343"/>
    </row>
    <row r="1452" spans="1:39" ht="12.75" customHeight="1" x14ac:dyDescent="0.25">
      <c r="A1452" s="729"/>
      <c r="B1452" s="698"/>
      <c r="C1452" s="773"/>
      <c r="D1452" s="981">
        <v>1</v>
      </c>
      <c r="E1452" s="2420"/>
      <c r="F1452" s="2421"/>
      <c r="G1452" s="2903"/>
      <c r="H1452" s="2904"/>
      <c r="I1452" s="2904"/>
      <c r="J1452" s="2904"/>
      <c r="K1452" s="2904"/>
      <c r="L1452" s="2905"/>
      <c r="M1452" s="221"/>
      <c r="N1452" s="221"/>
      <c r="O1452" s="336"/>
      <c r="P1452" s="158"/>
      <c r="Q1452" s="694"/>
      <c r="R1452" s="1174"/>
      <c r="S1452" s="982" t="b">
        <f>TRUE</f>
        <v>1</v>
      </c>
      <c r="T1452" s="1411" t="s">
        <v>2078</v>
      </c>
      <c r="U1452" s="694"/>
      <c r="V1452" s="694"/>
      <c r="W1452" s="694"/>
      <c r="X1452" s="694"/>
      <c r="Y1452" s="694"/>
      <c r="Z1452" s="694"/>
      <c r="AA1452" s="694"/>
      <c r="AB1452" s="729"/>
      <c r="AC1452" s="694"/>
      <c r="AD1452" s="694"/>
      <c r="AE1452" s="343"/>
      <c r="AF1452" s="343"/>
      <c r="AG1452" s="343"/>
      <c r="AH1452" s="343"/>
      <c r="AI1452" s="343"/>
      <c r="AJ1452" s="343"/>
      <c r="AK1452" s="1174" t="s">
        <v>2039</v>
      </c>
      <c r="AL1452" s="1176" t="str">
        <f>IF(AND($M1418=EUconst_Relevant,COUNTA(E1452:N1452)&lt;IF(C1418=9,2,4)),EUconst_Error&amp;"FB"&amp;Q1418,"")</f>
        <v/>
      </c>
      <c r="AM1452" s="343"/>
    </row>
    <row r="1453" spans="1:39" ht="12.75" customHeight="1" x14ac:dyDescent="0.25">
      <c r="A1453" s="729"/>
      <c r="B1453" s="698"/>
      <c r="C1453" s="773"/>
      <c r="D1453" s="990">
        <f>D1452+1</f>
        <v>2</v>
      </c>
      <c r="E1453" s="2406"/>
      <c r="F1453" s="2405"/>
      <c r="G1453" s="2913"/>
      <c r="H1453" s="2914"/>
      <c r="I1453" s="2914"/>
      <c r="J1453" s="2914"/>
      <c r="K1453" s="2914"/>
      <c r="L1453" s="2915"/>
      <c r="M1453" s="224"/>
      <c r="N1453" s="224"/>
      <c r="O1453" s="336"/>
      <c r="P1453" s="158"/>
      <c r="Q1453" s="694"/>
      <c r="R1453" s="694"/>
      <c r="S1453" s="982" t="b">
        <f>TRUE</f>
        <v>1</v>
      </c>
      <c r="T1453" s="694"/>
      <c r="U1453" s="694"/>
      <c r="V1453" s="694"/>
      <c r="W1453" s="694"/>
      <c r="X1453" s="694"/>
      <c r="Y1453" s="694"/>
      <c r="Z1453" s="694"/>
      <c r="AA1453" s="694"/>
      <c r="AB1453" s="729"/>
      <c r="AC1453" s="694"/>
      <c r="AD1453" s="694"/>
      <c r="AE1453" s="343"/>
      <c r="AF1453" s="343"/>
      <c r="AG1453" s="343"/>
      <c r="AH1453" s="343"/>
      <c r="AI1453" s="343"/>
      <c r="AJ1453" s="343"/>
      <c r="AK1453" s="343"/>
      <c r="AL1453" s="343"/>
      <c r="AM1453" s="343"/>
    </row>
    <row r="1454" spans="1:39" ht="12.75" customHeight="1" x14ac:dyDescent="0.25">
      <c r="A1454" s="729"/>
      <c r="B1454" s="698"/>
      <c r="C1454" s="773"/>
      <c r="D1454" s="990">
        <f t="shared" ref="D1454:D1461" si="2160">D1453+1</f>
        <v>3</v>
      </c>
      <c r="E1454" s="2406"/>
      <c r="F1454" s="2405"/>
      <c r="G1454" s="2913"/>
      <c r="H1454" s="2914"/>
      <c r="I1454" s="2914"/>
      <c r="J1454" s="2914"/>
      <c r="K1454" s="2914"/>
      <c r="L1454" s="2915"/>
      <c r="M1454" s="224"/>
      <c r="N1454" s="224"/>
      <c r="O1454" s="336"/>
      <c r="P1454" s="158"/>
      <c r="Q1454" s="694"/>
      <c r="R1454" s="694"/>
      <c r="S1454" s="982" t="b">
        <f>TRUE</f>
        <v>1</v>
      </c>
      <c r="T1454" s="694"/>
      <c r="U1454" s="694"/>
      <c r="V1454" s="694"/>
      <c r="W1454" s="694"/>
      <c r="X1454" s="694"/>
      <c r="Y1454" s="694"/>
      <c r="Z1454" s="694"/>
      <c r="AA1454" s="694"/>
      <c r="AB1454" s="729"/>
      <c r="AC1454" s="694"/>
      <c r="AD1454" s="694"/>
      <c r="AE1454" s="343"/>
      <c r="AF1454" s="343"/>
      <c r="AG1454" s="343"/>
      <c r="AH1454" s="343"/>
      <c r="AI1454" s="343"/>
      <c r="AJ1454" s="343"/>
      <c r="AK1454" s="343"/>
      <c r="AL1454" s="343"/>
      <c r="AM1454" s="343"/>
    </row>
    <row r="1455" spans="1:39" ht="12.75" customHeight="1" x14ac:dyDescent="0.25">
      <c r="A1455" s="729"/>
      <c r="B1455" s="698"/>
      <c r="C1455" s="773"/>
      <c r="D1455" s="990">
        <f t="shared" si="2160"/>
        <v>4</v>
      </c>
      <c r="E1455" s="2406"/>
      <c r="F1455" s="2405"/>
      <c r="G1455" s="2913"/>
      <c r="H1455" s="2914"/>
      <c r="I1455" s="2914"/>
      <c r="J1455" s="2914"/>
      <c r="K1455" s="2914"/>
      <c r="L1455" s="2915"/>
      <c r="M1455" s="222"/>
      <c r="N1455" s="222"/>
      <c r="O1455" s="336"/>
      <c r="P1455" s="158"/>
      <c r="Q1455" s="694"/>
      <c r="R1455" s="694"/>
      <c r="S1455" s="982" t="b">
        <f>TRUE</f>
        <v>1</v>
      </c>
      <c r="T1455" s="694"/>
      <c r="U1455" s="694"/>
      <c r="V1455" s="694"/>
      <c r="W1455" s="694"/>
      <c r="X1455" s="694"/>
      <c r="Y1455" s="694"/>
      <c r="Z1455" s="694"/>
      <c r="AA1455" s="694"/>
      <c r="AB1455" s="729"/>
      <c r="AC1455" s="694"/>
      <c r="AD1455" s="694"/>
      <c r="AE1455" s="343"/>
      <c r="AF1455" s="343"/>
      <c r="AG1455" s="343"/>
      <c r="AH1455" s="343"/>
      <c r="AI1455" s="343"/>
      <c r="AJ1455" s="343"/>
      <c r="AK1455" s="343"/>
      <c r="AL1455" s="343"/>
      <c r="AM1455" s="343"/>
    </row>
    <row r="1456" spans="1:39" ht="12.75" customHeight="1" x14ac:dyDescent="0.25">
      <c r="A1456" s="729"/>
      <c r="B1456" s="698"/>
      <c r="C1456" s="773"/>
      <c r="D1456" s="990">
        <f t="shared" si="2160"/>
        <v>5</v>
      </c>
      <c r="E1456" s="2406"/>
      <c r="F1456" s="2405"/>
      <c r="G1456" s="2913"/>
      <c r="H1456" s="2914"/>
      <c r="I1456" s="2914"/>
      <c r="J1456" s="2914"/>
      <c r="K1456" s="2914"/>
      <c r="L1456" s="2915"/>
      <c r="M1456" s="222"/>
      <c r="N1456" s="222"/>
      <c r="O1456" s="336"/>
      <c r="P1456" s="158"/>
      <c r="Q1456" s="694"/>
      <c r="R1456" s="694"/>
      <c r="S1456" s="982" t="b">
        <f>TRUE</f>
        <v>1</v>
      </c>
      <c r="T1456" s="694"/>
      <c r="U1456" s="694"/>
      <c r="V1456" s="694"/>
      <c r="W1456" s="694"/>
      <c r="X1456" s="694"/>
      <c r="Y1456" s="694"/>
      <c r="Z1456" s="770"/>
      <c r="AA1456" s="770"/>
      <c r="AB1456" s="729"/>
      <c r="AC1456" s="694"/>
      <c r="AD1456" s="694"/>
      <c r="AE1456" s="343"/>
      <c r="AF1456" s="343"/>
      <c r="AG1456" s="343"/>
      <c r="AH1456" s="343"/>
      <c r="AI1456" s="343"/>
      <c r="AJ1456" s="343"/>
      <c r="AK1456" s="343"/>
      <c r="AL1456" s="343"/>
      <c r="AM1456" s="343"/>
    </row>
    <row r="1457" spans="1:39" ht="12.75" customHeight="1" x14ac:dyDescent="0.25">
      <c r="A1457" s="729"/>
      <c r="B1457" s="698"/>
      <c r="C1457" s="773"/>
      <c r="D1457" s="990">
        <f t="shared" si="2160"/>
        <v>6</v>
      </c>
      <c r="E1457" s="2406"/>
      <c r="F1457" s="2405"/>
      <c r="G1457" s="2907"/>
      <c r="H1457" s="2908"/>
      <c r="I1457" s="2908"/>
      <c r="J1457" s="2908"/>
      <c r="K1457" s="2908"/>
      <c r="L1457" s="2909"/>
      <c r="M1457" s="222"/>
      <c r="N1457" s="222"/>
      <c r="O1457" s="336"/>
      <c r="P1457" s="158"/>
      <c r="Q1457" s="694"/>
      <c r="R1457" s="694"/>
      <c r="S1457" s="982" t="b">
        <f>TRUE</f>
        <v>1</v>
      </c>
      <c r="T1457" s="694"/>
      <c r="U1457" s="694"/>
      <c r="V1457" s="694"/>
      <c r="W1457" s="694"/>
      <c r="X1457" s="694"/>
      <c r="Y1457" s="694"/>
      <c r="Z1457" s="694"/>
      <c r="AA1457" s="694"/>
      <c r="AB1457" s="729"/>
      <c r="AC1457" s="694"/>
      <c r="AD1457" s="694"/>
      <c r="AE1457" s="343"/>
      <c r="AF1457" s="343"/>
      <c r="AG1457" s="343"/>
      <c r="AH1457" s="343"/>
      <c r="AI1457" s="343"/>
      <c r="AJ1457" s="343"/>
      <c r="AK1457" s="343"/>
      <c r="AL1457" s="343"/>
      <c r="AM1457" s="343"/>
    </row>
    <row r="1458" spans="1:39" ht="12.75" customHeight="1" x14ac:dyDescent="0.25">
      <c r="A1458" s="729"/>
      <c r="B1458" s="698"/>
      <c r="C1458" s="773"/>
      <c r="D1458" s="990">
        <f t="shared" si="2160"/>
        <v>7</v>
      </c>
      <c r="E1458" s="2406"/>
      <c r="F1458" s="2405"/>
      <c r="G1458" s="2907"/>
      <c r="H1458" s="2908"/>
      <c r="I1458" s="2908"/>
      <c r="J1458" s="2908"/>
      <c r="K1458" s="2908"/>
      <c r="L1458" s="2909"/>
      <c r="M1458" s="222"/>
      <c r="N1458" s="222"/>
      <c r="O1458" s="336"/>
      <c r="P1458" s="158"/>
      <c r="Q1458" s="694"/>
      <c r="R1458" s="694"/>
      <c r="S1458" s="982" t="b">
        <f>TRUE</f>
        <v>1</v>
      </c>
      <c r="T1458" s="694"/>
      <c r="U1458" s="694"/>
      <c r="V1458" s="694"/>
      <c r="W1458" s="694"/>
      <c r="X1458" s="694"/>
      <c r="Y1458" s="694"/>
      <c r="Z1458" s="694"/>
      <c r="AA1458" s="694"/>
      <c r="AB1458" s="729"/>
      <c r="AC1458" s="694"/>
      <c r="AD1458" s="694"/>
      <c r="AE1458" s="343"/>
      <c r="AF1458" s="343"/>
      <c r="AG1458" s="343"/>
      <c r="AH1458" s="343"/>
      <c r="AI1458" s="343"/>
      <c r="AJ1458" s="343"/>
      <c r="AK1458" s="343"/>
      <c r="AL1458" s="343"/>
      <c r="AM1458" s="343"/>
    </row>
    <row r="1459" spans="1:39" ht="12.75" customHeight="1" x14ac:dyDescent="0.25">
      <c r="A1459" s="729"/>
      <c r="B1459" s="698"/>
      <c r="C1459" s="773"/>
      <c r="D1459" s="990">
        <f t="shared" si="2160"/>
        <v>8</v>
      </c>
      <c r="E1459" s="2406"/>
      <c r="F1459" s="2405"/>
      <c r="G1459" s="2907"/>
      <c r="H1459" s="2908"/>
      <c r="I1459" s="2908"/>
      <c r="J1459" s="2908"/>
      <c r="K1459" s="2908"/>
      <c r="L1459" s="2909"/>
      <c r="M1459" s="222"/>
      <c r="N1459" s="222"/>
      <c r="O1459" s="336"/>
      <c r="P1459" s="158"/>
      <c r="Q1459" s="694"/>
      <c r="R1459" s="694"/>
      <c r="S1459" s="982" t="b">
        <f>TRUE</f>
        <v>1</v>
      </c>
      <c r="T1459" s="694"/>
      <c r="U1459" s="694"/>
      <c r="V1459" s="694"/>
      <c r="W1459" s="694"/>
      <c r="X1459" s="694"/>
      <c r="Y1459" s="694"/>
      <c r="Z1459" s="694"/>
      <c r="AA1459" s="694"/>
      <c r="AB1459" s="729"/>
      <c r="AC1459" s="694"/>
      <c r="AD1459" s="694"/>
      <c r="AE1459" s="343"/>
      <c r="AF1459" s="343"/>
      <c r="AG1459" s="343"/>
      <c r="AH1459" s="343"/>
      <c r="AI1459" s="343"/>
      <c r="AJ1459" s="343"/>
      <c r="AK1459" s="343"/>
      <c r="AL1459" s="343"/>
      <c r="AM1459" s="343"/>
    </row>
    <row r="1460" spans="1:39" ht="12.75" customHeight="1" x14ac:dyDescent="0.25">
      <c r="A1460" s="729"/>
      <c r="B1460" s="698"/>
      <c r="C1460" s="773"/>
      <c r="D1460" s="990">
        <f t="shared" si="2160"/>
        <v>9</v>
      </c>
      <c r="E1460" s="2406"/>
      <c r="F1460" s="2405"/>
      <c r="G1460" s="2907"/>
      <c r="H1460" s="2908"/>
      <c r="I1460" s="2908"/>
      <c r="J1460" s="2908"/>
      <c r="K1460" s="2908"/>
      <c r="L1460" s="2909"/>
      <c r="M1460" s="222"/>
      <c r="N1460" s="222"/>
      <c r="O1460" s="336"/>
      <c r="P1460" s="158"/>
      <c r="Q1460" s="694"/>
      <c r="R1460" s="694"/>
      <c r="S1460" s="982" t="b">
        <f>TRUE</f>
        <v>1</v>
      </c>
      <c r="T1460" s="694"/>
      <c r="U1460" s="694"/>
      <c r="V1460" s="694"/>
      <c r="W1460" s="694"/>
      <c r="X1460" s="694"/>
      <c r="Y1460" s="694"/>
      <c r="Z1460" s="694"/>
      <c r="AA1460" s="694"/>
      <c r="AB1460" s="729"/>
      <c r="AC1460" s="694"/>
      <c r="AD1460" s="694"/>
      <c r="AE1460" s="343"/>
      <c r="AF1460" s="343"/>
      <c r="AG1460" s="343"/>
      <c r="AH1460" s="343"/>
      <c r="AI1460" s="343"/>
      <c r="AJ1460" s="343"/>
      <c r="AK1460" s="343"/>
      <c r="AL1460" s="343"/>
      <c r="AM1460" s="343"/>
    </row>
    <row r="1461" spans="1:39" ht="12.75" customHeight="1" x14ac:dyDescent="0.25">
      <c r="A1461" s="729"/>
      <c r="B1461" s="698"/>
      <c r="C1461" s="773"/>
      <c r="D1461" s="994">
        <f t="shared" si="2160"/>
        <v>10</v>
      </c>
      <c r="E1461" s="2417"/>
      <c r="F1461" s="2403"/>
      <c r="G1461" s="2910"/>
      <c r="H1461" s="2911"/>
      <c r="I1461" s="2911"/>
      <c r="J1461" s="2911"/>
      <c r="K1461" s="2911"/>
      <c r="L1461" s="2912"/>
      <c r="M1461" s="223"/>
      <c r="N1461" s="223"/>
      <c r="O1461" s="336"/>
      <c r="P1461" s="158"/>
      <c r="Q1461" s="694"/>
      <c r="R1461" s="694"/>
      <c r="S1461" s="982" t="b">
        <f>TRUE</f>
        <v>1</v>
      </c>
      <c r="T1461" s="694"/>
      <c r="U1461" s="694"/>
      <c r="V1461" s="694"/>
      <c r="W1461" s="694"/>
      <c r="X1461" s="694"/>
      <c r="Y1461" s="694"/>
      <c r="Z1461" s="770"/>
      <c r="AA1461" s="770"/>
      <c r="AB1461" s="729"/>
      <c r="AC1461" s="694"/>
      <c r="AD1461" s="694"/>
      <c r="AE1461" s="343"/>
      <c r="AF1461" s="343"/>
      <c r="AG1461" s="343"/>
      <c r="AH1461" s="343"/>
      <c r="AI1461" s="343"/>
      <c r="AJ1461" s="343"/>
      <c r="AK1461" s="343"/>
      <c r="AL1461" s="343"/>
      <c r="AM1461" s="343"/>
    </row>
    <row r="1462" spans="1:39" ht="5.15" customHeight="1" x14ac:dyDescent="0.25">
      <c r="A1462" s="729"/>
      <c r="B1462" s="284"/>
      <c r="C1462" s="284"/>
      <c r="D1462" s="284"/>
      <c r="E1462" s="284"/>
      <c r="F1462" s="284"/>
      <c r="G1462" s="284"/>
      <c r="H1462" s="284"/>
      <c r="I1462" s="284"/>
      <c r="J1462" s="284"/>
      <c r="K1462" s="284"/>
      <c r="L1462" s="284"/>
      <c r="M1462" s="284"/>
      <c r="N1462" s="284"/>
      <c r="O1462" s="336"/>
      <c r="P1462" s="336"/>
      <c r="Q1462" s="770"/>
      <c r="R1462" s="770"/>
      <c r="S1462" s="694"/>
      <c r="T1462" s="694"/>
      <c r="U1462" s="694"/>
      <c r="V1462" s="694"/>
      <c r="W1462" s="694"/>
      <c r="X1462" s="694"/>
      <c r="Y1462" s="694"/>
      <c r="Z1462" s="694"/>
      <c r="AA1462" s="694"/>
      <c r="AB1462" s="729"/>
      <c r="AC1462" s="694"/>
      <c r="AD1462" s="694"/>
      <c r="AE1462" s="343"/>
      <c r="AF1462" s="343"/>
      <c r="AG1462" s="343"/>
      <c r="AH1462" s="343"/>
      <c r="AI1462" s="343"/>
      <c r="AJ1462" s="343"/>
      <c r="AK1462" s="343"/>
      <c r="AL1462" s="343"/>
      <c r="AM1462" s="343"/>
    </row>
    <row r="1463" spans="1:39" ht="12.75" customHeight="1" x14ac:dyDescent="0.25">
      <c r="A1463" s="729"/>
      <c r="B1463" s="284"/>
      <c r="C1463" s="300"/>
      <c r="D1463" s="300"/>
      <c r="E1463" s="2226" t="str">
        <f>Translations!$B$625</f>
        <v>Равнища на производство:</v>
      </c>
      <c r="F1463" s="2249"/>
      <c r="G1463" s="2249"/>
      <c r="H1463" s="2249"/>
      <c r="I1463" s="2249"/>
      <c r="J1463" s="2249"/>
      <c r="K1463" s="2249"/>
      <c r="L1463" s="2249"/>
      <c r="M1463" s="2249"/>
      <c r="N1463" s="2249"/>
      <c r="O1463" s="336"/>
      <c r="P1463" s="336"/>
      <c r="Q1463" s="770"/>
      <c r="R1463" s="694"/>
      <c r="S1463" s="694"/>
      <c r="T1463" s="694"/>
      <c r="U1463" s="694"/>
      <c r="V1463" s="694"/>
      <c r="W1463" s="694"/>
      <c r="X1463" s="694"/>
      <c r="Y1463" s="694"/>
      <c r="Z1463" s="694"/>
      <c r="AA1463" s="694"/>
      <c r="AB1463" s="729"/>
      <c r="AC1463" s="694"/>
      <c r="AD1463" s="694"/>
      <c r="AE1463" s="343"/>
      <c r="AF1463" s="343"/>
      <c r="AG1463" s="343"/>
      <c r="AH1463" s="343"/>
      <c r="AI1463" s="343"/>
      <c r="AJ1463" s="343"/>
      <c r="AK1463" s="343"/>
      <c r="AL1463" s="343"/>
      <c r="AM1463" s="343"/>
    </row>
    <row r="1464" spans="1:39" ht="25.5" customHeight="1" x14ac:dyDescent="0.25">
      <c r="A1464" s="729"/>
      <c r="B1464" s="284"/>
      <c r="C1464" s="300"/>
      <c r="D1464" s="300"/>
      <c r="E1464" s="2358" t="str">
        <f>Translations!$B$1533</f>
        <v>Следва да се отбележи, че правилото за енергийната ефективност може да се приложи само в случай на производството на конкретен продукт. Следователно, ако за даден продукт не може да бъде определен код по ПРОДКОМ, това правило не може да се прилага и очакваните равнища на дейност ще бъдат равни на действителните равнища на дейност (т.е. ще се отчитат спрямо оставащото AL), без никаква корекция.</v>
      </c>
      <c r="F1464" s="2249"/>
      <c r="G1464" s="2249"/>
      <c r="H1464" s="2249"/>
      <c r="I1464" s="2249"/>
      <c r="J1464" s="2249"/>
      <c r="K1464" s="2249"/>
      <c r="L1464" s="2249"/>
      <c r="M1464" s="2249"/>
      <c r="N1464" s="2249"/>
      <c r="O1464" s="336"/>
      <c r="P1464" s="336"/>
      <c r="Q1464" s="770"/>
      <c r="R1464" s="694"/>
      <c r="S1464" s="694"/>
      <c r="T1464" s="694"/>
      <c r="U1464" s="694"/>
      <c r="V1464" s="694"/>
      <c r="W1464" s="694"/>
      <c r="X1464" s="694"/>
      <c r="Y1464" s="694"/>
      <c r="Z1464" s="694"/>
      <c r="AA1464" s="694"/>
      <c r="AB1464" s="729"/>
      <c r="AC1464" s="694"/>
      <c r="AD1464" s="694"/>
      <c r="AE1464" s="343"/>
      <c r="AF1464" s="343"/>
      <c r="AG1464" s="343"/>
      <c r="AH1464" s="343"/>
      <c r="AI1464" s="343"/>
      <c r="AJ1464" s="343"/>
      <c r="AK1464" s="343"/>
      <c r="AL1464" s="343"/>
      <c r="AM1464" s="343"/>
    </row>
    <row r="1465" spans="1:39" ht="12.75" customHeight="1" x14ac:dyDescent="0.25">
      <c r="A1465" s="729"/>
      <c r="B1465" s="284"/>
      <c r="C1465" s="300"/>
      <c r="D1465" s="300"/>
      <c r="E1465" s="2358" t="str">
        <f>Translations!$B$1534</f>
        <v>Стойността в НМИ се отнася до средното производство през историческия базов период, както е обяснено в раздели 2.3 и 3 от Ръководство № 7.</v>
      </c>
      <c r="F1465" s="2249"/>
      <c r="G1465" s="2249"/>
      <c r="H1465" s="2249"/>
      <c r="I1465" s="2249"/>
      <c r="J1465" s="2249"/>
      <c r="K1465" s="2249"/>
      <c r="L1465" s="2249"/>
      <c r="M1465" s="2249"/>
      <c r="N1465" s="2249"/>
      <c r="O1465" s="336"/>
      <c r="P1465" s="336"/>
      <c r="Q1465" s="770"/>
      <c r="R1465" s="694"/>
      <c r="S1465" s="694"/>
      <c r="T1465" s="694"/>
      <c r="U1465" s="694"/>
      <c r="V1465" s="694"/>
      <c r="W1465" s="694"/>
      <c r="X1465" s="694"/>
      <c r="Y1465" s="694"/>
      <c r="Z1465" s="694"/>
      <c r="AA1465" s="694"/>
      <c r="AB1465" s="729"/>
      <c r="AC1465" s="694"/>
      <c r="AD1465" s="694"/>
      <c r="AE1465" s="343"/>
      <c r="AF1465" s="343"/>
      <c r="AG1465" s="343"/>
      <c r="AH1465" s="343"/>
      <c r="AI1465" s="343"/>
      <c r="AJ1465" s="343"/>
      <c r="AK1465" s="343"/>
      <c r="AL1465" s="343"/>
      <c r="AM1465" s="343"/>
    </row>
    <row r="1466" spans="1:39" ht="5.15" customHeight="1" x14ac:dyDescent="0.25">
      <c r="A1466" s="729"/>
      <c r="B1466" s="284"/>
      <c r="C1466" s="302"/>
      <c r="D1466" s="302"/>
      <c r="E1466" s="460"/>
      <c r="F1466" s="460"/>
      <c r="G1466" s="460"/>
      <c r="H1466" s="460"/>
      <c r="I1466" s="460"/>
      <c r="J1466" s="329"/>
      <c r="K1466" s="329"/>
      <c r="L1466" s="329"/>
      <c r="M1466" s="336"/>
      <c r="N1466" s="336"/>
      <c r="O1466" s="336"/>
      <c r="P1466" s="336"/>
      <c r="Q1466" s="770"/>
      <c r="R1466" s="694"/>
      <c r="S1466" s="694"/>
      <c r="T1466" s="694"/>
      <c r="U1466" s="694"/>
      <c r="V1466" s="694"/>
      <c r="W1466" s="694"/>
      <c r="X1466" s="694"/>
      <c r="Y1466" s="694"/>
      <c r="Z1466" s="694"/>
      <c r="AA1466" s="694"/>
      <c r="AB1466" s="729"/>
      <c r="AC1466" s="694"/>
      <c r="AD1466" s="694"/>
      <c r="AE1466" s="343"/>
      <c r="AF1466" s="343"/>
      <c r="AG1466" s="343"/>
      <c r="AH1466" s="343"/>
      <c r="AI1466" s="343"/>
      <c r="AJ1466" s="343"/>
      <c r="AK1466" s="343"/>
      <c r="AL1466" s="343"/>
      <c r="AM1466" s="343"/>
    </row>
    <row r="1467" spans="1:39" s="1423" customFormat="1" ht="25.5" customHeight="1" thickBot="1" x14ac:dyDescent="0.35">
      <c r="A1467" s="729"/>
      <c r="B1467" s="1412"/>
      <c r="C1467" s="1413"/>
      <c r="D1467" s="1414"/>
      <c r="E1467" s="1415" t="str">
        <f>G1451</f>
        <v>Име на продукт или вид услуга</v>
      </c>
      <c r="F1467" s="1416" t="str">
        <f>EUconst_Unit</f>
        <v>Единица мярка</v>
      </c>
      <c r="G1467" s="1419" t="str">
        <f>Translations!$B$1336</f>
        <v>Стойност в НМИ</v>
      </c>
      <c r="H1467" s="1418">
        <f t="shared" ref="H1467:N1467" si="2161">H$1840</f>
        <v>2024</v>
      </c>
      <c r="I1467" s="1419">
        <f t="shared" si="2161"/>
        <v>2025</v>
      </c>
      <c r="J1467" s="1418">
        <f t="shared" si="2161"/>
        <v>2026</v>
      </c>
      <c r="K1467" s="1420">
        <f t="shared" si="2161"/>
        <v>2027</v>
      </c>
      <c r="L1467" s="1420">
        <f t="shared" si="2161"/>
        <v>2028</v>
      </c>
      <c r="M1467" s="1420">
        <f t="shared" si="2161"/>
        <v>2029</v>
      </c>
      <c r="N1467" s="1420">
        <f t="shared" si="2161"/>
        <v>2030</v>
      </c>
      <c r="O1467" s="336"/>
      <c r="P1467" s="336"/>
      <c r="Q1467" s="1421"/>
      <c r="R1467" s="1421"/>
      <c r="S1467" s="1421"/>
      <c r="T1467" s="1421"/>
      <c r="U1467" s="1421"/>
      <c r="V1467" s="1421"/>
      <c r="W1467" s="1421"/>
      <c r="X1467" s="1421"/>
      <c r="Y1467" s="1421"/>
      <c r="Z1467" s="1421"/>
      <c r="AA1467" s="1421"/>
      <c r="AB1467" s="770" t="str">
        <f>Translations!$B$1284</f>
        <v>HAL</v>
      </c>
      <c r="AC1467" s="1421">
        <f t="shared" ref="AC1467" si="2162">H1467</f>
        <v>2024</v>
      </c>
      <c r="AD1467" s="1421">
        <f t="shared" ref="AD1467" si="2163">I1467</f>
        <v>2025</v>
      </c>
      <c r="AE1467" s="1421">
        <f t="shared" ref="AE1467" si="2164">J1467</f>
        <v>2026</v>
      </c>
      <c r="AF1467" s="1421">
        <f t="shared" ref="AF1467" si="2165">K1467</f>
        <v>2027</v>
      </c>
      <c r="AG1467" s="1421">
        <f t="shared" ref="AG1467" si="2166">L1467</f>
        <v>2028</v>
      </c>
      <c r="AH1467" s="1422">
        <f t="shared" ref="AH1467" si="2167">M1467</f>
        <v>2029</v>
      </c>
      <c r="AI1467" s="1422">
        <f t="shared" ref="AI1467" si="2168">N1467</f>
        <v>2030</v>
      </c>
      <c r="AJ1467" s="1422"/>
      <c r="AK1467" s="1422"/>
      <c r="AL1467" s="1422"/>
      <c r="AM1467" s="1422"/>
    </row>
    <row r="1468" spans="1:39" ht="12.75" customHeight="1" x14ac:dyDescent="0.25">
      <c r="A1468" s="729"/>
      <c r="B1468" s="698"/>
      <c r="C1468" s="2906" t="str">
        <f>Translations!$B$625</f>
        <v>Равнища на производство:</v>
      </c>
      <c r="D1468" s="981">
        <v>1</v>
      </c>
      <c r="E1468" s="1424" t="str">
        <f t="shared" ref="E1468:E1477" si="2169">IF(ISBLANK(G1452),"",G1452)</f>
        <v/>
      </c>
      <c r="F1468" s="177"/>
      <c r="G1468" s="46"/>
      <c r="H1468" s="116"/>
      <c r="I1468" s="46"/>
      <c r="J1468" s="116"/>
      <c r="K1468" s="40"/>
      <c r="L1468" s="40"/>
      <c r="M1468" s="40"/>
      <c r="N1468" s="40"/>
      <c r="O1468" s="336"/>
      <c r="P1468" s="158"/>
      <c r="Q1468" s="694"/>
      <c r="R1468" s="694"/>
      <c r="S1468" s="694"/>
      <c r="T1468" s="694"/>
      <c r="U1468" s="694"/>
      <c r="V1468" s="694"/>
      <c r="W1468" s="694"/>
      <c r="X1468" s="694"/>
      <c r="Y1468" s="694"/>
      <c r="Z1468" s="1182" t="s">
        <v>1757</v>
      </c>
      <c r="AA1468" s="1425">
        <f>MAX(AC1468:AI1468)</f>
        <v>2</v>
      </c>
      <c r="AB1468" s="1426">
        <f>IF(CNTR_ExistSubInstEntries,IF(OR($M1418&lt;&gt;EUconst_Relevant,$V1418&gt;($H$1840-1),$E1468=""),0,2),2)</f>
        <v>2</v>
      </c>
      <c r="AC1468" s="1426">
        <f t="shared" ref="AC1468:AI1468" si="2170">IF(CNTR_ExistSubInstEntries,IF(OR($M1418&lt;&gt;EUconst_Relevant,AC1467&gt;=CNTR_ReportingYear,AC1467&lt;$V1418-1,$E1468=""),0,2),2)</f>
        <v>2</v>
      </c>
      <c r="AD1468" s="1427">
        <f t="shared" si="2170"/>
        <v>2</v>
      </c>
      <c r="AE1468" s="1427">
        <f t="shared" si="2170"/>
        <v>2</v>
      </c>
      <c r="AF1468" s="1427">
        <f t="shared" si="2170"/>
        <v>2</v>
      </c>
      <c r="AG1468" s="1427">
        <f t="shared" si="2170"/>
        <v>2</v>
      </c>
      <c r="AH1468" s="1428">
        <f t="shared" si="2170"/>
        <v>2</v>
      </c>
      <c r="AI1468" s="1429">
        <f t="shared" si="2170"/>
        <v>2</v>
      </c>
      <c r="AJ1468" s="343"/>
      <c r="AK1468" s="1174" t="s">
        <v>2039</v>
      </c>
      <c r="AL1468" s="1176" t="str">
        <f>IF(AND(CNTR_ExistSubInstEntries,COUNTIFS(AB1468:AI1468,2,G1468:N1468,"")&gt;0),EUconst_Error&amp;"FB"&amp;Q1418,"")</f>
        <v/>
      </c>
      <c r="AM1468" s="343"/>
    </row>
    <row r="1469" spans="1:39" ht="12.75" customHeight="1" x14ac:dyDescent="0.25">
      <c r="A1469" s="729"/>
      <c r="B1469" s="698"/>
      <c r="C1469" s="2906"/>
      <c r="D1469" s="990">
        <f>D1468+1</f>
        <v>2</v>
      </c>
      <c r="E1469" s="1430" t="str">
        <f t="shared" si="2169"/>
        <v/>
      </c>
      <c r="F1469" s="273"/>
      <c r="G1469" s="47"/>
      <c r="H1469" s="119"/>
      <c r="I1469" s="47"/>
      <c r="J1469" s="119"/>
      <c r="K1469" s="43"/>
      <c r="L1469" s="43"/>
      <c r="M1469" s="43"/>
      <c r="N1469" s="43"/>
      <c r="O1469" s="336"/>
      <c r="P1469" s="158"/>
      <c r="Q1469" s="694"/>
      <c r="R1469" s="694"/>
      <c r="S1469" s="694"/>
      <c r="T1469" s="694"/>
      <c r="U1469" s="694"/>
      <c r="V1469" s="694"/>
      <c r="W1469" s="694"/>
      <c r="X1469" s="694"/>
      <c r="Y1469" s="694"/>
      <c r="Z1469" s="694"/>
      <c r="AA1469" s="1431">
        <f t="shared" ref="AA1469:AA1477" si="2171">MAX(AC1469:AI1469)</f>
        <v>2</v>
      </c>
      <c r="AB1469" s="1432">
        <f>IF(CNTR_ExistSubInstEntries,IF(OR($M1418&lt;&gt;EUconst_Relevant,$V1418&gt;($H$1840-1),$E1469=""),0,2),2)</f>
        <v>2</v>
      </c>
      <c r="AC1469" s="1432">
        <f t="shared" ref="AC1469:AI1469" si="2172">IF(CNTR_ExistSubInstEntries,IF(OR($M1418&lt;&gt;EUconst_Relevant,AC1467&gt;=CNTR_ReportingYear,AC1467&lt;$V1418-1,$E1469=""),0,2),2)</f>
        <v>2</v>
      </c>
      <c r="AD1469" s="1432">
        <f t="shared" si="2172"/>
        <v>2</v>
      </c>
      <c r="AE1469" s="1432">
        <f t="shared" si="2172"/>
        <v>2</v>
      </c>
      <c r="AF1469" s="1432">
        <f t="shared" si="2172"/>
        <v>2</v>
      </c>
      <c r="AG1469" s="1432">
        <f t="shared" si="2172"/>
        <v>2</v>
      </c>
      <c r="AH1469" s="1433">
        <f t="shared" si="2172"/>
        <v>2</v>
      </c>
      <c r="AI1469" s="1434">
        <f t="shared" si="2172"/>
        <v>2</v>
      </c>
      <c r="AJ1469" s="343"/>
      <c r="AK1469" s="1174" t="s">
        <v>2039</v>
      </c>
      <c r="AL1469" s="1176" t="str">
        <f>IF(AND(CNTR_ExistSubInstEntries,COUNTIFS(AB1469:AI1469,2,G1469:N1469,"")&gt;0),EUconst_Error&amp;"FB"&amp;Q1418,"")</f>
        <v/>
      </c>
      <c r="AM1469" s="343"/>
    </row>
    <row r="1470" spans="1:39" ht="12.75" customHeight="1" x14ac:dyDescent="0.25">
      <c r="A1470" s="729"/>
      <c r="B1470" s="698"/>
      <c r="C1470" s="2906"/>
      <c r="D1470" s="990">
        <f t="shared" ref="D1470:D1477" si="2173">D1469+1</f>
        <v>3</v>
      </c>
      <c r="E1470" s="1430" t="str">
        <f t="shared" si="2169"/>
        <v/>
      </c>
      <c r="F1470" s="273"/>
      <c r="G1470" s="268"/>
      <c r="H1470" s="119"/>
      <c r="I1470" s="47"/>
      <c r="J1470" s="119"/>
      <c r="K1470" s="43"/>
      <c r="L1470" s="43"/>
      <c r="M1470" s="43"/>
      <c r="N1470" s="43"/>
      <c r="O1470" s="336"/>
      <c r="P1470" s="158"/>
      <c r="Q1470" s="694"/>
      <c r="R1470" s="694"/>
      <c r="S1470" s="694"/>
      <c r="T1470" s="694"/>
      <c r="U1470" s="694"/>
      <c r="V1470" s="694"/>
      <c r="W1470" s="694"/>
      <c r="X1470" s="694"/>
      <c r="Y1470" s="694"/>
      <c r="Z1470" s="694"/>
      <c r="AA1470" s="1431">
        <f t="shared" si="2171"/>
        <v>2</v>
      </c>
      <c r="AB1470" s="1432">
        <f>IF(CNTR_ExistSubInstEntries,IF(OR($M1418&lt;&gt;EUconst_Relevant,$V1418&gt;($H$1840-1),$E1470=""),0,2),2)</f>
        <v>2</v>
      </c>
      <c r="AC1470" s="1432">
        <f t="shared" ref="AC1470:AI1470" si="2174">IF(CNTR_ExistSubInstEntries,IF(OR($M1418&lt;&gt;EUconst_Relevant,AC1467&gt;=CNTR_ReportingYear,AC1467&lt;$V1418-1,$E1470=""),0,2),2)</f>
        <v>2</v>
      </c>
      <c r="AD1470" s="1432">
        <f t="shared" si="2174"/>
        <v>2</v>
      </c>
      <c r="AE1470" s="1432">
        <f t="shared" si="2174"/>
        <v>2</v>
      </c>
      <c r="AF1470" s="1432">
        <f t="shared" si="2174"/>
        <v>2</v>
      </c>
      <c r="AG1470" s="1432">
        <f t="shared" si="2174"/>
        <v>2</v>
      </c>
      <c r="AH1470" s="1433">
        <f t="shared" si="2174"/>
        <v>2</v>
      </c>
      <c r="AI1470" s="1434">
        <f t="shared" si="2174"/>
        <v>2</v>
      </c>
      <c r="AJ1470" s="343"/>
      <c r="AK1470" s="1174" t="s">
        <v>2039</v>
      </c>
      <c r="AL1470" s="1176" t="str">
        <f>IF(AND(CNTR_ExistSubInstEntries,COUNTIFS(AB1470:AI1470,2,G1470:N1470,"")&gt;0),EUconst_Error&amp;"FB"&amp;Q1418,"")</f>
        <v/>
      </c>
      <c r="AM1470" s="343"/>
    </row>
    <row r="1471" spans="1:39" ht="12.75" customHeight="1" x14ac:dyDescent="0.25">
      <c r="A1471" s="729"/>
      <c r="B1471" s="698"/>
      <c r="C1471" s="2906"/>
      <c r="D1471" s="990">
        <f t="shared" si="2173"/>
        <v>4</v>
      </c>
      <c r="E1471" s="1430" t="str">
        <f t="shared" si="2169"/>
        <v/>
      </c>
      <c r="F1471" s="271"/>
      <c r="G1471" s="47"/>
      <c r="H1471" s="119"/>
      <c r="I1471" s="124"/>
      <c r="J1471" s="119"/>
      <c r="K1471" s="43"/>
      <c r="L1471" s="43"/>
      <c r="M1471" s="43"/>
      <c r="N1471" s="43"/>
      <c r="O1471" s="336"/>
      <c r="P1471" s="158"/>
      <c r="Q1471" s="694"/>
      <c r="R1471" s="694"/>
      <c r="S1471" s="694"/>
      <c r="T1471" s="694"/>
      <c r="U1471" s="729"/>
      <c r="V1471" s="729"/>
      <c r="W1471" s="694"/>
      <c r="X1471" s="694"/>
      <c r="Y1471" s="694"/>
      <c r="Z1471" s="694"/>
      <c r="AA1471" s="1431">
        <f t="shared" si="2171"/>
        <v>2</v>
      </c>
      <c r="AB1471" s="1432">
        <f>IF(CNTR_ExistSubInstEntries,IF(OR($M1418&lt;&gt;EUconst_Relevant,$V1418&gt;($H$1840-1),$E1471=""),0,2),2)</f>
        <v>2</v>
      </c>
      <c r="AC1471" s="1432">
        <f t="shared" ref="AC1471:AI1471" si="2175">IF(CNTR_ExistSubInstEntries,IF(OR($M1418&lt;&gt;EUconst_Relevant,AC1467&gt;=CNTR_ReportingYear,AC1467&lt;$V1418-1,$E1471=""),0,2),2)</f>
        <v>2</v>
      </c>
      <c r="AD1471" s="1432">
        <f t="shared" si="2175"/>
        <v>2</v>
      </c>
      <c r="AE1471" s="1432">
        <f t="shared" si="2175"/>
        <v>2</v>
      </c>
      <c r="AF1471" s="1432">
        <f t="shared" si="2175"/>
        <v>2</v>
      </c>
      <c r="AG1471" s="1432">
        <f t="shared" si="2175"/>
        <v>2</v>
      </c>
      <c r="AH1471" s="1433">
        <f t="shared" si="2175"/>
        <v>2</v>
      </c>
      <c r="AI1471" s="1434">
        <f t="shared" si="2175"/>
        <v>2</v>
      </c>
      <c r="AJ1471" s="343"/>
      <c r="AK1471" s="1174" t="s">
        <v>2039</v>
      </c>
      <c r="AL1471" s="1176" t="str">
        <f>IF(AND(CNTR_ExistSubInstEntries,COUNTIFS(AB1471:AI1471,2,G1471:N1471,"")&gt;0),EUconst_Error&amp;"FB"&amp;Q1418,"")</f>
        <v/>
      </c>
      <c r="AM1471" s="343"/>
    </row>
    <row r="1472" spans="1:39" ht="12.75" customHeight="1" x14ac:dyDescent="0.25">
      <c r="A1472" s="729"/>
      <c r="B1472" s="698"/>
      <c r="C1472" s="2906"/>
      <c r="D1472" s="990">
        <f t="shared" si="2173"/>
        <v>5</v>
      </c>
      <c r="E1472" s="1430" t="str">
        <f t="shared" si="2169"/>
        <v/>
      </c>
      <c r="F1472" s="271"/>
      <c r="G1472" s="47"/>
      <c r="H1472" s="119"/>
      <c r="I1472" s="47"/>
      <c r="J1472" s="119"/>
      <c r="K1472" s="43"/>
      <c r="L1472" s="43"/>
      <c r="M1472" s="43"/>
      <c r="N1472" s="43"/>
      <c r="O1472" s="336"/>
      <c r="P1472" s="158"/>
      <c r="Q1472" s="694"/>
      <c r="R1472" s="694"/>
      <c r="S1472" s="694"/>
      <c r="T1472" s="694"/>
      <c r="U1472" s="729"/>
      <c r="V1472" s="694"/>
      <c r="W1472" s="694"/>
      <c r="X1472" s="694"/>
      <c r="Y1472" s="694"/>
      <c r="Z1472" s="694"/>
      <c r="AA1472" s="1431">
        <f t="shared" si="2171"/>
        <v>2</v>
      </c>
      <c r="AB1472" s="1432">
        <f>IF(CNTR_ExistSubInstEntries,IF(OR($M1418&lt;&gt;EUconst_Relevant,$V1418&gt;($H$1840-1),$E1472=""),0,2),2)</f>
        <v>2</v>
      </c>
      <c r="AC1472" s="1432">
        <f t="shared" ref="AC1472:AI1472" si="2176">IF(CNTR_ExistSubInstEntries,IF(OR($M1418&lt;&gt;EUconst_Relevant,AC1467&gt;=CNTR_ReportingYear,AC1467&lt;$V1418-1,$E1472=""),0,2),2)</f>
        <v>2</v>
      </c>
      <c r="AD1472" s="1432">
        <f t="shared" si="2176"/>
        <v>2</v>
      </c>
      <c r="AE1472" s="1432">
        <f t="shared" si="2176"/>
        <v>2</v>
      </c>
      <c r="AF1472" s="1432">
        <f t="shared" si="2176"/>
        <v>2</v>
      </c>
      <c r="AG1472" s="1432">
        <f t="shared" si="2176"/>
        <v>2</v>
      </c>
      <c r="AH1472" s="1433">
        <f t="shared" si="2176"/>
        <v>2</v>
      </c>
      <c r="AI1472" s="1434">
        <f t="shared" si="2176"/>
        <v>2</v>
      </c>
      <c r="AJ1472" s="343"/>
      <c r="AK1472" s="1174" t="s">
        <v>2039</v>
      </c>
      <c r="AL1472" s="1176" t="str">
        <f>IF(AND(CNTR_ExistSubInstEntries,COUNTIFS(AB1472:AI1472,2,G1472:N1472,"")&gt;0),EUconst_Error&amp;"FB"&amp;Q1418,"")</f>
        <v/>
      </c>
      <c r="AM1472" s="343"/>
    </row>
    <row r="1473" spans="1:39" ht="12.75" customHeight="1" x14ac:dyDescent="0.25">
      <c r="A1473" s="729"/>
      <c r="B1473" s="698"/>
      <c r="C1473" s="2906"/>
      <c r="D1473" s="990">
        <f t="shared" si="2173"/>
        <v>6</v>
      </c>
      <c r="E1473" s="1430" t="str">
        <f t="shared" si="2169"/>
        <v/>
      </c>
      <c r="F1473" s="271"/>
      <c r="G1473" s="47"/>
      <c r="H1473" s="119"/>
      <c r="I1473" s="47"/>
      <c r="J1473" s="119"/>
      <c r="K1473" s="43"/>
      <c r="L1473" s="43"/>
      <c r="M1473" s="43"/>
      <c r="N1473" s="43"/>
      <c r="O1473" s="336"/>
      <c r="P1473" s="158"/>
      <c r="Q1473" s="694"/>
      <c r="R1473" s="694"/>
      <c r="S1473" s="694"/>
      <c r="T1473" s="694"/>
      <c r="U1473" s="694"/>
      <c r="V1473" s="694"/>
      <c r="W1473" s="694"/>
      <c r="X1473" s="694"/>
      <c r="Y1473" s="694"/>
      <c r="Z1473" s="694"/>
      <c r="AA1473" s="1431">
        <f t="shared" si="2171"/>
        <v>2</v>
      </c>
      <c r="AB1473" s="1432">
        <f>IF(CNTR_ExistSubInstEntries,IF(OR($M1418&lt;&gt;EUconst_Relevant,$V1418&gt;($H$1840-1),$E1473=""),0,2),2)</f>
        <v>2</v>
      </c>
      <c r="AC1473" s="1432">
        <f t="shared" ref="AC1473:AI1473" si="2177">IF(CNTR_ExistSubInstEntries,IF(OR($M1418&lt;&gt;EUconst_Relevant,AC1467&gt;=CNTR_ReportingYear,AC1467&lt;$V1418-1,$E1473=""),0,2),2)</f>
        <v>2</v>
      </c>
      <c r="AD1473" s="1432">
        <f t="shared" si="2177"/>
        <v>2</v>
      </c>
      <c r="AE1473" s="1432">
        <f t="shared" si="2177"/>
        <v>2</v>
      </c>
      <c r="AF1473" s="1432">
        <f t="shared" si="2177"/>
        <v>2</v>
      </c>
      <c r="AG1473" s="1432">
        <f t="shared" si="2177"/>
        <v>2</v>
      </c>
      <c r="AH1473" s="1433">
        <f t="shared" si="2177"/>
        <v>2</v>
      </c>
      <c r="AI1473" s="1434">
        <f t="shared" si="2177"/>
        <v>2</v>
      </c>
      <c r="AJ1473" s="343"/>
      <c r="AK1473" s="1174" t="s">
        <v>2039</v>
      </c>
      <c r="AL1473" s="1176" t="str">
        <f>IF(AND(CNTR_ExistSubInstEntries,COUNTIFS(AB1473:AI1473,2,G1473:N1473,"")&gt;0),EUconst_Error&amp;"FB"&amp;Q1418,"")</f>
        <v/>
      </c>
      <c r="AM1473" s="343"/>
    </row>
    <row r="1474" spans="1:39" ht="12.75" customHeight="1" x14ac:dyDescent="0.25">
      <c r="A1474" s="729"/>
      <c r="B1474" s="698"/>
      <c r="C1474" s="2906"/>
      <c r="D1474" s="990">
        <f t="shared" si="2173"/>
        <v>7</v>
      </c>
      <c r="E1474" s="1430" t="str">
        <f t="shared" si="2169"/>
        <v/>
      </c>
      <c r="F1474" s="271"/>
      <c r="G1474" s="47"/>
      <c r="H1474" s="119"/>
      <c r="I1474" s="47"/>
      <c r="J1474" s="119"/>
      <c r="K1474" s="43"/>
      <c r="L1474" s="43"/>
      <c r="M1474" s="43"/>
      <c r="N1474" s="43"/>
      <c r="O1474" s="336"/>
      <c r="P1474" s="158"/>
      <c r="Q1474" s="694"/>
      <c r="R1474" s="694"/>
      <c r="S1474" s="694"/>
      <c r="T1474" s="694"/>
      <c r="U1474" s="694"/>
      <c r="V1474" s="694"/>
      <c r="W1474" s="694"/>
      <c r="X1474" s="694"/>
      <c r="Y1474" s="694"/>
      <c r="Z1474" s="694"/>
      <c r="AA1474" s="1431">
        <f t="shared" si="2171"/>
        <v>2</v>
      </c>
      <c r="AB1474" s="1432">
        <f>IF(CNTR_ExistSubInstEntries,IF(OR($M1418&lt;&gt;EUconst_Relevant,$V1418&gt;($H$1840-1),$E1474=""),0,2),2)</f>
        <v>2</v>
      </c>
      <c r="AC1474" s="1432">
        <f t="shared" ref="AC1474:AI1474" si="2178">IF(CNTR_ExistSubInstEntries,IF(OR($M1418&lt;&gt;EUconst_Relevant,AC1467&gt;=CNTR_ReportingYear,AC1467&lt;$V1418-1,$E1474=""),0,2),2)</f>
        <v>2</v>
      </c>
      <c r="AD1474" s="1432">
        <f t="shared" si="2178"/>
        <v>2</v>
      </c>
      <c r="AE1474" s="1432">
        <f t="shared" si="2178"/>
        <v>2</v>
      </c>
      <c r="AF1474" s="1432">
        <f t="shared" si="2178"/>
        <v>2</v>
      </c>
      <c r="AG1474" s="1432">
        <f t="shared" si="2178"/>
        <v>2</v>
      </c>
      <c r="AH1474" s="1433">
        <f t="shared" si="2178"/>
        <v>2</v>
      </c>
      <c r="AI1474" s="1434">
        <f t="shared" si="2178"/>
        <v>2</v>
      </c>
      <c r="AJ1474" s="343"/>
      <c r="AK1474" s="1174" t="s">
        <v>2039</v>
      </c>
      <c r="AL1474" s="1176" t="str">
        <f>IF(AND(CNTR_ExistSubInstEntries,COUNTIFS(AB1474:AI1474,2,G1474:N1474,"")&gt;0),EUconst_Error&amp;"FB"&amp;Q1418,"")</f>
        <v/>
      </c>
      <c r="AM1474" s="343"/>
    </row>
    <row r="1475" spans="1:39" ht="12.75" customHeight="1" x14ac:dyDescent="0.25">
      <c r="A1475" s="729"/>
      <c r="B1475" s="698"/>
      <c r="C1475" s="2906"/>
      <c r="D1475" s="990">
        <f t="shared" si="2173"/>
        <v>8</v>
      </c>
      <c r="E1475" s="1430" t="str">
        <f t="shared" si="2169"/>
        <v/>
      </c>
      <c r="F1475" s="271"/>
      <c r="G1475" s="47"/>
      <c r="H1475" s="119"/>
      <c r="I1475" s="47"/>
      <c r="J1475" s="119"/>
      <c r="K1475" s="43"/>
      <c r="L1475" s="43"/>
      <c r="M1475" s="43"/>
      <c r="N1475" s="43"/>
      <c r="O1475" s="336"/>
      <c r="P1475" s="158"/>
      <c r="Q1475" s="694"/>
      <c r="R1475" s="694"/>
      <c r="S1475" s="694"/>
      <c r="T1475" s="694"/>
      <c r="U1475" s="694"/>
      <c r="V1475" s="694"/>
      <c r="W1475" s="694"/>
      <c r="X1475" s="694"/>
      <c r="Y1475" s="694"/>
      <c r="Z1475" s="694"/>
      <c r="AA1475" s="1431">
        <f t="shared" si="2171"/>
        <v>2</v>
      </c>
      <c r="AB1475" s="1432">
        <f>IF(CNTR_ExistSubInstEntries,IF(OR($M1418&lt;&gt;EUconst_Relevant,$V1418&gt;($H$1840-1),$E1475=""),0,2),2)</f>
        <v>2</v>
      </c>
      <c r="AC1475" s="1432">
        <f t="shared" ref="AC1475:AI1475" si="2179">IF(CNTR_ExistSubInstEntries,IF(OR($M1418&lt;&gt;EUconst_Relevant,AC1467&gt;=CNTR_ReportingYear,AC1467&lt;$V1418-1,$E1475=""),0,2),2)</f>
        <v>2</v>
      </c>
      <c r="AD1475" s="1432">
        <f t="shared" si="2179"/>
        <v>2</v>
      </c>
      <c r="AE1475" s="1432">
        <f t="shared" si="2179"/>
        <v>2</v>
      </c>
      <c r="AF1475" s="1432">
        <f t="shared" si="2179"/>
        <v>2</v>
      </c>
      <c r="AG1475" s="1432">
        <f t="shared" si="2179"/>
        <v>2</v>
      </c>
      <c r="AH1475" s="1433">
        <f t="shared" si="2179"/>
        <v>2</v>
      </c>
      <c r="AI1475" s="1434">
        <f t="shared" si="2179"/>
        <v>2</v>
      </c>
      <c r="AJ1475" s="343"/>
      <c r="AK1475" s="1174" t="s">
        <v>2039</v>
      </c>
      <c r="AL1475" s="1176" t="str">
        <f>IF(AND(CNTR_ExistSubInstEntries,COUNTIFS(AB1475:AI1475,2,G1475:N1475,"")&gt;0),EUconst_Error&amp;"FB"&amp;Q1418,"")</f>
        <v/>
      </c>
      <c r="AM1475" s="343"/>
    </row>
    <row r="1476" spans="1:39" ht="12.75" customHeight="1" x14ac:dyDescent="0.25">
      <c r="A1476" s="729"/>
      <c r="B1476" s="698"/>
      <c r="C1476" s="2906"/>
      <c r="D1476" s="990">
        <f t="shared" si="2173"/>
        <v>9</v>
      </c>
      <c r="E1476" s="1430" t="str">
        <f t="shared" si="2169"/>
        <v/>
      </c>
      <c r="F1476" s="271"/>
      <c r="G1476" s="47"/>
      <c r="H1476" s="119"/>
      <c r="I1476" s="47"/>
      <c r="J1476" s="119"/>
      <c r="K1476" s="43"/>
      <c r="L1476" s="43"/>
      <c r="M1476" s="43"/>
      <c r="N1476" s="43"/>
      <c r="O1476" s="336"/>
      <c r="P1476" s="158"/>
      <c r="Q1476" s="694"/>
      <c r="R1476" s="694"/>
      <c r="S1476" s="694"/>
      <c r="T1476" s="694"/>
      <c r="U1476" s="694"/>
      <c r="V1476" s="694"/>
      <c r="W1476" s="694"/>
      <c r="X1476" s="694"/>
      <c r="Y1476" s="694"/>
      <c r="Z1476" s="694"/>
      <c r="AA1476" s="1431">
        <f t="shared" si="2171"/>
        <v>2</v>
      </c>
      <c r="AB1476" s="1432">
        <f>IF(CNTR_ExistSubInstEntries,IF(OR($M1418&lt;&gt;EUconst_Relevant,$V1418&gt;($H$1840-1),$E1476=""),0,2),2)</f>
        <v>2</v>
      </c>
      <c r="AC1476" s="1432">
        <f t="shared" ref="AC1476:AI1476" si="2180">IF(CNTR_ExistSubInstEntries,IF(OR($M1418&lt;&gt;EUconst_Relevant,AC1467&gt;=CNTR_ReportingYear,AC1467&lt;$V1418-1,$E1476=""),0,2),2)</f>
        <v>2</v>
      </c>
      <c r="AD1476" s="1432">
        <f t="shared" si="2180"/>
        <v>2</v>
      </c>
      <c r="AE1476" s="1432">
        <f t="shared" si="2180"/>
        <v>2</v>
      </c>
      <c r="AF1476" s="1432">
        <f t="shared" si="2180"/>
        <v>2</v>
      </c>
      <c r="AG1476" s="1432">
        <f t="shared" si="2180"/>
        <v>2</v>
      </c>
      <c r="AH1476" s="1433">
        <f t="shared" si="2180"/>
        <v>2</v>
      </c>
      <c r="AI1476" s="1434">
        <f t="shared" si="2180"/>
        <v>2</v>
      </c>
      <c r="AJ1476" s="343"/>
      <c r="AK1476" s="1174" t="s">
        <v>2039</v>
      </c>
      <c r="AL1476" s="1176" t="str">
        <f>IF(AND(CNTR_ExistSubInstEntries,COUNTIFS(AB1476:AI1476,2,G1476:N1476,"")&gt;0),EUconst_Error&amp;"FB"&amp;Q1418,"")</f>
        <v/>
      </c>
      <c r="AM1476" s="343"/>
    </row>
    <row r="1477" spans="1:39" ht="12.75" customHeight="1" thickBot="1" x14ac:dyDescent="0.3">
      <c r="A1477" s="729"/>
      <c r="B1477" s="698"/>
      <c r="C1477" s="2906"/>
      <c r="D1477" s="994">
        <f t="shared" si="2173"/>
        <v>10</v>
      </c>
      <c r="E1477" s="1435" t="str">
        <f t="shared" si="2169"/>
        <v/>
      </c>
      <c r="F1477" s="272"/>
      <c r="G1477" s="48"/>
      <c r="H1477" s="117"/>
      <c r="I1477" s="48"/>
      <c r="J1477" s="117"/>
      <c r="K1477" s="38"/>
      <c r="L1477" s="38"/>
      <c r="M1477" s="38"/>
      <c r="N1477" s="38"/>
      <c r="O1477" s="336"/>
      <c r="P1477" s="158"/>
      <c r="Q1477" s="694"/>
      <c r="R1477" s="694"/>
      <c r="S1477" s="694"/>
      <c r="T1477" s="694"/>
      <c r="U1477" s="694"/>
      <c r="V1477" s="694"/>
      <c r="W1477" s="694"/>
      <c r="X1477" s="694"/>
      <c r="Y1477" s="694"/>
      <c r="Z1477" s="694"/>
      <c r="AA1477" s="1436">
        <f t="shared" si="2171"/>
        <v>2</v>
      </c>
      <c r="AB1477" s="1437">
        <f>IF(CNTR_ExistSubInstEntries,IF(OR($M1418&lt;&gt;EUconst_Relevant,$V1418&gt;($H$1840-1),$E1477=""),0,2),2)</f>
        <v>2</v>
      </c>
      <c r="AC1477" s="1437">
        <f t="shared" ref="AC1477:AI1477" si="2181">IF(CNTR_ExistSubInstEntries,IF(OR($M1418&lt;&gt;EUconst_Relevant,AC1467&gt;=CNTR_ReportingYear,AC1467&lt;$V1418-1,$E1477=""),0,2),2)</f>
        <v>2</v>
      </c>
      <c r="AD1477" s="1437">
        <f t="shared" si="2181"/>
        <v>2</v>
      </c>
      <c r="AE1477" s="1437">
        <f t="shared" si="2181"/>
        <v>2</v>
      </c>
      <c r="AF1477" s="1437">
        <f t="shared" si="2181"/>
        <v>2</v>
      </c>
      <c r="AG1477" s="1437">
        <f t="shared" si="2181"/>
        <v>2</v>
      </c>
      <c r="AH1477" s="1438">
        <f t="shared" si="2181"/>
        <v>2</v>
      </c>
      <c r="AI1477" s="1439">
        <f t="shared" si="2181"/>
        <v>2</v>
      </c>
      <c r="AJ1477" s="343"/>
      <c r="AK1477" s="1174" t="s">
        <v>2039</v>
      </c>
      <c r="AL1477" s="1176" t="str">
        <f>IF(AND(CNTR_ExistSubInstEntries,COUNTIFS(AB1477:AI1477,2,G1477:N1477,"")&gt;0),EUconst_Error&amp;"FB"&amp;Q1418,"")</f>
        <v/>
      </c>
      <c r="AM1477" s="343"/>
    </row>
    <row r="1478" spans="1:39" ht="12.75" customHeight="1" x14ac:dyDescent="0.25">
      <c r="A1478" s="729"/>
      <c r="B1478" s="698"/>
      <c r="C1478" s="2906"/>
      <c r="D1478" s="1293"/>
      <c r="E1478" s="1294" t="str">
        <f>Translations!$B$501</f>
        <v>Сума на равнищата на производство</v>
      </c>
      <c r="F1478" s="1440" t="str">
        <f>IF(AND(COUNTA(F1468:F1477)&gt;0,COUNTIF(F1468:F1477,F1468)=COUNTA(F1468:F1477)),F1468,"")</f>
        <v/>
      </c>
      <c r="G1478" s="1296" t="str">
        <f>IF(AND($F1478&lt;&gt;"",COUNT(G1468:G1477)&gt;0),SUMIF($S1452:$S1461,TRUE,G1468:G1477),"")</f>
        <v/>
      </c>
      <c r="H1478" s="1297" t="str">
        <f t="shared" ref="H1478:N1478" si="2182">IF(AND($F1478&lt;&gt;"",COUNT(H1468:H1477)&gt;0),SUMIF($S1452:$S1461,TRUE,H1468:H1477),"")</f>
        <v/>
      </c>
      <c r="I1478" s="1296" t="str">
        <f t="shared" si="2182"/>
        <v/>
      </c>
      <c r="J1478" s="1297" t="str">
        <f t="shared" si="2182"/>
        <v/>
      </c>
      <c r="K1478" s="1104" t="str">
        <f t="shared" si="2182"/>
        <v/>
      </c>
      <c r="L1478" s="1104" t="str">
        <f t="shared" si="2182"/>
        <v/>
      </c>
      <c r="M1478" s="1104" t="str">
        <f t="shared" si="2182"/>
        <v/>
      </c>
      <c r="N1478" s="1104" t="str">
        <f t="shared" si="2182"/>
        <v/>
      </c>
      <c r="O1478" s="336"/>
      <c r="P1478" s="336"/>
      <c r="Q1478" s="694"/>
      <c r="R1478" s="694"/>
      <c r="S1478" s="694"/>
      <c r="T1478" s="694"/>
      <c r="U1478" s="694"/>
      <c r="V1478" s="694"/>
      <c r="W1478" s="694"/>
      <c r="X1478" s="694"/>
      <c r="Y1478" s="694"/>
      <c r="Z1478" s="694"/>
      <c r="AA1478" s="694"/>
      <c r="AB1478" s="729"/>
      <c r="AC1478" s="729"/>
      <c r="AD1478" s="729"/>
      <c r="AE1478" s="729"/>
      <c r="AF1478" s="729"/>
      <c r="AG1478" s="729"/>
      <c r="AH1478" s="729"/>
      <c r="AI1478" s="729"/>
      <c r="AJ1478" s="343"/>
      <c r="AK1478" s="343"/>
      <c r="AL1478" s="343"/>
      <c r="AM1478" s="343"/>
    </row>
    <row r="1479" spans="1:39" ht="5.15" customHeight="1" x14ac:dyDescent="0.25">
      <c r="A1479" s="729"/>
      <c r="B1479" s="698"/>
      <c r="C1479" s="284"/>
      <c r="D1479" s="284"/>
      <c r="E1479" s="284"/>
      <c r="F1479" s="284"/>
      <c r="G1479" s="284"/>
      <c r="H1479" s="284"/>
      <c r="I1479" s="284"/>
      <c r="J1479" s="284"/>
      <c r="K1479" s="284"/>
      <c r="L1479" s="284"/>
      <c r="M1479" s="284"/>
      <c r="N1479" s="284"/>
      <c r="O1479" s="336"/>
      <c r="P1479" s="336"/>
      <c r="Q1479" s="694"/>
      <c r="R1479" s="694"/>
      <c r="S1479" s="694"/>
      <c r="T1479" s="694"/>
      <c r="U1479" s="694"/>
      <c r="V1479" s="694"/>
      <c r="W1479" s="694"/>
      <c r="X1479" s="694"/>
      <c r="Y1479" s="694"/>
      <c r="Z1479" s="729"/>
      <c r="AA1479" s="729"/>
      <c r="AB1479" s="729"/>
      <c r="AC1479" s="694"/>
      <c r="AD1479" s="694"/>
      <c r="AE1479" s="343"/>
      <c r="AF1479" s="343"/>
      <c r="AG1479" s="343"/>
      <c r="AH1479" s="343"/>
      <c r="AI1479" s="343"/>
      <c r="AJ1479" s="343"/>
      <c r="AK1479" s="343"/>
      <c r="AL1479" s="343"/>
      <c r="AM1479" s="343"/>
    </row>
    <row r="1480" spans="1:39" ht="12.75" customHeight="1" x14ac:dyDescent="0.25">
      <c r="A1480" s="729"/>
      <c r="B1480" s="698"/>
      <c r="C1480" s="284"/>
      <c r="D1480" s="300" t="s">
        <v>1764</v>
      </c>
      <c r="E1480" s="2226" t="str">
        <f>Translations!$B$1562</f>
        <v>Допустими по СТЕ на ЕС технологични емисии по продукти за определяне на очакваните равнища на дейност</v>
      </c>
      <c r="F1480" s="2249"/>
      <c r="G1480" s="2249"/>
      <c r="H1480" s="2249"/>
      <c r="I1480" s="2249"/>
      <c r="J1480" s="2249"/>
      <c r="K1480" s="2249"/>
      <c r="L1480" s="2249"/>
      <c r="M1480" s="2249"/>
      <c r="N1480" s="2249"/>
      <c r="O1480" s="336"/>
      <c r="P1480" s="336"/>
      <c r="Q1480" s="770"/>
      <c r="R1480" s="694"/>
      <c r="S1480" s="1030" t="s">
        <v>2010</v>
      </c>
      <c r="T1480" s="1441" t="str">
        <f>IF(M1418&lt;&gt;EUconst_Relevant,"",IF(COUNTIF(V1435:Z1435,TRUE)&gt;0,2,1))</f>
        <v/>
      </c>
      <c r="U1480" s="729" t="s">
        <v>2006</v>
      </c>
      <c r="V1480" s="694"/>
      <c r="W1480" s="694"/>
      <c r="X1480" s="694"/>
      <c r="Y1480" s="694"/>
      <c r="Z1480" s="729"/>
      <c r="AA1480" s="729"/>
      <c r="AB1480" s="729"/>
      <c r="AC1480" s="694"/>
      <c r="AD1480" s="694"/>
      <c r="AE1480" s="343"/>
      <c r="AF1480" s="343"/>
      <c r="AG1480" s="343"/>
      <c r="AH1480" s="343"/>
      <c r="AI1480" s="343"/>
      <c r="AJ1480" s="343"/>
      <c r="AK1480" s="343"/>
      <c r="AL1480" s="343"/>
      <c r="AM1480" s="343"/>
    </row>
    <row r="1481" spans="1:39" ht="12.75" customHeight="1" x14ac:dyDescent="0.25">
      <c r="A1481" s="729"/>
      <c r="B1481" s="284"/>
      <c r="C1481" s="302"/>
      <c r="D1481" s="302"/>
      <c r="E1481" s="2358" t="str">
        <f>Translations!$B$1563</f>
        <v>Моля, въведете тук технологичните емисии, които са допустими за безплатно разпределяне на квоти.</v>
      </c>
      <c r="F1481" s="2249"/>
      <c r="G1481" s="2249"/>
      <c r="H1481" s="2249"/>
      <c r="I1481" s="2249"/>
      <c r="J1481" s="2249"/>
      <c r="K1481" s="2249"/>
      <c r="L1481" s="2249"/>
      <c r="M1481" s="2249"/>
      <c r="N1481" s="2249"/>
      <c r="O1481" s="336"/>
      <c r="P1481" s="336"/>
      <c r="Q1481" s="770"/>
      <c r="R1481" s="770"/>
      <c r="S1481" s="770"/>
      <c r="T1481" s="770"/>
      <c r="U1481" s="770"/>
      <c r="V1481" s="770"/>
      <c r="W1481" s="770"/>
      <c r="X1481" s="770"/>
      <c r="Y1481" s="770"/>
      <c r="Z1481" s="694"/>
      <c r="AA1481" s="694"/>
      <c r="AB1481" s="729"/>
      <c r="AC1481" s="694"/>
      <c r="AD1481" s="694"/>
      <c r="AE1481" s="343"/>
      <c r="AF1481" s="343"/>
      <c r="AG1481" s="343"/>
      <c r="AH1481" s="343"/>
      <c r="AI1481" s="343"/>
      <c r="AJ1481" s="343"/>
      <c r="AK1481" s="343"/>
      <c r="AL1481" s="343"/>
      <c r="AM1481" s="343"/>
    </row>
    <row r="1482" spans="1:39" ht="25.5" customHeight="1" x14ac:dyDescent="0.25">
      <c r="A1482" s="729"/>
      <c r="B1482" s="698"/>
      <c r="C1482" s="284"/>
      <c r="D1482" s="284"/>
      <c r="E1482" s="2459" t="str">
        <f>Translations!$B$1536</f>
        <v>Вписванията тук са задължителни за всички години, ако средното годишно равнище на дейност по буква а) се е променило с повече от 15 % за поне една година и само в този случай ще окаже пряко въздействие върху разпределянето.</v>
      </c>
      <c r="F1482" s="2460"/>
      <c r="G1482" s="2460"/>
      <c r="H1482" s="2460"/>
      <c r="I1482" s="2460"/>
      <c r="J1482" s="2460"/>
      <c r="K1482" s="2460"/>
      <c r="L1482" s="2460"/>
      <c r="M1482" s="2460"/>
      <c r="N1482" s="2460"/>
      <c r="O1482" s="336"/>
      <c r="P1482" s="336"/>
      <c r="Q1482" s="694"/>
      <c r="R1482" s="694"/>
      <c r="S1482" s="694"/>
      <c r="T1482" s="694"/>
      <c r="U1482" s="694"/>
      <c r="V1482" s="694"/>
      <c r="W1482" s="694"/>
      <c r="X1482" s="694"/>
      <c r="Y1482" s="694"/>
      <c r="Z1482" s="729"/>
      <c r="AA1482" s="729"/>
      <c r="AB1482" s="729"/>
      <c r="AC1482" s="729"/>
      <c r="AD1482" s="694"/>
      <c r="AE1482" s="343"/>
      <c r="AF1482" s="343"/>
      <c r="AG1482" s="343"/>
      <c r="AH1482" s="343"/>
      <c r="AI1482" s="343"/>
      <c r="AJ1482" s="343"/>
      <c r="AK1482" s="343"/>
      <c r="AL1482" s="343"/>
      <c r="AM1482" s="343"/>
    </row>
    <row r="1483" spans="1:39" ht="12.75" customHeight="1" x14ac:dyDescent="0.25">
      <c r="A1483" s="729"/>
      <c r="B1483" s="698"/>
      <c r="C1483" s="284"/>
      <c r="D1483" s="284"/>
      <c r="E1483" s="2358" t="str">
        <f>Translations!$B$1564</f>
        <v>Стойността в НМИ се отнася до средните емисии през историческия базов период (НМИ).</v>
      </c>
      <c r="F1483" s="2249"/>
      <c r="G1483" s="2249"/>
      <c r="H1483" s="2249"/>
      <c r="I1483" s="2249"/>
      <c r="J1483" s="2249"/>
      <c r="K1483" s="2249"/>
      <c r="L1483" s="2249"/>
      <c r="M1483" s="2249"/>
      <c r="N1483" s="2249"/>
      <c r="O1483" s="336"/>
      <c r="P1483" s="295"/>
      <c r="Q1483" s="694"/>
      <c r="R1483" s="694"/>
      <c r="S1483" s="694"/>
      <c r="T1483" s="694"/>
      <c r="U1483" s="694"/>
      <c r="V1483" s="694"/>
      <c r="W1483" s="694"/>
      <c r="X1483" s="694"/>
      <c r="Y1483" s="694"/>
      <c r="Z1483" s="729"/>
      <c r="AA1483" s="729"/>
      <c r="AB1483" s="729"/>
      <c r="AC1483" s="729"/>
      <c r="AD1483" s="694"/>
      <c r="AE1483" s="343"/>
      <c r="AF1483" s="343"/>
      <c r="AG1483" s="343"/>
      <c r="AH1483" s="343"/>
      <c r="AI1483" s="343"/>
      <c r="AJ1483" s="343"/>
      <c r="AK1483" s="343"/>
      <c r="AL1483" s="343"/>
      <c r="AM1483" s="343"/>
    </row>
    <row r="1484" spans="1:39" ht="12.75" customHeight="1" x14ac:dyDescent="0.25">
      <c r="A1484" s="729"/>
      <c r="B1484" s="698"/>
      <c r="C1484" s="284"/>
      <c r="D1484" s="284"/>
      <c r="E1484" s="2358" t="str">
        <f>Translations!$B$1538</f>
        <v>Допълнителни насоки относно отнасянето по продукти за изчисляването на историческата ефективност (HistEff) могат да бъдат намерени в раздели 2.3 и 3 от Ръководство № 7.</v>
      </c>
      <c r="F1484" s="2249"/>
      <c r="G1484" s="2249"/>
      <c r="H1484" s="2249"/>
      <c r="I1484" s="2249"/>
      <c r="J1484" s="2249"/>
      <c r="K1484" s="2249"/>
      <c r="L1484" s="2249"/>
      <c r="M1484" s="2249"/>
      <c r="N1484" s="2249"/>
      <c r="O1484" s="336"/>
      <c r="P1484" s="295"/>
      <c r="Q1484" s="694"/>
      <c r="R1484" s="694"/>
      <c r="S1484" s="694"/>
      <c r="T1484" s="694"/>
      <c r="U1484" s="694"/>
      <c r="V1484" s="694"/>
      <c r="W1484" s="694"/>
      <c r="X1484" s="694"/>
      <c r="Y1484" s="694"/>
      <c r="Z1484" s="729"/>
      <c r="AA1484" s="729"/>
      <c r="AB1484" s="729"/>
      <c r="AC1484" s="729"/>
      <c r="AD1484" s="694"/>
      <c r="AE1484" s="343"/>
      <c r="AF1484" s="343"/>
      <c r="AG1484" s="343"/>
      <c r="AH1484" s="343"/>
      <c r="AI1484" s="343"/>
      <c r="AJ1484" s="343"/>
      <c r="AK1484" s="343"/>
      <c r="AL1484" s="343"/>
      <c r="AM1484" s="343"/>
    </row>
    <row r="1485" spans="1:39" ht="5.15" customHeight="1" x14ac:dyDescent="0.25">
      <c r="A1485" s="729"/>
      <c r="B1485" s="698"/>
      <c r="C1485" s="284"/>
      <c r="D1485" s="284"/>
      <c r="E1485" s="2358"/>
      <c r="F1485" s="2249"/>
      <c r="G1485" s="2249"/>
      <c r="H1485" s="2249"/>
      <c r="I1485" s="2249"/>
      <c r="J1485" s="2249"/>
      <c r="K1485" s="2249"/>
      <c r="L1485" s="2249"/>
      <c r="M1485" s="2249"/>
      <c r="N1485" s="2249"/>
      <c r="O1485" s="336"/>
      <c r="P1485" s="295"/>
      <c r="Q1485" s="694"/>
      <c r="R1485" s="694"/>
      <c r="S1485" s="694"/>
      <c r="T1485" s="694"/>
      <c r="U1485" s="694"/>
      <c r="V1485" s="694"/>
      <c r="W1485" s="694"/>
      <c r="X1485" s="694"/>
      <c r="Y1485" s="694"/>
      <c r="Z1485" s="729"/>
      <c r="AA1485" s="729"/>
      <c r="AB1485" s="729"/>
      <c r="AC1485" s="729"/>
      <c r="AD1485" s="694"/>
      <c r="AE1485" s="343"/>
      <c r="AF1485" s="343"/>
      <c r="AG1485" s="343"/>
      <c r="AH1485" s="343"/>
      <c r="AI1485" s="343"/>
      <c r="AJ1485" s="343"/>
      <c r="AK1485" s="343"/>
      <c r="AL1485" s="343"/>
      <c r="AM1485" s="343"/>
    </row>
    <row r="1486" spans="1:39" s="1423" customFormat="1" ht="25.5" customHeight="1" thickBot="1" x14ac:dyDescent="0.35">
      <c r="A1486" s="729"/>
      <c r="B1486" s="1412"/>
      <c r="C1486" s="1413"/>
      <c r="D1486" s="1414"/>
      <c r="E1486" s="1415" t="str">
        <f t="shared" ref="E1486:E1496" si="2183">E1467</f>
        <v>Име на продукт или вид услуга</v>
      </c>
      <c r="F1486" s="1416" t="str">
        <f>EUconst_Unit</f>
        <v>Единица мярка</v>
      </c>
      <c r="G1486" s="1419" t="str">
        <f>Translations!$B$1336</f>
        <v>Стойност в НМИ</v>
      </c>
      <c r="H1486" s="1418">
        <f t="shared" ref="H1486:N1486" si="2184">H$1840</f>
        <v>2024</v>
      </c>
      <c r="I1486" s="1419">
        <f t="shared" si="2184"/>
        <v>2025</v>
      </c>
      <c r="J1486" s="1418">
        <f t="shared" si="2184"/>
        <v>2026</v>
      </c>
      <c r="K1486" s="1420">
        <f t="shared" si="2184"/>
        <v>2027</v>
      </c>
      <c r="L1486" s="1420">
        <f t="shared" si="2184"/>
        <v>2028</v>
      </c>
      <c r="M1486" s="1420">
        <f t="shared" si="2184"/>
        <v>2029</v>
      </c>
      <c r="N1486" s="1420">
        <f t="shared" si="2184"/>
        <v>2030</v>
      </c>
      <c r="O1486" s="336"/>
      <c r="P1486" s="295"/>
      <c r="Q1486" s="1421"/>
      <c r="R1486" s="1421"/>
      <c r="S1486" s="770" t="str">
        <f>Translations!$B$1341</f>
        <v>Базова стойност</v>
      </c>
      <c r="T1486" s="1421">
        <f t="shared" ref="T1486" si="2185">H1486</f>
        <v>2024</v>
      </c>
      <c r="U1486" s="1421">
        <f t="shared" ref="U1486" si="2186">I1486</f>
        <v>2025</v>
      </c>
      <c r="V1486" s="1421">
        <f t="shared" ref="V1486" si="2187">J1486</f>
        <v>2026</v>
      </c>
      <c r="W1486" s="1421">
        <f t="shared" ref="W1486" si="2188">K1486</f>
        <v>2027</v>
      </c>
      <c r="X1486" s="1421">
        <f t="shared" ref="X1486" si="2189">L1486</f>
        <v>2028</v>
      </c>
      <c r="Y1486" s="1421">
        <f t="shared" ref="Y1486" si="2190">M1486</f>
        <v>2029</v>
      </c>
      <c r="Z1486" s="1421">
        <f t="shared" ref="Z1486" si="2191">N1486</f>
        <v>2030</v>
      </c>
      <c r="AA1486" s="1421"/>
      <c r="AB1486" s="770" t="str">
        <f>Translations!$B$1284</f>
        <v>HAL</v>
      </c>
      <c r="AC1486" s="1421">
        <f t="shared" ref="AC1486" si="2192">H1486</f>
        <v>2024</v>
      </c>
      <c r="AD1486" s="1421">
        <f t="shared" ref="AD1486" si="2193">I1486</f>
        <v>2025</v>
      </c>
      <c r="AE1486" s="1421">
        <f t="shared" ref="AE1486" si="2194">J1486</f>
        <v>2026</v>
      </c>
      <c r="AF1486" s="1421">
        <f t="shared" ref="AF1486" si="2195">K1486</f>
        <v>2027</v>
      </c>
      <c r="AG1486" s="1421">
        <f t="shared" ref="AG1486" si="2196">L1486</f>
        <v>2028</v>
      </c>
      <c r="AH1486" s="1422">
        <f t="shared" ref="AH1486" si="2197">M1486</f>
        <v>2029</v>
      </c>
      <c r="AI1486" s="1422">
        <f t="shared" ref="AI1486" si="2198">N1486</f>
        <v>2030</v>
      </c>
      <c r="AJ1486" s="1422"/>
      <c r="AK1486" s="1422"/>
      <c r="AL1486" s="1422"/>
      <c r="AM1486" s="1422"/>
    </row>
    <row r="1487" spans="1:39" ht="12.75" customHeight="1" x14ac:dyDescent="0.25">
      <c r="A1487" s="729"/>
      <c r="B1487" s="698"/>
      <c r="C1487" s="2906" t="str">
        <f>Translations!$B$1565</f>
        <v>допустими</v>
      </c>
      <c r="D1487" s="981">
        <v>1</v>
      </c>
      <c r="E1487" s="1424" t="str">
        <f t="shared" si="2183"/>
        <v/>
      </c>
      <c r="F1487" s="1259" t="str">
        <f>H1434</f>
        <v>t CO2e</v>
      </c>
      <c r="G1487" s="125"/>
      <c r="H1487" s="116"/>
      <c r="I1487" s="46"/>
      <c r="J1487" s="116"/>
      <c r="K1487" s="40"/>
      <c r="L1487" s="40"/>
      <c r="M1487" s="40"/>
      <c r="N1487" s="40"/>
      <c r="O1487" s="1442"/>
      <c r="P1487" s="158"/>
      <c r="Q1487" s="694"/>
      <c r="R1487" s="694"/>
      <c r="S1487" s="1443" t="str">
        <f>IF($M1418&lt;&gt;EUconst_Relevant,"",
IF($V1418&gt;($J$1840-3),
              IF(INDEX(H1468:N1468,MATCH($V1418,$T1486:$Z1486,0))=0,0,INDEX(H1487:N1487,MATCH($V1418,$T1486:$Z1486,0))/INDEX(H1468:N1468,MATCH($V1418,$T1486:$Z1486,0))),
                             IF(ISNUMBER(G1468),
                                            IF(OR(G1468=0,$S1452=FALSE),0,G1487/G1468),"")))</f>
        <v/>
      </c>
      <c r="T1487" s="1444" t="str">
        <f t="shared" ref="T1487:T1496" si="2199">IF($E1487="","",IF(IFERROR(SUM($S1487)=0,SUM($H1487)),SUM(H1487),SUM(H1468)*SUM($S1487)))</f>
        <v/>
      </c>
      <c r="U1487" s="1444" t="str">
        <f t="shared" ref="U1487" si="2200">IF($E1487="","",IF(IFERROR(SUM($S1487)=0,SUM($H1487)),SUM(I1487),SUM(I1468)*SUM($S1487)))</f>
        <v/>
      </c>
      <c r="V1487" s="1444" t="str">
        <f t="shared" ref="V1487:V1496" si="2201">IF($E1487="","",IF(IFERROR(SUM($S1487)=0,SUM($H1487)),SUM(J1487),SUM(J1468)*SUM($S1487)))</f>
        <v/>
      </c>
      <c r="W1487" s="1444" t="str">
        <f t="shared" ref="W1487:W1496" si="2202">IF($E1487="","",IF(IFERROR(SUM($S1487)=0,SUM($H1487)),SUM(K1487),SUM(K1468)*SUM($S1487)))</f>
        <v/>
      </c>
      <c r="X1487" s="1444" t="str">
        <f t="shared" ref="X1487:X1496" si="2203">IF($E1487="","",IF(IFERROR(SUM($S1487)=0,SUM($H1487)),SUM(L1487),SUM(L1468)*SUM($S1487)))</f>
        <v/>
      </c>
      <c r="Y1487" s="1444" t="str">
        <f t="shared" ref="Y1487:Y1496" si="2204">IF($E1487="","",IF(IFERROR(SUM($S1487)=0,SUM($H1487)),SUM(M1487),SUM(M1468)*SUM($S1487)))</f>
        <v/>
      </c>
      <c r="Z1487" s="1445" t="str">
        <f t="shared" ref="Z1487:Z1496" si="2205">IF($E1487="","",IF(IFERROR(SUM($S1487)=0,SUM($H1487)),SUM(N1487),SUM(N1468)*SUM($S1487)))</f>
        <v/>
      </c>
      <c r="AA1487" s="1446" t="s">
        <v>1757</v>
      </c>
      <c r="AB1487" s="1447">
        <f>MAX(AC1487,AD1487:AI1487)</f>
        <v>2</v>
      </c>
      <c r="AC1487" s="1426">
        <f>IF(CNTR_ExistSubInstEntries,IF(OR($M1418&lt;&gt;EUconst_Relevant,AC1486&gt;=CNTR_ReportingYear,AC1486&lt;$V1418-1,$E1487=""),0,IF(AND($T1480=2,COUNTIF($V1435:V1435,TRUE)&gt;0,$S1452),2,1)),2)</f>
        <v>2</v>
      </c>
      <c r="AD1487" s="1427">
        <f>IF(CNTR_ExistSubInstEntries,IF(OR($M1418&lt;&gt;EUconst_Relevant,AD1486&gt;=CNTR_ReportingYear,AD1486&lt;$V1418-1,$E1487=""),0,IF(AND($T1480=2,COUNTIF($V1435:W1435,TRUE)&gt;0,$S1452),2,1)),2)</f>
        <v>2</v>
      </c>
      <c r="AE1487" s="1427">
        <f>IF(CNTR_ExistSubInstEntries,IF(OR($M1418&lt;&gt;EUconst_Relevant,AE1486&gt;=CNTR_ReportingYear,AE1486&lt;$V1418-1,$E1487=""),0,IF(AND($T1480=2,COUNTIF($V1435:X1435,TRUE)&gt;0,$S1452),2,1)),2)</f>
        <v>2</v>
      </c>
      <c r="AF1487" s="1427">
        <f>IF(CNTR_ExistSubInstEntries,IF(OR($M1418&lt;&gt;EUconst_Relevant,AF1486&gt;=CNTR_ReportingYear,AF1486&lt;$V1418-1,$E1487=""),0,IF(AND($T1480=2,COUNTIF($V1435:Y1435,TRUE)&gt;0,$S1452),2,1)),2)</f>
        <v>2</v>
      </c>
      <c r="AG1487" s="1427">
        <f>IF(CNTR_ExistSubInstEntries,IF(OR($M1418&lt;&gt;EUconst_Relevant,AG1486&gt;=CNTR_ReportingYear,AG1486&lt;$V1418-1,$E1487=""),0,IF(AND($T1480=2,COUNTIF($V1435:Z1435,TRUE)&gt;0,$S1452),2,1)),2)</f>
        <v>2</v>
      </c>
      <c r="AH1487" s="1428">
        <f>IF(CNTR_ExistSubInstEntries,IF(OR($M1418&lt;&gt;EUconst_Relevant,AH1486&gt;=CNTR_ReportingYear,AH1486&lt;$V1418-1,$E1487=""),0,IF(AND($T1480=2,COUNTIF($V1435:AA1435,TRUE)&gt;0,$S1452),2,1)),2)</f>
        <v>2</v>
      </c>
      <c r="AI1487" s="1429">
        <f>IF(CNTR_ExistSubInstEntries,IF(OR($M1418&lt;&gt;EUconst_Relevant,AI1486&gt;=CNTR_ReportingYear,AI1486&lt;$V1418-1,$E1487=""),0,IF(AND($T1480=2,COUNTIF($V1435:AB1435,TRUE)&gt;0,$S1452),2,1)),2)</f>
        <v>2</v>
      </c>
      <c r="AJ1487" s="343"/>
      <c r="AK1487" s="1174" t="s">
        <v>2039</v>
      </c>
      <c r="AL1487" s="1176" t="str">
        <f>IF(AND(CNTR_ExistSubInstEntries,COUNTIFS(AB1487:AI1487,2,G1487:N1487,"")&gt;0),EUconst_Error&amp;"FB"&amp;Q1418,"")</f>
        <v/>
      </c>
      <c r="AM1487" s="343"/>
    </row>
    <row r="1488" spans="1:39" ht="12.75" customHeight="1" x14ac:dyDescent="0.25">
      <c r="A1488" s="729"/>
      <c r="B1488" s="698"/>
      <c r="C1488" s="2906"/>
      <c r="D1488" s="990">
        <v>2</v>
      </c>
      <c r="E1488" s="1430" t="str">
        <f t="shared" si="2183"/>
        <v/>
      </c>
      <c r="F1488" s="1448" t="str">
        <f>F1487</f>
        <v>t CO2e</v>
      </c>
      <c r="G1488" s="124"/>
      <c r="H1488" s="119"/>
      <c r="I1488" s="47"/>
      <c r="J1488" s="119"/>
      <c r="K1488" s="43"/>
      <c r="L1488" s="43"/>
      <c r="M1488" s="43"/>
      <c r="N1488" s="43"/>
      <c r="O1488" s="336"/>
      <c r="P1488" s="158"/>
      <c r="Q1488" s="694"/>
      <c r="R1488" s="694"/>
      <c r="S1488" s="1449" t="str">
        <f>IF($M1418&lt;&gt;EUconst_Relevant,"",
IF($V1418&gt;($J$1840-3),
              IF(INDEX(H1469:N1469,MATCH($V1418,$T1486:$Z1486,0))=0,0,INDEX(H1488:N1488,MATCH($V1418,$T1486:$Z1486,0))/INDEX(H1469:N1469,MATCH($V1418,$T1486:$Z1486,0))),
                             IF(ISNUMBER(G1469),
                                            IF(OR(G1469=0,$S1453=FALSE),0,G1488/G1469),"")))</f>
        <v/>
      </c>
      <c r="T1488" s="1450" t="str">
        <f t="shared" si="2199"/>
        <v/>
      </c>
      <c r="U1488" s="1450" t="str">
        <f t="shared" ref="U1488:U1496" si="2206">IF($E1488="","",IF(IFERROR(SUM($S1488)=0,SUM($H1488)),SUM(I1488),SUM(I1469)*SUM($S1488)))</f>
        <v/>
      </c>
      <c r="V1488" s="1450" t="str">
        <f t="shared" si="2201"/>
        <v/>
      </c>
      <c r="W1488" s="1450" t="str">
        <f t="shared" si="2202"/>
        <v/>
      </c>
      <c r="X1488" s="1450" t="str">
        <f t="shared" si="2203"/>
        <v/>
      </c>
      <c r="Y1488" s="1450" t="str">
        <f t="shared" si="2204"/>
        <v/>
      </c>
      <c r="Z1488" s="1451" t="str">
        <f t="shared" si="2205"/>
        <v/>
      </c>
      <c r="AA1488" s="694"/>
      <c r="AB1488" s="1431">
        <f t="shared" ref="AB1488:AB1496" si="2207">MAX(AC1488,AD1488:AI1488)</f>
        <v>2</v>
      </c>
      <c r="AC1488" s="1432">
        <f>IF(CNTR_ExistSubInstEntries,IF(OR($M1418&lt;&gt;EUconst_Relevant,AC1486&gt;=CNTR_ReportingYear,AC1486&lt;$V1418-1,$E1488=""),0,IF(AND($T1480=2,COUNTIF($V1435:V1435,TRUE)&gt;0,$S1453),2,1)),2)</f>
        <v>2</v>
      </c>
      <c r="AD1488" s="1432">
        <f>IF(CNTR_ExistSubInstEntries,IF(OR($M1418&lt;&gt;EUconst_Relevant,AD1486&gt;=CNTR_ReportingYear,AD1486&lt;$V1418-1,$E1488=""),0,IF(AND($T1480=2,COUNTIF($V1435:W1435,TRUE)&gt;0,$S1453),2,1)),2)</f>
        <v>2</v>
      </c>
      <c r="AE1488" s="1432">
        <f>IF(CNTR_ExistSubInstEntries,IF(OR($M1418&lt;&gt;EUconst_Relevant,AE1486&gt;=CNTR_ReportingYear,AE1486&lt;$V1418-1,$E1488=""),0,IF(AND($T1480=2,COUNTIF($V1435:X1435,TRUE)&gt;0,$S1453),2,1)),2)</f>
        <v>2</v>
      </c>
      <c r="AF1488" s="1432">
        <f>IF(CNTR_ExistSubInstEntries,IF(OR($M1418&lt;&gt;EUconst_Relevant,AF1486&gt;=CNTR_ReportingYear,AF1486&lt;$V1418-1,$E1488=""),0,IF(AND($T1480=2,COUNTIF($V1435:Y1435,TRUE)&gt;0,$S1453),2,1)),2)</f>
        <v>2</v>
      </c>
      <c r="AG1488" s="1432">
        <f>IF(CNTR_ExistSubInstEntries,IF(OR($M1418&lt;&gt;EUconst_Relevant,AG1486&gt;=CNTR_ReportingYear,AG1486&lt;$V1418-1,$E1488=""),0,IF(AND($T1480=2,COUNTIF($V1435:Z1435,TRUE)&gt;0,$S1453),2,1)),2)</f>
        <v>2</v>
      </c>
      <c r="AH1488" s="1432">
        <f>IF(CNTR_ExistSubInstEntries,IF(OR($M1418&lt;&gt;EUconst_Relevant,AH1486&gt;=CNTR_ReportingYear,AH1486&lt;$V1418-1,$E1488=""),0,IF(AND($T1480=2,COUNTIF($V1435:AA1435,TRUE)&gt;0,$S1453),2,1)),2)</f>
        <v>2</v>
      </c>
      <c r="AI1488" s="1452">
        <f>IF(CNTR_ExistSubInstEntries,IF(OR($M1418&lt;&gt;EUconst_Relevant,AI1486&gt;=CNTR_ReportingYear,AI1486&lt;$V1418-1,$E1488=""),0,IF(AND($T1480=2,COUNTIF($V1435:AB1435,TRUE)&gt;0,$S1453),2,1)),2)</f>
        <v>2</v>
      </c>
      <c r="AJ1488" s="343"/>
      <c r="AK1488" s="1174" t="s">
        <v>2039</v>
      </c>
      <c r="AL1488" s="1176" t="str">
        <f>IF(AND(CNTR_ExistSubInstEntries,COUNTIFS(AB1488:AI1488,2,G1488:N1488,"")&gt;0),EUconst_Error&amp;"FB"&amp;Q1418,"")</f>
        <v/>
      </c>
      <c r="AM1488" s="343"/>
    </row>
    <row r="1489" spans="1:39" ht="12.75" customHeight="1" x14ac:dyDescent="0.25">
      <c r="A1489" s="729"/>
      <c r="B1489" s="698"/>
      <c r="C1489" s="2906"/>
      <c r="D1489" s="990">
        <v>3</v>
      </c>
      <c r="E1489" s="1430" t="str">
        <f t="shared" si="2183"/>
        <v/>
      </c>
      <c r="F1489" s="1448" t="str">
        <f t="shared" ref="F1489:F1498" si="2208">EUconst_tCO2e</f>
        <v>t CO2e</v>
      </c>
      <c r="G1489" s="47"/>
      <c r="H1489" s="119"/>
      <c r="I1489" s="47"/>
      <c r="J1489" s="119"/>
      <c r="K1489" s="43"/>
      <c r="L1489" s="43"/>
      <c r="M1489" s="43"/>
      <c r="N1489" s="43"/>
      <c r="O1489" s="336"/>
      <c r="P1489" s="158"/>
      <c r="Q1489" s="694"/>
      <c r="R1489" s="694"/>
      <c r="S1489" s="1449" t="str">
        <f>IF($M1418&lt;&gt;EUconst_Relevant,"",
IF($V1418&gt;($J$1840-3),
              IF(INDEX(H1470:N1470,MATCH($V1418,$T1486:$Z1486,0))=0,0,INDEX(H1489:N1489,MATCH($V1418,$T1486:$Z1486,0))/INDEX(H1470:N1470,MATCH($V1418,$T1486:$Z1486,0))),
                             IF(ISNUMBER(G1470),
                                            IF(OR(G1470=0,$S1454=FALSE),0,G1489/G1470),"")))</f>
        <v/>
      </c>
      <c r="T1489" s="1450" t="str">
        <f t="shared" si="2199"/>
        <v/>
      </c>
      <c r="U1489" s="1450" t="str">
        <f t="shared" si="2206"/>
        <v/>
      </c>
      <c r="V1489" s="1450" t="str">
        <f t="shared" si="2201"/>
        <v/>
      </c>
      <c r="W1489" s="1450" t="str">
        <f t="shared" si="2202"/>
        <v/>
      </c>
      <c r="X1489" s="1450" t="str">
        <f t="shared" si="2203"/>
        <v/>
      </c>
      <c r="Y1489" s="1450" t="str">
        <f t="shared" si="2204"/>
        <v/>
      </c>
      <c r="Z1489" s="1451" t="str">
        <f t="shared" si="2205"/>
        <v/>
      </c>
      <c r="AA1489" s="694"/>
      <c r="AB1489" s="1431">
        <f t="shared" si="2207"/>
        <v>2</v>
      </c>
      <c r="AC1489" s="1432">
        <f>IF(CNTR_ExistSubInstEntries,IF(OR($M1418&lt;&gt;EUconst_Relevant,AC1486&gt;=CNTR_ReportingYear,AC1486&lt;$V1418-1,$E1489=""),0,IF(AND($T1480=2,COUNTIF($V1435:V1435,TRUE)&gt;0,$S1454),2,1)),2)</f>
        <v>2</v>
      </c>
      <c r="AD1489" s="1432">
        <f>IF(CNTR_ExistSubInstEntries,IF(OR($M1418&lt;&gt;EUconst_Relevant,AD1486&gt;=CNTR_ReportingYear,AD1486&lt;$V1418-1,$E1489=""),0,IF(AND($T1480=2,COUNTIF($V1435:W1435,TRUE)&gt;0,$S1454),2,1)),2)</f>
        <v>2</v>
      </c>
      <c r="AE1489" s="1432">
        <f>IF(CNTR_ExistSubInstEntries,IF(OR($M1418&lt;&gt;EUconst_Relevant,AE1486&gt;=CNTR_ReportingYear,AE1486&lt;$V1418-1,$E1489=""),0,IF(AND($T1480=2,COUNTIF($V1435:X1435,TRUE)&gt;0,$S1454),2,1)),2)</f>
        <v>2</v>
      </c>
      <c r="AF1489" s="1432">
        <f>IF(CNTR_ExistSubInstEntries,IF(OR($M1418&lt;&gt;EUconst_Relevant,AF1486&gt;=CNTR_ReportingYear,AF1486&lt;$V1418-1,$E1489=""),0,IF(AND($T1480=2,COUNTIF($V1435:Y1435,TRUE)&gt;0,$S1454),2,1)),2)</f>
        <v>2</v>
      </c>
      <c r="AG1489" s="1432">
        <f>IF(CNTR_ExistSubInstEntries,IF(OR($M1418&lt;&gt;EUconst_Relevant,AG1486&gt;=CNTR_ReportingYear,AG1486&lt;$V1418-1,$E1489=""),0,IF(AND($T1480=2,COUNTIF($V1435:Z1435,TRUE)&gt;0,$S1454),2,1)),2)</f>
        <v>2</v>
      </c>
      <c r="AH1489" s="1432">
        <f>IF(CNTR_ExistSubInstEntries,IF(OR($M1418&lt;&gt;EUconst_Relevant,AH1486&gt;=CNTR_ReportingYear,AH1486&lt;$V1418-1,$E1489=""),0,IF(AND($T1480=2,COUNTIF($V1435:AA1435,TRUE)&gt;0,$S1454),2,1)),2)</f>
        <v>2</v>
      </c>
      <c r="AI1489" s="1452">
        <f>IF(CNTR_ExistSubInstEntries,IF(OR($M1418&lt;&gt;EUconst_Relevant,AI1486&gt;=CNTR_ReportingYear,AI1486&lt;$V1418-1,$E1489=""),0,IF(AND($T1480=2,COUNTIF($V1435:AB1435,TRUE)&gt;0,$S1454),2,1)),2)</f>
        <v>2</v>
      </c>
      <c r="AJ1489" s="343"/>
      <c r="AK1489" s="1174" t="s">
        <v>2039</v>
      </c>
      <c r="AL1489" s="1176" t="str">
        <f>IF(AND(CNTR_ExistSubInstEntries,COUNTIFS(AB1489:AI1489,2,G1489:N1489,"")&gt;0),EUconst_Error&amp;"FB"&amp;Q1418,"")</f>
        <v/>
      </c>
      <c r="AM1489" s="343"/>
    </row>
    <row r="1490" spans="1:39" ht="12.75" customHeight="1" x14ac:dyDescent="0.25">
      <c r="A1490" s="729"/>
      <c r="B1490" s="698"/>
      <c r="C1490" s="2906"/>
      <c r="D1490" s="990">
        <v>4</v>
      </c>
      <c r="E1490" s="1430" t="str">
        <f t="shared" si="2183"/>
        <v/>
      </c>
      <c r="F1490" s="1448" t="str">
        <f t="shared" si="2208"/>
        <v>t CO2e</v>
      </c>
      <c r="G1490" s="47"/>
      <c r="H1490" s="119"/>
      <c r="I1490" s="47"/>
      <c r="J1490" s="119"/>
      <c r="K1490" s="43"/>
      <c r="L1490" s="43"/>
      <c r="M1490" s="43"/>
      <c r="N1490" s="43"/>
      <c r="O1490" s="336"/>
      <c r="P1490" s="158"/>
      <c r="Q1490" s="694"/>
      <c r="R1490" s="694"/>
      <c r="S1490" s="1449" t="str">
        <f>IF($M1418&lt;&gt;EUconst_Relevant,"",
IF($V1418&gt;($J$1840-3),
              IF(INDEX(H1471:N1471,MATCH($V1418,$T1486:$Z1486,0))=0,0,INDEX(H1490:N1490,MATCH($V1418,$T1486:$Z1486,0))/INDEX(H1471:N1471,MATCH($V1418,$T1486:$Z1486,0))),
                             IF(ISNUMBER(G1471),
                                            IF(OR(G1471=0,$S1455=FALSE),0,G1490/G1471),"")))</f>
        <v/>
      </c>
      <c r="T1490" s="1450" t="str">
        <f t="shared" si="2199"/>
        <v/>
      </c>
      <c r="U1490" s="1450" t="str">
        <f t="shared" si="2206"/>
        <v/>
      </c>
      <c r="V1490" s="1450" t="str">
        <f t="shared" si="2201"/>
        <v/>
      </c>
      <c r="W1490" s="1450" t="str">
        <f t="shared" si="2202"/>
        <v/>
      </c>
      <c r="X1490" s="1450" t="str">
        <f t="shared" si="2203"/>
        <v/>
      </c>
      <c r="Y1490" s="1450" t="str">
        <f t="shared" si="2204"/>
        <v/>
      </c>
      <c r="Z1490" s="1451" t="str">
        <f t="shared" si="2205"/>
        <v/>
      </c>
      <c r="AA1490" s="694"/>
      <c r="AB1490" s="1431">
        <f t="shared" si="2207"/>
        <v>2</v>
      </c>
      <c r="AC1490" s="1432">
        <f>IF(CNTR_ExistSubInstEntries,IF(OR($M1418&lt;&gt;EUconst_Relevant,AC1486&gt;=CNTR_ReportingYear,AC1486&lt;$V1418-1,$E1490=""),0,IF(AND($T1480=2,COUNTIF($V1435:V1435,TRUE)&gt;0,$S1455),2,1)),2)</f>
        <v>2</v>
      </c>
      <c r="AD1490" s="1432">
        <f>IF(CNTR_ExistSubInstEntries,IF(OR($M1418&lt;&gt;EUconst_Relevant,AD1486&gt;=CNTR_ReportingYear,AD1486&lt;$V1418-1,$E1490=""),0,IF(AND($T1480=2,COUNTIF($V1435:W1435,TRUE)&gt;0,$S1455),2,1)),2)</f>
        <v>2</v>
      </c>
      <c r="AE1490" s="1432">
        <f>IF(CNTR_ExistSubInstEntries,IF(OR($M1418&lt;&gt;EUconst_Relevant,AE1486&gt;=CNTR_ReportingYear,AE1486&lt;$V1418-1,$E1490=""),0,IF(AND($T1480=2,COUNTIF($V1435:X1435,TRUE)&gt;0,$S1455),2,1)),2)</f>
        <v>2</v>
      </c>
      <c r="AF1490" s="1432">
        <f>IF(CNTR_ExistSubInstEntries,IF(OR($M1418&lt;&gt;EUconst_Relevant,AF1486&gt;=CNTR_ReportingYear,AF1486&lt;$V1418-1,$E1490=""),0,IF(AND($T1480=2,COUNTIF($V1435:Y1435,TRUE)&gt;0,$S1455),2,1)),2)</f>
        <v>2</v>
      </c>
      <c r="AG1490" s="1432">
        <f>IF(CNTR_ExistSubInstEntries,IF(OR($M1418&lt;&gt;EUconst_Relevant,AG1486&gt;=CNTR_ReportingYear,AG1486&lt;$V1418-1,$E1490=""),0,IF(AND($T1480=2,COUNTIF($V1435:Z1435,TRUE)&gt;0,$S1455),2,1)),2)</f>
        <v>2</v>
      </c>
      <c r="AH1490" s="1432">
        <f>IF(CNTR_ExistSubInstEntries,IF(OR($M1418&lt;&gt;EUconst_Relevant,AH1486&gt;=CNTR_ReportingYear,AH1486&lt;$V1418-1,$E1490=""),0,IF(AND($T1480=2,COUNTIF($V1435:AA1435,TRUE)&gt;0,$S1455),2,1)),2)</f>
        <v>2</v>
      </c>
      <c r="AI1490" s="1452">
        <f>IF(CNTR_ExistSubInstEntries,IF(OR($M1418&lt;&gt;EUconst_Relevant,AI1486&gt;=CNTR_ReportingYear,AI1486&lt;$V1418-1,$E1490=""),0,IF(AND($T1480=2,COUNTIF($V1435:AB1435,TRUE)&gt;0,$S1455),2,1)),2)</f>
        <v>2</v>
      </c>
      <c r="AJ1490" s="343"/>
      <c r="AK1490" s="1174" t="s">
        <v>2039</v>
      </c>
      <c r="AL1490" s="1176" t="str">
        <f>IF(AND(CNTR_ExistSubInstEntries,COUNTIFS(AB1490:AI1490,2,G1490:N1490,"")&gt;0),EUconst_Error&amp;"FB"&amp;Q1418,"")</f>
        <v/>
      </c>
      <c r="AM1490" s="343"/>
    </row>
    <row r="1491" spans="1:39" ht="12.75" customHeight="1" x14ac:dyDescent="0.25">
      <c r="A1491" s="729"/>
      <c r="B1491" s="698"/>
      <c r="C1491" s="2906"/>
      <c r="D1491" s="990">
        <v>5</v>
      </c>
      <c r="E1491" s="1430" t="str">
        <f t="shared" si="2183"/>
        <v/>
      </c>
      <c r="F1491" s="1448" t="str">
        <f t="shared" si="2208"/>
        <v>t CO2e</v>
      </c>
      <c r="G1491" s="47"/>
      <c r="H1491" s="119"/>
      <c r="I1491" s="47"/>
      <c r="J1491" s="119"/>
      <c r="K1491" s="43"/>
      <c r="L1491" s="43"/>
      <c r="M1491" s="43"/>
      <c r="N1491" s="43"/>
      <c r="O1491" s="336"/>
      <c r="P1491" s="158"/>
      <c r="Q1491" s="694"/>
      <c r="R1491" s="694"/>
      <c r="S1491" s="1449" t="str">
        <f>IF($M1418&lt;&gt;EUconst_Relevant,"",
IF($V1418&gt;($J$1840-3),
              IF(INDEX(H1472:N1472,MATCH($V1418,$T1486:$Z1486,0))=0,0,INDEX(H1491:N1491,MATCH($V1418,$T1486:$Z1486,0))/INDEX(H1472:N1472,MATCH($V1418,$T1486:$Z1486,0))),
                             IF(ISNUMBER(G1472),
                                            IF(OR(G1472=0,$S1456=FALSE),0,G1491/G1472),"")))</f>
        <v/>
      </c>
      <c r="T1491" s="1450" t="str">
        <f t="shared" si="2199"/>
        <v/>
      </c>
      <c r="U1491" s="1450" t="str">
        <f t="shared" si="2206"/>
        <v/>
      </c>
      <c r="V1491" s="1450" t="str">
        <f t="shared" si="2201"/>
        <v/>
      </c>
      <c r="W1491" s="1450" t="str">
        <f t="shared" si="2202"/>
        <v/>
      </c>
      <c r="X1491" s="1450" t="str">
        <f t="shared" si="2203"/>
        <v/>
      </c>
      <c r="Y1491" s="1450" t="str">
        <f t="shared" si="2204"/>
        <v/>
      </c>
      <c r="Z1491" s="1451" t="str">
        <f t="shared" si="2205"/>
        <v/>
      </c>
      <c r="AA1491" s="694"/>
      <c r="AB1491" s="1431">
        <f t="shared" si="2207"/>
        <v>2</v>
      </c>
      <c r="AC1491" s="1432">
        <f>IF(CNTR_ExistSubInstEntries,IF(OR($M1418&lt;&gt;EUconst_Relevant,AC1486&gt;=CNTR_ReportingYear,AC1486&lt;$V1418-1,$E1491=""),0,IF(AND($T1480=2,COUNTIF($V1435:V1435,TRUE)&gt;0,$S1456),2,1)),2)</f>
        <v>2</v>
      </c>
      <c r="AD1491" s="1432">
        <f>IF(CNTR_ExistSubInstEntries,IF(OR($M1418&lt;&gt;EUconst_Relevant,AD1486&gt;=CNTR_ReportingYear,AD1486&lt;$V1418-1,$E1491=""),0,IF(AND($T1480=2,COUNTIF($V1435:W1435,TRUE)&gt;0,$S1456),2,1)),2)</f>
        <v>2</v>
      </c>
      <c r="AE1491" s="1432">
        <f>IF(CNTR_ExistSubInstEntries,IF(OR($M1418&lt;&gt;EUconst_Relevant,AE1486&gt;=CNTR_ReportingYear,AE1486&lt;$V1418-1,$E1491=""),0,IF(AND($T1480=2,COUNTIF($V1435:X1435,TRUE)&gt;0,$S1456),2,1)),2)</f>
        <v>2</v>
      </c>
      <c r="AF1491" s="1432">
        <f>IF(CNTR_ExistSubInstEntries,IF(OR($M1418&lt;&gt;EUconst_Relevant,AF1486&gt;=CNTR_ReportingYear,AF1486&lt;$V1418-1,$E1491=""),0,IF(AND($T1480=2,COUNTIF($V1435:Y1435,TRUE)&gt;0,$S1456),2,1)),2)</f>
        <v>2</v>
      </c>
      <c r="AG1491" s="1432">
        <f>IF(CNTR_ExistSubInstEntries,IF(OR($M1418&lt;&gt;EUconst_Relevant,AG1486&gt;=CNTR_ReportingYear,AG1486&lt;$V1418-1,$E1491=""),0,IF(AND($T1480=2,COUNTIF($V1435:Z1435,TRUE)&gt;0,$S1456),2,1)),2)</f>
        <v>2</v>
      </c>
      <c r="AH1491" s="1432">
        <f>IF(CNTR_ExistSubInstEntries,IF(OR($M1418&lt;&gt;EUconst_Relevant,AH1486&gt;=CNTR_ReportingYear,AH1486&lt;$V1418-1,$E1491=""),0,IF(AND($T1480=2,COUNTIF($V1435:AA1435,TRUE)&gt;0,$S1456),2,1)),2)</f>
        <v>2</v>
      </c>
      <c r="AI1491" s="1452">
        <f>IF(CNTR_ExistSubInstEntries,IF(OR($M1418&lt;&gt;EUconst_Relevant,AI1486&gt;=CNTR_ReportingYear,AI1486&lt;$V1418-1,$E1491=""),0,IF(AND($T1480=2,COUNTIF($V1435:AB1435,TRUE)&gt;0,$S1456),2,1)),2)</f>
        <v>2</v>
      </c>
      <c r="AJ1491" s="343"/>
      <c r="AK1491" s="1174" t="s">
        <v>2039</v>
      </c>
      <c r="AL1491" s="1176" t="str">
        <f>IF(AND(CNTR_ExistSubInstEntries,COUNTIFS(AB1491:AI1491,2,G1491:N1491,"")&gt;0),EUconst_Error&amp;"FB"&amp;Q1418,"")</f>
        <v/>
      </c>
      <c r="AM1491" s="343"/>
    </row>
    <row r="1492" spans="1:39" ht="12.75" customHeight="1" x14ac:dyDescent="0.25">
      <c r="A1492" s="729"/>
      <c r="B1492" s="698"/>
      <c r="C1492" s="2906"/>
      <c r="D1492" s="990">
        <v>6</v>
      </c>
      <c r="E1492" s="1430" t="str">
        <f t="shared" si="2183"/>
        <v/>
      </c>
      <c r="F1492" s="1448" t="str">
        <f t="shared" si="2208"/>
        <v>t CO2e</v>
      </c>
      <c r="G1492" s="47"/>
      <c r="H1492" s="119"/>
      <c r="I1492" s="47"/>
      <c r="J1492" s="119"/>
      <c r="K1492" s="43"/>
      <c r="L1492" s="43"/>
      <c r="M1492" s="43"/>
      <c r="N1492" s="43"/>
      <c r="O1492" s="336"/>
      <c r="P1492" s="158"/>
      <c r="Q1492" s="694"/>
      <c r="R1492" s="694"/>
      <c r="S1492" s="1449" t="str">
        <f>IF($M1418&lt;&gt;EUconst_Relevant,"",
IF($V1418&gt;($J$1840-3),
              IF(INDEX(H1473:N1473,MATCH($V1418,$T1486:$Z1486,0))=0,0,INDEX(H1492:N1492,MATCH($V1418,$T1486:$Z1486,0))/INDEX(H1473:N1473,MATCH($V1418,$T1486:$Z1486,0))),
                             IF(ISNUMBER(G1473),
                                            IF(OR(G1473=0,$S1457=FALSE),0,G1492/G1473),"")))</f>
        <v/>
      </c>
      <c r="T1492" s="1450" t="str">
        <f t="shared" si="2199"/>
        <v/>
      </c>
      <c r="U1492" s="1450" t="str">
        <f t="shared" si="2206"/>
        <v/>
      </c>
      <c r="V1492" s="1450" t="str">
        <f t="shared" si="2201"/>
        <v/>
      </c>
      <c r="W1492" s="1450" t="str">
        <f t="shared" si="2202"/>
        <v/>
      </c>
      <c r="X1492" s="1450" t="str">
        <f t="shared" si="2203"/>
        <v/>
      </c>
      <c r="Y1492" s="1450" t="str">
        <f t="shared" si="2204"/>
        <v/>
      </c>
      <c r="Z1492" s="1451" t="str">
        <f t="shared" si="2205"/>
        <v/>
      </c>
      <c r="AA1492" s="694"/>
      <c r="AB1492" s="1431">
        <f t="shared" si="2207"/>
        <v>2</v>
      </c>
      <c r="AC1492" s="1432">
        <f>IF(CNTR_ExistSubInstEntries,IF(OR($M1418&lt;&gt;EUconst_Relevant,AC1486&gt;=CNTR_ReportingYear,AC1486&lt;$V1418-1,$E1492=""),0,IF(AND($T1480=2,COUNTIF($V1435:V1435,TRUE)&gt;0,$S1457),2,1)),2)</f>
        <v>2</v>
      </c>
      <c r="AD1492" s="1432">
        <f>IF(CNTR_ExistSubInstEntries,IF(OR($M1418&lt;&gt;EUconst_Relevant,AD1486&gt;=CNTR_ReportingYear,AD1486&lt;$V1418-1,$E1492=""),0,IF(AND($T1480=2,COUNTIF($V1435:W1435,TRUE)&gt;0,$S1457),2,1)),2)</f>
        <v>2</v>
      </c>
      <c r="AE1492" s="1432">
        <f>IF(CNTR_ExistSubInstEntries,IF(OR($M1418&lt;&gt;EUconst_Relevant,AE1486&gt;=CNTR_ReportingYear,AE1486&lt;$V1418-1,$E1492=""),0,IF(AND($T1480=2,COUNTIF($V1435:X1435,TRUE)&gt;0,$S1457),2,1)),2)</f>
        <v>2</v>
      </c>
      <c r="AF1492" s="1432">
        <f>IF(CNTR_ExistSubInstEntries,IF(OR($M1418&lt;&gt;EUconst_Relevant,AF1486&gt;=CNTR_ReportingYear,AF1486&lt;$V1418-1,$E1492=""),0,IF(AND($T1480=2,COUNTIF($V1435:Y1435,TRUE)&gt;0,$S1457),2,1)),2)</f>
        <v>2</v>
      </c>
      <c r="AG1492" s="1432">
        <f>IF(CNTR_ExistSubInstEntries,IF(OR($M1418&lt;&gt;EUconst_Relevant,AG1486&gt;=CNTR_ReportingYear,AG1486&lt;$V1418-1,$E1492=""),0,IF(AND($T1480=2,COUNTIF($V1435:Z1435,TRUE)&gt;0,$S1457),2,1)),2)</f>
        <v>2</v>
      </c>
      <c r="AH1492" s="1432">
        <f>IF(CNTR_ExistSubInstEntries,IF(OR($M1418&lt;&gt;EUconst_Relevant,AH1486&gt;=CNTR_ReportingYear,AH1486&lt;$V1418-1,$E1492=""),0,IF(AND($T1480=2,COUNTIF($V1435:AA1435,TRUE)&gt;0,$S1457),2,1)),2)</f>
        <v>2</v>
      </c>
      <c r="AI1492" s="1452">
        <f>IF(CNTR_ExistSubInstEntries,IF(OR($M1418&lt;&gt;EUconst_Relevant,AI1486&gt;=CNTR_ReportingYear,AI1486&lt;$V1418-1,$E1492=""),0,IF(AND($T1480=2,COUNTIF($V1435:AB1435,TRUE)&gt;0,$S1457),2,1)),2)</f>
        <v>2</v>
      </c>
      <c r="AJ1492" s="343"/>
      <c r="AK1492" s="1174" t="s">
        <v>2039</v>
      </c>
      <c r="AL1492" s="1176" t="str">
        <f>IF(AND(CNTR_ExistSubInstEntries,COUNTIFS(AB1492:AI1492,2,G1492:N1492,"")&gt;0),EUconst_Error&amp;"FB"&amp;Q1418,"")</f>
        <v/>
      </c>
      <c r="AM1492" s="343"/>
    </row>
    <row r="1493" spans="1:39" ht="12.75" customHeight="1" x14ac:dyDescent="0.25">
      <c r="A1493" s="729"/>
      <c r="B1493" s="698"/>
      <c r="C1493" s="2906"/>
      <c r="D1493" s="990">
        <v>7</v>
      </c>
      <c r="E1493" s="1430" t="str">
        <f t="shared" si="2183"/>
        <v/>
      </c>
      <c r="F1493" s="1448" t="str">
        <f t="shared" si="2208"/>
        <v>t CO2e</v>
      </c>
      <c r="G1493" s="47"/>
      <c r="H1493" s="119"/>
      <c r="I1493" s="47"/>
      <c r="J1493" s="119"/>
      <c r="K1493" s="43"/>
      <c r="L1493" s="43"/>
      <c r="M1493" s="43"/>
      <c r="N1493" s="43"/>
      <c r="O1493" s="336"/>
      <c r="P1493" s="158"/>
      <c r="Q1493" s="694"/>
      <c r="R1493" s="694"/>
      <c r="S1493" s="1449" t="str">
        <f>IF($M1418&lt;&gt;EUconst_Relevant,"",
IF($V1418&gt;($J$1840-3),
              IF(INDEX(H1474:N1474,MATCH($V1418,$T1486:$Z1486,0))=0,0,INDEX(H1493:N1493,MATCH($V1418,$T1486:$Z1486,0))/INDEX(H1474:N1474,MATCH($V1418,$T1486:$Z1486,0))),
                             IF(ISNUMBER(G1474),
                                            IF(OR(G1474=0,$S1458=FALSE),0,G1493/G1474),"")))</f>
        <v/>
      </c>
      <c r="T1493" s="1450" t="str">
        <f t="shared" si="2199"/>
        <v/>
      </c>
      <c r="U1493" s="1450" t="str">
        <f t="shared" si="2206"/>
        <v/>
      </c>
      <c r="V1493" s="1450" t="str">
        <f t="shared" si="2201"/>
        <v/>
      </c>
      <c r="W1493" s="1450" t="str">
        <f t="shared" si="2202"/>
        <v/>
      </c>
      <c r="X1493" s="1450" t="str">
        <f t="shared" si="2203"/>
        <v/>
      </c>
      <c r="Y1493" s="1450" t="str">
        <f t="shared" si="2204"/>
        <v/>
      </c>
      <c r="Z1493" s="1451" t="str">
        <f t="shared" si="2205"/>
        <v/>
      </c>
      <c r="AA1493" s="694"/>
      <c r="AB1493" s="1431">
        <f t="shared" si="2207"/>
        <v>2</v>
      </c>
      <c r="AC1493" s="1432">
        <f>IF(CNTR_ExistSubInstEntries,IF(OR($M1418&lt;&gt;EUconst_Relevant,AC1486&gt;=CNTR_ReportingYear,AC1486&lt;$V1418-1,$E1493=""),0,IF(AND($T1480=2,COUNTIF($V1435:V1435,TRUE)&gt;0,$S1458),2,1)),2)</f>
        <v>2</v>
      </c>
      <c r="AD1493" s="1432">
        <f>IF(CNTR_ExistSubInstEntries,IF(OR($M1418&lt;&gt;EUconst_Relevant,AD1486&gt;=CNTR_ReportingYear,AD1486&lt;$V1418-1,$E1493=""),0,IF(AND($T1480=2,COUNTIF($V1435:W1435,TRUE)&gt;0,$S1458),2,1)),2)</f>
        <v>2</v>
      </c>
      <c r="AE1493" s="1432">
        <f>IF(CNTR_ExistSubInstEntries,IF(OR($M1418&lt;&gt;EUconst_Relevant,AE1486&gt;=CNTR_ReportingYear,AE1486&lt;$V1418-1,$E1493=""),0,IF(AND($T1480=2,COUNTIF($V1435:X1435,TRUE)&gt;0,$S1458),2,1)),2)</f>
        <v>2</v>
      </c>
      <c r="AF1493" s="1432">
        <f>IF(CNTR_ExistSubInstEntries,IF(OR($M1418&lt;&gt;EUconst_Relevant,AF1486&gt;=CNTR_ReportingYear,AF1486&lt;$V1418-1,$E1493=""),0,IF(AND($T1480=2,COUNTIF($V1435:Y1435,TRUE)&gt;0,$S1458),2,1)),2)</f>
        <v>2</v>
      </c>
      <c r="AG1493" s="1432">
        <f>IF(CNTR_ExistSubInstEntries,IF(OR($M1418&lt;&gt;EUconst_Relevant,AG1486&gt;=CNTR_ReportingYear,AG1486&lt;$V1418-1,$E1493=""),0,IF(AND($T1480=2,COUNTIF($V1435:Z1435,TRUE)&gt;0,$S1458),2,1)),2)</f>
        <v>2</v>
      </c>
      <c r="AH1493" s="1432">
        <f>IF(CNTR_ExistSubInstEntries,IF(OR($M1418&lt;&gt;EUconst_Relevant,AH1486&gt;=CNTR_ReportingYear,AH1486&lt;$V1418-1,$E1493=""),0,IF(AND($T1480=2,COUNTIF($V1435:AA1435,TRUE)&gt;0,$S1458),2,1)),2)</f>
        <v>2</v>
      </c>
      <c r="AI1493" s="1452">
        <f>IF(CNTR_ExistSubInstEntries,IF(OR($M1418&lt;&gt;EUconst_Relevant,AI1486&gt;=CNTR_ReportingYear,AI1486&lt;$V1418-1,$E1493=""),0,IF(AND($T1480=2,COUNTIF($V1435:AB1435,TRUE)&gt;0,$S1458),2,1)),2)</f>
        <v>2</v>
      </c>
      <c r="AJ1493" s="343"/>
      <c r="AK1493" s="1174" t="s">
        <v>2039</v>
      </c>
      <c r="AL1493" s="1176" t="str">
        <f>IF(AND(CNTR_ExistSubInstEntries,COUNTIFS(AB1493:AI1493,2,G1493:N1493,"")&gt;0),EUconst_Error&amp;"FB"&amp;Q1418,"")</f>
        <v/>
      </c>
      <c r="AM1493" s="343"/>
    </row>
    <row r="1494" spans="1:39" ht="12.75" customHeight="1" x14ac:dyDescent="0.25">
      <c r="A1494" s="729"/>
      <c r="B1494" s="698"/>
      <c r="C1494" s="2906"/>
      <c r="D1494" s="990">
        <v>8</v>
      </c>
      <c r="E1494" s="1430" t="str">
        <f t="shared" si="2183"/>
        <v/>
      </c>
      <c r="F1494" s="1448" t="str">
        <f t="shared" si="2208"/>
        <v>t CO2e</v>
      </c>
      <c r="G1494" s="47"/>
      <c r="H1494" s="119"/>
      <c r="I1494" s="47"/>
      <c r="J1494" s="119"/>
      <c r="K1494" s="43"/>
      <c r="L1494" s="43"/>
      <c r="M1494" s="43"/>
      <c r="N1494" s="43"/>
      <c r="O1494" s="336"/>
      <c r="P1494" s="158"/>
      <c r="Q1494" s="694"/>
      <c r="R1494" s="694"/>
      <c r="S1494" s="1449" t="str">
        <f>IF($M1418&lt;&gt;EUconst_Relevant,"",
IF($V1418&gt;($J$1840-3),
              IF(INDEX(H1475:N1475,MATCH($V1418,$T1486:$Z1486,0))=0,0,INDEX(H1494:N1494,MATCH($V1418,$T1486:$Z1486,0))/INDEX(H1475:N1475,MATCH($V1418,$T1486:$Z1486,0))),
                             IF(ISNUMBER(G1475),
                                            IF(OR(G1475=0,$S1459=FALSE),0,G1494/G1475),"")))</f>
        <v/>
      </c>
      <c r="T1494" s="1450" t="str">
        <f t="shared" si="2199"/>
        <v/>
      </c>
      <c r="U1494" s="1450" t="str">
        <f t="shared" si="2206"/>
        <v/>
      </c>
      <c r="V1494" s="1450" t="str">
        <f t="shared" si="2201"/>
        <v/>
      </c>
      <c r="W1494" s="1450" t="str">
        <f t="shared" si="2202"/>
        <v/>
      </c>
      <c r="X1494" s="1450" t="str">
        <f t="shared" si="2203"/>
        <v/>
      </c>
      <c r="Y1494" s="1450" t="str">
        <f t="shared" si="2204"/>
        <v/>
      </c>
      <c r="Z1494" s="1451" t="str">
        <f t="shared" si="2205"/>
        <v/>
      </c>
      <c r="AA1494" s="694"/>
      <c r="AB1494" s="1431">
        <f t="shared" si="2207"/>
        <v>2</v>
      </c>
      <c r="AC1494" s="1432">
        <f>IF(CNTR_ExistSubInstEntries,IF(OR($M1418&lt;&gt;EUconst_Relevant,AC1486&gt;=CNTR_ReportingYear,AC1486&lt;$V1418-1,$E1494=""),0,IF(AND($T1480=2,COUNTIF($V1435:V1435,TRUE)&gt;0,$S1459),2,1)),2)</f>
        <v>2</v>
      </c>
      <c r="AD1494" s="1432">
        <f>IF(CNTR_ExistSubInstEntries,IF(OR($M1418&lt;&gt;EUconst_Relevant,AD1486&gt;=CNTR_ReportingYear,AD1486&lt;$V1418-1,$E1494=""),0,IF(AND($T1480=2,COUNTIF($V1435:W1435,TRUE)&gt;0,$S1459),2,1)),2)</f>
        <v>2</v>
      </c>
      <c r="AE1494" s="1432">
        <f>IF(CNTR_ExistSubInstEntries,IF(OR($M1418&lt;&gt;EUconst_Relevant,AE1486&gt;=CNTR_ReportingYear,AE1486&lt;$V1418-1,$E1494=""),0,IF(AND($T1480=2,COUNTIF($V1435:X1435,TRUE)&gt;0,$S1459),2,1)),2)</f>
        <v>2</v>
      </c>
      <c r="AF1494" s="1432">
        <f>IF(CNTR_ExistSubInstEntries,IF(OR($M1418&lt;&gt;EUconst_Relevant,AF1486&gt;=CNTR_ReportingYear,AF1486&lt;$V1418-1,$E1494=""),0,IF(AND($T1480=2,COUNTIF($V1435:Y1435,TRUE)&gt;0,$S1459),2,1)),2)</f>
        <v>2</v>
      </c>
      <c r="AG1494" s="1432">
        <f>IF(CNTR_ExistSubInstEntries,IF(OR($M1418&lt;&gt;EUconst_Relevant,AG1486&gt;=CNTR_ReportingYear,AG1486&lt;$V1418-1,$E1494=""),0,IF(AND($T1480=2,COUNTIF($V1435:Z1435,TRUE)&gt;0,$S1459),2,1)),2)</f>
        <v>2</v>
      </c>
      <c r="AH1494" s="1432">
        <f>IF(CNTR_ExistSubInstEntries,IF(OR($M1418&lt;&gt;EUconst_Relevant,AH1486&gt;=CNTR_ReportingYear,AH1486&lt;$V1418-1,$E1494=""),0,IF(AND($T1480=2,COUNTIF($V1435:AA1435,TRUE)&gt;0,$S1459),2,1)),2)</f>
        <v>2</v>
      </c>
      <c r="AI1494" s="1452">
        <f>IF(CNTR_ExistSubInstEntries,IF(OR($M1418&lt;&gt;EUconst_Relevant,AI1486&gt;=CNTR_ReportingYear,AI1486&lt;$V1418-1,$E1494=""),0,IF(AND($T1480=2,COUNTIF($V1435:AB1435,TRUE)&gt;0,$S1459),2,1)),2)</f>
        <v>2</v>
      </c>
      <c r="AJ1494" s="343"/>
      <c r="AK1494" s="1174" t="s">
        <v>2039</v>
      </c>
      <c r="AL1494" s="1176" t="str">
        <f>IF(AND(CNTR_ExistSubInstEntries,COUNTIFS(AB1494:AI1494,2,G1494:N1494,"")&gt;0),EUconst_Error&amp;"FB"&amp;Q1418,"")</f>
        <v/>
      </c>
      <c r="AM1494" s="343"/>
    </row>
    <row r="1495" spans="1:39" ht="12.75" customHeight="1" x14ac:dyDescent="0.25">
      <c r="A1495" s="729"/>
      <c r="B1495" s="698"/>
      <c r="C1495" s="2906"/>
      <c r="D1495" s="990">
        <v>9</v>
      </c>
      <c r="E1495" s="1430" t="str">
        <f t="shared" si="2183"/>
        <v/>
      </c>
      <c r="F1495" s="1448" t="str">
        <f t="shared" si="2208"/>
        <v>t CO2e</v>
      </c>
      <c r="G1495" s="47"/>
      <c r="H1495" s="119"/>
      <c r="I1495" s="47"/>
      <c r="J1495" s="119"/>
      <c r="K1495" s="43"/>
      <c r="L1495" s="43"/>
      <c r="M1495" s="43"/>
      <c r="N1495" s="43"/>
      <c r="O1495" s="302"/>
      <c r="P1495" s="158"/>
      <c r="Q1495" s="694"/>
      <c r="R1495" s="694"/>
      <c r="S1495" s="1449" t="str">
        <f>IF($M1418&lt;&gt;EUconst_Relevant,"",
IF($V1418&gt;($J$1840-3),
              IF(INDEX(H1476:N1476,MATCH($V1418,$T1486:$Z1486,0))=0,0,INDEX(H1495:N1495,MATCH($V1418,$T1486:$Z1486,0))/INDEX(H1476:N1476,MATCH($V1418,$T1486:$Z1486,0))),
                             IF(ISNUMBER(G1476),
                                            IF(OR(G1476=0,$S1460=FALSE),0,G1495/G1476),"")))</f>
        <v/>
      </c>
      <c r="T1495" s="1450" t="str">
        <f t="shared" si="2199"/>
        <v/>
      </c>
      <c r="U1495" s="1450" t="str">
        <f t="shared" si="2206"/>
        <v/>
      </c>
      <c r="V1495" s="1450" t="str">
        <f t="shared" si="2201"/>
        <v/>
      </c>
      <c r="W1495" s="1450" t="str">
        <f t="shared" si="2202"/>
        <v/>
      </c>
      <c r="X1495" s="1450" t="str">
        <f t="shared" si="2203"/>
        <v/>
      </c>
      <c r="Y1495" s="1450" t="str">
        <f t="shared" si="2204"/>
        <v/>
      </c>
      <c r="Z1495" s="1451" t="str">
        <f t="shared" si="2205"/>
        <v/>
      </c>
      <c r="AA1495" s="694"/>
      <c r="AB1495" s="1431">
        <f t="shared" si="2207"/>
        <v>2</v>
      </c>
      <c r="AC1495" s="1432">
        <f>IF(CNTR_ExistSubInstEntries,IF(OR($M1418&lt;&gt;EUconst_Relevant,AC1486&gt;=CNTR_ReportingYear,AC1486&lt;$V1418-1,$E1495=""),0,IF(AND($T1480=2,COUNTIF($V1435:V1435,TRUE)&gt;0,$S1460),2,1)),2)</f>
        <v>2</v>
      </c>
      <c r="AD1495" s="1432">
        <f>IF(CNTR_ExistSubInstEntries,IF(OR($M1418&lt;&gt;EUconst_Relevant,AD1486&gt;=CNTR_ReportingYear,AD1486&lt;$V1418-1,$E1495=""),0,IF(AND($T1480=2,COUNTIF($V1435:W1435,TRUE)&gt;0,$S1460),2,1)),2)</f>
        <v>2</v>
      </c>
      <c r="AE1495" s="1432">
        <f>IF(CNTR_ExistSubInstEntries,IF(OR($M1418&lt;&gt;EUconst_Relevant,AE1486&gt;=CNTR_ReportingYear,AE1486&lt;$V1418-1,$E1495=""),0,IF(AND($T1480=2,COUNTIF($V1435:X1435,TRUE)&gt;0,$S1460),2,1)),2)</f>
        <v>2</v>
      </c>
      <c r="AF1495" s="1432">
        <f>IF(CNTR_ExistSubInstEntries,IF(OR($M1418&lt;&gt;EUconst_Relevant,AF1486&gt;=CNTR_ReportingYear,AF1486&lt;$V1418-1,$E1495=""),0,IF(AND($T1480=2,COUNTIF($V1435:Y1435,TRUE)&gt;0,$S1460),2,1)),2)</f>
        <v>2</v>
      </c>
      <c r="AG1495" s="1432">
        <f>IF(CNTR_ExistSubInstEntries,IF(OR($M1418&lt;&gt;EUconst_Relevant,AG1486&gt;=CNTR_ReportingYear,AG1486&lt;$V1418-1,$E1495=""),0,IF(AND($T1480=2,COUNTIF($V1435:Z1435,TRUE)&gt;0,$S1460),2,1)),2)</f>
        <v>2</v>
      </c>
      <c r="AH1495" s="1432">
        <f>IF(CNTR_ExistSubInstEntries,IF(OR($M1418&lt;&gt;EUconst_Relevant,AH1486&gt;=CNTR_ReportingYear,AH1486&lt;$V1418-1,$E1495=""),0,IF(AND($T1480=2,COUNTIF($V1435:AA1435,TRUE)&gt;0,$S1460),2,1)),2)</f>
        <v>2</v>
      </c>
      <c r="AI1495" s="1452">
        <f>IF(CNTR_ExistSubInstEntries,IF(OR($M1418&lt;&gt;EUconst_Relevant,AI1486&gt;=CNTR_ReportingYear,AI1486&lt;$V1418-1,$E1495=""),0,IF(AND($T1480=2,COUNTIF($V1435:AB1435,TRUE)&gt;0,$S1460),2,1)),2)</f>
        <v>2</v>
      </c>
      <c r="AJ1495" s="343"/>
      <c r="AK1495" s="1174" t="s">
        <v>2039</v>
      </c>
      <c r="AL1495" s="1176" t="str">
        <f>IF(AND(CNTR_ExistSubInstEntries,COUNTIFS(AB1495:AI1495,2,G1495:N1495,"")&gt;0),EUconst_Error&amp;"FB"&amp;Q1418,"")</f>
        <v/>
      </c>
      <c r="AM1495" s="343"/>
    </row>
    <row r="1496" spans="1:39" ht="12.75" customHeight="1" thickBot="1" x14ac:dyDescent="0.3">
      <c r="A1496" s="729"/>
      <c r="B1496" s="698"/>
      <c r="C1496" s="2906"/>
      <c r="D1496" s="994">
        <v>10</v>
      </c>
      <c r="E1496" s="1435" t="str">
        <f t="shared" si="2183"/>
        <v/>
      </c>
      <c r="F1496" s="1453" t="str">
        <f t="shared" si="2208"/>
        <v>t CO2e</v>
      </c>
      <c r="G1496" s="48"/>
      <c r="H1496" s="117"/>
      <c r="I1496" s="48"/>
      <c r="J1496" s="117"/>
      <c r="K1496" s="38"/>
      <c r="L1496" s="38"/>
      <c r="M1496" s="38"/>
      <c r="N1496" s="38"/>
      <c r="O1496" s="302"/>
      <c r="P1496" s="158"/>
      <c r="Q1496" s="694"/>
      <c r="R1496" s="694"/>
      <c r="S1496" s="1454" t="str">
        <f>IF($M1418&lt;&gt;EUconst_Relevant,"",
IF($V1418&gt;($J$1840-3),
              IF(INDEX(H1477:N1477,MATCH($V1418,$T1486:$Z1486,0))=0,0,INDEX(H1496:N1496,MATCH($V1418,$T1486:$Z1486,0))/INDEX(H1477:N1477,MATCH($V1418,$T1486:$Z1486,0))),
                             IF(ISNUMBER(G1477),
                                            IF(OR(G1477=0,$S1461=FALSE),0,G1496/G1477),"")))</f>
        <v/>
      </c>
      <c r="T1496" s="1455" t="str">
        <f t="shared" si="2199"/>
        <v/>
      </c>
      <c r="U1496" s="1455" t="str">
        <f t="shared" si="2206"/>
        <v/>
      </c>
      <c r="V1496" s="1455" t="str">
        <f t="shared" si="2201"/>
        <v/>
      </c>
      <c r="W1496" s="1455" t="str">
        <f t="shared" si="2202"/>
        <v/>
      </c>
      <c r="X1496" s="1455" t="str">
        <f t="shared" si="2203"/>
        <v/>
      </c>
      <c r="Y1496" s="1455" t="str">
        <f t="shared" si="2204"/>
        <v/>
      </c>
      <c r="Z1496" s="1456" t="str">
        <f t="shared" si="2205"/>
        <v/>
      </c>
      <c r="AA1496" s="694"/>
      <c r="AB1496" s="1436">
        <f t="shared" si="2207"/>
        <v>2</v>
      </c>
      <c r="AC1496" s="1437">
        <f>IF(CNTR_ExistSubInstEntries,IF(OR($M1418&lt;&gt;EUconst_Relevant,AC1486&gt;=CNTR_ReportingYear,AC1486&lt;$V1418-1,$E1496=""),0,IF(AND($T1480=2,COUNTIF($V1435:V1435,TRUE)&gt;0,$S1461),2,1)),2)</f>
        <v>2</v>
      </c>
      <c r="AD1496" s="1437">
        <f>IF(CNTR_ExistSubInstEntries,IF(OR($M1418&lt;&gt;EUconst_Relevant,AD1486&gt;=CNTR_ReportingYear,AD1486&lt;$V1418-1,$E1496=""),0,IF(AND($T1480=2,COUNTIF($V1435:W1435,TRUE)&gt;0,$S1461),2,1)),2)</f>
        <v>2</v>
      </c>
      <c r="AE1496" s="1437">
        <f>IF(CNTR_ExistSubInstEntries,IF(OR($M1418&lt;&gt;EUconst_Relevant,AE1486&gt;=CNTR_ReportingYear,AE1486&lt;$V1418-1,$E1496=""),0,IF(AND($T1480=2,COUNTIF($V1435:X1435,TRUE)&gt;0,$S1461),2,1)),2)</f>
        <v>2</v>
      </c>
      <c r="AF1496" s="1437">
        <f>IF(CNTR_ExistSubInstEntries,IF(OR($M1418&lt;&gt;EUconst_Relevant,AF1486&gt;=CNTR_ReportingYear,AF1486&lt;$V1418-1,$E1496=""),0,IF(AND($T1480=2,COUNTIF($V1435:Y1435,TRUE)&gt;0,$S1461),2,1)),2)</f>
        <v>2</v>
      </c>
      <c r="AG1496" s="1437">
        <f>IF(CNTR_ExistSubInstEntries,IF(OR($M1418&lt;&gt;EUconst_Relevant,AG1486&gt;=CNTR_ReportingYear,AG1486&lt;$V1418-1,$E1496=""),0,IF(AND($T1480=2,COUNTIF($V1435:Z1435,TRUE)&gt;0,$S1461),2,1)),2)</f>
        <v>2</v>
      </c>
      <c r="AH1496" s="1437">
        <f>IF(CNTR_ExistSubInstEntries,IF(OR($M1418&lt;&gt;EUconst_Relevant,AH1486&gt;=CNTR_ReportingYear,AH1486&lt;$V1418-1,$E1496=""),0,IF(AND($T1480=2,COUNTIF($V1435:AA1435,TRUE)&gt;0,$S1461),2,1)),2)</f>
        <v>2</v>
      </c>
      <c r="AI1496" s="1457">
        <f>IF(CNTR_ExistSubInstEntries,IF(OR($M1418&lt;&gt;EUconst_Relevant,AI1486&gt;=CNTR_ReportingYear,AI1486&lt;$V1418-1,$E1496=""),0,IF(AND($T1480=2,COUNTIF($V1435:AB1435,TRUE)&gt;0,$S1461),2,1)),2)</f>
        <v>2</v>
      </c>
      <c r="AJ1496" s="343"/>
      <c r="AK1496" s="1174" t="s">
        <v>2039</v>
      </c>
      <c r="AL1496" s="1176" t="str">
        <f>IF(AND(CNTR_ExistSubInstEntries,COUNTIFS(AB1496:AI1496,2,G1496:N1496,"")&gt;0),EUconst_Error&amp;"FB"&amp;Q1418,"")</f>
        <v/>
      </c>
      <c r="AM1496" s="343"/>
    </row>
    <row r="1497" spans="1:39" ht="12.75" customHeight="1" thickBot="1" x14ac:dyDescent="0.3">
      <c r="A1497" s="729"/>
      <c r="B1497" s="698"/>
      <c r="C1497" s="2906"/>
      <c r="D1497" s="1293"/>
      <c r="E1497" s="1458" t="str">
        <f>Translations!$B$1338</f>
        <v>Общо потребление</v>
      </c>
      <c r="F1497" s="1453" t="str">
        <f t="shared" si="2208"/>
        <v>t CO2e</v>
      </c>
      <c r="G1497" s="1296" t="str">
        <f t="shared" ref="G1497:N1497" si="2209">IF(COUNT(G1487:G1496)&gt;0,SUMIF($S1452:$S1461,TRUE,G1487:G1496),"")</f>
        <v/>
      </c>
      <c r="H1497" s="1297" t="str">
        <f t="shared" si="2209"/>
        <v/>
      </c>
      <c r="I1497" s="1296" t="str">
        <f t="shared" si="2209"/>
        <v/>
      </c>
      <c r="J1497" s="1297" t="str">
        <f t="shared" si="2209"/>
        <v/>
      </c>
      <c r="K1497" s="1104" t="str">
        <f t="shared" si="2209"/>
        <v/>
      </c>
      <c r="L1497" s="1104" t="str">
        <f t="shared" si="2209"/>
        <v/>
      </c>
      <c r="M1497" s="1104" t="str">
        <f t="shared" si="2209"/>
        <v/>
      </c>
      <c r="N1497" s="1104" t="str">
        <f t="shared" si="2209"/>
        <v/>
      </c>
      <c r="O1497" s="302"/>
      <c r="P1497" s="336"/>
      <c r="Q1497" s="694"/>
      <c r="R1497" s="694"/>
      <c r="S1497" s="694"/>
      <c r="T1497" s="1459">
        <f>SUM(T1487:T1496)</f>
        <v>0</v>
      </c>
      <c r="U1497" s="1460">
        <f t="shared" ref="U1497:Z1497" si="2210">SUM(U1487:U1496)</f>
        <v>0</v>
      </c>
      <c r="V1497" s="1460">
        <f t="shared" si="2210"/>
        <v>0</v>
      </c>
      <c r="W1497" s="1460">
        <f t="shared" si="2210"/>
        <v>0</v>
      </c>
      <c r="X1497" s="1460">
        <f t="shared" si="2210"/>
        <v>0</v>
      </c>
      <c r="Y1497" s="1460">
        <f t="shared" si="2210"/>
        <v>0</v>
      </c>
      <c r="Z1497" s="1461">
        <f t="shared" si="2210"/>
        <v>0</v>
      </c>
      <c r="AA1497" s="694"/>
      <c r="AB1497" s="729"/>
      <c r="AC1497" s="694"/>
      <c r="AD1497" s="694"/>
      <c r="AE1497" s="343"/>
      <c r="AF1497" s="343"/>
      <c r="AG1497" s="343"/>
      <c r="AH1497" s="343"/>
      <c r="AI1497" s="343"/>
      <c r="AJ1497" s="343"/>
      <c r="AK1497" s="343"/>
      <c r="AL1497" s="343"/>
      <c r="AM1497" s="343"/>
    </row>
    <row r="1498" spans="1:39" ht="12.75" customHeight="1" x14ac:dyDescent="0.25">
      <c r="A1498" s="729"/>
      <c r="B1498" s="698"/>
      <c r="C1498" s="2906"/>
      <c r="D1498" s="1462"/>
      <c r="E1498" s="1463" t="str">
        <f>Translations!$B$1339</f>
        <v>Дял от a)</v>
      </c>
      <c r="F1498" s="1464" t="str">
        <f t="shared" si="2208"/>
        <v>t CO2e</v>
      </c>
      <c r="G1498" s="274" t="str">
        <f>IF(COUNT(I1434,G1497)=2,IF(I1434=0,EUconst_NA,G1497/I1434),"")</f>
        <v/>
      </c>
      <c r="H1498" s="185" t="str">
        <f t="shared" ref="H1498:N1498" si="2211">IF(COUNT(H1426,H1497)=2,IF(H1426=0,EUconst_NA,H1497/H1426),"")</f>
        <v/>
      </c>
      <c r="I1498" s="186" t="str">
        <f t="shared" si="2211"/>
        <v/>
      </c>
      <c r="J1498" s="185" t="str">
        <f t="shared" si="2211"/>
        <v/>
      </c>
      <c r="K1498" s="187" t="str">
        <f t="shared" si="2211"/>
        <v/>
      </c>
      <c r="L1498" s="187" t="str">
        <f t="shared" si="2211"/>
        <v/>
      </c>
      <c r="M1498" s="187" t="str">
        <f t="shared" si="2211"/>
        <v/>
      </c>
      <c r="N1498" s="187" t="str">
        <f t="shared" si="2211"/>
        <v/>
      </c>
      <c r="O1498" s="302"/>
      <c r="P1498" s="336"/>
      <c r="Q1498" s="694"/>
      <c r="R1498" s="694"/>
      <c r="S1498" s="694"/>
      <c r="T1498" s="694"/>
      <c r="U1498" s="694"/>
      <c r="V1498" s="694"/>
      <c r="W1498" s="694"/>
      <c r="X1498" s="694"/>
      <c r="Y1498" s="694"/>
      <c r="Z1498" s="694"/>
      <c r="AA1498" s="694"/>
      <c r="AB1498" s="729"/>
      <c r="AC1498" s="694"/>
      <c r="AD1498" s="694"/>
      <c r="AE1498" s="343"/>
      <c r="AF1498" s="343"/>
      <c r="AG1498" s="343"/>
      <c r="AH1498" s="343"/>
      <c r="AI1498" s="343"/>
      <c r="AJ1498" s="343"/>
      <c r="AK1498" s="343"/>
      <c r="AL1498" s="343"/>
      <c r="AM1498" s="343"/>
    </row>
    <row r="1499" spans="1:39" ht="14.25" customHeight="1" x14ac:dyDescent="0.25">
      <c r="A1499" s="729"/>
      <c r="B1499" s="698"/>
      <c r="C1499" s="284"/>
      <c r="D1499" s="284"/>
      <c r="E1499" s="284"/>
      <c r="F1499" s="284"/>
      <c r="G1499" s="228" t="str">
        <f>IF(G1498="","",IF(AND(COUNTA(G1487:G1496)=0,$T1480=2),EUconst_Incomplete,""))</f>
        <v/>
      </c>
      <c r="H1499" s="229" t="str">
        <f t="shared" ref="H1499" si="2212">IF(H1498="","",IF(AND(OR(COUNTA(H1487:H1496)&gt;0,$T1480=2),ABS(1-SUM(H1498))&lt;0.5%),"",EUconst_Inconsistent))</f>
        <v/>
      </c>
      <c r="I1499" s="230" t="str">
        <f t="shared" ref="I1499" si="2213">IF(I1498="","",IF(AND(OR(COUNTA(I1487:I1496)&gt;0,$T1480=2),ABS(1-SUM(I1498))&lt;0.5%),"",EUconst_Inconsistent))</f>
        <v/>
      </c>
      <c r="J1499" s="229" t="str">
        <f t="shared" ref="J1499" si="2214">IF(J1498="","",IF(AND(OR(COUNTA(J1487:J1496)&gt;0,$T1480=2),ABS(1-SUM(J1498))&lt;0.5%),"",EUconst_Inconsistent))</f>
        <v/>
      </c>
      <c r="K1499" s="231" t="str">
        <f t="shared" ref="K1499" si="2215">IF(K1498="","",IF(AND(OR(COUNTA(K1487:K1496)&gt;0,$T1480=2),ABS(1-SUM(K1498))&lt;0.5%),"",EUconst_Inconsistent))</f>
        <v/>
      </c>
      <c r="L1499" s="231" t="str">
        <f t="shared" ref="L1499" si="2216">IF(L1498="","",IF(AND(OR(COUNTA(L1487:L1496)&gt;0,$T1480=2),ABS(1-SUM(L1498))&lt;0.5%),"",EUconst_Inconsistent))</f>
        <v/>
      </c>
      <c r="M1499" s="231" t="str">
        <f t="shared" ref="M1499" si="2217">IF(M1498="","",IF(AND(OR(COUNTA(M1487:M1496)&gt;0,$T1480=2),ABS(1-SUM(M1498))&lt;0.5%),"",EUconst_Inconsistent))</f>
        <v/>
      </c>
      <c r="N1499" s="231" t="str">
        <f t="shared" ref="N1499" si="2218">IF(N1498="","",IF(AND(OR(COUNTA(N1487:N1496)&gt;0,$T1480=2),ABS(1-SUM(N1498))&lt;0.5%),"",EUconst_Inconsistent))</f>
        <v/>
      </c>
      <c r="O1499" s="302"/>
      <c r="P1499" s="336"/>
      <c r="Q1499" s="694"/>
      <c r="R1499" s="694"/>
      <c r="S1499" s="694"/>
      <c r="T1499" s="694"/>
      <c r="U1499" s="694"/>
      <c r="V1499" s="694"/>
      <c r="W1499" s="694"/>
      <c r="X1499" s="694"/>
      <c r="Y1499" s="694"/>
      <c r="Z1499" s="729"/>
      <c r="AA1499" s="729"/>
      <c r="AB1499" s="729"/>
      <c r="AC1499" s="694"/>
      <c r="AD1499" s="694"/>
      <c r="AE1499" s="343"/>
      <c r="AF1499" s="343"/>
      <c r="AG1499" s="343"/>
      <c r="AH1499" s="343"/>
      <c r="AI1499" s="343"/>
      <c r="AJ1499" s="343"/>
      <c r="AK1499" s="1174" t="s">
        <v>2148</v>
      </c>
      <c r="AL1499" s="1176" t="str">
        <f>IF(COUNTIFS(G1499:N1499,"")&lt;COUNTA(G1499:N1499),EUconst_Error&amp;"FB"&amp;Q1418,"")</f>
        <v/>
      </c>
      <c r="AM1499" s="343"/>
    </row>
    <row r="1500" spans="1:39" ht="5.15" customHeight="1" x14ac:dyDescent="0.25">
      <c r="A1500" s="729"/>
      <c r="B1500" s="698"/>
      <c r="C1500" s="284"/>
      <c r="D1500" s="284"/>
      <c r="E1500" s="284"/>
      <c r="F1500" s="284"/>
      <c r="G1500" s="284"/>
      <c r="H1500" s="284"/>
      <c r="I1500" s="284"/>
      <c r="J1500" s="284"/>
      <c r="K1500" s="284"/>
      <c r="L1500" s="284"/>
      <c r="M1500" s="284"/>
      <c r="N1500" s="284"/>
      <c r="O1500" s="302"/>
      <c r="P1500" s="336"/>
      <c r="Q1500" s="694"/>
      <c r="R1500" s="694"/>
      <c r="S1500" s="694"/>
      <c r="T1500" s="694"/>
      <c r="U1500" s="694"/>
      <c r="V1500" s="694"/>
      <c r="W1500" s="694"/>
      <c r="X1500" s="694"/>
      <c r="Y1500" s="694"/>
      <c r="Z1500" s="729"/>
      <c r="AA1500" s="729"/>
      <c r="AB1500" s="729"/>
      <c r="AC1500" s="694"/>
      <c r="AD1500" s="694"/>
      <c r="AE1500" s="343"/>
      <c r="AF1500" s="343"/>
      <c r="AG1500" s="343"/>
      <c r="AH1500" s="343"/>
      <c r="AI1500" s="343"/>
      <c r="AJ1500" s="343"/>
      <c r="AK1500" s="343"/>
      <c r="AL1500" s="343"/>
      <c r="AM1500" s="343"/>
    </row>
    <row r="1501" spans="1:39" ht="12.75" customHeight="1" x14ac:dyDescent="0.25">
      <c r="A1501" s="729"/>
      <c r="B1501" s="698"/>
      <c r="C1501" s="284"/>
      <c r="D1501" s="300" t="s">
        <v>1770</v>
      </c>
      <c r="E1501" s="2226" t="str">
        <f>Translations!$B$1566</f>
        <v>Недопустими по СТЕ на ЕС технологични емисии по продукти за определяне на очакваните равнища на дейност</v>
      </c>
      <c r="F1501" s="2249"/>
      <c r="G1501" s="2249"/>
      <c r="H1501" s="2249"/>
      <c r="I1501" s="2249"/>
      <c r="J1501" s="2249"/>
      <c r="K1501" s="2249"/>
      <c r="L1501" s="2249"/>
      <c r="M1501" s="2249"/>
      <c r="N1501" s="2249"/>
      <c r="O1501" s="302"/>
      <c r="P1501" s="295"/>
      <c r="Q1501" s="694"/>
      <c r="R1501" s="694"/>
      <c r="S1501" s="729"/>
      <c r="T1501" s="729"/>
      <c r="U1501" s="729"/>
      <c r="V1501" s="694"/>
      <c r="W1501" s="694"/>
      <c r="X1501" s="694"/>
      <c r="Y1501" s="694"/>
      <c r="Z1501" s="729"/>
      <c r="AA1501" s="729"/>
      <c r="AB1501" s="729"/>
      <c r="AC1501" s="729"/>
      <c r="AD1501" s="694"/>
      <c r="AE1501" s="343"/>
      <c r="AF1501" s="343"/>
      <c r="AG1501" s="343"/>
      <c r="AH1501" s="343"/>
      <c r="AI1501" s="343"/>
      <c r="AJ1501" s="343"/>
      <c r="AK1501" s="343"/>
      <c r="AL1501" s="343"/>
      <c r="AM1501" s="343"/>
    </row>
    <row r="1502" spans="1:39" ht="25.5" customHeight="1" x14ac:dyDescent="0.25">
      <c r="A1502" s="729"/>
      <c r="B1502" s="698"/>
      <c r="C1502" s="284"/>
      <c r="D1502" s="284"/>
      <c r="E1502" s="2358" t="str">
        <f>Translations!$B$1567</f>
        <v>Тук въведете всички недопустими технологични емисии (например емисии от суровини, които вече са докладвани като емисии от доставчика на този материал), използвани за същите продукти, както по-горе. Числата тук ще бъдат използвани за коригиране на разпределянето за допустимия дял на технологични емисии.</v>
      </c>
      <c r="F1502" s="2249"/>
      <c r="G1502" s="2249"/>
      <c r="H1502" s="2249"/>
      <c r="I1502" s="2249"/>
      <c r="J1502" s="2249"/>
      <c r="K1502" s="2249"/>
      <c r="L1502" s="2249"/>
      <c r="M1502" s="2249"/>
      <c r="N1502" s="2249"/>
      <c r="O1502" s="302"/>
      <c r="P1502" s="295"/>
      <c r="Q1502" s="694"/>
      <c r="R1502" s="694"/>
      <c r="S1502" s="694"/>
      <c r="T1502" s="694"/>
      <c r="U1502" s="694"/>
      <c r="V1502" s="694"/>
      <c r="W1502" s="694"/>
      <c r="X1502" s="694"/>
      <c r="Y1502" s="694"/>
      <c r="Z1502" s="729"/>
      <c r="AA1502" s="729"/>
      <c r="AB1502" s="729"/>
      <c r="AC1502" s="729"/>
      <c r="AD1502" s="694"/>
      <c r="AE1502" s="343"/>
      <c r="AF1502" s="343"/>
      <c r="AG1502" s="343"/>
      <c r="AH1502" s="343"/>
      <c r="AI1502" s="343"/>
      <c r="AJ1502" s="343"/>
      <c r="AK1502" s="343"/>
      <c r="AL1502" s="343"/>
      <c r="AM1502" s="343"/>
    </row>
    <row r="1503" spans="1:39" ht="5.15" customHeight="1" x14ac:dyDescent="0.25">
      <c r="A1503" s="729"/>
      <c r="B1503" s="698"/>
      <c r="C1503" s="284"/>
      <c r="D1503" s="284"/>
      <c r="E1503" s="2358"/>
      <c r="F1503" s="2249"/>
      <c r="G1503" s="2249"/>
      <c r="H1503" s="2249"/>
      <c r="I1503" s="2249"/>
      <c r="J1503" s="2249"/>
      <c r="K1503" s="2249"/>
      <c r="L1503" s="2249"/>
      <c r="M1503" s="2249"/>
      <c r="N1503" s="2249"/>
      <c r="O1503" s="302"/>
      <c r="P1503" s="295"/>
      <c r="Q1503" s="694"/>
      <c r="R1503" s="694"/>
      <c r="S1503" s="694"/>
      <c r="T1503" s="694"/>
      <c r="U1503" s="694"/>
      <c r="V1503" s="694"/>
      <c r="W1503" s="694"/>
      <c r="X1503" s="694"/>
      <c r="Y1503" s="694"/>
      <c r="Z1503" s="729"/>
      <c r="AA1503" s="729"/>
      <c r="AB1503" s="729"/>
      <c r="AC1503" s="729"/>
      <c r="AD1503" s="694"/>
      <c r="AE1503" s="343"/>
      <c r="AF1503" s="343"/>
      <c r="AG1503" s="343"/>
      <c r="AH1503" s="343"/>
      <c r="AI1503" s="343"/>
      <c r="AJ1503" s="343"/>
      <c r="AK1503" s="343"/>
      <c r="AL1503" s="343"/>
      <c r="AM1503" s="343"/>
    </row>
    <row r="1504" spans="1:39" s="1423" customFormat="1" ht="25.5" customHeight="1" thickBot="1" x14ac:dyDescent="0.35">
      <c r="A1504" s="729"/>
      <c r="B1504" s="1412"/>
      <c r="C1504" s="1413"/>
      <c r="D1504" s="1414"/>
      <c r="E1504" s="1415" t="str">
        <f>E1486</f>
        <v>Име на продукт или вид услуга</v>
      </c>
      <c r="F1504" s="1416" t="str">
        <f>EUconst_Unit</f>
        <v>Единица мярка</v>
      </c>
      <c r="G1504" s="1419" t="str">
        <f>Translations!$B$1336</f>
        <v>Стойност в НМИ</v>
      </c>
      <c r="H1504" s="1418">
        <f t="shared" ref="H1504:N1504" si="2219">H$1840</f>
        <v>2024</v>
      </c>
      <c r="I1504" s="1419">
        <f t="shared" si="2219"/>
        <v>2025</v>
      </c>
      <c r="J1504" s="1418">
        <f t="shared" si="2219"/>
        <v>2026</v>
      </c>
      <c r="K1504" s="1420">
        <f t="shared" si="2219"/>
        <v>2027</v>
      </c>
      <c r="L1504" s="1420">
        <f t="shared" si="2219"/>
        <v>2028</v>
      </c>
      <c r="M1504" s="1420">
        <f t="shared" si="2219"/>
        <v>2029</v>
      </c>
      <c r="N1504" s="1420">
        <f t="shared" si="2219"/>
        <v>2030</v>
      </c>
      <c r="O1504" s="302"/>
      <c r="P1504" s="295"/>
      <c r="Q1504" s="1421"/>
      <c r="R1504" s="1421"/>
      <c r="S1504" s="694"/>
      <c r="T1504" s="694"/>
      <c r="U1504" s="694"/>
      <c r="V1504" s="694"/>
      <c r="W1504" s="694"/>
      <c r="X1504" s="694"/>
      <c r="Y1504" s="694"/>
      <c r="Z1504" s="694"/>
      <c r="AA1504" s="1421"/>
      <c r="AB1504" s="770" t="str">
        <f>Translations!$B$1284</f>
        <v>HAL</v>
      </c>
      <c r="AC1504" s="1421">
        <f t="shared" ref="AC1504" si="2220">H1504</f>
        <v>2024</v>
      </c>
      <c r="AD1504" s="1421">
        <f t="shared" ref="AD1504" si="2221">I1504</f>
        <v>2025</v>
      </c>
      <c r="AE1504" s="1421">
        <f t="shared" ref="AE1504" si="2222">J1504</f>
        <v>2026</v>
      </c>
      <c r="AF1504" s="1421">
        <f t="shared" ref="AF1504" si="2223">K1504</f>
        <v>2027</v>
      </c>
      <c r="AG1504" s="1421">
        <f t="shared" ref="AG1504" si="2224">L1504</f>
        <v>2028</v>
      </c>
      <c r="AH1504" s="1422">
        <f t="shared" ref="AH1504" si="2225">M1504</f>
        <v>2029</v>
      </c>
      <c r="AI1504" s="1422">
        <f t="shared" ref="AI1504" si="2226">N1504</f>
        <v>2030</v>
      </c>
      <c r="AJ1504" s="1422"/>
      <c r="AK1504" s="1422"/>
      <c r="AL1504" s="1422"/>
      <c r="AM1504" s="1422"/>
    </row>
    <row r="1505" spans="1:39" ht="12.75" customHeight="1" x14ac:dyDescent="0.25">
      <c r="A1505" s="729"/>
      <c r="B1505" s="698"/>
      <c r="C1505" s="2906" t="str">
        <f>Translations!$B$1568</f>
        <v>недопустими</v>
      </c>
      <c r="D1505" s="981">
        <v>1</v>
      </c>
      <c r="E1505" s="1424" t="str">
        <f t="shared" ref="E1505:F1514" si="2227">E1487</f>
        <v/>
      </c>
      <c r="F1505" s="1259" t="str">
        <f>F1487</f>
        <v>t CO2e</v>
      </c>
      <c r="G1505" s="125"/>
      <c r="H1505" s="116"/>
      <c r="I1505" s="46"/>
      <c r="J1505" s="116"/>
      <c r="K1505" s="40"/>
      <c r="L1505" s="40"/>
      <c r="M1505" s="40"/>
      <c r="N1505" s="40"/>
      <c r="O1505" s="302"/>
      <c r="P1505" s="158"/>
      <c r="Q1505" s="694"/>
      <c r="R1505" s="694"/>
      <c r="S1505" s="694"/>
      <c r="T1505" s="694"/>
      <c r="U1505" s="694"/>
      <c r="V1505" s="694"/>
      <c r="W1505" s="694"/>
      <c r="X1505" s="694"/>
      <c r="Y1505" s="694"/>
      <c r="Z1505" s="694"/>
      <c r="AA1505" s="1446" t="s">
        <v>1757</v>
      </c>
      <c r="AB1505" s="1447">
        <f t="shared" ref="AB1505:AC1505" si="2228">AB1487</f>
        <v>2</v>
      </c>
      <c r="AC1505" s="1427">
        <f t="shared" si="2228"/>
        <v>2</v>
      </c>
      <c r="AD1505" s="1427">
        <f>AD1487</f>
        <v>2</v>
      </c>
      <c r="AE1505" s="1427">
        <f t="shared" ref="AE1505:AI1505" si="2229">AE1487</f>
        <v>2</v>
      </c>
      <c r="AF1505" s="1427">
        <f t="shared" si="2229"/>
        <v>2</v>
      </c>
      <c r="AG1505" s="1427">
        <f t="shared" si="2229"/>
        <v>2</v>
      </c>
      <c r="AH1505" s="1428">
        <f t="shared" si="2229"/>
        <v>2</v>
      </c>
      <c r="AI1505" s="1429">
        <f t="shared" si="2229"/>
        <v>2</v>
      </c>
      <c r="AJ1505" s="343"/>
      <c r="AK1505" s="1422"/>
      <c r="AL1505" s="1422"/>
      <c r="AM1505" s="343"/>
    </row>
    <row r="1506" spans="1:39" ht="12.75" customHeight="1" x14ac:dyDescent="0.25">
      <c r="A1506" s="729"/>
      <c r="B1506" s="698"/>
      <c r="C1506" s="2906"/>
      <c r="D1506" s="990">
        <v>2</v>
      </c>
      <c r="E1506" s="1430" t="str">
        <f t="shared" si="2227"/>
        <v/>
      </c>
      <c r="F1506" s="1448" t="str">
        <f t="shared" si="2227"/>
        <v>t CO2e</v>
      </c>
      <c r="G1506" s="124"/>
      <c r="H1506" s="119"/>
      <c r="I1506" s="47"/>
      <c r="J1506" s="119"/>
      <c r="K1506" s="43"/>
      <c r="L1506" s="43"/>
      <c r="M1506" s="43"/>
      <c r="N1506" s="43"/>
      <c r="O1506" s="302"/>
      <c r="P1506" s="158"/>
      <c r="Q1506" s="694"/>
      <c r="R1506" s="694"/>
      <c r="S1506" s="694"/>
      <c r="T1506" s="694"/>
      <c r="U1506" s="694"/>
      <c r="V1506" s="694"/>
      <c r="W1506" s="694"/>
      <c r="X1506" s="694"/>
      <c r="Y1506" s="694"/>
      <c r="Z1506" s="694"/>
      <c r="AA1506" s="694"/>
      <c r="AB1506" s="1431">
        <f t="shared" ref="AB1506:AI1506" si="2230">AB1488</f>
        <v>2</v>
      </c>
      <c r="AC1506" s="1432">
        <f t="shared" si="2230"/>
        <v>2</v>
      </c>
      <c r="AD1506" s="1432">
        <f t="shared" si="2230"/>
        <v>2</v>
      </c>
      <c r="AE1506" s="1432">
        <f t="shared" si="2230"/>
        <v>2</v>
      </c>
      <c r="AF1506" s="1432">
        <f t="shared" si="2230"/>
        <v>2</v>
      </c>
      <c r="AG1506" s="1432">
        <f t="shared" si="2230"/>
        <v>2</v>
      </c>
      <c r="AH1506" s="1432">
        <f t="shared" si="2230"/>
        <v>2</v>
      </c>
      <c r="AI1506" s="1452">
        <f t="shared" si="2230"/>
        <v>2</v>
      </c>
      <c r="AJ1506" s="343"/>
      <c r="AK1506" s="1422"/>
      <c r="AL1506" s="1422"/>
      <c r="AM1506" s="343"/>
    </row>
    <row r="1507" spans="1:39" ht="12.75" customHeight="1" x14ac:dyDescent="0.25">
      <c r="A1507" s="729"/>
      <c r="B1507" s="698"/>
      <c r="C1507" s="2906"/>
      <c r="D1507" s="990">
        <v>3</v>
      </c>
      <c r="E1507" s="1430" t="str">
        <f t="shared" si="2227"/>
        <v/>
      </c>
      <c r="F1507" s="1448" t="str">
        <f t="shared" si="2227"/>
        <v>t CO2e</v>
      </c>
      <c r="G1507" s="47"/>
      <c r="H1507" s="119"/>
      <c r="I1507" s="47"/>
      <c r="J1507" s="119"/>
      <c r="K1507" s="43"/>
      <c r="L1507" s="43"/>
      <c r="M1507" s="43"/>
      <c r="N1507" s="43"/>
      <c r="O1507" s="302"/>
      <c r="P1507" s="158"/>
      <c r="Q1507" s="694"/>
      <c r="R1507" s="694"/>
      <c r="S1507" s="694"/>
      <c r="T1507" s="694"/>
      <c r="U1507" s="694"/>
      <c r="V1507" s="694"/>
      <c r="W1507" s="694"/>
      <c r="X1507" s="694"/>
      <c r="Y1507" s="694"/>
      <c r="Z1507" s="694"/>
      <c r="AA1507" s="694"/>
      <c r="AB1507" s="1431">
        <f t="shared" ref="AB1507:AI1507" si="2231">AB1489</f>
        <v>2</v>
      </c>
      <c r="AC1507" s="1432">
        <f t="shared" si="2231"/>
        <v>2</v>
      </c>
      <c r="AD1507" s="1432">
        <f t="shared" si="2231"/>
        <v>2</v>
      </c>
      <c r="AE1507" s="1432">
        <f t="shared" si="2231"/>
        <v>2</v>
      </c>
      <c r="AF1507" s="1432">
        <f t="shared" si="2231"/>
        <v>2</v>
      </c>
      <c r="AG1507" s="1432">
        <f t="shared" si="2231"/>
        <v>2</v>
      </c>
      <c r="AH1507" s="1432">
        <f t="shared" si="2231"/>
        <v>2</v>
      </c>
      <c r="AI1507" s="1452">
        <f t="shared" si="2231"/>
        <v>2</v>
      </c>
      <c r="AJ1507" s="343"/>
      <c r="AK1507" s="1422"/>
      <c r="AL1507" s="1422"/>
      <c r="AM1507" s="343"/>
    </row>
    <row r="1508" spans="1:39" ht="12.75" customHeight="1" x14ac:dyDescent="0.25">
      <c r="A1508" s="729"/>
      <c r="B1508" s="698"/>
      <c r="C1508" s="2906"/>
      <c r="D1508" s="990">
        <v>4</v>
      </c>
      <c r="E1508" s="1430" t="str">
        <f t="shared" si="2227"/>
        <v/>
      </c>
      <c r="F1508" s="1448" t="str">
        <f t="shared" si="2227"/>
        <v>t CO2e</v>
      </c>
      <c r="G1508" s="47"/>
      <c r="H1508" s="119"/>
      <c r="I1508" s="47"/>
      <c r="J1508" s="119"/>
      <c r="K1508" s="43"/>
      <c r="L1508" s="43"/>
      <c r="M1508" s="43"/>
      <c r="N1508" s="43"/>
      <c r="O1508" s="302"/>
      <c r="P1508" s="158"/>
      <c r="Q1508" s="694"/>
      <c r="R1508" s="694"/>
      <c r="S1508" s="694"/>
      <c r="T1508" s="694"/>
      <c r="U1508" s="694"/>
      <c r="V1508" s="694"/>
      <c r="W1508" s="694"/>
      <c r="X1508" s="694"/>
      <c r="Y1508" s="694"/>
      <c r="Z1508" s="694"/>
      <c r="AA1508" s="694"/>
      <c r="AB1508" s="1431">
        <f t="shared" ref="AB1508:AI1508" si="2232">AB1490</f>
        <v>2</v>
      </c>
      <c r="AC1508" s="1432">
        <f t="shared" si="2232"/>
        <v>2</v>
      </c>
      <c r="AD1508" s="1432">
        <f t="shared" si="2232"/>
        <v>2</v>
      </c>
      <c r="AE1508" s="1432">
        <f t="shared" si="2232"/>
        <v>2</v>
      </c>
      <c r="AF1508" s="1432">
        <f t="shared" si="2232"/>
        <v>2</v>
      </c>
      <c r="AG1508" s="1432">
        <f t="shared" si="2232"/>
        <v>2</v>
      </c>
      <c r="AH1508" s="1432">
        <f t="shared" si="2232"/>
        <v>2</v>
      </c>
      <c r="AI1508" s="1452">
        <f t="shared" si="2232"/>
        <v>2</v>
      </c>
      <c r="AJ1508" s="343"/>
      <c r="AK1508" s="1422"/>
      <c r="AL1508" s="1422"/>
      <c r="AM1508" s="343"/>
    </row>
    <row r="1509" spans="1:39" ht="12.75" customHeight="1" x14ac:dyDescent="0.25">
      <c r="A1509" s="729"/>
      <c r="B1509" s="698"/>
      <c r="C1509" s="2906"/>
      <c r="D1509" s="990">
        <v>5</v>
      </c>
      <c r="E1509" s="1430" t="str">
        <f t="shared" si="2227"/>
        <v/>
      </c>
      <c r="F1509" s="1448" t="str">
        <f t="shared" si="2227"/>
        <v>t CO2e</v>
      </c>
      <c r="G1509" s="47"/>
      <c r="H1509" s="119"/>
      <c r="I1509" s="47"/>
      <c r="J1509" s="119"/>
      <c r="K1509" s="43"/>
      <c r="L1509" s="43"/>
      <c r="M1509" s="43"/>
      <c r="N1509" s="43"/>
      <c r="O1509" s="302"/>
      <c r="P1509" s="158"/>
      <c r="Q1509" s="694"/>
      <c r="R1509" s="694"/>
      <c r="S1509" s="694"/>
      <c r="T1509" s="694"/>
      <c r="U1509" s="694"/>
      <c r="V1509" s="694"/>
      <c r="W1509" s="694"/>
      <c r="X1509" s="694"/>
      <c r="Y1509" s="694"/>
      <c r="Z1509" s="694"/>
      <c r="AA1509" s="694"/>
      <c r="AB1509" s="1431">
        <f t="shared" ref="AB1509:AI1509" si="2233">AB1491</f>
        <v>2</v>
      </c>
      <c r="AC1509" s="1432">
        <f t="shared" si="2233"/>
        <v>2</v>
      </c>
      <c r="AD1509" s="1432">
        <f t="shared" si="2233"/>
        <v>2</v>
      </c>
      <c r="AE1509" s="1432">
        <f t="shared" si="2233"/>
        <v>2</v>
      </c>
      <c r="AF1509" s="1432">
        <f t="shared" si="2233"/>
        <v>2</v>
      </c>
      <c r="AG1509" s="1432">
        <f t="shared" si="2233"/>
        <v>2</v>
      </c>
      <c r="AH1509" s="1432">
        <f t="shared" si="2233"/>
        <v>2</v>
      </c>
      <c r="AI1509" s="1452">
        <f t="shared" si="2233"/>
        <v>2</v>
      </c>
      <c r="AJ1509" s="343"/>
      <c r="AK1509" s="1422"/>
      <c r="AL1509" s="1422"/>
      <c r="AM1509" s="343"/>
    </row>
    <row r="1510" spans="1:39" ht="12.75" customHeight="1" x14ac:dyDescent="0.25">
      <c r="A1510" s="729"/>
      <c r="B1510" s="698"/>
      <c r="C1510" s="2906"/>
      <c r="D1510" s="990">
        <v>6</v>
      </c>
      <c r="E1510" s="1430" t="str">
        <f t="shared" si="2227"/>
        <v/>
      </c>
      <c r="F1510" s="1448" t="str">
        <f t="shared" si="2227"/>
        <v>t CO2e</v>
      </c>
      <c r="G1510" s="47"/>
      <c r="H1510" s="119"/>
      <c r="I1510" s="47"/>
      <c r="J1510" s="119"/>
      <c r="K1510" s="43"/>
      <c r="L1510" s="43"/>
      <c r="M1510" s="43"/>
      <c r="N1510" s="43"/>
      <c r="O1510" s="302"/>
      <c r="P1510" s="158"/>
      <c r="Q1510" s="694"/>
      <c r="R1510" s="694"/>
      <c r="S1510" s="694"/>
      <c r="T1510" s="694"/>
      <c r="U1510" s="694"/>
      <c r="V1510" s="694"/>
      <c r="W1510" s="694"/>
      <c r="X1510" s="694"/>
      <c r="Y1510" s="694"/>
      <c r="Z1510" s="694"/>
      <c r="AA1510" s="694"/>
      <c r="AB1510" s="1431">
        <f t="shared" ref="AB1510:AI1510" si="2234">AB1492</f>
        <v>2</v>
      </c>
      <c r="AC1510" s="1432">
        <f t="shared" si="2234"/>
        <v>2</v>
      </c>
      <c r="AD1510" s="1432">
        <f t="shared" si="2234"/>
        <v>2</v>
      </c>
      <c r="AE1510" s="1432">
        <f t="shared" si="2234"/>
        <v>2</v>
      </c>
      <c r="AF1510" s="1432">
        <f t="shared" si="2234"/>
        <v>2</v>
      </c>
      <c r="AG1510" s="1432">
        <f t="shared" si="2234"/>
        <v>2</v>
      </c>
      <c r="AH1510" s="1432">
        <f t="shared" si="2234"/>
        <v>2</v>
      </c>
      <c r="AI1510" s="1452">
        <f t="shared" si="2234"/>
        <v>2</v>
      </c>
      <c r="AJ1510" s="343"/>
      <c r="AK1510" s="1422"/>
      <c r="AL1510" s="1422"/>
      <c r="AM1510" s="343"/>
    </row>
    <row r="1511" spans="1:39" ht="12.75" customHeight="1" x14ac:dyDescent="0.25">
      <c r="A1511" s="729"/>
      <c r="B1511" s="698"/>
      <c r="C1511" s="2906"/>
      <c r="D1511" s="990">
        <v>7</v>
      </c>
      <c r="E1511" s="1430" t="str">
        <f t="shared" si="2227"/>
        <v/>
      </c>
      <c r="F1511" s="1448" t="str">
        <f t="shared" si="2227"/>
        <v>t CO2e</v>
      </c>
      <c r="G1511" s="47"/>
      <c r="H1511" s="119"/>
      <c r="I1511" s="47"/>
      <c r="J1511" s="119"/>
      <c r="K1511" s="43"/>
      <c r="L1511" s="43"/>
      <c r="M1511" s="43"/>
      <c r="N1511" s="43"/>
      <c r="O1511" s="302"/>
      <c r="P1511" s="158"/>
      <c r="Q1511" s="694"/>
      <c r="R1511" s="694"/>
      <c r="S1511" s="694"/>
      <c r="T1511" s="694"/>
      <c r="U1511" s="694"/>
      <c r="V1511" s="694"/>
      <c r="W1511" s="694"/>
      <c r="X1511" s="694"/>
      <c r="Y1511" s="694"/>
      <c r="Z1511" s="694"/>
      <c r="AA1511" s="694"/>
      <c r="AB1511" s="1431">
        <f t="shared" ref="AB1511:AI1511" si="2235">AB1493</f>
        <v>2</v>
      </c>
      <c r="AC1511" s="1432">
        <f t="shared" si="2235"/>
        <v>2</v>
      </c>
      <c r="AD1511" s="1432">
        <f t="shared" si="2235"/>
        <v>2</v>
      </c>
      <c r="AE1511" s="1432">
        <f t="shared" si="2235"/>
        <v>2</v>
      </c>
      <c r="AF1511" s="1432">
        <f t="shared" si="2235"/>
        <v>2</v>
      </c>
      <c r="AG1511" s="1432">
        <f t="shared" si="2235"/>
        <v>2</v>
      </c>
      <c r="AH1511" s="1432">
        <f t="shared" si="2235"/>
        <v>2</v>
      </c>
      <c r="AI1511" s="1452">
        <f t="shared" si="2235"/>
        <v>2</v>
      </c>
      <c r="AJ1511" s="343"/>
      <c r="AK1511" s="1422"/>
      <c r="AL1511" s="1422"/>
      <c r="AM1511" s="343"/>
    </row>
    <row r="1512" spans="1:39" ht="12.75" customHeight="1" x14ac:dyDescent="0.25">
      <c r="A1512" s="729"/>
      <c r="B1512" s="698"/>
      <c r="C1512" s="2906"/>
      <c r="D1512" s="990">
        <v>8</v>
      </c>
      <c r="E1512" s="1430" t="str">
        <f t="shared" si="2227"/>
        <v/>
      </c>
      <c r="F1512" s="1448" t="str">
        <f t="shared" si="2227"/>
        <v>t CO2e</v>
      </c>
      <c r="G1512" s="47"/>
      <c r="H1512" s="119"/>
      <c r="I1512" s="47"/>
      <c r="J1512" s="119"/>
      <c r="K1512" s="43"/>
      <c r="L1512" s="43"/>
      <c r="M1512" s="43"/>
      <c r="N1512" s="43"/>
      <c r="O1512" s="302"/>
      <c r="P1512" s="158"/>
      <c r="Q1512" s="694"/>
      <c r="R1512" s="694"/>
      <c r="S1512" s="694"/>
      <c r="T1512" s="694"/>
      <c r="U1512" s="694"/>
      <c r="V1512" s="694"/>
      <c r="W1512" s="694"/>
      <c r="X1512" s="694"/>
      <c r="Y1512" s="694"/>
      <c r="Z1512" s="694"/>
      <c r="AA1512" s="694"/>
      <c r="AB1512" s="1431">
        <f t="shared" ref="AB1512:AI1512" si="2236">AB1494</f>
        <v>2</v>
      </c>
      <c r="AC1512" s="1432">
        <f t="shared" si="2236"/>
        <v>2</v>
      </c>
      <c r="AD1512" s="1432">
        <f t="shared" si="2236"/>
        <v>2</v>
      </c>
      <c r="AE1512" s="1432">
        <f t="shared" si="2236"/>
        <v>2</v>
      </c>
      <c r="AF1512" s="1432">
        <f t="shared" si="2236"/>
        <v>2</v>
      </c>
      <c r="AG1512" s="1432">
        <f t="shared" si="2236"/>
        <v>2</v>
      </c>
      <c r="AH1512" s="1432">
        <f t="shared" si="2236"/>
        <v>2</v>
      </c>
      <c r="AI1512" s="1452">
        <f t="shared" si="2236"/>
        <v>2</v>
      </c>
      <c r="AJ1512" s="343"/>
      <c r="AK1512" s="1422"/>
      <c r="AL1512" s="1422"/>
      <c r="AM1512" s="343"/>
    </row>
    <row r="1513" spans="1:39" ht="12.75" customHeight="1" x14ac:dyDescent="0.25">
      <c r="A1513" s="729"/>
      <c r="B1513" s="698"/>
      <c r="C1513" s="2906"/>
      <c r="D1513" s="990">
        <v>9</v>
      </c>
      <c r="E1513" s="1430" t="str">
        <f t="shared" si="2227"/>
        <v/>
      </c>
      <c r="F1513" s="1448" t="str">
        <f t="shared" si="2227"/>
        <v>t CO2e</v>
      </c>
      <c r="G1513" s="47"/>
      <c r="H1513" s="119"/>
      <c r="I1513" s="47"/>
      <c r="J1513" s="119"/>
      <c r="K1513" s="43"/>
      <c r="L1513" s="43"/>
      <c r="M1513" s="43"/>
      <c r="N1513" s="43"/>
      <c r="O1513" s="302"/>
      <c r="P1513" s="158"/>
      <c r="Q1513" s="694"/>
      <c r="R1513" s="694"/>
      <c r="S1513" s="694"/>
      <c r="T1513" s="694"/>
      <c r="U1513" s="694"/>
      <c r="V1513" s="694"/>
      <c r="W1513" s="694"/>
      <c r="X1513" s="694"/>
      <c r="Y1513" s="694"/>
      <c r="Z1513" s="694"/>
      <c r="AA1513" s="694"/>
      <c r="AB1513" s="1431">
        <f t="shared" ref="AB1513:AI1513" si="2237">AB1495</f>
        <v>2</v>
      </c>
      <c r="AC1513" s="1432">
        <f t="shared" si="2237"/>
        <v>2</v>
      </c>
      <c r="AD1513" s="1432">
        <f t="shared" si="2237"/>
        <v>2</v>
      </c>
      <c r="AE1513" s="1432">
        <f t="shared" si="2237"/>
        <v>2</v>
      </c>
      <c r="AF1513" s="1432">
        <f t="shared" si="2237"/>
        <v>2</v>
      </c>
      <c r="AG1513" s="1432">
        <f t="shared" si="2237"/>
        <v>2</v>
      </c>
      <c r="AH1513" s="1432">
        <f t="shared" si="2237"/>
        <v>2</v>
      </c>
      <c r="AI1513" s="1452">
        <f t="shared" si="2237"/>
        <v>2</v>
      </c>
      <c r="AJ1513" s="343"/>
      <c r="AK1513" s="1422"/>
      <c r="AL1513" s="1422"/>
      <c r="AM1513" s="343"/>
    </row>
    <row r="1514" spans="1:39" ht="12.75" customHeight="1" thickBot="1" x14ac:dyDescent="0.3">
      <c r="A1514" s="729"/>
      <c r="B1514" s="698"/>
      <c r="C1514" s="2906"/>
      <c r="D1514" s="994">
        <v>10</v>
      </c>
      <c r="E1514" s="1435" t="str">
        <f t="shared" si="2227"/>
        <v/>
      </c>
      <c r="F1514" s="1453" t="str">
        <f t="shared" si="2227"/>
        <v>t CO2e</v>
      </c>
      <c r="G1514" s="48"/>
      <c r="H1514" s="117"/>
      <c r="I1514" s="48"/>
      <c r="J1514" s="117"/>
      <c r="K1514" s="38"/>
      <c r="L1514" s="38"/>
      <c r="M1514" s="38"/>
      <c r="N1514" s="38"/>
      <c r="O1514" s="302"/>
      <c r="P1514" s="158"/>
      <c r="Q1514" s="694"/>
      <c r="R1514" s="694"/>
      <c r="S1514" s="694"/>
      <c r="T1514" s="694"/>
      <c r="U1514" s="694"/>
      <c r="V1514" s="694"/>
      <c r="W1514" s="694"/>
      <c r="X1514" s="694"/>
      <c r="Y1514" s="694"/>
      <c r="Z1514" s="694"/>
      <c r="AA1514" s="694"/>
      <c r="AB1514" s="1436">
        <f t="shared" ref="AB1514:AI1514" si="2238">AB1496</f>
        <v>2</v>
      </c>
      <c r="AC1514" s="1437">
        <f t="shared" si="2238"/>
        <v>2</v>
      </c>
      <c r="AD1514" s="1437">
        <f t="shared" si="2238"/>
        <v>2</v>
      </c>
      <c r="AE1514" s="1437">
        <f t="shared" si="2238"/>
        <v>2</v>
      </c>
      <c r="AF1514" s="1437">
        <f t="shared" si="2238"/>
        <v>2</v>
      </c>
      <c r="AG1514" s="1437">
        <f t="shared" si="2238"/>
        <v>2</v>
      </c>
      <c r="AH1514" s="1437">
        <f t="shared" si="2238"/>
        <v>2</v>
      </c>
      <c r="AI1514" s="1457">
        <f t="shared" si="2238"/>
        <v>2</v>
      </c>
      <c r="AJ1514" s="343"/>
      <c r="AK1514" s="1422"/>
      <c r="AL1514" s="1422"/>
      <c r="AM1514" s="343"/>
    </row>
    <row r="1515" spans="1:39" ht="12.75" customHeight="1" x14ac:dyDescent="0.25">
      <c r="A1515" s="729"/>
      <c r="B1515" s="698"/>
      <c r="C1515" s="2906"/>
      <c r="D1515" s="1293"/>
      <c r="E1515" s="1458" t="str">
        <f>Translations!$B$1338</f>
        <v>Общо потребление</v>
      </c>
      <c r="F1515" s="1453" t="str">
        <f t="shared" ref="F1515" si="2239">F1497</f>
        <v>t CO2e</v>
      </c>
      <c r="G1515" s="1296" t="str">
        <f t="shared" ref="G1515:N1515" si="2240">IF(COUNT(G1505:G1514)&gt;0,SUMIF($S1452:$S1461,TRUE,G1505:G1514),"")</f>
        <v/>
      </c>
      <c r="H1515" s="1297" t="str">
        <f t="shared" si="2240"/>
        <v/>
      </c>
      <c r="I1515" s="1296" t="str">
        <f t="shared" si="2240"/>
        <v/>
      </c>
      <c r="J1515" s="1297" t="str">
        <f t="shared" si="2240"/>
        <v/>
      </c>
      <c r="K1515" s="1104" t="str">
        <f t="shared" si="2240"/>
        <v/>
      </c>
      <c r="L1515" s="1104" t="str">
        <f t="shared" si="2240"/>
        <v/>
      </c>
      <c r="M1515" s="1104" t="str">
        <f t="shared" si="2240"/>
        <v/>
      </c>
      <c r="N1515" s="1104" t="str">
        <f t="shared" si="2240"/>
        <v/>
      </c>
      <c r="O1515" s="302"/>
      <c r="P1515" s="336"/>
      <c r="Q1515" s="694"/>
      <c r="R1515" s="694"/>
      <c r="S1515" s="694"/>
      <c r="T1515" s="694"/>
      <c r="U1515" s="694"/>
      <c r="V1515" s="694"/>
      <c r="W1515" s="694"/>
      <c r="X1515" s="694"/>
      <c r="Y1515" s="694"/>
      <c r="Z1515" s="694"/>
      <c r="AA1515" s="694"/>
      <c r="AB1515" s="729"/>
      <c r="AC1515" s="694"/>
      <c r="AD1515" s="694"/>
      <c r="AE1515" s="343"/>
      <c r="AF1515" s="343"/>
      <c r="AG1515" s="343"/>
      <c r="AH1515" s="343"/>
      <c r="AI1515" s="343"/>
      <c r="AJ1515" s="343"/>
      <c r="AK1515" s="343"/>
      <c r="AL1515" s="343"/>
      <c r="AM1515" s="343"/>
    </row>
    <row r="1516" spans="1:39" ht="5.15" customHeight="1" x14ac:dyDescent="0.25">
      <c r="A1516" s="729"/>
      <c r="B1516" s="698"/>
      <c r="C1516" s="284"/>
      <c r="D1516" s="284"/>
      <c r="E1516" s="284"/>
      <c r="F1516" s="284"/>
      <c r="G1516" s="284"/>
      <c r="H1516" s="284"/>
      <c r="I1516" s="284"/>
      <c r="J1516" s="284"/>
      <c r="K1516" s="284"/>
      <c r="L1516" s="284"/>
      <c r="M1516" s="284"/>
      <c r="N1516" s="284"/>
      <c r="O1516" s="302"/>
      <c r="P1516" s="336"/>
      <c r="Q1516" s="694"/>
      <c r="R1516" s="694"/>
      <c r="S1516" s="694"/>
      <c r="T1516" s="694"/>
      <c r="U1516" s="694"/>
      <c r="V1516" s="694"/>
      <c r="W1516" s="694"/>
      <c r="X1516" s="694"/>
      <c r="Y1516" s="694"/>
      <c r="Z1516" s="729"/>
      <c r="AA1516" s="729"/>
      <c r="AB1516" s="729"/>
      <c r="AC1516" s="694"/>
      <c r="AD1516" s="694"/>
      <c r="AE1516" s="343"/>
      <c r="AF1516" s="343"/>
      <c r="AG1516" s="343"/>
      <c r="AH1516" s="343"/>
      <c r="AI1516" s="343"/>
      <c r="AJ1516" s="343"/>
      <c r="AK1516" s="343"/>
      <c r="AL1516" s="343"/>
      <c r="AM1516" s="343"/>
    </row>
    <row r="1517" spans="1:39" ht="12.75" customHeight="1" x14ac:dyDescent="0.25">
      <c r="A1517" s="729"/>
      <c r="B1517" s="698"/>
      <c r="C1517" s="284"/>
      <c r="D1517" s="300" t="s">
        <v>1830</v>
      </c>
      <c r="E1517" s="2226" t="str">
        <f>Translations!$B$1569</f>
        <v>Общо технологични емисии по продукти за определяне на очакваните равнища на дейност</v>
      </c>
      <c r="F1517" s="2249"/>
      <c r="G1517" s="2249"/>
      <c r="H1517" s="2249"/>
      <c r="I1517" s="2249"/>
      <c r="J1517" s="2249"/>
      <c r="K1517" s="2249"/>
      <c r="L1517" s="2249"/>
      <c r="M1517" s="2249"/>
      <c r="N1517" s="2249"/>
      <c r="O1517" s="302"/>
      <c r="P1517" s="295"/>
      <c r="Q1517" s="694"/>
      <c r="R1517" s="694"/>
      <c r="S1517" s="694"/>
      <c r="T1517" s="694"/>
      <c r="U1517" s="694"/>
      <c r="V1517" s="694"/>
      <c r="W1517" s="694"/>
      <c r="X1517" s="694"/>
      <c r="Y1517" s="694"/>
      <c r="Z1517" s="729"/>
      <c r="AA1517" s="729"/>
      <c r="AB1517" s="729"/>
      <c r="AC1517" s="729"/>
      <c r="AD1517" s="694"/>
      <c r="AE1517" s="343"/>
      <c r="AF1517" s="343"/>
      <c r="AG1517" s="343"/>
      <c r="AH1517" s="343"/>
      <c r="AI1517" s="343"/>
      <c r="AJ1517" s="343"/>
      <c r="AK1517" s="343"/>
      <c r="AL1517" s="343"/>
      <c r="AM1517" s="343"/>
    </row>
    <row r="1518" spans="1:39" ht="12.75" customHeight="1" x14ac:dyDescent="0.25">
      <c r="A1518" s="729"/>
      <c r="B1518" s="698"/>
      <c r="C1518" s="284"/>
      <c r="D1518" s="284"/>
      <c r="E1518" s="2358" t="str">
        <f>Translations!$B$1543</f>
        <v>Това е сборът от вписванията по-горе b.2 + b.3. Следователно сумата може да бъде по-висока от 100 % от равнището на дейност.</v>
      </c>
      <c r="F1518" s="2249"/>
      <c r="G1518" s="2249"/>
      <c r="H1518" s="2249"/>
      <c r="I1518" s="2249"/>
      <c r="J1518" s="2249"/>
      <c r="K1518" s="2249"/>
      <c r="L1518" s="2249"/>
      <c r="M1518" s="2249"/>
      <c r="N1518" s="2249"/>
      <c r="O1518" s="302"/>
      <c r="P1518" s="295"/>
      <c r="Q1518" s="694"/>
      <c r="R1518" s="694"/>
      <c r="S1518" s="694"/>
      <c r="T1518" s="694"/>
      <c r="U1518" s="694"/>
      <c r="V1518" s="694"/>
      <c r="W1518" s="694"/>
      <c r="X1518" s="694"/>
      <c r="Y1518" s="694"/>
      <c r="Z1518" s="729"/>
      <c r="AA1518" s="729"/>
      <c r="AB1518" s="729"/>
      <c r="AC1518" s="729"/>
      <c r="AD1518" s="694"/>
      <c r="AE1518" s="343"/>
      <c r="AF1518" s="343"/>
      <c r="AG1518" s="343"/>
      <c r="AH1518" s="343"/>
      <c r="AI1518" s="343"/>
      <c r="AJ1518" s="343"/>
      <c r="AK1518" s="343"/>
      <c r="AL1518" s="343"/>
      <c r="AM1518" s="343"/>
    </row>
    <row r="1519" spans="1:39" ht="5.15" customHeight="1" x14ac:dyDescent="0.25">
      <c r="A1519" s="729"/>
      <c r="B1519" s="698"/>
      <c r="C1519" s="284"/>
      <c r="D1519" s="284"/>
      <c r="E1519" s="2358"/>
      <c r="F1519" s="2249"/>
      <c r="G1519" s="2249"/>
      <c r="H1519" s="2249"/>
      <c r="I1519" s="2249"/>
      <c r="J1519" s="2249"/>
      <c r="K1519" s="2249"/>
      <c r="L1519" s="2249"/>
      <c r="M1519" s="2249"/>
      <c r="N1519" s="2249"/>
      <c r="O1519" s="302"/>
      <c r="P1519" s="295"/>
      <c r="Q1519" s="694"/>
      <c r="R1519" s="694"/>
      <c r="S1519" s="694"/>
      <c r="T1519" s="694"/>
      <c r="U1519" s="694"/>
      <c r="V1519" s="694"/>
      <c r="W1519" s="694"/>
      <c r="X1519" s="694"/>
      <c r="Y1519" s="694"/>
      <c r="Z1519" s="729"/>
      <c r="AA1519" s="729"/>
      <c r="AB1519" s="729"/>
      <c r="AC1519" s="729"/>
      <c r="AD1519" s="694"/>
      <c r="AE1519" s="343"/>
      <c r="AF1519" s="343"/>
      <c r="AG1519" s="343"/>
      <c r="AH1519" s="343"/>
      <c r="AI1519" s="343"/>
      <c r="AJ1519" s="343"/>
      <c r="AK1519" s="343"/>
      <c r="AL1519" s="343"/>
      <c r="AM1519" s="343"/>
    </row>
    <row r="1520" spans="1:39" s="1423" customFormat="1" ht="25.5" customHeight="1" thickBot="1" x14ac:dyDescent="0.35">
      <c r="A1520" s="729"/>
      <c r="B1520" s="1412"/>
      <c r="C1520" s="1413"/>
      <c r="D1520" s="1414"/>
      <c r="E1520" s="1415" t="str">
        <f>E1504</f>
        <v>Име на продукт или вид услуга</v>
      </c>
      <c r="F1520" s="1416" t="str">
        <f>EUconst_Unit</f>
        <v>Единица мярка</v>
      </c>
      <c r="G1520" s="1419" t="str">
        <f>Translations!$B$1336</f>
        <v>Стойност в НМИ</v>
      </c>
      <c r="H1520" s="1418">
        <f t="shared" ref="H1520:N1520" si="2241">H$1840</f>
        <v>2024</v>
      </c>
      <c r="I1520" s="1419">
        <f t="shared" si="2241"/>
        <v>2025</v>
      </c>
      <c r="J1520" s="1418">
        <f t="shared" si="2241"/>
        <v>2026</v>
      </c>
      <c r="K1520" s="1420">
        <f t="shared" si="2241"/>
        <v>2027</v>
      </c>
      <c r="L1520" s="1420">
        <f t="shared" si="2241"/>
        <v>2028</v>
      </c>
      <c r="M1520" s="1420">
        <f t="shared" si="2241"/>
        <v>2029</v>
      </c>
      <c r="N1520" s="1420">
        <f t="shared" si="2241"/>
        <v>2030</v>
      </c>
      <c r="O1520" s="302"/>
      <c r="P1520" s="295"/>
      <c r="Q1520" s="1421"/>
      <c r="R1520" s="1421"/>
      <c r="S1520" s="770" t="str">
        <f>Translations!$B$1341</f>
        <v>Базова стойност</v>
      </c>
      <c r="T1520" s="1421">
        <f t="shared" ref="T1520" si="2242">H1520</f>
        <v>2024</v>
      </c>
      <c r="U1520" s="1421">
        <f t="shared" ref="U1520" si="2243">I1520</f>
        <v>2025</v>
      </c>
      <c r="V1520" s="1421">
        <f t="shared" ref="V1520" si="2244">J1520</f>
        <v>2026</v>
      </c>
      <c r="W1520" s="1421">
        <f t="shared" ref="W1520" si="2245">K1520</f>
        <v>2027</v>
      </c>
      <c r="X1520" s="1421">
        <f t="shared" ref="X1520" si="2246">L1520</f>
        <v>2028</v>
      </c>
      <c r="Y1520" s="1421">
        <f t="shared" ref="Y1520" si="2247">M1520</f>
        <v>2029</v>
      </c>
      <c r="Z1520" s="1421">
        <f t="shared" ref="Z1520" si="2248">N1520</f>
        <v>2030</v>
      </c>
      <c r="AA1520" s="1421"/>
      <c r="AB1520" s="770" t="str">
        <f>Translations!$B$1284</f>
        <v>HAL</v>
      </c>
      <c r="AC1520" s="1421">
        <f t="shared" ref="AC1520" si="2249">H1520</f>
        <v>2024</v>
      </c>
      <c r="AD1520" s="1421">
        <f t="shared" ref="AD1520" si="2250">I1520</f>
        <v>2025</v>
      </c>
      <c r="AE1520" s="1421">
        <f t="shared" ref="AE1520" si="2251">J1520</f>
        <v>2026</v>
      </c>
      <c r="AF1520" s="1421">
        <f t="shared" ref="AF1520" si="2252">K1520</f>
        <v>2027</v>
      </c>
      <c r="AG1520" s="1421">
        <f t="shared" ref="AG1520" si="2253">L1520</f>
        <v>2028</v>
      </c>
      <c r="AH1520" s="1422">
        <f t="shared" ref="AH1520" si="2254">M1520</f>
        <v>2029</v>
      </c>
      <c r="AI1520" s="1422">
        <f t="shared" ref="AI1520" si="2255">N1520</f>
        <v>2030</v>
      </c>
      <c r="AJ1520" s="1422"/>
      <c r="AK1520" s="1422"/>
      <c r="AL1520" s="1422"/>
      <c r="AM1520" s="1422"/>
    </row>
    <row r="1521" spans="1:39" ht="12.75" customHeight="1" x14ac:dyDescent="0.25">
      <c r="A1521" s="729"/>
      <c r="B1521" s="698"/>
      <c r="C1521" s="2906" t="str">
        <f>Translations!$B$1544</f>
        <v>ОБЩО</v>
      </c>
      <c r="D1521" s="981">
        <v>1</v>
      </c>
      <c r="E1521" s="1424" t="str">
        <f t="shared" ref="E1521:E1530" si="2256">E1505</f>
        <v/>
      </c>
      <c r="F1521" s="1259" t="str">
        <f>F1505</f>
        <v>t CO2e</v>
      </c>
      <c r="G1521" s="1465" t="str">
        <f>IF(OR($E1521="",AB1521=0),"",SUM(G1487,G1505))</f>
        <v/>
      </c>
      <c r="H1521" s="1466" t="str">
        <f t="shared" ref="H1521:N1521" si="2257">IF(OR($E1521="",AC1521=0),"",SUM(H1487,H1505))</f>
        <v/>
      </c>
      <c r="I1521" s="1467" t="str">
        <f t="shared" si="2257"/>
        <v/>
      </c>
      <c r="J1521" s="1466" t="str">
        <f t="shared" si="2257"/>
        <v/>
      </c>
      <c r="K1521" s="1126" t="str">
        <f t="shared" si="2257"/>
        <v/>
      </c>
      <c r="L1521" s="1126" t="str">
        <f t="shared" si="2257"/>
        <v/>
      </c>
      <c r="M1521" s="1126" t="str">
        <f t="shared" si="2257"/>
        <v/>
      </c>
      <c r="N1521" s="1126" t="str">
        <f t="shared" si="2257"/>
        <v/>
      </c>
      <c r="O1521" s="302"/>
      <c r="P1521" s="158"/>
      <c r="Q1521" s="694"/>
      <c r="R1521" s="694"/>
      <c r="S1521" s="1443" t="str">
        <f>IF($M1418&lt;&gt;EUconst_Relevant,"",
IF($V1418&gt;($J$1840-3),
              IF(INDEX(H1468:N1468,MATCH($V1418,$T1520:$Z1520,0))=0,0,INDEX(H1521:N1521,MATCH($V1418,$T1520:$Z1520,0))/INDEX(H1468:N1468,MATCH($V1418,$T1520:$Z1520,0))),
                             IF(ISNUMBER(G1468),
                                            IF(OR(G1468=0,$S1452=FALSE),0,G1521/G1468),"")))</f>
        <v/>
      </c>
      <c r="T1521" s="1444" t="str">
        <f>IF($E1521="","",IF(IFERROR(SUM($S1521)=0,SUM(H1521)),SUM(H1521),SUM(H1468)*SUM($S1521))*IF(SUM(H1521)=0,1,SUM(H1487)/SUM(H1521)))</f>
        <v/>
      </c>
      <c r="U1521" s="1444" t="str">
        <f t="shared" ref="U1521" si="2258">IF($E1521="","",IF(IFERROR(SUM($S1521)=0,SUM(I1521)),SUM(I1521),SUM(I1468)*SUM($S1521))*IF(SUM(I1521)=0,1,SUM(I1487)/SUM(I1521)))</f>
        <v/>
      </c>
      <c r="V1521" s="1444" t="str">
        <f t="shared" ref="V1521:V1530" si="2259">IF($E1521="","",IF(IFERROR(SUM($S1521)=0,SUM(J1521)),SUM(J1521),SUM(J1468)*SUM($S1521))*IF(SUM(J1521)=0,1,SUM(J1487)/SUM(J1521)))</f>
        <v/>
      </c>
      <c r="W1521" s="1444" t="str">
        <f t="shared" ref="W1521:W1530" si="2260">IF($E1521="","",IF(IFERROR(SUM($S1521)=0,SUM(K1521)),SUM(K1521),SUM(K1468)*SUM($S1521))*IF(SUM(K1521)=0,1,SUM(K1487)/SUM(K1521)))</f>
        <v/>
      </c>
      <c r="X1521" s="1444" t="str">
        <f t="shared" ref="X1521:X1530" si="2261">IF($E1521="","",IF(IFERROR(SUM($S1521)=0,SUM(L1521)),SUM(L1521),SUM(L1468)*SUM($S1521))*IF(SUM(L1521)=0,1,SUM(L1487)/SUM(L1521)))</f>
        <v/>
      </c>
      <c r="Y1521" s="1444" t="str">
        <f t="shared" ref="Y1521:Y1530" si="2262">IF($E1521="","",IF(IFERROR(SUM($S1521)=0,SUM(M1521)),SUM(M1521),SUM(M1468)*SUM($S1521))*IF(SUM(M1521)=0,1,SUM(M1487)/SUM(M1521)))</f>
        <v/>
      </c>
      <c r="Z1521" s="1445" t="str">
        <f t="shared" ref="Z1521:Z1530" si="2263">IF($E1521="","",IF(IFERROR(SUM($S1521)=0,SUM(N1521)),SUM(N1521),SUM(N1468)*SUM($S1521))*IF(SUM(N1521)=0,1,SUM(N1487)/SUM(N1521)))</f>
        <v/>
      </c>
      <c r="AA1521" s="1446" t="s">
        <v>1757</v>
      </c>
      <c r="AB1521" s="1447">
        <f t="shared" ref="AB1521:AI1521" si="2264">AB1505</f>
        <v>2</v>
      </c>
      <c r="AC1521" s="1427">
        <f t="shared" si="2264"/>
        <v>2</v>
      </c>
      <c r="AD1521" s="1427">
        <f t="shared" si="2264"/>
        <v>2</v>
      </c>
      <c r="AE1521" s="1427">
        <f t="shared" si="2264"/>
        <v>2</v>
      </c>
      <c r="AF1521" s="1427">
        <f t="shared" si="2264"/>
        <v>2</v>
      </c>
      <c r="AG1521" s="1427">
        <f t="shared" si="2264"/>
        <v>2</v>
      </c>
      <c r="AH1521" s="1428">
        <f t="shared" si="2264"/>
        <v>2</v>
      </c>
      <c r="AI1521" s="1429">
        <f t="shared" si="2264"/>
        <v>2</v>
      </c>
      <c r="AJ1521" s="343"/>
      <c r="AK1521" s="1174" t="s">
        <v>2039</v>
      </c>
      <c r="AL1521" s="1176" t="str">
        <f>IF(AND(CNTR_ExistSubInstEntries,COUNTIFS(AB1521:AI1521,2,G1521:N1521,"")&gt;0),EUconst_Error&amp;"FB"&amp;Q1450,"")</f>
        <v/>
      </c>
      <c r="AM1521" s="343"/>
    </row>
    <row r="1522" spans="1:39" ht="12.75" customHeight="1" x14ac:dyDescent="0.25">
      <c r="A1522" s="729"/>
      <c r="B1522" s="698"/>
      <c r="C1522" s="2906"/>
      <c r="D1522" s="990">
        <v>2</v>
      </c>
      <c r="E1522" s="1430" t="str">
        <f t="shared" si="2256"/>
        <v/>
      </c>
      <c r="F1522" s="1448" t="str">
        <f>F1521</f>
        <v>t CO2e</v>
      </c>
      <c r="G1522" s="1468" t="str">
        <f t="shared" ref="G1522:N1522" si="2265">IF(OR($E1522="",AB1522=0),"",SUM(G1488,G1506))</f>
        <v/>
      </c>
      <c r="H1522" s="1469" t="str">
        <f t="shared" si="2265"/>
        <v/>
      </c>
      <c r="I1522" s="1470" t="str">
        <f t="shared" si="2265"/>
        <v/>
      </c>
      <c r="J1522" s="1469" t="str">
        <f t="shared" si="2265"/>
        <v/>
      </c>
      <c r="K1522" s="1127" t="str">
        <f t="shared" si="2265"/>
        <v/>
      </c>
      <c r="L1522" s="1127" t="str">
        <f t="shared" si="2265"/>
        <v/>
      </c>
      <c r="M1522" s="1127" t="str">
        <f t="shared" si="2265"/>
        <v/>
      </c>
      <c r="N1522" s="1127" t="str">
        <f t="shared" si="2265"/>
        <v/>
      </c>
      <c r="O1522" s="302"/>
      <c r="P1522" s="158"/>
      <c r="Q1522" s="694"/>
      <c r="R1522" s="694"/>
      <c r="S1522" s="1449" t="str">
        <f>IF($M1418&lt;&gt;EUconst_Relevant,"",
IF($V1418&gt;($J$1840-3),
              IF(INDEX(H1469:N1469,MATCH($V1418,$T1520:$Z1520,0))=0,0,INDEX(H1522:N1522,MATCH($V1418,$T1520:$Z1520,0))/INDEX(H1469:N1469,MATCH($V1418,$T1520:$Z1520,0))),
                             IF(ISNUMBER(G1469),
                                            IF(OR(G1469=0,$S1453=FALSE),0,G1522/G1469),"")))</f>
        <v/>
      </c>
      <c r="T1522" s="1450" t="str">
        <f t="shared" ref="T1522" si="2266">IF($E1522="","",IF(IFERROR(SUM($S1522)=0,SUM(H1522)),SUM(H1522),SUM(H1469)*SUM($S1522))*IF(SUM(H1522)=0,1,SUM(H1488)/SUM(H1522)))</f>
        <v/>
      </c>
      <c r="U1522" s="1450" t="str">
        <f t="shared" ref="U1522:U1530" si="2267">IF($E1522="","",IF(IFERROR(SUM($S1522)=0,SUM(I1522)),SUM(I1522),SUM(I1469)*SUM($S1522))*IF(SUM(I1522)=0,1,SUM(I1488)/SUM(I1522)))</f>
        <v/>
      </c>
      <c r="V1522" s="1450" t="str">
        <f t="shared" si="2259"/>
        <v/>
      </c>
      <c r="W1522" s="1450" t="str">
        <f t="shared" si="2260"/>
        <v/>
      </c>
      <c r="X1522" s="1450" t="str">
        <f t="shared" si="2261"/>
        <v/>
      </c>
      <c r="Y1522" s="1450" t="str">
        <f t="shared" si="2262"/>
        <v/>
      </c>
      <c r="Z1522" s="1451" t="str">
        <f t="shared" si="2263"/>
        <v/>
      </c>
      <c r="AA1522" s="694"/>
      <c r="AB1522" s="1431">
        <f t="shared" ref="AB1522:AI1522" si="2268">AB1506</f>
        <v>2</v>
      </c>
      <c r="AC1522" s="1432">
        <f t="shared" si="2268"/>
        <v>2</v>
      </c>
      <c r="AD1522" s="1432">
        <f t="shared" si="2268"/>
        <v>2</v>
      </c>
      <c r="AE1522" s="1432">
        <f t="shared" si="2268"/>
        <v>2</v>
      </c>
      <c r="AF1522" s="1432">
        <f t="shared" si="2268"/>
        <v>2</v>
      </c>
      <c r="AG1522" s="1432">
        <f t="shared" si="2268"/>
        <v>2</v>
      </c>
      <c r="AH1522" s="1432">
        <f t="shared" si="2268"/>
        <v>2</v>
      </c>
      <c r="AI1522" s="1452">
        <f t="shared" si="2268"/>
        <v>2</v>
      </c>
      <c r="AJ1522" s="343"/>
      <c r="AK1522" s="1174" t="s">
        <v>2039</v>
      </c>
      <c r="AL1522" s="1176" t="str">
        <f>IF(AND(CNTR_ExistSubInstEntries,COUNTIFS(AB1522:AI1522,2,G1522:N1522,"")&gt;0),EUconst_Error&amp;"FB"&amp;Q1450,"")</f>
        <v/>
      </c>
      <c r="AM1522" s="343"/>
    </row>
    <row r="1523" spans="1:39" ht="12.75" customHeight="1" x14ac:dyDescent="0.25">
      <c r="A1523" s="729"/>
      <c r="B1523" s="698"/>
      <c r="C1523" s="2906"/>
      <c r="D1523" s="990">
        <v>3</v>
      </c>
      <c r="E1523" s="1430" t="str">
        <f t="shared" si="2256"/>
        <v/>
      </c>
      <c r="F1523" s="1448" t="str">
        <f t="shared" ref="F1523:F1532" si="2269">F1522</f>
        <v>t CO2e</v>
      </c>
      <c r="G1523" s="1470" t="str">
        <f t="shared" ref="G1523:N1523" si="2270">IF(OR($E1523="",AB1523=0),"",SUM(G1489,G1507))</f>
        <v/>
      </c>
      <c r="H1523" s="1469" t="str">
        <f t="shared" si="2270"/>
        <v/>
      </c>
      <c r="I1523" s="1470" t="str">
        <f t="shared" si="2270"/>
        <v/>
      </c>
      <c r="J1523" s="1469" t="str">
        <f t="shared" si="2270"/>
        <v/>
      </c>
      <c r="K1523" s="1127" t="str">
        <f t="shared" si="2270"/>
        <v/>
      </c>
      <c r="L1523" s="1127" t="str">
        <f t="shared" si="2270"/>
        <v/>
      </c>
      <c r="M1523" s="1127" t="str">
        <f t="shared" si="2270"/>
        <v/>
      </c>
      <c r="N1523" s="1127" t="str">
        <f t="shared" si="2270"/>
        <v/>
      </c>
      <c r="O1523" s="302"/>
      <c r="P1523" s="158"/>
      <c r="Q1523" s="694"/>
      <c r="R1523" s="694"/>
      <c r="S1523" s="1449" t="str">
        <f>IF($M1418&lt;&gt;EUconst_Relevant,"",
IF($V1418&gt;($J$1840-3),
              IF(INDEX(H1470:N1470,MATCH($V1418,$T1520:$Z1520,0))=0,0,INDEX(H1523:N1523,MATCH($V1418,$T1520:$Z1520,0))/INDEX(H1470:N1470,MATCH($V1418,$T1520:$Z1520,0))),
                             IF(ISNUMBER(G1470),
                                            IF(OR(G1470=0,$S1454=FALSE),0,G1523/G1470),"")))</f>
        <v/>
      </c>
      <c r="T1523" s="1450" t="str">
        <f t="shared" ref="T1523" si="2271">IF($E1523="","",IF(IFERROR(SUM($S1523)=0,SUM(H1523)),SUM(H1523),SUM(H1470)*SUM($S1523))*IF(SUM(H1523)=0,1,SUM(H1489)/SUM(H1523)))</f>
        <v/>
      </c>
      <c r="U1523" s="1450" t="str">
        <f t="shared" si="2267"/>
        <v/>
      </c>
      <c r="V1523" s="1450" t="str">
        <f t="shared" si="2259"/>
        <v/>
      </c>
      <c r="W1523" s="1450" t="str">
        <f t="shared" si="2260"/>
        <v/>
      </c>
      <c r="X1523" s="1450" t="str">
        <f t="shared" si="2261"/>
        <v/>
      </c>
      <c r="Y1523" s="1450" t="str">
        <f t="shared" si="2262"/>
        <v/>
      </c>
      <c r="Z1523" s="1451" t="str">
        <f t="shared" si="2263"/>
        <v/>
      </c>
      <c r="AA1523" s="694"/>
      <c r="AB1523" s="1431">
        <f t="shared" ref="AB1523:AI1523" si="2272">AB1507</f>
        <v>2</v>
      </c>
      <c r="AC1523" s="1432">
        <f t="shared" si="2272"/>
        <v>2</v>
      </c>
      <c r="AD1523" s="1432">
        <f t="shared" si="2272"/>
        <v>2</v>
      </c>
      <c r="AE1523" s="1432">
        <f t="shared" si="2272"/>
        <v>2</v>
      </c>
      <c r="AF1523" s="1432">
        <f t="shared" si="2272"/>
        <v>2</v>
      </c>
      <c r="AG1523" s="1432">
        <f t="shared" si="2272"/>
        <v>2</v>
      </c>
      <c r="AH1523" s="1432">
        <f t="shared" si="2272"/>
        <v>2</v>
      </c>
      <c r="AI1523" s="1452">
        <f t="shared" si="2272"/>
        <v>2</v>
      </c>
      <c r="AJ1523" s="343"/>
      <c r="AK1523" s="1174" t="s">
        <v>2039</v>
      </c>
      <c r="AL1523" s="1176" t="str">
        <f>IF(AND(CNTR_ExistSubInstEntries,COUNTIFS(AB1523:AI1523,2,G1523:N1523,"")&gt;0),EUconst_Error&amp;"FB"&amp;Q1450,"")</f>
        <v/>
      </c>
      <c r="AM1523" s="343"/>
    </row>
    <row r="1524" spans="1:39" ht="12.75" customHeight="1" x14ac:dyDescent="0.25">
      <c r="A1524" s="729"/>
      <c r="B1524" s="698"/>
      <c r="C1524" s="2906"/>
      <c r="D1524" s="990">
        <v>4</v>
      </c>
      <c r="E1524" s="1430" t="str">
        <f t="shared" si="2256"/>
        <v/>
      </c>
      <c r="F1524" s="1448" t="str">
        <f t="shared" si="2269"/>
        <v>t CO2e</v>
      </c>
      <c r="G1524" s="1470" t="str">
        <f t="shared" ref="G1524:N1524" si="2273">IF(OR($E1524="",AB1524=0),"",SUM(G1490,G1508))</f>
        <v/>
      </c>
      <c r="H1524" s="1469" t="str">
        <f t="shared" si="2273"/>
        <v/>
      </c>
      <c r="I1524" s="1470" t="str">
        <f t="shared" si="2273"/>
        <v/>
      </c>
      <c r="J1524" s="1469" t="str">
        <f t="shared" si="2273"/>
        <v/>
      </c>
      <c r="K1524" s="1127" t="str">
        <f t="shared" si="2273"/>
        <v/>
      </c>
      <c r="L1524" s="1127" t="str">
        <f t="shared" si="2273"/>
        <v/>
      </c>
      <c r="M1524" s="1127" t="str">
        <f t="shared" si="2273"/>
        <v/>
      </c>
      <c r="N1524" s="1127" t="str">
        <f t="shared" si="2273"/>
        <v/>
      </c>
      <c r="O1524" s="302"/>
      <c r="P1524" s="158"/>
      <c r="Q1524" s="694"/>
      <c r="R1524" s="694"/>
      <c r="S1524" s="1449" t="str">
        <f>IF($M1418&lt;&gt;EUconst_Relevant,"",
IF($V1418&gt;($J$1840-3),
              IF(INDEX(H1471:N1471,MATCH($V1418,$T1520:$Z1520,0))=0,0,INDEX(H1524:N1524,MATCH($V1418,$T1520:$Z1520,0))/INDEX(H1471:N1471,MATCH($V1418,$T1520:$Z1520,0))),
                             IF(ISNUMBER(G1471),
                                            IF(OR(G1471=0,$S1455=FALSE),0,G1524/G1471),"")))</f>
        <v/>
      </c>
      <c r="T1524" s="1450" t="str">
        <f t="shared" ref="T1524" si="2274">IF($E1524="","",IF(IFERROR(SUM($S1524)=0,SUM(H1524)),SUM(H1524),SUM(H1471)*SUM($S1524))*IF(SUM(H1524)=0,1,SUM(H1490)/SUM(H1524)))</f>
        <v/>
      </c>
      <c r="U1524" s="1450" t="str">
        <f t="shared" si="2267"/>
        <v/>
      </c>
      <c r="V1524" s="1450" t="str">
        <f t="shared" si="2259"/>
        <v/>
      </c>
      <c r="W1524" s="1450" t="str">
        <f t="shared" si="2260"/>
        <v/>
      </c>
      <c r="X1524" s="1450" t="str">
        <f t="shared" si="2261"/>
        <v/>
      </c>
      <c r="Y1524" s="1450" t="str">
        <f t="shared" si="2262"/>
        <v/>
      </c>
      <c r="Z1524" s="1451" t="str">
        <f t="shared" si="2263"/>
        <v/>
      </c>
      <c r="AA1524" s="694"/>
      <c r="AB1524" s="1431">
        <f t="shared" ref="AB1524:AI1524" si="2275">AB1508</f>
        <v>2</v>
      </c>
      <c r="AC1524" s="1432">
        <f t="shared" si="2275"/>
        <v>2</v>
      </c>
      <c r="AD1524" s="1432">
        <f t="shared" si="2275"/>
        <v>2</v>
      </c>
      <c r="AE1524" s="1432">
        <f t="shared" si="2275"/>
        <v>2</v>
      </c>
      <c r="AF1524" s="1432">
        <f t="shared" si="2275"/>
        <v>2</v>
      </c>
      <c r="AG1524" s="1432">
        <f t="shared" si="2275"/>
        <v>2</v>
      </c>
      <c r="AH1524" s="1432">
        <f t="shared" si="2275"/>
        <v>2</v>
      </c>
      <c r="AI1524" s="1452">
        <f t="shared" si="2275"/>
        <v>2</v>
      </c>
      <c r="AJ1524" s="343"/>
      <c r="AK1524" s="1174" t="s">
        <v>2039</v>
      </c>
      <c r="AL1524" s="1176" t="str">
        <f>IF(AND(CNTR_ExistSubInstEntries,COUNTIFS(AB1524:AI1524,2,G1524:N1524,"")&gt;0),EUconst_Error&amp;"FB"&amp;Q1450,"")</f>
        <v/>
      </c>
      <c r="AM1524" s="343"/>
    </row>
    <row r="1525" spans="1:39" ht="12.75" customHeight="1" x14ac:dyDescent="0.25">
      <c r="A1525" s="729"/>
      <c r="B1525" s="698"/>
      <c r="C1525" s="2906"/>
      <c r="D1525" s="990">
        <v>5</v>
      </c>
      <c r="E1525" s="1430" t="str">
        <f t="shared" si="2256"/>
        <v/>
      </c>
      <c r="F1525" s="1448" t="str">
        <f t="shared" si="2269"/>
        <v>t CO2e</v>
      </c>
      <c r="G1525" s="1470" t="str">
        <f t="shared" ref="G1525:N1525" si="2276">IF(OR($E1525="",AB1525=0),"",SUM(G1491,G1509))</f>
        <v/>
      </c>
      <c r="H1525" s="1469" t="str">
        <f t="shared" si="2276"/>
        <v/>
      </c>
      <c r="I1525" s="1470" t="str">
        <f t="shared" si="2276"/>
        <v/>
      </c>
      <c r="J1525" s="1469" t="str">
        <f t="shared" si="2276"/>
        <v/>
      </c>
      <c r="K1525" s="1127" t="str">
        <f t="shared" si="2276"/>
        <v/>
      </c>
      <c r="L1525" s="1127" t="str">
        <f t="shared" si="2276"/>
        <v/>
      </c>
      <c r="M1525" s="1127" t="str">
        <f t="shared" si="2276"/>
        <v/>
      </c>
      <c r="N1525" s="1127" t="str">
        <f t="shared" si="2276"/>
        <v/>
      </c>
      <c r="O1525" s="302"/>
      <c r="P1525" s="158"/>
      <c r="Q1525" s="694"/>
      <c r="R1525" s="694"/>
      <c r="S1525" s="1449" t="str">
        <f>IF($M1418&lt;&gt;EUconst_Relevant,"",
IF($V1418&gt;($J$1840-3),
              IF(INDEX(H1472:N1472,MATCH($V1418,$T1520:$Z1520,0))=0,0,INDEX(H1525:N1525,MATCH($V1418,$T1520:$Z1520,0))/INDEX(H1472:N1472,MATCH($V1418,$T1520:$Z1520,0))),
                             IF(ISNUMBER(G1472),
                                            IF(OR(G1472=0,$S1456=FALSE),0,G1525/G1472),"")))</f>
        <v/>
      </c>
      <c r="T1525" s="1450" t="str">
        <f t="shared" ref="T1525" si="2277">IF($E1525="","",IF(IFERROR(SUM($S1525)=0,SUM(H1525)),SUM(H1525),SUM(H1472)*SUM($S1525))*IF(SUM(H1525)=0,1,SUM(H1491)/SUM(H1525)))</f>
        <v/>
      </c>
      <c r="U1525" s="1450" t="str">
        <f t="shared" si="2267"/>
        <v/>
      </c>
      <c r="V1525" s="1450" t="str">
        <f t="shared" si="2259"/>
        <v/>
      </c>
      <c r="W1525" s="1450" t="str">
        <f t="shared" si="2260"/>
        <v/>
      </c>
      <c r="X1525" s="1450" t="str">
        <f t="shared" si="2261"/>
        <v/>
      </c>
      <c r="Y1525" s="1450" t="str">
        <f t="shared" si="2262"/>
        <v/>
      </c>
      <c r="Z1525" s="1451" t="str">
        <f t="shared" si="2263"/>
        <v/>
      </c>
      <c r="AA1525" s="694"/>
      <c r="AB1525" s="1431">
        <f t="shared" ref="AB1525:AI1525" si="2278">AB1509</f>
        <v>2</v>
      </c>
      <c r="AC1525" s="1432">
        <f t="shared" si="2278"/>
        <v>2</v>
      </c>
      <c r="AD1525" s="1432">
        <f t="shared" si="2278"/>
        <v>2</v>
      </c>
      <c r="AE1525" s="1432">
        <f t="shared" si="2278"/>
        <v>2</v>
      </c>
      <c r="AF1525" s="1432">
        <f t="shared" si="2278"/>
        <v>2</v>
      </c>
      <c r="AG1525" s="1432">
        <f t="shared" si="2278"/>
        <v>2</v>
      </c>
      <c r="AH1525" s="1432">
        <f t="shared" si="2278"/>
        <v>2</v>
      </c>
      <c r="AI1525" s="1452">
        <f t="shared" si="2278"/>
        <v>2</v>
      </c>
      <c r="AJ1525" s="343"/>
      <c r="AK1525" s="1174" t="s">
        <v>2039</v>
      </c>
      <c r="AL1525" s="1176" t="str">
        <f>IF(AND(CNTR_ExistSubInstEntries,COUNTIFS(AB1525:AI1525,2,G1525:N1525,"")&gt;0),EUconst_Error&amp;"FB"&amp;Q1450,"")</f>
        <v/>
      </c>
      <c r="AM1525" s="343"/>
    </row>
    <row r="1526" spans="1:39" ht="12.75" customHeight="1" x14ac:dyDescent="0.25">
      <c r="A1526" s="729"/>
      <c r="B1526" s="698"/>
      <c r="C1526" s="2906"/>
      <c r="D1526" s="990">
        <v>6</v>
      </c>
      <c r="E1526" s="1430" t="str">
        <f t="shared" si="2256"/>
        <v/>
      </c>
      <c r="F1526" s="1448" t="str">
        <f t="shared" si="2269"/>
        <v>t CO2e</v>
      </c>
      <c r="G1526" s="1470" t="str">
        <f t="shared" ref="G1526:N1526" si="2279">IF(OR($E1526="",AB1526=0),"",SUM(G1492,G1510))</f>
        <v/>
      </c>
      <c r="H1526" s="1469" t="str">
        <f t="shared" si="2279"/>
        <v/>
      </c>
      <c r="I1526" s="1470" t="str">
        <f t="shared" si="2279"/>
        <v/>
      </c>
      <c r="J1526" s="1469" t="str">
        <f t="shared" si="2279"/>
        <v/>
      </c>
      <c r="K1526" s="1127" t="str">
        <f t="shared" si="2279"/>
        <v/>
      </c>
      <c r="L1526" s="1127" t="str">
        <f t="shared" si="2279"/>
        <v/>
      </c>
      <c r="M1526" s="1127" t="str">
        <f t="shared" si="2279"/>
        <v/>
      </c>
      <c r="N1526" s="1127" t="str">
        <f t="shared" si="2279"/>
        <v/>
      </c>
      <c r="O1526" s="302"/>
      <c r="P1526" s="158"/>
      <c r="Q1526" s="694"/>
      <c r="R1526" s="694"/>
      <c r="S1526" s="1449" t="str">
        <f>IF($M1418&lt;&gt;EUconst_Relevant,"",
IF($V1418&gt;($J$1840-3),
              IF(INDEX(H1473:N1473,MATCH($V1418,$T1520:$Z1520,0))=0,0,INDEX(H1526:N1526,MATCH($V1418,$T1520:$Z1520,0))/INDEX(H1473:N1473,MATCH($V1418,$T1520:$Z1520,0))),
                             IF(ISNUMBER(G1473),
                                            IF(OR(G1473=0,$S1457=FALSE),0,G1526/G1473),"")))</f>
        <v/>
      </c>
      <c r="T1526" s="1450" t="str">
        <f t="shared" ref="T1526" si="2280">IF($E1526="","",IF(IFERROR(SUM($S1526)=0,SUM(H1526)),SUM(H1526),SUM(H1473)*SUM($S1526))*IF(SUM(H1526)=0,1,SUM(H1492)/SUM(H1526)))</f>
        <v/>
      </c>
      <c r="U1526" s="1450" t="str">
        <f t="shared" si="2267"/>
        <v/>
      </c>
      <c r="V1526" s="1450" t="str">
        <f t="shared" si="2259"/>
        <v/>
      </c>
      <c r="W1526" s="1450" t="str">
        <f t="shared" si="2260"/>
        <v/>
      </c>
      <c r="X1526" s="1450" t="str">
        <f t="shared" si="2261"/>
        <v/>
      </c>
      <c r="Y1526" s="1450" t="str">
        <f t="shared" si="2262"/>
        <v/>
      </c>
      <c r="Z1526" s="1451" t="str">
        <f t="shared" si="2263"/>
        <v/>
      </c>
      <c r="AA1526" s="694"/>
      <c r="AB1526" s="1431">
        <f t="shared" ref="AB1526:AI1526" si="2281">AB1510</f>
        <v>2</v>
      </c>
      <c r="AC1526" s="1432">
        <f t="shared" si="2281"/>
        <v>2</v>
      </c>
      <c r="AD1526" s="1432">
        <f t="shared" si="2281"/>
        <v>2</v>
      </c>
      <c r="AE1526" s="1432">
        <f t="shared" si="2281"/>
        <v>2</v>
      </c>
      <c r="AF1526" s="1432">
        <f t="shared" si="2281"/>
        <v>2</v>
      </c>
      <c r="AG1526" s="1432">
        <f t="shared" si="2281"/>
        <v>2</v>
      </c>
      <c r="AH1526" s="1432">
        <f t="shared" si="2281"/>
        <v>2</v>
      </c>
      <c r="AI1526" s="1452">
        <f t="shared" si="2281"/>
        <v>2</v>
      </c>
      <c r="AJ1526" s="343"/>
      <c r="AK1526" s="1174" t="s">
        <v>2039</v>
      </c>
      <c r="AL1526" s="1176" t="str">
        <f>IF(AND(CNTR_ExistSubInstEntries,COUNTIFS(AB1526:AI1526,2,G1526:N1526,"")&gt;0),EUconst_Error&amp;"FB"&amp;Q1450,"")</f>
        <v/>
      </c>
      <c r="AM1526" s="343"/>
    </row>
    <row r="1527" spans="1:39" ht="12.75" customHeight="1" x14ac:dyDescent="0.25">
      <c r="A1527" s="729"/>
      <c r="B1527" s="698"/>
      <c r="C1527" s="2906"/>
      <c r="D1527" s="990">
        <v>7</v>
      </c>
      <c r="E1527" s="1430" t="str">
        <f t="shared" si="2256"/>
        <v/>
      </c>
      <c r="F1527" s="1448" t="str">
        <f t="shared" si="2269"/>
        <v>t CO2e</v>
      </c>
      <c r="G1527" s="1470" t="str">
        <f t="shared" ref="G1527:N1527" si="2282">IF(OR($E1527="",AB1527=0),"",SUM(G1493,G1511))</f>
        <v/>
      </c>
      <c r="H1527" s="1469" t="str">
        <f t="shared" si="2282"/>
        <v/>
      </c>
      <c r="I1527" s="1470" t="str">
        <f t="shared" si="2282"/>
        <v/>
      </c>
      <c r="J1527" s="1469" t="str">
        <f t="shared" si="2282"/>
        <v/>
      </c>
      <c r="K1527" s="1127" t="str">
        <f t="shared" si="2282"/>
        <v/>
      </c>
      <c r="L1527" s="1127" t="str">
        <f t="shared" si="2282"/>
        <v/>
      </c>
      <c r="M1527" s="1127" t="str">
        <f t="shared" si="2282"/>
        <v/>
      </c>
      <c r="N1527" s="1127" t="str">
        <f t="shared" si="2282"/>
        <v/>
      </c>
      <c r="O1527" s="302"/>
      <c r="P1527" s="158"/>
      <c r="Q1527" s="694"/>
      <c r="R1527" s="694"/>
      <c r="S1527" s="1449" t="str">
        <f>IF($M1418&lt;&gt;EUconst_Relevant,"",
IF($V1418&gt;($J$1840-3),
              IF(INDEX(H1474:N1474,MATCH($V1418,$T1520:$Z1520,0))=0,0,INDEX(H1527:N1527,MATCH($V1418,$T1520:$Z1520,0))/INDEX(H1474:N1474,MATCH($V1418,$T1520:$Z1520,0))),
                             IF(ISNUMBER(G1474),
                                            IF(OR(G1474=0,$S1458=FALSE),0,G1527/G1474),"")))</f>
        <v/>
      </c>
      <c r="T1527" s="1450" t="str">
        <f t="shared" ref="T1527" si="2283">IF($E1527="","",IF(IFERROR(SUM($S1527)=0,SUM(H1527)),SUM(H1527),SUM(H1474)*SUM($S1527))*IF(SUM(H1527)=0,1,SUM(H1493)/SUM(H1527)))</f>
        <v/>
      </c>
      <c r="U1527" s="1450" t="str">
        <f t="shared" si="2267"/>
        <v/>
      </c>
      <c r="V1527" s="1450" t="str">
        <f t="shared" si="2259"/>
        <v/>
      </c>
      <c r="W1527" s="1450" t="str">
        <f t="shared" si="2260"/>
        <v/>
      </c>
      <c r="X1527" s="1450" t="str">
        <f t="shared" si="2261"/>
        <v/>
      </c>
      <c r="Y1527" s="1450" t="str">
        <f t="shared" si="2262"/>
        <v/>
      </c>
      <c r="Z1527" s="1451" t="str">
        <f t="shared" si="2263"/>
        <v/>
      </c>
      <c r="AA1527" s="694"/>
      <c r="AB1527" s="1431">
        <f t="shared" ref="AB1527:AI1527" si="2284">AB1511</f>
        <v>2</v>
      </c>
      <c r="AC1527" s="1432">
        <f t="shared" si="2284"/>
        <v>2</v>
      </c>
      <c r="AD1527" s="1432">
        <f t="shared" si="2284"/>
        <v>2</v>
      </c>
      <c r="AE1527" s="1432">
        <f t="shared" si="2284"/>
        <v>2</v>
      </c>
      <c r="AF1527" s="1432">
        <f t="shared" si="2284"/>
        <v>2</v>
      </c>
      <c r="AG1527" s="1432">
        <f t="shared" si="2284"/>
        <v>2</v>
      </c>
      <c r="AH1527" s="1432">
        <f t="shared" si="2284"/>
        <v>2</v>
      </c>
      <c r="AI1527" s="1452">
        <f t="shared" si="2284"/>
        <v>2</v>
      </c>
      <c r="AJ1527" s="343"/>
      <c r="AK1527" s="1174" t="s">
        <v>2039</v>
      </c>
      <c r="AL1527" s="1176" t="str">
        <f>IF(AND(CNTR_ExistSubInstEntries,COUNTIFS(AB1527:AI1527,2,G1527:N1527,"")&gt;0),EUconst_Error&amp;"FB"&amp;Q1450,"")</f>
        <v/>
      </c>
      <c r="AM1527" s="343"/>
    </row>
    <row r="1528" spans="1:39" ht="12.75" customHeight="1" x14ac:dyDescent="0.25">
      <c r="A1528" s="729"/>
      <c r="B1528" s="698"/>
      <c r="C1528" s="2906"/>
      <c r="D1528" s="990">
        <v>8</v>
      </c>
      <c r="E1528" s="1430" t="str">
        <f t="shared" si="2256"/>
        <v/>
      </c>
      <c r="F1528" s="1448" t="str">
        <f t="shared" si="2269"/>
        <v>t CO2e</v>
      </c>
      <c r="G1528" s="1470" t="str">
        <f t="shared" ref="G1528:N1528" si="2285">IF(OR($E1528="",AB1528=0),"",SUM(G1494,G1512))</f>
        <v/>
      </c>
      <c r="H1528" s="1469" t="str">
        <f t="shared" si="2285"/>
        <v/>
      </c>
      <c r="I1528" s="1470" t="str">
        <f t="shared" si="2285"/>
        <v/>
      </c>
      <c r="J1528" s="1469" t="str">
        <f t="shared" si="2285"/>
        <v/>
      </c>
      <c r="K1528" s="1127" t="str">
        <f t="shared" si="2285"/>
        <v/>
      </c>
      <c r="L1528" s="1127" t="str">
        <f t="shared" si="2285"/>
        <v/>
      </c>
      <c r="M1528" s="1127" t="str">
        <f t="shared" si="2285"/>
        <v/>
      </c>
      <c r="N1528" s="1127" t="str">
        <f t="shared" si="2285"/>
        <v/>
      </c>
      <c r="O1528" s="302"/>
      <c r="P1528" s="158"/>
      <c r="Q1528" s="694"/>
      <c r="R1528" s="694"/>
      <c r="S1528" s="1449" t="str">
        <f>IF($M1418&lt;&gt;EUconst_Relevant,"",
IF($V1418&gt;($J$1840-3),
              IF(INDEX(H1475:N1475,MATCH($V1418,$T1520:$Z1520,0))=0,0,INDEX(H1528:N1528,MATCH($V1418,$T1520:$Z1520,0))/INDEX(H1475:N1475,MATCH($V1418,$T1520:$Z1520,0))),
                             IF(ISNUMBER(G1475),
                                            IF(OR(G1475=0,$S1459=FALSE),0,G1528/G1475),"")))</f>
        <v/>
      </c>
      <c r="T1528" s="1450" t="str">
        <f t="shared" ref="T1528" si="2286">IF($E1528="","",IF(IFERROR(SUM($S1528)=0,SUM(H1528)),SUM(H1528),SUM(H1475)*SUM($S1528))*IF(SUM(H1528)=0,1,SUM(H1494)/SUM(H1528)))</f>
        <v/>
      </c>
      <c r="U1528" s="1450" t="str">
        <f t="shared" si="2267"/>
        <v/>
      </c>
      <c r="V1528" s="1450" t="str">
        <f t="shared" si="2259"/>
        <v/>
      </c>
      <c r="W1528" s="1450" t="str">
        <f t="shared" si="2260"/>
        <v/>
      </c>
      <c r="X1528" s="1450" t="str">
        <f t="shared" si="2261"/>
        <v/>
      </c>
      <c r="Y1528" s="1450" t="str">
        <f t="shared" si="2262"/>
        <v/>
      </c>
      <c r="Z1528" s="1451" t="str">
        <f t="shared" si="2263"/>
        <v/>
      </c>
      <c r="AA1528" s="694"/>
      <c r="AB1528" s="1431">
        <f t="shared" ref="AB1528:AI1528" si="2287">AB1512</f>
        <v>2</v>
      </c>
      <c r="AC1528" s="1432">
        <f t="shared" si="2287"/>
        <v>2</v>
      </c>
      <c r="AD1528" s="1432">
        <f t="shared" si="2287"/>
        <v>2</v>
      </c>
      <c r="AE1528" s="1432">
        <f t="shared" si="2287"/>
        <v>2</v>
      </c>
      <c r="AF1528" s="1432">
        <f t="shared" si="2287"/>
        <v>2</v>
      </c>
      <c r="AG1528" s="1432">
        <f t="shared" si="2287"/>
        <v>2</v>
      </c>
      <c r="AH1528" s="1432">
        <f t="shared" si="2287"/>
        <v>2</v>
      </c>
      <c r="AI1528" s="1452">
        <f t="shared" si="2287"/>
        <v>2</v>
      </c>
      <c r="AJ1528" s="343"/>
      <c r="AK1528" s="1174" t="s">
        <v>2039</v>
      </c>
      <c r="AL1528" s="1176" t="str">
        <f>IF(AND(CNTR_ExistSubInstEntries,COUNTIFS(AB1528:AI1528,2,G1528:N1528,"")&gt;0),EUconst_Error&amp;"FB"&amp;Q1450,"")</f>
        <v/>
      </c>
      <c r="AM1528" s="343"/>
    </row>
    <row r="1529" spans="1:39" ht="12.75" customHeight="1" x14ac:dyDescent="0.25">
      <c r="A1529" s="729"/>
      <c r="B1529" s="698"/>
      <c r="C1529" s="2906"/>
      <c r="D1529" s="990">
        <v>9</v>
      </c>
      <c r="E1529" s="1430" t="str">
        <f t="shared" si="2256"/>
        <v/>
      </c>
      <c r="F1529" s="1448" t="str">
        <f t="shared" si="2269"/>
        <v>t CO2e</v>
      </c>
      <c r="G1529" s="1470" t="str">
        <f t="shared" ref="G1529:N1529" si="2288">IF(OR($E1529="",AB1529=0),"",SUM(G1495,G1513))</f>
        <v/>
      </c>
      <c r="H1529" s="1469" t="str">
        <f t="shared" si="2288"/>
        <v/>
      </c>
      <c r="I1529" s="1470" t="str">
        <f t="shared" si="2288"/>
        <v/>
      </c>
      <c r="J1529" s="1469" t="str">
        <f t="shared" si="2288"/>
        <v/>
      </c>
      <c r="K1529" s="1127" t="str">
        <f t="shared" si="2288"/>
        <v/>
      </c>
      <c r="L1529" s="1127" t="str">
        <f t="shared" si="2288"/>
        <v/>
      </c>
      <c r="M1529" s="1127" t="str">
        <f t="shared" si="2288"/>
        <v/>
      </c>
      <c r="N1529" s="1127" t="str">
        <f t="shared" si="2288"/>
        <v/>
      </c>
      <c r="O1529" s="302"/>
      <c r="P1529" s="158"/>
      <c r="Q1529" s="694"/>
      <c r="R1529" s="694"/>
      <c r="S1529" s="1449" t="str">
        <f>IF($M1418&lt;&gt;EUconst_Relevant,"",
IF($V1418&gt;($J$1840-3),
              IF(INDEX(H1476:N1476,MATCH($V1418,$T1520:$Z1520,0))=0,0,INDEX(H1529:N1529,MATCH($V1418,$T1520:$Z1520,0))/INDEX(H1476:N1476,MATCH($V1418,$T1520:$Z1520,0))),
                             IF(ISNUMBER(G1476),
                                            IF(OR(G1476=0,$S1460=FALSE),0,G1529/G1476),"")))</f>
        <v/>
      </c>
      <c r="T1529" s="1450" t="str">
        <f t="shared" ref="T1529" si="2289">IF($E1529="","",IF(IFERROR(SUM($S1529)=0,SUM(H1529)),SUM(H1529),SUM(H1476)*SUM($S1529))*IF(SUM(H1529)=0,1,SUM(H1495)/SUM(H1529)))</f>
        <v/>
      </c>
      <c r="U1529" s="1450" t="str">
        <f t="shared" si="2267"/>
        <v/>
      </c>
      <c r="V1529" s="1450" t="str">
        <f t="shared" si="2259"/>
        <v/>
      </c>
      <c r="W1529" s="1450" t="str">
        <f t="shared" si="2260"/>
        <v/>
      </c>
      <c r="X1529" s="1450" t="str">
        <f t="shared" si="2261"/>
        <v/>
      </c>
      <c r="Y1529" s="1450" t="str">
        <f t="shared" si="2262"/>
        <v/>
      </c>
      <c r="Z1529" s="1451" t="str">
        <f t="shared" si="2263"/>
        <v/>
      </c>
      <c r="AA1529" s="694"/>
      <c r="AB1529" s="1431">
        <f t="shared" ref="AB1529:AI1529" si="2290">AB1513</f>
        <v>2</v>
      </c>
      <c r="AC1529" s="1432">
        <f t="shared" si="2290"/>
        <v>2</v>
      </c>
      <c r="AD1529" s="1432">
        <f t="shared" si="2290"/>
        <v>2</v>
      </c>
      <c r="AE1529" s="1432">
        <f t="shared" si="2290"/>
        <v>2</v>
      </c>
      <c r="AF1529" s="1432">
        <f t="shared" si="2290"/>
        <v>2</v>
      </c>
      <c r="AG1529" s="1432">
        <f t="shared" si="2290"/>
        <v>2</v>
      </c>
      <c r="AH1529" s="1432">
        <f t="shared" si="2290"/>
        <v>2</v>
      </c>
      <c r="AI1529" s="1452">
        <f t="shared" si="2290"/>
        <v>2</v>
      </c>
      <c r="AJ1529" s="343"/>
      <c r="AK1529" s="1174" t="s">
        <v>2039</v>
      </c>
      <c r="AL1529" s="1176" t="str">
        <f>IF(AND(CNTR_ExistSubInstEntries,COUNTIFS(AB1529:AI1529,2,G1529:N1529,"")&gt;0),EUconst_Error&amp;"FB"&amp;Q1450,"")</f>
        <v/>
      </c>
      <c r="AM1529" s="343"/>
    </row>
    <row r="1530" spans="1:39" ht="12.75" customHeight="1" thickBot="1" x14ac:dyDescent="0.3">
      <c r="A1530" s="729"/>
      <c r="B1530" s="698"/>
      <c r="C1530" s="2906"/>
      <c r="D1530" s="994">
        <v>10</v>
      </c>
      <c r="E1530" s="1435" t="str">
        <f t="shared" si="2256"/>
        <v/>
      </c>
      <c r="F1530" s="1453" t="str">
        <f t="shared" si="2269"/>
        <v>t CO2e</v>
      </c>
      <c r="G1530" s="1471" t="str">
        <f t="shared" ref="G1530:N1530" si="2291">IF(OR($E1530="",AB1530=0),"",SUM(G1496,G1514))</f>
        <v/>
      </c>
      <c r="H1530" s="1472" t="str">
        <f t="shared" si="2291"/>
        <v/>
      </c>
      <c r="I1530" s="1471" t="str">
        <f t="shared" si="2291"/>
        <v/>
      </c>
      <c r="J1530" s="1472" t="str">
        <f t="shared" si="2291"/>
        <v/>
      </c>
      <c r="K1530" s="1128" t="str">
        <f t="shared" si="2291"/>
        <v/>
      </c>
      <c r="L1530" s="1128" t="str">
        <f t="shared" si="2291"/>
        <v/>
      </c>
      <c r="M1530" s="1128" t="str">
        <f t="shared" si="2291"/>
        <v/>
      </c>
      <c r="N1530" s="1128" t="str">
        <f t="shared" si="2291"/>
        <v/>
      </c>
      <c r="O1530" s="302"/>
      <c r="P1530" s="158"/>
      <c r="Q1530" s="694"/>
      <c r="R1530" s="694"/>
      <c r="S1530" s="1454" t="str">
        <f>IF($M1418&lt;&gt;EUconst_Relevant,"",
IF($V1418&gt;($J$1840-3),
              IF(INDEX(H1477:N1477,MATCH($V1418,$T1520:$Z1520,0))=0,0,INDEX(H1530:N1530,MATCH($V1418,$T1520:$Z1520,0))/INDEX(H1477:N1477,MATCH($V1418,$T1520:$Z1520,0))),
                             IF(ISNUMBER(G1477),
                                            IF(OR(G1477=0,$S1461=FALSE),0,G1530/G1477),"")))</f>
        <v/>
      </c>
      <c r="T1530" s="1473" t="str">
        <f t="shared" ref="T1530" si="2292">IF($E1530="","",IF(IFERROR(SUM($S1530)=0,SUM(H1530)),SUM(H1530),SUM(H1477)*SUM($S1530))*IF(SUM(H1530)=0,1,SUM(H1496)/SUM(H1530)))</f>
        <v/>
      </c>
      <c r="U1530" s="1473" t="str">
        <f t="shared" si="2267"/>
        <v/>
      </c>
      <c r="V1530" s="1473" t="str">
        <f t="shared" si="2259"/>
        <v/>
      </c>
      <c r="W1530" s="1473" t="str">
        <f t="shared" si="2260"/>
        <v/>
      </c>
      <c r="X1530" s="1473" t="str">
        <f t="shared" si="2261"/>
        <v/>
      </c>
      <c r="Y1530" s="1473" t="str">
        <f t="shared" si="2262"/>
        <v/>
      </c>
      <c r="Z1530" s="1474" t="str">
        <f t="shared" si="2263"/>
        <v/>
      </c>
      <c r="AA1530" s="694"/>
      <c r="AB1530" s="1436">
        <f t="shared" ref="AB1530:AI1530" si="2293">AB1514</f>
        <v>2</v>
      </c>
      <c r="AC1530" s="1437">
        <f t="shared" si="2293"/>
        <v>2</v>
      </c>
      <c r="AD1530" s="1437">
        <f t="shared" si="2293"/>
        <v>2</v>
      </c>
      <c r="AE1530" s="1437">
        <f t="shared" si="2293"/>
        <v>2</v>
      </c>
      <c r="AF1530" s="1437">
        <f t="shared" si="2293"/>
        <v>2</v>
      </c>
      <c r="AG1530" s="1437">
        <f t="shared" si="2293"/>
        <v>2</v>
      </c>
      <c r="AH1530" s="1437">
        <f t="shared" si="2293"/>
        <v>2</v>
      </c>
      <c r="AI1530" s="1457">
        <f t="shared" si="2293"/>
        <v>2</v>
      </c>
      <c r="AJ1530" s="343"/>
      <c r="AK1530" s="1174" t="s">
        <v>2039</v>
      </c>
      <c r="AL1530" s="1176" t="str">
        <f>IF(AND(CNTR_ExistSubInstEntries,COUNTIFS(AB1530:AI1530,2,G1530:N1530,"")&gt;0),EUconst_Error&amp;"FB"&amp;Q1450,"")</f>
        <v/>
      </c>
      <c r="AM1530" s="343"/>
    </row>
    <row r="1531" spans="1:39" ht="12.75" customHeight="1" thickBot="1" x14ac:dyDescent="0.3">
      <c r="A1531" s="729"/>
      <c r="B1531" s="698"/>
      <c r="C1531" s="2906"/>
      <c r="D1531" s="1293"/>
      <c r="E1531" s="1458" t="str">
        <f>Translations!$B$1338</f>
        <v>Общо потребление</v>
      </c>
      <c r="F1531" s="1453" t="str">
        <f t="shared" si="2269"/>
        <v>t CO2e</v>
      </c>
      <c r="G1531" s="1296" t="str">
        <f t="shared" ref="G1531:N1531" si="2294">IF(COUNT(G1521:G1530)&gt;0,SUMIF($S1452:$S1461,TRUE,G1521:G1530),"")</f>
        <v/>
      </c>
      <c r="H1531" s="1297" t="str">
        <f t="shared" si="2294"/>
        <v/>
      </c>
      <c r="I1531" s="1296" t="str">
        <f t="shared" si="2294"/>
        <v/>
      </c>
      <c r="J1531" s="1297" t="str">
        <f t="shared" si="2294"/>
        <v/>
      </c>
      <c r="K1531" s="1104" t="str">
        <f t="shared" si="2294"/>
        <v/>
      </c>
      <c r="L1531" s="1104" t="str">
        <f t="shared" si="2294"/>
        <v/>
      </c>
      <c r="M1531" s="1104" t="str">
        <f t="shared" si="2294"/>
        <v/>
      </c>
      <c r="N1531" s="1104" t="str">
        <f t="shared" si="2294"/>
        <v/>
      </c>
      <c r="O1531" s="302"/>
      <c r="P1531" s="336"/>
      <c r="Q1531" s="694"/>
      <c r="R1531" s="694"/>
      <c r="S1531" s="1174" t="s">
        <v>2147</v>
      </c>
      <c r="T1531" s="1459">
        <f>IFERROR(SUM(T1521:T1530),"")</f>
        <v>0</v>
      </c>
      <c r="U1531" s="1460">
        <f t="shared" ref="U1531:Z1531" si="2295">IFERROR(SUM(U1521:U1530),"")</f>
        <v>0</v>
      </c>
      <c r="V1531" s="1460">
        <f t="shared" si="2295"/>
        <v>0</v>
      </c>
      <c r="W1531" s="1460">
        <f t="shared" si="2295"/>
        <v>0</v>
      </c>
      <c r="X1531" s="1460">
        <f t="shared" si="2295"/>
        <v>0</v>
      </c>
      <c r="Y1531" s="1460">
        <f t="shared" si="2295"/>
        <v>0</v>
      </c>
      <c r="Z1531" s="1461">
        <f t="shared" si="2295"/>
        <v>0</v>
      </c>
      <c r="AA1531" s="694"/>
      <c r="AB1531" s="729"/>
      <c r="AC1531" s="694"/>
      <c r="AD1531" s="694"/>
      <c r="AE1531" s="343"/>
      <c r="AF1531" s="343"/>
      <c r="AG1531" s="343"/>
      <c r="AH1531" s="343"/>
      <c r="AI1531" s="343"/>
      <c r="AJ1531" s="343"/>
      <c r="AK1531" s="343"/>
      <c r="AL1531" s="343"/>
      <c r="AM1531" s="343"/>
    </row>
    <row r="1532" spans="1:39" ht="12.75" customHeight="1" x14ac:dyDescent="0.25">
      <c r="A1532" s="729"/>
      <c r="B1532" s="698"/>
      <c r="C1532" s="2906"/>
      <c r="D1532" s="1462"/>
      <c r="E1532" s="1463" t="str">
        <f>Translations!$B$1339</f>
        <v>Дял от a)</v>
      </c>
      <c r="F1532" s="1464" t="str">
        <f t="shared" si="2269"/>
        <v>t CO2e</v>
      </c>
      <c r="G1532" s="184" t="str">
        <f>IF(COUNT(I1434,G1531)=2,IF(I1434=0,1,G1531/I1434),"")</f>
        <v/>
      </c>
      <c r="H1532" s="185" t="str">
        <f t="shared" ref="H1532:N1532" si="2296">IF(COUNT(H1426,H1531)=2,IF(H1426=0,1,H1531/H1426),"")</f>
        <v/>
      </c>
      <c r="I1532" s="186" t="str">
        <f t="shared" si="2296"/>
        <v/>
      </c>
      <c r="J1532" s="185" t="str">
        <f t="shared" si="2296"/>
        <v/>
      </c>
      <c r="K1532" s="187" t="str">
        <f t="shared" si="2296"/>
        <v/>
      </c>
      <c r="L1532" s="187" t="str">
        <f t="shared" si="2296"/>
        <v/>
      </c>
      <c r="M1532" s="187" t="str">
        <f t="shared" si="2296"/>
        <v/>
      </c>
      <c r="N1532" s="187" t="str">
        <f t="shared" si="2296"/>
        <v/>
      </c>
      <c r="O1532" s="302"/>
      <c r="P1532" s="336"/>
      <c r="Q1532" s="694"/>
      <c r="R1532" s="694"/>
      <c r="S1532" s="729"/>
      <c r="T1532" s="694"/>
      <c r="U1532" s="694"/>
      <c r="V1532" s="694"/>
      <c r="W1532" s="694"/>
      <c r="X1532" s="694"/>
      <c r="Y1532" s="694"/>
      <c r="Z1532" s="694"/>
      <c r="AA1532" s="694"/>
      <c r="AB1532" s="729"/>
      <c r="AC1532" s="694"/>
      <c r="AD1532" s="694"/>
      <c r="AE1532" s="343"/>
      <c r="AF1532" s="343"/>
      <c r="AG1532" s="343"/>
      <c r="AH1532" s="343"/>
      <c r="AI1532" s="343"/>
      <c r="AJ1532" s="343"/>
      <c r="AK1532" s="343"/>
      <c r="AL1532" s="343"/>
      <c r="AM1532" s="343"/>
    </row>
    <row r="1533" spans="1:39" ht="5.15" customHeight="1" x14ac:dyDescent="0.25">
      <c r="A1533" s="729"/>
      <c r="B1533" s="698"/>
      <c r="C1533" s="284"/>
      <c r="D1533" s="284"/>
      <c r="E1533" s="284"/>
      <c r="F1533" s="284"/>
      <c r="G1533" s="284"/>
      <c r="H1533" s="284"/>
      <c r="I1533" s="284"/>
      <c r="J1533" s="284"/>
      <c r="K1533" s="284"/>
      <c r="L1533" s="284"/>
      <c r="M1533" s="284"/>
      <c r="N1533" s="284"/>
      <c r="O1533" s="302"/>
      <c r="P1533" s="336"/>
      <c r="Q1533" s="694"/>
      <c r="R1533" s="694"/>
      <c r="S1533" s="694"/>
      <c r="T1533" s="694"/>
      <c r="U1533" s="694"/>
      <c r="V1533" s="694"/>
      <c r="W1533" s="694"/>
      <c r="X1533" s="694"/>
      <c r="Y1533" s="694"/>
      <c r="Z1533" s="729"/>
      <c r="AA1533" s="729"/>
      <c r="AB1533" s="729"/>
      <c r="AC1533" s="694"/>
      <c r="AD1533" s="694"/>
      <c r="AE1533" s="343"/>
      <c r="AF1533" s="343"/>
      <c r="AG1533" s="343"/>
      <c r="AH1533" s="343"/>
      <c r="AI1533" s="343"/>
      <c r="AJ1533" s="343"/>
      <c r="AK1533" s="343"/>
      <c r="AL1533" s="343"/>
      <c r="AM1533" s="343"/>
    </row>
    <row r="1534" spans="1:39" ht="12.75" customHeight="1" x14ac:dyDescent="0.25">
      <c r="A1534" s="729"/>
      <c r="B1534" s="284"/>
      <c r="C1534" s="300"/>
      <c r="D1534" s="300" t="s">
        <v>1831</v>
      </c>
      <c r="E1534" s="2226" t="str">
        <f>Translations!$B$1545</f>
        <v>Очаквани равнища на дейност</v>
      </c>
      <c r="F1534" s="2249"/>
      <c r="G1534" s="2249"/>
      <c r="H1534" s="2249"/>
      <c r="I1534" s="2249"/>
      <c r="J1534" s="2249"/>
      <c r="K1534" s="2249"/>
      <c r="L1534" s="2249"/>
      <c r="M1534" s="2249"/>
      <c r="N1534" s="2249"/>
      <c r="O1534" s="302"/>
      <c r="P1534" s="336"/>
      <c r="Q1534" s="770"/>
      <c r="R1534" s="694"/>
      <c r="S1534" s="694"/>
      <c r="T1534" s="694"/>
      <c r="U1534" s="694"/>
      <c r="V1534" s="694"/>
      <c r="W1534" s="694"/>
      <c r="X1534" s="694"/>
      <c r="Y1534" s="694"/>
      <c r="Z1534" s="694"/>
      <c r="AA1534" s="694"/>
      <c r="AB1534" s="729"/>
      <c r="AC1534" s="694"/>
      <c r="AD1534" s="694"/>
      <c r="AE1534" s="343"/>
      <c r="AF1534" s="343"/>
      <c r="AG1534" s="343"/>
      <c r="AH1534" s="343"/>
      <c r="AI1534" s="343"/>
      <c r="AJ1534" s="343"/>
      <c r="AK1534" s="343"/>
      <c r="AL1534" s="343"/>
      <c r="AM1534" s="343"/>
    </row>
    <row r="1535" spans="1:39" ht="12.75" customHeight="1" x14ac:dyDescent="0.25">
      <c r="A1535" s="729"/>
      <c r="B1535" s="698"/>
      <c r="C1535" s="284"/>
      <c r="D1535" s="284"/>
      <c r="E1535" s="2358" t="str">
        <f>Translations!$B$1570</f>
        <v>Специфичните емисии се определят в съответствие с раздел 6.1 от Ръководен документ 7 за стойности, отговарящи на критериите по буква б.1) по-горе.</v>
      </c>
      <c r="F1535" s="2358"/>
      <c r="G1535" s="2358"/>
      <c r="H1535" s="2358"/>
      <c r="I1535" s="2358"/>
      <c r="J1535" s="2358"/>
      <c r="K1535" s="2358"/>
      <c r="L1535" s="2358"/>
      <c r="M1535" s="2358"/>
      <c r="N1535" s="2358"/>
      <c r="O1535" s="302"/>
      <c r="P1535" s="336"/>
      <c r="Q1535" s="694"/>
      <c r="R1535" s="694"/>
      <c r="S1535" s="694"/>
      <c r="T1535" s="694"/>
      <c r="U1535" s="694"/>
      <c r="V1535" s="694"/>
      <c r="W1535" s="694"/>
      <c r="X1535" s="694"/>
      <c r="Y1535" s="694"/>
      <c r="Z1535" s="729"/>
      <c r="AA1535" s="729"/>
      <c r="AB1535" s="729"/>
      <c r="AC1535" s="694"/>
      <c r="AD1535" s="694"/>
      <c r="AE1535" s="343"/>
      <c r="AF1535" s="343"/>
      <c r="AG1535" s="343"/>
      <c r="AH1535" s="343"/>
      <c r="AI1535" s="343"/>
      <c r="AJ1535" s="343"/>
      <c r="AK1535" s="343"/>
      <c r="AL1535" s="343"/>
      <c r="AM1535" s="343"/>
    </row>
    <row r="1536" spans="1:39" ht="5.15" customHeight="1" thickBot="1" x14ac:dyDescent="0.3">
      <c r="A1536" s="729"/>
      <c r="B1536" s="698"/>
      <c r="C1536" s="698"/>
      <c r="D1536" s="698"/>
      <c r="E1536" s="698"/>
      <c r="F1536" s="698"/>
      <c r="G1536" s="698"/>
      <c r="H1536" s="698"/>
      <c r="I1536" s="1025"/>
      <c r="J1536" s="698"/>
      <c r="K1536" s="698"/>
      <c r="L1536" s="698"/>
      <c r="M1536" s="698"/>
      <c r="N1536" s="698"/>
      <c r="O1536" s="302"/>
      <c r="P1536" s="336"/>
      <c r="Q1536" s="1263"/>
      <c r="R1536" s="694"/>
      <c r="S1536" s="729"/>
      <c r="T1536" s="729"/>
      <c r="U1536" s="694"/>
      <c r="V1536" s="694"/>
      <c r="W1536" s="694"/>
      <c r="X1536" s="694"/>
      <c r="Y1536" s="694"/>
      <c r="Z1536" s="694"/>
      <c r="AA1536" s="694"/>
      <c r="AB1536" s="729"/>
      <c r="AC1536" s="694"/>
      <c r="AD1536" s="694"/>
      <c r="AE1536" s="694"/>
      <c r="AF1536" s="694"/>
      <c r="AG1536" s="694"/>
      <c r="AH1536" s="694"/>
      <c r="AI1536" s="694"/>
      <c r="AJ1536" s="694"/>
      <c r="AK1536" s="694"/>
      <c r="AL1536" s="694"/>
      <c r="AM1536" s="343"/>
    </row>
    <row r="1537" spans="1:39" ht="5.15" customHeight="1" thickBot="1" x14ac:dyDescent="0.3">
      <c r="A1537" s="729"/>
      <c r="B1537" s="698"/>
      <c r="C1537" s="698"/>
      <c r="D1537" s="1475"/>
      <c r="E1537" s="1476"/>
      <c r="F1537" s="1476"/>
      <c r="G1537" s="1476"/>
      <c r="H1537" s="1476"/>
      <c r="I1537" s="1477"/>
      <c r="J1537" s="1476"/>
      <c r="K1537" s="1476"/>
      <c r="L1537" s="1476"/>
      <c r="M1537" s="1476"/>
      <c r="N1537" s="1478"/>
      <c r="O1537" s="302"/>
      <c r="P1537" s="336"/>
      <c r="Q1537" s="1263"/>
      <c r="R1537" s="694"/>
      <c r="S1537" s="729"/>
      <c r="T1537" s="729"/>
      <c r="U1537" s="694"/>
      <c r="V1537" s="694"/>
      <c r="W1537" s="694"/>
      <c r="X1537" s="694"/>
      <c r="Y1537" s="694"/>
      <c r="Z1537" s="694"/>
      <c r="AA1537" s="694"/>
      <c r="AB1537" s="729"/>
      <c r="AC1537" s="694"/>
      <c r="AD1537" s="694"/>
      <c r="AE1537" s="694"/>
      <c r="AF1537" s="694"/>
      <c r="AG1537" s="694"/>
      <c r="AH1537" s="694"/>
      <c r="AI1537" s="694"/>
      <c r="AJ1537" s="694"/>
      <c r="AK1537" s="694"/>
      <c r="AL1537" s="694"/>
      <c r="AM1537" s="343"/>
    </row>
    <row r="1538" spans="1:39" ht="12.75" customHeight="1" x14ac:dyDescent="0.25">
      <c r="A1538" s="729"/>
      <c r="B1538" s="298"/>
      <c r="C1538" s="698"/>
      <c r="D1538" s="1217"/>
      <c r="E1538" s="1198" t="str">
        <f>Translations!$B$1546</f>
        <v>Корекции: Промени в ефективността</v>
      </c>
      <c r="F1538" s="1199"/>
      <c r="G1538" s="1199"/>
      <c r="H1538" s="1200" t="str">
        <f>EUconst_Unit</f>
        <v>Единица мярка</v>
      </c>
      <c r="I1538" s="1201" t="str">
        <f>Translations!$B$1336</f>
        <v>Стойност в НМИ</v>
      </c>
      <c r="J1538" s="1202">
        <f>J$1840</f>
        <v>2026</v>
      </c>
      <c r="K1538" s="1203">
        <f>K$1840</f>
        <v>2027</v>
      </c>
      <c r="L1538" s="1203">
        <f>L$1840</f>
        <v>2028</v>
      </c>
      <c r="M1538" s="1203">
        <f>M$1840</f>
        <v>2029</v>
      </c>
      <c r="N1538" s="1479">
        <f>N$1840</f>
        <v>2030</v>
      </c>
      <c r="O1538" s="302"/>
      <c r="P1538" s="336"/>
      <c r="Q1538" s="729"/>
      <c r="R1538" s="694"/>
      <c r="S1538" s="694"/>
      <c r="T1538" s="694"/>
      <c r="U1538" s="1205"/>
      <c r="V1538" s="1206">
        <f>J1538</f>
        <v>2026</v>
      </c>
      <c r="W1538" s="1206">
        <f>K1538</f>
        <v>2027</v>
      </c>
      <c r="X1538" s="1206">
        <f>L1538</f>
        <v>2028</v>
      </c>
      <c r="Y1538" s="1206">
        <f>M1538</f>
        <v>2029</v>
      </c>
      <c r="Z1538" s="1207">
        <f>N1538</f>
        <v>2030</v>
      </c>
      <c r="AA1538" s="694"/>
      <c r="AB1538" s="729"/>
      <c r="AC1538" s="694"/>
      <c r="AD1538" s="694"/>
      <c r="AE1538" s="694"/>
      <c r="AF1538" s="694"/>
      <c r="AG1538" s="694"/>
      <c r="AH1538" s="694"/>
      <c r="AI1538" s="694"/>
      <c r="AJ1538" s="694"/>
      <c r="AK1538" s="694"/>
      <c r="AL1538" s="694"/>
      <c r="AM1538" s="343"/>
    </row>
    <row r="1539" spans="1:39" ht="12.75" customHeight="1" x14ac:dyDescent="0.25">
      <c r="A1539" s="729"/>
      <c r="B1539" s="298"/>
      <c r="C1539" s="698"/>
      <c r="D1539" s="1208" t="s">
        <v>6</v>
      </c>
      <c r="E1539" s="2889" t="str">
        <f>Translations!$B$1547</f>
        <v>Промяна в равнището на дейност &gt; 15 %?</v>
      </c>
      <c r="F1539" s="2889"/>
      <c r="G1539" s="2889"/>
      <c r="H1539" s="2889"/>
      <c r="I1539" s="2890"/>
      <c r="J1539" s="1480" t="str">
        <f>V1435</f>
        <v/>
      </c>
      <c r="K1539" s="1481" t="str">
        <f>W1435</f>
        <v/>
      </c>
      <c r="L1539" s="1481" t="str">
        <f>X1435</f>
        <v/>
      </c>
      <c r="M1539" s="1481" t="str">
        <f>Y1435</f>
        <v/>
      </c>
      <c r="N1539" s="1482" t="str">
        <f>Z1435</f>
        <v/>
      </c>
      <c r="O1539" s="302"/>
      <c r="P1539" s="336"/>
      <c r="Q1539" s="729"/>
      <c r="R1539" s="694"/>
      <c r="S1539" s="694"/>
      <c r="T1539" s="694"/>
      <c r="U1539" s="1231"/>
      <c r="V1539" s="1483"/>
      <c r="W1539" s="1483"/>
      <c r="X1539" s="1483"/>
      <c r="Y1539" s="1483"/>
      <c r="Z1539" s="1484"/>
      <c r="AA1539" s="694"/>
      <c r="AB1539" s="729"/>
      <c r="AC1539" s="694"/>
      <c r="AD1539" s="694"/>
      <c r="AE1539" s="694"/>
      <c r="AF1539" s="694"/>
      <c r="AG1539" s="694"/>
      <c r="AH1539" s="694"/>
      <c r="AI1539" s="694"/>
      <c r="AJ1539" s="694"/>
      <c r="AK1539" s="694"/>
      <c r="AL1539" s="694"/>
      <c r="AM1539" s="343"/>
    </row>
    <row r="1540" spans="1:39" ht="12.75" customHeight="1" x14ac:dyDescent="0.25">
      <c r="A1540" s="729"/>
      <c r="B1540" s="298"/>
      <c r="C1540" s="698"/>
      <c r="D1540" s="1208" t="s">
        <v>7</v>
      </c>
      <c r="E1540" s="2889" t="str">
        <f>Translations!$B$1548</f>
        <v>Средна стойност на очакваното равнище на дейност</v>
      </c>
      <c r="F1540" s="2889"/>
      <c r="G1540" s="2889"/>
      <c r="H1540" s="1485" t="str">
        <f>G1426</f>
        <v>t CO2e</v>
      </c>
      <c r="I1540" s="1486" t="str">
        <f>IF(M1418&lt;&gt;EUconst_Relevant,"",I1434)</f>
        <v/>
      </c>
      <c r="J1540" s="1480" t="str">
        <f>IF(AND(V1540&gt;=3,COUNT(T1531:U1531)=2),IF(CNTR_ReportingYear&gt;J1538-1,IF(J1539,IF(COUNTA(H1487:I1496)=0,J1437,AVERAGE(T1531:U1531)),$I1543),""),"")</f>
        <v/>
      </c>
      <c r="K1540" s="1481" t="str">
        <f>IF(AND(W1540&gt;=3,COUNT(U1531:V1531)=2),IF(CNTR_ReportingYear&gt;K1538-1,IF(K1539,IF(COUNTA(I1487:J1496)=0,K1437,AVERAGE(U1531:V1531)),$I1540),""),"")</f>
        <v/>
      </c>
      <c r="L1540" s="1481" t="str">
        <f>IF(AND(X1540&gt;=3,COUNT(V1531:W1531)=2),IF(CNTR_ReportingYear&gt;L1538-1,IF(L1539,IF(COUNTA(J1487:K1496)=0,L1437,AVERAGE(V1531:W1531)),$I1540),""),"")</f>
        <v/>
      </c>
      <c r="M1540" s="1481" t="str">
        <f>IF(AND(Y1540&gt;=3,COUNT(W1531:X1531)=2),IF(CNTR_ReportingYear&gt;M1538-1,IF(M1539,IF(COUNTA(K1487:L1496)=0,M1437,AVERAGE(W1531:X1531)),$I1540),""),"")</f>
        <v/>
      </c>
      <c r="N1540" s="1482" t="str">
        <f>IF(AND(Z1540&gt;=3,COUNT(X1531:Y1531)=2),IF(CNTR_ReportingYear&gt;N1538-1,IF(N1539,IF(COUNTA(L1487:M1496)=0,N1437,AVERAGE(X1531:Y1531)),$I1540),""),"")</f>
        <v/>
      </c>
      <c r="O1540" s="302"/>
      <c r="P1540" s="336"/>
      <c r="Q1540" s="1270"/>
      <c r="R1540" s="694"/>
      <c r="S1540" s="694"/>
      <c r="T1540" s="694"/>
      <c r="U1540" s="1365" t="s">
        <v>1710</v>
      </c>
      <c r="V1540" s="834">
        <f>V1434</f>
        <v>0</v>
      </c>
      <c r="W1540" s="834">
        <f>W1434</f>
        <v>0</v>
      </c>
      <c r="X1540" s="834">
        <f>X1434</f>
        <v>0</v>
      </c>
      <c r="Y1540" s="834">
        <f>Y1434</f>
        <v>0</v>
      </c>
      <c r="Z1540" s="1403">
        <f>Z1434</f>
        <v>0</v>
      </c>
      <c r="AA1540" s="694"/>
      <c r="AB1540" s="729"/>
      <c r="AC1540" s="694"/>
      <c r="AD1540" s="694"/>
      <c r="AE1540" s="694"/>
      <c r="AF1540" s="694"/>
      <c r="AG1540" s="694"/>
      <c r="AH1540" s="694"/>
      <c r="AI1540" s="694"/>
      <c r="AJ1540" s="694"/>
      <c r="AK1540" s="694"/>
      <c r="AL1540" s="694"/>
      <c r="AM1540" s="343"/>
    </row>
    <row r="1541" spans="1:39" ht="12.75" customHeight="1" x14ac:dyDescent="0.25">
      <c r="A1541" s="729"/>
      <c r="B1541" s="298"/>
      <c r="C1541" s="698"/>
      <c r="D1541" s="1208" t="s">
        <v>8</v>
      </c>
      <c r="E1541" s="2893" t="str">
        <f>Translations!$B$1376</f>
        <v>Промяна в сравнение с HAL</v>
      </c>
      <c r="F1541" s="2894"/>
      <c r="G1541" s="2894"/>
      <c r="H1541" s="2894"/>
      <c r="I1541" s="2895"/>
      <c r="J1541" s="232" t="str">
        <f>IF(J1540="","",IF(SUM($I1543)=0,IF(J1540=0,0%,100%),J1540/$I1543-1))</f>
        <v/>
      </c>
      <c r="K1541" s="233" t="str">
        <f>IF(K1540="","",IF(SUM($I1540)=0,IF(K1540=0,0%,100%),K1540/$I1540-1))</f>
        <v/>
      </c>
      <c r="L1541" s="233" t="str">
        <f>IF(L1540="","",IF(SUM($I1540)=0,IF(L1540=0,0%,100%),L1540/$I1540-1))</f>
        <v/>
      </c>
      <c r="M1541" s="233" t="str">
        <f>IF(M1540="","",IF(SUM($I1540)=0,IF(M1540=0,0%,100%),M1540/$I1540-1))</f>
        <v/>
      </c>
      <c r="N1541" s="234" t="str">
        <f>IF(N1540="","",IF(SUM($I1540)=0,IF(N1540=0,0%,100%),N1540/$I1540-1))</f>
        <v/>
      </c>
      <c r="O1541" s="302"/>
      <c r="P1541" s="209"/>
      <c r="Q1541" s="1190" t="str">
        <f>EUconst_CNTR_EnEffPct&amp;I1418</f>
        <v>EnEffPct_Подинсталация с емисии от процеси (с риск от ИВЕ | извън МКВЕГ)</v>
      </c>
      <c r="R1541" s="694"/>
      <c r="S1541" s="694"/>
      <c r="T1541" s="694"/>
      <c r="U1541" s="1365" t="s">
        <v>1715</v>
      </c>
      <c r="V1541" s="727" t="str">
        <f>IF(J1540="","",ABS(J1541)&gt;15%)</f>
        <v/>
      </c>
      <c r="W1541" s="727" t="str">
        <f>IF(K1540="","",ABS(K1541)&gt;15%)</f>
        <v/>
      </c>
      <c r="X1541" s="727" t="str">
        <f>IF(L1540="","",ABS(L1541)&gt;15%)</f>
        <v/>
      </c>
      <c r="Y1541" s="727" t="str">
        <f>IF(M1540="","",ABS(M1541)&gt;15%)</f>
        <v/>
      </c>
      <c r="Z1541" s="1221" t="str">
        <f>IF(N1540="","",ABS(N1541)&gt;15%)</f>
        <v/>
      </c>
      <c r="AA1541" s="694"/>
      <c r="AB1541" s="729"/>
      <c r="AC1541" s="694"/>
      <c r="AD1541" s="694"/>
      <c r="AE1541" s="694"/>
      <c r="AF1541" s="694"/>
      <c r="AG1541" s="694"/>
      <c r="AH1541" s="694"/>
      <c r="AI1541" s="694"/>
      <c r="AJ1541" s="694"/>
      <c r="AK1541" s="694"/>
      <c r="AL1541" s="694"/>
      <c r="AM1541" s="343"/>
    </row>
    <row r="1542" spans="1:39" ht="12.75" customHeight="1" x14ac:dyDescent="0.25">
      <c r="A1542" s="729"/>
      <c r="B1542" s="298"/>
      <c r="C1542" s="698"/>
      <c r="D1542" s="1208" t="s">
        <v>18</v>
      </c>
      <c r="E1542" s="2896" t="str">
        <f>Translations!$B$1322</f>
        <v>Предварителна корекция (ако са надвишени относителните прагове)</v>
      </c>
      <c r="F1542" s="2897"/>
      <c r="G1542" s="2897"/>
      <c r="H1542" s="2897"/>
      <c r="I1542" s="2898"/>
      <c r="J1542" s="235" t="str">
        <f>IF(J1540="","",IF(OR(V1435=FALSE,V1541=FALSE),0%,IF(V1542,J1541,I1542)))</f>
        <v/>
      </c>
      <c r="K1542" s="236" t="str">
        <f>IF(K1540="","",IF(OR(W1435=FALSE,W1541=FALSE),0%,IF(W1542,K1541,J1542)))</f>
        <v/>
      </c>
      <c r="L1542" s="236" t="str">
        <f>IF(L1540="","",IF(OR(X1435=FALSE,X1541=FALSE),0%,IF(X1542,L1541,K1542)))</f>
        <v/>
      </c>
      <c r="M1542" s="236" t="str">
        <f>IF(M1540="","",IF(OR(Y1435=FALSE,Y1541=FALSE),0%,IF(Y1542,M1541,L1542)))</f>
        <v/>
      </c>
      <c r="N1542" s="237" t="str">
        <f>IF(N1540="","",IF(OR(Z1435=FALSE,Z1541=FALSE),0%,IF(Z1542,N1541,M1542)))</f>
        <v/>
      </c>
      <c r="O1542" s="302"/>
      <c r="P1542" s="209"/>
      <c r="Q1542" s="729"/>
      <c r="R1542" s="694"/>
      <c r="S1542" s="694"/>
      <c r="T1542" s="694"/>
      <c r="U1542" s="1365" t="s">
        <v>1716</v>
      </c>
      <c r="V1542" s="727" t="str">
        <f>IF(J1540="","",AND(V1435,IF(SUM(I1551)&lt;0,OR(SUM(J1541)&lt;SUM(I1551)-MOD(SUM(I1551),5%),J1541&gt;=SUM(I1551)+5%-MOD(SUM(I1551),5%)),OR(SUM(J1541)&lt;=SUM(I1551)-MOD(SUM(I1551),5%),SUM(J1541)&gt;SUM(I1551)+5%-MOD(SUM(I1551),5%)))))</f>
        <v/>
      </c>
      <c r="W1542" s="727" t="str">
        <f>IF(K1540="","",AND(W1435,IF(SUM(J1551)&lt;0,OR(SUM(K1541)&lt;SUM(J1551)-MOD(SUM(J1551),5%),K1541&gt;=SUM(J1551)+5%-MOD(SUM(J1551),5%)),OR(SUM(K1541)&lt;=SUM(J1551)-MOD(SUM(J1551),5%),SUM(K1541)&gt;SUM(J1551)+5%-MOD(SUM(J1551),5%)))))</f>
        <v/>
      </c>
      <c r="X1542" s="727" t="str">
        <f>IF(L1540="","",AND(X1435,IF(SUM(K1551)&lt;0,OR(SUM(L1541)&lt;SUM(K1551)-MOD(SUM(K1551),5%),L1541&gt;=SUM(K1551)+5%-MOD(SUM(K1551),5%)),OR(SUM(L1541)&lt;=SUM(K1551)-MOD(SUM(K1551),5%),SUM(L1541)&gt;SUM(K1551)+5%-MOD(SUM(K1551),5%)))))</f>
        <v/>
      </c>
      <c r="Y1542" s="727" t="str">
        <f>IF(M1540="","",AND(Y1435,IF(SUM(L1551)&lt;0,OR(SUM(M1541)&lt;SUM(L1551)-MOD(SUM(L1551),5%),M1541&gt;=SUM(L1551)+5%-MOD(SUM(L1551),5%)),OR(SUM(M1541)&lt;=SUM(L1551)-MOD(SUM(L1551),5%),SUM(M1541)&gt;SUM(L1551)+5%-MOD(SUM(L1551),5%)))))</f>
        <v/>
      </c>
      <c r="Z1542" s="1221" t="str">
        <f>IF(N1540="","",AND(Z1435,IF(SUM(M1551)&lt;0,OR(SUM(N1541)&lt;SUM(M1551)-MOD(SUM(M1551),5%),N1541&gt;=SUM(M1551)+5%-MOD(SUM(M1551),5%)),OR(SUM(N1541)&lt;=SUM(M1551)-MOD(SUM(M1551),5%),SUM(N1541)&gt;SUM(M1551)+5%-MOD(SUM(M1551),5%)))))</f>
        <v/>
      </c>
      <c r="AA1542" s="694"/>
      <c r="AB1542" s="729"/>
      <c r="AC1542" s="694"/>
      <c r="AD1542" s="694"/>
      <c r="AE1542" s="694"/>
      <c r="AF1542" s="694"/>
      <c r="AG1542" s="694"/>
      <c r="AH1542" s="694"/>
      <c r="AI1542" s="694"/>
      <c r="AJ1542" s="694"/>
      <c r="AK1542" s="694"/>
      <c r="AL1542" s="694"/>
      <c r="AM1542" s="343"/>
    </row>
    <row r="1543" spans="1:39" ht="12.75" customHeight="1" x14ac:dyDescent="0.25">
      <c r="A1543" s="729"/>
      <c r="B1543" s="298"/>
      <c r="C1543" s="698"/>
      <c r="D1543" s="1208" t="s">
        <v>810</v>
      </c>
      <c r="E1543" s="2889" t="str">
        <f>Translations!$B$1377</f>
        <v>Предварителна стойност</v>
      </c>
      <c r="F1543" s="2889"/>
      <c r="G1543" s="2889"/>
      <c r="H1543" s="1485" t="str">
        <f>H1540</f>
        <v>t CO2e</v>
      </c>
      <c r="I1543" s="1487" t="str">
        <f>IF(M1418&lt;&gt;EUconst_Relevant,"",IF(AB1418=FALSE,EUconst_NA,IF(V1418&gt;($J$1840-3),INDEX(T1531:Z1531,MATCH(V1418,T1520:Z1520,0)),SUM(I1540))))</f>
        <v/>
      </c>
      <c r="J1543" s="1400" t="str">
        <f>IF($M1418&lt;&gt;EUconst_Relevant,"",IF(V1540&lt;2,SUM(J1437),IF(V1540&lt;3,SUM(I1437),IF(V1543="",I1543,V1543))))</f>
        <v/>
      </c>
      <c r="K1543" s="1401" t="str">
        <f>IF($M1418&lt;&gt;EUconst_Relevant,"",IF(W1540&lt;2,SUM(K1437),IF(W1540&lt;3,SUM(J1437),IF(W1543="",J1543,W1543))))</f>
        <v/>
      </c>
      <c r="L1543" s="1401" t="str">
        <f>IF($M1418&lt;&gt;EUconst_Relevant,"",IF(X1540&lt;2,SUM(L1437),IF(X1540&lt;3,SUM(K1437),IF(X1543="",K1543,X1543))))</f>
        <v/>
      </c>
      <c r="M1543" s="1401" t="str">
        <f>IF($M1418&lt;&gt;EUconst_Relevant,"",IF(Y1540&lt;2,SUM(M1437),IF(Y1540&lt;3,SUM(L1437),IF(Y1543="",L1543,Y1543))))</f>
        <v/>
      </c>
      <c r="N1543" s="1402" t="str">
        <f>IF($M1418&lt;&gt;EUconst_Relevant,"",IF(Z1540&lt;2,SUM(N1437),IF(Z1540&lt;3,SUM(M1437),IF(Z1543="",M1543,Z1543))))</f>
        <v/>
      </c>
      <c r="O1543" s="302"/>
      <c r="P1543" s="336"/>
      <c r="Q1543" s="1270" t="str">
        <f>EUconst_CNTR_HALprelim&amp;I1418</f>
        <v>HALprelim_Подинсталация с емисии от процеси (с риск от ИВЕ | извън МКВЕГ)</v>
      </c>
      <c r="R1543" s="694"/>
      <c r="S1543" s="694"/>
      <c r="T1543" s="694"/>
      <c r="U1543" s="1215" t="s">
        <v>1756</v>
      </c>
      <c r="V1543" s="1227" t="str">
        <f>IF(J1540="","",IF(CNTR_ReportingYear&lt;J1538,I1542,IF($I1543=0,J1540,$I1543*(1+J1542))))</f>
        <v/>
      </c>
      <c r="W1543" s="1227" t="str">
        <f>IF(K1540="","",IF(CNTR_ReportingYear&lt;K1538,J1542,IF($I1543=0,K1540,$I1543*(1+K1542))))</f>
        <v/>
      </c>
      <c r="X1543" s="1227" t="str">
        <f>IF(L1540="","",IF(CNTR_ReportingYear&lt;L1538,K1542,IF($I1543=0,L1540,$I1543*(1+L1542))))</f>
        <v/>
      </c>
      <c r="Y1543" s="1227" t="str">
        <f>IF(M1540="","",IF(CNTR_ReportingYear&lt;M1538,L1542,IF($I1543=0,M1540,$I1543*(1+M1542))))</f>
        <v/>
      </c>
      <c r="Z1543" s="1228" t="str">
        <f>IF(N1540="","",IF(CNTR_ReportingYear&lt;N1538,M1542,IF($I1543=0,N1540,$I1543*(1+N1542))))</f>
        <v/>
      </c>
      <c r="AA1543" s="694"/>
      <c r="AB1543" s="729"/>
      <c r="AC1543" s="694"/>
      <c r="AD1543" s="694"/>
      <c r="AE1543" s="694"/>
      <c r="AF1543" s="694"/>
      <c r="AG1543" s="694"/>
      <c r="AH1543" s="694"/>
      <c r="AI1543" s="694"/>
      <c r="AJ1543" s="694"/>
      <c r="AK1543" s="694"/>
      <c r="AL1543" s="694"/>
      <c r="AM1543" s="343"/>
    </row>
    <row r="1544" spans="1:39" ht="5.15" customHeight="1" x14ac:dyDescent="0.25">
      <c r="A1544" s="729"/>
      <c r="B1544" s="298"/>
      <c r="C1544" s="698"/>
      <c r="D1544" s="1217"/>
      <c r="E1544" s="1199"/>
      <c r="F1544" s="1199"/>
      <c r="G1544" s="1199"/>
      <c r="H1544" s="1199"/>
      <c r="I1544" s="1199"/>
      <c r="J1544" s="1199"/>
      <c r="K1544" s="1199"/>
      <c r="L1544" s="1199"/>
      <c r="M1544" s="1199"/>
      <c r="N1544" s="1238"/>
      <c r="O1544" s="302"/>
      <c r="P1544" s="336"/>
      <c r="Q1544" s="729"/>
      <c r="R1544" s="694"/>
      <c r="S1544" s="694"/>
      <c r="T1544" s="694"/>
      <c r="U1544" s="1231"/>
      <c r="V1544" s="711"/>
      <c r="W1544" s="711"/>
      <c r="X1544" s="711"/>
      <c r="Y1544" s="711"/>
      <c r="Z1544" s="1488"/>
      <c r="AA1544" s="694"/>
      <c r="AB1544" s="729"/>
      <c r="AC1544" s="694"/>
      <c r="AD1544" s="694"/>
      <c r="AE1544" s="343"/>
      <c r="AF1544" s="343"/>
      <c r="AG1544" s="343"/>
      <c r="AH1544" s="343"/>
      <c r="AI1544" s="343"/>
      <c r="AJ1544" s="343"/>
      <c r="AK1544" s="343"/>
      <c r="AL1544" s="343"/>
      <c r="AM1544" s="343"/>
    </row>
    <row r="1545" spans="1:39" ht="12.75" customHeight="1" x14ac:dyDescent="0.25">
      <c r="A1545" s="729"/>
      <c r="B1545" s="298"/>
      <c r="C1545" s="698"/>
      <c r="D1545" s="1197" t="s">
        <v>1961</v>
      </c>
      <c r="E1545" s="2886" t="str">
        <f>Translations!$B$1342</f>
        <v>Корекции: Абсолютен праг</v>
      </c>
      <c r="F1545" s="2887"/>
      <c r="G1545" s="2887"/>
      <c r="H1545" s="2887"/>
      <c r="I1545" s="2887"/>
      <c r="J1545" s="2887"/>
      <c r="K1545" s="2887"/>
      <c r="L1545" s="2887"/>
      <c r="M1545" s="2887"/>
      <c r="N1545" s="2888"/>
      <c r="O1545" s="302"/>
      <c r="P1545" s="336"/>
      <c r="Q1545" s="729"/>
      <c r="R1545" s="694"/>
      <c r="S1545" s="694"/>
      <c r="T1545" s="694"/>
      <c r="U1545" s="1231"/>
      <c r="V1545" s="729"/>
      <c r="W1545" s="694"/>
      <c r="X1545" s="694"/>
      <c r="Y1545" s="694"/>
      <c r="Z1545" s="1232"/>
      <c r="AA1545" s="694"/>
      <c r="AB1545" s="729"/>
      <c r="AC1545" s="694"/>
      <c r="AD1545" s="694"/>
      <c r="AE1545" s="343"/>
      <c r="AF1545" s="343"/>
      <c r="AG1545" s="343"/>
      <c r="AH1545" s="343"/>
      <c r="AI1545" s="343"/>
      <c r="AJ1545" s="343"/>
      <c r="AK1545" s="343"/>
      <c r="AL1545" s="343"/>
      <c r="AM1545" s="343"/>
    </row>
    <row r="1546" spans="1:39" ht="12.75" customHeight="1" x14ac:dyDescent="0.25">
      <c r="A1546" s="729"/>
      <c r="B1546" s="298"/>
      <c r="C1546" s="698"/>
      <c r="D1546" s="1217"/>
      <c r="E1546" s="1233" t="str">
        <f>Translations!$B$1343</f>
        <v>Абсолютен праг</v>
      </c>
      <c r="F1546" s="1233"/>
      <c r="G1546" s="1233"/>
      <c r="H1546" s="1233"/>
      <c r="I1546" s="1233"/>
      <c r="J1546" s="1202">
        <f>J$1840</f>
        <v>2026</v>
      </c>
      <c r="K1546" s="1203">
        <f>K$1840</f>
        <v>2027</v>
      </c>
      <c r="L1546" s="1203">
        <f>L$1840</f>
        <v>2028</v>
      </c>
      <c r="M1546" s="1203">
        <f>M$1840</f>
        <v>2029</v>
      </c>
      <c r="N1546" s="1479">
        <f>N$1840</f>
        <v>2030</v>
      </c>
      <c r="O1546" s="302"/>
      <c r="P1546" s="336"/>
      <c r="Q1546" s="729"/>
      <c r="R1546" s="694"/>
      <c r="S1546" s="694"/>
      <c r="T1546" s="694"/>
      <c r="U1546" s="1231"/>
      <c r="V1546" s="213"/>
      <c r="W1546" s="214" t="s">
        <v>2101</v>
      </c>
      <c r="X1546" s="215" t="str">
        <f>IF(OR($X1418=0,$X1418=""),"",MIN(1,1-(DATE($Z1418,12,31)-$X1418)/(DATE($Z1418,12,31)-DATE($Z1418,1,1)+1)))</f>
        <v/>
      </c>
      <c r="Y1546" s="1165"/>
      <c r="Z1546" s="1235"/>
      <c r="AA1546" s="694"/>
      <c r="AB1546" s="729"/>
      <c r="AC1546" s="694"/>
      <c r="AD1546" s="694"/>
      <c r="AE1546" s="343"/>
      <c r="AF1546" s="343"/>
      <c r="AG1546" s="343"/>
      <c r="AH1546" s="343"/>
      <c r="AI1546" s="343"/>
      <c r="AJ1546" s="343"/>
      <c r="AK1546" s="343"/>
      <c r="AL1546" s="343"/>
      <c r="AM1546" s="343"/>
    </row>
    <row r="1547" spans="1:39" ht="12.75" customHeight="1" x14ac:dyDescent="0.25">
      <c r="A1547" s="729"/>
      <c r="B1547" s="298"/>
      <c r="C1547" s="698"/>
      <c r="D1547" s="1217"/>
      <c r="E1547" s="2889" t="str">
        <f>Translations!$B$1515</f>
        <v>изпълнен ли е критерият за &gt;=300 квоти за емисии?</v>
      </c>
      <c r="F1547" s="2889"/>
      <c r="G1547" s="2889"/>
      <c r="H1547" s="2889"/>
      <c r="I1547" s="2890"/>
      <c r="J1547" s="1236" t="str">
        <f>IF($M1418&lt;&gt;EUconst_Relevant,"",INDEX(K_Summary!J:J,MATCH($Q1547,K_Summary!$P:$P,0)))</f>
        <v/>
      </c>
      <c r="K1547" s="385" t="str">
        <f>IF($M1418&lt;&gt;EUconst_Relevant,"",INDEX(K_Summary!K:K,MATCH($Q1547,K_Summary!$P:$P,0)))</f>
        <v/>
      </c>
      <c r="L1547" s="385" t="str">
        <f>IF($M1418&lt;&gt;EUconst_Relevant,"",INDEX(K_Summary!L:L,MATCH($Q1547,K_Summary!$P:$P,0)))</f>
        <v/>
      </c>
      <c r="M1547" s="385" t="str">
        <f>IF($M1418&lt;&gt;EUconst_Relevant,"",INDEX(K_Summary!M:M,MATCH($Q1547,K_Summary!$P:$P,0)))</f>
        <v/>
      </c>
      <c r="N1547" s="1237" t="str">
        <f>IF($M1418&lt;&gt;EUconst_Relevant,"",INDEX(K_Summary!N:N,MATCH($Q1547,K_Summary!$P:$P,0)))</f>
        <v/>
      </c>
      <c r="O1547" s="302"/>
      <c r="P1547" s="336"/>
      <c r="Q1547" s="1190" t="str">
        <f>EUconst_CNTR_300EUA&amp;I1418</f>
        <v>EUA300_Подинсталация с емисии от процеси (с риск от ИВЕ | извън МКВЕГ)</v>
      </c>
      <c r="R1547" s="694"/>
      <c r="S1547" s="694"/>
      <c r="T1547" s="694"/>
      <c r="U1547" s="1231"/>
      <c r="V1547" s="216">
        <f>IF(V1538=$Z1418,$X1546,1)</f>
        <v>1</v>
      </c>
      <c r="W1547" s="216">
        <f>IF(W1538=$Z1418,$X1546,1)</f>
        <v>1</v>
      </c>
      <c r="X1547" s="216">
        <f>IF(X1538=$Z1418,$X1546,1)</f>
        <v>1</v>
      </c>
      <c r="Y1547" s="216">
        <f>IF(Y1538=$Z1418,$X1546,1)</f>
        <v>1</v>
      </c>
      <c r="Z1547" s="217">
        <f>IF(Z1538=$Z1418,$X1546,1)</f>
        <v>1</v>
      </c>
      <c r="AA1547" s="694"/>
      <c r="AB1547" s="729"/>
      <c r="AC1547" s="694"/>
      <c r="AD1547" s="694"/>
      <c r="AE1547" s="343"/>
      <c r="AF1547" s="343"/>
      <c r="AG1547" s="343"/>
      <c r="AH1547" s="343"/>
      <c r="AI1547" s="343"/>
      <c r="AJ1547" s="343"/>
      <c r="AK1547" s="343"/>
      <c r="AL1547" s="343"/>
      <c r="AM1547" s="343"/>
    </row>
    <row r="1548" spans="1:39" ht="5.15" customHeight="1" x14ac:dyDescent="0.25">
      <c r="A1548" s="729"/>
      <c r="B1548" s="298"/>
      <c r="C1548" s="698"/>
      <c r="D1548" s="1217"/>
      <c r="E1548" s="1199"/>
      <c r="F1548" s="1199"/>
      <c r="G1548" s="1199"/>
      <c r="H1548" s="1199"/>
      <c r="I1548" s="1199"/>
      <c r="J1548" s="1199"/>
      <c r="K1548" s="1199"/>
      <c r="L1548" s="1199"/>
      <c r="M1548" s="1199"/>
      <c r="N1548" s="1238"/>
      <c r="O1548" s="302"/>
      <c r="P1548" s="336"/>
      <c r="Q1548" s="729"/>
      <c r="R1548" s="694"/>
      <c r="S1548" s="694"/>
      <c r="T1548" s="694"/>
      <c r="U1548" s="1231"/>
      <c r="V1548" s="694"/>
      <c r="W1548" s="694"/>
      <c r="X1548" s="694"/>
      <c r="Y1548" s="694"/>
      <c r="Z1548" s="1232"/>
      <c r="AA1548" s="729"/>
      <c r="AB1548" s="729"/>
      <c r="AC1548" s="694"/>
      <c r="AD1548" s="694"/>
      <c r="AE1548" s="343"/>
      <c r="AF1548" s="343"/>
      <c r="AG1548" s="343"/>
      <c r="AH1548" s="343"/>
      <c r="AI1548" s="343"/>
      <c r="AJ1548" s="343"/>
      <c r="AK1548" s="343"/>
      <c r="AL1548" s="343"/>
      <c r="AM1548" s="343"/>
    </row>
    <row r="1549" spans="1:39" ht="12.75" customHeight="1" x14ac:dyDescent="0.25">
      <c r="A1549" s="729"/>
      <c r="B1549" s="298"/>
      <c r="C1549" s="698"/>
      <c r="D1549" s="1197" t="s">
        <v>2220</v>
      </c>
      <c r="E1549" s="2886" t="str">
        <f>Translations!$B$1549</f>
        <v>Определяне на корекциите на очакваното равнище на дейност, включително всякакви промени в ефективността</v>
      </c>
      <c r="F1549" s="2887"/>
      <c r="G1549" s="2887"/>
      <c r="H1549" s="2887"/>
      <c r="I1549" s="2887"/>
      <c r="J1549" s="2887"/>
      <c r="K1549" s="2887"/>
      <c r="L1549" s="2887"/>
      <c r="M1549" s="2887"/>
      <c r="N1549" s="2888"/>
      <c r="O1549" s="302"/>
      <c r="P1549" s="336"/>
      <c r="Q1549" s="729"/>
      <c r="R1549" s="694"/>
      <c r="S1549" s="694"/>
      <c r="T1549" s="694"/>
      <c r="U1549" s="1231"/>
      <c r="V1549" s="694"/>
      <c r="W1549" s="694"/>
      <c r="X1549" s="694"/>
      <c r="Y1549" s="694"/>
      <c r="Z1549" s="1232"/>
      <c r="AA1549" s="729"/>
      <c r="AB1549" s="729"/>
      <c r="AC1549" s="694"/>
      <c r="AD1549" s="694"/>
      <c r="AE1549" s="343"/>
      <c r="AF1549" s="343"/>
      <c r="AG1549" s="343"/>
      <c r="AH1549" s="343"/>
      <c r="AI1549" s="343"/>
      <c r="AJ1549" s="343"/>
      <c r="AK1549" s="343"/>
      <c r="AL1549" s="343"/>
      <c r="AM1549" s="343"/>
    </row>
    <row r="1550" spans="1:39" ht="12.75" customHeight="1" thickBot="1" x14ac:dyDescent="0.3">
      <c r="A1550" s="729"/>
      <c r="B1550" s="698"/>
      <c r="C1550" s="698"/>
      <c r="D1550" s="1489"/>
      <c r="E1550" s="2891" t="str">
        <f>Translations!$B$1550</f>
        <v>Това е крайният резултат, като се вземат предвид всички промени в ефективността, ако е приложимо.</v>
      </c>
      <c r="F1550" s="2887"/>
      <c r="G1550" s="2887"/>
      <c r="H1550" s="2887"/>
      <c r="I1550" s="2887"/>
      <c r="J1550" s="2887"/>
      <c r="K1550" s="2887"/>
      <c r="L1550" s="2887"/>
      <c r="M1550" s="2887"/>
      <c r="N1550" s="2888"/>
      <c r="O1550" s="336"/>
      <c r="P1550" s="336"/>
      <c r="Q1550" s="694"/>
      <c r="R1550" s="694"/>
      <c r="S1550" s="694"/>
      <c r="T1550" s="694"/>
      <c r="U1550" s="1231"/>
      <c r="V1550" s="694"/>
      <c r="W1550" s="694"/>
      <c r="X1550" s="694"/>
      <c r="Y1550" s="694"/>
      <c r="Z1550" s="1232"/>
      <c r="AA1550" s="729"/>
      <c r="AB1550" s="729"/>
      <c r="AC1550" s="694"/>
      <c r="AD1550" s="694"/>
      <c r="AE1550" s="343"/>
      <c r="AF1550" s="343"/>
      <c r="AG1550" s="343"/>
      <c r="AH1550" s="343"/>
      <c r="AI1550" s="343"/>
      <c r="AJ1550" s="343"/>
      <c r="AK1550" s="343"/>
      <c r="AL1550" s="343"/>
      <c r="AM1550" s="343"/>
    </row>
    <row r="1551" spans="1:39" ht="12.75" customHeight="1" thickBot="1" x14ac:dyDescent="0.3">
      <c r="A1551" s="729"/>
      <c r="B1551" s="298"/>
      <c r="C1551" s="698"/>
      <c r="D1551" s="1208"/>
      <c r="E1551" s="2889" t="str">
        <f>Translations!$B$1324</f>
        <v>Действителна корекция (ако са надвишени всички прагове)</v>
      </c>
      <c r="F1551" s="2889"/>
      <c r="G1551" s="2889"/>
      <c r="H1551" s="2889"/>
      <c r="I1551" s="1490"/>
      <c r="J1551" s="1240" t="str">
        <f>IF(J1547="","",IF(J1546&gt;$Z1418,-100%,IFERROR((1+IF(OR(J1547,V1540&lt;1),J1542,IF(J1546=$Z1418,SUM(I1551),I1551)))*V1547-1,"")))</f>
        <v/>
      </c>
      <c r="K1551" s="1241" t="str">
        <f>IF(K1547="","",IF(K1546&gt;$Z1418,-100%,IFERROR((1+IF(OR(K1547,W1540&lt;1),K1542,IF(K1546=$Z1418,SUM(J1551),J1551)))*W1547-1,"")))</f>
        <v/>
      </c>
      <c r="L1551" s="1241" t="str">
        <f>IF(L1547="","",IF(L1546&gt;$Z1418,-100%,IFERROR((1+IF(OR(L1547,X1540&lt;1),L1542,IF(L1546=$Z1418,SUM(K1551),K1551)))*X1547-1,"")))</f>
        <v/>
      </c>
      <c r="M1551" s="1241" t="str">
        <f>IF(M1547="","",IF(M1546&gt;$Z1418,-100%,IFERROR((1+IF(OR(M1547,Y1540&lt;1),M1542,IF(M1546=$Z1418,SUM(L1551),L1551)))*Y1547-1,"")))</f>
        <v/>
      </c>
      <c r="N1551" s="1242" t="str">
        <f>IF(N1547="","",IF(N1546&gt;$Z1418,-100%,IFERROR((1+IF(OR(N1547,Z1540&lt;1),N1542,IF(N1546=$Z1418,SUM(M1551),M1551)))*Z1547-1,"")))</f>
        <v/>
      </c>
      <c r="O1551" s="302"/>
      <c r="P1551" s="336"/>
      <c r="Q1551" s="1190" t="str">
        <f>EUconst_CNTR_HALAdjPct &amp; I1418</f>
        <v>HALAdjPct_Подинсталация с емисии от процеси (с риск от ИВЕ | извън МКВЕГ)</v>
      </c>
      <c r="R1551" s="694"/>
      <c r="S1551" s="694"/>
      <c r="T1551" s="694"/>
      <c r="U1551" s="1231" t="s">
        <v>1718</v>
      </c>
      <c r="V1551" s="1243">
        <f>J1546</f>
        <v>2026</v>
      </c>
      <c r="W1551" s="1243">
        <f>K1546</f>
        <v>2027</v>
      </c>
      <c r="X1551" s="1243">
        <f>L1546</f>
        <v>2028</v>
      </c>
      <c r="Y1551" s="1243">
        <f>M1546</f>
        <v>2029</v>
      </c>
      <c r="Z1551" s="1244">
        <f>N1546</f>
        <v>2030</v>
      </c>
      <c r="AA1551" s="694"/>
      <c r="AB1551" s="729"/>
      <c r="AC1551" s="694"/>
      <c r="AD1551" s="694"/>
      <c r="AE1551" s="343"/>
      <c r="AF1551" s="343"/>
      <c r="AG1551" s="343"/>
      <c r="AH1551" s="343"/>
      <c r="AI1551" s="343"/>
      <c r="AJ1551" s="343"/>
      <c r="AK1551" s="343"/>
      <c r="AL1551" s="343"/>
      <c r="AM1551" s="343"/>
    </row>
    <row r="1552" spans="1:39" ht="12.75" customHeight="1" thickBot="1" x14ac:dyDescent="0.3">
      <c r="A1552" s="729"/>
      <c r="B1552" s="298"/>
      <c r="C1552" s="698"/>
      <c r="D1552" s="1217"/>
      <c r="E1552" s="2889" t="str">
        <f>Translations!$B$1551</f>
        <v>Действително очаквано равнище на дейност</v>
      </c>
      <c r="F1552" s="2892"/>
      <c r="G1552" s="2892"/>
      <c r="H1552" s="1210" t="str">
        <f>H1434</f>
        <v>t CO2e</v>
      </c>
      <c r="I1552" s="1399" t="str">
        <f>I1437</f>
        <v/>
      </c>
      <c r="J1552" s="661" t="str">
        <f>IF($M1418&lt;&gt;EUconst_Relevant,"",IF(OR(J1551="",$I1552=0,$I1552=EUconst_NA),IF(OR(J1547=TRUE,J1546&lt;=$V1418),J1437,SUM(I1552)),$I1552*(1+SUM(J1551))))</f>
        <v/>
      </c>
      <c r="K1552" s="662" t="str">
        <f>IF($M1418&lt;&gt;EUconst_Relevant,"",IF(OR(K1551="",$I1552=0,$I1552=EUconst_NA),IF(OR(K1547=TRUE,K1546&lt;=$V1418),K1437,SUM(J1552)),$I1552*(1+SUM(K1551))))</f>
        <v/>
      </c>
      <c r="L1552" s="662" t="str">
        <f>IF($M1418&lt;&gt;EUconst_Relevant,"",IF(OR(L1551="",$I1552=0,$I1552=EUconst_NA),IF(OR(L1547=TRUE,L1546&lt;=$V1418),L1437,SUM(K1552)),$I1552*(1+SUM(L1551))))</f>
        <v/>
      </c>
      <c r="M1552" s="662" t="str">
        <f>IF($M1418&lt;&gt;EUconst_Relevant,"",IF(OR(M1551="",$I1552=0,$I1552=EUconst_NA),IF(OR(M1547=TRUE,M1546&lt;=$V1418),M1437,SUM(L1552)),$I1552*(1+SUM(M1551))))</f>
        <v/>
      </c>
      <c r="N1552" s="663" t="str">
        <f>IF($M1418&lt;&gt;EUconst_Relevant,"",IF(OR(N1551="",$I1552=0,$I1552=EUconst_NA),IF(OR(N1547=TRUE,N1546&lt;=$V1418),N1437,SUM(M1552)),$I1552*(1+SUM(N1551))))</f>
        <v/>
      </c>
      <c r="O1552" s="302"/>
      <c r="P1552" s="336"/>
      <c r="Q1552" s="1190" t="str">
        <f>EUconst_CNTR_HALfinal&amp;I1418</f>
        <v>HALfinal_Подинсталация с емисии от процеси (с риск от ИВЕ | извън МКВЕГ)</v>
      </c>
      <c r="R1552" s="694"/>
      <c r="S1552" s="694"/>
      <c r="T1552" s="694"/>
      <c r="U1552" s="1491" t="b">
        <v>0</v>
      </c>
      <c r="V1552" s="1246" t="b">
        <f>IF(J1547=TRUE,V1435,U1552)</f>
        <v>0</v>
      </c>
      <c r="W1552" s="1246" t="b">
        <f>IF(K1547=TRUE,W1435,V1552)</f>
        <v>0</v>
      </c>
      <c r="X1552" s="1246" t="b">
        <f>IF(L1547=TRUE,X1435,W1552)</f>
        <v>0</v>
      </c>
      <c r="Y1552" s="1246" t="b">
        <f>IF(M1547=TRUE,Y1435,X1552)</f>
        <v>0</v>
      </c>
      <c r="Z1552" s="1247" t="b">
        <f>IF(N1547=TRUE,Z1435,Y1552)</f>
        <v>0</v>
      </c>
      <c r="AA1552" s="694"/>
      <c r="AB1552" s="694"/>
      <c r="AC1552" s="694"/>
      <c r="AD1552" s="694"/>
      <c r="AE1552" s="343"/>
      <c r="AF1552" s="343"/>
      <c r="AG1552" s="343"/>
      <c r="AH1552" s="343"/>
      <c r="AI1552" s="343"/>
      <c r="AJ1552" s="343"/>
      <c r="AK1552" s="1174" t="s">
        <v>2033</v>
      </c>
      <c r="AL1552" s="982" t="str">
        <f>IF(OR(ISERROR(J1552),ISERROR(K1552),ISERROR(L1552),ISERROR(M1552),ISERROR(N1552)),EUconst_Error&amp;"FB"&amp; Q1418,"")</f>
        <v/>
      </c>
      <c r="AM1552" s="343"/>
    </row>
    <row r="1553" spans="1:39" ht="5.15" customHeight="1" thickBot="1" x14ac:dyDescent="0.3">
      <c r="A1553" s="729"/>
      <c r="B1553" s="698"/>
      <c r="C1553" s="698"/>
      <c r="D1553" s="1273"/>
      <c r="E1553" s="1274"/>
      <c r="F1553" s="1274"/>
      <c r="G1553" s="1274"/>
      <c r="H1553" s="1274"/>
      <c r="I1553" s="1274"/>
      <c r="J1553" s="1274"/>
      <c r="K1553" s="1274"/>
      <c r="L1553" s="1274"/>
      <c r="M1553" s="1274"/>
      <c r="N1553" s="1276"/>
      <c r="O1553" s="336"/>
      <c r="P1553" s="336"/>
      <c r="Q1553" s="694"/>
      <c r="R1553" s="694"/>
      <c r="S1553" s="694"/>
      <c r="T1553" s="694"/>
      <c r="U1553" s="694"/>
      <c r="V1553" s="694"/>
      <c r="W1553" s="694"/>
      <c r="X1553" s="694"/>
      <c r="Y1553" s="694"/>
      <c r="Z1553" s="694"/>
      <c r="AA1553" s="694"/>
      <c r="AB1553" s="729"/>
      <c r="AC1553" s="694"/>
      <c r="AD1553" s="694"/>
      <c r="AE1553" s="343"/>
      <c r="AF1553" s="343"/>
      <c r="AG1553" s="343"/>
      <c r="AH1553" s="343"/>
      <c r="AI1553" s="343"/>
      <c r="AJ1553" s="343"/>
      <c r="AK1553" s="343"/>
      <c r="AL1553" s="343"/>
      <c r="AM1553" s="343"/>
    </row>
    <row r="1554" spans="1:39" ht="25.5" customHeight="1" thickBot="1" x14ac:dyDescent="0.3">
      <c r="A1554" s="694"/>
      <c r="B1554" s="698"/>
      <c r="C1554" s="698"/>
      <c r="D1554" s="698"/>
      <c r="E1554" s="698"/>
      <c r="F1554" s="698"/>
      <c r="G1554" s="698"/>
      <c r="H1554" s="698"/>
      <c r="I1554" s="698"/>
      <c r="J1554" s="698"/>
      <c r="K1554" s="698"/>
      <c r="L1554" s="698"/>
      <c r="M1554" s="698"/>
      <c r="N1554" s="698"/>
      <c r="O1554" s="336"/>
      <c r="P1554" s="336"/>
      <c r="Q1554" s="694"/>
      <c r="R1554" s="694"/>
      <c r="S1554" s="694"/>
      <c r="T1554" s="694"/>
      <c r="U1554" s="694"/>
      <c r="V1554" s="694"/>
      <c r="W1554" s="694"/>
      <c r="X1554" s="694"/>
      <c r="Y1554" s="694"/>
      <c r="Z1554" s="694"/>
      <c r="AA1554" s="694"/>
      <c r="AB1554" s="694"/>
      <c r="AC1554" s="694"/>
      <c r="AD1554" s="694"/>
      <c r="AE1554" s="343"/>
      <c r="AF1554" s="343"/>
      <c r="AG1554" s="343"/>
      <c r="AH1554" s="343"/>
      <c r="AI1554" s="343"/>
      <c r="AJ1554" s="343"/>
      <c r="AK1554" s="343"/>
      <c r="AL1554" s="343"/>
      <c r="AM1554" s="343"/>
    </row>
    <row r="1555" spans="1:39" ht="5.15" customHeight="1" thickBot="1" x14ac:dyDescent="0.3">
      <c r="A1555" s="694"/>
      <c r="B1555" s="284"/>
      <c r="C1555" s="581"/>
      <c r="D1555" s="581"/>
      <c r="E1555" s="581"/>
      <c r="F1555" s="581"/>
      <c r="G1555" s="581"/>
      <c r="H1555" s="581"/>
      <c r="I1555" s="581"/>
      <c r="J1555" s="581"/>
      <c r="K1555" s="581"/>
      <c r="L1555" s="581"/>
      <c r="M1555" s="581"/>
      <c r="N1555" s="581"/>
      <c r="O1555" s="336"/>
      <c r="P1555" s="336"/>
      <c r="Q1555" s="770"/>
      <c r="R1555" s="770"/>
      <c r="S1555" s="770"/>
      <c r="T1555" s="770"/>
      <c r="U1555" s="770"/>
      <c r="V1555" s="770"/>
      <c r="W1555" s="770"/>
      <c r="X1555" s="770"/>
      <c r="Y1555" s="770"/>
      <c r="Z1555" s="694"/>
      <c r="AA1555" s="694"/>
      <c r="AB1555" s="694"/>
      <c r="AC1555" s="694"/>
      <c r="AD1555" s="694"/>
      <c r="AE1555" s="343"/>
      <c r="AF1555" s="343"/>
      <c r="AG1555" s="343"/>
      <c r="AH1555" s="343"/>
      <c r="AI1555" s="343"/>
      <c r="AJ1555" s="343"/>
      <c r="AK1555" s="343"/>
      <c r="AL1555" s="343"/>
      <c r="AM1555" s="343"/>
    </row>
    <row r="1556" spans="1:39" ht="14.5" thickBot="1" x14ac:dyDescent="0.35">
      <c r="A1556" s="694"/>
      <c r="B1556" s="284"/>
      <c r="C1556" s="357">
        <f>C1418+1</f>
        <v>9</v>
      </c>
      <c r="D1556" s="2323" t="str">
        <f>EUconst_FBSubinst &amp; ":"</f>
        <v>Алтернативна подинсталация („Fall-Back sub-installation“):</v>
      </c>
      <c r="E1556" s="2249"/>
      <c r="F1556" s="2249"/>
      <c r="G1556" s="2249"/>
      <c r="H1556" s="2295"/>
      <c r="I1556" s="2843" t="str">
        <f>INDEX(EUconst_FallBackListNames,$C1556)</f>
        <v>Подинсталация с емисии от процеси (без риск от ИВЕ | извън МКВЕГ)</v>
      </c>
      <c r="J1556" s="2844"/>
      <c r="K1556" s="2844"/>
      <c r="L1556" s="2845"/>
      <c r="M1556" s="2919" t="str">
        <f>IF(INDEX(CNTR_FallBackSubInstRelevant,C1556)="","",IF(INDEX(CNTR_FallBackSubInstRelevant,C1556),EUconst_Relevant,EUconst_NotRelevant))</f>
        <v/>
      </c>
      <c r="N1556" s="2920"/>
      <c r="O1556" s="336"/>
      <c r="P1556" s="336"/>
      <c r="Q1556" s="1391">
        <f>C1556</f>
        <v>9</v>
      </c>
      <c r="R1556" s="694"/>
      <c r="S1556" s="1174" t="str">
        <f>Translations!$B$898</f>
        <v>Дата на въвеждане в експлоатация:</v>
      </c>
      <c r="T1556" s="1175" t="str">
        <f>IF(M1556&lt;&gt;EUconst_Relevant,"",MAX(INDEX(CNTR_SubInstStartDate,MATCH($I1556,CNTR_SubInstListNames,0)),DATE(2005,1,1)))</f>
        <v/>
      </c>
      <c r="U1556" s="729" t="s">
        <v>1731</v>
      </c>
      <c r="V1556" s="1176">
        <f>IF(ISNUMBER(T1556),YEAR($T1556-IF(YEAR(T1556)&gt;=2022,0,1))+1,2005)</f>
        <v>2005</v>
      </c>
      <c r="W1556" s="1174" t="s">
        <v>1734</v>
      </c>
      <c r="X1556" s="1175" t="str">
        <f>IF(M1556&lt;&gt;EUconst_Relevant,"",INDEX(CNTR_SubInstCessationDate,MATCH($I1556,CNTR_SubInstListNames,0)))</f>
        <v/>
      </c>
      <c r="Y1556" s="1174" t="s">
        <v>1735</v>
      </c>
      <c r="Z1556" s="1176">
        <f>IF(SUM(X1556)=0,2050,YEAR($X1556))</f>
        <v>2050</v>
      </c>
      <c r="AA1556" s="1174" t="s">
        <v>2009</v>
      </c>
      <c r="AB1556" s="1176" t="b">
        <f>CNTR_ReportingYear&gt;V1556</f>
        <v>1</v>
      </c>
      <c r="AC1556" s="1174" t="s">
        <v>1395</v>
      </c>
      <c r="AD1556" s="1177" t="b">
        <f>AND(CNTR_ExistSubInstEntries,M1556=EUconst_NotRelevant)</f>
        <v>0</v>
      </c>
      <c r="AE1556" s="343"/>
      <c r="AF1556" s="343"/>
      <c r="AG1556" s="343"/>
      <c r="AH1556" s="343"/>
      <c r="AI1556" s="343"/>
      <c r="AJ1556" s="343"/>
      <c r="AK1556" s="343"/>
      <c r="AL1556" s="343"/>
      <c r="AM1556" s="343"/>
    </row>
    <row r="1557" spans="1:39" ht="12.75" customHeight="1" x14ac:dyDescent="0.25">
      <c r="A1557" s="694"/>
      <c r="B1557" s="698"/>
      <c r="C1557" s="698"/>
      <c r="D1557" s="698"/>
      <c r="E1557" s="698"/>
      <c r="F1557" s="698"/>
      <c r="G1557" s="698"/>
      <c r="H1557" s="773"/>
      <c r="I1557" s="2921" t="str">
        <f>IF(M1556&lt;&gt;EUconst_Relevant,"",IF(M1556=EUconst_Relevant,HYPERLINK("",EUconst_MsgEnterThisSection),HYPERLINK(R1557,EUconst_MsgGoToNextSubInst)))</f>
        <v/>
      </c>
      <c r="J1557" s="2922"/>
      <c r="K1557" s="2922"/>
      <c r="L1557" s="2922"/>
      <c r="M1557" s="2923"/>
      <c r="N1557" s="2924"/>
      <c r="O1557" s="336"/>
      <c r="P1557" s="336"/>
      <c r="Q1557" s="694" t="s">
        <v>450</v>
      </c>
      <c r="R1557" s="875" t="str">
        <f>"#JUMP_G"&amp;Q1556+1</f>
        <v>#JUMP_G10</v>
      </c>
      <c r="S1557" s="694"/>
      <c r="T1557" s="694"/>
      <c r="U1557" s="694"/>
      <c r="V1557" s="694"/>
      <c r="W1557" s="694"/>
      <c r="X1557" s="694"/>
      <c r="Y1557" s="694"/>
      <c r="Z1557" s="729"/>
      <c r="AA1557" s="694"/>
      <c r="AB1557" s="694"/>
      <c r="AC1557" s="694"/>
      <c r="AD1557" s="694"/>
      <c r="AE1557" s="343"/>
      <c r="AF1557" s="343"/>
      <c r="AG1557" s="343"/>
      <c r="AH1557" s="343"/>
      <c r="AI1557" s="343"/>
      <c r="AJ1557" s="343"/>
      <c r="AK1557" s="343"/>
      <c r="AL1557" s="343"/>
      <c r="AM1557" s="343"/>
    </row>
    <row r="1558" spans="1:39" ht="12.75" customHeight="1" x14ac:dyDescent="0.25">
      <c r="A1558" s="694"/>
      <c r="B1558" s="284"/>
      <c r="C1558" s="284"/>
      <c r="D1558" s="302"/>
      <c r="E1558" s="2358" t="str">
        <f>Translations!$B$613</f>
        <v>Името на алтернативната подинсталация („fall-back sub-installation“) се показва автоматично въз основа на общия списък на възможните алтернативни инсталации.</v>
      </c>
      <c r="F1558" s="2249"/>
      <c r="G1558" s="2249"/>
      <c r="H1558" s="2249"/>
      <c r="I1558" s="2249"/>
      <c r="J1558" s="2249"/>
      <c r="K1558" s="2249"/>
      <c r="L1558" s="2249"/>
      <c r="M1558" s="2249"/>
      <c r="N1558" s="2249"/>
      <c r="O1558" s="336"/>
      <c r="P1558" s="336"/>
      <c r="Q1558" s="770"/>
      <c r="R1558" s="770"/>
      <c r="S1558" s="694"/>
      <c r="T1558" s="694"/>
      <c r="U1558" s="694"/>
      <c r="V1558" s="694"/>
      <c r="W1558" s="694"/>
      <c r="X1558" s="694"/>
      <c r="Y1558" s="694"/>
      <c r="Z1558" s="694"/>
      <c r="AA1558" s="694"/>
      <c r="AB1558" s="694"/>
      <c r="AC1558" s="694"/>
      <c r="AD1558" s="694"/>
      <c r="AE1558" s="343"/>
      <c r="AF1558" s="343"/>
      <c r="AG1558" s="343"/>
      <c r="AH1558" s="343"/>
      <c r="AI1558" s="343"/>
      <c r="AJ1558" s="343"/>
      <c r="AK1558" s="343"/>
      <c r="AL1558" s="343"/>
      <c r="AM1558" s="343"/>
    </row>
    <row r="1559" spans="1:39" ht="5.15" customHeight="1" x14ac:dyDescent="0.25">
      <c r="A1559" s="694"/>
      <c r="B1559" s="284"/>
      <c r="C1559" s="284"/>
      <c r="D1559" s="284"/>
      <c r="E1559" s="284"/>
      <c r="F1559" s="284"/>
      <c r="G1559" s="284"/>
      <c r="H1559" s="284"/>
      <c r="I1559" s="284"/>
      <c r="J1559" s="284"/>
      <c r="K1559" s="284"/>
      <c r="L1559" s="284"/>
      <c r="M1559" s="336"/>
      <c r="N1559" s="336"/>
      <c r="O1559" s="336"/>
      <c r="P1559" s="336"/>
      <c r="Q1559" s="770"/>
      <c r="R1559" s="770"/>
      <c r="S1559" s="770"/>
      <c r="T1559" s="770"/>
      <c r="U1559" s="770"/>
      <c r="V1559" s="770"/>
      <c r="W1559" s="770"/>
      <c r="X1559" s="770"/>
      <c r="Y1559" s="770"/>
      <c r="Z1559" s="694"/>
      <c r="AA1559" s="694"/>
      <c r="AB1559" s="694"/>
      <c r="AC1559" s="694"/>
      <c r="AD1559" s="694"/>
      <c r="AE1559" s="343"/>
      <c r="AF1559" s="343"/>
      <c r="AG1559" s="343"/>
      <c r="AH1559" s="343"/>
      <c r="AI1559" s="343"/>
      <c r="AJ1559" s="343"/>
      <c r="AK1559" s="343"/>
      <c r="AL1559" s="343"/>
      <c r="AM1559" s="343"/>
    </row>
    <row r="1560" spans="1:39" ht="12.75" customHeight="1" x14ac:dyDescent="0.25">
      <c r="A1560" s="694"/>
      <c r="B1560" s="284"/>
      <c r="C1560" s="300"/>
      <c r="D1560" s="300" t="s">
        <v>408</v>
      </c>
      <c r="E1560" s="2226" t="str">
        <f>Translations!$B$1315</f>
        <v>Равнища на дейност</v>
      </c>
      <c r="F1560" s="2249"/>
      <c r="G1560" s="2249"/>
      <c r="H1560" s="2249"/>
      <c r="I1560" s="2249"/>
      <c r="J1560" s="2249"/>
      <c r="K1560" s="2249"/>
      <c r="L1560" s="2249"/>
      <c r="M1560" s="2249"/>
      <c r="N1560" s="2249"/>
      <c r="O1560" s="336"/>
      <c r="P1560" s="336"/>
      <c r="Q1560" s="770"/>
      <c r="R1560" s="770"/>
      <c r="S1560" s="770"/>
      <c r="T1560" s="770"/>
      <c r="U1560" s="770"/>
      <c r="V1560" s="770"/>
      <c r="W1560" s="770"/>
      <c r="X1560" s="770"/>
      <c r="Y1560" s="770"/>
      <c r="Z1560" s="694"/>
      <c r="AA1560" s="694"/>
      <c r="AB1560" s="729"/>
      <c r="AC1560" s="694"/>
      <c r="AD1560" s="694"/>
      <c r="AE1560" s="343"/>
      <c r="AF1560" s="343"/>
      <c r="AG1560" s="343"/>
      <c r="AH1560" s="343"/>
      <c r="AI1560" s="343"/>
      <c r="AJ1560" s="343"/>
      <c r="AK1560" s="343"/>
      <c r="AL1560" s="343"/>
      <c r="AM1560" s="343"/>
    </row>
    <row r="1561" spans="1:39" ht="12.75" hidden="1" customHeight="1" x14ac:dyDescent="0.25">
      <c r="A1561" s="694" t="str">
        <f>IF(C1556&gt;4,$A$1,"")</f>
        <v>ausblenden</v>
      </c>
      <c r="B1561" s="284"/>
      <c r="C1561" s="302"/>
      <c r="D1561" s="302"/>
      <c r="E1561" s="2925" t="str">
        <f>Translations!$B$614</f>
        <v>Следните данни се вземат автоматично от раздел E.II.r на лист „E_EnergyFlows“ („E_Енергийни потоци“).Затова въвеждането на данни там е задължително.</v>
      </c>
      <c r="F1561" s="2925"/>
      <c r="G1561" s="2925"/>
      <c r="H1561" s="2925"/>
      <c r="I1561" s="2925"/>
      <c r="J1561" s="2925"/>
      <c r="K1561" s="2925"/>
      <c r="L1561" s="2925"/>
      <c r="M1561" s="2925"/>
      <c r="N1561" s="2925"/>
      <c r="O1561" s="336"/>
      <c r="P1561" s="336"/>
      <c r="Q1561" s="770"/>
      <c r="R1561" s="694"/>
      <c r="S1561" s="694"/>
      <c r="T1561" s="694"/>
      <c r="U1561" s="694"/>
      <c r="V1561" s="694"/>
      <c r="W1561" s="694"/>
      <c r="X1561" s="694"/>
      <c r="Y1561" s="694"/>
      <c r="Z1561" s="694"/>
      <c r="AA1561" s="694"/>
      <c r="AB1561" s="694"/>
      <c r="AC1561" s="694"/>
      <c r="AD1561" s="694"/>
      <c r="AE1561" s="343"/>
      <c r="AF1561" s="343"/>
      <c r="AG1561" s="343"/>
      <c r="AH1561" s="343"/>
      <c r="AI1561" s="343"/>
      <c r="AJ1561" s="343"/>
      <c r="AK1561" s="343"/>
      <c r="AL1561" s="343"/>
      <c r="AM1561" s="343"/>
    </row>
    <row r="1562" spans="1:39" ht="12.75" customHeight="1" x14ac:dyDescent="0.25">
      <c r="A1562" s="694"/>
      <c r="B1562" s="284"/>
      <c r="C1562" s="284"/>
      <c r="D1562" s="302"/>
      <c r="E1562" s="2358" t="str">
        <f>Translations!$B$1332</f>
        <v>На базата на началото на нормална експлоатация, въведено в B+C.I, HAL ще се основава или на стойността в НМИ (показана в ii.), или на първата година на пълна експлоатация за нови подинсталации (посочена в iv.).</v>
      </c>
      <c r="F1562" s="2926"/>
      <c r="G1562" s="2926"/>
      <c r="H1562" s="2926"/>
      <c r="I1562" s="2926"/>
      <c r="J1562" s="2926"/>
      <c r="K1562" s="2926"/>
      <c r="L1562" s="2926"/>
      <c r="M1562" s="2926"/>
      <c r="N1562" s="2926"/>
      <c r="O1562" s="336"/>
      <c r="P1562" s="336"/>
      <c r="Q1562" s="770"/>
      <c r="R1562" s="694"/>
      <c r="S1562" s="694"/>
      <c r="T1562" s="694"/>
      <c r="U1562" s="694"/>
      <c r="V1562" s="694"/>
      <c r="W1562" s="694"/>
      <c r="X1562" s="694"/>
      <c r="Y1562" s="694"/>
      <c r="Z1562" s="694"/>
      <c r="AA1562" s="729"/>
      <c r="AB1562" s="729"/>
      <c r="AC1562" s="694"/>
      <c r="AD1562" s="694"/>
      <c r="AE1562" s="343"/>
      <c r="AF1562" s="343"/>
      <c r="AG1562" s="343"/>
      <c r="AH1562" s="343"/>
      <c r="AI1562" s="343"/>
      <c r="AJ1562" s="343"/>
      <c r="AK1562" s="343"/>
      <c r="AL1562" s="343"/>
      <c r="AM1562" s="343"/>
    </row>
    <row r="1563" spans="1:39" ht="12.75" customHeight="1" thickBot="1" x14ac:dyDescent="0.3">
      <c r="A1563" s="694"/>
      <c r="B1563" s="698"/>
      <c r="C1563" s="300"/>
      <c r="D1563" s="300"/>
      <c r="E1563" s="389" t="str">
        <f>Translations!$B$615</f>
        <v>Основно равнище на дейност:</v>
      </c>
      <c r="F1563" s="1015"/>
      <c r="G1563" s="527" t="str">
        <f>EUconst_Unit</f>
        <v>Единица мярка</v>
      </c>
      <c r="H1563" s="391">
        <f t="shared" ref="H1563:N1563" si="2297">H$1840</f>
        <v>2024</v>
      </c>
      <c r="I1563" s="572">
        <f t="shared" si="2297"/>
        <v>2025</v>
      </c>
      <c r="J1563" s="757">
        <f t="shared" si="2297"/>
        <v>2026</v>
      </c>
      <c r="K1563" s="391">
        <f t="shared" si="2297"/>
        <v>2027</v>
      </c>
      <c r="L1563" s="391">
        <f t="shared" si="2297"/>
        <v>2028</v>
      </c>
      <c r="M1563" s="391">
        <f t="shared" si="2297"/>
        <v>2029</v>
      </c>
      <c r="N1563" s="387">
        <f t="shared" si="2297"/>
        <v>2030</v>
      </c>
      <c r="O1563" s="336"/>
      <c r="P1563" s="336"/>
      <c r="Q1563" s="1033" t="s">
        <v>560</v>
      </c>
      <c r="R1563" s="694"/>
      <c r="S1563" s="694"/>
      <c r="T1563" s="1178">
        <f t="shared" ref="T1563" si="2298">H1563</f>
        <v>2024</v>
      </c>
      <c r="U1563" s="1178">
        <f t="shared" ref="U1563" si="2299">I1563</f>
        <v>2025</v>
      </c>
      <c r="V1563" s="1178">
        <f t="shared" ref="V1563" si="2300">J1563</f>
        <v>2026</v>
      </c>
      <c r="W1563" s="1178">
        <f t="shared" ref="W1563" si="2301">K1563</f>
        <v>2027</v>
      </c>
      <c r="X1563" s="1178">
        <f t="shared" ref="X1563" si="2302">L1563</f>
        <v>2028</v>
      </c>
      <c r="Y1563" s="1178">
        <f t="shared" ref="Y1563" si="2303">M1563</f>
        <v>2029</v>
      </c>
      <c r="Z1563" s="1178">
        <f t="shared" ref="Z1563" si="2304">N1563</f>
        <v>2030</v>
      </c>
      <c r="AA1563" s="729"/>
      <c r="AB1563" s="694"/>
      <c r="AC1563" s="1504">
        <f t="shared" ref="AC1563" si="2305">H$1840</f>
        <v>2024</v>
      </c>
      <c r="AD1563" s="1504">
        <f t="shared" ref="AD1563" si="2306">I$1840</f>
        <v>2025</v>
      </c>
      <c r="AE1563" s="1504">
        <f t="shared" ref="AE1563" si="2307">J$1840</f>
        <v>2026</v>
      </c>
      <c r="AF1563" s="1504">
        <f t="shared" ref="AF1563" si="2308">K$1840</f>
        <v>2027</v>
      </c>
      <c r="AG1563" s="1504">
        <f t="shared" ref="AG1563" si="2309">L$1840</f>
        <v>2028</v>
      </c>
      <c r="AH1563" s="1504">
        <f t="shared" ref="AH1563" si="2310">M$1840</f>
        <v>2029</v>
      </c>
      <c r="AI1563" s="1504">
        <f t="shared" ref="AI1563" si="2311">N$1840</f>
        <v>2030</v>
      </c>
      <c r="AJ1563" s="343"/>
      <c r="AK1563" s="343"/>
      <c r="AL1563" s="343"/>
      <c r="AM1563" s="343"/>
    </row>
    <row r="1564" spans="1:39" ht="12.75" customHeight="1" thickBot="1" x14ac:dyDescent="0.3">
      <c r="A1564" s="694"/>
      <c r="B1564" s="698"/>
      <c r="C1564" s="698"/>
      <c r="D1564" s="1084" t="s">
        <v>6</v>
      </c>
      <c r="E1564" s="2862" t="str">
        <f>I1556</f>
        <v>Подинсталация с емисии от процеси (без риск от ИВЕ | извън МКВЕГ)</v>
      </c>
      <c r="F1564" s="2862"/>
      <c r="G1564" s="1032" t="str">
        <f>INDEX(EUconst_FallBackListUnits,MATCH(E1564,EUconst_FallBackListNames,0))</f>
        <v>t CO2e</v>
      </c>
      <c r="H1564" s="39"/>
      <c r="I1564" s="194"/>
      <c r="J1564" s="195"/>
      <c r="K1564" s="39"/>
      <c r="L1564" s="39"/>
      <c r="M1564" s="39"/>
      <c r="N1564" s="39"/>
      <c r="O1564" s="710"/>
      <c r="P1564" s="336"/>
      <c r="Q1564" s="1394" t="str">
        <f>EUconst_CNTR_HAL&amp;E1564</f>
        <v>HAL_Подинсталация с емисии от процеси (без риск от ИВЕ | извън МКВЕГ)</v>
      </c>
      <c r="R1564" s="694"/>
      <c r="S1564" s="1395" t="s">
        <v>1732</v>
      </c>
      <c r="T1564" s="1396" t="b">
        <f t="shared" ref="T1564:Z1564" si="2312">AND($M1556=EUconst_Relevant,T1563&lt;CNTR_ReportingYear,T1563&gt;=$V1556-1)</f>
        <v>0</v>
      </c>
      <c r="U1564" s="1397" t="b">
        <f t="shared" si="2312"/>
        <v>0</v>
      </c>
      <c r="V1564" s="1397" t="b">
        <f t="shared" si="2312"/>
        <v>0</v>
      </c>
      <c r="W1564" s="1397" t="b">
        <f t="shared" si="2312"/>
        <v>0</v>
      </c>
      <c r="X1564" s="1397" t="b">
        <f t="shared" si="2312"/>
        <v>0</v>
      </c>
      <c r="Y1564" s="1397" t="b">
        <f t="shared" si="2312"/>
        <v>0</v>
      </c>
      <c r="Z1564" s="1398" t="b">
        <f t="shared" si="2312"/>
        <v>0</v>
      </c>
      <c r="AA1564" s="694"/>
      <c r="AB1564" s="1182" t="s">
        <v>737</v>
      </c>
      <c r="AC1564" s="1183" t="b">
        <f t="shared" ref="AC1564:AI1564" si="2313">IF(CNTR_ExistSubInstEntries,OR($M1556&lt;&gt;EUconst_Relevant,AC1563&gt;=CNTR_ReportingYear,AC1563&lt;$V1556-1),FALSE)</f>
        <v>0</v>
      </c>
      <c r="AD1564" s="1184" t="b">
        <f t="shared" si="2313"/>
        <v>0</v>
      </c>
      <c r="AE1564" s="1184" t="b">
        <f t="shared" si="2313"/>
        <v>0</v>
      </c>
      <c r="AF1564" s="1184" t="b">
        <f t="shared" si="2313"/>
        <v>0</v>
      </c>
      <c r="AG1564" s="1184" t="b">
        <f t="shared" si="2313"/>
        <v>0</v>
      </c>
      <c r="AH1564" s="1184" t="b">
        <f t="shared" si="2313"/>
        <v>0</v>
      </c>
      <c r="AI1564" s="1185" t="b">
        <f t="shared" si="2313"/>
        <v>0</v>
      </c>
      <c r="AJ1564" s="343"/>
      <c r="AK1564" s="1174" t="s">
        <v>2033</v>
      </c>
      <c r="AL1564" s="982" t="str">
        <f>IF(OR(COUNTIFS(H1563:N1563,"&lt;"&amp;YEAR(SUM(T1556)),H1564:N1564,"&gt;"&amp;0)&gt;0,AND(CNTR_ExistSubInstEntries,COUNTIFS(AB1567:AI1567,2,G1567:N1567,"")&gt;0)),EUconst_Error&amp;"FB"&amp;Q1556,"")</f>
        <v/>
      </c>
      <c r="AM1564" s="343"/>
    </row>
    <row r="1565" spans="1:39" ht="5.15" customHeight="1" x14ac:dyDescent="0.25">
      <c r="A1565" s="694"/>
      <c r="B1565" s="298"/>
      <c r="C1565" s="298"/>
      <c r="D1565" s="302"/>
      <c r="E1565" s="302"/>
      <c r="F1565" s="302"/>
      <c r="G1565" s="302"/>
      <c r="H1565" s="302"/>
      <c r="I1565" s="302"/>
      <c r="J1565" s="302"/>
      <c r="K1565" s="302"/>
      <c r="L1565" s="302"/>
      <c r="M1565" s="302"/>
      <c r="N1565" s="302"/>
      <c r="O1565" s="302"/>
      <c r="P1565" s="336"/>
      <c r="Q1565" s="729"/>
      <c r="R1565" s="694"/>
      <c r="S1565" s="729"/>
      <c r="T1565" s="729"/>
      <c r="U1565" s="694"/>
      <c r="V1565" s="694"/>
      <c r="W1565" s="694"/>
      <c r="X1565" s="694"/>
      <c r="Y1565" s="694"/>
      <c r="Z1565" s="729"/>
      <c r="AA1565" s="694"/>
      <c r="AB1565" s="729"/>
      <c r="AC1565" s="694"/>
      <c r="AD1565" s="694"/>
      <c r="AE1565" s="343"/>
      <c r="AF1565" s="343"/>
      <c r="AG1565" s="343"/>
      <c r="AH1565" s="343"/>
      <c r="AI1565" s="343"/>
      <c r="AJ1565" s="343"/>
      <c r="AK1565" s="343"/>
      <c r="AL1565" s="343"/>
      <c r="AM1565" s="343"/>
    </row>
    <row r="1566" spans="1:39" ht="25.5" customHeight="1" x14ac:dyDescent="0.25">
      <c r="A1566" s="694"/>
      <c r="B1566" s="298"/>
      <c r="C1566" s="298"/>
      <c r="D1566" s="302"/>
      <c r="E1566" s="2358" t="str">
        <f>Translations!$B$1333</f>
        <v>На базата на стойностите на HAL и тези по буква a) по-горе тук се определят средните равнища на дейност. Разпределението ще бъде променено само ако са надвишени всички долуизброени прагове от членове 5 и 6 от Регламента за ALC:</v>
      </c>
      <c r="F1566" s="2249"/>
      <c r="G1566" s="2249"/>
      <c r="H1566" s="2249"/>
      <c r="I1566" s="2249"/>
      <c r="J1566" s="2249"/>
      <c r="K1566" s="2249"/>
      <c r="L1566" s="2249"/>
      <c r="M1566" s="2249"/>
      <c r="N1566" s="2249"/>
      <c r="O1566" s="302"/>
      <c r="P1566" s="336"/>
      <c r="Q1566" s="729"/>
      <c r="R1566" s="694"/>
      <c r="S1566" s="729"/>
      <c r="T1566" s="729"/>
      <c r="U1566" s="729"/>
      <c r="V1566" s="694"/>
      <c r="W1566" s="694"/>
      <c r="X1566" s="694"/>
      <c r="Y1566" s="694"/>
      <c r="Z1566" s="694"/>
      <c r="AA1566" s="694"/>
      <c r="AB1566" s="694"/>
      <c r="AC1566" s="694"/>
      <c r="AD1566" s="694"/>
      <c r="AE1566" s="694"/>
      <c r="AF1566" s="694"/>
      <c r="AG1566" s="694"/>
      <c r="AH1566" s="694"/>
      <c r="AI1566" s="694"/>
      <c r="AJ1566" s="694"/>
      <c r="AK1566" s="694"/>
      <c r="AL1566" s="694"/>
      <c r="AM1566" s="343"/>
    </row>
    <row r="1567" spans="1:39" ht="12.75" customHeight="1" x14ac:dyDescent="0.25">
      <c r="A1567" s="694"/>
      <c r="B1567" s="298"/>
      <c r="C1567" s="298"/>
      <c r="D1567" s="302"/>
      <c r="E1567" s="1191" t="s">
        <v>1052</v>
      </c>
      <c r="F1567" s="2358" t="str">
        <f>Translations!$B$1530</f>
        <v>относителният праг (15 %) за средното равнище на дейност в сравнение с HAL</v>
      </c>
      <c r="G1567" s="2861"/>
      <c r="H1567" s="2861"/>
      <c r="I1567" s="2861"/>
      <c r="J1567" s="2861"/>
      <c r="K1567" s="2861"/>
      <c r="L1567" s="2861"/>
      <c r="M1567" s="2861"/>
      <c r="N1567" s="2861"/>
      <c r="O1567" s="302"/>
      <c r="P1567" s="336"/>
      <c r="Q1567" s="729"/>
      <c r="R1567" s="694"/>
      <c r="S1567" s="729"/>
      <c r="T1567" s="729"/>
      <c r="U1567" s="729"/>
      <c r="V1567" s="694"/>
      <c r="W1567" s="694"/>
      <c r="X1567" s="694"/>
      <c r="Y1567" s="694"/>
      <c r="Z1567" s="694"/>
      <c r="AA1567" s="694"/>
      <c r="AB1567" s="694"/>
      <c r="AC1567" s="694"/>
      <c r="AD1567" s="694"/>
      <c r="AE1567" s="694"/>
      <c r="AF1567" s="694"/>
      <c r="AG1567" s="694"/>
      <c r="AH1567" s="694"/>
      <c r="AI1567" s="694"/>
      <c r="AJ1567" s="694"/>
      <c r="AK1567" s="694"/>
      <c r="AL1567" s="694"/>
      <c r="AM1567" s="343"/>
    </row>
    <row r="1568" spans="1:39" ht="12.75" customHeight="1" x14ac:dyDescent="0.25">
      <c r="A1568" s="694"/>
      <c r="B1568" s="298"/>
      <c r="C1568" s="298"/>
      <c r="D1568" s="302"/>
      <c r="E1568" s="1191" t="s">
        <v>1052</v>
      </c>
      <c r="F1568" s="2358" t="str">
        <f>Translations!$B$1531</f>
        <v>относителните прагове (15 % и 5 % за последващи промени) за очакваното равнище на дейност в сравнение с HAL</v>
      </c>
      <c r="G1568" s="2861"/>
      <c r="H1568" s="2861"/>
      <c r="I1568" s="2861"/>
      <c r="J1568" s="2861"/>
      <c r="K1568" s="2861"/>
      <c r="L1568" s="2861"/>
      <c r="M1568" s="2861"/>
      <c r="N1568" s="2861"/>
      <c r="O1568" s="302"/>
      <c r="P1568" s="336"/>
      <c r="Q1568" s="729"/>
      <c r="R1568" s="694"/>
      <c r="S1568" s="729"/>
      <c r="T1568" s="729"/>
      <c r="U1568" s="729"/>
      <c r="V1568" s="694"/>
      <c r="W1568" s="694"/>
      <c r="X1568" s="694"/>
      <c r="Y1568" s="694"/>
      <c r="Z1568" s="694"/>
      <c r="AA1568" s="694"/>
      <c r="AB1568" s="694"/>
      <c r="AC1568" s="694"/>
      <c r="AD1568" s="694"/>
      <c r="AE1568" s="694"/>
      <c r="AF1568" s="694"/>
      <c r="AG1568" s="694"/>
      <c r="AH1568" s="694"/>
      <c r="AI1568" s="694"/>
      <c r="AJ1568" s="694"/>
      <c r="AK1568" s="694"/>
      <c r="AL1568" s="694"/>
      <c r="AM1568" s="343"/>
    </row>
    <row r="1569" spans="1:39" ht="12.75" customHeight="1" thickBot="1" x14ac:dyDescent="0.3">
      <c r="A1569" s="694"/>
      <c r="B1569" s="298"/>
      <c r="C1569" s="298"/>
      <c r="D1569" s="302"/>
      <c r="E1569" s="1191" t="s">
        <v>1052</v>
      </c>
      <c r="F1569" s="2358" t="str">
        <f>Translations!$B$1514</f>
        <v>абсолютния праг, т.е. промяната би довела до разлика в предварителното разпределение от най-малко 300 квоти</v>
      </c>
      <c r="G1569" s="2861"/>
      <c r="H1569" s="2861"/>
      <c r="I1569" s="2861"/>
      <c r="J1569" s="2861"/>
      <c r="K1569" s="2861"/>
      <c r="L1569" s="2861"/>
      <c r="M1569" s="2861"/>
      <c r="N1569" s="2861"/>
      <c r="O1569" s="302"/>
      <c r="P1569" s="336"/>
      <c r="Q1569" s="729"/>
      <c r="R1569" s="694"/>
      <c r="S1569" s="729"/>
      <c r="T1569" s="729"/>
      <c r="U1569" s="729"/>
      <c r="V1569" s="694"/>
      <c r="W1569" s="694"/>
      <c r="X1569" s="694"/>
      <c r="Y1569" s="694"/>
      <c r="Z1569" s="694"/>
      <c r="AA1569" s="694"/>
      <c r="AB1569" s="694"/>
      <c r="AC1569" s="694"/>
      <c r="AD1569" s="694"/>
      <c r="AE1569" s="694"/>
      <c r="AF1569" s="694"/>
      <c r="AG1569" s="694"/>
      <c r="AH1569" s="694"/>
      <c r="AI1569" s="694"/>
      <c r="AJ1569" s="694"/>
      <c r="AK1569" s="694"/>
      <c r="AL1569" s="694"/>
      <c r="AM1569" s="343"/>
    </row>
    <row r="1570" spans="1:39" ht="5.15" customHeight="1" thickBot="1" x14ac:dyDescent="0.3">
      <c r="A1570" s="694"/>
      <c r="B1570" s="298"/>
      <c r="C1570" s="298"/>
      <c r="D1570" s="1192"/>
      <c r="E1570" s="1193"/>
      <c r="F1570" s="1194"/>
      <c r="G1570" s="1195"/>
      <c r="H1570" s="1195"/>
      <c r="I1570" s="1195"/>
      <c r="J1570" s="1195"/>
      <c r="K1570" s="1195"/>
      <c r="L1570" s="1195"/>
      <c r="M1570" s="1195"/>
      <c r="N1570" s="1196"/>
      <c r="O1570" s="302"/>
      <c r="P1570" s="336"/>
      <c r="Q1570" s="729"/>
      <c r="R1570" s="694"/>
      <c r="S1570" s="729"/>
      <c r="T1570" s="729"/>
      <c r="U1570" s="729"/>
      <c r="V1570" s="694"/>
      <c r="W1570" s="694"/>
      <c r="X1570" s="694"/>
      <c r="Y1570" s="694"/>
      <c r="Z1570" s="694"/>
      <c r="AA1570" s="694"/>
      <c r="AB1570" s="694"/>
      <c r="AC1570" s="694"/>
      <c r="AD1570" s="694"/>
      <c r="AE1570" s="694"/>
      <c r="AF1570" s="694"/>
      <c r="AG1570" s="694"/>
      <c r="AH1570" s="694"/>
      <c r="AI1570" s="694"/>
      <c r="AJ1570" s="694"/>
      <c r="AK1570" s="694"/>
      <c r="AL1570" s="694"/>
      <c r="AM1570" s="343"/>
    </row>
    <row r="1571" spans="1:39" ht="12.75" customHeight="1" x14ac:dyDescent="0.25">
      <c r="A1571" s="694"/>
      <c r="B1571" s="298"/>
      <c r="C1571" s="298"/>
      <c r="D1571" s="1217"/>
      <c r="E1571" s="1198" t="str">
        <f>Translations!$B$1334</f>
        <v>Предварителна корекция</v>
      </c>
      <c r="F1571" s="1199"/>
      <c r="G1571" s="1199"/>
      <c r="H1571" s="1200" t="str">
        <f>EUconst_Unit</f>
        <v>Единица мярка</v>
      </c>
      <c r="I1571" s="1201" t="str">
        <f>Translations!$B$1320</f>
        <v>(НМИ) HAL</v>
      </c>
      <c r="J1571" s="1202">
        <f>J$1840</f>
        <v>2026</v>
      </c>
      <c r="K1571" s="1203">
        <f>K$1840</f>
        <v>2027</v>
      </c>
      <c r="L1571" s="1203">
        <f>L$1840</f>
        <v>2028</v>
      </c>
      <c r="M1571" s="1203">
        <f>M$1840</f>
        <v>2029</v>
      </c>
      <c r="N1571" s="1204">
        <f>N$1840</f>
        <v>2030</v>
      </c>
      <c r="O1571" s="302"/>
      <c r="P1571" s="336"/>
      <c r="Q1571" s="729"/>
      <c r="R1571" s="694"/>
      <c r="S1571" s="729"/>
      <c r="T1571" s="729"/>
      <c r="U1571" s="1205"/>
      <c r="V1571" s="1206">
        <f>J1571</f>
        <v>2026</v>
      </c>
      <c r="W1571" s="1206">
        <f>K1571</f>
        <v>2027</v>
      </c>
      <c r="X1571" s="1206">
        <f>L1571</f>
        <v>2028</v>
      </c>
      <c r="Y1571" s="1206">
        <f>M1571</f>
        <v>2029</v>
      </c>
      <c r="Z1571" s="1207">
        <f>N1571</f>
        <v>2030</v>
      </c>
      <c r="AA1571" s="694"/>
      <c r="AB1571" s="729"/>
      <c r="AC1571" s="694"/>
      <c r="AD1571" s="694"/>
      <c r="AE1571" s="343"/>
      <c r="AF1571" s="343"/>
      <c r="AG1571" s="343"/>
      <c r="AH1571" s="343"/>
      <c r="AI1571" s="343"/>
      <c r="AJ1571" s="343"/>
      <c r="AK1571" s="343"/>
      <c r="AL1571" s="343"/>
      <c r="AM1571" s="343"/>
    </row>
    <row r="1572" spans="1:39" ht="12.75" customHeight="1" x14ac:dyDescent="0.25">
      <c r="A1572" s="694"/>
      <c r="B1572" s="298"/>
      <c r="C1572" s="298"/>
      <c r="D1572" s="1208" t="s">
        <v>7</v>
      </c>
      <c r="E1572" s="1209" t="str">
        <f>Translations!$B$1321</f>
        <v>Средно годишно равнище на дейност (стойност в НМИ)</v>
      </c>
      <c r="F1572" s="1209"/>
      <c r="G1572" s="1209"/>
      <c r="H1572" s="1266" t="str">
        <f>G1564</f>
        <v>t CO2e</v>
      </c>
      <c r="I1572" s="1399" t="str">
        <f>IF(V1556&gt;($J$1840-3),EUconst_NA,INDEX('B+C_SubInstallations'!$I:$I,MATCH(Q1572,'B+C_SubInstallations'!$T:$T,0)))</f>
        <v/>
      </c>
      <c r="J1572" s="1400" t="str">
        <f>IF(AND(V1572&gt;=3,CNTR_ReportingYear&gt;J1571-1),AVERAGE(SUM(H1564),SUM(I1564)),"")</f>
        <v/>
      </c>
      <c r="K1572" s="1401" t="str">
        <f>IF(AND(W1572&gt;=3,CNTR_ReportingYear&gt;K1571-1),AVERAGE(SUM(I1564),SUM(J1564)),"")</f>
        <v/>
      </c>
      <c r="L1572" s="1401" t="str">
        <f>IF(AND(X1572&gt;=3,CNTR_ReportingYear&gt;L1571-1),AVERAGE(SUM(J1564),SUM(K1564)),"")</f>
        <v/>
      </c>
      <c r="M1572" s="1401" t="str">
        <f>IF(AND(Y1572&gt;=3,CNTR_ReportingYear&gt;M1571-1),AVERAGE(SUM(K1564),SUM(L1564)),"")</f>
        <v/>
      </c>
      <c r="N1572" s="1402" t="str">
        <f>IF(AND(Z1572&gt;=3,CNTR_ReportingYear&gt;N1571-1),AVERAGE(SUM(L1564),SUM(M1564)),"")</f>
        <v/>
      </c>
      <c r="O1572" s="302"/>
      <c r="P1572" s="336"/>
      <c r="Q1572" s="1270" t="str">
        <f>EUconst_CNTR_HALinitial&amp;I1556</f>
        <v>HALini_Подинсталация с емисии от процеси (без риск от ИВЕ | извън МКВЕГ)</v>
      </c>
      <c r="R1572" s="694"/>
      <c r="S1572" s="729"/>
      <c r="T1572" s="729"/>
      <c r="U1572" s="1365" t="s">
        <v>1710</v>
      </c>
      <c r="V1572" s="834">
        <f>IF($M1556&lt;&gt;EUconst_Relevant,0,V1571-$V1556+1)</f>
        <v>0</v>
      </c>
      <c r="W1572" s="834">
        <f>IF($M1556&lt;&gt;EUconst_Relevant,0,W1571-$V1556+1)</f>
        <v>0</v>
      </c>
      <c r="X1572" s="834">
        <f>IF($M1556&lt;&gt;EUconst_Relevant,0,X1571-$V1556+1)</f>
        <v>0</v>
      </c>
      <c r="Y1572" s="834">
        <f>IF($M1556&lt;&gt;EUconst_Relevant,0,Y1571-$V1556+1)</f>
        <v>0</v>
      </c>
      <c r="Z1572" s="1403">
        <f>IF($M1556&lt;&gt;EUconst_Relevant,0,Z1571-$V1556+1)</f>
        <v>0</v>
      </c>
      <c r="AA1572" s="694"/>
      <c r="AB1572" s="729"/>
      <c r="AC1572" s="694"/>
      <c r="AD1572" s="694"/>
      <c r="AE1572" s="343"/>
      <c r="AF1572" s="343"/>
      <c r="AG1572" s="343"/>
      <c r="AH1572" s="343"/>
      <c r="AI1572" s="343"/>
      <c r="AJ1572" s="343"/>
      <c r="AK1572" s="343"/>
      <c r="AL1572" s="343"/>
      <c r="AM1572" s="343"/>
    </row>
    <row r="1573" spans="1:39" ht="12.75" hidden="1" customHeight="1" x14ac:dyDescent="0.25">
      <c r="A1573" s="729" t="s">
        <v>312</v>
      </c>
      <c r="B1573" s="298"/>
      <c r="C1573" s="298"/>
      <c r="D1573" s="1208"/>
      <c r="E1573" s="1209" t="str">
        <f>Translations!$B$1376</f>
        <v>Промяна в сравнение с HAL</v>
      </c>
      <c r="F1573" s="1209"/>
      <c r="G1573" s="1209"/>
      <c r="H1573" s="1222"/>
      <c r="I1573" s="1223"/>
      <c r="J1573" s="104" t="str">
        <f>IF(J1572="","",IF($I1575=0,IF(J1572=0,0%,100%),J1572/$I1575-1))</f>
        <v/>
      </c>
      <c r="K1573" s="99" t="str">
        <f>IF(K1572="","",IF($I1575=0,IF(K1572=0,0%,100%),K1572/$I1575-1))</f>
        <v/>
      </c>
      <c r="L1573" s="99" t="str">
        <f>IF(L1572="","",IF($I1575=0,IF(L1572=0,0%,100%),L1572/$I1575-1))</f>
        <v/>
      </c>
      <c r="M1573" s="99" t="str">
        <f>IF(M1572="","",IF($I1575=0,IF(M1572=0,0%,100%),M1572/$I1575-1))</f>
        <v/>
      </c>
      <c r="N1573" s="123" t="str">
        <f>IF(N1572="","",IF($I1575=0,IF(N1572=0,0%,100%),N1572/$I1575-1))</f>
        <v/>
      </c>
      <c r="O1573" s="302"/>
      <c r="P1573" s="336"/>
      <c r="Q1573" s="1190" t="str">
        <f>EUconst_CNTR_RelThreshold &amp;I1556</f>
        <v>RelThresh_Подинсталация с емисии от процеси (без риск от ИВЕ | извън МКВЕГ)</v>
      </c>
      <c r="R1573" s="694"/>
      <c r="S1573" s="729"/>
      <c r="T1573" s="729"/>
      <c r="U1573" s="1365" t="s">
        <v>1715</v>
      </c>
      <c r="V1573" s="727" t="str">
        <f>IF(J1572="","",ABS(J1573)&gt;15%)</f>
        <v/>
      </c>
      <c r="W1573" s="727" t="str">
        <f>IF(K1572="","",ABS(K1573)&gt;15%)</f>
        <v/>
      </c>
      <c r="X1573" s="727" t="str">
        <f>IF(L1572="","",ABS(L1573)&gt;15%)</f>
        <v/>
      </c>
      <c r="Y1573" s="727" t="str">
        <f>IF(M1572="","",ABS(M1573)&gt;15%)</f>
        <v/>
      </c>
      <c r="Z1573" s="1221" t="str">
        <f>IF(N1572="","",ABS(N1573)&gt;15%)</f>
        <v/>
      </c>
      <c r="AA1573" s="694"/>
      <c r="AB1573" s="729"/>
      <c r="AC1573" s="694"/>
      <c r="AD1573" s="694"/>
      <c r="AE1573" s="343"/>
      <c r="AF1573" s="343"/>
      <c r="AG1573" s="343"/>
      <c r="AH1573" s="343"/>
      <c r="AI1573" s="343"/>
      <c r="AJ1573" s="343"/>
      <c r="AK1573" s="343"/>
      <c r="AL1573" s="343"/>
      <c r="AM1573" s="343"/>
    </row>
    <row r="1574" spans="1:39" ht="12.75" customHeight="1" x14ac:dyDescent="0.25">
      <c r="A1574" s="729"/>
      <c r="B1574" s="298"/>
      <c r="C1574" s="298"/>
      <c r="D1574" s="1208" t="s">
        <v>8</v>
      </c>
      <c r="E1574" s="1209" t="str">
        <f>Translations!$B$1322</f>
        <v>Предварителна корекция (ако са надвишени относителните прагове)</v>
      </c>
      <c r="F1574" s="1209"/>
      <c r="G1574" s="1209"/>
      <c r="H1574" s="1222"/>
      <c r="I1574" s="1223"/>
      <c r="J1574" s="1224" t="str">
        <f>IF(J1572="","",IF(V1573=FALSE,0%,J1573))</f>
        <v/>
      </c>
      <c r="K1574" s="1225" t="str">
        <f t="shared" ref="K1574" si="2314">IF(K1572="","",IF(W1573=FALSE,0%,K1573))</f>
        <v/>
      </c>
      <c r="L1574" s="1225" t="str">
        <f t="shared" ref="L1574" si="2315">IF(L1572="","",IF(X1573=FALSE,0%,L1573))</f>
        <v/>
      </c>
      <c r="M1574" s="1225" t="str">
        <f t="shared" ref="M1574" si="2316">IF(M1572="","",IF(Y1573=FALSE,0%,M1573))</f>
        <v/>
      </c>
      <c r="N1574" s="1226" t="str">
        <f t="shared" ref="N1574" si="2317">IF(N1572="","",IF(Z1573=FALSE,0%,N1573))</f>
        <v/>
      </c>
      <c r="O1574" s="302"/>
      <c r="P1574" s="336"/>
      <c r="Q1574" s="729"/>
      <c r="R1574" s="694"/>
      <c r="S1574" s="729"/>
      <c r="T1574" s="729"/>
      <c r="U1574" s="1365" t="s">
        <v>1716</v>
      </c>
      <c r="V1574" s="727" t="str">
        <f>IF(J1572="","",AND(V1573,IF(SUM(I1689)&lt;0,OR(SUM(J1573)&lt;SUM(I1689)-MOD(SUM(I1689),5%),J1573&gt;=SUM(I1689)+5%-MOD(SUM(I1689),5%)),OR(SUM(J1573)&lt;=SUM(I1689)-MOD(SUM(I1689),5%),SUM(J1573)&gt;SUM(I1689)+5%-MOD(SUM(I1689),5%)))))</f>
        <v/>
      </c>
      <c r="W1574" s="727" t="str">
        <f>IF(K1572="","",AND(W1573,IF(SUM(J1689)&lt;0,OR(SUM(K1573)&lt;SUM(J1689)-MOD(SUM(J1689),5%),K1573&gt;=SUM(J1689)+5%-MOD(SUM(J1689),5%)),OR(SUM(K1573)&lt;=SUM(J1689)-MOD(SUM(J1689),5%),SUM(K1573)&gt;SUM(J1689)+5%-MOD(SUM(J1689),5%)))))</f>
        <v/>
      </c>
      <c r="X1574" s="727" t="str">
        <f>IF(L1572="","",AND(X1573,IF(SUM(K1689)&lt;0,OR(SUM(L1573)&lt;SUM(K1689)-MOD(SUM(K1689),5%),L1573&gt;=SUM(K1689)+5%-MOD(SUM(K1689),5%)),OR(SUM(L1573)&lt;=SUM(K1689)-MOD(SUM(K1689),5%),SUM(L1573)&gt;SUM(K1689)+5%-MOD(SUM(K1689),5%)))))</f>
        <v/>
      </c>
      <c r="Y1574" s="727" t="str">
        <f>IF(M1572="","",AND(Y1573,IF(SUM(L1689)&lt;0,OR(SUM(M1573)&lt;SUM(L1689)-MOD(SUM(L1689),5%),M1573&gt;=SUM(L1689)+5%-MOD(SUM(L1689),5%)),OR(SUM(M1573)&lt;=SUM(L1689)-MOD(SUM(L1689),5%),SUM(M1573)&gt;SUM(L1689)+5%-MOD(SUM(L1689),5%)))))</f>
        <v/>
      </c>
      <c r="Z1574" s="1221" t="str">
        <f>IF(N1572="","",AND(Z1573,IF(SUM(M1689)&lt;0,OR(SUM(N1573)&lt;SUM(M1689)-MOD(SUM(M1689),5%),N1573&gt;=SUM(M1689)+5%-MOD(SUM(M1689),5%)),OR(SUM(N1573)&lt;=SUM(M1689)-MOD(SUM(M1689),5%),SUM(N1573)&gt;SUM(M1689)+5%-MOD(SUM(M1689),5%)))))</f>
        <v/>
      </c>
      <c r="AA1574" s="694"/>
      <c r="AB1574" s="729"/>
      <c r="AC1574" s="694"/>
      <c r="AD1574" s="694"/>
      <c r="AE1574" s="343"/>
      <c r="AF1574" s="343"/>
      <c r="AG1574" s="343"/>
      <c r="AH1574" s="343"/>
      <c r="AI1574" s="343"/>
      <c r="AJ1574" s="343"/>
      <c r="AK1574" s="343"/>
      <c r="AL1574" s="343"/>
      <c r="AM1574" s="343"/>
    </row>
    <row r="1575" spans="1:39" ht="12.75" customHeight="1" thickBot="1" x14ac:dyDescent="0.3">
      <c r="A1575" s="729"/>
      <c r="B1575" s="298"/>
      <c r="C1575" s="298"/>
      <c r="D1575" s="1208" t="s">
        <v>18</v>
      </c>
      <c r="E1575" s="1209" t="str">
        <f>Translations!$B$1377</f>
        <v>Предварителна стойност</v>
      </c>
      <c r="F1575" s="1209"/>
      <c r="G1575" s="1209"/>
      <c r="H1575" s="1266" t="str">
        <f>H1572</f>
        <v>t CO2e</v>
      </c>
      <c r="I1575" s="1399" t="str">
        <f>IF(M1556&lt;&gt;EUconst_Relevant,"",IF(AB1556=FALSE,EUconst_NA,IF(V1556&gt;($J$1840-3),INDEX(H1564:N1564,MATCH($V1556,H1563:N1563,0)),I1572)))</f>
        <v/>
      </c>
      <c r="J1575" s="1400" t="str">
        <f>IF($M1556&lt;&gt;EUconst_Relevant,"",IF(V1572&lt;2,SUM(J1564),IF(V1572&lt;3,SUM(I1564),IF(V1575="",I1575,V1575))))</f>
        <v/>
      </c>
      <c r="K1575" s="1401" t="str">
        <f>IF($M1556&lt;&gt;EUconst_Relevant,"",IF(W1572&lt;2,SUM(K1564),IF(W1572&lt;3,SUM(J1564),IF(W1575="",J1575,W1575))))</f>
        <v/>
      </c>
      <c r="L1575" s="1401" t="str">
        <f>IF($M1556&lt;&gt;EUconst_Relevant,"",IF(X1572&lt;2,SUM(L1564),IF(X1572&lt;3,SUM(K1564),IF(X1575="",K1575,X1575))))</f>
        <v/>
      </c>
      <c r="M1575" s="1401" t="str">
        <f>IF($M1556&lt;&gt;EUconst_Relevant,"",IF(Y1572&lt;2,SUM(M1564),IF(Y1572&lt;3,SUM(L1564),IF(Y1575="",L1575,Y1575))))</f>
        <v/>
      </c>
      <c r="N1575" s="1402" t="str">
        <f>IF($M1556&lt;&gt;EUconst_Relevant,"",IF(Z1572&lt;2,SUM(N1564),IF(Z1572&lt;3,SUM(M1564),IF(Z1575="",M1575,Z1575))))</f>
        <v/>
      </c>
      <c r="O1575" s="710"/>
      <c r="P1575" s="336"/>
      <c r="Q1575" s="1190" t="s">
        <v>2143</v>
      </c>
      <c r="R1575" s="694"/>
      <c r="S1575" s="729"/>
      <c r="T1575" s="729"/>
      <c r="U1575" s="1404" t="s">
        <v>1711</v>
      </c>
      <c r="V1575" s="1405" t="str">
        <f>IF(J1572="","",IF(CNTR_ReportingYear&lt;J1571,I1574,IF($I1575=0,J1572,$I1575*(1+J1574))))</f>
        <v/>
      </c>
      <c r="W1575" s="1405" t="str">
        <f>IF(K1572="","",IF(CNTR_ReportingYear&lt;K1571,J1574,IF($I1575=0,K1572,$I1575*(1+K1574))))</f>
        <v/>
      </c>
      <c r="X1575" s="1405" t="str">
        <f>IF(L1572="","",IF(CNTR_ReportingYear&lt;L1571,K1574,IF($I1575=0,L1572,$I1575*(1+L1574))))</f>
        <v/>
      </c>
      <c r="Y1575" s="1405" t="str">
        <f>IF(M1572="","",IF(CNTR_ReportingYear&lt;M1571,L1574,IF($I1575=0,M1572,$I1575*(1+M1574))))</f>
        <v/>
      </c>
      <c r="Z1575" s="1406" t="str">
        <f>IF(N1572="","",IF(CNTR_ReportingYear&lt;N1571,M1574,IF($I1575=0,N1572,$I1575*(1+N1574))))</f>
        <v/>
      </c>
      <c r="AA1575" s="694"/>
      <c r="AB1575" s="694"/>
      <c r="AC1575" s="694"/>
      <c r="AD1575" s="694"/>
      <c r="AE1575" s="343"/>
      <c r="AF1575" s="343"/>
      <c r="AG1575" s="343"/>
      <c r="AH1575" s="343"/>
      <c r="AI1575" s="343"/>
      <c r="AJ1575" s="343"/>
      <c r="AK1575" s="343"/>
      <c r="AL1575" s="343"/>
      <c r="AM1575" s="343"/>
    </row>
    <row r="1576" spans="1:39" ht="5.15" customHeight="1" thickBot="1" x14ac:dyDescent="0.3">
      <c r="A1576" s="729"/>
      <c r="B1576" s="698"/>
      <c r="C1576" s="284"/>
      <c r="D1576" s="1407"/>
      <c r="E1576" s="1408"/>
      <c r="F1576" s="1408"/>
      <c r="G1576" s="1408"/>
      <c r="H1576" s="1408"/>
      <c r="I1576" s="1408"/>
      <c r="J1576" s="1408"/>
      <c r="K1576" s="1408"/>
      <c r="L1576" s="1408"/>
      <c r="M1576" s="1408"/>
      <c r="N1576" s="1409"/>
      <c r="O1576" s="336"/>
      <c r="P1576" s="336"/>
      <c r="Q1576" s="694"/>
      <c r="R1576" s="694"/>
      <c r="S1576" s="729"/>
      <c r="T1576" s="729"/>
      <c r="U1576" s="694"/>
      <c r="V1576" s="694"/>
      <c r="W1576" s="694"/>
      <c r="X1576" s="694"/>
      <c r="Y1576" s="694"/>
      <c r="Z1576" s="729"/>
      <c r="AA1576" s="729"/>
      <c r="AB1576" s="729"/>
      <c r="AC1576" s="694"/>
      <c r="AD1576" s="694"/>
      <c r="AE1576" s="343"/>
      <c r="AF1576" s="343"/>
      <c r="AG1576" s="343"/>
      <c r="AH1576" s="343"/>
      <c r="AI1576" s="343"/>
      <c r="AJ1576" s="343"/>
      <c r="AK1576" s="343"/>
      <c r="AL1576" s="343"/>
      <c r="AM1576" s="343"/>
    </row>
    <row r="1577" spans="1:39" ht="5.15" customHeight="1" x14ac:dyDescent="0.25">
      <c r="A1577" s="729" t="str">
        <f>A1578</f>
        <v/>
      </c>
      <c r="B1577" s="698"/>
      <c r="C1577" s="284"/>
      <c r="D1577" s="284"/>
      <c r="E1577" s="284"/>
      <c r="F1577" s="284"/>
      <c r="G1577" s="284"/>
      <c r="H1577" s="284"/>
      <c r="I1577" s="284"/>
      <c r="J1577" s="284"/>
      <c r="K1577" s="284"/>
      <c r="L1577" s="284"/>
      <c r="M1577" s="284"/>
      <c r="N1577" s="284"/>
      <c r="O1577" s="336"/>
      <c r="P1577" s="336"/>
      <c r="Q1577" s="694"/>
      <c r="R1577" s="694"/>
      <c r="S1577" s="729"/>
      <c r="T1577" s="729"/>
      <c r="U1577" s="694"/>
      <c r="V1577" s="694"/>
      <c r="W1577" s="694"/>
      <c r="X1577" s="694"/>
      <c r="Y1577" s="694"/>
      <c r="Z1577" s="729"/>
      <c r="AA1577" s="729"/>
      <c r="AB1577" s="729"/>
      <c r="AC1577" s="694"/>
      <c r="AD1577" s="694"/>
      <c r="AE1577" s="343"/>
      <c r="AF1577" s="343"/>
      <c r="AG1577" s="343"/>
      <c r="AH1577" s="343"/>
      <c r="AI1577" s="343"/>
      <c r="AJ1577" s="343"/>
      <c r="AK1577" s="343"/>
      <c r="AL1577" s="343"/>
      <c r="AM1577" s="343"/>
    </row>
    <row r="1578" spans="1:39" ht="14" x14ac:dyDescent="0.3">
      <c r="A1578" s="729" t="str">
        <f>IF(MATCH(I1556,EUconst_FallBackListNames,0)=4,"ausblenden","")</f>
        <v/>
      </c>
      <c r="B1578" s="698"/>
      <c r="C1578" s="590"/>
      <c r="D1578" s="2323" t="str">
        <f>Translations!$B$495</f>
        <v>Данни за производството</v>
      </c>
      <c r="E1578" s="2249"/>
      <c r="F1578" s="2249"/>
      <c r="G1578" s="2249"/>
      <c r="H1578" s="2249"/>
      <c r="I1578" s="2249"/>
      <c r="J1578" s="2249"/>
      <c r="K1578" s="2249"/>
      <c r="L1578" s="2249"/>
      <c r="M1578" s="2249"/>
      <c r="N1578" s="2249"/>
      <c r="O1578" s="336"/>
      <c r="P1578" s="336"/>
      <c r="Q1578" s="694"/>
      <c r="R1578" s="694"/>
      <c r="S1578" s="694"/>
      <c r="T1578" s="694"/>
      <c r="U1578" s="694"/>
      <c r="V1578" s="694"/>
      <c r="W1578" s="694"/>
      <c r="X1578" s="694"/>
      <c r="Y1578" s="694"/>
      <c r="Z1578" s="729"/>
      <c r="AA1578" s="729"/>
      <c r="AB1578" s="729"/>
      <c r="AC1578" s="694"/>
      <c r="AD1578" s="694"/>
      <c r="AE1578" s="343"/>
      <c r="AF1578" s="343"/>
      <c r="AG1578" s="343"/>
      <c r="AH1578" s="343"/>
      <c r="AI1578" s="343"/>
      <c r="AJ1578" s="343"/>
      <c r="AK1578" s="343"/>
      <c r="AL1578" s="343"/>
      <c r="AM1578" s="343"/>
    </row>
    <row r="1579" spans="1:39" ht="5.15" customHeight="1" x14ac:dyDescent="0.25">
      <c r="A1579" s="729" t="str">
        <f>A1578</f>
        <v/>
      </c>
      <c r="B1579" s="284"/>
      <c r="C1579" s="284"/>
      <c r="D1579" s="284"/>
      <c r="E1579" s="284"/>
      <c r="F1579" s="284"/>
      <c r="G1579" s="284"/>
      <c r="H1579" s="284"/>
      <c r="I1579" s="284"/>
      <c r="J1579" s="284"/>
      <c r="K1579" s="284"/>
      <c r="L1579" s="284"/>
      <c r="M1579" s="284"/>
      <c r="N1579" s="284"/>
      <c r="O1579" s="336"/>
      <c r="P1579" s="336"/>
      <c r="Q1579" s="770"/>
      <c r="R1579" s="770"/>
      <c r="S1579" s="694"/>
      <c r="T1579" s="694"/>
      <c r="U1579" s="694"/>
      <c r="V1579" s="694"/>
      <c r="W1579" s="694"/>
      <c r="X1579" s="694"/>
      <c r="Y1579" s="694"/>
      <c r="Z1579" s="729"/>
      <c r="AA1579" s="729"/>
      <c r="AB1579" s="729"/>
      <c r="AC1579" s="694"/>
      <c r="AD1579" s="694"/>
      <c r="AE1579" s="343"/>
      <c r="AF1579" s="343"/>
      <c r="AG1579" s="343"/>
      <c r="AH1579" s="343"/>
      <c r="AI1579" s="343"/>
      <c r="AJ1579" s="343"/>
      <c r="AK1579" s="343"/>
      <c r="AL1579" s="343"/>
      <c r="AM1579" s="343"/>
    </row>
    <row r="1580" spans="1:39" ht="12.75" customHeight="1" x14ac:dyDescent="0.25">
      <c r="A1580" s="729" t="str">
        <f t="shared" ref="A1580:A1581" si="2318">A1579</f>
        <v/>
      </c>
      <c r="B1580" s="284"/>
      <c r="C1580" s="300"/>
      <c r="D1580" s="300" t="s">
        <v>901</v>
      </c>
      <c r="E1580" s="2226" t="str">
        <f>Translations!$B$616</f>
        <v>Определяне на съответните продукти или услуги, свързани с тази подинсталация</v>
      </c>
      <c r="F1580" s="2249"/>
      <c r="G1580" s="2249"/>
      <c r="H1580" s="2249"/>
      <c r="I1580" s="2249"/>
      <c r="J1580" s="2249"/>
      <c r="K1580" s="2249"/>
      <c r="L1580" s="2249"/>
      <c r="M1580" s="2249"/>
      <c r="N1580" s="2249"/>
      <c r="O1580" s="336"/>
      <c r="P1580" s="336"/>
      <c r="Q1580" s="770"/>
      <c r="R1580" s="694"/>
      <c r="S1580" s="694"/>
      <c r="T1580" s="694"/>
      <c r="U1580" s="694"/>
      <c r="V1580" s="694"/>
      <c r="W1580" s="694"/>
      <c r="X1580" s="694"/>
      <c r="Y1580" s="694"/>
      <c r="Z1580" s="694"/>
      <c r="AA1580" s="694"/>
      <c r="AB1580" s="729"/>
      <c r="AC1580" s="694"/>
      <c r="AD1580" s="694"/>
      <c r="AE1580" s="343"/>
      <c r="AF1580" s="343"/>
      <c r="AG1580" s="343"/>
      <c r="AH1580" s="343"/>
      <c r="AI1580" s="343"/>
      <c r="AJ1580" s="343"/>
      <c r="AK1580" s="343"/>
      <c r="AL1580" s="343"/>
      <c r="AM1580" s="343"/>
    </row>
    <row r="1581" spans="1:39" ht="12.75" customHeight="1" x14ac:dyDescent="0.25">
      <c r="A1581" s="729" t="str">
        <f t="shared" si="2318"/>
        <v/>
      </c>
      <c r="B1581" s="284"/>
      <c r="C1581" s="302"/>
      <c r="D1581" s="302"/>
      <c r="E1581" s="2358" t="str">
        <f>Translations!$B$1560</f>
        <v>Моля, посочете тук към кои производствени процеси или услуги има отношение тази подинсталация.</v>
      </c>
      <c r="F1581" s="2249"/>
      <c r="G1581" s="2249"/>
      <c r="H1581" s="2249"/>
      <c r="I1581" s="2249"/>
      <c r="J1581" s="2249"/>
      <c r="K1581" s="2249"/>
      <c r="L1581" s="2249"/>
      <c r="M1581" s="2249"/>
      <c r="N1581" s="2249"/>
      <c r="O1581" s="336"/>
      <c r="P1581" s="336"/>
      <c r="Q1581" s="770"/>
      <c r="R1581" s="770"/>
      <c r="S1581" s="770"/>
      <c r="T1581" s="770"/>
      <c r="U1581" s="770"/>
      <c r="V1581" s="770"/>
      <c r="W1581" s="770"/>
      <c r="X1581" s="770"/>
      <c r="Y1581" s="770"/>
      <c r="Z1581" s="770"/>
      <c r="AA1581" s="770"/>
      <c r="AB1581" s="729"/>
      <c r="AC1581" s="694"/>
      <c r="AD1581" s="694"/>
      <c r="AE1581" s="343"/>
      <c r="AF1581" s="343"/>
      <c r="AG1581" s="343"/>
      <c r="AH1581" s="343"/>
      <c r="AI1581" s="343"/>
      <c r="AJ1581" s="343"/>
      <c r="AK1581" s="343"/>
      <c r="AL1581" s="343"/>
      <c r="AM1581" s="343"/>
    </row>
    <row r="1582" spans="1:39" ht="25.5" customHeight="1" x14ac:dyDescent="0.25">
      <c r="A1582" s="729"/>
      <c r="B1582" s="284"/>
      <c r="C1582" s="302"/>
      <c r="D1582" s="302"/>
      <c r="E1582" s="2358" t="str">
        <f>Translations!$B$497</f>
        <v>Кодовете по Продком се въвеждат като низове във вида „nnnnnnnn“, т.е. без точки или други разделителни знаци между тях. Само когато липсва код по Продком, се посочва 4-цифрения код по статистическата класификация на икономическите дейности в Европейския съюз (NACE) във вида „nnnn“.</v>
      </c>
      <c r="F1582" s="2249"/>
      <c r="G1582" s="2249"/>
      <c r="H1582" s="2249"/>
      <c r="I1582" s="2249"/>
      <c r="J1582" s="2249"/>
      <c r="K1582" s="2249"/>
      <c r="L1582" s="2249"/>
      <c r="M1582" s="2249"/>
      <c r="N1582" s="2249"/>
      <c r="O1582" s="336"/>
      <c r="P1582" s="336"/>
      <c r="Q1582" s="770"/>
      <c r="R1582" s="694"/>
      <c r="S1582" s="694"/>
      <c r="T1582" s="694"/>
      <c r="U1582" s="694"/>
      <c r="V1582" s="694"/>
      <c r="W1582" s="694"/>
      <c r="X1582" s="694"/>
      <c r="Y1582" s="694"/>
      <c r="Z1582" s="694"/>
      <c r="AA1582" s="694"/>
      <c r="AB1582" s="729"/>
      <c r="AC1582" s="694"/>
      <c r="AD1582" s="694"/>
      <c r="AE1582" s="343"/>
      <c r="AF1582" s="343"/>
      <c r="AG1582" s="343"/>
      <c r="AH1582" s="343"/>
      <c r="AI1582" s="343"/>
      <c r="AJ1582" s="343"/>
      <c r="AK1582" s="343"/>
      <c r="AL1582" s="343"/>
      <c r="AM1582" s="343"/>
    </row>
    <row r="1583" spans="1:39" ht="12.75" customHeight="1" x14ac:dyDescent="0.25">
      <c r="A1583" s="729"/>
      <c r="B1583" s="284"/>
      <c r="C1583" s="302"/>
      <c r="D1583" s="302"/>
      <c r="E1583" s="2358" t="str">
        <f>Translations!$B$498</f>
        <v>Продком списъкът за 2010 г. може да се намери на адрес: http://ec.europa.eu/eurostat/ramon/nomenclatures/index.cfm?TargetUrl=LST_CLS_DLD&amp;StrNom=PRD_2010&amp;StrLanguageCode=EN&amp;StrLayoutCode=HIERARCHIChttp://ec.europa.eu/eurostat/ramon/nomenclatures/index.cfm?TargetUrl=LST_CLS_DLD&amp;StrNom=PRD_2010&amp;StrLanguageCode=EN&amp;StrLayoutCode=HIERARCHIC</v>
      </c>
      <c r="F1583" s="2249"/>
      <c r="G1583" s="2249"/>
      <c r="H1583" s="2249"/>
      <c r="I1583" s="2249"/>
      <c r="J1583" s="2249"/>
      <c r="K1583" s="2249"/>
      <c r="L1583" s="2249"/>
      <c r="M1583" s="2249"/>
      <c r="N1583" s="2249"/>
      <c r="O1583" s="336"/>
      <c r="P1583" s="336"/>
      <c r="Q1583" s="770"/>
      <c r="R1583" s="694"/>
      <c r="S1583" s="694"/>
      <c r="T1583" s="694"/>
      <c r="U1583" s="694"/>
      <c r="V1583" s="694"/>
      <c r="W1583" s="694"/>
      <c r="X1583" s="694"/>
      <c r="Y1583" s="694"/>
      <c r="Z1583" s="694"/>
      <c r="AA1583" s="694"/>
      <c r="AB1583" s="729"/>
      <c r="AC1583" s="694"/>
      <c r="AD1583" s="694"/>
      <c r="AE1583" s="343"/>
      <c r="AF1583" s="343"/>
      <c r="AG1583" s="343"/>
      <c r="AH1583" s="343"/>
      <c r="AI1583" s="343"/>
      <c r="AJ1583" s="343"/>
      <c r="AK1583" s="343"/>
      <c r="AL1583" s="343"/>
      <c r="AM1583" s="343"/>
    </row>
    <row r="1584" spans="1:39" ht="12.75" customHeight="1" x14ac:dyDescent="0.25">
      <c r="A1584" s="729"/>
      <c r="B1584" s="284"/>
      <c r="C1584" s="302"/>
      <c r="D1584" s="302"/>
      <c r="E1584" s="2855" t="str">
        <f>Translations!$B$1532</f>
        <v>https://eur-lex.europa.eu/eli/reg/2010/860/oj</v>
      </c>
      <c r="F1584" s="2899"/>
      <c r="G1584" s="2899"/>
      <c r="H1584" s="2899"/>
      <c r="I1584" s="2899"/>
      <c r="J1584" s="2899"/>
      <c r="K1584" s="2899"/>
      <c r="L1584" s="2899"/>
      <c r="M1584" s="2899"/>
      <c r="N1584" s="2899"/>
      <c r="O1584" s="336"/>
      <c r="P1584" s="336"/>
      <c r="Q1584" s="770"/>
      <c r="R1584" s="694"/>
      <c r="S1584" s="694"/>
      <c r="T1584" s="694"/>
      <c r="U1584" s="694"/>
      <c r="V1584" s="694"/>
      <c r="W1584" s="694"/>
      <c r="X1584" s="694"/>
      <c r="Y1584" s="694"/>
      <c r="Z1584" s="694"/>
      <c r="AA1584" s="694"/>
      <c r="AB1584" s="729"/>
      <c r="AC1584" s="694"/>
      <c r="AD1584" s="694"/>
      <c r="AE1584" s="343"/>
      <c r="AF1584" s="343"/>
      <c r="AG1584" s="343"/>
      <c r="AH1584" s="343"/>
      <c r="AI1584" s="343"/>
      <c r="AJ1584" s="343"/>
      <c r="AK1584" s="343"/>
      <c r="AL1584" s="343"/>
      <c r="AM1584" s="343"/>
    </row>
    <row r="1585" spans="1:39" ht="12.75" customHeight="1" x14ac:dyDescent="0.25">
      <c r="A1585" s="729"/>
      <c r="B1585" s="284"/>
      <c r="C1585" s="302"/>
      <c r="D1585" s="302"/>
      <c r="E1585" s="2358" t="str">
        <f>Translations!$B$621</f>
        <v>Ако са обхванати няколко подобни продукта в рамките на една група по NACE, могат да се използват кодовете по NACE вместо по Продком.</v>
      </c>
      <c r="F1585" s="2249"/>
      <c r="G1585" s="2249"/>
      <c r="H1585" s="2249"/>
      <c r="I1585" s="2249"/>
      <c r="J1585" s="2249"/>
      <c r="K1585" s="2249"/>
      <c r="L1585" s="2249"/>
      <c r="M1585" s="2249"/>
      <c r="N1585" s="2249"/>
      <c r="O1585" s="336"/>
      <c r="P1585" s="336"/>
      <c r="Q1585" s="770"/>
      <c r="R1585" s="770"/>
      <c r="S1585" s="770"/>
      <c r="T1585" s="770"/>
      <c r="U1585" s="770"/>
      <c r="V1585" s="770"/>
      <c r="W1585" s="770"/>
      <c r="X1585" s="770"/>
      <c r="Y1585" s="770"/>
      <c r="Z1585" s="694"/>
      <c r="AA1585" s="694"/>
      <c r="AB1585" s="729"/>
      <c r="AC1585" s="694"/>
      <c r="AD1585" s="694"/>
      <c r="AE1585" s="343"/>
      <c r="AF1585" s="343"/>
      <c r="AG1585" s="343"/>
      <c r="AH1585" s="343"/>
      <c r="AI1585" s="343"/>
      <c r="AJ1585" s="343"/>
      <c r="AK1585" s="343"/>
      <c r="AL1585" s="343"/>
      <c r="AM1585" s="343"/>
    </row>
    <row r="1586" spans="1:39" ht="12.75" customHeight="1" x14ac:dyDescent="0.25">
      <c r="A1586" s="729"/>
      <c r="B1586" s="284"/>
      <c r="C1586" s="302"/>
      <c r="D1586" s="302"/>
      <c r="E1586" s="2358" t="str">
        <f>Translations!$B$1520</f>
        <v>Кодовете по КН са кодовете съгласно Регламент (ЕИО) № 2658/87, които са на разположение на следния адрес:</v>
      </c>
      <c r="F1586" s="2249"/>
      <c r="G1586" s="2249"/>
      <c r="H1586" s="2249"/>
      <c r="I1586" s="2249"/>
      <c r="J1586" s="2249"/>
      <c r="K1586" s="2249"/>
      <c r="L1586" s="2249"/>
      <c r="M1586" s="2249"/>
      <c r="N1586" s="2249"/>
      <c r="O1586" s="336"/>
      <c r="P1586" s="336"/>
      <c r="Q1586" s="770"/>
      <c r="R1586" s="770"/>
      <c r="S1586" s="770"/>
      <c r="T1586" s="770"/>
      <c r="U1586" s="770"/>
      <c r="V1586" s="770"/>
      <c r="W1586" s="770"/>
      <c r="X1586" s="770"/>
      <c r="Y1586" s="770"/>
      <c r="Z1586" s="694"/>
      <c r="AA1586" s="694"/>
      <c r="AB1586" s="729"/>
      <c r="AC1586" s="694"/>
      <c r="AD1586" s="694"/>
      <c r="AE1586" s="343"/>
      <c r="AF1586" s="343"/>
      <c r="AG1586" s="343"/>
      <c r="AH1586" s="343"/>
      <c r="AI1586" s="343"/>
      <c r="AJ1586" s="343"/>
      <c r="AK1586" s="343"/>
      <c r="AL1586" s="343"/>
      <c r="AM1586" s="343"/>
    </row>
    <row r="1587" spans="1:39" ht="12.75" customHeight="1" x14ac:dyDescent="0.25">
      <c r="A1587" s="729"/>
      <c r="B1587" s="284"/>
      <c r="C1587" s="302"/>
      <c r="D1587" s="302"/>
      <c r="E1587" s="2855" t="str">
        <f>Translations!$B$1521</f>
        <v>https://eur-lex.europa.eu/eli/reg/1987/2658/2023-06-17</v>
      </c>
      <c r="F1587" s="2899"/>
      <c r="G1587" s="2899"/>
      <c r="H1587" s="2899"/>
      <c r="I1587" s="2899"/>
      <c r="J1587" s="2899"/>
      <c r="K1587" s="2899"/>
      <c r="L1587" s="2899"/>
      <c r="M1587" s="2899"/>
      <c r="N1587" s="2899"/>
      <c r="O1587" s="336"/>
      <c r="P1587" s="336"/>
      <c r="Q1587" s="770"/>
      <c r="R1587" s="770"/>
      <c r="S1587" s="770"/>
      <c r="T1587" s="770"/>
      <c r="U1587" s="770"/>
      <c r="V1587" s="770"/>
      <c r="W1587" s="770"/>
      <c r="X1587" s="770"/>
      <c r="Y1587" s="770"/>
      <c r="Z1587" s="694"/>
      <c r="AA1587" s="694"/>
      <c r="AB1587" s="729"/>
      <c r="AC1587" s="694"/>
      <c r="AD1587" s="694"/>
      <c r="AE1587" s="343"/>
      <c r="AF1587" s="343"/>
      <c r="AG1587" s="343"/>
      <c r="AH1587" s="343"/>
      <c r="AI1587" s="343"/>
      <c r="AJ1587" s="343"/>
      <c r="AK1587" s="343"/>
      <c r="AL1587" s="343"/>
      <c r="AM1587" s="343"/>
    </row>
    <row r="1588" spans="1:39" ht="5.15" customHeight="1" x14ac:dyDescent="0.25">
      <c r="A1588" s="729"/>
      <c r="B1588" s="284"/>
      <c r="C1588" s="302"/>
      <c r="D1588" s="302"/>
      <c r="E1588" s="460"/>
      <c r="F1588" s="460"/>
      <c r="G1588" s="460"/>
      <c r="H1588" s="460"/>
      <c r="I1588" s="460"/>
      <c r="J1588" s="329"/>
      <c r="K1588" s="329"/>
      <c r="L1588" s="329"/>
      <c r="M1588" s="336"/>
      <c r="N1588" s="336"/>
      <c r="O1588" s="336"/>
      <c r="P1588" s="336"/>
      <c r="Q1588" s="770"/>
      <c r="R1588" s="694"/>
      <c r="S1588" s="694"/>
      <c r="T1588" s="694"/>
      <c r="U1588" s="694"/>
      <c r="V1588" s="694"/>
      <c r="W1588" s="694"/>
      <c r="X1588" s="694"/>
      <c r="Y1588" s="694"/>
      <c r="Z1588" s="694"/>
      <c r="AA1588" s="694"/>
      <c r="AB1588" s="729"/>
      <c r="AC1588" s="694"/>
      <c r="AD1588" s="694"/>
      <c r="AE1588" s="343"/>
      <c r="AF1588" s="343"/>
      <c r="AG1588" s="343"/>
      <c r="AH1588" s="343"/>
      <c r="AI1588" s="343"/>
      <c r="AJ1588" s="343"/>
      <c r="AK1588" s="343"/>
      <c r="AL1588" s="343"/>
      <c r="AM1588" s="343"/>
    </row>
    <row r="1589" spans="1:39" ht="25.5" customHeight="1" x14ac:dyDescent="0.25">
      <c r="A1589" s="729"/>
      <c r="B1589" s="698"/>
      <c r="C1589" s="300"/>
      <c r="D1589" s="1014"/>
      <c r="E1589" s="2900" t="str">
        <f>Translations!$B$1561</f>
        <v>Вид технологични емисии</v>
      </c>
      <c r="F1589" s="2901"/>
      <c r="G1589" s="2902" t="str">
        <f>Translations!$B$1557</f>
        <v>Име на продукт или вид услуга</v>
      </c>
      <c r="H1589" s="2463"/>
      <c r="I1589" s="2463"/>
      <c r="J1589" s="2463"/>
      <c r="K1589" s="2463"/>
      <c r="L1589" s="2699"/>
      <c r="M1589" s="1277" t="str">
        <f>Translations!$B$1522</f>
        <v>ПРОДКОМ за 2010 г.</v>
      </c>
      <c r="N1589" s="1277" t="str">
        <f>Translations!$B$1523</f>
        <v>Код по КН</v>
      </c>
      <c r="O1589" s="336"/>
      <c r="P1589" s="336"/>
      <c r="Q1589" s="694"/>
      <c r="R1589" s="694"/>
      <c r="S1589" s="1390" t="s">
        <v>1990</v>
      </c>
      <c r="T1589" s="694"/>
      <c r="U1589" s="694"/>
      <c r="V1589" s="694"/>
      <c r="W1589" s="694"/>
      <c r="X1589" s="694"/>
      <c r="Y1589" s="694"/>
      <c r="Z1589" s="770"/>
      <c r="AA1589" s="770"/>
      <c r="AB1589" s="729"/>
      <c r="AC1589" s="694"/>
      <c r="AD1589" s="694"/>
      <c r="AE1589" s="343"/>
      <c r="AF1589" s="343"/>
      <c r="AG1589" s="343"/>
      <c r="AH1589" s="343"/>
      <c r="AI1589" s="343"/>
      <c r="AJ1589" s="343"/>
      <c r="AK1589" s="343"/>
      <c r="AL1589" s="343"/>
      <c r="AM1589" s="343"/>
    </row>
    <row r="1590" spans="1:39" ht="12.75" customHeight="1" x14ac:dyDescent="0.25">
      <c r="A1590" s="729"/>
      <c r="B1590" s="698"/>
      <c r="C1590" s="773"/>
      <c r="D1590" s="981">
        <v>1</v>
      </c>
      <c r="E1590" s="2420"/>
      <c r="F1590" s="2421"/>
      <c r="G1590" s="2903"/>
      <c r="H1590" s="2904"/>
      <c r="I1590" s="2904"/>
      <c r="J1590" s="2904"/>
      <c r="K1590" s="2904"/>
      <c r="L1590" s="2905"/>
      <c r="M1590" s="221"/>
      <c r="N1590" s="221"/>
      <c r="O1590" s="336"/>
      <c r="P1590" s="158"/>
      <c r="Q1590" s="694"/>
      <c r="R1590" s="1174"/>
      <c r="S1590" s="982" t="b">
        <f>TRUE</f>
        <v>1</v>
      </c>
      <c r="T1590" s="1411" t="s">
        <v>2078</v>
      </c>
      <c r="U1590" s="694"/>
      <c r="V1590" s="694"/>
      <c r="W1590" s="694"/>
      <c r="X1590" s="694"/>
      <c r="Y1590" s="694"/>
      <c r="Z1590" s="694"/>
      <c r="AA1590" s="694"/>
      <c r="AB1590" s="729"/>
      <c r="AC1590" s="694"/>
      <c r="AD1590" s="694"/>
      <c r="AE1590" s="343"/>
      <c r="AF1590" s="343"/>
      <c r="AG1590" s="343"/>
      <c r="AH1590" s="343"/>
      <c r="AI1590" s="343"/>
      <c r="AJ1590" s="343"/>
      <c r="AK1590" s="1174" t="s">
        <v>2039</v>
      </c>
      <c r="AL1590" s="1176" t="str">
        <f>IF(AND($M1556=EUconst_Relevant,COUNTA(E1590:N1590)&lt;IF(C1556=9,2,4)),EUconst_Error&amp;"FB"&amp;Q1556,"")</f>
        <v/>
      </c>
      <c r="AM1590" s="343"/>
    </row>
    <row r="1591" spans="1:39" ht="12.75" customHeight="1" x14ac:dyDescent="0.25">
      <c r="A1591" s="729"/>
      <c r="B1591" s="698"/>
      <c r="C1591" s="773"/>
      <c r="D1591" s="990">
        <f>D1590+1</f>
        <v>2</v>
      </c>
      <c r="E1591" s="2406"/>
      <c r="F1591" s="2405"/>
      <c r="G1591" s="2913"/>
      <c r="H1591" s="2914"/>
      <c r="I1591" s="2914"/>
      <c r="J1591" s="2914"/>
      <c r="K1591" s="2914"/>
      <c r="L1591" s="2915"/>
      <c r="M1591" s="224"/>
      <c r="N1591" s="224"/>
      <c r="O1591" s="336"/>
      <c r="P1591" s="158"/>
      <c r="Q1591" s="694"/>
      <c r="R1591" s="694"/>
      <c r="S1591" s="982" t="b">
        <f>TRUE</f>
        <v>1</v>
      </c>
      <c r="T1591" s="694"/>
      <c r="U1591" s="694"/>
      <c r="V1591" s="694"/>
      <c r="W1591" s="694"/>
      <c r="X1591" s="694"/>
      <c r="Y1591" s="694"/>
      <c r="Z1591" s="694"/>
      <c r="AA1591" s="694"/>
      <c r="AB1591" s="729"/>
      <c r="AC1591" s="694"/>
      <c r="AD1591" s="694"/>
      <c r="AE1591" s="343"/>
      <c r="AF1591" s="343"/>
      <c r="AG1591" s="343"/>
      <c r="AH1591" s="343"/>
      <c r="AI1591" s="343"/>
      <c r="AJ1591" s="343"/>
      <c r="AK1591" s="343"/>
      <c r="AL1591" s="343"/>
      <c r="AM1591" s="343"/>
    </row>
    <row r="1592" spans="1:39" ht="12.75" customHeight="1" x14ac:dyDescent="0.25">
      <c r="A1592" s="729"/>
      <c r="B1592" s="698"/>
      <c r="C1592" s="773"/>
      <c r="D1592" s="990">
        <f t="shared" ref="D1592:D1599" si="2319">D1591+1</f>
        <v>3</v>
      </c>
      <c r="E1592" s="2406"/>
      <c r="F1592" s="2405"/>
      <c r="G1592" s="2913"/>
      <c r="H1592" s="2914"/>
      <c r="I1592" s="2914"/>
      <c r="J1592" s="2914"/>
      <c r="K1592" s="2914"/>
      <c r="L1592" s="2915"/>
      <c r="M1592" s="224"/>
      <c r="N1592" s="224"/>
      <c r="O1592" s="336"/>
      <c r="P1592" s="158"/>
      <c r="Q1592" s="694"/>
      <c r="R1592" s="694"/>
      <c r="S1592" s="982" t="b">
        <f>TRUE</f>
        <v>1</v>
      </c>
      <c r="T1592" s="694"/>
      <c r="U1592" s="694"/>
      <c r="V1592" s="694"/>
      <c r="W1592" s="694"/>
      <c r="X1592" s="694"/>
      <c r="Y1592" s="694"/>
      <c r="Z1592" s="694"/>
      <c r="AA1592" s="694"/>
      <c r="AB1592" s="729"/>
      <c r="AC1592" s="694"/>
      <c r="AD1592" s="694"/>
      <c r="AE1592" s="343"/>
      <c r="AF1592" s="343"/>
      <c r="AG1592" s="343"/>
      <c r="AH1592" s="343"/>
      <c r="AI1592" s="343"/>
      <c r="AJ1592" s="343"/>
      <c r="AK1592" s="343"/>
      <c r="AL1592" s="343"/>
      <c r="AM1592" s="343"/>
    </row>
    <row r="1593" spans="1:39" ht="12.75" customHeight="1" x14ac:dyDescent="0.25">
      <c r="A1593" s="729"/>
      <c r="B1593" s="698"/>
      <c r="C1593" s="773"/>
      <c r="D1593" s="990">
        <f t="shared" si="2319"/>
        <v>4</v>
      </c>
      <c r="E1593" s="2406"/>
      <c r="F1593" s="2405"/>
      <c r="G1593" s="2913"/>
      <c r="H1593" s="2914"/>
      <c r="I1593" s="2914"/>
      <c r="J1593" s="2914"/>
      <c r="K1593" s="2914"/>
      <c r="L1593" s="2915"/>
      <c r="M1593" s="222"/>
      <c r="N1593" s="222"/>
      <c r="O1593" s="336"/>
      <c r="P1593" s="158"/>
      <c r="Q1593" s="694"/>
      <c r="R1593" s="694"/>
      <c r="S1593" s="982" t="b">
        <f>TRUE</f>
        <v>1</v>
      </c>
      <c r="T1593" s="694"/>
      <c r="U1593" s="694"/>
      <c r="V1593" s="694"/>
      <c r="W1593" s="694"/>
      <c r="X1593" s="694"/>
      <c r="Y1593" s="694"/>
      <c r="Z1593" s="694"/>
      <c r="AA1593" s="694"/>
      <c r="AB1593" s="729"/>
      <c r="AC1593" s="694"/>
      <c r="AD1593" s="694"/>
      <c r="AE1593" s="343"/>
      <c r="AF1593" s="343"/>
      <c r="AG1593" s="343"/>
      <c r="AH1593" s="343"/>
      <c r="AI1593" s="343"/>
      <c r="AJ1593" s="343"/>
      <c r="AK1593" s="343"/>
      <c r="AL1593" s="343"/>
      <c r="AM1593" s="343"/>
    </row>
    <row r="1594" spans="1:39" ht="12.75" customHeight="1" x14ac:dyDescent="0.25">
      <c r="A1594" s="729"/>
      <c r="B1594" s="698"/>
      <c r="C1594" s="773"/>
      <c r="D1594" s="990">
        <f t="shared" si="2319"/>
        <v>5</v>
      </c>
      <c r="E1594" s="2406"/>
      <c r="F1594" s="2405"/>
      <c r="G1594" s="2913"/>
      <c r="H1594" s="2914"/>
      <c r="I1594" s="2914"/>
      <c r="J1594" s="2914"/>
      <c r="K1594" s="2914"/>
      <c r="L1594" s="2915"/>
      <c r="M1594" s="222"/>
      <c r="N1594" s="222"/>
      <c r="O1594" s="336"/>
      <c r="P1594" s="158"/>
      <c r="Q1594" s="694"/>
      <c r="R1594" s="694"/>
      <c r="S1594" s="982" t="b">
        <f>TRUE</f>
        <v>1</v>
      </c>
      <c r="T1594" s="694"/>
      <c r="U1594" s="694"/>
      <c r="V1594" s="694"/>
      <c r="W1594" s="694"/>
      <c r="X1594" s="694"/>
      <c r="Y1594" s="694"/>
      <c r="Z1594" s="770"/>
      <c r="AA1594" s="770"/>
      <c r="AB1594" s="729"/>
      <c r="AC1594" s="694"/>
      <c r="AD1594" s="694"/>
      <c r="AE1594" s="343"/>
      <c r="AF1594" s="343"/>
      <c r="AG1594" s="343"/>
      <c r="AH1594" s="343"/>
      <c r="AI1594" s="343"/>
      <c r="AJ1594" s="343"/>
      <c r="AK1594" s="343"/>
      <c r="AL1594" s="343"/>
      <c r="AM1594" s="343"/>
    </row>
    <row r="1595" spans="1:39" ht="12.75" customHeight="1" x14ac:dyDescent="0.25">
      <c r="A1595" s="729"/>
      <c r="B1595" s="698"/>
      <c r="C1595" s="773"/>
      <c r="D1595" s="990">
        <f t="shared" si="2319"/>
        <v>6</v>
      </c>
      <c r="E1595" s="2406"/>
      <c r="F1595" s="2405"/>
      <c r="G1595" s="2907"/>
      <c r="H1595" s="2908"/>
      <c r="I1595" s="2908"/>
      <c r="J1595" s="2908"/>
      <c r="K1595" s="2908"/>
      <c r="L1595" s="2909"/>
      <c r="M1595" s="222"/>
      <c r="N1595" s="222"/>
      <c r="O1595" s="336"/>
      <c r="P1595" s="158"/>
      <c r="Q1595" s="694"/>
      <c r="R1595" s="694"/>
      <c r="S1595" s="982" t="b">
        <f>TRUE</f>
        <v>1</v>
      </c>
      <c r="T1595" s="694"/>
      <c r="U1595" s="694"/>
      <c r="V1595" s="694"/>
      <c r="W1595" s="694"/>
      <c r="X1595" s="694"/>
      <c r="Y1595" s="694"/>
      <c r="Z1595" s="694"/>
      <c r="AA1595" s="694"/>
      <c r="AB1595" s="729"/>
      <c r="AC1595" s="694"/>
      <c r="AD1595" s="694"/>
      <c r="AE1595" s="343"/>
      <c r="AF1595" s="343"/>
      <c r="AG1595" s="343"/>
      <c r="AH1595" s="343"/>
      <c r="AI1595" s="343"/>
      <c r="AJ1595" s="343"/>
      <c r="AK1595" s="343"/>
      <c r="AL1595" s="343"/>
      <c r="AM1595" s="343"/>
    </row>
    <row r="1596" spans="1:39" ht="12.75" customHeight="1" x14ac:dyDescent="0.25">
      <c r="A1596" s="729"/>
      <c r="B1596" s="698"/>
      <c r="C1596" s="773"/>
      <c r="D1596" s="990">
        <f t="shared" si="2319"/>
        <v>7</v>
      </c>
      <c r="E1596" s="2406"/>
      <c r="F1596" s="2405"/>
      <c r="G1596" s="2907"/>
      <c r="H1596" s="2908"/>
      <c r="I1596" s="2908"/>
      <c r="J1596" s="2908"/>
      <c r="K1596" s="2908"/>
      <c r="L1596" s="2909"/>
      <c r="M1596" s="222"/>
      <c r="N1596" s="222"/>
      <c r="O1596" s="336"/>
      <c r="P1596" s="158"/>
      <c r="Q1596" s="694"/>
      <c r="R1596" s="694"/>
      <c r="S1596" s="982" t="b">
        <f>TRUE</f>
        <v>1</v>
      </c>
      <c r="T1596" s="694"/>
      <c r="U1596" s="694"/>
      <c r="V1596" s="694"/>
      <c r="W1596" s="694"/>
      <c r="X1596" s="694"/>
      <c r="Y1596" s="694"/>
      <c r="Z1596" s="694"/>
      <c r="AA1596" s="694"/>
      <c r="AB1596" s="729"/>
      <c r="AC1596" s="694"/>
      <c r="AD1596" s="694"/>
      <c r="AE1596" s="343"/>
      <c r="AF1596" s="343"/>
      <c r="AG1596" s="343"/>
      <c r="AH1596" s="343"/>
      <c r="AI1596" s="343"/>
      <c r="AJ1596" s="343"/>
      <c r="AK1596" s="343"/>
      <c r="AL1596" s="343"/>
      <c r="AM1596" s="343"/>
    </row>
    <row r="1597" spans="1:39" ht="12.75" customHeight="1" x14ac:dyDescent="0.25">
      <c r="A1597" s="729"/>
      <c r="B1597" s="698"/>
      <c r="C1597" s="773"/>
      <c r="D1597" s="990">
        <f t="shared" si="2319"/>
        <v>8</v>
      </c>
      <c r="E1597" s="2406"/>
      <c r="F1597" s="2405"/>
      <c r="G1597" s="2907"/>
      <c r="H1597" s="2908"/>
      <c r="I1597" s="2908"/>
      <c r="J1597" s="2908"/>
      <c r="K1597" s="2908"/>
      <c r="L1597" s="2909"/>
      <c r="M1597" s="222"/>
      <c r="N1597" s="222"/>
      <c r="O1597" s="336"/>
      <c r="P1597" s="158"/>
      <c r="Q1597" s="694"/>
      <c r="R1597" s="694"/>
      <c r="S1597" s="982" t="b">
        <f>TRUE</f>
        <v>1</v>
      </c>
      <c r="T1597" s="694"/>
      <c r="U1597" s="694"/>
      <c r="V1597" s="694"/>
      <c r="W1597" s="694"/>
      <c r="X1597" s="694"/>
      <c r="Y1597" s="694"/>
      <c r="Z1597" s="694"/>
      <c r="AA1597" s="694"/>
      <c r="AB1597" s="729"/>
      <c r="AC1597" s="694"/>
      <c r="AD1597" s="694"/>
      <c r="AE1597" s="343"/>
      <c r="AF1597" s="343"/>
      <c r="AG1597" s="343"/>
      <c r="AH1597" s="343"/>
      <c r="AI1597" s="343"/>
      <c r="AJ1597" s="343"/>
      <c r="AK1597" s="343"/>
      <c r="AL1597" s="343"/>
      <c r="AM1597" s="343"/>
    </row>
    <row r="1598" spans="1:39" ht="12.75" customHeight="1" x14ac:dyDescent="0.25">
      <c r="A1598" s="729"/>
      <c r="B1598" s="698"/>
      <c r="C1598" s="773"/>
      <c r="D1598" s="990">
        <f t="shared" si="2319"/>
        <v>9</v>
      </c>
      <c r="E1598" s="2406"/>
      <c r="F1598" s="2405"/>
      <c r="G1598" s="2907"/>
      <c r="H1598" s="2908"/>
      <c r="I1598" s="2908"/>
      <c r="J1598" s="2908"/>
      <c r="K1598" s="2908"/>
      <c r="L1598" s="2909"/>
      <c r="M1598" s="222"/>
      <c r="N1598" s="222"/>
      <c r="O1598" s="336"/>
      <c r="P1598" s="158"/>
      <c r="Q1598" s="694"/>
      <c r="R1598" s="694"/>
      <c r="S1598" s="982" t="b">
        <f>TRUE</f>
        <v>1</v>
      </c>
      <c r="T1598" s="694"/>
      <c r="U1598" s="694"/>
      <c r="V1598" s="694"/>
      <c r="W1598" s="694"/>
      <c r="X1598" s="694"/>
      <c r="Y1598" s="694"/>
      <c r="Z1598" s="694"/>
      <c r="AA1598" s="694"/>
      <c r="AB1598" s="729"/>
      <c r="AC1598" s="694"/>
      <c r="AD1598" s="694"/>
      <c r="AE1598" s="343"/>
      <c r="AF1598" s="343"/>
      <c r="AG1598" s="343"/>
      <c r="AH1598" s="343"/>
      <c r="AI1598" s="343"/>
      <c r="AJ1598" s="343"/>
      <c r="AK1598" s="343"/>
      <c r="AL1598" s="343"/>
      <c r="AM1598" s="343"/>
    </row>
    <row r="1599" spans="1:39" ht="12.75" customHeight="1" x14ac:dyDescent="0.25">
      <c r="A1599" s="729"/>
      <c r="B1599" s="698"/>
      <c r="C1599" s="773"/>
      <c r="D1599" s="994">
        <f t="shared" si="2319"/>
        <v>10</v>
      </c>
      <c r="E1599" s="2417"/>
      <c r="F1599" s="2403"/>
      <c r="G1599" s="2910"/>
      <c r="H1599" s="2911"/>
      <c r="I1599" s="2911"/>
      <c r="J1599" s="2911"/>
      <c r="K1599" s="2911"/>
      <c r="L1599" s="2912"/>
      <c r="M1599" s="223"/>
      <c r="N1599" s="223"/>
      <c r="O1599" s="336"/>
      <c r="P1599" s="158"/>
      <c r="Q1599" s="694"/>
      <c r="R1599" s="694"/>
      <c r="S1599" s="982" t="b">
        <f>TRUE</f>
        <v>1</v>
      </c>
      <c r="T1599" s="694"/>
      <c r="U1599" s="694"/>
      <c r="V1599" s="694"/>
      <c r="W1599" s="694"/>
      <c r="X1599" s="694"/>
      <c r="Y1599" s="694"/>
      <c r="Z1599" s="770"/>
      <c r="AA1599" s="770"/>
      <c r="AB1599" s="729"/>
      <c r="AC1599" s="694"/>
      <c r="AD1599" s="694"/>
      <c r="AE1599" s="343"/>
      <c r="AF1599" s="343"/>
      <c r="AG1599" s="343"/>
      <c r="AH1599" s="343"/>
      <c r="AI1599" s="343"/>
      <c r="AJ1599" s="343"/>
      <c r="AK1599" s="343"/>
      <c r="AL1599" s="343"/>
      <c r="AM1599" s="343"/>
    </row>
    <row r="1600" spans="1:39" ht="5.15" customHeight="1" x14ac:dyDescent="0.25">
      <c r="A1600" s="729"/>
      <c r="B1600" s="284"/>
      <c r="C1600" s="284"/>
      <c r="D1600" s="284"/>
      <c r="E1600" s="284"/>
      <c r="F1600" s="284"/>
      <c r="G1600" s="284"/>
      <c r="H1600" s="284"/>
      <c r="I1600" s="284"/>
      <c r="J1600" s="284"/>
      <c r="K1600" s="284"/>
      <c r="L1600" s="284"/>
      <c r="M1600" s="284"/>
      <c r="N1600" s="284"/>
      <c r="O1600" s="336"/>
      <c r="P1600" s="336"/>
      <c r="Q1600" s="770"/>
      <c r="R1600" s="770"/>
      <c r="S1600" s="694"/>
      <c r="T1600" s="694"/>
      <c r="U1600" s="694"/>
      <c r="V1600" s="694"/>
      <c r="W1600" s="694"/>
      <c r="X1600" s="694"/>
      <c r="Y1600" s="694"/>
      <c r="Z1600" s="694"/>
      <c r="AA1600" s="694"/>
      <c r="AB1600" s="729"/>
      <c r="AC1600" s="694"/>
      <c r="AD1600" s="694"/>
      <c r="AE1600" s="343"/>
      <c r="AF1600" s="343"/>
      <c r="AG1600" s="343"/>
      <c r="AH1600" s="343"/>
      <c r="AI1600" s="343"/>
      <c r="AJ1600" s="343"/>
      <c r="AK1600" s="343"/>
      <c r="AL1600" s="343"/>
      <c r="AM1600" s="343"/>
    </row>
    <row r="1601" spans="1:39" ht="12.75" customHeight="1" x14ac:dyDescent="0.25">
      <c r="A1601" s="729"/>
      <c r="B1601" s="284"/>
      <c r="C1601" s="300"/>
      <c r="D1601" s="300"/>
      <c r="E1601" s="2226" t="str">
        <f>Translations!$B$625</f>
        <v>Равнища на производство:</v>
      </c>
      <c r="F1601" s="2249"/>
      <c r="G1601" s="2249"/>
      <c r="H1601" s="2249"/>
      <c r="I1601" s="2249"/>
      <c r="J1601" s="2249"/>
      <c r="K1601" s="2249"/>
      <c r="L1601" s="2249"/>
      <c r="M1601" s="2249"/>
      <c r="N1601" s="2249"/>
      <c r="O1601" s="336"/>
      <c r="P1601" s="336"/>
      <c r="Q1601" s="770"/>
      <c r="R1601" s="694"/>
      <c r="S1601" s="694"/>
      <c r="T1601" s="694"/>
      <c r="U1601" s="694"/>
      <c r="V1601" s="694"/>
      <c r="W1601" s="694"/>
      <c r="X1601" s="694"/>
      <c r="Y1601" s="694"/>
      <c r="Z1601" s="694"/>
      <c r="AA1601" s="694"/>
      <c r="AB1601" s="729"/>
      <c r="AC1601" s="694"/>
      <c r="AD1601" s="694"/>
      <c r="AE1601" s="343"/>
      <c r="AF1601" s="343"/>
      <c r="AG1601" s="343"/>
      <c r="AH1601" s="343"/>
      <c r="AI1601" s="343"/>
      <c r="AJ1601" s="343"/>
      <c r="AK1601" s="343"/>
      <c r="AL1601" s="343"/>
      <c r="AM1601" s="343"/>
    </row>
    <row r="1602" spans="1:39" ht="25.5" customHeight="1" x14ac:dyDescent="0.25">
      <c r="A1602" s="729"/>
      <c r="B1602" s="284"/>
      <c r="C1602" s="300"/>
      <c r="D1602" s="300"/>
      <c r="E1602" s="2358" t="str">
        <f>Translations!$B$1533</f>
        <v>Следва да се отбележи, че правилото за енергийната ефективност може да се приложи само в случай на производството на конкретен продукт. Следователно, ако за даден продукт не може да бъде определен код по ПРОДКОМ, това правило не може да се прилага и очакваните равнища на дейност ще бъдат равни на действителните равнища на дейност (т.е. ще се отчитат спрямо оставащото AL), без никаква корекция.</v>
      </c>
      <c r="F1602" s="2249"/>
      <c r="G1602" s="2249"/>
      <c r="H1602" s="2249"/>
      <c r="I1602" s="2249"/>
      <c r="J1602" s="2249"/>
      <c r="K1602" s="2249"/>
      <c r="L1602" s="2249"/>
      <c r="M1602" s="2249"/>
      <c r="N1602" s="2249"/>
      <c r="O1602" s="336"/>
      <c r="P1602" s="336"/>
      <c r="Q1602" s="770"/>
      <c r="R1602" s="694"/>
      <c r="S1602" s="694"/>
      <c r="T1602" s="694"/>
      <c r="U1602" s="694"/>
      <c r="V1602" s="694"/>
      <c r="W1602" s="694"/>
      <c r="X1602" s="694"/>
      <c r="Y1602" s="694"/>
      <c r="Z1602" s="694"/>
      <c r="AA1602" s="694"/>
      <c r="AB1602" s="729"/>
      <c r="AC1602" s="694"/>
      <c r="AD1602" s="694"/>
      <c r="AE1602" s="343"/>
      <c r="AF1602" s="343"/>
      <c r="AG1602" s="343"/>
      <c r="AH1602" s="343"/>
      <c r="AI1602" s="343"/>
      <c r="AJ1602" s="343"/>
      <c r="AK1602" s="343"/>
      <c r="AL1602" s="343"/>
      <c r="AM1602" s="343"/>
    </row>
    <row r="1603" spans="1:39" ht="12.75" customHeight="1" x14ac:dyDescent="0.25">
      <c r="A1603" s="729"/>
      <c r="B1603" s="284"/>
      <c r="C1603" s="300"/>
      <c r="D1603" s="300"/>
      <c r="E1603" s="2358" t="str">
        <f>Translations!$B$1534</f>
        <v>Стойността в НМИ се отнася до средното производство през историческия базов период, както е обяснено в раздели 2.3 и 3 от Ръководство № 7.</v>
      </c>
      <c r="F1603" s="2249"/>
      <c r="G1603" s="2249"/>
      <c r="H1603" s="2249"/>
      <c r="I1603" s="2249"/>
      <c r="J1603" s="2249"/>
      <c r="K1603" s="2249"/>
      <c r="L1603" s="2249"/>
      <c r="M1603" s="2249"/>
      <c r="N1603" s="2249"/>
      <c r="O1603" s="336"/>
      <c r="P1603" s="336"/>
      <c r="Q1603" s="770"/>
      <c r="R1603" s="694"/>
      <c r="S1603" s="694"/>
      <c r="T1603" s="694"/>
      <c r="U1603" s="694"/>
      <c r="V1603" s="694"/>
      <c r="W1603" s="694"/>
      <c r="X1603" s="694"/>
      <c r="Y1603" s="694"/>
      <c r="Z1603" s="694"/>
      <c r="AA1603" s="694"/>
      <c r="AB1603" s="729"/>
      <c r="AC1603" s="694"/>
      <c r="AD1603" s="694"/>
      <c r="AE1603" s="343"/>
      <c r="AF1603" s="343"/>
      <c r="AG1603" s="343"/>
      <c r="AH1603" s="343"/>
      <c r="AI1603" s="343"/>
      <c r="AJ1603" s="343"/>
      <c r="AK1603" s="343"/>
      <c r="AL1603" s="343"/>
      <c r="AM1603" s="343"/>
    </row>
    <row r="1604" spans="1:39" ht="5.15" customHeight="1" x14ac:dyDescent="0.25">
      <c r="A1604" s="729"/>
      <c r="B1604" s="284"/>
      <c r="C1604" s="302"/>
      <c r="D1604" s="302"/>
      <c r="E1604" s="460"/>
      <c r="F1604" s="460"/>
      <c r="G1604" s="460"/>
      <c r="H1604" s="460"/>
      <c r="I1604" s="460"/>
      <c r="J1604" s="329"/>
      <c r="K1604" s="329"/>
      <c r="L1604" s="329"/>
      <c r="M1604" s="336"/>
      <c r="N1604" s="336"/>
      <c r="O1604" s="336"/>
      <c r="P1604" s="336"/>
      <c r="Q1604" s="770"/>
      <c r="R1604" s="694"/>
      <c r="S1604" s="694"/>
      <c r="T1604" s="694"/>
      <c r="U1604" s="694"/>
      <c r="V1604" s="694"/>
      <c r="W1604" s="694"/>
      <c r="X1604" s="694"/>
      <c r="Y1604" s="694"/>
      <c r="Z1604" s="694"/>
      <c r="AA1604" s="694"/>
      <c r="AB1604" s="729"/>
      <c r="AC1604" s="694"/>
      <c r="AD1604" s="694"/>
      <c r="AE1604" s="343"/>
      <c r="AF1604" s="343"/>
      <c r="AG1604" s="343"/>
      <c r="AH1604" s="343"/>
      <c r="AI1604" s="343"/>
      <c r="AJ1604" s="343"/>
      <c r="AK1604" s="343"/>
      <c r="AL1604" s="343"/>
      <c r="AM1604" s="343"/>
    </row>
    <row r="1605" spans="1:39" s="1423" customFormat="1" ht="25.5" customHeight="1" thickBot="1" x14ac:dyDescent="0.35">
      <c r="A1605" s="729"/>
      <c r="B1605" s="1412"/>
      <c r="C1605" s="1413"/>
      <c r="D1605" s="1414"/>
      <c r="E1605" s="1415" t="str">
        <f>G1589</f>
        <v>Име на продукт или вид услуга</v>
      </c>
      <c r="F1605" s="1416" t="str">
        <f>EUconst_Unit</f>
        <v>Единица мярка</v>
      </c>
      <c r="G1605" s="1419" t="str">
        <f>Translations!$B$1336</f>
        <v>Стойност в НМИ</v>
      </c>
      <c r="H1605" s="1418">
        <f t="shared" ref="H1605:N1605" si="2320">H$1840</f>
        <v>2024</v>
      </c>
      <c r="I1605" s="1419">
        <f t="shared" si="2320"/>
        <v>2025</v>
      </c>
      <c r="J1605" s="1418">
        <f t="shared" si="2320"/>
        <v>2026</v>
      </c>
      <c r="K1605" s="1420">
        <f t="shared" si="2320"/>
        <v>2027</v>
      </c>
      <c r="L1605" s="1420">
        <f t="shared" si="2320"/>
        <v>2028</v>
      </c>
      <c r="M1605" s="1420">
        <f t="shared" si="2320"/>
        <v>2029</v>
      </c>
      <c r="N1605" s="1420">
        <f t="shared" si="2320"/>
        <v>2030</v>
      </c>
      <c r="O1605" s="336"/>
      <c r="P1605" s="336"/>
      <c r="Q1605" s="1421"/>
      <c r="R1605" s="1421"/>
      <c r="S1605" s="1421"/>
      <c r="T1605" s="1421"/>
      <c r="U1605" s="1421"/>
      <c r="V1605" s="1421"/>
      <c r="W1605" s="1421"/>
      <c r="X1605" s="1421"/>
      <c r="Y1605" s="1421"/>
      <c r="Z1605" s="1421"/>
      <c r="AA1605" s="1421"/>
      <c r="AB1605" s="770" t="str">
        <f>Translations!$B$1284</f>
        <v>HAL</v>
      </c>
      <c r="AC1605" s="1421">
        <f t="shared" ref="AC1605" si="2321">H1605</f>
        <v>2024</v>
      </c>
      <c r="AD1605" s="1421">
        <f t="shared" ref="AD1605" si="2322">I1605</f>
        <v>2025</v>
      </c>
      <c r="AE1605" s="1421">
        <f t="shared" ref="AE1605" si="2323">J1605</f>
        <v>2026</v>
      </c>
      <c r="AF1605" s="1421">
        <f t="shared" ref="AF1605" si="2324">K1605</f>
        <v>2027</v>
      </c>
      <c r="AG1605" s="1421">
        <f t="shared" ref="AG1605" si="2325">L1605</f>
        <v>2028</v>
      </c>
      <c r="AH1605" s="1422">
        <f t="shared" ref="AH1605" si="2326">M1605</f>
        <v>2029</v>
      </c>
      <c r="AI1605" s="1422">
        <f t="shared" ref="AI1605" si="2327">N1605</f>
        <v>2030</v>
      </c>
      <c r="AJ1605" s="1422"/>
      <c r="AK1605" s="1422"/>
      <c r="AL1605" s="1422"/>
      <c r="AM1605" s="1422"/>
    </row>
    <row r="1606" spans="1:39" ht="12.75" customHeight="1" x14ac:dyDescent="0.25">
      <c r="A1606" s="729"/>
      <c r="B1606" s="698"/>
      <c r="C1606" s="2906" t="str">
        <f>Translations!$B$625</f>
        <v>Равнища на производство:</v>
      </c>
      <c r="D1606" s="981">
        <v>1</v>
      </c>
      <c r="E1606" s="1424" t="str">
        <f t="shared" ref="E1606:E1615" si="2328">IF(ISBLANK(G1590),"",G1590)</f>
        <v/>
      </c>
      <c r="F1606" s="177"/>
      <c r="G1606" s="46"/>
      <c r="H1606" s="116"/>
      <c r="I1606" s="46"/>
      <c r="J1606" s="116"/>
      <c r="K1606" s="40"/>
      <c r="L1606" s="40"/>
      <c r="M1606" s="40"/>
      <c r="N1606" s="40"/>
      <c r="O1606" s="336"/>
      <c r="P1606" s="158"/>
      <c r="Q1606" s="694"/>
      <c r="R1606" s="694"/>
      <c r="S1606" s="694"/>
      <c r="T1606" s="694"/>
      <c r="U1606" s="694"/>
      <c r="V1606" s="694"/>
      <c r="W1606" s="694"/>
      <c r="X1606" s="694"/>
      <c r="Y1606" s="694"/>
      <c r="Z1606" s="1182" t="s">
        <v>1757</v>
      </c>
      <c r="AA1606" s="1425">
        <f>MAX(AC1606:AI1606)</f>
        <v>2</v>
      </c>
      <c r="AB1606" s="1426">
        <f>IF(CNTR_ExistSubInstEntries,IF(OR($M1556&lt;&gt;EUconst_Relevant,$V1556&gt;($H$1840-1),$E1606=""),0,2),2)</f>
        <v>2</v>
      </c>
      <c r="AC1606" s="1426">
        <f t="shared" ref="AC1606:AI1606" si="2329">IF(CNTR_ExistSubInstEntries,IF(OR($M1556&lt;&gt;EUconst_Relevant,AC1605&gt;=CNTR_ReportingYear,AC1605&lt;$V1556-1,$E1606=""),0,2),2)</f>
        <v>2</v>
      </c>
      <c r="AD1606" s="1427">
        <f t="shared" si="2329"/>
        <v>2</v>
      </c>
      <c r="AE1606" s="1427">
        <f t="shared" si="2329"/>
        <v>2</v>
      </c>
      <c r="AF1606" s="1427">
        <f t="shared" si="2329"/>
        <v>2</v>
      </c>
      <c r="AG1606" s="1427">
        <f t="shared" si="2329"/>
        <v>2</v>
      </c>
      <c r="AH1606" s="1428">
        <f t="shared" si="2329"/>
        <v>2</v>
      </c>
      <c r="AI1606" s="1429">
        <f t="shared" si="2329"/>
        <v>2</v>
      </c>
      <c r="AJ1606" s="343"/>
      <c r="AK1606" s="1174" t="s">
        <v>2039</v>
      </c>
      <c r="AL1606" s="1176" t="str">
        <f>IF(AND(CNTR_ExistSubInstEntries,COUNTIFS(AB1606:AI1606,2,G1606:N1606,"")&gt;0),EUconst_Error&amp;"FB"&amp;Q1556,"")</f>
        <v/>
      </c>
      <c r="AM1606" s="343"/>
    </row>
    <row r="1607" spans="1:39" ht="12.75" customHeight="1" x14ac:dyDescent="0.25">
      <c r="A1607" s="729"/>
      <c r="B1607" s="698"/>
      <c r="C1607" s="2906"/>
      <c r="D1607" s="990">
        <f>D1606+1</f>
        <v>2</v>
      </c>
      <c r="E1607" s="1430" t="str">
        <f t="shared" si="2328"/>
        <v/>
      </c>
      <c r="F1607" s="273"/>
      <c r="G1607" s="47"/>
      <c r="H1607" s="119"/>
      <c r="I1607" s="47"/>
      <c r="J1607" s="119"/>
      <c r="K1607" s="43"/>
      <c r="L1607" s="43"/>
      <c r="M1607" s="43"/>
      <c r="N1607" s="43"/>
      <c r="O1607" s="336"/>
      <c r="P1607" s="158"/>
      <c r="Q1607" s="694"/>
      <c r="R1607" s="694"/>
      <c r="S1607" s="694"/>
      <c r="T1607" s="694"/>
      <c r="U1607" s="694"/>
      <c r="V1607" s="694"/>
      <c r="W1607" s="694"/>
      <c r="X1607" s="694"/>
      <c r="Y1607" s="694"/>
      <c r="Z1607" s="694"/>
      <c r="AA1607" s="1431">
        <f t="shared" ref="AA1607:AA1615" si="2330">MAX(AC1607:AI1607)</f>
        <v>2</v>
      </c>
      <c r="AB1607" s="1432">
        <f>IF(CNTR_ExistSubInstEntries,IF(OR($M1556&lt;&gt;EUconst_Relevant,$V1556&gt;($H$1840-1),$E1607=""),0,2),2)</f>
        <v>2</v>
      </c>
      <c r="AC1607" s="1432">
        <f t="shared" ref="AC1607:AI1607" si="2331">IF(CNTR_ExistSubInstEntries,IF(OR($M1556&lt;&gt;EUconst_Relevant,AC1605&gt;=CNTR_ReportingYear,AC1605&lt;$V1556-1,$E1607=""),0,2),2)</f>
        <v>2</v>
      </c>
      <c r="AD1607" s="1432">
        <f t="shared" si="2331"/>
        <v>2</v>
      </c>
      <c r="AE1607" s="1432">
        <f t="shared" si="2331"/>
        <v>2</v>
      </c>
      <c r="AF1607" s="1432">
        <f t="shared" si="2331"/>
        <v>2</v>
      </c>
      <c r="AG1607" s="1432">
        <f t="shared" si="2331"/>
        <v>2</v>
      </c>
      <c r="AH1607" s="1433">
        <f t="shared" si="2331"/>
        <v>2</v>
      </c>
      <c r="AI1607" s="1434">
        <f t="shared" si="2331"/>
        <v>2</v>
      </c>
      <c r="AJ1607" s="343"/>
      <c r="AK1607" s="1174" t="s">
        <v>2039</v>
      </c>
      <c r="AL1607" s="1176" t="str">
        <f>IF(AND(CNTR_ExistSubInstEntries,COUNTIFS(AB1607:AI1607,2,G1607:N1607,"")&gt;0),EUconst_Error&amp;"FB"&amp;Q1556,"")</f>
        <v/>
      </c>
      <c r="AM1607" s="343"/>
    </row>
    <row r="1608" spans="1:39" ht="12.75" customHeight="1" x14ac:dyDescent="0.25">
      <c r="A1608" s="729"/>
      <c r="B1608" s="698"/>
      <c r="C1608" s="2906"/>
      <c r="D1608" s="990">
        <f t="shared" ref="D1608:D1615" si="2332">D1607+1</f>
        <v>3</v>
      </c>
      <c r="E1608" s="1430" t="str">
        <f t="shared" si="2328"/>
        <v/>
      </c>
      <c r="F1608" s="273"/>
      <c r="G1608" s="268"/>
      <c r="H1608" s="119"/>
      <c r="I1608" s="47"/>
      <c r="J1608" s="119"/>
      <c r="K1608" s="43"/>
      <c r="L1608" s="43"/>
      <c r="M1608" s="43"/>
      <c r="N1608" s="43"/>
      <c r="O1608" s="336"/>
      <c r="P1608" s="158"/>
      <c r="Q1608" s="694"/>
      <c r="R1608" s="694"/>
      <c r="S1608" s="694"/>
      <c r="T1608" s="694"/>
      <c r="U1608" s="694"/>
      <c r="V1608" s="694"/>
      <c r="W1608" s="694"/>
      <c r="X1608" s="694"/>
      <c r="Y1608" s="694"/>
      <c r="Z1608" s="694"/>
      <c r="AA1608" s="1431">
        <f t="shared" si="2330"/>
        <v>2</v>
      </c>
      <c r="AB1608" s="1432">
        <f>IF(CNTR_ExistSubInstEntries,IF(OR($M1556&lt;&gt;EUconst_Relevant,$V1556&gt;($H$1840-1),$E1608=""),0,2),2)</f>
        <v>2</v>
      </c>
      <c r="AC1608" s="1432">
        <f t="shared" ref="AC1608:AI1608" si="2333">IF(CNTR_ExistSubInstEntries,IF(OR($M1556&lt;&gt;EUconst_Relevant,AC1605&gt;=CNTR_ReportingYear,AC1605&lt;$V1556-1,$E1608=""),0,2),2)</f>
        <v>2</v>
      </c>
      <c r="AD1608" s="1432">
        <f t="shared" si="2333"/>
        <v>2</v>
      </c>
      <c r="AE1608" s="1432">
        <f t="shared" si="2333"/>
        <v>2</v>
      </c>
      <c r="AF1608" s="1432">
        <f t="shared" si="2333"/>
        <v>2</v>
      </c>
      <c r="AG1608" s="1432">
        <f t="shared" si="2333"/>
        <v>2</v>
      </c>
      <c r="AH1608" s="1433">
        <f t="shared" si="2333"/>
        <v>2</v>
      </c>
      <c r="AI1608" s="1434">
        <f t="shared" si="2333"/>
        <v>2</v>
      </c>
      <c r="AJ1608" s="343"/>
      <c r="AK1608" s="1174" t="s">
        <v>2039</v>
      </c>
      <c r="AL1608" s="1176" t="str">
        <f>IF(AND(CNTR_ExistSubInstEntries,COUNTIFS(AB1608:AI1608,2,G1608:N1608,"")&gt;0),EUconst_Error&amp;"FB"&amp;Q1556,"")</f>
        <v/>
      </c>
      <c r="AM1608" s="343"/>
    </row>
    <row r="1609" spans="1:39" ht="12.75" customHeight="1" x14ac:dyDescent="0.25">
      <c r="A1609" s="729"/>
      <c r="B1609" s="698"/>
      <c r="C1609" s="2906"/>
      <c r="D1609" s="990">
        <f t="shared" si="2332"/>
        <v>4</v>
      </c>
      <c r="E1609" s="1430" t="str">
        <f t="shared" si="2328"/>
        <v/>
      </c>
      <c r="F1609" s="271"/>
      <c r="G1609" s="47"/>
      <c r="H1609" s="119"/>
      <c r="I1609" s="124"/>
      <c r="J1609" s="119"/>
      <c r="K1609" s="43"/>
      <c r="L1609" s="43"/>
      <c r="M1609" s="43"/>
      <c r="N1609" s="43"/>
      <c r="O1609" s="336"/>
      <c r="P1609" s="158"/>
      <c r="Q1609" s="694"/>
      <c r="R1609" s="694"/>
      <c r="S1609" s="694"/>
      <c r="T1609" s="694"/>
      <c r="U1609" s="729"/>
      <c r="V1609" s="729"/>
      <c r="W1609" s="694"/>
      <c r="X1609" s="694"/>
      <c r="Y1609" s="694"/>
      <c r="Z1609" s="694"/>
      <c r="AA1609" s="1431">
        <f t="shared" si="2330"/>
        <v>2</v>
      </c>
      <c r="AB1609" s="1432">
        <f>IF(CNTR_ExistSubInstEntries,IF(OR($M1556&lt;&gt;EUconst_Relevant,$V1556&gt;($H$1840-1),$E1609=""),0,2),2)</f>
        <v>2</v>
      </c>
      <c r="AC1609" s="1432">
        <f t="shared" ref="AC1609:AI1609" si="2334">IF(CNTR_ExistSubInstEntries,IF(OR($M1556&lt;&gt;EUconst_Relevant,AC1605&gt;=CNTR_ReportingYear,AC1605&lt;$V1556-1,$E1609=""),0,2),2)</f>
        <v>2</v>
      </c>
      <c r="AD1609" s="1432">
        <f t="shared" si="2334"/>
        <v>2</v>
      </c>
      <c r="AE1609" s="1432">
        <f t="shared" si="2334"/>
        <v>2</v>
      </c>
      <c r="AF1609" s="1432">
        <f t="shared" si="2334"/>
        <v>2</v>
      </c>
      <c r="AG1609" s="1432">
        <f t="shared" si="2334"/>
        <v>2</v>
      </c>
      <c r="AH1609" s="1433">
        <f t="shared" si="2334"/>
        <v>2</v>
      </c>
      <c r="AI1609" s="1434">
        <f t="shared" si="2334"/>
        <v>2</v>
      </c>
      <c r="AJ1609" s="343"/>
      <c r="AK1609" s="1174" t="s">
        <v>2039</v>
      </c>
      <c r="AL1609" s="1176" t="str">
        <f>IF(AND(CNTR_ExistSubInstEntries,COUNTIFS(AB1609:AI1609,2,G1609:N1609,"")&gt;0),EUconst_Error&amp;"FB"&amp;Q1556,"")</f>
        <v/>
      </c>
      <c r="AM1609" s="343"/>
    </row>
    <row r="1610" spans="1:39" ht="12.75" customHeight="1" x14ac:dyDescent="0.25">
      <c r="A1610" s="729"/>
      <c r="B1610" s="698"/>
      <c r="C1610" s="2906"/>
      <c r="D1610" s="990">
        <f t="shared" si="2332"/>
        <v>5</v>
      </c>
      <c r="E1610" s="1430" t="str">
        <f t="shared" si="2328"/>
        <v/>
      </c>
      <c r="F1610" s="271"/>
      <c r="G1610" s="47"/>
      <c r="H1610" s="119"/>
      <c r="I1610" s="47"/>
      <c r="J1610" s="119"/>
      <c r="K1610" s="43"/>
      <c r="L1610" s="43"/>
      <c r="M1610" s="43"/>
      <c r="N1610" s="43"/>
      <c r="O1610" s="336"/>
      <c r="P1610" s="158"/>
      <c r="Q1610" s="694"/>
      <c r="R1610" s="694"/>
      <c r="S1610" s="694"/>
      <c r="T1610" s="694"/>
      <c r="U1610" s="729"/>
      <c r="V1610" s="694"/>
      <c r="W1610" s="694"/>
      <c r="X1610" s="694"/>
      <c r="Y1610" s="694"/>
      <c r="Z1610" s="694"/>
      <c r="AA1610" s="1431">
        <f t="shared" si="2330"/>
        <v>2</v>
      </c>
      <c r="AB1610" s="1432">
        <f>IF(CNTR_ExistSubInstEntries,IF(OR($M1556&lt;&gt;EUconst_Relevant,$V1556&gt;($H$1840-1),$E1610=""),0,2),2)</f>
        <v>2</v>
      </c>
      <c r="AC1610" s="1432">
        <f t="shared" ref="AC1610:AI1610" si="2335">IF(CNTR_ExistSubInstEntries,IF(OR($M1556&lt;&gt;EUconst_Relevant,AC1605&gt;=CNTR_ReportingYear,AC1605&lt;$V1556-1,$E1610=""),0,2),2)</f>
        <v>2</v>
      </c>
      <c r="AD1610" s="1432">
        <f t="shared" si="2335"/>
        <v>2</v>
      </c>
      <c r="AE1610" s="1432">
        <f t="shared" si="2335"/>
        <v>2</v>
      </c>
      <c r="AF1610" s="1432">
        <f t="shared" si="2335"/>
        <v>2</v>
      </c>
      <c r="AG1610" s="1432">
        <f t="shared" si="2335"/>
        <v>2</v>
      </c>
      <c r="AH1610" s="1433">
        <f t="shared" si="2335"/>
        <v>2</v>
      </c>
      <c r="AI1610" s="1434">
        <f t="shared" si="2335"/>
        <v>2</v>
      </c>
      <c r="AJ1610" s="343"/>
      <c r="AK1610" s="1174" t="s">
        <v>2039</v>
      </c>
      <c r="AL1610" s="1176" t="str">
        <f>IF(AND(CNTR_ExistSubInstEntries,COUNTIFS(AB1610:AI1610,2,G1610:N1610,"")&gt;0),EUconst_Error&amp;"FB"&amp;Q1556,"")</f>
        <v/>
      </c>
      <c r="AM1610" s="343"/>
    </row>
    <row r="1611" spans="1:39" ht="12.75" customHeight="1" x14ac:dyDescent="0.25">
      <c r="A1611" s="729"/>
      <c r="B1611" s="698"/>
      <c r="C1611" s="2906"/>
      <c r="D1611" s="990">
        <f t="shared" si="2332"/>
        <v>6</v>
      </c>
      <c r="E1611" s="1430" t="str">
        <f t="shared" si="2328"/>
        <v/>
      </c>
      <c r="F1611" s="271"/>
      <c r="G1611" s="47"/>
      <c r="H1611" s="119"/>
      <c r="I1611" s="47"/>
      <c r="J1611" s="119"/>
      <c r="K1611" s="43"/>
      <c r="L1611" s="43"/>
      <c r="M1611" s="43"/>
      <c r="N1611" s="43"/>
      <c r="O1611" s="336"/>
      <c r="P1611" s="158"/>
      <c r="Q1611" s="694"/>
      <c r="R1611" s="694"/>
      <c r="S1611" s="694"/>
      <c r="T1611" s="694"/>
      <c r="U1611" s="694"/>
      <c r="V1611" s="694"/>
      <c r="W1611" s="694"/>
      <c r="X1611" s="694"/>
      <c r="Y1611" s="694"/>
      <c r="Z1611" s="694"/>
      <c r="AA1611" s="1431">
        <f t="shared" si="2330"/>
        <v>2</v>
      </c>
      <c r="AB1611" s="1432">
        <f>IF(CNTR_ExistSubInstEntries,IF(OR($M1556&lt;&gt;EUconst_Relevant,$V1556&gt;($H$1840-1),$E1611=""),0,2),2)</f>
        <v>2</v>
      </c>
      <c r="AC1611" s="1432">
        <f t="shared" ref="AC1611:AI1611" si="2336">IF(CNTR_ExistSubInstEntries,IF(OR($M1556&lt;&gt;EUconst_Relevant,AC1605&gt;=CNTR_ReportingYear,AC1605&lt;$V1556-1,$E1611=""),0,2),2)</f>
        <v>2</v>
      </c>
      <c r="AD1611" s="1432">
        <f t="shared" si="2336"/>
        <v>2</v>
      </c>
      <c r="AE1611" s="1432">
        <f t="shared" si="2336"/>
        <v>2</v>
      </c>
      <c r="AF1611" s="1432">
        <f t="shared" si="2336"/>
        <v>2</v>
      </c>
      <c r="AG1611" s="1432">
        <f t="shared" si="2336"/>
        <v>2</v>
      </c>
      <c r="AH1611" s="1433">
        <f t="shared" si="2336"/>
        <v>2</v>
      </c>
      <c r="AI1611" s="1434">
        <f t="shared" si="2336"/>
        <v>2</v>
      </c>
      <c r="AJ1611" s="343"/>
      <c r="AK1611" s="1174" t="s">
        <v>2039</v>
      </c>
      <c r="AL1611" s="1176" t="str">
        <f>IF(AND(CNTR_ExistSubInstEntries,COUNTIFS(AB1611:AI1611,2,G1611:N1611,"")&gt;0),EUconst_Error&amp;"FB"&amp;Q1556,"")</f>
        <v/>
      </c>
      <c r="AM1611" s="343"/>
    </row>
    <row r="1612" spans="1:39" ht="12.75" customHeight="1" x14ac:dyDescent="0.25">
      <c r="A1612" s="729"/>
      <c r="B1612" s="698"/>
      <c r="C1612" s="2906"/>
      <c r="D1612" s="990">
        <f t="shared" si="2332"/>
        <v>7</v>
      </c>
      <c r="E1612" s="1430" t="str">
        <f t="shared" si="2328"/>
        <v/>
      </c>
      <c r="F1612" s="271"/>
      <c r="G1612" s="47"/>
      <c r="H1612" s="119"/>
      <c r="I1612" s="47"/>
      <c r="J1612" s="119"/>
      <c r="K1612" s="43"/>
      <c r="L1612" s="43"/>
      <c r="M1612" s="43"/>
      <c r="N1612" s="43"/>
      <c r="O1612" s="336"/>
      <c r="P1612" s="158"/>
      <c r="Q1612" s="694"/>
      <c r="R1612" s="694"/>
      <c r="S1612" s="694"/>
      <c r="T1612" s="694"/>
      <c r="U1612" s="694"/>
      <c r="V1612" s="694"/>
      <c r="W1612" s="694"/>
      <c r="X1612" s="694"/>
      <c r="Y1612" s="694"/>
      <c r="Z1612" s="694"/>
      <c r="AA1612" s="1431">
        <f t="shared" si="2330"/>
        <v>2</v>
      </c>
      <c r="AB1612" s="1432">
        <f>IF(CNTR_ExistSubInstEntries,IF(OR($M1556&lt;&gt;EUconst_Relevant,$V1556&gt;($H$1840-1),$E1612=""),0,2),2)</f>
        <v>2</v>
      </c>
      <c r="AC1612" s="1432">
        <f t="shared" ref="AC1612:AI1612" si="2337">IF(CNTR_ExistSubInstEntries,IF(OR($M1556&lt;&gt;EUconst_Relevant,AC1605&gt;=CNTR_ReportingYear,AC1605&lt;$V1556-1,$E1612=""),0,2),2)</f>
        <v>2</v>
      </c>
      <c r="AD1612" s="1432">
        <f t="shared" si="2337"/>
        <v>2</v>
      </c>
      <c r="AE1612" s="1432">
        <f t="shared" si="2337"/>
        <v>2</v>
      </c>
      <c r="AF1612" s="1432">
        <f t="shared" si="2337"/>
        <v>2</v>
      </c>
      <c r="AG1612" s="1432">
        <f t="shared" si="2337"/>
        <v>2</v>
      </c>
      <c r="AH1612" s="1433">
        <f t="shared" si="2337"/>
        <v>2</v>
      </c>
      <c r="AI1612" s="1434">
        <f t="shared" si="2337"/>
        <v>2</v>
      </c>
      <c r="AJ1612" s="343"/>
      <c r="AK1612" s="1174" t="s">
        <v>2039</v>
      </c>
      <c r="AL1612" s="1176" t="str">
        <f>IF(AND(CNTR_ExistSubInstEntries,COUNTIFS(AB1612:AI1612,2,G1612:N1612,"")&gt;0),EUconst_Error&amp;"FB"&amp;Q1556,"")</f>
        <v/>
      </c>
      <c r="AM1612" s="343"/>
    </row>
    <row r="1613" spans="1:39" ht="12.75" customHeight="1" x14ac:dyDescent="0.25">
      <c r="A1613" s="729"/>
      <c r="B1613" s="698"/>
      <c r="C1613" s="2906"/>
      <c r="D1613" s="990">
        <f t="shared" si="2332"/>
        <v>8</v>
      </c>
      <c r="E1613" s="1430" t="str">
        <f t="shared" si="2328"/>
        <v/>
      </c>
      <c r="F1613" s="271"/>
      <c r="G1613" s="47"/>
      <c r="H1613" s="119"/>
      <c r="I1613" s="47"/>
      <c r="J1613" s="119"/>
      <c r="K1613" s="43"/>
      <c r="L1613" s="43"/>
      <c r="M1613" s="43"/>
      <c r="N1613" s="43"/>
      <c r="O1613" s="336"/>
      <c r="P1613" s="158"/>
      <c r="Q1613" s="694"/>
      <c r="R1613" s="694"/>
      <c r="S1613" s="694"/>
      <c r="T1613" s="694"/>
      <c r="U1613" s="694"/>
      <c r="V1613" s="694"/>
      <c r="W1613" s="694"/>
      <c r="X1613" s="694"/>
      <c r="Y1613" s="694"/>
      <c r="Z1613" s="694"/>
      <c r="AA1613" s="1431">
        <f t="shared" si="2330"/>
        <v>2</v>
      </c>
      <c r="AB1613" s="1432">
        <f>IF(CNTR_ExistSubInstEntries,IF(OR($M1556&lt;&gt;EUconst_Relevant,$V1556&gt;($H$1840-1),$E1613=""),0,2),2)</f>
        <v>2</v>
      </c>
      <c r="AC1613" s="1432">
        <f t="shared" ref="AC1613:AI1613" si="2338">IF(CNTR_ExistSubInstEntries,IF(OR($M1556&lt;&gt;EUconst_Relevant,AC1605&gt;=CNTR_ReportingYear,AC1605&lt;$V1556-1,$E1613=""),0,2),2)</f>
        <v>2</v>
      </c>
      <c r="AD1613" s="1432">
        <f t="shared" si="2338"/>
        <v>2</v>
      </c>
      <c r="AE1613" s="1432">
        <f t="shared" si="2338"/>
        <v>2</v>
      </c>
      <c r="AF1613" s="1432">
        <f t="shared" si="2338"/>
        <v>2</v>
      </c>
      <c r="AG1613" s="1432">
        <f t="shared" si="2338"/>
        <v>2</v>
      </c>
      <c r="AH1613" s="1433">
        <f t="shared" si="2338"/>
        <v>2</v>
      </c>
      <c r="AI1613" s="1434">
        <f t="shared" si="2338"/>
        <v>2</v>
      </c>
      <c r="AJ1613" s="343"/>
      <c r="AK1613" s="1174" t="s">
        <v>2039</v>
      </c>
      <c r="AL1613" s="1176" t="str">
        <f>IF(AND(CNTR_ExistSubInstEntries,COUNTIFS(AB1613:AI1613,2,G1613:N1613,"")&gt;0),EUconst_Error&amp;"FB"&amp;Q1556,"")</f>
        <v/>
      </c>
      <c r="AM1613" s="343"/>
    </row>
    <row r="1614" spans="1:39" ht="12.75" customHeight="1" x14ac:dyDescent="0.25">
      <c r="A1614" s="729"/>
      <c r="B1614" s="698"/>
      <c r="C1614" s="2906"/>
      <c r="D1614" s="990">
        <f t="shared" si="2332"/>
        <v>9</v>
      </c>
      <c r="E1614" s="1430" t="str">
        <f t="shared" si="2328"/>
        <v/>
      </c>
      <c r="F1614" s="271"/>
      <c r="G1614" s="47"/>
      <c r="H1614" s="119"/>
      <c r="I1614" s="47"/>
      <c r="J1614" s="119"/>
      <c r="K1614" s="43"/>
      <c r="L1614" s="43"/>
      <c r="M1614" s="43"/>
      <c r="N1614" s="43"/>
      <c r="O1614" s="336"/>
      <c r="P1614" s="158"/>
      <c r="Q1614" s="694"/>
      <c r="R1614" s="694"/>
      <c r="S1614" s="694"/>
      <c r="T1614" s="694"/>
      <c r="U1614" s="694"/>
      <c r="V1614" s="694"/>
      <c r="W1614" s="694"/>
      <c r="X1614" s="694"/>
      <c r="Y1614" s="694"/>
      <c r="Z1614" s="694"/>
      <c r="AA1614" s="1431">
        <f t="shared" si="2330"/>
        <v>2</v>
      </c>
      <c r="AB1614" s="1432">
        <f>IF(CNTR_ExistSubInstEntries,IF(OR($M1556&lt;&gt;EUconst_Relevant,$V1556&gt;($H$1840-1),$E1614=""),0,2),2)</f>
        <v>2</v>
      </c>
      <c r="AC1614" s="1432">
        <f t="shared" ref="AC1614:AI1614" si="2339">IF(CNTR_ExistSubInstEntries,IF(OR($M1556&lt;&gt;EUconst_Relevant,AC1605&gt;=CNTR_ReportingYear,AC1605&lt;$V1556-1,$E1614=""),0,2),2)</f>
        <v>2</v>
      </c>
      <c r="AD1614" s="1432">
        <f t="shared" si="2339"/>
        <v>2</v>
      </c>
      <c r="AE1614" s="1432">
        <f t="shared" si="2339"/>
        <v>2</v>
      </c>
      <c r="AF1614" s="1432">
        <f t="shared" si="2339"/>
        <v>2</v>
      </c>
      <c r="AG1614" s="1432">
        <f t="shared" si="2339"/>
        <v>2</v>
      </c>
      <c r="AH1614" s="1433">
        <f t="shared" si="2339"/>
        <v>2</v>
      </c>
      <c r="AI1614" s="1434">
        <f t="shared" si="2339"/>
        <v>2</v>
      </c>
      <c r="AJ1614" s="343"/>
      <c r="AK1614" s="1174" t="s">
        <v>2039</v>
      </c>
      <c r="AL1614" s="1176" t="str">
        <f>IF(AND(CNTR_ExistSubInstEntries,COUNTIFS(AB1614:AI1614,2,G1614:N1614,"")&gt;0),EUconst_Error&amp;"FB"&amp;Q1556,"")</f>
        <v/>
      </c>
      <c r="AM1614" s="343"/>
    </row>
    <row r="1615" spans="1:39" ht="12.75" customHeight="1" thickBot="1" x14ac:dyDescent="0.3">
      <c r="A1615" s="729"/>
      <c r="B1615" s="698"/>
      <c r="C1615" s="2906"/>
      <c r="D1615" s="994">
        <f t="shared" si="2332"/>
        <v>10</v>
      </c>
      <c r="E1615" s="1435" t="str">
        <f t="shared" si="2328"/>
        <v/>
      </c>
      <c r="F1615" s="272"/>
      <c r="G1615" s="48"/>
      <c r="H1615" s="117"/>
      <c r="I1615" s="48"/>
      <c r="J1615" s="117"/>
      <c r="K1615" s="38"/>
      <c r="L1615" s="38"/>
      <c r="M1615" s="38"/>
      <c r="N1615" s="38"/>
      <c r="O1615" s="336"/>
      <c r="P1615" s="158"/>
      <c r="Q1615" s="694"/>
      <c r="R1615" s="694"/>
      <c r="S1615" s="694"/>
      <c r="T1615" s="694"/>
      <c r="U1615" s="694"/>
      <c r="V1615" s="694"/>
      <c r="W1615" s="694"/>
      <c r="X1615" s="694"/>
      <c r="Y1615" s="694"/>
      <c r="Z1615" s="694"/>
      <c r="AA1615" s="1436">
        <f t="shared" si="2330"/>
        <v>2</v>
      </c>
      <c r="AB1615" s="1437">
        <f>IF(CNTR_ExistSubInstEntries,IF(OR($M1556&lt;&gt;EUconst_Relevant,$V1556&gt;($H$1840-1),$E1615=""),0,2),2)</f>
        <v>2</v>
      </c>
      <c r="AC1615" s="1437">
        <f t="shared" ref="AC1615:AI1615" si="2340">IF(CNTR_ExistSubInstEntries,IF(OR($M1556&lt;&gt;EUconst_Relevant,AC1605&gt;=CNTR_ReportingYear,AC1605&lt;$V1556-1,$E1615=""),0,2),2)</f>
        <v>2</v>
      </c>
      <c r="AD1615" s="1437">
        <f t="shared" si="2340"/>
        <v>2</v>
      </c>
      <c r="AE1615" s="1437">
        <f t="shared" si="2340"/>
        <v>2</v>
      </c>
      <c r="AF1615" s="1437">
        <f t="shared" si="2340"/>
        <v>2</v>
      </c>
      <c r="AG1615" s="1437">
        <f t="shared" si="2340"/>
        <v>2</v>
      </c>
      <c r="AH1615" s="1438">
        <f t="shared" si="2340"/>
        <v>2</v>
      </c>
      <c r="AI1615" s="1439">
        <f t="shared" si="2340"/>
        <v>2</v>
      </c>
      <c r="AJ1615" s="343"/>
      <c r="AK1615" s="1174" t="s">
        <v>2039</v>
      </c>
      <c r="AL1615" s="1176" t="str">
        <f>IF(AND(CNTR_ExistSubInstEntries,COUNTIFS(AB1615:AI1615,2,G1615:N1615,"")&gt;0),EUconst_Error&amp;"FB"&amp;Q1556,"")</f>
        <v/>
      </c>
      <c r="AM1615" s="343"/>
    </row>
    <row r="1616" spans="1:39" ht="12.75" customHeight="1" x14ac:dyDescent="0.25">
      <c r="A1616" s="729"/>
      <c r="B1616" s="698"/>
      <c r="C1616" s="2906"/>
      <c r="D1616" s="1293"/>
      <c r="E1616" s="1294" t="str">
        <f>Translations!$B$501</f>
        <v>Сума на равнищата на производство</v>
      </c>
      <c r="F1616" s="1440" t="str">
        <f>IF(AND(COUNTA(F1606:F1615)&gt;0,COUNTIF(F1606:F1615,F1606)=COUNTA(F1606:F1615)),F1606,"")</f>
        <v/>
      </c>
      <c r="G1616" s="1296" t="str">
        <f>IF(AND($F1616&lt;&gt;"",COUNT(G1606:G1615)&gt;0),SUMIF($S1590:$S1599,TRUE,G1606:G1615),"")</f>
        <v/>
      </c>
      <c r="H1616" s="1297" t="str">
        <f t="shared" ref="H1616:N1616" si="2341">IF(AND($F1616&lt;&gt;"",COUNT(H1606:H1615)&gt;0),SUMIF($S1590:$S1599,TRUE,H1606:H1615),"")</f>
        <v/>
      </c>
      <c r="I1616" s="1296" t="str">
        <f t="shared" si="2341"/>
        <v/>
      </c>
      <c r="J1616" s="1297" t="str">
        <f t="shared" si="2341"/>
        <v/>
      </c>
      <c r="K1616" s="1104" t="str">
        <f t="shared" si="2341"/>
        <v/>
      </c>
      <c r="L1616" s="1104" t="str">
        <f t="shared" si="2341"/>
        <v/>
      </c>
      <c r="M1616" s="1104" t="str">
        <f t="shared" si="2341"/>
        <v/>
      </c>
      <c r="N1616" s="1104" t="str">
        <f t="shared" si="2341"/>
        <v/>
      </c>
      <c r="O1616" s="336"/>
      <c r="P1616" s="336"/>
      <c r="Q1616" s="694"/>
      <c r="R1616" s="694"/>
      <c r="S1616" s="694"/>
      <c r="T1616" s="694"/>
      <c r="U1616" s="694"/>
      <c r="V1616" s="694"/>
      <c r="W1616" s="694"/>
      <c r="X1616" s="694"/>
      <c r="Y1616" s="694"/>
      <c r="Z1616" s="694"/>
      <c r="AA1616" s="694"/>
      <c r="AB1616" s="729"/>
      <c r="AC1616" s="729"/>
      <c r="AD1616" s="729"/>
      <c r="AE1616" s="729"/>
      <c r="AF1616" s="729"/>
      <c r="AG1616" s="729"/>
      <c r="AH1616" s="729"/>
      <c r="AI1616" s="729"/>
      <c r="AJ1616" s="343"/>
      <c r="AK1616" s="343"/>
      <c r="AL1616" s="343"/>
      <c r="AM1616" s="343"/>
    </row>
    <row r="1617" spans="1:39" ht="5.15" customHeight="1" x14ac:dyDescent="0.25">
      <c r="A1617" s="729"/>
      <c r="B1617" s="698"/>
      <c r="C1617" s="284"/>
      <c r="D1617" s="284"/>
      <c r="E1617" s="284"/>
      <c r="F1617" s="284"/>
      <c r="G1617" s="284"/>
      <c r="H1617" s="284"/>
      <c r="I1617" s="284"/>
      <c r="J1617" s="284"/>
      <c r="K1617" s="284"/>
      <c r="L1617" s="284"/>
      <c r="M1617" s="284"/>
      <c r="N1617" s="284"/>
      <c r="O1617" s="336"/>
      <c r="P1617" s="336"/>
      <c r="Q1617" s="694"/>
      <c r="R1617" s="694"/>
      <c r="S1617" s="694"/>
      <c r="T1617" s="694"/>
      <c r="U1617" s="694"/>
      <c r="V1617" s="694"/>
      <c r="W1617" s="694"/>
      <c r="X1617" s="694"/>
      <c r="Y1617" s="694"/>
      <c r="Z1617" s="729"/>
      <c r="AA1617" s="729"/>
      <c r="AB1617" s="729"/>
      <c r="AC1617" s="694"/>
      <c r="AD1617" s="694"/>
      <c r="AE1617" s="343"/>
      <c r="AF1617" s="343"/>
      <c r="AG1617" s="343"/>
      <c r="AH1617" s="343"/>
      <c r="AI1617" s="343"/>
      <c r="AJ1617" s="343"/>
      <c r="AK1617" s="343"/>
      <c r="AL1617" s="343"/>
      <c r="AM1617" s="343"/>
    </row>
    <row r="1618" spans="1:39" ht="12.75" customHeight="1" x14ac:dyDescent="0.25">
      <c r="A1618" s="729"/>
      <c r="B1618" s="698"/>
      <c r="C1618" s="284"/>
      <c r="D1618" s="300" t="s">
        <v>1764</v>
      </c>
      <c r="E1618" s="2226" t="str">
        <f>Translations!$B$1562</f>
        <v>Допустими по СТЕ на ЕС технологични емисии по продукти за определяне на очакваните равнища на дейност</v>
      </c>
      <c r="F1618" s="2249"/>
      <c r="G1618" s="2249"/>
      <c r="H1618" s="2249"/>
      <c r="I1618" s="2249"/>
      <c r="J1618" s="2249"/>
      <c r="K1618" s="2249"/>
      <c r="L1618" s="2249"/>
      <c r="M1618" s="2249"/>
      <c r="N1618" s="2249"/>
      <c r="O1618" s="336"/>
      <c r="P1618" s="336"/>
      <c r="Q1618" s="770"/>
      <c r="R1618" s="694"/>
      <c r="S1618" s="1030" t="s">
        <v>2010</v>
      </c>
      <c r="T1618" s="1441" t="str">
        <f>IF(M1556&lt;&gt;EUconst_Relevant,"",IF(COUNTIF(V1573:Z1573,TRUE)&gt;0,2,1))</f>
        <v/>
      </c>
      <c r="U1618" s="729" t="s">
        <v>2006</v>
      </c>
      <c r="V1618" s="694"/>
      <c r="W1618" s="694"/>
      <c r="X1618" s="694"/>
      <c r="Y1618" s="694"/>
      <c r="Z1618" s="729"/>
      <c r="AA1618" s="729"/>
      <c r="AB1618" s="729"/>
      <c r="AC1618" s="694"/>
      <c r="AD1618" s="694"/>
      <c r="AE1618" s="343"/>
      <c r="AF1618" s="343"/>
      <c r="AG1618" s="343"/>
      <c r="AH1618" s="343"/>
      <c r="AI1618" s="343"/>
      <c r="AJ1618" s="343"/>
      <c r="AK1618" s="343"/>
      <c r="AL1618" s="343"/>
      <c r="AM1618" s="343"/>
    </row>
    <row r="1619" spans="1:39" ht="12.75" customHeight="1" x14ac:dyDescent="0.25">
      <c r="A1619" s="729"/>
      <c r="B1619" s="284"/>
      <c r="C1619" s="302"/>
      <c r="D1619" s="302"/>
      <c r="E1619" s="2358" t="str">
        <f>Translations!$B$1563</f>
        <v>Моля, въведете тук технологичните емисии, които са допустими за безплатно разпределяне на квоти.</v>
      </c>
      <c r="F1619" s="2249"/>
      <c r="G1619" s="2249"/>
      <c r="H1619" s="2249"/>
      <c r="I1619" s="2249"/>
      <c r="J1619" s="2249"/>
      <c r="K1619" s="2249"/>
      <c r="L1619" s="2249"/>
      <c r="M1619" s="2249"/>
      <c r="N1619" s="2249"/>
      <c r="O1619" s="336"/>
      <c r="P1619" s="336"/>
      <c r="Q1619" s="770"/>
      <c r="R1619" s="770"/>
      <c r="S1619" s="770"/>
      <c r="T1619" s="770"/>
      <c r="U1619" s="770"/>
      <c r="V1619" s="770"/>
      <c r="W1619" s="770"/>
      <c r="X1619" s="770"/>
      <c r="Y1619" s="770"/>
      <c r="Z1619" s="694"/>
      <c r="AA1619" s="694"/>
      <c r="AB1619" s="729"/>
      <c r="AC1619" s="694"/>
      <c r="AD1619" s="694"/>
      <c r="AE1619" s="343"/>
      <c r="AF1619" s="343"/>
      <c r="AG1619" s="343"/>
      <c r="AH1619" s="343"/>
      <c r="AI1619" s="343"/>
      <c r="AJ1619" s="343"/>
      <c r="AK1619" s="343"/>
      <c r="AL1619" s="343"/>
      <c r="AM1619" s="343"/>
    </row>
    <row r="1620" spans="1:39" ht="25.5" customHeight="1" x14ac:dyDescent="0.25">
      <c r="A1620" s="729"/>
      <c r="B1620" s="698"/>
      <c r="C1620" s="284"/>
      <c r="D1620" s="284"/>
      <c r="E1620" s="2459" t="str">
        <f>Translations!$B$1536</f>
        <v>Вписванията тук са задължителни за всички години, ако средното годишно равнище на дейност по буква а) се е променило с повече от 15 % за поне една година и само в този случай ще окаже пряко въздействие върху разпределянето.</v>
      </c>
      <c r="F1620" s="2460"/>
      <c r="G1620" s="2460"/>
      <c r="H1620" s="2460"/>
      <c r="I1620" s="2460"/>
      <c r="J1620" s="2460"/>
      <c r="K1620" s="2460"/>
      <c r="L1620" s="2460"/>
      <c r="M1620" s="2460"/>
      <c r="N1620" s="2460"/>
      <c r="O1620" s="336"/>
      <c r="P1620" s="336"/>
      <c r="Q1620" s="694"/>
      <c r="R1620" s="694"/>
      <c r="S1620" s="694"/>
      <c r="T1620" s="694"/>
      <c r="U1620" s="694"/>
      <c r="V1620" s="694"/>
      <c r="W1620" s="694"/>
      <c r="X1620" s="694"/>
      <c r="Y1620" s="694"/>
      <c r="Z1620" s="729"/>
      <c r="AA1620" s="729"/>
      <c r="AB1620" s="729"/>
      <c r="AC1620" s="729"/>
      <c r="AD1620" s="694"/>
      <c r="AE1620" s="343"/>
      <c r="AF1620" s="343"/>
      <c r="AG1620" s="343"/>
      <c r="AH1620" s="343"/>
      <c r="AI1620" s="343"/>
      <c r="AJ1620" s="343"/>
      <c r="AK1620" s="343"/>
      <c r="AL1620" s="343"/>
      <c r="AM1620" s="343"/>
    </row>
    <row r="1621" spans="1:39" ht="12.75" customHeight="1" x14ac:dyDescent="0.25">
      <c r="A1621" s="729"/>
      <c r="B1621" s="698"/>
      <c r="C1621" s="284"/>
      <c r="D1621" s="284"/>
      <c r="E1621" s="2358" t="str">
        <f>Translations!$B$1564</f>
        <v>Стойността в НМИ се отнася до средните емисии през историческия базов период (НМИ).</v>
      </c>
      <c r="F1621" s="2249"/>
      <c r="G1621" s="2249"/>
      <c r="H1621" s="2249"/>
      <c r="I1621" s="2249"/>
      <c r="J1621" s="2249"/>
      <c r="K1621" s="2249"/>
      <c r="L1621" s="2249"/>
      <c r="M1621" s="2249"/>
      <c r="N1621" s="2249"/>
      <c r="O1621" s="336"/>
      <c r="P1621" s="295"/>
      <c r="Q1621" s="694"/>
      <c r="R1621" s="694"/>
      <c r="S1621" s="694"/>
      <c r="T1621" s="694"/>
      <c r="U1621" s="694"/>
      <c r="V1621" s="694"/>
      <c r="W1621" s="694"/>
      <c r="X1621" s="694"/>
      <c r="Y1621" s="694"/>
      <c r="Z1621" s="729"/>
      <c r="AA1621" s="729"/>
      <c r="AB1621" s="729"/>
      <c r="AC1621" s="729"/>
      <c r="AD1621" s="694"/>
      <c r="AE1621" s="343"/>
      <c r="AF1621" s="343"/>
      <c r="AG1621" s="343"/>
      <c r="AH1621" s="343"/>
      <c r="AI1621" s="343"/>
      <c r="AJ1621" s="343"/>
      <c r="AK1621" s="343"/>
      <c r="AL1621" s="343"/>
      <c r="AM1621" s="343"/>
    </row>
    <row r="1622" spans="1:39" ht="12.75" customHeight="1" x14ac:dyDescent="0.25">
      <c r="A1622" s="729"/>
      <c r="B1622" s="698"/>
      <c r="C1622" s="284"/>
      <c r="D1622" s="284"/>
      <c r="E1622" s="2358" t="str">
        <f>Translations!$B$1538</f>
        <v>Допълнителни насоки относно отнасянето по продукти за изчисляването на историческата ефективност (HistEff) могат да бъдат намерени в раздели 2.3 и 3 от Ръководство № 7.</v>
      </c>
      <c r="F1622" s="2249"/>
      <c r="G1622" s="2249"/>
      <c r="H1622" s="2249"/>
      <c r="I1622" s="2249"/>
      <c r="J1622" s="2249"/>
      <c r="K1622" s="2249"/>
      <c r="L1622" s="2249"/>
      <c r="M1622" s="2249"/>
      <c r="N1622" s="2249"/>
      <c r="O1622" s="336"/>
      <c r="P1622" s="295"/>
      <c r="Q1622" s="694"/>
      <c r="R1622" s="694"/>
      <c r="S1622" s="694"/>
      <c r="T1622" s="694"/>
      <c r="U1622" s="694"/>
      <c r="V1622" s="694"/>
      <c r="W1622" s="694"/>
      <c r="X1622" s="694"/>
      <c r="Y1622" s="694"/>
      <c r="Z1622" s="729"/>
      <c r="AA1622" s="729"/>
      <c r="AB1622" s="729"/>
      <c r="AC1622" s="729"/>
      <c r="AD1622" s="694"/>
      <c r="AE1622" s="343"/>
      <c r="AF1622" s="343"/>
      <c r="AG1622" s="343"/>
      <c r="AH1622" s="343"/>
      <c r="AI1622" s="343"/>
      <c r="AJ1622" s="343"/>
      <c r="AK1622" s="343"/>
      <c r="AL1622" s="343"/>
      <c r="AM1622" s="343"/>
    </row>
    <row r="1623" spans="1:39" ht="5.15" customHeight="1" x14ac:dyDescent="0.25">
      <c r="A1623" s="729"/>
      <c r="B1623" s="698"/>
      <c r="C1623" s="284"/>
      <c r="D1623" s="284"/>
      <c r="E1623" s="2358"/>
      <c r="F1623" s="2249"/>
      <c r="G1623" s="2249"/>
      <c r="H1623" s="2249"/>
      <c r="I1623" s="2249"/>
      <c r="J1623" s="2249"/>
      <c r="K1623" s="2249"/>
      <c r="L1623" s="2249"/>
      <c r="M1623" s="2249"/>
      <c r="N1623" s="2249"/>
      <c r="O1623" s="336"/>
      <c r="P1623" s="295"/>
      <c r="Q1623" s="694"/>
      <c r="R1623" s="694"/>
      <c r="S1623" s="694"/>
      <c r="T1623" s="694"/>
      <c r="U1623" s="694"/>
      <c r="V1623" s="694"/>
      <c r="W1623" s="694"/>
      <c r="X1623" s="694"/>
      <c r="Y1623" s="694"/>
      <c r="Z1623" s="729"/>
      <c r="AA1623" s="729"/>
      <c r="AB1623" s="729"/>
      <c r="AC1623" s="729"/>
      <c r="AD1623" s="694"/>
      <c r="AE1623" s="343"/>
      <c r="AF1623" s="343"/>
      <c r="AG1623" s="343"/>
      <c r="AH1623" s="343"/>
      <c r="AI1623" s="343"/>
      <c r="AJ1623" s="343"/>
      <c r="AK1623" s="343"/>
      <c r="AL1623" s="343"/>
      <c r="AM1623" s="343"/>
    </row>
    <row r="1624" spans="1:39" s="1423" customFormat="1" ht="25.5" customHeight="1" thickBot="1" x14ac:dyDescent="0.35">
      <c r="A1624" s="729"/>
      <c r="B1624" s="1412"/>
      <c r="C1624" s="1413"/>
      <c r="D1624" s="1414"/>
      <c r="E1624" s="1415" t="str">
        <f t="shared" ref="E1624:E1634" si="2342">E1605</f>
        <v>Име на продукт или вид услуга</v>
      </c>
      <c r="F1624" s="1416" t="str">
        <f>EUconst_Unit</f>
        <v>Единица мярка</v>
      </c>
      <c r="G1624" s="1419" t="str">
        <f>Translations!$B$1336</f>
        <v>Стойност в НМИ</v>
      </c>
      <c r="H1624" s="1418">
        <f t="shared" ref="H1624:N1624" si="2343">H$1840</f>
        <v>2024</v>
      </c>
      <c r="I1624" s="1419">
        <f t="shared" si="2343"/>
        <v>2025</v>
      </c>
      <c r="J1624" s="1418">
        <f t="shared" si="2343"/>
        <v>2026</v>
      </c>
      <c r="K1624" s="1420">
        <f t="shared" si="2343"/>
        <v>2027</v>
      </c>
      <c r="L1624" s="1420">
        <f t="shared" si="2343"/>
        <v>2028</v>
      </c>
      <c r="M1624" s="1420">
        <f t="shared" si="2343"/>
        <v>2029</v>
      </c>
      <c r="N1624" s="1420">
        <f t="shared" si="2343"/>
        <v>2030</v>
      </c>
      <c r="O1624" s="336"/>
      <c r="P1624" s="295"/>
      <c r="Q1624" s="1421"/>
      <c r="R1624" s="1421"/>
      <c r="S1624" s="770" t="str">
        <f>Translations!$B$1341</f>
        <v>Базова стойност</v>
      </c>
      <c r="T1624" s="1421">
        <f t="shared" ref="T1624" si="2344">H1624</f>
        <v>2024</v>
      </c>
      <c r="U1624" s="1421">
        <f t="shared" ref="U1624" si="2345">I1624</f>
        <v>2025</v>
      </c>
      <c r="V1624" s="1421">
        <f t="shared" ref="V1624" si="2346">J1624</f>
        <v>2026</v>
      </c>
      <c r="W1624" s="1421">
        <f t="shared" ref="W1624" si="2347">K1624</f>
        <v>2027</v>
      </c>
      <c r="X1624" s="1421">
        <f t="shared" ref="X1624" si="2348">L1624</f>
        <v>2028</v>
      </c>
      <c r="Y1624" s="1421">
        <f t="shared" ref="Y1624" si="2349">M1624</f>
        <v>2029</v>
      </c>
      <c r="Z1624" s="1421">
        <f t="shared" ref="Z1624" si="2350">N1624</f>
        <v>2030</v>
      </c>
      <c r="AA1624" s="1421"/>
      <c r="AB1624" s="770" t="str">
        <f>Translations!$B$1284</f>
        <v>HAL</v>
      </c>
      <c r="AC1624" s="1421">
        <f t="shared" ref="AC1624" si="2351">H1624</f>
        <v>2024</v>
      </c>
      <c r="AD1624" s="1421">
        <f t="shared" ref="AD1624" si="2352">I1624</f>
        <v>2025</v>
      </c>
      <c r="AE1624" s="1421">
        <f t="shared" ref="AE1624" si="2353">J1624</f>
        <v>2026</v>
      </c>
      <c r="AF1624" s="1421">
        <f t="shared" ref="AF1624" si="2354">K1624</f>
        <v>2027</v>
      </c>
      <c r="AG1624" s="1421">
        <f t="shared" ref="AG1624" si="2355">L1624</f>
        <v>2028</v>
      </c>
      <c r="AH1624" s="1422">
        <f t="shared" ref="AH1624" si="2356">M1624</f>
        <v>2029</v>
      </c>
      <c r="AI1624" s="1422">
        <f t="shared" ref="AI1624" si="2357">N1624</f>
        <v>2030</v>
      </c>
      <c r="AJ1624" s="1422"/>
      <c r="AK1624" s="1422"/>
      <c r="AL1624" s="1422"/>
      <c r="AM1624" s="1422"/>
    </row>
    <row r="1625" spans="1:39" ht="12.75" customHeight="1" x14ac:dyDescent="0.25">
      <c r="A1625" s="729"/>
      <c r="B1625" s="698"/>
      <c r="C1625" s="2906" t="str">
        <f>Translations!$B$1565</f>
        <v>допустими</v>
      </c>
      <c r="D1625" s="981">
        <v>1</v>
      </c>
      <c r="E1625" s="1424" t="str">
        <f t="shared" si="2342"/>
        <v/>
      </c>
      <c r="F1625" s="1259" t="str">
        <f>H1572</f>
        <v>t CO2e</v>
      </c>
      <c r="G1625" s="125"/>
      <c r="H1625" s="116"/>
      <c r="I1625" s="46"/>
      <c r="J1625" s="116"/>
      <c r="K1625" s="40"/>
      <c r="L1625" s="40"/>
      <c r="M1625" s="40"/>
      <c r="N1625" s="40"/>
      <c r="O1625" s="1442"/>
      <c r="P1625" s="158"/>
      <c r="Q1625" s="694"/>
      <c r="R1625" s="694"/>
      <c r="S1625" s="1443" t="str">
        <f>IF($M1556&lt;&gt;EUconst_Relevant,"",
IF($V1556&gt;($J$1840-3),
              IF(INDEX(H1606:N1606,MATCH($V1556,$T1624:$Z1624,0))=0,0,INDEX(H1625:N1625,MATCH($V1556,$T1624:$Z1624,0))/INDEX(H1606:N1606,MATCH($V1556,$T1624:$Z1624,0))),
                             IF(ISNUMBER(G1606),
                                            IF(OR(G1606=0,$S1590=FALSE),0,G1625/G1606),"")))</f>
        <v/>
      </c>
      <c r="T1625" s="1444" t="str">
        <f t="shared" ref="T1625:T1634" si="2358">IF($E1625="","",IF(IFERROR(SUM($S1625)=0,SUM($H1625)),SUM(H1625),SUM(H1606)*SUM($S1625)))</f>
        <v/>
      </c>
      <c r="U1625" s="1444" t="str">
        <f t="shared" ref="U1625" si="2359">IF($E1625="","",IF(IFERROR(SUM($S1625)=0,SUM($H1625)),SUM(I1625),SUM(I1606)*SUM($S1625)))</f>
        <v/>
      </c>
      <c r="V1625" s="1444" t="str">
        <f t="shared" ref="V1625:V1634" si="2360">IF($E1625="","",IF(IFERROR(SUM($S1625)=0,SUM($H1625)),SUM(J1625),SUM(J1606)*SUM($S1625)))</f>
        <v/>
      </c>
      <c r="W1625" s="1444" t="str">
        <f t="shared" ref="W1625:W1634" si="2361">IF($E1625="","",IF(IFERROR(SUM($S1625)=0,SUM($H1625)),SUM(K1625),SUM(K1606)*SUM($S1625)))</f>
        <v/>
      </c>
      <c r="X1625" s="1444" t="str">
        <f t="shared" ref="X1625:X1634" si="2362">IF($E1625="","",IF(IFERROR(SUM($S1625)=0,SUM($H1625)),SUM(L1625),SUM(L1606)*SUM($S1625)))</f>
        <v/>
      </c>
      <c r="Y1625" s="1444" t="str">
        <f t="shared" ref="Y1625:Y1634" si="2363">IF($E1625="","",IF(IFERROR(SUM($S1625)=0,SUM($H1625)),SUM(M1625),SUM(M1606)*SUM($S1625)))</f>
        <v/>
      </c>
      <c r="Z1625" s="1445" t="str">
        <f t="shared" ref="Z1625:Z1634" si="2364">IF($E1625="","",IF(IFERROR(SUM($S1625)=0,SUM($H1625)),SUM(N1625),SUM(N1606)*SUM($S1625)))</f>
        <v/>
      </c>
      <c r="AA1625" s="1446" t="s">
        <v>1757</v>
      </c>
      <c r="AB1625" s="1447">
        <f>MAX(AC1625,AD1625:AI1625)</f>
        <v>2</v>
      </c>
      <c r="AC1625" s="1426">
        <f>IF(CNTR_ExistSubInstEntries,IF(OR($M1556&lt;&gt;EUconst_Relevant,AC1624&gt;=CNTR_ReportingYear,AC1624&lt;$V1556-1,$E1625=""),0,IF(AND($T1618=2,COUNTIF($V1573:V1573,TRUE)&gt;0,$S1590),2,1)),2)</f>
        <v>2</v>
      </c>
      <c r="AD1625" s="1427">
        <f>IF(CNTR_ExistSubInstEntries,IF(OR($M1556&lt;&gt;EUconst_Relevant,AD1624&gt;=CNTR_ReportingYear,AD1624&lt;$V1556-1,$E1625=""),0,IF(AND($T1618=2,COUNTIF($V1573:W1573,TRUE)&gt;0,$S1590),2,1)),2)</f>
        <v>2</v>
      </c>
      <c r="AE1625" s="1427">
        <f>IF(CNTR_ExistSubInstEntries,IF(OR($M1556&lt;&gt;EUconst_Relevant,AE1624&gt;=CNTR_ReportingYear,AE1624&lt;$V1556-1,$E1625=""),0,IF(AND($T1618=2,COUNTIF($V1573:X1573,TRUE)&gt;0,$S1590),2,1)),2)</f>
        <v>2</v>
      </c>
      <c r="AF1625" s="1427">
        <f>IF(CNTR_ExistSubInstEntries,IF(OR($M1556&lt;&gt;EUconst_Relevant,AF1624&gt;=CNTR_ReportingYear,AF1624&lt;$V1556-1,$E1625=""),0,IF(AND($T1618=2,COUNTIF($V1573:Y1573,TRUE)&gt;0,$S1590),2,1)),2)</f>
        <v>2</v>
      </c>
      <c r="AG1625" s="1427">
        <f>IF(CNTR_ExistSubInstEntries,IF(OR($M1556&lt;&gt;EUconst_Relevant,AG1624&gt;=CNTR_ReportingYear,AG1624&lt;$V1556-1,$E1625=""),0,IF(AND($T1618=2,COUNTIF($V1573:Z1573,TRUE)&gt;0,$S1590),2,1)),2)</f>
        <v>2</v>
      </c>
      <c r="AH1625" s="1428">
        <f>IF(CNTR_ExistSubInstEntries,IF(OR($M1556&lt;&gt;EUconst_Relevant,AH1624&gt;=CNTR_ReportingYear,AH1624&lt;$V1556-1,$E1625=""),0,IF(AND($T1618=2,COUNTIF($V1573:AA1573,TRUE)&gt;0,$S1590),2,1)),2)</f>
        <v>2</v>
      </c>
      <c r="AI1625" s="1429">
        <f>IF(CNTR_ExistSubInstEntries,IF(OR($M1556&lt;&gt;EUconst_Relevant,AI1624&gt;=CNTR_ReportingYear,AI1624&lt;$V1556-1,$E1625=""),0,IF(AND($T1618=2,COUNTIF($V1573:AB1573,TRUE)&gt;0,$S1590),2,1)),2)</f>
        <v>2</v>
      </c>
      <c r="AJ1625" s="343"/>
      <c r="AK1625" s="1174" t="s">
        <v>2039</v>
      </c>
      <c r="AL1625" s="1176" t="str">
        <f>IF(AND(CNTR_ExistSubInstEntries,COUNTIFS(AB1625:AI1625,2,G1625:N1625,"")&gt;0),EUconst_Error&amp;"FB"&amp;Q1556,"")</f>
        <v/>
      </c>
      <c r="AM1625" s="343"/>
    </row>
    <row r="1626" spans="1:39" ht="12.75" customHeight="1" x14ac:dyDescent="0.25">
      <c r="A1626" s="729"/>
      <c r="B1626" s="698"/>
      <c r="C1626" s="2906"/>
      <c r="D1626" s="990">
        <v>2</v>
      </c>
      <c r="E1626" s="1430" t="str">
        <f t="shared" si="2342"/>
        <v/>
      </c>
      <c r="F1626" s="1448" t="str">
        <f>F1625</f>
        <v>t CO2e</v>
      </c>
      <c r="G1626" s="124"/>
      <c r="H1626" s="119"/>
      <c r="I1626" s="47"/>
      <c r="J1626" s="119"/>
      <c r="K1626" s="43"/>
      <c r="L1626" s="43"/>
      <c r="M1626" s="43"/>
      <c r="N1626" s="43"/>
      <c r="O1626" s="336"/>
      <c r="P1626" s="158"/>
      <c r="Q1626" s="694"/>
      <c r="R1626" s="694"/>
      <c r="S1626" s="1449" t="str">
        <f>IF($M1556&lt;&gt;EUconst_Relevant,"",
IF($V1556&gt;($J$1840-3),
              IF(INDEX(H1607:N1607,MATCH($V1556,$T1624:$Z1624,0))=0,0,INDEX(H1626:N1626,MATCH($V1556,$T1624:$Z1624,0))/INDEX(H1607:N1607,MATCH($V1556,$T1624:$Z1624,0))),
                             IF(ISNUMBER(G1607),
                                            IF(OR(G1607=0,$S1591=FALSE),0,G1626/G1607),"")))</f>
        <v/>
      </c>
      <c r="T1626" s="1450" t="str">
        <f t="shared" si="2358"/>
        <v/>
      </c>
      <c r="U1626" s="1450" t="str">
        <f t="shared" ref="U1626:U1634" si="2365">IF($E1626="","",IF(IFERROR(SUM($S1626)=0,SUM($H1626)),SUM(I1626),SUM(I1607)*SUM($S1626)))</f>
        <v/>
      </c>
      <c r="V1626" s="1450" t="str">
        <f t="shared" si="2360"/>
        <v/>
      </c>
      <c r="W1626" s="1450" t="str">
        <f t="shared" si="2361"/>
        <v/>
      </c>
      <c r="X1626" s="1450" t="str">
        <f t="shared" si="2362"/>
        <v/>
      </c>
      <c r="Y1626" s="1450" t="str">
        <f t="shared" si="2363"/>
        <v/>
      </c>
      <c r="Z1626" s="1451" t="str">
        <f t="shared" si="2364"/>
        <v/>
      </c>
      <c r="AA1626" s="694"/>
      <c r="AB1626" s="1431">
        <f t="shared" ref="AB1626:AB1634" si="2366">MAX(AC1626,AD1626:AI1626)</f>
        <v>2</v>
      </c>
      <c r="AC1626" s="1432">
        <f>IF(CNTR_ExistSubInstEntries,IF(OR($M1556&lt;&gt;EUconst_Relevant,AC1624&gt;=CNTR_ReportingYear,AC1624&lt;$V1556-1,$E1626=""),0,IF(AND($T1618=2,COUNTIF($V1573:V1573,TRUE)&gt;0,$S1591),2,1)),2)</f>
        <v>2</v>
      </c>
      <c r="AD1626" s="1432">
        <f>IF(CNTR_ExistSubInstEntries,IF(OR($M1556&lt;&gt;EUconst_Relevant,AD1624&gt;=CNTR_ReportingYear,AD1624&lt;$V1556-1,$E1626=""),0,IF(AND($T1618=2,COUNTIF($V1573:W1573,TRUE)&gt;0,$S1591),2,1)),2)</f>
        <v>2</v>
      </c>
      <c r="AE1626" s="1432">
        <f>IF(CNTR_ExistSubInstEntries,IF(OR($M1556&lt;&gt;EUconst_Relevant,AE1624&gt;=CNTR_ReportingYear,AE1624&lt;$V1556-1,$E1626=""),0,IF(AND($T1618=2,COUNTIF($V1573:X1573,TRUE)&gt;0,$S1591),2,1)),2)</f>
        <v>2</v>
      </c>
      <c r="AF1626" s="1432">
        <f>IF(CNTR_ExistSubInstEntries,IF(OR($M1556&lt;&gt;EUconst_Relevant,AF1624&gt;=CNTR_ReportingYear,AF1624&lt;$V1556-1,$E1626=""),0,IF(AND($T1618=2,COUNTIF($V1573:Y1573,TRUE)&gt;0,$S1591),2,1)),2)</f>
        <v>2</v>
      </c>
      <c r="AG1626" s="1432">
        <f>IF(CNTR_ExistSubInstEntries,IF(OR($M1556&lt;&gt;EUconst_Relevant,AG1624&gt;=CNTR_ReportingYear,AG1624&lt;$V1556-1,$E1626=""),0,IF(AND($T1618=2,COUNTIF($V1573:Z1573,TRUE)&gt;0,$S1591),2,1)),2)</f>
        <v>2</v>
      </c>
      <c r="AH1626" s="1432">
        <f>IF(CNTR_ExistSubInstEntries,IF(OR($M1556&lt;&gt;EUconst_Relevant,AH1624&gt;=CNTR_ReportingYear,AH1624&lt;$V1556-1,$E1626=""),0,IF(AND($T1618=2,COUNTIF($V1573:AA1573,TRUE)&gt;0,$S1591),2,1)),2)</f>
        <v>2</v>
      </c>
      <c r="AI1626" s="1452">
        <f>IF(CNTR_ExistSubInstEntries,IF(OR($M1556&lt;&gt;EUconst_Relevant,AI1624&gt;=CNTR_ReportingYear,AI1624&lt;$V1556-1,$E1626=""),0,IF(AND($T1618=2,COUNTIF($V1573:AB1573,TRUE)&gt;0,$S1591),2,1)),2)</f>
        <v>2</v>
      </c>
      <c r="AJ1626" s="343"/>
      <c r="AK1626" s="1174" t="s">
        <v>2039</v>
      </c>
      <c r="AL1626" s="1176" t="str">
        <f>IF(AND(CNTR_ExistSubInstEntries,COUNTIFS(AB1626:AI1626,2,G1626:N1626,"")&gt;0),EUconst_Error&amp;"FB"&amp;Q1556,"")</f>
        <v/>
      </c>
      <c r="AM1626" s="343"/>
    </row>
    <row r="1627" spans="1:39" ht="12.75" customHeight="1" x14ac:dyDescent="0.25">
      <c r="A1627" s="729"/>
      <c r="B1627" s="698"/>
      <c r="C1627" s="2906"/>
      <c r="D1627" s="990">
        <v>3</v>
      </c>
      <c r="E1627" s="1430" t="str">
        <f t="shared" si="2342"/>
        <v/>
      </c>
      <c r="F1627" s="1448" t="str">
        <f t="shared" ref="F1627:F1636" si="2367">EUconst_tCO2e</f>
        <v>t CO2e</v>
      </c>
      <c r="G1627" s="47"/>
      <c r="H1627" s="119"/>
      <c r="I1627" s="47"/>
      <c r="J1627" s="119"/>
      <c r="K1627" s="43"/>
      <c r="L1627" s="43"/>
      <c r="M1627" s="43"/>
      <c r="N1627" s="43"/>
      <c r="O1627" s="336"/>
      <c r="P1627" s="158"/>
      <c r="Q1627" s="694"/>
      <c r="R1627" s="694"/>
      <c r="S1627" s="1449" t="str">
        <f>IF($M1556&lt;&gt;EUconst_Relevant,"",
IF($V1556&gt;($J$1840-3),
              IF(INDEX(H1608:N1608,MATCH($V1556,$T1624:$Z1624,0))=0,0,INDEX(H1627:N1627,MATCH($V1556,$T1624:$Z1624,0))/INDEX(H1608:N1608,MATCH($V1556,$T1624:$Z1624,0))),
                             IF(ISNUMBER(G1608),
                                            IF(OR(G1608=0,$S1592=FALSE),0,G1627/G1608),"")))</f>
        <v/>
      </c>
      <c r="T1627" s="1450" t="str">
        <f t="shared" si="2358"/>
        <v/>
      </c>
      <c r="U1627" s="1450" t="str">
        <f t="shared" si="2365"/>
        <v/>
      </c>
      <c r="V1627" s="1450" t="str">
        <f t="shared" si="2360"/>
        <v/>
      </c>
      <c r="W1627" s="1450" t="str">
        <f t="shared" si="2361"/>
        <v/>
      </c>
      <c r="X1627" s="1450" t="str">
        <f t="shared" si="2362"/>
        <v/>
      </c>
      <c r="Y1627" s="1450" t="str">
        <f t="shared" si="2363"/>
        <v/>
      </c>
      <c r="Z1627" s="1451" t="str">
        <f t="shared" si="2364"/>
        <v/>
      </c>
      <c r="AA1627" s="694"/>
      <c r="AB1627" s="1431">
        <f t="shared" si="2366"/>
        <v>2</v>
      </c>
      <c r="AC1627" s="1432">
        <f>IF(CNTR_ExistSubInstEntries,IF(OR($M1556&lt;&gt;EUconst_Relevant,AC1624&gt;=CNTR_ReportingYear,AC1624&lt;$V1556-1,$E1627=""),0,IF(AND($T1618=2,COUNTIF($V1573:V1573,TRUE)&gt;0,$S1592),2,1)),2)</f>
        <v>2</v>
      </c>
      <c r="AD1627" s="1432">
        <f>IF(CNTR_ExistSubInstEntries,IF(OR($M1556&lt;&gt;EUconst_Relevant,AD1624&gt;=CNTR_ReportingYear,AD1624&lt;$V1556-1,$E1627=""),0,IF(AND($T1618=2,COUNTIF($V1573:W1573,TRUE)&gt;0,$S1592),2,1)),2)</f>
        <v>2</v>
      </c>
      <c r="AE1627" s="1432">
        <f>IF(CNTR_ExistSubInstEntries,IF(OR($M1556&lt;&gt;EUconst_Relevant,AE1624&gt;=CNTR_ReportingYear,AE1624&lt;$V1556-1,$E1627=""),0,IF(AND($T1618=2,COUNTIF($V1573:X1573,TRUE)&gt;0,$S1592),2,1)),2)</f>
        <v>2</v>
      </c>
      <c r="AF1627" s="1432">
        <f>IF(CNTR_ExistSubInstEntries,IF(OR($M1556&lt;&gt;EUconst_Relevant,AF1624&gt;=CNTR_ReportingYear,AF1624&lt;$V1556-1,$E1627=""),0,IF(AND($T1618=2,COUNTIF($V1573:Y1573,TRUE)&gt;0,$S1592),2,1)),2)</f>
        <v>2</v>
      </c>
      <c r="AG1627" s="1432">
        <f>IF(CNTR_ExistSubInstEntries,IF(OR($M1556&lt;&gt;EUconst_Relevant,AG1624&gt;=CNTR_ReportingYear,AG1624&lt;$V1556-1,$E1627=""),0,IF(AND($T1618=2,COUNTIF($V1573:Z1573,TRUE)&gt;0,$S1592),2,1)),2)</f>
        <v>2</v>
      </c>
      <c r="AH1627" s="1432">
        <f>IF(CNTR_ExistSubInstEntries,IF(OR($M1556&lt;&gt;EUconst_Relevant,AH1624&gt;=CNTR_ReportingYear,AH1624&lt;$V1556-1,$E1627=""),0,IF(AND($T1618=2,COUNTIF($V1573:AA1573,TRUE)&gt;0,$S1592),2,1)),2)</f>
        <v>2</v>
      </c>
      <c r="AI1627" s="1452">
        <f>IF(CNTR_ExistSubInstEntries,IF(OR($M1556&lt;&gt;EUconst_Relevant,AI1624&gt;=CNTR_ReportingYear,AI1624&lt;$V1556-1,$E1627=""),0,IF(AND($T1618=2,COUNTIF($V1573:AB1573,TRUE)&gt;0,$S1592),2,1)),2)</f>
        <v>2</v>
      </c>
      <c r="AJ1627" s="343"/>
      <c r="AK1627" s="1174" t="s">
        <v>2039</v>
      </c>
      <c r="AL1627" s="1176" t="str">
        <f>IF(AND(CNTR_ExistSubInstEntries,COUNTIFS(AB1627:AI1627,2,G1627:N1627,"")&gt;0),EUconst_Error&amp;"FB"&amp;Q1556,"")</f>
        <v/>
      </c>
      <c r="AM1627" s="343"/>
    </row>
    <row r="1628" spans="1:39" ht="12.75" customHeight="1" x14ac:dyDescent="0.25">
      <c r="A1628" s="729"/>
      <c r="B1628" s="698"/>
      <c r="C1628" s="2906"/>
      <c r="D1628" s="990">
        <v>4</v>
      </c>
      <c r="E1628" s="1430" t="str">
        <f t="shared" si="2342"/>
        <v/>
      </c>
      <c r="F1628" s="1448" t="str">
        <f t="shared" si="2367"/>
        <v>t CO2e</v>
      </c>
      <c r="G1628" s="47"/>
      <c r="H1628" s="119"/>
      <c r="I1628" s="47"/>
      <c r="J1628" s="119"/>
      <c r="K1628" s="43"/>
      <c r="L1628" s="43"/>
      <c r="M1628" s="43"/>
      <c r="N1628" s="43"/>
      <c r="O1628" s="336"/>
      <c r="P1628" s="158"/>
      <c r="Q1628" s="694"/>
      <c r="R1628" s="694"/>
      <c r="S1628" s="1449" t="str">
        <f>IF($M1556&lt;&gt;EUconst_Relevant,"",
IF($V1556&gt;($J$1840-3),
              IF(INDEX(H1609:N1609,MATCH($V1556,$T1624:$Z1624,0))=0,0,INDEX(H1628:N1628,MATCH($V1556,$T1624:$Z1624,0))/INDEX(H1609:N1609,MATCH($V1556,$T1624:$Z1624,0))),
                             IF(ISNUMBER(G1609),
                                            IF(OR(G1609=0,$S1593=FALSE),0,G1628/G1609),"")))</f>
        <v/>
      </c>
      <c r="T1628" s="1450" t="str">
        <f t="shared" si="2358"/>
        <v/>
      </c>
      <c r="U1628" s="1450" t="str">
        <f t="shared" si="2365"/>
        <v/>
      </c>
      <c r="V1628" s="1450" t="str">
        <f t="shared" si="2360"/>
        <v/>
      </c>
      <c r="W1628" s="1450" t="str">
        <f t="shared" si="2361"/>
        <v/>
      </c>
      <c r="X1628" s="1450" t="str">
        <f t="shared" si="2362"/>
        <v/>
      </c>
      <c r="Y1628" s="1450" t="str">
        <f t="shared" si="2363"/>
        <v/>
      </c>
      <c r="Z1628" s="1451" t="str">
        <f t="shared" si="2364"/>
        <v/>
      </c>
      <c r="AA1628" s="694"/>
      <c r="AB1628" s="1431">
        <f t="shared" si="2366"/>
        <v>2</v>
      </c>
      <c r="AC1628" s="1432">
        <f>IF(CNTR_ExistSubInstEntries,IF(OR($M1556&lt;&gt;EUconst_Relevant,AC1624&gt;=CNTR_ReportingYear,AC1624&lt;$V1556-1,$E1628=""),0,IF(AND($T1618=2,COUNTIF($V1573:V1573,TRUE)&gt;0,$S1593),2,1)),2)</f>
        <v>2</v>
      </c>
      <c r="AD1628" s="1432">
        <f>IF(CNTR_ExistSubInstEntries,IF(OR($M1556&lt;&gt;EUconst_Relevant,AD1624&gt;=CNTR_ReportingYear,AD1624&lt;$V1556-1,$E1628=""),0,IF(AND($T1618=2,COUNTIF($V1573:W1573,TRUE)&gt;0,$S1593),2,1)),2)</f>
        <v>2</v>
      </c>
      <c r="AE1628" s="1432">
        <f>IF(CNTR_ExistSubInstEntries,IF(OR($M1556&lt;&gt;EUconst_Relevant,AE1624&gt;=CNTR_ReportingYear,AE1624&lt;$V1556-1,$E1628=""),0,IF(AND($T1618=2,COUNTIF($V1573:X1573,TRUE)&gt;0,$S1593),2,1)),2)</f>
        <v>2</v>
      </c>
      <c r="AF1628" s="1432">
        <f>IF(CNTR_ExistSubInstEntries,IF(OR($M1556&lt;&gt;EUconst_Relevant,AF1624&gt;=CNTR_ReportingYear,AF1624&lt;$V1556-1,$E1628=""),0,IF(AND($T1618=2,COUNTIF($V1573:Y1573,TRUE)&gt;0,$S1593),2,1)),2)</f>
        <v>2</v>
      </c>
      <c r="AG1628" s="1432">
        <f>IF(CNTR_ExistSubInstEntries,IF(OR($M1556&lt;&gt;EUconst_Relevant,AG1624&gt;=CNTR_ReportingYear,AG1624&lt;$V1556-1,$E1628=""),0,IF(AND($T1618=2,COUNTIF($V1573:Z1573,TRUE)&gt;0,$S1593),2,1)),2)</f>
        <v>2</v>
      </c>
      <c r="AH1628" s="1432">
        <f>IF(CNTR_ExistSubInstEntries,IF(OR($M1556&lt;&gt;EUconst_Relevant,AH1624&gt;=CNTR_ReportingYear,AH1624&lt;$V1556-1,$E1628=""),0,IF(AND($T1618=2,COUNTIF($V1573:AA1573,TRUE)&gt;0,$S1593),2,1)),2)</f>
        <v>2</v>
      </c>
      <c r="AI1628" s="1452">
        <f>IF(CNTR_ExistSubInstEntries,IF(OR($M1556&lt;&gt;EUconst_Relevant,AI1624&gt;=CNTR_ReportingYear,AI1624&lt;$V1556-1,$E1628=""),0,IF(AND($T1618=2,COUNTIF($V1573:AB1573,TRUE)&gt;0,$S1593),2,1)),2)</f>
        <v>2</v>
      </c>
      <c r="AJ1628" s="343"/>
      <c r="AK1628" s="1174" t="s">
        <v>2039</v>
      </c>
      <c r="AL1628" s="1176" t="str">
        <f>IF(AND(CNTR_ExistSubInstEntries,COUNTIFS(AB1628:AI1628,2,G1628:N1628,"")&gt;0),EUconst_Error&amp;"FB"&amp;Q1556,"")</f>
        <v/>
      </c>
      <c r="AM1628" s="343"/>
    </row>
    <row r="1629" spans="1:39" ht="12.75" customHeight="1" x14ac:dyDescent="0.25">
      <c r="A1629" s="729"/>
      <c r="B1629" s="698"/>
      <c r="C1629" s="2906"/>
      <c r="D1629" s="990">
        <v>5</v>
      </c>
      <c r="E1629" s="1430" t="str">
        <f t="shared" si="2342"/>
        <v/>
      </c>
      <c r="F1629" s="1448" t="str">
        <f t="shared" si="2367"/>
        <v>t CO2e</v>
      </c>
      <c r="G1629" s="47"/>
      <c r="H1629" s="119"/>
      <c r="I1629" s="47"/>
      <c r="J1629" s="119"/>
      <c r="K1629" s="43"/>
      <c r="L1629" s="43"/>
      <c r="M1629" s="43"/>
      <c r="N1629" s="43"/>
      <c r="O1629" s="336"/>
      <c r="P1629" s="158"/>
      <c r="Q1629" s="694"/>
      <c r="R1629" s="694"/>
      <c r="S1629" s="1449" t="str">
        <f>IF($M1556&lt;&gt;EUconst_Relevant,"",
IF($V1556&gt;($J$1840-3),
              IF(INDEX(H1610:N1610,MATCH($V1556,$T1624:$Z1624,0))=0,0,INDEX(H1629:N1629,MATCH($V1556,$T1624:$Z1624,0))/INDEX(H1610:N1610,MATCH($V1556,$T1624:$Z1624,0))),
                             IF(ISNUMBER(G1610),
                                            IF(OR(G1610=0,$S1594=FALSE),0,G1629/G1610),"")))</f>
        <v/>
      </c>
      <c r="T1629" s="1450" t="str">
        <f t="shared" si="2358"/>
        <v/>
      </c>
      <c r="U1629" s="1450" t="str">
        <f t="shared" si="2365"/>
        <v/>
      </c>
      <c r="V1629" s="1450" t="str">
        <f t="shared" si="2360"/>
        <v/>
      </c>
      <c r="W1629" s="1450" t="str">
        <f t="shared" si="2361"/>
        <v/>
      </c>
      <c r="X1629" s="1450" t="str">
        <f t="shared" si="2362"/>
        <v/>
      </c>
      <c r="Y1629" s="1450" t="str">
        <f t="shared" si="2363"/>
        <v/>
      </c>
      <c r="Z1629" s="1451" t="str">
        <f t="shared" si="2364"/>
        <v/>
      </c>
      <c r="AA1629" s="694"/>
      <c r="AB1629" s="1431">
        <f t="shared" si="2366"/>
        <v>2</v>
      </c>
      <c r="AC1629" s="1432">
        <f>IF(CNTR_ExistSubInstEntries,IF(OR($M1556&lt;&gt;EUconst_Relevant,AC1624&gt;=CNTR_ReportingYear,AC1624&lt;$V1556-1,$E1629=""),0,IF(AND($T1618=2,COUNTIF($V1573:V1573,TRUE)&gt;0,$S1594),2,1)),2)</f>
        <v>2</v>
      </c>
      <c r="AD1629" s="1432">
        <f>IF(CNTR_ExistSubInstEntries,IF(OR($M1556&lt;&gt;EUconst_Relevant,AD1624&gt;=CNTR_ReportingYear,AD1624&lt;$V1556-1,$E1629=""),0,IF(AND($T1618=2,COUNTIF($V1573:W1573,TRUE)&gt;0,$S1594),2,1)),2)</f>
        <v>2</v>
      </c>
      <c r="AE1629" s="1432">
        <f>IF(CNTR_ExistSubInstEntries,IF(OR($M1556&lt;&gt;EUconst_Relevant,AE1624&gt;=CNTR_ReportingYear,AE1624&lt;$V1556-1,$E1629=""),0,IF(AND($T1618=2,COUNTIF($V1573:X1573,TRUE)&gt;0,$S1594),2,1)),2)</f>
        <v>2</v>
      </c>
      <c r="AF1629" s="1432">
        <f>IF(CNTR_ExistSubInstEntries,IF(OR($M1556&lt;&gt;EUconst_Relevant,AF1624&gt;=CNTR_ReportingYear,AF1624&lt;$V1556-1,$E1629=""),0,IF(AND($T1618=2,COUNTIF($V1573:Y1573,TRUE)&gt;0,$S1594),2,1)),2)</f>
        <v>2</v>
      </c>
      <c r="AG1629" s="1432">
        <f>IF(CNTR_ExistSubInstEntries,IF(OR($M1556&lt;&gt;EUconst_Relevant,AG1624&gt;=CNTR_ReportingYear,AG1624&lt;$V1556-1,$E1629=""),0,IF(AND($T1618=2,COUNTIF($V1573:Z1573,TRUE)&gt;0,$S1594),2,1)),2)</f>
        <v>2</v>
      </c>
      <c r="AH1629" s="1432">
        <f>IF(CNTR_ExistSubInstEntries,IF(OR($M1556&lt;&gt;EUconst_Relevant,AH1624&gt;=CNTR_ReportingYear,AH1624&lt;$V1556-1,$E1629=""),0,IF(AND($T1618=2,COUNTIF($V1573:AA1573,TRUE)&gt;0,$S1594),2,1)),2)</f>
        <v>2</v>
      </c>
      <c r="AI1629" s="1452">
        <f>IF(CNTR_ExistSubInstEntries,IF(OR($M1556&lt;&gt;EUconst_Relevant,AI1624&gt;=CNTR_ReportingYear,AI1624&lt;$V1556-1,$E1629=""),0,IF(AND($T1618=2,COUNTIF($V1573:AB1573,TRUE)&gt;0,$S1594),2,1)),2)</f>
        <v>2</v>
      </c>
      <c r="AJ1629" s="343"/>
      <c r="AK1629" s="1174" t="s">
        <v>2039</v>
      </c>
      <c r="AL1629" s="1176" t="str">
        <f>IF(AND(CNTR_ExistSubInstEntries,COUNTIFS(AB1629:AI1629,2,G1629:N1629,"")&gt;0),EUconst_Error&amp;"FB"&amp;Q1556,"")</f>
        <v/>
      </c>
      <c r="AM1629" s="343"/>
    </row>
    <row r="1630" spans="1:39" ht="12.75" customHeight="1" x14ac:dyDescent="0.25">
      <c r="A1630" s="729"/>
      <c r="B1630" s="698"/>
      <c r="C1630" s="2906"/>
      <c r="D1630" s="990">
        <v>6</v>
      </c>
      <c r="E1630" s="1430" t="str">
        <f t="shared" si="2342"/>
        <v/>
      </c>
      <c r="F1630" s="1448" t="str">
        <f t="shared" si="2367"/>
        <v>t CO2e</v>
      </c>
      <c r="G1630" s="47"/>
      <c r="H1630" s="119"/>
      <c r="I1630" s="47"/>
      <c r="J1630" s="119"/>
      <c r="K1630" s="43"/>
      <c r="L1630" s="43"/>
      <c r="M1630" s="43"/>
      <c r="N1630" s="43"/>
      <c r="O1630" s="336"/>
      <c r="P1630" s="158"/>
      <c r="Q1630" s="694"/>
      <c r="R1630" s="694"/>
      <c r="S1630" s="1449" t="str">
        <f>IF($M1556&lt;&gt;EUconst_Relevant,"",
IF($V1556&gt;($J$1840-3),
              IF(INDEX(H1611:N1611,MATCH($V1556,$T1624:$Z1624,0))=0,0,INDEX(H1630:N1630,MATCH($V1556,$T1624:$Z1624,0))/INDEX(H1611:N1611,MATCH($V1556,$T1624:$Z1624,0))),
                             IF(ISNUMBER(G1611),
                                            IF(OR(G1611=0,$S1595=FALSE),0,G1630/G1611),"")))</f>
        <v/>
      </c>
      <c r="T1630" s="1450" t="str">
        <f t="shared" si="2358"/>
        <v/>
      </c>
      <c r="U1630" s="1450" t="str">
        <f t="shared" si="2365"/>
        <v/>
      </c>
      <c r="V1630" s="1450" t="str">
        <f t="shared" si="2360"/>
        <v/>
      </c>
      <c r="W1630" s="1450" t="str">
        <f t="shared" si="2361"/>
        <v/>
      </c>
      <c r="X1630" s="1450" t="str">
        <f t="shared" si="2362"/>
        <v/>
      </c>
      <c r="Y1630" s="1450" t="str">
        <f t="shared" si="2363"/>
        <v/>
      </c>
      <c r="Z1630" s="1451" t="str">
        <f t="shared" si="2364"/>
        <v/>
      </c>
      <c r="AA1630" s="694"/>
      <c r="AB1630" s="1431">
        <f t="shared" si="2366"/>
        <v>2</v>
      </c>
      <c r="AC1630" s="1432">
        <f>IF(CNTR_ExistSubInstEntries,IF(OR($M1556&lt;&gt;EUconst_Relevant,AC1624&gt;=CNTR_ReportingYear,AC1624&lt;$V1556-1,$E1630=""),0,IF(AND($T1618=2,COUNTIF($V1573:V1573,TRUE)&gt;0,$S1595),2,1)),2)</f>
        <v>2</v>
      </c>
      <c r="AD1630" s="1432">
        <f>IF(CNTR_ExistSubInstEntries,IF(OR($M1556&lt;&gt;EUconst_Relevant,AD1624&gt;=CNTR_ReportingYear,AD1624&lt;$V1556-1,$E1630=""),0,IF(AND($T1618=2,COUNTIF($V1573:W1573,TRUE)&gt;0,$S1595),2,1)),2)</f>
        <v>2</v>
      </c>
      <c r="AE1630" s="1432">
        <f>IF(CNTR_ExistSubInstEntries,IF(OR($M1556&lt;&gt;EUconst_Relevant,AE1624&gt;=CNTR_ReportingYear,AE1624&lt;$V1556-1,$E1630=""),0,IF(AND($T1618=2,COUNTIF($V1573:X1573,TRUE)&gt;0,$S1595),2,1)),2)</f>
        <v>2</v>
      </c>
      <c r="AF1630" s="1432">
        <f>IF(CNTR_ExistSubInstEntries,IF(OR($M1556&lt;&gt;EUconst_Relevant,AF1624&gt;=CNTR_ReportingYear,AF1624&lt;$V1556-1,$E1630=""),0,IF(AND($T1618=2,COUNTIF($V1573:Y1573,TRUE)&gt;0,$S1595),2,1)),2)</f>
        <v>2</v>
      </c>
      <c r="AG1630" s="1432">
        <f>IF(CNTR_ExistSubInstEntries,IF(OR($M1556&lt;&gt;EUconst_Relevant,AG1624&gt;=CNTR_ReportingYear,AG1624&lt;$V1556-1,$E1630=""),0,IF(AND($T1618=2,COUNTIF($V1573:Z1573,TRUE)&gt;0,$S1595),2,1)),2)</f>
        <v>2</v>
      </c>
      <c r="AH1630" s="1432">
        <f>IF(CNTR_ExistSubInstEntries,IF(OR($M1556&lt;&gt;EUconst_Relevant,AH1624&gt;=CNTR_ReportingYear,AH1624&lt;$V1556-1,$E1630=""),0,IF(AND($T1618=2,COUNTIF($V1573:AA1573,TRUE)&gt;0,$S1595),2,1)),2)</f>
        <v>2</v>
      </c>
      <c r="AI1630" s="1452">
        <f>IF(CNTR_ExistSubInstEntries,IF(OR($M1556&lt;&gt;EUconst_Relevant,AI1624&gt;=CNTR_ReportingYear,AI1624&lt;$V1556-1,$E1630=""),0,IF(AND($T1618=2,COUNTIF($V1573:AB1573,TRUE)&gt;0,$S1595),2,1)),2)</f>
        <v>2</v>
      </c>
      <c r="AJ1630" s="343"/>
      <c r="AK1630" s="1174" t="s">
        <v>2039</v>
      </c>
      <c r="AL1630" s="1176" t="str">
        <f>IF(AND(CNTR_ExistSubInstEntries,COUNTIFS(AB1630:AI1630,2,G1630:N1630,"")&gt;0),EUconst_Error&amp;"FB"&amp;Q1556,"")</f>
        <v/>
      </c>
      <c r="AM1630" s="343"/>
    </row>
    <row r="1631" spans="1:39" ht="12.75" customHeight="1" x14ac:dyDescent="0.25">
      <c r="A1631" s="729"/>
      <c r="B1631" s="698"/>
      <c r="C1631" s="2906"/>
      <c r="D1631" s="990">
        <v>7</v>
      </c>
      <c r="E1631" s="1430" t="str">
        <f t="shared" si="2342"/>
        <v/>
      </c>
      <c r="F1631" s="1448" t="str">
        <f t="shared" si="2367"/>
        <v>t CO2e</v>
      </c>
      <c r="G1631" s="47"/>
      <c r="H1631" s="119"/>
      <c r="I1631" s="47"/>
      <c r="J1631" s="119"/>
      <c r="K1631" s="43"/>
      <c r="L1631" s="43"/>
      <c r="M1631" s="43"/>
      <c r="N1631" s="43"/>
      <c r="O1631" s="336"/>
      <c r="P1631" s="158"/>
      <c r="Q1631" s="694"/>
      <c r="R1631" s="694"/>
      <c r="S1631" s="1449" t="str">
        <f>IF($M1556&lt;&gt;EUconst_Relevant,"",
IF($V1556&gt;($J$1840-3),
              IF(INDEX(H1612:N1612,MATCH($V1556,$T1624:$Z1624,0))=0,0,INDEX(H1631:N1631,MATCH($V1556,$T1624:$Z1624,0))/INDEX(H1612:N1612,MATCH($V1556,$T1624:$Z1624,0))),
                             IF(ISNUMBER(G1612),
                                            IF(OR(G1612=0,$S1596=FALSE),0,G1631/G1612),"")))</f>
        <v/>
      </c>
      <c r="T1631" s="1450" t="str">
        <f t="shared" si="2358"/>
        <v/>
      </c>
      <c r="U1631" s="1450" t="str">
        <f t="shared" si="2365"/>
        <v/>
      </c>
      <c r="V1631" s="1450" t="str">
        <f t="shared" si="2360"/>
        <v/>
      </c>
      <c r="W1631" s="1450" t="str">
        <f t="shared" si="2361"/>
        <v/>
      </c>
      <c r="X1631" s="1450" t="str">
        <f t="shared" si="2362"/>
        <v/>
      </c>
      <c r="Y1631" s="1450" t="str">
        <f t="shared" si="2363"/>
        <v/>
      </c>
      <c r="Z1631" s="1451" t="str">
        <f t="shared" si="2364"/>
        <v/>
      </c>
      <c r="AA1631" s="694"/>
      <c r="AB1631" s="1431">
        <f t="shared" si="2366"/>
        <v>2</v>
      </c>
      <c r="AC1631" s="1432">
        <f>IF(CNTR_ExistSubInstEntries,IF(OR($M1556&lt;&gt;EUconst_Relevant,AC1624&gt;=CNTR_ReportingYear,AC1624&lt;$V1556-1,$E1631=""),0,IF(AND($T1618=2,COUNTIF($V1573:V1573,TRUE)&gt;0,$S1596),2,1)),2)</f>
        <v>2</v>
      </c>
      <c r="AD1631" s="1432">
        <f>IF(CNTR_ExistSubInstEntries,IF(OR($M1556&lt;&gt;EUconst_Relevant,AD1624&gt;=CNTR_ReportingYear,AD1624&lt;$V1556-1,$E1631=""),0,IF(AND($T1618=2,COUNTIF($V1573:W1573,TRUE)&gt;0,$S1596),2,1)),2)</f>
        <v>2</v>
      </c>
      <c r="AE1631" s="1432">
        <f>IF(CNTR_ExistSubInstEntries,IF(OR($M1556&lt;&gt;EUconst_Relevant,AE1624&gt;=CNTR_ReportingYear,AE1624&lt;$V1556-1,$E1631=""),0,IF(AND($T1618=2,COUNTIF($V1573:X1573,TRUE)&gt;0,$S1596),2,1)),2)</f>
        <v>2</v>
      </c>
      <c r="AF1631" s="1432">
        <f>IF(CNTR_ExistSubInstEntries,IF(OR($M1556&lt;&gt;EUconst_Relevant,AF1624&gt;=CNTR_ReportingYear,AF1624&lt;$V1556-1,$E1631=""),0,IF(AND($T1618=2,COUNTIF($V1573:Y1573,TRUE)&gt;0,$S1596),2,1)),2)</f>
        <v>2</v>
      </c>
      <c r="AG1631" s="1432">
        <f>IF(CNTR_ExistSubInstEntries,IF(OR($M1556&lt;&gt;EUconst_Relevant,AG1624&gt;=CNTR_ReportingYear,AG1624&lt;$V1556-1,$E1631=""),0,IF(AND($T1618=2,COUNTIF($V1573:Z1573,TRUE)&gt;0,$S1596),2,1)),2)</f>
        <v>2</v>
      </c>
      <c r="AH1631" s="1432">
        <f>IF(CNTR_ExistSubInstEntries,IF(OR($M1556&lt;&gt;EUconst_Relevant,AH1624&gt;=CNTR_ReportingYear,AH1624&lt;$V1556-1,$E1631=""),0,IF(AND($T1618=2,COUNTIF($V1573:AA1573,TRUE)&gt;0,$S1596),2,1)),2)</f>
        <v>2</v>
      </c>
      <c r="AI1631" s="1452">
        <f>IF(CNTR_ExistSubInstEntries,IF(OR($M1556&lt;&gt;EUconst_Relevant,AI1624&gt;=CNTR_ReportingYear,AI1624&lt;$V1556-1,$E1631=""),0,IF(AND($T1618=2,COUNTIF($V1573:AB1573,TRUE)&gt;0,$S1596),2,1)),2)</f>
        <v>2</v>
      </c>
      <c r="AJ1631" s="343"/>
      <c r="AK1631" s="1174" t="s">
        <v>2039</v>
      </c>
      <c r="AL1631" s="1176" t="str">
        <f>IF(AND(CNTR_ExistSubInstEntries,COUNTIFS(AB1631:AI1631,2,G1631:N1631,"")&gt;0),EUconst_Error&amp;"FB"&amp;Q1556,"")</f>
        <v/>
      </c>
      <c r="AM1631" s="343"/>
    </row>
    <row r="1632" spans="1:39" ht="12.75" customHeight="1" x14ac:dyDescent="0.25">
      <c r="A1632" s="729"/>
      <c r="B1632" s="698"/>
      <c r="C1632" s="2906"/>
      <c r="D1632" s="990">
        <v>8</v>
      </c>
      <c r="E1632" s="1430" t="str">
        <f t="shared" si="2342"/>
        <v/>
      </c>
      <c r="F1632" s="1448" t="str">
        <f t="shared" si="2367"/>
        <v>t CO2e</v>
      </c>
      <c r="G1632" s="47"/>
      <c r="H1632" s="119"/>
      <c r="I1632" s="47"/>
      <c r="J1632" s="119"/>
      <c r="K1632" s="43"/>
      <c r="L1632" s="43"/>
      <c r="M1632" s="43"/>
      <c r="N1632" s="43"/>
      <c r="O1632" s="336"/>
      <c r="P1632" s="158"/>
      <c r="Q1632" s="694"/>
      <c r="R1632" s="694"/>
      <c r="S1632" s="1449" t="str">
        <f>IF($M1556&lt;&gt;EUconst_Relevant,"",
IF($V1556&gt;($J$1840-3),
              IF(INDEX(H1613:N1613,MATCH($V1556,$T1624:$Z1624,0))=0,0,INDEX(H1632:N1632,MATCH($V1556,$T1624:$Z1624,0))/INDEX(H1613:N1613,MATCH($V1556,$T1624:$Z1624,0))),
                             IF(ISNUMBER(G1613),
                                            IF(OR(G1613=0,$S1597=FALSE),0,G1632/G1613),"")))</f>
        <v/>
      </c>
      <c r="T1632" s="1450" t="str">
        <f t="shared" si="2358"/>
        <v/>
      </c>
      <c r="U1632" s="1450" t="str">
        <f t="shared" si="2365"/>
        <v/>
      </c>
      <c r="V1632" s="1450" t="str">
        <f t="shared" si="2360"/>
        <v/>
      </c>
      <c r="W1632" s="1450" t="str">
        <f t="shared" si="2361"/>
        <v/>
      </c>
      <c r="X1632" s="1450" t="str">
        <f t="shared" si="2362"/>
        <v/>
      </c>
      <c r="Y1632" s="1450" t="str">
        <f t="shared" si="2363"/>
        <v/>
      </c>
      <c r="Z1632" s="1451" t="str">
        <f t="shared" si="2364"/>
        <v/>
      </c>
      <c r="AA1632" s="694"/>
      <c r="AB1632" s="1431">
        <f t="shared" si="2366"/>
        <v>2</v>
      </c>
      <c r="AC1632" s="1432">
        <f>IF(CNTR_ExistSubInstEntries,IF(OR($M1556&lt;&gt;EUconst_Relevant,AC1624&gt;=CNTR_ReportingYear,AC1624&lt;$V1556-1,$E1632=""),0,IF(AND($T1618=2,COUNTIF($V1573:V1573,TRUE)&gt;0,$S1597),2,1)),2)</f>
        <v>2</v>
      </c>
      <c r="AD1632" s="1432">
        <f>IF(CNTR_ExistSubInstEntries,IF(OR($M1556&lt;&gt;EUconst_Relevant,AD1624&gt;=CNTR_ReportingYear,AD1624&lt;$V1556-1,$E1632=""),0,IF(AND($T1618=2,COUNTIF($V1573:W1573,TRUE)&gt;0,$S1597),2,1)),2)</f>
        <v>2</v>
      </c>
      <c r="AE1632" s="1432">
        <f>IF(CNTR_ExistSubInstEntries,IF(OR($M1556&lt;&gt;EUconst_Relevant,AE1624&gt;=CNTR_ReportingYear,AE1624&lt;$V1556-1,$E1632=""),0,IF(AND($T1618=2,COUNTIF($V1573:X1573,TRUE)&gt;0,$S1597),2,1)),2)</f>
        <v>2</v>
      </c>
      <c r="AF1632" s="1432">
        <f>IF(CNTR_ExistSubInstEntries,IF(OR($M1556&lt;&gt;EUconst_Relevant,AF1624&gt;=CNTR_ReportingYear,AF1624&lt;$V1556-1,$E1632=""),0,IF(AND($T1618=2,COUNTIF($V1573:Y1573,TRUE)&gt;0,$S1597),2,1)),2)</f>
        <v>2</v>
      </c>
      <c r="AG1632" s="1432">
        <f>IF(CNTR_ExistSubInstEntries,IF(OR($M1556&lt;&gt;EUconst_Relevant,AG1624&gt;=CNTR_ReportingYear,AG1624&lt;$V1556-1,$E1632=""),0,IF(AND($T1618=2,COUNTIF($V1573:Z1573,TRUE)&gt;0,$S1597),2,1)),2)</f>
        <v>2</v>
      </c>
      <c r="AH1632" s="1432">
        <f>IF(CNTR_ExistSubInstEntries,IF(OR($M1556&lt;&gt;EUconst_Relevant,AH1624&gt;=CNTR_ReportingYear,AH1624&lt;$V1556-1,$E1632=""),0,IF(AND($T1618=2,COUNTIF($V1573:AA1573,TRUE)&gt;0,$S1597),2,1)),2)</f>
        <v>2</v>
      </c>
      <c r="AI1632" s="1452">
        <f>IF(CNTR_ExistSubInstEntries,IF(OR($M1556&lt;&gt;EUconst_Relevant,AI1624&gt;=CNTR_ReportingYear,AI1624&lt;$V1556-1,$E1632=""),0,IF(AND($T1618=2,COUNTIF($V1573:AB1573,TRUE)&gt;0,$S1597),2,1)),2)</f>
        <v>2</v>
      </c>
      <c r="AJ1632" s="343"/>
      <c r="AK1632" s="1174" t="s">
        <v>2039</v>
      </c>
      <c r="AL1632" s="1176" t="str">
        <f>IF(AND(CNTR_ExistSubInstEntries,COUNTIFS(AB1632:AI1632,2,G1632:N1632,"")&gt;0),EUconst_Error&amp;"FB"&amp;Q1556,"")</f>
        <v/>
      </c>
      <c r="AM1632" s="343"/>
    </row>
    <row r="1633" spans="1:39" ht="12.75" customHeight="1" x14ac:dyDescent="0.25">
      <c r="A1633" s="729"/>
      <c r="B1633" s="698"/>
      <c r="C1633" s="2906"/>
      <c r="D1633" s="990">
        <v>9</v>
      </c>
      <c r="E1633" s="1430" t="str">
        <f t="shared" si="2342"/>
        <v/>
      </c>
      <c r="F1633" s="1448" t="str">
        <f t="shared" si="2367"/>
        <v>t CO2e</v>
      </c>
      <c r="G1633" s="47"/>
      <c r="H1633" s="119"/>
      <c r="I1633" s="47"/>
      <c r="J1633" s="119"/>
      <c r="K1633" s="43"/>
      <c r="L1633" s="43"/>
      <c r="M1633" s="43"/>
      <c r="N1633" s="43"/>
      <c r="O1633" s="302"/>
      <c r="P1633" s="158"/>
      <c r="Q1633" s="694"/>
      <c r="R1633" s="694"/>
      <c r="S1633" s="1449" t="str">
        <f>IF($M1556&lt;&gt;EUconst_Relevant,"",
IF($V1556&gt;($J$1840-3),
              IF(INDEX(H1614:N1614,MATCH($V1556,$T1624:$Z1624,0))=0,0,INDEX(H1633:N1633,MATCH($V1556,$T1624:$Z1624,0))/INDEX(H1614:N1614,MATCH($V1556,$T1624:$Z1624,0))),
                             IF(ISNUMBER(G1614),
                                            IF(OR(G1614=0,$S1598=FALSE),0,G1633/G1614),"")))</f>
        <v/>
      </c>
      <c r="T1633" s="1450" t="str">
        <f t="shared" si="2358"/>
        <v/>
      </c>
      <c r="U1633" s="1450" t="str">
        <f t="shared" si="2365"/>
        <v/>
      </c>
      <c r="V1633" s="1450" t="str">
        <f t="shared" si="2360"/>
        <v/>
      </c>
      <c r="W1633" s="1450" t="str">
        <f t="shared" si="2361"/>
        <v/>
      </c>
      <c r="X1633" s="1450" t="str">
        <f t="shared" si="2362"/>
        <v/>
      </c>
      <c r="Y1633" s="1450" t="str">
        <f t="shared" si="2363"/>
        <v/>
      </c>
      <c r="Z1633" s="1451" t="str">
        <f t="shared" si="2364"/>
        <v/>
      </c>
      <c r="AA1633" s="694"/>
      <c r="AB1633" s="1431">
        <f t="shared" si="2366"/>
        <v>2</v>
      </c>
      <c r="AC1633" s="1432">
        <f>IF(CNTR_ExistSubInstEntries,IF(OR($M1556&lt;&gt;EUconst_Relevant,AC1624&gt;=CNTR_ReportingYear,AC1624&lt;$V1556-1,$E1633=""),0,IF(AND($T1618=2,COUNTIF($V1573:V1573,TRUE)&gt;0,$S1598),2,1)),2)</f>
        <v>2</v>
      </c>
      <c r="AD1633" s="1432">
        <f>IF(CNTR_ExistSubInstEntries,IF(OR($M1556&lt;&gt;EUconst_Relevant,AD1624&gt;=CNTR_ReportingYear,AD1624&lt;$V1556-1,$E1633=""),0,IF(AND($T1618=2,COUNTIF($V1573:W1573,TRUE)&gt;0,$S1598),2,1)),2)</f>
        <v>2</v>
      </c>
      <c r="AE1633" s="1432">
        <f>IF(CNTR_ExistSubInstEntries,IF(OR($M1556&lt;&gt;EUconst_Relevant,AE1624&gt;=CNTR_ReportingYear,AE1624&lt;$V1556-1,$E1633=""),0,IF(AND($T1618=2,COUNTIF($V1573:X1573,TRUE)&gt;0,$S1598),2,1)),2)</f>
        <v>2</v>
      </c>
      <c r="AF1633" s="1432">
        <f>IF(CNTR_ExistSubInstEntries,IF(OR($M1556&lt;&gt;EUconst_Relevant,AF1624&gt;=CNTR_ReportingYear,AF1624&lt;$V1556-1,$E1633=""),0,IF(AND($T1618=2,COUNTIF($V1573:Y1573,TRUE)&gt;0,$S1598),2,1)),2)</f>
        <v>2</v>
      </c>
      <c r="AG1633" s="1432">
        <f>IF(CNTR_ExistSubInstEntries,IF(OR($M1556&lt;&gt;EUconst_Relevant,AG1624&gt;=CNTR_ReportingYear,AG1624&lt;$V1556-1,$E1633=""),0,IF(AND($T1618=2,COUNTIF($V1573:Z1573,TRUE)&gt;0,$S1598),2,1)),2)</f>
        <v>2</v>
      </c>
      <c r="AH1633" s="1432">
        <f>IF(CNTR_ExistSubInstEntries,IF(OR($M1556&lt;&gt;EUconst_Relevant,AH1624&gt;=CNTR_ReportingYear,AH1624&lt;$V1556-1,$E1633=""),0,IF(AND($T1618=2,COUNTIF($V1573:AA1573,TRUE)&gt;0,$S1598),2,1)),2)</f>
        <v>2</v>
      </c>
      <c r="AI1633" s="1452">
        <f>IF(CNTR_ExistSubInstEntries,IF(OR($M1556&lt;&gt;EUconst_Relevant,AI1624&gt;=CNTR_ReportingYear,AI1624&lt;$V1556-1,$E1633=""),0,IF(AND($T1618=2,COUNTIF($V1573:AB1573,TRUE)&gt;0,$S1598),2,1)),2)</f>
        <v>2</v>
      </c>
      <c r="AJ1633" s="343"/>
      <c r="AK1633" s="1174" t="s">
        <v>2039</v>
      </c>
      <c r="AL1633" s="1176" t="str">
        <f>IF(AND(CNTR_ExistSubInstEntries,COUNTIFS(AB1633:AI1633,2,G1633:N1633,"")&gt;0),EUconst_Error&amp;"FB"&amp;Q1556,"")</f>
        <v/>
      </c>
      <c r="AM1633" s="343"/>
    </row>
    <row r="1634" spans="1:39" ht="12.75" customHeight="1" thickBot="1" x14ac:dyDescent="0.3">
      <c r="A1634" s="729"/>
      <c r="B1634" s="698"/>
      <c r="C1634" s="2906"/>
      <c r="D1634" s="994">
        <v>10</v>
      </c>
      <c r="E1634" s="1435" t="str">
        <f t="shared" si="2342"/>
        <v/>
      </c>
      <c r="F1634" s="1453" t="str">
        <f t="shared" si="2367"/>
        <v>t CO2e</v>
      </c>
      <c r="G1634" s="48"/>
      <c r="H1634" s="117"/>
      <c r="I1634" s="48"/>
      <c r="J1634" s="117"/>
      <c r="K1634" s="38"/>
      <c r="L1634" s="38"/>
      <c r="M1634" s="38"/>
      <c r="N1634" s="38"/>
      <c r="O1634" s="302"/>
      <c r="P1634" s="158"/>
      <c r="Q1634" s="694"/>
      <c r="R1634" s="694"/>
      <c r="S1634" s="1454" t="str">
        <f>IF($M1556&lt;&gt;EUconst_Relevant,"",
IF($V1556&gt;($J$1840-3),
              IF(INDEX(H1615:N1615,MATCH($V1556,$T1624:$Z1624,0))=0,0,INDEX(H1634:N1634,MATCH($V1556,$T1624:$Z1624,0))/INDEX(H1615:N1615,MATCH($V1556,$T1624:$Z1624,0))),
                             IF(ISNUMBER(G1615),
                                            IF(OR(G1615=0,$S1599=FALSE),0,G1634/G1615),"")))</f>
        <v/>
      </c>
      <c r="T1634" s="1455" t="str">
        <f t="shared" si="2358"/>
        <v/>
      </c>
      <c r="U1634" s="1455" t="str">
        <f t="shared" si="2365"/>
        <v/>
      </c>
      <c r="V1634" s="1455" t="str">
        <f t="shared" si="2360"/>
        <v/>
      </c>
      <c r="W1634" s="1455" t="str">
        <f t="shared" si="2361"/>
        <v/>
      </c>
      <c r="X1634" s="1455" t="str">
        <f t="shared" si="2362"/>
        <v/>
      </c>
      <c r="Y1634" s="1455" t="str">
        <f t="shared" si="2363"/>
        <v/>
      </c>
      <c r="Z1634" s="1456" t="str">
        <f t="shared" si="2364"/>
        <v/>
      </c>
      <c r="AA1634" s="694"/>
      <c r="AB1634" s="1436">
        <f t="shared" si="2366"/>
        <v>2</v>
      </c>
      <c r="AC1634" s="1437">
        <f>IF(CNTR_ExistSubInstEntries,IF(OR($M1556&lt;&gt;EUconst_Relevant,AC1624&gt;=CNTR_ReportingYear,AC1624&lt;$V1556-1,$E1634=""),0,IF(AND($T1618=2,COUNTIF($V1573:V1573,TRUE)&gt;0,$S1599),2,1)),2)</f>
        <v>2</v>
      </c>
      <c r="AD1634" s="1437">
        <f>IF(CNTR_ExistSubInstEntries,IF(OR($M1556&lt;&gt;EUconst_Relevant,AD1624&gt;=CNTR_ReportingYear,AD1624&lt;$V1556-1,$E1634=""),0,IF(AND($T1618=2,COUNTIF($V1573:W1573,TRUE)&gt;0,$S1599),2,1)),2)</f>
        <v>2</v>
      </c>
      <c r="AE1634" s="1437">
        <f>IF(CNTR_ExistSubInstEntries,IF(OR($M1556&lt;&gt;EUconst_Relevant,AE1624&gt;=CNTR_ReportingYear,AE1624&lt;$V1556-1,$E1634=""),0,IF(AND($T1618=2,COUNTIF($V1573:X1573,TRUE)&gt;0,$S1599),2,1)),2)</f>
        <v>2</v>
      </c>
      <c r="AF1634" s="1437">
        <f>IF(CNTR_ExistSubInstEntries,IF(OR($M1556&lt;&gt;EUconst_Relevant,AF1624&gt;=CNTR_ReportingYear,AF1624&lt;$V1556-1,$E1634=""),0,IF(AND($T1618=2,COUNTIF($V1573:Y1573,TRUE)&gt;0,$S1599),2,1)),2)</f>
        <v>2</v>
      </c>
      <c r="AG1634" s="1437">
        <f>IF(CNTR_ExistSubInstEntries,IF(OR($M1556&lt;&gt;EUconst_Relevant,AG1624&gt;=CNTR_ReportingYear,AG1624&lt;$V1556-1,$E1634=""),0,IF(AND($T1618=2,COUNTIF($V1573:Z1573,TRUE)&gt;0,$S1599),2,1)),2)</f>
        <v>2</v>
      </c>
      <c r="AH1634" s="1437">
        <f>IF(CNTR_ExistSubInstEntries,IF(OR($M1556&lt;&gt;EUconst_Relevant,AH1624&gt;=CNTR_ReportingYear,AH1624&lt;$V1556-1,$E1634=""),0,IF(AND($T1618=2,COUNTIF($V1573:AA1573,TRUE)&gt;0,$S1599),2,1)),2)</f>
        <v>2</v>
      </c>
      <c r="AI1634" s="1457">
        <f>IF(CNTR_ExistSubInstEntries,IF(OR($M1556&lt;&gt;EUconst_Relevant,AI1624&gt;=CNTR_ReportingYear,AI1624&lt;$V1556-1,$E1634=""),0,IF(AND($T1618=2,COUNTIF($V1573:AB1573,TRUE)&gt;0,$S1599),2,1)),2)</f>
        <v>2</v>
      </c>
      <c r="AJ1634" s="343"/>
      <c r="AK1634" s="1174" t="s">
        <v>2039</v>
      </c>
      <c r="AL1634" s="1176" t="str">
        <f>IF(AND(CNTR_ExistSubInstEntries,COUNTIFS(AB1634:AI1634,2,G1634:N1634,"")&gt;0),EUconst_Error&amp;"FB"&amp;Q1556,"")</f>
        <v/>
      </c>
      <c r="AM1634" s="343"/>
    </row>
    <row r="1635" spans="1:39" ht="12.75" customHeight="1" thickBot="1" x14ac:dyDescent="0.3">
      <c r="A1635" s="729"/>
      <c r="B1635" s="698"/>
      <c r="C1635" s="2906"/>
      <c r="D1635" s="1293"/>
      <c r="E1635" s="1458" t="str">
        <f>Translations!$B$1338</f>
        <v>Общо потребление</v>
      </c>
      <c r="F1635" s="1453" t="str">
        <f t="shared" si="2367"/>
        <v>t CO2e</v>
      </c>
      <c r="G1635" s="1296" t="str">
        <f t="shared" ref="G1635:N1635" si="2368">IF(COUNT(G1625:G1634)&gt;0,SUMIF($S1590:$S1599,TRUE,G1625:G1634),"")</f>
        <v/>
      </c>
      <c r="H1635" s="1297" t="str">
        <f t="shared" si="2368"/>
        <v/>
      </c>
      <c r="I1635" s="1296" t="str">
        <f t="shared" si="2368"/>
        <v/>
      </c>
      <c r="J1635" s="1297" t="str">
        <f t="shared" si="2368"/>
        <v/>
      </c>
      <c r="K1635" s="1104" t="str">
        <f t="shared" si="2368"/>
        <v/>
      </c>
      <c r="L1635" s="1104" t="str">
        <f t="shared" si="2368"/>
        <v/>
      </c>
      <c r="M1635" s="1104" t="str">
        <f t="shared" si="2368"/>
        <v/>
      </c>
      <c r="N1635" s="1104" t="str">
        <f t="shared" si="2368"/>
        <v/>
      </c>
      <c r="O1635" s="302"/>
      <c r="P1635" s="336"/>
      <c r="Q1635" s="694"/>
      <c r="R1635" s="694"/>
      <c r="S1635" s="694"/>
      <c r="T1635" s="1459">
        <f>SUM(T1625:T1634)</f>
        <v>0</v>
      </c>
      <c r="U1635" s="1460">
        <f t="shared" ref="U1635:Z1635" si="2369">SUM(U1625:U1634)</f>
        <v>0</v>
      </c>
      <c r="V1635" s="1460">
        <f t="shared" si="2369"/>
        <v>0</v>
      </c>
      <c r="W1635" s="1460">
        <f t="shared" si="2369"/>
        <v>0</v>
      </c>
      <c r="X1635" s="1460">
        <f t="shared" si="2369"/>
        <v>0</v>
      </c>
      <c r="Y1635" s="1460">
        <f t="shared" si="2369"/>
        <v>0</v>
      </c>
      <c r="Z1635" s="1461">
        <f t="shared" si="2369"/>
        <v>0</v>
      </c>
      <c r="AA1635" s="694"/>
      <c r="AB1635" s="729"/>
      <c r="AC1635" s="694"/>
      <c r="AD1635" s="694"/>
      <c r="AE1635" s="343"/>
      <c r="AF1635" s="343"/>
      <c r="AG1635" s="343"/>
      <c r="AH1635" s="343"/>
      <c r="AI1635" s="343"/>
      <c r="AJ1635" s="343"/>
      <c r="AK1635" s="343"/>
      <c r="AL1635" s="343"/>
      <c r="AM1635" s="343"/>
    </row>
    <row r="1636" spans="1:39" ht="12.75" customHeight="1" x14ac:dyDescent="0.25">
      <c r="A1636" s="729"/>
      <c r="B1636" s="698"/>
      <c r="C1636" s="2906"/>
      <c r="D1636" s="1462"/>
      <c r="E1636" s="1463" t="str">
        <f>Translations!$B$1339</f>
        <v>Дял от a)</v>
      </c>
      <c r="F1636" s="1464" t="str">
        <f t="shared" si="2367"/>
        <v>t CO2e</v>
      </c>
      <c r="G1636" s="274" t="str">
        <f>IF(COUNT(I1572,G1635)=2,IF(I1572=0,EUconst_NA,G1635/I1572),"")</f>
        <v/>
      </c>
      <c r="H1636" s="185" t="str">
        <f t="shared" ref="H1636:N1636" si="2370">IF(COUNT(H1564,H1635)=2,IF(H1564=0,EUconst_NA,H1635/H1564),"")</f>
        <v/>
      </c>
      <c r="I1636" s="186" t="str">
        <f t="shared" si="2370"/>
        <v/>
      </c>
      <c r="J1636" s="185" t="str">
        <f t="shared" si="2370"/>
        <v/>
      </c>
      <c r="K1636" s="187" t="str">
        <f t="shared" si="2370"/>
        <v/>
      </c>
      <c r="L1636" s="187" t="str">
        <f t="shared" si="2370"/>
        <v/>
      </c>
      <c r="M1636" s="187" t="str">
        <f t="shared" si="2370"/>
        <v/>
      </c>
      <c r="N1636" s="187" t="str">
        <f t="shared" si="2370"/>
        <v/>
      </c>
      <c r="O1636" s="302"/>
      <c r="P1636" s="336"/>
      <c r="Q1636" s="694"/>
      <c r="R1636" s="694"/>
      <c r="S1636" s="694"/>
      <c r="T1636" s="694"/>
      <c r="U1636" s="694"/>
      <c r="V1636" s="694"/>
      <c r="W1636" s="694"/>
      <c r="X1636" s="694"/>
      <c r="Y1636" s="694"/>
      <c r="Z1636" s="694"/>
      <c r="AA1636" s="694"/>
      <c r="AB1636" s="729"/>
      <c r="AC1636" s="694"/>
      <c r="AD1636" s="694"/>
      <c r="AE1636" s="343"/>
      <c r="AF1636" s="343"/>
      <c r="AG1636" s="343"/>
      <c r="AH1636" s="343"/>
      <c r="AI1636" s="343"/>
      <c r="AJ1636" s="343"/>
      <c r="AK1636" s="343"/>
      <c r="AL1636" s="343"/>
      <c r="AM1636" s="343"/>
    </row>
    <row r="1637" spans="1:39" ht="14.25" customHeight="1" x14ac:dyDescent="0.25">
      <c r="A1637" s="729"/>
      <c r="B1637" s="698"/>
      <c r="C1637" s="284"/>
      <c r="D1637" s="284"/>
      <c r="E1637" s="284"/>
      <c r="F1637" s="284"/>
      <c r="G1637" s="228" t="str">
        <f>IF(G1636="","",IF(AND(COUNTA(G1625:G1634)=0,$T1618=2),EUconst_Incomplete,""))</f>
        <v/>
      </c>
      <c r="H1637" s="229" t="str">
        <f t="shared" ref="H1637" si="2371">IF(H1636="","",IF(AND(OR(COUNTA(H1625:H1634)&gt;0,$T1618=2),ABS(1-SUM(H1636))&lt;0.5%),"",EUconst_Inconsistent))</f>
        <v/>
      </c>
      <c r="I1637" s="230" t="str">
        <f t="shared" ref="I1637:N1637" si="2372">IF(I1636="","",IF(AND(OR(COUNTA(I1625:I1634)&gt;0,$T1618=2),ABS(1-SUM(I1636))&lt;0.5%),"",EUconst_Inconsistent))</f>
        <v/>
      </c>
      <c r="J1637" s="229" t="str">
        <f t="shared" si="2372"/>
        <v/>
      </c>
      <c r="K1637" s="231" t="str">
        <f t="shared" si="2372"/>
        <v/>
      </c>
      <c r="L1637" s="231" t="str">
        <f t="shared" si="2372"/>
        <v/>
      </c>
      <c r="M1637" s="231" t="str">
        <f t="shared" si="2372"/>
        <v/>
      </c>
      <c r="N1637" s="231" t="str">
        <f t="shared" si="2372"/>
        <v/>
      </c>
      <c r="O1637" s="302"/>
      <c r="P1637" s="336"/>
      <c r="Q1637" s="694"/>
      <c r="R1637" s="694"/>
      <c r="S1637" s="694"/>
      <c r="T1637" s="694"/>
      <c r="U1637" s="694"/>
      <c r="V1637" s="694"/>
      <c r="W1637" s="694"/>
      <c r="X1637" s="694"/>
      <c r="Y1637" s="694"/>
      <c r="Z1637" s="729"/>
      <c r="AA1637" s="729"/>
      <c r="AB1637" s="729"/>
      <c r="AC1637" s="694"/>
      <c r="AD1637" s="694"/>
      <c r="AE1637" s="343"/>
      <c r="AF1637" s="343"/>
      <c r="AG1637" s="343"/>
      <c r="AH1637" s="343"/>
      <c r="AI1637" s="343"/>
      <c r="AJ1637" s="343"/>
      <c r="AK1637" s="1174" t="s">
        <v>2148</v>
      </c>
      <c r="AL1637" s="1176" t="str">
        <f>IF(COUNTIFS(G1637:N1637,"")&lt;COUNTA(G1637:N1637),EUconst_Error&amp;"FB"&amp;Q1556,"")</f>
        <v/>
      </c>
      <c r="AM1637" s="343"/>
    </row>
    <row r="1638" spans="1:39" ht="5.15" customHeight="1" x14ac:dyDescent="0.25">
      <c r="A1638" s="729"/>
      <c r="B1638" s="698"/>
      <c r="C1638" s="284"/>
      <c r="D1638" s="284"/>
      <c r="E1638" s="284"/>
      <c r="F1638" s="284"/>
      <c r="G1638" s="284"/>
      <c r="H1638" s="284"/>
      <c r="I1638" s="284"/>
      <c r="J1638" s="284"/>
      <c r="K1638" s="284"/>
      <c r="L1638" s="284"/>
      <c r="M1638" s="284"/>
      <c r="N1638" s="284"/>
      <c r="O1638" s="302"/>
      <c r="P1638" s="336"/>
      <c r="Q1638" s="694"/>
      <c r="R1638" s="694"/>
      <c r="S1638" s="694"/>
      <c r="T1638" s="694"/>
      <c r="U1638" s="694"/>
      <c r="V1638" s="694"/>
      <c r="W1638" s="694"/>
      <c r="X1638" s="694"/>
      <c r="Y1638" s="694"/>
      <c r="Z1638" s="729"/>
      <c r="AA1638" s="729"/>
      <c r="AB1638" s="729"/>
      <c r="AC1638" s="694"/>
      <c r="AD1638" s="694"/>
      <c r="AE1638" s="343"/>
      <c r="AF1638" s="343"/>
      <c r="AG1638" s="343"/>
      <c r="AH1638" s="343"/>
      <c r="AI1638" s="343"/>
      <c r="AJ1638" s="343"/>
      <c r="AK1638" s="343"/>
      <c r="AL1638" s="343"/>
      <c r="AM1638" s="343"/>
    </row>
    <row r="1639" spans="1:39" ht="12.75" customHeight="1" x14ac:dyDescent="0.25">
      <c r="A1639" s="729"/>
      <c r="B1639" s="698"/>
      <c r="C1639" s="284"/>
      <c r="D1639" s="300" t="s">
        <v>1770</v>
      </c>
      <c r="E1639" s="2226" t="str">
        <f>Translations!$B$1566</f>
        <v>Недопустими по СТЕ на ЕС технологични емисии по продукти за определяне на очакваните равнища на дейност</v>
      </c>
      <c r="F1639" s="2249"/>
      <c r="G1639" s="2249"/>
      <c r="H1639" s="2249"/>
      <c r="I1639" s="2249"/>
      <c r="J1639" s="2249"/>
      <c r="K1639" s="2249"/>
      <c r="L1639" s="2249"/>
      <c r="M1639" s="2249"/>
      <c r="N1639" s="2249"/>
      <c r="O1639" s="302"/>
      <c r="P1639" s="295"/>
      <c r="Q1639" s="694"/>
      <c r="R1639" s="694"/>
      <c r="S1639" s="729"/>
      <c r="T1639" s="729"/>
      <c r="U1639" s="729"/>
      <c r="V1639" s="694"/>
      <c r="W1639" s="694"/>
      <c r="X1639" s="694"/>
      <c r="Y1639" s="694"/>
      <c r="Z1639" s="729"/>
      <c r="AA1639" s="729"/>
      <c r="AB1639" s="729"/>
      <c r="AC1639" s="729"/>
      <c r="AD1639" s="694"/>
      <c r="AE1639" s="343"/>
      <c r="AF1639" s="343"/>
      <c r="AG1639" s="343"/>
      <c r="AH1639" s="343"/>
      <c r="AI1639" s="343"/>
      <c r="AJ1639" s="343"/>
      <c r="AK1639" s="343"/>
      <c r="AL1639" s="343"/>
      <c r="AM1639" s="343"/>
    </row>
    <row r="1640" spans="1:39" ht="25.5" customHeight="1" x14ac:dyDescent="0.25">
      <c r="A1640" s="729"/>
      <c r="B1640" s="698"/>
      <c r="C1640" s="284"/>
      <c r="D1640" s="284"/>
      <c r="E1640" s="2358" t="str">
        <f>Translations!$B$1567</f>
        <v>Тук въведете всички недопустими технологични емисии (например емисии от суровини, които вече са докладвани като емисии от доставчика на този материал), използвани за същите продукти, както по-горе. Числата тук ще бъдат използвани за коригиране на разпределянето за допустимия дял на технологични емисии.</v>
      </c>
      <c r="F1640" s="2249"/>
      <c r="G1640" s="2249"/>
      <c r="H1640" s="2249"/>
      <c r="I1640" s="2249"/>
      <c r="J1640" s="2249"/>
      <c r="K1640" s="2249"/>
      <c r="L1640" s="2249"/>
      <c r="M1640" s="2249"/>
      <c r="N1640" s="2249"/>
      <c r="O1640" s="302"/>
      <c r="P1640" s="295"/>
      <c r="Q1640" s="694"/>
      <c r="R1640" s="694"/>
      <c r="S1640" s="694"/>
      <c r="T1640" s="694"/>
      <c r="U1640" s="694"/>
      <c r="V1640" s="694"/>
      <c r="W1640" s="694"/>
      <c r="X1640" s="694"/>
      <c r="Y1640" s="694"/>
      <c r="Z1640" s="729"/>
      <c r="AA1640" s="729"/>
      <c r="AB1640" s="729"/>
      <c r="AC1640" s="729"/>
      <c r="AD1640" s="694"/>
      <c r="AE1640" s="343"/>
      <c r="AF1640" s="343"/>
      <c r="AG1640" s="343"/>
      <c r="AH1640" s="343"/>
      <c r="AI1640" s="343"/>
      <c r="AJ1640" s="343"/>
      <c r="AK1640" s="343"/>
      <c r="AL1640" s="343"/>
      <c r="AM1640" s="343"/>
    </row>
    <row r="1641" spans="1:39" ht="5.15" customHeight="1" x14ac:dyDescent="0.25">
      <c r="A1641" s="729"/>
      <c r="B1641" s="698"/>
      <c r="C1641" s="284"/>
      <c r="D1641" s="284"/>
      <c r="E1641" s="2358"/>
      <c r="F1641" s="2249"/>
      <c r="G1641" s="2249"/>
      <c r="H1641" s="2249"/>
      <c r="I1641" s="2249"/>
      <c r="J1641" s="2249"/>
      <c r="K1641" s="2249"/>
      <c r="L1641" s="2249"/>
      <c r="M1641" s="2249"/>
      <c r="N1641" s="2249"/>
      <c r="O1641" s="302"/>
      <c r="P1641" s="295"/>
      <c r="Q1641" s="694"/>
      <c r="R1641" s="694"/>
      <c r="S1641" s="694"/>
      <c r="T1641" s="694"/>
      <c r="U1641" s="694"/>
      <c r="V1641" s="694"/>
      <c r="W1641" s="694"/>
      <c r="X1641" s="694"/>
      <c r="Y1641" s="694"/>
      <c r="Z1641" s="729"/>
      <c r="AA1641" s="729"/>
      <c r="AB1641" s="729"/>
      <c r="AC1641" s="729"/>
      <c r="AD1641" s="694"/>
      <c r="AE1641" s="343"/>
      <c r="AF1641" s="343"/>
      <c r="AG1641" s="343"/>
      <c r="AH1641" s="343"/>
      <c r="AI1641" s="343"/>
      <c r="AJ1641" s="343"/>
      <c r="AK1641" s="343"/>
      <c r="AL1641" s="343"/>
      <c r="AM1641" s="343"/>
    </row>
    <row r="1642" spans="1:39" s="1423" customFormat="1" ht="25.5" customHeight="1" thickBot="1" x14ac:dyDescent="0.35">
      <c r="A1642" s="729"/>
      <c r="B1642" s="1412"/>
      <c r="C1642" s="1413"/>
      <c r="D1642" s="1414"/>
      <c r="E1642" s="1415" t="str">
        <f>E1624</f>
        <v>Име на продукт или вид услуга</v>
      </c>
      <c r="F1642" s="1416" t="str">
        <f>EUconst_Unit</f>
        <v>Единица мярка</v>
      </c>
      <c r="G1642" s="1419" t="str">
        <f>Translations!$B$1336</f>
        <v>Стойност в НМИ</v>
      </c>
      <c r="H1642" s="1418">
        <f t="shared" ref="H1642:N1642" si="2373">H$1840</f>
        <v>2024</v>
      </c>
      <c r="I1642" s="1419">
        <f t="shared" si="2373"/>
        <v>2025</v>
      </c>
      <c r="J1642" s="1418">
        <f t="shared" si="2373"/>
        <v>2026</v>
      </c>
      <c r="K1642" s="1420">
        <f t="shared" si="2373"/>
        <v>2027</v>
      </c>
      <c r="L1642" s="1420">
        <f t="shared" si="2373"/>
        <v>2028</v>
      </c>
      <c r="M1642" s="1420">
        <f t="shared" si="2373"/>
        <v>2029</v>
      </c>
      <c r="N1642" s="1420">
        <f t="shared" si="2373"/>
        <v>2030</v>
      </c>
      <c r="O1642" s="302"/>
      <c r="P1642" s="295"/>
      <c r="Q1642" s="1421"/>
      <c r="R1642" s="1421"/>
      <c r="S1642" s="694"/>
      <c r="T1642" s="694"/>
      <c r="U1642" s="694"/>
      <c r="V1642" s="694"/>
      <c r="W1642" s="694"/>
      <c r="X1642" s="694"/>
      <c r="Y1642" s="694"/>
      <c r="Z1642" s="694"/>
      <c r="AA1642" s="1421"/>
      <c r="AB1642" s="770" t="str">
        <f>Translations!$B$1284</f>
        <v>HAL</v>
      </c>
      <c r="AC1642" s="1421">
        <f t="shared" ref="AC1642" si="2374">H1642</f>
        <v>2024</v>
      </c>
      <c r="AD1642" s="1421">
        <f t="shared" ref="AD1642" si="2375">I1642</f>
        <v>2025</v>
      </c>
      <c r="AE1642" s="1421">
        <f t="shared" ref="AE1642" si="2376">J1642</f>
        <v>2026</v>
      </c>
      <c r="AF1642" s="1421">
        <f t="shared" ref="AF1642" si="2377">K1642</f>
        <v>2027</v>
      </c>
      <c r="AG1642" s="1421">
        <f t="shared" ref="AG1642" si="2378">L1642</f>
        <v>2028</v>
      </c>
      <c r="AH1642" s="1422">
        <f t="shared" ref="AH1642" si="2379">M1642</f>
        <v>2029</v>
      </c>
      <c r="AI1642" s="1422">
        <f t="shared" ref="AI1642" si="2380">N1642</f>
        <v>2030</v>
      </c>
      <c r="AJ1642" s="1422"/>
      <c r="AK1642" s="1422"/>
      <c r="AL1642" s="1422"/>
      <c r="AM1642" s="1422"/>
    </row>
    <row r="1643" spans="1:39" ht="12.75" customHeight="1" x14ac:dyDescent="0.25">
      <c r="A1643" s="729"/>
      <c r="B1643" s="698"/>
      <c r="C1643" s="2906" t="str">
        <f>Translations!$B$1568</f>
        <v>недопустими</v>
      </c>
      <c r="D1643" s="981">
        <v>1</v>
      </c>
      <c r="E1643" s="1424" t="str">
        <f t="shared" ref="E1643" si="2381">E1625</f>
        <v/>
      </c>
      <c r="F1643" s="1259" t="str">
        <f>F1625</f>
        <v>t CO2e</v>
      </c>
      <c r="G1643" s="125"/>
      <c r="H1643" s="116"/>
      <c r="I1643" s="46"/>
      <c r="J1643" s="116"/>
      <c r="K1643" s="40"/>
      <c r="L1643" s="40"/>
      <c r="M1643" s="40"/>
      <c r="N1643" s="40"/>
      <c r="O1643" s="302"/>
      <c r="P1643" s="158"/>
      <c r="Q1643" s="694"/>
      <c r="R1643" s="694"/>
      <c r="S1643" s="694"/>
      <c r="T1643" s="694"/>
      <c r="U1643" s="694"/>
      <c r="V1643" s="694"/>
      <c r="W1643" s="694"/>
      <c r="X1643" s="694"/>
      <c r="Y1643" s="694"/>
      <c r="Z1643" s="694"/>
      <c r="AA1643" s="1446" t="s">
        <v>1757</v>
      </c>
      <c r="AB1643" s="1447">
        <f t="shared" ref="AB1643:AC1643" si="2382">AB1625</f>
        <v>2</v>
      </c>
      <c r="AC1643" s="1427">
        <f t="shared" si="2382"/>
        <v>2</v>
      </c>
      <c r="AD1643" s="1427">
        <f>AD1625</f>
        <v>2</v>
      </c>
      <c r="AE1643" s="1427">
        <f t="shared" ref="AE1643:AI1643" si="2383">AE1625</f>
        <v>2</v>
      </c>
      <c r="AF1643" s="1427">
        <f t="shared" si="2383"/>
        <v>2</v>
      </c>
      <c r="AG1643" s="1427">
        <f t="shared" si="2383"/>
        <v>2</v>
      </c>
      <c r="AH1643" s="1428">
        <f t="shared" si="2383"/>
        <v>2</v>
      </c>
      <c r="AI1643" s="1429">
        <f t="shared" si="2383"/>
        <v>2</v>
      </c>
      <c r="AJ1643" s="343"/>
      <c r="AK1643" s="1422"/>
      <c r="AL1643" s="1422"/>
      <c r="AM1643" s="343"/>
    </row>
    <row r="1644" spans="1:39" ht="12.75" customHeight="1" x14ac:dyDescent="0.25">
      <c r="A1644" s="729"/>
      <c r="B1644" s="698"/>
      <c r="C1644" s="2906"/>
      <c r="D1644" s="990">
        <v>2</v>
      </c>
      <c r="E1644" s="1430" t="str">
        <f t="shared" ref="E1644:F1644" si="2384">E1626</f>
        <v/>
      </c>
      <c r="F1644" s="1448" t="str">
        <f t="shared" si="2384"/>
        <v>t CO2e</v>
      </c>
      <c r="G1644" s="124"/>
      <c r="H1644" s="119"/>
      <c r="I1644" s="47"/>
      <c r="J1644" s="119"/>
      <c r="K1644" s="43"/>
      <c r="L1644" s="43"/>
      <c r="M1644" s="43"/>
      <c r="N1644" s="43"/>
      <c r="O1644" s="302"/>
      <c r="P1644" s="158"/>
      <c r="Q1644" s="694"/>
      <c r="R1644" s="694"/>
      <c r="S1644" s="694"/>
      <c r="T1644" s="694"/>
      <c r="U1644" s="694"/>
      <c r="V1644" s="694"/>
      <c r="W1644" s="694"/>
      <c r="X1644" s="694"/>
      <c r="Y1644" s="694"/>
      <c r="Z1644" s="694"/>
      <c r="AA1644" s="694"/>
      <c r="AB1644" s="1431">
        <f t="shared" ref="AB1644:AI1644" si="2385">AB1626</f>
        <v>2</v>
      </c>
      <c r="AC1644" s="1432">
        <f t="shared" si="2385"/>
        <v>2</v>
      </c>
      <c r="AD1644" s="1432">
        <f t="shared" si="2385"/>
        <v>2</v>
      </c>
      <c r="AE1644" s="1432">
        <f t="shared" si="2385"/>
        <v>2</v>
      </c>
      <c r="AF1644" s="1432">
        <f t="shared" si="2385"/>
        <v>2</v>
      </c>
      <c r="AG1644" s="1432">
        <f t="shared" si="2385"/>
        <v>2</v>
      </c>
      <c r="AH1644" s="1432">
        <f t="shared" si="2385"/>
        <v>2</v>
      </c>
      <c r="AI1644" s="1452">
        <f t="shared" si="2385"/>
        <v>2</v>
      </c>
      <c r="AJ1644" s="343"/>
      <c r="AK1644" s="1422"/>
      <c r="AL1644" s="1422"/>
      <c r="AM1644" s="343"/>
    </row>
    <row r="1645" spans="1:39" ht="12.75" customHeight="1" x14ac:dyDescent="0.25">
      <c r="A1645" s="729"/>
      <c r="B1645" s="698"/>
      <c r="C1645" s="2906"/>
      <c r="D1645" s="990">
        <v>3</v>
      </c>
      <c r="E1645" s="1430" t="str">
        <f t="shared" ref="E1645:F1645" si="2386">E1627</f>
        <v/>
      </c>
      <c r="F1645" s="1448" t="str">
        <f t="shared" si="2386"/>
        <v>t CO2e</v>
      </c>
      <c r="G1645" s="47"/>
      <c r="H1645" s="119"/>
      <c r="I1645" s="47"/>
      <c r="J1645" s="119"/>
      <c r="K1645" s="43"/>
      <c r="L1645" s="43"/>
      <c r="M1645" s="43"/>
      <c r="N1645" s="43"/>
      <c r="O1645" s="302"/>
      <c r="P1645" s="158"/>
      <c r="Q1645" s="694"/>
      <c r="R1645" s="694"/>
      <c r="S1645" s="694"/>
      <c r="T1645" s="694"/>
      <c r="U1645" s="694"/>
      <c r="V1645" s="694"/>
      <c r="W1645" s="694"/>
      <c r="X1645" s="694"/>
      <c r="Y1645" s="694"/>
      <c r="Z1645" s="694"/>
      <c r="AA1645" s="694"/>
      <c r="AB1645" s="1431">
        <f t="shared" ref="AB1645:AI1645" si="2387">AB1627</f>
        <v>2</v>
      </c>
      <c r="AC1645" s="1432">
        <f t="shared" si="2387"/>
        <v>2</v>
      </c>
      <c r="AD1645" s="1432">
        <f t="shared" si="2387"/>
        <v>2</v>
      </c>
      <c r="AE1645" s="1432">
        <f t="shared" si="2387"/>
        <v>2</v>
      </c>
      <c r="AF1645" s="1432">
        <f t="shared" si="2387"/>
        <v>2</v>
      </c>
      <c r="AG1645" s="1432">
        <f t="shared" si="2387"/>
        <v>2</v>
      </c>
      <c r="AH1645" s="1432">
        <f t="shared" si="2387"/>
        <v>2</v>
      </c>
      <c r="AI1645" s="1452">
        <f t="shared" si="2387"/>
        <v>2</v>
      </c>
      <c r="AJ1645" s="343"/>
      <c r="AK1645" s="1422"/>
      <c r="AL1645" s="1422"/>
      <c r="AM1645" s="343"/>
    </row>
    <row r="1646" spans="1:39" ht="12.75" customHeight="1" x14ac:dyDescent="0.25">
      <c r="A1646" s="729"/>
      <c r="B1646" s="698"/>
      <c r="C1646" s="2906"/>
      <c r="D1646" s="990">
        <v>4</v>
      </c>
      <c r="E1646" s="1430" t="str">
        <f t="shared" ref="E1646:F1646" si="2388">E1628</f>
        <v/>
      </c>
      <c r="F1646" s="1448" t="str">
        <f t="shared" si="2388"/>
        <v>t CO2e</v>
      </c>
      <c r="G1646" s="47"/>
      <c r="H1646" s="119"/>
      <c r="I1646" s="47"/>
      <c r="J1646" s="119"/>
      <c r="K1646" s="43"/>
      <c r="L1646" s="43"/>
      <c r="M1646" s="43"/>
      <c r="N1646" s="43"/>
      <c r="O1646" s="302"/>
      <c r="P1646" s="158"/>
      <c r="Q1646" s="694"/>
      <c r="R1646" s="694"/>
      <c r="S1646" s="694"/>
      <c r="T1646" s="694"/>
      <c r="U1646" s="694"/>
      <c r="V1646" s="694"/>
      <c r="W1646" s="694"/>
      <c r="X1646" s="694"/>
      <c r="Y1646" s="694"/>
      <c r="Z1646" s="694"/>
      <c r="AA1646" s="694"/>
      <c r="AB1646" s="1431">
        <f t="shared" ref="AB1646:AI1646" si="2389">AB1628</f>
        <v>2</v>
      </c>
      <c r="AC1646" s="1432">
        <f t="shared" si="2389"/>
        <v>2</v>
      </c>
      <c r="AD1646" s="1432">
        <f t="shared" si="2389"/>
        <v>2</v>
      </c>
      <c r="AE1646" s="1432">
        <f t="shared" si="2389"/>
        <v>2</v>
      </c>
      <c r="AF1646" s="1432">
        <f t="shared" si="2389"/>
        <v>2</v>
      </c>
      <c r="AG1646" s="1432">
        <f t="shared" si="2389"/>
        <v>2</v>
      </c>
      <c r="AH1646" s="1432">
        <f t="shared" si="2389"/>
        <v>2</v>
      </c>
      <c r="AI1646" s="1452">
        <f t="shared" si="2389"/>
        <v>2</v>
      </c>
      <c r="AJ1646" s="343"/>
      <c r="AK1646" s="1422"/>
      <c r="AL1646" s="1422"/>
      <c r="AM1646" s="343"/>
    </row>
    <row r="1647" spans="1:39" ht="12.75" customHeight="1" x14ac:dyDescent="0.25">
      <c r="A1647" s="729"/>
      <c r="B1647" s="698"/>
      <c r="C1647" s="2906"/>
      <c r="D1647" s="990">
        <v>5</v>
      </c>
      <c r="E1647" s="1430" t="str">
        <f t="shared" ref="E1647:F1647" si="2390">E1629</f>
        <v/>
      </c>
      <c r="F1647" s="1448" t="str">
        <f t="shared" si="2390"/>
        <v>t CO2e</v>
      </c>
      <c r="G1647" s="47"/>
      <c r="H1647" s="119"/>
      <c r="I1647" s="47"/>
      <c r="J1647" s="119"/>
      <c r="K1647" s="43"/>
      <c r="L1647" s="43"/>
      <c r="M1647" s="43"/>
      <c r="N1647" s="43"/>
      <c r="O1647" s="302"/>
      <c r="P1647" s="158"/>
      <c r="Q1647" s="694"/>
      <c r="R1647" s="694"/>
      <c r="S1647" s="694"/>
      <c r="T1647" s="694"/>
      <c r="U1647" s="694"/>
      <c r="V1647" s="694"/>
      <c r="W1647" s="694"/>
      <c r="X1647" s="694"/>
      <c r="Y1647" s="694"/>
      <c r="Z1647" s="694"/>
      <c r="AA1647" s="694"/>
      <c r="AB1647" s="1431">
        <f t="shared" ref="AB1647:AI1647" si="2391">AB1629</f>
        <v>2</v>
      </c>
      <c r="AC1647" s="1432">
        <f t="shared" si="2391"/>
        <v>2</v>
      </c>
      <c r="AD1647" s="1432">
        <f t="shared" si="2391"/>
        <v>2</v>
      </c>
      <c r="AE1647" s="1432">
        <f t="shared" si="2391"/>
        <v>2</v>
      </c>
      <c r="AF1647" s="1432">
        <f t="shared" si="2391"/>
        <v>2</v>
      </c>
      <c r="AG1647" s="1432">
        <f t="shared" si="2391"/>
        <v>2</v>
      </c>
      <c r="AH1647" s="1432">
        <f t="shared" si="2391"/>
        <v>2</v>
      </c>
      <c r="AI1647" s="1452">
        <f t="shared" si="2391"/>
        <v>2</v>
      </c>
      <c r="AJ1647" s="343"/>
      <c r="AK1647" s="1422"/>
      <c r="AL1647" s="1422"/>
      <c r="AM1647" s="343"/>
    </row>
    <row r="1648" spans="1:39" ht="12.75" customHeight="1" x14ac:dyDescent="0.25">
      <c r="A1648" s="729"/>
      <c r="B1648" s="698"/>
      <c r="C1648" s="2906"/>
      <c r="D1648" s="990">
        <v>6</v>
      </c>
      <c r="E1648" s="1430" t="str">
        <f t="shared" ref="E1648:F1648" si="2392">E1630</f>
        <v/>
      </c>
      <c r="F1648" s="1448" t="str">
        <f t="shared" si="2392"/>
        <v>t CO2e</v>
      </c>
      <c r="G1648" s="47"/>
      <c r="H1648" s="119"/>
      <c r="I1648" s="47"/>
      <c r="J1648" s="119"/>
      <c r="K1648" s="43"/>
      <c r="L1648" s="43"/>
      <c r="M1648" s="43"/>
      <c r="N1648" s="43"/>
      <c r="O1648" s="302"/>
      <c r="P1648" s="158"/>
      <c r="Q1648" s="694"/>
      <c r="R1648" s="694"/>
      <c r="S1648" s="694"/>
      <c r="T1648" s="694"/>
      <c r="U1648" s="694"/>
      <c r="V1648" s="694"/>
      <c r="W1648" s="694"/>
      <c r="X1648" s="694"/>
      <c r="Y1648" s="694"/>
      <c r="Z1648" s="694"/>
      <c r="AA1648" s="694"/>
      <c r="AB1648" s="1431">
        <f t="shared" ref="AB1648:AI1648" si="2393">AB1630</f>
        <v>2</v>
      </c>
      <c r="AC1648" s="1432">
        <f t="shared" si="2393"/>
        <v>2</v>
      </c>
      <c r="AD1648" s="1432">
        <f t="shared" si="2393"/>
        <v>2</v>
      </c>
      <c r="AE1648" s="1432">
        <f t="shared" si="2393"/>
        <v>2</v>
      </c>
      <c r="AF1648" s="1432">
        <f t="shared" si="2393"/>
        <v>2</v>
      </c>
      <c r="AG1648" s="1432">
        <f t="shared" si="2393"/>
        <v>2</v>
      </c>
      <c r="AH1648" s="1432">
        <f t="shared" si="2393"/>
        <v>2</v>
      </c>
      <c r="AI1648" s="1452">
        <f t="shared" si="2393"/>
        <v>2</v>
      </c>
      <c r="AJ1648" s="343"/>
      <c r="AK1648" s="1422"/>
      <c r="AL1648" s="1422"/>
      <c r="AM1648" s="343"/>
    </row>
    <row r="1649" spans="1:39" ht="12.75" customHeight="1" x14ac:dyDescent="0.25">
      <c r="A1649" s="729"/>
      <c r="B1649" s="698"/>
      <c r="C1649" s="2906"/>
      <c r="D1649" s="990">
        <v>7</v>
      </c>
      <c r="E1649" s="1430" t="str">
        <f t="shared" ref="E1649:F1649" si="2394">E1631</f>
        <v/>
      </c>
      <c r="F1649" s="1448" t="str">
        <f t="shared" si="2394"/>
        <v>t CO2e</v>
      </c>
      <c r="G1649" s="47"/>
      <c r="H1649" s="119"/>
      <c r="I1649" s="47"/>
      <c r="J1649" s="119"/>
      <c r="K1649" s="43"/>
      <c r="L1649" s="43"/>
      <c r="M1649" s="43"/>
      <c r="N1649" s="43"/>
      <c r="O1649" s="302"/>
      <c r="P1649" s="158"/>
      <c r="Q1649" s="694"/>
      <c r="R1649" s="694"/>
      <c r="S1649" s="694"/>
      <c r="T1649" s="694"/>
      <c r="U1649" s="694"/>
      <c r="V1649" s="694"/>
      <c r="W1649" s="694"/>
      <c r="X1649" s="694"/>
      <c r="Y1649" s="694"/>
      <c r="Z1649" s="694"/>
      <c r="AA1649" s="694"/>
      <c r="AB1649" s="1431">
        <f t="shared" ref="AB1649:AI1649" si="2395">AB1631</f>
        <v>2</v>
      </c>
      <c r="AC1649" s="1432">
        <f t="shared" si="2395"/>
        <v>2</v>
      </c>
      <c r="AD1649" s="1432">
        <f t="shared" si="2395"/>
        <v>2</v>
      </c>
      <c r="AE1649" s="1432">
        <f t="shared" si="2395"/>
        <v>2</v>
      </c>
      <c r="AF1649" s="1432">
        <f t="shared" si="2395"/>
        <v>2</v>
      </c>
      <c r="AG1649" s="1432">
        <f t="shared" si="2395"/>
        <v>2</v>
      </c>
      <c r="AH1649" s="1432">
        <f t="shared" si="2395"/>
        <v>2</v>
      </c>
      <c r="AI1649" s="1452">
        <f t="shared" si="2395"/>
        <v>2</v>
      </c>
      <c r="AJ1649" s="343"/>
      <c r="AK1649" s="1422"/>
      <c r="AL1649" s="1422"/>
      <c r="AM1649" s="343"/>
    </row>
    <row r="1650" spans="1:39" ht="12.75" customHeight="1" x14ac:dyDescent="0.25">
      <c r="A1650" s="729"/>
      <c r="B1650" s="698"/>
      <c r="C1650" s="2906"/>
      <c r="D1650" s="990">
        <v>8</v>
      </c>
      <c r="E1650" s="1430" t="str">
        <f t="shared" ref="E1650:F1650" si="2396">E1632</f>
        <v/>
      </c>
      <c r="F1650" s="1448" t="str">
        <f t="shared" si="2396"/>
        <v>t CO2e</v>
      </c>
      <c r="G1650" s="47"/>
      <c r="H1650" s="119"/>
      <c r="I1650" s="47"/>
      <c r="J1650" s="119"/>
      <c r="K1650" s="43"/>
      <c r="L1650" s="43"/>
      <c r="M1650" s="43"/>
      <c r="N1650" s="43"/>
      <c r="O1650" s="302"/>
      <c r="P1650" s="158"/>
      <c r="Q1650" s="694"/>
      <c r="R1650" s="694"/>
      <c r="S1650" s="694"/>
      <c r="T1650" s="694"/>
      <c r="U1650" s="694"/>
      <c r="V1650" s="694"/>
      <c r="W1650" s="694"/>
      <c r="X1650" s="694"/>
      <c r="Y1650" s="694"/>
      <c r="Z1650" s="694"/>
      <c r="AA1650" s="694"/>
      <c r="AB1650" s="1431">
        <f t="shared" ref="AB1650:AI1650" si="2397">AB1632</f>
        <v>2</v>
      </c>
      <c r="AC1650" s="1432">
        <f t="shared" si="2397"/>
        <v>2</v>
      </c>
      <c r="AD1650" s="1432">
        <f t="shared" si="2397"/>
        <v>2</v>
      </c>
      <c r="AE1650" s="1432">
        <f t="shared" si="2397"/>
        <v>2</v>
      </c>
      <c r="AF1650" s="1432">
        <f t="shared" si="2397"/>
        <v>2</v>
      </c>
      <c r="AG1650" s="1432">
        <f t="shared" si="2397"/>
        <v>2</v>
      </c>
      <c r="AH1650" s="1432">
        <f t="shared" si="2397"/>
        <v>2</v>
      </c>
      <c r="AI1650" s="1452">
        <f t="shared" si="2397"/>
        <v>2</v>
      </c>
      <c r="AJ1650" s="343"/>
      <c r="AK1650" s="1422"/>
      <c r="AL1650" s="1422"/>
      <c r="AM1650" s="343"/>
    </row>
    <row r="1651" spans="1:39" ht="12.75" customHeight="1" x14ac:dyDescent="0.25">
      <c r="A1651" s="729"/>
      <c r="B1651" s="698"/>
      <c r="C1651" s="2906"/>
      <c r="D1651" s="990">
        <v>9</v>
      </c>
      <c r="E1651" s="1430" t="str">
        <f t="shared" ref="E1651:F1651" si="2398">E1633</f>
        <v/>
      </c>
      <c r="F1651" s="1448" t="str">
        <f t="shared" si="2398"/>
        <v>t CO2e</v>
      </c>
      <c r="G1651" s="47"/>
      <c r="H1651" s="119"/>
      <c r="I1651" s="47"/>
      <c r="J1651" s="119"/>
      <c r="K1651" s="43"/>
      <c r="L1651" s="43"/>
      <c r="M1651" s="43"/>
      <c r="N1651" s="43"/>
      <c r="O1651" s="302"/>
      <c r="P1651" s="158"/>
      <c r="Q1651" s="694"/>
      <c r="R1651" s="694"/>
      <c r="S1651" s="694"/>
      <c r="T1651" s="694"/>
      <c r="U1651" s="694"/>
      <c r="V1651" s="694"/>
      <c r="W1651" s="694"/>
      <c r="X1651" s="694"/>
      <c r="Y1651" s="694"/>
      <c r="Z1651" s="694"/>
      <c r="AA1651" s="694"/>
      <c r="AB1651" s="1431">
        <f t="shared" ref="AB1651:AI1651" si="2399">AB1633</f>
        <v>2</v>
      </c>
      <c r="AC1651" s="1432">
        <f t="shared" si="2399"/>
        <v>2</v>
      </c>
      <c r="AD1651" s="1432">
        <f t="shared" si="2399"/>
        <v>2</v>
      </c>
      <c r="AE1651" s="1432">
        <f t="shared" si="2399"/>
        <v>2</v>
      </c>
      <c r="AF1651" s="1432">
        <f t="shared" si="2399"/>
        <v>2</v>
      </c>
      <c r="AG1651" s="1432">
        <f t="shared" si="2399"/>
        <v>2</v>
      </c>
      <c r="AH1651" s="1432">
        <f t="shared" si="2399"/>
        <v>2</v>
      </c>
      <c r="AI1651" s="1452">
        <f t="shared" si="2399"/>
        <v>2</v>
      </c>
      <c r="AJ1651" s="343"/>
      <c r="AK1651" s="1422"/>
      <c r="AL1651" s="1422"/>
      <c r="AM1651" s="343"/>
    </row>
    <row r="1652" spans="1:39" ht="12.75" customHeight="1" thickBot="1" x14ac:dyDescent="0.3">
      <c r="A1652" s="729"/>
      <c r="B1652" s="698"/>
      <c r="C1652" s="2906"/>
      <c r="D1652" s="994">
        <v>10</v>
      </c>
      <c r="E1652" s="1435" t="str">
        <f t="shared" ref="E1652:F1653" si="2400">E1634</f>
        <v/>
      </c>
      <c r="F1652" s="1453" t="str">
        <f t="shared" si="2400"/>
        <v>t CO2e</v>
      </c>
      <c r="G1652" s="48"/>
      <c r="H1652" s="117"/>
      <c r="I1652" s="48"/>
      <c r="J1652" s="117"/>
      <c r="K1652" s="38"/>
      <c r="L1652" s="38"/>
      <c r="M1652" s="38"/>
      <c r="N1652" s="38"/>
      <c r="O1652" s="302"/>
      <c r="P1652" s="158"/>
      <c r="Q1652" s="694"/>
      <c r="R1652" s="694"/>
      <c r="S1652" s="694"/>
      <c r="T1652" s="694"/>
      <c r="U1652" s="694"/>
      <c r="V1652" s="694"/>
      <c r="W1652" s="694"/>
      <c r="X1652" s="694"/>
      <c r="Y1652" s="694"/>
      <c r="Z1652" s="694"/>
      <c r="AA1652" s="694"/>
      <c r="AB1652" s="1436">
        <f t="shared" ref="AB1652:AI1652" si="2401">AB1634</f>
        <v>2</v>
      </c>
      <c r="AC1652" s="1437">
        <f t="shared" si="2401"/>
        <v>2</v>
      </c>
      <c r="AD1652" s="1437">
        <f t="shared" si="2401"/>
        <v>2</v>
      </c>
      <c r="AE1652" s="1437">
        <f t="shared" si="2401"/>
        <v>2</v>
      </c>
      <c r="AF1652" s="1437">
        <f t="shared" si="2401"/>
        <v>2</v>
      </c>
      <c r="AG1652" s="1437">
        <f t="shared" si="2401"/>
        <v>2</v>
      </c>
      <c r="AH1652" s="1437">
        <f t="shared" si="2401"/>
        <v>2</v>
      </c>
      <c r="AI1652" s="1457">
        <f t="shared" si="2401"/>
        <v>2</v>
      </c>
      <c r="AJ1652" s="343"/>
      <c r="AK1652" s="1422"/>
      <c r="AL1652" s="1422"/>
      <c r="AM1652" s="343"/>
    </row>
    <row r="1653" spans="1:39" ht="12.75" customHeight="1" x14ac:dyDescent="0.25">
      <c r="A1653" s="729"/>
      <c r="B1653" s="698"/>
      <c r="C1653" s="2906"/>
      <c r="D1653" s="1293"/>
      <c r="E1653" s="1458" t="str">
        <f>Translations!$B$1338</f>
        <v>Общо потребление</v>
      </c>
      <c r="F1653" s="1453" t="str">
        <f t="shared" si="2400"/>
        <v>t CO2e</v>
      </c>
      <c r="G1653" s="1296" t="str">
        <f t="shared" ref="G1653:N1653" si="2402">IF(COUNT(G1643:G1652)&gt;0,SUMIF($S1590:$S1599,TRUE,G1643:G1652),"")</f>
        <v/>
      </c>
      <c r="H1653" s="1297" t="str">
        <f t="shared" si="2402"/>
        <v/>
      </c>
      <c r="I1653" s="1296" t="str">
        <f t="shared" si="2402"/>
        <v/>
      </c>
      <c r="J1653" s="1297" t="str">
        <f t="shared" si="2402"/>
        <v/>
      </c>
      <c r="K1653" s="1104" t="str">
        <f t="shared" si="2402"/>
        <v/>
      </c>
      <c r="L1653" s="1104" t="str">
        <f t="shared" si="2402"/>
        <v/>
      </c>
      <c r="M1653" s="1104" t="str">
        <f t="shared" si="2402"/>
        <v/>
      </c>
      <c r="N1653" s="1104" t="str">
        <f t="shared" si="2402"/>
        <v/>
      </c>
      <c r="O1653" s="302"/>
      <c r="P1653" s="336"/>
      <c r="Q1653" s="694"/>
      <c r="R1653" s="694"/>
      <c r="S1653" s="694"/>
      <c r="T1653" s="694"/>
      <c r="U1653" s="694"/>
      <c r="V1653" s="694"/>
      <c r="W1653" s="694"/>
      <c r="X1653" s="694"/>
      <c r="Y1653" s="694"/>
      <c r="Z1653" s="694"/>
      <c r="AA1653" s="694"/>
      <c r="AB1653" s="729"/>
      <c r="AC1653" s="694"/>
      <c r="AD1653" s="694"/>
      <c r="AE1653" s="343"/>
      <c r="AF1653" s="343"/>
      <c r="AG1653" s="343"/>
      <c r="AH1653" s="343"/>
      <c r="AI1653" s="343"/>
      <c r="AJ1653" s="343"/>
      <c r="AK1653" s="343"/>
      <c r="AL1653" s="343"/>
      <c r="AM1653" s="343"/>
    </row>
    <row r="1654" spans="1:39" ht="5.15" customHeight="1" x14ac:dyDescent="0.25">
      <c r="A1654" s="729"/>
      <c r="B1654" s="698"/>
      <c r="C1654" s="284"/>
      <c r="D1654" s="284"/>
      <c r="E1654" s="284"/>
      <c r="F1654" s="284"/>
      <c r="G1654" s="284"/>
      <c r="H1654" s="284"/>
      <c r="I1654" s="284"/>
      <c r="J1654" s="284"/>
      <c r="K1654" s="284"/>
      <c r="L1654" s="284"/>
      <c r="M1654" s="284"/>
      <c r="N1654" s="284"/>
      <c r="O1654" s="302"/>
      <c r="P1654" s="336"/>
      <c r="Q1654" s="694"/>
      <c r="R1654" s="694"/>
      <c r="S1654" s="694"/>
      <c r="T1654" s="694"/>
      <c r="U1654" s="694"/>
      <c r="V1654" s="694"/>
      <c r="W1654" s="694"/>
      <c r="X1654" s="694"/>
      <c r="Y1654" s="694"/>
      <c r="Z1654" s="729"/>
      <c r="AA1654" s="729"/>
      <c r="AB1654" s="729"/>
      <c r="AC1654" s="694"/>
      <c r="AD1654" s="694"/>
      <c r="AE1654" s="343"/>
      <c r="AF1654" s="343"/>
      <c r="AG1654" s="343"/>
      <c r="AH1654" s="343"/>
      <c r="AI1654" s="343"/>
      <c r="AJ1654" s="343"/>
      <c r="AK1654" s="343"/>
      <c r="AL1654" s="343"/>
      <c r="AM1654" s="343"/>
    </row>
    <row r="1655" spans="1:39" ht="12.75" customHeight="1" x14ac:dyDescent="0.25">
      <c r="A1655" s="729"/>
      <c r="B1655" s="698"/>
      <c r="C1655" s="284"/>
      <c r="D1655" s="300" t="s">
        <v>1830</v>
      </c>
      <c r="E1655" s="2226" t="str">
        <f>Translations!$B$1569</f>
        <v>Общо технологични емисии по продукти за определяне на очакваните равнища на дейност</v>
      </c>
      <c r="F1655" s="2249"/>
      <c r="G1655" s="2249"/>
      <c r="H1655" s="2249"/>
      <c r="I1655" s="2249"/>
      <c r="J1655" s="2249"/>
      <c r="K1655" s="2249"/>
      <c r="L1655" s="2249"/>
      <c r="M1655" s="2249"/>
      <c r="N1655" s="2249"/>
      <c r="O1655" s="302"/>
      <c r="P1655" s="295"/>
      <c r="Q1655" s="694"/>
      <c r="R1655" s="694"/>
      <c r="S1655" s="694"/>
      <c r="T1655" s="694"/>
      <c r="U1655" s="694"/>
      <c r="V1655" s="694"/>
      <c r="W1655" s="694"/>
      <c r="X1655" s="694"/>
      <c r="Y1655" s="694"/>
      <c r="Z1655" s="729"/>
      <c r="AA1655" s="729"/>
      <c r="AB1655" s="729"/>
      <c r="AC1655" s="729"/>
      <c r="AD1655" s="694"/>
      <c r="AE1655" s="343"/>
      <c r="AF1655" s="343"/>
      <c r="AG1655" s="343"/>
      <c r="AH1655" s="343"/>
      <c r="AI1655" s="343"/>
      <c r="AJ1655" s="343"/>
      <c r="AK1655" s="343"/>
      <c r="AL1655" s="343"/>
      <c r="AM1655" s="343"/>
    </row>
    <row r="1656" spans="1:39" ht="12.75" customHeight="1" x14ac:dyDescent="0.25">
      <c r="A1656" s="729"/>
      <c r="B1656" s="698"/>
      <c r="C1656" s="284"/>
      <c r="D1656" s="284"/>
      <c r="E1656" s="2358" t="str">
        <f>Translations!$B$1543</f>
        <v>Това е сборът от вписванията по-горе b.2 + b.3. Следователно сумата може да бъде по-висока от 100 % от равнището на дейност.</v>
      </c>
      <c r="F1656" s="2249"/>
      <c r="G1656" s="2249"/>
      <c r="H1656" s="2249"/>
      <c r="I1656" s="2249"/>
      <c r="J1656" s="2249"/>
      <c r="K1656" s="2249"/>
      <c r="L1656" s="2249"/>
      <c r="M1656" s="2249"/>
      <c r="N1656" s="2249"/>
      <c r="O1656" s="302"/>
      <c r="P1656" s="295"/>
      <c r="Q1656" s="694"/>
      <c r="R1656" s="694"/>
      <c r="S1656" s="694"/>
      <c r="T1656" s="694"/>
      <c r="U1656" s="694"/>
      <c r="V1656" s="694"/>
      <c r="W1656" s="694"/>
      <c r="X1656" s="694"/>
      <c r="Y1656" s="694"/>
      <c r="Z1656" s="729"/>
      <c r="AA1656" s="729"/>
      <c r="AB1656" s="729"/>
      <c r="AC1656" s="729"/>
      <c r="AD1656" s="694"/>
      <c r="AE1656" s="343"/>
      <c r="AF1656" s="343"/>
      <c r="AG1656" s="343"/>
      <c r="AH1656" s="343"/>
      <c r="AI1656" s="343"/>
      <c r="AJ1656" s="343"/>
      <c r="AK1656" s="343"/>
      <c r="AL1656" s="343"/>
      <c r="AM1656" s="343"/>
    </row>
    <row r="1657" spans="1:39" ht="5.15" customHeight="1" x14ac:dyDescent="0.25">
      <c r="A1657" s="729"/>
      <c r="B1657" s="698"/>
      <c r="C1657" s="284"/>
      <c r="D1657" s="284"/>
      <c r="E1657" s="2358"/>
      <c r="F1657" s="2249"/>
      <c r="G1657" s="2249"/>
      <c r="H1657" s="2249"/>
      <c r="I1657" s="2249"/>
      <c r="J1657" s="2249"/>
      <c r="K1657" s="2249"/>
      <c r="L1657" s="2249"/>
      <c r="M1657" s="2249"/>
      <c r="N1657" s="2249"/>
      <c r="O1657" s="302"/>
      <c r="P1657" s="295"/>
      <c r="Q1657" s="694"/>
      <c r="R1657" s="694"/>
      <c r="S1657" s="694"/>
      <c r="T1657" s="694"/>
      <c r="U1657" s="694"/>
      <c r="V1657" s="694"/>
      <c r="W1657" s="694"/>
      <c r="X1657" s="694"/>
      <c r="Y1657" s="694"/>
      <c r="Z1657" s="729"/>
      <c r="AA1657" s="729"/>
      <c r="AB1657" s="729"/>
      <c r="AC1657" s="729"/>
      <c r="AD1657" s="694"/>
      <c r="AE1657" s="343"/>
      <c r="AF1657" s="343"/>
      <c r="AG1657" s="343"/>
      <c r="AH1657" s="343"/>
      <c r="AI1657" s="343"/>
      <c r="AJ1657" s="343"/>
      <c r="AK1657" s="343"/>
      <c r="AL1657" s="343"/>
      <c r="AM1657" s="343"/>
    </row>
    <row r="1658" spans="1:39" s="1423" customFormat="1" ht="25.5" customHeight="1" thickBot="1" x14ac:dyDescent="0.35">
      <c r="A1658" s="729"/>
      <c r="B1658" s="1412"/>
      <c r="C1658" s="1413"/>
      <c r="D1658" s="1414"/>
      <c r="E1658" s="1415" t="str">
        <f>E1642</f>
        <v>Име на продукт или вид услуга</v>
      </c>
      <c r="F1658" s="1416" t="str">
        <f>EUconst_Unit</f>
        <v>Единица мярка</v>
      </c>
      <c r="G1658" s="1419" t="str">
        <f>Translations!$B$1336</f>
        <v>Стойност в НМИ</v>
      </c>
      <c r="H1658" s="1418">
        <f t="shared" ref="H1658:N1658" si="2403">H$1840</f>
        <v>2024</v>
      </c>
      <c r="I1658" s="1419">
        <f t="shared" si="2403"/>
        <v>2025</v>
      </c>
      <c r="J1658" s="1418">
        <f t="shared" si="2403"/>
        <v>2026</v>
      </c>
      <c r="K1658" s="1420">
        <f t="shared" si="2403"/>
        <v>2027</v>
      </c>
      <c r="L1658" s="1420">
        <f t="shared" si="2403"/>
        <v>2028</v>
      </c>
      <c r="M1658" s="1420">
        <f t="shared" si="2403"/>
        <v>2029</v>
      </c>
      <c r="N1658" s="1420">
        <f t="shared" si="2403"/>
        <v>2030</v>
      </c>
      <c r="O1658" s="302"/>
      <c r="P1658" s="295"/>
      <c r="Q1658" s="1421"/>
      <c r="R1658" s="1421"/>
      <c r="S1658" s="770" t="str">
        <f>Translations!$B$1341</f>
        <v>Базова стойност</v>
      </c>
      <c r="T1658" s="1421">
        <f t="shared" ref="T1658" si="2404">H1658</f>
        <v>2024</v>
      </c>
      <c r="U1658" s="1421">
        <f t="shared" ref="U1658" si="2405">I1658</f>
        <v>2025</v>
      </c>
      <c r="V1658" s="1421">
        <f t="shared" ref="V1658" si="2406">J1658</f>
        <v>2026</v>
      </c>
      <c r="W1658" s="1421">
        <f t="shared" ref="W1658" si="2407">K1658</f>
        <v>2027</v>
      </c>
      <c r="X1658" s="1421">
        <f t="shared" ref="X1658" si="2408">L1658</f>
        <v>2028</v>
      </c>
      <c r="Y1658" s="1421">
        <f t="shared" ref="Y1658" si="2409">M1658</f>
        <v>2029</v>
      </c>
      <c r="Z1658" s="1421">
        <f t="shared" ref="Z1658" si="2410">N1658</f>
        <v>2030</v>
      </c>
      <c r="AA1658" s="1421"/>
      <c r="AB1658" s="770" t="str">
        <f>Translations!$B$1284</f>
        <v>HAL</v>
      </c>
      <c r="AC1658" s="1421">
        <f t="shared" ref="AC1658" si="2411">H1658</f>
        <v>2024</v>
      </c>
      <c r="AD1658" s="1421">
        <f t="shared" ref="AD1658" si="2412">I1658</f>
        <v>2025</v>
      </c>
      <c r="AE1658" s="1421">
        <f t="shared" ref="AE1658" si="2413">J1658</f>
        <v>2026</v>
      </c>
      <c r="AF1658" s="1421">
        <f t="shared" ref="AF1658" si="2414">K1658</f>
        <v>2027</v>
      </c>
      <c r="AG1658" s="1421">
        <f t="shared" ref="AG1658" si="2415">L1658</f>
        <v>2028</v>
      </c>
      <c r="AH1658" s="1422">
        <f t="shared" ref="AH1658" si="2416">M1658</f>
        <v>2029</v>
      </c>
      <c r="AI1658" s="1422">
        <f t="shared" ref="AI1658" si="2417">N1658</f>
        <v>2030</v>
      </c>
      <c r="AJ1658" s="1422"/>
      <c r="AK1658" s="1422"/>
      <c r="AL1658" s="1422"/>
      <c r="AM1658" s="1422"/>
    </row>
    <row r="1659" spans="1:39" ht="12.75" customHeight="1" x14ac:dyDescent="0.25">
      <c r="A1659" s="729"/>
      <c r="B1659" s="698"/>
      <c r="C1659" s="2906" t="str">
        <f>Translations!$B$1544</f>
        <v>ОБЩО</v>
      </c>
      <c r="D1659" s="981">
        <v>1</v>
      </c>
      <c r="E1659" s="1424" t="str">
        <f t="shared" ref="E1659:E1668" si="2418">E1643</f>
        <v/>
      </c>
      <c r="F1659" s="1259" t="str">
        <f>F1643</f>
        <v>t CO2e</v>
      </c>
      <c r="G1659" s="1465" t="str">
        <f>IF(OR($E1659="",AB1659=0),"",SUM(G1625,G1643))</f>
        <v/>
      </c>
      <c r="H1659" s="1466" t="str">
        <f t="shared" ref="H1659:H1668" si="2419">IF(OR($E1659="",AC1659=0),"",SUM(H1625,H1643))</f>
        <v/>
      </c>
      <c r="I1659" s="1467" t="str">
        <f t="shared" ref="I1659:I1668" si="2420">IF(OR($E1659="",AD1659=0),"",SUM(I1625,I1643))</f>
        <v/>
      </c>
      <c r="J1659" s="1466" t="str">
        <f t="shared" ref="J1659:J1668" si="2421">IF(OR($E1659="",AE1659=0),"",SUM(J1625,J1643))</f>
        <v/>
      </c>
      <c r="K1659" s="1126" t="str">
        <f t="shared" ref="K1659:K1668" si="2422">IF(OR($E1659="",AF1659=0),"",SUM(K1625,K1643))</f>
        <v/>
      </c>
      <c r="L1659" s="1126" t="str">
        <f t="shared" ref="L1659:L1668" si="2423">IF(OR($E1659="",AG1659=0),"",SUM(L1625,L1643))</f>
        <v/>
      </c>
      <c r="M1659" s="1126" t="str">
        <f t="shared" ref="M1659:M1668" si="2424">IF(OR($E1659="",AH1659=0),"",SUM(M1625,M1643))</f>
        <v/>
      </c>
      <c r="N1659" s="1126" t="str">
        <f t="shared" ref="N1659:N1668" si="2425">IF(OR($E1659="",AI1659=0),"",SUM(N1625,N1643))</f>
        <v/>
      </c>
      <c r="O1659" s="302"/>
      <c r="P1659" s="158"/>
      <c r="Q1659" s="694"/>
      <c r="R1659" s="694"/>
      <c r="S1659" s="1443" t="str">
        <f>IF($M1556&lt;&gt;EUconst_Relevant,"",
IF($V1556&gt;($J$1840-3),
              IF(INDEX(H1606:N1606,MATCH($V1556,$T1658:$Z1658,0))=0,0,INDEX(H1659:N1659,MATCH($V1556,$T1658:$Z1658,0))/INDEX(H1606:N1606,MATCH($V1556,$T1658:$Z1658,0))),
                             IF(ISNUMBER(G1606),
                                            IF(OR(G1606=0,$S1590=FALSE),0,G1659/G1606),"")))</f>
        <v/>
      </c>
      <c r="T1659" s="1444" t="str">
        <f>IF($E1659="","",IF(IFERROR(SUM($S1659)=0,SUM(H1659)),SUM(H1659),SUM(H1606)*SUM($S1659))*IF(SUM(H1659)=0,1,SUM(H1625)/SUM(H1659)))</f>
        <v/>
      </c>
      <c r="U1659" s="1444" t="str">
        <f t="shared" ref="U1659" si="2426">IF($E1659="","",IF(IFERROR(SUM($S1659)=0,SUM(I1659)),SUM(I1659),SUM(I1606)*SUM($S1659))*IF(SUM(I1659)=0,1,SUM(I1625)/SUM(I1659)))</f>
        <v/>
      </c>
      <c r="V1659" s="1444" t="str">
        <f t="shared" ref="V1659:V1668" si="2427">IF($E1659="","",IF(IFERROR(SUM($S1659)=0,SUM(J1659)),SUM(J1659),SUM(J1606)*SUM($S1659))*IF(SUM(J1659)=0,1,SUM(J1625)/SUM(J1659)))</f>
        <v/>
      </c>
      <c r="W1659" s="1444" t="str">
        <f t="shared" ref="W1659:W1668" si="2428">IF($E1659="","",IF(IFERROR(SUM($S1659)=0,SUM(K1659)),SUM(K1659),SUM(K1606)*SUM($S1659))*IF(SUM(K1659)=0,1,SUM(K1625)/SUM(K1659)))</f>
        <v/>
      </c>
      <c r="X1659" s="1444" t="str">
        <f t="shared" ref="X1659:X1668" si="2429">IF($E1659="","",IF(IFERROR(SUM($S1659)=0,SUM(L1659)),SUM(L1659),SUM(L1606)*SUM($S1659))*IF(SUM(L1659)=0,1,SUM(L1625)/SUM(L1659)))</f>
        <v/>
      </c>
      <c r="Y1659" s="1444" t="str">
        <f t="shared" ref="Y1659:Y1668" si="2430">IF($E1659="","",IF(IFERROR(SUM($S1659)=0,SUM(M1659)),SUM(M1659),SUM(M1606)*SUM($S1659))*IF(SUM(M1659)=0,1,SUM(M1625)/SUM(M1659)))</f>
        <v/>
      </c>
      <c r="Z1659" s="1445" t="str">
        <f t="shared" ref="Z1659:Z1668" si="2431">IF($E1659="","",IF(IFERROR(SUM($S1659)=0,SUM(N1659)),SUM(N1659),SUM(N1606)*SUM($S1659))*IF(SUM(N1659)=0,1,SUM(N1625)/SUM(N1659)))</f>
        <v/>
      </c>
      <c r="AA1659" s="1446" t="s">
        <v>1757</v>
      </c>
      <c r="AB1659" s="1447">
        <f t="shared" ref="AB1659:AI1659" si="2432">AB1643</f>
        <v>2</v>
      </c>
      <c r="AC1659" s="1427">
        <f t="shared" si="2432"/>
        <v>2</v>
      </c>
      <c r="AD1659" s="1427">
        <f t="shared" si="2432"/>
        <v>2</v>
      </c>
      <c r="AE1659" s="1427">
        <f t="shared" si="2432"/>
        <v>2</v>
      </c>
      <c r="AF1659" s="1427">
        <f t="shared" si="2432"/>
        <v>2</v>
      </c>
      <c r="AG1659" s="1427">
        <f t="shared" si="2432"/>
        <v>2</v>
      </c>
      <c r="AH1659" s="1428">
        <f t="shared" si="2432"/>
        <v>2</v>
      </c>
      <c r="AI1659" s="1429">
        <f t="shared" si="2432"/>
        <v>2</v>
      </c>
      <c r="AJ1659" s="343"/>
      <c r="AK1659" s="1174" t="s">
        <v>2039</v>
      </c>
      <c r="AL1659" s="1176" t="str">
        <f>IF(AND(CNTR_ExistSubInstEntries,COUNTIFS(AB1659:AI1659,2,G1659:N1659,"")&gt;0),EUconst_Error&amp;"FB"&amp;Q1588,"")</f>
        <v/>
      </c>
      <c r="AM1659" s="343"/>
    </row>
    <row r="1660" spans="1:39" ht="12.75" customHeight="1" x14ac:dyDescent="0.25">
      <c r="A1660" s="729"/>
      <c r="B1660" s="698"/>
      <c r="C1660" s="2906"/>
      <c r="D1660" s="990">
        <v>2</v>
      </c>
      <c r="E1660" s="1430" t="str">
        <f t="shared" si="2418"/>
        <v/>
      </c>
      <c r="F1660" s="1448" t="str">
        <f>F1659</f>
        <v>t CO2e</v>
      </c>
      <c r="G1660" s="1468" t="str">
        <f t="shared" ref="G1660:G1668" si="2433">IF(OR($E1660="",AB1660=0),"",SUM(G1626,G1644))</f>
        <v/>
      </c>
      <c r="H1660" s="1469" t="str">
        <f t="shared" si="2419"/>
        <v/>
      </c>
      <c r="I1660" s="1470" t="str">
        <f t="shared" si="2420"/>
        <v/>
      </c>
      <c r="J1660" s="1469" t="str">
        <f t="shared" si="2421"/>
        <v/>
      </c>
      <c r="K1660" s="1127" t="str">
        <f t="shared" si="2422"/>
        <v/>
      </c>
      <c r="L1660" s="1127" t="str">
        <f t="shared" si="2423"/>
        <v/>
      </c>
      <c r="M1660" s="1127" t="str">
        <f t="shared" si="2424"/>
        <v/>
      </c>
      <c r="N1660" s="1127" t="str">
        <f t="shared" si="2425"/>
        <v/>
      </c>
      <c r="O1660" s="302"/>
      <c r="P1660" s="158"/>
      <c r="Q1660" s="694"/>
      <c r="R1660" s="694"/>
      <c r="S1660" s="1449" t="str">
        <f>IF($M1556&lt;&gt;EUconst_Relevant,"",
IF($V1556&gt;($J$1840-3),
              IF(INDEX(H1607:N1607,MATCH($V1556,$T1658:$Z1658,0))=0,0,INDEX(H1660:N1660,MATCH($V1556,$T1658:$Z1658,0))/INDEX(H1607:N1607,MATCH($V1556,$T1658:$Z1658,0))),
                             IF(ISNUMBER(G1607),
                                            IF(OR(G1607=0,$S1591=FALSE),0,G1660/G1607),"")))</f>
        <v/>
      </c>
      <c r="T1660" s="1450" t="str">
        <f t="shared" ref="T1660" si="2434">IF($E1660="","",IF(IFERROR(SUM($S1660)=0,SUM(H1660)),SUM(H1660),SUM(H1607)*SUM($S1660))*IF(SUM(H1660)=0,1,SUM(H1626)/SUM(H1660)))</f>
        <v/>
      </c>
      <c r="U1660" s="1450" t="str">
        <f t="shared" ref="U1660:U1668" si="2435">IF($E1660="","",IF(IFERROR(SUM($S1660)=0,SUM(I1660)),SUM(I1660),SUM(I1607)*SUM($S1660))*IF(SUM(I1660)=0,1,SUM(I1626)/SUM(I1660)))</f>
        <v/>
      </c>
      <c r="V1660" s="1450" t="str">
        <f t="shared" si="2427"/>
        <v/>
      </c>
      <c r="W1660" s="1450" t="str">
        <f t="shared" si="2428"/>
        <v/>
      </c>
      <c r="X1660" s="1450" t="str">
        <f t="shared" si="2429"/>
        <v/>
      </c>
      <c r="Y1660" s="1450" t="str">
        <f t="shared" si="2430"/>
        <v/>
      </c>
      <c r="Z1660" s="1451" t="str">
        <f t="shared" si="2431"/>
        <v/>
      </c>
      <c r="AA1660" s="694"/>
      <c r="AB1660" s="1431">
        <f t="shared" ref="AB1660:AI1660" si="2436">AB1644</f>
        <v>2</v>
      </c>
      <c r="AC1660" s="1432">
        <f t="shared" si="2436"/>
        <v>2</v>
      </c>
      <c r="AD1660" s="1432">
        <f t="shared" si="2436"/>
        <v>2</v>
      </c>
      <c r="AE1660" s="1432">
        <f t="shared" si="2436"/>
        <v>2</v>
      </c>
      <c r="AF1660" s="1432">
        <f t="shared" si="2436"/>
        <v>2</v>
      </c>
      <c r="AG1660" s="1432">
        <f t="shared" si="2436"/>
        <v>2</v>
      </c>
      <c r="AH1660" s="1432">
        <f t="shared" si="2436"/>
        <v>2</v>
      </c>
      <c r="AI1660" s="1452">
        <f t="shared" si="2436"/>
        <v>2</v>
      </c>
      <c r="AJ1660" s="343"/>
      <c r="AK1660" s="1174" t="s">
        <v>2039</v>
      </c>
      <c r="AL1660" s="1176" t="str">
        <f>IF(AND(CNTR_ExistSubInstEntries,COUNTIFS(AB1660:AI1660,2,G1660:N1660,"")&gt;0),EUconst_Error&amp;"FB"&amp;Q1588,"")</f>
        <v/>
      </c>
      <c r="AM1660" s="343"/>
    </row>
    <row r="1661" spans="1:39" ht="12.75" customHeight="1" x14ac:dyDescent="0.25">
      <c r="A1661" s="729"/>
      <c r="B1661" s="698"/>
      <c r="C1661" s="2906"/>
      <c r="D1661" s="990">
        <v>3</v>
      </c>
      <c r="E1661" s="1430" t="str">
        <f t="shared" si="2418"/>
        <v/>
      </c>
      <c r="F1661" s="1448" t="str">
        <f t="shared" ref="F1661:F1670" si="2437">F1660</f>
        <v>t CO2e</v>
      </c>
      <c r="G1661" s="1470" t="str">
        <f t="shared" si="2433"/>
        <v/>
      </c>
      <c r="H1661" s="1469" t="str">
        <f t="shared" si="2419"/>
        <v/>
      </c>
      <c r="I1661" s="1470" t="str">
        <f t="shared" si="2420"/>
        <v/>
      </c>
      <c r="J1661" s="1469" t="str">
        <f t="shared" si="2421"/>
        <v/>
      </c>
      <c r="K1661" s="1127" t="str">
        <f t="shared" si="2422"/>
        <v/>
      </c>
      <c r="L1661" s="1127" t="str">
        <f t="shared" si="2423"/>
        <v/>
      </c>
      <c r="M1661" s="1127" t="str">
        <f t="shared" si="2424"/>
        <v/>
      </c>
      <c r="N1661" s="1127" t="str">
        <f t="shared" si="2425"/>
        <v/>
      </c>
      <c r="O1661" s="302"/>
      <c r="P1661" s="158"/>
      <c r="Q1661" s="694"/>
      <c r="R1661" s="694"/>
      <c r="S1661" s="1449" t="str">
        <f>IF($M1556&lt;&gt;EUconst_Relevant,"",
IF($V1556&gt;($J$1840-3),
              IF(INDEX(H1608:N1608,MATCH($V1556,$T1658:$Z1658,0))=0,0,INDEX(H1661:N1661,MATCH($V1556,$T1658:$Z1658,0))/INDEX(H1608:N1608,MATCH($V1556,$T1658:$Z1658,0))),
                             IF(ISNUMBER(G1608),
                                            IF(OR(G1608=0,$S1592=FALSE),0,G1661/G1608),"")))</f>
        <v/>
      </c>
      <c r="T1661" s="1450" t="str">
        <f t="shared" ref="T1661" si="2438">IF($E1661="","",IF(IFERROR(SUM($S1661)=0,SUM(H1661)),SUM(H1661),SUM(H1608)*SUM($S1661))*IF(SUM(H1661)=0,1,SUM(H1627)/SUM(H1661)))</f>
        <v/>
      </c>
      <c r="U1661" s="1450" t="str">
        <f t="shared" si="2435"/>
        <v/>
      </c>
      <c r="V1661" s="1450" t="str">
        <f t="shared" si="2427"/>
        <v/>
      </c>
      <c r="W1661" s="1450" t="str">
        <f t="shared" si="2428"/>
        <v/>
      </c>
      <c r="X1661" s="1450" t="str">
        <f t="shared" si="2429"/>
        <v/>
      </c>
      <c r="Y1661" s="1450" t="str">
        <f t="shared" si="2430"/>
        <v/>
      </c>
      <c r="Z1661" s="1451" t="str">
        <f t="shared" si="2431"/>
        <v/>
      </c>
      <c r="AA1661" s="694"/>
      <c r="AB1661" s="1431">
        <f t="shared" ref="AB1661:AI1661" si="2439">AB1645</f>
        <v>2</v>
      </c>
      <c r="AC1661" s="1432">
        <f t="shared" si="2439"/>
        <v>2</v>
      </c>
      <c r="AD1661" s="1432">
        <f t="shared" si="2439"/>
        <v>2</v>
      </c>
      <c r="AE1661" s="1432">
        <f t="shared" si="2439"/>
        <v>2</v>
      </c>
      <c r="AF1661" s="1432">
        <f t="shared" si="2439"/>
        <v>2</v>
      </c>
      <c r="AG1661" s="1432">
        <f t="shared" si="2439"/>
        <v>2</v>
      </c>
      <c r="AH1661" s="1432">
        <f t="shared" si="2439"/>
        <v>2</v>
      </c>
      <c r="AI1661" s="1452">
        <f t="shared" si="2439"/>
        <v>2</v>
      </c>
      <c r="AJ1661" s="343"/>
      <c r="AK1661" s="1174" t="s">
        <v>2039</v>
      </c>
      <c r="AL1661" s="1176" t="str">
        <f>IF(AND(CNTR_ExistSubInstEntries,COUNTIFS(AB1661:AI1661,2,G1661:N1661,"")&gt;0),EUconst_Error&amp;"FB"&amp;Q1588,"")</f>
        <v/>
      </c>
      <c r="AM1661" s="343"/>
    </row>
    <row r="1662" spans="1:39" ht="12.75" customHeight="1" x14ac:dyDescent="0.25">
      <c r="A1662" s="729"/>
      <c r="B1662" s="698"/>
      <c r="C1662" s="2906"/>
      <c r="D1662" s="990">
        <v>4</v>
      </c>
      <c r="E1662" s="1430" t="str">
        <f t="shared" si="2418"/>
        <v/>
      </c>
      <c r="F1662" s="1448" t="str">
        <f t="shared" si="2437"/>
        <v>t CO2e</v>
      </c>
      <c r="G1662" s="1470" t="str">
        <f t="shared" si="2433"/>
        <v/>
      </c>
      <c r="H1662" s="1469" t="str">
        <f t="shared" si="2419"/>
        <v/>
      </c>
      <c r="I1662" s="1470" t="str">
        <f t="shared" si="2420"/>
        <v/>
      </c>
      <c r="J1662" s="1469" t="str">
        <f t="shared" si="2421"/>
        <v/>
      </c>
      <c r="K1662" s="1127" t="str">
        <f t="shared" si="2422"/>
        <v/>
      </c>
      <c r="L1662" s="1127" t="str">
        <f t="shared" si="2423"/>
        <v/>
      </c>
      <c r="M1662" s="1127" t="str">
        <f t="shared" si="2424"/>
        <v/>
      </c>
      <c r="N1662" s="1127" t="str">
        <f t="shared" si="2425"/>
        <v/>
      </c>
      <c r="O1662" s="302"/>
      <c r="P1662" s="158"/>
      <c r="Q1662" s="694"/>
      <c r="R1662" s="694"/>
      <c r="S1662" s="1449" t="str">
        <f>IF($M1556&lt;&gt;EUconst_Relevant,"",
IF($V1556&gt;($J$1840-3),
              IF(INDEX(H1609:N1609,MATCH($V1556,$T1658:$Z1658,0))=0,0,INDEX(H1662:N1662,MATCH($V1556,$T1658:$Z1658,0))/INDEX(H1609:N1609,MATCH($V1556,$T1658:$Z1658,0))),
                             IF(ISNUMBER(G1609),
                                            IF(OR(G1609=0,$S1593=FALSE),0,G1662/G1609),"")))</f>
        <v/>
      </c>
      <c r="T1662" s="1450" t="str">
        <f t="shared" ref="T1662" si="2440">IF($E1662="","",IF(IFERROR(SUM($S1662)=0,SUM(H1662)),SUM(H1662),SUM(H1609)*SUM($S1662))*IF(SUM(H1662)=0,1,SUM(H1628)/SUM(H1662)))</f>
        <v/>
      </c>
      <c r="U1662" s="1450" t="str">
        <f t="shared" si="2435"/>
        <v/>
      </c>
      <c r="V1662" s="1450" t="str">
        <f t="shared" si="2427"/>
        <v/>
      </c>
      <c r="W1662" s="1450" t="str">
        <f t="shared" si="2428"/>
        <v/>
      </c>
      <c r="X1662" s="1450" t="str">
        <f t="shared" si="2429"/>
        <v/>
      </c>
      <c r="Y1662" s="1450" t="str">
        <f t="shared" si="2430"/>
        <v/>
      </c>
      <c r="Z1662" s="1451" t="str">
        <f t="shared" si="2431"/>
        <v/>
      </c>
      <c r="AA1662" s="694"/>
      <c r="AB1662" s="1431">
        <f t="shared" ref="AB1662:AI1662" si="2441">AB1646</f>
        <v>2</v>
      </c>
      <c r="AC1662" s="1432">
        <f t="shared" si="2441"/>
        <v>2</v>
      </c>
      <c r="AD1662" s="1432">
        <f t="shared" si="2441"/>
        <v>2</v>
      </c>
      <c r="AE1662" s="1432">
        <f t="shared" si="2441"/>
        <v>2</v>
      </c>
      <c r="AF1662" s="1432">
        <f t="shared" si="2441"/>
        <v>2</v>
      </c>
      <c r="AG1662" s="1432">
        <f t="shared" si="2441"/>
        <v>2</v>
      </c>
      <c r="AH1662" s="1432">
        <f t="shared" si="2441"/>
        <v>2</v>
      </c>
      <c r="AI1662" s="1452">
        <f t="shared" si="2441"/>
        <v>2</v>
      </c>
      <c r="AJ1662" s="343"/>
      <c r="AK1662" s="1174" t="s">
        <v>2039</v>
      </c>
      <c r="AL1662" s="1176" t="str">
        <f>IF(AND(CNTR_ExistSubInstEntries,COUNTIFS(AB1662:AI1662,2,G1662:N1662,"")&gt;0),EUconst_Error&amp;"FB"&amp;Q1588,"")</f>
        <v/>
      </c>
      <c r="AM1662" s="343"/>
    </row>
    <row r="1663" spans="1:39" ht="12.75" customHeight="1" x14ac:dyDescent="0.25">
      <c r="A1663" s="729"/>
      <c r="B1663" s="698"/>
      <c r="C1663" s="2906"/>
      <c r="D1663" s="990">
        <v>5</v>
      </c>
      <c r="E1663" s="1430" t="str">
        <f t="shared" si="2418"/>
        <v/>
      </c>
      <c r="F1663" s="1448" t="str">
        <f t="shared" si="2437"/>
        <v>t CO2e</v>
      </c>
      <c r="G1663" s="1470" t="str">
        <f t="shared" si="2433"/>
        <v/>
      </c>
      <c r="H1663" s="1469" t="str">
        <f t="shared" si="2419"/>
        <v/>
      </c>
      <c r="I1663" s="1470" t="str">
        <f t="shared" si="2420"/>
        <v/>
      </c>
      <c r="J1663" s="1469" t="str">
        <f t="shared" si="2421"/>
        <v/>
      </c>
      <c r="K1663" s="1127" t="str">
        <f t="shared" si="2422"/>
        <v/>
      </c>
      <c r="L1663" s="1127" t="str">
        <f t="shared" si="2423"/>
        <v/>
      </c>
      <c r="M1663" s="1127" t="str">
        <f t="shared" si="2424"/>
        <v/>
      </c>
      <c r="N1663" s="1127" t="str">
        <f t="shared" si="2425"/>
        <v/>
      </c>
      <c r="O1663" s="302"/>
      <c r="P1663" s="158"/>
      <c r="Q1663" s="694"/>
      <c r="R1663" s="694"/>
      <c r="S1663" s="1449" t="str">
        <f>IF($M1556&lt;&gt;EUconst_Relevant,"",
IF($V1556&gt;($J$1840-3),
              IF(INDEX(H1610:N1610,MATCH($V1556,$T1658:$Z1658,0))=0,0,INDEX(H1663:N1663,MATCH($V1556,$T1658:$Z1658,0))/INDEX(H1610:N1610,MATCH($V1556,$T1658:$Z1658,0))),
                             IF(ISNUMBER(G1610),
                                            IF(OR(G1610=0,$S1594=FALSE),0,G1663/G1610),"")))</f>
        <v/>
      </c>
      <c r="T1663" s="1450" t="str">
        <f t="shared" ref="T1663" si="2442">IF($E1663="","",IF(IFERROR(SUM($S1663)=0,SUM(H1663)),SUM(H1663),SUM(H1610)*SUM($S1663))*IF(SUM(H1663)=0,1,SUM(H1629)/SUM(H1663)))</f>
        <v/>
      </c>
      <c r="U1663" s="1450" t="str">
        <f t="shared" si="2435"/>
        <v/>
      </c>
      <c r="V1663" s="1450" t="str">
        <f t="shared" si="2427"/>
        <v/>
      </c>
      <c r="W1663" s="1450" t="str">
        <f t="shared" si="2428"/>
        <v/>
      </c>
      <c r="X1663" s="1450" t="str">
        <f t="shared" si="2429"/>
        <v/>
      </c>
      <c r="Y1663" s="1450" t="str">
        <f t="shared" si="2430"/>
        <v/>
      </c>
      <c r="Z1663" s="1451" t="str">
        <f t="shared" si="2431"/>
        <v/>
      </c>
      <c r="AA1663" s="694"/>
      <c r="AB1663" s="1431">
        <f t="shared" ref="AB1663:AI1663" si="2443">AB1647</f>
        <v>2</v>
      </c>
      <c r="AC1663" s="1432">
        <f t="shared" si="2443"/>
        <v>2</v>
      </c>
      <c r="AD1663" s="1432">
        <f t="shared" si="2443"/>
        <v>2</v>
      </c>
      <c r="AE1663" s="1432">
        <f t="shared" si="2443"/>
        <v>2</v>
      </c>
      <c r="AF1663" s="1432">
        <f t="shared" si="2443"/>
        <v>2</v>
      </c>
      <c r="AG1663" s="1432">
        <f t="shared" si="2443"/>
        <v>2</v>
      </c>
      <c r="AH1663" s="1432">
        <f t="shared" si="2443"/>
        <v>2</v>
      </c>
      <c r="AI1663" s="1452">
        <f t="shared" si="2443"/>
        <v>2</v>
      </c>
      <c r="AJ1663" s="343"/>
      <c r="AK1663" s="1174" t="s">
        <v>2039</v>
      </c>
      <c r="AL1663" s="1176" t="str">
        <f>IF(AND(CNTR_ExistSubInstEntries,COUNTIFS(AB1663:AI1663,2,G1663:N1663,"")&gt;0),EUconst_Error&amp;"FB"&amp;Q1588,"")</f>
        <v/>
      </c>
      <c r="AM1663" s="343"/>
    </row>
    <row r="1664" spans="1:39" ht="12.75" customHeight="1" x14ac:dyDescent="0.25">
      <c r="A1664" s="729"/>
      <c r="B1664" s="698"/>
      <c r="C1664" s="2906"/>
      <c r="D1664" s="990">
        <v>6</v>
      </c>
      <c r="E1664" s="1430" t="str">
        <f t="shared" si="2418"/>
        <v/>
      </c>
      <c r="F1664" s="1448" t="str">
        <f t="shared" si="2437"/>
        <v>t CO2e</v>
      </c>
      <c r="G1664" s="1470" t="str">
        <f t="shared" si="2433"/>
        <v/>
      </c>
      <c r="H1664" s="1469" t="str">
        <f t="shared" si="2419"/>
        <v/>
      </c>
      <c r="I1664" s="1470" t="str">
        <f t="shared" si="2420"/>
        <v/>
      </c>
      <c r="J1664" s="1469" t="str">
        <f t="shared" si="2421"/>
        <v/>
      </c>
      <c r="K1664" s="1127" t="str">
        <f t="shared" si="2422"/>
        <v/>
      </c>
      <c r="L1664" s="1127" t="str">
        <f t="shared" si="2423"/>
        <v/>
      </c>
      <c r="M1664" s="1127" t="str">
        <f t="shared" si="2424"/>
        <v/>
      </c>
      <c r="N1664" s="1127" t="str">
        <f t="shared" si="2425"/>
        <v/>
      </c>
      <c r="O1664" s="302"/>
      <c r="P1664" s="158"/>
      <c r="Q1664" s="694"/>
      <c r="R1664" s="694"/>
      <c r="S1664" s="1449" t="str">
        <f>IF($M1556&lt;&gt;EUconst_Relevant,"",
IF($V1556&gt;($J$1840-3),
              IF(INDEX(H1611:N1611,MATCH($V1556,$T1658:$Z1658,0))=0,0,INDEX(H1664:N1664,MATCH($V1556,$T1658:$Z1658,0))/INDEX(H1611:N1611,MATCH($V1556,$T1658:$Z1658,0))),
                             IF(ISNUMBER(G1611),
                                            IF(OR(G1611=0,$S1595=FALSE),0,G1664/G1611),"")))</f>
        <v/>
      </c>
      <c r="T1664" s="1450" t="str">
        <f t="shared" ref="T1664" si="2444">IF($E1664="","",IF(IFERROR(SUM($S1664)=0,SUM(H1664)),SUM(H1664),SUM(H1611)*SUM($S1664))*IF(SUM(H1664)=0,1,SUM(H1630)/SUM(H1664)))</f>
        <v/>
      </c>
      <c r="U1664" s="1450" t="str">
        <f t="shared" si="2435"/>
        <v/>
      </c>
      <c r="V1664" s="1450" t="str">
        <f t="shared" si="2427"/>
        <v/>
      </c>
      <c r="W1664" s="1450" t="str">
        <f t="shared" si="2428"/>
        <v/>
      </c>
      <c r="X1664" s="1450" t="str">
        <f t="shared" si="2429"/>
        <v/>
      </c>
      <c r="Y1664" s="1450" t="str">
        <f t="shared" si="2430"/>
        <v/>
      </c>
      <c r="Z1664" s="1451" t="str">
        <f t="shared" si="2431"/>
        <v/>
      </c>
      <c r="AA1664" s="694"/>
      <c r="AB1664" s="1431">
        <f t="shared" ref="AB1664:AI1664" si="2445">AB1648</f>
        <v>2</v>
      </c>
      <c r="AC1664" s="1432">
        <f t="shared" si="2445"/>
        <v>2</v>
      </c>
      <c r="AD1664" s="1432">
        <f t="shared" si="2445"/>
        <v>2</v>
      </c>
      <c r="AE1664" s="1432">
        <f t="shared" si="2445"/>
        <v>2</v>
      </c>
      <c r="AF1664" s="1432">
        <f t="shared" si="2445"/>
        <v>2</v>
      </c>
      <c r="AG1664" s="1432">
        <f t="shared" si="2445"/>
        <v>2</v>
      </c>
      <c r="AH1664" s="1432">
        <f t="shared" si="2445"/>
        <v>2</v>
      </c>
      <c r="AI1664" s="1452">
        <f t="shared" si="2445"/>
        <v>2</v>
      </c>
      <c r="AJ1664" s="343"/>
      <c r="AK1664" s="1174" t="s">
        <v>2039</v>
      </c>
      <c r="AL1664" s="1176" t="str">
        <f>IF(AND(CNTR_ExistSubInstEntries,COUNTIFS(AB1664:AI1664,2,G1664:N1664,"")&gt;0),EUconst_Error&amp;"FB"&amp;Q1588,"")</f>
        <v/>
      </c>
      <c r="AM1664" s="343"/>
    </row>
    <row r="1665" spans="1:39" ht="12.75" customHeight="1" x14ac:dyDescent="0.25">
      <c r="A1665" s="729"/>
      <c r="B1665" s="698"/>
      <c r="C1665" s="2906"/>
      <c r="D1665" s="990">
        <v>7</v>
      </c>
      <c r="E1665" s="1430" t="str">
        <f t="shared" si="2418"/>
        <v/>
      </c>
      <c r="F1665" s="1448" t="str">
        <f t="shared" si="2437"/>
        <v>t CO2e</v>
      </c>
      <c r="G1665" s="1470" t="str">
        <f t="shared" si="2433"/>
        <v/>
      </c>
      <c r="H1665" s="1469" t="str">
        <f t="shared" si="2419"/>
        <v/>
      </c>
      <c r="I1665" s="1470" t="str">
        <f t="shared" si="2420"/>
        <v/>
      </c>
      <c r="J1665" s="1469" t="str">
        <f t="shared" si="2421"/>
        <v/>
      </c>
      <c r="K1665" s="1127" t="str">
        <f t="shared" si="2422"/>
        <v/>
      </c>
      <c r="L1665" s="1127" t="str">
        <f t="shared" si="2423"/>
        <v/>
      </c>
      <c r="M1665" s="1127" t="str">
        <f t="shared" si="2424"/>
        <v/>
      </c>
      <c r="N1665" s="1127" t="str">
        <f t="shared" si="2425"/>
        <v/>
      </c>
      <c r="O1665" s="302"/>
      <c r="P1665" s="158"/>
      <c r="Q1665" s="694"/>
      <c r="R1665" s="694"/>
      <c r="S1665" s="1449" t="str">
        <f>IF($M1556&lt;&gt;EUconst_Relevant,"",
IF($V1556&gt;($J$1840-3),
              IF(INDEX(H1612:N1612,MATCH($V1556,$T1658:$Z1658,0))=0,0,INDEX(H1665:N1665,MATCH($V1556,$T1658:$Z1658,0))/INDEX(H1612:N1612,MATCH($V1556,$T1658:$Z1658,0))),
                             IF(ISNUMBER(G1612),
                                            IF(OR(G1612=0,$S1596=FALSE),0,G1665/G1612),"")))</f>
        <v/>
      </c>
      <c r="T1665" s="1450" t="str">
        <f t="shared" ref="T1665" si="2446">IF($E1665="","",IF(IFERROR(SUM($S1665)=0,SUM(H1665)),SUM(H1665),SUM(H1612)*SUM($S1665))*IF(SUM(H1665)=0,1,SUM(H1631)/SUM(H1665)))</f>
        <v/>
      </c>
      <c r="U1665" s="1450" t="str">
        <f t="shared" si="2435"/>
        <v/>
      </c>
      <c r="V1665" s="1450" t="str">
        <f t="shared" si="2427"/>
        <v/>
      </c>
      <c r="W1665" s="1450" t="str">
        <f t="shared" si="2428"/>
        <v/>
      </c>
      <c r="X1665" s="1450" t="str">
        <f t="shared" si="2429"/>
        <v/>
      </c>
      <c r="Y1665" s="1450" t="str">
        <f t="shared" si="2430"/>
        <v/>
      </c>
      <c r="Z1665" s="1451" t="str">
        <f t="shared" si="2431"/>
        <v/>
      </c>
      <c r="AA1665" s="694"/>
      <c r="AB1665" s="1431">
        <f t="shared" ref="AB1665:AI1665" si="2447">AB1649</f>
        <v>2</v>
      </c>
      <c r="AC1665" s="1432">
        <f t="shared" si="2447"/>
        <v>2</v>
      </c>
      <c r="AD1665" s="1432">
        <f t="shared" si="2447"/>
        <v>2</v>
      </c>
      <c r="AE1665" s="1432">
        <f t="shared" si="2447"/>
        <v>2</v>
      </c>
      <c r="AF1665" s="1432">
        <f t="shared" si="2447"/>
        <v>2</v>
      </c>
      <c r="AG1665" s="1432">
        <f t="shared" si="2447"/>
        <v>2</v>
      </c>
      <c r="AH1665" s="1432">
        <f t="shared" si="2447"/>
        <v>2</v>
      </c>
      <c r="AI1665" s="1452">
        <f t="shared" si="2447"/>
        <v>2</v>
      </c>
      <c r="AJ1665" s="343"/>
      <c r="AK1665" s="1174" t="s">
        <v>2039</v>
      </c>
      <c r="AL1665" s="1176" t="str">
        <f>IF(AND(CNTR_ExistSubInstEntries,COUNTIFS(AB1665:AI1665,2,G1665:N1665,"")&gt;0),EUconst_Error&amp;"FB"&amp;Q1588,"")</f>
        <v/>
      </c>
      <c r="AM1665" s="343"/>
    </row>
    <row r="1666" spans="1:39" ht="12.75" customHeight="1" x14ac:dyDescent="0.25">
      <c r="A1666" s="729"/>
      <c r="B1666" s="698"/>
      <c r="C1666" s="2906"/>
      <c r="D1666" s="990">
        <v>8</v>
      </c>
      <c r="E1666" s="1430" t="str">
        <f t="shared" si="2418"/>
        <v/>
      </c>
      <c r="F1666" s="1448" t="str">
        <f t="shared" si="2437"/>
        <v>t CO2e</v>
      </c>
      <c r="G1666" s="1470" t="str">
        <f t="shared" si="2433"/>
        <v/>
      </c>
      <c r="H1666" s="1469" t="str">
        <f t="shared" si="2419"/>
        <v/>
      </c>
      <c r="I1666" s="1470" t="str">
        <f t="shared" si="2420"/>
        <v/>
      </c>
      <c r="J1666" s="1469" t="str">
        <f t="shared" si="2421"/>
        <v/>
      </c>
      <c r="K1666" s="1127" t="str">
        <f t="shared" si="2422"/>
        <v/>
      </c>
      <c r="L1666" s="1127" t="str">
        <f t="shared" si="2423"/>
        <v/>
      </c>
      <c r="M1666" s="1127" t="str">
        <f t="shared" si="2424"/>
        <v/>
      </c>
      <c r="N1666" s="1127" t="str">
        <f t="shared" si="2425"/>
        <v/>
      </c>
      <c r="O1666" s="302"/>
      <c r="P1666" s="158"/>
      <c r="Q1666" s="694"/>
      <c r="R1666" s="694"/>
      <c r="S1666" s="1449" t="str">
        <f>IF($M1556&lt;&gt;EUconst_Relevant,"",
IF($V1556&gt;($J$1840-3),
              IF(INDEX(H1613:N1613,MATCH($V1556,$T1658:$Z1658,0))=0,0,INDEX(H1666:N1666,MATCH($V1556,$T1658:$Z1658,0))/INDEX(H1613:N1613,MATCH($V1556,$T1658:$Z1658,0))),
                             IF(ISNUMBER(G1613),
                                            IF(OR(G1613=0,$S1597=FALSE),0,G1666/G1613),"")))</f>
        <v/>
      </c>
      <c r="T1666" s="1450" t="str">
        <f t="shared" ref="T1666" si="2448">IF($E1666="","",IF(IFERROR(SUM($S1666)=0,SUM(H1666)),SUM(H1666),SUM(H1613)*SUM($S1666))*IF(SUM(H1666)=0,1,SUM(H1632)/SUM(H1666)))</f>
        <v/>
      </c>
      <c r="U1666" s="1450" t="str">
        <f t="shared" si="2435"/>
        <v/>
      </c>
      <c r="V1666" s="1450" t="str">
        <f t="shared" si="2427"/>
        <v/>
      </c>
      <c r="W1666" s="1450" t="str">
        <f t="shared" si="2428"/>
        <v/>
      </c>
      <c r="X1666" s="1450" t="str">
        <f t="shared" si="2429"/>
        <v/>
      </c>
      <c r="Y1666" s="1450" t="str">
        <f t="shared" si="2430"/>
        <v/>
      </c>
      <c r="Z1666" s="1451" t="str">
        <f t="shared" si="2431"/>
        <v/>
      </c>
      <c r="AA1666" s="694"/>
      <c r="AB1666" s="1431">
        <f t="shared" ref="AB1666:AI1666" si="2449">AB1650</f>
        <v>2</v>
      </c>
      <c r="AC1666" s="1432">
        <f t="shared" si="2449"/>
        <v>2</v>
      </c>
      <c r="AD1666" s="1432">
        <f t="shared" si="2449"/>
        <v>2</v>
      </c>
      <c r="AE1666" s="1432">
        <f t="shared" si="2449"/>
        <v>2</v>
      </c>
      <c r="AF1666" s="1432">
        <f t="shared" si="2449"/>
        <v>2</v>
      </c>
      <c r="AG1666" s="1432">
        <f t="shared" si="2449"/>
        <v>2</v>
      </c>
      <c r="AH1666" s="1432">
        <f t="shared" si="2449"/>
        <v>2</v>
      </c>
      <c r="AI1666" s="1452">
        <f t="shared" si="2449"/>
        <v>2</v>
      </c>
      <c r="AJ1666" s="343"/>
      <c r="AK1666" s="1174" t="s">
        <v>2039</v>
      </c>
      <c r="AL1666" s="1176" t="str">
        <f>IF(AND(CNTR_ExistSubInstEntries,COUNTIFS(AB1666:AI1666,2,G1666:N1666,"")&gt;0),EUconst_Error&amp;"FB"&amp;Q1588,"")</f>
        <v/>
      </c>
      <c r="AM1666" s="343"/>
    </row>
    <row r="1667" spans="1:39" ht="12.75" customHeight="1" x14ac:dyDescent="0.25">
      <c r="A1667" s="729"/>
      <c r="B1667" s="698"/>
      <c r="C1667" s="2906"/>
      <c r="D1667" s="990">
        <v>9</v>
      </c>
      <c r="E1667" s="1430" t="str">
        <f t="shared" si="2418"/>
        <v/>
      </c>
      <c r="F1667" s="1448" t="str">
        <f t="shared" si="2437"/>
        <v>t CO2e</v>
      </c>
      <c r="G1667" s="1470" t="str">
        <f t="shared" si="2433"/>
        <v/>
      </c>
      <c r="H1667" s="1469" t="str">
        <f t="shared" si="2419"/>
        <v/>
      </c>
      <c r="I1667" s="1470" t="str">
        <f t="shared" si="2420"/>
        <v/>
      </c>
      <c r="J1667" s="1469" t="str">
        <f t="shared" si="2421"/>
        <v/>
      </c>
      <c r="K1667" s="1127" t="str">
        <f t="shared" si="2422"/>
        <v/>
      </c>
      <c r="L1667" s="1127" t="str">
        <f t="shared" si="2423"/>
        <v/>
      </c>
      <c r="M1667" s="1127" t="str">
        <f t="shared" si="2424"/>
        <v/>
      </c>
      <c r="N1667" s="1127" t="str">
        <f t="shared" si="2425"/>
        <v/>
      </c>
      <c r="O1667" s="302"/>
      <c r="P1667" s="158"/>
      <c r="Q1667" s="694"/>
      <c r="R1667" s="694"/>
      <c r="S1667" s="1449" t="str">
        <f>IF($M1556&lt;&gt;EUconst_Relevant,"",
IF($V1556&gt;($J$1840-3),
              IF(INDEX(H1614:N1614,MATCH($V1556,$T1658:$Z1658,0))=0,0,INDEX(H1667:N1667,MATCH($V1556,$T1658:$Z1658,0))/INDEX(H1614:N1614,MATCH($V1556,$T1658:$Z1658,0))),
                             IF(ISNUMBER(G1614),
                                            IF(OR(G1614=0,$S1598=FALSE),0,G1667/G1614),"")))</f>
        <v/>
      </c>
      <c r="T1667" s="1450" t="str">
        <f t="shared" ref="T1667" si="2450">IF($E1667="","",IF(IFERROR(SUM($S1667)=0,SUM(H1667)),SUM(H1667),SUM(H1614)*SUM($S1667))*IF(SUM(H1667)=0,1,SUM(H1633)/SUM(H1667)))</f>
        <v/>
      </c>
      <c r="U1667" s="1450" t="str">
        <f t="shared" si="2435"/>
        <v/>
      </c>
      <c r="V1667" s="1450" t="str">
        <f t="shared" si="2427"/>
        <v/>
      </c>
      <c r="W1667" s="1450" t="str">
        <f t="shared" si="2428"/>
        <v/>
      </c>
      <c r="X1667" s="1450" t="str">
        <f t="shared" si="2429"/>
        <v/>
      </c>
      <c r="Y1667" s="1450" t="str">
        <f t="shared" si="2430"/>
        <v/>
      </c>
      <c r="Z1667" s="1451" t="str">
        <f t="shared" si="2431"/>
        <v/>
      </c>
      <c r="AA1667" s="694"/>
      <c r="AB1667" s="1431">
        <f t="shared" ref="AB1667:AI1667" si="2451">AB1651</f>
        <v>2</v>
      </c>
      <c r="AC1667" s="1432">
        <f t="shared" si="2451"/>
        <v>2</v>
      </c>
      <c r="AD1667" s="1432">
        <f t="shared" si="2451"/>
        <v>2</v>
      </c>
      <c r="AE1667" s="1432">
        <f t="shared" si="2451"/>
        <v>2</v>
      </c>
      <c r="AF1667" s="1432">
        <f t="shared" si="2451"/>
        <v>2</v>
      </c>
      <c r="AG1667" s="1432">
        <f t="shared" si="2451"/>
        <v>2</v>
      </c>
      <c r="AH1667" s="1432">
        <f t="shared" si="2451"/>
        <v>2</v>
      </c>
      <c r="AI1667" s="1452">
        <f t="shared" si="2451"/>
        <v>2</v>
      </c>
      <c r="AJ1667" s="343"/>
      <c r="AK1667" s="1174" t="s">
        <v>2039</v>
      </c>
      <c r="AL1667" s="1176" t="str">
        <f>IF(AND(CNTR_ExistSubInstEntries,COUNTIFS(AB1667:AI1667,2,G1667:N1667,"")&gt;0),EUconst_Error&amp;"FB"&amp;Q1588,"")</f>
        <v/>
      </c>
      <c r="AM1667" s="343"/>
    </row>
    <row r="1668" spans="1:39" ht="12.75" customHeight="1" thickBot="1" x14ac:dyDescent="0.3">
      <c r="A1668" s="729"/>
      <c r="B1668" s="698"/>
      <c r="C1668" s="2906"/>
      <c r="D1668" s="994">
        <v>10</v>
      </c>
      <c r="E1668" s="1435" t="str">
        <f t="shared" si="2418"/>
        <v/>
      </c>
      <c r="F1668" s="1453" t="str">
        <f t="shared" si="2437"/>
        <v>t CO2e</v>
      </c>
      <c r="G1668" s="1471" t="str">
        <f t="shared" si="2433"/>
        <v/>
      </c>
      <c r="H1668" s="1472" t="str">
        <f t="shared" si="2419"/>
        <v/>
      </c>
      <c r="I1668" s="1471" t="str">
        <f t="shared" si="2420"/>
        <v/>
      </c>
      <c r="J1668" s="1472" t="str">
        <f t="shared" si="2421"/>
        <v/>
      </c>
      <c r="K1668" s="1128" t="str">
        <f t="shared" si="2422"/>
        <v/>
      </c>
      <c r="L1668" s="1128" t="str">
        <f t="shared" si="2423"/>
        <v/>
      </c>
      <c r="M1668" s="1128" t="str">
        <f t="shared" si="2424"/>
        <v/>
      </c>
      <c r="N1668" s="1128" t="str">
        <f t="shared" si="2425"/>
        <v/>
      </c>
      <c r="O1668" s="302"/>
      <c r="P1668" s="158"/>
      <c r="Q1668" s="694"/>
      <c r="R1668" s="694"/>
      <c r="S1668" s="1454" t="str">
        <f>IF($M1556&lt;&gt;EUconst_Relevant,"",
IF($V1556&gt;($J$1840-3),
              IF(INDEX(H1615:N1615,MATCH($V1556,$T1658:$Z1658,0))=0,0,INDEX(H1668:N1668,MATCH($V1556,$T1658:$Z1658,0))/INDEX(H1615:N1615,MATCH($V1556,$T1658:$Z1658,0))),
                             IF(ISNUMBER(G1615),
                                            IF(OR(G1615=0,$S1599=FALSE),0,G1668/G1615),"")))</f>
        <v/>
      </c>
      <c r="T1668" s="1473" t="str">
        <f t="shared" ref="T1668" si="2452">IF($E1668="","",IF(IFERROR(SUM($S1668)=0,SUM(H1668)),SUM(H1668),SUM(H1615)*SUM($S1668))*IF(SUM(H1668)=0,1,SUM(H1634)/SUM(H1668)))</f>
        <v/>
      </c>
      <c r="U1668" s="1473" t="str">
        <f t="shared" si="2435"/>
        <v/>
      </c>
      <c r="V1668" s="1473" t="str">
        <f t="shared" si="2427"/>
        <v/>
      </c>
      <c r="W1668" s="1473" t="str">
        <f t="shared" si="2428"/>
        <v/>
      </c>
      <c r="X1668" s="1473" t="str">
        <f t="shared" si="2429"/>
        <v/>
      </c>
      <c r="Y1668" s="1473" t="str">
        <f t="shared" si="2430"/>
        <v/>
      </c>
      <c r="Z1668" s="1474" t="str">
        <f t="shared" si="2431"/>
        <v/>
      </c>
      <c r="AA1668" s="694"/>
      <c r="AB1668" s="1436">
        <f t="shared" ref="AB1668:AI1668" si="2453">AB1652</f>
        <v>2</v>
      </c>
      <c r="AC1668" s="1437">
        <f t="shared" si="2453"/>
        <v>2</v>
      </c>
      <c r="AD1668" s="1437">
        <f t="shared" si="2453"/>
        <v>2</v>
      </c>
      <c r="AE1668" s="1437">
        <f t="shared" si="2453"/>
        <v>2</v>
      </c>
      <c r="AF1668" s="1437">
        <f t="shared" si="2453"/>
        <v>2</v>
      </c>
      <c r="AG1668" s="1437">
        <f t="shared" si="2453"/>
        <v>2</v>
      </c>
      <c r="AH1668" s="1437">
        <f t="shared" si="2453"/>
        <v>2</v>
      </c>
      <c r="AI1668" s="1457">
        <f t="shared" si="2453"/>
        <v>2</v>
      </c>
      <c r="AJ1668" s="343"/>
      <c r="AK1668" s="1174" t="s">
        <v>2039</v>
      </c>
      <c r="AL1668" s="1176" t="str">
        <f>IF(AND(CNTR_ExistSubInstEntries,COUNTIFS(AB1668:AI1668,2,G1668:N1668,"")&gt;0),EUconst_Error&amp;"FB"&amp;Q1588,"")</f>
        <v/>
      </c>
      <c r="AM1668" s="343"/>
    </row>
    <row r="1669" spans="1:39" ht="12.75" customHeight="1" thickBot="1" x14ac:dyDescent="0.3">
      <c r="A1669" s="729"/>
      <c r="B1669" s="698"/>
      <c r="C1669" s="2906"/>
      <c r="D1669" s="1293"/>
      <c r="E1669" s="1458" t="str">
        <f>Translations!$B$1338</f>
        <v>Общо потребление</v>
      </c>
      <c r="F1669" s="1453" t="str">
        <f t="shared" si="2437"/>
        <v>t CO2e</v>
      </c>
      <c r="G1669" s="1296" t="str">
        <f t="shared" ref="G1669:N1669" si="2454">IF(COUNT(G1659:G1668)&gt;0,SUMIF($S1590:$S1599,TRUE,G1659:G1668),"")</f>
        <v/>
      </c>
      <c r="H1669" s="1297" t="str">
        <f t="shared" si="2454"/>
        <v/>
      </c>
      <c r="I1669" s="1296" t="str">
        <f t="shared" si="2454"/>
        <v/>
      </c>
      <c r="J1669" s="1297" t="str">
        <f t="shared" si="2454"/>
        <v/>
      </c>
      <c r="K1669" s="1104" t="str">
        <f t="shared" si="2454"/>
        <v/>
      </c>
      <c r="L1669" s="1104" t="str">
        <f t="shared" si="2454"/>
        <v/>
      </c>
      <c r="M1669" s="1104" t="str">
        <f t="shared" si="2454"/>
        <v/>
      </c>
      <c r="N1669" s="1104" t="str">
        <f t="shared" si="2454"/>
        <v/>
      </c>
      <c r="O1669" s="302"/>
      <c r="P1669" s="336"/>
      <c r="Q1669" s="694"/>
      <c r="R1669" s="694"/>
      <c r="S1669" s="1174" t="s">
        <v>2147</v>
      </c>
      <c r="T1669" s="1459">
        <f>IFERROR(SUM(T1659:T1668),"")</f>
        <v>0</v>
      </c>
      <c r="U1669" s="1460">
        <f t="shared" ref="U1669:Z1669" si="2455">IFERROR(SUM(U1659:U1668),"")</f>
        <v>0</v>
      </c>
      <c r="V1669" s="1460">
        <f t="shared" si="2455"/>
        <v>0</v>
      </c>
      <c r="W1669" s="1460">
        <f t="shared" si="2455"/>
        <v>0</v>
      </c>
      <c r="X1669" s="1460">
        <f t="shared" si="2455"/>
        <v>0</v>
      </c>
      <c r="Y1669" s="1460">
        <f t="shared" si="2455"/>
        <v>0</v>
      </c>
      <c r="Z1669" s="1461">
        <f t="shared" si="2455"/>
        <v>0</v>
      </c>
      <c r="AA1669" s="694"/>
      <c r="AB1669" s="729"/>
      <c r="AC1669" s="694"/>
      <c r="AD1669" s="694"/>
      <c r="AE1669" s="343"/>
      <c r="AF1669" s="343"/>
      <c r="AG1669" s="343"/>
      <c r="AH1669" s="343"/>
      <c r="AI1669" s="343"/>
      <c r="AJ1669" s="343"/>
      <c r="AK1669" s="343"/>
      <c r="AL1669" s="343"/>
      <c r="AM1669" s="343"/>
    </row>
    <row r="1670" spans="1:39" ht="12.75" customHeight="1" x14ac:dyDescent="0.25">
      <c r="A1670" s="729"/>
      <c r="B1670" s="698"/>
      <c r="C1670" s="2906"/>
      <c r="D1670" s="1462"/>
      <c r="E1670" s="1463" t="str">
        <f>Translations!$B$1339</f>
        <v>Дял от a)</v>
      </c>
      <c r="F1670" s="1464" t="str">
        <f t="shared" si="2437"/>
        <v>t CO2e</v>
      </c>
      <c r="G1670" s="184" t="str">
        <f>IF(COUNT(I1572,G1669)=2,IF(I1572=0,1,G1669/I1572),"")</f>
        <v/>
      </c>
      <c r="H1670" s="185" t="str">
        <f t="shared" ref="H1670:N1670" si="2456">IF(COUNT(H1564,H1669)=2,IF(H1564=0,1,H1669/H1564),"")</f>
        <v/>
      </c>
      <c r="I1670" s="186" t="str">
        <f t="shared" si="2456"/>
        <v/>
      </c>
      <c r="J1670" s="185" t="str">
        <f t="shared" si="2456"/>
        <v/>
      </c>
      <c r="K1670" s="187" t="str">
        <f t="shared" si="2456"/>
        <v/>
      </c>
      <c r="L1670" s="187" t="str">
        <f t="shared" si="2456"/>
        <v/>
      </c>
      <c r="M1670" s="187" t="str">
        <f t="shared" si="2456"/>
        <v/>
      </c>
      <c r="N1670" s="187" t="str">
        <f t="shared" si="2456"/>
        <v/>
      </c>
      <c r="O1670" s="302"/>
      <c r="P1670" s="336"/>
      <c r="Q1670" s="694"/>
      <c r="R1670" s="694"/>
      <c r="S1670" s="729"/>
      <c r="T1670" s="694"/>
      <c r="U1670" s="694"/>
      <c r="V1670" s="694"/>
      <c r="W1670" s="694"/>
      <c r="X1670" s="694"/>
      <c r="Y1670" s="694"/>
      <c r="Z1670" s="694"/>
      <c r="AA1670" s="694"/>
      <c r="AB1670" s="729"/>
      <c r="AC1670" s="694"/>
      <c r="AD1670" s="694"/>
      <c r="AE1670" s="343"/>
      <c r="AF1670" s="343"/>
      <c r="AG1670" s="343"/>
      <c r="AH1670" s="343"/>
      <c r="AI1670" s="343"/>
      <c r="AJ1670" s="343"/>
      <c r="AK1670" s="343"/>
      <c r="AL1670" s="343"/>
      <c r="AM1670" s="343"/>
    </row>
    <row r="1671" spans="1:39" ht="5.15" customHeight="1" x14ac:dyDescent="0.25">
      <c r="A1671" s="729"/>
      <c r="B1671" s="698"/>
      <c r="C1671" s="284"/>
      <c r="D1671" s="284"/>
      <c r="E1671" s="284"/>
      <c r="F1671" s="284"/>
      <c r="G1671" s="284"/>
      <c r="H1671" s="284"/>
      <c r="I1671" s="284"/>
      <c r="J1671" s="284"/>
      <c r="K1671" s="284"/>
      <c r="L1671" s="284"/>
      <c r="M1671" s="284"/>
      <c r="N1671" s="284"/>
      <c r="O1671" s="302"/>
      <c r="P1671" s="336"/>
      <c r="Q1671" s="694"/>
      <c r="R1671" s="694"/>
      <c r="S1671" s="694"/>
      <c r="T1671" s="694"/>
      <c r="U1671" s="694"/>
      <c r="V1671" s="694"/>
      <c r="W1671" s="694"/>
      <c r="X1671" s="694"/>
      <c r="Y1671" s="694"/>
      <c r="Z1671" s="729"/>
      <c r="AA1671" s="729"/>
      <c r="AB1671" s="729"/>
      <c r="AC1671" s="694"/>
      <c r="AD1671" s="694"/>
      <c r="AE1671" s="343"/>
      <c r="AF1671" s="343"/>
      <c r="AG1671" s="343"/>
      <c r="AH1671" s="343"/>
      <c r="AI1671" s="343"/>
      <c r="AJ1671" s="343"/>
      <c r="AK1671" s="343"/>
      <c r="AL1671" s="343"/>
      <c r="AM1671" s="343"/>
    </row>
    <row r="1672" spans="1:39" ht="12.75" customHeight="1" x14ac:dyDescent="0.25">
      <c r="A1672" s="729"/>
      <c r="B1672" s="284"/>
      <c r="C1672" s="300"/>
      <c r="D1672" s="300" t="s">
        <v>1831</v>
      </c>
      <c r="E1672" s="2226" t="str">
        <f>Translations!$B$1545</f>
        <v>Очаквани равнища на дейност</v>
      </c>
      <c r="F1672" s="2249"/>
      <c r="G1672" s="2249"/>
      <c r="H1672" s="2249"/>
      <c r="I1672" s="2249"/>
      <c r="J1672" s="2249"/>
      <c r="K1672" s="2249"/>
      <c r="L1672" s="2249"/>
      <c r="M1672" s="2249"/>
      <c r="N1672" s="2249"/>
      <c r="O1672" s="302"/>
      <c r="P1672" s="336"/>
      <c r="Q1672" s="770"/>
      <c r="R1672" s="694"/>
      <c r="S1672" s="694"/>
      <c r="T1672" s="694"/>
      <c r="U1672" s="694"/>
      <c r="V1672" s="694"/>
      <c r="W1672" s="694"/>
      <c r="X1672" s="694"/>
      <c r="Y1672" s="694"/>
      <c r="Z1672" s="694"/>
      <c r="AA1672" s="694"/>
      <c r="AB1672" s="729"/>
      <c r="AC1672" s="694"/>
      <c r="AD1672" s="694"/>
      <c r="AE1672" s="343"/>
      <c r="AF1672" s="343"/>
      <c r="AG1672" s="343"/>
      <c r="AH1672" s="343"/>
      <c r="AI1672" s="343"/>
      <c r="AJ1672" s="343"/>
      <c r="AK1672" s="343"/>
      <c r="AL1672" s="343"/>
      <c r="AM1672" s="343"/>
    </row>
    <row r="1673" spans="1:39" ht="12.75" customHeight="1" x14ac:dyDescent="0.25">
      <c r="A1673" s="729"/>
      <c r="B1673" s="698"/>
      <c r="C1673" s="284"/>
      <c r="D1673" s="284"/>
      <c r="E1673" s="2358" t="str">
        <f>Translations!$B$1570</f>
        <v>Специфичните емисии се определят в съответствие с раздел 6.1 от Ръководен документ 7 за стойности, отговарящи на критериите по буква б.1) по-горе.</v>
      </c>
      <c r="F1673" s="2358"/>
      <c r="G1673" s="2358"/>
      <c r="H1673" s="2358"/>
      <c r="I1673" s="2358"/>
      <c r="J1673" s="2358"/>
      <c r="K1673" s="2358"/>
      <c r="L1673" s="2358"/>
      <c r="M1673" s="2358"/>
      <c r="N1673" s="2358"/>
      <c r="O1673" s="302"/>
      <c r="P1673" s="336"/>
      <c r="Q1673" s="694"/>
      <c r="R1673" s="694"/>
      <c r="S1673" s="694"/>
      <c r="T1673" s="694"/>
      <c r="U1673" s="694"/>
      <c r="V1673" s="694"/>
      <c r="W1673" s="694"/>
      <c r="X1673" s="694"/>
      <c r="Y1673" s="694"/>
      <c r="Z1673" s="729"/>
      <c r="AA1673" s="729"/>
      <c r="AB1673" s="729"/>
      <c r="AC1673" s="694"/>
      <c r="AD1673" s="694"/>
      <c r="AE1673" s="343"/>
      <c r="AF1673" s="343"/>
      <c r="AG1673" s="343"/>
      <c r="AH1673" s="343"/>
      <c r="AI1673" s="343"/>
      <c r="AJ1673" s="343"/>
      <c r="AK1673" s="343"/>
      <c r="AL1673" s="343"/>
      <c r="AM1673" s="343"/>
    </row>
    <row r="1674" spans="1:39" ht="5.15" customHeight="1" thickBot="1" x14ac:dyDescent="0.3">
      <c r="A1674" s="729"/>
      <c r="B1674" s="698"/>
      <c r="C1674" s="698"/>
      <c r="D1674" s="698"/>
      <c r="E1674" s="698"/>
      <c r="F1674" s="698"/>
      <c r="G1674" s="698"/>
      <c r="H1674" s="698"/>
      <c r="I1674" s="1025"/>
      <c r="J1674" s="698"/>
      <c r="K1674" s="698"/>
      <c r="L1674" s="698"/>
      <c r="M1674" s="698"/>
      <c r="N1674" s="698"/>
      <c r="O1674" s="302"/>
      <c r="P1674" s="336"/>
      <c r="Q1674" s="1263"/>
      <c r="R1674" s="694"/>
      <c r="S1674" s="729"/>
      <c r="T1674" s="729"/>
      <c r="U1674" s="694"/>
      <c r="V1674" s="694"/>
      <c r="W1674" s="694"/>
      <c r="X1674" s="694"/>
      <c r="Y1674" s="694"/>
      <c r="Z1674" s="694"/>
      <c r="AA1674" s="694"/>
      <c r="AB1674" s="729"/>
      <c r="AC1674" s="694"/>
      <c r="AD1674" s="694"/>
      <c r="AE1674" s="694"/>
      <c r="AF1674" s="694"/>
      <c r="AG1674" s="694"/>
      <c r="AH1674" s="694"/>
      <c r="AI1674" s="694"/>
      <c r="AJ1674" s="694"/>
      <c r="AK1674" s="694"/>
      <c r="AL1674" s="694"/>
      <c r="AM1674" s="343"/>
    </row>
    <row r="1675" spans="1:39" ht="5.15" customHeight="1" thickBot="1" x14ac:dyDescent="0.3">
      <c r="A1675" s="729"/>
      <c r="B1675" s="698"/>
      <c r="C1675" s="698"/>
      <c r="D1675" s="1475"/>
      <c r="E1675" s="1476"/>
      <c r="F1675" s="1476"/>
      <c r="G1675" s="1476"/>
      <c r="H1675" s="1476"/>
      <c r="I1675" s="1477"/>
      <c r="J1675" s="1476"/>
      <c r="K1675" s="1476"/>
      <c r="L1675" s="1476"/>
      <c r="M1675" s="1476"/>
      <c r="N1675" s="1478"/>
      <c r="O1675" s="302"/>
      <c r="P1675" s="336"/>
      <c r="Q1675" s="1263"/>
      <c r="R1675" s="694"/>
      <c r="S1675" s="729"/>
      <c r="T1675" s="729"/>
      <c r="U1675" s="694"/>
      <c r="V1675" s="694"/>
      <c r="W1675" s="694"/>
      <c r="X1675" s="694"/>
      <c r="Y1675" s="694"/>
      <c r="Z1675" s="694"/>
      <c r="AA1675" s="694"/>
      <c r="AB1675" s="729"/>
      <c r="AC1675" s="694"/>
      <c r="AD1675" s="694"/>
      <c r="AE1675" s="694"/>
      <c r="AF1675" s="694"/>
      <c r="AG1675" s="694"/>
      <c r="AH1675" s="694"/>
      <c r="AI1675" s="694"/>
      <c r="AJ1675" s="694"/>
      <c r="AK1675" s="694"/>
      <c r="AL1675" s="694"/>
      <c r="AM1675" s="343"/>
    </row>
    <row r="1676" spans="1:39" ht="12.75" customHeight="1" x14ac:dyDescent="0.25">
      <c r="A1676" s="729"/>
      <c r="B1676" s="298"/>
      <c r="C1676" s="698"/>
      <c r="D1676" s="1217"/>
      <c r="E1676" s="1198" t="str">
        <f>Translations!$B$1546</f>
        <v>Корекции: Промени в ефективността</v>
      </c>
      <c r="F1676" s="1199"/>
      <c r="G1676" s="1199"/>
      <c r="H1676" s="1200" t="str">
        <f>EUconst_Unit</f>
        <v>Единица мярка</v>
      </c>
      <c r="I1676" s="1201" t="str">
        <f>Translations!$B$1336</f>
        <v>Стойност в НМИ</v>
      </c>
      <c r="J1676" s="1202">
        <f>J$1840</f>
        <v>2026</v>
      </c>
      <c r="K1676" s="1203">
        <f>K$1840</f>
        <v>2027</v>
      </c>
      <c r="L1676" s="1203">
        <f>L$1840</f>
        <v>2028</v>
      </c>
      <c r="M1676" s="1203">
        <f>M$1840</f>
        <v>2029</v>
      </c>
      <c r="N1676" s="1479">
        <f>N$1840</f>
        <v>2030</v>
      </c>
      <c r="O1676" s="302"/>
      <c r="P1676" s="336"/>
      <c r="Q1676" s="729"/>
      <c r="R1676" s="694"/>
      <c r="S1676" s="694"/>
      <c r="T1676" s="694"/>
      <c r="U1676" s="1205"/>
      <c r="V1676" s="1206">
        <f>J1676</f>
        <v>2026</v>
      </c>
      <c r="W1676" s="1206">
        <f>K1676</f>
        <v>2027</v>
      </c>
      <c r="X1676" s="1206">
        <f>L1676</f>
        <v>2028</v>
      </c>
      <c r="Y1676" s="1206">
        <f>M1676</f>
        <v>2029</v>
      </c>
      <c r="Z1676" s="1207">
        <f>N1676</f>
        <v>2030</v>
      </c>
      <c r="AA1676" s="694"/>
      <c r="AB1676" s="729"/>
      <c r="AC1676" s="694"/>
      <c r="AD1676" s="694"/>
      <c r="AE1676" s="694"/>
      <c r="AF1676" s="694"/>
      <c r="AG1676" s="694"/>
      <c r="AH1676" s="694"/>
      <c r="AI1676" s="694"/>
      <c r="AJ1676" s="694"/>
      <c r="AK1676" s="694"/>
      <c r="AL1676" s="694"/>
      <c r="AM1676" s="343"/>
    </row>
    <row r="1677" spans="1:39" ht="12.75" customHeight="1" x14ac:dyDescent="0.25">
      <c r="A1677" s="729"/>
      <c r="B1677" s="298"/>
      <c r="C1677" s="698"/>
      <c r="D1677" s="1208" t="s">
        <v>6</v>
      </c>
      <c r="E1677" s="2889" t="str">
        <f>Translations!$B$1547</f>
        <v>Промяна в равнището на дейност &gt; 15 %?</v>
      </c>
      <c r="F1677" s="2889"/>
      <c r="G1677" s="2889"/>
      <c r="H1677" s="2889"/>
      <c r="I1677" s="2890"/>
      <c r="J1677" s="1480" t="str">
        <f>V1573</f>
        <v/>
      </c>
      <c r="K1677" s="1481" t="str">
        <f>W1573</f>
        <v/>
      </c>
      <c r="L1677" s="1481" t="str">
        <f>X1573</f>
        <v/>
      </c>
      <c r="M1677" s="1481" t="str">
        <f>Y1573</f>
        <v/>
      </c>
      <c r="N1677" s="1482" t="str">
        <f>Z1573</f>
        <v/>
      </c>
      <c r="O1677" s="302"/>
      <c r="P1677" s="336"/>
      <c r="Q1677" s="729"/>
      <c r="R1677" s="694"/>
      <c r="S1677" s="694"/>
      <c r="T1677" s="694"/>
      <c r="U1677" s="1231"/>
      <c r="V1677" s="1483"/>
      <c r="W1677" s="1483"/>
      <c r="X1677" s="1483"/>
      <c r="Y1677" s="1483"/>
      <c r="Z1677" s="1484"/>
      <c r="AA1677" s="694"/>
      <c r="AB1677" s="729"/>
      <c r="AC1677" s="694"/>
      <c r="AD1677" s="694"/>
      <c r="AE1677" s="694"/>
      <c r="AF1677" s="694"/>
      <c r="AG1677" s="694"/>
      <c r="AH1677" s="694"/>
      <c r="AI1677" s="694"/>
      <c r="AJ1677" s="694"/>
      <c r="AK1677" s="694"/>
      <c r="AL1677" s="694"/>
      <c r="AM1677" s="343"/>
    </row>
    <row r="1678" spans="1:39" ht="12.75" customHeight="1" x14ac:dyDescent="0.25">
      <c r="A1678" s="729"/>
      <c r="B1678" s="298"/>
      <c r="C1678" s="698"/>
      <c r="D1678" s="1208" t="s">
        <v>7</v>
      </c>
      <c r="E1678" s="2889" t="str">
        <f>Translations!$B$1548</f>
        <v>Средна стойност на очакваното равнище на дейност</v>
      </c>
      <c r="F1678" s="2889"/>
      <c r="G1678" s="2889"/>
      <c r="H1678" s="1485" t="str">
        <f>G1564</f>
        <v>t CO2e</v>
      </c>
      <c r="I1678" s="1486" t="str">
        <f>IF(M1556&lt;&gt;EUconst_Relevant,"",I1572)</f>
        <v/>
      </c>
      <c r="J1678" s="1480" t="str">
        <f>IF(AND(V1678&gt;=3,COUNT(T1669:U1669)=2),IF(CNTR_ReportingYear&gt;J1676-1,IF(J1677,IF(COUNTA(H1625:I1634)=0,J1575,AVERAGE(T1669:U1669)),$I1681),""),"")</f>
        <v/>
      </c>
      <c r="K1678" s="1481" t="str">
        <f>IF(AND(W1678&gt;=3,COUNT(U1669:V1669)=2),IF(CNTR_ReportingYear&gt;K1676-1,IF(K1677,IF(COUNTA(I1625:J1634)=0,K1575,AVERAGE(U1669:V1669)),$I1678),""),"")</f>
        <v/>
      </c>
      <c r="L1678" s="1481" t="str">
        <f>IF(AND(X1678&gt;=3,COUNT(V1669:W1669)=2),IF(CNTR_ReportingYear&gt;L1676-1,IF(L1677,IF(COUNTA(J1625:K1634)=0,L1575,AVERAGE(V1669:W1669)),$I1678),""),"")</f>
        <v/>
      </c>
      <c r="M1678" s="1481" t="str">
        <f>IF(AND(Y1678&gt;=3,COUNT(W1669:X1669)=2),IF(CNTR_ReportingYear&gt;M1676-1,IF(M1677,IF(COUNTA(K1625:L1634)=0,M1575,AVERAGE(W1669:X1669)),$I1678),""),"")</f>
        <v/>
      </c>
      <c r="N1678" s="1482" t="str">
        <f>IF(AND(Z1678&gt;=3,COUNT(X1669:Y1669)=2),IF(CNTR_ReportingYear&gt;N1676-1,IF(N1677,IF(COUNTA(L1625:M1634)=0,N1575,AVERAGE(X1669:Y1669)),$I1678),""),"")</f>
        <v/>
      </c>
      <c r="O1678" s="302"/>
      <c r="P1678" s="336"/>
      <c r="Q1678" s="1270"/>
      <c r="R1678" s="694"/>
      <c r="S1678" s="694"/>
      <c r="T1678" s="694"/>
      <c r="U1678" s="1365" t="s">
        <v>1710</v>
      </c>
      <c r="V1678" s="834">
        <f>V1572</f>
        <v>0</v>
      </c>
      <c r="W1678" s="834">
        <f>W1572</f>
        <v>0</v>
      </c>
      <c r="X1678" s="834">
        <f>X1572</f>
        <v>0</v>
      </c>
      <c r="Y1678" s="834">
        <f>Y1572</f>
        <v>0</v>
      </c>
      <c r="Z1678" s="1403">
        <f>Z1572</f>
        <v>0</v>
      </c>
      <c r="AA1678" s="694"/>
      <c r="AB1678" s="729"/>
      <c r="AC1678" s="694"/>
      <c r="AD1678" s="694"/>
      <c r="AE1678" s="694"/>
      <c r="AF1678" s="694"/>
      <c r="AG1678" s="694"/>
      <c r="AH1678" s="694"/>
      <c r="AI1678" s="694"/>
      <c r="AJ1678" s="694"/>
      <c r="AK1678" s="694"/>
      <c r="AL1678" s="694"/>
      <c r="AM1678" s="343"/>
    </row>
    <row r="1679" spans="1:39" ht="12.75" customHeight="1" x14ac:dyDescent="0.25">
      <c r="A1679" s="729"/>
      <c r="B1679" s="298"/>
      <c r="C1679" s="698"/>
      <c r="D1679" s="1208" t="s">
        <v>8</v>
      </c>
      <c r="E1679" s="2893" t="str">
        <f>Translations!$B$1376</f>
        <v>Промяна в сравнение с HAL</v>
      </c>
      <c r="F1679" s="2894"/>
      <c r="G1679" s="2894"/>
      <c r="H1679" s="2894"/>
      <c r="I1679" s="2895"/>
      <c r="J1679" s="232" t="str">
        <f>IF(J1678="","",IF(SUM($I1681)=0,IF(J1678=0,0%,100%),J1678/$I1681-1))</f>
        <v/>
      </c>
      <c r="K1679" s="233" t="str">
        <f>IF(K1678="","",IF(SUM($I1678)=0,IF(K1678=0,0%,100%),K1678/$I1678-1))</f>
        <v/>
      </c>
      <c r="L1679" s="233" t="str">
        <f>IF(L1678="","",IF(SUM($I1678)=0,IF(L1678=0,0%,100%),L1678/$I1678-1))</f>
        <v/>
      </c>
      <c r="M1679" s="233" t="str">
        <f>IF(M1678="","",IF(SUM($I1678)=0,IF(M1678=0,0%,100%),M1678/$I1678-1))</f>
        <v/>
      </c>
      <c r="N1679" s="234" t="str">
        <f>IF(N1678="","",IF(SUM($I1678)=0,IF(N1678=0,0%,100%),N1678/$I1678-1))</f>
        <v/>
      </c>
      <c r="O1679" s="302"/>
      <c r="P1679" s="209"/>
      <c r="Q1679" s="1190" t="str">
        <f>EUconst_CNTR_EnEffPct&amp;I1556</f>
        <v>EnEffPct_Подинсталация с емисии от процеси (без риск от ИВЕ | извън МКВЕГ)</v>
      </c>
      <c r="R1679" s="694"/>
      <c r="S1679" s="694"/>
      <c r="T1679" s="694"/>
      <c r="U1679" s="1365" t="s">
        <v>1715</v>
      </c>
      <c r="V1679" s="727" t="str">
        <f>IF(J1678="","",ABS(J1679)&gt;15%)</f>
        <v/>
      </c>
      <c r="W1679" s="727" t="str">
        <f>IF(K1678="","",ABS(K1679)&gt;15%)</f>
        <v/>
      </c>
      <c r="X1679" s="727" t="str">
        <f>IF(L1678="","",ABS(L1679)&gt;15%)</f>
        <v/>
      </c>
      <c r="Y1679" s="727" t="str">
        <f>IF(M1678="","",ABS(M1679)&gt;15%)</f>
        <v/>
      </c>
      <c r="Z1679" s="1221" t="str">
        <f>IF(N1678="","",ABS(N1679)&gt;15%)</f>
        <v/>
      </c>
      <c r="AA1679" s="694"/>
      <c r="AB1679" s="729"/>
      <c r="AC1679" s="694"/>
      <c r="AD1679" s="694"/>
      <c r="AE1679" s="694"/>
      <c r="AF1679" s="694"/>
      <c r="AG1679" s="694"/>
      <c r="AH1679" s="694"/>
      <c r="AI1679" s="694"/>
      <c r="AJ1679" s="694"/>
      <c r="AK1679" s="694"/>
      <c r="AL1679" s="694"/>
      <c r="AM1679" s="343"/>
    </row>
    <row r="1680" spans="1:39" ht="12.75" customHeight="1" x14ac:dyDescent="0.25">
      <c r="A1680" s="729"/>
      <c r="B1680" s="298"/>
      <c r="C1680" s="698"/>
      <c r="D1680" s="1208" t="s">
        <v>18</v>
      </c>
      <c r="E1680" s="2896" t="str">
        <f>Translations!$B$1322</f>
        <v>Предварителна корекция (ако са надвишени относителните прагове)</v>
      </c>
      <c r="F1680" s="2897"/>
      <c r="G1680" s="2897"/>
      <c r="H1680" s="2897"/>
      <c r="I1680" s="2898"/>
      <c r="J1680" s="235" t="str">
        <f>IF(J1678="","",IF(OR(V1573=FALSE,V1679=FALSE),0%,IF(V1680,J1679,I1680)))</f>
        <v/>
      </c>
      <c r="K1680" s="236" t="str">
        <f>IF(K1678="","",IF(OR(W1573=FALSE,W1679=FALSE),0%,IF(W1680,K1679,J1680)))</f>
        <v/>
      </c>
      <c r="L1680" s="236" t="str">
        <f>IF(L1678="","",IF(OR(X1573=FALSE,X1679=FALSE),0%,IF(X1680,L1679,K1680)))</f>
        <v/>
      </c>
      <c r="M1680" s="236" t="str">
        <f>IF(M1678="","",IF(OR(Y1573=FALSE,Y1679=FALSE),0%,IF(Y1680,M1679,L1680)))</f>
        <v/>
      </c>
      <c r="N1680" s="237" t="str">
        <f>IF(N1678="","",IF(OR(Z1573=FALSE,Z1679=FALSE),0%,IF(Z1680,N1679,M1680)))</f>
        <v/>
      </c>
      <c r="O1680" s="302"/>
      <c r="P1680" s="209"/>
      <c r="Q1680" s="729"/>
      <c r="R1680" s="694"/>
      <c r="S1680" s="694"/>
      <c r="T1680" s="694"/>
      <c r="U1680" s="1365" t="s">
        <v>1716</v>
      </c>
      <c r="V1680" s="727" t="str">
        <f>IF(J1678="","",AND(V1573,IF(SUM(I1689)&lt;0,OR(SUM(J1679)&lt;SUM(I1689)-MOD(SUM(I1689),5%),J1679&gt;=SUM(I1689)+5%-MOD(SUM(I1689),5%)),OR(SUM(J1679)&lt;=SUM(I1689)-MOD(SUM(I1689),5%),SUM(J1679)&gt;SUM(I1689)+5%-MOD(SUM(I1689),5%)))))</f>
        <v/>
      </c>
      <c r="W1680" s="727" t="str">
        <f>IF(K1678="","",AND(W1573,IF(SUM(J1689)&lt;0,OR(SUM(K1679)&lt;SUM(J1689)-MOD(SUM(J1689),5%),K1679&gt;=SUM(J1689)+5%-MOD(SUM(J1689),5%)),OR(SUM(K1679)&lt;=SUM(J1689)-MOD(SUM(J1689),5%),SUM(K1679)&gt;SUM(J1689)+5%-MOD(SUM(J1689),5%)))))</f>
        <v/>
      </c>
      <c r="X1680" s="727" t="str">
        <f>IF(L1678="","",AND(X1573,IF(SUM(K1689)&lt;0,OR(SUM(L1679)&lt;SUM(K1689)-MOD(SUM(K1689),5%),L1679&gt;=SUM(K1689)+5%-MOD(SUM(K1689),5%)),OR(SUM(L1679)&lt;=SUM(K1689)-MOD(SUM(K1689),5%),SUM(L1679)&gt;SUM(K1689)+5%-MOD(SUM(K1689),5%)))))</f>
        <v/>
      </c>
      <c r="Y1680" s="727" t="str">
        <f>IF(M1678="","",AND(Y1573,IF(SUM(L1689)&lt;0,OR(SUM(M1679)&lt;SUM(L1689)-MOD(SUM(L1689),5%),M1679&gt;=SUM(L1689)+5%-MOD(SUM(L1689),5%)),OR(SUM(M1679)&lt;=SUM(L1689)-MOD(SUM(L1689),5%),SUM(M1679)&gt;SUM(L1689)+5%-MOD(SUM(L1689),5%)))))</f>
        <v/>
      </c>
      <c r="Z1680" s="1221" t="str">
        <f>IF(N1678="","",AND(Z1573,IF(SUM(M1689)&lt;0,OR(SUM(N1679)&lt;SUM(M1689)-MOD(SUM(M1689),5%),N1679&gt;=SUM(M1689)+5%-MOD(SUM(M1689),5%)),OR(SUM(N1679)&lt;=SUM(M1689)-MOD(SUM(M1689),5%),SUM(N1679)&gt;SUM(M1689)+5%-MOD(SUM(M1689),5%)))))</f>
        <v/>
      </c>
      <c r="AA1680" s="694"/>
      <c r="AB1680" s="729"/>
      <c r="AC1680" s="694"/>
      <c r="AD1680" s="694"/>
      <c r="AE1680" s="694"/>
      <c r="AF1680" s="694"/>
      <c r="AG1680" s="694"/>
      <c r="AH1680" s="694"/>
      <c r="AI1680" s="694"/>
      <c r="AJ1680" s="694"/>
      <c r="AK1680" s="694"/>
      <c r="AL1680" s="694"/>
      <c r="AM1680" s="343"/>
    </row>
    <row r="1681" spans="1:39" ht="12.75" customHeight="1" x14ac:dyDescent="0.25">
      <c r="A1681" s="729"/>
      <c r="B1681" s="298"/>
      <c r="C1681" s="698"/>
      <c r="D1681" s="1208" t="s">
        <v>810</v>
      </c>
      <c r="E1681" s="2889" t="str">
        <f>Translations!$B$1377</f>
        <v>Предварителна стойност</v>
      </c>
      <c r="F1681" s="2889"/>
      <c r="G1681" s="2889"/>
      <c r="H1681" s="1485" t="str">
        <f>H1678</f>
        <v>t CO2e</v>
      </c>
      <c r="I1681" s="1487" t="str">
        <f>IF(M1556&lt;&gt;EUconst_Relevant,"",IF(AB1556=FALSE,EUconst_NA,IF(V1556&gt;($J$1840-3),INDEX(T1669:Z1669,MATCH(V1556,T1658:Z1658,0)),SUM(I1678))))</f>
        <v/>
      </c>
      <c r="J1681" s="1400" t="str">
        <f>IF($M1556&lt;&gt;EUconst_Relevant,"",IF(V1678&lt;2,SUM(J1575),IF(V1678&lt;3,SUM(I1575),IF(V1681="",I1681,V1681))))</f>
        <v/>
      </c>
      <c r="K1681" s="1401" t="str">
        <f>IF($M1556&lt;&gt;EUconst_Relevant,"",IF(W1678&lt;2,SUM(K1575),IF(W1678&lt;3,SUM(J1575),IF(W1681="",J1681,W1681))))</f>
        <v/>
      </c>
      <c r="L1681" s="1401" t="str">
        <f>IF($M1556&lt;&gt;EUconst_Relevant,"",IF(X1678&lt;2,SUM(L1575),IF(X1678&lt;3,SUM(K1575),IF(X1681="",K1681,X1681))))</f>
        <v/>
      </c>
      <c r="M1681" s="1401" t="str">
        <f>IF($M1556&lt;&gt;EUconst_Relevant,"",IF(Y1678&lt;2,SUM(M1575),IF(Y1678&lt;3,SUM(L1575),IF(Y1681="",L1681,Y1681))))</f>
        <v/>
      </c>
      <c r="N1681" s="1402" t="str">
        <f>IF($M1556&lt;&gt;EUconst_Relevant,"",IF(Z1678&lt;2,SUM(N1575),IF(Z1678&lt;3,SUM(M1575),IF(Z1681="",M1681,Z1681))))</f>
        <v/>
      </c>
      <c r="O1681" s="302"/>
      <c r="P1681" s="336"/>
      <c r="Q1681" s="1270" t="str">
        <f>EUconst_CNTR_HALprelim&amp;I1556</f>
        <v>HALprelim_Подинсталация с емисии от процеси (без риск от ИВЕ | извън МКВЕГ)</v>
      </c>
      <c r="R1681" s="694"/>
      <c r="S1681" s="694"/>
      <c r="T1681" s="694"/>
      <c r="U1681" s="1215" t="s">
        <v>1756</v>
      </c>
      <c r="V1681" s="1227" t="str">
        <f>IF(J1678="","",IF(CNTR_ReportingYear&lt;J1676,I1680,IF($I1681=0,J1678,$I1681*(1+J1680))))</f>
        <v/>
      </c>
      <c r="W1681" s="1227" t="str">
        <f>IF(K1678="","",IF(CNTR_ReportingYear&lt;K1676,J1680,IF($I1681=0,K1678,$I1681*(1+K1680))))</f>
        <v/>
      </c>
      <c r="X1681" s="1227" t="str">
        <f>IF(L1678="","",IF(CNTR_ReportingYear&lt;L1676,K1680,IF($I1681=0,L1678,$I1681*(1+L1680))))</f>
        <v/>
      </c>
      <c r="Y1681" s="1227" t="str">
        <f>IF(M1678="","",IF(CNTR_ReportingYear&lt;M1676,L1680,IF($I1681=0,M1678,$I1681*(1+M1680))))</f>
        <v/>
      </c>
      <c r="Z1681" s="1228" t="str">
        <f>IF(N1678="","",IF(CNTR_ReportingYear&lt;N1676,M1680,IF($I1681=0,N1678,$I1681*(1+N1680))))</f>
        <v/>
      </c>
      <c r="AA1681" s="694"/>
      <c r="AB1681" s="729"/>
      <c r="AC1681" s="694"/>
      <c r="AD1681" s="694"/>
      <c r="AE1681" s="694"/>
      <c r="AF1681" s="694"/>
      <c r="AG1681" s="694"/>
      <c r="AH1681" s="694"/>
      <c r="AI1681" s="694"/>
      <c r="AJ1681" s="694"/>
      <c r="AK1681" s="694"/>
      <c r="AL1681" s="694"/>
      <c r="AM1681" s="343"/>
    </row>
    <row r="1682" spans="1:39" ht="5.15" customHeight="1" x14ac:dyDescent="0.25">
      <c r="A1682" s="729"/>
      <c r="B1682" s="298"/>
      <c r="C1682" s="698"/>
      <c r="D1682" s="1217"/>
      <c r="E1682" s="1199"/>
      <c r="F1682" s="1199"/>
      <c r="G1682" s="1199"/>
      <c r="H1682" s="1199"/>
      <c r="I1682" s="1199"/>
      <c r="J1682" s="1199"/>
      <c r="K1682" s="1199"/>
      <c r="L1682" s="1199"/>
      <c r="M1682" s="1199"/>
      <c r="N1682" s="1238"/>
      <c r="O1682" s="302"/>
      <c r="P1682" s="336"/>
      <c r="Q1682" s="729"/>
      <c r="R1682" s="694"/>
      <c r="S1682" s="694"/>
      <c r="T1682" s="694"/>
      <c r="U1682" s="1231"/>
      <c r="V1682" s="711"/>
      <c r="W1682" s="711"/>
      <c r="X1682" s="711"/>
      <c r="Y1682" s="711"/>
      <c r="Z1682" s="1488"/>
      <c r="AA1682" s="694"/>
      <c r="AB1682" s="729"/>
      <c r="AC1682" s="694"/>
      <c r="AD1682" s="694"/>
      <c r="AE1682" s="343"/>
      <c r="AF1682" s="343"/>
      <c r="AG1682" s="343"/>
      <c r="AH1682" s="343"/>
      <c r="AI1682" s="343"/>
      <c r="AJ1682" s="343"/>
      <c r="AK1682" s="343"/>
      <c r="AL1682" s="343"/>
      <c r="AM1682" s="343"/>
    </row>
    <row r="1683" spans="1:39" ht="12.75" customHeight="1" x14ac:dyDescent="0.25">
      <c r="A1683" s="729"/>
      <c r="B1683" s="298"/>
      <c r="C1683" s="698"/>
      <c r="D1683" s="1197" t="s">
        <v>1961</v>
      </c>
      <c r="E1683" s="2886" t="str">
        <f>Translations!$B$1342</f>
        <v>Корекции: Абсолютен праг</v>
      </c>
      <c r="F1683" s="2887"/>
      <c r="G1683" s="2887"/>
      <c r="H1683" s="2887"/>
      <c r="I1683" s="2887"/>
      <c r="J1683" s="2887"/>
      <c r="K1683" s="2887"/>
      <c r="L1683" s="2887"/>
      <c r="M1683" s="2887"/>
      <c r="N1683" s="2888"/>
      <c r="O1683" s="302"/>
      <c r="P1683" s="336"/>
      <c r="Q1683" s="729"/>
      <c r="R1683" s="694"/>
      <c r="S1683" s="694"/>
      <c r="T1683" s="694"/>
      <c r="U1683" s="1231"/>
      <c r="V1683" s="729"/>
      <c r="W1683" s="694"/>
      <c r="X1683" s="694"/>
      <c r="Y1683" s="694"/>
      <c r="Z1683" s="1232"/>
      <c r="AA1683" s="694"/>
      <c r="AB1683" s="729"/>
      <c r="AC1683" s="694"/>
      <c r="AD1683" s="694"/>
      <c r="AE1683" s="343"/>
      <c r="AF1683" s="343"/>
      <c r="AG1683" s="343"/>
      <c r="AH1683" s="343"/>
      <c r="AI1683" s="343"/>
      <c r="AJ1683" s="343"/>
      <c r="AK1683" s="343"/>
      <c r="AL1683" s="343"/>
      <c r="AM1683" s="343"/>
    </row>
    <row r="1684" spans="1:39" ht="12.75" customHeight="1" x14ac:dyDescent="0.25">
      <c r="A1684" s="729"/>
      <c r="B1684" s="298"/>
      <c r="C1684" s="698"/>
      <c r="D1684" s="1217"/>
      <c r="E1684" s="1233" t="str">
        <f>Translations!$B$1343</f>
        <v>Абсолютен праг</v>
      </c>
      <c r="F1684" s="1233"/>
      <c r="G1684" s="1233"/>
      <c r="H1684" s="1233"/>
      <c r="I1684" s="1233"/>
      <c r="J1684" s="1202">
        <f>J$1840</f>
        <v>2026</v>
      </c>
      <c r="K1684" s="1203">
        <f>K$1840</f>
        <v>2027</v>
      </c>
      <c r="L1684" s="1203">
        <f>L$1840</f>
        <v>2028</v>
      </c>
      <c r="M1684" s="1203">
        <f>M$1840</f>
        <v>2029</v>
      </c>
      <c r="N1684" s="1479">
        <f>N$1840</f>
        <v>2030</v>
      </c>
      <c r="O1684" s="302"/>
      <c r="P1684" s="336"/>
      <c r="Q1684" s="729"/>
      <c r="R1684" s="694"/>
      <c r="S1684" s="694"/>
      <c r="T1684" s="694"/>
      <c r="U1684" s="1231"/>
      <c r="V1684" s="213"/>
      <c r="W1684" s="214" t="s">
        <v>2101</v>
      </c>
      <c r="X1684" s="215" t="str">
        <f>IF(OR($X1556=0,$X1556=""),"",MIN(1,1-(DATE($Z1556,12,31)-$X1556)/(DATE($Z1556,12,31)-DATE($Z1556,1,1)+1)))</f>
        <v/>
      </c>
      <c r="Y1684" s="1165"/>
      <c r="Z1684" s="1235"/>
      <c r="AA1684" s="694"/>
      <c r="AB1684" s="729"/>
      <c r="AC1684" s="694"/>
      <c r="AD1684" s="694"/>
      <c r="AE1684" s="343"/>
      <c r="AF1684" s="343"/>
      <c r="AG1684" s="343"/>
      <c r="AH1684" s="343"/>
      <c r="AI1684" s="343"/>
      <c r="AJ1684" s="343"/>
      <c r="AK1684" s="343"/>
      <c r="AL1684" s="343"/>
      <c r="AM1684" s="343"/>
    </row>
    <row r="1685" spans="1:39" ht="12.75" customHeight="1" x14ac:dyDescent="0.25">
      <c r="A1685" s="729"/>
      <c r="B1685" s="298"/>
      <c r="C1685" s="698"/>
      <c r="D1685" s="1217"/>
      <c r="E1685" s="2889" t="str">
        <f>Translations!$B$1515</f>
        <v>изпълнен ли е критерият за &gt;=300 квоти за емисии?</v>
      </c>
      <c r="F1685" s="2889"/>
      <c r="G1685" s="2889"/>
      <c r="H1685" s="2889"/>
      <c r="I1685" s="2890"/>
      <c r="J1685" s="1236" t="str">
        <f>IF($M1556&lt;&gt;EUconst_Relevant,"",INDEX(K_Summary!J:J,MATCH($Q1685,K_Summary!$P:$P,0)))</f>
        <v/>
      </c>
      <c r="K1685" s="385" t="str">
        <f>IF($M1556&lt;&gt;EUconst_Relevant,"",INDEX(K_Summary!K:K,MATCH($Q1685,K_Summary!$P:$P,0)))</f>
        <v/>
      </c>
      <c r="L1685" s="385" t="str">
        <f>IF($M1556&lt;&gt;EUconst_Relevant,"",INDEX(K_Summary!L:L,MATCH($Q1685,K_Summary!$P:$P,0)))</f>
        <v/>
      </c>
      <c r="M1685" s="385" t="str">
        <f>IF($M1556&lt;&gt;EUconst_Relevant,"",INDEX(K_Summary!M:M,MATCH($Q1685,K_Summary!$P:$P,0)))</f>
        <v/>
      </c>
      <c r="N1685" s="1237" t="str">
        <f>IF($M1556&lt;&gt;EUconst_Relevant,"",INDEX(K_Summary!N:N,MATCH($Q1685,K_Summary!$P:$P,0)))</f>
        <v/>
      </c>
      <c r="O1685" s="302"/>
      <c r="P1685" s="336"/>
      <c r="Q1685" s="1190" t="str">
        <f>EUconst_CNTR_300EUA&amp;I1556</f>
        <v>EUA300_Подинсталация с емисии от процеси (без риск от ИВЕ | извън МКВЕГ)</v>
      </c>
      <c r="R1685" s="694"/>
      <c r="S1685" s="694"/>
      <c r="T1685" s="694"/>
      <c r="U1685" s="1231"/>
      <c r="V1685" s="216">
        <f>IF(V1676=$Z1556,$X1684,1)</f>
        <v>1</v>
      </c>
      <c r="W1685" s="216">
        <f>IF(W1676=$Z1556,$X1684,1)</f>
        <v>1</v>
      </c>
      <c r="X1685" s="216">
        <f>IF(X1676=$Z1556,$X1684,1)</f>
        <v>1</v>
      </c>
      <c r="Y1685" s="216">
        <f>IF(Y1676=$Z1556,$X1684,1)</f>
        <v>1</v>
      </c>
      <c r="Z1685" s="217">
        <f>IF(Z1676=$Z1556,$X1684,1)</f>
        <v>1</v>
      </c>
      <c r="AA1685" s="694"/>
      <c r="AB1685" s="729"/>
      <c r="AC1685" s="694"/>
      <c r="AD1685" s="694"/>
      <c r="AE1685" s="343"/>
      <c r="AF1685" s="343"/>
      <c r="AG1685" s="343"/>
      <c r="AH1685" s="343"/>
      <c r="AI1685" s="343"/>
      <c r="AJ1685" s="343"/>
      <c r="AK1685" s="343"/>
      <c r="AL1685" s="343"/>
      <c r="AM1685" s="343"/>
    </row>
    <row r="1686" spans="1:39" ht="5.15" customHeight="1" x14ac:dyDescent="0.25">
      <c r="A1686" s="729"/>
      <c r="B1686" s="298"/>
      <c r="C1686" s="698"/>
      <c r="D1686" s="1217"/>
      <c r="E1686" s="1199"/>
      <c r="F1686" s="1199"/>
      <c r="G1686" s="1199"/>
      <c r="H1686" s="1199"/>
      <c r="I1686" s="1199"/>
      <c r="J1686" s="1199"/>
      <c r="K1686" s="1199"/>
      <c r="L1686" s="1199"/>
      <c r="M1686" s="1199"/>
      <c r="N1686" s="1238"/>
      <c r="O1686" s="302"/>
      <c r="P1686" s="336"/>
      <c r="Q1686" s="729"/>
      <c r="R1686" s="694"/>
      <c r="S1686" s="694"/>
      <c r="T1686" s="694"/>
      <c r="U1686" s="1231"/>
      <c r="V1686" s="694"/>
      <c r="W1686" s="694"/>
      <c r="X1686" s="694"/>
      <c r="Y1686" s="694"/>
      <c r="Z1686" s="1232"/>
      <c r="AA1686" s="729"/>
      <c r="AB1686" s="729"/>
      <c r="AC1686" s="694"/>
      <c r="AD1686" s="694"/>
      <c r="AE1686" s="343"/>
      <c r="AF1686" s="343"/>
      <c r="AG1686" s="343"/>
      <c r="AH1686" s="343"/>
      <c r="AI1686" s="343"/>
      <c r="AJ1686" s="343"/>
      <c r="AK1686" s="343"/>
      <c r="AL1686" s="343"/>
      <c r="AM1686" s="343"/>
    </row>
    <row r="1687" spans="1:39" ht="12.75" customHeight="1" x14ac:dyDescent="0.25">
      <c r="A1687" s="729"/>
      <c r="B1687" s="298"/>
      <c r="C1687" s="698"/>
      <c r="D1687" s="1197" t="s">
        <v>2220</v>
      </c>
      <c r="E1687" s="2886" t="str">
        <f>Translations!$B$1549</f>
        <v>Определяне на корекциите на очакваното равнище на дейност, включително всякакви промени в ефективността</v>
      </c>
      <c r="F1687" s="2887"/>
      <c r="G1687" s="2887"/>
      <c r="H1687" s="2887"/>
      <c r="I1687" s="2887"/>
      <c r="J1687" s="2887"/>
      <c r="K1687" s="2887"/>
      <c r="L1687" s="2887"/>
      <c r="M1687" s="2887"/>
      <c r="N1687" s="2888"/>
      <c r="O1687" s="302"/>
      <c r="P1687" s="336"/>
      <c r="Q1687" s="729"/>
      <c r="R1687" s="694"/>
      <c r="S1687" s="694"/>
      <c r="T1687" s="694"/>
      <c r="U1687" s="1231"/>
      <c r="V1687" s="694"/>
      <c r="W1687" s="694"/>
      <c r="X1687" s="694"/>
      <c r="Y1687" s="694"/>
      <c r="Z1687" s="1232"/>
      <c r="AA1687" s="729"/>
      <c r="AB1687" s="729"/>
      <c r="AC1687" s="694"/>
      <c r="AD1687" s="694"/>
      <c r="AE1687" s="343"/>
      <c r="AF1687" s="343"/>
      <c r="AG1687" s="343"/>
      <c r="AH1687" s="343"/>
      <c r="AI1687" s="343"/>
      <c r="AJ1687" s="343"/>
      <c r="AK1687" s="343"/>
      <c r="AL1687" s="343"/>
      <c r="AM1687" s="343"/>
    </row>
    <row r="1688" spans="1:39" ht="12.75" customHeight="1" thickBot="1" x14ac:dyDescent="0.3">
      <c r="A1688" s="729"/>
      <c r="B1688" s="698"/>
      <c r="C1688" s="698"/>
      <c r="D1688" s="1489"/>
      <c r="E1688" s="2891" t="str">
        <f>Translations!$B$1550</f>
        <v>Това е крайният резултат, като се вземат предвид всички промени в ефективността, ако е приложимо.</v>
      </c>
      <c r="F1688" s="2887"/>
      <c r="G1688" s="2887"/>
      <c r="H1688" s="2887"/>
      <c r="I1688" s="2887"/>
      <c r="J1688" s="2887"/>
      <c r="K1688" s="2887"/>
      <c r="L1688" s="2887"/>
      <c r="M1688" s="2887"/>
      <c r="N1688" s="2888"/>
      <c r="O1688" s="336"/>
      <c r="P1688" s="336"/>
      <c r="Q1688" s="694"/>
      <c r="R1688" s="694"/>
      <c r="S1688" s="694"/>
      <c r="T1688" s="694"/>
      <c r="U1688" s="1231"/>
      <c r="V1688" s="694"/>
      <c r="W1688" s="694"/>
      <c r="X1688" s="694"/>
      <c r="Y1688" s="694"/>
      <c r="Z1688" s="1232"/>
      <c r="AA1688" s="729"/>
      <c r="AB1688" s="729"/>
      <c r="AC1688" s="694"/>
      <c r="AD1688" s="694"/>
      <c r="AE1688" s="343"/>
      <c r="AF1688" s="343"/>
      <c r="AG1688" s="343"/>
      <c r="AH1688" s="343"/>
      <c r="AI1688" s="343"/>
      <c r="AJ1688" s="343"/>
      <c r="AK1688" s="343"/>
      <c r="AL1688" s="343"/>
      <c r="AM1688" s="343"/>
    </row>
    <row r="1689" spans="1:39" ht="12.75" customHeight="1" thickBot="1" x14ac:dyDescent="0.3">
      <c r="A1689" s="729"/>
      <c r="B1689" s="298"/>
      <c r="C1689" s="698"/>
      <c r="D1689" s="1208"/>
      <c r="E1689" s="2889" t="str">
        <f>Translations!$B$1324</f>
        <v>Действителна корекция (ако са надвишени всички прагове)</v>
      </c>
      <c r="F1689" s="2889"/>
      <c r="G1689" s="2889"/>
      <c r="H1689" s="2889"/>
      <c r="I1689" s="1490"/>
      <c r="J1689" s="1240" t="str">
        <f>IF(J1685="","",IF(J1684&gt;$Z1556,-100%,IFERROR((1+IF(OR(J1685,V1678&lt;1),J1680,IF(J1684=$Z1556,SUM(I1689),I1689)))*V1685-1,"")))</f>
        <v/>
      </c>
      <c r="K1689" s="1241" t="str">
        <f>IF(K1685="","",IF(K1684&gt;$Z1556,-100%,IFERROR((1+IF(OR(K1685,W1678&lt;1),K1680,IF(K1684=$Z1556,SUM(J1689),J1689)))*W1685-1,"")))</f>
        <v/>
      </c>
      <c r="L1689" s="1241" t="str">
        <f>IF(L1685="","",IF(L1684&gt;$Z1556,-100%,IFERROR((1+IF(OR(L1685,X1678&lt;1),L1680,IF(L1684=$Z1556,SUM(K1689),K1689)))*X1685-1,"")))</f>
        <v/>
      </c>
      <c r="M1689" s="1241" t="str">
        <f>IF(M1685="","",IF(M1684&gt;$Z1556,-100%,IFERROR((1+IF(OR(M1685,Y1678&lt;1),M1680,IF(M1684=$Z1556,SUM(L1689),L1689)))*Y1685-1,"")))</f>
        <v/>
      </c>
      <c r="N1689" s="1242" t="str">
        <f>IF(N1685="","",IF(N1684&gt;$Z1556,-100%,IFERROR((1+IF(OR(N1685,Z1678&lt;1),N1680,IF(N1684=$Z1556,SUM(M1689),M1689)))*Z1685-1,"")))</f>
        <v/>
      </c>
      <c r="O1689" s="302"/>
      <c r="P1689" s="336"/>
      <c r="Q1689" s="1190" t="str">
        <f>EUconst_CNTR_HALAdjPct &amp; I1556</f>
        <v>HALAdjPct_Подинсталация с емисии от процеси (без риск от ИВЕ | извън МКВЕГ)</v>
      </c>
      <c r="R1689" s="694"/>
      <c r="S1689" s="694"/>
      <c r="T1689" s="694"/>
      <c r="U1689" s="1231" t="s">
        <v>1718</v>
      </c>
      <c r="V1689" s="1243">
        <f>J1684</f>
        <v>2026</v>
      </c>
      <c r="W1689" s="1243">
        <f>K1684</f>
        <v>2027</v>
      </c>
      <c r="X1689" s="1243">
        <f>L1684</f>
        <v>2028</v>
      </c>
      <c r="Y1689" s="1243">
        <f>M1684</f>
        <v>2029</v>
      </c>
      <c r="Z1689" s="1244">
        <f>N1684</f>
        <v>2030</v>
      </c>
      <c r="AA1689" s="694"/>
      <c r="AB1689" s="729"/>
      <c r="AC1689" s="694"/>
      <c r="AD1689" s="694"/>
      <c r="AE1689" s="343"/>
      <c r="AF1689" s="343"/>
      <c r="AG1689" s="343"/>
      <c r="AH1689" s="343"/>
      <c r="AI1689" s="343"/>
      <c r="AJ1689" s="343"/>
      <c r="AK1689" s="343"/>
      <c r="AL1689" s="343"/>
      <c r="AM1689" s="343"/>
    </row>
    <row r="1690" spans="1:39" ht="12.75" customHeight="1" thickBot="1" x14ac:dyDescent="0.3">
      <c r="A1690" s="729"/>
      <c r="B1690" s="298"/>
      <c r="C1690" s="698"/>
      <c r="D1690" s="1217"/>
      <c r="E1690" s="2889" t="str">
        <f>Translations!$B$1551</f>
        <v>Действително очаквано равнище на дейност</v>
      </c>
      <c r="F1690" s="2892"/>
      <c r="G1690" s="2892"/>
      <c r="H1690" s="1210" t="str">
        <f>H1572</f>
        <v>t CO2e</v>
      </c>
      <c r="I1690" s="1399" t="str">
        <f>I1575</f>
        <v/>
      </c>
      <c r="J1690" s="661" t="str">
        <f>IF($M1556&lt;&gt;EUconst_Relevant,"",IF(OR(J1689="",$I1690=0,$I1690=EUconst_NA),IF(OR(J1685=TRUE,J1684&lt;=$V1556),J1575,SUM(I1690)),$I1690*(1+SUM(J1689))))</f>
        <v/>
      </c>
      <c r="K1690" s="662" t="str">
        <f>IF($M1556&lt;&gt;EUconst_Relevant,"",IF(OR(K1689="",$I1690=0,$I1690=EUconst_NA),IF(OR(K1685=TRUE,K1684&lt;=$V1556),K1575,SUM(J1690)),$I1690*(1+SUM(K1689))))</f>
        <v/>
      </c>
      <c r="L1690" s="662" t="str">
        <f>IF($M1556&lt;&gt;EUconst_Relevant,"",IF(OR(L1689="",$I1690=0,$I1690=EUconst_NA),IF(OR(L1685=TRUE,L1684&lt;=$V1556),L1575,SUM(K1690)),$I1690*(1+SUM(L1689))))</f>
        <v/>
      </c>
      <c r="M1690" s="662" t="str">
        <f>IF($M1556&lt;&gt;EUconst_Relevant,"",IF(OR(M1689="",$I1690=0,$I1690=EUconst_NA),IF(OR(M1685=TRUE,M1684&lt;=$V1556),M1575,SUM(L1690)),$I1690*(1+SUM(M1689))))</f>
        <v/>
      </c>
      <c r="N1690" s="663" t="str">
        <f>IF($M1556&lt;&gt;EUconst_Relevant,"",IF(OR(N1689="",$I1690=0,$I1690=EUconst_NA),IF(OR(N1685=TRUE,N1684&lt;=$V1556),N1575,SUM(M1690)),$I1690*(1+SUM(N1689))))</f>
        <v/>
      </c>
      <c r="O1690" s="302"/>
      <c r="P1690" s="336"/>
      <c r="Q1690" s="1190" t="str">
        <f>EUconst_CNTR_HALfinal&amp;I1556</f>
        <v>HALfinal_Подинсталация с емисии от процеси (без риск от ИВЕ | извън МКВЕГ)</v>
      </c>
      <c r="R1690" s="694"/>
      <c r="S1690" s="694"/>
      <c r="T1690" s="694"/>
      <c r="U1690" s="1491" t="b">
        <v>0</v>
      </c>
      <c r="V1690" s="1246" t="b">
        <f>IF(J1685=TRUE,V1573,U1690)</f>
        <v>0</v>
      </c>
      <c r="W1690" s="1246" t="b">
        <f>IF(K1685=TRUE,W1573,V1690)</f>
        <v>0</v>
      </c>
      <c r="X1690" s="1246" t="b">
        <f>IF(L1685=TRUE,X1573,W1690)</f>
        <v>0</v>
      </c>
      <c r="Y1690" s="1246" t="b">
        <f>IF(M1685=TRUE,Y1573,X1690)</f>
        <v>0</v>
      </c>
      <c r="Z1690" s="1247" t="b">
        <f>IF(N1685=TRUE,Z1573,Y1690)</f>
        <v>0</v>
      </c>
      <c r="AA1690" s="694"/>
      <c r="AB1690" s="694"/>
      <c r="AC1690" s="694"/>
      <c r="AD1690" s="694"/>
      <c r="AE1690" s="343"/>
      <c r="AF1690" s="343"/>
      <c r="AG1690" s="343"/>
      <c r="AH1690" s="343"/>
      <c r="AI1690" s="343"/>
      <c r="AJ1690" s="343"/>
      <c r="AK1690" s="1174" t="s">
        <v>2033</v>
      </c>
      <c r="AL1690" s="982" t="str">
        <f>IF(OR(ISERROR(J1690),ISERROR(K1690),ISERROR(L1690),ISERROR(M1690),ISERROR(N1690)),EUconst_Error&amp;"FB"&amp; Q1556,"")</f>
        <v/>
      </c>
      <c r="AM1690" s="343"/>
    </row>
    <row r="1691" spans="1:39" ht="5.15" customHeight="1" thickBot="1" x14ac:dyDescent="0.3">
      <c r="A1691" s="729"/>
      <c r="B1691" s="698"/>
      <c r="C1691" s="698"/>
      <c r="D1691" s="1273"/>
      <c r="E1691" s="1274"/>
      <c r="F1691" s="1274"/>
      <c r="G1691" s="1274"/>
      <c r="H1691" s="1274"/>
      <c r="I1691" s="1274"/>
      <c r="J1691" s="1274"/>
      <c r="K1691" s="1274"/>
      <c r="L1691" s="1274"/>
      <c r="M1691" s="1274"/>
      <c r="N1691" s="1276"/>
      <c r="O1691" s="336"/>
      <c r="P1691" s="336"/>
      <c r="Q1691" s="694"/>
      <c r="R1691" s="694"/>
      <c r="S1691" s="694"/>
      <c r="T1691" s="694"/>
      <c r="U1691" s="694"/>
      <c r="V1691" s="694"/>
      <c r="W1691" s="694"/>
      <c r="X1691" s="694"/>
      <c r="Y1691" s="694"/>
      <c r="Z1691" s="694"/>
      <c r="AA1691" s="694"/>
      <c r="AB1691" s="729"/>
      <c r="AC1691" s="694"/>
      <c r="AD1691" s="694"/>
      <c r="AE1691" s="343"/>
      <c r="AF1691" s="343"/>
      <c r="AG1691" s="343"/>
      <c r="AH1691" s="343"/>
      <c r="AI1691" s="343"/>
      <c r="AJ1691" s="343"/>
      <c r="AK1691" s="343"/>
      <c r="AL1691" s="343"/>
      <c r="AM1691" s="343"/>
    </row>
    <row r="1692" spans="1:39" ht="25.5" customHeight="1" thickBot="1" x14ac:dyDescent="0.3">
      <c r="A1692" s="694"/>
      <c r="B1692" s="698"/>
      <c r="C1692" s="698"/>
      <c r="D1692" s="698"/>
      <c r="E1692" s="698"/>
      <c r="F1692" s="698"/>
      <c r="G1692" s="698"/>
      <c r="H1692" s="698"/>
      <c r="I1692" s="698"/>
      <c r="J1692" s="698"/>
      <c r="K1692" s="698"/>
      <c r="L1692" s="698"/>
      <c r="M1692" s="698"/>
      <c r="N1692" s="698"/>
      <c r="O1692" s="336"/>
      <c r="P1692" s="336"/>
      <c r="Q1692" s="694"/>
      <c r="R1692" s="694"/>
      <c r="S1692" s="694"/>
      <c r="T1692" s="694"/>
      <c r="U1692" s="694"/>
      <c r="V1692" s="694"/>
      <c r="W1692" s="694"/>
      <c r="X1692" s="694"/>
      <c r="Y1692" s="694"/>
      <c r="Z1692" s="694"/>
      <c r="AA1692" s="694"/>
      <c r="AB1692" s="694"/>
      <c r="AC1692" s="694"/>
      <c r="AD1692" s="694"/>
      <c r="AE1692" s="343"/>
      <c r="AF1692" s="343"/>
      <c r="AG1692" s="343"/>
      <c r="AH1692" s="343"/>
      <c r="AI1692" s="343"/>
      <c r="AJ1692" s="343"/>
      <c r="AK1692" s="343"/>
      <c r="AL1692" s="343"/>
      <c r="AM1692" s="343"/>
    </row>
    <row r="1693" spans="1:39" ht="5.15" customHeight="1" thickBot="1" x14ac:dyDescent="0.3">
      <c r="A1693" s="694"/>
      <c r="B1693" s="284"/>
      <c r="C1693" s="581"/>
      <c r="D1693" s="581"/>
      <c r="E1693" s="581"/>
      <c r="F1693" s="581"/>
      <c r="G1693" s="581"/>
      <c r="H1693" s="581"/>
      <c r="I1693" s="581"/>
      <c r="J1693" s="581"/>
      <c r="K1693" s="581"/>
      <c r="L1693" s="581"/>
      <c r="M1693" s="581"/>
      <c r="N1693" s="581"/>
      <c r="O1693" s="336"/>
      <c r="P1693" s="336"/>
      <c r="Q1693" s="770"/>
      <c r="R1693" s="770"/>
      <c r="S1693" s="770"/>
      <c r="T1693" s="770"/>
      <c r="U1693" s="770"/>
      <c r="V1693" s="770"/>
      <c r="W1693" s="770"/>
      <c r="X1693" s="770"/>
      <c r="Y1693" s="770"/>
      <c r="Z1693" s="694"/>
      <c r="AA1693" s="694"/>
      <c r="AB1693" s="694"/>
      <c r="AC1693" s="694"/>
      <c r="AD1693" s="694"/>
      <c r="AE1693" s="343"/>
      <c r="AF1693" s="343"/>
      <c r="AG1693" s="343"/>
      <c r="AH1693" s="343"/>
      <c r="AI1693" s="343"/>
      <c r="AJ1693" s="343"/>
      <c r="AK1693" s="343"/>
      <c r="AL1693" s="343"/>
      <c r="AM1693" s="343"/>
    </row>
    <row r="1694" spans="1:39" ht="14.5" thickBot="1" x14ac:dyDescent="0.35">
      <c r="A1694" s="694"/>
      <c r="B1694" s="284"/>
      <c r="C1694" s="357">
        <f>C1556+1</f>
        <v>10</v>
      </c>
      <c r="D1694" s="2323" t="str">
        <f>EUconst_FBSubinst &amp; ":"</f>
        <v>Алтернативна подинсталация („Fall-Back sub-installation“):</v>
      </c>
      <c r="E1694" s="2249"/>
      <c r="F1694" s="2249"/>
      <c r="G1694" s="2249"/>
      <c r="H1694" s="2295"/>
      <c r="I1694" s="2843" t="str">
        <f>INDEX(EUconst_FallBackListNames,$C1694)</f>
        <v>Подинсталация с емисии от процеси (с риск от ИВЕ | в рамките на МКВЕГ)</v>
      </c>
      <c r="J1694" s="2844"/>
      <c r="K1694" s="2844"/>
      <c r="L1694" s="2845"/>
      <c r="M1694" s="2919" t="str">
        <f>IF(INDEX(CNTR_FallBackSubInstRelevant,C1694)="","",IF(INDEX(CNTR_FallBackSubInstRelevant,C1694),EUconst_Relevant,EUconst_NotRelevant))</f>
        <v/>
      </c>
      <c r="N1694" s="2920"/>
      <c r="O1694" s="336"/>
      <c r="P1694" s="336"/>
      <c r="Q1694" s="1391">
        <f>C1694</f>
        <v>10</v>
      </c>
      <c r="R1694" s="694"/>
      <c r="S1694" s="1174" t="str">
        <f>Translations!$B$898</f>
        <v>Дата на въвеждане в експлоатация:</v>
      </c>
      <c r="T1694" s="1175" t="str">
        <f>IF(M1694&lt;&gt;EUconst_Relevant,"",MAX(INDEX(CNTR_SubInstStartDate,MATCH($I1694,CNTR_SubInstListNames,0)),DATE(2005,1,1)))</f>
        <v/>
      </c>
      <c r="U1694" s="729" t="s">
        <v>1731</v>
      </c>
      <c r="V1694" s="1176">
        <f>IF(ISNUMBER(T1694),YEAR($T1694-IF(YEAR(T1694)&gt;=2022,0,1))+1,2005)</f>
        <v>2005</v>
      </c>
      <c r="W1694" s="1174" t="s">
        <v>1734</v>
      </c>
      <c r="X1694" s="1175" t="str">
        <f>IF(M1694&lt;&gt;EUconst_Relevant,"",INDEX(CNTR_SubInstCessationDate,MATCH($I1694,CNTR_SubInstListNames,0)))</f>
        <v/>
      </c>
      <c r="Y1694" s="1174" t="s">
        <v>1735</v>
      </c>
      <c r="Z1694" s="1176">
        <f>IF(SUM(X1694)=0,2050,YEAR($X1694))</f>
        <v>2050</v>
      </c>
      <c r="AA1694" s="1174" t="s">
        <v>2009</v>
      </c>
      <c r="AB1694" s="1176" t="b">
        <f>CNTR_ReportingYear&gt;V1694</f>
        <v>1</v>
      </c>
      <c r="AC1694" s="1174" t="s">
        <v>1395</v>
      </c>
      <c r="AD1694" s="1177" t="b">
        <f>AND(CNTR_ExistSubInstEntries,M1694=EUconst_NotRelevant)</f>
        <v>0</v>
      </c>
      <c r="AE1694" s="343"/>
      <c r="AF1694" s="343"/>
      <c r="AG1694" s="343"/>
      <c r="AH1694" s="343"/>
      <c r="AI1694" s="343"/>
      <c r="AJ1694" s="343"/>
      <c r="AK1694" s="343"/>
      <c r="AL1694" s="343"/>
      <c r="AM1694" s="343"/>
    </row>
    <row r="1695" spans="1:39" ht="12.75" customHeight="1" x14ac:dyDescent="0.25">
      <c r="A1695" s="694"/>
      <c r="B1695" s="698"/>
      <c r="C1695" s="698"/>
      <c r="D1695" s="698"/>
      <c r="E1695" s="698"/>
      <c r="F1695" s="698"/>
      <c r="G1695" s="698"/>
      <c r="H1695" s="773"/>
      <c r="I1695" s="2921" t="str">
        <f>IF(M1694&lt;&gt;EUconst_Relevant,"",IF(M1694=EUconst_Relevant,HYPERLINK("",EUconst_MsgEnterThisSection),HYPERLINK(R1695,EUconst_MsgGoToNextSubInst)))</f>
        <v/>
      </c>
      <c r="J1695" s="2922"/>
      <c r="K1695" s="2922"/>
      <c r="L1695" s="2922"/>
      <c r="M1695" s="2923"/>
      <c r="N1695" s="2924"/>
      <c r="O1695" s="336"/>
      <c r="P1695" s="336"/>
      <c r="Q1695" s="694" t="s">
        <v>450</v>
      </c>
      <c r="R1695" s="875" t="str">
        <f>"#JUMP_G"&amp;Q1694+1</f>
        <v>#JUMP_G11</v>
      </c>
      <c r="S1695" s="694"/>
      <c r="T1695" s="694"/>
      <c r="U1695" s="694"/>
      <c r="V1695" s="694"/>
      <c r="W1695" s="694"/>
      <c r="X1695" s="694"/>
      <c r="Y1695" s="694"/>
      <c r="Z1695" s="729"/>
      <c r="AA1695" s="694"/>
      <c r="AB1695" s="694"/>
      <c r="AC1695" s="694"/>
      <c r="AD1695" s="694"/>
      <c r="AE1695" s="343"/>
      <c r="AF1695" s="343"/>
      <c r="AG1695" s="343"/>
      <c r="AH1695" s="343"/>
      <c r="AI1695" s="343"/>
      <c r="AJ1695" s="343"/>
      <c r="AK1695" s="343"/>
      <c r="AL1695" s="343"/>
      <c r="AM1695" s="343"/>
    </row>
    <row r="1696" spans="1:39" ht="12.75" customHeight="1" x14ac:dyDescent="0.25">
      <c r="A1696" s="694"/>
      <c r="B1696" s="284"/>
      <c r="C1696" s="284"/>
      <c r="D1696" s="302"/>
      <c r="E1696" s="2358" t="str">
        <f>Translations!$B$613</f>
        <v>Името на алтернативната подинсталация („fall-back sub-installation“) се показва автоматично въз основа на общия списък на възможните алтернативни инсталации.</v>
      </c>
      <c r="F1696" s="2249"/>
      <c r="G1696" s="2249"/>
      <c r="H1696" s="2249"/>
      <c r="I1696" s="2249"/>
      <c r="J1696" s="2249"/>
      <c r="K1696" s="2249"/>
      <c r="L1696" s="2249"/>
      <c r="M1696" s="2249"/>
      <c r="N1696" s="2249"/>
      <c r="O1696" s="336"/>
      <c r="P1696" s="336"/>
      <c r="Q1696" s="770"/>
      <c r="R1696" s="770"/>
      <c r="S1696" s="694"/>
      <c r="T1696" s="694"/>
      <c r="U1696" s="694"/>
      <c r="V1696" s="694"/>
      <c r="W1696" s="694"/>
      <c r="X1696" s="694"/>
      <c r="Y1696" s="694"/>
      <c r="Z1696" s="694"/>
      <c r="AA1696" s="694"/>
      <c r="AB1696" s="694"/>
      <c r="AC1696" s="694"/>
      <c r="AD1696" s="694"/>
      <c r="AE1696" s="343"/>
      <c r="AF1696" s="343"/>
      <c r="AG1696" s="343"/>
      <c r="AH1696" s="343"/>
      <c r="AI1696" s="343"/>
      <c r="AJ1696" s="343"/>
      <c r="AK1696" s="343"/>
      <c r="AL1696" s="343"/>
      <c r="AM1696" s="343"/>
    </row>
    <row r="1697" spans="1:39" ht="5.15" customHeight="1" x14ac:dyDescent="0.25">
      <c r="A1697" s="694"/>
      <c r="B1697" s="284"/>
      <c r="C1697" s="284"/>
      <c r="D1697" s="284"/>
      <c r="E1697" s="284"/>
      <c r="F1697" s="284"/>
      <c r="G1697" s="284"/>
      <c r="H1697" s="284"/>
      <c r="I1697" s="284"/>
      <c r="J1697" s="284"/>
      <c r="K1697" s="284"/>
      <c r="L1697" s="284"/>
      <c r="M1697" s="336"/>
      <c r="N1697" s="336"/>
      <c r="O1697" s="336"/>
      <c r="P1697" s="336"/>
      <c r="Q1697" s="770"/>
      <c r="R1697" s="770"/>
      <c r="S1697" s="770"/>
      <c r="T1697" s="770"/>
      <c r="U1697" s="770"/>
      <c r="V1697" s="770"/>
      <c r="W1697" s="770"/>
      <c r="X1697" s="770"/>
      <c r="Y1697" s="770"/>
      <c r="Z1697" s="694"/>
      <c r="AA1697" s="694"/>
      <c r="AB1697" s="694"/>
      <c r="AC1697" s="694"/>
      <c r="AD1697" s="694"/>
      <c r="AE1697" s="343"/>
      <c r="AF1697" s="343"/>
      <c r="AG1697" s="343"/>
      <c r="AH1697" s="343"/>
      <c r="AI1697" s="343"/>
      <c r="AJ1697" s="343"/>
      <c r="AK1697" s="343"/>
      <c r="AL1697" s="343"/>
      <c r="AM1697" s="343"/>
    </row>
    <row r="1698" spans="1:39" ht="12.75" customHeight="1" x14ac:dyDescent="0.25">
      <c r="A1698" s="694"/>
      <c r="B1698" s="284"/>
      <c r="C1698" s="300"/>
      <c r="D1698" s="300" t="s">
        <v>408</v>
      </c>
      <c r="E1698" s="2226" t="str">
        <f>Translations!$B$1315</f>
        <v>Равнища на дейност</v>
      </c>
      <c r="F1698" s="2249"/>
      <c r="G1698" s="2249"/>
      <c r="H1698" s="2249"/>
      <c r="I1698" s="2249"/>
      <c r="J1698" s="2249"/>
      <c r="K1698" s="2249"/>
      <c r="L1698" s="2249"/>
      <c r="M1698" s="2249"/>
      <c r="N1698" s="2249"/>
      <c r="O1698" s="336"/>
      <c r="P1698" s="336"/>
      <c r="Q1698" s="770"/>
      <c r="R1698" s="770"/>
      <c r="S1698" s="770"/>
      <c r="T1698" s="770"/>
      <c r="U1698" s="770"/>
      <c r="V1698" s="770"/>
      <c r="W1698" s="770"/>
      <c r="X1698" s="770"/>
      <c r="Y1698" s="770"/>
      <c r="Z1698" s="694"/>
      <c r="AA1698" s="694"/>
      <c r="AB1698" s="729"/>
      <c r="AC1698" s="694"/>
      <c r="AD1698" s="694"/>
      <c r="AE1698" s="343"/>
      <c r="AF1698" s="343"/>
      <c r="AG1698" s="343"/>
      <c r="AH1698" s="343"/>
      <c r="AI1698" s="343"/>
      <c r="AJ1698" s="343"/>
      <c r="AK1698" s="343"/>
      <c r="AL1698" s="343"/>
      <c r="AM1698" s="343"/>
    </row>
    <row r="1699" spans="1:39" ht="12.75" hidden="1" customHeight="1" x14ac:dyDescent="0.25">
      <c r="A1699" s="694" t="str">
        <f>IF(C1694&gt;4,$A$1,"")</f>
        <v>ausblenden</v>
      </c>
      <c r="B1699" s="284"/>
      <c r="C1699" s="302"/>
      <c r="D1699" s="302"/>
      <c r="E1699" s="2925" t="str">
        <f>Translations!$B$614</f>
        <v>Следните данни се вземат автоматично от раздел E.II.r на лист „E_EnergyFlows“ („E_Енергийни потоци“).Затова въвеждането на данни там е задължително.</v>
      </c>
      <c r="F1699" s="2925"/>
      <c r="G1699" s="2925"/>
      <c r="H1699" s="2925"/>
      <c r="I1699" s="2925"/>
      <c r="J1699" s="2925"/>
      <c r="K1699" s="2925"/>
      <c r="L1699" s="2925"/>
      <c r="M1699" s="2925"/>
      <c r="N1699" s="2925"/>
      <c r="O1699" s="336"/>
      <c r="P1699" s="336"/>
      <c r="Q1699" s="770"/>
      <c r="R1699" s="694"/>
      <c r="S1699" s="694"/>
      <c r="T1699" s="694"/>
      <c r="U1699" s="694"/>
      <c r="V1699" s="694"/>
      <c r="W1699" s="694"/>
      <c r="X1699" s="694"/>
      <c r="Y1699" s="694"/>
      <c r="Z1699" s="694"/>
      <c r="AA1699" s="694"/>
      <c r="AB1699" s="694"/>
      <c r="AC1699" s="694"/>
      <c r="AD1699" s="694"/>
      <c r="AE1699" s="343"/>
      <c r="AF1699" s="343"/>
      <c r="AG1699" s="343"/>
      <c r="AH1699" s="343"/>
      <c r="AI1699" s="343"/>
      <c r="AJ1699" s="343"/>
      <c r="AK1699" s="343"/>
      <c r="AL1699" s="343"/>
      <c r="AM1699" s="343"/>
    </row>
    <row r="1700" spans="1:39" ht="12.75" customHeight="1" x14ac:dyDescent="0.25">
      <c r="A1700" s="694"/>
      <c r="B1700" s="284"/>
      <c r="C1700" s="284"/>
      <c r="D1700" s="302"/>
      <c r="E1700" s="2358" t="str">
        <f>Translations!$B$1332</f>
        <v>На базата на началото на нормална експлоатация, въведено в B+C.I, HAL ще се основава или на стойността в НМИ (показана в ii.), или на първата година на пълна експлоатация за нови подинсталации (посочена в iv.).</v>
      </c>
      <c r="F1700" s="2926"/>
      <c r="G1700" s="2926"/>
      <c r="H1700" s="2926"/>
      <c r="I1700" s="2926"/>
      <c r="J1700" s="2926"/>
      <c r="K1700" s="2926"/>
      <c r="L1700" s="2926"/>
      <c r="M1700" s="2926"/>
      <c r="N1700" s="2926"/>
      <c r="O1700" s="336"/>
      <c r="P1700" s="336"/>
      <c r="Q1700" s="770"/>
      <c r="R1700" s="694"/>
      <c r="S1700" s="694"/>
      <c r="T1700" s="694"/>
      <c r="U1700" s="694"/>
      <c r="V1700" s="694"/>
      <c r="W1700" s="694"/>
      <c r="X1700" s="694"/>
      <c r="Y1700" s="694"/>
      <c r="Z1700" s="694"/>
      <c r="AA1700" s="729"/>
      <c r="AB1700" s="729"/>
      <c r="AC1700" s="694"/>
      <c r="AD1700" s="694"/>
      <c r="AE1700" s="343"/>
      <c r="AF1700" s="343"/>
      <c r="AG1700" s="343"/>
      <c r="AH1700" s="343"/>
      <c r="AI1700" s="343"/>
      <c r="AJ1700" s="343"/>
      <c r="AK1700" s="343"/>
      <c r="AL1700" s="343"/>
      <c r="AM1700" s="343"/>
    </row>
    <row r="1701" spans="1:39" ht="12.75" customHeight="1" thickBot="1" x14ac:dyDescent="0.3">
      <c r="A1701" s="694"/>
      <c r="B1701" s="698"/>
      <c r="C1701" s="300"/>
      <c r="D1701" s="300"/>
      <c r="E1701" s="389" t="str">
        <f>Translations!$B$615</f>
        <v>Основно равнище на дейност:</v>
      </c>
      <c r="F1701" s="1015"/>
      <c r="G1701" s="527" t="str">
        <f>EUconst_Unit</f>
        <v>Единица мярка</v>
      </c>
      <c r="H1701" s="391">
        <f t="shared" ref="H1701:N1701" si="2457">H$1840</f>
        <v>2024</v>
      </c>
      <c r="I1701" s="572">
        <f t="shared" si="2457"/>
        <v>2025</v>
      </c>
      <c r="J1701" s="757">
        <f t="shared" si="2457"/>
        <v>2026</v>
      </c>
      <c r="K1701" s="391">
        <f t="shared" si="2457"/>
        <v>2027</v>
      </c>
      <c r="L1701" s="391">
        <f t="shared" si="2457"/>
        <v>2028</v>
      </c>
      <c r="M1701" s="391">
        <f t="shared" si="2457"/>
        <v>2029</v>
      </c>
      <c r="N1701" s="387">
        <f t="shared" si="2457"/>
        <v>2030</v>
      </c>
      <c r="O1701" s="336"/>
      <c r="P1701" s="336"/>
      <c r="Q1701" s="1033" t="s">
        <v>560</v>
      </c>
      <c r="R1701" s="694"/>
      <c r="S1701" s="694"/>
      <c r="T1701" s="1178">
        <f t="shared" ref="T1701" si="2458">H1701</f>
        <v>2024</v>
      </c>
      <c r="U1701" s="1178">
        <f t="shared" ref="U1701" si="2459">I1701</f>
        <v>2025</v>
      </c>
      <c r="V1701" s="1178">
        <f t="shared" ref="V1701" si="2460">J1701</f>
        <v>2026</v>
      </c>
      <c r="W1701" s="1178">
        <f t="shared" ref="W1701" si="2461">K1701</f>
        <v>2027</v>
      </c>
      <c r="X1701" s="1178">
        <f t="shared" ref="X1701" si="2462">L1701</f>
        <v>2028</v>
      </c>
      <c r="Y1701" s="1178">
        <f t="shared" ref="Y1701" si="2463">M1701</f>
        <v>2029</v>
      </c>
      <c r="Z1701" s="1178">
        <f t="shared" ref="Z1701" si="2464">N1701</f>
        <v>2030</v>
      </c>
      <c r="AA1701" s="729"/>
      <c r="AB1701" s="694"/>
      <c r="AC1701" s="1504">
        <f t="shared" ref="AC1701" si="2465">H$1840</f>
        <v>2024</v>
      </c>
      <c r="AD1701" s="1504">
        <f t="shared" ref="AD1701" si="2466">I$1840</f>
        <v>2025</v>
      </c>
      <c r="AE1701" s="1504">
        <f t="shared" ref="AE1701" si="2467">J$1840</f>
        <v>2026</v>
      </c>
      <c r="AF1701" s="1504">
        <f t="shared" ref="AF1701" si="2468">K$1840</f>
        <v>2027</v>
      </c>
      <c r="AG1701" s="1504">
        <f t="shared" ref="AG1701" si="2469">L$1840</f>
        <v>2028</v>
      </c>
      <c r="AH1701" s="1504">
        <f t="shared" ref="AH1701" si="2470">M$1840</f>
        <v>2029</v>
      </c>
      <c r="AI1701" s="1504">
        <f t="shared" ref="AI1701" si="2471">N$1840</f>
        <v>2030</v>
      </c>
      <c r="AJ1701" s="343"/>
      <c r="AK1701" s="343"/>
      <c r="AL1701" s="343"/>
      <c r="AM1701" s="343"/>
    </row>
    <row r="1702" spans="1:39" ht="12.75" customHeight="1" thickBot="1" x14ac:dyDescent="0.3">
      <c r="A1702" s="694"/>
      <c r="B1702" s="698"/>
      <c r="C1702" s="698"/>
      <c r="D1702" s="1084" t="s">
        <v>6</v>
      </c>
      <c r="E1702" s="2862" t="str">
        <f>I1694</f>
        <v>Подинсталация с емисии от процеси (с риск от ИВЕ | в рамките на МКВЕГ)</v>
      </c>
      <c r="F1702" s="2862"/>
      <c r="G1702" s="1032" t="str">
        <f>INDEX(EUconst_FallBackListUnits,MATCH(E1702,EUconst_FallBackListNames,0))</f>
        <v>t CO2e</v>
      </c>
      <c r="H1702" s="39"/>
      <c r="I1702" s="194"/>
      <c r="J1702" s="195"/>
      <c r="K1702" s="39"/>
      <c r="L1702" s="39"/>
      <c r="M1702" s="39"/>
      <c r="N1702" s="39"/>
      <c r="O1702" s="710"/>
      <c r="P1702" s="336"/>
      <c r="Q1702" s="1394" t="str">
        <f>EUconst_CNTR_HAL&amp;E1702</f>
        <v>HAL_Подинсталация с емисии от процеси (с риск от ИВЕ | в рамките на МКВЕГ)</v>
      </c>
      <c r="R1702" s="694"/>
      <c r="S1702" s="1395" t="s">
        <v>1732</v>
      </c>
      <c r="T1702" s="1396" t="b">
        <f t="shared" ref="T1702:Z1702" si="2472">AND($M1694=EUconst_Relevant,T1701&lt;CNTR_ReportingYear,T1701&gt;=$V1694-1)</f>
        <v>0</v>
      </c>
      <c r="U1702" s="1397" t="b">
        <f t="shared" si="2472"/>
        <v>0</v>
      </c>
      <c r="V1702" s="1397" t="b">
        <f t="shared" si="2472"/>
        <v>0</v>
      </c>
      <c r="W1702" s="1397" t="b">
        <f t="shared" si="2472"/>
        <v>0</v>
      </c>
      <c r="X1702" s="1397" t="b">
        <f t="shared" si="2472"/>
        <v>0</v>
      </c>
      <c r="Y1702" s="1397" t="b">
        <f t="shared" si="2472"/>
        <v>0</v>
      </c>
      <c r="Z1702" s="1398" t="b">
        <f t="shared" si="2472"/>
        <v>0</v>
      </c>
      <c r="AA1702" s="694"/>
      <c r="AB1702" s="1182" t="s">
        <v>737</v>
      </c>
      <c r="AC1702" s="1183" t="b">
        <f t="shared" ref="AC1702:AI1702" si="2473">IF(CNTR_ExistSubInstEntries,OR($M1694&lt;&gt;EUconst_Relevant,AC1701&gt;=CNTR_ReportingYear,AC1701&lt;$V1694-1),FALSE)</f>
        <v>0</v>
      </c>
      <c r="AD1702" s="1184" t="b">
        <f t="shared" si="2473"/>
        <v>0</v>
      </c>
      <c r="AE1702" s="1184" t="b">
        <f t="shared" si="2473"/>
        <v>0</v>
      </c>
      <c r="AF1702" s="1184" t="b">
        <f t="shared" si="2473"/>
        <v>0</v>
      </c>
      <c r="AG1702" s="1184" t="b">
        <f t="shared" si="2473"/>
        <v>0</v>
      </c>
      <c r="AH1702" s="1184" t="b">
        <f t="shared" si="2473"/>
        <v>0</v>
      </c>
      <c r="AI1702" s="1185" t="b">
        <f t="shared" si="2473"/>
        <v>0</v>
      </c>
      <c r="AJ1702" s="343"/>
      <c r="AK1702" s="1174" t="s">
        <v>2033</v>
      </c>
      <c r="AL1702" s="982" t="str">
        <f>IF(OR(COUNTIFS(H1701:N1701,"&lt;"&amp;YEAR(SUM(T1694)),H1702:N1702,"&gt;"&amp;0)&gt;0,AND(CNTR_ExistSubInstEntries,COUNTIFS(AB1705:AI1705,2,G1705:N1705,"")&gt;0)),EUconst_Error&amp;"FB"&amp;Q1694,"")</f>
        <v/>
      </c>
      <c r="AM1702" s="343"/>
    </row>
    <row r="1703" spans="1:39" ht="5.15" customHeight="1" x14ac:dyDescent="0.25">
      <c r="A1703" s="694"/>
      <c r="B1703" s="298"/>
      <c r="C1703" s="298"/>
      <c r="D1703" s="302"/>
      <c r="E1703" s="302"/>
      <c r="F1703" s="302"/>
      <c r="G1703" s="302"/>
      <c r="H1703" s="302"/>
      <c r="I1703" s="302"/>
      <c r="J1703" s="302"/>
      <c r="K1703" s="302"/>
      <c r="L1703" s="302"/>
      <c r="M1703" s="302"/>
      <c r="N1703" s="302"/>
      <c r="O1703" s="302"/>
      <c r="P1703" s="336"/>
      <c r="Q1703" s="729"/>
      <c r="R1703" s="694"/>
      <c r="S1703" s="729"/>
      <c r="T1703" s="729"/>
      <c r="U1703" s="694"/>
      <c r="V1703" s="694"/>
      <c r="W1703" s="694"/>
      <c r="X1703" s="694"/>
      <c r="Y1703" s="694"/>
      <c r="Z1703" s="729"/>
      <c r="AA1703" s="694"/>
      <c r="AB1703" s="729"/>
      <c r="AC1703" s="694"/>
      <c r="AD1703" s="694"/>
      <c r="AE1703" s="343"/>
      <c r="AF1703" s="343"/>
      <c r="AG1703" s="343"/>
      <c r="AH1703" s="343"/>
      <c r="AI1703" s="343"/>
      <c r="AJ1703" s="343"/>
      <c r="AK1703" s="343"/>
      <c r="AL1703" s="343"/>
      <c r="AM1703" s="343"/>
    </row>
    <row r="1704" spans="1:39" ht="25.5" customHeight="1" x14ac:dyDescent="0.25">
      <c r="A1704" s="694"/>
      <c r="B1704" s="298"/>
      <c r="C1704" s="298"/>
      <c r="D1704" s="302"/>
      <c r="E1704" s="2358" t="str">
        <f>Translations!$B$1333</f>
        <v>На базата на стойностите на HAL и тези по буква a) по-горе тук се определят средните равнища на дейност. Разпределението ще бъде променено само ако са надвишени всички долуизброени прагове от членове 5 и 6 от Регламента за ALC:</v>
      </c>
      <c r="F1704" s="2249"/>
      <c r="G1704" s="2249"/>
      <c r="H1704" s="2249"/>
      <c r="I1704" s="2249"/>
      <c r="J1704" s="2249"/>
      <c r="K1704" s="2249"/>
      <c r="L1704" s="2249"/>
      <c r="M1704" s="2249"/>
      <c r="N1704" s="2249"/>
      <c r="O1704" s="302"/>
      <c r="P1704" s="336"/>
      <c r="Q1704" s="729"/>
      <c r="R1704" s="694"/>
      <c r="S1704" s="729"/>
      <c r="T1704" s="729"/>
      <c r="U1704" s="729"/>
      <c r="V1704" s="694"/>
      <c r="W1704" s="694"/>
      <c r="X1704" s="694"/>
      <c r="Y1704" s="694"/>
      <c r="Z1704" s="694"/>
      <c r="AA1704" s="694"/>
      <c r="AB1704" s="694"/>
      <c r="AC1704" s="694"/>
      <c r="AD1704" s="694"/>
      <c r="AE1704" s="694"/>
      <c r="AF1704" s="694"/>
      <c r="AG1704" s="694"/>
      <c r="AH1704" s="694"/>
      <c r="AI1704" s="694"/>
      <c r="AJ1704" s="694"/>
      <c r="AK1704" s="694"/>
      <c r="AL1704" s="694"/>
      <c r="AM1704" s="343"/>
    </row>
    <row r="1705" spans="1:39" ht="12.75" customHeight="1" x14ac:dyDescent="0.25">
      <c r="A1705" s="694"/>
      <c r="B1705" s="298"/>
      <c r="C1705" s="298"/>
      <c r="D1705" s="302"/>
      <c r="E1705" s="1191" t="s">
        <v>1052</v>
      </c>
      <c r="F1705" s="2358" t="str">
        <f>Translations!$B$1530</f>
        <v>относителният праг (15 %) за средното равнище на дейност в сравнение с HAL</v>
      </c>
      <c r="G1705" s="2861"/>
      <c r="H1705" s="2861"/>
      <c r="I1705" s="2861"/>
      <c r="J1705" s="2861"/>
      <c r="K1705" s="2861"/>
      <c r="L1705" s="2861"/>
      <c r="M1705" s="2861"/>
      <c r="N1705" s="2861"/>
      <c r="O1705" s="302"/>
      <c r="P1705" s="336"/>
      <c r="Q1705" s="729"/>
      <c r="R1705" s="694"/>
      <c r="S1705" s="729"/>
      <c r="T1705" s="729"/>
      <c r="U1705" s="729"/>
      <c r="V1705" s="694"/>
      <c r="W1705" s="694"/>
      <c r="X1705" s="694"/>
      <c r="Y1705" s="694"/>
      <c r="Z1705" s="694"/>
      <c r="AA1705" s="694"/>
      <c r="AB1705" s="694"/>
      <c r="AC1705" s="694"/>
      <c r="AD1705" s="694"/>
      <c r="AE1705" s="694"/>
      <c r="AF1705" s="694"/>
      <c r="AG1705" s="694"/>
      <c r="AH1705" s="694"/>
      <c r="AI1705" s="694"/>
      <c r="AJ1705" s="694"/>
      <c r="AK1705" s="694"/>
      <c r="AL1705" s="694"/>
      <c r="AM1705" s="343"/>
    </row>
    <row r="1706" spans="1:39" ht="12.75" customHeight="1" x14ac:dyDescent="0.25">
      <c r="A1706" s="694"/>
      <c r="B1706" s="298"/>
      <c r="C1706" s="298"/>
      <c r="D1706" s="302"/>
      <c r="E1706" s="1191" t="s">
        <v>1052</v>
      </c>
      <c r="F1706" s="2358" t="str">
        <f>Translations!$B$1531</f>
        <v>относителните прагове (15 % и 5 % за последващи промени) за очакваното равнище на дейност в сравнение с HAL</v>
      </c>
      <c r="G1706" s="2861"/>
      <c r="H1706" s="2861"/>
      <c r="I1706" s="2861"/>
      <c r="J1706" s="2861"/>
      <c r="K1706" s="2861"/>
      <c r="L1706" s="2861"/>
      <c r="M1706" s="2861"/>
      <c r="N1706" s="2861"/>
      <c r="O1706" s="302"/>
      <c r="P1706" s="336"/>
      <c r="Q1706" s="729"/>
      <c r="R1706" s="694"/>
      <c r="S1706" s="729"/>
      <c r="T1706" s="729"/>
      <c r="U1706" s="729"/>
      <c r="V1706" s="694"/>
      <c r="W1706" s="694"/>
      <c r="X1706" s="694"/>
      <c r="Y1706" s="694"/>
      <c r="Z1706" s="694"/>
      <c r="AA1706" s="694"/>
      <c r="AB1706" s="694"/>
      <c r="AC1706" s="694"/>
      <c r="AD1706" s="694"/>
      <c r="AE1706" s="694"/>
      <c r="AF1706" s="694"/>
      <c r="AG1706" s="694"/>
      <c r="AH1706" s="694"/>
      <c r="AI1706" s="694"/>
      <c r="AJ1706" s="694"/>
      <c r="AK1706" s="694"/>
      <c r="AL1706" s="694"/>
      <c r="AM1706" s="343"/>
    </row>
    <row r="1707" spans="1:39" ht="12.75" customHeight="1" thickBot="1" x14ac:dyDescent="0.3">
      <c r="A1707" s="694"/>
      <c r="B1707" s="298"/>
      <c r="C1707" s="298"/>
      <c r="D1707" s="302"/>
      <c r="E1707" s="1191" t="s">
        <v>1052</v>
      </c>
      <c r="F1707" s="2358" t="str">
        <f>Translations!$B$1514</f>
        <v>абсолютния праг, т.е. промяната би довела до разлика в предварителното разпределение от най-малко 300 квоти</v>
      </c>
      <c r="G1707" s="2861"/>
      <c r="H1707" s="2861"/>
      <c r="I1707" s="2861"/>
      <c r="J1707" s="2861"/>
      <c r="K1707" s="2861"/>
      <c r="L1707" s="2861"/>
      <c r="M1707" s="2861"/>
      <c r="N1707" s="2861"/>
      <c r="O1707" s="302"/>
      <c r="P1707" s="336"/>
      <c r="Q1707" s="729"/>
      <c r="R1707" s="694"/>
      <c r="S1707" s="729"/>
      <c r="T1707" s="729"/>
      <c r="U1707" s="729"/>
      <c r="V1707" s="694"/>
      <c r="W1707" s="694"/>
      <c r="X1707" s="694"/>
      <c r="Y1707" s="694"/>
      <c r="Z1707" s="694"/>
      <c r="AA1707" s="694"/>
      <c r="AB1707" s="694"/>
      <c r="AC1707" s="694"/>
      <c r="AD1707" s="694"/>
      <c r="AE1707" s="694"/>
      <c r="AF1707" s="694"/>
      <c r="AG1707" s="694"/>
      <c r="AH1707" s="694"/>
      <c r="AI1707" s="694"/>
      <c r="AJ1707" s="694"/>
      <c r="AK1707" s="694"/>
      <c r="AL1707" s="694"/>
      <c r="AM1707" s="343"/>
    </row>
    <row r="1708" spans="1:39" ht="5.15" customHeight="1" thickBot="1" x14ac:dyDescent="0.3">
      <c r="A1708" s="694"/>
      <c r="B1708" s="298"/>
      <c r="C1708" s="298"/>
      <c r="D1708" s="1192"/>
      <c r="E1708" s="1193"/>
      <c r="F1708" s="1194"/>
      <c r="G1708" s="1195"/>
      <c r="H1708" s="1195"/>
      <c r="I1708" s="1195"/>
      <c r="J1708" s="1195"/>
      <c r="K1708" s="1195"/>
      <c r="L1708" s="1195"/>
      <c r="M1708" s="1195"/>
      <c r="N1708" s="1196"/>
      <c r="O1708" s="302"/>
      <c r="P1708" s="336"/>
      <c r="Q1708" s="729"/>
      <c r="R1708" s="694"/>
      <c r="S1708" s="729"/>
      <c r="T1708" s="729"/>
      <c r="U1708" s="729"/>
      <c r="V1708" s="694"/>
      <c r="W1708" s="694"/>
      <c r="X1708" s="694"/>
      <c r="Y1708" s="694"/>
      <c r="Z1708" s="694"/>
      <c r="AA1708" s="694"/>
      <c r="AB1708" s="694"/>
      <c r="AC1708" s="694"/>
      <c r="AD1708" s="694"/>
      <c r="AE1708" s="694"/>
      <c r="AF1708" s="694"/>
      <c r="AG1708" s="694"/>
      <c r="AH1708" s="694"/>
      <c r="AI1708" s="694"/>
      <c r="AJ1708" s="694"/>
      <c r="AK1708" s="694"/>
      <c r="AL1708" s="694"/>
      <c r="AM1708" s="343"/>
    </row>
    <row r="1709" spans="1:39" ht="12.75" customHeight="1" x14ac:dyDescent="0.25">
      <c r="A1709" s="694"/>
      <c r="B1709" s="298"/>
      <c r="C1709" s="298"/>
      <c r="D1709" s="1217"/>
      <c r="E1709" s="1198" t="str">
        <f>Translations!$B$1334</f>
        <v>Предварителна корекция</v>
      </c>
      <c r="F1709" s="1199"/>
      <c r="G1709" s="1199"/>
      <c r="H1709" s="1200" t="str">
        <f>EUconst_Unit</f>
        <v>Единица мярка</v>
      </c>
      <c r="I1709" s="1201" t="str">
        <f>Translations!$B$1320</f>
        <v>(НМИ) HAL</v>
      </c>
      <c r="J1709" s="1202">
        <f>J$1840</f>
        <v>2026</v>
      </c>
      <c r="K1709" s="1203">
        <f>K$1840</f>
        <v>2027</v>
      </c>
      <c r="L1709" s="1203">
        <f>L$1840</f>
        <v>2028</v>
      </c>
      <c r="M1709" s="1203">
        <f>M$1840</f>
        <v>2029</v>
      </c>
      <c r="N1709" s="1204">
        <f>N$1840</f>
        <v>2030</v>
      </c>
      <c r="O1709" s="302"/>
      <c r="P1709" s="336"/>
      <c r="Q1709" s="729"/>
      <c r="R1709" s="694"/>
      <c r="S1709" s="729"/>
      <c r="T1709" s="729"/>
      <c r="U1709" s="1205"/>
      <c r="V1709" s="1206">
        <f>J1709</f>
        <v>2026</v>
      </c>
      <c r="W1709" s="1206">
        <f>K1709</f>
        <v>2027</v>
      </c>
      <c r="X1709" s="1206">
        <f>L1709</f>
        <v>2028</v>
      </c>
      <c r="Y1709" s="1206">
        <f>M1709</f>
        <v>2029</v>
      </c>
      <c r="Z1709" s="1207">
        <f>N1709</f>
        <v>2030</v>
      </c>
      <c r="AA1709" s="694"/>
      <c r="AB1709" s="729"/>
      <c r="AC1709" s="694"/>
      <c r="AD1709" s="694"/>
      <c r="AE1709" s="343"/>
      <c r="AF1709" s="343"/>
      <c r="AG1709" s="343"/>
      <c r="AH1709" s="343"/>
      <c r="AI1709" s="343"/>
      <c r="AJ1709" s="343"/>
      <c r="AK1709" s="343"/>
      <c r="AL1709" s="343"/>
      <c r="AM1709" s="343"/>
    </row>
    <row r="1710" spans="1:39" ht="12.75" customHeight="1" x14ac:dyDescent="0.25">
      <c r="A1710" s="694"/>
      <c r="B1710" s="298"/>
      <c r="C1710" s="298"/>
      <c r="D1710" s="1208" t="s">
        <v>7</v>
      </c>
      <c r="E1710" s="1209" t="str">
        <f>Translations!$B$1321</f>
        <v>Средно годишно равнище на дейност (стойност в НМИ)</v>
      </c>
      <c r="F1710" s="1209"/>
      <c r="G1710" s="1209"/>
      <c r="H1710" s="1266" t="str">
        <f>G1702</f>
        <v>t CO2e</v>
      </c>
      <c r="I1710" s="1399" t="str">
        <f>IF(V1694&gt;($J$1840-3),EUconst_NA,INDEX('B+C_SubInstallations'!$I:$I,MATCH(Q1710,'B+C_SubInstallations'!$T:$T,0)))</f>
        <v/>
      </c>
      <c r="J1710" s="1400" t="str">
        <f>IF(AND(V1710&gt;=3,CNTR_ReportingYear&gt;J1709-1),AVERAGE(SUM(H1702),SUM(I1702)),"")</f>
        <v/>
      </c>
      <c r="K1710" s="1401" t="str">
        <f>IF(AND(W1710&gt;=3,CNTR_ReportingYear&gt;K1709-1),AVERAGE(SUM(I1702),SUM(J1702)),"")</f>
        <v/>
      </c>
      <c r="L1710" s="1401" t="str">
        <f>IF(AND(X1710&gt;=3,CNTR_ReportingYear&gt;L1709-1),AVERAGE(SUM(J1702),SUM(K1702)),"")</f>
        <v/>
      </c>
      <c r="M1710" s="1401" t="str">
        <f>IF(AND(Y1710&gt;=3,CNTR_ReportingYear&gt;M1709-1),AVERAGE(SUM(K1702),SUM(L1702)),"")</f>
        <v/>
      </c>
      <c r="N1710" s="1402" t="str">
        <f>IF(AND(Z1710&gt;=3,CNTR_ReportingYear&gt;N1709-1),AVERAGE(SUM(L1702),SUM(M1702)),"")</f>
        <v/>
      </c>
      <c r="O1710" s="302"/>
      <c r="P1710" s="336"/>
      <c r="Q1710" s="1270" t="str">
        <f>EUconst_CNTR_HALinitial&amp;I1694</f>
        <v>HALini_Подинсталация с емисии от процеси (с риск от ИВЕ | в рамките на МКВЕГ)</v>
      </c>
      <c r="R1710" s="694"/>
      <c r="S1710" s="729"/>
      <c r="T1710" s="729"/>
      <c r="U1710" s="1365" t="s">
        <v>1710</v>
      </c>
      <c r="V1710" s="834">
        <f>IF($M1694&lt;&gt;EUconst_Relevant,0,V1709-$V1694+1)</f>
        <v>0</v>
      </c>
      <c r="W1710" s="834">
        <f>IF($M1694&lt;&gt;EUconst_Relevant,0,W1709-$V1694+1)</f>
        <v>0</v>
      </c>
      <c r="X1710" s="834">
        <f>IF($M1694&lt;&gt;EUconst_Relevant,0,X1709-$V1694+1)</f>
        <v>0</v>
      </c>
      <c r="Y1710" s="834">
        <f>IF($M1694&lt;&gt;EUconst_Relevant,0,Y1709-$V1694+1)</f>
        <v>0</v>
      </c>
      <c r="Z1710" s="1403">
        <f>IF($M1694&lt;&gt;EUconst_Relevant,0,Z1709-$V1694+1)</f>
        <v>0</v>
      </c>
      <c r="AA1710" s="694"/>
      <c r="AB1710" s="729"/>
      <c r="AC1710" s="694"/>
      <c r="AD1710" s="694"/>
      <c r="AE1710" s="343"/>
      <c r="AF1710" s="343"/>
      <c r="AG1710" s="343"/>
      <c r="AH1710" s="343"/>
      <c r="AI1710" s="343"/>
      <c r="AJ1710" s="343"/>
      <c r="AK1710" s="343"/>
      <c r="AL1710" s="343"/>
      <c r="AM1710" s="343"/>
    </row>
    <row r="1711" spans="1:39" ht="12.75" hidden="1" customHeight="1" x14ac:dyDescent="0.25">
      <c r="A1711" s="729" t="s">
        <v>312</v>
      </c>
      <c r="B1711" s="298"/>
      <c r="C1711" s="298"/>
      <c r="D1711" s="1208"/>
      <c r="E1711" s="1209" t="str">
        <f>Translations!$B$1376</f>
        <v>Промяна в сравнение с HAL</v>
      </c>
      <c r="F1711" s="1209"/>
      <c r="G1711" s="1209"/>
      <c r="H1711" s="1222"/>
      <c r="I1711" s="1223"/>
      <c r="J1711" s="104" t="str">
        <f>IF(J1710="","",IF($I1713=0,IF(J1710=0,0%,100%),J1710/$I1713-1))</f>
        <v/>
      </c>
      <c r="K1711" s="99" t="str">
        <f>IF(K1710="","",IF($I1713=0,IF(K1710=0,0%,100%),K1710/$I1713-1))</f>
        <v/>
      </c>
      <c r="L1711" s="99" t="str">
        <f>IF(L1710="","",IF($I1713=0,IF(L1710=0,0%,100%),L1710/$I1713-1))</f>
        <v/>
      </c>
      <c r="M1711" s="99" t="str">
        <f>IF(M1710="","",IF($I1713=0,IF(M1710=0,0%,100%),M1710/$I1713-1))</f>
        <v/>
      </c>
      <c r="N1711" s="123" t="str">
        <f>IF(N1710="","",IF($I1713=0,IF(N1710=0,0%,100%),N1710/$I1713-1))</f>
        <v/>
      </c>
      <c r="O1711" s="302"/>
      <c r="P1711" s="336"/>
      <c r="Q1711" s="1190" t="str">
        <f>EUconst_CNTR_RelThreshold &amp;I1694</f>
        <v>RelThresh_Подинсталация с емисии от процеси (с риск от ИВЕ | в рамките на МКВЕГ)</v>
      </c>
      <c r="R1711" s="694"/>
      <c r="S1711" s="729"/>
      <c r="T1711" s="729"/>
      <c r="U1711" s="1365" t="s">
        <v>1715</v>
      </c>
      <c r="V1711" s="727" t="str">
        <f>IF(J1710="","",ABS(J1711)&gt;15%)</f>
        <v/>
      </c>
      <c r="W1711" s="727" t="str">
        <f>IF(K1710="","",ABS(K1711)&gt;15%)</f>
        <v/>
      </c>
      <c r="X1711" s="727" t="str">
        <f>IF(L1710="","",ABS(L1711)&gt;15%)</f>
        <v/>
      </c>
      <c r="Y1711" s="727" t="str">
        <f>IF(M1710="","",ABS(M1711)&gt;15%)</f>
        <v/>
      </c>
      <c r="Z1711" s="1221" t="str">
        <f>IF(N1710="","",ABS(N1711)&gt;15%)</f>
        <v/>
      </c>
      <c r="AA1711" s="694"/>
      <c r="AB1711" s="729"/>
      <c r="AC1711" s="694"/>
      <c r="AD1711" s="694"/>
      <c r="AE1711" s="343"/>
      <c r="AF1711" s="343"/>
      <c r="AG1711" s="343"/>
      <c r="AH1711" s="343"/>
      <c r="AI1711" s="343"/>
      <c r="AJ1711" s="343"/>
      <c r="AK1711" s="343"/>
      <c r="AL1711" s="343"/>
      <c r="AM1711" s="343"/>
    </row>
    <row r="1712" spans="1:39" ht="12.75" customHeight="1" x14ac:dyDescent="0.25">
      <c r="A1712" s="729"/>
      <c r="B1712" s="298"/>
      <c r="C1712" s="298"/>
      <c r="D1712" s="1208" t="s">
        <v>8</v>
      </c>
      <c r="E1712" s="1209" t="str">
        <f>Translations!$B$1322</f>
        <v>Предварителна корекция (ако са надвишени относителните прагове)</v>
      </c>
      <c r="F1712" s="1209"/>
      <c r="G1712" s="1209"/>
      <c r="H1712" s="1222"/>
      <c r="I1712" s="1223"/>
      <c r="J1712" s="1224" t="str">
        <f>IF(J1710="","",IF(V1711=FALSE,0%,J1711))</f>
        <v/>
      </c>
      <c r="K1712" s="1225" t="str">
        <f t="shared" ref="K1712" si="2474">IF(K1710="","",IF(W1711=FALSE,0%,K1711))</f>
        <v/>
      </c>
      <c r="L1712" s="1225" t="str">
        <f t="shared" ref="L1712" si="2475">IF(L1710="","",IF(X1711=FALSE,0%,L1711))</f>
        <v/>
      </c>
      <c r="M1712" s="1225" t="str">
        <f t="shared" ref="M1712" si="2476">IF(M1710="","",IF(Y1711=FALSE,0%,M1711))</f>
        <v/>
      </c>
      <c r="N1712" s="1226" t="str">
        <f t="shared" ref="N1712" si="2477">IF(N1710="","",IF(Z1711=FALSE,0%,N1711))</f>
        <v/>
      </c>
      <c r="O1712" s="302"/>
      <c r="P1712" s="336"/>
      <c r="Q1712" s="729"/>
      <c r="R1712" s="694"/>
      <c r="S1712" s="729"/>
      <c r="T1712" s="729"/>
      <c r="U1712" s="1365" t="s">
        <v>1716</v>
      </c>
      <c r="V1712" s="727" t="str">
        <f>IF(J1710="","",AND(V1711,IF(SUM(I1827)&lt;0,OR(SUM(J1711)&lt;SUM(I1827)-MOD(SUM(I1827),5%),J1711&gt;=SUM(I1827)+5%-MOD(SUM(I1827),5%)),OR(SUM(J1711)&lt;=SUM(I1827)-MOD(SUM(I1827),5%),SUM(J1711)&gt;SUM(I1827)+5%-MOD(SUM(I1827),5%)))))</f>
        <v/>
      </c>
      <c r="W1712" s="727" t="str">
        <f>IF(K1710="","",AND(W1711,IF(SUM(J1827)&lt;0,OR(SUM(K1711)&lt;SUM(J1827)-MOD(SUM(J1827),5%),K1711&gt;=SUM(J1827)+5%-MOD(SUM(J1827),5%)),OR(SUM(K1711)&lt;=SUM(J1827)-MOD(SUM(J1827),5%),SUM(K1711)&gt;SUM(J1827)+5%-MOD(SUM(J1827),5%)))))</f>
        <v/>
      </c>
      <c r="X1712" s="727" t="str">
        <f>IF(L1710="","",AND(X1711,IF(SUM(K1827)&lt;0,OR(SUM(L1711)&lt;SUM(K1827)-MOD(SUM(K1827),5%),L1711&gt;=SUM(K1827)+5%-MOD(SUM(K1827),5%)),OR(SUM(L1711)&lt;=SUM(K1827)-MOD(SUM(K1827),5%),SUM(L1711)&gt;SUM(K1827)+5%-MOD(SUM(K1827),5%)))))</f>
        <v/>
      </c>
      <c r="Y1712" s="727" t="str">
        <f>IF(M1710="","",AND(Y1711,IF(SUM(L1827)&lt;0,OR(SUM(M1711)&lt;SUM(L1827)-MOD(SUM(L1827),5%),M1711&gt;=SUM(L1827)+5%-MOD(SUM(L1827),5%)),OR(SUM(M1711)&lt;=SUM(L1827)-MOD(SUM(L1827),5%),SUM(M1711)&gt;SUM(L1827)+5%-MOD(SUM(L1827),5%)))))</f>
        <v/>
      </c>
      <c r="Z1712" s="1221" t="str">
        <f>IF(N1710="","",AND(Z1711,IF(SUM(M1827)&lt;0,OR(SUM(N1711)&lt;SUM(M1827)-MOD(SUM(M1827),5%),N1711&gt;=SUM(M1827)+5%-MOD(SUM(M1827),5%)),OR(SUM(N1711)&lt;=SUM(M1827)-MOD(SUM(M1827),5%),SUM(N1711)&gt;SUM(M1827)+5%-MOD(SUM(M1827),5%)))))</f>
        <v/>
      </c>
      <c r="AA1712" s="694"/>
      <c r="AB1712" s="729"/>
      <c r="AC1712" s="694"/>
      <c r="AD1712" s="694"/>
      <c r="AE1712" s="343"/>
      <c r="AF1712" s="343"/>
      <c r="AG1712" s="343"/>
      <c r="AH1712" s="343"/>
      <c r="AI1712" s="343"/>
      <c r="AJ1712" s="343"/>
      <c r="AK1712" s="343"/>
      <c r="AL1712" s="343"/>
      <c r="AM1712" s="343"/>
    </row>
    <row r="1713" spans="1:39" ht="12.75" customHeight="1" thickBot="1" x14ac:dyDescent="0.3">
      <c r="A1713" s="729"/>
      <c r="B1713" s="298"/>
      <c r="C1713" s="298"/>
      <c r="D1713" s="1208" t="s">
        <v>18</v>
      </c>
      <c r="E1713" s="1209" t="str">
        <f>Translations!$B$1377</f>
        <v>Предварителна стойност</v>
      </c>
      <c r="F1713" s="1209"/>
      <c r="G1713" s="1209"/>
      <c r="H1713" s="1266" t="str">
        <f>H1710</f>
        <v>t CO2e</v>
      </c>
      <c r="I1713" s="1399" t="str">
        <f>IF(M1694&lt;&gt;EUconst_Relevant,"",IF(AB1694=FALSE,EUconst_NA,IF(V1694&gt;($J$1840-3),INDEX(H1702:N1702,MATCH($V1694,H1701:N1701,0)),I1710)))</f>
        <v/>
      </c>
      <c r="J1713" s="1400" t="str">
        <f>IF($M1694&lt;&gt;EUconst_Relevant,"",IF(V1710&lt;2,SUM(J1702),IF(V1710&lt;3,SUM(I1702),IF(V1713="",I1713,V1713))))</f>
        <v/>
      </c>
      <c r="K1713" s="1401" t="str">
        <f>IF($M1694&lt;&gt;EUconst_Relevant,"",IF(W1710&lt;2,SUM(K1702),IF(W1710&lt;3,SUM(J1702),IF(W1713="",J1713,W1713))))</f>
        <v/>
      </c>
      <c r="L1713" s="1401" t="str">
        <f>IF($M1694&lt;&gt;EUconst_Relevant,"",IF(X1710&lt;2,SUM(L1702),IF(X1710&lt;3,SUM(K1702),IF(X1713="",K1713,X1713))))</f>
        <v/>
      </c>
      <c r="M1713" s="1401" t="str">
        <f>IF($M1694&lt;&gt;EUconst_Relevant,"",IF(Y1710&lt;2,SUM(M1702),IF(Y1710&lt;3,SUM(L1702),IF(Y1713="",L1713,Y1713))))</f>
        <v/>
      </c>
      <c r="N1713" s="1402" t="str">
        <f>IF($M1694&lt;&gt;EUconst_Relevant,"",IF(Z1710&lt;2,SUM(N1702),IF(Z1710&lt;3,SUM(M1702),IF(Z1713="",M1713,Z1713))))</f>
        <v/>
      </c>
      <c r="O1713" s="710"/>
      <c r="P1713" s="336"/>
      <c r="Q1713" s="1190" t="s">
        <v>2143</v>
      </c>
      <c r="R1713" s="694"/>
      <c r="S1713" s="729"/>
      <c r="T1713" s="729"/>
      <c r="U1713" s="1404" t="s">
        <v>1711</v>
      </c>
      <c r="V1713" s="1405" t="str">
        <f>IF(J1710="","",IF(CNTR_ReportingYear&lt;J1709,I1712,IF($I1713=0,J1710,$I1713*(1+J1712))))</f>
        <v/>
      </c>
      <c r="W1713" s="1405" t="str">
        <f>IF(K1710="","",IF(CNTR_ReportingYear&lt;K1709,J1712,IF($I1713=0,K1710,$I1713*(1+K1712))))</f>
        <v/>
      </c>
      <c r="X1713" s="1405" t="str">
        <f>IF(L1710="","",IF(CNTR_ReportingYear&lt;L1709,K1712,IF($I1713=0,L1710,$I1713*(1+L1712))))</f>
        <v/>
      </c>
      <c r="Y1713" s="1405" t="str">
        <f>IF(M1710="","",IF(CNTR_ReportingYear&lt;M1709,L1712,IF($I1713=0,M1710,$I1713*(1+M1712))))</f>
        <v/>
      </c>
      <c r="Z1713" s="1406" t="str">
        <f>IF(N1710="","",IF(CNTR_ReportingYear&lt;N1709,M1712,IF($I1713=0,N1710,$I1713*(1+N1712))))</f>
        <v/>
      </c>
      <c r="AA1713" s="694"/>
      <c r="AB1713" s="694"/>
      <c r="AC1713" s="694"/>
      <c r="AD1713" s="694"/>
      <c r="AE1713" s="343"/>
      <c r="AF1713" s="343"/>
      <c r="AG1713" s="343"/>
      <c r="AH1713" s="343"/>
      <c r="AI1713" s="343"/>
      <c r="AJ1713" s="343"/>
      <c r="AK1713" s="343"/>
      <c r="AL1713" s="343"/>
      <c r="AM1713" s="343"/>
    </row>
    <row r="1714" spans="1:39" ht="5.15" customHeight="1" thickBot="1" x14ac:dyDescent="0.3">
      <c r="A1714" s="729"/>
      <c r="B1714" s="698"/>
      <c r="C1714" s="284"/>
      <c r="D1714" s="1407"/>
      <c r="E1714" s="1408"/>
      <c r="F1714" s="1408"/>
      <c r="G1714" s="1408"/>
      <c r="H1714" s="1408"/>
      <c r="I1714" s="1408"/>
      <c r="J1714" s="1408"/>
      <c r="K1714" s="1408"/>
      <c r="L1714" s="1408"/>
      <c r="M1714" s="1408"/>
      <c r="N1714" s="1409"/>
      <c r="O1714" s="336"/>
      <c r="P1714" s="336"/>
      <c r="Q1714" s="694"/>
      <c r="R1714" s="694"/>
      <c r="S1714" s="729"/>
      <c r="T1714" s="729"/>
      <c r="U1714" s="694"/>
      <c r="V1714" s="694"/>
      <c r="W1714" s="694"/>
      <c r="X1714" s="694"/>
      <c r="Y1714" s="694"/>
      <c r="Z1714" s="729"/>
      <c r="AA1714" s="729"/>
      <c r="AB1714" s="729"/>
      <c r="AC1714" s="694"/>
      <c r="AD1714" s="694"/>
      <c r="AE1714" s="343"/>
      <c r="AF1714" s="343"/>
      <c r="AG1714" s="343"/>
      <c r="AH1714" s="343"/>
      <c r="AI1714" s="343"/>
      <c r="AJ1714" s="343"/>
      <c r="AK1714" s="343"/>
      <c r="AL1714" s="343"/>
      <c r="AM1714" s="343"/>
    </row>
    <row r="1715" spans="1:39" ht="5.15" customHeight="1" x14ac:dyDescent="0.25">
      <c r="A1715" s="729" t="str">
        <f>A1716</f>
        <v/>
      </c>
      <c r="B1715" s="698"/>
      <c r="C1715" s="284"/>
      <c r="D1715" s="284"/>
      <c r="E1715" s="284"/>
      <c r="F1715" s="284"/>
      <c r="G1715" s="284"/>
      <c r="H1715" s="284"/>
      <c r="I1715" s="284"/>
      <c r="J1715" s="284"/>
      <c r="K1715" s="284"/>
      <c r="L1715" s="284"/>
      <c r="M1715" s="284"/>
      <c r="N1715" s="284"/>
      <c r="O1715" s="336"/>
      <c r="P1715" s="336"/>
      <c r="Q1715" s="694"/>
      <c r="R1715" s="694"/>
      <c r="S1715" s="729"/>
      <c r="T1715" s="729"/>
      <c r="U1715" s="694"/>
      <c r="V1715" s="694"/>
      <c r="W1715" s="694"/>
      <c r="X1715" s="694"/>
      <c r="Y1715" s="694"/>
      <c r="Z1715" s="729"/>
      <c r="AA1715" s="729"/>
      <c r="AB1715" s="729"/>
      <c r="AC1715" s="694"/>
      <c r="AD1715" s="694"/>
      <c r="AE1715" s="343"/>
      <c r="AF1715" s="343"/>
      <c r="AG1715" s="343"/>
      <c r="AH1715" s="343"/>
      <c r="AI1715" s="343"/>
      <c r="AJ1715" s="343"/>
      <c r="AK1715" s="343"/>
      <c r="AL1715" s="343"/>
      <c r="AM1715" s="343"/>
    </row>
    <row r="1716" spans="1:39" ht="14" x14ac:dyDescent="0.3">
      <c r="A1716" s="729" t="str">
        <f>IF(MATCH(I1694,EUconst_FallBackListNames,0)=4,"ausblenden","")</f>
        <v/>
      </c>
      <c r="B1716" s="698"/>
      <c r="C1716" s="590"/>
      <c r="D1716" s="2323" t="str">
        <f>Translations!$B$495</f>
        <v>Данни за производството</v>
      </c>
      <c r="E1716" s="2249"/>
      <c r="F1716" s="2249"/>
      <c r="G1716" s="2249"/>
      <c r="H1716" s="2249"/>
      <c r="I1716" s="2249"/>
      <c r="J1716" s="2249"/>
      <c r="K1716" s="2249"/>
      <c r="L1716" s="2249"/>
      <c r="M1716" s="2249"/>
      <c r="N1716" s="2249"/>
      <c r="O1716" s="336"/>
      <c r="P1716" s="336"/>
      <c r="Q1716" s="694"/>
      <c r="R1716" s="694"/>
      <c r="S1716" s="694"/>
      <c r="T1716" s="694"/>
      <c r="U1716" s="694"/>
      <c r="V1716" s="694"/>
      <c r="W1716" s="694"/>
      <c r="X1716" s="694"/>
      <c r="Y1716" s="694"/>
      <c r="Z1716" s="729"/>
      <c r="AA1716" s="729"/>
      <c r="AB1716" s="729"/>
      <c r="AC1716" s="694"/>
      <c r="AD1716" s="694"/>
      <c r="AE1716" s="343"/>
      <c r="AF1716" s="343"/>
      <c r="AG1716" s="343"/>
      <c r="AH1716" s="343"/>
      <c r="AI1716" s="343"/>
      <c r="AJ1716" s="343"/>
      <c r="AK1716" s="343"/>
      <c r="AL1716" s="343"/>
      <c r="AM1716" s="343"/>
    </row>
    <row r="1717" spans="1:39" ht="5.15" customHeight="1" x14ac:dyDescent="0.25">
      <c r="A1717" s="729" t="str">
        <f>A1716</f>
        <v/>
      </c>
      <c r="B1717" s="284"/>
      <c r="C1717" s="284"/>
      <c r="D1717" s="284"/>
      <c r="E1717" s="284"/>
      <c r="F1717" s="284"/>
      <c r="G1717" s="284"/>
      <c r="H1717" s="284"/>
      <c r="I1717" s="284"/>
      <c r="J1717" s="284"/>
      <c r="K1717" s="284"/>
      <c r="L1717" s="284"/>
      <c r="M1717" s="284"/>
      <c r="N1717" s="284"/>
      <c r="O1717" s="336"/>
      <c r="P1717" s="336"/>
      <c r="Q1717" s="770"/>
      <c r="R1717" s="770"/>
      <c r="S1717" s="694"/>
      <c r="T1717" s="694"/>
      <c r="U1717" s="694"/>
      <c r="V1717" s="694"/>
      <c r="W1717" s="694"/>
      <c r="X1717" s="694"/>
      <c r="Y1717" s="694"/>
      <c r="Z1717" s="729"/>
      <c r="AA1717" s="729"/>
      <c r="AB1717" s="729"/>
      <c r="AC1717" s="694"/>
      <c r="AD1717" s="694"/>
      <c r="AE1717" s="343"/>
      <c r="AF1717" s="343"/>
      <c r="AG1717" s="343"/>
      <c r="AH1717" s="343"/>
      <c r="AI1717" s="343"/>
      <c r="AJ1717" s="343"/>
      <c r="AK1717" s="343"/>
      <c r="AL1717" s="343"/>
      <c r="AM1717" s="343"/>
    </row>
    <row r="1718" spans="1:39" ht="12.75" customHeight="1" x14ac:dyDescent="0.25">
      <c r="A1718" s="729" t="str">
        <f t="shared" ref="A1718:A1719" si="2478">A1717</f>
        <v/>
      </c>
      <c r="B1718" s="284"/>
      <c r="C1718" s="300"/>
      <c r="D1718" s="300" t="s">
        <v>901</v>
      </c>
      <c r="E1718" s="2226" t="str">
        <f>Translations!$B$616</f>
        <v>Определяне на съответните продукти или услуги, свързани с тази подинсталация</v>
      </c>
      <c r="F1718" s="2249"/>
      <c r="G1718" s="2249"/>
      <c r="H1718" s="2249"/>
      <c r="I1718" s="2249"/>
      <c r="J1718" s="2249"/>
      <c r="K1718" s="2249"/>
      <c r="L1718" s="2249"/>
      <c r="M1718" s="2249"/>
      <c r="N1718" s="2249"/>
      <c r="O1718" s="336"/>
      <c r="P1718" s="336"/>
      <c r="Q1718" s="770"/>
      <c r="R1718" s="694"/>
      <c r="S1718" s="694"/>
      <c r="T1718" s="694"/>
      <c r="U1718" s="694"/>
      <c r="V1718" s="694"/>
      <c r="W1718" s="694"/>
      <c r="X1718" s="694"/>
      <c r="Y1718" s="694"/>
      <c r="Z1718" s="694"/>
      <c r="AA1718" s="694"/>
      <c r="AB1718" s="729"/>
      <c r="AC1718" s="694"/>
      <c r="AD1718" s="694"/>
      <c r="AE1718" s="343"/>
      <c r="AF1718" s="343"/>
      <c r="AG1718" s="343"/>
      <c r="AH1718" s="343"/>
      <c r="AI1718" s="343"/>
      <c r="AJ1718" s="343"/>
      <c r="AK1718" s="343"/>
      <c r="AL1718" s="343"/>
      <c r="AM1718" s="343"/>
    </row>
    <row r="1719" spans="1:39" ht="12.75" customHeight="1" x14ac:dyDescent="0.25">
      <c r="A1719" s="729" t="str">
        <f t="shared" si="2478"/>
        <v/>
      </c>
      <c r="B1719" s="284"/>
      <c r="C1719" s="302"/>
      <c r="D1719" s="302"/>
      <c r="E1719" s="2358" t="str">
        <f>Translations!$B$1560</f>
        <v>Моля, посочете тук към кои производствени процеси или услуги има отношение тази подинсталация.</v>
      </c>
      <c r="F1719" s="2249"/>
      <c r="G1719" s="2249"/>
      <c r="H1719" s="2249"/>
      <c r="I1719" s="2249"/>
      <c r="J1719" s="2249"/>
      <c r="K1719" s="2249"/>
      <c r="L1719" s="2249"/>
      <c r="M1719" s="2249"/>
      <c r="N1719" s="2249"/>
      <c r="O1719" s="336"/>
      <c r="P1719" s="336"/>
      <c r="Q1719" s="770"/>
      <c r="R1719" s="770"/>
      <c r="S1719" s="770"/>
      <c r="T1719" s="770"/>
      <c r="U1719" s="770"/>
      <c r="V1719" s="770"/>
      <c r="W1719" s="770"/>
      <c r="X1719" s="770"/>
      <c r="Y1719" s="770"/>
      <c r="Z1719" s="770"/>
      <c r="AA1719" s="770"/>
      <c r="AB1719" s="729"/>
      <c r="AC1719" s="694"/>
      <c r="AD1719" s="694"/>
      <c r="AE1719" s="343"/>
      <c r="AF1719" s="343"/>
      <c r="AG1719" s="343"/>
      <c r="AH1719" s="343"/>
      <c r="AI1719" s="343"/>
      <c r="AJ1719" s="343"/>
      <c r="AK1719" s="343"/>
      <c r="AL1719" s="343"/>
      <c r="AM1719" s="343"/>
    </row>
    <row r="1720" spans="1:39" ht="25.5" customHeight="1" x14ac:dyDescent="0.25">
      <c r="A1720" s="729"/>
      <c r="B1720" s="284"/>
      <c r="C1720" s="302"/>
      <c r="D1720" s="302"/>
      <c r="E1720" s="2358" t="str">
        <f>Translations!$B$497</f>
        <v>Кодовете по Продком се въвеждат като низове във вида „nnnnnnnn“, т.е. без точки или други разделителни знаци между тях. Само когато липсва код по Продком, се посочва 4-цифрения код по статистическата класификация на икономическите дейности в Европейския съюз (NACE) във вида „nnnn“.</v>
      </c>
      <c r="F1720" s="2249"/>
      <c r="G1720" s="2249"/>
      <c r="H1720" s="2249"/>
      <c r="I1720" s="2249"/>
      <c r="J1720" s="2249"/>
      <c r="K1720" s="2249"/>
      <c r="L1720" s="2249"/>
      <c r="M1720" s="2249"/>
      <c r="N1720" s="2249"/>
      <c r="O1720" s="336"/>
      <c r="P1720" s="336"/>
      <c r="Q1720" s="770"/>
      <c r="R1720" s="694"/>
      <c r="S1720" s="694"/>
      <c r="T1720" s="694"/>
      <c r="U1720" s="694"/>
      <c r="V1720" s="694"/>
      <c r="W1720" s="694"/>
      <c r="X1720" s="694"/>
      <c r="Y1720" s="694"/>
      <c r="Z1720" s="694"/>
      <c r="AA1720" s="694"/>
      <c r="AB1720" s="729"/>
      <c r="AC1720" s="694"/>
      <c r="AD1720" s="694"/>
      <c r="AE1720" s="343"/>
      <c r="AF1720" s="343"/>
      <c r="AG1720" s="343"/>
      <c r="AH1720" s="343"/>
      <c r="AI1720" s="343"/>
      <c r="AJ1720" s="343"/>
      <c r="AK1720" s="343"/>
      <c r="AL1720" s="343"/>
      <c r="AM1720" s="343"/>
    </row>
    <row r="1721" spans="1:39" ht="12.75" customHeight="1" x14ac:dyDescent="0.25">
      <c r="A1721" s="729"/>
      <c r="B1721" s="284"/>
      <c r="C1721" s="302"/>
      <c r="D1721" s="302"/>
      <c r="E1721" s="2358" t="str">
        <f>Translations!$B$498</f>
        <v>Продком списъкът за 2010 г. може да се намери на адрес: http://ec.europa.eu/eurostat/ramon/nomenclatures/index.cfm?TargetUrl=LST_CLS_DLD&amp;StrNom=PRD_2010&amp;StrLanguageCode=EN&amp;StrLayoutCode=HIERARCHIChttp://ec.europa.eu/eurostat/ramon/nomenclatures/index.cfm?TargetUrl=LST_CLS_DLD&amp;StrNom=PRD_2010&amp;StrLanguageCode=EN&amp;StrLayoutCode=HIERARCHIC</v>
      </c>
      <c r="F1721" s="2249"/>
      <c r="G1721" s="2249"/>
      <c r="H1721" s="2249"/>
      <c r="I1721" s="2249"/>
      <c r="J1721" s="2249"/>
      <c r="K1721" s="2249"/>
      <c r="L1721" s="2249"/>
      <c r="M1721" s="2249"/>
      <c r="N1721" s="2249"/>
      <c r="O1721" s="336"/>
      <c r="P1721" s="336"/>
      <c r="Q1721" s="770"/>
      <c r="R1721" s="694"/>
      <c r="S1721" s="694"/>
      <c r="T1721" s="694"/>
      <c r="U1721" s="694"/>
      <c r="V1721" s="694"/>
      <c r="W1721" s="694"/>
      <c r="X1721" s="694"/>
      <c r="Y1721" s="694"/>
      <c r="Z1721" s="694"/>
      <c r="AA1721" s="694"/>
      <c r="AB1721" s="729"/>
      <c r="AC1721" s="694"/>
      <c r="AD1721" s="694"/>
      <c r="AE1721" s="343"/>
      <c r="AF1721" s="343"/>
      <c r="AG1721" s="343"/>
      <c r="AH1721" s="343"/>
      <c r="AI1721" s="343"/>
      <c r="AJ1721" s="343"/>
      <c r="AK1721" s="343"/>
      <c r="AL1721" s="343"/>
      <c r="AM1721" s="343"/>
    </row>
    <row r="1722" spans="1:39" ht="12.75" customHeight="1" x14ac:dyDescent="0.25">
      <c r="A1722" s="729"/>
      <c r="B1722" s="284"/>
      <c r="C1722" s="302"/>
      <c r="D1722" s="302"/>
      <c r="E1722" s="2855" t="str">
        <f>Translations!$B$1532</f>
        <v>https://eur-lex.europa.eu/eli/reg/2010/860/oj</v>
      </c>
      <c r="F1722" s="2899"/>
      <c r="G1722" s="2899"/>
      <c r="H1722" s="2899"/>
      <c r="I1722" s="2899"/>
      <c r="J1722" s="2899"/>
      <c r="K1722" s="2899"/>
      <c r="L1722" s="2899"/>
      <c r="M1722" s="2899"/>
      <c r="N1722" s="2899"/>
      <c r="O1722" s="336"/>
      <c r="P1722" s="336"/>
      <c r="Q1722" s="770"/>
      <c r="R1722" s="694"/>
      <c r="S1722" s="694"/>
      <c r="T1722" s="694"/>
      <c r="U1722" s="694"/>
      <c r="V1722" s="694"/>
      <c r="W1722" s="694"/>
      <c r="X1722" s="694"/>
      <c r="Y1722" s="694"/>
      <c r="Z1722" s="694"/>
      <c r="AA1722" s="694"/>
      <c r="AB1722" s="729"/>
      <c r="AC1722" s="694"/>
      <c r="AD1722" s="694"/>
      <c r="AE1722" s="343"/>
      <c r="AF1722" s="343"/>
      <c r="AG1722" s="343"/>
      <c r="AH1722" s="343"/>
      <c r="AI1722" s="343"/>
      <c r="AJ1722" s="343"/>
      <c r="AK1722" s="343"/>
      <c r="AL1722" s="343"/>
      <c r="AM1722" s="343"/>
    </row>
    <row r="1723" spans="1:39" ht="12.75" customHeight="1" x14ac:dyDescent="0.25">
      <c r="A1723" s="729"/>
      <c r="B1723" s="284"/>
      <c r="C1723" s="302"/>
      <c r="D1723" s="302"/>
      <c r="E1723" s="2358" t="str">
        <f>Translations!$B$621</f>
        <v>Ако са обхванати няколко подобни продукта в рамките на една група по NACE, могат да се използват кодовете по NACE вместо по Продком.</v>
      </c>
      <c r="F1723" s="2249"/>
      <c r="G1723" s="2249"/>
      <c r="H1723" s="2249"/>
      <c r="I1723" s="2249"/>
      <c r="J1723" s="2249"/>
      <c r="K1723" s="2249"/>
      <c r="L1723" s="2249"/>
      <c r="M1723" s="2249"/>
      <c r="N1723" s="2249"/>
      <c r="O1723" s="336"/>
      <c r="P1723" s="336"/>
      <c r="Q1723" s="770"/>
      <c r="R1723" s="770"/>
      <c r="S1723" s="770"/>
      <c r="T1723" s="770"/>
      <c r="U1723" s="770"/>
      <c r="V1723" s="770"/>
      <c r="W1723" s="770"/>
      <c r="X1723" s="770"/>
      <c r="Y1723" s="770"/>
      <c r="Z1723" s="694"/>
      <c r="AA1723" s="694"/>
      <c r="AB1723" s="729"/>
      <c r="AC1723" s="694"/>
      <c r="AD1723" s="694"/>
      <c r="AE1723" s="343"/>
      <c r="AF1723" s="343"/>
      <c r="AG1723" s="343"/>
      <c r="AH1723" s="343"/>
      <c r="AI1723" s="343"/>
      <c r="AJ1723" s="343"/>
      <c r="AK1723" s="343"/>
      <c r="AL1723" s="343"/>
      <c r="AM1723" s="343"/>
    </row>
    <row r="1724" spans="1:39" ht="12.75" customHeight="1" x14ac:dyDescent="0.25">
      <c r="A1724" s="729"/>
      <c r="B1724" s="284"/>
      <c r="C1724" s="302"/>
      <c r="D1724" s="302"/>
      <c r="E1724" s="2358" t="str">
        <f>Translations!$B$1520</f>
        <v>Кодовете по КН са кодовете съгласно Регламент (ЕИО) № 2658/87, които са на разположение на следния адрес:</v>
      </c>
      <c r="F1724" s="2249"/>
      <c r="G1724" s="2249"/>
      <c r="H1724" s="2249"/>
      <c r="I1724" s="2249"/>
      <c r="J1724" s="2249"/>
      <c r="K1724" s="2249"/>
      <c r="L1724" s="2249"/>
      <c r="M1724" s="2249"/>
      <c r="N1724" s="2249"/>
      <c r="O1724" s="336"/>
      <c r="P1724" s="336"/>
      <c r="Q1724" s="770"/>
      <c r="R1724" s="770"/>
      <c r="S1724" s="770"/>
      <c r="T1724" s="770"/>
      <c r="U1724" s="770"/>
      <c r="V1724" s="770"/>
      <c r="W1724" s="770"/>
      <c r="X1724" s="770"/>
      <c r="Y1724" s="770"/>
      <c r="Z1724" s="694"/>
      <c r="AA1724" s="694"/>
      <c r="AB1724" s="729"/>
      <c r="AC1724" s="694"/>
      <c r="AD1724" s="694"/>
      <c r="AE1724" s="343"/>
      <c r="AF1724" s="343"/>
      <c r="AG1724" s="343"/>
      <c r="AH1724" s="343"/>
      <c r="AI1724" s="343"/>
      <c r="AJ1724" s="343"/>
      <c r="AK1724" s="343"/>
      <c r="AL1724" s="343"/>
      <c r="AM1724" s="343"/>
    </row>
    <row r="1725" spans="1:39" ht="12.75" customHeight="1" x14ac:dyDescent="0.25">
      <c r="A1725" s="729"/>
      <c r="B1725" s="284"/>
      <c r="C1725" s="302"/>
      <c r="D1725" s="302"/>
      <c r="E1725" s="2855" t="str">
        <f>Translations!$B$1521</f>
        <v>https://eur-lex.europa.eu/eli/reg/1987/2658/2023-06-17</v>
      </c>
      <c r="F1725" s="2899"/>
      <c r="G1725" s="2899"/>
      <c r="H1725" s="2899"/>
      <c r="I1725" s="2899"/>
      <c r="J1725" s="2899"/>
      <c r="K1725" s="2899"/>
      <c r="L1725" s="2899"/>
      <c r="M1725" s="2899"/>
      <c r="N1725" s="2899"/>
      <c r="O1725" s="336"/>
      <c r="P1725" s="336"/>
      <c r="Q1725" s="770"/>
      <c r="R1725" s="770"/>
      <c r="S1725" s="770"/>
      <c r="T1725" s="770"/>
      <c r="U1725" s="770"/>
      <c r="V1725" s="770"/>
      <c r="W1725" s="770"/>
      <c r="X1725" s="770"/>
      <c r="Y1725" s="770"/>
      <c r="Z1725" s="694"/>
      <c r="AA1725" s="694"/>
      <c r="AB1725" s="729"/>
      <c r="AC1725" s="694"/>
      <c r="AD1725" s="694"/>
      <c r="AE1725" s="343"/>
      <c r="AF1725" s="343"/>
      <c r="AG1725" s="343"/>
      <c r="AH1725" s="343"/>
      <c r="AI1725" s="343"/>
      <c r="AJ1725" s="343"/>
      <c r="AK1725" s="343"/>
      <c r="AL1725" s="343"/>
      <c r="AM1725" s="343"/>
    </row>
    <row r="1726" spans="1:39" ht="5.15" customHeight="1" x14ac:dyDescent="0.25">
      <c r="A1726" s="729"/>
      <c r="B1726" s="284"/>
      <c r="C1726" s="302"/>
      <c r="D1726" s="302"/>
      <c r="E1726" s="460"/>
      <c r="F1726" s="460"/>
      <c r="G1726" s="460"/>
      <c r="H1726" s="460"/>
      <c r="I1726" s="460"/>
      <c r="J1726" s="329"/>
      <c r="K1726" s="329"/>
      <c r="L1726" s="329"/>
      <c r="M1726" s="336"/>
      <c r="N1726" s="336"/>
      <c r="O1726" s="336"/>
      <c r="P1726" s="336"/>
      <c r="Q1726" s="770"/>
      <c r="R1726" s="694"/>
      <c r="S1726" s="694"/>
      <c r="T1726" s="694"/>
      <c r="U1726" s="694"/>
      <c r="V1726" s="694"/>
      <c r="W1726" s="694"/>
      <c r="X1726" s="694"/>
      <c r="Y1726" s="694"/>
      <c r="Z1726" s="694"/>
      <c r="AA1726" s="694"/>
      <c r="AB1726" s="729"/>
      <c r="AC1726" s="694"/>
      <c r="AD1726" s="694"/>
      <c r="AE1726" s="343"/>
      <c r="AF1726" s="343"/>
      <c r="AG1726" s="343"/>
      <c r="AH1726" s="343"/>
      <c r="AI1726" s="343"/>
      <c r="AJ1726" s="343"/>
      <c r="AK1726" s="343"/>
      <c r="AL1726" s="343"/>
      <c r="AM1726" s="343"/>
    </row>
    <row r="1727" spans="1:39" ht="25.5" customHeight="1" x14ac:dyDescent="0.25">
      <c r="A1727" s="729"/>
      <c r="B1727" s="698"/>
      <c r="C1727" s="300"/>
      <c r="D1727" s="1014"/>
      <c r="E1727" s="2900" t="str">
        <f>Translations!$B$1561</f>
        <v>Вид технологични емисии</v>
      </c>
      <c r="F1727" s="2901"/>
      <c r="G1727" s="2902" t="str">
        <f>Translations!$B$1557</f>
        <v>Име на продукт или вид услуга</v>
      </c>
      <c r="H1727" s="2463"/>
      <c r="I1727" s="2463"/>
      <c r="J1727" s="2463"/>
      <c r="K1727" s="2463"/>
      <c r="L1727" s="2699"/>
      <c r="M1727" s="1277" t="str">
        <f>Translations!$B$1522</f>
        <v>ПРОДКОМ за 2010 г.</v>
      </c>
      <c r="N1727" s="1277" t="str">
        <f>Translations!$B$1523</f>
        <v>Код по КН</v>
      </c>
      <c r="O1727" s="336"/>
      <c r="P1727" s="336"/>
      <c r="Q1727" s="694"/>
      <c r="R1727" s="694"/>
      <c r="S1727" s="1390" t="s">
        <v>1990</v>
      </c>
      <c r="T1727" s="694"/>
      <c r="U1727" s="694"/>
      <c r="V1727" s="694"/>
      <c r="W1727" s="694"/>
      <c r="X1727" s="694"/>
      <c r="Y1727" s="694"/>
      <c r="Z1727" s="770"/>
      <c r="AA1727" s="770"/>
      <c r="AB1727" s="729"/>
      <c r="AC1727" s="694"/>
      <c r="AD1727" s="694"/>
      <c r="AE1727" s="343"/>
      <c r="AF1727" s="343"/>
      <c r="AG1727" s="343"/>
      <c r="AH1727" s="343"/>
      <c r="AI1727" s="343"/>
      <c r="AJ1727" s="343"/>
      <c r="AK1727" s="343"/>
      <c r="AL1727" s="343"/>
      <c r="AM1727" s="343"/>
    </row>
    <row r="1728" spans="1:39" ht="12.75" customHeight="1" x14ac:dyDescent="0.25">
      <c r="A1728" s="729"/>
      <c r="B1728" s="698"/>
      <c r="C1728" s="773"/>
      <c r="D1728" s="981">
        <v>1</v>
      </c>
      <c r="E1728" s="2420"/>
      <c r="F1728" s="2421"/>
      <c r="G1728" s="2903"/>
      <c r="H1728" s="2904"/>
      <c r="I1728" s="2904"/>
      <c r="J1728" s="2904"/>
      <c r="K1728" s="2904"/>
      <c r="L1728" s="2905"/>
      <c r="M1728" s="221"/>
      <c r="N1728" s="221"/>
      <c r="O1728" s="336"/>
      <c r="P1728" s="158"/>
      <c r="Q1728" s="694"/>
      <c r="R1728" s="1174"/>
      <c r="S1728" s="982" t="b">
        <f>TRUE</f>
        <v>1</v>
      </c>
      <c r="T1728" s="1411" t="s">
        <v>2078</v>
      </c>
      <c r="U1728" s="694"/>
      <c r="V1728" s="694"/>
      <c r="W1728" s="694"/>
      <c r="X1728" s="694"/>
      <c r="Y1728" s="694"/>
      <c r="Z1728" s="694"/>
      <c r="AA1728" s="694"/>
      <c r="AB1728" s="729"/>
      <c r="AC1728" s="694"/>
      <c r="AD1728" s="694"/>
      <c r="AE1728" s="343"/>
      <c r="AF1728" s="343"/>
      <c r="AG1728" s="343"/>
      <c r="AH1728" s="343"/>
      <c r="AI1728" s="343"/>
      <c r="AJ1728" s="343"/>
      <c r="AK1728" s="1174" t="s">
        <v>2039</v>
      </c>
      <c r="AL1728" s="1176" t="str">
        <f>IF(AND($M1694=EUconst_Relevant,COUNTA(E1728:N1728)&lt;IF(C1694=9,2,4)),EUconst_Error&amp;"FB"&amp;Q1694,"")</f>
        <v/>
      </c>
      <c r="AM1728" s="343"/>
    </row>
    <row r="1729" spans="1:39" ht="12.75" customHeight="1" x14ac:dyDescent="0.25">
      <c r="A1729" s="729"/>
      <c r="B1729" s="698"/>
      <c r="C1729" s="773"/>
      <c r="D1729" s="990">
        <f>D1728+1</f>
        <v>2</v>
      </c>
      <c r="E1729" s="2406"/>
      <c r="F1729" s="2405"/>
      <c r="G1729" s="2913"/>
      <c r="H1729" s="2914"/>
      <c r="I1729" s="2914"/>
      <c r="J1729" s="2914"/>
      <c r="K1729" s="2914"/>
      <c r="L1729" s="2915"/>
      <c r="M1729" s="224"/>
      <c r="N1729" s="224"/>
      <c r="O1729" s="336"/>
      <c r="P1729" s="158"/>
      <c r="Q1729" s="694"/>
      <c r="R1729" s="694"/>
      <c r="S1729" s="982" t="b">
        <f>TRUE</f>
        <v>1</v>
      </c>
      <c r="T1729" s="694"/>
      <c r="U1729" s="694"/>
      <c r="V1729" s="694"/>
      <c r="W1729" s="694"/>
      <c r="X1729" s="694"/>
      <c r="Y1729" s="694"/>
      <c r="Z1729" s="694"/>
      <c r="AA1729" s="694"/>
      <c r="AB1729" s="729"/>
      <c r="AC1729" s="694"/>
      <c r="AD1729" s="694"/>
      <c r="AE1729" s="343"/>
      <c r="AF1729" s="343"/>
      <c r="AG1729" s="343"/>
      <c r="AH1729" s="343"/>
      <c r="AI1729" s="343"/>
      <c r="AJ1729" s="343"/>
      <c r="AK1729" s="343"/>
      <c r="AL1729" s="343"/>
      <c r="AM1729" s="343"/>
    </row>
    <row r="1730" spans="1:39" ht="12.75" customHeight="1" x14ac:dyDescent="0.25">
      <c r="A1730" s="729"/>
      <c r="B1730" s="698"/>
      <c r="C1730" s="773"/>
      <c r="D1730" s="990">
        <f t="shared" ref="D1730:D1737" si="2479">D1729+1</f>
        <v>3</v>
      </c>
      <c r="E1730" s="2406"/>
      <c r="F1730" s="2405"/>
      <c r="G1730" s="2913"/>
      <c r="H1730" s="2914"/>
      <c r="I1730" s="2914"/>
      <c r="J1730" s="2914"/>
      <c r="K1730" s="2914"/>
      <c r="L1730" s="2915"/>
      <c r="M1730" s="224"/>
      <c r="N1730" s="224"/>
      <c r="O1730" s="336"/>
      <c r="P1730" s="158"/>
      <c r="Q1730" s="694"/>
      <c r="R1730" s="694"/>
      <c r="S1730" s="982" t="b">
        <f>TRUE</f>
        <v>1</v>
      </c>
      <c r="T1730" s="694"/>
      <c r="U1730" s="694"/>
      <c r="V1730" s="694"/>
      <c r="W1730" s="694"/>
      <c r="X1730" s="694"/>
      <c r="Y1730" s="694"/>
      <c r="Z1730" s="694"/>
      <c r="AA1730" s="694"/>
      <c r="AB1730" s="729"/>
      <c r="AC1730" s="694"/>
      <c r="AD1730" s="694"/>
      <c r="AE1730" s="343"/>
      <c r="AF1730" s="343"/>
      <c r="AG1730" s="343"/>
      <c r="AH1730" s="343"/>
      <c r="AI1730" s="343"/>
      <c r="AJ1730" s="343"/>
      <c r="AK1730" s="343"/>
      <c r="AL1730" s="343"/>
      <c r="AM1730" s="343"/>
    </row>
    <row r="1731" spans="1:39" ht="12.75" customHeight="1" x14ac:dyDescent="0.25">
      <c r="A1731" s="729"/>
      <c r="B1731" s="698"/>
      <c r="C1731" s="773"/>
      <c r="D1731" s="990">
        <f t="shared" si="2479"/>
        <v>4</v>
      </c>
      <c r="E1731" s="2406"/>
      <c r="F1731" s="2405"/>
      <c r="G1731" s="2913"/>
      <c r="H1731" s="2914"/>
      <c r="I1731" s="2914"/>
      <c r="J1731" s="2914"/>
      <c r="K1731" s="2914"/>
      <c r="L1731" s="2915"/>
      <c r="M1731" s="222"/>
      <c r="N1731" s="222"/>
      <c r="O1731" s="336"/>
      <c r="P1731" s="158"/>
      <c r="Q1731" s="694"/>
      <c r="R1731" s="694"/>
      <c r="S1731" s="982" t="b">
        <f>TRUE</f>
        <v>1</v>
      </c>
      <c r="T1731" s="694"/>
      <c r="U1731" s="694"/>
      <c r="V1731" s="694"/>
      <c r="W1731" s="694"/>
      <c r="X1731" s="694"/>
      <c r="Y1731" s="694"/>
      <c r="Z1731" s="694"/>
      <c r="AA1731" s="694"/>
      <c r="AB1731" s="729"/>
      <c r="AC1731" s="694"/>
      <c r="AD1731" s="694"/>
      <c r="AE1731" s="343"/>
      <c r="AF1731" s="343"/>
      <c r="AG1731" s="343"/>
      <c r="AH1731" s="343"/>
      <c r="AI1731" s="343"/>
      <c r="AJ1731" s="343"/>
      <c r="AK1731" s="343"/>
      <c r="AL1731" s="343"/>
      <c r="AM1731" s="343"/>
    </row>
    <row r="1732" spans="1:39" ht="12.75" customHeight="1" x14ac:dyDescent="0.25">
      <c r="A1732" s="729"/>
      <c r="B1732" s="698"/>
      <c r="C1732" s="773"/>
      <c r="D1732" s="990">
        <f t="shared" si="2479"/>
        <v>5</v>
      </c>
      <c r="E1732" s="2406"/>
      <c r="F1732" s="2405"/>
      <c r="G1732" s="2913"/>
      <c r="H1732" s="2914"/>
      <c r="I1732" s="2914"/>
      <c r="J1732" s="2914"/>
      <c r="K1732" s="2914"/>
      <c r="L1732" s="2915"/>
      <c r="M1732" s="222"/>
      <c r="N1732" s="222"/>
      <c r="O1732" s="336"/>
      <c r="P1732" s="158"/>
      <c r="Q1732" s="694"/>
      <c r="R1732" s="694"/>
      <c r="S1732" s="982" t="b">
        <f>TRUE</f>
        <v>1</v>
      </c>
      <c r="T1732" s="694"/>
      <c r="U1732" s="694"/>
      <c r="V1732" s="694"/>
      <c r="W1732" s="694"/>
      <c r="X1732" s="694"/>
      <c r="Y1732" s="694"/>
      <c r="Z1732" s="770"/>
      <c r="AA1732" s="770"/>
      <c r="AB1732" s="729"/>
      <c r="AC1732" s="694"/>
      <c r="AD1732" s="694"/>
      <c r="AE1732" s="343"/>
      <c r="AF1732" s="343"/>
      <c r="AG1732" s="343"/>
      <c r="AH1732" s="343"/>
      <c r="AI1732" s="343"/>
      <c r="AJ1732" s="343"/>
      <c r="AK1732" s="343"/>
      <c r="AL1732" s="343"/>
      <c r="AM1732" s="343"/>
    </row>
    <row r="1733" spans="1:39" ht="12.75" customHeight="1" x14ac:dyDescent="0.25">
      <c r="A1733" s="729"/>
      <c r="B1733" s="698"/>
      <c r="C1733" s="773"/>
      <c r="D1733" s="990">
        <f t="shared" si="2479"/>
        <v>6</v>
      </c>
      <c r="E1733" s="2406"/>
      <c r="F1733" s="2405"/>
      <c r="G1733" s="2907"/>
      <c r="H1733" s="2908"/>
      <c r="I1733" s="2908"/>
      <c r="J1733" s="2908"/>
      <c r="K1733" s="2908"/>
      <c r="L1733" s="2909"/>
      <c r="M1733" s="222"/>
      <c r="N1733" s="222"/>
      <c r="O1733" s="336"/>
      <c r="P1733" s="158"/>
      <c r="Q1733" s="694"/>
      <c r="R1733" s="694"/>
      <c r="S1733" s="982" t="b">
        <f>TRUE</f>
        <v>1</v>
      </c>
      <c r="T1733" s="694"/>
      <c r="U1733" s="694"/>
      <c r="V1733" s="694"/>
      <c r="W1733" s="694"/>
      <c r="X1733" s="694"/>
      <c r="Y1733" s="694"/>
      <c r="Z1733" s="694"/>
      <c r="AA1733" s="694"/>
      <c r="AB1733" s="729"/>
      <c r="AC1733" s="694"/>
      <c r="AD1733" s="694"/>
      <c r="AE1733" s="343"/>
      <c r="AF1733" s="343"/>
      <c r="AG1733" s="343"/>
      <c r="AH1733" s="343"/>
      <c r="AI1733" s="343"/>
      <c r="AJ1733" s="343"/>
      <c r="AK1733" s="343"/>
      <c r="AL1733" s="343"/>
      <c r="AM1733" s="343"/>
    </row>
    <row r="1734" spans="1:39" ht="12.75" customHeight="1" x14ac:dyDescent="0.25">
      <c r="A1734" s="729"/>
      <c r="B1734" s="698"/>
      <c r="C1734" s="773"/>
      <c r="D1734" s="990">
        <f t="shared" si="2479"/>
        <v>7</v>
      </c>
      <c r="E1734" s="2406"/>
      <c r="F1734" s="2405"/>
      <c r="G1734" s="2907"/>
      <c r="H1734" s="2908"/>
      <c r="I1734" s="2908"/>
      <c r="J1734" s="2908"/>
      <c r="K1734" s="2908"/>
      <c r="L1734" s="2909"/>
      <c r="M1734" s="222"/>
      <c r="N1734" s="222"/>
      <c r="O1734" s="336"/>
      <c r="P1734" s="158"/>
      <c r="Q1734" s="694"/>
      <c r="R1734" s="694"/>
      <c r="S1734" s="982" t="b">
        <f>TRUE</f>
        <v>1</v>
      </c>
      <c r="T1734" s="694"/>
      <c r="U1734" s="694"/>
      <c r="V1734" s="694"/>
      <c r="W1734" s="694"/>
      <c r="X1734" s="694"/>
      <c r="Y1734" s="694"/>
      <c r="Z1734" s="694"/>
      <c r="AA1734" s="694"/>
      <c r="AB1734" s="729"/>
      <c r="AC1734" s="694"/>
      <c r="AD1734" s="694"/>
      <c r="AE1734" s="343"/>
      <c r="AF1734" s="343"/>
      <c r="AG1734" s="343"/>
      <c r="AH1734" s="343"/>
      <c r="AI1734" s="343"/>
      <c r="AJ1734" s="343"/>
      <c r="AK1734" s="343"/>
      <c r="AL1734" s="343"/>
      <c r="AM1734" s="343"/>
    </row>
    <row r="1735" spans="1:39" ht="12.75" customHeight="1" x14ac:dyDescent="0.25">
      <c r="A1735" s="729"/>
      <c r="B1735" s="698"/>
      <c r="C1735" s="773"/>
      <c r="D1735" s="990">
        <f t="shared" si="2479"/>
        <v>8</v>
      </c>
      <c r="E1735" s="2406"/>
      <c r="F1735" s="2405"/>
      <c r="G1735" s="2907"/>
      <c r="H1735" s="2908"/>
      <c r="I1735" s="2908"/>
      <c r="J1735" s="2908"/>
      <c r="K1735" s="2908"/>
      <c r="L1735" s="2909"/>
      <c r="M1735" s="222"/>
      <c r="N1735" s="222"/>
      <c r="O1735" s="336"/>
      <c r="P1735" s="158"/>
      <c r="Q1735" s="694"/>
      <c r="R1735" s="694"/>
      <c r="S1735" s="982" t="b">
        <f>TRUE</f>
        <v>1</v>
      </c>
      <c r="T1735" s="694"/>
      <c r="U1735" s="694"/>
      <c r="V1735" s="694"/>
      <c r="W1735" s="694"/>
      <c r="X1735" s="694"/>
      <c r="Y1735" s="694"/>
      <c r="Z1735" s="694"/>
      <c r="AA1735" s="694"/>
      <c r="AB1735" s="729"/>
      <c r="AC1735" s="694"/>
      <c r="AD1735" s="694"/>
      <c r="AE1735" s="343"/>
      <c r="AF1735" s="343"/>
      <c r="AG1735" s="343"/>
      <c r="AH1735" s="343"/>
      <c r="AI1735" s="343"/>
      <c r="AJ1735" s="343"/>
      <c r="AK1735" s="343"/>
      <c r="AL1735" s="343"/>
      <c r="AM1735" s="343"/>
    </row>
    <row r="1736" spans="1:39" ht="12.75" customHeight="1" x14ac:dyDescent="0.25">
      <c r="A1736" s="729"/>
      <c r="B1736" s="698"/>
      <c r="C1736" s="773"/>
      <c r="D1736" s="990">
        <f t="shared" si="2479"/>
        <v>9</v>
      </c>
      <c r="E1736" s="2406"/>
      <c r="F1736" s="2405"/>
      <c r="G1736" s="2907"/>
      <c r="H1736" s="2908"/>
      <c r="I1736" s="2908"/>
      <c r="J1736" s="2908"/>
      <c r="K1736" s="2908"/>
      <c r="L1736" s="2909"/>
      <c r="M1736" s="222"/>
      <c r="N1736" s="222"/>
      <c r="O1736" s="336"/>
      <c r="P1736" s="158"/>
      <c r="Q1736" s="694"/>
      <c r="R1736" s="694"/>
      <c r="S1736" s="982" t="b">
        <f>TRUE</f>
        <v>1</v>
      </c>
      <c r="T1736" s="694"/>
      <c r="U1736" s="694"/>
      <c r="V1736" s="694"/>
      <c r="W1736" s="694"/>
      <c r="X1736" s="694"/>
      <c r="Y1736" s="694"/>
      <c r="Z1736" s="694"/>
      <c r="AA1736" s="694"/>
      <c r="AB1736" s="729"/>
      <c r="AC1736" s="694"/>
      <c r="AD1736" s="694"/>
      <c r="AE1736" s="343"/>
      <c r="AF1736" s="343"/>
      <c r="AG1736" s="343"/>
      <c r="AH1736" s="343"/>
      <c r="AI1736" s="343"/>
      <c r="AJ1736" s="343"/>
      <c r="AK1736" s="343"/>
      <c r="AL1736" s="343"/>
      <c r="AM1736" s="343"/>
    </row>
    <row r="1737" spans="1:39" ht="12.75" customHeight="1" x14ac:dyDescent="0.25">
      <c r="A1737" s="729"/>
      <c r="B1737" s="698"/>
      <c r="C1737" s="773"/>
      <c r="D1737" s="994">
        <f t="shared" si="2479"/>
        <v>10</v>
      </c>
      <c r="E1737" s="2417"/>
      <c r="F1737" s="2403"/>
      <c r="G1737" s="2910"/>
      <c r="H1737" s="2911"/>
      <c r="I1737" s="2911"/>
      <c r="J1737" s="2911"/>
      <c r="K1737" s="2911"/>
      <c r="L1737" s="2912"/>
      <c r="M1737" s="223"/>
      <c r="N1737" s="223"/>
      <c r="O1737" s="336"/>
      <c r="P1737" s="158"/>
      <c r="Q1737" s="694"/>
      <c r="R1737" s="694"/>
      <c r="S1737" s="982" t="b">
        <f>TRUE</f>
        <v>1</v>
      </c>
      <c r="T1737" s="694"/>
      <c r="U1737" s="694"/>
      <c r="V1737" s="694"/>
      <c r="W1737" s="694"/>
      <c r="X1737" s="694"/>
      <c r="Y1737" s="694"/>
      <c r="Z1737" s="770"/>
      <c r="AA1737" s="770"/>
      <c r="AB1737" s="729"/>
      <c r="AC1737" s="694"/>
      <c r="AD1737" s="694"/>
      <c r="AE1737" s="343"/>
      <c r="AF1737" s="343"/>
      <c r="AG1737" s="343"/>
      <c r="AH1737" s="343"/>
      <c r="AI1737" s="343"/>
      <c r="AJ1737" s="343"/>
      <c r="AK1737" s="343"/>
      <c r="AL1737" s="343"/>
      <c r="AM1737" s="343"/>
    </row>
    <row r="1738" spans="1:39" ht="5.15" customHeight="1" x14ac:dyDescent="0.25">
      <c r="A1738" s="729"/>
      <c r="B1738" s="284"/>
      <c r="C1738" s="284"/>
      <c r="D1738" s="284"/>
      <c r="E1738" s="284"/>
      <c r="F1738" s="284"/>
      <c r="G1738" s="284"/>
      <c r="H1738" s="284"/>
      <c r="I1738" s="284"/>
      <c r="J1738" s="284"/>
      <c r="K1738" s="284"/>
      <c r="L1738" s="284"/>
      <c r="M1738" s="284"/>
      <c r="N1738" s="284"/>
      <c r="O1738" s="336"/>
      <c r="P1738" s="336"/>
      <c r="Q1738" s="770"/>
      <c r="R1738" s="770"/>
      <c r="S1738" s="694"/>
      <c r="T1738" s="694"/>
      <c r="U1738" s="694"/>
      <c r="V1738" s="694"/>
      <c r="W1738" s="694"/>
      <c r="X1738" s="694"/>
      <c r="Y1738" s="694"/>
      <c r="Z1738" s="694"/>
      <c r="AA1738" s="694"/>
      <c r="AB1738" s="729"/>
      <c r="AC1738" s="694"/>
      <c r="AD1738" s="694"/>
      <c r="AE1738" s="343"/>
      <c r="AF1738" s="343"/>
      <c r="AG1738" s="343"/>
      <c r="AH1738" s="343"/>
      <c r="AI1738" s="343"/>
      <c r="AJ1738" s="343"/>
      <c r="AK1738" s="343"/>
      <c r="AL1738" s="343"/>
      <c r="AM1738" s="343"/>
    </row>
    <row r="1739" spans="1:39" ht="12.75" customHeight="1" x14ac:dyDescent="0.25">
      <c r="A1739" s="729"/>
      <c r="B1739" s="284"/>
      <c r="C1739" s="300"/>
      <c r="D1739" s="300"/>
      <c r="E1739" s="2226" t="str">
        <f>Translations!$B$625</f>
        <v>Равнища на производство:</v>
      </c>
      <c r="F1739" s="2249"/>
      <c r="G1739" s="2249"/>
      <c r="H1739" s="2249"/>
      <c r="I1739" s="2249"/>
      <c r="J1739" s="2249"/>
      <c r="K1739" s="2249"/>
      <c r="L1739" s="2249"/>
      <c r="M1739" s="2249"/>
      <c r="N1739" s="2249"/>
      <c r="O1739" s="336"/>
      <c r="P1739" s="336"/>
      <c r="Q1739" s="770"/>
      <c r="R1739" s="694"/>
      <c r="S1739" s="694"/>
      <c r="T1739" s="694"/>
      <c r="U1739" s="694"/>
      <c r="V1739" s="694"/>
      <c r="W1739" s="694"/>
      <c r="X1739" s="694"/>
      <c r="Y1739" s="694"/>
      <c r="Z1739" s="694"/>
      <c r="AA1739" s="694"/>
      <c r="AB1739" s="729"/>
      <c r="AC1739" s="694"/>
      <c r="AD1739" s="694"/>
      <c r="AE1739" s="343"/>
      <c r="AF1739" s="343"/>
      <c r="AG1739" s="343"/>
      <c r="AH1739" s="343"/>
      <c r="AI1739" s="343"/>
      <c r="AJ1739" s="343"/>
      <c r="AK1739" s="343"/>
      <c r="AL1739" s="343"/>
      <c r="AM1739" s="343"/>
    </row>
    <row r="1740" spans="1:39" ht="25.5" customHeight="1" x14ac:dyDescent="0.25">
      <c r="A1740" s="729"/>
      <c r="B1740" s="284"/>
      <c r="C1740" s="300"/>
      <c r="D1740" s="300"/>
      <c r="E1740" s="2358" t="str">
        <f>Translations!$B$1533</f>
        <v>Следва да се отбележи, че правилото за енергийната ефективност може да се приложи само в случай на производството на конкретен продукт. Следователно, ако за даден продукт не може да бъде определен код по ПРОДКОМ, това правило не може да се прилага и очакваните равнища на дейност ще бъдат равни на действителните равнища на дейност (т.е. ще се отчитат спрямо оставащото AL), без никаква корекция.</v>
      </c>
      <c r="F1740" s="2249"/>
      <c r="G1740" s="2249"/>
      <c r="H1740" s="2249"/>
      <c r="I1740" s="2249"/>
      <c r="J1740" s="2249"/>
      <c r="K1740" s="2249"/>
      <c r="L1740" s="2249"/>
      <c r="M1740" s="2249"/>
      <c r="N1740" s="2249"/>
      <c r="O1740" s="336"/>
      <c r="P1740" s="336"/>
      <c r="Q1740" s="770"/>
      <c r="R1740" s="694"/>
      <c r="S1740" s="694"/>
      <c r="T1740" s="694"/>
      <c r="U1740" s="694"/>
      <c r="V1740" s="694"/>
      <c r="W1740" s="694"/>
      <c r="X1740" s="694"/>
      <c r="Y1740" s="694"/>
      <c r="Z1740" s="694"/>
      <c r="AA1740" s="694"/>
      <c r="AB1740" s="729"/>
      <c r="AC1740" s="694"/>
      <c r="AD1740" s="694"/>
      <c r="AE1740" s="343"/>
      <c r="AF1740" s="343"/>
      <c r="AG1740" s="343"/>
      <c r="AH1740" s="343"/>
      <c r="AI1740" s="343"/>
      <c r="AJ1740" s="343"/>
      <c r="AK1740" s="343"/>
      <c r="AL1740" s="343"/>
      <c r="AM1740" s="343"/>
    </row>
    <row r="1741" spans="1:39" ht="12.75" customHeight="1" x14ac:dyDescent="0.25">
      <c r="A1741" s="729"/>
      <c r="B1741" s="284"/>
      <c r="C1741" s="300"/>
      <c r="D1741" s="300"/>
      <c r="E1741" s="2358" t="str">
        <f>Translations!$B$1534</f>
        <v>Стойността в НМИ се отнася до средното производство през историческия базов период, както е обяснено в раздели 2.3 и 3 от Ръководство № 7.</v>
      </c>
      <c r="F1741" s="2249"/>
      <c r="G1741" s="2249"/>
      <c r="H1741" s="2249"/>
      <c r="I1741" s="2249"/>
      <c r="J1741" s="2249"/>
      <c r="K1741" s="2249"/>
      <c r="L1741" s="2249"/>
      <c r="M1741" s="2249"/>
      <c r="N1741" s="2249"/>
      <c r="O1741" s="336"/>
      <c r="P1741" s="336"/>
      <c r="Q1741" s="770"/>
      <c r="R1741" s="694"/>
      <c r="S1741" s="694"/>
      <c r="T1741" s="694"/>
      <c r="U1741" s="694"/>
      <c r="V1741" s="694"/>
      <c r="W1741" s="694"/>
      <c r="X1741" s="694"/>
      <c r="Y1741" s="694"/>
      <c r="Z1741" s="694"/>
      <c r="AA1741" s="694"/>
      <c r="AB1741" s="729"/>
      <c r="AC1741" s="694"/>
      <c r="AD1741" s="694"/>
      <c r="AE1741" s="343"/>
      <c r="AF1741" s="343"/>
      <c r="AG1741" s="343"/>
      <c r="AH1741" s="343"/>
      <c r="AI1741" s="343"/>
      <c r="AJ1741" s="343"/>
      <c r="AK1741" s="343"/>
      <c r="AL1741" s="343"/>
      <c r="AM1741" s="343"/>
    </row>
    <row r="1742" spans="1:39" ht="5.15" customHeight="1" x14ac:dyDescent="0.25">
      <c r="A1742" s="729"/>
      <c r="B1742" s="284"/>
      <c r="C1742" s="302"/>
      <c r="D1742" s="302"/>
      <c r="E1742" s="460"/>
      <c r="F1742" s="460"/>
      <c r="G1742" s="460"/>
      <c r="H1742" s="460"/>
      <c r="I1742" s="460"/>
      <c r="J1742" s="329"/>
      <c r="K1742" s="329"/>
      <c r="L1742" s="329"/>
      <c r="M1742" s="336"/>
      <c r="N1742" s="336"/>
      <c r="O1742" s="336"/>
      <c r="P1742" s="336"/>
      <c r="Q1742" s="770"/>
      <c r="R1742" s="694"/>
      <c r="S1742" s="694"/>
      <c r="T1742" s="694"/>
      <c r="U1742" s="694"/>
      <c r="V1742" s="694"/>
      <c r="W1742" s="694"/>
      <c r="X1742" s="694"/>
      <c r="Y1742" s="694"/>
      <c r="Z1742" s="694"/>
      <c r="AA1742" s="694"/>
      <c r="AB1742" s="729"/>
      <c r="AC1742" s="694"/>
      <c r="AD1742" s="694"/>
      <c r="AE1742" s="343"/>
      <c r="AF1742" s="343"/>
      <c r="AG1742" s="343"/>
      <c r="AH1742" s="343"/>
      <c r="AI1742" s="343"/>
      <c r="AJ1742" s="343"/>
      <c r="AK1742" s="343"/>
      <c r="AL1742" s="343"/>
      <c r="AM1742" s="343"/>
    </row>
    <row r="1743" spans="1:39" s="1423" customFormat="1" ht="25.5" customHeight="1" thickBot="1" x14ac:dyDescent="0.35">
      <c r="A1743" s="729"/>
      <c r="B1743" s="1412"/>
      <c r="C1743" s="1413"/>
      <c r="D1743" s="1414"/>
      <c r="E1743" s="1415" t="str">
        <f>G1727</f>
        <v>Име на продукт или вид услуга</v>
      </c>
      <c r="F1743" s="1416" t="str">
        <f>EUconst_Unit</f>
        <v>Единица мярка</v>
      </c>
      <c r="G1743" s="1419" t="str">
        <f>Translations!$B$1336</f>
        <v>Стойност в НМИ</v>
      </c>
      <c r="H1743" s="1418">
        <f t="shared" ref="H1743:N1743" si="2480">H$1840</f>
        <v>2024</v>
      </c>
      <c r="I1743" s="1419">
        <f t="shared" si="2480"/>
        <v>2025</v>
      </c>
      <c r="J1743" s="1418">
        <f t="shared" si="2480"/>
        <v>2026</v>
      </c>
      <c r="K1743" s="1420">
        <f t="shared" si="2480"/>
        <v>2027</v>
      </c>
      <c r="L1743" s="1420">
        <f t="shared" si="2480"/>
        <v>2028</v>
      </c>
      <c r="M1743" s="1420">
        <f t="shared" si="2480"/>
        <v>2029</v>
      </c>
      <c r="N1743" s="1420">
        <f t="shared" si="2480"/>
        <v>2030</v>
      </c>
      <c r="O1743" s="336"/>
      <c r="P1743" s="336"/>
      <c r="Q1743" s="1421"/>
      <c r="R1743" s="1421"/>
      <c r="S1743" s="1421"/>
      <c r="T1743" s="1421"/>
      <c r="U1743" s="1421"/>
      <c r="V1743" s="1421"/>
      <c r="W1743" s="1421"/>
      <c r="X1743" s="1421"/>
      <c r="Y1743" s="1421"/>
      <c r="Z1743" s="1421"/>
      <c r="AA1743" s="1421"/>
      <c r="AB1743" s="770" t="str">
        <f>Translations!$B$1284</f>
        <v>HAL</v>
      </c>
      <c r="AC1743" s="1421">
        <f t="shared" ref="AC1743" si="2481">H1743</f>
        <v>2024</v>
      </c>
      <c r="AD1743" s="1421">
        <f t="shared" ref="AD1743" si="2482">I1743</f>
        <v>2025</v>
      </c>
      <c r="AE1743" s="1421">
        <f t="shared" ref="AE1743" si="2483">J1743</f>
        <v>2026</v>
      </c>
      <c r="AF1743" s="1421">
        <f t="shared" ref="AF1743" si="2484">K1743</f>
        <v>2027</v>
      </c>
      <c r="AG1743" s="1421">
        <f t="shared" ref="AG1743" si="2485">L1743</f>
        <v>2028</v>
      </c>
      <c r="AH1743" s="1422">
        <f t="shared" ref="AH1743" si="2486">M1743</f>
        <v>2029</v>
      </c>
      <c r="AI1743" s="1422">
        <f t="shared" ref="AI1743" si="2487">N1743</f>
        <v>2030</v>
      </c>
      <c r="AJ1743" s="1422"/>
      <c r="AK1743" s="1422"/>
      <c r="AL1743" s="1422"/>
      <c r="AM1743" s="1422"/>
    </row>
    <row r="1744" spans="1:39" ht="12.75" customHeight="1" x14ac:dyDescent="0.25">
      <c r="A1744" s="729"/>
      <c r="B1744" s="698"/>
      <c r="C1744" s="2906" t="str">
        <f>Translations!$B$625</f>
        <v>Равнища на производство:</v>
      </c>
      <c r="D1744" s="981">
        <v>1</v>
      </c>
      <c r="E1744" s="1424" t="str">
        <f t="shared" ref="E1744:E1753" si="2488">IF(ISBLANK(G1728),"",G1728)</f>
        <v/>
      </c>
      <c r="F1744" s="177"/>
      <c r="G1744" s="46"/>
      <c r="H1744" s="116"/>
      <c r="I1744" s="46"/>
      <c r="J1744" s="116"/>
      <c r="K1744" s="40"/>
      <c r="L1744" s="40"/>
      <c r="M1744" s="40"/>
      <c r="N1744" s="40"/>
      <c r="O1744" s="336"/>
      <c r="P1744" s="158"/>
      <c r="Q1744" s="694"/>
      <c r="R1744" s="694"/>
      <c r="S1744" s="694"/>
      <c r="T1744" s="694"/>
      <c r="U1744" s="694"/>
      <c r="V1744" s="694"/>
      <c r="W1744" s="694"/>
      <c r="X1744" s="694"/>
      <c r="Y1744" s="694"/>
      <c r="Z1744" s="1182" t="s">
        <v>1757</v>
      </c>
      <c r="AA1744" s="1425">
        <f>MAX(AC1744:AI1744)</f>
        <v>2</v>
      </c>
      <c r="AB1744" s="1426">
        <f>IF(CNTR_ExistSubInstEntries,IF(OR($M1694&lt;&gt;EUconst_Relevant,$V1694&gt;($H$1840-1),$E1744=""),0,2),2)</f>
        <v>2</v>
      </c>
      <c r="AC1744" s="1426">
        <f t="shared" ref="AC1744:AI1744" si="2489">IF(CNTR_ExistSubInstEntries,IF(OR($M1694&lt;&gt;EUconst_Relevant,AC1743&gt;=CNTR_ReportingYear,AC1743&lt;$V1694-1,$E1744=""),0,2),2)</f>
        <v>2</v>
      </c>
      <c r="AD1744" s="1427">
        <f t="shared" si="2489"/>
        <v>2</v>
      </c>
      <c r="AE1744" s="1427">
        <f t="shared" si="2489"/>
        <v>2</v>
      </c>
      <c r="AF1744" s="1427">
        <f t="shared" si="2489"/>
        <v>2</v>
      </c>
      <c r="AG1744" s="1427">
        <f t="shared" si="2489"/>
        <v>2</v>
      </c>
      <c r="AH1744" s="1428">
        <f t="shared" si="2489"/>
        <v>2</v>
      </c>
      <c r="AI1744" s="1429">
        <f t="shared" si="2489"/>
        <v>2</v>
      </c>
      <c r="AJ1744" s="343"/>
      <c r="AK1744" s="1174" t="s">
        <v>2039</v>
      </c>
      <c r="AL1744" s="1176" t="str">
        <f>IF(AND(CNTR_ExistSubInstEntries,COUNTIFS(AB1744:AI1744,2,G1744:N1744,"")&gt;0),EUconst_Error&amp;"FB"&amp;Q1694,"")</f>
        <v/>
      </c>
      <c r="AM1744" s="343"/>
    </row>
    <row r="1745" spans="1:39" ht="12.75" customHeight="1" x14ac:dyDescent="0.25">
      <c r="A1745" s="729"/>
      <c r="B1745" s="698"/>
      <c r="C1745" s="2906"/>
      <c r="D1745" s="990">
        <f>D1744+1</f>
        <v>2</v>
      </c>
      <c r="E1745" s="1430" t="str">
        <f t="shared" si="2488"/>
        <v/>
      </c>
      <c r="F1745" s="273"/>
      <c r="G1745" s="47"/>
      <c r="H1745" s="119"/>
      <c r="I1745" s="47"/>
      <c r="J1745" s="119"/>
      <c r="K1745" s="43"/>
      <c r="L1745" s="43"/>
      <c r="M1745" s="43"/>
      <c r="N1745" s="43"/>
      <c r="O1745" s="336"/>
      <c r="P1745" s="158"/>
      <c r="Q1745" s="694"/>
      <c r="R1745" s="694"/>
      <c r="S1745" s="694"/>
      <c r="T1745" s="694"/>
      <c r="U1745" s="694"/>
      <c r="V1745" s="694"/>
      <c r="W1745" s="694"/>
      <c r="X1745" s="694"/>
      <c r="Y1745" s="694"/>
      <c r="Z1745" s="694"/>
      <c r="AA1745" s="1431">
        <f t="shared" ref="AA1745:AA1753" si="2490">MAX(AC1745:AI1745)</f>
        <v>2</v>
      </c>
      <c r="AB1745" s="1432">
        <f>IF(CNTR_ExistSubInstEntries,IF(OR($M1694&lt;&gt;EUconst_Relevant,$V1694&gt;($H$1840-1),$E1745=""),0,2),2)</f>
        <v>2</v>
      </c>
      <c r="AC1745" s="1432">
        <f t="shared" ref="AC1745:AI1745" si="2491">IF(CNTR_ExistSubInstEntries,IF(OR($M1694&lt;&gt;EUconst_Relevant,AC1743&gt;=CNTR_ReportingYear,AC1743&lt;$V1694-1,$E1745=""),0,2),2)</f>
        <v>2</v>
      </c>
      <c r="AD1745" s="1432">
        <f t="shared" si="2491"/>
        <v>2</v>
      </c>
      <c r="AE1745" s="1432">
        <f t="shared" si="2491"/>
        <v>2</v>
      </c>
      <c r="AF1745" s="1432">
        <f t="shared" si="2491"/>
        <v>2</v>
      </c>
      <c r="AG1745" s="1432">
        <f t="shared" si="2491"/>
        <v>2</v>
      </c>
      <c r="AH1745" s="1433">
        <f t="shared" si="2491"/>
        <v>2</v>
      </c>
      <c r="AI1745" s="1434">
        <f t="shared" si="2491"/>
        <v>2</v>
      </c>
      <c r="AJ1745" s="343"/>
      <c r="AK1745" s="1174" t="s">
        <v>2039</v>
      </c>
      <c r="AL1745" s="1176" t="str">
        <f>IF(AND(CNTR_ExistSubInstEntries,COUNTIFS(AB1745:AI1745,2,G1745:N1745,"")&gt;0),EUconst_Error&amp;"FB"&amp;Q1694,"")</f>
        <v/>
      </c>
      <c r="AM1745" s="343"/>
    </row>
    <row r="1746" spans="1:39" ht="12.75" customHeight="1" x14ac:dyDescent="0.25">
      <c r="A1746" s="729"/>
      <c r="B1746" s="698"/>
      <c r="C1746" s="2906"/>
      <c r="D1746" s="990">
        <f t="shared" ref="D1746:D1753" si="2492">D1745+1</f>
        <v>3</v>
      </c>
      <c r="E1746" s="1430" t="str">
        <f t="shared" si="2488"/>
        <v/>
      </c>
      <c r="F1746" s="273"/>
      <c r="G1746" s="268"/>
      <c r="H1746" s="119"/>
      <c r="I1746" s="47"/>
      <c r="J1746" s="119"/>
      <c r="K1746" s="43"/>
      <c r="L1746" s="43"/>
      <c r="M1746" s="43"/>
      <c r="N1746" s="43"/>
      <c r="O1746" s="336"/>
      <c r="P1746" s="158"/>
      <c r="Q1746" s="694"/>
      <c r="R1746" s="694"/>
      <c r="S1746" s="694"/>
      <c r="T1746" s="694"/>
      <c r="U1746" s="694"/>
      <c r="V1746" s="694"/>
      <c r="W1746" s="694"/>
      <c r="X1746" s="694"/>
      <c r="Y1746" s="694"/>
      <c r="Z1746" s="694"/>
      <c r="AA1746" s="1431">
        <f t="shared" si="2490"/>
        <v>2</v>
      </c>
      <c r="AB1746" s="1432">
        <f>IF(CNTR_ExistSubInstEntries,IF(OR($M1694&lt;&gt;EUconst_Relevant,$V1694&gt;($H$1840-1),$E1746=""),0,2),2)</f>
        <v>2</v>
      </c>
      <c r="AC1746" s="1432">
        <f t="shared" ref="AC1746:AI1746" si="2493">IF(CNTR_ExistSubInstEntries,IF(OR($M1694&lt;&gt;EUconst_Relevant,AC1743&gt;=CNTR_ReportingYear,AC1743&lt;$V1694-1,$E1746=""),0,2),2)</f>
        <v>2</v>
      </c>
      <c r="AD1746" s="1432">
        <f t="shared" si="2493"/>
        <v>2</v>
      </c>
      <c r="AE1746" s="1432">
        <f t="shared" si="2493"/>
        <v>2</v>
      </c>
      <c r="AF1746" s="1432">
        <f t="shared" si="2493"/>
        <v>2</v>
      </c>
      <c r="AG1746" s="1432">
        <f t="shared" si="2493"/>
        <v>2</v>
      </c>
      <c r="AH1746" s="1433">
        <f t="shared" si="2493"/>
        <v>2</v>
      </c>
      <c r="AI1746" s="1434">
        <f t="shared" si="2493"/>
        <v>2</v>
      </c>
      <c r="AJ1746" s="343"/>
      <c r="AK1746" s="1174" t="s">
        <v>2039</v>
      </c>
      <c r="AL1746" s="1176" t="str">
        <f>IF(AND(CNTR_ExistSubInstEntries,COUNTIFS(AB1746:AI1746,2,G1746:N1746,"")&gt;0),EUconst_Error&amp;"FB"&amp;Q1694,"")</f>
        <v/>
      </c>
      <c r="AM1746" s="343"/>
    </row>
    <row r="1747" spans="1:39" ht="12.75" customHeight="1" x14ac:dyDescent="0.25">
      <c r="A1747" s="729"/>
      <c r="B1747" s="698"/>
      <c r="C1747" s="2906"/>
      <c r="D1747" s="990">
        <f t="shared" si="2492"/>
        <v>4</v>
      </c>
      <c r="E1747" s="1430" t="str">
        <f t="shared" si="2488"/>
        <v/>
      </c>
      <c r="F1747" s="271"/>
      <c r="G1747" s="47"/>
      <c r="H1747" s="119"/>
      <c r="I1747" s="124"/>
      <c r="J1747" s="119"/>
      <c r="K1747" s="43"/>
      <c r="L1747" s="43"/>
      <c r="M1747" s="43"/>
      <c r="N1747" s="43"/>
      <c r="O1747" s="336"/>
      <c r="P1747" s="158"/>
      <c r="Q1747" s="694"/>
      <c r="R1747" s="694"/>
      <c r="S1747" s="694"/>
      <c r="T1747" s="694"/>
      <c r="U1747" s="729"/>
      <c r="V1747" s="729"/>
      <c r="W1747" s="694"/>
      <c r="X1747" s="694"/>
      <c r="Y1747" s="694"/>
      <c r="Z1747" s="694"/>
      <c r="AA1747" s="1431">
        <f t="shared" si="2490"/>
        <v>2</v>
      </c>
      <c r="AB1747" s="1432">
        <f>IF(CNTR_ExistSubInstEntries,IF(OR($M1694&lt;&gt;EUconst_Relevant,$V1694&gt;($H$1840-1),$E1747=""),0,2),2)</f>
        <v>2</v>
      </c>
      <c r="AC1747" s="1432">
        <f t="shared" ref="AC1747:AI1747" si="2494">IF(CNTR_ExistSubInstEntries,IF(OR($M1694&lt;&gt;EUconst_Relevant,AC1743&gt;=CNTR_ReportingYear,AC1743&lt;$V1694-1,$E1747=""),0,2),2)</f>
        <v>2</v>
      </c>
      <c r="AD1747" s="1432">
        <f t="shared" si="2494"/>
        <v>2</v>
      </c>
      <c r="AE1747" s="1432">
        <f t="shared" si="2494"/>
        <v>2</v>
      </c>
      <c r="AF1747" s="1432">
        <f t="shared" si="2494"/>
        <v>2</v>
      </c>
      <c r="AG1747" s="1432">
        <f t="shared" si="2494"/>
        <v>2</v>
      </c>
      <c r="AH1747" s="1433">
        <f t="shared" si="2494"/>
        <v>2</v>
      </c>
      <c r="AI1747" s="1434">
        <f t="shared" si="2494"/>
        <v>2</v>
      </c>
      <c r="AJ1747" s="343"/>
      <c r="AK1747" s="1174" t="s">
        <v>2039</v>
      </c>
      <c r="AL1747" s="1176" t="str">
        <f>IF(AND(CNTR_ExistSubInstEntries,COUNTIFS(AB1747:AI1747,2,G1747:N1747,"")&gt;0),EUconst_Error&amp;"FB"&amp;Q1694,"")</f>
        <v/>
      </c>
      <c r="AM1747" s="343"/>
    </row>
    <row r="1748" spans="1:39" ht="12.75" customHeight="1" x14ac:dyDescent="0.25">
      <c r="A1748" s="729"/>
      <c r="B1748" s="698"/>
      <c r="C1748" s="2906"/>
      <c r="D1748" s="990">
        <f t="shared" si="2492"/>
        <v>5</v>
      </c>
      <c r="E1748" s="1430" t="str">
        <f t="shared" si="2488"/>
        <v/>
      </c>
      <c r="F1748" s="271"/>
      <c r="G1748" s="47"/>
      <c r="H1748" s="119"/>
      <c r="I1748" s="47"/>
      <c r="J1748" s="119"/>
      <c r="K1748" s="43"/>
      <c r="L1748" s="43"/>
      <c r="M1748" s="43"/>
      <c r="N1748" s="43"/>
      <c r="O1748" s="336"/>
      <c r="P1748" s="158"/>
      <c r="Q1748" s="694"/>
      <c r="R1748" s="694"/>
      <c r="S1748" s="694"/>
      <c r="T1748" s="694"/>
      <c r="U1748" s="729"/>
      <c r="V1748" s="694"/>
      <c r="W1748" s="694"/>
      <c r="X1748" s="694"/>
      <c r="Y1748" s="694"/>
      <c r="Z1748" s="694"/>
      <c r="AA1748" s="1431">
        <f t="shared" si="2490"/>
        <v>2</v>
      </c>
      <c r="AB1748" s="1432">
        <f>IF(CNTR_ExistSubInstEntries,IF(OR($M1694&lt;&gt;EUconst_Relevant,$V1694&gt;($H$1840-1),$E1748=""),0,2),2)</f>
        <v>2</v>
      </c>
      <c r="AC1748" s="1432">
        <f t="shared" ref="AC1748:AI1748" si="2495">IF(CNTR_ExistSubInstEntries,IF(OR($M1694&lt;&gt;EUconst_Relevant,AC1743&gt;=CNTR_ReportingYear,AC1743&lt;$V1694-1,$E1748=""),0,2),2)</f>
        <v>2</v>
      </c>
      <c r="AD1748" s="1432">
        <f t="shared" si="2495"/>
        <v>2</v>
      </c>
      <c r="AE1748" s="1432">
        <f t="shared" si="2495"/>
        <v>2</v>
      </c>
      <c r="AF1748" s="1432">
        <f t="shared" si="2495"/>
        <v>2</v>
      </c>
      <c r="AG1748" s="1432">
        <f t="shared" si="2495"/>
        <v>2</v>
      </c>
      <c r="AH1748" s="1433">
        <f t="shared" si="2495"/>
        <v>2</v>
      </c>
      <c r="AI1748" s="1434">
        <f t="shared" si="2495"/>
        <v>2</v>
      </c>
      <c r="AJ1748" s="343"/>
      <c r="AK1748" s="1174" t="s">
        <v>2039</v>
      </c>
      <c r="AL1748" s="1176" t="str">
        <f>IF(AND(CNTR_ExistSubInstEntries,COUNTIFS(AB1748:AI1748,2,G1748:N1748,"")&gt;0),EUconst_Error&amp;"FB"&amp;Q1694,"")</f>
        <v/>
      </c>
      <c r="AM1748" s="343"/>
    </row>
    <row r="1749" spans="1:39" ht="12.75" customHeight="1" x14ac:dyDescent="0.25">
      <c r="A1749" s="729"/>
      <c r="B1749" s="698"/>
      <c r="C1749" s="2906"/>
      <c r="D1749" s="990">
        <f t="shared" si="2492"/>
        <v>6</v>
      </c>
      <c r="E1749" s="1430" t="str">
        <f t="shared" si="2488"/>
        <v/>
      </c>
      <c r="F1749" s="271"/>
      <c r="G1749" s="47"/>
      <c r="H1749" s="119"/>
      <c r="I1749" s="47"/>
      <c r="J1749" s="119"/>
      <c r="K1749" s="43"/>
      <c r="L1749" s="43"/>
      <c r="M1749" s="43"/>
      <c r="N1749" s="43"/>
      <c r="O1749" s="336"/>
      <c r="P1749" s="158"/>
      <c r="Q1749" s="694"/>
      <c r="R1749" s="694"/>
      <c r="S1749" s="694"/>
      <c r="T1749" s="694"/>
      <c r="U1749" s="694"/>
      <c r="V1749" s="694"/>
      <c r="W1749" s="694"/>
      <c r="X1749" s="694"/>
      <c r="Y1749" s="694"/>
      <c r="Z1749" s="694"/>
      <c r="AA1749" s="1431">
        <f t="shared" si="2490"/>
        <v>2</v>
      </c>
      <c r="AB1749" s="1432">
        <f>IF(CNTR_ExistSubInstEntries,IF(OR($M1694&lt;&gt;EUconst_Relevant,$V1694&gt;($H$1840-1),$E1749=""),0,2),2)</f>
        <v>2</v>
      </c>
      <c r="AC1749" s="1432">
        <f t="shared" ref="AC1749:AI1749" si="2496">IF(CNTR_ExistSubInstEntries,IF(OR($M1694&lt;&gt;EUconst_Relevant,AC1743&gt;=CNTR_ReportingYear,AC1743&lt;$V1694-1,$E1749=""),0,2),2)</f>
        <v>2</v>
      </c>
      <c r="AD1749" s="1432">
        <f t="shared" si="2496"/>
        <v>2</v>
      </c>
      <c r="AE1749" s="1432">
        <f t="shared" si="2496"/>
        <v>2</v>
      </c>
      <c r="AF1749" s="1432">
        <f t="shared" si="2496"/>
        <v>2</v>
      </c>
      <c r="AG1749" s="1432">
        <f t="shared" si="2496"/>
        <v>2</v>
      </c>
      <c r="AH1749" s="1433">
        <f t="shared" si="2496"/>
        <v>2</v>
      </c>
      <c r="AI1749" s="1434">
        <f t="shared" si="2496"/>
        <v>2</v>
      </c>
      <c r="AJ1749" s="343"/>
      <c r="AK1749" s="1174" t="s">
        <v>2039</v>
      </c>
      <c r="AL1749" s="1176" t="str">
        <f>IF(AND(CNTR_ExistSubInstEntries,COUNTIFS(AB1749:AI1749,2,G1749:N1749,"")&gt;0),EUconst_Error&amp;"FB"&amp;Q1694,"")</f>
        <v/>
      </c>
      <c r="AM1749" s="343"/>
    </row>
    <row r="1750" spans="1:39" ht="12.75" customHeight="1" x14ac:dyDescent="0.25">
      <c r="A1750" s="729"/>
      <c r="B1750" s="698"/>
      <c r="C1750" s="2906"/>
      <c r="D1750" s="990">
        <f t="shared" si="2492"/>
        <v>7</v>
      </c>
      <c r="E1750" s="1430" t="str">
        <f t="shared" si="2488"/>
        <v/>
      </c>
      <c r="F1750" s="271"/>
      <c r="G1750" s="47"/>
      <c r="H1750" s="119"/>
      <c r="I1750" s="47"/>
      <c r="J1750" s="119"/>
      <c r="K1750" s="43"/>
      <c r="L1750" s="43"/>
      <c r="M1750" s="43"/>
      <c r="N1750" s="43"/>
      <c r="O1750" s="336"/>
      <c r="P1750" s="158"/>
      <c r="Q1750" s="694"/>
      <c r="R1750" s="694"/>
      <c r="S1750" s="694"/>
      <c r="T1750" s="694"/>
      <c r="U1750" s="694"/>
      <c r="V1750" s="694"/>
      <c r="W1750" s="694"/>
      <c r="X1750" s="694"/>
      <c r="Y1750" s="694"/>
      <c r="Z1750" s="694"/>
      <c r="AA1750" s="1431">
        <f t="shared" si="2490"/>
        <v>2</v>
      </c>
      <c r="AB1750" s="1432">
        <f>IF(CNTR_ExistSubInstEntries,IF(OR($M1694&lt;&gt;EUconst_Relevant,$V1694&gt;($H$1840-1),$E1750=""),0,2),2)</f>
        <v>2</v>
      </c>
      <c r="AC1750" s="1432">
        <f t="shared" ref="AC1750:AI1750" si="2497">IF(CNTR_ExistSubInstEntries,IF(OR($M1694&lt;&gt;EUconst_Relevant,AC1743&gt;=CNTR_ReportingYear,AC1743&lt;$V1694-1,$E1750=""),0,2),2)</f>
        <v>2</v>
      </c>
      <c r="AD1750" s="1432">
        <f t="shared" si="2497"/>
        <v>2</v>
      </c>
      <c r="AE1750" s="1432">
        <f t="shared" si="2497"/>
        <v>2</v>
      </c>
      <c r="AF1750" s="1432">
        <f t="shared" si="2497"/>
        <v>2</v>
      </c>
      <c r="AG1750" s="1432">
        <f t="shared" si="2497"/>
        <v>2</v>
      </c>
      <c r="AH1750" s="1433">
        <f t="shared" si="2497"/>
        <v>2</v>
      </c>
      <c r="AI1750" s="1434">
        <f t="shared" si="2497"/>
        <v>2</v>
      </c>
      <c r="AJ1750" s="343"/>
      <c r="AK1750" s="1174" t="s">
        <v>2039</v>
      </c>
      <c r="AL1750" s="1176" t="str">
        <f>IF(AND(CNTR_ExistSubInstEntries,COUNTIFS(AB1750:AI1750,2,G1750:N1750,"")&gt;0),EUconst_Error&amp;"FB"&amp;Q1694,"")</f>
        <v/>
      </c>
      <c r="AM1750" s="343"/>
    </row>
    <row r="1751" spans="1:39" ht="12.75" customHeight="1" x14ac:dyDescent="0.25">
      <c r="A1751" s="729"/>
      <c r="B1751" s="698"/>
      <c r="C1751" s="2906"/>
      <c r="D1751" s="990">
        <f t="shared" si="2492"/>
        <v>8</v>
      </c>
      <c r="E1751" s="1430" t="str">
        <f t="shared" si="2488"/>
        <v/>
      </c>
      <c r="F1751" s="271"/>
      <c r="G1751" s="47"/>
      <c r="H1751" s="119"/>
      <c r="I1751" s="47"/>
      <c r="J1751" s="119"/>
      <c r="K1751" s="43"/>
      <c r="L1751" s="43"/>
      <c r="M1751" s="43"/>
      <c r="N1751" s="43"/>
      <c r="O1751" s="336"/>
      <c r="P1751" s="158"/>
      <c r="Q1751" s="694"/>
      <c r="R1751" s="694"/>
      <c r="S1751" s="694"/>
      <c r="T1751" s="694"/>
      <c r="U1751" s="694"/>
      <c r="V1751" s="694"/>
      <c r="W1751" s="694"/>
      <c r="X1751" s="694"/>
      <c r="Y1751" s="694"/>
      <c r="Z1751" s="694"/>
      <c r="AA1751" s="1431">
        <f t="shared" si="2490"/>
        <v>2</v>
      </c>
      <c r="AB1751" s="1432">
        <f>IF(CNTR_ExistSubInstEntries,IF(OR($M1694&lt;&gt;EUconst_Relevant,$V1694&gt;($H$1840-1),$E1751=""),0,2),2)</f>
        <v>2</v>
      </c>
      <c r="AC1751" s="1432">
        <f t="shared" ref="AC1751:AI1751" si="2498">IF(CNTR_ExistSubInstEntries,IF(OR($M1694&lt;&gt;EUconst_Relevant,AC1743&gt;=CNTR_ReportingYear,AC1743&lt;$V1694-1,$E1751=""),0,2),2)</f>
        <v>2</v>
      </c>
      <c r="AD1751" s="1432">
        <f t="shared" si="2498"/>
        <v>2</v>
      </c>
      <c r="AE1751" s="1432">
        <f t="shared" si="2498"/>
        <v>2</v>
      </c>
      <c r="AF1751" s="1432">
        <f t="shared" si="2498"/>
        <v>2</v>
      </c>
      <c r="AG1751" s="1432">
        <f t="shared" si="2498"/>
        <v>2</v>
      </c>
      <c r="AH1751" s="1433">
        <f t="shared" si="2498"/>
        <v>2</v>
      </c>
      <c r="AI1751" s="1434">
        <f t="shared" si="2498"/>
        <v>2</v>
      </c>
      <c r="AJ1751" s="343"/>
      <c r="AK1751" s="1174" t="s">
        <v>2039</v>
      </c>
      <c r="AL1751" s="1176" t="str">
        <f>IF(AND(CNTR_ExistSubInstEntries,COUNTIFS(AB1751:AI1751,2,G1751:N1751,"")&gt;0),EUconst_Error&amp;"FB"&amp;Q1694,"")</f>
        <v/>
      </c>
      <c r="AM1751" s="343"/>
    </row>
    <row r="1752" spans="1:39" ht="12.75" customHeight="1" x14ac:dyDescent="0.25">
      <c r="A1752" s="729"/>
      <c r="B1752" s="698"/>
      <c r="C1752" s="2906"/>
      <c r="D1752" s="990">
        <f t="shared" si="2492"/>
        <v>9</v>
      </c>
      <c r="E1752" s="1430" t="str">
        <f t="shared" si="2488"/>
        <v/>
      </c>
      <c r="F1752" s="271"/>
      <c r="G1752" s="47"/>
      <c r="H1752" s="119"/>
      <c r="I1752" s="47"/>
      <c r="J1752" s="119"/>
      <c r="K1752" s="43"/>
      <c r="L1752" s="43"/>
      <c r="M1752" s="43"/>
      <c r="N1752" s="43"/>
      <c r="O1752" s="336"/>
      <c r="P1752" s="158"/>
      <c r="Q1752" s="694"/>
      <c r="R1752" s="694"/>
      <c r="S1752" s="694"/>
      <c r="T1752" s="694"/>
      <c r="U1752" s="694"/>
      <c r="V1752" s="694"/>
      <c r="W1752" s="694"/>
      <c r="X1752" s="694"/>
      <c r="Y1752" s="694"/>
      <c r="Z1752" s="694"/>
      <c r="AA1752" s="1431">
        <f t="shared" si="2490"/>
        <v>2</v>
      </c>
      <c r="AB1752" s="1432">
        <f>IF(CNTR_ExistSubInstEntries,IF(OR($M1694&lt;&gt;EUconst_Relevant,$V1694&gt;($H$1840-1),$E1752=""),0,2),2)</f>
        <v>2</v>
      </c>
      <c r="AC1752" s="1432">
        <f t="shared" ref="AC1752:AI1752" si="2499">IF(CNTR_ExistSubInstEntries,IF(OR($M1694&lt;&gt;EUconst_Relevant,AC1743&gt;=CNTR_ReportingYear,AC1743&lt;$V1694-1,$E1752=""),0,2),2)</f>
        <v>2</v>
      </c>
      <c r="AD1752" s="1432">
        <f t="shared" si="2499"/>
        <v>2</v>
      </c>
      <c r="AE1752" s="1432">
        <f t="shared" si="2499"/>
        <v>2</v>
      </c>
      <c r="AF1752" s="1432">
        <f t="shared" si="2499"/>
        <v>2</v>
      </c>
      <c r="AG1752" s="1432">
        <f t="shared" si="2499"/>
        <v>2</v>
      </c>
      <c r="AH1752" s="1433">
        <f t="shared" si="2499"/>
        <v>2</v>
      </c>
      <c r="AI1752" s="1434">
        <f t="shared" si="2499"/>
        <v>2</v>
      </c>
      <c r="AJ1752" s="343"/>
      <c r="AK1752" s="1174" t="s">
        <v>2039</v>
      </c>
      <c r="AL1752" s="1176" t="str">
        <f>IF(AND(CNTR_ExistSubInstEntries,COUNTIFS(AB1752:AI1752,2,G1752:N1752,"")&gt;0),EUconst_Error&amp;"FB"&amp;Q1694,"")</f>
        <v/>
      </c>
      <c r="AM1752" s="343"/>
    </row>
    <row r="1753" spans="1:39" ht="12.75" customHeight="1" thickBot="1" x14ac:dyDescent="0.3">
      <c r="A1753" s="729"/>
      <c r="B1753" s="698"/>
      <c r="C1753" s="2906"/>
      <c r="D1753" s="994">
        <f t="shared" si="2492"/>
        <v>10</v>
      </c>
      <c r="E1753" s="1435" t="str">
        <f t="shared" si="2488"/>
        <v/>
      </c>
      <c r="F1753" s="272"/>
      <c r="G1753" s="48"/>
      <c r="H1753" s="117"/>
      <c r="I1753" s="48"/>
      <c r="J1753" s="117"/>
      <c r="K1753" s="38"/>
      <c r="L1753" s="38"/>
      <c r="M1753" s="38"/>
      <c r="N1753" s="38"/>
      <c r="O1753" s="336"/>
      <c r="P1753" s="158"/>
      <c r="Q1753" s="694"/>
      <c r="R1753" s="694"/>
      <c r="S1753" s="694"/>
      <c r="T1753" s="694"/>
      <c r="U1753" s="694"/>
      <c r="V1753" s="694"/>
      <c r="W1753" s="694"/>
      <c r="X1753" s="694"/>
      <c r="Y1753" s="694"/>
      <c r="Z1753" s="694"/>
      <c r="AA1753" s="1436">
        <f t="shared" si="2490"/>
        <v>2</v>
      </c>
      <c r="AB1753" s="1437">
        <f>IF(CNTR_ExistSubInstEntries,IF(OR($M1694&lt;&gt;EUconst_Relevant,$V1694&gt;($H$1840-1),$E1753=""),0,2),2)</f>
        <v>2</v>
      </c>
      <c r="AC1753" s="1437">
        <f t="shared" ref="AC1753:AI1753" si="2500">IF(CNTR_ExistSubInstEntries,IF(OR($M1694&lt;&gt;EUconst_Relevant,AC1743&gt;=CNTR_ReportingYear,AC1743&lt;$V1694-1,$E1753=""),0,2),2)</f>
        <v>2</v>
      </c>
      <c r="AD1753" s="1437">
        <f t="shared" si="2500"/>
        <v>2</v>
      </c>
      <c r="AE1753" s="1437">
        <f t="shared" si="2500"/>
        <v>2</v>
      </c>
      <c r="AF1753" s="1437">
        <f t="shared" si="2500"/>
        <v>2</v>
      </c>
      <c r="AG1753" s="1437">
        <f t="shared" si="2500"/>
        <v>2</v>
      </c>
      <c r="AH1753" s="1438">
        <f t="shared" si="2500"/>
        <v>2</v>
      </c>
      <c r="AI1753" s="1439">
        <f t="shared" si="2500"/>
        <v>2</v>
      </c>
      <c r="AJ1753" s="343"/>
      <c r="AK1753" s="1174" t="s">
        <v>2039</v>
      </c>
      <c r="AL1753" s="1176" t="str">
        <f>IF(AND(CNTR_ExistSubInstEntries,COUNTIFS(AB1753:AI1753,2,G1753:N1753,"")&gt;0),EUconst_Error&amp;"FB"&amp;Q1694,"")</f>
        <v/>
      </c>
      <c r="AM1753" s="343"/>
    </row>
    <row r="1754" spans="1:39" ht="12.75" customHeight="1" x14ac:dyDescent="0.25">
      <c r="A1754" s="729"/>
      <c r="B1754" s="698"/>
      <c r="C1754" s="2906"/>
      <c r="D1754" s="1293"/>
      <c r="E1754" s="1294" t="str">
        <f>Translations!$B$501</f>
        <v>Сума на равнищата на производство</v>
      </c>
      <c r="F1754" s="1440" t="str">
        <f>IF(AND(COUNTA(F1744:F1753)&gt;0,COUNTIF(F1744:F1753,F1744)=COUNTA(F1744:F1753)),F1744,"")</f>
        <v/>
      </c>
      <c r="G1754" s="1296" t="str">
        <f>IF(AND($F1754&lt;&gt;"",COUNT(G1744:G1753)&gt;0),SUMIF($S1728:$S1737,TRUE,G1744:G1753),"")</f>
        <v/>
      </c>
      <c r="H1754" s="1297" t="str">
        <f t="shared" ref="H1754:N1754" si="2501">IF(AND($F1754&lt;&gt;"",COUNT(H1744:H1753)&gt;0),SUMIF($S1728:$S1737,TRUE,H1744:H1753),"")</f>
        <v/>
      </c>
      <c r="I1754" s="1296" t="str">
        <f t="shared" si="2501"/>
        <v/>
      </c>
      <c r="J1754" s="1297" t="str">
        <f t="shared" si="2501"/>
        <v/>
      </c>
      <c r="K1754" s="1104" t="str">
        <f t="shared" si="2501"/>
        <v/>
      </c>
      <c r="L1754" s="1104" t="str">
        <f t="shared" si="2501"/>
        <v/>
      </c>
      <c r="M1754" s="1104" t="str">
        <f t="shared" si="2501"/>
        <v/>
      </c>
      <c r="N1754" s="1104" t="str">
        <f t="shared" si="2501"/>
        <v/>
      </c>
      <c r="O1754" s="336"/>
      <c r="P1754" s="336"/>
      <c r="Q1754" s="694"/>
      <c r="R1754" s="694"/>
      <c r="S1754" s="694"/>
      <c r="T1754" s="694"/>
      <c r="U1754" s="694"/>
      <c r="V1754" s="694"/>
      <c r="W1754" s="694"/>
      <c r="X1754" s="694"/>
      <c r="Y1754" s="694"/>
      <c r="Z1754" s="694"/>
      <c r="AA1754" s="694"/>
      <c r="AB1754" s="729"/>
      <c r="AC1754" s="729"/>
      <c r="AD1754" s="729"/>
      <c r="AE1754" s="729"/>
      <c r="AF1754" s="729"/>
      <c r="AG1754" s="729"/>
      <c r="AH1754" s="729"/>
      <c r="AI1754" s="729"/>
      <c r="AJ1754" s="343"/>
      <c r="AK1754" s="343"/>
      <c r="AL1754" s="343"/>
      <c r="AM1754" s="343"/>
    </row>
    <row r="1755" spans="1:39" ht="5.15" customHeight="1" x14ac:dyDescent="0.25">
      <c r="A1755" s="729"/>
      <c r="B1755" s="698"/>
      <c r="C1755" s="284"/>
      <c r="D1755" s="284"/>
      <c r="E1755" s="284"/>
      <c r="F1755" s="284"/>
      <c r="G1755" s="284"/>
      <c r="H1755" s="284"/>
      <c r="I1755" s="284"/>
      <c r="J1755" s="284"/>
      <c r="K1755" s="284"/>
      <c r="L1755" s="284"/>
      <c r="M1755" s="284"/>
      <c r="N1755" s="284"/>
      <c r="O1755" s="336"/>
      <c r="P1755" s="336"/>
      <c r="Q1755" s="694"/>
      <c r="R1755" s="694"/>
      <c r="S1755" s="694"/>
      <c r="T1755" s="694"/>
      <c r="U1755" s="694"/>
      <c r="V1755" s="694"/>
      <c r="W1755" s="694"/>
      <c r="X1755" s="694"/>
      <c r="Y1755" s="694"/>
      <c r="Z1755" s="729"/>
      <c r="AA1755" s="729"/>
      <c r="AB1755" s="729"/>
      <c r="AC1755" s="694"/>
      <c r="AD1755" s="694"/>
      <c r="AE1755" s="343"/>
      <c r="AF1755" s="343"/>
      <c r="AG1755" s="343"/>
      <c r="AH1755" s="343"/>
      <c r="AI1755" s="343"/>
      <c r="AJ1755" s="343"/>
      <c r="AK1755" s="343"/>
      <c r="AL1755" s="343"/>
      <c r="AM1755" s="343"/>
    </row>
    <row r="1756" spans="1:39" ht="12.75" customHeight="1" x14ac:dyDescent="0.25">
      <c r="A1756" s="729"/>
      <c r="B1756" s="698"/>
      <c r="C1756" s="284"/>
      <c r="D1756" s="300" t="s">
        <v>1764</v>
      </c>
      <c r="E1756" s="2226" t="str">
        <f>Translations!$B$1562</f>
        <v>Допустими по СТЕ на ЕС технологични емисии по продукти за определяне на очакваните равнища на дейност</v>
      </c>
      <c r="F1756" s="2249"/>
      <c r="G1756" s="2249"/>
      <c r="H1756" s="2249"/>
      <c r="I1756" s="2249"/>
      <c r="J1756" s="2249"/>
      <c r="K1756" s="2249"/>
      <c r="L1756" s="2249"/>
      <c r="M1756" s="2249"/>
      <c r="N1756" s="2249"/>
      <c r="O1756" s="336"/>
      <c r="P1756" s="336"/>
      <c r="Q1756" s="770"/>
      <c r="R1756" s="694"/>
      <c r="S1756" s="1030" t="s">
        <v>2010</v>
      </c>
      <c r="T1756" s="1441" t="str">
        <f>IF(M1694&lt;&gt;EUconst_Relevant,"",IF(COUNTIF(V1711:Z1711,TRUE)&gt;0,2,1))</f>
        <v/>
      </c>
      <c r="U1756" s="729" t="s">
        <v>2006</v>
      </c>
      <c r="V1756" s="694"/>
      <c r="W1756" s="694"/>
      <c r="X1756" s="694"/>
      <c r="Y1756" s="694"/>
      <c r="Z1756" s="729"/>
      <c r="AA1756" s="729"/>
      <c r="AB1756" s="729"/>
      <c r="AC1756" s="694"/>
      <c r="AD1756" s="694"/>
      <c r="AE1756" s="343"/>
      <c r="AF1756" s="343"/>
      <c r="AG1756" s="343"/>
      <c r="AH1756" s="343"/>
      <c r="AI1756" s="343"/>
      <c r="AJ1756" s="343"/>
      <c r="AK1756" s="343"/>
      <c r="AL1756" s="343"/>
      <c r="AM1756" s="343"/>
    </row>
    <row r="1757" spans="1:39" ht="12.75" customHeight="1" x14ac:dyDescent="0.25">
      <c r="A1757" s="729"/>
      <c r="B1757" s="284"/>
      <c r="C1757" s="302"/>
      <c r="D1757" s="302"/>
      <c r="E1757" s="2358" t="str">
        <f>Translations!$B$1563</f>
        <v>Моля, въведете тук технологичните емисии, които са допустими за безплатно разпределяне на квоти.</v>
      </c>
      <c r="F1757" s="2249"/>
      <c r="G1757" s="2249"/>
      <c r="H1757" s="2249"/>
      <c r="I1757" s="2249"/>
      <c r="J1757" s="2249"/>
      <c r="K1757" s="2249"/>
      <c r="L1757" s="2249"/>
      <c r="M1757" s="2249"/>
      <c r="N1757" s="2249"/>
      <c r="O1757" s="336"/>
      <c r="P1757" s="336"/>
      <c r="Q1757" s="770"/>
      <c r="R1757" s="770"/>
      <c r="S1757" s="770"/>
      <c r="T1757" s="770"/>
      <c r="U1757" s="770"/>
      <c r="V1757" s="770"/>
      <c r="W1757" s="770"/>
      <c r="X1757" s="770"/>
      <c r="Y1757" s="770"/>
      <c r="Z1757" s="694"/>
      <c r="AA1757" s="694"/>
      <c r="AB1757" s="729"/>
      <c r="AC1757" s="694"/>
      <c r="AD1757" s="694"/>
      <c r="AE1757" s="343"/>
      <c r="AF1757" s="343"/>
      <c r="AG1757" s="343"/>
      <c r="AH1757" s="343"/>
      <c r="AI1757" s="343"/>
      <c r="AJ1757" s="343"/>
      <c r="AK1757" s="343"/>
      <c r="AL1757" s="343"/>
      <c r="AM1757" s="343"/>
    </row>
    <row r="1758" spans="1:39" ht="25.5" customHeight="1" x14ac:dyDescent="0.25">
      <c r="A1758" s="729"/>
      <c r="B1758" s="698"/>
      <c r="C1758" s="284"/>
      <c r="D1758" s="284"/>
      <c r="E1758" s="2459" t="str">
        <f>Translations!$B$1536</f>
        <v>Вписванията тук са задължителни за всички години, ако средното годишно равнище на дейност по буква а) се е променило с повече от 15 % за поне една година и само в този случай ще окаже пряко въздействие върху разпределянето.</v>
      </c>
      <c r="F1758" s="2460"/>
      <c r="G1758" s="2460"/>
      <c r="H1758" s="2460"/>
      <c r="I1758" s="2460"/>
      <c r="J1758" s="2460"/>
      <c r="K1758" s="2460"/>
      <c r="L1758" s="2460"/>
      <c r="M1758" s="2460"/>
      <c r="N1758" s="2460"/>
      <c r="O1758" s="336"/>
      <c r="P1758" s="336"/>
      <c r="Q1758" s="694"/>
      <c r="R1758" s="694"/>
      <c r="S1758" s="694"/>
      <c r="T1758" s="694"/>
      <c r="U1758" s="694"/>
      <c r="V1758" s="694"/>
      <c r="W1758" s="694"/>
      <c r="X1758" s="694"/>
      <c r="Y1758" s="694"/>
      <c r="Z1758" s="729"/>
      <c r="AA1758" s="729"/>
      <c r="AB1758" s="729"/>
      <c r="AC1758" s="729"/>
      <c r="AD1758" s="694"/>
      <c r="AE1758" s="343"/>
      <c r="AF1758" s="343"/>
      <c r="AG1758" s="343"/>
      <c r="AH1758" s="343"/>
      <c r="AI1758" s="343"/>
      <c r="AJ1758" s="343"/>
      <c r="AK1758" s="343"/>
      <c r="AL1758" s="343"/>
      <c r="AM1758" s="343"/>
    </row>
    <row r="1759" spans="1:39" ht="12.75" customHeight="1" x14ac:dyDescent="0.25">
      <c r="A1759" s="729"/>
      <c r="B1759" s="698"/>
      <c r="C1759" s="284"/>
      <c r="D1759" s="284"/>
      <c r="E1759" s="2358" t="str">
        <f>Translations!$B$1564</f>
        <v>Стойността в НМИ се отнася до средните емисии през историческия базов период (НМИ).</v>
      </c>
      <c r="F1759" s="2249"/>
      <c r="G1759" s="2249"/>
      <c r="H1759" s="2249"/>
      <c r="I1759" s="2249"/>
      <c r="J1759" s="2249"/>
      <c r="K1759" s="2249"/>
      <c r="L1759" s="2249"/>
      <c r="M1759" s="2249"/>
      <c r="N1759" s="2249"/>
      <c r="O1759" s="336"/>
      <c r="P1759" s="295"/>
      <c r="Q1759" s="694"/>
      <c r="R1759" s="694"/>
      <c r="S1759" s="694"/>
      <c r="T1759" s="694"/>
      <c r="U1759" s="694"/>
      <c r="V1759" s="694"/>
      <c r="W1759" s="694"/>
      <c r="X1759" s="694"/>
      <c r="Y1759" s="694"/>
      <c r="Z1759" s="729"/>
      <c r="AA1759" s="729"/>
      <c r="AB1759" s="729"/>
      <c r="AC1759" s="729"/>
      <c r="AD1759" s="694"/>
      <c r="AE1759" s="343"/>
      <c r="AF1759" s="343"/>
      <c r="AG1759" s="343"/>
      <c r="AH1759" s="343"/>
      <c r="AI1759" s="343"/>
      <c r="AJ1759" s="343"/>
      <c r="AK1759" s="343"/>
      <c r="AL1759" s="343"/>
      <c r="AM1759" s="343"/>
    </row>
    <row r="1760" spans="1:39" ht="12.75" customHeight="1" x14ac:dyDescent="0.25">
      <c r="A1760" s="729"/>
      <c r="B1760" s="698"/>
      <c r="C1760" s="284"/>
      <c r="D1760" s="284"/>
      <c r="E1760" s="2358" t="str">
        <f>Translations!$B$1538</f>
        <v>Допълнителни насоки относно отнасянето по продукти за изчисляването на историческата ефективност (HistEff) могат да бъдат намерени в раздели 2.3 и 3 от Ръководство № 7.</v>
      </c>
      <c r="F1760" s="2249"/>
      <c r="G1760" s="2249"/>
      <c r="H1760" s="2249"/>
      <c r="I1760" s="2249"/>
      <c r="J1760" s="2249"/>
      <c r="K1760" s="2249"/>
      <c r="L1760" s="2249"/>
      <c r="M1760" s="2249"/>
      <c r="N1760" s="2249"/>
      <c r="O1760" s="336"/>
      <c r="P1760" s="295"/>
      <c r="Q1760" s="694"/>
      <c r="R1760" s="694"/>
      <c r="S1760" s="694"/>
      <c r="T1760" s="694"/>
      <c r="U1760" s="694"/>
      <c r="V1760" s="694"/>
      <c r="W1760" s="694"/>
      <c r="X1760" s="694"/>
      <c r="Y1760" s="694"/>
      <c r="Z1760" s="729"/>
      <c r="AA1760" s="729"/>
      <c r="AB1760" s="729"/>
      <c r="AC1760" s="729"/>
      <c r="AD1760" s="694"/>
      <c r="AE1760" s="343"/>
      <c r="AF1760" s="343"/>
      <c r="AG1760" s="343"/>
      <c r="AH1760" s="343"/>
      <c r="AI1760" s="343"/>
      <c r="AJ1760" s="343"/>
      <c r="AK1760" s="343"/>
      <c r="AL1760" s="343"/>
      <c r="AM1760" s="343"/>
    </row>
    <row r="1761" spans="1:39" ht="5.15" customHeight="1" x14ac:dyDescent="0.25">
      <c r="A1761" s="729"/>
      <c r="B1761" s="698"/>
      <c r="C1761" s="284"/>
      <c r="D1761" s="284"/>
      <c r="E1761" s="2358"/>
      <c r="F1761" s="2249"/>
      <c r="G1761" s="2249"/>
      <c r="H1761" s="2249"/>
      <c r="I1761" s="2249"/>
      <c r="J1761" s="2249"/>
      <c r="K1761" s="2249"/>
      <c r="L1761" s="2249"/>
      <c r="M1761" s="2249"/>
      <c r="N1761" s="2249"/>
      <c r="O1761" s="336"/>
      <c r="P1761" s="295"/>
      <c r="Q1761" s="694"/>
      <c r="R1761" s="694"/>
      <c r="S1761" s="694"/>
      <c r="T1761" s="694"/>
      <c r="U1761" s="694"/>
      <c r="V1761" s="694"/>
      <c r="W1761" s="694"/>
      <c r="X1761" s="694"/>
      <c r="Y1761" s="694"/>
      <c r="Z1761" s="729"/>
      <c r="AA1761" s="729"/>
      <c r="AB1761" s="729"/>
      <c r="AC1761" s="729"/>
      <c r="AD1761" s="694"/>
      <c r="AE1761" s="343"/>
      <c r="AF1761" s="343"/>
      <c r="AG1761" s="343"/>
      <c r="AH1761" s="343"/>
      <c r="AI1761" s="343"/>
      <c r="AJ1761" s="343"/>
      <c r="AK1761" s="343"/>
      <c r="AL1761" s="343"/>
      <c r="AM1761" s="343"/>
    </row>
    <row r="1762" spans="1:39" s="1423" customFormat="1" ht="25.5" customHeight="1" thickBot="1" x14ac:dyDescent="0.35">
      <c r="A1762" s="729"/>
      <c r="B1762" s="1412"/>
      <c r="C1762" s="1413"/>
      <c r="D1762" s="1414"/>
      <c r="E1762" s="1415" t="str">
        <f t="shared" ref="E1762:E1772" si="2502">E1743</f>
        <v>Име на продукт или вид услуга</v>
      </c>
      <c r="F1762" s="1416" t="str">
        <f>EUconst_Unit</f>
        <v>Единица мярка</v>
      </c>
      <c r="G1762" s="1419" t="str">
        <f>Translations!$B$1336</f>
        <v>Стойност в НМИ</v>
      </c>
      <c r="H1762" s="1418">
        <f t="shared" ref="H1762:N1762" si="2503">H$1840</f>
        <v>2024</v>
      </c>
      <c r="I1762" s="1419">
        <f t="shared" si="2503"/>
        <v>2025</v>
      </c>
      <c r="J1762" s="1418">
        <f t="shared" si="2503"/>
        <v>2026</v>
      </c>
      <c r="K1762" s="1420">
        <f t="shared" si="2503"/>
        <v>2027</v>
      </c>
      <c r="L1762" s="1420">
        <f t="shared" si="2503"/>
        <v>2028</v>
      </c>
      <c r="M1762" s="1420">
        <f t="shared" si="2503"/>
        <v>2029</v>
      </c>
      <c r="N1762" s="1420">
        <f t="shared" si="2503"/>
        <v>2030</v>
      </c>
      <c r="O1762" s="336"/>
      <c r="P1762" s="295"/>
      <c r="Q1762" s="1421"/>
      <c r="R1762" s="1421"/>
      <c r="S1762" s="770" t="str">
        <f>Translations!$B$1341</f>
        <v>Базова стойност</v>
      </c>
      <c r="T1762" s="1421">
        <f t="shared" ref="T1762" si="2504">H1762</f>
        <v>2024</v>
      </c>
      <c r="U1762" s="1421">
        <f t="shared" ref="U1762" si="2505">I1762</f>
        <v>2025</v>
      </c>
      <c r="V1762" s="1421">
        <f t="shared" ref="V1762" si="2506">J1762</f>
        <v>2026</v>
      </c>
      <c r="W1762" s="1421">
        <f t="shared" ref="W1762" si="2507">K1762</f>
        <v>2027</v>
      </c>
      <c r="X1762" s="1421">
        <f t="shared" ref="X1762" si="2508">L1762</f>
        <v>2028</v>
      </c>
      <c r="Y1762" s="1421">
        <f t="shared" ref="Y1762" si="2509">M1762</f>
        <v>2029</v>
      </c>
      <c r="Z1762" s="1421">
        <f t="shared" ref="Z1762" si="2510">N1762</f>
        <v>2030</v>
      </c>
      <c r="AA1762" s="1421"/>
      <c r="AB1762" s="770" t="str">
        <f>Translations!$B$1284</f>
        <v>HAL</v>
      </c>
      <c r="AC1762" s="1421">
        <f t="shared" ref="AC1762" si="2511">H1762</f>
        <v>2024</v>
      </c>
      <c r="AD1762" s="1421">
        <f t="shared" ref="AD1762" si="2512">I1762</f>
        <v>2025</v>
      </c>
      <c r="AE1762" s="1421">
        <f t="shared" ref="AE1762" si="2513">J1762</f>
        <v>2026</v>
      </c>
      <c r="AF1762" s="1421">
        <f t="shared" ref="AF1762" si="2514">K1762</f>
        <v>2027</v>
      </c>
      <c r="AG1762" s="1421">
        <f t="shared" ref="AG1762" si="2515">L1762</f>
        <v>2028</v>
      </c>
      <c r="AH1762" s="1422">
        <f t="shared" ref="AH1762" si="2516">M1762</f>
        <v>2029</v>
      </c>
      <c r="AI1762" s="1422">
        <f t="shared" ref="AI1762" si="2517">N1762</f>
        <v>2030</v>
      </c>
      <c r="AJ1762" s="1422"/>
      <c r="AK1762" s="1422"/>
      <c r="AL1762" s="1422"/>
      <c r="AM1762" s="1422"/>
    </row>
    <row r="1763" spans="1:39" ht="12.75" customHeight="1" x14ac:dyDescent="0.25">
      <c r="A1763" s="729"/>
      <c r="B1763" s="698"/>
      <c r="C1763" s="2906" t="str">
        <f>Translations!$B$1565</f>
        <v>допустими</v>
      </c>
      <c r="D1763" s="981">
        <v>1</v>
      </c>
      <c r="E1763" s="1424" t="str">
        <f t="shared" si="2502"/>
        <v/>
      </c>
      <c r="F1763" s="1259" t="str">
        <f>H1710</f>
        <v>t CO2e</v>
      </c>
      <c r="G1763" s="125"/>
      <c r="H1763" s="116"/>
      <c r="I1763" s="46"/>
      <c r="J1763" s="116"/>
      <c r="K1763" s="40"/>
      <c r="L1763" s="40"/>
      <c r="M1763" s="40"/>
      <c r="N1763" s="40"/>
      <c r="O1763" s="1442"/>
      <c r="P1763" s="158"/>
      <c r="Q1763" s="694"/>
      <c r="R1763" s="694"/>
      <c r="S1763" s="1443" t="str">
        <f>IF($M1694&lt;&gt;EUconst_Relevant,"",
IF($V1694&gt;($J$1840-3),
              IF(INDEX(H1744:N1744,MATCH($V1694,$T1762:$Z1762,0))=0,0,INDEX(H1763:N1763,MATCH($V1694,$T1762:$Z1762,0))/INDEX(H1744:N1744,MATCH($V1694,$T1762:$Z1762,0))),
                             IF(ISNUMBER(G1744),
                                            IF(OR(G1744=0,$S1728=FALSE),0,G1763/G1744),"")))</f>
        <v/>
      </c>
      <c r="T1763" s="1444" t="str">
        <f t="shared" ref="T1763:T1772" si="2518">IF($E1763="","",IF(IFERROR(SUM($S1763)=0,SUM($H1763)),SUM(H1763),SUM(H1744)*SUM($S1763)))</f>
        <v/>
      </c>
      <c r="U1763" s="1444" t="str">
        <f t="shared" ref="U1763" si="2519">IF($E1763="","",IF(IFERROR(SUM($S1763)=0,SUM($H1763)),SUM(I1763),SUM(I1744)*SUM($S1763)))</f>
        <v/>
      </c>
      <c r="V1763" s="1444" t="str">
        <f t="shared" ref="V1763:V1772" si="2520">IF($E1763="","",IF(IFERROR(SUM($S1763)=0,SUM($H1763)),SUM(J1763),SUM(J1744)*SUM($S1763)))</f>
        <v/>
      </c>
      <c r="W1763" s="1444" t="str">
        <f t="shared" ref="W1763:W1772" si="2521">IF($E1763="","",IF(IFERROR(SUM($S1763)=0,SUM($H1763)),SUM(K1763),SUM(K1744)*SUM($S1763)))</f>
        <v/>
      </c>
      <c r="X1763" s="1444" t="str">
        <f t="shared" ref="X1763:X1772" si="2522">IF($E1763="","",IF(IFERROR(SUM($S1763)=0,SUM($H1763)),SUM(L1763),SUM(L1744)*SUM($S1763)))</f>
        <v/>
      </c>
      <c r="Y1763" s="1444" t="str">
        <f t="shared" ref="Y1763:Y1772" si="2523">IF($E1763="","",IF(IFERROR(SUM($S1763)=0,SUM($H1763)),SUM(M1763),SUM(M1744)*SUM($S1763)))</f>
        <v/>
      </c>
      <c r="Z1763" s="1445" t="str">
        <f t="shared" ref="Z1763:Z1772" si="2524">IF($E1763="","",IF(IFERROR(SUM($S1763)=0,SUM($H1763)),SUM(N1763),SUM(N1744)*SUM($S1763)))</f>
        <v/>
      </c>
      <c r="AA1763" s="1446" t="s">
        <v>1757</v>
      </c>
      <c r="AB1763" s="1447">
        <f>MAX(AC1763,AD1763:AI1763)</f>
        <v>2</v>
      </c>
      <c r="AC1763" s="1426">
        <f>IF(CNTR_ExistSubInstEntries,IF(OR($M1694&lt;&gt;EUconst_Relevant,AC1762&gt;=CNTR_ReportingYear,AC1762&lt;$V1694-1,$E1763=""),0,IF(AND($T1756=2,COUNTIF($V1711:V1711,TRUE)&gt;0,$S1728),2,1)),2)</f>
        <v>2</v>
      </c>
      <c r="AD1763" s="1427">
        <f>IF(CNTR_ExistSubInstEntries,IF(OR($M1694&lt;&gt;EUconst_Relevant,AD1762&gt;=CNTR_ReportingYear,AD1762&lt;$V1694-1,$E1763=""),0,IF(AND($T1756=2,COUNTIF($V1711:W1711,TRUE)&gt;0,$S1728),2,1)),2)</f>
        <v>2</v>
      </c>
      <c r="AE1763" s="1427">
        <f>IF(CNTR_ExistSubInstEntries,IF(OR($M1694&lt;&gt;EUconst_Relevant,AE1762&gt;=CNTR_ReportingYear,AE1762&lt;$V1694-1,$E1763=""),0,IF(AND($T1756=2,COUNTIF($V1711:X1711,TRUE)&gt;0,$S1728),2,1)),2)</f>
        <v>2</v>
      </c>
      <c r="AF1763" s="1427">
        <f>IF(CNTR_ExistSubInstEntries,IF(OR($M1694&lt;&gt;EUconst_Relevant,AF1762&gt;=CNTR_ReportingYear,AF1762&lt;$V1694-1,$E1763=""),0,IF(AND($T1756=2,COUNTIF($V1711:Y1711,TRUE)&gt;0,$S1728),2,1)),2)</f>
        <v>2</v>
      </c>
      <c r="AG1763" s="1427">
        <f>IF(CNTR_ExistSubInstEntries,IF(OR($M1694&lt;&gt;EUconst_Relevant,AG1762&gt;=CNTR_ReportingYear,AG1762&lt;$V1694-1,$E1763=""),0,IF(AND($T1756=2,COUNTIF($V1711:Z1711,TRUE)&gt;0,$S1728),2,1)),2)</f>
        <v>2</v>
      </c>
      <c r="AH1763" s="1428">
        <f>IF(CNTR_ExistSubInstEntries,IF(OR($M1694&lt;&gt;EUconst_Relevant,AH1762&gt;=CNTR_ReportingYear,AH1762&lt;$V1694-1,$E1763=""),0,IF(AND($T1756=2,COUNTIF($V1711:AA1711,TRUE)&gt;0,$S1728),2,1)),2)</f>
        <v>2</v>
      </c>
      <c r="AI1763" s="1429">
        <f>IF(CNTR_ExistSubInstEntries,IF(OR($M1694&lt;&gt;EUconst_Relevant,AI1762&gt;=CNTR_ReportingYear,AI1762&lt;$V1694-1,$E1763=""),0,IF(AND($T1756=2,COUNTIF($V1711:AB1711,TRUE)&gt;0,$S1728),2,1)),2)</f>
        <v>2</v>
      </c>
      <c r="AJ1763" s="343"/>
      <c r="AK1763" s="1174" t="s">
        <v>2039</v>
      </c>
      <c r="AL1763" s="1176" t="str">
        <f>IF(AND(CNTR_ExistSubInstEntries,COUNTIFS(AB1763:AI1763,2,G1763:N1763,"")&gt;0),EUconst_Error&amp;"FB"&amp;Q1694,"")</f>
        <v/>
      </c>
      <c r="AM1763" s="343"/>
    </row>
    <row r="1764" spans="1:39" ht="12.75" customHeight="1" x14ac:dyDescent="0.25">
      <c r="A1764" s="729"/>
      <c r="B1764" s="698"/>
      <c r="C1764" s="2906"/>
      <c r="D1764" s="990">
        <v>2</v>
      </c>
      <c r="E1764" s="1430" t="str">
        <f t="shared" si="2502"/>
        <v/>
      </c>
      <c r="F1764" s="1448" t="str">
        <f>F1763</f>
        <v>t CO2e</v>
      </c>
      <c r="G1764" s="124"/>
      <c r="H1764" s="119"/>
      <c r="I1764" s="47"/>
      <c r="J1764" s="119"/>
      <c r="K1764" s="43"/>
      <c r="L1764" s="43"/>
      <c r="M1764" s="43"/>
      <c r="N1764" s="43"/>
      <c r="O1764" s="336"/>
      <c r="P1764" s="158"/>
      <c r="Q1764" s="694"/>
      <c r="R1764" s="694"/>
      <c r="S1764" s="1449" t="str">
        <f>IF($M1694&lt;&gt;EUconst_Relevant,"",
IF($V1694&gt;($J$1840-3),
              IF(INDEX(H1745:N1745,MATCH($V1694,$T1762:$Z1762,0))=0,0,INDEX(H1764:N1764,MATCH($V1694,$T1762:$Z1762,0))/INDEX(H1745:N1745,MATCH($V1694,$T1762:$Z1762,0))),
                             IF(ISNUMBER(G1745),
                                            IF(OR(G1745=0,$S1729=FALSE),0,G1764/G1745),"")))</f>
        <v/>
      </c>
      <c r="T1764" s="1450" t="str">
        <f t="shared" si="2518"/>
        <v/>
      </c>
      <c r="U1764" s="1450" t="str">
        <f t="shared" ref="U1764:U1772" si="2525">IF($E1764="","",IF(IFERROR(SUM($S1764)=0,SUM($H1764)),SUM(I1764),SUM(I1745)*SUM($S1764)))</f>
        <v/>
      </c>
      <c r="V1764" s="1450" t="str">
        <f t="shared" si="2520"/>
        <v/>
      </c>
      <c r="W1764" s="1450" t="str">
        <f t="shared" si="2521"/>
        <v/>
      </c>
      <c r="X1764" s="1450" t="str">
        <f t="shared" si="2522"/>
        <v/>
      </c>
      <c r="Y1764" s="1450" t="str">
        <f t="shared" si="2523"/>
        <v/>
      </c>
      <c r="Z1764" s="1451" t="str">
        <f t="shared" si="2524"/>
        <v/>
      </c>
      <c r="AA1764" s="694"/>
      <c r="AB1764" s="1431">
        <f t="shared" ref="AB1764:AB1772" si="2526">MAX(AC1764,AD1764:AI1764)</f>
        <v>2</v>
      </c>
      <c r="AC1764" s="1432">
        <f>IF(CNTR_ExistSubInstEntries,IF(OR($M1694&lt;&gt;EUconst_Relevant,AC1762&gt;=CNTR_ReportingYear,AC1762&lt;$V1694-1,$E1764=""),0,IF(AND($T1756=2,COUNTIF($V1711:V1711,TRUE)&gt;0,$S1729),2,1)),2)</f>
        <v>2</v>
      </c>
      <c r="AD1764" s="1432">
        <f>IF(CNTR_ExistSubInstEntries,IF(OR($M1694&lt;&gt;EUconst_Relevant,AD1762&gt;=CNTR_ReportingYear,AD1762&lt;$V1694-1,$E1764=""),0,IF(AND($T1756=2,COUNTIF($V1711:W1711,TRUE)&gt;0,$S1729),2,1)),2)</f>
        <v>2</v>
      </c>
      <c r="AE1764" s="1432">
        <f>IF(CNTR_ExistSubInstEntries,IF(OR($M1694&lt;&gt;EUconst_Relevant,AE1762&gt;=CNTR_ReportingYear,AE1762&lt;$V1694-1,$E1764=""),0,IF(AND($T1756=2,COUNTIF($V1711:X1711,TRUE)&gt;0,$S1729),2,1)),2)</f>
        <v>2</v>
      </c>
      <c r="AF1764" s="1432">
        <f>IF(CNTR_ExistSubInstEntries,IF(OR($M1694&lt;&gt;EUconst_Relevant,AF1762&gt;=CNTR_ReportingYear,AF1762&lt;$V1694-1,$E1764=""),0,IF(AND($T1756=2,COUNTIF($V1711:Y1711,TRUE)&gt;0,$S1729),2,1)),2)</f>
        <v>2</v>
      </c>
      <c r="AG1764" s="1432">
        <f>IF(CNTR_ExistSubInstEntries,IF(OR($M1694&lt;&gt;EUconst_Relevant,AG1762&gt;=CNTR_ReportingYear,AG1762&lt;$V1694-1,$E1764=""),0,IF(AND($T1756=2,COUNTIF($V1711:Z1711,TRUE)&gt;0,$S1729),2,1)),2)</f>
        <v>2</v>
      </c>
      <c r="AH1764" s="1432">
        <f>IF(CNTR_ExistSubInstEntries,IF(OR($M1694&lt;&gt;EUconst_Relevant,AH1762&gt;=CNTR_ReportingYear,AH1762&lt;$V1694-1,$E1764=""),0,IF(AND($T1756=2,COUNTIF($V1711:AA1711,TRUE)&gt;0,$S1729),2,1)),2)</f>
        <v>2</v>
      </c>
      <c r="AI1764" s="1452">
        <f>IF(CNTR_ExistSubInstEntries,IF(OR($M1694&lt;&gt;EUconst_Relevant,AI1762&gt;=CNTR_ReportingYear,AI1762&lt;$V1694-1,$E1764=""),0,IF(AND($T1756=2,COUNTIF($V1711:AB1711,TRUE)&gt;0,$S1729),2,1)),2)</f>
        <v>2</v>
      </c>
      <c r="AJ1764" s="343"/>
      <c r="AK1764" s="1174" t="s">
        <v>2039</v>
      </c>
      <c r="AL1764" s="1176" t="str">
        <f>IF(AND(CNTR_ExistSubInstEntries,COUNTIFS(AB1764:AI1764,2,G1764:N1764,"")&gt;0),EUconst_Error&amp;"FB"&amp;Q1694,"")</f>
        <v/>
      </c>
      <c r="AM1764" s="343"/>
    </row>
    <row r="1765" spans="1:39" ht="12.75" customHeight="1" x14ac:dyDescent="0.25">
      <c r="A1765" s="729"/>
      <c r="B1765" s="698"/>
      <c r="C1765" s="2906"/>
      <c r="D1765" s="990">
        <v>3</v>
      </c>
      <c r="E1765" s="1430" t="str">
        <f t="shared" si="2502"/>
        <v/>
      </c>
      <c r="F1765" s="1448" t="str">
        <f t="shared" ref="F1765:F1774" si="2527">EUconst_tCO2e</f>
        <v>t CO2e</v>
      </c>
      <c r="G1765" s="47"/>
      <c r="H1765" s="119"/>
      <c r="I1765" s="47"/>
      <c r="J1765" s="119"/>
      <c r="K1765" s="43"/>
      <c r="L1765" s="43"/>
      <c r="M1765" s="43"/>
      <c r="N1765" s="43"/>
      <c r="O1765" s="336"/>
      <c r="P1765" s="158"/>
      <c r="Q1765" s="694"/>
      <c r="R1765" s="694"/>
      <c r="S1765" s="1449" t="str">
        <f>IF($M1694&lt;&gt;EUconst_Relevant,"",
IF($V1694&gt;($J$1840-3),
              IF(INDEX(H1746:N1746,MATCH($V1694,$T1762:$Z1762,0))=0,0,INDEX(H1765:N1765,MATCH($V1694,$T1762:$Z1762,0))/INDEX(H1746:N1746,MATCH($V1694,$T1762:$Z1762,0))),
                             IF(ISNUMBER(G1746),
                                            IF(OR(G1746=0,$S1730=FALSE),0,G1765/G1746),"")))</f>
        <v/>
      </c>
      <c r="T1765" s="1450" t="str">
        <f t="shared" si="2518"/>
        <v/>
      </c>
      <c r="U1765" s="1450" t="str">
        <f t="shared" si="2525"/>
        <v/>
      </c>
      <c r="V1765" s="1450" t="str">
        <f t="shared" si="2520"/>
        <v/>
      </c>
      <c r="W1765" s="1450" t="str">
        <f t="shared" si="2521"/>
        <v/>
      </c>
      <c r="X1765" s="1450" t="str">
        <f t="shared" si="2522"/>
        <v/>
      </c>
      <c r="Y1765" s="1450" t="str">
        <f t="shared" si="2523"/>
        <v/>
      </c>
      <c r="Z1765" s="1451" t="str">
        <f t="shared" si="2524"/>
        <v/>
      </c>
      <c r="AA1765" s="694"/>
      <c r="AB1765" s="1431">
        <f t="shared" si="2526"/>
        <v>2</v>
      </c>
      <c r="AC1765" s="1432">
        <f>IF(CNTR_ExistSubInstEntries,IF(OR($M1694&lt;&gt;EUconst_Relevant,AC1762&gt;=CNTR_ReportingYear,AC1762&lt;$V1694-1,$E1765=""),0,IF(AND($T1756=2,COUNTIF($V1711:V1711,TRUE)&gt;0,$S1730),2,1)),2)</f>
        <v>2</v>
      </c>
      <c r="AD1765" s="1432">
        <f>IF(CNTR_ExistSubInstEntries,IF(OR($M1694&lt;&gt;EUconst_Relevant,AD1762&gt;=CNTR_ReportingYear,AD1762&lt;$V1694-1,$E1765=""),0,IF(AND($T1756=2,COUNTIF($V1711:W1711,TRUE)&gt;0,$S1730),2,1)),2)</f>
        <v>2</v>
      </c>
      <c r="AE1765" s="1432">
        <f>IF(CNTR_ExistSubInstEntries,IF(OR($M1694&lt;&gt;EUconst_Relevant,AE1762&gt;=CNTR_ReportingYear,AE1762&lt;$V1694-1,$E1765=""),0,IF(AND($T1756=2,COUNTIF($V1711:X1711,TRUE)&gt;0,$S1730),2,1)),2)</f>
        <v>2</v>
      </c>
      <c r="AF1765" s="1432">
        <f>IF(CNTR_ExistSubInstEntries,IF(OR($M1694&lt;&gt;EUconst_Relevant,AF1762&gt;=CNTR_ReportingYear,AF1762&lt;$V1694-1,$E1765=""),0,IF(AND($T1756=2,COUNTIF($V1711:Y1711,TRUE)&gt;0,$S1730),2,1)),2)</f>
        <v>2</v>
      </c>
      <c r="AG1765" s="1432">
        <f>IF(CNTR_ExistSubInstEntries,IF(OR($M1694&lt;&gt;EUconst_Relevant,AG1762&gt;=CNTR_ReportingYear,AG1762&lt;$V1694-1,$E1765=""),0,IF(AND($T1756=2,COUNTIF($V1711:Z1711,TRUE)&gt;0,$S1730),2,1)),2)</f>
        <v>2</v>
      </c>
      <c r="AH1765" s="1432">
        <f>IF(CNTR_ExistSubInstEntries,IF(OR($M1694&lt;&gt;EUconst_Relevant,AH1762&gt;=CNTR_ReportingYear,AH1762&lt;$V1694-1,$E1765=""),0,IF(AND($T1756=2,COUNTIF($V1711:AA1711,TRUE)&gt;0,$S1730),2,1)),2)</f>
        <v>2</v>
      </c>
      <c r="AI1765" s="1452">
        <f>IF(CNTR_ExistSubInstEntries,IF(OR($M1694&lt;&gt;EUconst_Relevant,AI1762&gt;=CNTR_ReportingYear,AI1762&lt;$V1694-1,$E1765=""),0,IF(AND($T1756=2,COUNTIF($V1711:AB1711,TRUE)&gt;0,$S1730),2,1)),2)</f>
        <v>2</v>
      </c>
      <c r="AJ1765" s="343"/>
      <c r="AK1765" s="1174" t="s">
        <v>2039</v>
      </c>
      <c r="AL1765" s="1176" t="str">
        <f>IF(AND(CNTR_ExistSubInstEntries,COUNTIFS(AB1765:AI1765,2,G1765:N1765,"")&gt;0),EUconst_Error&amp;"FB"&amp;Q1694,"")</f>
        <v/>
      </c>
      <c r="AM1765" s="343"/>
    </row>
    <row r="1766" spans="1:39" ht="12.75" customHeight="1" x14ac:dyDescent="0.25">
      <c r="A1766" s="729"/>
      <c r="B1766" s="698"/>
      <c r="C1766" s="2906"/>
      <c r="D1766" s="990">
        <v>4</v>
      </c>
      <c r="E1766" s="1430" t="str">
        <f t="shared" si="2502"/>
        <v/>
      </c>
      <c r="F1766" s="1448" t="str">
        <f t="shared" si="2527"/>
        <v>t CO2e</v>
      </c>
      <c r="G1766" s="47"/>
      <c r="H1766" s="119"/>
      <c r="I1766" s="47"/>
      <c r="J1766" s="119"/>
      <c r="K1766" s="43"/>
      <c r="L1766" s="43"/>
      <c r="M1766" s="43"/>
      <c r="N1766" s="43"/>
      <c r="O1766" s="336"/>
      <c r="P1766" s="158"/>
      <c r="Q1766" s="694"/>
      <c r="R1766" s="694"/>
      <c r="S1766" s="1449" t="str">
        <f>IF($M1694&lt;&gt;EUconst_Relevant,"",
IF($V1694&gt;($J$1840-3),
              IF(INDEX(H1747:N1747,MATCH($V1694,$T1762:$Z1762,0))=0,0,INDEX(H1766:N1766,MATCH($V1694,$T1762:$Z1762,0))/INDEX(H1747:N1747,MATCH($V1694,$T1762:$Z1762,0))),
                             IF(ISNUMBER(G1747),
                                            IF(OR(G1747=0,$S1731=FALSE),0,G1766/G1747),"")))</f>
        <v/>
      </c>
      <c r="T1766" s="1450" t="str">
        <f t="shared" si="2518"/>
        <v/>
      </c>
      <c r="U1766" s="1450" t="str">
        <f t="shared" si="2525"/>
        <v/>
      </c>
      <c r="V1766" s="1450" t="str">
        <f t="shared" si="2520"/>
        <v/>
      </c>
      <c r="W1766" s="1450" t="str">
        <f t="shared" si="2521"/>
        <v/>
      </c>
      <c r="X1766" s="1450" t="str">
        <f t="shared" si="2522"/>
        <v/>
      </c>
      <c r="Y1766" s="1450" t="str">
        <f t="shared" si="2523"/>
        <v/>
      </c>
      <c r="Z1766" s="1451" t="str">
        <f t="shared" si="2524"/>
        <v/>
      </c>
      <c r="AA1766" s="694"/>
      <c r="AB1766" s="1431">
        <f t="shared" si="2526"/>
        <v>2</v>
      </c>
      <c r="AC1766" s="1432">
        <f>IF(CNTR_ExistSubInstEntries,IF(OR($M1694&lt;&gt;EUconst_Relevant,AC1762&gt;=CNTR_ReportingYear,AC1762&lt;$V1694-1,$E1766=""),0,IF(AND($T1756=2,COUNTIF($V1711:V1711,TRUE)&gt;0,$S1731),2,1)),2)</f>
        <v>2</v>
      </c>
      <c r="AD1766" s="1432">
        <f>IF(CNTR_ExistSubInstEntries,IF(OR($M1694&lt;&gt;EUconst_Relevant,AD1762&gt;=CNTR_ReportingYear,AD1762&lt;$V1694-1,$E1766=""),0,IF(AND($T1756=2,COUNTIF($V1711:W1711,TRUE)&gt;0,$S1731),2,1)),2)</f>
        <v>2</v>
      </c>
      <c r="AE1766" s="1432">
        <f>IF(CNTR_ExistSubInstEntries,IF(OR($M1694&lt;&gt;EUconst_Relevant,AE1762&gt;=CNTR_ReportingYear,AE1762&lt;$V1694-1,$E1766=""),0,IF(AND($T1756=2,COUNTIF($V1711:X1711,TRUE)&gt;0,$S1731),2,1)),2)</f>
        <v>2</v>
      </c>
      <c r="AF1766" s="1432">
        <f>IF(CNTR_ExistSubInstEntries,IF(OR($M1694&lt;&gt;EUconst_Relevant,AF1762&gt;=CNTR_ReportingYear,AF1762&lt;$V1694-1,$E1766=""),0,IF(AND($T1756=2,COUNTIF($V1711:Y1711,TRUE)&gt;0,$S1731),2,1)),2)</f>
        <v>2</v>
      </c>
      <c r="AG1766" s="1432">
        <f>IF(CNTR_ExistSubInstEntries,IF(OR($M1694&lt;&gt;EUconst_Relevant,AG1762&gt;=CNTR_ReportingYear,AG1762&lt;$V1694-1,$E1766=""),0,IF(AND($T1756=2,COUNTIF($V1711:Z1711,TRUE)&gt;0,$S1731),2,1)),2)</f>
        <v>2</v>
      </c>
      <c r="AH1766" s="1432">
        <f>IF(CNTR_ExistSubInstEntries,IF(OR($M1694&lt;&gt;EUconst_Relevant,AH1762&gt;=CNTR_ReportingYear,AH1762&lt;$V1694-1,$E1766=""),0,IF(AND($T1756=2,COUNTIF($V1711:AA1711,TRUE)&gt;0,$S1731),2,1)),2)</f>
        <v>2</v>
      </c>
      <c r="AI1766" s="1452">
        <f>IF(CNTR_ExistSubInstEntries,IF(OR($M1694&lt;&gt;EUconst_Relevant,AI1762&gt;=CNTR_ReportingYear,AI1762&lt;$V1694-1,$E1766=""),0,IF(AND($T1756=2,COUNTIF($V1711:AB1711,TRUE)&gt;0,$S1731),2,1)),2)</f>
        <v>2</v>
      </c>
      <c r="AJ1766" s="343"/>
      <c r="AK1766" s="1174" t="s">
        <v>2039</v>
      </c>
      <c r="AL1766" s="1176" t="str">
        <f>IF(AND(CNTR_ExistSubInstEntries,COUNTIFS(AB1766:AI1766,2,G1766:N1766,"")&gt;0),EUconst_Error&amp;"FB"&amp;Q1694,"")</f>
        <v/>
      </c>
      <c r="AM1766" s="343"/>
    </row>
    <row r="1767" spans="1:39" ht="12.75" customHeight="1" x14ac:dyDescent="0.25">
      <c r="A1767" s="729"/>
      <c r="B1767" s="698"/>
      <c r="C1767" s="2906"/>
      <c r="D1767" s="990">
        <v>5</v>
      </c>
      <c r="E1767" s="1430" t="str">
        <f t="shared" si="2502"/>
        <v/>
      </c>
      <c r="F1767" s="1448" t="str">
        <f t="shared" si="2527"/>
        <v>t CO2e</v>
      </c>
      <c r="G1767" s="47"/>
      <c r="H1767" s="119"/>
      <c r="I1767" s="47"/>
      <c r="J1767" s="119"/>
      <c r="K1767" s="43"/>
      <c r="L1767" s="43"/>
      <c r="M1767" s="43"/>
      <c r="N1767" s="43"/>
      <c r="O1767" s="336"/>
      <c r="P1767" s="158"/>
      <c r="Q1767" s="694"/>
      <c r="R1767" s="694"/>
      <c r="S1767" s="1449" t="str">
        <f>IF($M1694&lt;&gt;EUconst_Relevant,"",
IF($V1694&gt;($J$1840-3),
              IF(INDEX(H1748:N1748,MATCH($V1694,$T1762:$Z1762,0))=0,0,INDEX(H1767:N1767,MATCH($V1694,$T1762:$Z1762,0))/INDEX(H1748:N1748,MATCH($V1694,$T1762:$Z1762,0))),
                             IF(ISNUMBER(G1748),
                                            IF(OR(G1748=0,$S1732=FALSE),0,G1767/G1748),"")))</f>
        <v/>
      </c>
      <c r="T1767" s="1450" t="str">
        <f t="shared" si="2518"/>
        <v/>
      </c>
      <c r="U1767" s="1450" t="str">
        <f t="shared" si="2525"/>
        <v/>
      </c>
      <c r="V1767" s="1450" t="str">
        <f t="shared" si="2520"/>
        <v/>
      </c>
      <c r="W1767" s="1450" t="str">
        <f t="shared" si="2521"/>
        <v/>
      </c>
      <c r="X1767" s="1450" t="str">
        <f t="shared" si="2522"/>
        <v/>
      </c>
      <c r="Y1767" s="1450" t="str">
        <f t="shared" si="2523"/>
        <v/>
      </c>
      <c r="Z1767" s="1451" t="str">
        <f t="shared" si="2524"/>
        <v/>
      </c>
      <c r="AA1767" s="694"/>
      <c r="AB1767" s="1431">
        <f t="shared" si="2526"/>
        <v>2</v>
      </c>
      <c r="AC1767" s="1432">
        <f>IF(CNTR_ExistSubInstEntries,IF(OR($M1694&lt;&gt;EUconst_Relevant,AC1762&gt;=CNTR_ReportingYear,AC1762&lt;$V1694-1,$E1767=""),0,IF(AND($T1756=2,COUNTIF($V1711:V1711,TRUE)&gt;0,$S1732),2,1)),2)</f>
        <v>2</v>
      </c>
      <c r="AD1767" s="1432">
        <f>IF(CNTR_ExistSubInstEntries,IF(OR($M1694&lt;&gt;EUconst_Relevant,AD1762&gt;=CNTR_ReportingYear,AD1762&lt;$V1694-1,$E1767=""),0,IF(AND($T1756=2,COUNTIF($V1711:W1711,TRUE)&gt;0,$S1732),2,1)),2)</f>
        <v>2</v>
      </c>
      <c r="AE1767" s="1432">
        <f>IF(CNTR_ExistSubInstEntries,IF(OR($M1694&lt;&gt;EUconst_Relevant,AE1762&gt;=CNTR_ReportingYear,AE1762&lt;$V1694-1,$E1767=""),0,IF(AND($T1756=2,COUNTIF($V1711:X1711,TRUE)&gt;0,$S1732),2,1)),2)</f>
        <v>2</v>
      </c>
      <c r="AF1767" s="1432">
        <f>IF(CNTR_ExistSubInstEntries,IF(OR($M1694&lt;&gt;EUconst_Relevant,AF1762&gt;=CNTR_ReportingYear,AF1762&lt;$V1694-1,$E1767=""),0,IF(AND($T1756=2,COUNTIF($V1711:Y1711,TRUE)&gt;0,$S1732),2,1)),2)</f>
        <v>2</v>
      </c>
      <c r="AG1767" s="1432">
        <f>IF(CNTR_ExistSubInstEntries,IF(OR($M1694&lt;&gt;EUconst_Relevant,AG1762&gt;=CNTR_ReportingYear,AG1762&lt;$V1694-1,$E1767=""),0,IF(AND($T1756=2,COUNTIF($V1711:Z1711,TRUE)&gt;0,$S1732),2,1)),2)</f>
        <v>2</v>
      </c>
      <c r="AH1767" s="1432">
        <f>IF(CNTR_ExistSubInstEntries,IF(OR($M1694&lt;&gt;EUconst_Relevant,AH1762&gt;=CNTR_ReportingYear,AH1762&lt;$V1694-1,$E1767=""),0,IF(AND($T1756=2,COUNTIF($V1711:AA1711,TRUE)&gt;0,$S1732),2,1)),2)</f>
        <v>2</v>
      </c>
      <c r="AI1767" s="1452">
        <f>IF(CNTR_ExistSubInstEntries,IF(OR($M1694&lt;&gt;EUconst_Relevant,AI1762&gt;=CNTR_ReportingYear,AI1762&lt;$V1694-1,$E1767=""),0,IF(AND($T1756=2,COUNTIF($V1711:AB1711,TRUE)&gt;0,$S1732),2,1)),2)</f>
        <v>2</v>
      </c>
      <c r="AJ1767" s="343"/>
      <c r="AK1767" s="1174" t="s">
        <v>2039</v>
      </c>
      <c r="AL1767" s="1176" t="str">
        <f>IF(AND(CNTR_ExistSubInstEntries,COUNTIFS(AB1767:AI1767,2,G1767:N1767,"")&gt;0),EUconst_Error&amp;"FB"&amp;Q1694,"")</f>
        <v/>
      </c>
      <c r="AM1767" s="343"/>
    </row>
    <row r="1768" spans="1:39" ht="12.75" customHeight="1" x14ac:dyDescent="0.25">
      <c r="A1768" s="729"/>
      <c r="B1768" s="698"/>
      <c r="C1768" s="2906"/>
      <c r="D1768" s="990">
        <v>6</v>
      </c>
      <c r="E1768" s="1430" t="str">
        <f t="shared" si="2502"/>
        <v/>
      </c>
      <c r="F1768" s="1448" t="str">
        <f t="shared" si="2527"/>
        <v>t CO2e</v>
      </c>
      <c r="G1768" s="47"/>
      <c r="H1768" s="119"/>
      <c r="I1768" s="47"/>
      <c r="J1768" s="119"/>
      <c r="K1768" s="43"/>
      <c r="L1768" s="43"/>
      <c r="M1768" s="43"/>
      <c r="N1768" s="43"/>
      <c r="O1768" s="336"/>
      <c r="P1768" s="158"/>
      <c r="Q1768" s="694"/>
      <c r="R1768" s="694"/>
      <c r="S1768" s="1449" t="str">
        <f>IF($M1694&lt;&gt;EUconst_Relevant,"",
IF($V1694&gt;($J$1840-3),
              IF(INDEX(H1749:N1749,MATCH($V1694,$T1762:$Z1762,0))=0,0,INDEX(H1768:N1768,MATCH($V1694,$T1762:$Z1762,0))/INDEX(H1749:N1749,MATCH($V1694,$T1762:$Z1762,0))),
                             IF(ISNUMBER(G1749),
                                            IF(OR(G1749=0,$S1733=FALSE),0,G1768/G1749),"")))</f>
        <v/>
      </c>
      <c r="T1768" s="1450" t="str">
        <f t="shared" si="2518"/>
        <v/>
      </c>
      <c r="U1768" s="1450" t="str">
        <f t="shared" si="2525"/>
        <v/>
      </c>
      <c r="V1768" s="1450" t="str">
        <f t="shared" si="2520"/>
        <v/>
      </c>
      <c r="W1768" s="1450" t="str">
        <f t="shared" si="2521"/>
        <v/>
      </c>
      <c r="X1768" s="1450" t="str">
        <f t="shared" si="2522"/>
        <v/>
      </c>
      <c r="Y1768" s="1450" t="str">
        <f t="shared" si="2523"/>
        <v/>
      </c>
      <c r="Z1768" s="1451" t="str">
        <f t="shared" si="2524"/>
        <v/>
      </c>
      <c r="AA1768" s="694"/>
      <c r="AB1768" s="1431">
        <f t="shared" si="2526"/>
        <v>2</v>
      </c>
      <c r="AC1768" s="1432">
        <f>IF(CNTR_ExistSubInstEntries,IF(OR($M1694&lt;&gt;EUconst_Relevant,AC1762&gt;=CNTR_ReportingYear,AC1762&lt;$V1694-1,$E1768=""),0,IF(AND($T1756=2,COUNTIF($V1711:V1711,TRUE)&gt;0,$S1733),2,1)),2)</f>
        <v>2</v>
      </c>
      <c r="AD1768" s="1432">
        <f>IF(CNTR_ExistSubInstEntries,IF(OR($M1694&lt;&gt;EUconst_Relevant,AD1762&gt;=CNTR_ReportingYear,AD1762&lt;$V1694-1,$E1768=""),0,IF(AND($T1756=2,COUNTIF($V1711:W1711,TRUE)&gt;0,$S1733),2,1)),2)</f>
        <v>2</v>
      </c>
      <c r="AE1768" s="1432">
        <f>IF(CNTR_ExistSubInstEntries,IF(OR($M1694&lt;&gt;EUconst_Relevant,AE1762&gt;=CNTR_ReportingYear,AE1762&lt;$V1694-1,$E1768=""),0,IF(AND($T1756=2,COUNTIF($V1711:X1711,TRUE)&gt;0,$S1733),2,1)),2)</f>
        <v>2</v>
      </c>
      <c r="AF1768" s="1432">
        <f>IF(CNTR_ExistSubInstEntries,IF(OR($M1694&lt;&gt;EUconst_Relevant,AF1762&gt;=CNTR_ReportingYear,AF1762&lt;$V1694-1,$E1768=""),0,IF(AND($T1756=2,COUNTIF($V1711:Y1711,TRUE)&gt;0,$S1733),2,1)),2)</f>
        <v>2</v>
      </c>
      <c r="AG1768" s="1432">
        <f>IF(CNTR_ExistSubInstEntries,IF(OR($M1694&lt;&gt;EUconst_Relevant,AG1762&gt;=CNTR_ReportingYear,AG1762&lt;$V1694-1,$E1768=""),0,IF(AND($T1756=2,COUNTIF($V1711:Z1711,TRUE)&gt;0,$S1733),2,1)),2)</f>
        <v>2</v>
      </c>
      <c r="AH1768" s="1432">
        <f>IF(CNTR_ExistSubInstEntries,IF(OR($M1694&lt;&gt;EUconst_Relevant,AH1762&gt;=CNTR_ReportingYear,AH1762&lt;$V1694-1,$E1768=""),0,IF(AND($T1756=2,COUNTIF($V1711:AA1711,TRUE)&gt;0,$S1733),2,1)),2)</f>
        <v>2</v>
      </c>
      <c r="AI1768" s="1452">
        <f>IF(CNTR_ExistSubInstEntries,IF(OR($M1694&lt;&gt;EUconst_Relevant,AI1762&gt;=CNTR_ReportingYear,AI1762&lt;$V1694-1,$E1768=""),0,IF(AND($T1756=2,COUNTIF($V1711:AB1711,TRUE)&gt;0,$S1733),2,1)),2)</f>
        <v>2</v>
      </c>
      <c r="AJ1768" s="343"/>
      <c r="AK1768" s="1174" t="s">
        <v>2039</v>
      </c>
      <c r="AL1768" s="1176" t="str">
        <f>IF(AND(CNTR_ExistSubInstEntries,COUNTIFS(AB1768:AI1768,2,G1768:N1768,"")&gt;0),EUconst_Error&amp;"FB"&amp;Q1694,"")</f>
        <v/>
      </c>
      <c r="AM1768" s="343"/>
    </row>
    <row r="1769" spans="1:39" ht="12.75" customHeight="1" x14ac:dyDescent="0.25">
      <c r="A1769" s="729"/>
      <c r="B1769" s="698"/>
      <c r="C1769" s="2906"/>
      <c r="D1769" s="990">
        <v>7</v>
      </c>
      <c r="E1769" s="1430" t="str">
        <f t="shared" si="2502"/>
        <v/>
      </c>
      <c r="F1769" s="1448" t="str">
        <f t="shared" si="2527"/>
        <v>t CO2e</v>
      </c>
      <c r="G1769" s="47"/>
      <c r="H1769" s="119"/>
      <c r="I1769" s="47"/>
      <c r="J1769" s="119"/>
      <c r="K1769" s="43"/>
      <c r="L1769" s="43"/>
      <c r="M1769" s="43"/>
      <c r="N1769" s="43"/>
      <c r="O1769" s="336"/>
      <c r="P1769" s="158"/>
      <c r="Q1769" s="694"/>
      <c r="R1769" s="694"/>
      <c r="S1769" s="1449" t="str">
        <f>IF($M1694&lt;&gt;EUconst_Relevant,"",
IF($V1694&gt;($J$1840-3),
              IF(INDEX(H1750:N1750,MATCH($V1694,$T1762:$Z1762,0))=0,0,INDEX(H1769:N1769,MATCH($V1694,$T1762:$Z1762,0))/INDEX(H1750:N1750,MATCH($V1694,$T1762:$Z1762,0))),
                             IF(ISNUMBER(G1750),
                                            IF(OR(G1750=0,$S1734=FALSE),0,G1769/G1750),"")))</f>
        <v/>
      </c>
      <c r="T1769" s="1450" t="str">
        <f t="shared" si="2518"/>
        <v/>
      </c>
      <c r="U1769" s="1450" t="str">
        <f t="shared" si="2525"/>
        <v/>
      </c>
      <c r="V1769" s="1450" t="str">
        <f t="shared" si="2520"/>
        <v/>
      </c>
      <c r="W1769" s="1450" t="str">
        <f t="shared" si="2521"/>
        <v/>
      </c>
      <c r="X1769" s="1450" t="str">
        <f t="shared" si="2522"/>
        <v/>
      </c>
      <c r="Y1769" s="1450" t="str">
        <f t="shared" si="2523"/>
        <v/>
      </c>
      <c r="Z1769" s="1451" t="str">
        <f t="shared" si="2524"/>
        <v/>
      </c>
      <c r="AA1769" s="694"/>
      <c r="AB1769" s="1431">
        <f t="shared" si="2526"/>
        <v>2</v>
      </c>
      <c r="AC1769" s="1432">
        <f>IF(CNTR_ExistSubInstEntries,IF(OR($M1694&lt;&gt;EUconst_Relevant,AC1762&gt;=CNTR_ReportingYear,AC1762&lt;$V1694-1,$E1769=""),0,IF(AND($T1756=2,COUNTIF($V1711:V1711,TRUE)&gt;0,$S1734),2,1)),2)</f>
        <v>2</v>
      </c>
      <c r="AD1769" s="1432">
        <f>IF(CNTR_ExistSubInstEntries,IF(OR($M1694&lt;&gt;EUconst_Relevant,AD1762&gt;=CNTR_ReportingYear,AD1762&lt;$V1694-1,$E1769=""),0,IF(AND($T1756=2,COUNTIF($V1711:W1711,TRUE)&gt;0,$S1734),2,1)),2)</f>
        <v>2</v>
      </c>
      <c r="AE1769" s="1432">
        <f>IF(CNTR_ExistSubInstEntries,IF(OR($M1694&lt;&gt;EUconst_Relevant,AE1762&gt;=CNTR_ReportingYear,AE1762&lt;$V1694-1,$E1769=""),0,IF(AND($T1756=2,COUNTIF($V1711:X1711,TRUE)&gt;0,$S1734),2,1)),2)</f>
        <v>2</v>
      </c>
      <c r="AF1769" s="1432">
        <f>IF(CNTR_ExistSubInstEntries,IF(OR($M1694&lt;&gt;EUconst_Relevant,AF1762&gt;=CNTR_ReportingYear,AF1762&lt;$V1694-1,$E1769=""),0,IF(AND($T1756=2,COUNTIF($V1711:Y1711,TRUE)&gt;0,$S1734),2,1)),2)</f>
        <v>2</v>
      </c>
      <c r="AG1769" s="1432">
        <f>IF(CNTR_ExistSubInstEntries,IF(OR($M1694&lt;&gt;EUconst_Relevant,AG1762&gt;=CNTR_ReportingYear,AG1762&lt;$V1694-1,$E1769=""),0,IF(AND($T1756=2,COUNTIF($V1711:Z1711,TRUE)&gt;0,$S1734),2,1)),2)</f>
        <v>2</v>
      </c>
      <c r="AH1769" s="1432">
        <f>IF(CNTR_ExistSubInstEntries,IF(OR($M1694&lt;&gt;EUconst_Relevant,AH1762&gt;=CNTR_ReportingYear,AH1762&lt;$V1694-1,$E1769=""),0,IF(AND($T1756=2,COUNTIF($V1711:AA1711,TRUE)&gt;0,$S1734),2,1)),2)</f>
        <v>2</v>
      </c>
      <c r="AI1769" s="1452">
        <f>IF(CNTR_ExistSubInstEntries,IF(OR($M1694&lt;&gt;EUconst_Relevant,AI1762&gt;=CNTR_ReportingYear,AI1762&lt;$V1694-1,$E1769=""),0,IF(AND($T1756=2,COUNTIF($V1711:AB1711,TRUE)&gt;0,$S1734),2,1)),2)</f>
        <v>2</v>
      </c>
      <c r="AJ1769" s="343"/>
      <c r="AK1769" s="1174" t="s">
        <v>2039</v>
      </c>
      <c r="AL1769" s="1176" t="str">
        <f>IF(AND(CNTR_ExistSubInstEntries,COUNTIFS(AB1769:AI1769,2,G1769:N1769,"")&gt;0),EUconst_Error&amp;"FB"&amp;Q1694,"")</f>
        <v/>
      </c>
      <c r="AM1769" s="343"/>
    </row>
    <row r="1770" spans="1:39" ht="12.75" customHeight="1" x14ac:dyDescent="0.25">
      <c r="A1770" s="729"/>
      <c r="B1770" s="698"/>
      <c r="C1770" s="2906"/>
      <c r="D1770" s="990">
        <v>8</v>
      </c>
      <c r="E1770" s="1430" t="str">
        <f t="shared" si="2502"/>
        <v/>
      </c>
      <c r="F1770" s="1448" t="str">
        <f t="shared" si="2527"/>
        <v>t CO2e</v>
      </c>
      <c r="G1770" s="47"/>
      <c r="H1770" s="119"/>
      <c r="I1770" s="47"/>
      <c r="J1770" s="119"/>
      <c r="K1770" s="43"/>
      <c r="L1770" s="43"/>
      <c r="M1770" s="43"/>
      <c r="N1770" s="43"/>
      <c r="O1770" s="336"/>
      <c r="P1770" s="158"/>
      <c r="Q1770" s="694"/>
      <c r="R1770" s="694"/>
      <c r="S1770" s="1449" t="str">
        <f>IF($M1694&lt;&gt;EUconst_Relevant,"",
IF($V1694&gt;($J$1840-3),
              IF(INDEX(H1751:N1751,MATCH($V1694,$T1762:$Z1762,0))=0,0,INDEX(H1770:N1770,MATCH($V1694,$T1762:$Z1762,0))/INDEX(H1751:N1751,MATCH($V1694,$T1762:$Z1762,0))),
                             IF(ISNUMBER(G1751),
                                            IF(OR(G1751=0,$S1735=FALSE),0,G1770/G1751),"")))</f>
        <v/>
      </c>
      <c r="T1770" s="1450" t="str">
        <f t="shared" si="2518"/>
        <v/>
      </c>
      <c r="U1770" s="1450" t="str">
        <f t="shared" si="2525"/>
        <v/>
      </c>
      <c r="V1770" s="1450" t="str">
        <f t="shared" si="2520"/>
        <v/>
      </c>
      <c r="W1770" s="1450" t="str">
        <f t="shared" si="2521"/>
        <v/>
      </c>
      <c r="X1770" s="1450" t="str">
        <f t="shared" si="2522"/>
        <v/>
      </c>
      <c r="Y1770" s="1450" t="str">
        <f t="shared" si="2523"/>
        <v/>
      </c>
      <c r="Z1770" s="1451" t="str">
        <f t="shared" si="2524"/>
        <v/>
      </c>
      <c r="AA1770" s="694"/>
      <c r="AB1770" s="1431">
        <f t="shared" si="2526"/>
        <v>2</v>
      </c>
      <c r="AC1770" s="1432">
        <f>IF(CNTR_ExistSubInstEntries,IF(OR($M1694&lt;&gt;EUconst_Relevant,AC1762&gt;=CNTR_ReportingYear,AC1762&lt;$V1694-1,$E1770=""),0,IF(AND($T1756=2,COUNTIF($V1711:V1711,TRUE)&gt;0,$S1735),2,1)),2)</f>
        <v>2</v>
      </c>
      <c r="AD1770" s="1432">
        <f>IF(CNTR_ExistSubInstEntries,IF(OR($M1694&lt;&gt;EUconst_Relevant,AD1762&gt;=CNTR_ReportingYear,AD1762&lt;$V1694-1,$E1770=""),0,IF(AND($T1756=2,COUNTIF($V1711:W1711,TRUE)&gt;0,$S1735),2,1)),2)</f>
        <v>2</v>
      </c>
      <c r="AE1770" s="1432">
        <f>IF(CNTR_ExistSubInstEntries,IF(OR($M1694&lt;&gt;EUconst_Relevant,AE1762&gt;=CNTR_ReportingYear,AE1762&lt;$V1694-1,$E1770=""),0,IF(AND($T1756=2,COUNTIF($V1711:X1711,TRUE)&gt;0,$S1735),2,1)),2)</f>
        <v>2</v>
      </c>
      <c r="AF1770" s="1432">
        <f>IF(CNTR_ExistSubInstEntries,IF(OR($M1694&lt;&gt;EUconst_Relevant,AF1762&gt;=CNTR_ReportingYear,AF1762&lt;$V1694-1,$E1770=""),0,IF(AND($T1756=2,COUNTIF($V1711:Y1711,TRUE)&gt;0,$S1735),2,1)),2)</f>
        <v>2</v>
      </c>
      <c r="AG1770" s="1432">
        <f>IF(CNTR_ExistSubInstEntries,IF(OR($M1694&lt;&gt;EUconst_Relevant,AG1762&gt;=CNTR_ReportingYear,AG1762&lt;$V1694-1,$E1770=""),0,IF(AND($T1756=2,COUNTIF($V1711:Z1711,TRUE)&gt;0,$S1735),2,1)),2)</f>
        <v>2</v>
      </c>
      <c r="AH1770" s="1432">
        <f>IF(CNTR_ExistSubInstEntries,IF(OR($M1694&lt;&gt;EUconst_Relevant,AH1762&gt;=CNTR_ReportingYear,AH1762&lt;$V1694-1,$E1770=""),0,IF(AND($T1756=2,COUNTIF($V1711:AA1711,TRUE)&gt;0,$S1735),2,1)),2)</f>
        <v>2</v>
      </c>
      <c r="AI1770" s="1452">
        <f>IF(CNTR_ExistSubInstEntries,IF(OR($M1694&lt;&gt;EUconst_Relevant,AI1762&gt;=CNTR_ReportingYear,AI1762&lt;$V1694-1,$E1770=""),0,IF(AND($T1756=2,COUNTIF($V1711:AB1711,TRUE)&gt;0,$S1735),2,1)),2)</f>
        <v>2</v>
      </c>
      <c r="AJ1770" s="343"/>
      <c r="AK1770" s="1174" t="s">
        <v>2039</v>
      </c>
      <c r="AL1770" s="1176" t="str">
        <f>IF(AND(CNTR_ExistSubInstEntries,COUNTIFS(AB1770:AI1770,2,G1770:N1770,"")&gt;0),EUconst_Error&amp;"FB"&amp;Q1694,"")</f>
        <v/>
      </c>
      <c r="AM1770" s="343"/>
    </row>
    <row r="1771" spans="1:39" ht="12.75" customHeight="1" x14ac:dyDescent="0.25">
      <c r="A1771" s="729"/>
      <c r="B1771" s="698"/>
      <c r="C1771" s="2906"/>
      <c r="D1771" s="990">
        <v>9</v>
      </c>
      <c r="E1771" s="1430" t="str">
        <f t="shared" si="2502"/>
        <v/>
      </c>
      <c r="F1771" s="1448" t="str">
        <f t="shared" si="2527"/>
        <v>t CO2e</v>
      </c>
      <c r="G1771" s="47"/>
      <c r="H1771" s="119"/>
      <c r="I1771" s="47"/>
      <c r="J1771" s="119"/>
      <c r="K1771" s="43"/>
      <c r="L1771" s="43"/>
      <c r="M1771" s="43"/>
      <c r="N1771" s="43"/>
      <c r="O1771" s="302"/>
      <c r="P1771" s="158"/>
      <c r="Q1771" s="694"/>
      <c r="R1771" s="694"/>
      <c r="S1771" s="1449" t="str">
        <f>IF($M1694&lt;&gt;EUconst_Relevant,"",
IF($V1694&gt;($J$1840-3),
              IF(INDEX(H1752:N1752,MATCH($V1694,$T1762:$Z1762,0))=0,0,INDEX(H1771:N1771,MATCH($V1694,$T1762:$Z1762,0))/INDEX(H1752:N1752,MATCH($V1694,$T1762:$Z1762,0))),
                             IF(ISNUMBER(G1752),
                                            IF(OR(G1752=0,$S1736=FALSE),0,G1771/G1752),"")))</f>
        <v/>
      </c>
      <c r="T1771" s="1450" t="str">
        <f t="shared" si="2518"/>
        <v/>
      </c>
      <c r="U1771" s="1450" t="str">
        <f t="shared" si="2525"/>
        <v/>
      </c>
      <c r="V1771" s="1450" t="str">
        <f t="shared" si="2520"/>
        <v/>
      </c>
      <c r="W1771" s="1450" t="str">
        <f t="shared" si="2521"/>
        <v/>
      </c>
      <c r="X1771" s="1450" t="str">
        <f t="shared" si="2522"/>
        <v/>
      </c>
      <c r="Y1771" s="1450" t="str">
        <f t="shared" si="2523"/>
        <v/>
      </c>
      <c r="Z1771" s="1451" t="str">
        <f t="shared" si="2524"/>
        <v/>
      </c>
      <c r="AA1771" s="694"/>
      <c r="AB1771" s="1431">
        <f t="shared" si="2526"/>
        <v>2</v>
      </c>
      <c r="AC1771" s="1432">
        <f>IF(CNTR_ExistSubInstEntries,IF(OR($M1694&lt;&gt;EUconst_Relevant,AC1762&gt;=CNTR_ReportingYear,AC1762&lt;$V1694-1,$E1771=""),0,IF(AND($T1756=2,COUNTIF($V1711:V1711,TRUE)&gt;0,$S1736),2,1)),2)</f>
        <v>2</v>
      </c>
      <c r="AD1771" s="1432">
        <f>IF(CNTR_ExistSubInstEntries,IF(OR($M1694&lt;&gt;EUconst_Relevant,AD1762&gt;=CNTR_ReportingYear,AD1762&lt;$V1694-1,$E1771=""),0,IF(AND($T1756=2,COUNTIF($V1711:W1711,TRUE)&gt;0,$S1736),2,1)),2)</f>
        <v>2</v>
      </c>
      <c r="AE1771" s="1432">
        <f>IF(CNTR_ExistSubInstEntries,IF(OR($M1694&lt;&gt;EUconst_Relevant,AE1762&gt;=CNTR_ReportingYear,AE1762&lt;$V1694-1,$E1771=""),0,IF(AND($T1756=2,COUNTIF($V1711:X1711,TRUE)&gt;0,$S1736),2,1)),2)</f>
        <v>2</v>
      </c>
      <c r="AF1771" s="1432">
        <f>IF(CNTR_ExistSubInstEntries,IF(OR($M1694&lt;&gt;EUconst_Relevant,AF1762&gt;=CNTR_ReportingYear,AF1762&lt;$V1694-1,$E1771=""),0,IF(AND($T1756=2,COUNTIF($V1711:Y1711,TRUE)&gt;0,$S1736),2,1)),2)</f>
        <v>2</v>
      </c>
      <c r="AG1771" s="1432">
        <f>IF(CNTR_ExistSubInstEntries,IF(OR($M1694&lt;&gt;EUconst_Relevant,AG1762&gt;=CNTR_ReportingYear,AG1762&lt;$V1694-1,$E1771=""),0,IF(AND($T1756=2,COUNTIF($V1711:Z1711,TRUE)&gt;0,$S1736),2,1)),2)</f>
        <v>2</v>
      </c>
      <c r="AH1771" s="1432">
        <f>IF(CNTR_ExistSubInstEntries,IF(OR($M1694&lt;&gt;EUconst_Relevant,AH1762&gt;=CNTR_ReportingYear,AH1762&lt;$V1694-1,$E1771=""),0,IF(AND($T1756=2,COUNTIF($V1711:AA1711,TRUE)&gt;0,$S1736),2,1)),2)</f>
        <v>2</v>
      </c>
      <c r="AI1771" s="1452">
        <f>IF(CNTR_ExistSubInstEntries,IF(OR($M1694&lt;&gt;EUconst_Relevant,AI1762&gt;=CNTR_ReportingYear,AI1762&lt;$V1694-1,$E1771=""),0,IF(AND($T1756=2,COUNTIF($V1711:AB1711,TRUE)&gt;0,$S1736),2,1)),2)</f>
        <v>2</v>
      </c>
      <c r="AJ1771" s="343"/>
      <c r="AK1771" s="1174" t="s">
        <v>2039</v>
      </c>
      <c r="AL1771" s="1176" t="str">
        <f>IF(AND(CNTR_ExistSubInstEntries,COUNTIFS(AB1771:AI1771,2,G1771:N1771,"")&gt;0),EUconst_Error&amp;"FB"&amp;Q1694,"")</f>
        <v/>
      </c>
      <c r="AM1771" s="343"/>
    </row>
    <row r="1772" spans="1:39" ht="12.75" customHeight="1" thickBot="1" x14ac:dyDescent="0.3">
      <c r="A1772" s="729"/>
      <c r="B1772" s="698"/>
      <c r="C1772" s="2906"/>
      <c r="D1772" s="994">
        <v>10</v>
      </c>
      <c r="E1772" s="1435" t="str">
        <f t="shared" si="2502"/>
        <v/>
      </c>
      <c r="F1772" s="1453" t="str">
        <f t="shared" si="2527"/>
        <v>t CO2e</v>
      </c>
      <c r="G1772" s="48"/>
      <c r="H1772" s="117"/>
      <c r="I1772" s="48"/>
      <c r="J1772" s="117"/>
      <c r="K1772" s="38"/>
      <c r="L1772" s="38"/>
      <c r="M1772" s="38"/>
      <c r="N1772" s="38"/>
      <c r="O1772" s="302"/>
      <c r="P1772" s="158"/>
      <c r="Q1772" s="694"/>
      <c r="R1772" s="694"/>
      <c r="S1772" s="1454" t="str">
        <f>IF($M1694&lt;&gt;EUconst_Relevant,"",
IF($V1694&gt;($J$1840-3),
              IF(INDEX(H1753:N1753,MATCH($V1694,$T1762:$Z1762,0))=0,0,INDEX(H1772:N1772,MATCH($V1694,$T1762:$Z1762,0))/INDEX(H1753:N1753,MATCH($V1694,$T1762:$Z1762,0))),
                             IF(ISNUMBER(G1753),
                                            IF(OR(G1753=0,$S1737=FALSE),0,G1772/G1753),"")))</f>
        <v/>
      </c>
      <c r="T1772" s="1455" t="str">
        <f t="shared" si="2518"/>
        <v/>
      </c>
      <c r="U1772" s="1455" t="str">
        <f t="shared" si="2525"/>
        <v/>
      </c>
      <c r="V1772" s="1455" t="str">
        <f t="shared" si="2520"/>
        <v/>
      </c>
      <c r="W1772" s="1455" t="str">
        <f t="shared" si="2521"/>
        <v/>
      </c>
      <c r="X1772" s="1455" t="str">
        <f t="shared" si="2522"/>
        <v/>
      </c>
      <c r="Y1772" s="1455" t="str">
        <f t="shared" si="2523"/>
        <v/>
      </c>
      <c r="Z1772" s="1456" t="str">
        <f t="shared" si="2524"/>
        <v/>
      </c>
      <c r="AA1772" s="694"/>
      <c r="AB1772" s="1436">
        <f t="shared" si="2526"/>
        <v>2</v>
      </c>
      <c r="AC1772" s="1437">
        <f>IF(CNTR_ExistSubInstEntries,IF(OR($M1694&lt;&gt;EUconst_Relevant,AC1762&gt;=CNTR_ReportingYear,AC1762&lt;$V1694-1,$E1772=""),0,IF(AND($T1756=2,COUNTIF($V1711:V1711,TRUE)&gt;0,$S1737),2,1)),2)</f>
        <v>2</v>
      </c>
      <c r="AD1772" s="1437">
        <f>IF(CNTR_ExistSubInstEntries,IF(OR($M1694&lt;&gt;EUconst_Relevant,AD1762&gt;=CNTR_ReportingYear,AD1762&lt;$V1694-1,$E1772=""),0,IF(AND($T1756=2,COUNTIF($V1711:W1711,TRUE)&gt;0,$S1737),2,1)),2)</f>
        <v>2</v>
      </c>
      <c r="AE1772" s="1437">
        <f>IF(CNTR_ExistSubInstEntries,IF(OR($M1694&lt;&gt;EUconst_Relevant,AE1762&gt;=CNTR_ReportingYear,AE1762&lt;$V1694-1,$E1772=""),0,IF(AND($T1756=2,COUNTIF($V1711:X1711,TRUE)&gt;0,$S1737),2,1)),2)</f>
        <v>2</v>
      </c>
      <c r="AF1772" s="1437">
        <f>IF(CNTR_ExistSubInstEntries,IF(OR($M1694&lt;&gt;EUconst_Relevant,AF1762&gt;=CNTR_ReportingYear,AF1762&lt;$V1694-1,$E1772=""),0,IF(AND($T1756=2,COUNTIF($V1711:Y1711,TRUE)&gt;0,$S1737),2,1)),2)</f>
        <v>2</v>
      </c>
      <c r="AG1772" s="1437">
        <f>IF(CNTR_ExistSubInstEntries,IF(OR($M1694&lt;&gt;EUconst_Relevant,AG1762&gt;=CNTR_ReportingYear,AG1762&lt;$V1694-1,$E1772=""),0,IF(AND($T1756=2,COUNTIF($V1711:Z1711,TRUE)&gt;0,$S1737),2,1)),2)</f>
        <v>2</v>
      </c>
      <c r="AH1772" s="1437">
        <f>IF(CNTR_ExistSubInstEntries,IF(OR($M1694&lt;&gt;EUconst_Relevant,AH1762&gt;=CNTR_ReportingYear,AH1762&lt;$V1694-1,$E1772=""),0,IF(AND($T1756=2,COUNTIF($V1711:AA1711,TRUE)&gt;0,$S1737),2,1)),2)</f>
        <v>2</v>
      </c>
      <c r="AI1772" s="1457">
        <f>IF(CNTR_ExistSubInstEntries,IF(OR($M1694&lt;&gt;EUconst_Relevant,AI1762&gt;=CNTR_ReportingYear,AI1762&lt;$V1694-1,$E1772=""),0,IF(AND($T1756=2,COUNTIF($V1711:AB1711,TRUE)&gt;0,$S1737),2,1)),2)</f>
        <v>2</v>
      </c>
      <c r="AJ1772" s="343"/>
      <c r="AK1772" s="1174" t="s">
        <v>2039</v>
      </c>
      <c r="AL1772" s="1176" t="str">
        <f>IF(AND(CNTR_ExistSubInstEntries,COUNTIFS(AB1772:AI1772,2,G1772:N1772,"")&gt;0),EUconst_Error&amp;"FB"&amp;Q1694,"")</f>
        <v/>
      </c>
      <c r="AM1772" s="343"/>
    </row>
    <row r="1773" spans="1:39" ht="12.75" customHeight="1" thickBot="1" x14ac:dyDescent="0.3">
      <c r="A1773" s="729"/>
      <c r="B1773" s="698"/>
      <c r="C1773" s="2906"/>
      <c r="D1773" s="1293"/>
      <c r="E1773" s="1458" t="str">
        <f>Translations!$B$1338</f>
        <v>Общо потребление</v>
      </c>
      <c r="F1773" s="1453" t="str">
        <f t="shared" si="2527"/>
        <v>t CO2e</v>
      </c>
      <c r="G1773" s="1296" t="str">
        <f t="shared" ref="G1773:N1773" si="2528">IF(COUNT(G1763:G1772)&gt;0,SUMIF($S1728:$S1737,TRUE,G1763:G1772),"")</f>
        <v/>
      </c>
      <c r="H1773" s="1297" t="str">
        <f t="shared" si="2528"/>
        <v/>
      </c>
      <c r="I1773" s="1296" t="str">
        <f t="shared" si="2528"/>
        <v/>
      </c>
      <c r="J1773" s="1297" t="str">
        <f t="shared" si="2528"/>
        <v/>
      </c>
      <c r="K1773" s="1104" t="str">
        <f t="shared" si="2528"/>
        <v/>
      </c>
      <c r="L1773" s="1104" t="str">
        <f t="shared" si="2528"/>
        <v/>
      </c>
      <c r="M1773" s="1104" t="str">
        <f t="shared" si="2528"/>
        <v/>
      </c>
      <c r="N1773" s="1104" t="str">
        <f t="shared" si="2528"/>
        <v/>
      </c>
      <c r="O1773" s="302"/>
      <c r="P1773" s="336"/>
      <c r="Q1773" s="694"/>
      <c r="R1773" s="694"/>
      <c r="S1773" s="694"/>
      <c r="T1773" s="1459">
        <f>SUM(T1763:T1772)</f>
        <v>0</v>
      </c>
      <c r="U1773" s="1460">
        <f t="shared" ref="U1773:Z1773" si="2529">SUM(U1763:U1772)</f>
        <v>0</v>
      </c>
      <c r="V1773" s="1460">
        <f t="shared" si="2529"/>
        <v>0</v>
      </c>
      <c r="W1773" s="1460">
        <f t="shared" si="2529"/>
        <v>0</v>
      </c>
      <c r="X1773" s="1460">
        <f t="shared" si="2529"/>
        <v>0</v>
      </c>
      <c r="Y1773" s="1460">
        <f t="shared" si="2529"/>
        <v>0</v>
      </c>
      <c r="Z1773" s="1461">
        <f t="shared" si="2529"/>
        <v>0</v>
      </c>
      <c r="AA1773" s="694"/>
      <c r="AB1773" s="729"/>
      <c r="AC1773" s="694"/>
      <c r="AD1773" s="694"/>
      <c r="AE1773" s="343"/>
      <c r="AF1773" s="343"/>
      <c r="AG1773" s="343"/>
      <c r="AH1773" s="343"/>
      <c r="AI1773" s="343"/>
      <c r="AJ1773" s="343"/>
      <c r="AK1773" s="343"/>
      <c r="AL1773" s="343"/>
      <c r="AM1773" s="343"/>
    </row>
    <row r="1774" spans="1:39" ht="12.75" customHeight="1" x14ac:dyDescent="0.25">
      <c r="A1774" s="729"/>
      <c r="B1774" s="698"/>
      <c r="C1774" s="2906"/>
      <c r="D1774" s="1462"/>
      <c r="E1774" s="1463" t="str">
        <f>Translations!$B$1339</f>
        <v>Дял от a)</v>
      </c>
      <c r="F1774" s="1464" t="str">
        <f t="shared" si="2527"/>
        <v>t CO2e</v>
      </c>
      <c r="G1774" s="274" t="str">
        <f>IF(COUNT(I1710,G1773)=2,IF(I1710=0,EUconst_NA,G1773/I1710),"")</f>
        <v/>
      </c>
      <c r="H1774" s="185" t="str">
        <f t="shared" ref="H1774:N1774" si="2530">IF(COUNT(H1702,H1773)=2,IF(H1702=0,EUconst_NA,H1773/H1702),"")</f>
        <v/>
      </c>
      <c r="I1774" s="186" t="str">
        <f t="shared" si="2530"/>
        <v/>
      </c>
      <c r="J1774" s="185" t="str">
        <f t="shared" si="2530"/>
        <v/>
      </c>
      <c r="K1774" s="187" t="str">
        <f t="shared" si="2530"/>
        <v/>
      </c>
      <c r="L1774" s="187" t="str">
        <f t="shared" si="2530"/>
        <v/>
      </c>
      <c r="M1774" s="187" t="str">
        <f t="shared" si="2530"/>
        <v/>
      </c>
      <c r="N1774" s="187" t="str">
        <f t="shared" si="2530"/>
        <v/>
      </c>
      <c r="O1774" s="302"/>
      <c r="P1774" s="336"/>
      <c r="Q1774" s="694"/>
      <c r="R1774" s="694"/>
      <c r="S1774" s="694"/>
      <c r="T1774" s="694"/>
      <c r="U1774" s="694"/>
      <c r="V1774" s="694"/>
      <c r="W1774" s="694"/>
      <c r="X1774" s="694"/>
      <c r="Y1774" s="694"/>
      <c r="Z1774" s="694"/>
      <c r="AA1774" s="694"/>
      <c r="AB1774" s="729"/>
      <c r="AC1774" s="694"/>
      <c r="AD1774" s="694"/>
      <c r="AE1774" s="343"/>
      <c r="AF1774" s="343"/>
      <c r="AG1774" s="343"/>
      <c r="AH1774" s="343"/>
      <c r="AI1774" s="343"/>
      <c r="AJ1774" s="343"/>
      <c r="AK1774" s="343"/>
      <c r="AL1774" s="343"/>
      <c r="AM1774" s="343"/>
    </row>
    <row r="1775" spans="1:39" ht="14.25" customHeight="1" x14ac:dyDescent="0.25">
      <c r="A1775" s="729"/>
      <c r="B1775" s="698"/>
      <c r="C1775" s="284"/>
      <c r="D1775" s="284"/>
      <c r="E1775" s="284"/>
      <c r="F1775" s="284"/>
      <c r="G1775" s="228" t="str">
        <f>IF(G1774="","",IF(AND(COUNTA(G1763:G1772)=0,$T1756=2),EUconst_Incomplete,""))</f>
        <v/>
      </c>
      <c r="H1775" s="229" t="str">
        <f t="shared" ref="H1775" si="2531">IF(H1774="","",IF(AND(OR(COUNTA(H1763:H1772)&gt;0,$T1756=2),ABS(1-SUM(H1774))&lt;0.5%),"",EUconst_Inconsistent))</f>
        <v/>
      </c>
      <c r="I1775" s="230" t="str">
        <f t="shared" ref="I1775:N1775" si="2532">IF(I1774="","",IF(AND(OR(COUNTA(I1763:I1772)&gt;0,$T1756=2),ABS(1-SUM(I1774))&lt;0.5%),"",EUconst_Inconsistent))</f>
        <v/>
      </c>
      <c r="J1775" s="229" t="str">
        <f t="shared" si="2532"/>
        <v/>
      </c>
      <c r="K1775" s="231" t="str">
        <f t="shared" si="2532"/>
        <v/>
      </c>
      <c r="L1775" s="231" t="str">
        <f t="shared" si="2532"/>
        <v/>
      </c>
      <c r="M1775" s="231" t="str">
        <f t="shared" si="2532"/>
        <v/>
      </c>
      <c r="N1775" s="231" t="str">
        <f t="shared" si="2532"/>
        <v/>
      </c>
      <c r="O1775" s="302"/>
      <c r="P1775" s="336"/>
      <c r="Q1775" s="694"/>
      <c r="R1775" s="694"/>
      <c r="S1775" s="694"/>
      <c r="T1775" s="694"/>
      <c r="U1775" s="694"/>
      <c r="V1775" s="694"/>
      <c r="W1775" s="694"/>
      <c r="X1775" s="694"/>
      <c r="Y1775" s="694"/>
      <c r="Z1775" s="729"/>
      <c r="AA1775" s="729"/>
      <c r="AB1775" s="729"/>
      <c r="AC1775" s="694"/>
      <c r="AD1775" s="694"/>
      <c r="AE1775" s="343"/>
      <c r="AF1775" s="343"/>
      <c r="AG1775" s="343"/>
      <c r="AH1775" s="343"/>
      <c r="AI1775" s="343"/>
      <c r="AJ1775" s="343"/>
      <c r="AK1775" s="1174" t="s">
        <v>2148</v>
      </c>
      <c r="AL1775" s="1176" t="str">
        <f>IF(COUNTIFS(G1775:N1775,"")&lt;COUNTA(G1775:N1775),EUconst_Error&amp;"FB"&amp;Q1694,"")</f>
        <v/>
      </c>
      <c r="AM1775" s="343"/>
    </row>
    <row r="1776" spans="1:39" ht="5.15" customHeight="1" x14ac:dyDescent="0.25">
      <c r="A1776" s="729"/>
      <c r="B1776" s="698"/>
      <c r="C1776" s="284"/>
      <c r="D1776" s="284"/>
      <c r="E1776" s="284"/>
      <c r="F1776" s="284"/>
      <c r="G1776" s="284"/>
      <c r="H1776" s="284"/>
      <c r="I1776" s="284"/>
      <c r="J1776" s="284"/>
      <c r="K1776" s="284"/>
      <c r="L1776" s="284"/>
      <c r="M1776" s="284"/>
      <c r="N1776" s="284"/>
      <c r="O1776" s="302"/>
      <c r="P1776" s="336"/>
      <c r="Q1776" s="694"/>
      <c r="R1776" s="694"/>
      <c r="S1776" s="694"/>
      <c r="T1776" s="694"/>
      <c r="U1776" s="694"/>
      <c r="V1776" s="694"/>
      <c r="W1776" s="694"/>
      <c r="X1776" s="694"/>
      <c r="Y1776" s="694"/>
      <c r="Z1776" s="729"/>
      <c r="AA1776" s="729"/>
      <c r="AB1776" s="729"/>
      <c r="AC1776" s="694"/>
      <c r="AD1776" s="694"/>
      <c r="AE1776" s="343"/>
      <c r="AF1776" s="343"/>
      <c r="AG1776" s="343"/>
      <c r="AH1776" s="343"/>
      <c r="AI1776" s="343"/>
      <c r="AJ1776" s="343"/>
      <c r="AK1776" s="343"/>
      <c r="AL1776" s="343"/>
      <c r="AM1776" s="343"/>
    </row>
    <row r="1777" spans="1:39" ht="12.75" customHeight="1" x14ac:dyDescent="0.25">
      <c r="A1777" s="729"/>
      <c r="B1777" s="698"/>
      <c r="C1777" s="284"/>
      <c r="D1777" s="300" t="s">
        <v>1770</v>
      </c>
      <c r="E1777" s="2226" t="str">
        <f>Translations!$B$1566</f>
        <v>Недопустими по СТЕ на ЕС технологични емисии по продукти за определяне на очакваните равнища на дейност</v>
      </c>
      <c r="F1777" s="2249"/>
      <c r="G1777" s="2249"/>
      <c r="H1777" s="2249"/>
      <c r="I1777" s="2249"/>
      <c r="J1777" s="2249"/>
      <c r="K1777" s="2249"/>
      <c r="L1777" s="2249"/>
      <c r="M1777" s="2249"/>
      <c r="N1777" s="2249"/>
      <c r="O1777" s="302"/>
      <c r="P1777" s="295"/>
      <c r="Q1777" s="694"/>
      <c r="R1777" s="694"/>
      <c r="S1777" s="729"/>
      <c r="T1777" s="729"/>
      <c r="U1777" s="729"/>
      <c r="V1777" s="694"/>
      <c r="W1777" s="694"/>
      <c r="X1777" s="694"/>
      <c r="Y1777" s="694"/>
      <c r="Z1777" s="729"/>
      <c r="AA1777" s="729"/>
      <c r="AB1777" s="729"/>
      <c r="AC1777" s="729"/>
      <c r="AD1777" s="694"/>
      <c r="AE1777" s="343"/>
      <c r="AF1777" s="343"/>
      <c r="AG1777" s="343"/>
      <c r="AH1777" s="343"/>
      <c r="AI1777" s="343"/>
      <c r="AJ1777" s="343"/>
      <c r="AK1777" s="343"/>
      <c r="AL1777" s="343"/>
      <c r="AM1777" s="343"/>
    </row>
    <row r="1778" spans="1:39" ht="25.5" customHeight="1" x14ac:dyDescent="0.25">
      <c r="A1778" s="729"/>
      <c r="B1778" s="698"/>
      <c r="C1778" s="284"/>
      <c r="D1778" s="284"/>
      <c r="E1778" s="2358" t="str">
        <f>Translations!$B$1567</f>
        <v>Тук въведете всички недопустими технологични емисии (например емисии от суровини, които вече са докладвани като емисии от доставчика на този материал), използвани за същите продукти, както по-горе. Числата тук ще бъдат използвани за коригиране на разпределянето за допустимия дял на технологични емисии.</v>
      </c>
      <c r="F1778" s="2249"/>
      <c r="G1778" s="2249"/>
      <c r="H1778" s="2249"/>
      <c r="I1778" s="2249"/>
      <c r="J1778" s="2249"/>
      <c r="K1778" s="2249"/>
      <c r="L1778" s="2249"/>
      <c r="M1778" s="2249"/>
      <c r="N1778" s="2249"/>
      <c r="O1778" s="302"/>
      <c r="P1778" s="295"/>
      <c r="Q1778" s="694"/>
      <c r="R1778" s="694"/>
      <c r="S1778" s="694"/>
      <c r="T1778" s="694"/>
      <c r="U1778" s="694"/>
      <c r="V1778" s="694"/>
      <c r="W1778" s="694"/>
      <c r="X1778" s="694"/>
      <c r="Y1778" s="694"/>
      <c r="Z1778" s="729"/>
      <c r="AA1778" s="729"/>
      <c r="AB1778" s="729"/>
      <c r="AC1778" s="729"/>
      <c r="AD1778" s="694"/>
      <c r="AE1778" s="343"/>
      <c r="AF1778" s="343"/>
      <c r="AG1778" s="343"/>
      <c r="AH1778" s="343"/>
      <c r="AI1778" s="343"/>
      <c r="AJ1778" s="343"/>
      <c r="AK1778" s="343"/>
      <c r="AL1778" s="343"/>
      <c r="AM1778" s="343"/>
    </row>
    <row r="1779" spans="1:39" ht="5.15" customHeight="1" x14ac:dyDescent="0.25">
      <c r="A1779" s="729"/>
      <c r="B1779" s="698"/>
      <c r="C1779" s="284"/>
      <c r="D1779" s="284"/>
      <c r="E1779" s="2358"/>
      <c r="F1779" s="2249"/>
      <c r="G1779" s="2249"/>
      <c r="H1779" s="2249"/>
      <c r="I1779" s="2249"/>
      <c r="J1779" s="2249"/>
      <c r="K1779" s="2249"/>
      <c r="L1779" s="2249"/>
      <c r="M1779" s="2249"/>
      <c r="N1779" s="2249"/>
      <c r="O1779" s="302"/>
      <c r="P1779" s="295"/>
      <c r="Q1779" s="694"/>
      <c r="R1779" s="694"/>
      <c r="S1779" s="694"/>
      <c r="T1779" s="694"/>
      <c r="U1779" s="694"/>
      <c r="V1779" s="694"/>
      <c r="W1779" s="694"/>
      <c r="X1779" s="694"/>
      <c r="Y1779" s="694"/>
      <c r="Z1779" s="729"/>
      <c r="AA1779" s="729"/>
      <c r="AB1779" s="729"/>
      <c r="AC1779" s="729"/>
      <c r="AD1779" s="694"/>
      <c r="AE1779" s="343"/>
      <c r="AF1779" s="343"/>
      <c r="AG1779" s="343"/>
      <c r="AH1779" s="343"/>
      <c r="AI1779" s="343"/>
      <c r="AJ1779" s="343"/>
      <c r="AK1779" s="343"/>
      <c r="AL1779" s="343"/>
      <c r="AM1779" s="343"/>
    </row>
    <row r="1780" spans="1:39" s="1423" customFormat="1" ht="25.5" customHeight="1" thickBot="1" x14ac:dyDescent="0.35">
      <c r="A1780" s="729"/>
      <c r="B1780" s="1412"/>
      <c r="C1780" s="1413"/>
      <c r="D1780" s="1414"/>
      <c r="E1780" s="1415" t="str">
        <f>E1762</f>
        <v>Име на продукт или вид услуга</v>
      </c>
      <c r="F1780" s="1416" t="str">
        <f>EUconst_Unit</f>
        <v>Единица мярка</v>
      </c>
      <c r="G1780" s="1419" t="str">
        <f>Translations!$B$1336</f>
        <v>Стойност в НМИ</v>
      </c>
      <c r="H1780" s="1418">
        <f t="shared" ref="H1780:N1780" si="2533">H$1840</f>
        <v>2024</v>
      </c>
      <c r="I1780" s="1419">
        <f t="shared" si="2533"/>
        <v>2025</v>
      </c>
      <c r="J1780" s="1418">
        <f t="shared" si="2533"/>
        <v>2026</v>
      </c>
      <c r="K1780" s="1420">
        <f t="shared" si="2533"/>
        <v>2027</v>
      </c>
      <c r="L1780" s="1420">
        <f t="shared" si="2533"/>
        <v>2028</v>
      </c>
      <c r="M1780" s="1420">
        <f t="shared" si="2533"/>
        <v>2029</v>
      </c>
      <c r="N1780" s="1420">
        <f t="shared" si="2533"/>
        <v>2030</v>
      </c>
      <c r="O1780" s="302"/>
      <c r="P1780" s="295"/>
      <c r="Q1780" s="1421"/>
      <c r="R1780" s="1421"/>
      <c r="S1780" s="694"/>
      <c r="T1780" s="694"/>
      <c r="U1780" s="694"/>
      <c r="V1780" s="694"/>
      <c r="W1780" s="694"/>
      <c r="X1780" s="694"/>
      <c r="Y1780" s="694"/>
      <c r="Z1780" s="694"/>
      <c r="AA1780" s="1421"/>
      <c r="AB1780" s="770" t="str">
        <f>Translations!$B$1284</f>
        <v>HAL</v>
      </c>
      <c r="AC1780" s="1421">
        <f t="shared" ref="AC1780" si="2534">H1780</f>
        <v>2024</v>
      </c>
      <c r="AD1780" s="1421">
        <f t="shared" ref="AD1780" si="2535">I1780</f>
        <v>2025</v>
      </c>
      <c r="AE1780" s="1421">
        <f t="shared" ref="AE1780" si="2536">J1780</f>
        <v>2026</v>
      </c>
      <c r="AF1780" s="1421">
        <f t="shared" ref="AF1780" si="2537">K1780</f>
        <v>2027</v>
      </c>
      <c r="AG1780" s="1421">
        <f t="shared" ref="AG1780" si="2538">L1780</f>
        <v>2028</v>
      </c>
      <c r="AH1780" s="1422">
        <f t="shared" ref="AH1780" si="2539">M1780</f>
        <v>2029</v>
      </c>
      <c r="AI1780" s="1422">
        <f t="shared" ref="AI1780" si="2540">N1780</f>
        <v>2030</v>
      </c>
      <c r="AJ1780" s="1422"/>
      <c r="AK1780" s="1422"/>
      <c r="AL1780" s="1422"/>
      <c r="AM1780" s="1422"/>
    </row>
    <row r="1781" spans="1:39" ht="12.75" customHeight="1" x14ac:dyDescent="0.25">
      <c r="A1781" s="729"/>
      <c r="B1781" s="698"/>
      <c r="C1781" s="2906" t="str">
        <f>Translations!$B$1568</f>
        <v>недопустими</v>
      </c>
      <c r="D1781" s="981">
        <v>1</v>
      </c>
      <c r="E1781" s="1424" t="str">
        <f t="shared" ref="E1781" si="2541">E1763</f>
        <v/>
      </c>
      <c r="F1781" s="1259" t="str">
        <f>F1763</f>
        <v>t CO2e</v>
      </c>
      <c r="G1781" s="125"/>
      <c r="H1781" s="116"/>
      <c r="I1781" s="46"/>
      <c r="J1781" s="116"/>
      <c r="K1781" s="40"/>
      <c r="L1781" s="40"/>
      <c r="M1781" s="40"/>
      <c r="N1781" s="40"/>
      <c r="O1781" s="302"/>
      <c r="P1781" s="158"/>
      <c r="Q1781" s="694"/>
      <c r="R1781" s="694"/>
      <c r="S1781" s="694"/>
      <c r="T1781" s="694"/>
      <c r="U1781" s="694"/>
      <c r="V1781" s="694"/>
      <c r="W1781" s="694"/>
      <c r="X1781" s="694"/>
      <c r="Y1781" s="694"/>
      <c r="Z1781" s="694"/>
      <c r="AA1781" s="1446" t="s">
        <v>1757</v>
      </c>
      <c r="AB1781" s="1447">
        <f t="shared" ref="AB1781:AC1781" si="2542">AB1763</f>
        <v>2</v>
      </c>
      <c r="AC1781" s="1427">
        <f t="shared" si="2542"/>
        <v>2</v>
      </c>
      <c r="AD1781" s="1427">
        <f>AD1763</f>
        <v>2</v>
      </c>
      <c r="AE1781" s="1427">
        <f t="shared" ref="AE1781:AI1781" si="2543">AE1763</f>
        <v>2</v>
      </c>
      <c r="AF1781" s="1427">
        <f t="shared" si="2543"/>
        <v>2</v>
      </c>
      <c r="AG1781" s="1427">
        <f t="shared" si="2543"/>
        <v>2</v>
      </c>
      <c r="AH1781" s="1428">
        <f t="shared" si="2543"/>
        <v>2</v>
      </c>
      <c r="AI1781" s="1429">
        <f t="shared" si="2543"/>
        <v>2</v>
      </c>
      <c r="AJ1781" s="343"/>
      <c r="AK1781" s="1422"/>
      <c r="AL1781" s="1422"/>
      <c r="AM1781" s="343"/>
    </row>
    <row r="1782" spans="1:39" ht="12.75" customHeight="1" x14ac:dyDescent="0.25">
      <c r="A1782" s="729"/>
      <c r="B1782" s="698"/>
      <c r="C1782" s="2906"/>
      <c r="D1782" s="990">
        <v>2</v>
      </c>
      <c r="E1782" s="1430" t="str">
        <f t="shared" ref="E1782:F1782" si="2544">E1764</f>
        <v/>
      </c>
      <c r="F1782" s="1448" t="str">
        <f t="shared" si="2544"/>
        <v>t CO2e</v>
      </c>
      <c r="G1782" s="124"/>
      <c r="H1782" s="119"/>
      <c r="I1782" s="47"/>
      <c r="J1782" s="119"/>
      <c r="K1782" s="43"/>
      <c r="L1782" s="43"/>
      <c r="M1782" s="43"/>
      <c r="N1782" s="43"/>
      <c r="O1782" s="302"/>
      <c r="P1782" s="158"/>
      <c r="Q1782" s="694"/>
      <c r="R1782" s="694"/>
      <c r="S1782" s="694"/>
      <c r="T1782" s="694"/>
      <c r="U1782" s="694"/>
      <c r="V1782" s="694"/>
      <c r="W1782" s="694"/>
      <c r="X1782" s="694"/>
      <c r="Y1782" s="694"/>
      <c r="Z1782" s="694"/>
      <c r="AA1782" s="694"/>
      <c r="AB1782" s="1431">
        <f t="shared" ref="AB1782:AI1782" si="2545">AB1764</f>
        <v>2</v>
      </c>
      <c r="AC1782" s="1432">
        <f t="shared" si="2545"/>
        <v>2</v>
      </c>
      <c r="AD1782" s="1432">
        <f t="shared" si="2545"/>
        <v>2</v>
      </c>
      <c r="AE1782" s="1432">
        <f t="shared" si="2545"/>
        <v>2</v>
      </c>
      <c r="AF1782" s="1432">
        <f t="shared" si="2545"/>
        <v>2</v>
      </c>
      <c r="AG1782" s="1432">
        <f t="shared" si="2545"/>
        <v>2</v>
      </c>
      <c r="AH1782" s="1432">
        <f t="shared" si="2545"/>
        <v>2</v>
      </c>
      <c r="AI1782" s="1452">
        <f t="shared" si="2545"/>
        <v>2</v>
      </c>
      <c r="AJ1782" s="343"/>
      <c r="AK1782" s="1422"/>
      <c r="AL1782" s="1422"/>
      <c r="AM1782" s="343"/>
    </row>
    <row r="1783" spans="1:39" ht="12.75" customHeight="1" x14ac:dyDescent="0.25">
      <c r="A1783" s="729"/>
      <c r="B1783" s="698"/>
      <c r="C1783" s="2906"/>
      <c r="D1783" s="990">
        <v>3</v>
      </c>
      <c r="E1783" s="1430" t="str">
        <f t="shared" ref="E1783:F1783" si="2546">E1765</f>
        <v/>
      </c>
      <c r="F1783" s="1448" t="str">
        <f t="shared" si="2546"/>
        <v>t CO2e</v>
      </c>
      <c r="G1783" s="47"/>
      <c r="H1783" s="119"/>
      <c r="I1783" s="47"/>
      <c r="J1783" s="119"/>
      <c r="K1783" s="43"/>
      <c r="L1783" s="43"/>
      <c r="M1783" s="43"/>
      <c r="N1783" s="43"/>
      <c r="O1783" s="302"/>
      <c r="P1783" s="158"/>
      <c r="Q1783" s="694"/>
      <c r="R1783" s="694"/>
      <c r="S1783" s="694"/>
      <c r="T1783" s="694"/>
      <c r="U1783" s="694"/>
      <c r="V1783" s="694"/>
      <c r="W1783" s="694"/>
      <c r="X1783" s="694"/>
      <c r="Y1783" s="694"/>
      <c r="Z1783" s="694"/>
      <c r="AA1783" s="694"/>
      <c r="AB1783" s="1431">
        <f t="shared" ref="AB1783:AI1783" si="2547">AB1765</f>
        <v>2</v>
      </c>
      <c r="AC1783" s="1432">
        <f t="shared" si="2547"/>
        <v>2</v>
      </c>
      <c r="AD1783" s="1432">
        <f t="shared" si="2547"/>
        <v>2</v>
      </c>
      <c r="AE1783" s="1432">
        <f t="shared" si="2547"/>
        <v>2</v>
      </c>
      <c r="AF1783" s="1432">
        <f t="shared" si="2547"/>
        <v>2</v>
      </c>
      <c r="AG1783" s="1432">
        <f t="shared" si="2547"/>
        <v>2</v>
      </c>
      <c r="AH1783" s="1432">
        <f t="shared" si="2547"/>
        <v>2</v>
      </c>
      <c r="AI1783" s="1452">
        <f t="shared" si="2547"/>
        <v>2</v>
      </c>
      <c r="AJ1783" s="343"/>
      <c r="AK1783" s="1422"/>
      <c r="AL1783" s="1422"/>
      <c r="AM1783" s="343"/>
    </row>
    <row r="1784" spans="1:39" ht="12.75" customHeight="1" x14ac:dyDescent="0.25">
      <c r="A1784" s="729"/>
      <c r="B1784" s="698"/>
      <c r="C1784" s="2906"/>
      <c r="D1784" s="990">
        <v>4</v>
      </c>
      <c r="E1784" s="1430" t="str">
        <f t="shared" ref="E1784:F1784" si="2548">E1766</f>
        <v/>
      </c>
      <c r="F1784" s="1448" t="str">
        <f t="shared" si="2548"/>
        <v>t CO2e</v>
      </c>
      <c r="G1784" s="47"/>
      <c r="H1784" s="119"/>
      <c r="I1784" s="47"/>
      <c r="J1784" s="119"/>
      <c r="K1784" s="43"/>
      <c r="L1784" s="43"/>
      <c r="M1784" s="43"/>
      <c r="N1784" s="43"/>
      <c r="O1784" s="302"/>
      <c r="P1784" s="158"/>
      <c r="Q1784" s="694"/>
      <c r="R1784" s="694"/>
      <c r="S1784" s="694"/>
      <c r="T1784" s="694"/>
      <c r="U1784" s="694"/>
      <c r="V1784" s="694"/>
      <c r="W1784" s="694"/>
      <c r="X1784" s="694"/>
      <c r="Y1784" s="694"/>
      <c r="Z1784" s="694"/>
      <c r="AA1784" s="694"/>
      <c r="AB1784" s="1431">
        <f t="shared" ref="AB1784:AI1784" si="2549">AB1766</f>
        <v>2</v>
      </c>
      <c r="AC1784" s="1432">
        <f t="shared" si="2549"/>
        <v>2</v>
      </c>
      <c r="AD1784" s="1432">
        <f t="shared" si="2549"/>
        <v>2</v>
      </c>
      <c r="AE1784" s="1432">
        <f t="shared" si="2549"/>
        <v>2</v>
      </c>
      <c r="AF1784" s="1432">
        <f t="shared" si="2549"/>
        <v>2</v>
      </c>
      <c r="AG1784" s="1432">
        <f t="shared" si="2549"/>
        <v>2</v>
      </c>
      <c r="AH1784" s="1432">
        <f t="shared" si="2549"/>
        <v>2</v>
      </c>
      <c r="AI1784" s="1452">
        <f t="shared" si="2549"/>
        <v>2</v>
      </c>
      <c r="AJ1784" s="343"/>
      <c r="AK1784" s="1422"/>
      <c r="AL1784" s="1422"/>
      <c r="AM1784" s="343"/>
    </row>
    <row r="1785" spans="1:39" ht="12.75" customHeight="1" x14ac:dyDescent="0.25">
      <c r="A1785" s="729"/>
      <c r="B1785" s="698"/>
      <c r="C1785" s="2906"/>
      <c r="D1785" s="990">
        <v>5</v>
      </c>
      <c r="E1785" s="1430" t="str">
        <f t="shared" ref="E1785:F1785" si="2550">E1767</f>
        <v/>
      </c>
      <c r="F1785" s="1448" t="str">
        <f t="shared" si="2550"/>
        <v>t CO2e</v>
      </c>
      <c r="G1785" s="47"/>
      <c r="H1785" s="119"/>
      <c r="I1785" s="47"/>
      <c r="J1785" s="119"/>
      <c r="K1785" s="43"/>
      <c r="L1785" s="43"/>
      <c r="M1785" s="43"/>
      <c r="N1785" s="43"/>
      <c r="O1785" s="302"/>
      <c r="P1785" s="158"/>
      <c r="Q1785" s="694"/>
      <c r="R1785" s="694"/>
      <c r="S1785" s="694"/>
      <c r="T1785" s="694"/>
      <c r="U1785" s="694"/>
      <c r="V1785" s="694"/>
      <c r="W1785" s="694"/>
      <c r="X1785" s="694"/>
      <c r="Y1785" s="694"/>
      <c r="Z1785" s="694"/>
      <c r="AA1785" s="694"/>
      <c r="AB1785" s="1431">
        <f t="shared" ref="AB1785:AI1785" si="2551">AB1767</f>
        <v>2</v>
      </c>
      <c r="AC1785" s="1432">
        <f t="shared" si="2551"/>
        <v>2</v>
      </c>
      <c r="AD1785" s="1432">
        <f t="shared" si="2551"/>
        <v>2</v>
      </c>
      <c r="AE1785" s="1432">
        <f t="shared" si="2551"/>
        <v>2</v>
      </c>
      <c r="AF1785" s="1432">
        <f t="shared" si="2551"/>
        <v>2</v>
      </c>
      <c r="AG1785" s="1432">
        <f t="shared" si="2551"/>
        <v>2</v>
      </c>
      <c r="AH1785" s="1432">
        <f t="shared" si="2551"/>
        <v>2</v>
      </c>
      <c r="AI1785" s="1452">
        <f t="shared" si="2551"/>
        <v>2</v>
      </c>
      <c r="AJ1785" s="343"/>
      <c r="AK1785" s="1422"/>
      <c r="AL1785" s="1422"/>
      <c r="AM1785" s="343"/>
    </row>
    <row r="1786" spans="1:39" ht="12.75" customHeight="1" x14ac:dyDescent="0.25">
      <c r="A1786" s="729"/>
      <c r="B1786" s="698"/>
      <c r="C1786" s="2906"/>
      <c r="D1786" s="990">
        <v>6</v>
      </c>
      <c r="E1786" s="1430" t="str">
        <f t="shared" ref="E1786:F1786" si="2552">E1768</f>
        <v/>
      </c>
      <c r="F1786" s="1448" t="str">
        <f t="shared" si="2552"/>
        <v>t CO2e</v>
      </c>
      <c r="G1786" s="47"/>
      <c r="H1786" s="119"/>
      <c r="I1786" s="47"/>
      <c r="J1786" s="119"/>
      <c r="K1786" s="43"/>
      <c r="L1786" s="43"/>
      <c r="M1786" s="43"/>
      <c r="N1786" s="43"/>
      <c r="O1786" s="302"/>
      <c r="P1786" s="158"/>
      <c r="Q1786" s="694"/>
      <c r="R1786" s="694"/>
      <c r="S1786" s="694"/>
      <c r="T1786" s="694"/>
      <c r="U1786" s="694"/>
      <c r="V1786" s="694"/>
      <c r="W1786" s="694"/>
      <c r="X1786" s="694"/>
      <c r="Y1786" s="694"/>
      <c r="Z1786" s="694"/>
      <c r="AA1786" s="694"/>
      <c r="AB1786" s="1431">
        <f t="shared" ref="AB1786:AI1786" si="2553">AB1768</f>
        <v>2</v>
      </c>
      <c r="AC1786" s="1432">
        <f t="shared" si="2553"/>
        <v>2</v>
      </c>
      <c r="AD1786" s="1432">
        <f t="shared" si="2553"/>
        <v>2</v>
      </c>
      <c r="AE1786" s="1432">
        <f t="shared" si="2553"/>
        <v>2</v>
      </c>
      <c r="AF1786" s="1432">
        <f t="shared" si="2553"/>
        <v>2</v>
      </c>
      <c r="AG1786" s="1432">
        <f t="shared" si="2553"/>
        <v>2</v>
      </c>
      <c r="AH1786" s="1432">
        <f t="shared" si="2553"/>
        <v>2</v>
      </c>
      <c r="AI1786" s="1452">
        <f t="shared" si="2553"/>
        <v>2</v>
      </c>
      <c r="AJ1786" s="343"/>
      <c r="AK1786" s="1422"/>
      <c r="AL1786" s="1422"/>
      <c r="AM1786" s="343"/>
    </row>
    <row r="1787" spans="1:39" ht="12.75" customHeight="1" x14ac:dyDescent="0.25">
      <c r="A1787" s="729"/>
      <c r="B1787" s="698"/>
      <c r="C1787" s="2906"/>
      <c r="D1787" s="990">
        <v>7</v>
      </c>
      <c r="E1787" s="1430" t="str">
        <f t="shared" ref="E1787:F1787" si="2554">E1769</f>
        <v/>
      </c>
      <c r="F1787" s="1448" t="str">
        <f t="shared" si="2554"/>
        <v>t CO2e</v>
      </c>
      <c r="G1787" s="47"/>
      <c r="H1787" s="119"/>
      <c r="I1787" s="47"/>
      <c r="J1787" s="119"/>
      <c r="K1787" s="43"/>
      <c r="L1787" s="43"/>
      <c r="M1787" s="43"/>
      <c r="N1787" s="43"/>
      <c r="O1787" s="302"/>
      <c r="P1787" s="158"/>
      <c r="Q1787" s="694"/>
      <c r="R1787" s="694"/>
      <c r="S1787" s="694"/>
      <c r="T1787" s="694"/>
      <c r="U1787" s="694"/>
      <c r="V1787" s="694"/>
      <c r="W1787" s="694"/>
      <c r="X1787" s="694"/>
      <c r="Y1787" s="694"/>
      <c r="Z1787" s="694"/>
      <c r="AA1787" s="694"/>
      <c r="AB1787" s="1431">
        <f t="shared" ref="AB1787:AI1787" si="2555">AB1769</f>
        <v>2</v>
      </c>
      <c r="AC1787" s="1432">
        <f t="shared" si="2555"/>
        <v>2</v>
      </c>
      <c r="AD1787" s="1432">
        <f t="shared" si="2555"/>
        <v>2</v>
      </c>
      <c r="AE1787" s="1432">
        <f t="shared" si="2555"/>
        <v>2</v>
      </c>
      <c r="AF1787" s="1432">
        <f t="shared" si="2555"/>
        <v>2</v>
      </c>
      <c r="AG1787" s="1432">
        <f t="shared" si="2555"/>
        <v>2</v>
      </c>
      <c r="AH1787" s="1432">
        <f t="shared" si="2555"/>
        <v>2</v>
      </c>
      <c r="AI1787" s="1452">
        <f t="shared" si="2555"/>
        <v>2</v>
      </c>
      <c r="AJ1787" s="343"/>
      <c r="AK1787" s="1422"/>
      <c r="AL1787" s="1422"/>
      <c r="AM1787" s="343"/>
    </row>
    <row r="1788" spans="1:39" ht="12.75" customHeight="1" x14ac:dyDescent="0.25">
      <c r="A1788" s="729"/>
      <c r="B1788" s="698"/>
      <c r="C1788" s="2906"/>
      <c r="D1788" s="990">
        <v>8</v>
      </c>
      <c r="E1788" s="1430" t="str">
        <f t="shared" ref="E1788:F1788" si="2556">E1770</f>
        <v/>
      </c>
      <c r="F1788" s="1448" t="str">
        <f t="shared" si="2556"/>
        <v>t CO2e</v>
      </c>
      <c r="G1788" s="47"/>
      <c r="H1788" s="119"/>
      <c r="I1788" s="47"/>
      <c r="J1788" s="119"/>
      <c r="K1788" s="43"/>
      <c r="L1788" s="43"/>
      <c r="M1788" s="43"/>
      <c r="N1788" s="43"/>
      <c r="O1788" s="302"/>
      <c r="P1788" s="158"/>
      <c r="Q1788" s="694"/>
      <c r="R1788" s="694"/>
      <c r="S1788" s="694"/>
      <c r="T1788" s="694"/>
      <c r="U1788" s="694"/>
      <c r="V1788" s="694"/>
      <c r="W1788" s="694"/>
      <c r="X1788" s="694"/>
      <c r="Y1788" s="694"/>
      <c r="Z1788" s="694"/>
      <c r="AA1788" s="694"/>
      <c r="AB1788" s="1431">
        <f t="shared" ref="AB1788:AI1788" si="2557">AB1770</f>
        <v>2</v>
      </c>
      <c r="AC1788" s="1432">
        <f t="shared" si="2557"/>
        <v>2</v>
      </c>
      <c r="AD1788" s="1432">
        <f t="shared" si="2557"/>
        <v>2</v>
      </c>
      <c r="AE1788" s="1432">
        <f t="shared" si="2557"/>
        <v>2</v>
      </c>
      <c r="AF1788" s="1432">
        <f t="shared" si="2557"/>
        <v>2</v>
      </c>
      <c r="AG1788" s="1432">
        <f t="shared" si="2557"/>
        <v>2</v>
      </c>
      <c r="AH1788" s="1432">
        <f t="shared" si="2557"/>
        <v>2</v>
      </c>
      <c r="AI1788" s="1452">
        <f t="shared" si="2557"/>
        <v>2</v>
      </c>
      <c r="AJ1788" s="343"/>
      <c r="AK1788" s="1422"/>
      <c r="AL1788" s="1422"/>
      <c r="AM1788" s="343"/>
    </row>
    <row r="1789" spans="1:39" ht="12.75" customHeight="1" x14ac:dyDescent="0.25">
      <c r="A1789" s="729"/>
      <c r="B1789" s="698"/>
      <c r="C1789" s="2906"/>
      <c r="D1789" s="990">
        <v>9</v>
      </c>
      <c r="E1789" s="1430" t="str">
        <f t="shared" ref="E1789:F1789" si="2558">E1771</f>
        <v/>
      </c>
      <c r="F1789" s="1448" t="str">
        <f t="shared" si="2558"/>
        <v>t CO2e</v>
      </c>
      <c r="G1789" s="47"/>
      <c r="H1789" s="119"/>
      <c r="I1789" s="47"/>
      <c r="J1789" s="119"/>
      <c r="K1789" s="43"/>
      <c r="L1789" s="43"/>
      <c r="M1789" s="43"/>
      <c r="N1789" s="43"/>
      <c r="O1789" s="302"/>
      <c r="P1789" s="158"/>
      <c r="Q1789" s="694"/>
      <c r="R1789" s="694"/>
      <c r="S1789" s="694"/>
      <c r="T1789" s="694"/>
      <c r="U1789" s="694"/>
      <c r="V1789" s="694"/>
      <c r="W1789" s="694"/>
      <c r="X1789" s="694"/>
      <c r="Y1789" s="694"/>
      <c r="Z1789" s="694"/>
      <c r="AA1789" s="694"/>
      <c r="AB1789" s="1431">
        <f t="shared" ref="AB1789:AI1789" si="2559">AB1771</f>
        <v>2</v>
      </c>
      <c r="AC1789" s="1432">
        <f t="shared" si="2559"/>
        <v>2</v>
      </c>
      <c r="AD1789" s="1432">
        <f t="shared" si="2559"/>
        <v>2</v>
      </c>
      <c r="AE1789" s="1432">
        <f t="shared" si="2559"/>
        <v>2</v>
      </c>
      <c r="AF1789" s="1432">
        <f t="shared" si="2559"/>
        <v>2</v>
      </c>
      <c r="AG1789" s="1432">
        <f t="shared" si="2559"/>
        <v>2</v>
      </c>
      <c r="AH1789" s="1432">
        <f t="shared" si="2559"/>
        <v>2</v>
      </c>
      <c r="AI1789" s="1452">
        <f t="shared" si="2559"/>
        <v>2</v>
      </c>
      <c r="AJ1789" s="343"/>
      <c r="AK1789" s="1422"/>
      <c r="AL1789" s="1422"/>
      <c r="AM1789" s="343"/>
    </row>
    <row r="1790" spans="1:39" ht="12.75" customHeight="1" thickBot="1" x14ac:dyDescent="0.3">
      <c r="A1790" s="729"/>
      <c r="B1790" s="698"/>
      <c r="C1790" s="2906"/>
      <c r="D1790" s="994">
        <v>10</v>
      </c>
      <c r="E1790" s="1435" t="str">
        <f t="shared" ref="E1790:F1790" si="2560">E1772</f>
        <v/>
      </c>
      <c r="F1790" s="1453" t="str">
        <f t="shared" si="2560"/>
        <v>t CO2e</v>
      </c>
      <c r="G1790" s="48"/>
      <c r="H1790" s="117"/>
      <c r="I1790" s="48"/>
      <c r="J1790" s="117"/>
      <c r="K1790" s="38"/>
      <c r="L1790" s="38"/>
      <c r="M1790" s="38"/>
      <c r="N1790" s="38"/>
      <c r="O1790" s="302"/>
      <c r="P1790" s="158"/>
      <c r="Q1790" s="694"/>
      <c r="R1790" s="694"/>
      <c r="S1790" s="694"/>
      <c r="T1790" s="694"/>
      <c r="U1790" s="694"/>
      <c r="V1790" s="694"/>
      <c r="W1790" s="694"/>
      <c r="X1790" s="694"/>
      <c r="Y1790" s="694"/>
      <c r="Z1790" s="694"/>
      <c r="AA1790" s="694"/>
      <c r="AB1790" s="1436">
        <f t="shared" ref="AB1790:AI1790" si="2561">AB1772</f>
        <v>2</v>
      </c>
      <c r="AC1790" s="1437">
        <f t="shared" si="2561"/>
        <v>2</v>
      </c>
      <c r="AD1790" s="1437">
        <f t="shared" si="2561"/>
        <v>2</v>
      </c>
      <c r="AE1790" s="1437">
        <f t="shared" si="2561"/>
        <v>2</v>
      </c>
      <c r="AF1790" s="1437">
        <f t="shared" si="2561"/>
        <v>2</v>
      </c>
      <c r="AG1790" s="1437">
        <f t="shared" si="2561"/>
        <v>2</v>
      </c>
      <c r="AH1790" s="1437">
        <f t="shared" si="2561"/>
        <v>2</v>
      </c>
      <c r="AI1790" s="1457">
        <f t="shared" si="2561"/>
        <v>2</v>
      </c>
      <c r="AJ1790" s="343"/>
      <c r="AK1790" s="1422"/>
      <c r="AL1790" s="1422"/>
      <c r="AM1790" s="343"/>
    </row>
    <row r="1791" spans="1:39" ht="12.75" customHeight="1" x14ac:dyDescent="0.25">
      <c r="A1791" s="729"/>
      <c r="B1791" s="698"/>
      <c r="C1791" s="2906"/>
      <c r="D1791" s="1293"/>
      <c r="E1791" s="1458" t="str">
        <f>Translations!$B$1338</f>
        <v>Общо потребление</v>
      </c>
      <c r="F1791" s="1453" t="str">
        <f t="shared" ref="F1791" si="2562">F1773</f>
        <v>t CO2e</v>
      </c>
      <c r="G1791" s="1296" t="str">
        <f t="shared" ref="G1791:N1791" si="2563">IF(COUNT(G1781:G1790)&gt;0,SUMIF($S1728:$S1737,TRUE,G1781:G1790),"")</f>
        <v/>
      </c>
      <c r="H1791" s="1297" t="str">
        <f t="shared" si="2563"/>
        <v/>
      </c>
      <c r="I1791" s="1296" t="str">
        <f t="shared" si="2563"/>
        <v/>
      </c>
      <c r="J1791" s="1297" t="str">
        <f t="shared" si="2563"/>
        <v/>
      </c>
      <c r="K1791" s="1104" t="str">
        <f t="shared" si="2563"/>
        <v/>
      </c>
      <c r="L1791" s="1104" t="str">
        <f t="shared" si="2563"/>
        <v/>
      </c>
      <c r="M1791" s="1104" t="str">
        <f t="shared" si="2563"/>
        <v/>
      </c>
      <c r="N1791" s="1104" t="str">
        <f t="shared" si="2563"/>
        <v/>
      </c>
      <c r="O1791" s="302"/>
      <c r="P1791" s="336"/>
      <c r="Q1791" s="694"/>
      <c r="R1791" s="694"/>
      <c r="S1791" s="694"/>
      <c r="T1791" s="694"/>
      <c r="U1791" s="694"/>
      <c r="V1791" s="694"/>
      <c r="W1791" s="694"/>
      <c r="X1791" s="694"/>
      <c r="Y1791" s="694"/>
      <c r="Z1791" s="694"/>
      <c r="AA1791" s="694"/>
      <c r="AB1791" s="729"/>
      <c r="AC1791" s="694"/>
      <c r="AD1791" s="694"/>
      <c r="AE1791" s="343"/>
      <c r="AF1791" s="343"/>
      <c r="AG1791" s="343"/>
      <c r="AH1791" s="343"/>
      <c r="AI1791" s="343"/>
      <c r="AJ1791" s="343"/>
      <c r="AK1791" s="343"/>
      <c r="AL1791" s="343"/>
      <c r="AM1791" s="343"/>
    </row>
    <row r="1792" spans="1:39" ht="5.15" customHeight="1" x14ac:dyDescent="0.25">
      <c r="A1792" s="729"/>
      <c r="B1792" s="698"/>
      <c r="C1792" s="284"/>
      <c r="D1792" s="284"/>
      <c r="E1792" s="284"/>
      <c r="F1792" s="284"/>
      <c r="G1792" s="284"/>
      <c r="H1792" s="284"/>
      <c r="I1792" s="284"/>
      <c r="J1792" s="284"/>
      <c r="K1792" s="284"/>
      <c r="L1792" s="284"/>
      <c r="M1792" s="284"/>
      <c r="N1792" s="284"/>
      <c r="O1792" s="302"/>
      <c r="P1792" s="336"/>
      <c r="Q1792" s="694"/>
      <c r="R1792" s="694"/>
      <c r="S1792" s="694"/>
      <c r="T1792" s="694"/>
      <c r="U1792" s="694"/>
      <c r="V1792" s="694"/>
      <c r="W1792" s="694"/>
      <c r="X1792" s="694"/>
      <c r="Y1792" s="694"/>
      <c r="Z1792" s="729"/>
      <c r="AA1792" s="729"/>
      <c r="AB1792" s="729"/>
      <c r="AC1792" s="694"/>
      <c r="AD1792" s="694"/>
      <c r="AE1792" s="343"/>
      <c r="AF1792" s="343"/>
      <c r="AG1792" s="343"/>
      <c r="AH1792" s="343"/>
      <c r="AI1792" s="343"/>
      <c r="AJ1792" s="343"/>
      <c r="AK1792" s="343"/>
      <c r="AL1792" s="343"/>
      <c r="AM1792" s="343"/>
    </row>
    <row r="1793" spans="1:39" ht="12.75" customHeight="1" x14ac:dyDescent="0.25">
      <c r="A1793" s="729"/>
      <c r="B1793" s="698"/>
      <c r="C1793" s="284"/>
      <c r="D1793" s="300" t="s">
        <v>1830</v>
      </c>
      <c r="E1793" s="2226" t="str">
        <f>Translations!$B$1569</f>
        <v>Общо технологични емисии по продукти за определяне на очакваните равнища на дейност</v>
      </c>
      <c r="F1793" s="2249"/>
      <c r="G1793" s="2249"/>
      <c r="H1793" s="2249"/>
      <c r="I1793" s="2249"/>
      <c r="J1793" s="2249"/>
      <c r="K1793" s="2249"/>
      <c r="L1793" s="2249"/>
      <c r="M1793" s="2249"/>
      <c r="N1793" s="2249"/>
      <c r="O1793" s="302"/>
      <c r="P1793" s="295"/>
      <c r="Q1793" s="694"/>
      <c r="R1793" s="694"/>
      <c r="S1793" s="694"/>
      <c r="T1793" s="694"/>
      <c r="U1793" s="694"/>
      <c r="V1793" s="694"/>
      <c r="W1793" s="694"/>
      <c r="X1793" s="694"/>
      <c r="Y1793" s="694"/>
      <c r="Z1793" s="729"/>
      <c r="AA1793" s="729"/>
      <c r="AB1793" s="729"/>
      <c r="AC1793" s="729"/>
      <c r="AD1793" s="694"/>
      <c r="AE1793" s="343"/>
      <c r="AF1793" s="343"/>
      <c r="AG1793" s="343"/>
      <c r="AH1793" s="343"/>
      <c r="AI1793" s="343"/>
      <c r="AJ1793" s="343"/>
      <c r="AK1793" s="343"/>
      <c r="AL1793" s="343"/>
      <c r="AM1793" s="343"/>
    </row>
    <row r="1794" spans="1:39" ht="12.75" customHeight="1" x14ac:dyDescent="0.25">
      <c r="A1794" s="729"/>
      <c r="B1794" s="698"/>
      <c r="C1794" s="284"/>
      <c r="D1794" s="284"/>
      <c r="E1794" s="2358" t="str">
        <f>Translations!$B$1543</f>
        <v>Това е сборът от вписванията по-горе b.2 + b.3. Следователно сумата може да бъде по-висока от 100 % от равнището на дейност.</v>
      </c>
      <c r="F1794" s="2249"/>
      <c r="G1794" s="2249"/>
      <c r="H1794" s="2249"/>
      <c r="I1794" s="2249"/>
      <c r="J1794" s="2249"/>
      <c r="K1794" s="2249"/>
      <c r="L1794" s="2249"/>
      <c r="M1794" s="2249"/>
      <c r="N1794" s="2249"/>
      <c r="O1794" s="302"/>
      <c r="P1794" s="295"/>
      <c r="Q1794" s="694"/>
      <c r="R1794" s="694"/>
      <c r="S1794" s="694"/>
      <c r="T1794" s="694"/>
      <c r="U1794" s="694"/>
      <c r="V1794" s="694"/>
      <c r="W1794" s="694"/>
      <c r="X1794" s="694"/>
      <c r="Y1794" s="694"/>
      <c r="Z1794" s="729"/>
      <c r="AA1794" s="729"/>
      <c r="AB1794" s="729"/>
      <c r="AC1794" s="729"/>
      <c r="AD1794" s="694"/>
      <c r="AE1794" s="343"/>
      <c r="AF1794" s="343"/>
      <c r="AG1794" s="343"/>
      <c r="AH1794" s="343"/>
      <c r="AI1794" s="343"/>
      <c r="AJ1794" s="343"/>
      <c r="AK1794" s="343"/>
      <c r="AL1794" s="343"/>
      <c r="AM1794" s="343"/>
    </row>
    <row r="1795" spans="1:39" ht="5.15" customHeight="1" x14ac:dyDescent="0.25">
      <c r="A1795" s="729"/>
      <c r="B1795" s="698"/>
      <c r="C1795" s="284"/>
      <c r="D1795" s="284"/>
      <c r="E1795" s="2358"/>
      <c r="F1795" s="2249"/>
      <c r="G1795" s="2249"/>
      <c r="H1795" s="2249"/>
      <c r="I1795" s="2249"/>
      <c r="J1795" s="2249"/>
      <c r="K1795" s="2249"/>
      <c r="L1795" s="2249"/>
      <c r="M1795" s="2249"/>
      <c r="N1795" s="2249"/>
      <c r="O1795" s="302"/>
      <c r="P1795" s="295"/>
      <c r="Q1795" s="694"/>
      <c r="R1795" s="694"/>
      <c r="S1795" s="694"/>
      <c r="T1795" s="694"/>
      <c r="U1795" s="694"/>
      <c r="V1795" s="694"/>
      <c r="W1795" s="694"/>
      <c r="X1795" s="694"/>
      <c r="Y1795" s="694"/>
      <c r="Z1795" s="729"/>
      <c r="AA1795" s="729"/>
      <c r="AB1795" s="729"/>
      <c r="AC1795" s="729"/>
      <c r="AD1795" s="694"/>
      <c r="AE1795" s="343"/>
      <c r="AF1795" s="343"/>
      <c r="AG1795" s="343"/>
      <c r="AH1795" s="343"/>
      <c r="AI1795" s="343"/>
      <c r="AJ1795" s="343"/>
      <c r="AK1795" s="343"/>
      <c r="AL1795" s="343"/>
      <c r="AM1795" s="343"/>
    </row>
    <row r="1796" spans="1:39" s="1423" customFormat="1" ht="25.5" customHeight="1" thickBot="1" x14ac:dyDescent="0.35">
      <c r="A1796" s="729"/>
      <c r="B1796" s="1412"/>
      <c r="C1796" s="1413"/>
      <c r="D1796" s="1414"/>
      <c r="E1796" s="1415" t="str">
        <f>E1780</f>
        <v>Име на продукт или вид услуга</v>
      </c>
      <c r="F1796" s="1416" t="str">
        <f>EUconst_Unit</f>
        <v>Единица мярка</v>
      </c>
      <c r="G1796" s="1419" t="str">
        <f>Translations!$B$1336</f>
        <v>Стойност в НМИ</v>
      </c>
      <c r="H1796" s="1418">
        <f t="shared" ref="H1796:N1796" si="2564">H$1840</f>
        <v>2024</v>
      </c>
      <c r="I1796" s="1419">
        <f t="shared" si="2564"/>
        <v>2025</v>
      </c>
      <c r="J1796" s="1418">
        <f t="shared" si="2564"/>
        <v>2026</v>
      </c>
      <c r="K1796" s="1420">
        <f t="shared" si="2564"/>
        <v>2027</v>
      </c>
      <c r="L1796" s="1420">
        <f t="shared" si="2564"/>
        <v>2028</v>
      </c>
      <c r="M1796" s="1420">
        <f t="shared" si="2564"/>
        <v>2029</v>
      </c>
      <c r="N1796" s="1420">
        <f t="shared" si="2564"/>
        <v>2030</v>
      </c>
      <c r="O1796" s="302"/>
      <c r="P1796" s="295"/>
      <c r="Q1796" s="1421"/>
      <c r="R1796" s="1421"/>
      <c r="S1796" s="770" t="str">
        <f>Translations!$B$1341</f>
        <v>Базова стойност</v>
      </c>
      <c r="T1796" s="1421">
        <f t="shared" ref="T1796" si="2565">H1796</f>
        <v>2024</v>
      </c>
      <c r="U1796" s="1421">
        <f t="shared" ref="U1796" si="2566">I1796</f>
        <v>2025</v>
      </c>
      <c r="V1796" s="1421">
        <f t="shared" ref="V1796" si="2567">J1796</f>
        <v>2026</v>
      </c>
      <c r="W1796" s="1421">
        <f t="shared" ref="W1796" si="2568">K1796</f>
        <v>2027</v>
      </c>
      <c r="X1796" s="1421">
        <f t="shared" ref="X1796" si="2569">L1796</f>
        <v>2028</v>
      </c>
      <c r="Y1796" s="1421">
        <f t="shared" ref="Y1796" si="2570">M1796</f>
        <v>2029</v>
      </c>
      <c r="Z1796" s="1421">
        <f t="shared" ref="Z1796" si="2571">N1796</f>
        <v>2030</v>
      </c>
      <c r="AA1796" s="1421"/>
      <c r="AB1796" s="770" t="str">
        <f>Translations!$B$1284</f>
        <v>HAL</v>
      </c>
      <c r="AC1796" s="1421">
        <f t="shared" ref="AC1796" si="2572">H1796</f>
        <v>2024</v>
      </c>
      <c r="AD1796" s="1421">
        <f t="shared" ref="AD1796" si="2573">I1796</f>
        <v>2025</v>
      </c>
      <c r="AE1796" s="1421">
        <f t="shared" ref="AE1796" si="2574">J1796</f>
        <v>2026</v>
      </c>
      <c r="AF1796" s="1421">
        <f t="shared" ref="AF1796" si="2575">K1796</f>
        <v>2027</v>
      </c>
      <c r="AG1796" s="1421">
        <f t="shared" ref="AG1796" si="2576">L1796</f>
        <v>2028</v>
      </c>
      <c r="AH1796" s="1422">
        <f t="shared" ref="AH1796" si="2577">M1796</f>
        <v>2029</v>
      </c>
      <c r="AI1796" s="1422">
        <f t="shared" ref="AI1796" si="2578">N1796</f>
        <v>2030</v>
      </c>
      <c r="AJ1796" s="1422"/>
      <c r="AK1796" s="1422"/>
      <c r="AL1796" s="1422"/>
      <c r="AM1796" s="1422"/>
    </row>
    <row r="1797" spans="1:39" ht="12.75" customHeight="1" x14ac:dyDescent="0.25">
      <c r="A1797" s="729"/>
      <c r="B1797" s="698"/>
      <c r="C1797" s="2906" t="str">
        <f>Translations!$B$1544</f>
        <v>ОБЩО</v>
      </c>
      <c r="D1797" s="981">
        <v>1</v>
      </c>
      <c r="E1797" s="1424" t="str">
        <f t="shared" ref="E1797:E1806" si="2579">E1781</f>
        <v/>
      </c>
      <c r="F1797" s="1259" t="str">
        <f>F1781</f>
        <v>t CO2e</v>
      </c>
      <c r="G1797" s="1465" t="str">
        <f>IF(OR($E1797="",AB1797=0),"",SUM(G1763,G1781))</f>
        <v/>
      </c>
      <c r="H1797" s="1466" t="str">
        <f t="shared" ref="H1797:H1806" si="2580">IF(OR($E1797="",AC1797=0),"",SUM(H1763,H1781))</f>
        <v/>
      </c>
      <c r="I1797" s="1467" t="str">
        <f t="shared" ref="I1797:I1806" si="2581">IF(OR($E1797="",AD1797=0),"",SUM(I1763,I1781))</f>
        <v/>
      </c>
      <c r="J1797" s="1466" t="str">
        <f t="shared" ref="J1797:J1806" si="2582">IF(OR($E1797="",AE1797=0),"",SUM(J1763,J1781))</f>
        <v/>
      </c>
      <c r="K1797" s="1126" t="str">
        <f t="shared" ref="K1797:K1806" si="2583">IF(OR($E1797="",AF1797=0),"",SUM(K1763,K1781))</f>
        <v/>
      </c>
      <c r="L1797" s="1126" t="str">
        <f t="shared" ref="L1797:L1806" si="2584">IF(OR($E1797="",AG1797=0),"",SUM(L1763,L1781))</f>
        <v/>
      </c>
      <c r="M1797" s="1126" t="str">
        <f t="shared" ref="M1797:M1806" si="2585">IF(OR($E1797="",AH1797=0),"",SUM(M1763,M1781))</f>
        <v/>
      </c>
      <c r="N1797" s="1126" t="str">
        <f t="shared" ref="N1797:N1806" si="2586">IF(OR($E1797="",AI1797=0),"",SUM(N1763,N1781))</f>
        <v/>
      </c>
      <c r="O1797" s="302"/>
      <c r="P1797" s="158"/>
      <c r="Q1797" s="694"/>
      <c r="R1797" s="694"/>
      <c r="S1797" s="1443" t="str">
        <f>IF($M1694&lt;&gt;EUconst_Relevant,"",
IF($V1694&gt;($J$1840-3),
              IF(INDEX(H1744:N1744,MATCH($V1694,$T1796:$Z1796,0))=0,0,INDEX(H1797:N1797,MATCH($V1694,$T1796:$Z1796,0))/INDEX(H1744:N1744,MATCH($V1694,$T1796:$Z1796,0))),
                             IF(ISNUMBER(G1744),
                                            IF(OR(G1744=0,$S1728=FALSE),0,G1797/G1744),"")))</f>
        <v/>
      </c>
      <c r="T1797" s="1444" t="str">
        <f>IF($E1797="","",IF(IFERROR(SUM($S1797)=0,SUM(H1797)),SUM(H1797),SUM(H1744)*SUM($S1797))*IF(SUM(H1797)=0,1,SUM(H1763)/SUM(H1797)))</f>
        <v/>
      </c>
      <c r="U1797" s="1444" t="str">
        <f t="shared" ref="U1797" si="2587">IF($E1797="","",IF(IFERROR(SUM($S1797)=0,SUM(I1797)),SUM(I1797),SUM(I1744)*SUM($S1797))*IF(SUM(I1797)=0,1,SUM(I1763)/SUM(I1797)))</f>
        <v/>
      </c>
      <c r="V1797" s="1444" t="str">
        <f t="shared" ref="V1797:V1806" si="2588">IF($E1797="","",IF(IFERROR(SUM($S1797)=0,SUM(J1797)),SUM(J1797),SUM(J1744)*SUM($S1797))*IF(SUM(J1797)=0,1,SUM(J1763)/SUM(J1797)))</f>
        <v/>
      </c>
      <c r="W1797" s="1444" t="str">
        <f t="shared" ref="W1797:W1806" si="2589">IF($E1797="","",IF(IFERROR(SUM($S1797)=0,SUM(K1797)),SUM(K1797),SUM(K1744)*SUM($S1797))*IF(SUM(K1797)=0,1,SUM(K1763)/SUM(K1797)))</f>
        <v/>
      </c>
      <c r="X1797" s="1444" t="str">
        <f t="shared" ref="X1797:X1806" si="2590">IF($E1797="","",IF(IFERROR(SUM($S1797)=0,SUM(L1797)),SUM(L1797),SUM(L1744)*SUM($S1797))*IF(SUM(L1797)=0,1,SUM(L1763)/SUM(L1797)))</f>
        <v/>
      </c>
      <c r="Y1797" s="1444" t="str">
        <f t="shared" ref="Y1797:Y1806" si="2591">IF($E1797="","",IF(IFERROR(SUM($S1797)=0,SUM(M1797)),SUM(M1797),SUM(M1744)*SUM($S1797))*IF(SUM(M1797)=0,1,SUM(M1763)/SUM(M1797)))</f>
        <v/>
      </c>
      <c r="Z1797" s="1445" t="str">
        <f t="shared" ref="Z1797:Z1806" si="2592">IF($E1797="","",IF(IFERROR(SUM($S1797)=0,SUM(N1797)),SUM(N1797),SUM(N1744)*SUM($S1797))*IF(SUM(N1797)=0,1,SUM(N1763)/SUM(N1797)))</f>
        <v/>
      </c>
      <c r="AA1797" s="1446" t="s">
        <v>1757</v>
      </c>
      <c r="AB1797" s="1447">
        <f t="shared" ref="AB1797:AI1797" si="2593">AB1781</f>
        <v>2</v>
      </c>
      <c r="AC1797" s="1427">
        <f t="shared" si="2593"/>
        <v>2</v>
      </c>
      <c r="AD1797" s="1427">
        <f t="shared" si="2593"/>
        <v>2</v>
      </c>
      <c r="AE1797" s="1427">
        <f t="shared" si="2593"/>
        <v>2</v>
      </c>
      <c r="AF1797" s="1427">
        <f t="shared" si="2593"/>
        <v>2</v>
      </c>
      <c r="AG1797" s="1427">
        <f t="shared" si="2593"/>
        <v>2</v>
      </c>
      <c r="AH1797" s="1428">
        <f t="shared" si="2593"/>
        <v>2</v>
      </c>
      <c r="AI1797" s="1429">
        <f t="shared" si="2593"/>
        <v>2</v>
      </c>
      <c r="AJ1797" s="343"/>
      <c r="AK1797" s="1174" t="s">
        <v>2039</v>
      </c>
      <c r="AL1797" s="1176" t="str">
        <f>IF(AND(CNTR_ExistSubInstEntries,COUNTIFS(AB1797:AI1797,2,G1797:N1797,"")&gt;0),EUconst_Error&amp;"FB"&amp;Q1726,"")</f>
        <v/>
      </c>
      <c r="AM1797" s="343"/>
    </row>
    <row r="1798" spans="1:39" ht="12.75" customHeight="1" x14ac:dyDescent="0.25">
      <c r="A1798" s="729"/>
      <c r="B1798" s="698"/>
      <c r="C1798" s="2906"/>
      <c r="D1798" s="990">
        <v>2</v>
      </c>
      <c r="E1798" s="1430" t="str">
        <f t="shared" si="2579"/>
        <v/>
      </c>
      <c r="F1798" s="1448" t="str">
        <f>F1797</f>
        <v>t CO2e</v>
      </c>
      <c r="G1798" s="1468" t="str">
        <f t="shared" ref="G1798:G1806" si="2594">IF(OR($E1798="",AB1798=0),"",SUM(G1764,G1782))</f>
        <v/>
      </c>
      <c r="H1798" s="1469" t="str">
        <f t="shared" si="2580"/>
        <v/>
      </c>
      <c r="I1798" s="1470" t="str">
        <f t="shared" si="2581"/>
        <v/>
      </c>
      <c r="J1798" s="1469" t="str">
        <f t="shared" si="2582"/>
        <v/>
      </c>
      <c r="K1798" s="1127" t="str">
        <f t="shared" si="2583"/>
        <v/>
      </c>
      <c r="L1798" s="1127" t="str">
        <f t="shared" si="2584"/>
        <v/>
      </c>
      <c r="M1798" s="1127" t="str">
        <f t="shared" si="2585"/>
        <v/>
      </c>
      <c r="N1798" s="1127" t="str">
        <f t="shared" si="2586"/>
        <v/>
      </c>
      <c r="O1798" s="302"/>
      <c r="P1798" s="158"/>
      <c r="Q1798" s="694"/>
      <c r="R1798" s="694"/>
      <c r="S1798" s="1449" t="str">
        <f>IF($M1694&lt;&gt;EUconst_Relevant,"",
IF($V1694&gt;($J$1840-3),
              IF(INDEX(H1745:N1745,MATCH($V1694,$T1796:$Z1796,0))=0,0,INDEX(H1798:N1798,MATCH($V1694,$T1796:$Z1796,0))/INDEX(H1745:N1745,MATCH($V1694,$T1796:$Z1796,0))),
                             IF(ISNUMBER(G1745),
                                            IF(OR(G1745=0,$S1729=FALSE),0,G1798/G1745),"")))</f>
        <v/>
      </c>
      <c r="T1798" s="1450" t="str">
        <f t="shared" ref="T1798" si="2595">IF($E1798="","",IF(IFERROR(SUM($S1798)=0,SUM(H1798)),SUM(H1798),SUM(H1745)*SUM($S1798))*IF(SUM(H1798)=0,1,SUM(H1764)/SUM(H1798)))</f>
        <v/>
      </c>
      <c r="U1798" s="1450" t="str">
        <f t="shared" ref="U1798:U1806" si="2596">IF($E1798="","",IF(IFERROR(SUM($S1798)=0,SUM(I1798)),SUM(I1798),SUM(I1745)*SUM($S1798))*IF(SUM(I1798)=0,1,SUM(I1764)/SUM(I1798)))</f>
        <v/>
      </c>
      <c r="V1798" s="1450" t="str">
        <f t="shared" si="2588"/>
        <v/>
      </c>
      <c r="W1798" s="1450" t="str">
        <f t="shared" si="2589"/>
        <v/>
      </c>
      <c r="X1798" s="1450" t="str">
        <f t="shared" si="2590"/>
        <v/>
      </c>
      <c r="Y1798" s="1450" t="str">
        <f t="shared" si="2591"/>
        <v/>
      </c>
      <c r="Z1798" s="1451" t="str">
        <f t="shared" si="2592"/>
        <v/>
      </c>
      <c r="AA1798" s="694"/>
      <c r="AB1798" s="1431">
        <f t="shared" ref="AB1798:AI1798" si="2597">AB1782</f>
        <v>2</v>
      </c>
      <c r="AC1798" s="1432">
        <f t="shared" si="2597"/>
        <v>2</v>
      </c>
      <c r="AD1798" s="1432">
        <f t="shared" si="2597"/>
        <v>2</v>
      </c>
      <c r="AE1798" s="1432">
        <f t="shared" si="2597"/>
        <v>2</v>
      </c>
      <c r="AF1798" s="1432">
        <f t="shared" si="2597"/>
        <v>2</v>
      </c>
      <c r="AG1798" s="1432">
        <f t="shared" si="2597"/>
        <v>2</v>
      </c>
      <c r="AH1798" s="1432">
        <f t="shared" si="2597"/>
        <v>2</v>
      </c>
      <c r="AI1798" s="1452">
        <f t="shared" si="2597"/>
        <v>2</v>
      </c>
      <c r="AJ1798" s="343"/>
      <c r="AK1798" s="1174" t="s">
        <v>2039</v>
      </c>
      <c r="AL1798" s="1176" t="str">
        <f>IF(AND(CNTR_ExistSubInstEntries,COUNTIFS(AB1798:AI1798,2,G1798:N1798,"")&gt;0),EUconst_Error&amp;"FB"&amp;Q1726,"")</f>
        <v/>
      </c>
      <c r="AM1798" s="343"/>
    </row>
    <row r="1799" spans="1:39" ht="12.75" customHeight="1" x14ac:dyDescent="0.25">
      <c r="A1799" s="729"/>
      <c r="B1799" s="698"/>
      <c r="C1799" s="2906"/>
      <c r="D1799" s="990">
        <v>3</v>
      </c>
      <c r="E1799" s="1430" t="str">
        <f t="shared" si="2579"/>
        <v/>
      </c>
      <c r="F1799" s="1448" t="str">
        <f t="shared" ref="F1799:F1808" si="2598">F1798</f>
        <v>t CO2e</v>
      </c>
      <c r="G1799" s="1470" t="str">
        <f t="shared" si="2594"/>
        <v/>
      </c>
      <c r="H1799" s="1469" t="str">
        <f t="shared" si="2580"/>
        <v/>
      </c>
      <c r="I1799" s="1470" t="str">
        <f t="shared" si="2581"/>
        <v/>
      </c>
      <c r="J1799" s="1469" t="str">
        <f t="shared" si="2582"/>
        <v/>
      </c>
      <c r="K1799" s="1127" t="str">
        <f t="shared" si="2583"/>
        <v/>
      </c>
      <c r="L1799" s="1127" t="str">
        <f t="shared" si="2584"/>
        <v/>
      </c>
      <c r="M1799" s="1127" t="str">
        <f t="shared" si="2585"/>
        <v/>
      </c>
      <c r="N1799" s="1127" t="str">
        <f t="shared" si="2586"/>
        <v/>
      </c>
      <c r="O1799" s="302"/>
      <c r="P1799" s="158"/>
      <c r="Q1799" s="694"/>
      <c r="R1799" s="694"/>
      <c r="S1799" s="1449" t="str">
        <f>IF($M1694&lt;&gt;EUconst_Relevant,"",
IF($V1694&gt;($J$1840-3),
              IF(INDEX(H1746:N1746,MATCH($V1694,$T1796:$Z1796,0))=0,0,INDEX(H1799:N1799,MATCH($V1694,$T1796:$Z1796,0))/INDEX(H1746:N1746,MATCH($V1694,$T1796:$Z1796,0))),
                             IF(ISNUMBER(G1746),
                                            IF(OR(G1746=0,$S1730=FALSE),0,G1799/G1746),"")))</f>
        <v/>
      </c>
      <c r="T1799" s="1450" t="str">
        <f t="shared" ref="T1799" si="2599">IF($E1799="","",IF(IFERROR(SUM($S1799)=0,SUM(H1799)),SUM(H1799),SUM(H1746)*SUM($S1799))*IF(SUM(H1799)=0,1,SUM(H1765)/SUM(H1799)))</f>
        <v/>
      </c>
      <c r="U1799" s="1450" t="str">
        <f t="shared" si="2596"/>
        <v/>
      </c>
      <c r="V1799" s="1450" t="str">
        <f t="shared" si="2588"/>
        <v/>
      </c>
      <c r="W1799" s="1450" t="str">
        <f t="shared" si="2589"/>
        <v/>
      </c>
      <c r="X1799" s="1450" t="str">
        <f t="shared" si="2590"/>
        <v/>
      </c>
      <c r="Y1799" s="1450" t="str">
        <f t="shared" si="2591"/>
        <v/>
      </c>
      <c r="Z1799" s="1451" t="str">
        <f t="shared" si="2592"/>
        <v/>
      </c>
      <c r="AA1799" s="694"/>
      <c r="AB1799" s="1431">
        <f t="shared" ref="AB1799:AI1799" si="2600">AB1783</f>
        <v>2</v>
      </c>
      <c r="AC1799" s="1432">
        <f t="shared" si="2600"/>
        <v>2</v>
      </c>
      <c r="AD1799" s="1432">
        <f t="shared" si="2600"/>
        <v>2</v>
      </c>
      <c r="AE1799" s="1432">
        <f t="shared" si="2600"/>
        <v>2</v>
      </c>
      <c r="AF1799" s="1432">
        <f t="shared" si="2600"/>
        <v>2</v>
      </c>
      <c r="AG1799" s="1432">
        <f t="shared" si="2600"/>
        <v>2</v>
      </c>
      <c r="AH1799" s="1432">
        <f t="shared" si="2600"/>
        <v>2</v>
      </c>
      <c r="AI1799" s="1452">
        <f t="shared" si="2600"/>
        <v>2</v>
      </c>
      <c r="AJ1799" s="343"/>
      <c r="AK1799" s="1174" t="s">
        <v>2039</v>
      </c>
      <c r="AL1799" s="1176" t="str">
        <f>IF(AND(CNTR_ExistSubInstEntries,COUNTIFS(AB1799:AI1799,2,G1799:N1799,"")&gt;0),EUconst_Error&amp;"FB"&amp;Q1726,"")</f>
        <v/>
      </c>
      <c r="AM1799" s="343"/>
    </row>
    <row r="1800" spans="1:39" ht="12.75" customHeight="1" x14ac:dyDescent="0.25">
      <c r="A1800" s="729"/>
      <c r="B1800" s="698"/>
      <c r="C1800" s="2906"/>
      <c r="D1800" s="990">
        <v>4</v>
      </c>
      <c r="E1800" s="1430" t="str">
        <f t="shared" si="2579"/>
        <v/>
      </c>
      <c r="F1800" s="1448" t="str">
        <f t="shared" si="2598"/>
        <v>t CO2e</v>
      </c>
      <c r="G1800" s="1470" t="str">
        <f t="shared" si="2594"/>
        <v/>
      </c>
      <c r="H1800" s="1469" t="str">
        <f t="shared" si="2580"/>
        <v/>
      </c>
      <c r="I1800" s="1470" t="str">
        <f t="shared" si="2581"/>
        <v/>
      </c>
      <c r="J1800" s="1469" t="str">
        <f t="shared" si="2582"/>
        <v/>
      </c>
      <c r="K1800" s="1127" t="str">
        <f t="shared" si="2583"/>
        <v/>
      </c>
      <c r="L1800" s="1127" t="str">
        <f t="shared" si="2584"/>
        <v/>
      </c>
      <c r="M1800" s="1127" t="str">
        <f t="shared" si="2585"/>
        <v/>
      </c>
      <c r="N1800" s="1127" t="str">
        <f t="shared" si="2586"/>
        <v/>
      </c>
      <c r="O1800" s="302"/>
      <c r="P1800" s="158"/>
      <c r="Q1800" s="694"/>
      <c r="R1800" s="694"/>
      <c r="S1800" s="1449" t="str">
        <f>IF($M1694&lt;&gt;EUconst_Relevant,"",
IF($V1694&gt;($J$1840-3),
              IF(INDEX(H1747:N1747,MATCH($V1694,$T1796:$Z1796,0))=0,0,INDEX(H1800:N1800,MATCH($V1694,$T1796:$Z1796,0))/INDEX(H1747:N1747,MATCH($V1694,$T1796:$Z1796,0))),
                             IF(ISNUMBER(G1747),
                                            IF(OR(G1747=0,$S1731=FALSE),0,G1800/G1747),"")))</f>
        <v/>
      </c>
      <c r="T1800" s="1450" t="str">
        <f t="shared" ref="T1800" si="2601">IF($E1800="","",IF(IFERROR(SUM($S1800)=0,SUM(H1800)),SUM(H1800),SUM(H1747)*SUM($S1800))*IF(SUM(H1800)=0,1,SUM(H1766)/SUM(H1800)))</f>
        <v/>
      </c>
      <c r="U1800" s="1450" t="str">
        <f t="shared" si="2596"/>
        <v/>
      </c>
      <c r="V1800" s="1450" t="str">
        <f t="shared" si="2588"/>
        <v/>
      </c>
      <c r="W1800" s="1450" t="str">
        <f t="shared" si="2589"/>
        <v/>
      </c>
      <c r="X1800" s="1450" t="str">
        <f t="shared" si="2590"/>
        <v/>
      </c>
      <c r="Y1800" s="1450" t="str">
        <f t="shared" si="2591"/>
        <v/>
      </c>
      <c r="Z1800" s="1451" t="str">
        <f t="shared" si="2592"/>
        <v/>
      </c>
      <c r="AA1800" s="694"/>
      <c r="AB1800" s="1431">
        <f t="shared" ref="AB1800:AI1800" si="2602">AB1784</f>
        <v>2</v>
      </c>
      <c r="AC1800" s="1432">
        <f t="shared" si="2602"/>
        <v>2</v>
      </c>
      <c r="AD1800" s="1432">
        <f t="shared" si="2602"/>
        <v>2</v>
      </c>
      <c r="AE1800" s="1432">
        <f t="shared" si="2602"/>
        <v>2</v>
      </c>
      <c r="AF1800" s="1432">
        <f t="shared" si="2602"/>
        <v>2</v>
      </c>
      <c r="AG1800" s="1432">
        <f t="shared" si="2602"/>
        <v>2</v>
      </c>
      <c r="AH1800" s="1432">
        <f t="shared" si="2602"/>
        <v>2</v>
      </c>
      <c r="AI1800" s="1452">
        <f t="shared" si="2602"/>
        <v>2</v>
      </c>
      <c r="AJ1800" s="343"/>
      <c r="AK1800" s="1174" t="s">
        <v>2039</v>
      </c>
      <c r="AL1800" s="1176" t="str">
        <f>IF(AND(CNTR_ExistSubInstEntries,COUNTIFS(AB1800:AI1800,2,G1800:N1800,"")&gt;0),EUconst_Error&amp;"FB"&amp;Q1726,"")</f>
        <v/>
      </c>
      <c r="AM1800" s="343"/>
    </row>
    <row r="1801" spans="1:39" ht="12.75" customHeight="1" x14ac:dyDescent="0.25">
      <c r="A1801" s="729"/>
      <c r="B1801" s="698"/>
      <c r="C1801" s="2906"/>
      <c r="D1801" s="990">
        <v>5</v>
      </c>
      <c r="E1801" s="1430" t="str">
        <f t="shared" si="2579"/>
        <v/>
      </c>
      <c r="F1801" s="1448" t="str">
        <f t="shared" si="2598"/>
        <v>t CO2e</v>
      </c>
      <c r="G1801" s="1470" t="str">
        <f t="shared" si="2594"/>
        <v/>
      </c>
      <c r="H1801" s="1469" t="str">
        <f t="shared" si="2580"/>
        <v/>
      </c>
      <c r="I1801" s="1470" t="str">
        <f t="shared" si="2581"/>
        <v/>
      </c>
      <c r="J1801" s="1469" t="str">
        <f t="shared" si="2582"/>
        <v/>
      </c>
      <c r="K1801" s="1127" t="str">
        <f t="shared" si="2583"/>
        <v/>
      </c>
      <c r="L1801" s="1127" t="str">
        <f t="shared" si="2584"/>
        <v/>
      </c>
      <c r="M1801" s="1127" t="str">
        <f t="shared" si="2585"/>
        <v/>
      </c>
      <c r="N1801" s="1127" t="str">
        <f t="shared" si="2586"/>
        <v/>
      </c>
      <c r="O1801" s="302"/>
      <c r="P1801" s="158"/>
      <c r="Q1801" s="694"/>
      <c r="R1801" s="694"/>
      <c r="S1801" s="1449" t="str">
        <f>IF($M1694&lt;&gt;EUconst_Relevant,"",
IF($V1694&gt;($J$1840-3),
              IF(INDEX(H1748:N1748,MATCH($V1694,$T1796:$Z1796,0))=0,0,INDEX(H1801:N1801,MATCH($V1694,$T1796:$Z1796,0))/INDEX(H1748:N1748,MATCH($V1694,$T1796:$Z1796,0))),
                             IF(ISNUMBER(G1748),
                                            IF(OR(G1748=0,$S1732=FALSE),0,G1801/G1748),"")))</f>
        <v/>
      </c>
      <c r="T1801" s="1450" t="str">
        <f t="shared" ref="T1801" si="2603">IF($E1801="","",IF(IFERROR(SUM($S1801)=0,SUM(H1801)),SUM(H1801),SUM(H1748)*SUM($S1801))*IF(SUM(H1801)=0,1,SUM(H1767)/SUM(H1801)))</f>
        <v/>
      </c>
      <c r="U1801" s="1450" t="str">
        <f t="shared" si="2596"/>
        <v/>
      </c>
      <c r="V1801" s="1450" t="str">
        <f t="shared" si="2588"/>
        <v/>
      </c>
      <c r="W1801" s="1450" t="str">
        <f t="shared" si="2589"/>
        <v/>
      </c>
      <c r="X1801" s="1450" t="str">
        <f t="shared" si="2590"/>
        <v/>
      </c>
      <c r="Y1801" s="1450" t="str">
        <f t="shared" si="2591"/>
        <v/>
      </c>
      <c r="Z1801" s="1451" t="str">
        <f t="shared" si="2592"/>
        <v/>
      </c>
      <c r="AA1801" s="694"/>
      <c r="AB1801" s="1431">
        <f t="shared" ref="AB1801:AI1801" si="2604">AB1785</f>
        <v>2</v>
      </c>
      <c r="AC1801" s="1432">
        <f t="shared" si="2604"/>
        <v>2</v>
      </c>
      <c r="AD1801" s="1432">
        <f t="shared" si="2604"/>
        <v>2</v>
      </c>
      <c r="AE1801" s="1432">
        <f t="shared" si="2604"/>
        <v>2</v>
      </c>
      <c r="AF1801" s="1432">
        <f t="shared" si="2604"/>
        <v>2</v>
      </c>
      <c r="AG1801" s="1432">
        <f t="shared" si="2604"/>
        <v>2</v>
      </c>
      <c r="AH1801" s="1432">
        <f t="shared" si="2604"/>
        <v>2</v>
      </c>
      <c r="AI1801" s="1452">
        <f t="shared" si="2604"/>
        <v>2</v>
      </c>
      <c r="AJ1801" s="343"/>
      <c r="AK1801" s="1174" t="s">
        <v>2039</v>
      </c>
      <c r="AL1801" s="1176" t="str">
        <f>IF(AND(CNTR_ExistSubInstEntries,COUNTIFS(AB1801:AI1801,2,G1801:N1801,"")&gt;0),EUconst_Error&amp;"FB"&amp;Q1726,"")</f>
        <v/>
      </c>
      <c r="AM1801" s="343"/>
    </row>
    <row r="1802" spans="1:39" ht="12.75" customHeight="1" x14ac:dyDescent="0.25">
      <c r="A1802" s="729"/>
      <c r="B1802" s="698"/>
      <c r="C1802" s="2906"/>
      <c r="D1802" s="990">
        <v>6</v>
      </c>
      <c r="E1802" s="1430" t="str">
        <f t="shared" si="2579"/>
        <v/>
      </c>
      <c r="F1802" s="1448" t="str">
        <f t="shared" si="2598"/>
        <v>t CO2e</v>
      </c>
      <c r="G1802" s="1470" t="str">
        <f t="shared" si="2594"/>
        <v/>
      </c>
      <c r="H1802" s="1469" t="str">
        <f t="shared" si="2580"/>
        <v/>
      </c>
      <c r="I1802" s="1470" t="str">
        <f t="shared" si="2581"/>
        <v/>
      </c>
      <c r="J1802" s="1469" t="str">
        <f t="shared" si="2582"/>
        <v/>
      </c>
      <c r="K1802" s="1127" t="str">
        <f t="shared" si="2583"/>
        <v/>
      </c>
      <c r="L1802" s="1127" t="str">
        <f t="shared" si="2584"/>
        <v/>
      </c>
      <c r="M1802" s="1127" t="str">
        <f t="shared" si="2585"/>
        <v/>
      </c>
      <c r="N1802" s="1127" t="str">
        <f t="shared" si="2586"/>
        <v/>
      </c>
      <c r="O1802" s="302"/>
      <c r="P1802" s="158"/>
      <c r="Q1802" s="694"/>
      <c r="R1802" s="694"/>
      <c r="S1802" s="1449" t="str">
        <f>IF($M1694&lt;&gt;EUconst_Relevant,"",
IF($V1694&gt;($J$1840-3),
              IF(INDEX(H1749:N1749,MATCH($V1694,$T1796:$Z1796,0))=0,0,INDEX(H1802:N1802,MATCH($V1694,$T1796:$Z1796,0))/INDEX(H1749:N1749,MATCH($V1694,$T1796:$Z1796,0))),
                             IF(ISNUMBER(G1749),
                                            IF(OR(G1749=0,$S1733=FALSE),0,G1802/G1749),"")))</f>
        <v/>
      </c>
      <c r="T1802" s="1450" t="str">
        <f t="shared" ref="T1802" si="2605">IF($E1802="","",IF(IFERROR(SUM($S1802)=0,SUM(H1802)),SUM(H1802),SUM(H1749)*SUM($S1802))*IF(SUM(H1802)=0,1,SUM(H1768)/SUM(H1802)))</f>
        <v/>
      </c>
      <c r="U1802" s="1450" t="str">
        <f t="shared" si="2596"/>
        <v/>
      </c>
      <c r="V1802" s="1450" t="str">
        <f t="shared" si="2588"/>
        <v/>
      </c>
      <c r="W1802" s="1450" t="str">
        <f t="shared" si="2589"/>
        <v/>
      </c>
      <c r="X1802" s="1450" t="str">
        <f t="shared" si="2590"/>
        <v/>
      </c>
      <c r="Y1802" s="1450" t="str">
        <f t="shared" si="2591"/>
        <v/>
      </c>
      <c r="Z1802" s="1451" t="str">
        <f t="shared" si="2592"/>
        <v/>
      </c>
      <c r="AA1802" s="694"/>
      <c r="AB1802" s="1431">
        <f t="shared" ref="AB1802:AI1802" si="2606">AB1786</f>
        <v>2</v>
      </c>
      <c r="AC1802" s="1432">
        <f t="shared" si="2606"/>
        <v>2</v>
      </c>
      <c r="AD1802" s="1432">
        <f t="shared" si="2606"/>
        <v>2</v>
      </c>
      <c r="AE1802" s="1432">
        <f t="shared" si="2606"/>
        <v>2</v>
      </c>
      <c r="AF1802" s="1432">
        <f t="shared" si="2606"/>
        <v>2</v>
      </c>
      <c r="AG1802" s="1432">
        <f t="shared" si="2606"/>
        <v>2</v>
      </c>
      <c r="AH1802" s="1432">
        <f t="shared" si="2606"/>
        <v>2</v>
      </c>
      <c r="AI1802" s="1452">
        <f t="shared" si="2606"/>
        <v>2</v>
      </c>
      <c r="AJ1802" s="343"/>
      <c r="AK1802" s="1174" t="s">
        <v>2039</v>
      </c>
      <c r="AL1802" s="1176" t="str">
        <f>IF(AND(CNTR_ExistSubInstEntries,COUNTIFS(AB1802:AI1802,2,G1802:N1802,"")&gt;0),EUconst_Error&amp;"FB"&amp;Q1726,"")</f>
        <v/>
      </c>
      <c r="AM1802" s="343"/>
    </row>
    <row r="1803" spans="1:39" ht="12.75" customHeight="1" x14ac:dyDescent="0.25">
      <c r="A1803" s="729"/>
      <c r="B1803" s="698"/>
      <c r="C1803" s="2906"/>
      <c r="D1803" s="990">
        <v>7</v>
      </c>
      <c r="E1803" s="1430" t="str">
        <f t="shared" si="2579"/>
        <v/>
      </c>
      <c r="F1803" s="1448" t="str">
        <f t="shared" si="2598"/>
        <v>t CO2e</v>
      </c>
      <c r="G1803" s="1470" t="str">
        <f t="shared" si="2594"/>
        <v/>
      </c>
      <c r="H1803" s="1469" t="str">
        <f t="shared" si="2580"/>
        <v/>
      </c>
      <c r="I1803" s="1470" t="str">
        <f t="shared" si="2581"/>
        <v/>
      </c>
      <c r="J1803" s="1469" t="str">
        <f t="shared" si="2582"/>
        <v/>
      </c>
      <c r="K1803" s="1127" t="str">
        <f t="shared" si="2583"/>
        <v/>
      </c>
      <c r="L1803" s="1127" t="str">
        <f t="shared" si="2584"/>
        <v/>
      </c>
      <c r="M1803" s="1127" t="str">
        <f t="shared" si="2585"/>
        <v/>
      </c>
      <c r="N1803" s="1127" t="str">
        <f t="shared" si="2586"/>
        <v/>
      </c>
      <c r="O1803" s="302"/>
      <c r="P1803" s="158"/>
      <c r="Q1803" s="694"/>
      <c r="R1803" s="694"/>
      <c r="S1803" s="1449" t="str">
        <f>IF($M1694&lt;&gt;EUconst_Relevant,"",
IF($V1694&gt;($J$1840-3),
              IF(INDEX(H1750:N1750,MATCH($V1694,$T1796:$Z1796,0))=0,0,INDEX(H1803:N1803,MATCH($V1694,$T1796:$Z1796,0))/INDEX(H1750:N1750,MATCH($V1694,$T1796:$Z1796,0))),
                             IF(ISNUMBER(G1750),
                                            IF(OR(G1750=0,$S1734=FALSE),0,G1803/G1750),"")))</f>
        <v/>
      </c>
      <c r="T1803" s="1450" t="str">
        <f t="shared" ref="T1803" si="2607">IF($E1803="","",IF(IFERROR(SUM($S1803)=0,SUM(H1803)),SUM(H1803),SUM(H1750)*SUM($S1803))*IF(SUM(H1803)=0,1,SUM(H1769)/SUM(H1803)))</f>
        <v/>
      </c>
      <c r="U1803" s="1450" t="str">
        <f t="shared" si="2596"/>
        <v/>
      </c>
      <c r="V1803" s="1450" t="str">
        <f t="shared" si="2588"/>
        <v/>
      </c>
      <c r="W1803" s="1450" t="str">
        <f t="shared" si="2589"/>
        <v/>
      </c>
      <c r="X1803" s="1450" t="str">
        <f t="shared" si="2590"/>
        <v/>
      </c>
      <c r="Y1803" s="1450" t="str">
        <f t="shared" si="2591"/>
        <v/>
      </c>
      <c r="Z1803" s="1451" t="str">
        <f t="shared" si="2592"/>
        <v/>
      </c>
      <c r="AA1803" s="694"/>
      <c r="AB1803" s="1431">
        <f t="shared" ref="AB1803:AI1803" si="2608">AB1787</f>
        <v>2</v>
      </c>
      <c r="AC1803" s="1432">
        <f t="shared" si="2608"/>
        <v>2</v>
      </c>
      <c r="AD1803" s="1432">
        <f t="shared" si="2608"/>
        <v>2</v>
      </c>
      <c r="AE1803" s="1432">
        <f t="shared" si="2608"/>
        <v>2</v>
      </c>
      <c r="AF1803" s="1432">
        <f t="shared" si="2608"/>
        <v>2</v>
      </c>
      <c r="AG1803" s="1432">
        <f t="shared" si="2608"/>
        <v>2</v>
      </c>
      <c r="AH1803" s="1432">
        <f t="shared" si="2608"/>
        <v>2</v>
      </c>
      <c r="AI1803" s="1452">
        <f t="shared" si="2608"/>
        <v>2</v>
      </c>
      <c r="AJ1803" s="343"/>
      <c r="AK1803" s="1174" t="s">
        <v>2039</v>
      </c>
      <c r="AL1803" s="1176" t="str">
        <f>IF(AND(CNTR_ExistSubInstEntries,COUNTIFS(AB1803:AI1803,2,G1803:N1803,"")&gt;0),EUconst_Error&amp;"FB"&amp;Q1726,"")</f>
        <v/>
      </c>
      <c r="AM1803" s="343"/>
    </row>
    <row r="1804" spans="1:39" ht="12.75" customHeight="1" x14ac:dyDescent="0.25">
      <c r="A1804" s="729"/>
      <c r="B1804" s="698"/>
      <c r="C1804" s="2906"/>
      <c r="D1804" s="990">
        <v>8</v>
      </c>
      <c r="E1804" s="1430" t="str">
        <f t="shared" si="2579"/>
        <v/>
      </c>
      <c r="F1804" s="1448" t="str">
        <f t="shared" si="2598"/>
        <v>t CO2e</v>
      </c>
      <c r="G1804" s="1470" t="str">
        <f t="shared" si="2594"/>
        <v/>
      </c>
      <c r="H1804" s="1469" t="str">
        <f t="shared" si="2580"/>
        <v/>
      </c>
      <c r="I1804" s="1470" t="str">
        <f t="shared" si="2581"/>
        <v/>
      </c>
      <c r="J1804" s="1469" t="str">
        <f t="shared" si="2582"/>
        <v/>
      </c>
      <c r="K1804" s="1127" t="str">
        <f t="shared" si="2583"/>
        <v/>
      </c>
      <c r="L1804" s="1127" t="str">
        <f t="shared" si="2584"/>
        <v/>
      </c>
      <c r="M1804" s="1127" t="str">
        <f t="shared" si="2585"/>
        <v/>
      </c>
      <c r="N1804" s="1127" t="str">
        <f t="shared" si="2586"/>
        <v/>
      </c>
      <c r="O1804" s="302"/>
      <c r="P1804" s="158"/>
      <c r="Q1804" s="694"/>
      <c r="R1804" s="694"/>
      <c r="S1804" s="1449" t="str">
        <f>IF($M1694&lt;&gt;EUconst_Relevant,"",
IF($V1694&gt;($J$1840-3),
              IF(INDEX(H1751:N1751,MATCH($V1694,$T1796:$Z1796,0))=0,0,INDEX(H1804:N1804,MATCH($V1694,$T1796:$Z1796,0))/INDEX(H1751:N1751,MATCH($V1694,$T1796:$Z1796,0))),
                             IF(ISNUMBER(G1751),
                                            IF(OR(G1751=0,$S1735=FALSE),0,G1804/G1751),"")))</f>
        <v/>
      </c>
      <c r="T1804" s="1450" t="str">
        <f t="shared" ref="T1804" si="2609">IF($E1804="","",IF(IFERROR(SUM($S1804)=0,SUM(H1804)),SUM(H1804),SUM(H1751)*SUM($S1804))*IF(SUM(H1804)=0,1,SUM(H1770)/SUM(H1804)))</f>
        <v/>
      </c>
      <c r="U1804" s="1450" t="str">
        <f t="shared" si="2596"/>
        <v/>
      </c>
      <c r="V1804" s="1450" t="str">
        <f t="shared" si="2588"/>
        <v/>
      </c>
      <c r="W1804" s="1450" t="str">
        <f t="shared" si="2589"/>
        <v/>
      </c>
      <c r="X1804" s="1450" t="str">
        <f t="shared" si="2590"/>
        <v/>
      </c>
      <c r="Y1804" s="1450" t="str">
        <f t="shared" si="2591"/>
        <v/>
      </c>
      <c r="Z1804" s="1451" t="str">
        <f t="shared" si="2592"/>
        <v/>
      </c>
      <c r="AA1804" s="694"/>
      <c r="AB1804" s="1431">
        <f t="shared" ref="AB1804:AI1804" si="2610">AB1788</f>
        <v>2</v>
      </c>
      <c r="AC1804" s="1432">
        <f t="shared" si="2610"/>
        <v>2</v>
      </c>
      <c r="AD1804" s="1432">
        <f t="shared" si="2610"/>
        <v>2</v>
      </c>
      <c r="AE1804" s="1432">
        <f t="shared" si="2610"/>
        <v>2</v>
      </c>
      <c r="AF1804" s="1432">
        <f t="shared" si="2610"/>
        <v>2</v>
      </c>
      <c r="AG1804" s="1432">
        <f t="shared" si="2610"/>
        <v>2</v>
      </c>
      <c r="AH1804" s="1432">
        <f t="shared" si="2610"/>
        <v>2</v>
      </c>
      <c r="AI1804" s="1452">
        <f t="shared" si="2610"/>
        <v>2</v>
      </c>
      <c r="AJ1804" s="343"/>
      <c r="AK1804" s="1174" t="s">
        <v>2039</v>
      </c>
      <c r="AL1804" s="1176" t="str">
        <f>IF(AND(CNTR_ExistSubInstEntries,COUNTIFS(AB1804:AI1804,2,G1804:N1804,"")&gt;0),EUconst_Error&amp;"FB"&amp;Q1726,"")</f>
        <v/>
      </c>
      <c r="AM1804" s="343"/>
    </row>
    <row r="1805" spans="1:39" ht="12.75" customHeight="1" x14ac:dyDescent="0.25">
      <c r="A1805" s="729"/>
      <c r="B1805" s="698"/>
      <c r="C1805" s="2906"/>
      <c r="D1805" s="990">
        <v>9</v>
      </c>
      <c r="E1805" s="1430" t="str">
        <f t="shared" si="2579"/>
        <v/>
      </c>
      <c r="F1805" s="1448" t="str">
        <f t="shared" si="2598"/>
        <v>t CO2e</v>
      </c>
      <c r="G1805" s="1470" t="str">
        <f t="shared" si="2594"/>
        <v/>
      </c>
      <c r="H1805" s="1469" t="str">
        <f t="shared" si="2580"/>
        <v/>
      </c>
      <c r="I1805" s="1470" t="str">
        <f t="shared" si="2581"/>
        <v/>
      </c>
      <c r="J1805" s="1469" t="str">
        <f t="shared" si="2582"/>
        <v/>
      </c>
      <c r="K1805" s="1127" t="str">
        <f t="shared" si="2583"/>
        <v/>
      </c>
      <c r="L1805" s="1127" t="str">
        <f t="shared" si="2584"/>
        <v/>
      </c>
      <c r="M1805" s="1127" t="str">
        <f t="shared" si="2585"/>
        <v/>
      </c>
      <c r="N1805" s="1127" t="str">
        <f t="shared" si="2586"/>
        <v/>
      </c>
      <c r="O1805" s="302"/>
      <c r="P1805" s="158"/>
      <c r="Q1805" s="694"/>
      <c r="R1805" s="694"/>
      <c r="S1805" s="1449" t="str">
        <f>IF($M1694&lt;&gt;EUconst_Relevant,"",
IF($V1694&gt;($J$1840-3),
              IF(INDEX(H1752:N1752,MATCH($V1694,$T1796:$Z1796,0))=0,0,INDEX(H1805:N1805,MATCH($V1694,$T1796:$Z1796,0))/INDEX(H1752:N1752,MATCH($V1694,$T1796:$Z1796,0))),
                             IF(ISNUMBER(G1752),
                                            IF(OR(G1752=0,$S1736=FALSE),0,G1805/G1752),"")))</f>
        <v/>
      </c>
      <c r="T1805" s="1450" t="str">
        <f t="shared" ref="T1805" si="2611">IF($E1805="","",IF(IFERROR(SUM($S1805)=0,SUM(H1805)),SUM(H1805),SUM(H1752)*SUM($S1805))*IF(SUM(H1805)=0,1,SUM(H1771)/SUM(H1805)))</f>
        <v/>
      </c>
      <c r="U1805" s="1450" t="str">
        <f t="shared" si="2596"/>
        <v/>
      </c>
      <c r="V1805" s="1450" t="str">
        <f t="shared" si="2588"/>
        <v/>
      </c>
      <c r="W1805" s="1450" t="str">
        <f t="shared" si="2589"/>
        <v/>
      </c>
      <c r="X1805" s="1450" t="str">
        <f t="shared" si="2590"/>
        <v/>
      </c>
      <c r="Y1805" s="1450" t="str">
        <f t="shared" si="2591"/>
        <v/>
      </c>
      <c r="Z1805" s="1451" t="str">
        <f t="shared" si="2592"/>
        <v/>
      </c>
      <c r="AA1805" s="694"/>
      <c r="AB1805" s="1431">
        <f t="shared" ref="AB1805:AI1805" si="2612">AB1789</f>
        <v>2</v>
      </c>
      <c r="AC1805" s="1432">
        <f t="shared" si="2612"/>
        <v>2</v>
      </c>
      <c r="AD1805" s="1432">
        <f t="shared" si="2612"/>
        <v>2</v>
      </c>
      <c r="AE1805" s="1432">
        <f t="shared" si="2612"/>
        <v>2</v>
      </c>
      <c r="AF1805" s="1432">
        <f t="shared" si="2612"/>
        <v>2</v>
      </c>
      <c r="AG1805" s="1432">
        <f t="shared" si="2612"/>
        <v>2</v>
      </c>
      <c r="AH1805" s="1432">
        <f t="shared" si="2612"/>
        <v>2</v>
      </c>
      <c r="AI1805" s="1452">
        <f t="shared" si="2612"/>
        <v>2</v>
      </c>
      <c r="AJ1805" s="343"/>
      <c r="AK1805" s="1174" t="s">
        <v>2039</v>
      </c>
      <c r="AL1805" s="1176" t="str">
        <f>IF(AND(CNTR_ExistSubInstEntries,COUNTIFS(AB1805:AI1805,2,G1805:N1805,"")&gt;0),EUconst_Error&amp;"FB"&amp;Q1726,"")</f>
        <v/>
      </c>
      <c r="AM1805" s="343"/>
    </row>
    <row r="1806" spans="1:39" ht="12.75" customHeight="1" thickBot="1" x14ac:dyDescent="0.3">
      <c r="A1806" s="729"/>
      <c r="B1806" s="698"/>
      <c r="C1806" s="2906"/>
      <c r="D1806" s="994">
        <v>10</v>
      </c>
      <c r="E1806" s="1435" t="str">
        <f t="shared" si="2579"/>
        <v/>
      </c>
      <c r="F1806" s="1453" t="str">
        <f t="shared" si="2598"/>
        <v>t CO2e</v>
      </c>
      <c r="G1806" s="1471" t="str">
        <f t="shared" si="2594"/>
        <v/>
      </c>
      <c r="H1806" s="1472" t="str">
        <f t="shared" si="2580"/>
        <v/>
      </c>
      <c r="I1806" s="1471" t="str">
        <f t="shared" si="2581"/>
        <v/>
      </c>
      <c r="J1806" s="1472" t="str">
        <f t="shared" si="2582"/>
        <v/>
      </c>
      <c r="K1806" s="1128" t="str">
        <f t="shared" si="2583"/>
        <v/>
      </c>
      <c r="L1806" s="1128" t="str">
        <f t="shared" si="2584"/>
        <v/>
      </c>
      <c r="M1806" s="1128" t="str">
        <f t="shared" si="2585"/>
        <v/>
      </c>
      <c r="N1806" s="1128" t="str">
        <f t="shared" si="2586"/>
        <v/>
      </c>
      <c r="O1806" s="302"/>
      <c r="P1806" s="158"/>
      <c r="Q1806" s="694"/>
      <c r="R1806" s="694"/>
      <c r="S1806" s="1454" t="str">
        <f>IF($M1694&lt;&gt;EUconst_Relevant,"",
IF($V1694&gt;($J$1840-3),
              IF(INDEX(H1753:N1753,MATCH($V1694,$T1796:$Z1796,0))=0,0,INDEX(H1806:N1806,MATCH($V1694,$T1796:$Z1796,0))/INDEX(H1753:N1753,MATCH($V1694,$T1796:$Z1796,0))),
                             IF(ISNUMBER(G1753),
                                            IF(OR(G1753=0,$S1737=FALSE),0,G1806/G1753),"")))</f>
        <v/>
      </c>
      <c r="T1806" s="1473" t="str">
        <f t="shared" ref="T1806" si="2613">IF($E1806="","",IF(IFERROR(SUM($S1806)=0,SUM(H1806)),SUM(H1806),SUM(H1753)*SUM($S1806))*IF(SUM(H1806)=0,1,SUM(H1772)/SUM(H1806)))</f>
        <v/>
      </c>
      <c r="U1806" s="1473" t="str">
        <f t="shared" si="2596"/>
        <v/>
      </c>
      <c r="V1806" s="1473" t="str">
        <f t="shared" si="2588"/>
        <v/>
      </c>
      <c r="W1806" s="1473" t="str">
        <f t="shared" si="2589"/>
        <v/>
      </c>
      <c r="X1806" s="1473" t="str">
        <f t="shared" si="2590"/>
        <v/>
      </c>
      <c r="Y1806" s="1473" t="str">
        <f t="shared" si="2591"/>
        <v/>
      </c>
      <c r="Z1806" s="1474" t="str">
        <f t="shared" si="2592"/>
        <v/>
      </c>
      <c r="AA1806" s="694"/>
      <c r="AB1806" s="1436">
        <f t="shared" ref="AB1806:AI1806" si="2614">AB1790</f>
        <v>2</v>
      </c>
      <c r="AC1806" s="1437">
        <f t="shared" si="2614"/>
        <v>2</v>
      </c>
      <c r="AD1806" s="1437">
        <f t="shared" si="2614"/>
        <v>2</v>
      </c>
      <c r="AE1806" s="1437">
        <f t="shared" si="2614"/>
        <v>2</v>
      </c>
      <c r="AF1806" s="1437">
        <f t="shared" si="2614"/>
        <v>2</v>
      </c>
      <c r="AG1806" s="1437">
        <f t="shared" si="2614"/>
        <v>2</v>
      </c>
      <c r="AH1806" s="1437">
        <f t="shared" si="2614"/>
        <v>2</v>
      </c>
      <c r="AI1806" s="1457">
        <f t="shared" si="2614"/>
        <v>2</v>
      </c>
      <c r="AJ1806" s="343"/>
      <c r="AK1806" s="1174" t="s">
        <v>2039</v>
      </c>
      <c r="AL1806" s="1176" t="str">
        <f>IF(AND(CNTR_ExistSubInstEntries,COUNTIFS(AB1806:AI1806,2,G1806:N1806,"")&gt;0),EUconst_Error&amp;"FB"&amp;Q1726,"")</f>
        <v/>
      </c>
      <c r="AM1806" s="343"/>
    </row>
    <row r="1807" spans="1:39" ht="12.75" customHeight="1" thickBot="1" x14ac:dyDescent="0.3">
      <c r="A1807" s="729"/>
      <c r="B1807" s="698"/>
      <c r="C1807" s="2906"/>
      <c r="D1807" s="1293"/>
      <c r="E1807" s="1458" t="str">
        <f>Translations!$B$1338</f>
        <v>Общо потребление</v>
      </c>
      <c r="F1807" s="1453" t="str">
        <f t="shared" si="2598"/>
        <v>t CO2e</v>
      </c>
      <c r="G1807" s="1296" t="str">
        <f t="shared" ref="G1807:N1807" si="2615">IF(COUNT(G1797:G1806)&gt;0,SUMIF($S1728:$S1737,TRUE,G1797:G1806),"")</f>
        <v/>
      </c>
      <c r="H1807" s="1297" t="str">
        <f t="shared" si="2615"/>
        <v/>
      </c>
      <c r="I1807" s="1296" t="str">
        <f t="shared" si="2615"/>
        <v/>
      </c>
      <c r="J1807" s="1297" t="str">
        <f t="shared" si="2615"/>
        <v/>
      </c>
      <c r="K1807" s="1104" t="str">
        <f t="shared" si="2615"/>
        <v/>
      </c>
      <c r="L1807" s="1104" t="str">
        <f t="shared" si="2615"/>
        <v/>
      </c>
      <c r="M1807" s="1104" t="str">
        <f t="shared" si="2615"/>
        <v/>
      </c>
      <c r="N1807" s="1104" t="str">
        <f t="shared" si="2615"/>
        <v/>
      </c>
      <c r="O1807" s="302"/>
      <c r="P1807" s="336"/>
      <c r="Q1807" s="694"/>
      <c r="R1807" s="694"/>
      <c r="S1807" s="1174" t="s">
        <v>2147</v>
      </c>
      <c r="T1807" s="1459">
        <f>IFERROR(SUM(T1797:T1806),"")</f>
        <v>0</v>
      </c>
      <c r="U1807" s="1460">
        <f t="shared" ref="U1807:Z1807" si="2616">IFERROR(SUM(U1797:U1806),"")</f>
        <v>0</v>
      </c>
      <c r="V1807" s="1460">
        <f t="shared" si="2616"/>
        <v>0</v>
      </c>
      <c r="W1807" s="1460">
        <f t="shared" si="2616"/>
        <v>0</v>
      </c>
      <c r="X1807" s="1460">
        <f t="shared" si="2616"/>
        <v>0</v>
      </c>
      <c r="Y1807" s="1460">
        <f t="shared" si="2616"/>
        <v>0</v>
      </c>
      <c r="Z1807" s="1461">
        <f t="shared" si="2616"/>
        <v>0</v>
      </c>
      <c r="AA1807" s="694"/>
      <c r="AB1807" s="729"/>
      <c r="AC1807" s="694"/>
      <c r="AD1807" s="694"/>
      <c r="AE1807" s="343"/>
      <c r="AF1807" s="343"/>
      <c r="AG1807" s="343"/>
      <c r="AH1807" s="343"/>
      <c r="AI1807" s="343"/>
      <c r="AJ1807" s="343"/>
      <c r="AK1807" s="343"/>
      <c r="AL1807" s="343"/>
      <c r="AM1807" s="343"/>
    </row>
    <row r="1808" spans="1:39" ht="12.75" customHeight="1" x14ac:dyDescent="0.25">
      <c r="A1808" s="729"/>
      <c r="B1808" s="698"/>
      <c r="C1808" s="2906"/>
      <c r="D1808" s="1462"/>
      <c r="E1808" s="1463" t="str">
        <f>Translations!$B$1339</f>
        <v>Дял от a)</v>
      </c>
      <c r="F1808" s="1464" t="str">
        <f t="shared" si="2598"/>
        <v>t CO2e</v>
      </c>
      <c r="G1808" s="184" t="str">
        <f>IF(COUNT(I1710,G1807)=2,IF(I1710=0,1,G1807/I1710),"")</f>
        <v/>
      </c>
      <c r="H1808" s="185" t="str">
        <f t="shared" ref="H1808:N1808" si="2617">IF(COUNT(H1702,H1807)=2,IF(H1702=0,1,H1807/H1702),"")</f>
        <v/>
      </c>
      <c r="I1808" s="186" t="str">
        <f t="shared" si="2617"/>
        <v/>
      </c>
      <c r="J1808" s="185" t="str">
        <f t="shared" si="2617"/>
        <v/>
      </c>
      <c r="K1808" s="187" t="str">
        <f t="shared" si="2617"/>
        <v/>
      </c>
      <c r="L1808" s="187" t="str">
        <f t="shared" si="2617"/>
        <v/>
      </c>
      <c r="M1808" s="187" t="str">
        <f t="shared" si="2617"/>
        <v/>
      </c>
      <c r="N1808" s="187" t="str">
        <f t="shared" si="2617"/>
        <v/>
      </c>
      <c r="O1808" s="302"/>
      <c r="P1808" s="336"/>
      <c r="Q1808" s="694"/>
      <c r="R1808" s="694"/>
      <c r="S1808" s="729"/>
      <c r="T1808" s="694"/>
      <c r="U1808" s="694"/>
      <c r="V1808" s="694"/>
      <c r="W1808" s="694"/>
      <c r="X1808" s="694"/>
      <c r="Y1808" s="694"/>
      <c r="Z1808" s="694"/>
      <c r="AA1808" s="694"/>
      <c r="AB1808" s="729"/>
      <c r="AC1808" s="694"/>
      <c r="AD1808" s="694"/>
      <c r="AE1808" s="343"/>
      <c r="AF1808" s="343"/>
      <c r="AG1808" s="343"/>
      <c r="AH1808" s="343"/>
      <c r="AI1808" s="343"/>
      <c r="AJ1808" s="343"/>
      <c r="AK1808" s="343"/>
      <c r="AL1808" s="343"/>
      <c r="AM1808" s="343"/>
    </row>
    <row r="1809" spans="1:39" ht="5.15" customHeight="1" x14ac:dyDescent="0.25">
      <c r="A1809" s="729"/>
      <c r="B1809" s="698"/>
      <c r="C1809" s="284"/>
      <c r="D1809" s="284"/>
      <c r="E1809" s="284"/>
      <c r="F1809" s="284"/>
      <c r="G1809" s="284"/>
      <c r="H1809" s="284"/>
      <c r="I1809" s="284"/>
      <c r="J1809" s="284"/>
      <c r="K1809" s="284"/>
      <c r="L1809" s="284"/>
      <c r="M1809" s="284"/>
      <c r="N1809" s="284"/>
      <c r="O1809" s="302"/>
      <c r="P1809" s="336"/>
      <c r="Q1809" s="694"/>
      <c r="R1809" s="694"/>
      <c r="S1809" s="694"/>
      <c r="T1809" s="694"/>
      <c r="U1809" s="694"/>
      <c r="V1809" s="694"/>
      <c r="W1809" s="694"/>
      <c r="X1809" s="694"/>
      <c r="Y1809" s="694"/>
      <c r="Z1809" s="729"/>
      <c r="AA1809" s="729"/>
      <c r="AB1809" s="729"/>
      <c r="AC1809" s="694"/>
      <c r="AD1809" s="694"/>
      <c r="AE1809" s="343"/>
      <c r="AF1809" s="343"/>
      <c r="AG1809" s="343"/>
      <c r="AH1809" s="343"/>
      <c r="AI1809" s="343"/>
      <c r="AJ1809" s="343"/>
      <c r="AK1809" s="343"/>
      <c r="AL1809" s="343"/>
      <c r="AM1809" s="343"/>
    </row>
    <row r="1810" spans="1:39" ht="12.75" customHeight="1" x14ac:dyDescent="0.25">
      <c r="A1810" s="729"/>
      <c r="B1810" s="284"/>
      <c r="C1810" s="300"/>
      <c r="D1810" s="300" t="s">
        <v>1831</v>
      </c>
      <c r="E1810" s="2226" t="str">
        <f>Translations!$B$1545</f>
        <v>Очаквани равнища на дейност</v>
      </c>
      <c r="F1810" s="2249"/>
      <c r="G1810" s="2249"/>
      <c r="H1810" s="2249"/>
      <c r="I1810" s="2249"/>
      <c r="J1810" s="2249"/>
      <c r="K1810" s="2249"/>
      <c r="L1810" s="2249"/>
      <c r="M1810" s="2249"/>
      <c r="N1810" s="2249"/>
      <c r="O1810" s="302"/>
      <c r="P1810" s="336"/>
      <c r="Q1810" s="770"/>
      <c r="R1810" s="694"/>
      <c r="S1810" s="694"/>
      <c r="T1810" s="694"/>
      <c r="U1810" s="694"/>
      <c r="V1810" s="694"/>
      <c r="W1810" s="694"/>
      <c r="X1810" s="694"/>
      <c r="Y1810" s="694"/>
      <c r="Z1810" s="694"/>
      <c r="AA1810" s="694"/>
      <c r="AB1810" s="729"/>
      <c r="AC1810" s="694"/>
      <c r="AD1810" s="694"/>
      <c r="AE1810" s="343"/>
      <c r="AF1810" s="343"/>
      <c r="AG1810" s="343"/>
      <c r="AH1810" s="343"/>
      <c r="AI1810" s="343"/>
      <c r="AJ1810" s="343"/>
      <c r="AK1810" s="343"/>
      <c r="AL1810" s="343"/>
      <c r="AM1810" s="343"/>
    </row>
    <row r="1811" spans="1:39" ht="12.75" customHeight="1" x14ac:dyDescent="0.25">
      <c r="A1811" s="729"/>
      <c r="B1811" s="698"/>
      <c r="C1811" s="284"/>
      <c r="D1811" s="284"/>
      <c r="E1811" s="2358" t="str">
        <f>Translations!$B$1570</f>
        <v>Специфичните емисии се определят в съответствие с раздел 6.1 от Ръководен документ 7 за стойности, отговарящи на критериите по буква б.1) по-горе.</v>
      </c>
      <c r="F1811" s="2358"/>
      <c r="G1811" s="2358"/>
      <c r="H1811" s="2358"/>
      <c r="I1811" s="2358"/>
      <c r="J1811" s="2358"/>
      <c r="K1811" s="2358"/>
      <c r="L1811" s="2358"/>
      <c r="M1811" s="2358"/>
      <c r="N1811" s="2358"/>
      <c r="O1811" s="302"/>
      <c r="P1811" s="336"/>
      <c r="Q1811" s="694"/>
      <c r="R1811" s="694"/>
      <c r="S1811" s="694"/>
      <c r="T1811" s="694"/>
      <c r="U1811" s="694"/>
      <c r="V1811" s="694"/>
      <c r="W1811" s="694"/>
      <c r="X1811" s="694"/>
      <c r="Y1811" s="694"/>
      <c r="Z1811" s="729"/>
      <c r="AA1811" s="729"/>
      <c r="AB1811" s="729"/>
      <c r="AC1811" s="694"/>
      <c r="AD1811" s="694"/>
      <c r="AE1811" s="343"/>
      <c r="AF1811" s="343"/>
      <c r="AG1811" s="343"/>
      <c r="AH1811" s="343"/>
      <c r="AI1811" s="343"/>
      <c r="AJ1811" s="343"/>
      <c r="AK1811" s="343"/>
      <c r="AL1811" s="343"/>
      <c r="AM1811" s="343"/>
    </row>
    <row r="1812" spans="1:39" ht="5.15" customHeight="1" thickBot="1" x14ac:dyDescent="0.3">
      <c r="A1812" s="729"/>
      <c r="B1812" s="698"/>
      <c r="C1812" s="698"/>
      <c r="D1812" s="698"/>
      <c r="E1812" s="698"/>
      <c r="F1812" s="698"/>
      <c r="G1812" s="698"/>
      <c r="H1812" s="698"/>
      <c r="I1812" s="1025"/>
      <c r="J1812" s="698"/>
      <c r="K1812" s="698"/>
      <c r="L1812" s="698"/>
      <c r="M1812" s="698"/>
      <c r="N1812" s="698"/>
      <c r="O1812" s="302"/>
      <c r="P1812" s="336"/>
      <c r="Q1812" s="1263"/>
      <c r="R1812" s="694"/>
      <c r="S1812" s="729"/>
      <c r="T1812" s="729"/>
      <c r="U1812" s="694"/>
      <c r="V1812" s="694"/>
      <c r="W1812" s="694"/>
      <c r="X1812" s="694"/>
      <c r="Y1812" s="694"/>
      <c r="Z1812" s="694"/>
      <c r="AA1812" s="694"/>
      <c r="AB1812" s="729"/>
      <c r="AC1812" s="694"/>
      <c r="AD1812" s="694"/>
      <c r="AE1812" s="694"/>
      <c r="AF1812" s="694"/>
      <c r="AG1812" s="694"/>
      <c r="AH1812" s="694"/>
      <c r="AI1812" s="694"/>
      <c r="AJ1812" s="694"/>
      <c r="AK1812" s="694"/>
      <c r="AL1812" s="694"/>
      <c r="AM1812" s="343"/>
    </row>
    <row r="1813" spans="1:39" ht="5.15" customHeight="1" thickBot="1" x14ac:dyDescent="0.3">
      <c r="A1813" s="729"/>
      <c r="B1813" s="698"/>
      <c r="C1813" s="698"/>
      <c r="D1813" s="1475"/>
      <c r="E1813" s="1476"/>
      <c r="F1813" s="1476"/>
      <c r="G1813" s="1476"/>
      <c r="H1813" s="1476"/>
      <c r="I1813" s="1477"/>
      <c r="J1813" s="1476"/>
      <c r="K1813" s="1476"/>
      <c r="L1813" s="1476"/>
      <c r="M1813" s="1476"/>
      <c r="N1813" s="1478"/>
      <c r="O1813" s="302"/>
      <c r="P1813" s="336"/>
      <c r="Q1813" s="1263"/>
      <c r="R1813" s="694"/>
      <c r="S1813" s="729"/>
      <c r="T1813" s="729"/>
      <c r="U1813" s="694"/>
      <c r="V1813" s="694"/>
      <c r="W1813" s="694"/>
      <c r="X1813" s="694"/>
      <c r="Y1813" s="694"/>
      <c r="Z1813" s="694"/>
      <c r="AA1813" s="694"/>
      <c r="AB1813" s="729"/>
      <c r="AC1813" s="694"/>
      <c r="AD1813" s="694"/>
      <c r="AE1813" s="694"/>
      <c r="AF1813" s="694"/>
      <c r="AG1813" s="694"/>
      <c r="AH1813" s="694"/>
      <c r="AI1813" s="694"/>
      <c r="AJ1813" s="694"/>
      <c r="AK1813" s="694"/>
      <c r="AL1813" s="694"/>
      <c r="AM1813" s="343"/>
    </row>
    <row r="1814" spans="1:39" ht="12.75" customHeight="1" x14ac:dyDescent="0.25">
      <c r="A1814" s="729"/>
      <c r="B1814" s="298"/>
      <c r="C1814" s="698"/>
      <c r="D1814" s="1217"/>
      <c r="E1814" s="1198" t="str">
        <f>Translations!$B$1546</f>
        <v>Корекции: Промени в ефективността</v>
      </c>
      <c r="F1814" s="1199"/>
      <c r="G1814" s="1199"/>
      <c r="H1814" s="1200" t="str">
        <f>EUconst_Unit</f>
        <v>Единица мярка</v>
      </c>
      <c r="I1814" s="1201" t="str">
        <f>Translations!$B$1336</f>
        <v>Стойност в НМИ</v>
      </c>
      <c r="J1814" s="1202">
        <f>J$1840</f>
        <v>2026</v>
      </c>
      <c r="K1814" s="1203">
        <f>K$1840</f>
        <v>2027</v>
      </c>
      <c r="L1814" s="1203">
        <f>L$1840</f>
        <v>2028</v>
      </c>
      <c r="M1814" s="1203">
        <f>M$1840</f>
        <v>2029</v>
      </c>
      <c r="N1814" s="1479">
        <f>N$1840</f>
        <v>2030</v>
      </c>
      <c r="O1814" s="302"/>
      <c r="P1814" s="336"/>
      <c r="Q1814" s="729"/>
      <c r="R1814" s="694"/>
      <c r="S1814" s="694"/>
      <c r="T1814" s="694"/>
      <c r="U1814" s="1205"/>
      <c r="V1814" s="1206">
        <f>J1814</f>
        <v>2026</v>
      </c>
      <c r="W1814" s="1206">
        <f>K1814</f>
        <v>2027</v>
      </c>
      <c r="X1814" s="1206">
        <f>L1814</f>
        <v>2028</v>
      </c>
      <c r="Y1814" s="1206">
        <f>M1814</f>
        <v>2029</v>
      </c>
      <c r="Z1814" s="1207">
        <f>N1814</f>
        <v>2030</v>
      </c>
      <c r="AA1814" s="694"/>
      <c r="AB1814" s="729"/>
      <c r="AC1814" s="694"/>
      <c r="AD1814" s="694"/>
      <c r="AE1814" s="694"/>
      <c r="AF1814" s="694"/>
      <c r="AG1814" s="694"/>
      <c r="AH1814" s="694"/>
      <c r="AI1814" s="694"/>
      <c r="AJ1814" s="694"/>
      <c r="AK1814" s="694"/>
      <c r="AL1814" s="694"/>
      <c r="AM1814" s="343"/>
    </row>
    <row r="1815" spans="1:39" ht="12.75" customHeight="1" x14ac:dyDescent="0.25">
      <c r="A1815" s="729"/>
      <c r="B1815" s="298"/>
      <c r="C1815" s="698"/>
      <c r="D1815" s="1208" t="s">
        <v>6</v>
      </c>
      <c r="E1815" s="2889" t="str">
        <f>Translations!$B$1547</f>
        <v>Промяна в равнището на дейност &gt; 15 %?</v>
      </c>
      <c r="F1815" s="2889"/>
      <c r="G1815" s="2889"/>
      <c r="H1815" s="2889"/>
      <c r="I1815" s="2890"/>
      <c r="J1815" s="1480" t="str">
        <f>V1711</f>
        <v/>
      </c>
      <c r="K1815" s="1481" t="str">
        <f>W1711</f>
        <v/>
      </c>
      <c r="L1815" s="1481" t="str">
        <f>X1711</f>
        <v/>
      </c>
      <c r="M1815" s="1481" t="str">
        <f>Y1711</f>
        <v/>
      </c>
      <c r="N1815" s="1482" t="str">
        <f>Z1711</f>
        <v/>
      </c>
      <c r="O1815" s="302"/>
      <c r="P1815" s="336"/>
      <c r="Q1815" s="729"/>
      <c r="R1815" s="694"/>
      <c r="S1815" s="694"/>
      <c r="T1815" s="694"/>
      <c r="U1815" s="1231"/>
      <c r="V1815" s="1483"/>
      <c r="W1815" s="1483"/>
      <c r="X1815" s="1483"/>
      <c r="Y1815" s="1483"/>
      <c r="Z1815" s="1484"/>
      <c r="AA1815" s="694"/>
      <c r="AB1815" s="729"/>
      <c r="AC1815" s="694"/>
      <c r="AD1815" s="694"/>
      <c r="AE1815" s="694"/>
      <c r="AF1815" s="694"/>
      <c r="AG1815" s="694"/>
      <c r="AH1815" s="694"/>
      <c r="AI1815" s="694"/>
      <c r="AJ1815" s="694"/>
      <c r="AK1815" s="694"/>
      <c r="AL1815" s="694"/>
      <c r="AM1815" s="343"/>
    </row>
    <row r="1816" spans="1:39" ht="12.75" customHeight="1" x14ac:dyDescent="0.25">
      <c r="A1816" s="729"/>
      <c r="B1816" s="298"/>
      <c r="C1816" s="698"/>
      <c r="D1816" s="1208" t="s">
        <v>7</v>
      </c>
      <c r="E1816" s="2889" t="str">
        <f>Translations!$B$1548</f>
        <v>Средна стойност на очакваното равнище на дейност</v>
      </c>
      <c r="F1816" s="2889"/>
      <c r="G1816" s="2889"/>
      <c r="H1816" s="1485" t="str">
        <f>G1702</f>
        <v>t CO2e</v>
      </c>
      <c r="I1816" s="1486" t="str">
        <f>IF(M1694&lt;&gt;EUconst_Relevant,"",I1710)</f>
        <v/>
      </c>
      <c r="J1816" s="1480" t="str">
        <f>IF(AND(V1816&gt;=3,COUNT(T1807:U1807)=2),IF(CNTR_ReportingYear&gt;J1814-1,IF(J1815,IF(COUNTA(H1763:I1772)=0,J1713,AVERAGE(T1807:U1807)),$I1819),""),"")</f>
        <v/>
      </c>
      <c r="K1816" s="1481" t="str">
        <f>IF(AND(W1816&gt;=3,COUNT(U1807:V1807)=2),IF(CNTR_ReportingYear&gt;K1814-1,IF(K1815,IF(COUNTA(I1763:J1772)=0,K1713,AVERAGE(U1807:V1807)),$I1816),""),"")</f>
        <v/>
      </c>
      <c r="L1816" s="1481" t="str">
        <f>IF(AND(X1816&gt;=3,COUNT(V1807:W1807)=2),IF(CNTR_ReportingYear&gt;L1814-1,IF(L1815,IF(COUNTA(J1763:K1772)=0,L1713,AVERAGE(V1807:W1807)),$I1816),""),"")</f>
        <v/>
      </c>
      <c r="M1816" s="1481" t="str">
        <f>IF(AND(Y1816&gt;=3,COUNT(W1807:X1807)=2),IF(CNTR_ReportingYear&gt;M1814-1,IF(M1815,IF(COUNTA(K1763:L1772)=0,M1713,AVERAGE(W1807:X1807)),$I1816),""),"")</f>
        <v/>
      </c>
      <c r="N1816" s="1482" t="str">
        <f>IF(AND(Z1816&gt;=3,COUNT(X1807:Y1807)=2),IF(CNTR_ReportingYear&gt;N1814-1,IF(N1815,IF(COUNTA(L1763:M1772)=0,N1713,AVERAGE(X1807:Y1807)),$I1816),""),"")</f>
        <v/>
      </c>
      <c r="O1816" s="302"/>
      <c r="P1816" s="336"/>
      <c r="Q1816" s="1270"/>
      <c r="R1816" s="694"/>
      <c r="S1816" s="694"/>
      <c r="T1816" s="694"/>
      <c r="U1816" s="1365" t="s">
        <v>1710</v>
      </c>
      <c r="V1816" s="834">
        <f>V1710</f>
        <v>0</v>
      </c>
      <c r="W1816" s="834">
        <f>W1710</f>
        <v>0</v>
      </c>
      <c r="X1816" s="834">
        <f>X1710</f>
        <v>0</v>
      </c>
      <c r="Y1816" s="834">
        <f>Y1710</f>
        <v>0</v>
      </c>
      <c r="Z1816" s="1403">
        <f>Z1710</f>
        <v>0</v>
      </c>
      <c r="AA1816" s="694"/>
      <c r="AB1816" s="729"/>
      <c r="AC1816" s="694"/>
      <c r="AD1816" s="694"/>
      <c r="AE1816" s="694"/>
      <c r="AF1816" s="694"/>
      <c r="AG1816" s="694"/>
      <c r="AH1816" s="694"/>
      <c r="AI1816" s="694"/>
      <c r="AJ1816" s="694"/>
      <c r="AK1816" s="694"/>
      <c r="AL1816" s="694"/>
      <c r="AM1816" s="343"/>
    </row>
    <row r="1817" spans="1:39" ht="12.75" customHeight="1" x14ac:dyDescent="0.25">
      <c r="A1817" s="729"/>
      <c r="B1817" s="298"/>
      <c r="C1817" s="698"/>
      <c r="D1817" s="1208" t="s">
        <v>8</v>
      </c>
      <c r="E1817" s="2893" t="str">
        <f>Translations!$B$1376</f>
        <v>Промяна в сравнение с HAL</v>
      </c>
      <c r="F1817" s="2894"/>
      <c r="G1817" s="2894"/>
      <c r="H1817" s="2894"/>
      <c r="I1817" s="2895"/>
      <c r="J1817" s="232" t="str">
        <f>IF(J1816="","",IF(SUM($I1819)=0,IF(J1816=0,0%,100%),J1816/$I1819-1))</f>
        <v/>
      </c>
      <c r="K1817" s="233" t="str">
        <f>IF(K1816="","",IF(SUM($I1816)=0,IF(K1816=0,0%,100%),K1816/$I1816-1))</f>
        <v/>
      </c>
      <c r="L1817" s="233" t="str">
        <f>IF(L1816="","",IF(SUM($I1816)=0,IF(L1816=0,0%,100%),L1816/$I1816-1))</f>
        <v/>
      </c>
      <c r="M1817" s="233" t="str">
        <f>IF(M1816="","",IF(SUM($I1816)=0,IF(M1816=0,0%,100%),M1816/$I1816-1))</f>
        <v/>
      </c>
      <c r="N1817" s="234" t="str">
        <f>IF(N1816="","",IF(SUM($I1816)=0,IF(N1816=0,0%,100%),N1816/$I1816-1))</f>
        <v/>
      </c>
      <c r="O1817" s="302"/>
      <c r="P1817" s="209"/>
      <c r="Q1817" s="1190" t="str">
        <f>EUconst_CNTR_EnEffPct&amp;I1694</f>
        <v>EnEffPct_Подинсталация с емисии от процеси (с риск от ИВЕ | в рамките на МКВЕГ)</v>
      </c>
      <c r="R1817" s="694"/>
      <c r="S1817" s="694"/>
      <c r="T1817" s="694"/>
      <c r="U1817" s="1365" t="s">
        <v>1715</v>
      </c>
      <c r="V1817" s="727" t="str">
        <f>IF(J1816="","",ABS(J1817)&gt;15%)</f>
        <v/>
      </c>
      <c r="W1817" s="727" t="str">
        <f>IF(K1816="","",ABS(K1817)&gt;15%)</f>
        <v/>
      </c>
      <c r="X1817" s="727" t="str">
        <f>IF(L1816="","",ABS(L1817)&gt;15%)</f>
        <v/>
      </c>
      <c r="Y1817" s="727" t="str">
        <f>IF(M1816="","",ABS(M1817)&gt;15%)</f>
        <v/>
      </c>
      <c r="Z1817" s="1221" t="str">
        <f>IF(N1816="","",ABS(N1817)&gt;15%)</f>
        <v/>
      </c>
      <c r="AA1817" s="694"/>
      <c r="AB1817" s="729"/>
      <c r="AC1817" s="694"/>
      <c r="AD1817" s="694"/>
      <c r="AE1817" s="694"/>
      <c r="AF1817" s="694"/>
      <c r="AG1817" s="694"/>
      <c r="AH1817" s="694"/>
      <c r="AI1817" s="694"/>
      <c r="AJ1817" s="694"/>
      <c r="AK1817" s="694"/>
      <c r="AL1817" s="694"/>
      <c r="AM1817" s="343"/>
    </row>
    <row r="1818" spans="1:39" ht="12.75" customHeight="1" x14ac:dyDescent="0.25">
      <c r="A1818" s="729"/>
      <c r="B1818" s="298"/>
      <c r="C1818" s="698"/>
      <c r="D1818" s="1208" t="s">
        <v>18</v>
      </c>
      <c r="E1818" s="2896" t="str">
        <f>Translations!$B$1322</f>
        <v>Предварителна корекция (ако са надвишени относителните прагове)</v>
      </c>
      <c r="F1818" s="2897"/>
      <c r="G1818" s="2897"/>
      <c r="H1818" s="2897"/>
      <c r="I1818" s="2898"/>
      <c r="J1818" s="235" t="str">
        <f>IF(J1816="","",IF(OR(V1711=FALSE,V1817=FALSE),0%,IF(V1818,J1817,I1818)))</f>
        <v/>
      </c>
      <c r="K1818" s="236" t="str">
        <f>IF(K1816="","",IF(OR(W1711=FALSE,W1817=FALSE),0%,IF(W1818,K1817,J1818)))</f>
        <v/>
      </c>
      <c r="L1818" s="236" t="str">
        <f>IF(L1816="","",IF(OR(X1711=FALSE,X1817=FALSE),0%,IF(X1818,L1817,K1818)))</f>
        <v/>
      </c>
      <c r="M1818" s="236" t="str">
        <f>IF(M1816="","",IF(OR(Y1711=FALSE,Y1817=FALSE),0%,IF(Y1818,M1817,L1818)))</f>
        <v/>
      </c>
      <c r="N1818" s="237" t="str">
        <f>IF(N1816="","",IF(OR(Z1711=FALSE,Z1817=FALSE),0%,IF(Z1818,N1817,M1818)))</f>
        <v/>
      </c>
      <c r="O1818" s="302"/>
      <c r="P1818" s="209"/>
      <c r="Q1818" s="729"/>
      <c r="R1818" s="694"/>
      <c r="S1818" s="694"/>
      <c r="T1818" s="694"/>
      <c r="U1818" s="1365" t="s">
        <v>1716</v>
      </c>
      <c r="V1818" s="727" t="str">
        <f>IF(J1816="","",AND(V1711,IF(SUM(I1827)&lt;0,OR(SUM(J1817)&lt;SUM(I1827)-MOD(SUM(I1827),5%),J1817&gt;=SUM(I1827)+5%-MOD(SUM(I1827),5%)),OR(SUM(J1817)&lt;=SUM(I1827)-MOD(SUM(I1827),5%),SUM(J1817)&gt;SUM(I1827)+5%-MOD(SUM(I1827),5%)))))</f>
        <v/>
      </c>
      <c r="W1818" s="727" t="str">
        <f>IF(K1816="","",AND(W1711,IF(SUM(J1827)&lt;0,OR(SUM(K1817)&lt;SUM(J1827)-MOD(SUM(J1827),5%),K1817&gt;=SUM(J1827)+5%-MOD(SUM(J1827),5%)),OR(SUM(K1817)&lt;=SUM(J1827)-MOD(SUM(J1827),5%),SUM(K1817)&gt;SUM(J1827)+5%-MOD(SUM(J1827),5%)))))</f>
        <v/>
      </c>
      <c r="X1818" s="727" t="str">
        <f>IF(L1816="","",AND(X1711,IF(SUM(K1827)&lt;0,OR(SUM(L1817)&lt;SUM(K1827)-MOD(SUM(K1827),5%),L1817&gt;=SUM(K1827)+5%-MOD(SUM(K1827),5%)),OR(SUM(L1817)&lt;=SUM(K1827)-MOD(SUM(K1827),5%),SUM(L1817)&gt;SUM(K1827)+5%-MOD(SUM(K1827),5%)))))</f>
        <v/>
      </c>
      <c r="Y1818" s="727" t="str">
        <f>IF(M1816="","",AND(Y1711,IF(SUM(L1827)&lt;0,OR(SUM(M1817)&lt;SUM(L1827)-MOD(SUM(L1827),5%),M1817&gt;=SUM(L1827)+5%-MOD(SUM(L1827),5%)),OR(SUM(M1817)&lt;=SUM(L1827)-MOD(SUM(L1827),5%),SUM(M1817)&gt;SUM(L1827)+5%-MOD(SUM(L1827),5%)))))</f>
        <v/>
      </c>
      <c r="Z1818" s="1221" t="str">
        <f>IF(N1816="","",AND(Z1711,IF(SUM(M1827)&lt;0,OR(SUM(N1817)&lt;SUM(M1827)-MOD(SUM(M1827),5%),N1817&gt;=SUM(M1827)+5%-MOD(SUM(M1827),5%)),OR(SUM(N1817)&lt;=SUM(M1827)-MOD(SUM(M1827),5%),SUM(N1817)&gt;SUM(M1827)+5%-MOD(SUM(M1827),5%)))))</f>
        <v/>
      </c>
      <c r="AA1818" s="694"/>
      <c r="AB1818" s="729"/>
      <c r="AC1818" s="694"/>
      <c r="AD1818" s="694"/>
      <c r="AE1818" s="694"/>
      <c r="AF1818" s="694"/>
      <c r="AG1818" s="694"/>
      <c r="AH1818" s="694"/>
      <c r="AI1818" s="694"/>
      <c r="AJ1818" s="694"/>
      <c r="AK1818" s="694"/>
      <c r="AL1818" s="694"/>
      <c r="AM1818" s="343"/>
    </row>
    <row r="1819" spans="1:39" ht="12.75" customHeight="1" x14ac:dyDescent="0.25">
      <c r="A1819" s="729"/>
      <c r="B1819" s="298"/>
      <c r="C1819" s="698"/>
      <c r="D1819" s="1208" t="s">
        <v>810</v>
      </c>
      <c r="E1819" s="2889" t="str">
        <f>Translations!$B$1377</f>
        <v>Предварителна стойност</v>
      </c>
      <c r="F1819" s="2889"/>
      <c r="G1819" s="2889"/>
      <c r="H1819" s="1485" t="str">
        <f>H1816</f>
        <v>t CO2e</v>
      </c>
      <c r="I1819" s="1487" t="str">
        <f>IF(M1694&lt;&gt;EUconst_Relevant,"",IF(AB1694=FALSE,EUconst_NA,IF(V1694&gt;($J$1840-3),INDEX(T1807:Z1807,MATCH(V1694,T1796:Z1796,0)),SUM(I1816))))</f>
        <v/>
      </c>
      <c r="J1819" s="1400" t="str">
        <f>IF($M1694&lt;&gt;EUconst_Relevant,"",IF(V1816&lt;2,SUM(J1713),IF(V1816&lt;3,SUM(I1713),IF(V1819="",I1819,V1819))))</f>
        <v/>
      </c>
      <c r="K1819" s="1401" t="str">
        <f>IF($M1694&lt;&gt;EUconst_Relevant,"",IF(W1816&lt;2,SUM(K1713),IF(W1816&lt;3,SUM(J1713),IF(W1819="",J1819,W1819))))</f>
        <v/>
      </c>
      <c r="L1819" s="1401" t="str">
        <f>IF($M1694&lt;&gt;EUconst_Relevant,"",IF(X1816&lt;2,SUM(L1713),IF(X1816&lt;3,SUM(K1713),IF(X1819="",K1819,X1819))))</f>
        <v/>
      </c>
      <c r="M1819" s="1401" t="str">
        <f>IF($M1694&lt;&gt;EUconst_Relevant,"",IF(Y1816&lt;2,SUM(M1713),IF(Y1816&lt;3,SUM(L1713),IF(Y1819="",L1819,Y1819))))</f>
        <v/>
      </c>
      <c r="N1819" s="1402" t="str">
        <f>IF($M1694&lt;&gt;EUconst_Relevant,"",IF(Z1816&lt;2,SUM(N1713),IF(Z1816&lt;3,SUM(M1713),IF(Z1819="",M1819,Z1819))))</f>
        <v/>
      </c>
      <c r="O1819" s="302"/>
      <c r="P1819" s="336"/>
      <c r="Q1819" s="1270" t="str">
        <f>EUconst_CNTR_HALprelim&amp;I1694</f>
        <v>HALprelim_Подинсталация с емисии от процеси (с риск от ИВЕ | в рамките на МКВЕГ)</v>
      </c>
      <c r="R1819" s="694"/>
      <c r="S1819" s="694"/>
      <c r="T1819" s="694"/>
      <c r="U1819" s="1215" t="s">
        <v>1756</v>
      </c>
      <c r="V1819" s="1227" t="str">
        <f>IF(J1816="","",IF(CNTR_ReportingYear&lt;J1814,I1818,IF($I1819=0,J1816,$I1819*(1+J1818))))</f>
        <v/>
      </c>
      <c r="W1819" s="1227" t="str">
        <f>IF(K1816="","",IF(CNTR_ReportingYear&lt;K1814,J1818,IF($I1819=0,K1816,$I1819*(1+K1818))))</f>
        <v/>
      </c>
      <c r="X1819" s="1227" t="str">
        <f>IF(L1816="","",IF(CNTR_ReportingYear&lt;L1814,K1818,IF($I1819=0,L1816,$I1819*(1+L1818))))</f>
        <v/>
      </c>
      <c r="Y1819" s="1227" t="str">
        <f>IF(M1816="","",IF(CNTR_ReportingYear&lt;M1814,L1818,IF($I1819=0,M1816,$I1819*(1+M1818))))</f>
        <v/>
      </c>
      <c r="Z1819" s="1228" t="str">
        <f>IF(N1816="","",IF(CNTR_ReportingYear&lt;N1814,M1818,IF($I1819=0,N1816,$I1819*(1+N1818))))</f>
        <v/>
      </c>
      <c r="AA1819" s="694"/>
      <c r="AB1819" s="729"/>
      <c r="AC1819" s="694"/>
      <c r="AD1819" s="694"/>
      <c r="AE1819" s="694"/>
      <c r="AF1819" s="694"/>
      <c r="AG1819" s="694"/>
      <c r="AH1819" s="694"/>
      <c r="AI1819" s="694"/>
      <c r="AJ1819" s="694"/>
      <c r="AK1819" s="694"/>
      <c r="AL1819" s="694"/>
      <c r="AM1819" s="343"/>
    </row>
    <row r="1820" spans="1:39" ht="5.15" customHeight="1" x14ac:dyDescent="0.25">
      <c r="A1820" s="729"/>
      <c r="B1820" s="298"/>
      <c r="C1820" s="698"/>
      <c r="D1820" s="1217"/>
      <c r="E1820" s="1199"/>
      <c r="F1820" s="1199"/>
      <c r="G1820" s="1199"/>
      <c r="H1820" s="1199"/>
      <c r="I1820" s="1199"/>
      <c r="J1820" s="1199"/>
      <c r="K1820" s="1199"/>
      <c r="L1820" s="1199"/>
      <c r="M1820" s="1199"/>
      <c r="N1820" s="1238"/>
      <c r="O1820" s="302"/>
      <c r="P1820" s="336"/>
      <c r="Q1820" s="729"/>
      <c r="R1820" s="694"/>
      <c r="S1820" s="694"/>
      <c r="T1820" s="694"/>
      <c r="U1820" s="1231"/>
      <c r="V1820" s="711"/>
      <c r="W1820" s="711"/>
      <c r="X1820" s="711"/>
      <c r="Y1820" s="711"/>
      <c r="Z1820" s="1488"/>
      <c r="AA1820" s="694"/>
      <c r="AB1820" s="729"/>
      <c r="AC1820" s="694"/>
      <c r="AD1820" s="694"/>
      <c r="AE1820" s="343"/>
      <c r="AF1820" s="343"/>
      <c r="AG1820" s="343"/>
      <c r="AH1820" s="343"/>
      <c r="AI1820" s="343"/>
      <c r="AJ1820" s="343"/>
      <c r="AK1820" s="343"/>
      <c r="AL1820" s="343"/>
      <c r="AM1820" s="343"/>
    </row>
    <row r="1821" spans="1:39" ht="12.75" customHeight="1" x14ac:dyDescent="0.25">
      <c r="A1821" s="729"/>
      <c r="B1821" s="298"/>
      <c r="C1821" s="698"/>
      <c r="D1821" s="1197" t="s">
        <v>1961</v>
      </c>
      <c r="E1821" s="2886" t="str">
        <f>Translations!$B$1342</f>
        <v>Корекции: Абсолютен праг</v>
      </c>
      <c r="F1821" s="2887"/>
      <c r="G1821" s="2887"/>
      <c r="H1821" s="2887"/>
      <c r="I1821" s="2887"/>
      <c r="J1821" s="2887"/>
      <c r="K1821" s="2887"/>
      <c r="L1821" s="2887"/>
      <c r="M1821" s="2887"/>
      <c r="N1821" s="2888"/>
      <c r="O1821" s="302"/>
      <c r="P1821" s="336"/>
      <c r="Q1821" s="729"/>
      <c r="R1821" s="694"/>
      <c r="S1821" s="694"/>
      <c r="T1821" s="694"/>
      <c r="U1821" s="1231"/>
      <c r="V1821" s="729"/>
      <c r="W1821" s="694"/>
      <c r="X1821" s="694"/>
      <c r="Y1821" s="694"/>
      <c r="Z1821" s="1232"/>
      <c r="AA1821" s="694"/>
      <c r="AB1821" s="729"/>
      <c r="AC1821" s="694"/>
      <c r="AD1821" s="694"/>
      <c r="AE1821" s="343"/>
      <c r="AF1821" s="343"/>
      <c r="AG1821" s="343"/>
      <c r="AH1821" s="343"/>
      <c r="AI1821" s="343"/>
      <c r="AJ1821" s="343"/>
      <c r="AK1821" s="343"/>
      <c r="AL1821" s="343"/>
      <c r="AM1821" s="343"/>
    </row>
    <row r="1822" spans="1:39" ht="12.75" customHeight="1" x14ac:dyDescent="0.25">
      <c r="A1822" s="729"/>
      <c r="B1822" s="298"/>
      <c r="C1822" s="698"/>
      <c r="D1822" s="1217"/>
      <c r="E1822" s="1233" t="str">
        <f>Translations!$B$1343</f>
        <v>Абсолютен праг</v>
      </c>
      <c r="F1822" s="1233"/>
      <c r="G1822" s="1233"/>
      <c r="H1822" s="1233"/>
      <c r="I1822" s="1233"/>
      <c r="J1822" s="1202">
        <f>J$1840</f>
        <v>2026</v>
      </c>
      <c r="K1822" s="1203">
        <f>K$1840</f>
        <v>2027</v>
      </c>
      <c r="L1822" s="1203">
        <f>L$1840</f>
        <v>2028</v>
      </c>
      <c r="M1822" s="1203">
        <f>M$1840</f>
        <v>2029</v>
      </c>
      <c r="N1822" s="1479">
        <f>N$1840</f>
        <v>2030</v>
      </c>
      <c r="O1822" s="302"/>
      <c r="P1822" s="336"/>
      <c r="Q1822" s="729"/>
      <c r="R1822" s="694"/>
      <c r="S1822" s="694"/>
      <c r="T1822" s="694"/>
      <c r="U1822" s="1231"/>
      <c r="V1822" s="213"/>
      <c r="W1822" s="214" t="s">
        <v>2101</v>
      </c>
      <c r="X1822" s="215" t="str">
        <f>IF(OR($X1694=0,$X1694=""),"",MIN(1,1-(DATE($Z1694,12,31)-$X1694)/(DATE($Z1694,12,31)-DATE($Z1694,1,1)+1)))</f>
        <v/>
      </c>
      <c r="Y1822" s="1165"/>
      <c r="Z1822" s="1235"/>
      <c r="AA1822" s="694"/>
      <c r="AB1822" s="729"/>
      <c r="AC1822" s="694"/>
      <c r="AD1822" s="694"/>
      <c r="AE1822" s="343"/>
      <c r="AF1822" s="343"/>
      <c r="AG1822" s="343"/>
      <c r="AH1822" s="343"/>
      <c r="AI1822" s="343"/>
      <c r="AJ1822" s="343"/>
      <c r="AK1822" s="343"/>
      <c r="AL1822" s="343"/>
      <c r="AM1822" s="343"/>
    </row>
    <row r="1823" spans="1:39" ht="12.75" customHeight="1" x14ac:dyDescent="0.25">
      <c r="A1823" s="729"/>
      <c r="B1823" s="298"/>
      <c r="C1823" s="698"/>
      <c r="D1823" s="1217"/>
      <c r="E1823" s="2889" t="str">
        <f>Translations!$B$1515</f>
        <v>изпълнен ли е критерият за &gt;=300 квоти за емисии?</v>
      </c>
      <c r="F1823" s="2889"/>
      <c r="G1823" s="2889"/>
      <c r="H1823" s="2889"/>
      <c r="I1823" s="2890"/>
      <c r="J1823" s="1236" t="str">
        <f>IF($M1694&lt;&gt;EUconst_Relevant,"",INDEX(K_Summary!J:J,MATCH($Q1823,K_Summary!$P:$P,0)))</f>
        <v/>
      </c>
      <c r="K1823" s="385" t="str">
        <f>IF($M1694&lt;&gt;EUconst_Relevant,"",INDEX(K_Summary!K:K,MATCH($Q1823,K_Summary!$P:$P,0)))</f>
        <v/>
      </c>
      <c r="L1823" s="385" t="str">
        <f>IF($M1694&lt;&gt;EUconst_Relevant,"",INDEX(K_Summary!L:L,MATCH($Q1823,K_Summary!$P:$P,0)))</f>
        <v/>
      </c>
      <c r="M1823" s="385" t="str">
        <f>IF($M1694&lt;&gt;EUconst_Relevant,"",INDEX(K_Summary!M:M,MATCH($Q1823,K_Summary!$P:$P,0)))</f>
        <v/>
      </c>
      <c r="N1823" s="1237" t="str">
        <f>IF($M1694&lt;&gt;EUconst_Relevant,"",INDEX(K_Summary!N:N,MATCH($Q1823,K_Summary!$P:$P,0)))</f>
        <v/>
      </c>
      <c r="O1823" s="302"/>
      <c r="P1823" s="336"/>
      <c r="Q1823" s="1190" t="str">
        <f>EUconst_CNTR_300EUA&amp;I1694</f>
        <v>EUA300_Подинсталация с емисии от процеси (с риск от ИВЕ | в рамките на МКВЕГ)</v>
      </c>
      <c r="R1823" s="694"/>
      <c r="S1823" s="694"/>
      <c r="T1823" s="694"/>
      <c r="U1823" s="1231"/>
      <c r="V1823" s="216">
        <f>IF(V1814=$Z1694,$X1822,1)</f>
        <v>1</v>
      </c>
      <c r="W1823" s="216">
        <f>IF(W1814=$Z1694,$X1822,1)</f>
        <v>1</v>
      </c>
      <c r="X1823" s="216">
        <f>IF(X1814=$Z1694,$X1822,1)</f>
        <v>1</v>
      </c>
      <c r="Y1823" s="216">
        <f>IF(Y1814=$Z1694,$X1822,1)</f>
        <v>1</v>
      </c>
      <c r="Z1823" s="217">
        <f>IF(Z1814=$Z1694,$X1822,1)</f>
        <v>1</v>
      </c>
      <c r="AA1823" s="694"/>
      <c r="AB1823" s="729"/>
      <c r="AC1823" s="694"/>
      <c r="AD1823" s="694"/>
      <c r="AE1823" s="343"/>
      <c r="AF1823" s="343"/>
      <c r="AG1823" s="343"/>
      <c r="AH1823" s="343"/>
      <c r="AI1823" s="343"/>
      <c r="AJ1823" s="343"/>
      <c r="AK1823" s="343"/>
      <c r="AL1823" s="343"/>
      <c r="AM1823" s="343"/>
    </row>
    <row r="1824" spans="1:39" ht="5.15" customHeight="1" x14ac:dyDescent="0.25">
      <c r="A1824" s="729"/>
      <c r="B1824" s="298"/>
      <c r="C1824" s="698"/>
      <c r="D1824" s="1217"/>
      <c r="E1824" s="1199"/>
      <c r="F1824" s="1199"/>
      <c r="G1824" s="1199"/>
      <c r="H1824" s="1199"/>
      <c r="I1824" s="1199"/>
      <c r="J1824" s="1199"/>
      <c r="K1824" s="1199"/>
      <c r="L1824" s="1199"/>
      <c r="M1824" s="1199"/>
      <c r="N1824" s="1238"/>
      <c r="O1824" s="302"/>
      <c r="P1824" s="336"/>
      <c r="Q1824" s="729"/>
      <c r="R1824" s="694"/>
      <c r="S1824" s="694"/>
      <c r="T1824" s="694"/>
      <c r="U1824" s="1231"/>
      <c r="V1824" s="694"/>
      <c r="W1824" s="694"/>
      <c r="X1824" s="694"/>
      <c r="Y1824" s="694"/>
      <c r="Z1824" s="1232"/>
      <c r="AA1824" s="729"/>
      <c r="AB1824" s="729"/>
      <c r="AC1824" s="694"/>
      <c r="AD1824" s="694"/>
      <c r="AE1824" s="343"/>
      <c r="AF1824" s="343"/>
      <c r="AG1824" s="343"/>
      <c r="AH1824" s="343"/>
      <c r="AI1824" s="343"/>
      <c r="AJ1824" s="343"/>
      <c r="AK1824" s="343"/>
      <c r="AL1824" s="343"/>
      <c r="AM1824" s="343"/>
    </row>
    <row r="1825" spans="1:39" ht="12.75" customHeight="1" x14ac:dyDescent="0.25">
      <c r="A1825" s="729"/>
      <c r="B1825" s="298"/>
      <c r="C1825" s="698"/>
      <c r="D1825" s="1197" t="s">
        <v>2220</v>
      </c>
      <c r="E1825" s="2886" t="str">
        <f>Translations!$B$1549</f>
        <v>Определяне на корекциите на очакваното равнище на дейност, включително всякакви промени в ефективността</v>
      </c>
      <c r="F1825" s="2887"/>
      <c r="G1825" s="2887"/>
      <c r="H1825" s="2887"/>
      <c r="I1825" s="2887"/>
      <c r="J1825" s="2887"/>
      <c r="K1825" s="2887"/>
      <c r="L1825" s="2887"/>
      <c r="M1825" s="2887"/>
      <c r="N1825" s="2888"/>
      <c r="O1825" s="302"/>
      <c r="P1825" s="336"/>
      <c r="Q1825" s="729"/>
      <c r="R1825" s="694"/>
      <c r="S1825" s="694"/>
      <c r="T1825" s="694"/>
      <c r="U1825" s="1231"/>
      <c r="V1825" s="694"/>
      <c r="W1825" s="694"/>
      <c r="X1825" s="694"/>
      <c r="Y1825" s="694"/>
      <c r="Z1825" s="1232"/>
      <c r="AA1825" s="729"/>
      <c r="AB1825" s="729"/>
      <c r="AC1825" s="694"/>
      <c r="AD1825" s="694"/>
      <c r="AE1825" s="343"/>
      <c r="AF1825" s="343"/>
      <c r="AG1825" s="343"/>
      <c r="AH1825" s="343"/>
      <c r="AI1825" s="343"/>
      <c r="AJ1825" s="343"/>
      <c r="AK1825" s="343"/>
      <c r="AL1825" s="343"/>
      <c r="AM1825" s="343"/>
    </row>
    <row r="1826" spans="1:39" ht="12.75" customHeight="1" thickBot="1" x14ac:dyDescent="0.3">
      <c r="A1826" s="729"/>
      <c r="B1826" s="698"/>
      <c r="C1826" s="698"/>
      <c r="D1826" s="1489"/>
      <c r="E1826" s="2891" t="str">
        <f>Translations!$B$1550</f>
        <v>Това е крайният резултат, като се вземат предвид всички промени в ефективността, ако е приложимо.</v>
      </c>
      <c r="F1826" s="2887"/>
      <c r="G1826" s="2887"/>
      <c r="H1826" s="2887"/>
      <c r="I1826" s="2887"/>
      <c r="J1826" s="2887"/>
      <c r="K1826" s="2887"/>
      <c r="L1826" s="2887"/>
      <c r="M1826" s="2887"/>
      <c r="N1826" s="2888"/>
      <c r="O1826" s="336"/>
      <c r="P1826" s="336"/>
      <c r="Q1826" s="694"/>
      <c r="R1826" s="694"/>
      <c r="S1826" s="694"/>
      <c r="T1826" s="694"/>
      <c r="U1826" s="1231"/>
      <c r="V1826" s="694"/>
      <c r="W1826" s="694"/>
      <c r="X1826" s="694"/>
      <c r="Y1826" s="694"/>
      <c r="Z1826" s="1232"/>
      <c r="AA1826" s="729"/>
      <c r="AB1826" s="729"/>
      <c r="AC1826" s="694"/>
      <c r="AD1826" s="694"/>
      <c r="AE1826" s="343"/>
      <c r="AF1826" s="343"/>
      <c r="AG1826" s="343"/>
      <c r="AH1826" s="343"/>
      <c r="AI1826" s="343"/>
      <c r="AJ1826" s="343"/>
      <c r="AK1826" s="343"/>
      <c r="AL1826" s="343"/>
      <c r="AM1826" s="343"/>
    </row>
    <row r="1827" spans="1:39" ht="12.75" customHeight="1" thickBot="1" x14ac:dyDescent="0.3">
      <c r="A1827" s="729"/>
      <c r="B1827" s="298"/>
      <c r="C1827" s="698"/>
      <c r="D1827" s="1208"/>
      <c r="E1827" s="2889" t="str">
        <f>Translations!$B$1324</f>
        <v>Действителна корекция (ако са надвишени всички прагове)</v>
      </c>
      <c r="F1827" s="2889"/>
      <c r="G1827" s="2889"/>
      <c r="H1827" s="2889"/>
      <c r="I1827" s="1490"/>
      <c r="J1827" s="1240" t="str">
        <f>IF(J1823="","",IF(J1822&gt;$Z1694,-100%,IFERROR((1+IF(OR(J1823,V1816&lt;1),J1818,IF(J1822=$Z1694,SUM(I1827),I1827)))*V1823-1,"")))</f>
        <v/>
      </c>
      <c r="K1827" s="1241" t="str">
        <f>IF(K1823="","",IF(K1822&gt;$Z1694,-100%,IFERROR((1+IF(OR(K1823,W1816&lt;1),K1818,IF(K1822=$Z1694,SUM(J1827),J1827)))*W1823-1,"")))</f>
        <v/>
      </c>
      <c r="L1827" s="1241" t="str">
        <f>IF(L1823="","",IF(L1822&gt;$Z1694,-100%,IFERROR((1+IF(OR(L1823,X1816&lt;1),L1818,IF(L1822=$Z1694,SUM(K1827),K1827)))*X1823-1,"")))</f>
        <v/>
      </c>
      <c r="M1827" s="1241" t="str">
        <f>IF(M1823="","",IF(M1822&gt;$Z1694,-100%,IFERROR((1+IF(OR(M1823,Y1816&lt;1),M1818,IF(M1822=$Z1694,SUM(L1827),L1827)))*Y1823-1,"")))</f>
        <v/>
      </c>
      <c r="N1827" s="1242" t="str">
        <f>IF(N1823="","",IF(N1822&gt;$Z1694,-100%,IFERROR((1+IF(OR(N1823,Z1816&lt;1),N1818,IF(N1822=$Z1694,SUM(M1827),M1827)))*Z1823-1,"")))</f>
        <v/>
      </c>
      <c r="O1827" s="302"/>
      <c r="P1827" s="336"/>
      <c r="Q1827" s="1190" t="str">
        <f>EUconst_CNTR_HALAdjPct &amp; I1694</f>
        <v>HALAdjPct_Подинсталация с емисии от процеси (с риск от ИВЕ | в рамките на МКВЕГ)</v>
      </c>
      <c r="R1827" s="694"/>
      <c r="S1827" s="694"/>
      <c r="T1827" s="694"/>
      <c r="U1827" s="1231" t="s">
        <v>1718</v>
      </c>
      <c r="V1827" s="1243">
        <f>J1822</f>
        <v>2026</v>
      </c>
      <c r="W1827" s="1243">
        <f>K1822</f>
        <v>2027</v>
      </c>
      <c r="X1827" s="1243">
        <f>L1822</f>
        <v>2028</v>
      </c>
      <c r="Y1827" s="1243">
        <f>M1822</f>
        <v>2029</v>
      </c>
      <c r="Z1827" s="1244">
        <f>N1822</f>
        <v>2030</v>
      </c>
      <c r="AA1827" s="694"/>
      <c r="AB1827" s="729"/>
      <c r="AC1827" s="694"/>
      <c r="AD1827" s="694"/>
      <c r="AE1827" s="343"/>
      <c r="AF1827" s="343"/>
      <c r="AG1827" s="343"/>
      <c r="AH1827" s="343"/>
      <c r="AI1827" s="343"/>
      <c r="AJ1827" s="343"/>
      <c r="AK1827" s="343"/>
      <c r="AL1827" s="343"/>
      <c r="AM1827" s="343"/>
    </row>
    <row r="1828" spans="1:39" ht="12.75" customHeight="1" thickBot="1" x14ac:dyDescent="0.3">
      <c r="A1828" s="729"/>
      <c r="B1828" s="298"/>
      <c r="C1828" s="698"/>
      <c r="D1828" s="1217"/>
      <c r="E1828" s="2889" t="str">
        <f>Translations!$B$1551</f>
        <v>Действително очаквано равнище на дейност</v>
      </c>
      <c r="F1828" s="2892"/>
      <c r="G1828" s="2892"/>
      <c r="H1828" s="1210" t="str">
        <f>H1710</f>
        <v>t CO2e</v>
      </c>
      <c r="I1828" s="1399" t="str">
        <f>I1713</f>
        <v/>
      </c>
      <c r="J1828" s="661" t="str">
        <f>IF($M1694&lt;&gt;EUconst_Relevant,"",IF(OR(J1827="",$I1828=0,$I1828=EUconst_NA),IF(OR(J1823=TRUE,J1822&lt;=$V1694),J1713,SUM(I1828)),$I1828*(1+SUM(J1827))))</f>
        <v/>
      </c>
      <c r="K1828" s="662" t="str">
        <f>IF($M1694&lt;&gt;EUconst_Relevant,"",IF(OR(K1827="",$I1828=0,$I1828=EUconst_NA),IF(OR(K1823=TRUE,K1822&lt;=$V1694),K1713,SUM(J1828)),$I1828*(1+SUM(K1827))))</f>
        <v/>
      </c>
      <c r="L1828" s="662" t="str">
        <f>IF($M1694&lt;&gt;EUconst_Relevant,"",IF(OR(L1827="",$I1828=0,$I1828=EUconst_NA),IF(OR(L1823=TRUE,L1822&lt;=$V1694),L1713,SUM(K1828)),$I1828*(1+SUM(L1827))))</f>
        <v/>
      </c>
      <c r="M1828" s="662" t="str">
        <f>IF($M1694&lt;&gt;EUconst_Relevant,"",IF(OR(M1827="",$I1828=0,$I1828=EUconst_NA),IF(OR(M1823=TRUE,M1822&lt;=$V1694),M1713,SUM(L1828)),$I1828*(1+SUM(M1827))))</f>
        <v/>
      </c>
      <c r="N1828" s="663" t="str">
        <f>IF($M1694&lt;&gt;EUconst_Relevant,"",IF(OR(N1827="",$I1828=0,$I1828=EUconst_NA),IF(OR(N1823=TRUE,N1822&lt;=$V1694),N1713,SUM(M1828)),$I1828*(1+SUM(N1827))))</f>
        <v/>
      </c>
      <c r="O1828" s="302"/>
      <c r="P1828" s="336"/>
      <c r="Q1828" s="1190" t="str">
        <f>EUconst_CNTR_HALfinal&amp;I1694</f>
        <v>HALfinal_Подинсталация с емисии от процеси (с риск от ИВЕ | в рамките на МКВЕГ)</v>
      </c>
      <c r="R1828" s="694"/>
      <c r="S1828" s="694"/>
      <c r="T1828" s="694"/>
      <c r="U1828" s="1491" t="b">
        <v>0</v>
      </c>
      <c r="V1828" s="1246" t="b">
        <f>IF(J1823=TRUE,V1711,U1828)</f>
        <v>0</v>
      </c>
      <c r="W1828" s="1246" t="b">
        <f>IF(K1823=TRUE,W1711,V1828)</f>
        <v>0</v>
      </c>
      <c r="X1828" s="1246" t="b">
        <f>IF(L1823=TRUE,X1711,W1828)</f>
        <v>0</v>
      </c>
      <c r="Y1828" s="1246" t="b">
        <f>IF(M1823=TRUE,Y1711,X1828)</f>
        <v>0</v>
      </c>
      <c r="Z1828" s="1247" t="b">
        <f>IF(N1823=TRUE,Z1711,Y1828)</f>
        <v>0</v>
      </c>
      <c r="AA1828" s="694"/>
      <c r="AB1828" s="694"/>
      <c r="AC1828" s="694"/>
      <c r="AD1828" s="694"/>
      <c r="AE1828" s="343"/>
      <c r="AF1828" s="343"/>
      <c r="AG1828" s="343"/>
      <c r="AH1828" s="343"/>
      <c r="AI1828" s="343"/>
      <c r="AJ1828" s="343"/>
      <c r="AK1828" s="1174" t="s">
        <v>2033</v>
      </c>
      <c r="AL1828" s="982" t="str">
        <f>IF(OR(ISERROR(J1828),ISERROR(K1828),ISERROR(L1828),ISERROR(M1828),ISERROR(N1828)),EUconst_Error&amp;"FB"&amp; Q1694,"")</f>
        <v/>
      </c>
      <c r="AM1828" s="343"/>
    </row>
    <row r="1829" spans="1:39" ht="5.15" customHeight="1" thickBot="1" x14ac:dyDescent="0.3">
      <c r="A1829" s="729"/>
      <c r="B1829" s="698"/>
      <c r="C1829" s="698"/>
      <c r="D1829" s="1273"/>
      <c r="E1829" s="1274"/>
      <c r="F1829" s="1274"/>
      <c r="G1829" s="1274"/>
      <c r="H1829" s="1274"/>
      <c r="I1829" s="1274"/>
      <c r="J1829" s="1274"/>
      <c r="K1829" s="1274"/>
      <c r="L1829" s="1274"/>
      <c r="M1829" s="1274"/>
      <c r="N1829" s="1276"/>
      <c r="O1829" s="336"/>
      <c r="P1829" s="336"/>
      <c r="Q1829" s="694"/>
      <c r="R1829" s="694"/>
      <c r="S1829" s="694"/>
      <c r="T1829" s="694"/>
      <c r="U1829" s="694"/>
      <c r="V1829" s="694"/>
      <c r="W1829" s="694"/>
      <c r="X1829" s="694"/>
      <c r="Y1829" s="694"/>
      <c r="Z1829" s="694"/>
      <c r="AA1829" s="694"/>
      <c r="AB1829" s="729"/>
      <c r="AC1829" s="694"/>
      <c r="AD1829" s="694"/>
      <c r="AE1829" s="343"/>
      <c r="AF1829" s="343"/>
      <c r="AG1829" s="343"/>
      <c r="AH1829" s="343"/>
      <c r="AI1829" s="343"/>
      <c r="AJ1829" s="343"/>
      <c r="AK1829" s="343"/>
      <c r="AL1829" s="343"/>
      <c r="AM1829" s="343"/>
    </row>
    <row r="1830" spans="1:39" ht="25.5" customHeight="1" x14ac:dyDescent="0.25">
      <c r="A1830" s="694"/>
      <c r="B1830" s="698"/>
      <c r="C1830" s="698"/>
      <c r="D1830" s="698"/>
      <c r="E1830" s="698"/>
      <c r="F1830" s="698"/>
      <c r="G1830" s="698"/>
      <c r="H1830" s="698"/>
      <c r="I1830" s="698"/>
      <c r="J1830" s="698"/>
      <c r="K1830" s="698"/>
      <c r="L1830" s="698"/>
      <c r="M1830" s="698"/>
      <c r="N1830" s="698"/>
      <c r="O1830" s="336"/>
      <c r="P1830" s="336"/>
      <c r="Q1830" s="694"/>
      <c r="R1830" s="694"/>
      <c r="S1830" s="694"/>
      <c r="T1830" s="694"/>
      <c r="U1830" s="694"/>
      <c r="V1830" s="694"/>
      <c r="W1830" s="694"/>
      <c r="X1830" s="694"/>
      <c r="Y1830" s="694"/>
      <c r="Z1830" s="694"/>
      <c r="AA1830" s="694"/>
      <c r="AB1830" s="694"/>
      <c r="AC1830" s="694"/>
      <c r="AD1830" s="694"/>
      <c r="AE1830" s="343"/>
      <c r="AF1830" s="343"/>
      <c r="AG1830" s="343"/>
      <c r="AH1830" s="343"/>
      <c r="AI1830" s="343"/>
      <c r="AJ1830" s="343"/>
      <c r="AK1830" s="343"/>
      <c r="AL1830" s="343"/>
      <c r="AM1830" s="343"/>
    </row>
    <row r="1831" spans="1:39" ht="25.5" hidden="1" customHeight="1" x14ac:dyDescent="0.25">
      <c r="A1831" s="729" t="s">
        <v>312</v>
      </c>
      <c r="B1831" s="698"/>
      <c r="C1831" s="698"/>
      <c r="D1831" s="698"/>
      <c r="E1831" s="698"/>
      <c r="F1831" s="698"/>
      <c r="G1831" s="698"/>
      <c r="H1831" s="698"/>
      <c r="I1831" s="698"/>
      <c r="J1831" s="698"/>
      <c r="K1831" s="698"/>
      <c r="L1831" s="698"/>
      <c r="M1831" s="698"/>
      <c r="N1831" s="698"/>
      <c r="O1831" s="336"/>
      <c r="P1831" s="336"/>
      <c r="Q1831" s="694"/>
      <c r="R1831" s="694"/>
      <c r="S1831" s="694"/>
      <c r="T1831" s="694"/>
      <c r="U1831" s="694"/>
      <c r="V1831" s="694"/>
      <c r="W1831" s="694"/>
      <c r="X1831" s="694"/>
      <c r="Y1831" s="694"/>
      <c r="Z1831" s="694"/>
      <c r="AA1831" s="694"/>
      <c r="AB1831" s="694"/>
      <c r="AC1831" s="694"/>
      <c r="AD1831" s="694"/>
      <c r="AE1831" s="343"/>
      <c r="AF1831" s="343"/>
      <c r="AG1831" s="343"/>
      <c r="AH1831" s="343"/>
      <c r="AI1831" s="343"/>
      <c r="AJ1831" s="343"/>
      <c r="AK1831" s="343"/>
      <c r="AL1831" s="343"/>
      <c r="AM1831" s="343"/>
    </row>
    <row r="1832" spans="1:39" ht="12.75" hidden="1" customHeight="1" x14ac:dyDescent="0.25">
      <c r="A1832" s="729" t="s">
        <v>312</v>
      </c>
      <c r="B1832" s="698"/>
      <c r="C1832" s="698"/>
      <c r="D1832" s="2710" t="str">
        <f>Translations!$B$64</f>
        <v xml:space="preserve">&lt;&lt;&lt; Щракнете тук за да продължите към следващия лист &gt;&gt;&gt; </v>
      </c>
      <c r="E1832" s="2710"/>
      <c r="F1832" s="2710"/>
      <c r="G1832" s="2710"/>
      <c r="H1832" s="2710"/>
      <c r="I1832" s="2710"/>
      <c r="J1832" s="2710"/>
      <c r="K1832" s="2710"/>
      <c r="L1832" s="2710"/>
      <c r="M1832" s="2710"/>
      <c r="N1832" s="2710"/>
      <c r="O1832" s="336"/>
      <c r="P1832" s="336"/>
      <c r="Q1832" s="694"/>
      <c r="R1832" s="694"/>
      <c r="S1832" s="694"/>
      <c r="T1832" s="694"/>
      <c r="U1832" s="694"/>
      <c r="V1832" s="694"/>
      <c r="W1832" s="694"/>
      <c r="X1832" s="694"/>
      <c r="Y1832" s="694"/>
      <c r="Z1832" s="694"/>
      <c r="AA1832" s="694"/>
      <c r="AB1832" s="694"/>
      <c r="AC1832" s="694"/>
      <c r="AD1832" s="694"/>
      <c r="AE1832" s="343"/>
      <c r="AF1832" s="343"/>
      <c r="AG1832" s="343"/>
      <c r="AH1832" s="343"/>
      <c r="AI1832" s="343"/>
      <c r="AJ1832" s="343"/>
      <c r="AK1832" s="343"/>
      <c r="AL1832" s="343"/>
      <c r="AM1832" s="343"/>
    </row>
    <row r="1833" spans="1:39" ht="12.75" hidden="1" customHeight="1" x14ac:dyDescent="0.25">
      <c r="A1833" s="729" t="s">
        <v>312</v>
      </c>
      <c r="B1833" s="698"/>
      <c r="C1833" s="698"/>
      <c r="D1833" s="698"/>
      <c r="E1833" s="698"/>
      <c r="F1833" s="698"/>
      <c r="G1833" s="698"/>
      <c r="H1833" s="698"/>
      <c r="I1833" s="698"/>
      <c r="J1833" s="698"/>
      <c r="K1833" s="698"/>
      <c r="L1833" s="698"/>
      <c r="M1833" s="698"/>
      <c r="N1833" s="698"/>
      <c r="O1833" s="336"/>
      <c r="P1833" s="336"/>
      <c r="Q1833" s="694"/>
      <c r="R1833" s="694"/>
      <c r="S1833" s="694"/>
      <c r="T1833" s="694"/>
      <c r="U1833" s="694"/>
      <c r="V1833" s="694"/>
      <c r="W1833" s="694"/>
      <c r="X1833" s="694"/>
      <c r="Y1833" s="694"/>
      <c r="Z1833" s="694"/>
      <c r="AA1833" s="694"/>
      <c r="AB1833" s="694"/>
      <c r="AC1833" s="694"/>
      <c r="AD1833" s="694"/>
      <c r="AE1833" s="343"/>
      <c r="AF1833" s="343"/>
      <c r="AG1833" s="343"/>
      <c r="AH1833" s="343"/>
      <c r="AI1833" s="343"/>
      <c r="AJ1833" s="343"/>
      <c r="AK1833" s="343"/>
      <c r="AL1833" s="343"/>
      <c r="AM1833" s="343"/>
    </row>
    <row r="1834" spans="1:39" hidden="1" x14ac:dyDescent="0.25">
      <c r="A1834" s="694" t="s">
        <v>312</v>
      </c>
      <c r="B1834" s="694" t="s">
        <v>898</v>
      </c>
      <c r="C1834" s="694" t="s">
        <v>898</v>
      </c>
      <c r="D1834" s="694" t="s">
        <v>898</v>
      </c>
      <c r="E1834" s="694" t="s">
        <v>898</v>
      </c>
      <c r="F1834" s="694" t="s">
        <v>898</v>
      </c>
      <c r="G1834" s="694" t="s">
        <v>898</v>
      </c>
      <c r="H1834" s="694" t="s">
        <v>898</v>
      </c>
      <c r="I1834" s="694" t="s">
        <v>898</v>
      </c>
      <c r="J1834" s="694" t="s">
        <v>898</v>
      </c>
      <c r="K1834" s="694" t="s">
        <v>898</v>
      </c>
      <c r="L1834" s="694" t="s">
        <v>898</v>
      </c>
      <c r="M1834" s="694" t="s">
        <v>898</v>
      </c>
      <c r="N1834" s="694" t="s">
        <v>898</v>
      </c>
      <c r="O1834" s="694" t="s">
        <v>898</v>
      </c>
      <c r="P1834" s="694" t="s">
        <v>898</v>
      </c>
      <c r="Q1834" s="694" t="s">
        <v>898</v>
      </c>
      <c r="R1834" s="694" t="s">
        <v>898</v>
      </c>
      <c r="S1834" s="694" t="s">
        <v>898</v>
      </c>
      <c r="T1834" s="694" t="s">
        <v>898</v>
      </c>
      <c r="U1834" s="694" t="s">
        <v>898</v>
      </c>
      <c r="V1834" s="694" t="s">
        <v>898</v>
      </c>
      <c r="W1834" s="694" t="s">
        <v>898</v>
      </c>
      <c r="X1834" s="694" t="s">
        <v>898</v>
      </c>
      <c r="Y1834" s="694" t="s">
        <v>898</v>
      </c>
      <c r="Z1834" s="694" t="s">
        <v>898</v>
      </c>
      <c r="AA1834" s="694" t="s">
        <v>898</v>
      </c>
      <c r="AB1834" s="694" t="s">
        <v>898</v>
      </c>
      <c r="AC1834" s="694" t="s">
        <v>898</v>
      </c>
      <c r="AD1834" s="694" t="s">
        <v>898</v>
      </c>
      <c r="AE1834" s="694" t="s">
        <v>898</v>
      </c>
      <c r="AF1834" s="694" t="s">
        <v>898</v>
      </c>
      <c r="AG1834" s="694" t="s">
        <v>898</v>
      </c>
      <c r="AH1834" s="694" t="s">
        <v>898</v>
      </c>
      <c r="AI1834" s="694" t="s">
        <v>898</v>
      </c>
      <c r="AJ1834" s="694" t="s">
        <v>898</v>
      </c>
      <c r="AK1834" s="694" t="s">
        <v>898</v>
      </c>
      <c r="AL1834" s="694" t="s">
        <v>898</v>
      </c>
      <c r="AM1834" s="694" t="s">
        <v>898</v>
      </c>
    </row>
    <row r="1835" spans="1:39" hidden="1" x14ac:dyDescent="0.25">
      <c r="A1835" s="694" t="s">
        <v>312</v>
      </c>
      <c r="B1835" s="725"/>
      <c r="C1835" s="725"/>
      <c r="D1835" s="725"/>
      <c r="E1835" s="725"/>
      <c r="F1835" s="725"/>
      <c r="G1835" s="725"/>
      <c r="H1835" s="725"/>
      <c r="I1835" s="725"/>
      <c r="J1835" s="725"/>
      <c r="K1835" s="725"/>
      <c r="L1835" s="725"/>
      <c r="M1835" s="725"/>
      <c r="N1835" s="725"/>
      <c r="O1835" s="725"/>
      <c r="P1835" s="725"/>
      <c r="Q1835" s="694"/>
      <c r="R1835" s="694"/>
      <c r="S1835" s="694"/>
      <c r="T1835" s="694"/>
      <c r="U1835" s="694"/>
      <c r="V1835" s="694"/>
      <c r="W1835" s="694"/>
      <c r="X1835" s="694"/>
      <c r="Y1835" s="694"/>
      <c r="Z1835" s="694"/>
      <c r="AA1835" s="694"/>
      <c r="AB1835" s="694"/>
      <c r="AC1835" s="694"/>
      <c r="AD1835" s="694"/>
      <c r="AE1835" s="343"/>
      <c r="AF1835" s="343"/>
      <c r="AG1835" s="343"/>
      <c r="AH1835" s="343"/>
      <c r="AI1835" s="343"/>
      <c r="AJ1835" s="343"/>
      <c r="AK1835" s="343"/>
      <c r="AL1835" s="343"/>
      <c r="AM1835" s="343"/>
    </row>
    <row r="1836" spans="1:39" ht="13.5" hidden="1" thickBot="1" x14ac:dyDescent="0.3">
      <c r="A1836" s="694" t="s">
        <v>312</v>
      </c>
      <c r="B1836" s="694"/>
      <c r="C1836" s="694"/>
      <c r="D1836" s="1031" t="s">
        <v>899</v>
      </c>
      <c r="E1836" s="694"/>
      <c r="F1836" s="694"/>
      <c r="G1836" s="694"/>
      <c r="H1836" s="694"/>
      <c r="I1836" s="694"/>
      <c r="J1836" s="694"/>
      <c r="K1836" s="694"/>
      <c r="L1836" s="694"/>
      <c r="M1836" s="694"/>
      <c r="N1836" s="694"/>
      <c r="O1836" s="694"/>
      <c r="P1836" s="725"/>
      <c r="Q1836" s="694"/>
      <c r="R1836" s="694"/>
      <c r="S1836" s="694"/>
      <c r="T1836" s="694"/>
      <c r="U1836" s="694"/>
      <c r="V1836" s="694"/>
      <c r="W1836" s="694"/>
      <c r="X1836" s="694"/>
      <c r="Y1836" s="694"/>
      <c r="Z1836" s="694"/>
      <c r="AA1836" s="694"/>
      <c r="AB1836" s="694"/>
      <c r="AC1836" s="694"/>
      <c r="AD1836" s="694"/>
      <c r="AE1836" s="343"/>
      <c r="AF1836" s="343"/>
      <c r="AG1836" s="343"/>
      <c r="AH1836" s="343"/>
      <c r="AI1836" s="343"/>
      <c r="AJ1836" s="343"/>
      <c r="AK1836" s="343"/>
      <c r="AL1836" s="343"/>
      <c r="AM1836" s="343"/>
    </row>
    <row r="1837" spans="1:39" ht="13" hidden="1" x14ac:dyDescent="0.25">
      <c r="A1837" s="694" t="s">
        <v>312</v>
      </c>
      <c r="B1837" s="725"/>
      <c r="C1837" s="725"/>
      <c r="D1837" s="669"/>
      <c r="E1837" s="784" t="s">
        <v>559</v>
      </c>
      <c r="F1837" s="785"/>
      <c r="G1837" s="785"/>
      <c r="H1837" s="785"/>
      <c r="I1837" s="785"/>
      <c r="J1837" s="785"/>
      <c r="K1837" s="785"/>
      <c r="L1837" s="785"/>
      <c r="M1837" s="785"/>
      <c r="N1837" s="786"/>
      <c r="O1837" s="725"/>
      <c r="P1837" s="725"/>
      <c r="Q1837" s="694"/>
      <c r="R1837" s="694"/>
      <c r="S1837" s="694"/>
      <c r="T1837" s="694"/>
      <c r="U1837" s="694"/>
      <c r="V1837" s="694"/>
      <c r="W1837" s="694"/>
      <c r="X1837" s="694"/>
      <c r="Y1837" s="694"/>
      <c r="Z1837" s="694"/>
      <c r="AA1837" s="694"/>
      <c r="AB1837" s="694"/>
      <c r="AC1837" s="694"/>
      <c r="AD1837" s="694"/>
      <c r="AE1837" s="343"/>
      <c r="AF1837" s="343"/>
      <c r="AG1837" s="343"/>
      <c r="AH1837" s="343"/>
      <c r="AI1837" s="343"/>
      <c r="AJ1837" s="343"/>
      <c r="AK1837" s="343"/>
      <c r="AL1837" s="343"/>
      <c r="AM1837" s="343"/>
    </row>
    <row r="1838" spans="1:39" hidden="1" x14ac:dyDescent="0.25">
      <c r="A1838" s="694" t="s">
        <v>312</v>
      </c>
      <c r="B1838" s="725"/>
      <c r="C1838" s="725"/>
      <c r="D1838" s="725"/>
      <c r="E1838" s="787" t="s">
        <v>902</v>
      </c>
      <c r="F1838" s="788"/>
      <c r="G1838" s="788"/>
      <c r="H1838" s="789"/>
      <c r="I1838" s="789"/>
      <c r="J1838" s="789">
        <v>1</v>
      </c>
      <c r="K1838" s="789">
        <v>2</v>
      </c>
      <c r="L1838" s="789">
        <v>3</v>
      </c>
      <c r="M1838" s="789">
        <v>4</v>
      </c>
      <c r="N1838" s="789">
        <v>5</v>
      </c>
      <c r="O1838" s="725"/>
      <c r="P1838" s="725"/>
      <c r="Q1838" s="694"/>
      <c r="R1838" s="694"/>
      <c r="S1838" s="694"/>
      <c r="T1838" s="694"/>
      <c r="U1838" s="694"/>
      <c r="V1838" s="694"/>
      <c r="W1838" s="694"/>
      <c r="X1838" s="694"/>
      <c r="Y1838" s="694"/>
      <c r="Z1838" s="694"/>
      <c r="AA1838" s="694"/>
      <c r="AB1838" s="694"/>
      <c r="AC1838" s="694"/>
      <c r="AD1838" s="694"/>
      <c r="AE1838" s="343"/>
      <c r="AF1838" s="343"/>
      <c r="AG1838" s="343"/>
      <c r="AH1838" s="343"/>
      <c r="AI1838" s="343"/>
      <c r="AJ1838" s="343"/>
      <c r="AK1838" s="343"/>
      <c r="AL1838" s="343"/>
      <c r="AM1838" s="343"/>
    </row>
    <row r="1839" spans="1:39" hidden="1" x14ac:dyDescent="0.25">
      <c r="A1839" s="694" t="s">
        <v>312</v>
      </c>
      <c r="B1839" s="725"/>
      <c r="C1839" s="725"/>
      <c r="D1839" s="725"/>
      <c r="E1839" s="791" t="s">
        <v>1163</v>
      </c>
      <c r="F1839" s="788"/>
      <c r="G1839" s="788"/>
      <c r="H1839" s="789">
        <f>A_InstallationData!H411</f>
        <v>2019</v>
      </c>
      <c r="I1839" s="789">
        <f>A_InstallationData!I411</f>
        <v>2020</v>
      </c>
      <c r="J1839" s="789">
        <f>A_InstallationData!J411</f>
        <v>2021</v>
      </c>
      <c r="K1839" s="789">
        <f>A_InstallationData!K411</f>
        <v>2022</v>
      </c>
      <c r="L1839" s="789">
        <f>A_InstallationData!L411</f>
        <v>2023</v>
      </c>
      <c r="M1839" s="789">
        <f>A_InstallationData!M411</f>
        <v>2024</v>
      </c>
      <c r="N1839" s="789">
        <f>A_InstallationData!N411</f>
        <v>2025</v>
      </c>
      <c r="O1839" s="725"/>
      <c r="P1839" s="725"/>
      <c r="Q1839" s="694"/>
      <c r="R1839" s="694"/>
      <c r="S1839" s="694"/>
      <c r="T1839" s="694"/>
      <c r="U1839" s="694"/>
      <c r="V1839" s="694"/>
      <c r="W1839" s="694"/>
      <c r="X1839" s="694"/>
      <c r="Y1839" s="694"/>
      <c r="Z1839" s="694"/>
      <c r="AA1839" s="694"/>
      <c r="AB1839" s="694"/>
      <c r="AC1839" s="694"/>
      <c r="AD1839" s="694"/>
      <c r="AE1839" s="343"/>
      <c r="AF1839" s="343"/>
      <c r="AG1839" s="343"/>
      <c r="AH1839" s="343"/>
      <c r="AI1839" s="343"/>
      <c r="AJ1839" s="343"/>
      <c r="AK1839" s="343"/>
      <c r="AL1839" s="343"/>
      <c r="AM1839" s="343"/>
    </row>
    <row r="1840" spans="1:39" hidden="1" x14ac:dyDescent="0.25">
      <c r="A1840" s="694" t="s">
        <v>312</v>
      </c>
      <c r="B1840" s="725"/>
      <c r="C1840" s="725"/>
      <c r="D1840" s="725"/>
      <c r="E1840" s="791" t="s">
        <v>1162</v>
      </c>
      <c r="F1840" s="792"/>
      <c r="G1840" s="792"/>
      <c r="H1840" s="793">
        <f>A_InstallationData!H412</f>
        <v>2024</v>
      </c>
      <c r="I1840" s="793">
        <f>A_InstallationData!I412</f>
        <v>2025</v>
      </c>
      <c r="J1840" s="793">
        <f>A_InstallationData!J412</f>
        <v>2026</v>
      </c>
      <c r="K1840" s="793">
        <f>A_InstallationData!K412</f>
        <v>2027</v>
      </c>
      <c r="L1840" s="793">
        <f>A_InstallationData!L412</f>
        <v>2028</v>
      </c>
      <c r="M1840" s="793">
        <f>A_InstallationData!M412</f>
        <v>2029</v>
      </c>
      <c r="N1840" s="793">
        <f>A_InstallationData!N412</f>
        <v>2030</v>
      </c>
      <c r="O1840" s="725"/>
      <c r="P1840" s="725"/>
      <c r="Q1840" s="694"/>
      <c r="R1840" s="694"/>
      <c r="S1840" s="694"/>
      <c r="T1840" s="694"/>
      <c r="U1840" s="694"/>
      <c r="V1840" s="694"/>
      <c r="W1840" s="694"/>
      <c r="X1840" s="694"/>
      <c r="Y1840" s="694"/>
      <c r="Z1840" s="694"/>
      <c r="AA1840" s="694"/>
      <c r="AB1840" s="694"/>
      <c r="AC1840" s="694"/>
      <c r="AD1840" s="694"/>
      <c r="AE1840" s="343"/>
      <c r="AF1840" s="343"/>
      <c r="AG1840" s="343"/>
      <c r="AH1840" s="343"/>
      <c r="AI1840" s="343"/>
      <c r="AJ1840" s="343"/>
      <c r="AK1840" s="343"/>
      <c r="AL1840" s="343"/>
      <c r="AM1840" s="343"/>
    </row>
    <row r="1841" spans="1:39" hidden="1" x14ac:dyDescent="0.25">
      <c r="A1841" s="694" t="s">
        <v>312</v>
      </c>
      <c r="B1841" s="725"/>
      <c r="C1841" s="725"/>
      <c r="D1841" s="725"/>
      <c r="E1841" s="791" t="s">
        <v>558</v>
      </c>
      <c r="F1841" s="792"/>
      <c r="G1841" s="792"/>
      <c r="H1841" s="793"/>
      <c r="I1841" s="793"/>
      <c r="J1841" s="793"/>
      <c r="K1841" s="793"/>
      <c r="L1841" s="793"/>
      <c r="M1841" s="793"/>
      <c r="N1841" s="793"/>
      <c r="O1841" s="725"/>
      <c r="P1841" s="725"/>
      <c r="Q1841" s="694"/>
      <c r="R1841" s="694"/>
      <c r="S1841" s="694"/>
      <c r="T1841" s="694"/>
      <c r="U1841" s="694"/>
      <c r="V1841" s="694"/>
      <c r="W1841" s="694"/>
      <c r="X1841" s="694"/>
      <c r="Y1841" s="694"/>
      <c r="Z1841" s="694"/>
      <c r="AA1841" s="694"/>
      <c r="AB1841" s="694"/>
      <c r="AC1841" s="694"/>
      <c r="AD1841" s="694"/>
      <c r="AE1841" s="343"/>
      <c r="AF1841" s="343"/>
      <c r="AG1841" s="343"/>
      <c r="AH1841" s="343"/>
      <c r="AI1841" s="343"/>
      <c r="AJ1841" s="343"/>
      <c r="AK1841" s="343"/>
      <c r="AL1841" s="343"/>
      <c r="AM1841" s="343"/>
    </row>
    <row r="1842" spans="1:39" hidden="1" x14ac:dyDescent="0.25">
      <c r="A1842" s="694" t="s">
        <v>312</v>
      </c>
      <c r="B1842" s="725"/>
      <c r="C1842" s="725"/>
      <c r="D1842" s="725"/>
      <c r="E1842" s="791" t="s">
        <v>556</v>
      </c>
      <c r="F1842" s="792"/>
      <c r="G1842" s="792"/>
      <c r="H1842" s="792"/>
      <c r="I1842" s="792"/>
      <c r="J1842" s="792"/>
      <c r="K1842" s="792"/>
      <c r="L1842" s="792"/>
      <c r="M1842" s="792"/>
      <c r="N1842" s="792"/>
      <c r="O1842" s="725"/>
      <c r="P1842" s="725"/>
      <c r="Q1842" s="694"/>
      <c r="R1842" s="694"/>
      <c r="S1842" s="694"/>
      <c r="T1842" s="694"/>
      <c r="U1842" s="694"/>
      <c r="V1842" s="694"/>
      <c r="W1842" s="694"/>
      <c r="X1842" s="694"/>
      <c r="Y1842" s="694"/>
      <c r="Z1842" s="694"/>
      <c r="AA1842" s="694"/>
      <c r="AB1842" s="694"/>
      <c r="AC1842" s="694"/>
      <c r="AD1842" s="694"/>
      <c r="AE1842" s="343"/>
      <c r="AF1842" s="343"/>
      <c r="AG1842" s="343"/>
      <c r="AH1842" s="343"/>
      <c r="AI1842" s="343"/>
      <c r="AJ1842" s="343"/>
      <c r="AK1842" s="343"/>
      <c r="AL1842" s="343"/>
      <c r="AM1842" s="343"/>
    </row>
    <row r="1843" spans="1:39" ht="13" hidden="1" thickBot="1" x14ac:dyDescent="0.3">
      <c r="A1843" s="694" t="s">
        <v>312</v>
      </c>
      <c r="B1843" s="725"/>
      <c r="C1843" s="725"/>
      <c r="D1843" s="725"/>
      <c r="E1843" s="797" t="s">
        <v>557</v>
      </c>
      <c r="F1843" s="798"/>
      <c r="G1843" s="798"/>
      <c r="H1843" s="798"/>
      <c r="I1843" s="798"/>
      <c r="J1843" s="798"/>
      <c r="K1843" s="798"/>
      <c r="L1843" s="798"/>
      <c r="M1843" s="798"/>
      <c r="N1843" s="798"/>
      <c r="O1843" s="725"/>
      <c r="P1843" s="725"/>
      <c r="Q1843" s="694"/>
      <c r="R1843" s="694"/>
      <c r="S1843" s="694"/>
      <c r="T1843" s="694"/>
      <c r="U1843" s="694"/>
      <c r="V1843" s="694"/>
      <c r="W1843" s="694"/>
      <c r="X1843" s="694"/>
      <c r="Y1843" s="694"/>
      <c r="Z1843" s="694"/>
      <c r="AA1843" s="694"/>
      <c r="AB1843" s="694"/>
      <c r="AC1843" s="694"/>
      <c r="AD1843" s="694"/>
      <c r="AE1843" s="343"/>
      <c r="AF1843" s="343"/>
      <c r="AG1843" s="343"/>
      <c r="AH1843" s="343"/>
      <c r="AI1843" s="343"/>
      <c r="AJ1843" s="343"/>
      <c r="AK1843" s="343"/>
      <c r="AL1843" s="343"/>
      <c r="AM1843" s="343"/>
    </row>
    <row r="1844" spans="1:39" hidden="1" x14ac:dyDescent="0.25">
      <c r="A1844" s="694" t="s">
        <v>312</v>
      </c>
      <c r="B1844" s="725"/>
      <c r="C1844" s="725"/>
      <c r="D1844" s="725"/>
      <c r="E1844" s="725"/>
      <c r="F1844" s="725"/>
      <c r="G1844" s="725"/>
      <c r="H1844" s="725"/>
      <c r="I1844" s="725"/>
      <c r="J1844" s="725"/>
      <c r="K1844" s="725"/>
      <c r="L1844" s="725"/>
      <c r="M1844" s="725"/>
      <c r="N1844" s="725"/>
      <c r="O1844" s="725"/>
      <c r="P1844" s="725"/>
      <c r="Q1844" s="694"/>
      <c r="R1844" s="694"/>
      <c r="S1844" s="694"/>
      <c r="T1844" s="694"/>
      <c r="U1844" s="694"/>
      <c r="V1844" s="694"/>
      <c r="W1844" s="694"/>
      <c r="X1844" s="694"/>
      <c r="Y1844" s="694"/>
      <c r="Z1844" s="694"/>
      <c r="AA1844" s="694"/>
      <c r="AB1844" s="694"/>
      <c r="AC1844" s="694"/>
      <c r="AD1844" s="694"/>
      <c r="AE1844" s="343"/>
      <c r="AF1844" s="343"/>
      <c r="AG1844" s="343"/>
      <c r="AH1844" s="343"/>
      <c r="AI1844" s="343"/>
      <c r="AJ1844" s="343"/>
      <c r="AK1844" s="343"/>
      <c r="AL1844" s="343"/>
      <c r="AM1844" s="343"/>
    </row>
    <row r="1845" spans="1:39" hidden="1" x14ac:dyDescent="0.25">
      <c r="A1845" s="694" t="s">
        <v>312</v>
      </c>
      <c r="B1845" s="725"/>
      <c r="C1845" s="725"/>
      <c r="D1845" s="725"/>
      <c r="E1845" s="725"/>
      <c r="F1845" s="725"/>
      <c r="G1845" s="725"/>
      <c r="H1845" s="725"/>
      <c r="I1845" s="725"/>
      <c r="J1845" s="725"/>
      <c r="K1845" s="725"/>
      <c r="L1845" s="725"/>
      <c r="M1845" s="725"/>
      <c r="N1845" s="725"/>
      <c r="O1845" s="725"/>
      <c r="P1845" s="725"/>
      <c r="Q1845" s="694"/>
      <c r="R1845" s="694"/>
      <c r="S1845" s="694"/>
      <c r="T1845" s="694"/>
      <c r="U1845" s="694"/>
      <c r="V1845" s="694"/>
      <c r="W1845" s="694"/>
      <c r="X1845" s="694"/>
      <c r="Y1845" s="694"/>
      <c r="Z1845" s="694"/>
      <c r="AA1845" s="694"/>
      <c r="AB1845" s="694"/>
      <c r="AC1845" s="694"/>
      <c r="AD1845" s="694"/>
      <c r="AE1845" s="343"/>
      <c r="AF1845" s="343"/>
      <c r="AG1845" s="343"/>
      <c r="AH1845" s="343"/>
      <c r="AI1845" s="343"/>
      <c r="AJ1845" s="343"/>
      <c r="AK1845" s="343"/>
      <c r="AL1845" s="343"/>
      <c r="AM1845" s="343"/>
    </row>
    <row r="1846" spans="1:39" hidden="1" x14ac:dyDescent="0.25">
      <c r="A1846" s="694" t="s">
        <v>312</v>
      </c>
      <c r="B1846" s="725"/>
      <c r="C1846" s="725"/>
      <c r="D1846" s="725"/>
      <c r="E1846" s="725" t="s">
        <v>818</v>
      </c>
      <c r="F1846" s="725"/>
      <c r="G1846" s="725"/>
      <c r="H1846" s="725"/>
      <c r="I1846" s="725"/>
      <c r="J1846" s="725"/>
      <c r="K1846" s="725"/>
      <c r="L1846" s="725"/>
      <c r="M1846" s="725"/>
      <c r="N1846" s="725"/>
      <c r="O1846" s="725"/>
      <c r="P1846" s="725"/>
      <c r="Q1846" s="694"/>
      <c r="R1846" s="694"/>
      <c r="S1846" s="694"/>
      <c r="T1846" s="694"/>
      <c r="U1846" s="694"/>
      <c r="V1846" s="694"/>
      <c r="W1846" s="694"/>
      <c r="X1846" s="694"/>
      <c r="Y1846" s="694"/>
      <c r="Z1846" s="694"/>
      <c r="AA1846" s="694"/>
      <c r="AB1846" s="694"/>
      <c r="AC1846" s="694"/>
      <c r="AD1846" s="694"/>
      <c r="AE1846" s="343"/>
      <c r="AF1846" s="343"/>
      <c r="AG1846" s="343"/>
      <c r="AH1846" s="343"/>
      <c r="AI1846" s="343"/>
      <c r="AJ1846" s="343"/>
      <c r="AK1846" s="343"/>
      <c r="AL1846" s="343"/>
      <c r="AM1846" s="343"/>
    </row>
    <row r="1847" spans="1:39" hidden="1" x14ac:dyDescent="0.25">
      <c r="A1847" s="694" t="s">
        <v>312</v>
      </c>
      <c r="B1847" s="725"/>
      <c r="C1847" s="725"/>
      <c r="D1847" s="725"/>
      <c r="E1847" s="725"/>
      <c r="F1847" s="725" t="s">
        <v>399</v>
      </c>
      <c r="G1847" s="830" t="b">
        <f t="shared" ref="G1847:G1856" si="2618">(COUNTIF($AL$12:$AL$1834,EUconst_Error&amp;F1847)&gt;0)</f>
        <v>0</v>
      </c>
      <c r="H1847" s="725"/>
      <c r="I1847" s="725"/>
      <c r="J1847" s="725"/>
      <c r="K1847" s="725"/>
      <c r="L1847" s="725"/>
      <c r="M1847" s="725"/>
      <c r="N1847" s="725"/>
      <c r="O1847" s="725"/>
      <c r="P1847" s="725"/>
      <c r="Q1847" s="694"/>
      <c r="R1847" s="694"/>
      <c r="S1847" s="694"/>
      <c r="T1847" s="694"/>
      <c r="U1847" s="694"/>
      <c r="V1847" s="694"/>
      <c r="W1847" s="694"/>
      <c r="X1847" s="694"/>
      <c r="Y1847" s="694"/>
      <c r="Z1847" s="694"/>
      <c r="AA1847" s="694"/>
      <c r="AB1847" s="694"/>
      <c r="AC1847" s="694"/>
      <c r="AD1847" s="694"/>
      <c r="AE1847" s="343"/>
      <c r="AF1847" s="343"/>
      <c r="AG1847" s="343"/>
      <c r="AH1847" s="343"/>
      <c r="AI1847" s="343"/>
      <c r="AJ1847" s="343"/>
      <c r="AK1847" s="343"/>
      <c r="AL1847" s="343"/>
      <c r="AM1847" s="343"/>
    </row>
    <row r="1848" spans="1:39" hidden="1" x14ac:dyDescent="0.25">
      <c r="A1848" s="694" t="s">
        <v>312</v>
      </c>
      <c r="B1848" s="725"/>
      <c r="C1848" s="725"/>
      <c r="D1848" s="725"/>
      <c r="E1848" s="725"/>
      <c r="F1848" s="725" t="s">
        <v>400</v>
      </c>
      <c r="G1848" s="830" t="b">
        <f t="shared" si="2618"/>
        <v>0</v>
      </c>
      <c r="H1848" s="725"/>
      <c r="I1848" s="725"/>
      <c r="J1848" s="725"/>
      <c r="K1848" s="725"/>
      <c r="L1848" s="725"/>
      <c r="M1848" s="725"/>
      <c r="N1848" s="725"/>
      <c r="O1848" s="725"/>
      <c r="P1848" s="725"/>
      <c r="Q1848" s="694"/>
      <c r="R1848" s="694"/>
      <c r="S1848" s="694"/>
      <c r="T1848" s="694"/>
      <c r="U1848" s="694"/>
      <c r="V1848" s="694"/>
      <c r="W1848" s="694"/>
      <c r="X1848" s="694"/>
      <c r="Y1848" s="694"/>
      <c r="Z1848" s="694"/>
      <c r="AA1848" s="694"/>
      <c r="AB1848" s="694"/>
      <c r="AC1848" s="694"/>
      <c r="AD1848" s="694"/>
      <c r="AE1848" s="343"/>
      <c r="AF1848" s="343"/>
      <c r="AG1848" s="343"/>
      <c r="AH1848" s="343"/>
      <c r="AI1848" s="343"/>
      <c r="AJ1848" s="343"/>
      <c r="AK1848" s="343"/>
      <c r="AL1848" s="343"/>
      <c r="AM1848" s="343"/>
    </row>
    <row r="1849" spans="1:39" hidden="1" x14ac:dyDescent="0.25">
      <c r="A1849" s="694" t="s">
        <v>312</v>
      </c>
      <c r="B1849" s="725"/>
      <c r="C1849" s="725"/>
      <c r="D1849" s="725"/>
      <c r="E1849" s="725"/>
      <c r="F1849" s="725" t="s">
        <v>401</v>
      </c>
      <c r="G1849" s="830" t="b">
        <f t="shared" si="2618"/>
        <v>0</v>
      </c>
      <c r="H1849" s="725"/>
      <c r="I1849" s="725"/>
      <c r="J1849" s="725"/>
      <c r="K1849" s="725"/>
      <c r="L1849" s="725"/>
      <c r="M1849" s="725"/>
      <c r="N1849" s="725"/>
      <c r="O1849" s="725"/>
      <c r="P1849" s="725"/>
      <c r="Q1849" s="694"/>
      <c r="R1849" s="694"/>
      <c r="S1849" s="694"/>
      <c r="T1849" s="694"/>
      <c r="U1849" s="694"/>
      <c r="V1849" s="694"/>
      <c r="W1849" s="694"/>
      <c r="X1849" s="694"/>
      <c r="Y1849" s="694"/>
      <c r="Z1849" s="694"/>
      <c r="AA1849" s="694"/>
      <c r="AB1849" s="694"/>
      <c r="AC1849" s="694"/>
      <c r="AD1849" s="694"/>
      <c r="AE1849" s="343"/>
      <c r="AF1849" s="343"/>
      <c r="AG1849" s="343"/>
      <c r="AH1849" s="343"/>
      <c r="AI1849" s="343"/>
      <c r="AJ1849" s="343"/>
      <c r="AK1849" s="343"/>
      <c r="AL1849" s="343"/>
      <c r="AM1849" s="343"/>
    </row>
    <row r="1850" spans="1:39" hidden="1" x14ac:dyDescent="0.25">
      <c r="A1850" s="694" t="s">
        <v>312</v>
      </c>
      <c r="B1850" s="725"/>
      <c r="C1850" s="725"/>
      <c r="D1850" s="725"/>
      <c r="E1850" s="725"/>
      <c r="F1850" s="725" t="s">
        <v>402</v>
      </c>
      <c r="G1850" s="830" t="b">
        <f t="shared" si="2618"/>
        <v>0</v>
      </c>
      <c r="H1850" s="725"/>
      <c r="I1850" s="725"/>
      <c r="J1850" s="725"/>
      <c r="K1850" s="725"/>
      <c r="L1850" s="725"/>
      <c r="M1850" s="725"/>
      <c r="N1850" s="725"/>
      <c r="O1850" s="725"/>
      <c r="P1850" s="725"/>
      <c r="Q1850" s="694"/>
      <c r="R1850" s="694"/>
      <c r="S1850" s="694"/>
      <c r="T1850" s="694"/>
      <c r="U1850" s="694"/>
      <c r="V1850" s="694"/>
      <c r="W1850" s="694"/>
      <c r="X1850" s="694"/>
      <c r="Y1850" s="694"/>
      <c r="Z1850" s="694"/>
      <c r="AA1850" s="694"/>
      <c r="AB1850" s="694"/>
      <c r="AC1850" s="694"/>
      <c r="AD1850" s="694"/>
      <c r="AE1850" s="343"/>
      <c r="AF1850" s="343"/>
      <c r="AG1850" s="343"/>
      <c r="AH1850" s="343"/>
      <c r="AI1850" s="343"/>
      <c r="AJ1850" s="343"/>
      <c r="AK1850" s="343"/>
      <c r="AL1850" s="343"/>
      <c r="AM1850" s="343"/>
    </row>
    <row r="1851" spans="1:39" hidden="1" x14ac:dyDescent="0.25">
      <c r="A1851" s="694" t="s">
        <v>312</v>
      </c>
      <c r="B1851" s="725"/>
      <c r="C1851" s="725"/>
      <c r="D1851" s="725"/>
      <c r="E1851" s="725"/>
      <c r="F1851" s="725" t="s">
        <v>403</v>
      </c>
      <c r="G1851" s="830" t="b">
        <f t="shared" si="2618"/>
        <v>0</v>
      </c>
      <c r="H1851" s="725"/>
      <c r="I1851" s="725"/>
      <c r="J1851" s="725"/>
      <c r="K1851" s="725"/>
      <c r="L1851" s="725"/>
      <c r="M1851" s="725"/>
      <c r="N1851" s="725"/>
      <c r="O1851" s="725"/>
      <c r="P1851" s="725"/>
      <c r="Q1851" s="694"/>
      <c r="R1851" s="694"/>
      <c r="S1851" s="694"/>
      <c r="T1851" s="694"/>
      <c r="U1851" s="694"/>
      <c r="V1851" s="694"/>
      <c r="W1851" s="694"/>
      <c r="X1851" s="694"/>
      <c r="Y1851" s="694"/>
      <c r="Z1851" s="694"/>
      <c r="AA1851" s="694"/>
      <c r="AB1851" s="694"/>
      <c r="AC1851" s="694"/>
      <c r="AD1851" s="694"/>
      <c r="AE1851" s="343"/>
      <c r="AF1851" s="343"/>
      <c r="AG1851" s="343"/>
      <c r="AH1851" s="343"/>
      <c r="AI1851" s="343"/>
      <c r="AJ1851" s="343"/>
      <c r="AK1851" s="343"/>
      <c r="AL1851" s="343"/>
      <c r="AM1851" s="343"/>
    </row>
    <row r="1852" spans="1:39" hidden="1" x14ac:dyDescent="0.25">
      <c r="A1852" s="694" t="s">
        <v>312</v>
      </c>
      <c r="B1852" s="725"/>
      <c r="C1852" s="725"/>
      <c r="D1852" s="725"/>
      <c r="E1852" s="725"/>
      <c r="F1852" s="725" t="s">
        <v>404</v>
      </c>
      <c r="G1852" s="830" t="b">
        <f t="shared" si="2618"/>
        <v>0</v>
      </c>
      <c r="H1852" s="725"/>
      <c r="I1852" s="725"/>
      <c r="J1852" s="725"/>
      <c r="K1852" s="725"/>
      <c r="L1852" s="725"/>
      <c r="M1852" s="725"/>
      <c r="N1852" s="725"/>
      <c r="O1852" s="725"/>
      <c r="P1852" s="725"/>
      <c r="Q1852" s="694"/>
      <c r="R1852" s="694"/>
      <c r="S1852" s="694"/>
      <c r="T1852" s="694"/>
      <c r="U1852" s="694"/>
      <c r="V1852" s="694"/>
      <c r="W1852" s="694"/>
      <c r="X1852" s="694"/>
      <c r="Y1852" s="694"/>
      <c r="Z1852" s="694"/>
      <c r="AA1852" s="694"/>
      <c r="AB1852" s="694"/>
      <c r="AC1852" s="694"/>
      <c r="AD1852" s="694"/>
      <c r="AE1852" s="343"/>
      <c r="AF1852" s="343"/>
      <c r="AG1852" s="343"/>
      <c r="AH1852" s="343"/>
      <c r="AI1852" s="343"/>
      <c r="AJ1852" s="343"/>
      <c r="AK1852" s="343"/>
      <c r="AL1852" s="343"/>
      <c r="AM1852" s="343"/>
    </row>
    <row r="1853" spans="1:39" hidden="1" x14ac:dyDescent="0.25">
      <c r="A1853" s="694" t="s">
        <v>312</v>
      </c>
      <c r="B1853" s="725"/>
      <c r="C1853" s="725"/>
      <c r="D1853" s="725"/>
      <c r="E1853" s="725"/>
      <c r="F1853" s="725" t="s">
        <v>1279</v>
      </c>
      <c r="G1853" s="830" t="b">
        <f t="shared" si="2618"/>
        <v>0</v>
      </c>
      <c r="H1853" s="725"/>
      <c r="I1853" s="725"/>
      <c r="J1853" s="725"/>
      <c r="K1853" s="725"/>
      <c r="L1853" s="725"/>
      <c r="M1853" s="725"/>
      <c r="N1853" s="725"/>
      <c r="O1853" s="725"/>
      <c r="P1853" s="725"/>
      <c r="Q1853" s="694"/>
      <c r="R1853" s="694"/>
      <c r="S1853" s="694"/>
      <c r="T1853" s="694"/>
      <c r="U1853" s="694"/>
      <c r="V1853" s="694"/>
      <c r="W1853" s="694"/>
      <c r="X1853" s="694"/>
      <c r="Y1853" s="694"/>
      <c r="Z1853" s="694"/>
      <c r="AA1853" s="694"/>
      <c r="AB1853" s="694"/>
      <c r="AC1853" s="694"/>
      <c r="AD1853" s="694"/>
      <c r="AE1853" s="343"/>
      <c r="AF1853" s="343"/>
      <c r="AG1853" s="343"/>
      <c r="AH1853" s="343"/>
      <c r="AI1853" s="343"/>
      <c r="AJ1853" s="343"/>
      <c r="AK1853" s="343"/>
      <c r="AL1853" s="343"/>
      <c r="AM1853" s="343"/>
    </row>
    <row r="1854" spans="1:39" hidden="1" x14ac:dyDescent="0.25">
      <c r="A1854" s="694" t="s">
        <v>312</v>
      </c>
      <c r="B1854" s="725"/>
      <c r="C1854" s="725"/>
      <c r="D1854" s="725"/>
      <c r="E1854" s="725"/>
      <c r="F1854" s="725" t="s">
        <v>2318</v>
      </c>
      <c r="G1854" s="830" t="b">
        <f t="shared" si="2618"/>
        <v>0</v>
      </c>
      <c r="H1854" s="725"/>
      <c r="I1854" s="725"/>
      <c r="J1854" s="725"/>
      <c r="K1854" s="725"/>
      <c r="L1854" s="725"/>
      <c r="M1854" s="725"/>
      <c r="N1854" s="725"/>
      <c r="O1854" s="725"/>
      <c r="P1854" s="725"/>
      <c r="Q1854" s="694"/>
      <c r="R1854" s="694"/>
      <c r="S1854" s="694"/>
      <c r="T1854" s="694"/>
      <c r="U1854" s="694"/>
      <c r="V1854" s="694"/>
      <c r="W1854" s="694"/>
      <c r="X1854" s="694"/>
      <c r="Y1854" s="694"/>
      <c r="Z1854" s="694"/>
      <c r="AA1854" s="694"/>
      <c r="AB1854" s="694"/>
      <c r="AC1854" s="694"/>
      <c r="AD1854" s="694"/>
      <c r="AE1854" s="343"/>
      <c r="AF1854" s="343"/>
      <c r="AG1854" s="343"/>
      <c r="AH1854" s="343"/>
      <c r="AI1854" s="343"/>
      <c r="AJ1854" s="343"/>
      <c r="AK1854" s="343"/>
      <c r="AL1854" s="343"/>
      <c r="AM1854" s="343"/>
    </row>
    <row r="1855" spans="1:39" hidden="1" x14ac:dyDescent="0.25">
      <c r="A1855" s="694" t="s">
        <v>312</v>
      </c>
      <c r="B1855" s="725"/>
      <c r="C1855" s="725"/>
      <c r="D1855" s="725"/>
      <c r="E1855" s="725"/>
      <c r="F1855" s="725" t="s">
        <v>2319</v>
      </c>
      <c r="G1855" s="830" t="b">
        <f t="shared" si="2618"/>
        <v>0</v>
      </c>
      <c r="H1855" s="725"/>
      <c r="I1855" s="725"/>
      <c r="J1855" s="725"/>
      <c r="K1855" s="725"/>
      <c r="L1855" s="725"/>
      <c r="M1855" s="725"/>
      <c r="N1855" s="725"/>
      <c r="O1855" s="725"/>
      <c r="P1855" s="725"/>
      <c r="Q1855" s="694"/>
      <c r="R1855" s="694"/>
      <c r="S1855" s="694"/>
      <c r="T1855" s="694"/>
      <c r="U1855" s="694"/>
      <c r="V1855" s="694"/>
      <c r="W1855" s="694"/>
      <c r="X1855" s="694"/>
      <c r="Y1855" s="694"/>
      <c r="Z1855" s="694"/>
      <c r="AA1855" s="694"/>
      <c r="AB1855" s="694"/>
      <c r="AC1855" s="694"/>
      <c r="AD1855" s="694"/>
      <c r="AE1855" s="343"/>
      <c r="AF1855" s="343"/>
      <c r="AG1855" s="343"/>
      <c r="AH1855" s="343"/>
      <c r="AI1855" s="343"/>
      <c r="AJ1855" s="343"/>
      <c r="AK1855" s="343"/>
      <c r="AL1855" s="343"/>
      <c r="AM1855" s="343"/>
    </row>
    <row r="1856" spans="1:39" ht="13" hidden="1" thickBot="1" x14ac:dyDescent="0.3">
      <c r="A1856" s="694" t="s">
        <v>312</v>
      </c>
      <c r="B1856" s="725"/>
      <c r="C1856" s="725"/>
      <c r="D1856" s="725"/>
      <c r="E1856" s="725"/>
      <c r="F1856" s="725" t="s">
        <v>2320</v>
      </c>
      <c r="G1856" s="830" t="b">
        <f t="shared" si="2618"/>
        <v>0</v>
      </c>
      <c r="H1856" s="725"/>
      <c r="I1856" s="725"/>
      <c r="J1856" s="725"/>
      <c r="K1856" s="725"/>
      <c r="L1856" s="725"/>
      <c r="M1856" s="725"/>
      <c r="N1856" s="725"/>
      <c r="O1856" s="725"/>
      <c r="P1856" s="725"/>
      <c r="Q1856" s="694"/>
      <c r="R1856" s="694"/>
      <c r="S1856" s="694"/>
      <c r="T1856" s="694"/>
      <c r="U1856" s="694"/>
      <c r="V1856" s="694"/>
      <c r="W1856" s="694"/>
      <c r="X1856" s="694"/>
      <c r="Y1856" s="694"/>
      <c r="Z1856" s="694"/>
      <c r="AA1856" s="694"/>
      <c r="AB1856" s="694"/>
      <c r="AC1856" s="694"/>
      <c r="AD1856" s="694"/>
      <c r="AE1856" s="343"/>
      <c r="AF1856" s="343"/>
      <c r="AG1856" s="343"/>
      <c r="AH1856" s="343"/>
      <c r="AI1856" s="343"/>
      <c r="AJ1856" s="343"/>
      <c r="AK1856" s="343"/>
      <c r="AL1856" s="343"/>
      <c r="AM1856" s="343"/>
    </row>
    <row r="1857" spans="1:39" ht="13.5" hidden="1" thickBot="1" x14ac:dyDescent="0.3">
      <c r="A1857" s="694" t="s">
        <v>312</v>
      </c>
      <c r="B1857" s="725"/>
      <c r="C1857" s="725"/>
      <c r="D1857" s="725"/>
      <c r="E1857" s="725"/>
      <c r="F1857" s="669" t="s">
        <v>819</v>
      </c>
      <c r="G1857" s="384" t="b">
        <f>OR(G1847:G1856)</f>
        <v>0</v>
      </c>
      <c r="H1857" s="725"/>
      <c r="I1857" s="725"/>
      <c r="J1857" s="725"/>
      <c r="K1857" s="725"/>
      <c r="L1857" s="725"/>
      <c r="M1857" s="725"/>
      <c r="N1857" s="725"/>
      <c r="O1857" s="725"/>
      <c r="P1857" s="725"/>
      <c r="Q1857" s="694"/>
      <c r="R1857" s="694"/>
      <c r="S1857" s="694"/>
      <c r="T1857" s="694"/>
      <c r="U1857" s="694"/>
      <c r="V1857" s="694"/>
      <c r="W1857" s="694"/>
      <c r="X1857" s="694"/>
      <c r="Y1857" s="694"/>
      <c r="Z1857" s="694"/>
      <c r="AA1857" s="694"/>
      <c r="AB1857" s="694"/>
      <c r="AC1857" s="694"/>
      <c r="AD1857" s="694"/>
      <c r="AE1857" s="343"/>
      <c r="AF1857" s="343"/>
      <c r="AG1857" s="343"/>
      <c r="AH1857" s="343"/>
      <c r="AI1857" s="343"/>
      <c r="AJ1857" s="343"/>
      <c r="AK1857" s="343"/>
      <c r="AL1857" s="343"/>
      <c r="AM1857" s="343"/>
    </row>
    <row r="1858" spans="1:39" hidden="1" x14ac:dyDescent="0.25">
      <c r="A1858" s="694" t="s">
        <v>312</v>
      </c>
      <c r="B1858" s="725"/>
      <c r="C1858" s="725"/>
      <c r="D1858" s="725"/>
      <c r="E1858" s="725"/>
      <c r="F1858" s="725"/>
      <c r="G1858" s="725"/>
      <c r="H1858" s="725"/>
      <c r="I1858" s="725"/>
      <c r="J1858" s="725"/>
      <c r="K1858" s="725"/>
      <c r="L1858" s="725"/>
      <c r="M1858" s="725"/>
      <c r="N1858" s="725"/>
      <c r="O1858" s="725"/>
      <c r="P1858" s="725"/>
      <c r="Q1858" s="694"/>
      <c r="R1858" s="694"/>
      <c r="S1858" s="694"/>
      <c r="T1858" s="694"/>
      <c r="U1858" s="694"/>
      <c r="V1858" s="694"/>
      <c r="W1858" s="694"/>
      <c r="X1858" s="694"/>
      <c r="Y1858" s="694"/>
      <c r="Z1858" s="694"/>
      <c r="AA1858" s="694"/>
      <c r="AB1858" s="694"/>
      <c r="AC1858" s="694"/>
      <c r="AD1858" s="694"/>
      <c r="AE1858" s="343"/>
      <c r="AF1858" s="343"/>
      <c r="AG1858" s="343"/>
      <c r="AH1858" s="343"/>
      <c r="AI1858" s="343"/>
      <c r="AJ1858" s="343"/>
      <c r="AK1858" s="343"/>
      <c r="AL1858" s="343"/>
      <c r="AM1858" s="343"/>
    </row>
    <row r="1859" spans="1:39" hidden="1" x14ac:dyDescent="0.25">
      <c r="A1859" s="694" t="s">
        <v>312</v>
      </c>
      <c r="B1859" s="725"/>
      <c r="C1859" s="1356">
        <v>10</v>
      </c>
      <c r="D1859" s="647" t="s">
        <v>1574</v>
      </c>
      <c r="E1859" s="725"/>
      <c r="F1859" s="725"/>
      <c r="G1859" s="725"/>
      <c r="H1859" s="725"/>
      <c r="I1859" s="725"/>
      <c r="J1859" s="725"/>
      <c r="K1859" s="725"/>
      <c r="L1859" s="725"/>
      <c r="M1859" s="725"/>
      <c r="N1859" s="725"/>
      <c r="O1859" s="725"/>
      <c r="P1859" s="725"/>
      <c r="Q1859" s="694"/>
      <c r="R1859" s="694"/>
      <c r="S1859" s="694"/>
      <c r="T1859" s="694"/>
      <c r="U1859" s="694"/>
      <c r="V1859" s="694"/>
      <c r="W1859" s="694"/>
      <c r="X1859" s="694"/>
      <c r="Y1859" s="694"/>
      <c r="Z1859" s="694"/>
      <c r="AA1859" s="694"/>
      <c r="AB1859" s="694"/>
      <c r="AC1859" s="694"/>
      <c r="AD1859" s="694"/>
      <c r="AE1859" s="343"/>
      <c r="AF1859" s="343"/>
      <c r="AG1859" s="343"/>
      <c r="AH1859" s="343"/>
      <c r="AI1859" s="343"/>
      <c r="AJ1859" s="343"/>
      <c r="AK1859" s="343"/>
      <c r="AL1859" s="343"/>
      <c r="AM1859" s="343"/>
    </row>
  </sheetData>
  <sheetProtection sheet="1" objects="1" scenarios="1" formatCells="0" formatColumns="0" formatRows="0"/>
  <mergeCells count="1193">
    <mergeCell ref="C1468:C1478"/>
    <mergeCell ref="E1480:N1480"/>
    <mergeCell ref="E1481:N1481"/>
    <mergeCell ref="E1482:N1482"/>
    <mergeCell ref="E1483:N1483"/>
    <mergeCell ref="E1485:N1485"/>
    <mergeCell ref="C1487:C1498"/>
    <mergeCell ref="E1501:N1501"/>
    <mergeCell ref="E1502:N1502"/>
    <mergeCell ref="E1503:N1503"/>
    <mergeCell ref="C1505:C1515"/>
    <mergeCell ref="E1517:N1517"/>
    <mergeCell ref="E1518:N1518"/>
    <mergeCell ref="E1519:N1519"/>
    <mergeCell ref="C1521:C1532"/>
    <mergeCell ref="E1534:N1534"/>
    <mergeCell ref="E1535:N1535"/>
    <mergeCell ref="E1561:N1561"/>
    <mergeCell ref="E1562:N1562"/>
    <mergeCell ref="E1580:N1580"/>
    <mergeCell ref="D1418:H1418"/>
    <mergeCell ref="G1457:L1457"/>
    <mergeCell ref="E1458:F1458"/>
    <mergeCell ref="G1458:L1458"/>
    <mergeCell ref="E1459:F1459"/>
    <mergeCell ref="G1459:L1459"/>
    <mergeCell ref="E1460:F1460"/>
    <mergeCell ref="G1460:L1460"/>
    <mergeCell ref="E1461:F1461"/>
    <mergeCell ref="G1461:L1461"/>
    <mergeCell ref="E1463:N1463"/>
    <mergeCell ref="E1464:N1464"/>
    <mergeCell ref="E1465:N1465"/>
    <mergeCell ref="E1539:I1539"/>
    <mergeCell ref="E1540:G1540"/>
    <mergeCell ref="E1541:I1541"/>
    <mergeCell ref="E1542:I1542"/>
    <mergeCell ref="E1444:N1444"/>
    <mergeCell ref="E1445:N1445"/>
    <mergeCell ref="E1446:N1446"/>
    <mergeCell ref="E1447:N1447"/>
    <mergeCell ref="E1448:N1448"/>
    <mergeCell ref="E1449:N1449"/>
    <mergeCell ref="E1451:F1451"/>
    <mergeCell ref="G1451:L1451"/>
    <mergeCell ref="E1452:F1452"/>
    <mergeCell ref="E1457:F1457"/>
    <mergeCell ref="E1543:G1543"/>
    <mergeCell ref="E1545:N1545"/>
    <mergeCell ref="C67:C77"/>
    <mergeCell ref="F24:N24"/>
    <mergeCell ref="E47:N47"/>
    <mergeCell ref="E48:N48"/>
    <mergeCell ref="G56:H56"/>
    <mergeCell ref="E58:F58"/>
    <mergeCell ref="E56:F56"/>
    <mergeCell ref="E57:F57"/>
    <mergeCell ref="E63:N63"/>
    <mergeCell ref="E62:N62"/>
    <mergeCell ref="E84:N84"/>
    <mergeCell ref="G60:H60"/>
    <mergeCell ref="I60:L60"/>
    <mergeCell ref="E142:G142"/>
    <mergeCell ref="I59:L59"/>
    <mergeCell ref="E80:N80"/>
    <mergeCell ref="E81:N81"/>
    <mergeCell ref="G52:H52"/>
    <mergeCell ref="E79:N79"/>
    <mergeCell ref="E54:F54"/>
    <mergeCell ref="E45:N45"/>
    <mergeCell ref="E44:N44"/>
    <mergeCell ref="E55:F55"/>
    <mergeCell ref="E53:F53"/>
    <mergeCell ref="G55:H55"/>
    <mergeCell ref="I55:L55"/>
    <mergeCell ref="G54:H54"/>
    <mergeCell ref="I54:L54"/>
    <mergeCell ref="I53:L53"/>
    <mergeCell ref="G53:H53"/>
    <mergeCell ref="C120:C131"/>
    <mergeCell ref="C104:C114"/>
    <mergeCell ref="E2:F2"/>
    <mergeCell ref="I13:L13"/>
    <mergeCell ref="M13:N13"/>
    <mergeCell ref="E9:M9"/>
    <mergeCell ref="E4:F4"/>
    <mergeCell ref="D7:N7"/>
    <mergeCell ref="D11:N11"/>
    <mergeCell ref="B2:D4"/>
    <mergeCell ref="G2:H2"/>
    <mergeCell ref="K2:L2"/>
    <mergeCell ref="M2:N2"/>
    <mergeCell ref="E3:F3"/>
    <mergeCell ref="E43:N43"/>
    <mergeCell ref="E42:N42"/>
    <mergeCell ref="E38:N38"/>
    <mergeCell ref="E18:N18"/>
    <mergeCell ref="D13:H13"/>
    <mergeCell ref="F39:N39"/>
    <mergeCell ref="I14:N14"/>
    <mergeCell ref="F40:N40"/>
    <mergeCell ref="E21:F21"/>
    <mergeCell ref="E15:N15"/>
    <mergeCell ref="F41:N41"/>
    <mergeCell ref="D35:N35"/>
    <mergeCell ref="E19:N19"/>
    <mergeCell ref="E37:N37"/>
    <mergeCell ref="E17:N17"/>
    <mergeCell ref="E23:N23"/>
    <mergeCell ref="F25:N25"/>
    <mergeCell ref="F26:N26"/>
    <mergeCell ref="I5:J5"/>
    <mergeCell ref="W3:X3"/>
    <mergeCell ref="Q4:R4"/>
    <mergeCell ref="S4:T4"/>
    <mergeCell ref="U4:V4"/>
    <mergeCell ref="W4:X4"/>
    <mergeCell ref="G3:H3"/>
    <mergeCell ref="I3:J3"/>
    <mergeCell ref="K3:L3"/>
    <mergeCell ref="M3:N3"/>
    <mergeCell ref="S3:T3"/>
    <mergeCell ref="M4:N4"/>
    <mergeCell ref="K4:L4"/>
    <mergeCell ref="G4:H4"/>
    <mergeCell ref="I4:J4"/>
    <mergeCell ref="U3:V3"/>
    <mergeCell ref="Q3:R3"/>
    <mergeCell ref="G58:H58"/>
    <mergeCell ref="K5:L5"/>
    <mergeCell ref="M5:N5"/>
    <mergeCell ref="Q5:R5"/>
    <mergeCell ref="S5:T5"/>
    <mergeCell ref="U5:V5"/>
    <mergeCell ref="W5:X5"/>
    <mergeCell ref="P2:P4"/>
    <mergeCell ref="G5:H5"/>
    <mergeCell ref="I2:J2"/>
    <mergeCell ref="D1832:N1832"/>
    <mergeCell ref="I51:L51"/>
    <mergeCell ref="I50:L50"/>
    <mergeCell ref="E46:N46"/>
    <mergeCell ref="E51:F51"/>
    <mergeCell ref="G51:H51"/>
    <mergeCell ref="G50:H50"/>
    <mergeCell ref="E50:F50"/>
    <mergeCell ref="E52:F52"/>
    <mergeCell ref="I52:L52"/>
    <mergeCell ref="E210:N210"/>
    <mergeCell ref="I56:L56"/>
    <mergeCell ref="E197:F197"/>
    <mergeCell ref="F204:N204"/>
    <mergeCell ref="E196:N196"/>
    <mergeCell ref="I1418:L1418"/>
    <mergeCell ref="M1418:N1418"/>
    <mergeCell ref="E1456:F1456"/>
    <mergeCell ref="G1456:L1456"/>
    <mergeCell ref="E1072:N1072"/>
    <mergeCell ref="E1073:N1073"/>
    <mergeCell ref="E1583:N1583"/>
    <mergeCell ref="E1585:N1585"/>
    <mergeCell ref="E1586:N1586"/>
    <mergeCell ref="E1587:N1587"/>
    <mergeCell ref="E1589:F1589"/>
    <mergeCell ref="E1683:N1683"/>
    <mergeCell ref="E1699:N1699"/>
    <mergeCell ref="E1700:N1700"/>
    <mergeCell ref="E1672:N1672"/>
    <mergeCell ref="M1694:N1694"/>
    <mergeCell ref="I1695:N1695"/>
    <mergeCell ref="E133:N133"/>
    <mergeCell ref="E149:N149"/>
    <mergeCell ref="I57:L57"/>
    <mergeCell ref="E165:N165"/>
    <mergeCell ref="E211:M211"/>
    <mergeCell ref="E222:F222"/>
    <mergeCell ref="E224:F224"/>
    <mergeCell ref="E225:F225"/>
    <mergeCell ref="E195:N195"/>
    <mergeCell ref="E198:F198"/>
    <mergeCell ref="E229:F229"/>
    <mergeCell ref="F171:N171"/>
    <mergeCell ref="E150:H150"/>
    <mergeCell ref="E146:I146"/>
    <mergeCell ref="E59:F59"/>
    <mergeCell ref="D155:N155"/>
    <mergeCell ref="G57:H57"/>
    <mergeCell ref="E60:F60"/>
    <mergeCell ref="G59:H59"/>
    <mergeCell ref="E139:G139"/>
    <mergeCell ref="E134:N134"/>
    <mergeCell ref="E64:N64"/>
    <mergeCell ref="F170:N170"/>
    <mergeCell ref="I58:L58"/>
    <mergeCell ref="F169:N169"/>
    <mergeCell ref="I157:N157"/>
    <mergeCell ref="E162:M162"/>
    <mergeCell ref="D157:H157"/>
    <mergeCell ref="E151:G151"/>
    <mergeCell ref="E148:N148"/>
    <mergeCell ref="E144:N144"/>
    <mergeCell ref="E194:N194"/>
    <mergeCell ref="C86:C97"/>
    <mergeCell ref="E141:I141"/>
    <mergeCell ref="E100:N100"/>
    <mergeCell ref="E101:N101"/>
    <mergeCell ref="E102:N102"/>
    <mergeCell ref="E116:N116"/>
    <mergeCell ref="E117:N117"/>
    <mergeCell ref="E118:N118"/>
    <mergeCell ref="E246:N246"/>
    <mergeCell ref="F247:N247"/>
    <mergeCell ref="F248:N248"/>
    <mergeCell ref="F249:N249"/>
    <mergeCell ref="E161:M161"/>
    <mergeCell ref="E83:N83"/>
    <mergeCell ref="E138:I138"/>
    <mergeCell ref="E203:N203"/>
    <mergeCell ref="E166:N166"/>
    <mergeCell ref="E188:F188"/>
    <mergeCell ref="E189:F189"/>
    <mergeCell ref="E190:F190"/>
    <mergeCell ref="E191:F191"/>
    <mergeCell ref="E192:F192"/>
    <mergeCell ref="E176:N176"/>
    <mergeCell ref="E167:N167"/>
    <mergeCell ref="E180:N180"/>
    <mergeCell ref="F168:N168"/>
    <mergeCell ref="E177:N177"/>
    <mergeCell ref="E232:F232"/>
    <mergeCell ref="E218:F218"/>
    <mergeCell ref="E220:F220"/>
    <mergeCell ref="E159:M159"/>
    <mergeCell ref="E140:I140"/>
    <mergeCell ref="E202:N202"/>
    <mergeCell ref="E201:N201"/>
    <mergeCell ref="E217:F217"/>
    <mergeCell ref="E209:N209"/>
    <mergeCell ref="F205:N205"/>
    <mergeCell ref="E212:F212"/>
    <mergeCell ref="E213:F213"/>
    <mergeCell ref="E214:F214"/>
    <mergeCell ref="E216:F216"/>
    <mergeCell ref="F207:N207"/>
    <mergeCell ref="E260:N260"/>
    <mergeCell ref="E261:N261"/>
    <mergeCell ref="E160:M160"/>
    <mergeCell ref="E226:F226"/>
    <mergeCell ref="E228:F228"/>
    <mergeCell ref="E221:F221"/>
    <mergeCell ref="E174:F174"/>
    <mergeCell ref="E184:F184"/>
    <mergeCell ref="E185:F185"/>
    <mergeCell ref="E186:F186"/>
    <mergeCell ref="E187:F187"/>
    <mergeCell ref="F208:N208"/>
    <mergeCell ref="F206:N206"/>
    <mergeCell ref="F172:N172"/>
    <mergeCell ref="E182:N182"/>
    <mergeCell ref="E181:N181"/>
    <mergeCell ref="E179:N179"/>
    <mergeCell ref="E178:N178"/>
    <mergeCell ref="E230:F230"/>
    <mergeCell ref="E163:M163"/>
    <mergeCell ref="E199:F199"/>
    <mergeCell ref="F262:N262"/>
    <mergeCell ref="F263:N263"/>
    <mergeCell ref="D236:H236"/>
    <mergeCell ref="I236:L236"/>
    <mergeCell ref="M236:N236"/>
    <mergeCell ref="I237:N237"/>
    <mergeCell ref="E238:N238"/>
    <mergeCell ref="E240:N240"/>
    <mergeCell ref="E241:N241"/>
    <mergeCell ref="E242:N242"/>
    <mergeCell ref="E244:F244"/>
    <mergeCell ref="E274:F274"/>
    <mergeCell ref="G274:H274"/>
    <mergeCell ref="I274:L274"/>
    <mergeCell ref="E275:F275"/>
    <mergeCell ref="G275:H275"/>
    <mergeCell ref="I275:L275"/>
    <mergeCell ref="D258:N258"/>
    <mergeCell ref="E276:F276"/>
    <mergeCell ref="G276:H276"/>
    <mergeCell ref="I276:L276"/>
    <mergeCell ref="F264:N264"/>
    <mergeCell ref="E265:N265"/>
    <mergeCell ref="E266:N266"/>
    <mergeCell ref="E267:N267"/>
    <mergeCell ref="E268:N268"/>
    <mergeCell ref="E269:N269"/>
    <mergeCell ref="E270:N270"/>
    <mergeCell ref="E271:N271"/>
    <mergeCell ref="E273:F273"/>
    <mergeCell ref="G273:H273"/>
    <mergeCell ref="I273:L273"/>
    <mergeCell ref="E280:F280"/>
    <mergeCell ref="G280:H280"/>
    <mergeCell ref="I280:L280"/>
    <mergeCell ref="E281:F281"/>
    <mergeCell ref="G281:H281"/>
    <mergeCell ref="I281:L281"/>
    <mergeCell ref="E282:F282"/>
    <mergeCell ref="G282:H282"/>
    <mergeCell ref="I282:L282"/>
    <mergeCell ref="E277:F277"/>
    <mergeCell ref="G277:H277"/>
    <mergeCell ref="I277:L277"/>
    <mergeCell ref="E278:F278"/>
    <mergeCell ref="G278:H278"/>
    <mergeCell ref="I278:L278"/>
    <mergeCell ref="E279:F279"/>
    <mergeCell ref="G279:H279"/>
    <mergeCell ref="I279:L279"/>
    <mergeCell ref="E304:N304"/>
    <mergeCell ref="E306:N306"/>
    <mergeCell ref="E307:N307"/>
    <mergeCell ref="C309:C320"/>
    <mergeCell ref="E323:N323"/>
    <mergeCell ref="E324:N324"/>
    <mergeCell ref="E325:N325"/>
    <mergeCell ref="C327:C337"/>
    <mergeCell ref="E339:N339"/>
    <mergeCell ref="E283:F283"/>
    <mergeCell ref="G283:H283"/>
    <mergeCell ref="I283:L283"/>
    <mergeCell ref="E285:N285"/>
    <mergeCell ref="E286:N286"/>
    <mergeCell ref="E287:N287"/>
    <mergeCell ref="C290:C300"/>
    <mergeCell ref="E302:N302"/>
    <mergeCell ref="E303:N303"/>
    <mergeCell ref="E365:G365"/>
    <mergeCell ref="E367:N367"/>
    <mergeCell ref="E369:I369"/>
    <mergeCell ref="E371:N371"/>
    <mergeCell ref="E372:N372"/>
    <mergeCell ref="E373:H373"/>
    <mergeCell ref="E374:G374"/>
    <mergeCell ref="D378:N378"/>
    <mergeCell ref="D380:H380"/>
    <mergeCell ref="I380:N380"/>
    <mergeCell ref="E340:N340"/>
    <mergeCell ref="E341:N341"/>
    <mergeCell ref="C343:C354"/>
    <mergeCell ref="E356:N356"/>
    <mergeCell ref="E357:N357"/>
    <mergeCell ref="E361:I361"/>
    <mergeCell ref="E362:G362"/>
    <mergeCell ref="E363:I363"/>
    <mergeCell ref="E364:I364"/>
    <mergeCell ref="F392:N392"/>
    <mergeCell ref="F393:N393"/>
    <mergeCell ref="F394:N394"/>
    <mergeCell ref="F395:N395"/>
    <mergeCell ref="E397:F397"/>
    <mergeCell ref="E399:N399"/>
    <mergeCell ref="E400:N400"/>
    <mergeCell ref="E401:N401"/>
    <mergeCell ref="E402:N402"/>
    <mergeCell ref="E382:M382"/>
    <mergeCell ref="E383:M383"/>
    <mergeCell ref="E384:M384"/>
    <mergeCell ref="E385:M385"/>
    <mergeCell ref="E386:M386"/>
    <mergeCell ref="E388:N388"/>
    <mergeCell ref="E389:N389"/>
    <mergeCell ref="E390:N390"/>
    <mergeCell ref="F391:N391"/>
    <mergeCell ref="E413:F413"/>
    <mergeCell ref="E414:F414"/>
    <mergeCell ref="E415:F415"/>
    <mergeCell ref="E417:N417"/>
    <mergeCell ref="E418:N418"/>
    <mergeCell ref="E419:N419"/>
    <mergeCell ref="E420:F420"/>
    <mergeCell ref="E421:F421"/>
    <mergeCell ref="E424:N424"/>
    <mergeCell ref="E403:N403"/>
    <mergeCell ref="E404:N404"/>
    <mergeCell ref="E405:N405"/>
    <mergeCell ref="E407:F407"/>
    <mergeCell ref="E408:F408"/>
    <mergeCell ref="E409:F409"/>
    <mergeCell ref="E410:F410"/>
    <mergeCell ref="E411:F411"/>
    <mergeCell ref="E412:F412"/>
    <mergeCell ref="E422:F422"/>
    <mergeCell ref="E434:M434"/>
    <mergeCell ref="E435:F435"/>
    <mergeCell ref="E436:F436"/>
    <mergeCell ref="E437:F437"/>
    <mergeCell ref="E439:F439"/>
    <mergeCell ref="E440:F440"/>
    <mergeCell ref="E441:F441"/>
    <mergeCell ref="E443:F443"/>
    <mergeCell ref="E444:F444"/>
    <mergeCell ref="E425:N425"/>
    <mergeCell ref="E426:N426"/>
    <mergeCell ref="F427:N427"/>
    <mergeCell ref="F428:N428"/>
    <mergeCell ref="F429:N429"/>
    <mergeCell ref="F430:N430"/>
    <mergeCell ref="F431:N431"/>
    <mergeCell ref="E432:N432"/>
    <mergeCell ref="E433:N433"/>
    <mergeCell ref="I459:L459"/>
    <mergeCell ref="M459:N459"/>
    <mergeCell ref="I460:N460"/>
    <mergeCell ref="E461:N461"/>
    <mergeCell ref="E463:N463"/>
    <mergeCell ref="E464:N464"/>
    <mergeCell ref="E465:N465"/>
    <mergeCell ref="E467:F467"/>
    <mergeCell ref="E469:N469"/>
    <mergeCell ref="E445:F445"/>
    <mergeCell ref="E447:F447"/>
    <mergeCell ref="E448:F448"/>
    <mergeCell ref="E449:F449"/>
    <mergeCell ref="E451:F451"/>
    <mergeCell ref="E452:F452"/>
    <mergeCell ref="E453:F453"/>
    <mergeCell ref="E455:F455"/>
    <mergeCell ref="D459:H459"/>
    <mergeCell ref="E488:N488"/>
    <mergeCell ref="E489:N489"/>
    <mergeCell ref="E490:N490"/>
    <mergeCell ref="E491:N491"/>
    <mergeCell ref="E492:N492"/>
    <mergeCell ref="E493:N493"/>
    <mergeCell ref="E494:N494"/>
    <mergeCell ref="E496:F496"/>
    <mergeCell ref="G496:H496"/>
    <mergeCell ref="I496:L496"/>
    <mergeCell ref="F470:N470"/>
    <mergeCell ref="F471:N471"/>
    <mergeCell ref="F472:N472"/>
    <mergeCell ref="D481:N481"/>
    <mergeCell ref="E483:N483"/>
    <mergeCell ref="E484:N484"/>
    <mergeCell ref="F485:N485"/>
    <mergeCell ref="F486:N486"/>
    <mergeCell ref="F487:N487"/>
    <mergeCell ref="E500:F500"/>
    <mergeCell ref="G500:H500"/>
    <mergeCell ref="I500:L500"/>
    <mergeCell ref="E501:F501"/>
    <mergeCell ref="G501:H501"/>
    <mergeCell ref="I501:L501"/>
    <mergeCell ref="E502:F502"/>
    <mergeCell ref="G502:H502"/>
    <mergeCell ref="I502:L502"/>
    <mergeCell ref="E497:F497"/>
    <mergeCell ref="G497:H497"/>
    <mergeCell ref="I497:L497"/>
    <mergeCell ref="E498:F498"/>
    <mergeCell ref="G498:H498"/>
    <mergeCell ref="I498:L498"/>
    <mergeCell ref="E499:F499"/>
    <mergeCell ref="G499:H499"/>
    <mergeCell ref="I499:L499"/>
    <mergeCell ref="E506:F506"/>
    <mergeCell ref="G506:H506"/>
    <mergeCell ref="I506:L506"/>
    <mergeCell ref="E508:N508"/>
    <mergeCell ref="E509:N509"/>
    <mergeCell ref="E510:N510"/>
    <mergeCell ref="C513:C523"/>
    <mergeCell ref="E525:N525"/>
    <mergeCell ref="E526:N526"/>
    <mergeCell ref="E503:F503"/>
    <mergeCell ref="G503:H503"/>
    <mergeCell ref="I503:L503"/>
    <mergeCell ref="E504:F504"/>
    <mergeCell ref="G504:H504"/>
    <mergeCell ref="I504:L504"/>
    <mergeCell ref="E505:F505"/>
    <mergeCell ref="G505:H505"/>
    <mergeCell ref="I505:L505"/>
    <mergeCell ref="E563:N563"/>
    <mergeCell ref="E564:N564"/>
    <mergeCell ref="C566:C577"/>
    <mergeCell ref="E579:N579"/>
    <mergeCell ref="E580:N580"/>
    <mergeCell ref="E584:I584"/>
    <mergeCell ref="E585:G585"/>
    <mergeCell ref="E586:I586"/>
    <mergeCell ref="E587:I587"/>
    <mergeCell ref="E527:N527"/>
    <mergeCell ref="E528:N528"/>
    <mergeCell ref="E530:N530"/>
    <mergeCell ref="C532:C543"/>
    <mergeCell ref="E546:N546"/>
    <mergeCell ref="E547:N547"/>
    <mergeCell ref="E548:N548"/>
    <mergeCell ref="C550:C560"/>
    <mergeCell ref="E562:N562"/>
    <mergeCell ref="E605:M605"/>
    <mergeCell ref="E606:M606"/>
    <mergeCell ref="E607:M607"/>
    <mergeCell ref="E608:M608"/>
    <mergeCell ref="E609:M609"/>
    <mergeCell ref="E611:N611"/>
    <mergeCell ref="E612:N612"/>
    <mergeCell ref="E613:N613"/>
    <mergeCell ref="F614:N614"/>
    <mergeCell ref="E588:G588"/>
    <mergeCell ref="E590:N590"/>
    <mergeCell ref="E592:I592"/>
    <mergeCell ref="E594:N594"/>
    <mergeCell ref="E595:N595"/>
    <mergeCell ref="E596:H596"/>
    <mergeCell ref="E597:G597"/>
    <mergeCell ref="D601:N601"/>
    <mergeCell ref="D603:H603"/>
    <mergeCell ref="I603:N603"/>
    <mergeCell ref="E626:N626"/>
    <mergeCell ref="E627:N627"/>
    <mergeCell ref="E628:N628"/>
    <mergeCell ref="E630:F630"/>
    <mergeCell ref="E631:F631"/>
    <mergeCell ref="E632:F632"/>
    <mergeCell ref="E633:F633"/>
    <mergeCell ref="E634:F634"/>
    <mergeCell ref="E635:F635"/>
    <mergeCell ref="F615:N615"/>
    <mergeCell ref="F616:N616"/>
    <mergeCell ref="F617:N617"/>
    <mergeCell ref="F618:N618"/>
    <mergeCell ref="E620:F620"/>
    <mergeCell ref="E622:N622"/>
    <mergeCell ref="E623:N623"/>
    <mergeCell ref="E624:N624"/>
    <mergeCell ref="E625:N625"/>
    <mergeCell ref="E648:N648"/>
    <mergeCell ref="E649:N649"/>
    <mergeCell ref="F650:N650"/>
    <mergeCell ref="F651:N651"/>
    <mergeCell ref="F652:N652"/>
    <mergeCell ref="F653:N653"/>
    <mergeCell ref="F654:N654"/>
    <mergeCell ref="E655:N655"/>
    <mergeCell ref="E656:N656"/>
    <mergeCell ref="E636:F636"/>
    <mergeCell ref="E637:F637"/>
    <mergeCell ref="E638:F638"/>
    <mergeCell ref="E640:N640"/>
    <mergeCell ref="E641:N641"/>
    <mergeCell ref="E642:N642"/>
    <mergeCell ref="E643:F643"/>
    <mergeCell ref="E644:F644"/>
    <mergeCell ref="E647:N647"/>
    <mergeCell ref="E645:F645"/>
    <mergeCell ref="E668:F668"/>
    <mergeCell ref="E670:F670"/>
    <mergeCell ref="E671:F671"/>
    <mergeCell ref="E672:F672"/>
    <mergeCell ref="E674:F674"/>
    <mergeCell ref="E675:F675"/>
    <mergeCell ref="E676:F676"/>
    <mergeCell ref="E678:F678"/>
    <mergeCell ref="D682:H682"/>
    <mergeCell ref="E657:M657"/>
    <mergeCell ref="E658:F658"/>
    <mergeCell ref="E659:F659"/>
    <mergeCell ref="E660:F660"/>
    <mergeCell ref="E662:F662"/>
    <mergeCell ref="E663:F663"/>
    <mergeCell ref="E664:F664"/>
    <mergeCell ref="E666:F666"/>
    <mergeCell ref="E667:F667"/>
    <mergeCell ref="F693:N693"/>
    <mergeCell ref="F694:N694"/>
    <mergeCell ref="F695:N695"/>
    <mergeCell ref="D704:N704"/>
    <mergeCell ref="E706:N706"/>
    <mergeCell ref="E707:N707"/>
    <mergeCell ref="F708:N708"/>
    <mergeCell ref="F709:N709"/>
    <mergeCell ref="F710:N710"/>
    <mergeCell ref="I682:L682"/>
    <mergeCell ref="M682:N682"/>
    <mergeCell ref="I683:N683"/>
    <mergeCell ref="E684:N684"/>
    <mergeCell ref="E686:N686"/>
    <mergeCell ref="E687:N687"/>
    <mergeCell ref="E688:N688"/>
    <mergeCell ref="E690:F690"/>
    <mergeCell ref="E692:N692"/>
    <mergeCell ref="E720:F720"/>
    <mergeCell ref="G720:H720"/>
    <mergeCell ref="I720:L720"/>
    <mergeCell ref="E721:F721"/>
    <mergeCell ref="G721:H721"/>
    <mergeCell ref="I721:L721"/>
    <mergeCell ref="E722:F722"/>
    <mergeCell ref="G722:H722"/>
    <mergeCell ref="I722:L722"/>
    <mergeCell ref="E711:N711"/>
    <mergeCell ref="E712:N712"/>
    <mergeCell ref="E713:N713"/>
    <mergeCell ref="E714:N714"/>
    <mergeCell ref="E715:N715"/>
    <mergeCell ref="E716:N716"/>
    <mergeCell ref="E717:N717"/>
    <mergeCell ref="E719:F719"/>
    <mergeCell ref="G719:H719"/>
    <mergeCell ref="I719:L719"/>
    <mergeCell ref="E726:F726"/>
    <mergeCell ref="G726:H726"/>
    <mergeCell ref="I726:L726"/>
    <mergeCell ref="E727:F727"/>
    <mergeCell ref="G727:H727"/>
    <mergeCell ref="I727:L727"/>
    <mergeCell ref="E728:F728"/>
    <mergeCell ref="G728:H728"/>
    <mergeCell ref="I728:L728"/>
    <mergeCell ref="E723:F723"/>
    <mergeCell ref="G723:H723"/>
    <mergeCell ref="I723:L723"/>
    <mergeCell ref="E724:F724"/>
    <mergeCell ref="G724:H724"/>
    <mergeCell ref="I724:L724"/>
    <mergeCell ref="E725:F725"/>
    <mergeCell ref="G725:H725"/>
    <mergeCell ref="I725:L725"/>
    <mergeCell ref="E750:N750"/>
    <mergeCell ref="E752:N752"/>
    <mergeCell ref="E753:N753"/>
    <mergeCell ref="C755:C766"/>
    <mergeCell ref="E769:N769"/>
    <mergeCell ref="E770:N770"/>
    <mergeCell ref="E771:N771"/>
    <mergeCell ref="C773:C783"/>
    <mergeCell ref="E785:N785"/>
    <mergeCell ref="E729:F729"/>
    <mergeCell ref="G729:H729"/>
    <mergeCell ref="I729:L729"/>
    <mergeCell ref="E731:N731"/>
    <mergeCell ref="E732:N732"/>
    <mergeCell ref="E733:N733"/>
    <mergeCell ref="C736:C746"/>
    <mergeCell ref="E748:N748"/>
    <mergeCell ref="E749:N749"/>
    <mergeCell ref="E751:N751"/>
    <mergeCell ref="E811:G811"/>
    <mergeCell ref="E813:N813"/>
    <mergeCell ref="E815:I815"/>
    <mergeCell ref="E817:N817"/>
    <mergeCell ref="E818:N818"/>
    <mergeCell ref="E819:H819"/>
    <mergeCell ref="E820:G820"/>
    <mergeCell ref="D824:N824"/>
    <mergeCell ref="D826:H826"/>
    <mergeCell ref="I826:N826"/>
    <mergeCell ref="E786:N786"/>
    <mergeCell ref="E787:N787"/>
    <mergeCell ref="C789:C800"/>
    <mergeCell ref="E802:N802"/>
    <mergeCell ref="E803:N803"/>
    <mergeCell ref="E807:I807"/>
    <mergeCell ref="E808:G808"/>
    <mergeCell ref="E809:I809"/>
    <mergeCell ref="E810:I810"/>
    <mergeCell ref="F838:N838"/>
    <mergeCell ref="F839:N839"/>
    <mergeCell ref="F840:N840"/>
    <mergeCell ref="F841:N841"/>
    <mergeCell ref="E843:F843"/>
    <mergeCell ref="E845:N845"/>
    <mergeCell ref="E846:N846"/>
    <mergeCell ref="E847:N847"/>
    <mergeCell ref="E848:N848"/>
    <mergeCell ref="E828:M828"/>
    <mergeCell ref="E829:M829"/>
    <mergeCell ref="E830:M830"/>
    <mergeCell ref="E831:M831"/>
    <mergeCell ref="E832:M832"/>
    <mergeCell ref="E834:N834"/>
    <mergeCell ref="E835:N835"/>
    <mergeCell ref="E836:N836"/>
    <mergeCell ref="F837:N837"/>
    <mergeCell ref="E859:F859"/>
    <mergeCell ref="E860:F860"/>
    <mergeCell ref="E861:F861"/>
    <mergeCell ref="E863:N863"/>
    <mergeCell ref="E864:N864"/>
    <mergeCell ref="E865:N865"/>
    <mergeCell ref="E866:F866"/>
    <mergeCell ref="E867:F867"/>
    <mergeCell ref="E870:N870"/>
    <mergeCell ref="E849:N849"/>
    <mergeCell ref="E850:N850"/>
    <mergeCell ref="E851:N851"/>
    <mergeCell ref="E853:F853"/>
    <mergeCell ref="E854:F854"/>
    <mergeCell ref="E855:F855"/>
    <mergeCell ref="E856:F856"/>
    <mergeCell ref="E857:F857"/>
    <mergeCell ref="E858:F858"/>
    <mergeCell ref="E868:F868"/>
    <mergeCell ref="E880:M880"/>
    <mergeCell ref="E881:F881"/>
    <mergeCell ref="E882:F882"/>
    <mergeCell ref="E883:F883"/>
    <mergeCell ref="E885:F885"/>
    <mergeCell ref="E886:F886"/>
    <mergeCell ref="E887:F887"/>
    <mergeCell ref="E889:F889"/>
    <mergeCell ref="E890:F890"/>
    <mergeCell ref="E871:N871"/>
    <mergeCell ref="E872:N872"/>
    <mergeCell ref="F873:N873"/>
    <mergeCell ref="F874:N874"/>
    <mergeCell ref="F875:N875"/>
    <mergeCell ref="F876:N876"/>
    <mergeCell ref="F877:N877"/>
    <mergeCell ref="E878:N878"/>
    <mergeCell ref="E879:N879"/>
    <mergeCell ref="I905:L905"/>
    <mergeCell ref="M905:N905"/>
    <mergeCell ref="I906:N906"/>
    <mergeCell ref="E907:N907"/>
    <mergeCell ref="E909:N909"/>
    <mergeCell ref="E910:N910"/>
    <mergeCell ref="E911:N911"/>
    <mergeCell ref="E913:F913"/>
    <mergeCell ref="E915:N915"/>
    <mergeCell ref="E891:F891"/>
    <mergeCell ref="E893:F893"/>
    <mergeCell ref="E894:F894"/>
    <mergeCell ref="E895:F895"/>
    <mergeCell ref="E897:F897"/>
    <mergeCell ref="E898:F898"/>
    <mergeCell ref="E899:F899"/>
    <mergeCell ref="E901:F901"/>
    <mergeCell ref="D905:H905"/>
    <mergeCell ref="E933:N933"/>
    <mergeCell ref="E934:N934"/>
    <mergeCell ref="E935:N935"/>
    <mergeCell ref="E936:N936"/>
    <mergeCell ref="E937:N937"/>
    <mergeCell ref="E938:N938"/>
    <mergeCell ref="E940:F940"/>
    <mergeCell ref="F916:N916"/>
    <mergeCell ref="F917:N917"/>
    <mergeCell ref="F918:N918"/>
    <mergeCell ref="D927:N927"/>
    <mergeCell ref="E929:N929"/>
    <mergeCell ref="E930:N930"/>
    <mergeCell ref="F931:N931"/>
    <mergeCell ref="F932:N932"/>
    <mergeCell ref="E944:F944"/>
    <mergeCell ref="E945:F945"/>
    <mergeCell ref="G940:L940"/>
    <mergeCell ref="G941:L941"/>
    <mergeCell ref="G942:L942"/>
    <mergeCell ref="G943:L943"/>
    <mergeCell ref="G944:L944"/>
    <mergeCell ref="G945:L945"/>
    <mergeCell ref="E946:F946"/>
    <mergeCell ref="E941:F941"/>
    <mergeCell ref="E942:F942"/>
    <mergeCell ref="E943:F943"/>
    <mergeCell ref="E950:F950"/>
    <mergeCell ref="E952:N952"/>
    <mergeCell ref="E953:N953"/>
    <mergeCell ref="E954:N954"/>
    <mergeCell ref="C957:C967"/>
    <mergeCell ref="E969:N969"/>
    <mergeCell ref="E970:N970"/>
    <mergeCell ref="E947:F947"/>
    <mergeCell ref="E948:F948"/>
    <mergeCell ref="E949:F949"/>
    <mergeCell ref="E1007:N1007"/>
    <mergeCell ref="E1008:N1008"/>
    <mergeCell ref="C1010:C1021"/>
    <mergeCell ref="G946:L946"/>
    <mergeCell ref="G947:L947"/>
    <mergeCell ref="G948:L948"/>
    <mergeCell ref="G949:L949"/>
    <mergeCell ref="G950:L950"/>
    <mergeCell ref="E971:N971"/>
    <mergeCell ref="E972:N972"/>
    <mergeCell ref="E974:N974"/>
    <mergeCell ref="C976:C987"/>
    <mergeCell ref="E990:N990"/>
    <mergeCell ref="E991:N991"/>
    <mergeCell ref="E992:N992"/>
    <mergeCell ref="C994:C1004"/>
    <mergeCell ref="E1006:N1006"/>
    <mergeCell ref="E1032:G1032"/>
    <mergeCell ref="E1034:N1034"/>
    <mergeCell ref="E1036:I1036"/>
    <mergeCell ref="E1038:N1038"/>
    <mergeCell ref="E1039:N1039"/>
    <mergeCell ref="E1040:H1040"/>
    <mergeCell ref="E1041:G1041"/>
    <mergeCell ref="E1050:N1050"/>
    <mergeCell ref="D1045:N1045"/>
    <mergeCell ref="D1047:H1047"/>
    <mergeCell ref="I1047:N1047"/>
    <mergeCell ref="E1049:N1049"/>
    <mergeCell ref="G1596:L1596"/>
    <mergeCell ref="E1597:F1597"/>
    <mergeCell ref="G1597:L1597"/>
    <mergeCell ref="E1598:F1598"/>
    <mergeCell ref="G1598:L1598"/>
    <mergeCell ref="E1105:N1105"/>
    <mergeCell ref="E1059:N1059"/>
    <mergeCell ref="E1078:N1078"/>
    <mergeCell ref="E1080:N1080"/>
    <mergeCell ref="E1081:N1081"/>
    <mergeCell ref="E1082:N1082"/>
    <mergeCell ref="E1084:F1084"/>
    <mergeCell ref="E1086:N1086"/>
    <mergeCell ref="F1087:N1087"/>
    <mergeCell ref="F1088:N1088"/>
    <mergeCell ref="F1089:N1089"/>
    <mergeCell ref="D1098:N1098"/>
    <mergeCell ref="E1111:F1111"/>
    <mergeCell ref="G1111:L1111"/>
    <mergeCell ref="E1112:F1112"/>
    <mergeCell ref="E1599:F1599"/>
    <mergeCell ref="G1599:L1599"/>
    <mergeCell ref="E1601:N1601"/>
    <mergeCell ref="E1602:N1602"/>
    <mergeCell ref="E1603:N1603"/>
    <mergeCell ref="C1606:C1616"/>
    <mergeCell ref="E1618:N1618"/>
    <mergeCell ref="E1106:N1106"/>
    <mergeCell ref="E1107:N1107"/>
    <mergeCell ref="E1108:N1108"/>
    <mergeCell ref="E1109:N1109"/>
    <mergeCell ref="E1023:N1023"/>
    <mergeCell ref="E1024:N1024"/>
    <mergeCell ref="E1028:I1028"/>
    <mergeCell ref="E1029:G1029"/>
    <mergeCell ref="E1030:I1030"/>
    <mergeCell ref="E1031:I1031"/>
    <mergeCell ref="E1051:N1051"/>
    <mergeCell ref="E1052:N1052"/>
    <mergeCell ref="E1054:F1054"/>
    <mergeCell ref="E1056:N1056"/>
    <mergeCell ref="E1057:N1057"/>
    <mergeCell ref="E1058:N1058"/>
    <mergeCell ref="E1061:F1061"/>
    <mergeCell ref="G1452:L1452"/>
    <mergeCell ref="E1453:F1453"/>
    <mergeCell ref="G1453:L1453"/>
    <mergeCell ref="E1100:N1100"/>
    <mergeCell ref="E1101:N1101"/>
    <mergeCell ref="F1102:N1102"/>
    <mergeCell ref="F1103:N1103"/>
    <mergeCell ref="E1104:N1104"/>
    <mergeCell ref="E1639:N1639"/>
    <mergeCell ref="E1640:N1640"/>
    <mergeCell ref="E1641:N1641"/>
    <mergeCell ref="E1062:F1062"/>
    <mergeCell ref="E1064:F1064"/>
    <mergeCell ref="E1065:F1065"/>
    <mergeCell ref="E1070:F1070"/>
    <mergeCell ref="E1071:F1071"/>
    <mergeCell ref="C1643:C1653"/>
    <mergeCell ref="E1655:N1655"/>
    <mergeCell ref="E1656:N1656"/>
    <mergeCell ref="E1584:N1584"/>
    <mergeCell ref="G1589:L1589"/>
    <mergeCell ref="E1590:F1590"/>
    <mergeCell ref="G1590:L1590"/>
    <mergeCell ref="E1591:F1591"/>
    <mergeCell ref="G1591:L1591"/>
    <mergeCell ref="E1592:F1592"/>
    <mergeCell ref="G1592:L1592"/>
    <mergeCell ref="E1593:F1593"/>
    <mergeCell ref="G1593:L1593"/>
    <mergeCell ref="E1594:F1594"/>
    <mergeCell ref="G1594:L1594"/>
    <mergeCell ref="E1595:F1595"/>
    <mergeCell ref="G1595:L1595"/>
    <mergeCell ref="E1596:F1596"/>
    <mergeCell ref="E1067:F1067"/>
    <mergeCell ref="E1068:F1068"/>
    <mergeCell ref="D1076:H1076"/>
    <mergeCell ref="I1076:L1076"/>
    <mergeCell ref="M1076:N1076"/>
    <mergeCell ref="I1077:N1077"/>
    <mergeCell ref="G1112:L1112"/>
    <mergeCell ref="E1113:F1113"/>
    <mergeCell ref="G1113:L1113"/>
    <mergeCell ref="E1114:F1114"/>
    <mergeCell ref="G1114:L1114"/>
    <mergeCell ref="E1115:F1115"/>
    <mergeCell ref="G1115:L1115"/>
    <mergeCell ref="E1116:F1116"/>
    <mergeCell ref="G1116:L1116"/>
    <mergeCell ref="E1117:F1117"/>
    <mergeCell ref="G1117:L1117"/>
    <mergeCell ref="E1118:F1118"/>
    <mergeCell ref="G1118:L1118"/>
    <mergeCell ref="E1119:F1119"/>
    <mergeCell ref="G1119:L1119"/>
    <mergeCell ref="E1120:F1120"/>
    <mergeCell ref="G1120:L1120"/>
    <mergeCell ref="E1121:F1121"/>
    <mergeCell ref="G1121:L1121"/>
    <mergeCell ref="E1123:N1123"/>
    <mergeCell ref="E1124:N1124"/>
    <mergeCell ref="E1125:N1125"/>
    <mergeCell ref="C1128:C1138"/>
    <mergeCell ref="E1140:N1140"/>
    <mergeCell ref="E1141:N1141"/>
    <mergeCell ref="E1142:N1142"/>
    <mergeCell ref="E1143:N1143"/>
    <mergeCell ref="E1145:N1145"/>
    <mergeCell ref="C1147:C1158"/>
    <mergeCell ref="E1161:N1161"/>
    <mergeCell ref="E1162:N1162"/>
    <mergeCell ref="E1163:N1163"/>
    <mergeCell ref="C1165:C1175"/>
    <mergeCell ref="E1177:N1177"/>
    <mergeCell ref="E1178:N1178"/>
    <mergeCell ref="E1179:N1179"/>
    <mergeCell ref="C1181:C1192"/>
    <mergeCell ref="E1194:N1194"/>
    <mergeCell ref="E1195:N1195"/>
    <mergeCell ref="E1199:I1199"/>
    <mergeCell ref="E1200:G1200"/>
    <mergeCell ref="E1201:I1201"/>
    <mergeCell ref="E1202:I1202"/>
    <mergeCell ref="E1203:G1203"/>
    <mergeCell ref="E1205:N1205"/>
    <mergeCell ref="E1207:I1207"/>
    <mergeCell ref="E1209:N1209"/>
    <mergeCell ref="E1210:N1210"/>
    <mergeCell ref="E1211:H1211"/>
    <mergeCell ref="E1212:G1212"/>
    <mergeCell ref="D1216:N1216"/>
    <mergeCell ref="D1218:H1218"/>
    <mergeCell ref="I1218:N1218"/>
    <mergeCell ref="E1220:N1220"/>
    <mergeCell ref="E1221:N1221"/>
    <mergeCell ref="E1222:N1222"/>
    <mergeCell ref="E1223:N1223"/>
    <mergeCell ref="E1225:F1225"/>
    <mergeCell ref="E1227:N1227"/>
    <mergeCell ref="E1228:N1228"/>
    <mergeCell ref="E1229:N1229"/>
    <mergeCell ref="E1230:N1230"/>
    <mergeCell ref="E1232:F1232"/>
    <mergeCell ref="E1233:F1233"/>
    <mergeCell ref="E1235:F1235"/>
    <mergeCell ref="E1236:F1236"/>
    <mergeCell ref="E1238:F1238"/>
    <mergeCell ref="E1239:F1239"/>
    <mergeCell ref="E1241:F1241"/>
    <mergeCell ref="E1242:F1242"/>
    <mergeCell ref="E1243:N1243"/>
    <mergeCell ref="E1244:N1244"/>
    <mergeCell ref="D1247:H1247"/>
    <mergeCell ref="I1247:L1247"/>
    <mergeCell ref="M1247:N1247"/>
    <mergeCell ref="I1248:N1248"/>
    <mergeCell ref="E1249:N1249"/>
    <mergeCell ref="E1251:N1251"/>
    <mergeCell ref="E1252:N1252"/>
    <mergeCell ref="E1253:N1253"/>
    <mergeCell ref="E1255:F1255"/>
    <mergeCell ref="E1257:N1257"/>
    <mergeCell ref="F1258:N1258"/>
    <mergeCell ref="F1259:N1259"/>
    <mergeCell ref="F1260:N1260"/>
    <mergeCell ref="D1269:N1269"/>
    <mergeCell ref="E1271:N1271"/>
    <mergeCell ref="E1272:N1272"/>
    <mergeCell ref="F1273:N1273"/>
    <mergeCell ref="F1274:N1274"/>
    <mergeCell ref="E1275:N1275"/>
    <mergeCell ref="E1276:N1276"/>
    <mergeCell ref="E1277:N1277"/>
    <mergeCell ref="E1278:N1278"/>
    <mergeCell ref="E1279:N1279"/>
    <mergeCell ref="E1280:N1280"/>
    <mergeCell ref="E1282:F1282"/>
    <mergeCell ref="G1282:L1282"/>
    <mergeCell ref="E1283:F1283"/>
    <mergeCell ref="G1283:L1283"/>
    <mergeCell ref="E1284:F1284"/>
    <mergeCell ref="G1284:L1284"/>
    <mergeCell ref="E1285:F1285"/>
    <mergeCell ref="G1285:L1285"/>
    <mergeCell ref="E1286:F1286"/>
    <mergeCell ref="G1286:L1286"/>
    <mergeCell ref="E1287:F1287"/>
    <mergeCell ref="G1287:L1287"/>
    <mergeCell ref="E1288:F1288"/>
    <mergeCell ref="G1288:L1288"/>
    <mergeCell ref="E1289:F1289"/>
    <mergeCell ref="G1289:L1289"/>
    <mergeCell ref="E1290:F1290"/>
    <mergeCell ref="G1290:L1290"/>
    <mergeCell ref="E1291:F1291"/>
    <mergeCell ref="G1291:L1291"/>
    <mergeCell ref="E1292:F1292"/>
    <mergeCell ref="G1292:L1292"/>
    <mergeCell ref="E1294:N1294"/>
    <mergeCell ref="E1295:N1295"/>
    <mergeCell ref="E1296:N1296"/>
    <mergeCell ref="C1299:C1309"/>
    <mergeCell ref="E1311:N1311"/>
    <mergeCell ref="E1312:N1312"/>
    <mergeCell ref="E1313:N1313"/>
    <mergeCell ref="E1314:N1314"/>
    <mergeCell ref="E1316:N1316"/>
    <mergeCell ref="C1318:C1329"/>
    <mergeCell ref="E1332:N1332"/>
    <mergeCell ref="E1333:N1333"/>
    <mergeCell ref="E1334:N1334"/>
    <mergeCell ref="C1336:C1346"/>
    <mergeCell ref="E1348:N1348"/>
    <mergeCell ref="E1349:N1349"/>
    <mergeCell ref="E1350:N1350"/>
    <mergeCell ref="C1352:C1363"/>
    <mergeCell ref="E1365:N1365"/>
    <mergeCell ref="E1366:N1366"/>
    <mergeCell ref="E1370:I1370"/>
    <mergeCell ref="E1371:G1371"/>
    <mergeCell ref="E1372:I1372"/>
    <mergeCell ref="E1373:I1373"/>
    <mergeCell ref="E1374:G1374"/>
    <mergeCell ref="E1376:N1376"/>
    <mergeCell ref="E1378:I1378"/>
    <mergeCell ref="E1380:N1380"/>
    <mergeCell ref="E1381:N1381"/>
    <mergeCell ref="E1382:H1382"/>
    <mergeCell ref="E1383:G1383"/>
    <mergeCell ref="D1387:N1387"/>
    <mergeCell ref="D1389:H1389"/>
    <mergeCell ref="I1389:N1389"/>
    <mergeCell ref="E1391:N1391"/>
    <mergeCell ref="F1430:N1430"/>
    <mergeCell ref="F1431:N1431"/>
    <mergeCell ref="D1440:N1440"/>
    <mergeCell ref="E1442:N1442"/>
    <mergeCell ref="E1443:N1443"/>
    <mergeCell ref="E1454:F1454"/>
    <mergeCell ref="G1454:L1454"/>
    <mergeCell ref="E1455:F1455"/>
    <mergeCell ref="G1455:L1455"/>
    <mergeCell ref="E1560:N1560"/>
    <mergeCell ref="E1392:N1392"/>
    <mergeCell ref="E1393:N1393"/>
    <mergeCell ref="E1394:N1394"/>
    <mergeCell ref="E1396:F1396"/>
    <mergeCell ref="E1398:N1398"/>
    <mergeCell ref="E1399:N1399"/>
    <mergeCell ref="E1400:N1400"/>
    <mergeCell ref="E1401:N1401"/>
    <mergeCell ref="E1403:F1403"/>
    <mergeCell ref="E1404:F1404"/>
    <mergeCell ref="E1406:F1406"/>
    <mergeCell ref="E1407:F1407"/>
    <mergeCell ref="E1409:F1409"/>
    <mergeCell ref="E1410:F1410"/>
    <mergeCell ref="E1412:F1412"/>
    <mergeCell ref="E1413:F1413"/>
    <mergeCell ref="E1414:N1414"/>
    <mergeCell ref="E1547:I1547"/>
    <mergeCell ref="E1549:N1549"/>
    <mergeCell ref="E1550:N1550"/>
    <mergeCell ref="E1551:H1551"/>
    <mergeCell ref="E1552:G1552"/>
    <mergeCell ref="E1679:I1679"/>
    <mergeCell ref="E1680:I1680"/>
    <mergeCell ref="E1681:G1681"/>
    <mergeCell ref="E1685:I1685"/>
    <mergeCell ref="E1687:N1687"/>
    <mergeCell ref="E1688:N1688"/>
    <mergeCell ref="E1689:H1689"/>
    <mergeCell ref="E1690:G1690"/>
    <mergeCell ref="D1694:H1694"/>
    <mergeCell ref="I1694:L1694"/>
    <mergeCell ref="E1415:N1415"/>
    <mergeCell ref="D1556:H1556"/>
    <mergeCell ref="I1556:L1556"/>
    <mergeCell ref="M1556:N1556"/>
    <mergeCell ref="I1557:N1557"/>
    <mergeCell ref="E1558:N1558"/>
    <mergeCell ref="E1564:F1564"/>
    <mergeCell ref="E1566:N1566"/>
    <mergeCell ref="F1567:N1567"/>
    <mergeCell ref="F1568:N1568"/>
    <mergeCell ref="F1569:N1569"/>
    <mergeCell ref="D1578:N1578"/>
    <mergeCell ref="E1581:N1581"/>
    <mergeCell ref="E1582:N1582"/>
    <mergeCell ref="I1419:N1419"/>
    <mergeCell ref="E1420:N1420"/>
    <mergeCell ref="E1422:N1422"/>
    <mergeCell ref="E1423:N1423"/>
    <mergeCell ref="E1424:N1424"/>
    <mergeCell ref="E1426:F1426"/>
    <mergeCell ref="E1428:N1428"/>
    <mergeCell ref="F1429:N1429"/>
    <mergeCell ref="E1729:F1729"/>
    <mergeCell ref="G1729:L1729"/>
    <mergeCell ref="E1730:F1730"/>
    <mergeCell ref="G1730:L1730"/>
    <mergeCell ref="E1731:F1731"/>
    <mergeCell ref="G1731:L1731"/>
    <mergeCell ref="E1732:F1732"/>
    <mergeCell ref="G1732:L1732"/>
    <mergeCell ref="E1733:F1733"/>
    <mergeCell ref="G1733:L1733"/>
    <mergeCell ref="E1619:N1619"/>
    <mergeCell ref="E1620:N1620"/>
    <mergeCell ref="E1621:N1621"/>
    <mergeCell ref="E1623:N1623"/>
    <mergeCell ref="C1625:C1636"/>
    <mergeCell ref="E1696:N1696"/>
    <mergeCell ref="E1698:N1698"/>
    <mergeCell ref="E1702:F1702"/>
    <mergeCell ref="E1704:N1704"/>
    <mergeCell ref="F1705:N1705"/>
    <mergeCell ref="F1706:N1706"/>
    <mergeCell ref="F1707:N1707"/>
    <mergeCell ref="D1716:N1716"/>
    <mergeCell ref="E1718:N1718"/>
    <mergeCell ref="E1719:N1719"/>
    <mergeCell ref="E1720:N1720"/>
    <mergeCell ref="E1721:N1721"/>
    <mergeCell ref="E1678:G1678"/>
    <mergeCell ref="E1657:N1657"/>
    <mergeCell ref="C1659:C1670"/>
    <mergeCell ref="E1673:N1673"/>
    <mergeCell ref="E1677:I1677"/>
    <mergeCell ref="C1744:C1754"/>
    <mergeCell ref="E1756:N1756"/>
    <mergeCell ref="E1757:N1757"/>
    <mergeCell ref="E1758:N1758"/>
    <mergeCell ref="E1759:N1759"/>
    <mergeCell ref="E1761:N1761"/>
    <mergeCell ref="C1763:C1774"/>
    <mergeCell ref="E1777:N1777"/>
    <mergeCell ref="E1778:N1778"/>
    <mergeCell ref="E1779:N1779"/>
    <mergeCell ref="C1781:C1791"/>
    <mergeCell ref="E1793:N1793"/>
    <mergeCell ref="E1794:N1794"/>
    <mergeCell ref="E1795:N1795"/>
    <mergeCell ref="C1797:C1808"/>
    <mergeCell ref="G1734:L1734"/>
    <mergeCell ref="G1735:L1735"/>
    <mergeCell ref="E1736:F1736"/>
    <mergeCell ref="G1736:L1736"/>
    <mergeCell ref="G1737:L1737"/>
    <mergeCell ref="E1739:N1739"/>
    <mergeCell ref="E1734:F1734"/>
    <mergeCell ref="E1735:F1735"/>
    <mergeCell ref="E1737:F1737"/>
    <mergeCell ref="E82:N82"/>
    <mergeCell ref="E305:N305"/>
    <mergeCell ref="E529:N529"/>
    <mergeCell ref="E973:N973"/>
    <mergeCell ref="E1144:N1144"/>
    <mergeCell ref="E1315:N1315"/>
    <mergeCell ref="E1484:N1484"/>
    <mergeCell ref="E1622:N1622"/>
    <mergeCell ref="E1760:N1760"/>
    <mergeCell ref="E1821:N1821"/>
    <mergeCell ref="E1823:I1823"/>
    <mergeCell ref="E1825:N1825"/>
    <mergeCell ref="E1826:N1826"/>
    <mergeCell ref="E1827:H1827"/>
    <mergeCell ref="E1828:G1828"/>
    <mergeCell ref="E1740:N1740"/>
    <mergeCell ref="E1741:N1741"/>
    <mergeCell ref="E1728:F1728"/>
    <mergeCell ref="E1810:N1810"/>
    <mergeCell ref="E1811:N1811"/>
    <mergeCell ref="E1815:I1815"/>
    <mergeCell ref="E1816:G1816"/>
    <mergeCell ref="E1817:I1817"/>
    <mergeCell ref="E1818:I1818"/>
    <mergeCell ref="E1819:G1819"/>
    <mergeCell ref="E1722:N1722"/>
    <mergeCell ref="E1727:F1727"/>
    <mergeCell ref="G1727:L1727"/>
    <mergeCell ref="E1723:N1723"/>
    <mergeCell ref="E1724:N1724"/>
    <mergeCell ref="E1725:N1725"/>
    <mergeCell ref="G1728:L1728"/>
  </mergeCells>
  <phoneticPr fontId="34" type="noConversion"/>
  <conditionalFormatting sqref="B2:D4">
    <cfRule type="expression" dxfId="437" priority="484" stopIfTrue="1">
      <formula>$G$1857</formula>
    </cfRule>
  </conditionalFormatting>
  <conditionalFormatting sqref="C13:N1830">
    <cfRule type="expression" dxfId="436" priority="1" stopIfTrue="1">
      <formula>INDEX($AD:$AD,MATCH(MAX(INDIRECT(ADDRESS(1,3)&amp;":"&amp;ADDRESS(ROW(B14),3))),$C:$C,0))</formula>
    </cfRule>
  </conditionalFormatting>
  <conditionalFormatting sqref="E941:G941">
    <cfRule type="expression" dxfId="435" priority="306" stopIfTrue="1">
      <formula>$AD906</formula>
    </cfRule>
  </conditionalFormatting>
  <conditionalFormatting sqref="E1112:G1112">
    <cfRule type="expression" dxfId="434" priority="52" stopIfTrue="1">
      <formula>$AD1077</formula>
    </cfRule>
  </conditionalFormatting>
  <conditionalFormatting sqref="E1283:G1283">
    <cfRule type="expression" dxfId="433" priority="37" stopIfTrue="1">
      <formula>$AD1248</formula>
    </cfRule>
  </conditionalFormatting>
  <conditionalFormatting sqref="E1452:G1452 E1728:G1728">
    <cfRule type="expression" dxfId="432" priority="11" stopIfTrue="1">
      <formula>$AD1419</formula>
    </cfRule>
  </conditionalFormatting>
  <conditionalFormatting sqref="E1590:G1590">
    <cfRule type="expression" dxfId="431" priority="22" stopIfTrue="1">
      <formula>$AD1557</formula>
    </cfRule>
  </conditionalFormatting>
  <conditionalFormatting sqref="E51:N51">
    <cfRule type="expression" dxfId="430" priority="194" stopIfTrue="1">
      <formula>$AD14</formula>
    </cfRule>
  </conditionalFormatting>
  <conditionalFormatting sqref="E274:N274">
    <cfRule type="expression" dxfId="429" priority="167" stopIfTrue="1">
      <formula>$AD237</formula>
    </cfRule>
  </conditionalFormatting>
  <conditionalFormatting sqref="E497:N497">
    <cfRule type="expression" dxfId="428" priority="149" stopIfTrue="1">
      <formula>$AD460</formula>
    </cfRule>
  </conditionalFormatting>
  <conditionalFormatting sqref="E720:N720">
    <cfRule type="expression" dxfId="427" priority="131" stopIfTrue="1">
      <formula>$AD683</formula>
    </cfRule>
  </conditionalFormatting>
  <conditionalFormatting sqref="F67:N76">
    <cfRule type="expression" dxfId="426" priority="707" stopIfTrue="1">
      <formula>AA67=0</formula>
    </cfRule>
  </conditionalFormatting>
  <conditionalFormatting sqref="F290:N299">
    <cfRule type="expression" dxfId="425" priority="187" stopIfTrue="1">
      <formula>AA290=0</formula>
    </cfRule>
  </conditionalFormatting>
  <conditionalFormatting sqref="F513:N522">
    <cfRule type="expression" dxfId="424" priority="166" stopIfTrue="1">
      <formula>AA513=0</formula>
    </cfRule>
  </conditionalFormatting>
  <conditionalFormatting sqref="F736:N745">
    <cfRule type="expression" dxfId="423" priority="148" stopIfTrue="1">
      <formula>AA736=0</formula>
    </cfRule>
  </conditionalFormatting>
  <conditionalFormatting sqref="F957:N966">
    <cfRule type="expression" dxfId="422" priority="130" stopIfTrue="1">
      <formula>AA957=0</formula>
    </cfRule>
  </conditionalFormatting>
  <conditionalFormatting sqref="F1128:N1137">
    <cfRule type="expression" dxfId="421" priority="51" stopIfTrue="1">
      <formula>AA1128=0</formula>
    </cfRule>
  </conditionalFormatting>
  <conditionalFormatting sqref="F1299:N1308">
    <cfRule type="expression" dxfId="420" priority="36" stopIfTrue="1">
      <formula>AA1299=0</formula>
    </cfRule>
  </conditionalFormatting>
  <conditionalFormatting sqref="F1468:N1477">
    <cfRule type="expression" dxfId="419" priority="74" stopIfTrue="1">
      <formula>AA1468=0</formula>
    </cfRule>
  </conditionalFormatting>
  <conditionalFormatting sqref="F1606:N1615">
    <cfRule type="expression" dxfId="418" priority="21" stopIfTrue="1">
      <formula>AA1606=0</formula>
    </cfRule>
  </conditionalFormatting>
  <conditionalFormatting sqref="F1744:N1753">
    <cfRule type="expression" dxfId="417" priority="10" stopIfTrue="1">
      <formula>AA1744=0</formula>
    </cfRule>
  </conditionalFormatting>
  <conditionalFormatting sqref="G3:N5">
    <cfRule type="expression" dxfId="416" priority="963" stopIfTrue="1">
      <formula>INDEX($G$1847:$G$1856,MATCH("FB"&amp;Q3,$F$1847:$F$1856,0))</formula>
    </cfRule>
  </conditionalFormatting>
  <conditionalFormatting sqref="G86:N95">
    <cfRule type="expression" dxfId="415" priority="337" stopIfTrue="1">
      <formula>AB86=0</formula>
    </cfRule>
    <cfRule type="expression" dxfId="414" priority="336" stopIfTrue="1">
      <formula>AB86=1</formula>
    </cfRule>
  </conditionalFormatting>
  <conditionalFormatting sqref="G104:N113">
    <cfRule type="expression" dxfId="413" priority="199" stopIfTrue="1">
      <formula>AB104=0</formula>
    </cfRule>
    <cfRule type="expression" dxfId="412" priority="198" stopIfTrue="1">
      <formula>AB104=1</formula>
    </cfRule>
  </conditionalFormatting>
  <conditionalFormatting sqref="G120:N129">
    <cfRule type="expression" dxfId="411" priority="197" stopIfTrue="1">
      <formula>AB120=0</formula>
    </cfRule>
  </conditionalFormatting>
  <conditionalFormatting sqref="G309:N318">
    <cfRule type="expression" dxfId="410" priority="175" stopIfTrue="1">
      <formula>AB309=1</formula>
    </cfRule>
    <cfRule type="expression" dxfId="409" priority="176" stopIfTrue="1">
      <formula>AB309=0</formula>
    </cfRule>
  </conditionalFormatting>
  <conditionalFormatting sqref="G327:N336">
    <cfRule type="expression" dxfId="408" priority="169" stopIfTrue="1">
      <formula>AB327=1</formula>
    </cfRule>
    <cfRule type="expression" dxfId="407" priority="170" stopIfTrue="1">
      <formula>AB327=0</formula>
    </cfRule>
  </conditionalFormatting>
  <conditionalFormatting sqref="G343:N352">
    <cfRule type="expression" dxfId="406" priority="168" stopIfTrue="1">
      <formula>AB343=0</formula>
    </cfRule>
  </conditionalFormatting>
  <conditionalFormatting sqref="G532:N541">
    <cfRule type="expression" dxfId="405" priority="157" stopIfTrue="1">
      <formula>AB532=1</formula>
    </cfRule>
    <cfRule type="expression" dxfId="404" priority="158" stopIfTrue="1">
      <formula>AB532=0</formula>
    </cfRule>
  </conditionalFormatting>
  <conditionalFormatting sqref="G550:N559">
    <cfRule type="expression" dxfId="403" priority="151" stopIfTrue="1">
      <formula>AB550=1</formula>
    </cfRule>
    <cfRule type="expression" dxfId="402" priority="152" stopIfTrue="1">
      <formula>AB550=0</formula>
    </cfRule>
  </conditionalFormatting>
  <conditionalFormatting sqref="G566:N575">
    <cfRule type="expression" dxfId="401" priority="150" stopIfTrue="1">
      <formula>AB566=0</formula>
    </cfRule>
  </conditionalFormatting>
  <conditionalFormatting sqref="G755:N764">
    <cfRule type="expression" dxfId="400" priority="140" stopIfTrue="1">
      <formula>AB755=0</formula>
    </cfRule>
    <cfRule type="expression" dxfId="399" priority="139" stopIfTrue="1">
      <formula>AB755=1</formula>
    </cfRule>
  </conditionalFormatting>
  <conditionalFormatting sqref="G773:N782">
    <cfRule type="expression" dxfId="398" priority="133" stopIfTrue="1">
      <formula>AB773=1</formula>
    </cfRule>
    <cfRule type="expression" dxfId="397" priority="134" stopIfTrue="1">
      <formula>AB773=0</formula>
    </cfRule>
  </conditionalFormatting>
  <conditionalFormatting sqref="G789:N798">
    <cfRule type="expression" dxfId="396" priority="132" stopIfTrue="1">
      <formula>AB789=0</formula>
    </cfRule>
  </conditionalFormatting>
  <conditionalFormatting sqref="G976:N985">
    <cfRule type="expression" dxfId="395" priority="122" stopIfTrue="1">
      <formula>AB976=0</formula>
    </cfRule>
    <cfRule type="expression" dxfId="394" priority="121" stopIfTrue="1">
      <formula>AB976=1</formula>
    </cfRule>
  </conditionalFormatting>
  <conditionalFormatting sqref="G994:N1003">
    <cfRule type="expression" dxfId="393" priority="116" stopIfTrue="1">
      <formula>AB994=0</formula>
    </cfRule>
    <cfRule type="expression" dxfId="392" priority="115" stopIfTrue="1">
      <formula>AB994=1</formula>
    </cfRule>
  </conditionalFormatting>
  <conditionalFormatting sqref="G1010:N1019">
    <cfRule type="expression" dxfId="391" priority="114" stopIfTrue="1">
      <formula>AB1010=0</formula>
    </cfRule>
  </conditionalFormatting>
  <conditionalFormatting sqref="G1147:N1156">
    <cfRule type="expression" dxfId="390" priority="49" stopIfTrue="1">
      <formula>AB1147=1</formula>
    </cfRule>
    <cfRule type="expression" dxfId="389" priority="50" stopIfTrue="1">
      <formula>AB1147=0</formula>
    </cfRule>
  </conditionalFormatting>
  <conditionalFormatting sqref="G1165:N1174">
    <cfRule type="expression" dxfId="388" priority="45" stopIfTrue="1">
      <formula>AB1165=1</formula>
    </cfRule>
    <cfRule type="expression" dxfId="387" priority="46" stopIfTrue="1">
      <formula>AB1165=0</formula>
    </cfRule>
  </conditionalFormatting>
  <conditionalFormatting sqref="G1181:N1190">
    <cfRule type="expression" dxfId="386" priority="44" stopIfTrue="1">
      <formula>AB1181=0</formula>
    </cfRule>
  </conditionalFormatting>
  <conditionalFormatting sqref="G1318:N1327">
    <cfRule type="expression" dxfId="385" priority="34" stopIfTrue="1">
      <formula>AB1318=1</formula>
    </cfRule>
    <cfRule type="expression" dxfId="384" priority="35" stopIfTrue="1">
      <formula>AB1318=0</formula>
    </cfRule>
  </conditionalFormatting>
  <conditionalFormatting sqref="G1336:N1345">
    <cfRule type="expression" dxfId="383" priority="30" stopIfTrue="1">
      <formula>AB1336=1</formula>
    </cfRule>
    <cfRule type="expression" dxfId="382" priority="31" stopIfTrue="1">
      <formula>AB1336=0</formula>
    </cfRule>
  </conditionalFormatting>
  <conditionalFormatting sqref="G1352:N1361">
    <cfRule type="expression" dxfId="381" priority="29" stopIfTrue="1">
      <formula>AB1352=0</formula>
    </cfRule>
  </conditionalFormatting>
  <conditionalFormatting sqref="G1487:N1496">
    <cfRule type="expression" dxfId="380" priority="66" stopIfTrue="1">
      <formula>AB1487=0</formula>
    </cfRule>
    <cfRule type="expression" dxfId="379" priority="65" stopIfTrue="1">
      <formula>AB1487=1</formula>
    </cfRule>
  </conditionalFormatting>
  <conditionalFormatting sqref="G1505:N1514">
    <cfRule type="expression" dxfId="378" priority="62" stopIfTrue="1">
      <formula>AB1505=0</formula>
    </cfRule>
    <cfRule type="expression" dxfId="377" priority="61" stopIfTrue="1">
      <formula>AB1505=1</formula>
    </cfRule>
  </conditionalFormatting>
  <conditionalFormatting sqref="G1521:N1530">
    <cfRule type="expression" dxfId="376" priority="60" stopIfTrue="1">
      <formula>AB1521=0</formula>
    </cfRule>
  </conditionalFormatting>
  <conditionalFormatting sqref="G1625:N1634">
    <cfRule type="expression" dxfId="375" priority="20" stopIfTrue="1">
      <formula>AB1625=0</formula>
    </cfRule>
    <cfRule type="expression" dxfId="374" priority="19" stopIfTrue="1">
      <formula>AB1625=1</formula>
    </cfRule>
  </conditionalFormatting>
  <conditionalFormatting sqref="G1643:N1652">
    <cfRule type="expression" dxfId="373" priority="15" stopIfTrue="1">
      <formula>AB1643=1</formula>
    </cfRule>
    <cfRule type="expression" dxfId="372" priority="16" stopIfTrue="1">
      <formula>AB1643=0</formula>
    </cfRule>
  </conditionalFormatting>
  <conditionalFormatting sqref="G1659:N1668">
    <cfRule type="expression" dxfId="371" priority="14" stopIfTrue="1">
      <formula>AB1659=0</formula>
    </cfRule>
  </conditionalFormatting>
  <conditionalFormatting sqref="G1763:N1772">
    <cfRule type="expression" dxfId="370" priority="8" stopIfTrue="1">
      <formula>AB1763=1</formula>
    </cfRule>
    <cfRule type="expression" dxfId="369" priority="9" stopIfTrue="1">
      <formula>AB1763=0</formula>
    </cfRule>
  </conditionalFormatting>
  <conditionalFormatting sqref="G1781:N1790">
    <cfRule type="expression" dxfId="368" priority="4" stopIfTrue="1">
      <formula>AB1781=1</formula>
    </cfRule>
    <cfRule type="expression" dxfId="367" priority="5" stopIfTrue="1">
      <formula>AB1781=0</formula>
    </cfRule>
  </conditionalFormatting>
  <conditionalFormatting sqref="G1797:N1806">
    <cfRule type="expression" dxfId="366" priority="3" stopIfTrue="1">
      <formula>AB1797=0</formula>
    </cfRule>
  </conditionalFormatting>
  <conditionalFormatting sqref="H174:N174 H184:N188 H190:N190 H198:N199 H213:N214 H217:N218 H221:N222 H225:N226 H229:N230">
    <cfRule type="expression" dxfId="365" priority="333" stopIfTrue="1">
      <formula>MSconst_RequireSubAttrEmissions</formula>
    </cfRule>
  </conditionalFormatting>
  <conditionalFormatting sqref="H174:N174 H184:N192 H198:N199 H213:N214 H217:N218 H221:N222 H225:N226 H229:N230">
    <cfRule type="expression" dxfId="364" priority="331" stopIfTrue="1">
      <formula>AC174</formula>
    </cfRule>
  </conditionalFormatting>
  <conditionalFormatting sqref="H397:N397 H407:N411 H413:N413 H421:N422 H436:N437 H440:N441 H444:N445 H448:N449 H452:N453">
    <cfRule type="expression" dxfId="363" priority="173" stopIfTrue="1">
      <formula>MSconst_RequireSubAttrEmissions</formula>
    </cfRule>
  </conditionalFormatting>
  <conditionalFormatting sqref="H397:N397 H407:N415 H421:N422 H436:N437 H440:N441 H444:N445 H448:N449 H452:N453">
    <cfRule type="expression" dxfId="362" priority="172" stopIfTrue="1">
      <formula>AC397</formula>
    </cfRule>
  </conditionalFormatting>
  <conditionalFormatting sqref="H620:N620 H630:N634 H636:N636 H644:N645 H659:N660 H663:N664 H667:N668 H671:N672 H675:N676">
    <cfRule type="expression" dxfId="361" priority="155" stopIfTrue="1">
      <formula>MSconst_RequireSubAttrEmissions</formula>
    </cfRule>
  </conditionalFormatting>
  <conditionalFormatting sqref="H620:N620 H630:N638 H644:N645 H659:N660 H663:N664 H667:N668 H671:N672 H675:N676">
    <cfRule type="expression" dxfId="360" priority="154" stopIfTrue="1">
      <formula>AC620</formula>
    </cfRule>
  </conditionalFormatting>
  <conditionalFormatting sqref="H843:N843 H853:N857 H859:N859 H867:N868 H882:N883 H886:N887 H890:N891 H894:N895 H898:N899">
    <cfRule type="expression" dxfId="359" priority="137" stopIfTrue="1">
      <formula>MSconst_RequireSubAttrEmissions</formula>
    </cfRule>
  </conditionalFormatting>
  <conditionalFormatting sqref="H843:N843 H853:N861 H867:N868 H882:N883 H886:N887 H890:N891 H894:N895 H898:N899">
    <cfRule type="expression" dxfId="358" priority="136" stopIfTrue="1">
      <formula>AC843</formula>
    </cfRule>
  </conditionalFormatting>
  <conditionalFormatting sqref="H1054:N1054 H1064:N1065 H1070:N1071">
    <cfRule type="expression" dxfId="357" priority="112" stopIfTrue="1">
      <formula>AC1054</formula>
    </cfRule>
    <cfRule type="expression" dxfId="356" priority="111" stopIfTrue="1">
      <formula>MSconst_RequireSubAttrEmissions</formula>
    </cfRule>
  </conditionalFormatting>
  <conditionalFormatting sqref="H1067:N1067">
    <cfRule type="expression" dxfId="355" priority="54" stopIfTrue="1">
      <formula>MSconst_RequireSubAttrEmissions</formula>
    </cfRule>
  </conditionalFormatting>
  <conditionalFormatting sqref="H1067:N1068">
    <cfRule type="expression" dxfId="354" priority="55" stopIfTrue="1">
      <formula>AC1067</formula>
    </cfRule>
  </conditionalFormatting>
  <conditionalFormatting sqref="H1225:N1225 H1235:N1236 H1241:N1242">
    <cfRule type="expression" dxfId="353" priority="42" stopIfTrue="1">
      <formula>AC1225</formula>
    </cfRule>
    <cfRule type="expression" dxfId="352" priority="41" stopIfTrue="1">
      <formula>MSconst_RequireSubAttrEmissions</formula>
    </cfRule>
  </conditionalFormatting>
  <conditionalFormatting sqref="H1238:N1238">
    <cfRule type="expression" dxfId="351" priority="39" stopIfTrue="1">
      <formula>MSconst_RequireSubAttrEmissions</formula>
    </cfRule>
  </conditionalFormatting>
  <conditionalFormatting sqref="H1238:N1239">
    <cfRule type="expression" dxfId="350" priority="40" stopIfTrue="1">
      <formula>AC1238</formula>
    </cfRule>
  </conditionalFormatting>
  <conditionalFormatting sqref="H1396:N1396 H1406:N1407 H1412:N1413">
    <cfRule type="expression" dxfId="349" priority="27" stopIfTrue="1">
      <formula>AC1396</formula>
    </cfRule>
    <cfRule type="expression" dxfId="348" priority="26" stopIfTrue="1">
      <formula>MSconst_RequireSubAttrEmissions</formula>
    </cfRule>
  </conditionalFormatting>
  <conditionalFormatting sqref="H1409:N1409">
    <cfRule type="expression" dxfId="347" priority="24" stopIfTrue="1">
      <formula>MSconst_RequireSubAttrEmissions</formula>
    </cfRule>
  </conditionalFormatting>
  <conditionalFormatting sqref="H1409:N1410">
    <cfRule type="expression" dxfId="346" priority="25" stopIfTrue="1">
      <formula>AC1409</formula>
    </cfRule>
  </conditionalFormatting>
  <conditionalFormatting sqref="H1426:N1426 H1564:N1564 H1702:N1702">
    <cfRule type="expression" dxfId="345" priority="58">
      <formula>AC1426</formula>
    </cfRule>
  </conditionalFormatting>
  <conditionalFormatting sqref="J138:N138">
    <cfRule type="cellIs" dxfId="344" priority="330" operator="equal">
      <formula>TRUE</formula>
    </cfRule>
  </conditionalFormatting>
  <conditionalFormatting sqref="J146:N146">
    <cfRule type="cellIs" dxfId="343" priority="335" stopIfTrue="1" operator="equal">
      <formula>TRUE</formula>
    </cfRule>
  </conditionalFormatting>
  <conditionalFormatting sqref="J361:N361">
    <cfRule type="cellIs" dxfId="342" priority="171" operator="equal">
      <formula>TRUE</formula>
    </cfRule>
  </conditionalFormatting>
  <conditionalFormatting sqref="J369:N369">
    <cfRule type="cellIs" dxfId="341" priority="174" stopIfTrue="1" operator="equal">
      <formula>TRUE</formula>
    </cfRule>
  </conditionalFormatting>
  <conditionalFormatting sqref="J584:N584">
    <cfRule type="cellIs" dxfId="340" priority="153" operator="equal">
      <formula>TRUE</formula>
    </cfRule>
  </conditionalFormatting>
  <conditionalFormatting sqref="J592:N592">
    <cfRule type="cellIs" dxfId="339" priority="156" stopIfTrue="1" operator="equal">
      <formula>TRUE</formula>
    </cfRule>
  </conditionalFormatting>
  <conditionalFormatting sqref="J807:N807">
    <cfRule type="cellIs" dxfId="338" priority="135" operator="equal">
      <formula>TRUE</formula>
    </cfRule>
  </conditionalFormatting>
  <conditionalFormatting sqref="J815:N815">
    <cfRule type="cellIs" dxfId="337" priority="138" stopIfTrue="1" operator="equal">
      <formula>TRUE</formula>
    </cfRule>
  </conditionalFormatting>
  <conditionalFormatting sqref="J1028:N1028">
    <cfRule type="cellIs" dxfId="336" priority="119" operator="equal">
      <formula>TRUE</formula>
    </cfRule>
  </conditionalFormatting>
  <conditionalFormatting sqref="J1036:N1036">
    <cfRule type="cellIs" dxfId="335" priority="120" stopIfTrue="1" operator="equal">
      <formula>TRUE</formula>
    </cfRule>
  </conditionalFormatting>
  <conditionalFormatting sqref="J1199:N1199">
    <cfRule type="cellIs" dxfId="334" priority="47" operator="equal">
      <formula>TRUE</formula>
    </cfRule>
  </conditionalFormatting>
  <conditionalFormatting sqref="J1207:N1207">
    <cfRule type="cellIs" dxfId="333" priority="48" stopIfTrue="1" operator="equal">
      <formula>TRUE</formula>
    </cfRule>
  </conditionalFormatting>
  <conditionalFormatting sqref="J1370:N1370">
    <cfRule type="cellIs" dxfId="332" priority="32" operator="equal">
      <formula>TRUE</formula>
    </cfRule>
  </conditionalFormatting>
  <conditionalFormatting sqref="J1378:N1378">
    <cfRule type="cellIs" dxfId="331" priority="33" stopIfTrue="1" operator="equal">
      <formula>TRUE</formula>
    </cfRule>
  </conditionalFormatting>
  <conditionalFormatting sqref="J1539:N1539">
    <cfRule type="cellIs" dxfId="330" priority="63" operator="equal">
      <formula>TRUE</formula>
    </cfRule>
  </conditionalFormatting>
  <conditionalFormatting sqref="J1547:N1547">
    <cfRule type="cellIs" dxfId="329" priority="64" stopIfTrue="1" operator="equal">
      <formula>TRUE</formula>
    </cfRule>
  </conditionalFormatting>
  <conditionalFormatting sqref="J1677:N1677">
    <cfRule type="cellIs" dxfId="328" priority="17" operator="equal">
      <formula>TRUE</formula>
    </cfRule>
  </conditionalFormatting>
  <conditionalFormatting sqref="J1685:N1685">
    <cfRule type="cellIs" dxfId="327" priority="18" stopIfTrue="1" operator="equal">
      <formula>TRUE</formula>
    </cfRule>
  </conditionalFormatting>
  <conditionalFormatting sqref="J1815:N1815">
    <cfRule type="cellIs" dxfId="326" priority="6" operator="equal">
      <formula>TRUE</formula>
    </cfRule>
  </conditionalFormatting>
  <conditionalFormatting sqref="J1823:N1823">
    <cfRule type="cellIs" dxfId="325" priority="7" stopIfTrue="1" operator="equal">
      <formula>TRUE</formula>
    </cfRule>
  </conditionalFormatting>
  <conditionalFormatting sqref="M941:N941">
    <cfRule type="expression" dxfId="324" priority="113" stopIfTrue="1">
      <formula>$AD906</formula>
    </cfRule>
  </conditionalFormatting>
  <conditionalFormatting sqref="M1112:N1112">
    <cfRule type="expression" dxfId="323" priority="43" stopIfTrue="1">
      <formula>$AD1077</formula>
    </cfRule>
  </conditionalFormatting>
  <conditionalFormatting sqref="M1283:N1283">
    <cfRule type="expression" dxfId="322" priority="28" stopIfTrue="1">
      <formula>$AD1248</formula>
    </cfRule>
  </conditionalFormatting>
  <conditionalFormatting sqref="M1452:N1452">
    <cfRule type="expression" dxfId="321" priority="59" stopIfTrue="1">
      <formula>$AD1419</formula>
    </cfRule>
  </conditionalFormatting>
  <conditionalFormatting sqref="M1590:N1590">
    <cfRule type="expression" dxfId="320" priority="13" stopIfTrue="1">
      <formula>$AD1557</formula>
    </cfRule>
  </conditionalFormatting>
  <conditionalFormatting sqref="M1728:N1728">
    <cfRule type="expression" dxfId="319" priority="2" stopIfTrue="1">
      <formula>$AD1695</formula>
    </cfRule>
  </conditionalFormatting>
  <conditionalFormatting sqref="V32:Z32 V255:Z255 V478:Z478 V701:Z701 V924:Z924 V1095:Z1095 V1266:Z1266 V1437:Z1437 V1575:Z1575 V1713:Z1713">
    <cfRule type="expression" dxfId="318" priority="357" stopIfTrue="1">
      <formula>INDEX($AB:$AB,MATCH(MAX(INDIRECT(ADDRESS(1,3)&amp;":"&amp;ADDRESS(ROW(#REF!),3))),$C:$C,0))</formula>
    </cfRule>
  </conditionalFormatting>
  <dataValidations count="4">
    <dataValidation type="list" allowBlank="1" showInputMessage="1" showErrorMessage="1" sqref="G51:G60 G274:G283 G497:G506 G720:G729" xr:uid="{00000000-0002-0000-0800-000000000000}">
      <formula1>CNTR_ConnectionListAndWithinInst</formula1>
    </dataValidation>
    <dataValidation type="list" allowBlank="1" showInputMessage="1" showErrorMessage="1" sqref="E51:F60 E274:F283 E497:F506 E720:F729 E941:F950 E1112:F1121 E1283:F1292" xr:uid="{00000000-0002-0000-0800-000001000000}">
      <formula1>EUconst_HeatUseTypes</formula1>
    </dataValidation>
    <dataValidation type="list" allowBlank="1" showInputMessage="1" showErrorMessage="1" sqref="E1452:F1461 E1590:F1599 E1728:F1737" xr:uid="{00000000-0002-0000-0800-000002000000}">
      <formula1>EUconst_ProcessEmissionTypes</formula1>
    </dataValidation>
    <dataValidation type="decimal" operator="greaterThanOrEqual" allowBlank="1" showInputMessage="1" showErrorMessage="1" errorTitle="Value &lt; 0" error="Values have to be &gt;= 0" sqref="H1070:N1070 H1241:N1241 H1412:N1412" xr:uid="{00000000-0002-0000-0800-000003000000}">
      <formula1>0</formula1>
    </dataValidation>
  </dataValidations>
  <hyperlinks>
    <hyperlink ref="G2:H2" location="JUMP_TOC_Home" display="Table of contents" xr:uid="{00000000-0004-0000-0800-000000000000}"/>
    <hyperlink ref="M2:N2" location="JUMP_K_I" display="Summary" xr:uid="{00000000-0004-0000-0800-000001000000}"/>
    <hyperlink ref="E3:F3" location="JUMP_G_Top" display="Top of sheet" xr:uid="{00000000-0004-0000-0800-000002000000}"/>
    <hyperlink ref="I2:J2" location="JUMP_F_Top" display="Previous sheet" xr:uid="{00000000-0004-0000-0800-000003000000}"/>
    <hyperlink ref="E4:F4" location="JUMP_G_Bottom" display="End of sheet" xr:uid="{00000000-0004-0000-0800-000004000000}"/>
    <hyperlink ref="D1832:N1832" location="JUMP_H_Top" display="&lt;&lt;&lt; Click here to proceed to next sheet &gt;&gt;&gt; " xr:uid="{00000000-0004-0000-0800-000005000000}"/>
    <hyperlink ref="K2:L2" location="JUMP_H_Top" display="Next sheet" xr:uid="{00000000-0004-0000-0800-000006000000}"/>
    <hyperlink ref="E44" r:id="rId1" display="https://eur-lex.europa.eu/eli/reg/2010/860/oj" xr:uid="{00000000-0004-0000-0800-000007000000}"/>
    <hyperlink ref="E18:N18" location="JUMP_E_HeatFinal" display="Values entered here should include eligible emissions from any waste gases as determined in section D.IV." xr:uid="{00000000-0004-0000-0800-000008000000}"/>
    <hyperlink ref="E211:M211" location="JUMP_D_III" display="For attributing emissions from cogeneration (CHP) to production of heat and electricity, the &quot;CHP tool&quot; in section D.III. has to be used." xr:uid="{00000000-0004-0000-0800-000009000000}"/>
    <hyperlink ref="E163:M163" location="JUMP_K_III2" display="Upon entries made below, the attributable emissions are calculated in section K.III.2 of the summary sheet." xr:uid="{00000000-0004-0000-0800-00000A000000}"/>
    <hyperlink ref="E162:M162" r:id="rId2" location="tab-0-1" display="tab-0-1" xr:uid="{00000000-0004-0000-0800-00000B000000}"/>
    <hyperlink ref="E48" r:id="rId3" display="http://ec.europa.eu/eurostat/ramon/nomenclatures/index.cfm?TargetUrl=LST_CLS_DLD&amp;StrNom=PRD_2010&amp;StrLanguageCode=EN&amp;StrLayoutCode=HIERARCHIC" xr:uid="{00000000-0004-0000-0800-00000C000000}"/>
    <hyperlink ref="E162" r:id="rId4" location="documentation" display="https://climate.ec.europa.eu/eu-action/eu-emissions-trading-system-eu-ets/free-allocation_en#documentation" xr:uid="{00000000-0004-0000-0800-00000D000000}"/>
    <hyperlink ref="E48:N48" r:id="rId5" display="https://eur-lex.europa.eu/eli/reg/1987/2658/2023-06-17" xr:uid="{00000000-0004-0000-0800-00000E000000}"/>
    <hyperlink ref="E44:N44" r:id="rId6" display="https://eur-lex.europa.eu/eli/reg/2010/860/oj" xr:uid="{00000000-0004-0000-0800-00000F000000}"/>
    <hyperlink ref="E267" r:id="rId7" display="https://eur-lex.europa.eu/eli/reg/2010/860/oj" xr:uid="{00000000-0004-0000-0800-000010000000}"/>
    <hyperlink ref="E241:N241" location="JUMP_E_HeatFinal" display="Values entered here should include eligible emissions from any waste gases as determined in section D.IV." xr:uid="{00000000-0004-0000-0800-000011000000}"/>
    <hyperlink ref="E434:M434" location="JUMP_D_III" display="For attributing emissions from cogeneration (CHP) to production of heat and electricity, the &quot;CHP tool&quot; in section D.III. has to be used." xr:uid="{00000000-0004-0000-0800-000012000000}"/>
    <hyperlink ref="E386:M386" location="JUMP_K_III2" display="Upon entries made below, the attributable emissions are calculated in section K.III.2 of the summary sheet." xr:uid="{00000000-0004-0000-0800-000013000000}"/>
    <hyperlink ref="E385:M385" r:id="rId8" location="tab-0-1" display="tab-0-1" xr:uid="{00000000-0004-0000-0800-000014000000}"/>
    <hyperlink ref="E271" r:id="rId9" display="http://ec.europa.eu/eurostat/ramon/nomenclatures/index.cfm?TargetUrl=LST_CLS_DLD&amp;StrNom=PRD_2010&amp;StrLanguageCode=EN&amp;StrLayoutCode=HIERARCHIC" xr:uid="{00000000-0004-0000-0800-000015000000}"/>
    <hyperlink ref="E385" r:id="rId10" location="documentation" display="https://climate.ec.europa.eu/eu-action/eu-emissions-trading-system-eu-ets/free-allocation_en#documentation" xr:uid="{00000000-0004-0000-0800-000016000000}"/>
    <hyperlink ref="E271:N271" r:id="rId11" display="https://eur-lex.europa.eu/eli/reg/1987/2658/2023-06-17" xr:uid="{00000000-0004-0000-0800-000017000000}"/>
    <hyperlink ref="E267:N267" r:id="rId12" display="https://eur-lex.europa.eu/eli/reg/2010/860/oj" xr:uid="{00000000-0004-0000-0800-000018000000}"/>
    <hyperlink ref="E490" r:id="rId13" display="https://eur-lex.europa.eu/eli/reg/2010/860/oj" xr:uid="{00000000-0004-0000-0800-000019000000}"/>
    <hyperlink ref="E464:N464" location="JUMP_E_HeatFinal" display="Values entered here should include eligible emissions from any waste gases as determined in section D.IV." xr:uid="{00000000-0004-0000-0800-00001A000000}"/>
    <hyperlink ref="E657:M657" location="JUMP_D_III" display="For attributing emissions from cogeneration (CHP) to production of heat and electricity, the &quot;CHP tool&quot; in section D.III. has to be used." xr:uid="{00000000-0004-0000-0800-00001B000000}"/>
    <hyperlink ref="E609:M609" location="JUMP_K_III2" display="Upon entries made below, the attributable emissions are calculated in section K.III.2 of the summary sheet." xr:uid="{00000000-0004-0000-0800-00001C000000}"/>
    <hyperlink ref="E608:M608" r:id="rId14" location="tab-0-1" display="tab-0-1" xr:uid="{00000000-0004-0000-0800-00001D000000}"/>
    <hyperlink ref="E494" r:id="rId15" display="http://ec.europa.eu/eurostat/ramon/nomenclatures/index.cfm?TargetUrl=LST_CLS_DLD&amp;StrNom=PRD_2010&amp;StrLanguageCode=EN&amp;StrLayoutCode=HIERARCHIC" xr:uid="{00000000-0004-0000-0800-00001E000000}"/>
    <hyperlink ref="E608" r:id="rId16" location="documentation" display="https://climate.ec.europa.eu/eu-action/eu-emissions-trading-system-eu-ets/free-allocation_en#documentation" xr:uid="{00000000-0004-0000-0800-00001F000000}"/>
    <hyperlink ref="E494:N494" r:id="rId17" display="https://eur-lex.europa.eu/eli/reg/1987/2658/2023-06-17" xr:uid="{00000000-0004-0000-0800-000020000000}"/>
    <hyperlink ref="E490:N490" r:id="rId18" display="https://eur-lex.europa.eu/eli/reg/2010/860/oj" xr:uid="{00000000-0004-0000-0800-000021000000}"/>
    <hyperlink ref="E713" r:id="rId19" display="https://eur-lex.europa.eu/eli/reg/2010/860/oj" xr:uid="{00000000-0004-0000-0800-000022000000}"/>
    <hyperlink ref="E687:N687" location="JUMP_E_HeatFinal" display="Values entered here should include eligible emissions from any waste gases as determined in section D.IV." xr:uid="{00000000-0004-0000-0800-000023000000}"/>
    <hyperlink ref="E880:M880" location="JUMP_D_III" display="For attributing emissions from cogeneration (CHP) to production of heat and electricity, the &quot;CHP tool&quot; in section D.III. has to be used." xr:uid="{00000000-0004-0000-0800-000024000000}"/>
    <hyperlink ref="E832:M832" location="JUMP_K_III2" display="Upon entries made below, the attributable emissions are calculated in section K.III.2 of the summary sheet." xr:uid="{00000000-0004-0000-0800-000025000000}"/>
    <hyperlink ref="E831:M831" r:id="rId20" location="tab-0-1" display="tab-0-1" xr:uid="{00000000-0004-0000-0800-000026000000}"/>
    <hyperlink ref="E717" r:id="rId21" display="http://ec.europa.eu/eurostat/ramon/nomenclatures/index.cfm?TargetUrl=LST_CLS_DLD&amp;StrNom=PRD_2010&amp;StrLanguageCode=EN&amp;StrLayoutCode=HIERARCHIC" xr:uid="{00000000-0004-0000-0800-000027000000}"/>
    <hyperlink ref="E831" r:id="rId22" location="documentation" display="https://climate.ec.europa.eu/eu-action/eu-emissions-trading-system-eu-ets/free-allocation_en#documentation" xr:uid="{00000000-0004-0000-0800-000028000000}"/>
    <hyperlink ref="E717:N717" r:id="rId23" display="https://eur-lex.europa.eu/eli/reg/1987/2658/2023-06-17" xr:uid="{00000000-0004-0000-0800-000029000000}"/>
    <hyperlink ref="E713:N713" r:id="rId24" display="https://eur-lex.europa.eu/eli/reg/2010/860/oj" xr:uid="{00000000-0004-0000-0800-00002A000000}"/>
    <hyperlink ref="E935" r:id="rId25" display="https://eur-lex.europa.eu/eli/reg/2010/860/oj" xr:uid="{00000000-0004-0000-0800-00002B000000}"/>
    <hyperlink ref="E910:N910" location="JUMP_E_HeatFinal" display="Values entered here should include eligible emissions from any waste gases as determined in section D.IV." xr:uid="{00000000-0004-0000-0800-00002C000000}"/>
    <hyperlink ref="E938" r:id="rId26" display="http://ec.europa.eu/eurostat/ramon/nomenclatures/index.cfm?TargetUrl=LST_CLS_DLD&amp;StrNom=PRD_2010&amp;StrLanguageCode=EN&amp;StrLayoutCode=HIERARCHIC" xr:uid="{00000000-0004-0000-0800-00002D000000}"/>
    <hyperlink ref="E938:N938" r:id="rId27" display="https://eur-lex.europa.eu/eli/reg/1987/2658/2023-06-17" xr:uid="{00000000-0004-0000-0800-00002E000000}"/>
    <hyperlink ref="E935:N935" r:id="rId28" display="https://eur-lex.europa.eu/eli/reg/2010/860/oj" xr:uid="{00000000-0004-0000-0800-00002F000000}"/>
    <hyperlink ref="E1446" r:id="rId29" display="https://eur-lex.europa.eu/eli/reg/2010/860/oj" xr:uid="{00000000-0004-0000-0800-000030000000}"/>
    <hyperlink ref="E1423:N1423" location="JUMP_E_HeatFinal" display="Values entered here should include eligible emissions from any waste gases as determined in section D.IV." xr:uid="{00000000-0004-0000-0800-000031000000}"/>
    <hyperlink ref="E1449" r:id="rId30" display="http://ec.europa.eu/eurostat/ramon/nomenclatures/index.cfm?TargetUrl=LST_CLS_DLD&amp;StrNom=PRD_2010&amp;StrLanguageCode=EN&amp;StrLayoutCode=HIERARCHIC" xr:uid="{00000000-0004-0000-0800-000032000000}"/>
    <hyperlink ref="E1449:N1449" r:id="rId31" display="https://eur-lex.europa.eu/eli/reg/1987/2658/2023-06-17" xr:uid="{00000000-0004-0000-0800-000033000000}"/>
    <hyperlink ref="E1446:N1446" r:id="rId32" display="https://eur-lex.europa.eu/eli/reg/2010/860/oj" xr:uid="{00000000-0004-0000-0800-000034000000}"/>
    <hyperlink ref="E1106" r:id="rId33" display="https://eur-lex.europa.eu/eli/reg/2010/860/oj" xr:uid="{00000000-0004-0000-0800-000035000000}"/>
    <hyperlink ref="E1081:N1081" location="JUMP_E_HeatFinal" display="Values entered here should include eligible emissions from any waste gases as determined in section D.IV." xr:uid="{00000000-0004-0000-0800-000036000000}"/>
    <hyperlink ref="E1109" r:id="rId34" display="http://ec.europa.eu/eurostat/ramon/nomenclatures/index.cfm?TargetUrl=LST_CLS_DLD&amp;StrNom=PRD_2010&amp;StrLanguageCode=EN&amp;StrLayoutCode=HIERARCHIC" xr:uid="{00000000-0004-0000-0800-000037000000}"/>
    <hyperlink ref="E1109:N1109" r:id="rId35" display="https://eur-lex.europa.eu/eli/reg/1987/2658/2023-06-17" xr:uid="{00000000-0004-0000-0800-000038000000}"/>
    <hyperlink ref="E1106:N1106" r:id="rId36" display="https://eur-lex.europa.eu/eli/reg/2010/860/oj" xr:uid="{00000000-0004-0000-0800-000039000000}"/>
    <hyperlink ref="E1277" r:id="rId37" display="https://eur-lex.europa.eu/eli/reg/2010/860/oj" xr:uid="{00000000-0004-0000-0800-00003A000000}"/>
    <hyperlink ref="E1252:N1252" location="JUMP_E_HeatFinal" display="Values entered here should include eligible emissions from any waste gases as determined in section D.IV." xr:uid="{00000000-0004-0000-0800-00003B000000}"/>
    <hyperlink ref="E1280" r:id="rId38" display="http://ec.europa.eu/eurostat/ramon/nomenclatures/index.cfm?TargetUrl=LST_CLS_DLD&amp;StrNom=PRD_2010&amp;StrLanguageCode=EN&amp;StrLayoutCode=HIERARCHIC" xr:uid="{00000000-0004-0000-0800-00003C000000}"/>
    <hyperlink ref="E1280:N1280" r:id="rId39" display="https://eur-lex.europa.eu/eli/reg/1987/2658/2023-06-17" xr:uid="{00000000-0004-0000-0800-00003D000000}"/>
    <hyperlink ref="E1277:N1277" r:id="rId40" display="https://eur-lex.europa.eu/eli/reg/2010/860/oj" xr:uid="{00000000-0004-0000-0800-00003E000000}"/>
    <hyperlink ref="E1584" r:id="rId41" display="https://eur-lex.europa.eu/eli/reg/2010/860/oj" xr:uid="{00000000-0004-0000-0800-00003F000000}"/>
    <hyperlink ref="E1561:N1561" location="JUMP_E_HeatFinal" display="Values entered here should include eligible emissions from any waste gases as determined in section D.IV." xr:uid="{00000000-0004-0000-0800-000040000000}"/>
    <hyperlink ref="E1587" r:id="rId42" display="http://ec.europa.eu/eurostat/ramon/nomenclatures/index.cfm?TargetUrl=LST_CLS_DLD&amp;StrNom=PRD_2010&amp;StrLanguageCode=EN&amp;StrLayoutCode=HIERARCHIC" xr:uid="{00000000-0004-0000-0800-000041000000}"/>
    <hyperlink ref="E1587:N1587" r:id="rId43" display="https://eur-lex.europa.eu/eli/reg/1987/2658/2023-06-17" xr:uid="{00000000-0004-0000-0800-000042000000}"/>
    <hyperlink ref="E1584:N1584" r:id="rId44" display="https://eur-lex.europa.eu/eli/reg/2010/860/oj" xr:uid="{00000000-0004-0000-0800-000043000000}"/>
    <hyperlink ref="E1722" r:id="rId45" display="https://eur-lex.europa.eu/eli/reg/2010/860/oj" xr:uid="{00000000-0004-0000-0800-000044000000}"/>
    <hyperlink ref="E1699:N1699" location="JUMP_E_HeatFinal" display="Values entered here should include eligible emissions from any waste gases as determined in section D.IV." xr:uid="{00000000-0004-0000-0800-000045000000}"/>
    <hyperlink ref="E1725" r:id="rId46" display="http://ec.europa.eu/eurostat/ramon/nomenclatures/index.cfm?TargetUrl=LST_CLS_DLD&amp;StrNom=PRD_2010&amp;StrLanguageCode=EN&amp;StrLayoutCode=HIERARCHIC" xr:uid="{00000000-0004-0000-0800-000046000000}"/>
    <hyperlink ref="E1725:N1725" r:id="rId47" display="https://eur-lex.europa.eu/eli/reg/1987/2658/2023-06-17" xr:uid="{00000000-0004-0000-0800-000047000000}"/>
    <hyperlink ref="E1722:N1722" r:id="rId48" display="https://eur-lex.europa.eu/eli/reg/2010/860/oj" xr:uid="{00000000-0004-0000-0800-000048000000}"/>
  </hyperlinks>
  <pageMargins left="0.78740157480314965" right="0.78740157480314965" top="0.78740157480314965" bottom="0.78740157480314965" header="0.51181102362204722" footer="0.51181102362204722"/>
  <pageSetup paperSize="9" scale="48" fitToHeight="25" orientation="portrait" r:id="rId49"/>
  <headerFooter alignWithMargins="0">
    <oddHeader>&amp;L&amp;F; &amp;A&amp;R&amp;D; &amp;T</oddHeader>
    <oddFooter>&amp;C&amp;P / &amp;N</oddFooter>
  </headerFooter>
  <legacyDrawing r:id="rId5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426b6ab-1c0b-4e0e-9fe4-84f0d3627fbc">
      <Terms xmlns="http://schemas.microsoft.com/office/infopath/2007/PartnerControls"/>
    </lcf76f155ced4ddcb4097134ff3c332f>
    <TaxCatchAll xmlns="cc3d9e37-6a3f-4e91-92f6-0a7d0ac580b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F6A108909CABB94C86043C1C188CE238" ma:contentTypeVersion="14" ma:contentTypeDescription="Ein neues Dokument erstellen." ma:contentTypeScope="" ma:versionID="227a5f67d2566bc4023f4a04832bda45">
  <xsd:schema xmlns:xsd="http://www.w3.org/2001/XMLSchema" xmlns:xs="http://www.w3.org/2001/XMLSchema" xmlns:p="http://schemas.microsoft.com/office/2006/metadata/properties" xmlns:ns2="8426b6ab-1c0b-4e0e-9fe4-84f0d3627fbc" xmlns:ns3="cc3d9e37-6a3f-4e91-92f6-0a7d0ac580b0" targetNamespace="http://schemas.microsoft.com/office/2006/metadata/properties" ma:root="true" ma:fieldsID="7a5cdc49209815fa79b9339899fe0930" ns2:_="" ns3:_="">
    <xsd:import namespace="8426b6ab-1c0b-4e0e-9fe4-84f0d3627fbc"/>
    <xsd:import namespace="cc3d9e37-6a3f-4e91-92f6-0a7d0ac580b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26b6ab-1c0b-4e0e-9fe4-84f0d3627f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Bildmarkierungen" ma:readOnly="false" ma:fieldId="{5cf76f15-5ced-4ddc-b409-7134ff3c332f}" ma:taxonomyMulti="true" ma:sspId="b4b2067a-42a9-482f-a967-fba53db2b46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c3d9e37-6a3f-4e91-92f6-0a7d0ac580b0"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b25963-9111-4cea-a791-3be21ce8b4ed}" ma:internalName="TaxCatchAll" ma:showField="CatchAllData" ma:web="cc3d9e37-6a3f-4e91-92f6-0a7d0ac580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B57ED49-30E7-477D-8F13-DB900A946B17}">
  <ds:schemaRefs>
    <ds:schemaRef ds:uri="http://schemas.microsoft.com/sharepoint/v3/contenttype/forms"/>
  </ds:schemaRefs>
</ds:datastoreItem>
</file>

<file path=customXml/itemProps2.xml><?xml version="1.0" encoding="utf-8"?>
<ds:datastoreItem xmlns:ds="http://schemas.openxmlformats.org/officeDocument/2006/customXml" ds:itemID="{B8C58125-38FC-4822-8D91-9A0041A7E881}">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infopath/2007/PartnerControls"/>
    <ds:schemaRef ds:uri="http://schemas.microsoft.com/office/2006/documentManagement/types"/>
    <ds:schemaRef ds:uri="cc3d9e37-6a3f-4e91-92f6-0a7d0ac580b0"/>
    <ds:schemaRef ds:uri="8426b6ab-1c0b-4e0e-9fe4-84f0d3627fbc"/>
    <ds:schemaRef ds:uri="http://www.w3.org/XML/1998/namespace"/>
    <ds:schemaRef ds:uri="http://purl.org/dc/dcmitype/"/>
  </ds:schemaRefs>
</ds:datastoreItem>
</file>

<file path=customXml/itemProps3.xml><?xml version="1.0" encoding="utf-8"?>
<ds:datastoreItem xmlns:ds="http://schemas.openxmlformats.org/officeDocument/2006/customXml" ds:itemID="{F03CA224-B482-4E3F-B845-0CF8DDCE1D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26b6ab-1c0b-4e0e-9fe4-84f0d3627fbc"/>
    <ds:schemaRef ds:uri="cc3d9e37-6a3f-4e91-92f6-0a7d0ac580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Работни листове</vt:lpstr>
      </vt:variant>
      <vt:variant>
        <vt:i4>17</vt:i4>
      </vt:variant>
      <vt:variant>
        <vt:lpstr>Наименувани диапазони</vt:lpstr>
      </vt:variant>
      <vt:variant>
        <vt:i4>369</vt:i4>
      </vt:variant>
    </vt:vector>
  </HeadingPairs>
  <TitlesOfParts>
    <vt:vector size="386" baseType="lpstr">
      <vt:lpstr>a_Contents</vt:lpstr>
      <vt:lpstr>b_Guidelines &amp; conditions</vt:lpstr>
      <vt:lpstr>c_NIMsSummary</vt:lpstr>
      <vt:lpstr>A_InstallationData</vt:lpstr>
      <vt:lpstr>B+C_SubInstallations</vt:lpstr>
      <vt:lpstr>D_Emissions</vt:lpstr>
      <vt:lpstr>E_EnergyFlows</vt:lpstr>
      <vt:lpstr>F_ProductBM</vt:lpstr>
      <vt:lpstr>G_Fall-back</vt:lpstr>
      <vt:lpstr>H_SpecialBM</vt:lpstr>
      <vt:lpstr>I_MSspecific</vt:lpstr>
      <vt:lpstr>J_Comments</vt:lpstr>
      <vt:lpstr>K_Summary</vt:lpstr>
      <vt:lpstr>EUwideConstants</vt:lpstr>
      <vt:lpstr>MSParameters</vt:lpstr>
      <vt:lpstr>Translations</vt:lpstr>
      <vt:lpstr>VersionDocumentation</vt:lpstr>
      <vt:lpstr>CNTR_10BestCond</vt:lpstr>
      <vt:lpstr>CNTR_AnnexIActivities</vt:lpstr>
      <vt:lpstr>CNTR_Cessation</vt:lpstr>
      <vt:lpstr>CNTR_CNPCond</vt:lpstr>
      <vt:lpstr>CNTR_ConfirmationOK</vt:lpstr>
      <vt:lpstr>CNTR_ConnectionEntityList</vt:lpstr>
      <vt:lpstr>CNTR_ConnectionEntityListCITL_IDs</vt:lpstr>
      <vt:lpstr>CNTR_ConnectionEntityListTypes</vt:lpstr>
      <vt:lpstr>CNTR_ConnectionListAndWithinInst</vt:lpstr>
      <vt:lpstr>CNTR_DHCond</vt:lpstr>
      <vt:lpstr>CNTR_Eligible10a</vt:lpstr>
      <vt:lpstr>CNTR_EnEffCond</vt:lpstr>
      <vt:lpstr>CNTR_ExistConnectionEntries</vt:lpstr>
      <vt:lpstr>CNTR_ExistProductSubEntries</vt:lpstr>
      <vt:lpstr>CNTR_ExistSubInstEntries</vt:lpstr>
      <vt:lpstr>CNTR_FallBackSubInstRelevant</vt:lpstr>
      <vt:lpstr>CNTR_HasEntries_A_I</vt:lpstr>
      <vt:lpstr>CNTR_Incumbent</vt:lpstr>
      <vt:lpstr>CNTR_NACEInstallation</vt:lpstr>
      <vt:lpstr>CNTR_OnlyCombustion</vt:lpstr>
      <vt:lpstr>CNTR_ProdElec</vt:lpstr>
      <vt:lpstr>CNTR_ReportingYear</vt:lpstr>
      <vt:lpstr>CNTR_SubInstCessationDate</vt:lpstr>
      <vt:lpstr>CNTR_SubInstListBMnumbers</vt:lpstr>
      <vt:lpstr>CNTR_SubInstListHALUnit</vt:lpstr>
      <vt:lpstr>CNTR_SubInstListIsProdBM</vt:lpstr>
      <vt:lpstr>CNTR_SubInstListNames</vt:lpstr>
      <vt:lpstr>CNTR_SubInstStartDate</vt:lpstr>
      <vt:lpstr>CNTR_SubPeriod</vt:lpstr>
      <vt:lpstr>CNTR_TemplateVersion</vt:lpstr>
      <vt:lpstr>CNTR_UniqueID</vt:lpstr>
      <vt:lpstr>CTRL_InputMethodFuelDistribution</vt:lpstr>
      <vt:lpstr>CTRL_InputMethodHeatSubInstSplit</vt:lpstr>
      <vt:lpstr>CTRL_InputMethodNIMsvalues</vt:lpstr>
      <vt:lpstr>EUconst_AbsRel</vt:lpstr>
      <vt:lpstr>EUconst_AllocInitial</vt:lpstr>
      <vt:lpstr>EUconst_AllocPrelim</vt:lpstr>
      <vt:lpstr>EUconst_Allowances</vt:lpstr>
      <vt:lpstr>EUconst_AllYears</vt:lpstr>
      <vt:lpstr>EUconst_AnnexIActivities</vt:lpstr>
      <vt:lpstr>EUconst_BaselinePeriods</vt:lpstr>
      <vt:lpstr>EUconst_BM</vt:lpstr>
      <vt:lpstr>EUconst_BM_ARR_Range</vt:lpstr>
      <vt:lpstr>EUconst_BMlist107</vt:lpstr>
      <vt:lpstr>EUconst_BMlistARR</vt:lpstr>
      <vt:lpstr>EUconst_BMlistBMARRvaluesMatrix</vt:lpstr>
      <vt:lpstr>EUconst_BMlistBMmaxvalues</vt:lpstr>
      <vt:lpstr>EUconst_BMlistBMminvalues</vt:lpstr>
      <vt:lpstr>EUconst_BMlistBMvalues</vt:lpstr>
      <vt:lpstr>EUconst_BMlistBMvaluesMatrix</vt:lpstr>
      <vt:lpstr>EUconst_BMlistCBAMstatus</vt:lpstr>
      <vt:lpstr>EUconst_BMlistCLstatus</vt:lpstr>
      <vt:lpstr>EUconst_BMlistElExchangability</vt:lpstr>
      <vt:lpstr>EUconst_BMlistMainNumberOfBM</vt:lpstr>
      <vt:lpstr>EUconst_BMlistMatrix</vt:lpstr>
      <vt:lpstr>EUconst_BMlistNames</vt:lpstr>
      <vt:lpstr>EUconst_BMlistNotCWT</vt:lpstr>
      <vt:lpstr>EUconst_BMlistNumberOfActivity</vt:lpstr>
      <vt:lpstr>EUconst_BMlistNumberOfBM</vt:lpstr>
      <vt:lpstr>EUconst_BMlistPulp</vt:lpstr>
      <vt:lpstr>EUconst_BMlistSpecialJumpTable</vt:lpstr>
      <vt:lpstr>EUconst_BMlistSpecialReporting</vt:lpstr>
      <vt:lpstr>EUconst_BMlistUnits</vt:lpstr>
      <vt:lpstr>EUconst_BMSubinst</vt:lpstr>
      <vt:lpstr>EUconst_CBAMFactor</vt:lpstr>
      <vt:lpstr>EUconst_CessationReason</vt:lpstr>
      <vt:lpstr>EUconst_CLEFDistrict</vt:lpstr>
      <vt:lpstr>EUconst_CLEFYears</vt:lpstr>
      <vt:lpstr>EUconst_CLnonCL</vt:lpstr>
      <vt:lpstr>EUconst_CNTR_100EUA_ActivityLevel</vt:lpstr>
      <vt:lpstr>EUconst_CNTR_100EUA_ElExch</vt:lpstr>
      <vt:lpstr>EUconst_CNTR_100EUA_HEAT</vt:lpstr>
      <vt:lpstr>EUconst_CNTR_100EUA_HVC</vt:lpstr>
      <vt:lpstr>EUconst_CNTR_100EUA_VCM</vt:lpstr>
      <vt:lpstr>EUconst_CNTR_100EUA_WGFlare</vt:lpstr>
      <vt:lpstr>EUconst_CNTR_300EUA</vt:lpstr>
      <vt:lpstr>EUconst_CNTR_AllocPrelimChange</vt:lpstr>
      <vt:lpstr>EUconst_CNTR_AttributedEmissions</vt:lpstr>
      <vt:lpstr>EUconst_CNTR_CARejection</vt:lpstr>
      <vt:lpstr>EUconst_CNTR_CARejectionRelevant</vt:lpstr>
      <vt:lpstr>EUconst_CNTR_CO2Feedstock</vt:lpstr>
      <vt:lpstr>EUconst_CNTR_ElectricityEF</vt:lpstr>
      <vt:lpstr>EUconst_CNTR_ElectricityExported</vt:lpstr>
      <vt:lpstr>EUconst_CNTR_ElectricityInput</vt:lpstr>
      <vt:lpstr>EUconst_CNTR_ELEXCH</vt:lpstr>
      <vt:lpstr>EUconst_CNTR_ELEXCHfinal</vt:lpstr>
      <vt:lpstr>EUconst_CNTR_ELEXCHInitial</vt:lpstr>
      <vt:lpstr>EUconst_CNTR_ELEXCHprelim</vt:lpstr>
      <vt:lpstr>EUconst_CNTR_Emissions</vt:lpstr>
      <vt:lpstr>EUconst_CNTR_EmissionsIntSource1</vt:lpstr>
      <vt:lpstr>EUconst_CNTR_EmissionsIntSource2</vt:lpstr>
      <vt:lpstr>EUconst_CNTR_EnEff</vt:lpstr>
      <vt:lpstr>EUconst_CNTR_EnEffInitial</vt:lpstr>
      <vt:lpstr>EUconst_CNTR_EnEffPct</vt:lpstr>
      <vt:lpstr>EUconst_CNTR_FuelEF</vt:lpstr>
      <vt:lpstr>EUconst_CNTR_FuelInput</vt:lpstr>
      <vt:lpstr>EUconst_CNTR_H2ActualPlusTheoretical</vt:lpstr>
      <vt:lpstr>EUconst_CNTR_H2AdditionalEmissions</vt:lpstr>
      <vt:lpstr>EUconst_CNTR_HAL</vt:lpstr>
      <vt:lpstr>EUconst_CNTR_HALAdjPct</vt:lpstr>
      <vt:lpstr>EUconst_CNTR_HALfinal</vt:lpstr>
      <vt:lpstr>EUconst_CNTR_HALinitial</vt:lpstr>
      <vt:lpstr>EUconst_CNTR_HALprelim</vt:lpstr>
      <vt:lpstr>EUconst_CNTR_HALPulpTotal</vt:lpstr>
      <vt:lpstr>EUconst_CNTR_HALspecial</vt:lpstr>
      <vt:lpstr>EUconst_CNTR_HEAT</vt:lpstr>
      <vt:lpstr>EUconst_CNTR_HeatExport</vt:lpstr>
      <vt:lpstr>EUconst_CNTR_HeatExportEF</vt:lpstr>
      <vt:lpstr>EUconst_CNTR_HEATfinal</vt:lpstr>
      <vt:lpstr>EUconst_CNTR_HeatImport</vt:lpstr>
      <vt:lpstr>EUconst_CNTR_HeatImportEF</vt:lpstr>
      <vt:lpstr>EUconst_CNTR_HeatImportFuel</vt:lpstr>
      <vt:lpstr>EUconst_CNTR_HeatImportFuelEF</vt:lpstr>
      <vt:lpstr>EUconst_CNTR_HeatImportNitric</vt:lpstr>
      <vt:lpstr>EUconst_CNTR_HeatImportProduct</vt:lpstr>
      <vt:lpstr>EUconst_CNTR_HeatImportProductEF</vt:lpstr>
      <vt:lpstr>EUconst_CNTR_HeatImportPulp</vt:lpstr>
      <vt:lpstr>EUconst_CNTR_HeatImportPulpEF</vt:lpstr>
      <vt:lpstr>EUconst_CNTR_HEATInitial</vt:lpstr>
      <vt:lpstr>EUconst_CNTR_HEATprelim</vt:lpstr>
      <vt:lpstr>EUconst_CNTR_HeatProduced</vt:lpstr>
      <vt:lpstr>EUconst_CNTR_HeatProducedElectricity</vt:lpstr>
      <vt:lpstr>EUconst_CNTR_HVC</vt:lpstr>
      <vt:lpstr>EUconst_CNTR_HVCfinal</vt:lpstr>
      <vt:lpstr>EUconst_CNTR_HVCInitial</vt:lpstr>
      <vt:lpstr>EUconst_CNTR_HVCprelim</vt:lpstr>
      <vt:lpstr>EUconst_CNTR_IntermediateExport</vt:lpstr>
      <vt:lpstr>EUconst_CNTR_IntermediateImport</vt:lpstr>
      <vt:lpstr>EUconst_CNTR_NIMsValue</vt:lpstr>
      <vt:lpstr>EUconst_CNTR_nonETSMeasHeat</vt:lpstr>
      <vt:lpstr>EUconst_CNTR_OtherEnergyEF</vt:lpstr>
      <vt:lpstr>EUconst_CNTR_OtherEnergyInput</vt:lpstr>
      <vt:lpstr>EUconst_CNTR_RelThreshold</vt:lpstr>
      <vt:lpstr>EUconst_CNTR_TotalEnergyInput</vt:lpstr>
      <vt:lpstr>EUconst_CNTR_VCM</vt:lpstr>
      <vt:lpstr>EUconst_CNTR_VCMfinal</vt:lpstr>
      <vt:lpstr>EUconst_CNTR_VCMInitial</vt:lpstr>
      <vt:lpstr>EUconst_CNTR_VCMprelim</vt:lpstr>
      <vt:lpstr>EUconst_CNTR_WGConsumed</vt:lpstr>
      <vt:lpstr>EUconst_CNTR_WGConsumedEF</vt:lpstr>
      <vt:lpstr>EUconst_CNTR_WGExport</vt:lpstr>
      <vt:lpstr>EUconst_CNTR_WGExportEF</vt:lpstr>
      <vt:lpstr>EUconst_CNTR_WGFlared</vt:lpstr>
      <vt:lpstr>EUconst_CNTR_WGFlaredEF</vt:lpstr>
      <vt:lpstr>EUconst_CNTR_WGImport</vt:lpstr>
      <vt:lpstr>EUconst_CNTR_WGImportEF</vt:lpstr>
      <vt:lpstr>EUconst_CNTR_WGProduced</vt:lpstr>
      <vt:lpstr>EUconst_CNTR_WGProducedEF</vt:lpstr>
      <vt:lpstr>EUconst_CombustionActivity</vt:lpstr>
      <vt:lpstr>EUconst_ConfirmAllowUseOfData</vt:lpstr>
      <vt:lpstr>EUconst_ConfirmApplicationForAlloc</vt:lpstr>
      <vt:lpstr>EUconst_ConfirmationNotEligible</vt:lpstr>
      <vt:lpstr>EUconst_ConnectedEntityTypes</vt:lpstr>
      <vt:lpstr>EUconst_ConnectionShortTypes</vt:lpstr>
      <vt:lpstr>EUconst_ConnectionTransferTypes</vt:lpstr>
      <vt:lpstr>EUconst_ConnectionTypes</vt:lpstr>
      <vt:lpstr>EUconst_CWTpa</vt:lpstr>
      <vt:lpstr>EUconst_DateMissing</vt:lpstr>
      <vt:lpstr>EUconst_ElBM</vt:lpstr>
      <vt:lpstr>EUconst_ERR_ActivityMissing</vt:lpstr>
      <vt:lpstr>EUconst_ERR_AttrEmBMapplied</vt:lpstr>
      <vt:lpstr>EUconst_ERR_CADecision</vt:lpstr>
      <vt:lpstr>EUconst_ERR_DatesSorting</vt:lpstr>
      <vt:lpstr>EUconst_ERR_DoubleBMentry</vt:lpstr>
      <vt:lpstr>EUconst_ERR_Goto_DI2</vt:lpstr>
      <vt:lpstr>EUconst_ERR_LinkToNIMs</vt:lpstr>
      <vt:lpstr>EUconst_ERR_Mandatory_abd</vt:lpstr>
      <vt:lpstr>EUconst_ERR_Mandatory_Bbc</vt:lpstr>
      <vt:lpstr>EUconst_ERR_Mandatory_ef</vt:lpstr>
      <vt:lpstr>EUconst_ERR_Mandatory_g</vt:lpstr>
      <vt:lpstr>EUconst_ERR_MandatoryDII3a</vt:lpstr>
      <vt:lpstr>EUconst_ERR_MandatoryEII4</vt:lpstr>
      <vt:lpstr>EUconst_ERR_MissingFallBackEntry</vt:lpstr>
      <vt:lpstr>EUconst_ERR_MissingSubInstEntry</vt:lpstr>
      <vt:lpstr>EUconst_ERR_StartWithFuels</vt:lpstr>
      <vt:lpstr>EUconst_Error</vt:lpstr>
      <vt:lpstr>EUconst_EUA</vt:lpstr>
      <vt:lpstr>EUconst_EUApa</vt:lpstr>
      <vt:lpstr>EUconst_EUApt</vt:lpstr>
      <vt:lpstr>EUconst_FallBackARR</vt:lpstr>
      <vt:lpstr>EUconst_FallBackListBMARRvaluesMatrix</vt:lpstr>
      <vt:lpstr>EUconst_FallBackListBMvalues</vt:lpstr>
      <vt:lpstr>EUconst_FallBackListBMvaluesMatrix</vt:lpstr>
      <vt:lpstr>EUconst_FallBackListCBAMstatus</vt:lpstr>
      <vt:lpstr>EUconst_FallBackListCLstatus</vt:lpstr>
      <vt:lpstr>EUconst_FallBackListMatrix</vt:lpstr>
      <vt:lpstr>EUconst_FallbackListMissing</vt:lpstr>
      <vt:lpstr>EUconst_FallBackListNames</vt:lpstr>
      <vt:lpstr>EUconst_FallBackListNumber</vt:lpstr>
      <vt:lpstr>EUconst_FallBackListUnits</vt:lpstr>
      <vt:lpstr>Euconst_FallBackSub</vt:lpstr>
      <vt:lpstr>EUconst_FBSubinst</vt:lpstr>
      <vt:lpstr>EUconst_Fuel</vt:lpstr>
      <vt:lpstr>EUconst_FuelBMvalue</vt:lpstr>
      <vt:lpstr>EUconst_FuelUseTypes</vt:lpstr>
      <vt:lpstr>EUconst_GJ</vt:lpstr>
      <vt:lpstr>EUconst_GJpa</vt:lpstr>
      <vt:lpstr>EUconst_GJperTorKNm3</vt:lpstr>
      <vt:lpstr>EUconst_GJperUnit</vt:lpstr>
      <vt:lpstr>EUconst_GJpt</vt:lpstr>
      <vt:lpstr>EUconst_HALsum</vt:lpstr>
      <vt:lpstr>EUconst_HeatBMvalue</vt:lpstr>
      <vt:lpstr>EUconst_HeatUseTypes</vt:lpstr>
      <vt:lpstr>EUconst_Incomplete</vt:lpstr>
      <vt:lpstr>EUconst_Inconsistent</vt:lpstr>
      <vt:lpstr>EUconst_kNm3pa</vt:lpstr>
      <vt:lpstr>EUconst_LinkManual</vt:lpstr>
      <vt:lpstr>EUconst_MinOrMaxOrActual</vt:lpstr>
      <vt:lpstr>EUconst_MNm3pa</vt:lpstr>
      <vt:lpstr>EUconst_Month</vt:lpstr>
      <vt:lpstr>EUconst_MSDHConditionalityList</vt:lpstr>
      <vt:lpstr>EUconst_MsgAttrEm</vt:lpstr>
      <vt:lpstr>EUconst_MsgBackToSheetF</vt:lpstr>
      <vt:lpstr>EUconst_MsgEnterThisSection</vt:lpstr>
      <vt:lpstr>EUconst_MsgGoOn</vt:lpstr>
      <vt:lpstr>EUconst_MsgGoOn_cd</vt:lpstr>
      <vt:lpstr>EUconst_MsgGoOn_d</vt:lpstr>
      <vt:lpstr>EUconst_MsgGoOn_e</vt:lpstr>
      <vt:lpstr>EUconst_MsgGoOnIfNotRelevant</vt:lpstr>
      <vt:lpstr>EUconst_MsgGoToNextSubInst</vt:lpstr>
      <vt:lpstr>EUconst_MsgProceedEII2</vt:lpstr>
      <vt:lpstr>EUconst_MsgProceedF</vt:lpstr>
      <vt:lpstr>EUconst_MsgSeeFirst</vt:lpstr>
      <vt:lpstr>EUconst_MsgUseElExchTool</vt:lpstr>
      <vt:lpstr>EUconst_MSlist</vt:lpstr>
      <vt:lpstr>EUconst_MSlistEUTLcodes</vt:lpstr>
      <vt:lpstr>EUconst_MSlistISOcodes</vt:lpstr>
      <vt:lpstr>EUconst_MWh</vt:lpstr>
      <vt:lpstr>EUconst_MWhpa</vt:lpstr>
      <vt:lpstr>EUconst_NA</vt:lpstr>
      <vt:lpstr>EUconst_Negative</vt:lpstr>
      <vt:lpstr>EUconst_NGEFvalue</vt:lpstr>
      <vt:lpstr>EUconst_NotEligible</vt:lpstr>
      <vt:lpstr>EUconst_NotRelevant</vt:lpstr>
      <vt:lpstr>EUconst_OK</vt:lpstr>
      <vt:lpstr>EUconst_Or</vt:lpstr>
      <vt:lpstr>EUconst_ProcessEmissionTypes</vt:lpstr>
      <vt:lpstr>Euconst_ProdBMSub</vt:lpstr>
      <vt:lpstr>EUconst_Relevant</vt:lpstr>
      <vt:lpstr>EUconst_RelevantNotRelevant</vt:lpstr>
      <vt:lpstr>EUconst_relOrMWhpa</vt:lpstr>
      <vt:lpstr>EUconst_relOrtCO2pa</vt:lpstr>
      <vt:lpstr>EUconst_relOrTJpa</vt:lpstr>
      <vt:lpstr>EUconst_ReportingYears</vt:lpstr>
      <vt:lpstr>EUconst_ReportingYears2</vt:lpstr>
      <vt:lpstr>EUconst_StatusOfDataCollection</vt:lpstr>
      <vt:lpstr>EUconst_SumBioCO2</vt:lpstr>
      <vt:lpstr>EUconst_SumCO2</vt:lpstr>
      <vt:lpstr>EUconst_SumEnergyIN</vt:lpstr>
      <vt:lpstr>EUconst_SumN2O</vt:lpstr>
      <vt:lpstr>EUconst_SumPFC</vt:lpstr>
      <vt:lpstr>EUconst_SumTransferCO2</vt:lpstr>
      <vt:lpstr>EUconst_t</vt:lpstr>
      <vt:lpstr>EUconst_tCO2</vt:lpstr>
      <vt:lpstr>EUconst_tCO2e</vt:lpstr>
      <vt:lpstr>EUconst_tCO2epa</vt:lpstr>
      <vt:lpstr>EUconst_tCO2ept</vt:lpstr>
      <vt:lpstr>EUconst_tCO2eptN2O</vt:lpstr>
      <vt:lpstr>EUconst_tCO2pa</vt:lpstr>
      <vt:lpstr>EUconst_tCO2pkNm3</vt:lpstr>
      <vt:lpstr>EUconst_tCO2pMWh</vt:lpstr>
      <vt:lpstr>EUconst_tCO2pt</vt:lpstr>
      <vt:lpstr>EUconst_tCO2pTJ</vt:lpstr>
      <vt:lpstr>EUconst_tCO2pTJorT</vt:lpstr>
      <vt:lpstr>EUconst_TJ</vt:lpstr>
      <vt:lpstr>EUconst_TJpa</vt:lpstr>
      <vt:lpstr>EUconst_tN2O</vt:lpstr>
      <vt:lpstr>EUconst_tN2Opa</vt:lpstr>
      <vt:lpstr>EUconst_TonnesOrkNm3pa</vt:lpstr>
      <vt:lpstr>EUconst_Tons</vt:lpstr>
      <vt:lpstr>EUconst_tpa</vt:lpstr>
      <vt:lpstr>Euconst_TrueFalse</vt:lpstr>
      <vt:lpstr>Euconst_TrueFalseNA</vt:lpstr>
      <vt:lpstr>EUconst_Unit</vt:lpstr>
      <vt:lpstr>EUconst_WasteGasCorrFactor</vt:lpstr>
      <vt:lpstr>EUconst_WithinInst</vt:lpstr>
      <vt:lpstr>EUconst_Year</vt:lpstr>
      <vt:lpstr>JUMP_A_Bottom</vt:lpstr>
      <vt:lpstr>JUMP_A_I</vt:lpstr>
      <vt:lpstr>JUMP_A_I1</vt:lpstr>
      <vt:lpstr>JUMP_A_I2</vt:lpstr>
      <vt:lpstr>JUMP_A_I3</vt:lpstr>
      <vt:lpstr>JUMP_A_I4</vt:lpstr>
      <vt:lpstr>JUMP_A_II</vt:lpstr>
      <vt:lpstr>JUMP_A_II1</vt:lpstr>
      <vt:lpstr>JUMP_A_II2</vt:lpstr>
      <vt:lpstr>JUMP_A_III</vt:lpstr>
      <vt:lpstr>JUMP_A_IV</vt:lpstr>
      <vt:lpstr>JUMP_A_IV1</vt:lpstr>
      <vt:lpstr>JUMP_A_V</vt:lpstr>
      <vt:lpstr>JUMP_B_Bottom</vt:lpstr>
      <vt:lpstr>JUMP_B_I</vt:lpstr>
      <vt:lpstr>JUMP_B_I1</vt:lpstr>
      <vt:lpstr>JUMP_B_I3</vt:lpstr>
      <vt:lpstr>'B+C_SubInstallations'!JUMP_B_II</vt:lpstr>
      <vt:lpstr>JUMP_Coverpage_Bottom</vt:lpstr>
      <vt:lpstr>JUMP_Coverpage_Top</vt:lpstr>
      <vt:lpstr>JUMP_D_Bottom</vt:lpstr>
      <vt:lpstr>JUMP_D_I</vt:lpstr>
      <vt:lpstr>JUMP_D_II</vt:lpstr>
      <vt:lpstr>JUMP_D_III</vt:lpstr>
      <vt:lpstr>JUMP_D_III2</vt:lpstr>
      <vt:lpstr>JUMP_D_IV</vt:lpstr>
      <vt:lpstr>JUMP_D_IV2</vt:lpstr>
      <vt:lpstr>JUMP_D_Top</vt:lpstr>
      <vt:lpstr>JUMP_E_Bottom</vt:lpstr>
      <vt:lpstr>JUMP_E_HeatFinal</vt:lpstr>
      <vt:lpstr>JUMP_E_I</vt:lpstr>
      <vt:lpstr>JUMP_E_II</vt:lpstr>
      <vt:lpstr>JUMP_E_II_2</vt:lpstr>
      <vt:lpstr>JUMP_E_III</vt:lpstr>
      <vt:lpstr>JUMP_E_IV</vt:lpstr>
      <vt:lpstr>JUMP_E_Top</vt:lpstr>
      <vt:lpstr>JUMP_F_Bottom</vt:lpstr>
      <vt:lpstr>JUMP_F_I</vt:lpstr>
      <vt:lpstr>JUMP_F_Top</vt:lpstr>
      <vt:lpstr>JUMP_F1</vt:lpstr>
      <vt:lpstr>JUMP_G_Bottom</vt:lpstr>
      <vt:lpstr>JUMP_G_I</vt:lpstr>
      <vt:lpstr>JUMP_G_Top</vt:lpstr>
      <vt:lpstr>JUMP_G1</vt:lpstr>
      <vt:lpstr>JUMP_Guidelines_Bottom</vt:lpstr>
      <vt:lpstr>JUMP_Guidelines_Home</vt:lpstr>
      <vt:lpstr>JUMP_H_Bottom</vt:lpstr>
      <vt:lpstr>JUMP_H_I</vt:lpstr>
      <vt:lpstr>JUMP_H_II</vt:lpstr>
      <vt:lpstr>JUMP_H_III</vt:lpstr>
      <vt:lpstr>JUMP_H_IV</vt:lpstr>
      <vt:lpstr>JUMP_H_IX</vt:lpstr>
      <vt:lpstr>JUMP_H_Top</vt:lpstr>
      <vt:lpstr>JUMP_H_V</vt:lpstr>
      <vt:lpstr>JUMP_H_VI</vt:lpstr>
      <vt:lpstr>JUMP_H_VII</vt:lpstr>
      <vt:lpstr>JUMP_H_VIII</vt:lpstr>
      <vt:lpstr>JUMP_I_Bottom</vt:lpstr>
      <vt:lpstr>JUMP_I_MSspecific</vt:lpstr>
      <vt:lpstr>JUMP_I_Top</vt:lpstr>
      <vt:lpstr>JUMP_J_I</vt:lpstr>
      <vt:lpstr>JUMP_J_II</vt:lpstr>
      <vt:lpstr>JUMP_J_Top</vt:lpstr>
      <vt:lpstr>JUMP_K_Bottom</vt:lpstr>
      <vt:lpstr>c_NIMsSummary!JUMP_K_I</vt:lpstr>
      <vt:lpstr>JUMP_K_I</vt:lpstr>
      <vt:lpstr>JUMP_K_II</vt:lpstr>
      <vt:lpstr>JUMP_K_III</vt:lpstr>
      <vt:lpstr>JUMP_K_III2</vt:lpstr>
      <vt:lpstr>JUMP_K_IV</vt:lpstr>
      <vt:lpstr>JUMP_K_Top</vt:lpstr>
      <vt:lpstr>JUMP_K_V</vt:lpstr>
      <vt:lpstr>JUMP_K_V_Disclaimer</vt:lpstr>
      <vt:lpstr>c_NIMsSummary!JUMP_NIMsSummary</vt:lpstr>
      <vt:lpstr>JUMP_TOC_Home</vt:lpstr>
      <vt:lpstr>MSconst_RequireEmissionTotals</vt:lpstr>
      <vt:lpstr>MSconst_RequireFuelEF</vt:lpstr>
      <vt:lpstr>MSconst_RequirePermitInfo</vt:lpstr>
      <vt:lpstr>MSconst_RequireSubAttrEmissions</vt:lpstr>
      <vt:lpstr>a_Contents!Област_печат</vt:lpstr>
      <vt:lpstr>A_InstallationData!Област_печат</vt:lpstr>
      <vt:lpstr>'b_Guidelines &amp; conditions'!Област_печат</vt:lpstr>
      <vt:lpstr>'B+C_SubInstallations'!Област_печат</vt:lpstr>
      <vt:lpstr>c_NIMsSummary!Област_печат</vt:lpstr>
      <vt:lpstr>D_Emissions!Област_печат</vt:lpstr>
      <vt:lpstr>E_EnergyFlows!Област_печат</vt:lpstr>
      <vt:lpstr>'G_Fall-back'!Област_печат</vt:lpstr>
      <vt:lpstr>H_SpecialBM!Област_печат</vt:lpstr>
      <vt:lpstr>I_MSspecific!Област_печат</vt:lpstr>
      <vt:lpstr>J_Comments!Област_печат</vt:lpstr>
      <vt:lpstr>K_Summary!Област_печат</vt:lpstr>
      <vt:lpstr>VersionDocumentation!Област_печат</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Reporting tool for ALC under the EU ETS</dc:title>
  <dc:creator>Heller Christian</dc:creator>
  <dc:description>Template developed by Umweltbundesamt GmbH (Austria) for DG CLIMA</dc:description>
  <cp:lastModifiedBy>Teodora Panova</cp:lastModifiedBy>
  <cp:lastPrinted>2020-04-23T09:10:31Z</cp:lastPrinted>
  <dcterms:created xsi:type="dcterms:W3CDTF">2008-05-26T08:52:55Z</dcterms:created>
  <dcterms:modified xsi:type="dcterms:W3CDTF">2026-08-07T10:02:20Z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c98b681e-0fbe-4622-9196-26fab0415503_Enabled">
    <vt:lpwstr>true</vt:lpwstr>
  </property>
  <property fmtid="{D5CDD505-2E9C-101B-9397-08002B2CF9AE}" pid="4" name="MSIP_Label_c98b681e-0fbe-4622-9196-26fab0415503_SetDate">
    <vt:lpwstr>2024-08-22T09:08:25Z</vt:lpwstr>
  </property>
  <property fmtid="{D5CDD505-2E9C-101B-9397-08002B2CF9AE}" pid="5" name="MSIP_Label_c98b681e-0fbe-4622-9196-26fab0415503_Method">
    <vt:lpwstr>Privileged</vt:lpwstr>
  </property>
  <property fmtid="{D5CDD505-2E9C-101B-9397-08002B2CF9AE}" pid="6" name="MSIP_Label_c98b681e-0fbe-4622-9196-26fab0415503_Name">
    <vt:lpwstr>Offen</vt:lpwstr>
  </property>
  <property fmtid="{D5CDD505-2E9C-101B-9397-08002B2CF9AE}" pid="7" name="MSIP_Label_c98b681e-0fbe-4622-9196-26fab0415503_SiteId">
    <vt:lpwstr>344fca12-964d-42f0-9c3b-ff24b97e2be7</vt:lpwstr>
  </property>
  <property fmtid="{D5CDD505-2E9C-101B-9397-08002B2CF9AE}" pid="8" name="MSIP_Label_c98b681e-0fbe-4622-9196-26fab0415503_ActionId">
    <vt:lpwstr>27d35a01-8b97-4bc2-9904-662daed9a4fd</vt:lpwstr>
  </property>
  <property fmtid="{D5CDD505-2E9C-101B-9397-08002B2CF9AE}" pid="9" name="MSIP_Label_c98b681e-0fbe-4622-9196-26fab0415503_ContentBits">
    <vt:lpwstr>0</vt:lpwstr>
  </property>
  <property fmtid="{D5CDD505-2E9C-101B-9397-08002B2CF9AE}" pid="10" name="MediaServiceImageTags">
    <vt:lpwstr/>
  </property>
  <property fmtid="{D5CDD505-2E9C-101B-9397-08002B2CF9AE}" pid="11" name="ContentTypeId">
    <vt:lpwstr>0x010100F6A108909CABB94C86043C1C188CE238</vt:lpwstr>
  </property>
</Properties>
</file>